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4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6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8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9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3.xml" ContentType="application/vnd.openxmlformats-officedocument.drawing+xml"/>
  <Override PartName="/xl/charts/chart4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4.xml" ContentType="application/vnd.openxmlformats-officedocument.drawing+xml"/>
  <Override PartName="/xl/charts/chart4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16.xml" ContentType="application/vnd.openxmlformats-officedocument.drawing+xml"/>
  <Override PartName="/xl/charts/chart4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8.xml" ContentType="application/vnd.openxmlformats-officedocument.drawing+xml"/>
  <Override PartName="/xl/charts/chart4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9.xml" ContentType="application/vnd.openxmlformats-officedocument.drawing+xml"/>
  <Override PartName="/xl/charts/chart4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20.xml" ContentType="application/vnd.openxmlformats-officedocument.drawing+xml"/>
  <Override PartName="/xl/charts/chart4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21.xml" ContentType="application/vnd.openxmlformats-officedocument.drawing+xml"/>
  <Override PartName="/xl/charts/chart4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22.xml" ContentType="application/vnd.openxmlformats-officedocument.drawing+xml"/>
  <Override PartName="/xl/charts/chart5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23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4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5.xml" ContentType="application/vnd.openxmlformats-officedocument.drawing+xml"/>
  <Override PartName="/xl/charts/chart8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8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8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8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8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8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8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8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9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9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92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93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94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95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96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97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98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99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100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101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10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elexiconenergy.sharepoint.com/sites/EarlyRebasingApplication-ExhibitsWorkingDrafts/IRR test/"/>
    </mc:Choice>
  </mc:AlternateContent>
  <xr:revisionPtr revIDLastSave="170" documentId="8_{883F2E7A-A272-422E-9455-7D8DB27D78AD}" xr6:coauthVersionLast="47" xr6:coauthVersionMax="47" xr10:uidLastSave="{BB84B98C-DB30-4A31-94EF-2E7024441C79}"/>
  <bookViews>
    <workbookView xWindow="17520" yWindow="-21600" windowWidth="19410" windowHeight="20985" tabRatio="919" xr2:uid="{04D5C460-8B1E-478A-BED3-2F557AE51EBB}"/>
  </bookViews>
  <sheets>
    <sheet name="Summary" sheetId="60" r:id="rId1"/>
    <sheet name="Monthly Data" sheetId="2" r:id="rId2"/>
    <sheet name="Weather" sheetId="3" r:id="rId3"/>
    <sheet name="Economic Data" sheetId="6" r:id="rId4"/>
    <sheet name="CDM" sheetId="5" r:id="rId5"/>
    <sheet name="VRZ Residential" sheetId="17" r:id="rId6"/>
    <sheet name="VRZ Seasonal" sheetId="19" r:id="rId7"/>
    <sheet name="VRZ GS &lt; 50" sheetId="18" r:id="rId8"/>
    <sheet name="VRZ GS 50-2,999" sheetId="20" r:id="rId9"/>
    <sheet name="VRZ GS 3,000-4,999" sheetId="21" r:id="rId10"/>
    <sheet name="VRZ Large Use" sheetId="22" r:id="rId11"/>
    <sheet name="WRZ Residential" sheetId="23" r:id="rId12"/>
    <sheet name="WRZ GS &lt; 50" sheetId="24" r:id="rId13"/>
    <sheet name="WRZ GS 50-2,999" sheetId="25" r:id="rId14"/>
    <sheet name="WRZ GS 3,000-4,999" sheetId="26" r:id="rId15"/>
    <sheet name="Model Summary" sheetId="27" r:id="rId16"/>
    <sheet name="EV Data" sheetId="65" r:id="rId17"/>
    <sheet name="EV Forecast VRZ" sheetId="51" r:id="rId18"/>
    <sheet name="EV Forecast WRZ" sheetId="10" r:id="rId19"/>
    <sheet name="Heating" sheetId="11" r:id="rId20"/>
    <sheet name="Heating (data)" sheetId="61" r:id="rId21"/>
    <sheet name="New Known Customers" sheetId="43" r:id="rId22"/>
    <sheet name="Total Additional" sheetId="12" r:id="rId23"/>
    <sheet name="VRZ Residential Normalized" sheetId="28" r:id="rId24"/>
    <sheet name="VRZ Seasonal Normalized" sheetId="29" r:id="rId25"/>
    <sheet name="VRZ GS &lt; 50 Normalized" sheetId="30" r:id="rId26"/>
    <sheet name="VRZ GS 50-2,999 Normalized" sheetId="31" r:id="rId27"/>
    <sheet name="VRZ GS 3,000-4,999 Normalized" sheetId="32" r:id="rId28"/>
    <sheet name="VRZ Large Use Normalized" sheetId="33" r:id="rId29"/>
    <sheet name="WRZ Residential Normalized" sheetId="34" r:id="rId30"/>
    <sheet name="WRZ GS &lt; 50 Normalized" sheetId="35" r:id="rId31"/>
    <sheet name="WRZ GS 50-2,999 Normalized" sheetId="36" r:id="rId32"/>
    <sheet name="WRZ GS 3,000-4,999 Normalized" sheetId="37" r:id="rId33"/>
    <sheet name="Normalized Annual Summary" sheetId="39" r:id="rId34"/>
    <sheet name="Customer Count" sheetId="14" r:id="rId35"/>
    <sheet name="CDM-eDSM Framework" sheetId="7" r:id="rId36"/>
    <sheet name="kW Forecast" sheetId="40" r:id="rId37"/>
    <sheet name="CDM Adjustment" sheetId="8" r:id="rId38"/>
    <sheet name="Additional Growth" sheetId="42" r:id="rId39"/>
    <sheet name="Summary Tables" sheetId="41" r:id="rId40"/>
    <sheet name="Overall Load Summary" sheetId="44" r:id="rId41"/>
    <sheet name="Summary Tables (WN)" sheetId="73" r:id="rId42"/>
  </sheets>
  <definedNames>
    <definedName name="_Fill" localSheetId="34" hidden="1">#REF!</definedName>
    <definedName name="_Fill" localSheetId="3" hidden="1">#REF!</definedName>
    <definedName name="_Fill" localSheetId="17" hidden="1">#REF!</definedName>
    <definedName name="_Fill" localSheetId="36" hidden="1">#REF!</definedName>
    <definedName name="_Fill" localSheetId="15" hidden="1">#REF!</definedName>
    <definedName name="_Fill" localSheetId="33" hidden="1">#REF!</definedName>
    <definedName name="_Fill" localSheetId="39" hidden="1">#REF!</definedName>
    <definedName name="_Fill" localSheetId="41" hidden="1">#REF!</definedName>
    <definedName name="_Fill" hidden="1">#REF!</definedName>
    <definedName name="_Order1" hidden="1">255</definedName>
    <definedName name="_Order2" hidden="1">0</definedName>
    <definedName name="_Sort" localSheetId="34" hidden="1">#REF!</definedName>
    <definedName name="_Sort" localSheetId="3" hidden="1">#REF!</definedName>
    <definedName name="_Sort" localSheetId="17" hidden="1">#REF!</definedName>
    <definedName name="_Sort" localSheetId="36" hidden="1">#REF!</definedName>
    <definedName name="_Sort" localSheetId="15" hidden="1">#REF!</definedName>
    <definedName name="_Sort" localSheetId="33" hidden="1">#REF!</definedName>
    <definedName name="_Sort" localSheetId="39" hidden="1">#REF!</definedName>
    <definedName name="_Sort" localSheetId="41" hidden="1">#REF!</definedName>
    <definedName name="_Sort" hidden="1">#REF!</definedName>
    <definedName name="BridgeYear">#REF!</definedName>
    <definedName name="EBNUMBER">#REF!</definedName>
    <definedName name="TestYear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D144" i="3" l="1"/>
  <c r="FD145" i="3"/>
  <c r="FD134" i="3"/>
  <c r="FD135" i="3"/>
  <c r="FD136" i="3"/>
  <c r="FD137" i="3"/>
  <c r="FD138" i="3"/>
  <c r="FD139" i="3"/>
  <c r="FD140" i="3"/>
  <c r="FD141" i="3"/>
  <c r="FD142" i="3"/>
  <c r="FD143" i="3"/>
  <c r="F146" i="33"/>
  <c r="F147" i="33"/>
  <c r="F148" i="33"/>
  <c r="F149" i="33"/>
  <c r="F150" i="33"/>
  <c r="F151" i="33"/>
  <c r="F152" i="33"/>
  <c r="F153" i="33"/>
  <c r="F154" i="33"/>
  <c r="F155" i="33"/>
  <c r="F156" i="33"/>
  <c r="F157" i="33"/>
  <c r="E144" i="32"/>
  <c r="E145" i="32"/>
  <c r="E146" i="32"/>
  <c r="E147" i="32"/>
  <c r="E148" i="32"/>
  <c r="E149" i="32"/>
  <c r="E150" i="32"/>
  <c r="E151" i="32"/>
  <c r="E152" i="32"/>
  <c r="E153" i="32"/>
  <c r="E154" i="32"/>
  <c r="E155" i="32"/>
  <c r="E156" i="32"/>
  <c r="E157" i="32"/>
  <c r="I146" i="31"/>
  <c r="I147" i="31"/>
  <c r="I148" i="31"/>
  <c r="I149" i="31"/>
  <c r="I150" i="31"/>
  <c r="I151" i="31"/>
  <c r="I152" i="31"/>
  <c r="I153" i="31"/>
  <c r="I154" i="31"/>
  <c r="I155" i="31"/>
  <c r="I156" i="31"/>
  <c r="I157" i="31"/>
  <c r="J3" i="31"/>
  <c r="J4" i="31"/>
  <c r="J5" i="31"/>
  <c r="J6" i="31"/>
  <c r="J7" i="31"/>
  <c r="J8" i="31"/>
  <c r="J9" i="31"/>
  <c r="J10" i="31"/>
  <c r="J11" i="31"/>
  <c r="J12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26" i="31"/>
  <c r="J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41" i="31"/>
  <c r="J42" i="31"/>
  <c r="J43" i="31"/>
  <c r="J44" i="31"/>
  <c r="J45" i="31"/>
  <c r="J46" i="31"/>
  <c r="J47" i="31"/>
  <c r="J48" i="31"/>
  <c r="J49" i="31"/>
  <c r="J50" i="31"/>
  <c r="J51" i="31"/>
  <c r="J52" i="31"/>
  <c r="J53" i="31"/>
  <c r="J54" i="31"/>
  <c r="J55" i="31"/>
  <c r="J56" i="31"/>
  <c r="J57" i="31"/>
  <c r="J58" i="31"/>
  <c r="J59" i="31"/>
  <c r="J60" i="31"/>
  <c r="J61" i="31"/>
  <c r="J62" i="31"/>
  <c r="J63" i="31"/>
  <c r="J64" i="31"/>
  <c r="J65" i="31"/>
  <c r="J66" i="31"/>
  <c r="J67" i="31"/>
  <c r="J68" i="31"/>
  <c r="J69" i="31"/>
  <c r="J70" i="31"/>
  <c r="J71" i="31"/>
  <c r="J72" i="31"/>
  <c r="J73" i="31"/>
  <c r="J74" i="31"/>
  <c r="J75" i="31"/>
  <c r="J76" i="31"/>
  <c r="J77" i="31"/>
  <c r="J78" i="31"/>
  <c r="J79" i="31"/>
  <c r="J80" i="31"/>
  <c r="J81" i="31"/>
  <c r="J82" i="31"/>
  <c r="J83" i="31"/>
  <c r="J84" i="31"/>
  <c r="J85" i="31"/>
  <c r="J86" i="31"/>
  <c r="J87" i="31"/>
  <c r="J88" i="31"/>
  <c r="J89" i="31"/>
  <c r="J90" i="31"/>
  <c r="J91" i="31"/>
  <c r="J92" i="31"/>
  <c r="J93" i="31"/>
  <c r="J94" i="31"/>
  <c r="J95" i="31"/>
  <c r="J96" i="31"/>
  <c r="J97" i="31"/>
  <c r="J98" i="31"/>
  <c r="J99" i="31"/>
  <c r="J100" i="31"/>
  <c r="J101" i="31"/>
  <c r="J102" i="31"/>
  <c r="J103" i="31"/>
  <c r="J104" i="31"/>
  <c r="J105" i="31"/>
  <c r="J106" i="31"/>
  <c r="J107" i="31"/>
  <c r="J108" i="31"/>
  <c r="J109" i="31"/>
  <c r="J110" i="31"/>
  <c r="J111" i="31"/>
  <c r="J112" i="31"/>
  <c r="J113" i="31"/>
  <c r="J114" i="31"/>
  <c r="J115" i="31"/>
  <c r="J116" i="31"/>
  <c r="J117" i="31"/>
  <c r="J118" i="31"/>
  <c r="J119" i="31"/>
  <c r="J120" i="31"/>
  <c r="J121" i="31"/>
  <c r="J122" i="31"/>
  <c r="J123" i="31"/>
  <c r="J124" i="31"/>
  <c r="J125" i="31"/>
  <c r="J126" i="31"/>
  <c r="J127" i="31"/>
  <c r="J128" i="31"/>
  <c r="J129" i="31"/>
  <c r="J130" i="31"/>
  <c r="J131" i="31"/>
  <c r="J132" i="31"/>
  <c r="J133" i="31"/>
  <c r="J134" i="31"/>
  <c r="J135" i="31"/>
  <c r="J136" i="31"/>
  <c r="J137" i="31"/>
  <c r="J138" i="31"/>
  <c r="J139" i="31"/>
  <c r="J140" i="31"/>
  <c r="J141" i="31"/>
  <c r="J142" i="31"/>
  <c r="J143" i="31"/>
  <c r="J144" i="31"/>
  <c r="J145" i="31"/>
  <c r="J146" i="31"/>
  <c r="J147" i="31"/>
  <c r="J148" i="31"/>
  <c r="J149" i="31"/>
  <c r="J150" i="31"/>
  <c r="J151" i="31"/>
  <c r="J152" i="31"/>
  <c r="J153" i="31"/>
  <c r="J154" i="31"/>
  <c r="J155" i="31"/>
  <c r="J156" i="31"/>
  <c r="J157" i="31"/>
  <c r="J158" i="31"/>
  <c r="J159" i="31"/>
  <c r="J160" i="31"/>
  <c r="J161" i="31"/>
  <c r="J162" i="31"/>
  <c r="J163" i="31"/>
  <c r="J164" i="31"/>
  <c r="J165" i="31"/>
  <c r="J166" i="31"/>
  <c r="J167" i="31"/>
  <c r="J168" i="31"/>
  <c r="J169" i="31"/>
  <c r="J170" i="31"/>
  <c r="J171" i="31"/>
  <c r="J172" i="31"/>
  <c r="J173" i="31"/>
  <c r="J174" i="31"/>
  <c r="J175" i="31"/>
  <c r="J176" i="31"/>
  <c r="J177" i="31"/>
  <c r="J178" i="31"/>
  <c r="J179" i="31"/>
  <c r="J180" i="31"/>
  <c r="J181" i="31"/>
  <c r="J182" i="31"/>
  <c r="J183" i="31"/>
  <c r="J184" i="31"/>
  <c r="J185" i="31"/>
  <c r="J186" i="31"/>
  <c r="J187" i="31"/>
  <c r="J188" i="31"/>
  <c r="J189" i="31"/>
  <c r="J190" i="31"/>
  <c r="J191" i="31"/>
  <c r="J192" i="31"/>
  <c r="J193" i="31"/>
  <c r="J2" i="31"/>
  <c r="J1" i="31"/>
  <c r="J3" i="20"/>
  <c r="J4" i="20"/>
  <c r="J5" i="20"/>
  <c r="J6" i="20"/>
  <c r="J7" i="20"/>
  <c r="J8" i="20"/>
  <c r="J9" i="20"/>
  <c r="J10" i="20"/>
  <c r="J11" i="20"/>
  <c r="J12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73" i="20"/>
  <c r="J74" i="20"/>
  <c r="J75" i="20"/>
  <c r="J76" i="20"/>
  <c r="J77" i="20"/>
  <c r="J78" i="20"/>
  <c r="J79" i="20"/>
  <c r="J80" i="20"/>
  <c r="J81" i="20"/>
  <c r="J82" i="20"/>
  <c r="J83" i="20"/>
  <c r="J84" i="20"/>
  <c r="J85" i="20"/>
  <c r="J86" i="20"/>
  <c r="J87" i="20"/>
  <c r="J88" i="20"/>
  <c r="J89" i="20"/>
  <c r="J90" i="20"/>
  <c r="J91" i="20"/>
  <c r="J92" i="20"/>
  <c r="J93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107" i="20"/>
  <c r="J108" i="20"/>
  <c r="J109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2" i="20"/>
  <c r="J1" i="20"/>
  <c r="BK15" i="14"/>
  <c r="BK16" i="14"/>
  <c r="BK17" i="14"/>
  <c r="BK18" i="14"/>
  <c r="BK19" i="14"/>
  <c r="BK14" i="14"/>
  <c r="BE15" i="14"/>
  <c r="BE16" i="14"/>
  <c r="BE17" i="14"/>
  <c r="BE18" i="14"/>
  <c r="BE19" i="14"/>
  <c r="BE14" i="14"/>
  <c r="AD15" i="14"/>
  <c r="AD16" i="14"/>
  <c r="AD17" i="14"/>
  <c r="AD18" i="14"/>
  <c r="AD19" i="14"/>
  <c r="AD14" i="14"/>
  <c r="X15" i="14"/>
  <c r="X16" i="14"/>
  <c r="X17" i="14"/>
  <c r="X18" i="14"/>
  <c r="X19" i="14"/>
  <c r="X14" i="14"/>
  <c r="R14" i="14"/>
  <c r="R19" i="14"/>
  <c r="R18" i="14"/>
  <c r="R17" i="14"/>
  <c r="R16" i="14"/>
  <c r="R15" i="14"/>
  <c r="N94" i="41"/>
  <c r="O94" i="41"/>
  <c r="P94" i="41"/>
  <c r="Q94" i="41"/>
  <c r="R94" i="41"/>
  <c r="N95" i="41"/>
  <c r="O95" i="41"/>
  <c r="P95" i="41"/>
  <c r="Q95" i="41"/>
  <c r="R95" i="41"/>
  <c r="AY14" i="14"/>
  <c r="Q24" i="42" l="1" a="1"/>
  <c r="Q24" i="42" s="1"/>
  <c r="Q23" i="42" a="1"/>
  <c r="Q23" i="42" s="1"/>
  <c r="Q22" i="42" a="1"/>
  <c r="Q22" i="42" s="1"/>
  <c r="Q21" i="42" a="1"/>
  <c r="Q21" i="42" s="1"/>
  <c r="Q20" i="42" a="1"/>
  <c r="Q20" i="42" s="1"/>
  <c r="Q19" i="42" a="1"/>
  <c r="Q19" i="42" s="1"/>
  <c r="O3" i="42" s="1"/>
  <c r="AU19" i="14"/>
  <c r="S29" i="42" l="1"/>
  <c r="S21" i="42"/>
  <c r="S22" i="42"/>
  <c r="S23" i="42"/>
  <c r="S24" i="42"/>
  <c r="S25" i="42"/>
  <c r="S26" i="42"/>
  <c r="S19" i="42"/>
  <c r="S20" i="42"/>
  <c r="K156" i="44" l="1"/>
  <c r="P38" i="65" l="1"/>
  <c r="AA38" i="65"/>
  <c r="AL38" i="65"/>
  <c r="AW38" i="65"/>
  <c r="BH38" i="65"/>
  <c r="BS38" i="65"/>
  <c r="CD38" i="65"/>
  <c r="CO38" i="65"/>
  <c r="CZ38" i="65"/>
  <c r="DK38" i="65"/>
  <c r="P39" i="65"/>
  <c r="AA39" i="65"/>
  <c r="AL39" i="65"/>
  <c r="AW39" i="65"/>
  <c r="BH39" i="65"/>
  <c r="BS39" i="65"/>
  <c r="CD39" i="65"/>
  <c r="CO39" i="65"/>
  <c r="CZ39" i="65"/>
  <c r="DK39" i="65"/>
  <c r="P40" i="65"/>
  <c r="AA40" i="65"/>
  <c r="AL40" i="65"/>
  <c r="AW40" i="65"/>
  <c r="BH40" i="65"/>
  <c r="BS40" i="65"/>
  <c r="CD40" i="65"/>
  <c r="CO40" i="65"/>
  <c r="CZ40" i="65"/>
  <c r="DK40" i="65"/>
  <c r="AC23" i="6"/>
  <c r="AC22" i="6"/>
  <c r="AC21" i="6"/>
  <c r="AC16" i="6"/>
  <c r="AC25" i="6"/>
  <c r="AC24" i="6"/>
  <c r="C67" i="73"/>
  <c r="D67" i="73"/>
  <c r="E67" i="73"/>
  <c r="F67" i="73"/>
  <c r="G67" i="73"/>
  <c r="H67" i="73"/>
  <c r="I67" i="73"/>
  <c r="J67" i="73"/>
  <c r="K67" i="73"/>
  <c r="C58" i="73"/>
  <c r="D58" i="73"/>
  <c r="E58" i="73"/>
  <c r="F58" i="73"/>
  <c r="C59" i="73"/>
  <c r="D59" i="73"/>
  <c r="E59" i="73"/>
  <c r="F59" i="73"/>
  <c r="G58" i="73"/>
  <c r="H58" i="73"/>
  <c r="I58" i="73"/>
  <c r="J58" i="73"/>
  <c r="K58" i="73"/>
  <c r="G59" i="73"/>
  <c r="H59" i="73"/>
  <c r="I59" i="73"/>
  <c r="J59" i="73"/>
  <c r="K59" i="73"/>
  <c r="T27" i="40"/>
  <c r="T26" i="40"/>
  <c r="T25" i="40"/>
  <c r="T24" i="40"/>
  <c r="T23" i="40"/>
  <c r="T22" i="40"/>
  <c r="T21" i="40"/>
  <c r="T20" i="40"/>
  <c r="T19" i="40"/>
  <c r="T18" i="40"/>
  <c r="AB27" i="40"/>
  <c r="AB26" i="40"/>
  <c r="AB25" i="40"/>
  <c r="AB24" i="40"/>
  <c r="AB23" i="40"/>
  <c r="AB22" i="40"/>
  <c r="AB21" i="40"/>
  <c r="AB20" i="40"/>
  <c r="AB19" i="40"/>
  <c r="AB18" i="40"/>
  <c r="BH19" i="40"/>
  <c r="BH20" i="40"/>
  <c r="BH21" i="40"/>
  <c r="BH22" i="40"/>
  <c r="BH23" i="40"/>
  <c r="BH24" i="40"/>
  <c r="BH25" i="40"/>
  <c r="BH26" i="40"/>
  <c r="BH27" i="40"/>
  <c r="BH18" i="40"/>
  <c r="R112" i="73"/>
  <c r="Q112" i="73"/>
  <c r="P112" i="73"/>
  <c r="O112" i="73"/>
  <c r="N112" i="73"/>
  <c r="M112" i="73"/>
  <c r="L112" i="73"/>
  <c r="K112" i="73"/>
  <c r="J112" i="73"/>
  <c r="I112" i="73"/>
  <c r="H112" i="73"/>
  <c r="G112" i="73"/>
  <c r="F112" i="73"/>
  <c r="E112" i="73"/>
  <c r="D112" i="73"/>
  <c r="C112" i="73"/>
  <c r="R111" i="73"/>
  <c r="Q111" i="73"/>
  <c r="P111" i="73"/>
  <c r="O111" i="73"/>
  <c r="N111" i="73"/>
  <c r="M111" i="73"/>
  <c r="L111" i="73"/>
  <c r="K111" i="73"/>
  <c r="J111" i="73"/>
  <c r="I111" i="73"/>
  <c r="H111" i="73"/>
  <c r="G111" i="73"/>
  <c r="F111" i="73"/>
  <c r="E111" i="73"/>
  <c r="D111" i="73"/>
  <c r="C111" i="73"/>
  <c r="R110" i="73"/>
  <c r="Q110" i="73"/>
  <c r="P110" i="73"/>
  <c r="O110" i="73"/>
  <c r="N110" i="73"/>
  <c r="M110" i="73"/>
  <c r="L110" i="73"/>
  <c r="K110" i="73"/>
  <c r="J110" i="73"/>
  <c r="I110" i="73"/>
  <c r="H110" i="73"/>
  <c r="G110" i="73"/>
  <c r="F110" i="73"/>
  <c r="E110" i="73"/>
  <c r="D110" i="73"/>
  <c r="C110" i="73"/>
  <c r="L109" i="73"/>
  <c r="K109" i="73"/>
  <c r="J109" i="73"/>
  <c r="I109" i="73"/>
  <c r="H109" i="73"/>
  <c r="G109" i="73"/>
  <c r="F109" i="73"/>
  <c r="E109" i="73"/>
  <c r="D109" i="73"/>
  <c r="C109" i="73"/>
  <c r="L108" i="73"/>
  <c r="K108" i="73"/>
  <c r="J108" i="73"/>
  <c r="I108" i="73"/>
  <c r="H108" i="73"/>
  <c r="G108" i="73"/>
  <c r="F108" i="73"/>
  <c r="E108" i="73"/>
  <c r="D108" i="73"/>
  <c r="C108" i="73"/>
  <c r="L107" i="73"/>
  <c r="K107" i="73"/>
  <c r="J107" i="73"/>
  <c r="I107" i="73"/>
  <c r="H107" i="73"/>
  <c r="G107" i="73"/>
  <c r="F107" i="73"/>
  <c r="E107" i="73"/>
  <c r="D107" i="73"/>
  <c r="C107" i="73"/>
  <c r="L106" i="73"/>
  <c r="K106" i="73"/>
  <c r="J106" i="73"/>
  <c r="I106" i="73"/>
  <c r="H106" i="73"/>
  <c r="G106" i="73"/>
  <c r="F106" i="73"/>
  <c r="E106" i="73"/>
  <c r="D106" i="73"/>
  <c r="C106" i="73"/>
  <c r="R101" i="73"/>
  <c r="Q101" i="73"/>
  <c r="P101" i="73"/>
  <c r="O101" i="73"/>
  <c r="N101" i="73"/>
  <c r="M101" i="73"/>
  <c r="L101" i="73"/>
  <c r="K101" i="73"/>
  <c r="J101" i="73"/>
  <c r="I101" i="73"/>
  <c r="H101" i="73"/>
  <c r="G101" i="73"/>
  <c r="F101" i="73"/>
  <c r="E101" i="73"/>
  <c r="D101" i="73"/>
  <c r="C101" i="73"/>
  <c r="R100" i="73"/>
  <c r="Q100" i="73"/>
  <c r="P100" i="73"/>
  <c r="O100" i="73"/>
  <c r="N100" i="73"/>
  <c r="M100" i="73"/>
  <c r="L100" i="73"/>
  <c r="K100" i="73"/>
  <c r="J100" i="73"/>
  <c r="I100" i="73"/>
  <c r="H100" i="73"/>
  <c r="G100" i="73"/>
  <c r="F100" i="73"/>
  <c r="E100" i="73"/>
  <c r="D100" i="73"/>
  <c r="C100" i="73"/>
  <c r="R99" i="73"/>
  <c r="Q99" i="73"/>
  <c r="P99" i="73"/>
  <c r="O99" i="73"/>
  <c r="N99" i="73"/>
  <c r="M99" i="73"/>
  <c r="L99" i="73"/>
  <c r="K99" i="73"/>
  <c r="J99" i="73"/>
  <c r="I99" i="73"/>
  <c r="H99" i="73"/>
  <c r="G99" i="73"/>
  <c r="F99" i="73"/>
  <c r="E99" i="73"/>
  <c r="D99" i="73"/>
  <c r="C99" i="73"/>
  <c r="L98" i="73"/>
  <c r="K98" i="73"/>
  <c r="J98" i="73"/>
  <c r="I98" i="73"/>
  <c r="H98" i="73"/>
  <c r="G98" i="73"/>
  <c r="F98" i="73"/>
  <c r="E98" i="73"/>
  <c r="D98" i="73"/>
  <c r="C98" i="73"/>
  <c r="L97" i="73"/>
  <c r="K97" i="73"/>
  <c r="J97" i="73"/>
  <c r="I97" i="73"/>
  <c r="H97" i="73"/>
  <c r="G97" i="73"/>
  <c r="F97" i="73"/>
  <c r="E97" i="73"/>
  <c r="D97" i="73"/>
  <c r="C97" i="73"/>
  <c r="L96" i="73"/>
  <c r="K96" i="73"/>
  <c r="J96" i="73"/>
  <c r="I96" i="73"/>
  <c r="H96" i="73"/>
  <c r="G96" i="73"/>
  <c r="F96" i="73"/>
  <c r="E96" i="73"/>
  <c r="D96" i="73"/>
  <c r="C96" i="73"/>
  <c r="R95" i="73"/>
  <c r="Q95" i="73"/>
  <c r="P95" i="73"/>
  <c r="O95" i="73"/>
  <c r="N95" i="73"/>
  <c r="M95" i="73"/>
  <c r="L95" i="73"/>
  <c r="K95" i="73"/>
  <c r="J95" i="73"/>
  <c r="I95" i="73"/>
  <c r="H95" i="73"/>
  <c r="G95" i="73"/>
  <c r="F95" i="73"/>
  <c r="E95" i="73"/>
  <c r="D95" i="73"/>
  <c r="C95" i="73"/>
  <c r="R94" i="73"/>
  <c r="Q94" i="73"/>
  <c r="P94" i="73"/>
  <c r="O94" i="73"/>
  <c r="N94" i="73"/>
  <c r="M94" i="73"/>
  <c r="L94" i="73"/>
  <c r="K94" i="73"/>
  <c r="J94" i="73"/>
  <c r="I94" i="73"/>
  <c r="H94" i="73"/>
  <c r="G94" i="73"/>
  <c r="F94" i="73"/>
  <c r="E94" i="73"/>
  <c r="D94" i="73"/>
  <c r="C94" i="73"/>
  <c r="L93" i="73"/>
  <c r="K93" i="73"/>
  <c r="J93" i="73"/>
  <c r="I93" i="73"/>
  <c r="H93" i="73"/>
  <c r="G93" i="73"/>
  <c r="F93" i="73"/>
  <c r="E93" i="73"/>
  <c r="D93" i="73"/>
  <c r="C93" i="73"/>
  <c r="C132" i="41"/>
  <c r="N110" i="41"/>
  <c r="O110" i="41"/>
  <c r="P110" i="41"/>
  <c r="Q110" i="41"/>
  <c r="R110" i="41"/>
  <c r="N111" i="41"/>
  <c r="O111" i="41"/>
  <c r="P111" i="41"/>
  <c r="Q111" i="41"/>
  <c r="R111" i="41"/>
  <c r="N112" i="41"/>
  <c r="O112" i="41"/>
  <c r="P112" i="41"/>
  <c r="Q112" i="41"/>
  <c r="R112" i="41"/>
  <c r="M112" i="41"/>
  <c r="M111" i="41"/>
  <c r="M110" i="41"/>
  <c r="H106" i="41"/>
  <c r="N99" i="41"/>
  <c r="O99" i="41"/>
  <c r="P99" i="41"/>
  <c r="Q99" i="41"/>
  <c r="R99" i="41"/>
  <c r="N100" i="41"/>
  <c r="O100" i="41"/>
  <c r="P100" i="41"/>
  <c r="Q100" i="41"/>
  <c r="R100" i="41"/>
  <c r="N101" i="41"/>
  <c r="O101" i="41"/>
  <c r="P101" i="41"/>
  <c r="Q101" i="41"/>
  <c r="R101" i="41"/>
  <c r="M101" i="41"/>
  <c r="M100" i="41"/>
  <c r="M99" i="41"/>
  <c r="M95" i="41"/>
  <c r="M94" i="41"/>
  <c r="L101" i="41"/>
  <c r="D106" i="41"/>
  <c r="E106" i="41"/>
  <c r="F106" i="41"/>
  <c r="G106" i="41"/>
  <c r="I106" i="41"/>
  <c r="J106" i="41"/>
  <c r="K106" i="41"/>
  <c r="L106" i="41"/>
  <c r="D107" i="41"/>
  <c r="E107" i="41"/>
  <c r="F107" i="41"/>
  <c r="G107" i="41"/>
  <c r="H107" i="41"/>
  <c r="I107" i="41"/>
  <c r="J107" i="41"/>
  <c r="K107" i="41"/>
  <c r="L107" i="41"/>
  <c r="D108" i="41"/>
  <c r="E108" i="41"/>
  <c r="F108" i="41"/>
  <c r="G108" i="41"/>
  <c r="H108" i="41"/>
  <c r="I108" i="41"/>
  <c r="J108" i="41"/>
  <c r="K108" i="41"/>
  <c r="L108" i="41"/>
  <c r="D109" i="41"/>
  <c r="E109" i="41"/>
  <c r="F109" i="41"/>
  <c r="G109" i="41"/>
  <c r="H109" i="41"/>
  <c r="I109" i="41"/>
  <c r="J109" i="41"/>
  <c r="K109" i="41"/>
  <c r="L109" i="41"/>
  <c r="D110" i="41"/>
  <c r="E110" i="41"/>
  <c r="F110" i="41"/>
  <c r="G110" i="41"/>
  <c r="H110" i="41"/>
  <c r="I110" i="41"/>
  <c r="J110" i="41"/>
  <c r="K110" i="41"/>
  <c r="L110" i="41"/>
  <c r="D111" i="41"/>
  <c r="E111" i="41"/>
  <c r="F111" i="41"/>
  <c r="G111" i="41"/>
  <c r="H111" i="41"/>
  <c r="I111" i="41"/>
  <c r="J111" i="41"/>
  <c r="K111" i="41"/>
  <c r="L111" i="41"/>
  <c r="D112" i="41"/>
  <c r="E112" i="41"/>
  <c r="F112" i="41"/>
  <c r="G112" i="41"/>
  <c r="H112" i="41"/>
  <c r="I112" i="41"/>
  <c r="J112" i="41"/>
  <c r="K112" i="41"/>
  <c r="L112" i="41"/>
  <c r="C112" i="41"/>
  <c r="C111" i="41"/>
  <c r="C110" i="41"/>
  <c r="C109" i="41"/>
  <c r="C108" i="41"/>
  <c r="C107" i="41"/>
  <c r="C106" i="41"/>
  <c r="D93" i="41"/>
  <c r="E93" i="41"/>
  <c r="F93" i="41"/>
  <c r="G93" i="41"/>
  <c r="H93" i="41"/>
  <c r="I93" i="41"/>
  <c r="J93" i="41"/>
  <c r="K93" i="41"/>
  <c r="L93" i="41"/>
  <c r="D94" i="41"/>
  <c r="E94" i="41"/>
  <c r="F94" i="41"/>
  <c r="G94" i="41"/>
  <c r="H94" i="41"/>
  <c r="I94" i="41"/>
  <c r="J94" i="41"/>
  <c r="K94" i="41"/>
  <c r="L94" i="41"/>
  <c r="D95" i="41"/>
  <c r="E95" i="41"/>
  <c r="F95" i="41"/>
  <c r="G95" i="41"/>
  <c r="H95" i="41"/>
  <c r="I95" i="41"/>
  <c r="J95" i="41"/>
  <c r="K95" i="41"/>
  <c r="L95" i="41"/>
  <c r="D96" i="41"/>
  <c r="E96" i="41"/>
  <c r="F96" i="41"/>
  <c r="G96" i="41"/>
  <c r="H96" i="41"/>
  <c r="I96" i="41"/>
  <c r="J96" i="41"/>
  <c r="K96" i="41"/>
  <c r="L96" i="41"/>
  <c r="D97" i="41"/>
  <c r="E97" i="41"/>
  <c r="F97" i="41"/>
  <c r="G97" i="41"/>
  <c r="H97" i="41"/>
  <c r="I97" i="41"/>
  <c r="J97" i="41"/>
  <c r="K97" i="41"/>
  <c r="L97" i="41"/>
  <c r="D98" i="41"/>
  <c r="E98" i="41"/>
  <c r="F98" i="41"/>
  <c r="G98" i="41"/>
  <c r="H98" i="41"/>
  <c r="I98" i="41"/>
  <c r="J98" i="41"/>
  <c r="K98" i="41"/>
  <c r="L98" i="41"/>
  <c r="D99" i="41"/>
  <c r="E99" i="41"/>
  <c r="F99" i="41"/>
  <c r="G99" i="41"/>
  <c r="H99" i="41"/>
  <c r="I99" i="41"/>
  <c r="J99" i="41"/>
  <c r="K99" i="41"/>
  <c r="L99" i="41"/>
  <c r="D100" i="41"/>
  <c r="E100" i="41"/>
  <c r="F100" i="41"/>
  <c r="G100" i="41"/>
  <c r="H100" i="41"/>
  <c r="I100" i="41"/>
  <c r="J100" i="41"/>
  <c r="K100" i="41"/>
  <c r="L100" i="41"/>
  <c r="D101" i="41"/>
  <c r="E101" i="41"/>
  <c r="F101" i="41"/>
  <c r="G101" i="41"/>
  <c r="H101" i="41"/>
  <c r="I101" i="41"/>
  <c r="J101" i="41"/>
  <c r="K101" i="41"/>
  <c r="C101" i="41"/>
  <c r="C100" i="41"/>
  <c r="C99" i="41"/>
  <c r="C98" i="41"/>
  <c r="C97" i="41"/>
  <c r="C96" i="41"/>
  <c r="C95" i="41"/>
  <c r="C94" i="41"/>
  <c r="C93" i="41"/>
  <c r="D15" i="14"/>
  <c r="D16" i="14"/>
  <c r="D17" i="14"/>
  <c r="D18" i="14"/>
  <c r="D14" i="14"/>
  <c r="H5" i="27"/>
  <c r="N5" i="27" s="1"/>
  <c r="C102" i="73" l="1"/>
  <c r="J113" i="73"/>
  <c r="K113" i="73"/>
  <c r="D102" i="73"/>
  <c r="I113" i="73"/>
  <c r="C113" i="73"/>
  <c r="E113" i="73"/>
  <c r="H102" i="73"/>
  <c r="L102" i="73"/>
  <c r="F113" i="73"/>
  <c r="J102" i="73"/>
  <c r="G113" i="73"/>
  <c r="H113" i="73"/>
  <c r="I102" i="73"/>
  <c r="K102" i="73"/>
  <c r="D113" i="73"/>
  <c r="F102" i="73"/>
  <c r="L113" i="73"/>
  <c r="E102" i="73"/>
  <c r="G102" i="73"/>
  <c r="Q27" i="42" l="1" a="1"/>
  <c r="Q27" i="42" s="1"/>
  <c r="G44" i="42" l="1"/>
  <c r="G43" i="42"/>
  <c r="G42" i="42"/>
  <c r="G41" i="42"/>
  <c r="AC42" i="8" l="1"/>
  <c r="AD42" i="8"/>
  <c r="AE42" i="8"/>
  <c r="AF42" i="8"/>
  <c r="AG42" i="8"/>
  <c r="AH42" i="8"/>
  <c r="AC43" i="8"/>
  <c r="AD43" i="8"/>
  <c r="AE43" i="8"/>
  <c r="AF43" i="8"/>
  <c r="AG43" i="8"/>
  <c r="AH43" i="8"/>
  <c r="AC44" i="8"/>
  <c r="AD44" i="8"/>
  <c r="AE44" i="8"/>
  <c r="AF44" i="8"/>
  <c r="AG44" i="8"/>
  <c r="AH44" i="8"/>
  <c r="AH13" i="8"/>
  <c r="AH14" i="8"/>
  <c r="AH15" i="8"/>
  <c r="AG13" i="8"/>
  <c r="AG14" i="8"/>
  <c r="AG15" i="8"/>
  <c r="AF13" i="8"/>
  <c r="AF14" i="8"/>
  <c r="AF15" i="8"/>
  <c r="AE13" i="8"/>
  <c r="AE14" i="8"/>
  <c r="AE15" i="8"/>
  <c r="AC13" i="8"/>
  <c r="AD13" i="8"/>
  <c r="AC14" i="8"/>
  <c r="AD14" i="8"/>
  <c r="AC15" i="8"/>
  <c r="AD15" i="8"/>
  <c r="AO56" i="14"/>
  <c r="AC14" i="6" l="1"/>
  <c r="C125" i="7"/>
  <c r="E99" i="7"/>
  <c r="F99" i="7"/>
  <c r="G99" i="7"/>
  <c r="D99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4" i="7"/>
  <c r="BH18" i="7"/>
  <c r="BK18" i="7" s="1"/>
  <c r="BJ18" i="7"/>
  <c r="BJ14" i="7"/>
  <c r="BK14" i="7" s="1"/>
  <c r="BJ15" i="7"/>
  <c r="BK15" i="7" s="1"/>
  <c r="BJ16" i="7"/>
  <c r="BK16" i="7"/>
  <c r="BJ17" i="7"/>
  <c r="BK17" i="7" s="1"/>
  <c r="BJ13" i="7"/>
  <c r="BK13" i="7" s="1"/>
  <c r="BK5" i="7"/>
  <c r="BK6" i="7"/>
  <c r="BK7" i="7"/>
  <c r="BK8" i="7"/>
  <c r="BK4" i="7"/>
  <c r="BJ5" i="7"/>
  <c r="BJ6" i="7"/>
  <c r="BJ7" i="7"/>
  <c r="BJ8" i="7"/>
  <c r="BJ4" i="7"/>
  <c r="AS111" i="2"/>
  <c r="AS112" i="2"/>
  <c r="AS113" i="2"/>
  <c r="AS114" i="2"/>
  <c r="AS115" i="2"/>
  <c r="AS116" i="2"/>
  <c r="AS117" i="2"/>
  <c r="AS118" i="2"/>
  <c r="AS119" i="2"/>
  <c r="AS120" i="2"/>
  <c r="AS121" i="2"/>
  <c r="AS110" i="2"/>
  <c r="N48" i="10" l="1"/>
  <c r="N53" i="10"/>
  <c r="N58" i="10"/>
  <c r="N16" i="10" l="1"/>
  <c r="N21" i="10"/>
  <c r="N26" i="10"/>
  <c r="L65" i="10"/>
  <c r="K65" i="10"/>
  <c r="J65" i="10"/>
  <c r="I65" i="10"/>
  <c r="H65" i="10"/>
  <c r="G65" i="10"/>
  <c r="F65" i="10"/>
  <c r="L56" i="10"/>
  <c r="K56" i="10"/>
  <c r="J56" i="10"/>
  <c r="I56" i="10"/>
  <c r="H56" i="10"/>
  <c r="G56" i="10"/>
  <c r="F56" i="10"/>
  <c r="L51" i="10"/>
  <c r="K51" i="10"/>
  <c r="J51" i="10"/>
  <c r="I51" i="10"/>
  <c r="H51" i="10"/>
  <c r="G51" i="10"/>
  <c r="F51" i="10"/>
  <c r="L46" i="10"/>
  <c r="K46" i="10"/>
  <c r="J46" i="10"/>
  <c r="I46" i="10"/>
  <c r="H46" i="10"/>
  <c r="G46" i="10"/>
  <c r="F46" i="10"/>
  <c r="L43" i="10"/>
  <c r="K43" i="10"/>
  <c r="J43" i="10"/>
  <c r="I43" i="10"/>
  <c r="H43" i="10"/>
  <c r="G43" i="10"/>
  <c r="F43" i="10"/>
  <c r="L33" i="10"/>
  <c r="K33" i="10"/>
  <c r="J33" i="10"/>
  <c r="I33" i="10"/>
  <c r="H33" i="10"/>
  <c r="G33" i="10"/>
  <c r="F33" i="10"/>
  <c r="L24" i="10"/>
  <c r="K24" i="10"/>
  <c r="J24" i="10"/>
  <c r="I24" i="10"/>
  <c r="H24" i="10"/>
  <c r="G24" i="10"/>
  <c r="F24" i="10"/>
  <c r="L19" i="10"/>
  <c r="K19" i="10"/>
  <c r="J19" i="10"/>
  <c r="I19" i="10"/>
  <c r="H19" i="10"/>
  <c r="G19" i="10"/>
  <c r="F19" i="10"/>
  <c r="L14" i="10"/>
  <c r="K14" i="10"/>
  <c r="J14" i="10"/>
  <c r="I14" i="10"/>
  <c r="H14" i="10"/>
  <c r="G14" i="10"/>
  <c r="F14" i="10"/>
  <c r="L11" i="10"/>
  <c r="K11" i="10"/>
  <c r="J11" i="10"/>
  <c r="I11" i="10"/>
  <c r="H11" i="10"/>
  <c r="G11" i="10"/>
  <c r="F11" i="10"/>
  <c r="M75" i="51"/>
  <c r="N48" i="51"/>
  <c r="N53" i="51"/>
  <c r="N58" i="51"/>
  <c r="N16" i="51"/>
  <c r="N21" i="51"/>
  <c r="N26" i="51"/>
  <c r="L65" i="51"/>
  <c r="K65" i="51"/>
  <c r="J65" i="51"/>
  <c r="I65" i="51"/>
  <c r="H65" i="51"/>
  <c r="G65" i="51"/>
  <c r="F65" i="51"/>
  <c r="L56" i="51"/>
  <c r="K56" i="51"/>
  <c r="J56" i="51"/>
  <c r="I56" i="51"/>
  <c r="H56" i="51"/>
  <c r="G56" i="51"/>
  <c r="F56" i="51"/>
  <c r="L51" i="51"/>
  <c r="K51" i="51"/>
  <c r="J51" i="51"/>
  <c r="I51" i="51"/>
  <c r="H51" i="51"/>
  <c r="G51" i="51"/>
  <c r="F51" i="51"/>
  <c r="L46" i="51"/>
  <c r="K46" i="51"/>
  <c r="J46" i="51"/>
  <c r="I46" i="51"/>
  <c r="H46" i="51"/>
  <c r="G46" i="51"/>
  <c r="F46" i="51"/>
  <c r="L43" i="51"/>
  <c r="K43" i="51"/>
  <c r="J43" i="51"/>
  <c r="I43" i="51"/>
  <c r="H43" i="51"/>
  <c r="G43" i="51"/>
  <c r="F43" i="51"/>
  <c r="L33" i="51"/>
  <c r="K33" i="51"/>
  <c r="J33" i="51"/>
  <c r="I33" i="51"/>
  <c r="H33" i="51"/>
  <c r="G33" i="51"/>
  <c r="F33" i="51"/>
  <c r="L24" i="51"/>
  <c r="K24" i="51"/>
  <c r="J24" i="51"/>
  <c r="I24" i="51"/>
  <c r="H24" i="51"/>
  <c r="G24" i="51"/>
  <c r="F24" i="51"/>
  <c r="L19" i="51"/>
  <c r="K19" i="51"/>
  <c r="J19" i="51"/>
  <c r="I19" i="51"/>
  <c r="H19" i="51"/>
  <c r="G19" i="51"/>
  <c r="F19" i="51"/>
  <c r="L14" i="51"/>
  <c r="K14" i="51"/>
  <c r="J14" i="51"/>
  <c r="I14" i="51"/>
  <c r="H14" i="51"/>
  <c r="G14" i="51"/>
  <c r="F14" i="51"/>
  <c r="L11" i="51"/>
  <c r="K11" i="51"/>
  <c r="J11" i="51"/>
  <c r="I11" i="51"/>
  <c r="H11" i="51"/>
  <c r="G11" i="51"/>
  <c r="F11" i="51"/>
  <c r="A262" i="65"/>
  <c r="B262" i="65"/>
  <c r="C262" i="65"/>
  <c r="A252" i="65"/>
  <c r="B252" i="65"/>
  <c r="C252" i="65"/>
  <c r="A253" i="65"/>
  <c r="B253" i="65"/>
  <c r="C253" i="65"/>
  <c r="A254" i="65"/>
  <c r="B254" i="65"/>
  <c r="C254" i="65"/>
  <c r="A255" i="65"/>
  <c r="B255" i="65"/>
  <c r="C255" i="65"/>
  <c r="A256" i="65"/>
  <c r="B256" i="65"/>
  <c r="C256" i="65"/>
  <c r="A257" i="65"/>
  <c r="B257" i="65"/>
  <c r="C257" i="65"/>
  <c r="A258" i="65"/>
  <c r="B258" i="65"/>
  <c r="C258" i="65"/>
  <c r="A259" i="65"/>
  <c r="B259" i="65"/>
  <c r="C259" i="65"/>
  <c r="A260" i="65"/>
  <c r="B260" i="65"/>
  <c r="C260" i="65"/>
  <c r="A261" i="65"/>
  <c r="B261" i="65"/>
  <c r="C261" i="65"/>
  <c r="B251" i="65"/>
  <c r="C251" i="65"/>
  <c r="A251" i="65"/>
  <c r="E139" i="65"/>
  <c r="F139" i="65"/>
  <c r="M33" i="10" s="1"/>
  <c r="G139" i="65"/>
  <c r="H139" i="65"/>
  <c r="I139" i="65"/>
  <c r="J139" i="65"/>
  <c r="K139" i="65"/>
  <c r="M65" i="51" s="1"/>
  <c r="L139" i="65"/>
  <c r="M139" i="65"/>
  <c r="N139" i="65"/>
  <c r="O139" i="65"/>
  <c r="P139" i="65"/>
  <c r="Q139" i="65"/>
  <c r="R139" i="65"/>
  <c r="S139" i="65"/>
  <c r="T139" i="65"/>
  <c r="U139" i="65"/>
  <c r="V139" i="65"/>
  <c r="W139" i="65"/>
  <c r="X139" i="65"/>
  <c r="Y139" i="65"/>
  <c r="Z139" i="65"/>
  <c r="AA139" i="65"/>
  <c r="AB139" i="65"/>
  <c r="AC139" i="65"/>
  <c r="AD139" i="65"/>
  <c r="AE139" i="65"/>
  <c r="AF139" i="65"/>
  <c r="AG139" i="65"/>
  <c r="AH139" i="65"/>
  <c r="AI139" i="65"/>
  <c r="AJ139" i="65"/>
  <c r="AK139" i="65"/>
  <c r="AL139" i="65"/>
  <c r="EH139" i="65" s="1"/>
  <c r="AM139" i="65"/>
  <c r="EI139" i="65" s="1"/>
  <c r="M11" i="10" s="1"/>
  <c r="AN139" i="65"/>
  <c r="EJ139" i="65" s="1"/>
  <c r="AO139" i="65"/>
  <c r="EK139" i="65" s="1"/>
  <c r="M24" i="10" s="1"/>
  <c r="AP139" i="65"/>
  <c r="EL139" i="65" s="1"/>
  <c r="AQ139" i="65"/>
  <c r="EM139" i="65" s="1"/>
  <c r="M19" i="10" s="1"/>
  <c r="AR139" i="65"/>
  <c r="EN139" i="65" s="1"/>
  <c r="M43" i="10" s="1"/>
  <c r="AS139" i="65"/>
  <c r="EO139" i="65" s="1"/>
  <c r="M46" i="10" s="1"/>
  <c r="AT139" i="65"/>
  <c r="EP139" i="65" s="1"/>
  <c r="M56" i="10" s="1"/>
  <c r="AU139" i="65"/>
  <c r="EQ139" i="65" s="1"/>
  <c r="AV139" i="65"/>
  <c r="ER139" i="65" s="1"/>
  <c r="M51" i="10" s="1"/>
  <c r="AW139" i="65"/>
  <c r="AX139" i="65"/>
  <c r="AY139" i="65"/>
  <c r="AZ139" i="65"/>
  <c r="BA139" i="65"/>
  <c r="BB139" i="65"/>
  <c r="BC139" i="65"/>
  <c r="BD139" i="65"/>
  <c r="BE139" i="65"/>
  <c r="BF139" i="65"/>
  <c r="BG139" i="65"/>
  <c r="BH139" i="65"/>
  <c r="BI139" i="65"/>
  <c r="BJ139" i="65"/>
  <c r="BK139" i="65"/>
  <c r="BL139" i="65"/>
  <c r="BM139" i="65"/>
  <c r="BN139" i="65"/>
  <c r="BO139" i="65"/>
  <c r="BP139" i="65"/>
  <c r="BQ139" i="65"/>
  <c r="BR139" i="65"/>
  <c r="BS139" i="65"/>
  <c r="BT139" i="65"/>
  <c r="BU139" i="65"/>
  <c r="BV139" i="65"/>
  <c r="BW139" i="65"/>
  <c r="BX139" i="65"/>
  <c r="BY139" i="65"/>
  <c r="BZ139" i="65"/>
  <c r="CA139" i="65"/>
  <c r="CB139" i="65"/>
  <c r="CC139" i="65"/>
  <c r="CD139" i="65"/>
  <c r="CE139" i="65"/>
  <c r="CF139" i="65"/>
  <c r="CG139" i="65"/>
  <c r="CH139" i="65"/>
  <c r="CI139" i="65"/>
  <c r="CJ139" i="65"/>
  <c r="CK139" i="65"/>
  <c r="CL139" i="65"/>
  <c r="CM139" i="65"/>
  <c r="CN139" i="65"/>
  <c r="CO139" i="65"/>
  <c r="CP139" i="65"/>
  <c r="CQ139" i="65"/>
  <c r="CR139" i="65"/>
  <c r="CS139" i="65"/>
  <c r="CT139" i="65"/>
  <c r="CU139" i="65"/>
  <c r="CV139" i="65"/>
  <c r="CW139" i="65"/>
  <c r="CX139" i="65"/>
  <c r="CY139" i="65"/>
  <c r="CZ139" i="65"/>
  <c r="DA139" i="65"/>
  <c r="DB139" i="65"/>
  <c r="DC139" i="65"/>
  <c r="DD139" i="65"/>
  <c r="DE139" i="65"/>
  <c r="DF139" i="65"/>
  <c r="DG139" i="65"/>
  <c r="DH139" i="65"/>
  <c r="DI139" i="65"/>
  <c r="DJ139" i="65"/>
  <c r="DK139" i="65"/>
  <c r="DL139" i="65"/>
  <c r="DM139" i="65"/>
  <c r="DN139" i="65"/>
  <c r="DO139" i="65"/>
  <c r="DP139" i="65"/>
  <c r="DQ139" i="65"/>
  <c r="DR139" i="65"/>
  <c r="DS139" i="65"/>
  <c r="DT139" i="65"/>
  <c r="DU139" i="65"/>
  <c r="E140" i="65"/>
  <c r="F140" i="65"/>
  <c r="G140" i="65"/>
  <c r="H140" i="65"/>
  <c r="I140" i="65"/>
  <c r="J140" i="65"/>
  <c r="K140" i="65"/>
  <c r="L140" i="65"/>
  <c r="M140" i="65"/>
  <c r="N140" i="65"/>
  <c r="O140" i="65"/>
  <c r="Q140" i="65"/>
  <c r="R140" i="65"/>
  <c r="S140" i="65"/>
  <c r="T140" i="65"/>
  <c r="U140" i="65"/>
  <c r="V140" i="65"/>
  <c r="W140" i="65"/>
  <c r="X140" i="65"/>
  <c r="Y140" i="65"/>
  <c r="Z140" i="65"/>
  <c r="AB140" i="65"/>
  <c r="AC140" i="65"/>
  <c r="AD140" i="65"/>
  <c r="AE140" i="65"/>
  <c r="AF140" i="65"/>
  <c r="AG140" i="65"/>
  <c r="AH140" i="65"/>
  <c r="AI140" i="65"/>
  <c r="AJ140" i="65"/>
  <c r="AK140" i="65"/>
  <c r="AM140" i="65"/>
  <c r="EI140" i="65" s="1"/>
  <c r="AN140" i="65"/>
  <c r="EJ140" i="65" s="1"/>
  <c r="AO140" i="65"/>
  <c r="EK140" i="65" s="1"/>
  <c r="AP140" i="65"/>
  <c r="EL140" i="65" s="1"/>
  <c r="AQ140" i="65"/>
  <c r="EM140" i="65" s="1"/>
  <c r="AR140" i="65"/>
  <c r="EN140" i="65" s="1"/>
  <c r="AS140" i="65"/>
  <c r="EO140" i="65" s="1"/>
  <c r="AT140" i="65"/>
  <c r="EP140" i="65" s="1"/>
  <c r="AU140" i="65"/>
  <c r="EQ140" i="65" s="1"/>
  <c r="AV140" i="65"/>
  <c r="ER140" i="65" s="1"/>
  <c r="AX140" i="65"/>
  <c r="AY140" i="65"/>
  <c r="AZ140" i="65"/>
  <c r="BA140" i="65"/>
  <c r="BB140" i="65"/>
  <c r="BC140" i="65"/>
  <c r="BD140" i="65"/>
  <c r="BE140" i="65"/>
  <c r="BF140" i="65"/>
  <c r="BG140" i="65"/>
  <c r="BI140" i="65"/>
  <c r="BJ140" i="65"/>
  <c r="BK140" i="65"/>
  <c r="BL140" i="65"/>
  <c r="BM140" i="65"/>
  <c r="BN140" i="65"/>
  <c r="BO140" i="65"/>
  <c r="BP140" i="65"/>
  <c r="BQ140" i="65"/>
  <c r="BR140" i="65"/>
  <c r="BT140" i="65"/>
  <c r="BU140" i="65"/>
  <c r="BV140" i="65"/>
  <c r="BW140" i="65"/>
  <c r="BX140" i="65"/>
  <c r="BY140" i="65"/>
  <c r="BZ140" i="65"/>
  <c r="CA140" i="65"/>
  <c r="CB140" i="65"/>
  <c r="CC140" i="65"/>
  <c r="CE140" i="65"/>
  <c r="CF140" i="65"/>
  <c r="CG140" i="65"/>
  <c r="CH140" i="65"/>
  <c r="CI140" i="65"/>
  <c r="CJ140" i="65"/>
  <c r="CK140" i="65"/>
  <c r="CL140" i="65"/>
  <c r="CM140" i="65"/>
  <c r="CN140" i="65"/>
  <c r="CP140" i="65"/>
  <c r="CQ140" i="65"/>
  <c r="CR140" i="65"/>
  <c r="CS140" i="65"/>
  <c r="CT140" i="65"/>
  <c r="CU140" i="65"/>
  <c r="CV140" i="65"/>
  <c r="CW140" i="65"/>
  <c r="CX140" i="65"/>
  <c r="CY140" i="65"/>
  <c r="DA140" i="65"/>
  <c r="DB140" i="65"/>
  <c r="DC140" i="65"/>
  <c r="DD140" i="65"/>
  <c r="DE140" i="65"/>
  <c r="DF140" i="65"/>
  <c r="DG140" i="65"/>
  <c r="DH140" i="65"/>
  <c r="DI140" i="65"/>
  <c r="DJ140" i="65"/>
  <c r="DL140" i="65"/>
  <c r="DM140" i="65"/>
  <c r="DN140" i="65"/>
  <c r="DO140" i="65"/>
  <c r="DP140" i="65"/>
  <c r="DQ140" i="65"/>
  <c r="DR140" i="65"/>
  <c r="DS140" i="65"/>
  <c r="DT140" i="65"/>
  <c r="DU140" i="65"/>
  <c r="E141" i="65"/>
  <c r="F141" i="65"/>
  <c r="G141" i="65"/>
  <c r="H141" i="65"/>
  <c r="I141" i="65"/>
  <c r="J141" i="65"/>
  <c r="K141" i="65"/>
  <c r="L141" i="65"/>
  <c r="M141" i="65"/>
  <c r="N141" i="65"/>
  <c r="O141" i="65"/>
  <c r="Q141" i="65"/>
  <c r="R141" i="65"/>
  <c r="S141" i="65"/>
  <c r="T141" i="65"/>
  <c r="U141" i="65"/>
  <c r="V141" i="65"/>
  <c r="W141" i="65"/>
  <c r="X141" i="65"/>
  <c r="Y141" i="65"/>
  <c r="Z141" i="65"/>
  <c r="AB141" i="65"/>
  <c r="AC141" i="65"/>
  <c r="AD141" i="65"/>
  <c r="AE141" i="65"/>
  <c r="AF141" i="65"/>
  <c r="AG141" i="65"/>
  <c r="AH141" i="65"/>
  <c r="AI141" i="65"/>
  <c r="AJ141" i="65"/>
  <c r="AK141" i="65"/>
  <c r="AM141" i="65"/>
  <c r="EI141" i="65" s="1"/>
  <c r="AN141" i="65"/>
  <c r="EJ141" i="65" s="1"/>
  <c r="AO141" i="65"/>
  <c r="EK141" i="65" s="1"/>
  <c r="AP141" i="65"/>
  <c r="EL141" i="65" s="1"/>
  <c r="AQ141" i="65"/>
  <c r="EM141" i="65" s="1"/>
  <c r="AR141" i="65"/>
  <c r="EN141" i="65" s="1"/>
  <c r="AS141" i="65"/>
  <c r="EO141" i="65" s="1"/>
  <c r="AT141" i="65"/>
  <c r="EP141" i="65" s="1"/>
  <c r="AU141" i="65"/>
  <c r="EQ141" i="65" s="1"/>
  <c r="AV141" i="65"/>
  <c r="ER141" i="65" s="1"/>
  <c r="AX141" i="65"/>
  <c r="AY141" i="65"/>
  <c r="AZ141" i="65"/>
  <c r="BA141" i="65"/>
  <c r="BB141" i="65"/>
  <c r="BC141" i="65"/>
  <c r="BD141" i="65"/>
  <c r="BE141" i="65"/>
  <c r="BF141" i="65"/>
  <c r="BG141" i="65"/>
  <c r="BI141" i="65"/>
  <c r="BJ141" i="65"/>
  <c r="BK141" i="65"/>
  <c r="BL141" i="65"/>
  <c r="BM141" i="65"/>
  <c r="BN141" i="65"/>
  <c r="BO141" i="65"/>
  <c r="BP141" i="65"/>
  <c r="BQ141" i="65"/>
  <c r="BR141" i="65"/>
  <c r="BT141" i="65"/>
  <c r="BU141" i="65"/>
  <c r="BV141" i="65"/>
  <c r="BW141" i="65"/>
  <c r="BX141" i="65"/>
  <c r="BY141" i="65"/>
  <c r="BZ141" i="65"/>
  <c r="CA141" i="65"/>
  <c r="CB141" i="65"/>
  <c r="CC141" i="65"/>
  <c r="CE141" i="65"/>
  <c r="CF141" i="65"/>
  <c r="CG141" i="65"/>
  <c r="CH141" i="65"/>
  <c r="CI141" i="65"/>
  <c r="CJ141" i="65"/>
  <c r="CK141" i="65"/>
  <c r="CL141" i="65"/>
  <c r="CM141" i="65"/>
  <c r="CN141" i="65"/>
  <c r="CP141" i="65"/>
  <c r="CQ141" i="65"/>
  <c r="CR141" i="65"/>
  <c r="CS141" i="65"/>
  <c r="CT141" i="65"/>
  <c r="CU141" i="65"/>
  <c r="CV141" i="65"/>
  <c r="CW141" i="65"/>
  <c r="CX141" i="65"/>
  <c r="CY141" i="65"/>
  <c r="DA141" i="65"/>
  <c r="DB141" i="65"/>
  <c r="DC141" i="65"/>
  <c r="DD141" i="65"/>
  <c r="DE141" i="65"/>
  <c r="DF141" i="65"/>
  <c r="DG141" i="65"/>
  <c r="DH141" i="65"/>
  <c r="DI141" i="65"/>
  <c r="DJ141" i="65"/>
  <c r="DL141" i="65"/>
  <c r="DM141" i="65"/>
  <c r="DN141" i="65"/>
  <c r="DO141" i="65"/>
  <c r="DP141" i="65"/>
  <c r="DQ141" i="65"/>
  <c r="DR141" i="65"/>
  <c r="DS141" i="65"/>
  <c r="DT141" i="65"/>
  <c r="DU141" i="65"/>
  <c r="E142" i="65"/>
  <c r="F142" i="65"/>
  <c r="G142" i="65"/>
  <c r="H142" i="65"/>
  <c r="I142" i="65"/>
  <c r="J142" i="65"/>
  <c r="K142" i="65"/>
  <c r="L142" i="65"/>
  <c r="M142" i="65"/>
  <c r="N142" i="65"/>
  <c r="O142" i="65"/>
  <c r="Q142" i="65"/>
  <c r="R142" i="65"/>
  <c r="S142" i="65"/>
  <c r="T142" i="65"/>
  <c r="U142" i="65"/>
  <c r="V142" i="65"/>
  <c r="W142" i="65"/>
  <c r="X142" i="65"/>
  <c r="Y142" i="65"/>
  <c r="Z142" i="65"/>
  <c r="AB142" i="65"/>
  <c r="AC142" i="65"/>
  <c r="AD142" i="65"/>
  <c r="AE142" i="65"/>
  <c r="AF142" i="65"/>
  <c r="AG142" i="65"/>
  <c r="AH142" i="65"/>
  <c r="AI142" i="65"/>
  <c r="AJ142" i="65"/>
  <c r="AK142" i="65"/>
  <c r="AM142" i="65"/>
  <c r="EI142" i="65" s="1"/>
  <c r="AN142" i="65"/>
  <c r="EJ142" i="65" s="1"/>
  <c r="AO142" i="65"/>
  <c r="EK142" i="65" s="1"/>
  <c r="AP142" i="65"/>
  <c r="EL142" i="65" s="1"/>
  <c r="AQ142" i="65"/>
  <c r="EM142" i="65" s="1"/>
  <c r="AR142" i="65"/>
  <c r="EN142" i="65" s="1"/>
  <c r="AS142" i="65"/>
  <c r="EO142" i="65" s="1"/>
  <c r="AT142" i="65"/>
  <c r="EP142" i="65" s="1"/>
  <c r="AU142" i="65"/>
  <c r="EQ142" i="65" s="1"/>
  <c r="AV142" i="65"/>
  <c r="ER142" i="65" s="1"/>
  <c r="AX142" i="65"/>
  <c r="AY142" i="65"/>
  <c r="AZ142" i="65"/>
  <c r="BA142" i="65"/>
  <c r="BB142" i="65"/>
  <c r="BC142" i="65"/>
  <c r="BD142" i="65"/>
  <c r="BE142" i="65"/>
  <c r="BF142" i="65"/>
  <c r="BG142" i="65"/>
  <c r="BI142" i="65"/>
  <c r="BJ142" i="65"/>
  <c r="BK142" i="65"/>
  <c r="BL142" i="65"/>
  <c r="BM142" i="65"/>
  <c r="BN142" i="65"/>
  <c r="BO142" i="65"/>
  <c r="BP142" i="65"/>
  <c r="BQ142" i="65"/>
  <c r="BR142" i="65"/>
  <c r="BT142" i="65"/>
  <c r="BU142" i="65"/>
  <c r="BV142" i="65"/>
  <c r="BW142" i="65"/>
  <c r="BX142" i="65"/>
  <c r="BY142" i="65"/>
  <c r="BZ142" i="65"/>
  <c r="CA142" i="65"/>
  <c r="CB142" i="65"/>
  <c r="CC142" i="65"/>
  <c r="CE142" i="65"/>
  <c r="CF142" i="65"/>
  <c r="CG142" i="65"/>
  <c r="CH142" i="65"/>
  <c r="CI142" i="65"/>
  <c r="CJ142" i="65"/>
  <c r="CK142" i="65"/>
  <c r="CL142" i="65"/>
  <c r="CM142" i="65"/>
  <c r="CN142" i="65"/>
  <c r="CP142" i="65"/>
  <c r="CQ142" i="65"/>
  <c r="CR142" i="65"/>
  <c r="CS142" i="65"/>
  <c r="CT142" i="65"/>
  <c r="CU142" i="65"/>
  <c r="CV142" i="65"/>
  <c r="CW142" i="65"/>
  <c r="CX142" i="65"/>
  <c r="CY142" i="65"/>
  <c r="DA142" i="65"/>
  <c r="DB142" i="65"/>
  <c r="DC142" i="65"/>
  <c r="DD142" i="65"/>
  <c r="DE142" i="65"/>
  <c r="DF142" i="65"/>
  <c r="DG142" i="65"/>
  <c r="DH142" i="65"/>
  <c r="DI142" i="65"/>
  <c r="DJ142" i="65"/>
  <c r="DL142" i="65"/>
  <c r="DM142" i="65"/>
  <c r="DN142" i="65"/>
  <c r="DO142" i="65"/>
  <c r="DP142" i="65"/>
  <c r="DQ142" i="65"/>
  <c r="DR142" i="65"/>
  <c r="DS142" i="65"/>
  <c r="DT142" i="65"/>
  <c r="DU142" i="65"/>
  <c r="E143" i="65"/>
  <c r="F143" i="65"/>
  <c r="G143" i="65"/>
  <c r="H143" i="65"/>
  <c r="I143" i="65"/>
  <c r="J143" i="65"/>
  <c r="K143" i="65"/>
  <c r="L143" i="65"/>
  <c r="M143" i="65"/>
  <c r="N143" i="65"/>
  <c r="O143" i="65"/>
  <c r="P143" i="65"/>
  <c r="Q143" i="65"/>
  <c r="R143" i="65"/>
  <c r="S143" i="65"/>
  <c r="T143" i="65"/>
  <c r="U143" i="65"/>
  <c r="V143" i="65"/>
  <c r="W143" i="65"/>
  <c r="X143" i="65"/>
  <c r="Y143" i="65"/>
  <c r="Z143" i="65"/>
  <c r="AA143" i="65"/>
  <c r="AB143" i="65"/>
  <c r="AC143" i="65"/>
  <c r="AD143" i="65"/>
  <c r="AE143" i="65"/>
  <c r="AF143" i="65"/>
  <c r="AG143" i="65"/>
  <c r="AH143" i="65"/>
  <c r="AI143" i="65"/>
  <c r="AJ143" i="65"/>
  <c r="AK143" i="65"/>
  <c r="AL143" i="65"/>
  <c r="EH143" i="65" s="1"/>
  <c r="AM143" i="65"/>
  <c r="EI143" i="65" s="1"/>
  <c r="AN143" i="65"/>
  <c r="EJ143" i="65" s="1"/>
  <c r="AO143" i="65"/>
  <c r="EK143" i="65" s="1"/>
  <c r="AP143" i="65"/>
  <c r="EL143" i="65" s="1"/>
  <c r="AQ143" i="65"/>
  <c r="EM143" i="65" s="1"/>
  <c r="AR143" i="65"/>
  <c r="EN143" i="65" s="1"/>
  <c r="AS143" i="65"/>
  <c r="EO143" i="65" s="1"/>
  <c r="AT143" i="65"/>
  <c r="EP143" i="65" s="1"/>
  <c r="AU143" i="65"/>
  <c r="EQ143" i="65" s="1"/>
  <c r="AV143" i="65"/>
  <c r="ER143" i="65" s="1"/>
  <c r="AW143" i="65"/>
  <c r="AX143" i="65"/>
  <c r="AY143" i="65"/>
  <c r="AZ143" i="65"/>
  <c r="BA143" i="65"/>
  <c r="BB143" i="65"/>
  <c r="BC143" i="65"/>
  <c r="BD143" i="65"/>
  <c r="BE143" i="65"/>
  <c r="BF143" i="65"/>
  <c r="BG143" i="65"/>
  <c r="BH143" i="65"/>
  <c r="BI143" i="65"/>
  <c r="BJ143" i="65"/>
  <c r="BK143" i="65"/>
  <c r="BL143" i="65"/>
  <c r="BM143" i="65"/>
  <c r="BN143" i="65"/>
  <c r="BO143" i="65"/>
  <c r="BP143" i="65"/>
  <c r="BQ143" i="65"/>
  <c r="BR143" i="65"/>
  <c r="BS143" i="65"/>
  <c r="BT143" i="65"/>
  <c r="BU143" i="65"/>
  <c r="BV143" i="65"/>
  <c r="BW143" i="65"/>
  <c r="BX143" i="65"/>
  <c r="BY143" i="65"/>
  <c r="BZ143" i="65"/>
  <c r="CA143" i="65"/>
  <c r="CB143" i="65"/>
  <c r="CC143" i="65"/>
  <c r="CD143" i="65"/>
  <c r="CE143" i="65"/>
  <c r="CF143" i="65"/>
  <c r="CG143" i="65"/>
  <c r="CH143" i="65"/>
  <c r="CI143" i="65"/>
  <c r="CJ143" i="65"/>
  <c r="CK143" i="65"/>
  <c r="CL143" i="65"/>
  <c r="CM143" i="65"/>
  <c r="CN143" i="65"/>
  <c r="CO143" i="65"/>
  <c r="CP143" i="65"/>
  <c r="CQ143" i="65"/>
  <c r="CR143" i="65"/>
  <c r="CS143" i="65"/>
  <c r="CT143" i="65"/>
  <c r="CU143" i="65"/>
  <c r="CV143" i="65"/>
  <c r="CW143" i="65"/>
  <c r="CX143" i="65"/>
  <c r="CY143" i="65"/>
  <c r="CZ143" i="65"/>
  <c r="DA143" i="65"/>
  <c r="DB143" i="65"/>
  <c r="DC143" i="65"/>
  <c r="DD143" i="65"/>
  <c r="DE143" i="65"/>
  <c r="DF143" i="65"/>
  <c r="DG143" i="65"/>
  <c r="DH143" i="65"/>
  <c r="DI143" i="65"/>
  <c r="DJ143" i="65"/>
  <c r="DL143" i="65"/>
  <c r="DM143" i="65"/>
  <c r="DN143" i="65"/>
  <c r="DO143" i="65"/>
  <c r="DP143" i="65"/>
  <c r="DQ143" i="65"/>
  <c r="DR143" i="65"/>
  <c r="DS143" i="65"/>
  <c r="DT143" i="65"/>
  <c r="DU143" i="65"/>
  <c r="E144" i="65"/>
  <c r="F144" i="65"/>
  <c r="G144" i="65"/>
  <c r="H144" i="65"/>
  <c r="I144" i="65"/>
  <c r="J144" i="65"/>
  <c r="K144" i="65"/>
  <c r="L144" i="65"/>
  <c r="M144" i="65"/>
  <c r="N144" i="65"/>
  <c r="O144" i="65"/>
  <c r="P144" i="65"/>
  <c r="Q144" i="65"/>
  <c r="R144" i="65"/>
  <c r="S144" i="65"/>
  <c r="T144" i="65"/>
  <c r="U144" i="65"/>
  <c r="V144" i="65"/>
  <c r="W144" i="65"/>
  <c r="X144" i="65"/>
  <c r="Y144" i="65"/>
  <c r="Z144" i="65"/>
  <c r="AA144" i="65"/>
  <c r="AB144" i="65"/>
  <c r="AC144" i="65"/>
  <c r="AD144" i="65"/>
  <c r="AE144" i="65"/>
  <c r="AF144" i="65"/>
  <c r="AG144" i="65"/>
  <c r="AH144" i="65"/>
  <c r="AI144" i="65"/>
  <c r="AJ144" i="65"/>
  <c r="AK144" i="65"/>
  <c r="AL144" i="65"/>
  <c r="EH144" i="65" s="1"/>
  <c r="AM144" i="65"/>
  <c r="EI144" i="65" s="1"/>
  <c r="AN144" i="65"/>
  <c r="EJ144" i="65" s="1"/>
  <c r="AO144" i="65"/>
  <c r="EK144" i="65" s="1"/>
  <c r="AP144" i="65"/>
  <c r="EL144" i="65" s="1"/>
  <c r="AQ144" i="65"/>
  <c r="EM144" i="65" s="1"/>
  <c r="AR144" i="65"/>
  <c r="EN144" i="65" s="1"/>
  <c r="AS144" i="65"/>
  <c r="EO144" i="65" s="1"/>
  <c r="AT144" i="65"/>
  <c r="EP144" i="65" s="1"/>
  <c r="AU144" i="65"/>
  <c r="EQ144" i="65" s="1"/>
  <c r="AV144" i="65"/>
  <c r="ER144" i="65" s="1"/>
  <c r="AW144" i="65"/>
  <c r="AX144" i="65"/>
  <c r="AY144" i="65"/>
  <c r="AZ144" i="65"/>
  <c r="BA144" i="65"/>
  <c r="BB144" i="65"/>
  <c r="BC144" i="65"/>
  <c r="BD144" i="65"/>
  <c r="BE144" i="65"/>
  <c r="BF144" i="65"/>
  <c r="BG144" i="65"/>
  <c r="BH144" i="65"/>
  <c r="BI144" i="65"/>
  <c r="BJ144" i="65"/>
  <c r="BK144" i="65"/>
  <c r="BL144" i="65"/>
  <c r="BM144" i="65"/>
  <c r="BN144" i="65"/>
  <c r="BO144" i="65"/>
  <c r="BP144" i="65"/>
  <c r="BQ144" i="65"/>
  <c r="BR144" i="65"/>
  <c r="BS144" i="65"/>
  <c r="BT144" i="65"/>
  <c r="BU144" i="65"/>
  <c r="BV144" i="65"/>
  <c r="BW144" i="65"/>
  <c r="BX144" i="65"/>
  <c r="BY144" i="65"/>
  <c r="BZ144" i="65"/>
  <c r="CA144" i="65"/>
  <c r="CB144" i="65"/>
  <c r="CC144" i="65"/>
  <c r="CD144" i="65"/>
  <c r="CE144" i="65"/>
  <c r="CF144" i="65"/>
  <c r="CG144" i="65"/>
  <c r="CH144" i="65"/>
  <c r="CI144" i="65"/>
  <c r="CJ144" i="65"/>
  <c r="CK144" i="65"/>
  <c r="CL144" i="65"/>
  <c r="CM144" i="65"/>
  <c r="CN144" i="65"/>
  <c r="CO144" i="65"/>
  <c r="CP144" i="65"/>
  <c r="CQ144" i="65"/>
  <c r="CR144" i="65"/>
  <c r="CS144" i="65"/>
  <c r="CT144" i="65"/>
  <c r="CU144" i="65"/>
  <c r="CV144" i="65"/>
  <c r="CW144" i="65"/>
  <c r="CX144" i="65"/>
  <c r="CY144" i="65"/>
  <c r="CZ144" i="65"/>
  <c r="DA144" i="65"/>
  <c r="DB144" i="65"/>
  <c r="DC144" i="65"/>
  <c r="DD144" i="65"/>
  <c r="DE144" i="65"/>
  <c r="DF144" i="65"/>
  <c r="DG144" i="65"/>
  <c r="DH144" i="65"/>
  <c r="DI144" i="65"/>
  <c r="DJ144" i="65"/>
  <c r="DL144" i="65"/>
  <c r="DM144" i="65"/>
  <c r="DN144" i="65"/>
  <c r="DO144" i="65"/>
  <c r="DP144" i="65"/>
  <c r="DQ144" i="65"/>
  <c r="DR144" i="65"/>
  <c r="DS144" i="65"/>
  <c r="DT144" i="65"/>
  <c r="DU144" i="65"/>
  <c r="E145" i="65"/>
  <c r="F145" i="65"/>
  <c r="G145" i="65"/>
  <c r="H145" i="65"/>
  <c r="I145" i="65"/>
  <c r="J145" i="65"/>
  <c r="K145" i="65"/>
  <c r="L145" i="65"/>
  <c r="M145" i="65"/>
  <c r="N145" i="65"/>
  <c r="O145" i="65"/>
  <c r="P145" i="65"/>
  <c r="Q145" i="65"/>
  <c r="R145" i="65"/>
  <c r="S145" i="65"/>
  <c r="T145" i="65"/>
  <c r="U145" i="65"/>
  <c r="V145" i="65"/>
  <c r="W145" i="65"/>
  <c r="X145" i="65"/>
  <c r="Y145" i="65"/>
  <c r="Z145" i="65"/>
  <c r="AA145" i="65"/>
  <c r="AB145" i="65"/>
  <c r="AC145" i="65"/>
  <c r="AD145" i="65"/>
  <c r="AE145" i="65"/>
  <c r="AF145" i="65"/>
  <c r="AG145" i="65"/>
  <c r="AH145" i="65"/>
  <c r="AI145" i="65"/>
  <c r="AJ145" i="65"/>
  <c r="AK145" i="65"/>
  <c r="AL145" i="65"/>
  <c r="EH145" i="65" s="1"/>
  <c r="AM145" i="65"/>
  <c r="EI145" i="65" s="1"/>
  <c r="AN145" i="65"/>
  <c r="EJ145" i="65" s="1"/>
  <c r="AO145" i="65"/>
  <c r="EK145" i="65" s="1"/>
  <c r="AP145" i="65"/>
  <c r="EL145" i="65" s="1"/>
  <c r="AQ145" i="65"/>
  <c r="EM145" i="65" s="1"/>
  <c r="AR145" i="65"/>
  <c r="EN145" i="65" s="1"/>
  <c r="AS145" i="65"/>
  <c r="EO145" i="65" s="1"/>
  <c r="AT145" i="65"/>
  <c r="EP145" i="65" s="1"/>
  <c r="AU145" i="65"/>
  <c r="EQ145" i="65" s="1"/>
  <c r="AV145" i="65"/>
  <c r="ER145" i="65" s="1"/>
  <c r="AW145" i="65"/>
  <c r="AX145" i="65"/>
  <c r="AY145" i="65"/>
  <c r="AZ145" i="65"/>
  <c r="BA145" i="65"/>
  <c r="BB145" i="65"/>
  <c r="BC145" i="65"/>
  <c r="BD145" i="65"/>
  <c r="BE145" i="65"/>
  <c r="BF145" i="65"/>
  <c r="BG145" i="65"/>
  <c r="BH145" i="65"/>
  <c r="BI145" i="65"/>
  <c r="BJ145" i="65"/>
  <c r="BK145" i="65"/>
  <c r="BL145" i="65"/>
  <c r="BM145" i="65"/>
  <c r="BN145" i="65"/>
  <c r="BO145" i="65"/>
  <c r="BP145" i="65"/>
  <c r="BQ145" i="65"/>
  <c r="BR145" i="65"/>
  <c r="BS145" i="65"/>
  <c r="BT145" i="65"/>
  <c r="BU145" i="65"/>
  <c r="BV145" i="65"/>
  <c r="BW145" i="65"/>
  <c r="BX145" i="65"/>
  <c r="BY145" i="65"/>
  <c r="BZ145" i="65"/>
  <c r="CA145" i="65"/>
  <c r="CB145" i="65"/>
  <c r="CC145" i="65"/>
  <c r="CD145" i="65"/>
  <c r="CE145" i="65"/>
  <c r="CF145" i="65"/>
  <c r="CG145" i="65"/>
  <c r="CH145" i="65"/>
  <c r="CI145" i="65"/>
  <c r="CJ145" i="65"/>
  <c r="CK145" i="65"/>
  <c r="CL145" i="65"/>
  <c r="CM145" i="65"/>
  <c r="CN145" i="65"/>
  <c r="CO145" i="65"/>
  <c r="CP145" i="65"/>
  <c r="CQ145" i="65"/>
  <c r="CR145" i="65"/>
  <c r="CS145" i="65"/>
  <c r="CT145" i="65"/>
  <c r="CU145" i="65"/>
  <c r="CV145" i="65"/>
  <c r="CW145" i="65"/>
  <c r="CX145" i="65"/>
  <c r="CY145" i="65"/>
  <c r="CZ145" i="65"/>
  <c r="DA145" i="65"/>
  <c r="DB145" i="65"/>
  <c r="DC145" i="65"/>
  <c r="DD145" i="65"/>
  <c r="DE145" i="65"/>
  <c r="DF145" i="65"/>
  <c r="DG145" i="65"/>
  <c r="DH145" i="65"/>
  <c r="DI145" i="65"/>
  <c r="DJ145" i="65"/>
  <c r="DL145" i="65"/>
  <c r="DM145" i="65"/>
  <c r="DN145" i="65"/>
  <c r="DO145" i="65"/>
  <c r="DP145" i="65"/>
  <c r="DQ145" i="65"/>
  <c r="DR145" i="65"/>
  <c r="DS145" i="65"/>
  <c r="DT145" i="65"/>
  <c r="DU145" i="65"/>
  <c r="E146" i="65"/>
  <c r="F146" i="65"/>
  <c r="G146" i="65"/>
  <c r="H146" i="65"/>
  <c r="I146" i="65"/>
  <c r="J146" i="65"/>
  <c r="K146" i="65"/>
  <c r="L146" i="65"/>
  <c r="M146" i="65"/>
  <c r="N146" i="65"/>
  <c r="O146" i="65"/>
  <c r="P146" i="65"/>
  <c r="Q146" i="65"/>
  <c r="R146" i="65"/>
  <c r="S146" i="65"/>
  <c r="T146" i="65"/>
  <c r="U146" i="65"/>
  <c r="V146" i="65"/>
  <c r="W146" i="65"/>
  <c r="X146" i="65"/>
  <c r="Y146" i="65"/>
  <c r="Z146" i="65"/>
  <c r="AA146" i="65"/>
  <c r="AB146" i="65"/>
  <c r="AC146" i="65"/>
  <c r="AD146" i="65"/>
  <c r="AE146" i="65"/>
  <c r="AF146" i="65"/>
  <c r="AG146" i="65"/>
  <c r="AH146" i="65"/>
  <c r="AI146" i="65"/>
  <c r="AJ146" i="65"/>
  <c r="AK146" i="65"/>
  <c r="AL146" i="65"/>
  <c r="EH146" i="65" s="1"/>
  <c r="AM146" i="65"/>
  <c r="EI146" i="65" s="1"/>
  <c r="AN146" i="65"/>
  <c r="EJ146" i="65" s="1"/>
  <c r="AO146" i="65"/>
  <c r="EK146" i="65" s="1"/>
  <c r="AP146" i="65"/>
  <c r="EL146" i="65" s="1"/>
  <c r="AQ146" i="65"/>
  <c r="EM146" i="65" s="1"/>
  <c r="AR146" i="65"/>
  <c r="EN146" i="65" s="1"/>
  <c r="AS146" i="65"/>
  <c r="EO146" i="65" s="1"/>
  <c r="AT146" i="65"/>
  <c r="EP146" i="65" s="1"/>
  <c r="AU146" i="65"/>
  <c r="EQ146" i="65" s="1"/>
  <c r="AV146" i="65"/>
  <c r="ER146" i="65" s="1"/>
  <c r="AW146" i="65"/>
  <c r="AX146" i="65"/>
  <c r="AY146" i="65"/>
  <c r="AZ146" i="65"/>
  <c r="BA146" i="65"/>
  <c r="BB146" i="65"/>
  <c r="BC146" i="65"/>
  <c r="BD146" i="65"/>
  <c r="BE146" i="65"/>
  <c r="BF146" i="65"/>
  <c r="BG146" i="65"/>
  <c r="BH146" i="65"/>
  <c r="BI146" i="65"/>
  <c r="BJ146" i="65"/>
  <c r="BK146" i="65"/>
  <c r="BL146" i="65"/>
  <c r="BM146" i="65"/>
  <c r="BN146" i="65"/>
  <c r="BO146" i="65"/>
  <c r="BP146" i="65"/>
  <c r="BQ146" i="65"/>
  <c r="BR146" i="65"/>
  <c r="BS146" i="65"/>
  <c r="BT146" i="65"/>
  <c r="BU146" i="65"/>
  <c r="BV146" i="65"/>
  <c r="BW146" i="65"/>
  <c r="BX146" i="65"/>
  <c r="BY146" i="65"/>
  <c r="BZ146" i="65"/>
  <c r="CA146" i="65"/>
  <c r="CB146" i="65"/>
  <c r="CC146" i="65"/>
  <c r="CD146" i="65"/>
  <c r="CE146" i="65"/>
  <c r="CF146" i="65"/>
  <c r="CG146" i="65"/>
  <c r="CH146" i="65"/>
  <c r="CI146" i="65"/>
  <c r="CJ146" i="65"/>
  <c r="CK146" i="65"/>
  <c r="CL146" i="65"/>
  <c r="CM146" i="65"/>
  <c r="CN146" i="65"/>
  <c r="CO146" i="65"/>
  <c r="CP146" i="65"/>
  <c r="CQ146" i="65"/>
  <c r="CR146" i="65"/>
  <c r="CS146" i="65"/>
  <c r="CT146" i="65"/>
  <c r="CU146" i="65"/>
  <c r="CV146" i="65"/>
  <c r="CW146" i="65"/>
  <c r="CX146" i="65"/>
  <c r="CY146" i="65"/>
  <c r="CZ146" i="65"/>
  <c r="DA146" i="65"/>
  <c r="DB146" i="65"/>
  <c r="DC146" i="65"/>
  <c r="DD146" i="65"/>
  <c r="DE146" i="65"/>
  <c r="DF146" i="65"/>
  <c r="DG146" i="65"/>
  <c r="DH146" i="65"/>
  <c r="DI146" i="65"/>
  <c r="DJ146" i="65"/>
  <c r="DL146" i="65"/>
  <c r="DM146" i="65"/>
  <c r="DN146" i="65"/>
  <c r="DO146" i="65"/>
  <c r="DP146" i="65"/>
  <c r="DQ146" i="65"/>
  <c r="DR146" i="65"/>
  <c r="DS146" i="65"/>
  <c r="DT146" i="65"/>
  <c r="DU146" i="65"/>
  <c r="E147" i="65"/>
  <c r="F147" i="65"/>
  <c r="G147" i="65"/>
  <c r="H147" i="65"/>
  <c r="I147" i="65"/>
  <c r="J147" i="65"/>
  <c r="K147" i="65"/>
  <c r="L147" i="65"/>
  <c r="M147" i="65"/>
  <c r="N147" i="65"/>
  <c r="O147" i="65"/>
  <c r="P147" i="65"/>
  <c r="Q147" i="65"/>
  <c r="R147" i="65"/>
  <c r="S147" i="65"/>
  <c r="T147" i="65"/>
  <c r="U147" i="65"/>
  <c r="V147" i="65"/>
  <c r="W147" i="65"/>
  <c r="X147" i="65"/>
  <c r="Y147" i="65"/>
  <c r="Z147" i="65"/>
  <c r="AA147" i="65"/>
  <c r="AB147" i="65"/>
  <c r="AC147" i="65"/>
  <c r="AD147" i="65"/>
  <c r="AE147" i="65"/>
  <c r="AF147" i="65"/>
  <c r="AG147" i="65"/>
  <c r="AH147" i="65"/>
  <c r="AI147" i="65"/>
  <c r="AJ147" i="65"/>
  <c r="AK147" i="65"/>
  <c r="AL147" i="65"/>
  <c r="EH147" i="65" s="1"/>
  <c r="AM147" i="65"/>
  <c r="EI147" i="65" s="1"/>
  <c r="AN147" i="65"/>
  <c r="EJ147" i="65" s="1"/>
  <c r="AO147" i="65"/>
  <c r="EK147" i="65" s="1"/>
  <c r="AP147" i="65"/>
  <c r="EL147" i="65" s="1"/>
  <c r="AQ147" i="65"/>
  <c r="EM147" i="65" s="1"/>
  <c r="AR147" i="65"/>
  <c r="EN147" i="65" s="1"/>
  <c r="AS147" i="65"/>
  <c r="EO147" i="65" s="1"/>
  <c r="AT147" i="65"/>
  <c r="EP147" i="65" s="1"/>
  <c r="AU147" i="65"/>
  <c r="EQ147" i="65" s="1"/>
  <c r="AV147" i="65"/>
  <c r="ER147" i="65" s="1"/>
  <c r="AW147" i="65"/>
  <c r="AX147" i="65"/>
  <c r="AY147" i="65"/>
  <c r="AZ147" i="65"/>
  <c r="BA147" i="65"/>
  <c r="BB147" i="65"/>
  <c r="BC147" i="65"/>
  <c r="BD147" i="65"/>
  <c r="BE147" i="65"/>
  <c r="BF147" i="65"/>
  <c r="BG147" i="65"/>
  <c r="BH147" i="65"/>
  <c r="BI147" i="65"/>
  <c r="BJ147" i="65"/>
  <c r="BK147" i="65"/>
  <c r="BL147" i="65"/>
  <c r="BM147" i="65"/>
  <c r="BN147" i="65"/>
  <c r="BO147" i="65"/>
  <c r="BP147" i="65"/>
  <c r="BQ147" i="65"/>
  <c r="BR147" i="65"/>
  <c r="BS147" i="65"/>
  <c r="BT147" i="65"/>
  <c r="BU147" i="65"/>
  <c r="BV147" i="65"/>
  <c r="BW147" i="65"/>
  <c r="BX147" i="65"/>
  <c r="BY147" i="65"/>
  <c r="BZ147" i="65"/>
  <c r="CA147" i="65"/>
  <c r="CB147" i="65"/>
  <c r="CC147" i="65"/>
  <c r="CD147" i="65"/>
  <c r="CE147" i="65"/>
  <c r="CF147" i="65"/>
  <c r="CG147" i="65"/>
  <c r="CH147" i="65"/>
  <c r="CI147" i="65"/>
  <c r="CJ147" i="65"/>
  <c r="CK147" i="65"/>
  <c r="CL147" i="65"/>
  <c r="CM147" i="65"/>
  <c r="CN147" i="65"/>
  <c r="CO147" i="65"/>
  <c r="CP147" i="65"/>
  <c r="CQ147" i="65"/>
  <c r="CR147" i="65"/>
  <c r="CS147" i="65"/>
  <c r="CT147" i="65"/>
  <c r="CU147" i="65"/>
  <c r="CV147" i="65"/>
  <c r="CW147" i="65"/>
  <c r="CX147" i="65"/>
  <c r="CY147" i="65"/>
  <c r="CZ147" i="65"/>
  <c r="DA147" i="65"/>
  <c r="DB147" i="65"/>
  <c r="DC147" i="65"/>
  <c r="DD147" i="65"/>
  <c r="DE147" i="65"/>
  <c r="DF147" i="65"/>
  <c r="DG147" i="65"/>
  <c r="DH147" i="65"/>
  <c r="DI147" i="65"/>
  <c r="DJ147" i="65"/>
  <c r="DL147" i="65"/>
  <c r="DM147" i="65"/>
  <c r="DN147" i="65"/>
  <c r="DO147" i="65"/>
  <c r="DP147" i="65"/>
  <c r="DQ147" i="65"/>
  <c r="DR147" i="65"/>
  <c r="DS147" i="65"/>
  <c r="DT147" i="65"/>
  <c r="DU147" i="65"/>
  <c r="E148" i="65"/>
  <c r="F148" i="65"/>
  <c r="G148" i="65"/>
  <c r="H148" i="65"/>
  <c r="I148" i="65"/>
  <c r="J148" i="65"/>
  <c r="K148" i="65"/>
  <c r="L148" i="65"/>
  <c r="M148" i="65"/>
  <c r="N148" i="65"/>
  <c r="O148" i="65"/>
  <c r="P148" i="65"/>
  <c r="Q148" i="65"/>
  <c r="R148" i="65"/>
  <c r="S148" i="65"/>
  <c r="T148" i="65"/>
  <c r="U148" i="65"/>
  <c r="V148" i="65"/>
  <c r="W148" i="65"/>
  <c r="X148" i="65"/>
  <c r="Y148" i="65"/>
  <c r="Z148" i="65"/>
  <c r="AA148" i="65"/>
  <c r="AB148" i="65"/>
  <c r="AC148" i="65"/>
  <c r="AD148" i="65"/>
  <c r="AE148" i="65"/>
  <c r="AF148" i="65"/>
  <c r="AG148" i="65"/>
  <c r="AH148" i="65"/>
  <c r="AI148" i="65"/>
  <c r="AJ148" i="65"/>
  <c r="AK148" i="65"/>
  <c r="AL148" i="65"/>
  <c r="EH148" i="65" s="1"/>
  <c r="AM148" i="65"/>
  <c r="EI148" i="65" s="1"/>
  <c r="AN148" i="65"/>
  <c r="EJ148" i="65" s="1"/>
  <c r="AO148" i="65"/>
  <c r="EK148" i="65" s="1"/>
  <c r="AP148" i="65"/>
  <c r="EL148" i="65" s="1"/>
  <c r="AQ148" i="65"/>
  <c r="EM148" i="65" s="1"/>
  <c r="AR148" i="65"/>
  <c r="EN148" i="65" s="1"/>
  <c r="AS148" i="65"/>
  <c r="EO148" i="65" s="1"/>
  <c r="AT148" i="65"/>
  <c r="EP148" i="65" s="1"/>
  <c r="AU148" i="65"/>
  <c r="EQ148" i="65" s="1"/>
  <c r="AV148" i="65"/>
  <c r="ER148" i="65" s="1"/>
  <c r="AW148" i="65"/>
  <c r="AX148" i="65"/>
  <c r="AY148" i="65"/>
  <c r="AZ148" i="65"/>
  <c r="BA148" i="65"/>
  <c r="BB148" i="65"/>
  <c r="BC148" i="65"/>
  <c r="BD148" i="65"/>
  <c r="BE148" i="65"/>
  <c r="BF148" i="65"/>
  <c r="BG148" i="65"/>
  <c r="BH148" i="65"/>
  <c r="BI148" i="65"/>
  <c r="BJ148" i="65"/>
  <c r="BK148" i="65"/>
  <c r="BL148" i="65"/>
  <c r="BM148" i="65"/>
  <c r="BN148" i="65"/>
  <c r="BO148" i="65"/>
  <c r="BP148" i="65"/>
  <c r="BQ148" i="65"/>
  <c r="BR148" i="65"/>
  <c r="BS148" i="65"/>
  <c r="BT148" i="65"/>
  <c r="BU148" i="65"/>
  <c r="BV148" i="65"/>
  <c r="BW148" i="65"/>
  <c r="BX148" i="65"/>
  <c r="BY148" i="65"/>
  <c r="BZ148" i="65"/>
  <c r="CA148" i="65"/>
  <c r="CB148" i="65"/>
  <c r="CC148" i="65"/>
  <c r="CD148" i="65"/>
  <c r="CE148" i="65"/>
  <c r="CF148" i="65"/>
  <c r="CG148" i="65"/>
  <c r="CH148" i="65"/>
  <c r="CI148" i="65"/>
  <c r="CJ148" i="65"/>
  <c r="CK148" i="65"/>
  <c r="CL148" i="65"/>
  <c r="CM148" i="65"/>
  <c r="CN148" i="65"/>
  <c r="CO148" i="65"/>
  <c r="CP148" i="65"/>
  <c r="CQ148" i="65"/>
  <c r="CR148" i="65"/>
  <c r="CS148" i="65"/>
  <c r="CT148" i="65"/>
  <c r="CU148" i="65"/>
  <c r="CV148" i="65"/>
  <c r="CW148" i="65"/>
  <c r="CX148" i="65"/>
  <c r="CY148" i="65"/>
  <c r="CZ148" i="65"/>
  <c r="DA148" i="65"/>
  <c r="DB148" i="65"/>
  <c r="DC148" i="65"/>
  <c r="DD148" i="65"/>
  <c r="DE148" i="65"/>
  <c r="DF148" i="65"/>
  <c r="DG148" i="65"/>
  <c r="DH148" i="65"/>
  <c r="DI148" i="65"/>
  <c r="DJ148" i="65"/>
  <c r="DL148" i="65"/>
  <c r="DM148" i="65"/>
  <c r="DN148" i="65"/>
  <c r="DO148" i="65"/>
  <c r="DP148" i="65"/>
  <c r="DQ148" i="65"/>
  <c r="DR148" i="65"/>
  <c r="DS148" i="65"/>
  <c r="DT148" i="65"/>
  <c r="DU148" i="65"/>
  <c r="F149" i="65"/>
  <c r="R149" i="65"/>
  <c r="V149" i="65"/>
  <c r="AH149" i="65"/>
  <c r="AI149" i="65"/>
  <c r="AY149" i="65"/>
  <c r="AZ149" i="65"/>
  <c r="BF149" i="65"/>
  <c r="BJ149" i="65"/>
  <c r="BX149" i="65"/>
  <c r="CH149" i="65"/>
  <c r="CK149" i="65"/>
  <c r="CN149" i="65"/>
  <c r="DA149" i="65"/>
  <c r="DL149" i="65"/>
  <c r="DS149" i="65"/>
  <c r="DT149" i="65"/>
  <c r="I150" i="65"/>
  <c r="M150" i="65"/>
  <c r="O150" i="65"/>
  <c r="R150" i="65"/>
  <c r="V150" i="65"/>
  <c r="Y150" i="65"/>
  <c r="AY150" i="65"/>
  <c r="BE150" i="65"/>
  <c r="BR150" i="65"/>
  <c r="BW150" i="65"/>
  <c r="BZ150" i="65"/>
  <c r="CF150" i="65"/>
  <c r="CI150" i="65"/>
  <c r="CJ150" i="65"/>
  <c r="DA150" i="65"/>
  <c r="DL150" i="65"/>
  <c r="DM150" i="65"/>
  <c r="F151" i="65"/>
  <c r="H151" i="65"/>
  <c r="J151" i="65"/>
  <c r="V151" i="65"/>
  <c r="AK151" i="65"/>
  <c r="AO151" i="65"/>
  <c r="EK151" i="65" s="1"/>
  <c r="BA151" i="65"/>
  <c r="BD151" i="65"/>
  <c r="BJ151" i="65"/>
  <c r="BT151" i="65"/>
  <c r="BW151" i="65"/>
  <c r="CN151" i="65"/>
  <c r="DA151" i="65"/>
  <c r="DD151" i="65"/>
  <c r="DS151" i="65"/>
  <c r="DT151" i="65"/>
  <c r="D140" i="65"/>
  <c r="D141" i="65"/>
  <c r="D142" i="65"/>
  <c r="D143" i="65"/>
  <c r="D144" i="65"/>
  <c r="D145" i="65"/>
  <c r="D146" i="65"/>
  <c r="D147" i="65"/>
  <c r="D148" i="65"/>
  <c r="D139" i="65"/>
  <c r="D138" i="65"/>
  <c r="E150" i="65"/>
  <c r="K151" i="65"/>
  <c r="AB150" i="65"/>
  <c r="EN40" i="65"/>
  <c r="BX151" i="65"/>
  <c r="CJ151" i="65"/>
  <c r="CK150" i="65"/>
  <c r="CN150" i="65"/>
  <c r="DB149" i="65"/>
  <c r="DD149" i="65"/>
  <c r="DQ150" i="65"/>
  <c r="DR150" i="65"/>
  <c r="DS150" i="65"/>
  <c r="DT150" i="65"/>
  <c r="N75" i="10"/>
  <c r="EA34" i="65"/>
  <c r="EB34" i="65"/>
  <c r="EI34" i="65"/>
  <c r="EJ34" i="65"/>
  <c r="EM34" i="65"/>
  <c r="EN34" i="65"/>
  <c r="EO34" i="65"/>
  <c r="EP34" i="65"/>
  <c r="EQ34" i="65"/>
  <c r="ER34" i="65"/>
  <c r="EH35" i="65"/>
  <c r="EI35" i="65"/>
  <c r="EJ35" i="65"/>
  <c r="EK35" i="65"/>
  <c r="EL35" i="65"/>
  <c r="EM35" i="65"/>
  <c r="ED36" i="65"/>
  <c r="EK36" i="65"/>
  <c r="EM36" i="65"/>
  <c r="EN36" i="65"/>
  <c r="DZ37" i="65"/>
  <c r="EI37" i="65"/>
  <c r="EK37" i="65"/>
  <c r="EO37" i="65"/>
  <c r="EP37" i="65"/>
  <c r="ER37" i="65"/>
  <c r="EI38" i="65"/>
  <c r="EJ38" i="65"/>
  <c r="EQ38" i="65"/>
  <c r="ER38" i="65"/>
  <c r="ED39" i="65"/>
  <c r="EO39" i="65"/>
  <c r="EP39" i="65"/>
  <c r="EQ39" i="65"/>
  <c r="ER39" i="65"/>
  <c r="EB39" i="65"/>
  <c r="DC149" i="65"/>
  <c r="CL149" i="65"/>
  <c r="EA39" i="65"/>
  <c r="DZ39" i="65"/>
  <c r="DY39" i="65"/>
  <c r="BD149" i="65"/>
  <c r="EN39" i="65"/>
  <c r="EM39" i="65"/>
  <c r="EL39" i="65"/>
  <c r="EK39" i="65"/>
  <c r="EJ39" i="65"/>
  <c r="EI39" i="65"/>
  <c r="EH39" i="65"/>
  <c r="EG39" i="65"/>
  <c r="EF39" i="65"/>
  <c r="EE39" i="65"/>
  <c r="DX39" i="65"/>
  <c r="DK145" i="65"/>
  <c r="CM149" i="65"/>
  <c r="EB38" i="65"/>
  <c r="BW149" i="65"/>
  <c r="BF150" i="65"/>
  <c r="BE149" i="65"/>
  <c r="EP38" i="65"/>
  <c r="EO38" i="65"/>
  <c r="EN38" i="65"/>
  <c r="EM38" i="65"/>
  <c r="EL38" i="65"/>
  <c r="EK38" i="65"/>
  <c r="EH38" i="65"/>
  <c r="DY38" i="65"/>
  <c r="DX38" i="65"/>
  <c r="EG38" i="65"/>
  <c r="Y149" i="65"/>
  <c r="X150" i="65"/>
  <c r="ED38" i="65"/>
  <c r="EA38" i="65"/>
  <c r="DZ38" i="65"/>
  <c r="H149" i="65"/>
  <c r="CZ37" i="65"/>
  <c r="CZ141" i="65" s="1"/>
  <c r="DY37" i="65"/>
  <c r="EE37" i="65"/>
  <c r="BT149" i="65"/>
  <c r="BG149" i="65"/>
  <c r="EQ37" i="65"/>
  <c r="EN37" i="65"/>
  <c r="EM40" i="65"/>
  <c r="EL37" i="65"/>
  <c r="EJ37" i="65"/>
  <c r="ED37" i="65"/>
  <c r="EA37" i="65"/>
  <c r="DX37" i="65"/>
  <c r="AA37" i="65"/>
  <c r="AA141" i="65" s="1"/>
  <c r="Z150" i="65"/>
  <c r="EF37" i="65"/>
  <c r="P37" i="65"/>
  <c r="P141" i="65" s="1"/>
  <c r="EB37" i="65"/>
  <c r="J150" i="65"/>
  <c r="I151" i="65"/>
  <c r="DU150" i="65"/>
  <c r="DN150" i="65"/>
  <c r="DM149" i="65"/>
  <c r="DL151" i="65"/>
  <c r="DK36" i="65"/>
  <c r="DJ149" i="65"/>
  <c r="EF36" i="65"/>
  <c r="DG150" i="65"/>
  <c r="DE149" i="65"/>
  <c r="CX149" i="65"/>
  <c r="CW149" i="65"/>
  <c r="CV151" i="65"/>
  <c r="EC36" i="65"/>
  <c r="CT151" i="65"/>
  <c r="CS151" i="65"/>
  <c r="CR151" i="65"/>
  <c r="CQ151" i="65"/>
  <c r="CI151" i="65"/>
  <c r="CH150" i="65"/>
  <c r="CF151" i="65"/>
  <c r="CE150" i="65"/>
  <c r="CD36" i="65"/>
  <c r="CC151" i="65"/>
  <c r="CB151" i="65"/>
  <c r="EE36" i="65"/>
  <c r="BZ149" i="65"/>
  <c r="BS36" i="65"/>
  <c r="BR149" i="65"/>
  <c r="BQ149" i="65"/>
  <c r="BO149" i="65"/>
  <c r="BN149" i="65"/>
  <c r="BM149" i="65"/>
  <c r="BL149" i="65"/>
  <c r="BK150" i="65"/>
  <c r="BJ150" i="65"/>
  <c r="BB149" i="65"/>
  <c r="BA149" i="65"/>
  <c r="AX149" i="65"/>
  <c r="AW36" i="65"/>
  <c r="ER40" i="65"/>
  <c r="EQ36" i="65"/>
  <c r="EP36" i="65"/>
  <c r="EO36" i="65"/>
  <c r="AL36" i="65"/>
  <c r="EL36" i="65"/>
  <c r="EJ36" i="65"/>
  <c r="EI36" i="65"/>
  <c r="AK150" i="65"/>
  <c r="AH151" i="65"/>
  <c r="AA36" i="65"/>
  <c r="AF151" i="65"/>
  <c r="AE151" i="65"/>
  <c r="AD151" i="65"/>
  <c r="DY36" i="65"/>
  <c r="W150" i="65"/>
  <c r="U151" i="65"/>
  <c r="EA36" i="65"/>
  <c r="DZ36" i="65"/>
  <c r="R151" i="65"/>
  <c r="Q149" i="65"/>
  <c r="P36" i="65"/>
  <c r="O151" i="65"/>
  <c r="N151" i="65"/>
  <c r="M151" i="65"/>
  <c r="L151" i="65"/>
  <c r="G151" i="65"/>
  <c r="F150" i="65"/>
  <c r="CZ35" i="65"/>
  <c r="BH35" i="65"/>
  <c r="BC149" i="65"/>
  <c r="AW35" i="65"/>
  <c r="ER35" i="65"/>
  <c r="EQ35" i="65"/>
  <c r="EP35" i="65"/>
  <c r="EO35" i="65"/>
  <c r="EN35" i="65"/>
  <c r="AL35" i="65"/>
  <c r="EE35" i="65"/>
  <c r="ED35" i="65"/>
  <c r="AA35" i="65"/>
  <c r="EA35" i="65"/>
  <c r="EG35" i="65"/>
  <c r="EF35" i="65"/>
  <c r="EC35" i="65"/>
  <c r="EB35" i="65"/>
  <c r="DZ35" i="65"/>
  <c r="DY35" i="65"/>
  <c r="DX35" i="65"/>
  <c r="DP150" i="65"/>
  <c r="DO150" i="65"/>
  <c r="DK34" i="65"/>
  <c r="DH150" i="65"/>
  <c r="DZ34" i="65"/>
  <c r="CD34" i="65"/>
  <c r="BS34" i="65"/>
  <c r="BP149" i="65"/>
  <c r="AZ150" i="65"/>
  <c r="AW34" i="65"/>
  <c r="AL34" i="65"/>
  <c r="EH34" i="65" s="1"/>
  <c r="EL34" i="65"/>
  <c r="EK34" i="65"/>
  <c r="EG34" i="65"/>
  <c r="EF34" i="65"/>
  <c r="AA34" i="65"/>
  <c r="EE34" i="65"/>
  <c r="ED34" i="65"/>
  <c r="DY34" i="65"/>
  <c r="DX34" i="65"/>
  <c r="P34" i="65"/>
  <c r="DK33" i="65"/>
  <c r="DK32" i="65"/>
  <c r="DK31" i="65"/>
  <c r="DK30" i="65"/>
  <c r="DK29" i="65"/>
  <c r="DK28" i="65"/>
  <c r="DK27" i="65"/>
  <c r="DK26" i="65"/>
  <c r="DK25" i="65"/>
  <c r="DK24" i="65"/>
  <c r="DK23" i="65"/>
  <c r="DK22" i="65"/>
  <c r="DK21" i="65"/>
  <c r="DK20" i="65"/>
  <c r="CZ32" i="65"/>
  <c r="CZ31" i="65"/>
  <c r="CZ30" i="65"/>
  <c r="CZ29" i="65"/>
  <c r="CZ28" i="65"/>
  <c r="CZ27" i="65"/>
  <c r="CZ26" i="65"/>
  <c r="CZ25" i="65"/>
  <c r="CZ24" i="65"/>
  <c r="CZ23" i="65"/>
  <c r="CZ22" i="65"/>
  <c r="CZ21" i="65"/>
  <c r="CZ20" i="65"/>
  <c r="CO32" i="65"/>
  <c r="CO31" i="65"/>
  <c r="CO30" i="65"/>
  <c r="CO29" i="65"/>
  <c r="CO28" i="65"/>
  <c r="CO27" i="65"/>
  <c r="CO26" i="65"/>
  <c r="CO25" i="65"/>
  <c r="CO24" i="65"/>
  <c r="CO23" i="65"/>
  <c r="CO22" i="65"/>
  <c r="CO21" i="65"/>
  <c r="CO20" i="65"/>
  <c r="CD32" i="65"/>
  <c r="CD31" i="65"/>
  <c r="CD30" i="65"/>
  <c r="CD29" i="65"/>
  <c r="CD28" i="65"/>
  <c r="CD27" i="65"/>
  <c r="CD26" i="65"/>
  <c r="CD25" i="65"/>
  <c r="CD24" i="65"/>
  <c r="CD23" i="65"/>
  <c r="CD22" i="65"/>
  <c r="CD21" i="65"/>
  <c r="CD20" i="65"/>
  <c r="BS32" i="65"/>
  <c r="BS31" i="65"/>
  <c r="BS30" i="65"/>
  <c r="BS29" i="65"/>
  <c r="BS28" i="65"/>
  <c r="BS27" i="65"/>
  <c r="BS26" i="65"/>
  <c r="BS25" i="65"/>
  <c r="BS24" i="65"/>
  <c r="BS23" i="65"/>
  <c r="BS22" i="65"/>
  <c r="BS21" i="65"/>
  <c r="BS20" i="65"/>
  <c r="BH32" i="65"/>
  <c r="BH31" i="65"/>
  <c r="BH30" i="65"/>
  <c r="BH29" i="65"/>
  <c r="BH28" i="65"/>
  <c r="BH27" i="65"/>
  <c r="BH26" i="65"/>
  <c r="BH25" i="65"/>
  <c r="BH24" i="65"/>
  <c r="BH23" i="65"/>
  <c r="BH22" i="65"/>
  <c r="BH21" i="65"/>
  <c r="BH20" i="65"/>
  <c r="AW33" i="65"/>
  <c r="AW32" i="65"/>
  <c r="AW31" i="65"/>
  <c r="AW30" i="65"/>
  <c r="AW29" i="65"/>
  <c r="AW28" i="65"/>
  <c r="AW27" i="65"/>
  <c r="AW26" i="65"/>
  <c r="AW25" i="65"/>
  <c r="AW24" i="65"/>
  <c r="AW23" i="65"/>
  <c r="AW22" i="65"/>
  <c r="AW21" i="65"/>
  <c r="AW20" i="65"/>
  <c r="AL33" i="65"/>
  <c r="AL32" i="65"/>
  <c r="AL31" i="65"/>
  <c r="AL30" i="65"/>
  <c r="AL29" i="65"/>
  <c r="AL28" i="65"/>
  <c r="AL27" i="65"/>
  <c r="AL26" i="65"/>
  <c r="AL25" i="65"/>
  <c r="AL24" i="65"/>
  <c r="AL23" i="65"/>
  <c r="AL22" i="65"/>
  <c r="AL21" i="65"/>
  <c r="AL20" i="65"/>
  <c r="AA32" i="65"/>
  <c r="AA31" i="65"/>
  <c r="AA30" i="65"/>
  <c r="AA29" i="65"/>
  <c r="AA28" i="65"/>
  <c r="AA27" i="65"/>
  <c r="AA26" i="65"/>
  <c r="AA25" i="65"/>
  <c r="AA24" i="65"/>
  <c r="AA23" i="65"/>
  <c r="AA22" i="65"/>
  <c r="AA21" i="65"/>
  <c r="AA20" i="65"/>
  <c r="CZ33" i="65"/>
  <c r="CO33" i="65"/>
  <c r="CY149" i="65"/>
  <c r="CG150" i="65"/>
  <c r="CD33" i="65"/>
  <c r="BY149" i="65"/>
  <c r="BS33" i="65"/>
  <c r="BH33" i="65"/>
  <c r="AY151" i="65"/>
  <c r="EJ40" i="65"/>
  <c r="EK40" i="65"/>
  <c r="EI40" i="65"/>
  <c r="AA33" i="65"/>
  <c r="AI150" i="65"/>
  <c r="AJ150" i="65"/>
  <c r="P33" i="65"/>
  <c r="M14" i="10" l="1"/>
  <c r="N33" i="51"/>
  <c r="DK143" i="65"/>
  <c r="DK144" i="65"/>
  <c r="DU151" i="65"/>
  <c r="DU149" i="65"/>
  <c r="DR151" i="65"/>
  <c r="DR149" i="65"/>
  <c r="DQ151" i="65"/>
  <c r="DQ149" i="65"/>
  <c r="DP151" i="65"/>
  <c r="DP149" i="65"/>
  <c r="DO151" i="65"/>
  <c r="DO149" i="65"/>
  <c r="DN151" i="65"/>
  <c r="DN149" i="65"/>
  <c r="DM151" i="65"/>
  <c r="DE151" i="65"/>
  <c r="DE150" i="65"/>
  <c r="DH149" i="65"/>
  <c r="DC151" i="65"/>
  <c r="DD150" i="65"/>
  <c r="DG149" i="65"/>
  <c r="DB151" i="65"/>
  <c r="DC150" i="65"/>
  <c r="DB150" i="65"/>
  <c r="DJ151" i="65"/>
  <c r="DJ150" i="65"/>
  <c r="DH151" i="65"/>
  <c r="DG151" i="65"/>
  <c r="CZ140" i="65"/>
  <c r="CZ142" i="65"/>
  <c r="CX151" i="65"/>
  <c r="DY146" i="65"/>
  <c r="CV149" i="65"/>
  <c r="CS149" i="65"/>
  <c r="CY151" i="65"/>
  <c r="CY150" i="65"/>
  <c r="CV150" i="65"/>
  <c r="CS150" i="65"/>
  <c r="CR150" i="65"/>
  <c r="CX150" i="65"/>
  <c r="CW150" i="65"/>
  <c r="CT149" i="65"/>
  <c r="CR149" i="65"/>
  <c r="CT150" i="65"/>
  <c r="CQ149" i="65"/>
  <c r="CW151" i="65"/>
  <c r="CQ150" i="65"/>
  <c r="CJ149" i="65"/>
  <c r="CI149" i="65"/>
  <c r="CM151" i="65"/>
  <c r="CG149" i="65"/>
  <c r="CL151" i="65"/>
  <c r="CF149" i="65"/>
  <c r="CK151" i="65"/>
  <c r="CH151" i="65"/>
  <c r="CM150" i="65"/>
  <c r="CG151" i="65"/>
  <c r="CL150" i="65"/>
  <c r="CE149" i="65"/>
  <c r="CE151" i="65"/>
  <c r="BZ151" i="65"/>
  <c r="BY150" i="65"/>
  <c r="BY151" i="65"/>
  <c r="BX150" i="65"/>
  <c r="ED142" i="65"/>
  <c r="CC149" i="65"/>
  <c r="CB149" i="65"/>
  <c r="CC150" i="65"/>
  <c r="CB150" i="65"/>
  <c r="BT150" i="65"/>
  <c r="BK151" i="65"/>
  <c r="BK149" i="65"/>
  <c r="ED148" i="65"/>
  <c r="DY145" i="65"/>
  <c r="BP150" i="65"/>
  <c r="EA148" i="65"/>
  <c r="EC146" i="65"/>
  <c r="EE144" i="65"/>
  <c r="BO150" i="65"/>
  <c r="BN150" i="65"/>
  <c r="BM150" i="65"/>
  <c r="EG147" i="65"/>
  <c r="BL150" i="65"/>
  <c r="BQ150" i="65"/>
  <c r="BR151" i="65"/>
  <c r="BQ151" i="65"/>
  <c r="BP151" i="65"/>
  <c r="DY141" i="65"/>
  <c r="BO151" i="65"/>
  <c r="DZ141" i="65"/>
  <c r="BN151" i="65"/>
  <c r="BM151" i="65"/>
  <c r="BL151" i="65"/>
  <c r="EE148" i="65"/>
  <c r="DY148" i="65"/>
  <c r="EA146" i="65"/>
  <c r="EC144" i="65"/>
  <c r="EF147" i="65"/>
  <c r="DY140" i="65"/>
  <c r="DZ148" i="65"/>
  <c r="EB146" i="65"/>
  <c r="BG151" i="65"/>
  <c r="BF151" i="65"/>
  <c r="BG150" i="65"/>
  <c r="EB144" i="65"/>
  <c r="EA141" i="65"/>
  <c r="BE151" i="65"/>
  <c r="EF141" i="65"/>
  <c r="EE140" i="65"/>
  <c r="ED140" i="65"/>
  <c r="BC151" i="65"/>
  <c r="BD150" i="65"/>
  <c r="BB151" i="65"/>
  <c r="BC150" i="65"/>
  <c r="EG146" i="65"/>
  <c r="DZ145" i="65"/>
  <c r="EB143" i="65"/>
  <c r="EA143" i="65"/>
  <c r="EG142" i="65"/>
  <c r="EG140" i="65"/>
  <c r="BB150" i="65"/>
  <c r="AZ151" i="65"/>
  <c r="BA150" i="65"/>
  <c r="EC148" i="65"/>
  <c r="EE146" i="65"/>
  <c r="EG144" i="65"/>
  <c r="DZ143" i="65"/>
  <c r="EF142" i="65"/>
  <c r="EF140" i="65"/>
  <c r="EB148" i="65"/>
  <c r="ED146" i="65"/>
  <c r="DW145" i="65"/>
  <c r="EF144" i="65"/>
  <c r="DY143" i="65"/>
  <c r="EE142" i="65"/>
  <c r="DX146" i="65"/>
  <c r="AX151" i="65"/>
  <c r="DX144" i="65"/>
  <c r="AX150" i="65"/>
  <c r="AO149" i="65"/>
  <c r="EK149" i="65" s="1"/>
  <c r="N24" i="10" s="1"/>
  <c r="AR150" i="65"/>
  <c r="EN150" i="65" s="1"/>
  <c r="AN149" i="65"/>
  <c r="EJ149" i="65" s="1"/>
  <c r="AV151" i="65"/>
  <c r="ER151" i="65" s="1"/>
  <c r="AQ150" i="65"/>
  <c r="EM150" i="65" s="1"/>
  <c r="AO150" i="65"/>
  <c r="EK150" i="65" s="1"/>
  <c r="AN150" i="65"/>
  <c r="EJ150" i="65" s="1"/>
  <c r="AR151" i="65"/>
  <c r="EN151" i="65" s="1"/>
  <c r="AQ151" i="65"/>
  <c r="EM151" i="65" s="1"/>
  <c r="AV149" i="65"/>
  <c r="ER149" i="65" s="1"/>
  <c r="AN151" i="65"/>
  <c r="EJ151" i="65" s="1"/>
  <c r="AV150" i="65"/>
  <c r="ER150" i="65" s="1"/>
  <c r="AR149" i="65"/>
  <c r="EN149" i="65" s="1"/>
  <c r="AQ149" i="65"/>
  <c r="EM149" i="65" s="1"/>
  <c r="N19" i="10" s="1"/>
  <c r="AM149" i="65"/>
  <c r="EI149" i="65" s="1"/>
  <c r="AM150" i="65"/>
  <c r="EI150" i="65" s="1"/>
  <c r="AM151" i="65"/>
  <c r="EI151" i="65" s="1"/>
  <c r="AH150" i="65"/>
  <c r="EC147" i="65"/>
  <c r="EE145" i="65"/>
  <c r="EG143" i="65"/>
  <c r="DY142" i="65"/>
  <c r="EB147" i="65"/>
  <c r="ED145" i="65"/>
  <c r="EF143" i="65"/>
  <c r="EE141" i="65"/>
  <c r="ED139" i="65"/>
  <c r="AF150" i="65"/>
  <c r="EA147" i="65"/>
  <c r="EC145" i="65"/>
  <c r="EE143" i="65"/>
  <c r="ED141" i="65"/>
  <c r="EC139" i="65"/>
  <c r="M43" i="51" s="1"/>
  <c r="AE150" i="65"/>
  <c r="EG148" i="65"/>
  <c r="DZ147" i="65"/>
  <c r="EB145" i="65"/>
  <c r="EC141" i="65"/>
  <c r="AD150" i="65"/>
  <c r="AK149" i="65"/>
  <c r="EF148" i="65"/>
  <c r="DY147" i="65"/>
  <c r="EA145" i="65"/>
  <c r="EC143" i="65"/>
  <c r="EB141" i="65"/>
  <c r="AJ149" i="65"/>
  <c r="AJ151" i="65"/>
  <c r="AF149" i="65"/>
  <c r="AI151" i="65"/>
  <c r="AE149" i="65"/>
  <c r="EC140" i="65"/>
  <c r="AD149" i="65"/>
  <c r="EB140" i="65"/>
  <c r="DZ146" i="65"/>
  <c r="EA140" i="65"/>
  <c r="EB142" i="65"/>
  <c r="DZ140" i="65"/>
  <c r="EE147" i="65"/>
  <c r="EG145" i="65"/>
  <c r="DZ144" i="65"/>
  <c r="EA142" i="65"/>
  <c r="EG139" i="65"/>
  <c r="M51" i="51" s="1"/>
  <c r="ED147" i="65"/>
  <c r="EF145" i="65"/>
  <c r="DY144" i="65"/>
  <c r="EG141" i="65"/>
  <c r="EF139" i="65"/>
  <c r="DX145" i="65"/>
  <c r="DX148" i="65"/>
  <c r="DX147" i="65"/>
  <c r="AA142" i="65"/>
  <c r="AA140" i="65"/>
  <c r="DX143" i="65"/>
  <c r="DX141" i="65"/>
  <c r="DX139" i="65"/>
  <c r="M11" i="51" s="1"/>
  <c r="AB151" i="65"/>
  <c r="AB149" i="65"/>
  <c r="DW144" i="65"/>
  <c r="DX142" i="65"/>
  <c r="DX140" i="65"/>
  <c r="Z151" i="65"/>
  <c r="EC142" i="65"/>
  <c r="EE139" i="65"/>
  <c r="M56" i="51" s="1"/>
  <c r="Y151" i="65"/>
  <c r="X151" i="65"/>
  <c r="W151" i="65"/>
  <c r="EF146" i="65"/>
  <c r="ED143" i="65"/>
  <c r="Z149" i="65"/>
  <c r="EG149" i="65" s="1"/>
  <c r="ED40" i="65"/>
  <c r="EG40" i="65"/>
  <c r="X149" i="65"/>
  <c r="W149" i="65"/>
  <c r="ED149" i="65" s="1"/>
  <c r="ED144" i="65"/>
  <c r="U149" i="65"/>
  <c r="U150" i="65"/>
  <c r="DZ139" i="65"/>
  <c r="M24" i="51" s="1"/>
  <c r="EA139" i="65"/>
  <c r="EA144" i="65"/>
  <c r="DY139" i="65"/>
  <c r="DZ142" i="65"/>
  <c r="EB139" i="65"/>
  <c r="M19" i="51" s="1"/>
  <c r="P142" i="65"/>
  <c r="DW139" i="65"/>
  <c r="P140" i="65"/>
  <c r="Q151" i="65"/>
  <c r="Q150" i="65"/>
  <c r="DW143" i="65"/>
  <c r="N150" i="65"/>
  <c r="L150" i="65"/>
  <c r="K150" i="65"/>
  <c r="O149" i="65"/>
  <c r="N149" i="65"/>
  <c r="M65" i="10"/>
  <c r="M149" i="65"/>
  <c r="L149" i="65"/>
  <c r="K149" i="65"/>
  <c r="H150" i="65"/>
  <c r="G150" i="65"/>
  <c r="J149" i="65"/>
  <c r="I149" i="65"/>
  <c r="G149" i="65"/>
  <c r="M33" i="51"/>
  <c r="M74" i="51" s="1"/>
  <c r="N33" i="10"/>
  <c r="E151" i="65"/>
  <c r="E149" i="65"/>
  <c r="D151" i="65"/>
  <c r="D150" i="65"/>
  <c r="D149" i="65"/>
  <c r="N75" i="51"/>
  <c r="EH36" i="65"/>
  <c r="EB40" i="65"/>
  <c r="DW38" i="65"/>
  <c r="EF38" i="65"/>
  <c r="ER36" i="65"/>
  <c r="DK37" i="65"/>
  <c r="EG37" i="65"/>
  <c r="EB36" i="65"/>
  <c r="DX36" i="65"/>
  <c r="CO34" i="65"/>
  <c r="DW34" i="65" s="1"/>
  <c r="CD37" i="65"/>
  <c r="DW39" i="65"/>
  <c r="BS37" i="65"/>
  <c r="AL37" i="65"/>
  <c r="CO35" i="65"/>
  <c r="CZ36" i="65"/>
  <c r="EC37" i="65"/>
  <c r="CO36" i="65"/>
  <c r="EM37" i="65"/>
  <c r="BH34" i="65"/>
  <c r="BH36" i="65"/>
  <c r="CO37" i="65"/>
  <c r="EG36" i="65"/>
  <c r="EC34" i="65"/>
  <c r="EC39" i="65"/>
  <c r="DK35" i="65"/>
  <c r="EE38" i="65"/>
  <c r="CD35" i="65"/>
  <c r="BH37" i="65"/>
  <c r="BS35" i="65"/>
  <c r="AW37" i="65"/>
  <c r="EC38" i="65"/>
  <c r="CZ34" i="65"/>
  <c r="P35" i="65"/>
  <c r="EB149" i="65" l="1"/>
  <c r="N11" i="10"/>
  <c r="N32" i="10" s="1"/>
  <c r="N43" i="10"/>
  <c r="N64" i="10" s="1"/>
  <c r="N51" i="10"/>
  <c r="N54" i="10" s="1"/>
  <c r="ED150" i="65"/>
  <c r="N65" i="51"/>
  <c r="N74" i="51" s="1"/>
  <c r="DK147" i="65"/>
  <c r="DW147" i="65" s="1"/>
  <c r="DK146" i="65"/>
  <c r="DW146" i="65" s="1"/>
  <c r="DK148" i="65"/>
  <c r="DW148" i="65" s="1"/>
  <c r="M14" i="51"/>
  <c r="DK142" i="65"/>
  <c r="DK140" i="65"/>
  <c r="DK141" i="65"/>
  <c r="ED151" i="65"/>
  <c r="DI150" i="65"/>
  <c r="EF150" i="65" s="1"/>
  <c r="DI151" i="65"/>
  <c r="EF151" i="65" s="1"/>
  <c r="DI149" i="65"/>
  <c r="EF149" i="65" s="1"/>
  <c r="DF151" i="65"/>
  <c r="DF149" i="65"/>
  <c r="DF150" i="65"/>
  <c r="EF40" i="65"/>
  <c r="CZ151" i="65"/>
  <c r="CZ149" i="65"/>
  <c r="CZ150" i="65"/>
  <c r="CU151" i="65"/>
  <c r="CU150" i="65"/>
  <c r="CU149" i="65"/>
  <c r="CO140" i="65"/>
  <c r="CO141" i="65"/>
  <c r="CO142" i="65"/>
  <c r="CP151" i="65"/>
  <c r="CP150" i="65"/>
  <c r="CP149" i="65"/>
  <c r="CD142" i="65"/>
  <c r="CD140" i="65"/>
  <c r="CD141" i="65"/>
  <c r="EG150" i="65"/>
  <c r="BV151" i="65"/>
  <c r="BV150" i="65"/>
  <c r="BV149" i="65"/>
  <c r="BU151" i="65"/>
  <c r="BU150" i="65"/>
  <c r="BU149" i="65"/>
  <c r="EE40" i="65"/>
  <c r="CA150" i="65"/>
  <c r="EE150" i="65" s="1"/>
  <c r="CA151" i="65"/>
  <c r="EE151" i="65" s="1"/>
  <c r="CA149" i="65"/>
  <c r="EE149" i="65" s="1"/>
  <c r="BS140" i="65"/>
  <c r="BS141" i="65"/>
  <c r="BS142" i="65"/>
  <c r="EB151" i="65"/>
  <c r="M46" i="51"/>
  <c r="BH142" i="65"/>
  <c r="BH140" i="65"/>
  <c r="BH141" i="65"/>
  <c r="DX40" i="65"/>
  <c r="BI149" i="65"/>
  <c r="BI151" i="65"/>
  <c r="BI150" i="65"/>
  <c r="EG151" i="65"/>
  <c r="EB150" i="65"/>
  <c r="DW37" i="65"/>
  <c r="AW141" i="65"/>
  <c r="AW142" i="65"/>
  <c r="AW140" i="65"/>
  <c r="N22" i="10"/>
  <c r="N27" i="10"/>
  <c r="EL40" i="65"/>
  <c r="AP149" i="65"/>
  <c r="EL149" i="65" s="1"/>
  <c r="N14" i="10" s="1"/>
  <c r="AP151" i="65"/>
  <c r="EL151" i="65" s="1"/>
  <c r="AP150" i="65"/>
  <c r="EL150" i="65" s="1"/>
  <c r="EP40" i="65"/>
  <c r="AT150" i="65"/>
  <c r="EP150" i="65" s="1"/>
  <c r="AT149" i="65"/>
  <c r="EP149" i="65" s="1"/>
  <c r="N56" i="10" s="1"/>
  <c r="AT151" i="65"/>
  <c r="EP151" i="65" s="1"/>
  <c r="EQ40" i="65"/>
  <c r="AU150" i="65"/>
  <c r="EQ150" i="65" s="1"/>
  <c r="AU149" i="65"/>
  <c r="EQ149" i="65" s="1"/>
  <c r="AU151" i="65"/>
  <c r="EQ151" i="65" s="1"/>
  <c r="EO40" i="65"/>
  <c r="AS149" i="65"/>
  <c r="EO149" i="65" s="1"/>
  <c r="AS151" i="65"/>
  <c r="EO151" i="65" s="1"/>
  <c r="AS150" i="65"/>
  <c r="EO150" i="65" s="1"/>
  <c r="N30" i="10"/>
  <c r="EH37" i="65"/>
  <c r="AL142" i="65"/>
  <c r="EH142" i="65" s="1"/>
  <c r="AL140" i="65"/>
  <c r="EH140" i="65" s="1"/>
  <c r="AL141" i="65"/>
  <c r="EH141" i="65" s="1"/>
  <c r="EC40" i="65"/>
  <c r="AG151" i="65"/>
  <c r="AG149" i="65"/>
  <c r="EC149" i="65" s="1"/>
  <c r="AG150" i="65"/>
  <c r="DY40" i="65"/>
  <c r="AC149" i="65"/>
  <c r="AC150" i="65"/>
  <c r="AC151" i="65"/>
  <c r="AA149" i="65"/>
  <c r="AA151" i="65"/>
  <c r="AA150" i="65"/>
  <c r="EA40" i="65"/>
  <c r="T150" i="65"/>
  <c r="EA150" i="65" s="1"/>
  <c r="T149" i="65"/>
  <c r="EA149" i="65" s="1"/>
  <c r="T151" i="65"/>
  <c r="EA151" i="65" s="1"/>
  <c r="DZ40" i="65"/>
  <c r="S151" i="65"/>
  <c r="DZ151" i="65" s="1"/>
  <c r="S150" i="65"/>
  <c r="DZ150" i="65" s="1"/>
  <c r="S149" i="65"/>
  <c r="N65" i="10"/>
  <c r="N35" i="10"/>
  <c r="N67" i="51"/>
  <c r="DW35" i="65"/>
  <c r="DW36" i="65"/>
  <c r="N56" i="51" l="1"/>
  <c r="DX151" i="65"/>
  <c r="EC151" i="65"/>
  <c r="N46" i="51"/>
  <c r="N49" i="51" s="1"/>
  <c r="DY151" i="65"/>
  <c r="N19" i="51"/>
  <c r="N22" i="51" s="1"/>
  <c r="N51" i="51"/>
  <c r="N54" i="51" s="1"/>
  <c r="DK150" i="65"/>
  <c r="DK149" i="65"/>
  <c r="DK151" i="65"/>
  <c r="EC150" i="65"/>
  <c r="N43" i="51"/>
  <c r="N64" i="51" s="1"/>
  <c r="N62" i="51" s="1"/>
  <c r="CO151" i="65"/>
  <c r="CO150" i="65"/>
  <c r="CO149" i="65"/>
  <c r="DX150" i="65"/>
  <c r="DX149" i="65"/>
  <c r="DW140" i="65"/>
  <c r="CD150" i="65"/>
  <c r="CD151" i="65"/>
  <c r="CD149" i="65"/>
  <c r="DY150" i="65"/>
  <c r="DZ149" i="65"/>
  <c r="N24" i="51" s="1"/>
  <c r="N27" i="51" s="1"/>
  <c r="DY149" i="65"/>
  <c r="DW141" i="65"/>
  <c r="DW142" i="65"/>
  <c r="BS150" i="65"/>
  <c r="BS151" i="65"/>
  <c r="BS149" i="65"/>
  <c r="BH149" i="65"/>
  <c r="BH151" i="65"/>
  <c r="BH150" i="65"/>
  <c r="AW149" i="65"/>
  <c r="AW150" i="65"/>
  <c r="AW151" i="65"/>
  <c r="N17" i="10"/>
  <c r="N57" i="10"/>
  <c r="N59" i="10"/>
  <c r="N46" i="10"/>
  <c r="EH40" i="65"/>
  <c r="AL150" i="65"/>
  <c r="EH150" i="65" s="1"/>
  <c r="AL149" i="65"/>
  <c r="EH149" i="65" s="1"/>
  <c r="AL151" i="65"/>
  <c r="EH151" i="65" s="1"/>
  <c r="N59" i="51"/>
  <c r="N57" i="51"/>
  <c r="N60" i="51" s="1"/>
  <c r="N62" i="10"/>
  <c r="N67" i="10"/>
  <c r="N74" i="10"/>
  <c r="O74" i="51"/>
  <c r="N11" i="51" l="1"/>
  <c r="N32" i="51" s="1"/>
  <c r="N30" i="51" s="1"/>
  <c r="N14" i="51"/>
  <c r="N17" i="51" s="1"/>
  <c r="N49" i="10"/>
  <c r="N60" i="10"/>
  <c r="O74" i="10"/>
  <c r="P74" i="10"/>
  <c r="Q74" i="10" s="1"/>
  <c r="R74" i="10" s="1"/>
  <c r="S74" i="10" s="1"/>
  <c r="W67" i="10"/>
  <c r="U67" i="10"/>
  <c r="V67" i="10"/>
  <c r="T67" i="10"/>
  <c r="X67" i="10"/>
  <c r="P74" i="51"/>
  <c r="Q74" i="51" l="1"/>
  <c r="R74" i="51" s="1"/>
  <c r="S74" i="51" s="1"/>
  <c r="BR44" i="14" l="1"/>
  <c r="BV44" i="14"/>
  <c r="BR56" i="14"/>
  <c r="BV56" i="14"/>
  <c r="C56" i="14"/>
  <c r="G56" i="14"/>
  <c r="K56" i="14"/>
  <c r="O56" i="14"/>
  <c r="U56" i="14"/>
  <c r="AA56" i="14"/>
  <c r="AG56" i="14"/>
  <c r="AK56" i="14"/>
  <c r="AT56" i="14"/>
  <c r="AX56" i="14"/>
  <c r="BB56" i="14"/>
  <c r="BH56" i="14"/>
  <c r="BN56" i="14"/>
  <c r="K44" i="14"/>
  <c r="I110" i="35"/>
  <c r="I111" i="35"/>
  <c r="I112" i="35"/>
  <c r="I113" i="35"/>
  <c r="I114" i="35"/>
  <c r="I115" i="35"/>
  <c r="I116" i="35"/>
  <c r="I117" i="35"/>
  <c r="I118" i="35"/>
  <c r="I119" i="35"/>
  <c r="I120" i="35"/>
  <c r="I121" i="35"/>
  <c r="A110" i="34"/>
  <c r="A111" i="34"/>
  <c r="A112" i="34"/>
  <c r="A113" i="34"/>
  <c r="A114" i="34"/>
  <c r="A115" i="34"/>
  <c r="A116" i="34"/>
  <c r="A117" i="34"/>
  <c r="A118" i="34"/>
  <c r="A119" i="34"/>
  <c r="A120" i="34"/>
  <c r="A121" i="34"/>
  <c r="A110" i="33"/>
  <c r="E110" i="33"/>
  <c r="H110" i="33"/>
  <c r="A111" i="33"/>
  <c r="E111" i="33"/>
  <c r="H111" i="33"/>
  <c r="A112" i="33"/>
  <c r="E112" i="33"/>
  <c r="H112" i="33"/>
  <c r="A113" i="33"/>
  <c r="E113" i="33"/>
  <c r="H113" i="33"/>
  <c r="A114" i="33"/>
  <c r="E114" i="33"/>
  <c r="H114" i="33"/>
  <c r="A115" i="33"/>
  <c r="E115" i="33"/>
  <c r="H115" i="33"/>
  <c r="A116" i="33"/>
  <c r="E116" i="33"/>
  <c r="H116" i="33"/>
  <c r="A117" i="33"/>
  <c r="E117" i="33"/>
  <c r="H117" i="33"/>
  <c r="A118" i="33"/>
  <c r="E118" i="33"/>
  <c r="H118" i="33"/>
  <c r="A119" i="33"/>
  <c r="E119" i="33"/>
  <c r="H119" i="33"/>
  <c r="A120" i="33"/>
  <c r="E120" i="33"/>
  <c r="H120" i="33"/>
  <c r="A121" i="33"/>
  <c r="E121" i="33"/>
  <c r="H121" i="33"/>
  <c r="A110" i="32"/>
  <c r="F110" i="32"/>
  <c r="A111" i="32"/>
  <c r="F111" i="32"/>
  <c r="A112" i="32"/>
  <c r="F112" i="32"/>
  <c r="A113" i="32"/>
  <c r="F113" i="32"/>
  <c r="A114" i="32"/>
  <c r="F114" i="32"/>
  <c r="A115" i="32"/>
  <c r="F115" i="32"/>
  <c r="A116" i="32"/>
  <c r="F116" i="32"/>
  <c r="A117" i="32"/>
  <c r="F117" i="32"/>
  <c r="A118" i="32"/>
  <c r="F118" i="32"/>
  <c r="A119" i="32"/>
  <c r="F119" i="32"/>
  <c r="A120" i="32"/>
  <c r="F120" i="32"/>
  <c r="A121" i="32"/>
  <c r="F121" i="32"/>
  <c r="A110" i="30"/>
  <c r="G110" i="30"/>
  <c r="A111" i="30"/>
  <c r="G111" i="30"/>
  <c r="A112" i="30"/>
  <c r="G112" i="30"/>
  <c r="A113" i="30"/>
  <c r="G113" i="30"/>
  <c r="A114" i="30"/>
  <c r="G114" i="30"/>
  <c r="A115" i="30"/>
  <c r="G115" i="30"/>
  <c r="A116" i="30"/>
  <c r="G116" i="30"/>
  <c r="A117" i="30"/>
  <c r="G117" i="30"/>
  <c r="A118" i="30"/>
  <c r="G118" i="30"/>
  <c r="A119" i="30"/>
  <c r="G119" i="30"/>
  <c r="A120" i="30"/>
  <c r="G120" i="30"/>
  <c r="A121" i="30"/>
  <c r="G121" i="30"/>
  <c r="A121" i="28"/>
  <c r="A109" i="28"/>
  <c r="B109" i="28"/>
  <c r="C109" i="28"/>
  <c r="A110" i="28"/>
  <c r="A111" i="28"/>
  <c r="A112" i="28"/>
  <c r="A113" i="28"/>
  <c r="A114" i="28"/>
  <c r="A115" i="28"/>
  <c r="A116" i="28"/>
  <c r="A117" i="28"/>
  <c r="A118" i="28"/>
  <c r="A119" i="28"/>
  <c r="A120" i="28"/>
  <c r="A106" i="28"/>
  <c r="B106" i="28"/>
  <c r="C106" i="28"/>
  <c r="J106" i="28"/>
  <c r="A107" i="28"/>
  <c r="B107" i="28"/>
  <c r="C107" i="28"/>
  <c r="J107" i="28"/>
  <c r="A108" i="28"/>
  <c r="B108" i="28"/>
  <c r="C108" i="28"/>
  <c r="J108" i="28"/>
  <c r="A110" i="26"/>
  <c r="I110" i="26"/>
  <c r="A111" i="26"/>
  <c r="I111" i="26"/>
  <c r="A112" i="26"/>
  <c r="I112" i="26"/>
  <c r="A113" i="26"/>
  <c r="I113" i="26"/>
  <c r="A114" i="26"/>
  <c r="I114" i="26"/>
  <c r="A115" i="26"/>
  <c r="I115" i="26"/>
  <c r="A116" i="26"/>
  <c r="I116" i="26"/>
  <c r="A117" i="26"/>
  <c r="I117" i="26"/>
  <c r="A118" i="26"/>
  <c r="I118" i="26"/>
  <c r="A119" i="26"/>
  <c r="I119" i="26"/>
  <c r="A120" i="26"/>
  <c r="I120" i="26"/>
  <c r="A121" i="26"/>
  <c r="F121" i="26"/>
  <c r="K121" i="26" s="1"/>
  <c r="I121" i="26"/>
  <c r="A110" i="25"/>
  <c r="H110" i="25"/>
  <c r="O110" i="25" s="1"/>
  <c r="K110" i="25"/>
  <c r="A111" i="25"/>
  <c r="H111" i="25"/>
  <c r="O111" i="25" s="1"/>
  <c r="K111" i="25"/>
  <c r="A112" i="25"/>
  <c r="H112" i="25"/>
  <c r="O112" i="25" s="1"/>
  <c r="K112" i="25"/>
  <c r="A113" i="25"/>
  <c r="H113" i="25"/>
  <c r="O113" i="25" s="1"/>
  <c r="K113" i="25"/>
  <c r="A114" i="25"/>
  <c r="H114" i="25"/>
  <c r="O114" i="25" s="1"/>
  <c r="K114" i="25"/>
  <c r="A115" i="25"/>
  <c r="H115" i="25"/>
  <c r="K115" i="25"/>
  <c r="O115" i="25"/>
  <c r="A116" i="25"/>
  <c r="H116" i="25"/>
  <c r="O116" i="25" s="1"/>
  <c r="K116" i="25"/>
  <c r="A117" i="25"/>
  <c r="H117" i="25"/>
  <c r="O117" i="25" s="1"/>
  <c r="K117" i="25"/>
  <c r="A118" i="25"/>
  <c r="H118" i="25"/>
  <c r="O118" i="25" s="1"/>
  <c r="K118" i="25"/>
  <c r="A119" i="25"/>
  <c r="H119" i="25"/>
  <c r="O119" i="25" s="1"/>
  <c r="K119" i="25"/>
  <c r="A120" i="25"/>
  <c r="H120" i="25"/>
  <c r="O120" i="25" s="1"/>
  <c r="K120" i="25"/>
  <c r="A121" i="25"/>
  <c r="H121" i="25"/>
  <c r="O121" i="25" s="1"/>
  <c r="K121" i="25"/>
  <c r="A110" i="24"/>
  <c r="I110" i="24"/>
  <c r="Q110" i="24" s="1"/>
  <c r="L110" i="24"/>
  <c r="A111" i="24"/>
  <c r="I111" i="24"/>
  <c r="Q111" i="24" s="1"/>
  <c r="L111" i="24"/>
  <c r="A112" i="24"/>
  <c r="I112" i="24"/>
  <c r="Q112" i="24" s="1"/>
  <c r="L112" i="24"/>
  <c r="A113" i="24"/>
  <c r="I113" i="24"/>
  <c r="Q113" i="24" s="1"/>
  <c r="L113" i="24"/>
  <c r="A114" i="24"/>
  <c r="I114" i="24"/>
  <c r="Q114" i="24" s="1"/>
  <c r="L114" i="24"/>
  <c r="A115" i="24"/>
  <c r="I115" i="24"/>
  <c r="L115" i="24"/>
  <c r="Q115" i="24"/>
  <c r="A116" i="24"/>
  <c r="I116" i="24"/>
  <c r="Q116" i="24" s="1"/>
  <c r="L116" i="24"/>
  <c r="A117" i="24"/>
  <c r="I117" i="24"/>
  <c r="Q117" i="24" s="1"/>
  <c r="L117" i="24"/>
  <c r="A118" i="24"/>
  <c r="I118" i="24"/>
  <c r="Q118" i="24" s="1"/>
  <c r="L118" i="24"/>
  <c r="A119" i="24"/>
  <c r="I119" i="24"/>
  <c r="Q119" i="24" s="1"/>
  <c r="L119" i="24"/>
  <c r="A120" i="24"/>
  <c r="I120" i="24"/>
  <c r="Q120" i="24" s="1"/>
  <c r="L120" i="24"/>
  <c r="A121" i="24"/>
  <c r="I121" i="24"/>
  <c r="Q121" i="24" s="1"/>
  <c r="L121" i="24"/>
  <c r="A109" i="23"/>
  <c r="B109" i="23"/>
  <c r="C109" i="23"/>
  <c r="M109" i="23"/>
  <c r="A110" i="23"/>
  <c r="M110" i="23"/>
  <c r="A111" i="23"/>
  <c r="M111" i="23"/>
  <c r="A112" i="23"/>
  <c r="M112" i="23"/>
  <c r="A113" i="23"/>
  <c r="M113" i="23"/>
  <c r="A114" i="23"/>
  <c r="M114" i="23"/>
  <c r="A115" i="23"/>
  <c r="M115" i="23"/>
  <c r="A116" i="23"/>
  <c r="M116" i="23"/>
  <c r="A117" i="23"/>
  <c r="M117" i="23"/>
  <c r="A118" i="23"/>
  <c r="M118" i="23"/>
  <c r="A119" i="23"/>
  <c r="M119" i="23"/>
  <c r="A120" i="23"/>
  <c r="M120" i="23"/>
  <c r="A121" i="23"/>
  <c r="M121" i="23"/>
  <c r="A109" i="22"/>
  <c r="B109" i="22"/>
  <c r="C109" i="22"/>
  <c r="E109" i="22"/>
  <c r="K109" i="22" s="1"/>
  <c r="H109" i="22"/>
  <c r="N109" i="22" s="1"/>
  <c r="J109" i="22"/>
  <c r="A110" i="22"/>
  <c r="E110" i="22"/>
  <c r="K110" i="22" s="1"/>
  <c r="H110" i="22"/>
  <c r="N110" i="22" s="1"/>
  <c r="J110" i="22"/>
  <c r="A111" i="22"/>
  <c r="E111" i="22"/>
  <c r="H111" i="22"/>
  <c r="N111" i="22" s="1"/>
  <c r="J111" i="22"/>
  <c r="K111" i="22"/>
  <c r="A112" i="22"/>
  <c r="E112" i="22"/>
  <c r="H112" i="22"/>
  <c r="J112" i="22"/>
  <c r="K112" i="22"/>
  <c r="N112" i="22"/>
  <c r="A113" i="22"/>
  <c r="E113" i="22"/>
  <c r="K113" i="22" s="1"/>
  <c r="H113" i="22"/>
  <c r="N113" i="22" s="1"/>
  <c r="J113" i="22"/>
  <c r="A114" i="22"/>
  <c r="E114" i="22"/>
  <c r="H114" i="22"/>
  <c r="J114" i="22"/>
  <c r="K114" i="22"/>
  <c r="N114" i="22"/>
  <c r="A115" i="22"/>
  <c r="E115" i="22"/>
  <c r="K115" i="22" s="1"/>
  <c r="H115" i="22"/>
  <c r="N115" i="22" s="1"/>
  <c r="J115" i="22"/>
  <c r="A116" i="22"/>
  <c r="E116" i="22"/>
  <c r="K116" i="22" s="1"/>
  <c r="H116" i="22"/>
  <c r="N116" i="22" s="1"/>
  <c r="J116" i="22"/>
  <c r="A117" i="22"/>
  <c r="E117" i="22"/>
  <c r="H117" i="22"/>
  <c r="N117" i="22" s="1"/>
  <c r="J117" i="22"/>
  <c r="K117" i="22"/>
  <c r="A118" i="22"/>
  <c r="E118" i="22"/>
  <c r="K118" i="22" s="1"/>
  <c r="H118" i="22"/>
  <c r="N118" i="22" s="1"/>
  <c r="J118" i="22"/>
  <c r="A119" i="22"/>
  <c r="E119" i="22"/>
  <c r="H119" i="22"/>
  <c r="N119" i="22" s="1"/>
  <c r="J119" i="22"/>
  <c r="K119" i="22"/>
  <c r="A120" i="22"/>
  <c r="E120" i="22"/>
  <c r="H120" i="22"/>
  <c r="N120" i="22" s="1"/>
  <c r="J120" i="22"/>
  <c r="K120" i="22"/>
  <c r="A121" i="22"/>
  <c r="E121" i="22"/>
  <c r="H121" i="22"/>
  <c r="N121" i="22" s="1"/>
  <c r="J121" i="22"/>
  <c r="K121" i="22"/>
  <c r="A110" i="21"/>
  <c r="F110" i="21"/>
  <c r="J110" i="21" s="1"/>
  <c r="H110" i="21"/>
  <c r="A111" i="21"/>
  <c r="F111" i="21"/>
  <c r="J111" i="21" s="1"/>
  <c r="H111" i="21"/>
  <c r="A112" i="21"/>
  <c r="F112" i="21"/>
  <c r="J112" i="21" s="1"/>
  <c r="H112" i="21"/>
  <c r="A113" i="21"/>
  <c r="F113" i="21"/>
  <c r="J113" i="21" s="1"/>
  <c r="H113" i="21"/>
  <c r="A114" i="21"/>
  <c r="F114" i="21"/>
  <c r="J114" i="21" s="1"/>
  <c r="H114" i="21"/>
  <c r="A115" i="21"/>
  <c r="F115" i="21"/>
  <c r="J115" i="21" s="1"/>
  <c r="H115" i="21"/>
  <c r="A116" i="21"/>
  <c r="F116" i="21"/>
  <c r="J116" i="21" s="1"/>
  <c r="H116" i="21"/>
  <c r="A117" i="21"/>
  <c r="F117" i="21"/>
  <c r="J117" i="21" s="1"/>
  <c r="H117" i="21"/>
  <c r="A118" i="21"/>
  <c r="F118" i="21"/>
  <c r="J118" i="21" s="1"/>
  <c r="H118" i="21"/>
  <c r="A119" i="21"/>
  <c r="F119" i="21"/>
  <c r="J119" i="21" s="1"/>
  <c r="H119" i="21"/>
  <c r="A120" i="21"/>
  <c r="F120" i="21"/>
  <c r="J120" i="21" s="1"/>
  <c r="H120" i="21"/>
  <c r="A121" i="21"/>
  <c r="F121" i="21"/>
  <c r="J121" i="21" s="1"/>
  <c r="H121" i="21"/>
  <c r="A110" i="20"/>
  <c r="L110" i="20"/>
  <c r="A111" i="20"/>
  <c r="L111" i="20"/>
  <c r="A112" i="20"/>
  <c r="L112" i="20"/>
  <c r="A113" i="20"/>
  <c r="L113" i="20"/>
  <c r="A114" i="20"/>
  <c r="L114" i="20"/>
  <c r="A115" i="20"/>
  <c r="L115" i="20"/>
  <c r="A116" i="20"/>
  <c r="L116" i="20"/>
  <c r="A117" i="20"/>
  <c r="L117" i="20"/>
  <c r="A118" i="20"/>
  <c r="L118" i="20"/>
  <c r="A119" i="20"/>
  <c r="L119" i="20"/>
  <c r="A120" i="20"/>
  <c r="L120" i="20"/>
  <c r="A121" i="20"/>
  <c r="L121" i="20"/>
  <c r="A110" i="18"/>
  <c r="G110" i="18"/>
  <c r="N110" i="18" s="1"/>
  <c r="K110" i="18"/>
  <c r="A111" i="18"/>
  <c r="G111" i="18"/>
  <c r="K111" i="18"/>
  <c r="N111" i="18"/>
  <c r="A112" i="18"/>
  <c r="G112" i="18"/>
  <c r="N112" i="18" s="1"/>
  <c r="K112" i="18"/>
  <c r="A113" i="18"/>
  <c r="G113" i="18"/>
  <c r="N113" i="18" s="1"/>
  <c r="K113" i="18"/>
  <c r="A114" i="18"/>
  <c r="G114" i="18"/>
  <c r="N114" i="18" s="1"/>
  <c r="K114" i="18"/>
  <c r="A115" i="18"/>
  <c r="G115" i="18"/>
  <c r="K115" i="18"/>
  <c r="N115" i="18"/>
  <c r="A116" i="18"/>
  <c r="G116" i="18"/>
  <c r="N116" i="18" s="1"/>
  <c r="K116" i="18"/>
  <c r="A117" i="18"/>
  <c r="G117" i="18"/>
  <c r="N117" i="18" s="1"/>
  <c r="K117" i="18"/>
  <c r="A118" i="18"/>
  <c r="G118" i="18"/>
  <c r="N118" i="18" s="1"/>
  <c r="K118" i="18"/>
  <c r="A119" i="18"/>
  <c r="G119" i="18"/>
  <c r="N119" i="18" s="1"/>
  <c r="K119" i="18"/>
  <c r="A120" i="18"/>
  <c r="G120" i="18"/>
  <c r="N120" i="18" s="1"/>
  <c r="K120" i="18"/>
  <c r="A121" i="18"/>
  <c r="G121" i="18"/>
  <c r="N121" i="18" s="1"/>
  <c r="K121" i="18"/>
  <c r="A110" i="19"/>
  <c r="L110" i="19"/>
  <c r="A111" i="19"/>
  <c r="L111" i="19"/>
  <c r="A112" i="19"/>
  <c r="L112" i="19"/>
  <c r="A113" i="19"/>
  <c r="L113" i="19"/>
  <c r="A114" i="19"/>
  <c r="L114" i="19"/>
  <c r="A115" i="19"/>
  <c r="L115" i="19"/>
  <c r="A116" i="19"/>
  <c r="L116" i="19"/>
  <c r="A117" i="19"/>
  <c r="L117" i="19"/>
  <c r="A118" i="19"/>
  <c r="L118" i="19"/>
  <c r="A119" i="19"/>
  <c r="L119" i="19"/>
  <c r="A120" i="19"/>
  <c r="L120" i="19"/>
  <c r="A121" i="19"/>
  <c r="L121" i="19"/>
  <c r="FU121" i="2"/>
  <c r="FV121" i="2"/>
  <c r="FW121" i="2"/>
  <c r="GA121" i="2"/>
  <c r="GB121" i="2"/>
  <c r="GC121" i="2"/>
  <c r="GD121" i="2"/>
  <c r="DQ110" i="2" l="1"/>
  <c r="DQ111" i="2"/>
  <c r="DQ112" i="2"/>
  <c r="DQ113" i="2"/>
  <c r="DQ114" i="2"/>
  <c r="DQ115" i="2"/>
  <c r="DQ116" i="2"/>
  <c r="DQ117" i="2"/>
  <c r="DQ118" i="2"/>
  <c r="DQ119" i="2"/>
  <c r="DQ120" i="2"/>
  <c r="DQ121" i="2"/>
  <c r="DQ109" i="2"/>
  <c r="DB110" i="2"/>
  <c r="DC110" i="2"/>
  <c r="DD110" i="2"/>
  <c r="H110" i="24" s="1"/>
  <c r="P110" i="24" s="1"/>
  <c r="DE110" i="2"/>
  <c r="DF110" i="2"/>
  <c r="DG110" i="2"/>
  <c r="DB111" i="2"/>
  <c r="DC111" i="2"/>
  <c r="DD111" i="2"/>
  <c r="H111" i="24" s="1"/>
  <c r="P111" i="24" s="1"/>
  <c r="DE111" i="2"/>
  <c r="DF111" i="2"/>
  <c r="DG111" i="2"/>
  <c r="DB112" i="2"/>
  <c r="DC112" i="2"/>
  <c r="DD112" i="2"/>
  <c r="H112" i="24" s="1"/>
  <c r="P112" i="24" s="1"/>
  <c r="DE112" i="2"/>
  <c r="DF112" i="2"/>
  <c r="DG112" i="2"/>
  <c r="DB113" i="2"/>
  <c r="DC113" i="2"/>
  <c r="DD113" i="2"/>
  <c r="H113" i="24" s="1"/>
  <c r="P113" i="24" s="1"/>
  <c r="DE113" i="2"/>
  <c r="DF113" i="2"/>
  <c r="DG113" i="2"/>
  <c r="DB114" i="2"/>
  <c r="DC114" i="2"/>
  <c r="DD114" i="2"/>
  <c r="H114" i="24" s="1"/>
  <c r="P114" i="24" s="1"/>
  <c r="DE114" i="2"/>
  <c r="DF114" i="2"/>
  <c r="DG114" i="2"/>
  <c r="DB115" i="2"/>
  <c r="DC115" i="2"/>
  <c r="DD115" i="2"/>
  <c r="H115" i="24" s="1"/>
  <c r="P115" i="24" s="1"/>
  <c r="DE115" i="2"/>
  <c r="DF115" i="2"/>
  <c r="DG115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CN117" i="2"/>
  <c r="CO117" i="2"/>
  <c r="CP117" i="2"/>
  <c r="CQ117" i="2"/>
  <c r="CR117" i="2"/>
  <c r="CS117" i="2"/>
  <c r="CT117" i="2"/>
  <c r="CU117" i="2"/>
  <c r="CV117" i="2"/>
  <c r="CW117" i="2"/>
  <c r="CX117" i="2"/>
  <c r="CY117" i="2"/>
  <c r="CZ117" i="2"/>
  <c r="DA117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A110" i="17"/>
  <c r="M110" i="17"/>
  <c r="A111" i="17"/>
  <c r="E111" i="17"/>
  <c r="N111" i="17" s="1"/>
  <c r="J111" i="17"/>
  <c r="M111" i="17"/>
  <c r="S111" i="17"/>
  <c r="A112" i="17"/>
  <c r="E112" i="17"/>
  <c r="J112" i="17"/>
  <c r="S112" i="17" s="1"/>
  <c r="M112" i="17"/>
  <c r="N112" i="17"/>
  <c r="A113" i="17"/>
  <c r="E113" i="17"/>
  <c r="N113" i="17" s="1"/>
  <c r="J113" i="17"/>
  <c r="M113" i="17"/>
  <c r="S113" i="17"/>
  <c r="A114" i="17"/>
  <c r="E114" i="17"/>
  <c r="N114" i="17" s="1"/>
  <c r="F114" i="17"/>
  <c r="M114" i="17"/>
  <c r="O114" i="17"/>
  <c r="A115" i="17"/>
  <c r="F115" i="17"/>
  <c r="O115" i="17" s="1"/>
  <c r="M115" i="17"/>
  <c r="A116" i="17"/>
  <c r="F116" i="17"/>
  <c r="O116" i="17" s="1"/>
  <c r="M116" i="17"/>
  <c r="A117" i="17"/>
  <c r="J117" i="17"/>
  <c r="S117" i="17" s="1"/>
  <c r="M117" i="17"/>
  <c r="A118" i="17"/>
  <c r="M118" i="17"/>
  <c r="A119" i="17"/>
  <c r="E119" i="17"/>
  <c r="N119" i="17" s="1"/>
  <c r="M119" i="17"/>
  <c r="A120" i="17"/>
  <c r="E120" i="17"/>
  <c r="N120" i="17" s="1"/>
  <c r="M120" i="17"/>
  <c r="A121" i="17"/>
  <c r="J121" i="17"/>
  <c r="S121" i="17" s="1"/>
  <c r="M121" i="17"/>
  <c r="BG46" i="3"/>
  <c r="BB15" i="3"/>
  <c r="E2" i="31" l="1"/>
  <c r="E2" i="35"/>
  <c r="E2" i="28"/>
  <c r="E2" i="30"/>
  <c r="EZ120" i="2"/>
  <c r="FN120" i="2"/>
  <c r="EX119" i="2"/>
  <c r="FL119" i="2"/>
  <c r="EV118" i="2"/>
  <c r="F118" i="25"/>
  <c r="M118" i="25" s="1"/>
  <c r="F118" i="24"/>
  <c r="N118" i="24" s="1"/>
  <c r="F118" i="20"/>
  <c r="N118" i="20" s="1"/>
  <c r="FJ118" i="2"/>
  <c r="F117" i="19"/>
  <c r="N117" i="19" s="1"/>
  <c r="F117" i="23"/>
  <c r="O117" i="23" s="1"/>
  <c r="ET117" i="2"/>
  <c r="F117" i="18"/>
  <c r="M117" i="18" s="1"/>
  <c r="FH117" i="2"/>
  <c r="FF116" i="2"/>
  <c r="ER116" i="2"/>
  <c r="FD115" i="2"/>
  <c r="EP115" i="2"/>
  <c r="EN114" i="2"/>
  <c r="FB114" i="2"/>
  <c r="EZ112" i="2"/>
  <c r="FN112" i="2"/>
  <c r="FL111" i="2"/>
  <c r="EX111" i="2"/>
  <c r="F110" i="20"/>
  <c r="N110" i="20" s="1"/>
  <c r="F110" i="24"/>
  <c r="N110" i="24" s="1"/>
  <c r="F110" i="25"/>
  <c r="M110" i="25" s="1"/>
  <c r="FJ110" i="2"/>
  <c r="EV110" i="2"/>
  <c r="J119" i="17"/>
  <c r="S119" i="17" s="1"/>
  <c r="G119" i="25"/>
  <c r="N119" i="25" s="1"/>
  <c r="K119" i="34"/>
  <c r="G119" i="24"/>
  <c r="O119" i="24" s="1"/>
  <c r="E119" i="26"/>
  <c r="J119" i="26" s="1"/>
  <c r="J119" i="28"/>
  <c r="I119" i="29"/>
  <c r="I119" i="30"/>
  <c r="H119" i="31"/>
  <c r="I119" i="19"/>
  <c r="Q119" i="19" s="1"/>
  <c r="K119" i="23"/>
  <c r="T119" i="23" s="1"/>
  <c r="I119" i="18"/>
  <c r="P119" i="18" s="1"/>
  <c r="H119" i="20"/>
  <c r="P119" i="20" s="1"/>
  <c r="EY120" i="2"/>
  <c r="FM120" i="2"/>
  <c r="EW119" i="2"/>
  <c r="FK119" i="2"/>
  <c r="EU118" i="2"/>
  <c r="FI118" i="2"/>
  <c r="E117" i="25"/>
  <c r="L117" i="25" s="1"/>
  <c r="FG117" i="2"/>
  <c r="ES117" i="2"/>
  <c r="FE116" i="2"/>
  <c r="EQ116" i="2"/>
  <c r="EO115" i="2"/>
  <c r="E115" i="23"/>
  <c r="N115" i="23" s="1"/>
  <c r="E115" i="19"/>
  <c r="M115" i="19" s="1"/>
  <c r="FC115" i="2"/>
  <c r="E114" i="20"/>
  <c r="M114" i="20" s="1"/>
  <c r="EM114" i="2"/>
  <c r="E114" i="24"/>
  <c r="M114" i="24" s="1"/>
  <c r="FA114" i="2"/>
  <c r="E114" i="18"/>
  <c r="L114" i="18" s="1"/>
  <c r="FM112" i="2"/>
  <c r="EY112" i="2"/>
  <c r="FK111" i="2"/>
  <c r="EW111" i="2"/>
  <c r="FI110" i="2"/>
  <c r="EU110" i="2"/>
  <c r="H111" i="30"/>
  <c r="H111" i="18"/>
  <c r="O111" i="18" s="1"/>
  <c r="J118" i="17"/>
  <c r="S118" i="17" s="1"/>
  <c r="I118" i="29"/>
  <c r="G118" i="25"/>
  <c r="N118" i="25" s="1"/>
  <c r="G118" i="24"/>
  <c r="O118" i="24" s="1"/>
  <c r="K118" i="34"/>
  <c r="I118" i="30"/>
  <c r="H118" i="31"/>
  <c r="E118" i="26"/>
  <c r="J118" i="26" s="1"/>
  <c r="J118" i="28"/>
  <c r="K118" i="23"/>
  <c r="T118" i="23" s="1"/>
  <c r="I118" i="19"/>
  <c r="Q118" i="19" s="1"/>
  <c r="H118" i="20"/>
  <c r="P118" i="20" s="1"/>
  <c r="I118" i="18"/>
  <c r="P118" i="18" s="1"/>
  <c r="FN121" i="2"/>
  <c r="EZ121" i="2"/>
  <c r="FL120" i="2"/>
  <c r="EX120" i="2"/>
  <c r="F119" i="24"/>
  <c r="N119" i="24" s="1"/>
  <c r="F119" i="25"/>
  <c r="M119" i="25" s="1"/>
  <c r="FJ119" i="2"/>
  <c r="F119" i="20"/>
  <c r="N119" i="20" s="1"/>
  <c r="EV119" i="2"/>
  <c r="F118" i="19"/>
  <c r="N118" i="19" s="1"/>
  <c r="F118" i="18"/>
  <c r="M118" i="18" s="1"/>
  <c r="F118" i="23"/>
  <c r="O118" i="23" s="1"/>
  <c r="ET118" i="2"/>
  <c r="FH118" i="2"/>
  <c r="F117" i="17"/>
  <c r="O117" i="17" s="1"/>
  <c r="FF117" i="2"/>
  <c r="ER117" i="2"/>
  <c r="EP116" i="2"/>
  <c r="FD116" i="2"/>
  <c r="EN115" i="2"/>
  <c r="FB115" i="2"/>
  <c r="FN113" i="2"/>
  <c r="EZ113" i="2"/>
  <c r="EX112" i="2"/>
  <c r="FL112" i="2"/>
  <c r="F111" i="25"/>
  <c r="M111" i="25" s="1"/>
  <c r="F111" i="24"/>
  <c r="N111" i="24" s="1"/>
  <c r="FJ111" i="2"/>
  <c r="F111" i="20"/>
  <c r="N111" i="20" s="1"/>
  <c r="EV111" i="2"/>
  <c r="F110" i="23"/>
  <c r="O110" i="23" s="1"/>
  <c r="FH110" i="2"/>
  <c r="F110" i="19"/>
  <c r="N110" i="19" s="1"/>
  <c r="F110" i="18"/>
  <c r="M110" i="18" s="1"/>
  <c r="ET110" i="2"/>
  <c r="K117" i="34"/>
  <c r="I117" i="29"/>
  <c r="I117" i="30"/>
  <c r="J117" i="28"/>
  <c r="H117" i="31"/>
  <c r="G117" i="24"/>
  <c r="O117" i="24" s="1"/>
  <c r="K117" i="23"/>
  <c r="T117" i="23" s="1"/>
  <c r="H117" i="20"/>
  <c r="P117" i="20" s="1"/>
  <c r="G117" i="25"/>
  <c r="N117" i="25" s="1"/>
  <c r="I117" i="18"/>
  <c r="P117" i="18" s="1"/>
  <c r="E117" i="26"/>
  <c r="J117" i="26" s="1"/>
  <c r="I117" i="19"/>
  <c r="Q117" i="19" s="1"/>
  <c r="FM121" i="2"/>
  <c r="EY121" i="2"/>
  <c r="FK120" i="2"/>
  <c r="EW120" i="2"/>
  <c r="FI119" i="2"/>
  <c r="EU119" i="2"/>
  <c r="E118" i="25"/>
  <c r="L118" i="25" s="1"/>
  <c r="ES118" i="2"/>
  <c r="FG118" i="2"/>
  <c r="EQ117" i="2"/>
  <c r="FE117" i="2"/>
  <c r="FC116" i="2"/>
  <c r="E116" i="23"/>
  <c r="N116" i="23" s="1"/>
  <c r="E116" i="19"/>
  <c r="M116" i="19" s="1"/>
  <c r="EO116" i="2"/>
  <c r="E115" i="24"/>
  <c r="M115" i="24" s="1"/>
  <c r="E115" i="20"/>
  <c r="M115" i="20" s="1"/>
  <c r="E115" i="18"/>
  <c r="L115" i="18" s="1"/>
  <c r="FA115" i="2"/>
  <c r="EM115" i="2"/>
  <c r="FM113" i="2"/>
  <c r="EY113" i="2"/>
  <c r="EW112" i="2"/>
  <c r="FK112" i="2"/>
  <c r="EU111" i="2"/>
  <c r="FI111" i="2"/>
  <c r="E110" i="25"/>
  <c r="L110" i="25" s="1"/>
  <c r="FG110" i="2"/>
  <c r="ES110" i="2"/>
  <c r="J116" i="17"/>
  <c r="S116" i="17" s="1"/>
  <c r="K116" i="23"/>
  <c r="T116" i="23" s="1"/>
  <c r="H116" i="31"/>
  <c r="K116" i="34"/>
  <c r="I116" i="29"/>
  <c r="J116" i="28"/>
  <c r="E116" i="26"/>
  <c r="J116" i="26" s="1"/>
  <c r="G116" i="25"/>
  <c r="N116" i="25" s="1"/>
  <c r="I116" i="30"/>
  <c r="G116" i="24"/>
  <c r="O116" i="24" s="1"/>
  <c r="I116" i="19"/>
  <c r="Q116" i="19" s="1"/>
  <c r="H116" i="20"/>
  <c r="P116" i="20" s="1"/>
  <c r="I116" i="18"/>
  <c r="P116" i="18" s="1"/>
  <c r="FL121" i="2"/>
  <c r="EX121" i="2"/>
  <c r="F120" i="25"/>
  <c r="M120" i="25" s="1"/>
  <c r="F120" i="24"/>
  <c r="N120" i="24" s="1"/>
  <c r="F120" i="20"/>
  <c r="N120" i="20" s="1"/>
  <c r="FJ120" i="2"/>
  <c r="EV120" i="2"/>
  <c r="F119" i="23"/>
  <c r="O119" i="23" s="1"/>
  <c r="FH119" i="2"/>
  <c r="ET119" i="2"/>
  <c r="F119" i="18"/>
  <c r="M119" i="18" s="1"/>
  <c r="F119" i="19"/>
  <c r="N119" i="19" s="1"/>
  <c r="F118" i="17"/>
  <c r="O118" i="17" s="1"/>
  <c r="ER118" i="2"/>
  <c r="FF118" i="2"/>
  <c r="EP117" i="2"/>
  <c r="FD117" i="2"/>
  <c r="FB116" i="2"/>
  <c r="EN116" i="2"/>
  <c r="FN114" i="2"/>
  <c r="EZ114" i="2"/>
  <c r="FL113" i="2"/>
  <c r="EX113" i="2"/>
  <c r="F112" i="24"/>
  <c r="N112" i="24" s="1"/>
  <c r="F112" i="20"/>
  <c r="N112" i="20" s="1"/>
  <c r="F112" i="25"/>
  <c r="M112" i="25" s="1"/>
  <c r="EV112" i="2"/>
  <c r="FJ112" i="2"/>
  <c r="F111" i="23"/>
  <c r="O111" i="23" s="1"/>
  <c r="F111" i="18"/>
  <c r="M111" i="18" s="1"/>
  <c r="F111" i="19"/>
  <c r="N111" i="19" s="1"/>
  <c r="FH111" i="2"/>
  <c r="ET111" i="2"/>
  <c r="F110" i="17"/>
  <c r="O110" i="17" s="1"/>
  <c r="FF110" i="2"/>
  <c r="ER110" i="2"/>
  <c r="J115" i="17"/>
  <c r="S115" i="17" s="1"/>
  <c r="K115" i="23"/>
  <c r="T115" i="23" s="1"/>
  <c r="K115" i="34"/>
  <c r="G115" i="25"/>
  <c r="N115" i="25" s="1"/>
  <c r="H115" i="31"/>
  <c r="G115" i="24"/>
  <c r="O115" i="24" s="1"/>
  <c r="J115" i="28"/>
  <c r="I115" i="29"/>
  <c r="I115" i="18"/>
  <c r="P115" i="18" s="1"/>
  <c r="E115" i="26"/>
  <c r="J115" i="26" s="1"/>
  <c r="I115" i="30"/>
  <c r="H115" i="20"/>
  <c r="P115" i="20" s="1"/>
  <c r="I115" i="19"/>
  <c r="Q115" i="19" s="1"/>
  <c r="FK121" i="2"/>
  <c r="EW121" i="2"/>
  <c r="FI120" i="2"/>
  <c r="EU120" i="2"/>
  <c r="E119" i="25"/>
  <c r="L119" i="25" s="1"/>
  <c r="ES119" i="2"/>
  <c r="FG119" i="2"/>
  <c r="EQ118" i="2"/>
  <c r="FE118" i="2"/>
  <c r="E117" i="19"/>
  <c r="M117" i="19" s="1"/>
  <c r="E117" i="23"/>
  <c r="N117" i="23" s="1"/>
  <c r="EO117" i="2"/>
  <c r="FC117" i="2"/>
  <c r="E116" i="17"/>
  <c r="N116" i="17" s="1"/>
  <c r="E116" i="24"/>
  <c r="M116" i="24" s="1"/>
  <c r="FA116" i="2"/>
  <c r="EM116" i="2"/>
  <c r="E116" i="20"/>
  <c r="M116" i="20" s="1"/>
  <c r="E116" i="18"/>
  <c r="L116" i="18" s="1"/>
  <c r="EY114" i="2"/>
  <c r="FM114" i="2"/>
  <c r="EW113" i="2"/>
  <c r="FK113" i="2"/>
  <c r="EU112" i="2"/>
  <c r="FI112" i="2"/>
  <c r="E111" i="25"/>
  <c r="L111" i="25" s="1"/>
  <c r="ES111" i="2"/>
  <c r="FG111" i="2"/>
  <c r="FE110" i="2"/>
  <c r="EQ110" i="2"/>
  <c r="H114" i="30"/>
  <c r="H114" i="18"/>
  <c r="O114" i="18" s="1"/>
  <c r="J114" i="17"/>
  <c r="S114" i="17" s="1"/>
  <c r="H114" i="31"/>
  <c r="E114" i="26"/>
  <c r="J114" i="26" s="1"/>
  <c r="I114" i="29"/>
  <c r="I114" i="30"/>
  <c r="K114" i="23"/>
  <c r="T114" i="23" s="1"/>
  <c r="G114" i="25"/>
  <c r="N114" i="25" s="1"/>
  <c r="K114" i="34"/>
  <c r="J114" i="28"/>
  <c r="G114" i="24"/>
  <c r="O114" i="24" s="1"/>
  <c r="I114" i="18"/>
  <c r="P114" i="18" s="1"/>
  <c r="I114" i="19"/>
  <c r="Q114" i="19" s="1"/>
  <c r="H114" i="20"/>
  <c r="P114" i="20" s="1"/>
  <c r="F121" i="25"/>
  <c r="M121" i="25" s="1"/>
  <c r="F121" i="24"/>
  <c r="N121" i="24" s="1"/>
  <c r="FJ121" i="2"/>
  <c r="F121" i="20"/>
  <c r="N121" i="20" s="1"/>
  <c r="EV121" i="2"/>
  <c r="F120" i="23"/>
  <c r="O120" i="23" s="1"/>
  <c r="F120" i="19"/>
  <c r="N120" i="19" s="1"/>
  <c r="FH120" i="2"/>
  <c r="F120" i="18"/>
  <c r="M120" i="18" s="1"/>
  <c r="ET120" i="2"/>
  <c r="F119" i="17"/>
  <c r="O119" i="17" s="1"/>
  <c r="ER119" i="2"/>
  <c r="FF119" i="2"/>
  <c r="EP118" i="2"/>
  <c r="FD118" i="2"/>
  <c r="EN117" i="2"/>
  <c r="FB117" i="2"/>
  <c r="EZ115" i="2"/>
  <c r="FN115" i="2"/>
  <c r="EX114" i="2"/>
  <c r="FL114" i="2"/>
  <c r="F113" i="24"/>
  <c r="N113" i="24" s="1"/>
  <c r="F113" i="25"/>
  <c r="M113" i="25" s="1"/>
  <c r="FJ113" i="2"/>
  <c r="EV113" i="2"/>
  <c r="F113" i="20"/>
  <c r="N113" i="20" s="1"/>
  <c r="F112" i="23"/>
  <c r="O112" i="23" s="1"/>
  <c r="F112" i="19"/>
  <c r="N112" i="19" s="1"/>
  <c r="F112" i="18"/>
  <c r="M112" i="18" s="1"/>
  <c r="ET112" i="2"/>
  <c r="FH112" i="2"/>
  <c r="F111" i="17"/>
  <c r="O111" i="17" s="1"/>
  <c r="ER111" i="2"/>
  <c r="FF111" i="2"/>
  <c r="EP110" i="2"/>
  <c r="FD110" i="2"/>
  <c r="H112" i="30"/>
  <c r="H112" i="18"/>
  <c r="O112" i="18" s="1"/>
  <c r="K113" i="34"/>
  <c r="J113" i="28"/>
  <c r="G113" i="25"/>
  <c r="N113" i="25" s="1"/>
  <c r="H113" i="31"/>
  <c r="I113" i="29"/>
  <c r="I113" i="30"/>
  <c r="E113" i="26"/>
  <c r="J113" i="26" s="1"/>
  <c r="G113" i="24"/>
  <c r="O113" i="24" s="1"/>
  <c r="K113" i="23"/>
  <c r="T113" i="23" s="1"/>
  <c r="I113" i="18"/>
  <c r="P113" i="18" s="1"/>
  <c r="H113" i="20"/>
  <c r="P113" i="20" s="1"/>
  <c r="I113" i="19"/>
  <c r="Q113" i="19" s="1"/>
  <c r="FI121" i="2"/>
  <c r="EU121" i="2"/>
  <c r="FG120" i="2"/>
  <c r="E120" i="25"/>
  <c r="L120" i="25" s="1"/>
  <c r="ES120" i="2"/>
  <c r="FE119" i="2"/>
  <c r="EQ119" i="2"/>
  <c r="E118" i="19"/>
  <c r="M118" i="19" s="1"/>
  <c r="E118" i="23"/>
  <c r="N118" i="23" s="1"/>
  <c r="FC118" i="2"/>
  <c r="EO118" i="2"/>
  <c r="E117" i="17"/>
  <c r="N117" i="17" s="1"/>
  <c r="E117" i="20"/>
  <c r="M117" i="20" s="1"/>
  <c r="E117" i="24"/>
  <c r="M117" i="24" s="1"/>
  <c r="EM117" i="2"/>
  <c r="E117" i="18"/>
  <c r="L117" i="18" s="1"/>
  <c r="FA117" i="2"/>
  <c r="EY115" i="2"/>
  <c r="FM115" i="2"/>
  <c r="FK114" i="2"/>
  <c r="EW114" i="2"/>
  <c r="EU113" i="2"/>
  <c r="FI113" i="2"/>
  <c r="E112" i="25"/>
  <c r="L112" i="25" s="1"/>
  <c r="ES112" i="2"/>
  <c r="FG112" i="2"/>
  <c r="EQ111" i="2"/>
  <c r="FE111" i="2"/>
  <c r="FC110" i="2"/>
  <c r="EO110" i="2"/>
  <c r="E110" i="19"/>
  <c r="M110" i="19" s="1"/>
  <c r="E110" i="23"/>
  <c r="N110" i="23" s="1"/>
  <c r="G112" i="25"/>
  <c r="N112" i="25" s="1"/>
  <c r="E112" i="26"/>
  <c r="J112" i="26" s="1"/>
  <c r="K112" i="23"/>
  <c r="T112" i="23" s="1"/>
  <c r="I112" i="30"/>
  <c r="I112" i="29"/>
  <c r="K112" i="34"/>
  <c r="H112" i="31"/>
  <c r="J112" i="28"/>
  <c r="G112" i="24"/>
  <c r="O112" i="24" s="1"/>
  <c r="I112" i="18"/>
  <c r="P112" i="18" s="1"/>
  <c r="H112" i="20"/>
  <c r="P112" i="20" s="1"/>
  <c r="I112" i="19"/>
  <c r="Q112" i="19" s="1"/>
  <c r="F121" i="23"/>
  <c r="O121" i="23" s="1"/>
  <c r="F121" i="19"/>
  <c r="N121" i="19" s="1"/>
  <c r="F121" i="18"/>
  <c r="M121" i="18" s="1"/>
  <c r="FH121" i="2"/>
  <c r="ET121" i="2"/>
  <c r="F120" i="17"/>
  <c r="O120" i="17" s="1"/>
  <c r="FF120" i="2"/>
  <c r="ER120" i="2"/>
  <c r="FD119" i="2"/>
  <c r="EP119" i="2"/>
  <c r="FB118" i="2"/>
  <c r="EN118" i="2"/>
  <c r="EZ116" i="2"/>
  <c r="FN116" i="2"/>
  <c r="EX115" i="2"/>
  <c r="FL115" i="2"/>
  <c r="F114" i="24"/>
  <c r="N114" i="24" s="1"/>
  <c r="FJ114" i="2"/>
  <c r="F114" i="20"/>
  <c r="N114" i="20" s="1"/>
  <c r="F114" i="25"/>
  <c r="M114" i="25" s="1"/>
  <c r="EV114" i="2"/>
  <c r="F113" i="23"/>
  <c r="O113" i="23" s="1"/>
  <c r="ET113" i="2"/>
  <c r="F113" i="19"/>
  <c r="N113" i="19" s="1"/>
  <c r="FH113" i="2"/>
  <c r="F113" i="18"/>
  <c r="M113" i="18" s="1"/>
  <c r="F112" i="17"/>
  <c r="O112" i="17" s="1"/>
  <c r="FF112" i="2"/>
  <c r="ER112" i="2"/>
  <c r="EP111" i="2"/>
  <c r="FD111" i="2"/>
  <c r="EN110" i="2"/>
  <c r="FB110" i="2"/>
  <c r="G111" i="24"/>
  <c r="O111" i="24" s="1"/>
  <c r="K111" i="34"/>
  <c r="H111" i="20"/>
  <c r="P111" i="20" s="1"/>
  <c r="I111" i="30"/>
  <c r="I111" i="29"/>
  <c r="G111" i="25"/>
  <c r="N111" i="25" s="1"/>
  <c r="H111" i="31"/>
  <c r="J111" i="28"/>
  <c r="K111" i="23"/>
  <c r="T111" i="23" s="1"/>
  <c r="E111" i="26"/>
  <c r="J111" i="26" s="1"/>
  <c r="I111" i="19"/>
  <c r="Q111" i="19" s="1"/>
  <c r="I111" i="18"/>
  <c r="P111" i="18" s="1"/>
  <c r="E121" i="25"/>
  <c r="L121" i="25" s="1"/>
  <c r="FG121" i="2"/>
  <c r="ES121" i="2"/>
  <c r="FE120" i="2"/>
  <c r="EQ120" i="2"/>
  <c r="E119" i="23"/>
  <c r="N119" i="23" s="1"/>
  <c r="FC119" i="2"/>
  <c r="E119" i="19"/>
  <c r="M119" i="19" s="1"/>
  <c r="EO119" i="2"/>
  <c r="E118" i="17"/>
  <c r="N118" i="17" s="1"/>
  <c r="E118" i="24"/>
  <c r="M118" i="24" s="1"/>
  <c r="E118" i="18"/>
  <c r="L118" i="18" s="1"/>
  <c r="E118" i="20"/>
  <c r="M118" i="20" s="1"/>
  <c r="FA118" i="2"/>
  <c r="EM118" i="2"/>
  <c r="FM116" i="2"/>
  <c r="EY116" i="2"/>
  <c r="EW115" i="2"/>
  <c r="FK115" i="2"/>
  <c r="FI114" i="2"/>
  <c r="EU114" i="2"/>
  <c r="E113" i="25"/>
  <c r="L113" i="25" s="1"/>
  <c r="FG113" i="2"/>
  <c r="ES113" i="2"/>
  <c r="FE112" i="2"/>
  <c r="EQ112" i="2"/>
  <c r="E111" i="23"/>
  <c r="N111" i="23" s="1"/>
  <c r="FC111" i="2"/>
  <c r="E111" i="19"/>
  <c r="M111" i="19" s="1"/>
  <c r="EO111" i="2"/>
  <c r="E110" i="17"/>
  <c r="N110" i="17" s="1"/>
  <c r="E110" i="24"/>
  <c r="M110" i="24" s="1"/>
  <c r="EM110" i="2"/>
  <c r="E110" i="20"/>
  <c r="M110" i="20" s="1"/>
  <c r="E110" i="18"/>
  <c r="L110" i="18" s="1"/>
  <c r="FA110" i="2"/>
  <c r="J110" i="17"/>
  <c r="S110" i="17" s="1"/>
  <c r="H110" i="31"/>
  <c r="E110" i="26"/>
  <c r="J110" i="26" s="1"/>
  <c r="G110" i="24"/>
  <c r="O110" i="24" s="1"/>
  <c r="K110" i="34"/>
  <c r="I110" i="30"/>
  <c r="J110" i="28"/>
  <c r="I110" i="29"/>
  <c r="G110" i="25"/>
  <c r="N110" i="25" s="1"/>
  <c r="K110" i="23"/>
  <c r="T110" i="23" s="1"/>
  <c r="H110" i="20"/>
  <c r="P110" i="20" s="1"/>
  <c r="I110" i="19"/>
  <c r="Q110" i="19" s="1"/>
  <c r="I110" i="18"/>
  <c r="P110" i="18" s="1"/>
  <c r="F121" i="17"/>
  <c r="O121" i="17" s="1"/>
  <c r="FF121" i="2"/>
  <c r="ER121" i="2"/>
  <c r="EP120" i="2"/>
  <c r="FD120" i="2"/>
  <c r="F115" i="25"/>
  <c r="M115" i="25" s="1"/>
  <c r="F115" i="24"/>
  <c r="N115" i="24" s="1"/>
  <c r="F115" i="20"/>
  <c r="N115" i="20" s="1"/>
  <c r="EV115" i="2"/>
  <c r="FJ115" i="2"/>
  <c r="ET114" i="2"/>
  <c r="FH114" i="2"/>
  <c r="F114" i="23"/>
  <c r="O114" i="23" s="1"/>
  <c r="F114" i="19"/>
  <c r="N114" i="19" s="1"/>
  <c r="F114" i="18"/>
  <c r="M114" i="18" s="1"/>
  <c r="F113" i="17"/>
  <c r="O113" i="17" s="1"/>
  <c r="FF113" i="2"/>
  <c r="ER113" i="2"/>
  <c r="FD112" i="2"/>
  <c r="EP112" i="2"/>
  <c r="FB111" i="2"/>
  <c r="EN111" i="2"/>
  <c r="FE121" i="2"/>
  <c r="EQ121" i="2"/>
  <c r="EO120" i="2"/>
  <c r="E120" i="23"/>
  <c r="N120" i="23" s="1"/>
  <c r="E120" i="19"/>
  <c r="M120" i="19" s="1"/>
  <c r="FC120" i="2"/>
  <c r="E119" i="20"/>
  <c r="M119" i="20" s="1"/>
  <c r="E119" i="24"/>
  <c r="M119" i="24" s="1"/>
  <c r="E119" i="18"/>
  <c r="L119" i="18" s="1"/>
  <c r="FA119" i="2"/>
  <c r="EM119" i="2"/>
  <c r="EY117" i="2"/>
  <c r="FM117" i="2"/>
  <c r="FK116" i="2"/>
  <c r="EW116" i="2"/>
  <c r="FI115" i="2"/>
  <c r="EU115" i="2"/>
  <c r="E114" i="25"/>
  <c r="L114" i="25" s="1"/>
  <c r="FG114" i="2"/>
  <c r="ES114" i="2"/>
  <c r="FE113" i="2"/>
  <c r="EQ113" i="2"/>
  <c r="E112" i="23"/>
  <c r="N112" i="23" s="1"/>
  <c r="E112" i="19"/>
  <c r="M112" i="19" s="1"/>
  <c r="FC112" i="2"/>
  <c r="EO112" i="2"/>
  <c r="E111" i="24"/>
  <c r="M111" i="24" s="1"/>
  <c r="E111" i="18"/>
  <c r="L111" i="18" s="1"/>
  <c r="EM111" i="2"/>
  <c r="FA111" i="2"/>
  <c r="E111" i="20"/>
  <c r="M111" i="20" s="1"/>
  <c r="H113" i="30"/>
  <c r="H113" i="18"/>
  <c r="O113" i="18" s="1"/>
  <c r="FL116" i="2"/>
  <c r="EX116" i="2"/>
  <c r="FD121" i="2"/>
  <c r="EP121" i="2"/>
  <c r="FB120" i="2"/>
  <c r="EN120" i="2"/>
  <c r="FN118" i="2"/>
  <c r="EZ118" i="2"/>
  <c r="EX117" i="2"/>
  <c r="FL117" i="2"/>
  <c r="F116" i="25"/>
  <c r="M116" i="25" s="1"/>
  <c r="F116" i="20"/>
  <c r="N116" i="20" s="1"/>
  <c r="F116" i="24"/>
  <c r="N116" i="24" s="1"/>
  <c r="FJ116" i="2"/>
  <c r="EV116" i="2"/>
  <c r="F115" i="18"/>
  <c r="M115" i="18" s="1"/>
  <c r="F115" i="23"/>
  <c r="O115" i="23" s="1"/>
  <c r="F115" i="19"/>
  <c r="N115" i="19" s="1"/>
  <c r="FH115" i="2"/>
  <c r="ET115" i="2"/>
  <c r="ER114" i="2"/>
  <c r="FF114" i="2"/>
  <c r="FD113" i="2"/>
  <c r="EP113" i="2"/>
  <c r="FB112" i="2"/>
  <c r="EN112" i="2"/>
  <c r="EZ110" i="2"/>
  <c r="FN110" i="2"/>
  <c r="H110" i="30"/>
  <c r="H110" i="18"/>
  <c r="O110" i="18" s="1"/>
  <c r="FB119" i="2"/>
  <c r="EN119" i="2"/>
  <c r="E115" i="17"/>
  <c r="N115" i="17" s="1"/>
  <c r="E121" i="23"/>
  <c r="N121" i="23" s="1"/>
  <c r="FC121" i="2"/>
  <c r="E121" i="19"/>
  <c r="M121" i="19" s="1"/>
  <c r="EO121" i="2"/>
  <c r="E120" i="20"/>
  <c r="M120" i="20" s="1"/>
  <c r="E120" i="18"/>
  <c r="L120" i="18" s="1"/>
  <c r="E120" i="24"/>
  <c r="M120" i="24" s="1"/>
  <c r="FA120" i="2"/>
  <c r="EM120" i="2"/>
  <c r="FM118" i="2"/>
  <c r="EY118" i="2"/>
  <c r="FK117" i="2"/>
  <c r="EW117" i="2"/>
  <c r="FI116" i="2"/>
  <c r="EU116" i="2"/>
  <c r="E115" i="25"/>
  <c r="L115" i="25" s="1"/>
  <c r="FG115" i="2"/>
  <c r="ES115" i="2"/>
  <c r="EQ114" i="2"/>
  <c r="FE114" i="2"/>
  <c r="E113" i="23"/>
  <c r="N113" i="23" s="1"/>
  <c r="E113" i="19"/>
  <c r="M113" i="19" s="1"/>
  <c r="FC113" i="2"/>
  <c r="EO113" i="2"/>
  <c r="E112" i="18"/>
  <c r="L112" i="18" s="1"/>
  <c r="Q112" i="18" s="1"/>
  <c r="FA112" i="2"/>
  <c r="EM112" i="2"/>
  <c r="E112" i="20"/>
  <c r="M112" i="20" s="1"/>
  <c r="E112" i="24"/>
  <c r="M112" i="24" s="1"/>
  <c r="EY110" i="2"/>
  <c r="FM110" i="2"/>
  <c r="J109" i="28"/>
  <c r="K109" i="23"/>
  <c r="T109" i="23" s="1"/>
  <c r="FN117" i="2"/>
  <c r="EZ117" i="2"/>
  <c r="FB121" i="2"/>
  <c r="EN121" i="2"/>
  <c r="EZ119" i="2"/>
  <c r="FN119" i="2"/>
  <c r="FL118" i="2"/>
  <c r="EX118" i="2"/>
  <c r="F117" i="20"/>
  <c r="N117" i="20" s="1"/>
  <c r="F117" i="25"/>
  <c r="M117" i="25" s="1"/>
  <c r="F117" i="24"/>
  <c r="N117" i="24" s="1"/>
  <c r="FJ117" i="2"/>
  <c r="EV117" i="2"/>
  <c r="F116" i="23"/>
  <c r="O116" i="23" s="1"/>
  <c r="F116" i="19"/>
  <c r="N116" i="19" s="1"/>
  <c r="FH116" i="2"/>
  <c r="ET116" i="2"/>
  <c r="F116" i="18"/>
  <c r="M116" i="18" s="1"/>
  <c r="FF115" i="2"/>
  <c r="ER115" i="2"/>
  <c r="EP114" i="2"/>
  <c r="FD114" i="2"/>
  <c r="FB113" i="2"/>
  <c r="EN113" i="2"/>
  <c r="EZ111" i="2"/>
  <c r="FN111" i="2"/>
  <c r="EX110" i="2"/>
  <c r="FL110" i="2"/>
  <c r="K121" i="34"/>
  <c r="E121" i="26"/>
  <c r="J121" i="26" s="1"/>
  <c r="H121" i="31"/>
  <c r="I121" i="29"/>
  <c r="I121" i="30"/>
  <c r="G121" i="25"/>
  <c r="N121" i="25" s="1"/>
  <c r="G121" i="24"/>
  <c r="O121" i="24" s="1"/>
  <c r="J121" i="28"/>
  <c r="I121" i="18"/>
  <c r="P121" i="18" s="1"/>
  <c r="K121" i="23"/>
  <c r="T121" i="23" s="1"/>
  <c r="H121" i="20"/>
  <c r="P121" i="20" s="1"/>
  <c r="I121" i="19"/>
  <c r="Q121" i="19" s="1"/>
  <c r="E121" i="17"/>
  <c r="N121" i="17" s="1"/>
  <c r="E121" i="24"/>
  <c r="M121" i="24" s="1"/>
  <c r="EM121" i="2"/>
  <c r="E121" i="18"/>
  <c r="L121" i="18" s="1"/>
  <c r="E121" i="20"/>
  <c r="M121" i="20" s="1"/>
  <c r="FA121" i="2"/>
  <c r="EY119" i="2"/>
  <c r="FM119" i="2"/>
  <c r="FK118" i="2"/>
  <c r="EW118" i="2"/>
  <c r="FI117" i="2"/>
  <c r="EU117" i="2"/>
  <c r="E116" i="25"/>
  <c r="L116" i="25" s="1"/>
  <c r="FG116" i="2"/>
  <c r="ES116" i="2"/>
  <c r="EQ115" i="2"/>
  <c r="FE115" i="2"/>
  <c r="E114" i="23"/>
  <c r="N114" i="23" s="1"/>
  <c r="EO114" i="2"/>
  <c r="E114" i="19"/>
  <c r="M114" i="19" s="1"/>
  <c r="FC114" i="2"/>
  <c r="E113" i="24"/>
  <c r="M113" i="24" s="1"/>
  <c r="E113" i="18"/>
  <c r="L113" i="18" s="1"/>
  <c r="E113" i="20"/>
  <c r="M113" i="20" s="1"/>
  <c r="EM113" i="2"/>
  <c r="FA113" i="2"/>
  <c r="FM111" i="2"/>
  <c r="EY111" i="2"/>
  <c r="FK110" i="2"/>
  <c r="EW110" i="2"/>
  <c r="H115" i="30"/>
  <c r="H115" i="18"/>
  <c r="O115" i="18" s="1"/>
  <c r="J120" i="17"/>
  <c r="S120" i="17" s="1"/>
  <c r="I120" i="29"/>
  <c r="H120" i="31"/>
  <c r="I120" i="30"/>
  <c r="K120" i="34"/>
  <c r="G120" i="25"/>
  <c r="N120" i="25" s="1"/>
  <c r="J120" i="28"/>
  <c r="G120" i="24"/>
  <c r="O120" i="24" s="1"/>
  <c r="H120" i="20"/>
  <c r="P120" i="20" s="1"/>
  <c r="E120" i="26"/>
  <c r="J120" i="26" s="1"/>
  <c r="I120" i="18"/>
  <c r="P120" i="18" s="1"/>
  <c r="I120" i="19"/>
  <c r="Q120" i="19" s="1"/>
  <c r="K120" i="23"/>
  <c r="T120" i="23" s="1"/>
  <c r="BA14" i="3"/>
  <c r="BC14" i="3" s="1"/>
  <c r="BB14" i="3"/>
  <c r="BD14" i="3"/>
  <c r="BE14" i="3"/>
  <c r="BF14" i="3"/>
  <c r="BG14" i="3"/>
  <c r="BH14" i="3"/>
  <c r="BI14" i="3"/>
  <c r="BJ14" i="3"/>
  <c r="BK14" i="3"/>
  <c r="BL14" i="3"/>
  <c r="BM14" i="3"/>
  <c r="BO14" i="3"/>
  <c r="BO15" i="3" s="1"/>
  <c r="BP14" i="3"/>
  <c r="BQ14" i="3"/>
  <c r="BR14" i="3"/>
  <c r="BS14" i="3"/>
  <c r="BU14" i="3"/>
  <c r="BV14" i="3"/>
  <c r="BW14" i="3"/>
  <c r="BX14" i="3"/>
  <c r="BY14" i="3"/>
  <c r="BZ14" i="3"/>
  <c r="CA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G14" i="3"/>
  <c r="EG15" i="3" s="1"/>
  <c r="EH14" i="3"/>
  <c r="EI14" i="3"/>
  <c r="EJ14" i="3"/>
  <c r="EK14" i="3"/>
  <c r="EL14" i="3"/>
  <c r="EM14" i="3"/>
  <c r="EN14" i="3"/>
  <c r="EO14" i="3"/>
  <c r="EP14" i="3"/>
  <c r="EQ14" i="3"/>
  <c r="ER14" i="3"/>
  <c r="ES14" i="3"/>
  <c r="BA34" i="3"/>
  <c r="BB34" i="3" s="1"/>
  <c r="BC34" i="3"/>
  <c r="BE34" i="3"/>
  <c r="BF34" i="3"/>
  <c r="BG34" i="3"/>
  <c r="BH34" i="3"/>
  <c r="BI34" i="3"/>
  <c r="BJ34" i="3"/>
  <c r="BK34" i="3"/>
  <c r="BO34" i="3"/>
  <c r="BP34" i="3"/>
  <c r="BQ34" i="3"/>
  <c r="BR34" i="3"/>
  <c r="BS34" i="3"/>
  <c r="BT34" i="3"/>
  <c r="BV34" i="3"/>
  <c r="BW34" i="3"/>
  <c r="BX34" i="3"/>
  <c r="BY34" i="3"/>
  <c r="BZ34" i="3"/>
  <c r="CA34" i="3"/>
  <c r="CC34" i="3"/>
  <c r="CF34" i="3"/>
  <c r="CG34" i="3"/>
  <c r="CH34" i="3"/>
  <c r="CI34" i="3"/>
  <c r="CJ34" i="3"/>
  <c r="CL34" i="3"/>
  <c r="CM34" i="3"/>
  <c r="CN34" i="3"/>
  <c r="CO34" i="3"/>
  <c r="CQ34" i="3"/>
  <c r="CQ35" i="3" s="1"/>
  <c r="CR34" i="3"/>
  <c r="CS34" i="3"/>
  <c r="CW34" i="3"/>
  <c r="CX34" i="3"/>
  <c r="CY34" i="3"/>
  <c r="CZ34" i="3"/>
  <c r="DA34" i="3"/>
  <c r="DC34" i="3"/>
  <c r="DE34" i="3"/>
  <c r="DE35" i="3" s="1"/>
  <c r="DF34" i="3"/>
  <c r="DG34" i="3"/>
  <c r="DH34" i="3"/>
  <c r="DI34" i="3"/>
  <c r="DJ34" i="3"/>
  <c r="DN34" i="3"/>
  <c r="DO34" i="3"/>
  <c r="DP34" i="3"/>
  <c r="DQ34" i="3"/>
  <c r="DS34" i="3"/>
  <c r="DS35" i="3" s="1"/>
  <c r="DU34" i="3"/>
  <c r="DV34" i="3"/>
  <c r="DW34" i="3"/>
  <c r="DX34" i="3"/>
  <c r="DY34" i="3"/>
  <c r="DZ34" i="3"/>
  <c r="EA34" i="3"/>
  <c r="EE34" i="3"/>
  <c r="EG34" i="3"/>
  <c r="EH34" i="3"/>
  <c r="EI34" i="3"/>
  <c r="EJ34" i="3"/>
  <c r="EL34" i="3"/>
  <c r="EM34" i="3"/>
  <c r="EN34" i="3"/>
  <c r="EO34" i="3"/>
  <c r="EP34" i="3"/>
  <c r="EQ34" i="3"/>
  <c r="ER34" i="3"/>
  <c r="BO35" i="3"/>
  <c r="CC35" i="3"/>
  <c r="EG35" i="3"/>
  <c r="BA15" i="3"/>
  <c r="CC15" i="3"/>
  <c r="CQ15" i="3"/>
  <c r="DE15" i="3"/>
  <c r="DS15" i="3"/>
  <c r="S134" i="3"/>
  <c r="T134" i="3"/>
  <c r="U134" i="3"/>
  <c r="V134" i="3"/>
  <c r="W134" i="3"/>
  <c r="X134" i="3"/>
  <c r="Y134" i="3"/>
  <c r="Z134" i="3"/>
  <c r="AA134" i="3"/>
  <c r="AB134" i="3"/>
  <c r="S135" i="3"/>
  <c r="T135" i="3"/>
  <c r="U135" i="3"/>
  <c r="V135" i="3"/>
  <c r="W135" i="3"/>
  <c r="X135" i="3"/>
  <c r="Y135" i="3"/>
  <c r="Z135" i="3"/>
  <c r="AA135" i="3"/>
  <c r="AB135" i="3"/>
  <c r="S136" i="3"/>
  <c r="T136" i="3"/>
  <c r="U136" i="3"/>
  <c r="V136" i="3"/>
  <c r="W136" i="3"/>
  <c r="X136" i="3"/>
  <c r="Y136" i="3"/>
  <c r="Z136" i="3"/>
  <c r="AA136" i="3"/>
  <c r="AB136" i="3"/>
  <c r="S137" i="3"/>
  <c r="T137" i="3"/>
  <c r="U137" i="3"/>
  <c r="V137" i="3"/>
  <c r="W137" i="3"/>
  <c r="X137" i="3"/>
  <c r="Y137" i="3"/>
  <c r="Z137" i="3"/>
  <c r="AA137" i="3"/>
  <c r="AB137" i="3"/>
  <c r="S138" i="3"/>
  <c r="T138" i="3"/>
  <c r="U138" i="3"/>
  <c r="V138" i="3"/>
  <c r="W138" i="3"/>
  <c r="X138" i="3"/>
  <c r="Y138" i="3"/>
  <c r="Z138" i="3"/>
  <c r="AA138" i="3"/>
  <c r="AB138" i="3"/>
  <c r="S139" i="3"/>
  <c r="T139" i="3"/>
  <c r="U139" i="3"/>
  <c r="V139" i="3"/>
  <c r="W139" i="3"/>
  <c r="X139" i="3"/>
  <c r="Y139" i="3"/>
  <c r="Z139" i="3"/>
  <c r="AA139" i="3"/>
  <c r="AB139" i="3"/>
  <c r="S140" i="3"/>
  <c r="T140" i="3"/>
  <c r="U140" i="3"/>
  <c r="V140" i="3"/>
  <c r="W140" i="3"/>
  <c r="X140" i="3"/>
  <c r="Y140" i="3"/>
  <c r="Z140" i="3"/>
  <c r="AA140" i="3"/>
  <c r="AB140" i="3"/>
  <c r="S141" i="3"/>
  <c r="T141" i="3"/>
  <c r="U141" i="3"/>
  <c r="V141" i="3"/>
  <c r="W141" i="3"/>
  <c r="X141" i="3"/>
  <c r="Y141" i="3"/>
  <c r="Z141" i="3"/>
  <c r="AA141" i="3"/>
  <c r="AB141" i="3"/>
  <c r="S142" i="3"/>
  <c r="T142" i="3"/>
  <c r="U142" i="3"/>
  <c r="V142" i="3"/>
  <c r="W142" i="3"/>
  <c r="X142" i="3"/>
  <c r="Y142" i="3"/>
  <c r="Z142" i="3"/>
  <c r="AA142" i="3"/>
  <c r="AB142" i="3"/>
  <c r="S143" i="3"/>
  <c r="T143" i="3"/>
  <c r="U143" i="3"/>
  <c r="V143" i="3"/>
  <c r="W143" i="3"/>
  <c r="X143" i="3"/>
  <c r="Y143" i="3"/>
  <c r="Z143" i="3"/>
  <c r="AA143" i="3"/>
  <c r="AB143" i="3"/>
  <c r="S144" i="3"/>
  <c r="T144" i="3"/>
  <c r="U144" i="3"/>
  <c r="V144" i="3"/>
  <c r="W144" i="3"/>
  <c r="X144" i="3"/>
  <c r="Y144" i="3"/>
  <c r="Z144" i="3"/>
  <c r="AA144" i="3"/>
  <c r="AB144" i="3"/>
  <c r="S145" i="3"/>
  <c r="T145" i="3"/>
  <c r="U145" i="3"/>
  <c r="V145" i="3"/>
  <c r="W145" i="3"/>
  <c r="X145" i="3"/>
  <c r="Y145" i="3"/>
  <c r="Z145" i="3"/>
  <c r="AA145" i="3"/>
  <c r="AB145" i="3"/>
  <c r="CI110" i="2"/>
  <c r="BB45" i="14" s="1"/>
  <c r="CJ110" i="2"/>
  <c r="CK110" i="2"/>
  <c r="CL110" i="2"/>
  <c r="CM110" i="2"/>
  <c r="CH110" i="2"/>
  <c r="CG110" i="2"/>
  <c r="AU110" i="2"/>
  <c r="G45" i="14" s="1"/>
  <c r="AV110" i="2"/>
  <c r="K45" i="14" s="1"/>
  <c r="AW110" i="2"/>
  <c r="O45" i="14" s="1"/>
  <c r="AX110" i="2"/>
  <c r="U45" i="14" s="1"/>
  <c r="AY110" i="2"/>
  <c r="AZ110" i="2"/>
  <c r="BA110" i="2"/>
  <c r="BB110" i="2"/>
  <c r="AT110" i="2"/>
  <c r="C45" i="14" s="1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C110" i="2"/>
  <c r="B110" i="2"/>
  <c r="D162" i="44"/>
  <c r="E162" i="44"/>
  <c r="F162" i="44"/>
  <c r="G162" i="44"/>
  <c r="H162" i="44"/>
  <c r="Q113" i="18" l="1"/>
  <c r="Q111" i="18"/>
  <c r="L45" i="14"/>
  <c r="C120" i="30"/>
  <c r="C120" i="33"/>
  <c r="C120" i="34"/>
  <c r="C120" i="23"/>
  <c r="C120" i="24"/>
  <c r="C120" i="20"/>
  <c r="C120" i="29"/>
  <c r="C120" i="18"/>
  <c r="C120" i="22"/>
  <c r="C120" i="25"/>
  <c r="C120" i="32"/>
  <c r="C120" i="26"/>
  <c r="C120" i="21"/>
  <c r="C120" i="19"/>
  <c r="C120" i="28"/>
  <c r="C120" i="17"/>
  <c r="C112" i="26"/>
  <c r="C112" i="33"/>
  <c r="C112" i="34"/>
  <c r="C112" i="30"/>
  <c r="C112" i="29"/>
  <c r="C112" i="32"/>
  <c r="C112" i="24"/>
  <c r="C112" i="25"/>
  <c r="C112" i="22"/>
  <c r="C112" i="19"/>
  <c r="C112" i="23"/>
  <c r="C112" i="20"/>
  <c r="C112" i="28"/>
  <c r="C112" i="21"/>
  <c r="C112" i="18"/>
  <c r="C112" i="17"/>
  <c r="AO45" i="14"/>
  <c r="FW110" i="2"/>
  <c r="CI111" i="2"/>
  <c r="G118" i="34"/>
  <c r="G118" i="28"/>
  <c r="G118" i="23"/>
  <c r="P118" i="23" s="1"/>
  <c r="G118" i="17"/>
  <c r="P118" i="17" s="1"/>
  <c r="H118" i="28"/>
  <c r="H118" i="17"/>
  <c r="Q118" i="17" s="1"/>
  <c r="H116" i="28"/>
  <c r="H116" i="17"/>
  <c r="Q116" i="17" s="1"/>
  <c r="C117" i="33"/>
  <c r="C117" i="28"/>
  <c r="C117" i="30"/>
  <c r="C117" i="26"/>
  <c r="C117" i="23"/>
  <c r="C117" i="24"/>
  <c r="C117" i="34"/>
  <c r="C117" i="22"/>
  <c r="C117" i="32"/>
  <c r="C117" i="20"/>
  <c r="C117" i="19"/>
  <c r="C117" i="25"/>
  <c r="C117" i="21"/>
  <c r="C117" i="29"/>
  <c r="C117" i="18"/>
  <c r="C117" i="17"/>
  <c r="B120" i="30"/>
  <c r="B120" i="33"/>
  <c r="B120" i="34"/>
  <c r="B120" i="28"/>
  <c r="B120" i="26"/>
  <c r="B120" i="25"/>
  <c r="B120" i="32"/>
  <c r="B120" i="29"/>
  <c r="B120" i="18"/>
  <c r="B120" i="22"/>
  <c r="B120" i="24"/>
  <c r="B120" i="23"/>
  <c r="B120" i="20"/>
  <c r="B120" i="19"/>
  <c r="B120" i="21"/>
  <c r="B120" i="17"/>
  <c r="B112" i="26"/>
  <c r="B112" i="33"/>
  <c r="B112" i="34"/>
  <c r="B112" i="30"/>
  <c r="B112" i="29"/>
  <c r="B112" i="32"/>
  <c r="B112" i="28"/>
  <c r="B112" i="25"/>
  <c r="B112" i="23"/>
  <c r="B112" i="19"/>
  <c r="B112" i="22"/>
  <c r="B112" i="24"/>
  <c r="B112" i="21"/>
  <c r="B112" i="18"/>
  <c r="B112" i="20"/>
  <c r="B112" i="17"/>
  <c r="AK45" i="14"/>
  <c r="FV110" i="2"/>
  <c r="BV45" i="14"/>
  <c r="GD110" i="2"/>
  <c r="J111" i="29"/>
  <c r="J111" i="19"/>
  <c r="R111" i="19" s="1"/>
  <c r="J117" i="29"/>
  <c r="J117" i="19"/>
  <c r="R117" i="19" s="1"/>
  <c r="H112" i="34"/>
  <c r="H112" i="23"/>
  <c r="Q112" i="23" s="1"/>
  <c r="C119" i="28"/>
  <c r="C119" i="26"/>
  <c r="C119" i="32"/>
  <c r="C119" i="34"/>
  <c r="C119" i="30"/>
  <c r="C119" i="33"/>
  <c r="C119" i="25"/>
  <c r="C119" i="22"/>
  <c r="C119" i="24"/>
  <c r="C119" i="21"/>
  <c r="C119" i="29"/>
  <c r="C119" i="18"/>
  <c r="C119" i="20"/>
  <c r="C119" i="23"/>
  <c r="C119" i="19"/>
  <c r="C119" i="17"/>
  <c r="C111" i="29"/>
  <c r="C111" i="28"/>
  <c r="C111" i="25"/>
  <c r="C111" i="21"/>
  <c r="C111" i="32"/>
  <c r="C111" i="33"/>
  <c r="C111" i="34"/>
  <c r="C111" i="24"/>
  <c r="C111" i="20"/>
  <c r="C111" i="30"/>
  <c r="C111" i="19"/>
  <c r="C111" i="23"/>
  <c r="C111" i="26"/>
  <c r="C111" i="22"/>
  <c r="C111" i="18"/>
  <c r="C111" i="17"/>
  <c r="AG45" i="14"/>
  <c r="FU110" i="2"/>
  <c r="BR45" i="14"/>
  <c r="GC110" i="2"/>
  <c r="B119" i="28"/>
  <c r="B119" i="26"/>
  <c r="B119" i="23"/>
  <c r="B119" i="32"/>
  <c r="B119" i="29"/>
  <c r="B119" i="34"/>
  <c r="B119" i="30"/>
  <c r="B119" i="33"/>
  <c r="B119" i="25"/>
  <c r="B119" i="24"/>
  <c r="B119" i="21"/>
  <c r="B119" i="22"/>
  <c r="B119" i="18"/>
  <c r="B119" i="20"/>
  <c r="B119" i="19"/>
  <c r="B119" i="17"/>
  <c r="B111" i="29"/>
  <c r="B111" i="28"/>
  <c r="B111" i="25"/>
  <c r="B111" i="21"/>
  <c r="B111" i="22"/>
  <c r="B111" i="32"/>
  <c r="B111" i="34"/>
  <c r="B111" i="24"/>
  <c r="B111" i="30"/>
  <c r="B111" i="23"/>
  <c r="B111" i="19"/>
  <c r="B111" i="26"/>
  <c r="B111" i="20"/>
  <c r="B111" i="33"/>
  <c r="B111" i="18"/>
  <c r="B111" i="17"/>
  <c r="AA45" i="14"/>
  <c r="CK111" i="2"/>
  <c r="BN45" i="14"/>
  <c r="GB110" i="2"/>
  <c r="H114" i="23"/>
  <c r="Q114" i="23" s="1"/>
  <c r="H114" i="34"/>
  <c r="C118" i="32"/>
  <c r="C118" i="25"/>
  <c r="C118" i="34"/>
  <c r="C118" i="29"/>
  <c r="C118" i="33"/>
  <c r="C118" i="30"/>
  <c r="C118" i="26"/>
  <c r="C118" i="18"/>
  <c r="C118" i="19"/>
  <c r="C118" i="22"/>
  <c r="C118" i="23"/>
  <c r="C118" i="28"/>
  <c r="C118" i="24"/>
  <c r="C118" i="21"/>
  <c r="C118" i="20"/>
  <c r="C118" i="17"/>
  <c r="J114" i="29"/>
  <c r="J114" i="19"/>
  <c r="R114" i="19" s="1"/>
  <c r="G121" i="34"/>
  <c r="G121" i="23"/>
  <c r="P121" i="23" s="1"/>
  <c r="G121" i="28"/>
  <c r="G121" i="17"/>
  <c r="P121" i="17" s="1"/>
  <c r="H120" i="28"/>
  <c r="H120" i="17"/>
  <c r="Q120" i="17" s="1"/>
  <c r="H119" i="28"/>
  <c r="H119" i="17"/>
  <c r="Q119" i="17" s="1"/>
  <c r="H119" i="34"/>
  <c r="H119" i="23"/>
  <c r="Q119" i="23" s="1"/>
  <c r="G115" i="28"/>
  <c r="G115" i="34"/>
  <c r="G115" i="23"/>
  <c r="P115" i="23" s="1"/>
  <c r="G115" i="17"/>
  <c r="P115" i="17" s="1"/>
  <c r="H110" i="34"/>
  <c r="H110" i="23"/>
  <c r="Q110" i="23" s="1"/>
  <c r="J115" i="29"/>
  <c r="J115" i="19"/>
  <c r="R115" i="19" s="1"/>
  <c r="H117" i="34"/>
  <c r="H117" i="23"/>
  <c r="Q117" i="23" s="1"/>
  <c r="J120" i="29"/>
  <c r="J120" i="19"/>
  <c r="R120" i="19" s="1"/>
  <c r="H113" i="23"/>
  <c r="Q113" i="23" s="1"/>
  <c r="H113" i="34"/>
  <c r="J119" i="29"/>
  <c r="J119" i="19"/>
  <c r="R119" i="19" s="1"/>
  <c r="H120" i="34"/>
  <c r="H120" i="23"/>
  <c r="Q120" i="23" s="1"/>
  <c r="Q115" i="18"/>
  <c r="H117" i="28"/>
  <c r="H117" i="17"/>
  <c r="Q117" i="17" s="1"/>
  <c r="F110" i="26"/>
  <c r="K110" i="26" s="1"/>
  <c r="BH45" i="14"/>
  <c r="GA110" i="2"/>
  <c r="G120" i="34"/>
  <c r="G120" i="23"/>
  <c r="P120" i="23" s="1"/>
  <c r="G120" i="28"/>
  <c r="G120" i="17"/>
  <c r="P120" i="17" s="1"/>
  <c r="H121" i="23"/>
  <c r="Q121" i="23" s="1"/>
  <c r="H121" i="34"/>
  <c r="J113" i="29"/>
  <c r="J113" i="19"/>
  <c r="R113" i="19" s="1"/>
  <c r="G112" i="23"/>
  <c r="P112" i="23" s="1"/>
  <c r="G112" i="34"/>
  <c r="G112" i="28"/>
  <c r="G112" i="17"/>
  <c r="P112" i="17" s="1"/>
  <c r="AT111" i="2"/>
  <c r="BB111" i="2"/>
  <c r="J116" i="29"/>
  <c r="J116" i="19"/>
  <c r="R116" i="19" s="1"/>
  <c r="B117" i="33"/>
  <c r="B117" i="28"/>
  <c r="B117" i="30"/>
  <c r="B117" i="26"/>
  <c r="B117" i="25"/>
  <c r="B117" i="34"/>
  <c r="B117" i="32"/>
  <c r="B117" i="29"/>
  <c r="B117" i="19"/>
  <c r="B117" i="24"/>
  <c r="B117" i="21"/>
  <c r="B117" i="23"/>
  <c r="B117" i="22"/>
  <c r="B117" i="18"/>
  <c r="B117" i="20"/>
  <c r="B117" i="17"/>
  <c r="G117" i="28"/>
  <c r="G117" i="34"/>
  <c r="G117" i="23"/>
  <c r="P117" i="23" s="1"/>
  <c r="G117" i="17"/>
  <c r="P117" i="17" s="1"/>
  <c r="C115" i="28"/>
  <c r="C115" i="24"/>
  <c r="C115" i="33"/>
  <c r="C115" i="29"/>
  <c r="C115" i="32"/>
  <c r="C115" i="26"/>
  <c r="C115" i="30"/>
  <c r="C115" i="34"/>
  <c r="C115" i="21"/>
  <c r="C115" i="19"/>
  <c r="C115" i="23"/>
  <c r="C115" i="25"/>
  <c r="C115" i="22"/>
  <c r="C115" i="20"/>
  <c r="C115" i="18"/>
  <c r="C115" i="17"/>
  <c r="AZ111" i="2"/>
  <c r="J110" i="29"/>
  <c r="J110" i="19"/>
  <c r="R110" i="19" s="1"/>
  <c r="H110" i="28"/>
  <c r="H110" i="17"/>
  <c r="Q110" i="17" s="1"/>
  <c r="H118" i="34"/>
  <c r="H118" i="23"/>
  <c r="Q118" i="23" s="1"/>
  <c r="B118" i="32"/>
  <c r="B118" i="25"/>
  <c r="B118" i="24"/>
  <c r="B118" i="34"/>
  <c r="B118" i="29"/>
  <c r="B118" i="22"/>
  <c r="B118" i="33"/>
  <c r="B118" i="30"/>
  <c r="B118" i="23"/>
  <c r="B118" i="28"/>
  <c r="B118" i="19"/>
  <c r="B118" i="26"/>
  <c r="B118" i="20"/>
  <c r="B118" i="21"/>
  <c r="B118" i="18"/>
  <c r="B118" i="17"/>
  <c r="AY111" i="2"/>
  <c r="H115" i="28"/>
  <c r="H115" i="17"/>
  <c r="Q115" i="17" s="1"/>
  <c r="G111" i="28"/>
  <c r="G111" i="23"/>
  <c r="P111" i="23" s="1"/>
  <c r="G111" i="34"/>
  <c r="G111" i="17"/>
  <c r="P111" i="17" s="1"/>
  <c r="H121" i="28"/>
  <c r="H121" i="17"/>
  <c r="Q121" i="17" s="1"/>
  <c r="CG111" i="2"/>
  <c r="AT45" i="14"/>
  <c r="B116" i="34"/>
  <c r="B116" i="28"/>
  <c r="B116" i="32"/>
  <c r="B116" i="24"/>
  <c r="B116" i="30"/>
  <c r="B116" i="26"/>
  <c r="B116" i="25"/>
  <c r="B116" i="20"/>
  <c r="B116" i="23"/>
  <c r="B116" i="22"/>
  <c r="B116" i="21"/>
  <c r="B116" i="18"/>
  <c r="B116" i="29"/>
  <c r="B116" i="33"/>
  <c r="B116" i="19"/>
  <c r="B116" i="17"/>
  <c r="BA111" i="2"/>
  <c r="CH111" i="2"/>
  <c r="AX45" i="14"/>
  <c r="Q114" i="18"/>
  <c r="B115" i="28"/>
  <c r="B115" i="24"/>
  <c r="B115" i="33"/>
  <c r="B115" i="29"/>
  <c r="B115" i="32"/>
  <c r="B115" i="30"/>
  <c r="B115" i="34"/>
  <c r="B115" i="25"/>
  <c r="B115" i="26"/>
  <c r="B115" i="23"/>
  <c r="B115" i="22"/>
  <c r="B115" i="18"/>
  <c r="B115" i="20"/>
  <c r="B115" i="21"/>
  <c r="B115" i="19"/>
  <c r="B115" i="17"/>
  <c r="C102" i="7"/>
  <c r="B110" i="24"/>
  <c r="B110" i="23"/>
  <c r="B110" i="26"/>
  <c r="B110" i="34"/>
  <c r="B110" i="33"/>
  <c r="B110" i="25"/>
  <c r="B110" i="30"/>
  <c r="B110" i="28"/>
  <c r="B110" i="32"/>
  <c r="B110" i="20"/>
  <c r="B110" i="21"/>
  <c r="B110" i="22"/>
  <c r="B110" i="29"/>
  <c r="B110" i="19"/>
  <c r="B110" i="18"/>
  <c r="B110" i="17"/>
  <c r="C114" i="29"/>
  <c r="C114" i="30"/>
  <c r="C114" i="22"/>
  <c r="C114" i="32"/>
  <c r="C114" i="34"/>
  <c r="C114" i="24"/>
  <c r="C114" i="23"/>
  <c r="C114" i="33"/>
  <c r="C114" i="20"/>
  <c r="C114" i="28"/>
  <c r="C114" i="26"/>
  <c r="C114" i="25"/>
  <c r="C114" i="21"/>
  <c r="C114" i="19"/>
  <c r="C114" i="18"/>
  <c r="C114" i="17"/>
  <c r="AX111" i="2"/>
  <c r="CM111" i="2"/>
  <c r="J118" i="29"/>
  <c r="J118" i="19"/>
  <c r="R118" i="19" s="1"/>
  <c r="H111" i="34"/>
  <c r="H111" i="23"/>
  <c r="Q111" i="23" s="1"/>
  <c r="C116" i="34"/>
  <c r="C116" i="22"/>
  <c r="C116" i="33"/>
  <c r="C116" i="25"/>
  <c r="C116" i="30"/>
  <c r="C116" i="26"/>
  <c r="C116" i="28"/>
  <c r="C116" i="23"/>
  <c r="C116" i="29"/>
  <c r="C116" i="24"/>
  <c r="C116" i="32"/>
  <c r="C116" i="19"/>
  <c r="C116" i="20"/>
  <c r="C116" i="18"/>
  <c r="C116" i="21"/>
  <c r="C116" i="17"/>
  <c r="H113" i="28"/>
  <c r="H113" i="17"/>
  <c r="Q113" i="17" s="1"/>
  <c r="Q110" i="18"/>
  <c r="G116" i="34"/>
  <c r="G116" i="23"/>
  <c r="P116" i="23" s="1"/>
  <c r="G116" i="28"/>
  <c r="G116" i="17"/>
  <c r="P116" i="17" s="1"/>
  <c r="C110" i="24"/>
  <c r="C110" i="23"/>
  <c r="C110" i="26"/>
  <c r="C110" i="34"/>
  <c r="C110" i="33"/>
  <c r="C110" i="30"/>
  <c r="C110" i="29"/>
  <c r="C110" i="32"/>
  <c r="C110" i="25"/>
  <c r="C110" i="20"/>
  <c r="C110" i="21"/>
  <c r="C110" i="22"/>
  <c r="C110" i="18"/>
  <c r="C110" i="28"/>
  <c r="C110" i="19"/>
  <c r="C110" i="17"/>
  <c r="B114" i="30"/>
  <c r="B114" i="32"/>
  <c r="B114" i="34"/>
  <c r="B114" i="25"/>
  <c r="B114" i="28"/>
  <c r="B114" i="33"/>
  <c r="B114" i="26"/>
  <c r="B114" i="23"/>
  <c r="B114" i="22"/>
  <c r="B114" i="21"/>
  <c r="B114" i="19"/>
  <c r="B114" i="29"/>
  <c r="B114" i="24"/>
  <c r="B114" i="20"/>
  <c r="B114" i="18"/>
  <c r="B114" i="17"/>
  <c r="H115" i="23"/>
  <c r="Q115" i="23" s="1"/>
  <c r="H115" i="34"/>
  <c r="G119" i="28"/>
  <c r="G119" i="23"/>
  <c r="P119" i="23" s="1"/>
  <c r="G119" i="34"/>
  <c r="G119" i="17"/>
  <c r="P119" i="17" s="1"/>
  <c r="C121" i="26"/>
  <c r="C121" i="23"/>
  <c r="C121" i="29"/>
  <c r="C121" i="30"/>
  <c r="C121" i="33"/>
  <c r="C121" i="34"/>
  <c r="C121" i="32"/>
  <c r="C121" i="28"/>
  <c r="C121" i="20"/>
  <c r="C121" i="25"/>
  <c r="C121" i="22"/>
  <c r="C121" i="24"/>
  <c r="C121" i="18"/>
  <c r="C121" i="21"/>
  <c r="C121" i="19"/>
  <c r="C121" i="17"/>
  <c r="C113" i="28"/>
  <c r="C113" i="24"/>
  <c r="C113" i="26"/>
  <c r="C113" i="33"/>
  <c r="C113" i="30"/>
  <c r="C113" i="29"/>
  <c r="C113" i="34"/>
  <c r="C113" i="32"/>
  <c r="C113" i="25"/>
  <c r="C113" i="20"/>
  <c r="C113" i="23"/>
  <c r="C113" i="22"/>
  <c r="C113" i="21"/>
  <c r="C113" i="18"/>
  <c r="C113" i="19"/>
  <c r="C113" i="17"/>
  <c r="AV111" i="2"/>
  <c r="CL111" i="2"/>
  <c r="H116" i="34"/>
  <c r="H116" i="23"/>
  <c r="Q116" i="23" s="1"/>
  <c r="J112" i="29"/>
  <c r="J112" i="19"/>
  <c r="R112" i="19" s="1"/>
  <c r="G110" i="34"/>
  <c r="G110" i="23"/>
  <c r="P110" i="23" s="1"/>
  <c r="G110" i="28"/>
  <c r="G110" i="17"/>
  <c r="P110" i="17" s="1"/>
  <c r="J121" i="29"/>
  <c r="J121" i="19"/>
  <c r="R121" i="19" s="1"/>
  <c r="H114" i="28"/>
  <c r="H114" i="17"/>
  <c r="Q114" i="17" s="1"/>
  <c r="AW111" i="2"/>
  <c r="G113" i="28"/>
  <c r="G113" i="34"/>
  <c r="G113" i="23"/>
  <c r="P113" i="23" s="1"/>
  <c r="G113" i="17"/>
  <c r="P113" i="17" s="1"/>
  <c r="B121" i="29"/>
  <c r="B121" i="25"/>
  <c r="B121" i="24"/>
  <c r="B121" i="30"/>
  <c r="B121" i="33"/>
  <c r="B121" i="28"/>
  <c r="B121" i="34"/>
  <c r="B121" i="32"/>
  <c r="B121" i="23"/>
  <c r="B121" i="26"/>
  <c r="B121" i="21"/>
  <c r="B121" i="22"/>
  <c r="B121" i="18"/>
  <c r="B121" i="19"/>
  <c r="B121" i="20"/>
  <c r="B121" i="17"/>
  <c r="B113" i="28"/>
  <c r="B113" i="33"/>
  <c r="B113" i="25"/>
  <c r="B113" i="34"/>
  <c r="B113" i="32"/>
  <c r="B113" i="21"/>
  <c r="B113" i="20"/>
  <c r="B113" i="24"/>
  <c r="B113" i="30"/>
  <c r="B113" i="23"/>
  <c r="B113" i="29"/>
  <c r="B113" i="22"/>
  <c r="B113" i="26"/>
  <c r="B113" i="19"/>
  <c r="B113" i="18"/>
  <c r="B113" i="17"/>
  <c r="AU111" i="2"/>
  <c r="CJ111" i="2"/>
  <c r="H112" i="28"/>
  <c r="H112" i="17"/>
  <c r="Q112" i="17" s="1"/>
  <c r="H111" i="28"/>
  <c r="H111" i="17"/>
  <c r="Q111" i="17" s="1"/>
  <c r="G114" i="23"/>
  <c r="P114" i="23" s="1"/>
  <c r="G114" i="34"/>
  <c r="G114" i="28"/>
  <c r="G114" i="17"/>
  <c r="P114" i="17" s="1"/>
  <c r="BT14" i="3"/>
  <c r="ED34" i="3"/>
  <c r="DM34" i="3"/>
  <c r="CV34" i="3"/>
  <c r="CE34" i="3"/>
  <c r="BA35" i="3"/>
  <c r="EC34" i="3"/>
  <c r="DL34" i="3"/>
  <c r="CU34" i="3"/>
  <c r="CD34" i="3"/>
  <c r="BM34" i="3"/>
  <c r="ES34" i="3"/>
  <c r="EB34" i="3"/>
  <c r="DK34" i="3"/>
  <c r="CT34" i="3"/>
  <c r="BL34" i="3"/>
  <c r="EK34" i="3"/>
  <c r="DT34" i="3"/>
  <c r="DB34" i="3"/>
  <c r="CK34" i="3"/>
  <c r="BU34" i="3"/>
  <c r="BD34" i="3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D29" i="42"/>
  <c r="F10" i="42"/>
  <c r="H3" i="29"/>
  <c r="H4" i="29" s="1"/>
  <c r="H5" i="29" s="1"/>
  <c r="H6" i="29" s="1"/>
  <c r="H7" i="29" s="1"/>
  <c r="H8" i="29" s="1"/>
  <c r="H9" i="29" s="1"/>
  <c r="H10" i="29" s="1"/>
  <c r="H11" i="29" s="1"/>
  <c r="H12" i="29" s="1"/>
  <c r="H13" i="29" s="1"/>
  <c r="H14" i="29" s="1"/>
  <c r="H15" i="29" s="1"/>
  <c r="H16" i="29" s="1"/>
  <c r="H17" i="29" s="1"/>
  <c r="H18" i="29" s="1"/>
  <c r="H19" i="29" s="1"/>
  <c r="H20" i="29" s="1"/>
  <c r="H21" i="29" s="1"/>
  <c r="H22" i="29" s="1"/>
  <c r="H23" i="29" s="1"/>
  <c r="H24" i="29" s="1"/>
  <c r="H25" i="29" s="1"/>
  <c r="H26" i="29" s="1"/>
  <c r="H27" i="29" s="1"/>
  <c r="H28" i="29" s="1"/>
  <c r="H29" i="29" s="1"/>
  <c r="H30" i="29" s="1"/>
  <c r="H31" i="29" s="1"/>
  <c r="H32" i="29" s="1"/>
  <c r="H33" i="29" s="1"/>
  <c r="H34" i="29" s="1"/>
  <c r="H35" i="29" s="1"/>
  <c r="H36" i="29" s="1"/>
  <c r="H37" i="29" s="1"/>
  <c r="H38" i="29" s="1"/>
  <c r="H39" i="29" s="1"/>
  <c r="H40" i="29" s="1"/>
  <c r="H41" i="29" s="1"/>
  <c r="H42" i="29" s="1"/>
  <c r="H43" i="29" s="1"/>
  <c r="H44" i="29" s="1"/>
  <c r="H45" i="29" s="1"/>
  <c r="H46" i="29" s="1"/>
  <c r="H47" i="29" s="1"/>
  <c r="H48" i="29" s="1"/>
  <c r="H49" i="29" s="1"/>
  <c r="H50" i="29" s="1"/>
  <c r="H51" i="29" s="1"/>
  <c r="H52" i="29" s="1"/>
  <c r="H53" i="29" s="1"/>
  <c r="H54" i="29" s="1"/>
  <c r="H55" i="29" s="1"/>
  <c r="H56" i="29" s="1"/>
  <c r="H57" i="29" s="1"/>
  <c r="H58" i="29" s="1"/>
  <c r="H59" i="29" s="1"/>
  <c r="H60" i="29" s="1"/>
  <c r="H61" i="29" s="1"/>
  <c r="H62" i="29" s="1"/>
  <c r="H63" i="29" s="1"/>
  <c r="H64" i="29" s="1"/>
  <c r="H65" i="29" s="1"/>
  <c r="H66" i="29" s="1"/>
  <c r="H67" i="29" s="1"/>
  <c r="H68" i="29" s="1"/>
  <c r="H69" i="29" s="1"/>
  <c r="H70" i="29" s="1"/>
  <c r="H71" i="29" s="1"/>
  <c r="H72" i="29" s="1"/>
  <c r="H73" i="29" s="1"/>
  <c r="H74" i="29" s="1"/>
  <c r="H75" i="29" s="1"/>
  <c r="H76" i="29" s="1"/>
  <c r="H77" i="29" s="1"/>
  <c r="H78" i="29" s="1"/>
  <c r="H79" i="29" s="1"/>
  <c r="H80" i="29" s="1"/>
  <c r="H81" i="29" s="1"/>
  <c r="H82" i="29" s="1"/>
  <c r="H83" i="29" s="1"/>
  <c r="H84" i="29" s="1"/>
  <c r="H85" i="29" s="1"/>
  <c r="H86" i="29" s="1"/>
  <c r="H87" i="29" s="1"/>
  <c r="H88" i="29" s="1"/>
  <c r="H89" i="29" s="1"/>
  <c r="H90" i="29" s="1"/>
  <c r="H91" i="29" s="1"/>
  <c r="H92" i="29" s="1"/>
  <c r="H93" i="29" s="1"/>
  <c r="H94" i="29" s="1"/>
  <c r="H95" i="29" s="1"/>
  <c r="H96" i="29" s="1"/>
  <c r="H97" i="29" s="1"/>
  <c r="H98" i="29" s="1"/>
  <c r="H99" i="29" s="1"/>
  <c r="H100" i="29" s="1"/>
  <c r="H101" i="29" s="1"/>
  <c r="H102" i="29" s="1"/>
  <c r="H103" i="29" s="1"/>
  <c r="H104" i="29" s="1"/>
  <c r="H105" i="29" s="1"/>
  <c r="H106" i="29" s="1"/>
  <c r="H107" i="29" s="1"/>
  <c r="H108" i="29" s="1"/>
  <c r="H109" i="29" s="1"/>
  <c r="H110" i="29" s="1"/>
  <c r="H111" i="29" s="1"/>
  <c r="H112" i="29" s="1"/>
  <c r="H113" i="29" s="1"/>
  <c r="H114" i="29" s="1"/>
  <c r="H115" i="29" s="1"/>
  <c r="H116" i="29" s="1"/>
  <c r="H117" i="29" s="1"/>
  <c r="H118" i="29" s="1"/>
  <c r="H119" i="29" s="1"/>
  <c r="H120" i="29" s="1"/>
  <c r="H121" i="29" s="1"/>
  <c r="T71" i="7"/>
  <c r="S71" i="7"/>
  <c r="B112" i="73"/>
  <c r="B136" i="73" s="1"/>
  <c r="B111" i="73"/>
  <c r="B135" i="73" s="1"/>
  <c r="B110" i="73"/>
  <c r="B134" i="73" s="1"/>
  <c r="P4" i="32"/>
  <c r="P5" i="32"/>
  <c r="P3" i="32"/>
  <c r="Y4" i="31"/>
  <c r="Y5" i="31"/>
  <c r="Y3" i="31"/>
  <c r="Y4" i="29"/>
  <c r="Y5" i="29"/>
  <c r="Y3" i="29"/>
  <c r="J1" i="34"/>
  <c r="H1" i="29"/>
  <c r="K1" i="28"/>
  <c r="J1" i="23"/>
  <c r="H1" i="19"/>
  <c r="K1" i="17"/>
  <c r="CK112" i="2" l="1"/>
  <c r="BN46" i="14"/>
  <c r="GB111" i="2"/>
  <c r="BH46" i="14"/>
  <c r="F111" i="26"/>
  <c r="K111" i="26" s="1"/>
  <c r="GA111" i="2"/>
  <c r="CJ112" i="2"/>
  <c r="AU112" i="2"/>
  <c r="G46" i="14"/>
  <c r="BV46" i="14"/>
  <c r="GD111" i="2"/>
  <c r="CM112" i="2"/>
  <c r="AX112" i="2"/>
  <c r="U46" i="14"/>
  <c r="BB112" i="2"/>
  <c r="AO46" i="14"/>
  <c r="FW111" i="2"/>
  <c r="BS45" i="14"/>
  <c r="C46" i="14"/>
  <c r="AT112" i="2"/>
  <c r="BR46" i="14"/>
  <c r="GC111" i="2"/>
  <c r="CL112" i="2"/>
  <c r="AW112" i="2"/>
  <c r="O46" i="14"/>
  <c r="AV112" i="2"/>
  <c r="K46" i="14"/>
  <c r="AZ112" i="2"/>
  <c r="AG46" i="14"/>
  <c r="FU111" i="2"/>
  <c r="BW45" i="14"/>
  <c r="CI112" i="2"/>
  <c r="BB46" i="14"/>
  <c r="AY46" i="14"/>
  <c r="CH112" i="2"/>
  <c r="AX46" i="14"/>
  <c r="BA112" i="2"/>
  <c r="AK46" i="14"/>
  <c r="FV111" i="2"/>
  <c r="AY112" i="2"/>
  <c r="AA46" i="14"/>
  <c r="CG112" i="2"/>
  <c r="AT46" i="14"/>
  <c r="CB14" i="3"/>
  <c r="CB34" i="3"/>
  <c r="BS46" i="14" l="1"/>
  <c r="AL46" i="14"/>
  <c r="CG113" i="2"/>
  <c r="AT47" i="14"/>
  <c r="CL113" i="2"/>
  <c r="BR47" i="14"/>
  <c r="GC112" i="2"/>
  <c r="CK113" i="2"/>
  <c r="BN47" i="14"/>
  <c r="GB112" i="2"/>
  <c r="V47" i="14"/>
  <c r="V46" i="14"/>
  <c r="AZ113" i="2"/>
  <c r="AG47" i="14"/>
  <c r="FU112" i="2"/>
  <c r="C47" i="14"/>
  <c r="AT113" i="2"/>
  <c r="AX113" i="2"/>
  <c r="U47" i="14"/>
  <c r="CH113" i="2"/>
  <c r="AX47" i="14"/>
  <c r="D47" i="14"/>
  <c r="D46" i="14"/>
  <c r="CM113" i="2"/>
  <c r="BV47" i="14"/>
  <c r="GD112" i="2"/>
  <c r="BW46" i="14"/>
  <c r="L46" i="14"/>
  <c r="H46" i="14"/>
  <c r="AB46" i="14"/>
  <c r="AU113" i="2"/>
  <c r="G47" i="14"/>
  <c r="AV113" i="2"/>
  <c r="K47" i="14"/>
  <c r="P46" i="14"/>
  <c r="CJ113" i="2"/>
  <c r="F112" i="26"/>
  <c r="K112" i="26" s="1"/>
  <c r="BH47" i="14"/>
  <c r="GA112" i="2"/>
  <c r="AP47" i="14"/>
  <c r="AP46" i="14"/>
  <c r="BA113" i="2"/>
  <c r="AK47" i="14"/>
  <c r="FV112" i="2"/>
  <c r="BC46" i="14"/>
  <c r="AH46" i="14"/>
  <c r="BB113" i="2"/>
  <c r="AO47" i="14"/>
  <c r="FW112" i="2"/>
  <c r="BI47" i="14"/>
  <c r="BI46" i="14"/>
  <c r="AY113" i="2"/>
  <c r="AA47" i="14"/>
  <c r="AB47" i="14" s="1"/>
  <c r="CI113" i="2"/>
  <c r="BB47" i="14"/>
  <c r="AW113" i="2"/>
  <c r="O47" i="14"/>
  <c r="AU47" i="14"/>
  <c r="AU46" i="14"/>
  <c r="BO46" i="14"/>
  <c r="BO47" i="14" l="1"/>
  <c r="BW47" i="14"/>
  <c r="AZ114" i="2"/>
  <c r="AG48" i="14"/>
  <c r="FU113" i="2"/>
  <c r="CM114" i="2"/>
  <c r="BV48" i="14"/>
  <c r="GD113" i="2"/>
  <c r="AV114" i="2"/>
  <c r="K48" i="14"/>
  <c r="AU114" i="2"/>
  <c r="G48" i="14"/>
  <c r="CI114" i="2"/>
  <c r="BB48" i="14"/>
  <c r="CK114" i="2"/>
  <c r="BN48" i="14"/>
  <c r="GB113" i="2"/>
  <c r="AY47" i="14"/>
  <c r="AY114" i="2"/>
  <c r="AA48" i="14"/>
  <c r="CH114" i="2"/>
  <c r="AX48" i="14"/>
  <c r="AX114" i="2"/>
  <c r="U48" i="14"/>
  <c r="BS47" i="14"/>
  <c r="CL114" i="2"/>
  <c r="BR48" i="14"/>
  <c r="GC113" i="2"/>
  <c r="BA114" i="2"/>
  <c r="AK48" i="14"/>
  <c r="FV113" i="2"/>
  <c r="AT114" i="2"/>
  <c r="C48" i="14"/>
  <c r="P47" i="14"/>
  <c r="CJ114" i="2"/>
  <c r="BH48" i="14"/>
  <c r="F113" i="26"/>
  <c r="K113" i="26" s="1"/>
  <c r="GA113" i="2"/>
  <c r="CG114" i="2"/>
  <c r="AT48" i="14"/>
  <c r="L47" i="14"/>
  <c r="BC48" i="14"/>
  <c r="BC47" i="14"/>
  <c r="AL48" i="14"/>
  <c r="AL47" i="14"/>
  <c r="H47" i="14"/>
  <c r="AW114" i="2"/>
  <c r="O48" i="14"/>
  <c r="BB114" i="2"/>
  <c r="AO48" i="14"/>
  <c r="FW113" i="2"/>
  <c r="AH47" i="14"/>
  <c r="P48" i="14" l="1"/>
  <c r="L48" i="14"/>
  <c r="AH48" i="14"/>
  <c r="H48" i="14"/>
  <c r="AT115" i="2"/>
  <c r="C49" i="14"/>
  <c r="AX115" i="2"/>
  <c r="U49" i="14"/>
  <c r="AU115" i="2"/>
  <c r="G49" i="14"/>
  <c r="AV115" i="2"/>
  <c r="K49" i="14"/>
  <c r="AU48" i="14"/>
  <c r="BW48" i="14"/>
  <c r="AB48" i="14"/>
  <c r="AP48" i="14"/>
  <c r="D48" i="14"/>
  <c r="BA115" i="2"/>
  <c r="AK49" i="14"/>
  <c r="FV114" i="2"/>
  <c r="AY115" i="2"/>
  <c r="AA49" i="14"/>
  <c r="AB49" i="14" s="1"/>
  <c r="BB115" i="2"/>
  <c r="AO49" i="14"/>
  <c r="FW114" i="2"/>
  <c r="AY48" i="14"/>
  <c r="AW115" i="2"/>
  <c r="O49" i="14"/>
  <c r="CJ115" i="2"/>
  <c r="F114" i="26"/>
  <c r="K114" i="26" s="1"/>
  <c r="BH49" i="14"/>
  <c r="GA114" i="2"/>
  <c r="BS48" i="14"/>
  <c r="CK115" i="2"/>
  <c r="BN49" i="14"/>
  <c r="GB114" i="2"/>
  <c r="AZ115" i="2"/>
  <c r="AG49" i="14"/>
  <c r="FU114" i="2"/>
  <c r="CH115" i="2"/>
  <c r="AX49" i="14"/>
  <c r="CM115" i="2"/>
  <c r="BV49" i="14"/>
  <c r="GD114" i="2"/>
  <c r="BI48" i="14"/>
  <c r="BO48" i="14"/>
  <c r="CL115" i="2"/>
  <c r="BR49" i="14"/>
  <c r="GC114" i="2"/>
  <c r="V49" i="14"/>
  <c r="V48" i="14"/>
  <c r="CG115" i="2"/>
  <c r="AT49" i="14"/>
  <c r="CI115" i="2"/>
  <c r="BB49" i="14"/>
  <c r="BO49" i="14" l="1"/>
  <c r="BI49" i="14"/>
  <c r="D49" i="14"/>
  <c r="AU49" i="14"/>
  <c r="BW49" i="14"/>
  <c r="L49" i="14"/>
  <c r="BA116" i="2"/>
  <c r="AK50" i="14"/>
  <c r="FV115" i="2"/>
  <c r="AV116" i="2"/>
  <c r="K50" i="14"/>
  <c r="CJ116" i="2"/>
  <c r="BH50" i="14"/>
  <c r="F115" i="26"/>
  <c r="K115" i="26" s="1"/>
  <c r="GA115" i="2"/>
  <c r="AU116" i="2"/>
  <c r="G50" i="14"/>
  <c r="CI116" i="2"/>
  <c r="BB50" i="14"/>
  <c r="AL49" i="14"/>
  <c r="CG116" i="2"/>
  <c r="AT50" i="14"/>
  <c r="AW116" i="2"/>
  <c r="O50" i="14"/>
  <c r="CM116" i="2"/>
  <c r="BV50" i="14"/>
  <c r="GD115" i="2"/>
  <c r="BC49" i="14"/>
  <c r="P49" i="14"/>
  <c r="AY49" i="14"/>
  <c r="AX116" i="2"/>
  <c r="U50" i="14"/>
  <c r="AP49" i="14"/>
  <c r="CH116" i="2"/>
  <c r="AX50" i="14"/>
  <c r="AH49" i="14"/>
  <c r="BS49" i="14"/>
  <c r="AZ116" i="2"/>
  <c r="AG50" i="14"/>
  <c r="FU115" i="2"/>
  <c r="CL116" i="2"/>
  <c r="BR50" i="14"/>
  <c r="GC115" i="2"/>
  <c r="BB116" i="2"/>
  <c r="AO50" i="14"/>
  <c r="FW115" i="2"/>
  <c r="AT116" i="2"/>
  <c r="C50" i="14"/>
  <c r="CK116" i="2"/>
  <c r="BN50" i="14"/>
  <c r="GB115" i="2"/>
  <c r="AY116" i="2"/>
  <c r="AA50" i="14"/>
  <c r="H49" i="14"/>
  <c r="CM117" i="2" l="1"/>
  <c r="BV51" i="14"/>
  <c r="GD116" i="2"/>
  <c r="BB117" i="2"/>
  <c r="AO51" i="14"/>
  <c r="FW116" i="2"/>
  <c r="CH117" i="2"/>
  <c r="AX51" i="14"/>
  <c r="BI50" i="14"/>
  <c r="CJ117" i="2"/>
  <c r="BH51" i="14"/>
  <c r="GA116" i="2"/>
  <c r="F116" i="26"/>
  <c r="K116" i="26" s="1"/>
  <c r="AB50" i="14"/>
  <c r="CL117" i="2"/>
  <c r="BR51" i="14"/>
  <c r="GC116" i="2"/>
  <c r="AX117" i="2"/>
  <c r="U51" i="14"/>
  <c r="AW117" i="2"/>
  <c r="O51" i="14"/>
  <c r="AV117" i="2"/>
  <c r="K51" i="14"/>
  <c r="CG117" i="2"/>
  <c r="AT51" i="14"/>
  <c r="AY50" i="14"/>
  <c r="BA117" i="2"/>
  <c r="AK51" i="14"/>
  <c r="FV116" i="2"/>
  <c r="V50" i="14"/>
  <c r="AL50" i="14"/>
  <c r="BO50" i="14"/>
  <c r="P50" i="14"/>
  <c r="CI117" i="2"/>
  <c r="BB51" i="14"/>
  <c r="CK117" i="2"/>
  <c r="BN51" i="14"/>
  <c r="GB116" i="2"/>
  <c r="AU50" i="14"/>
  <c r="AY117" i="2"/>
  <c r="AA51" i="14"/>
  <c r="AB51" i="14" s="1"/>
  <c r="AZ117" i="2"/>
  <c r="AG51" i="14"/>
  <c r="FU116" i="2"/>
  <c r="D50" i="14"/>
  <c r="BC50" i="14"/>
  <c r="H50" i="14"/>
  <c r="AT117" i="2"/>
  <c r="C51" i="14"/>
  <c r="BS50" i="14"/>
  <c r="L50" i="14"/>
  <c r="AH50" i="14"/>
  <c r="AU117" i="2"/>
  <c r="G51" i="14"/>
  <c r="AP50" i="14"/>
  <c r="BW50" i="14"/>
  <c r="BO51" i="14" l="1"/>
  <c r="D51" i="14"/>
  <c r="AP51" i="14"/>
  <c r="CI118" i="2"/>
  <c r="BB52" i="14"/>
  <c r="CG118" i="2"/>
  <c r="AT52" i="14"/>
  <c r="CJ118" i="2"/>
  <c r="F117" i="26"/>
  <c r="K117" i="26" s="1"/>
  <c r="BH52" i="14"/>
  <c r="GA117" i="2"/>
  <c r="P51" i="14"/>
  <c r="BI51" i="14"/>
  <c r="AW118" i="2"/>
  <c r="O52" i="14"/>
  <c r="AY51" i="14"/>
  <c r="CH118" i="2"/>
  <c r="AX52" i="14"/>
  <c r="AH51" i="14"/>
  <c r="L51" i="14"/>
  <c r="AV118" i="2"/>
  <c r="K52" i="14"/>
  <c r="AY118" i="2"/>
  <c r="AA52" i="14"/>
  <c r="BC52" i="14"/>
  <c r="BC51" i="14"/>
  <c r="AU118" i="2"/>
  <c r="G52" i="14"/>
  <c r="AZ118" i="2"/>
  <c r="AG52" i="14"/>
  <c r="FU117" i="2"/>
  <c r="AL52" i="14"/>
  <c r="AL51" i="14"/>
  <c r="BS51" i="14"/>
  <c r="CL118" i="2"/>
  <c r="BR52" i="14"/>
  <c r="GC117" i="2"/>
  <c r="BA118" i="2"/>
  <c r="AK52" i="14"/>
  <c r="FV117" i="2"/>
  <c r="BW51" i="14"/>
  <c r="AT118" i="2"/>
  <c r="C52" i="14"/>
  <c r="AX118" i="2"/>
  <c r="U52" i="14"/>
  <c r="V51" i="14"/>
  <c r="AU51" i="14"/>
  <c r="H51" i="14"/>
  <c r="BB118" i="2"/>
  <c r="AO52" i="14"/>
  <c r="FW117" i="2"/>
  <c r="CK118" i="2"/>
  <c r="BN52" i="14"/>
  <c r="GB117" i="2"/>
  <c r="CM118" i="2"/>
  <c r="BV52" i="14"/>
  <c r="GD117" i="2"/>
  <c r="AW119" i="2" l="1"/>
  <c r="O53" i="14"/>
  <c r="AY119" i="2"/>
  <c r="AA53" i="14"/>
  <c r="V52" i="14"/>
  <c r="AX119" i="2"/>
  <c r="U53" i="14"/>
  <c r="P52" i="14"/>
  <c r="BW52" i="14"/>
  <c r="AB53" i="14"/>
  <c r="AB52" i="14"/>
  <c r="D52" i="14"/>
  <c r="AT119" i="2"/>
  <c r="C53" i="14"/>
  <c r="BI52" i="14"/>
  <c r="L52" i="14"/>
  <c r="BO52" i="14"/>
  <c r="CK119" i="2"/>
  <c r="BN53" i="14"/>
  <c r="GB118" i="2"/>
  <c r="CM119" i="2"/>
  <c r="BV53" i="14"/>
  <c r="GD118" i="2"/>
  <c r="H52" i="14"/>
  <c r="AU119" i="2"/>
  <c r="G53" i="14"/>
  <c r="AH52" i="14"/>
  <c r="CG119" i="2"/>
  <c r="AT53" i="14"/>
  <c r="AV119" i="2"/>
  <c r="K53" i="14"/>
  <c r="AZ119" i="2"/>
  <c r="AG53" i="14"/>
  <c r="FU118" i="2"/>
  <c r="BA119" i="2"/>
  <c r="AK53" i="14"/>
  <c r="FV118" i="2"/>
  <c r="CJ119" i="2"/>
  <c r="BH53" i="14"/>
  <c r="F118" i="26"/>
  <c r="K118" i="26" s="1"/>
  <c r="GA118" i="2"/>
  <c r="AU52" i="14"/>
  <c r="AP52" i="14"/>
  <c r="BS52" i="14"/>
  <c r="AY52" i="14"/>
  <c r="BB119" i="2"/>
  <c r="AO53" i="14"/>
  <c r="FW118" i="2"/>
  <c r="CL119" i="2"/>
  <c r="BR53" i="14"/>
  <c r="GC118" i="2"/>
  <c r="CH119" i="2"/>
  <c r="AX53" i="14"/>
  <c r="CI119" i="2"/>
  <c r="BB53" i="14"/>
  <c r="AP53" i="14" l="1"/>
  <c r="AH53" i="14"/>
  <c r="CG120" i="2"/>
  <c r="AT54" i="14"/>
  <c r="BO53" i="14"/>
  <c r="V53" i="14"/>
  <c r="AU53" i="14"/>
  <c r="AX120" i="2"/>
  <c r="U54" i="14"/>
  <c r="AU120" i="2"/>
  <c r="G54" i="14"/>
  <c r="AV120" i="2"/>
  <c r="K54" i="14"/>
  <c r="CJ120" i="2"/>
  <c r="F119" i="26"/>
  <c r="K119" i="26" s="1"/>
  <c r="BH54" i="14"/>
  <c r="GA119" i="2"/>
  <c r="AL53" i="14"/>
  <c r="AZ120" i="2"/>
  <c r="AG54" i="14"/>
  <c r="FU119" i="2"/>
  <c r="CI120" i="2"/>
  <c r="BB54" i="14"/>
  <c r="L53" i="14"/>
  <c r="AY54" i="14"/>
  <c r="AY53" i="14"/>
  <c r="CK120" i="2"/>
  <c r="BN54" i="14"/>
  <c r="GB119" i="2"/>
  <c r="CH120" i="2"/>
  <c r="AX54" i="14"/>
  <c r="CL120" i="2"/>
  <c r="BR54" i="14"/>
  <c r="GC119" i="2"/>
  <c r="BI53" i="14"/>
  <c r="H53" i="14"/>
  <c r="AY120" i="2"/>
  <c r="AA54" i="14"/>
  <c r="AB54" i="14" s="1"/>
  <c r="BS53" i="14"/>
  <c r="BW53" i="14"/>
  <c r="P53" i="14"/>
  <c r="BC53" i="14"/>
  <c r="BB120" i="2"/>
  <c r="AO54" i="14"/>
  <c r="FW119" i="2"/>
  <c r="AT120" i="2"/>
  <c r="C54" i="14"/>
  <c r="BA120" i="2"/>
  <c r="AK54" i="14"/>
  <c r="FV119" i="2"/>
  <c r="CM120" i="2"/>
  <c r="BV54" i="14"/>
  <c r="GD119" i="2"/>
  <c r="D53" i="14"/>
  <c r="AW120" i="2"/>
  <c r="O54" i="14"/>
  <c r="L54" i="14" l="1"/>
  <c r="P54" i="14"/>
  <c r="AP54" i="14"/>
  <c r="AO55" i="14"/>
  <c r="FW120" i="2"/>
  <c r="AA55" i="14"/>
  <c r="BH55" i="14"/>
  <c r="F120" i="26"/>
  <c r="K120" i="26" s="1"/>
  <c r="GA120" i="2"/>
  <c r="K55" i="14"/>
  <c r="H54" i="14"/>
  <c r="G55" i="14"/>
  <c r="O55" i="14"/>
  <c r="V54" i="14"/>
  <c r="BB55" i="14"/>
  <c r="AG55" i="14"/>
  <c r="FU120" i="2"/>
  <c r="BW54" i="14"/>
  <c r="AH54" i="14"/>
  <c r="BR55" i="14"/>
  <c r="GC120" i="2"/>
  <c r="AX55" i="14"/>
  <c r="AL54" i="14"/>
  <c r="AT55" i="14"/>
  <c r="AU54" i="14"/>
  <c r="C55" i="14"/>
  <c r="BS54" i="14"/>
  <c r="BO54" i="14"/>
  <c r="BC54" i="14"/>
  <c r="U55" i="14"/>
  <c r="BV55" i="14"/>
  <c r="GD120" i="2"/>
  <c r="AK55" i="14"/>
  <c r="FV120" i="2"/>
  <c r="D54" i="14"/>
  <c r="BN55" i="14"/>
  <c r="GB120" i="2"/>
  <c r="BI54" i="14"/>
  <c r="D56" i="14" l="1"/>
  <c r="D55" i="14"/>
  <c r="BO55" i="14"/>
  <c r="BO56" i="14"/>
  <c r="AH55" i="14"/>
  <c r="AH56" i="14"/>
  <c r="L55" i="14"/>
  <c r="L56" i="14"/>
  <c r="BI56" i="14"/>
  <c r="BI55" i="14"/>
  <c r="AB55" i="14"/>
  <c r="AB56" i="14"/>
  <c r="BC56" i="14"/>
  <c r="BC55" i="14"/>
  <c r="AU55" i="14"/>
  <c r="AU56" i="14"/>
  <c r="AL55" i="14"/>
  <c r="AL56" i="14"/>
  <c r="AY56" i="14"/>
  <c r="AY55" i="14"/>
  <c r="P56" i="14"/>
  <c r="P55" i="14"/>
  <c r="AP55" i="14"/>
  <c r="AP56" i="14"/>
  <c r="BW55" i="14"/>
  <c r="BW56" i="14"/>
  <c r="H56" i="14"/>
  <c r="H55" i="14"/>
  <c r="V56" i="14"/>
  <c r="V55" i="14"/>
  <c r="BS55" i="14"/>
  <c r="BS56" i="14"/>
  <c r="EH3" i="2" l="1"/>
  <c r="J2" i="23"/>
  <c r="K2" i="17"/>
  <c r="J2" i="34"/>
  <c r="K2" i="28"/>
  <c r="H2" i="19"/>
  <c r="EH4" i="2" l="1"/>
  <c r="J3" i="23"/>
  <c r="K3" i="17"/>
  <c r="H3" i="19"/>
  <c r="J3" i="34"/>
  <c r="K3" i="28"/>
  <c r="J4" i="34" l="1"/>
  <c r="K4" i="17"/>
  <c r="J4" i="23"/>
  <c r="K4" i="28"/>
  <c r="H4" i="19"/>
  <c r="EH5" i="2"/>
  <c r="K5" i="28" l="1"/>
  <c r="EH6" i="2"/>
  <c r="J5" i="34"/>
  <c r="J5" i="23"/>
  <c r="H5" i="19"/>
  <c r="K5" i="17"/>
  <c r="K6" i="28" l="1"/>
  <c r="H6" i="19"/>
  <c r="EH7" i="2"/>
  <c r="K6" i="17"/>
  <c r="J6" i="34"/>
  <c r="J6" i="23"/>
  <c r="K7" i="28" l="1"/>
  <c r="H7" i="19"/>
  <c r="EH8" i="2"/>
  <c r="J7" i="23"/>
  <c r="J7" i="34"/>
  <c r="K7" i="17"/>
  <c r="K8" i="28" l="1"/>
  <c r="H8" i="19"/>
  <c r="J8" i="34"/>
  <c r="K8" i="17"/>
  <c r="EH9" i="2"/>
  <c r="J8" i="23"/>
  <c r="EH10" i="2" l="1"/>
  <c r="J9" i="23"/>
  <c r="K9" i="28"/>
  <c r="H9" i="19"/>
  <c r="J9" i="34"/>
  <c r="K9" i="17"/>
  <c r="J10" i="23" l="1"/>
  <c r="K10" i="17"/>
  <c r="K10" i="28"/>
  <c r="H10" i="19"/>
  <c r="J10" i="34"/>
  <c r="EH11" i="2"/>
  <c r="J11" i="23" l="1"/>
  <c r="H11" i="19"/>
  <c r="K11" i="17"/>
  <c r="K11" i="28"/>
  <c r="J11" i="34"/>
  <c r="EH12" i="2"/>
  <c r="J12" i="23" l="1"/>
  <c r="K12" i="17"/>
  <c r="H12" i="19"/>
  <c r="J12" i="34"/>
  <c r="K12" i="28"/>
  <c r="EH13" i="2"/>
  <c r="K13" i="17" l="1"/>
  <c r="K13" i="28"/>
  <c r="EH14" i="2"/>
  <c r="J13" i="34"/>
  <c r="H13" i="19"/>
  <c r="J13" i="23"/>
  <c r="K14" i="17" l="1"/>
  <c r="H14" i="19"/>
  <c r="J14" i="34"/>
  <c r="K14" i="28"/>
  <c r="EH15" i="2"/>
  <c r="J14" i="23"/>
  <c r="K15" i="17" l="1"/>
  <c r="K15" i="28"/>
  <c r="EH16" i="2"/>
  <c r="J15" i="34"/>
  <c r="H15" i="19"/>
  <c r="J15" i="23"/>
  <c r="J16" i="34" l="1"/>
  <c r="K16" i="17"/>
  <c r="K16" i="28"/>
  <c r="EH17" i="2"/>
  <c r="J16" i="23"/>
  <c r="H16" i="19"/>
  <c r="J17" i="34" l="1"/>
  <c r="K17" i="17"/>
  <c r="K17" i="28"/>
  <c r="EH18" i="2"/>
  <c r="J17" i="23"/>
  <c r="H17" i="19"/>
  <c r="EH19" i="2" l="1"/>
  <c r="J18" i="34"/>
  <c r="J18" i="23"/>
  <c r="K18" i="28"/>
  <c r="H18" i="19"/>
  <c r="K18" i="17"/>
  <c r="EH20" i="2" l="1"/>
  <c r="H19" i="19"/>
  <c r="J19" i="34"/>
  <c r="J19" i="23"/>
  <c r="K19" i="17"/>
  <c r="K19" i="28"/>
  <c r="J20" i="34" l="1"/>
  <c r="K20" i="17"/>
  <c r="EH21" i="2"/>
  <c r="J20" i="23"/>
  <c r="K20" i="28"/>
  <c r="H20" i="19"/>
  <c r="H21" i="19" l="1"/>
  <c r="J21" i="34"/>
  <c r="J21" i="23"/>
  <c r="K21" i="28"/>
  <c r="EH22" i="2"/>
  <c r="K21" i="17"/>
  <c r="H22" i="19" l="1"/>
  <c r="J22" i="34"/>
  <c r="K22" i="17"/>
  <c r="K22" i="28"/>
  <c r="EH23" i="2"/>
  <c r="J22" i="23"/>
  <c r="K23" i="28" l="1"/>
  <c r="EH24" i="2"/>
  <c r="J23" i="23"/>
  <c r="H23" i="19"/>
  <c r="J23" i="34"/>
  <c r="K23" i="17"/>
  <c r="H24" i="19" l="1"/>
  <c r="J24" i="34"/>
  <c r="K24" i="17"/>
  <c r="K24" i="28"/>
  <c r="EH25" i="2"/>
  <c r="J24" i="23"/>
  <c r="EH26" i="2" l="1"/>
  <c r="J25" i="23"/>
  <c r="K25" i="28"/>
  <c r="H25" i="19"/>
  <c r="J25" i="34"/>
  <c r="K25" i="17"/>
  <c r="J26" i="23" l="1"/>
  <c r="K26" i="17"/>
  <c r="H26" i="19"/>
  <c r="EH27" i="2"/>
  <c r="K26" i="28"/>
  <c r="J26" i="34"/>
  <c r="J27" i="23" l="1"/>
  <c r="H27" i="19"/>
  <c r="EH28" i="2"/>
  <c r="J27" i="34"/>
  <c r="K27" i="17"/>
  <c r="K27" i="28"/>
  <c r="J28" i="23" l="1"/>
  <c r="H28" i="19"/>
  <c r="EH29" i="2"/>
  <c r="K28" i="17"/>
  <c r="K28" i="28"/>
  <c r="J28" i="34"/>
  <c r="K29" i="17" l="1"/>
  <c r="H29" i="19"/>
  <c r="J29" i="34"/>
  <c r="K29" i="28"/>
  <c r="EH30" i="2"/>
  <c r="J29" i="23"/>
  <c r="K30" i="17" l="1"/>
  <c r="H30" i="19"/>
  <c r="J30" i="34"/>
  <c r="K30" i="28"/>
  <c r="EH31" i="2"/>
  <c r="J30" i="23"/>
  <c r="K31" i="17" l="1"/>
  <c r="H31" i="19"/>
  <c r="J31" i="34"/>
  <c r="K31" i="28"/>
  <c r="EH32" i="2"/>
  <c r="J31" i="23"/>
  <c r="J32" i="34" l="1"/>
  <c r="J32" i="23"/>
  <c r="K32" i="17"/>
  <c r="K32" i="28"/>
  <c r="EH33" i="2"/>
  <c r="H32" i="19"/>
  <c r="J33" i="23" l="1"/>
  <c r="K33" i="17"/>
  <c r="H33" i="19"/>
  <c r="J33" i="34"/>
  <c r="EH34" i="2"/>
  <c r="K33" i="28"/>
  <c r="J34" i="34" l="1"/>
  <c r="J34" i="23"/>
  <c r="K34" i="17"/>
  <c r="K34" i="28"/>
  <c r="H34" i="19"/>
  <c r="EH35" i="2"/>
  <c r="EH36" i="2" l="1"/>
  <c r="J35" i="34"/>
  <c r="J35" i="23"/>
  <c r="K35" i="17"/>
  <c r="K35" i="28"/>
  <c r="H35" i="19"/>
  <c r="J36" i="34" l="1"/>
  <c r="J36" i="23"/>
  <c r="K36" i="17"/>
  <c r="EH37" i="2"/>
  <c r="H36" i="19"/>
  <c r="K36" i="28"/>
  <c r="H37" i="19" l="1"/>
  <c r="EH38" i="2"/>
  <c r="J37" i="34"/>
  <c r="K37" i="17"/>
  <c r="J37" i="23"/>
  <c r="K37" i="28"/>
  <c r="EH39" i="2" l="1"/>
  <c r="J38" i="34"/>
  <c r="K38" i="17"/>
  <c r="H38" i="19"/>
  <c r="J38" i="23"/>
  <c r="K38" i="28"/>
  <c r="K39" i="28" l="1"/>
  <c r="H39" i="19"/>
  <c r="J39" i="34"/>
  <c r="K39" i="17"/>
  <c r="EH40" i="2"/>
  <c r="J39" i="23"/>
  <c r="K40" i="28" l="1"/>
  <c r="H40" i="19"/>
  <c r="J40" i="34"/>
  <c r="J40" i="23"/>
  <c r="K40" i="17"/>
  <c r="EH41" i="2"/>
  <c r="K41" i="28" l="1"/>
  <c r="J41" i="34"/>
  <c r="H41" i="19"/>
  <c r="J41" i="23"/>
  <c r="EH42" i="2"/>
  <c r="K41" i="17"/>
  <c r="K42" i="17" l="1"/>
  <c r="K42" i="28"/>
  <c r="EH43" i="2"/>
  <c r="J42" i="23"/>
  <c r="H42" i="19"/>
  <c r="J42" i="34"/>
  <c r="K43" i="17" l="1"/>
  <c r="H43" i="19"/>
  <c r="J43" i="34"/>
  <c r="J43" i="23"/>
  <c r="K43" i="28"/>
  <c r="EH44" i="2"/>
  <c r="K44" i="17" l="1"/>
  <c r="K44" i="28"/>
  <c r="EH45" i="2"/>
  <c r="J44" i="23"/>
  <c r="H44" i="19"/>
  <c r="J44" i="34"/>
  <c r="K45" i="17" l="1"/>
  <c r="K45" i="28"/>
  <c r="EH46" i="2"/>
  <c r="J45" i="23"/>
  <c r="H45" i="19"/>
  <c r="J45" i="34"/>
  <c r="K46" i="17" l="1"/>
  <c r="H46" i="19"/>
  <c r="J46" i="34"/>
  <c r="K46" i="28"/>
  <c r="EH47" i="2"/>
  <c r="J46" i="23"/>
  <c r="J47" i="23" l="1"/>
  <c r="K47" i="28"/>
  <c r="H47" i="19"/>
  <c r="J47" i="34"/>
  <c r="K47" i="17"/>
  <c r="EH48" i="2"/>
  <c r="J48" i="23" l="1"/>
  <c r="K48" i="17"/>
  <c r="K48" i="28"/>
  <c r="H48" i="19"/>
  <c r="EH49" i="2"/>
  <c r="J48" i="34"/>
  <c r="J49" i="23" l="1"/>
  <c r="K49" i="28"/>
  <c r="EH50" i="2"/>
  <c r="K49" i="17"/>
  <c r="J49" i="34"/>
  <c r="H49" i="19"/>
  <c r="J50" i="34" l="1"/>
  <c r="J50" i="23"/>
  <c r="K50" i="17"/>
  <c r="K50" i="28"/>
  <c r="H50" i="19"/>
  <c r="EH51" i="2"/>
  <c r="EH52" i="2" l="1"/>
  <c r="J51" i="34"/>
  <c r="J51" i="23"/>
  <c r="K51" i="17"/>
  <c r="K51" i="28"/>
  <c r="H51" i="19"/>
  <c r="J52" i="34" l="1"/>
  <c r="J52" i="23"/>
  <c r="K52" i="17"/>
  <c r="K52" i="28"/>
  <c r="H52" i="19"/>
  <c r="EH53" i="2"/>
  <c r="H53" i="19" l="1"/>
  <c r="EH54" i="2"/>
  <c r="J53" i="34"/>
  <c r="K53" i="17"/>
  <c r="J53" i="23"/>
  <c r="K53" i="28"/>
  <c r="J54" i="34" l="1"/>
  <c r="H54" i="19"/>
  <c r="J54" i="23"/>
  <c r="EH55" i="2"/>
  <c r="K54" i="17"/>
  <c r="K54" i="28"/>
  <c r="K55" i="28" l="1"/>
  <c r="EH56" i="2"/>
  <c r="H55" i="19"/>
  <c r="K55" i="17"/>
  <c r="J55" i="23"/>
  <c r="J55" i="34"/>
  <c r="K56" i="28" l="1"/>
  <c r="EH57" i="2"/>
  <c r="J56" i="23"/>
  <c r="H56" i="19"/>
  <c r="K56" i="17"/>
  <c r="J56" i="34"/>
  <c r="K57" i="28" l="1"/>
  <c r="EH58" i="2"/>
  <c r="K57" i="17"/>
  <c r="H57" i="19"/>
  <c r="J57" i="23"/>
  <c r="J57" i="34"/>
  <c r="K58" i="17" l="1"/>
  <c r="K58" i="28"/>
  <c r="H58" i="19"/>
  <c r="J58" i="34"/>
  <c r="EH59" i="2"/>
  <c r="J58" i="23"/>
  <c r="K59" i="17" l="1"/>
  <c r="H59" i="19"/>
  <c r="K59" i="28"/>
  <c r="J59" i="34"/>
  <c r="EH60" i="2"/>
  <c r="J59" i="23"/>
  <c r="K60" i="17" l="1"/>
  <c r="J60" i="34"/>
  <c r="K60" i="28"/>
  <c r="J60" i="23"/>
  <c r="H60" i="19"/>
  <c r="EH61" i="2"/>
  <c r="K61" i="17" l="1"/>
  <c r="EH62" i="2"/>
  <c r="K61" i="28"/>
  <c r="J61" i="34"/>
  <c r="H61" i="19"/>
  <c r="J61" i="23"/>
  <c r="K62" i="17" l="1"/>
  <c r="K62" i="28"/>
  <c r="EH63" i="2"/>
  <c r="J62" i="23"/>
  <c r="H62" i="19"/>
  <c r="J62" i="34"/>
  <c r="J63" i="23" l="1"/>
  <c r="K63" i="28"/>
  <c r="H63" i="19"/>
  <c r="K63" i="17"/>
  <c r="EH64" i="2"/>
  <c r="J63" i="34"/>
  <c r="J64" i="23" l="1"/>
  <c r="K64" i="17"/>
  <c r="K64" i="28"/>
  <c r="J64" i="34"/>
  <c r="EH65" i="2"/>
  <c r="H64" i="19"/>
  <c r="J65" i="23" l="1"/>
  <c r="EH66" i="2"/>
  <c r="K65" i="17"/>
  <c r="K65" i="28"/>
  <c r="H65" i="19"/>
  <c r="J65" i="34"/>
  <c r="J66" i="34" l="1"/>
  <c r="J66" i="23"/>
  <c r="K66" i="17"/>
  <c r="K66" i="28"/>
  <c r="H66" i="19"/>
  <c r="EH67" i="2"/>
  <c r="EH68" i="2" l="1"/>
  <c r="J67" i="34"/>
  <c r="J67" i="23"/>
  <c r="K67" i="17"/>
  <c r="K67" i="28"/>
  <c r="H67" i="19"/>
  <c r="J68" i="34" l="1"/>
  <c r="K68" i="17"/>
  <c r="K68" i="28"/>
  <c r="H68" i="19"/>
  <c r="J68" i="23"/>
  <c r="EH69" i="2"/>
  <c r="H69" i="19" l="1"/>
  <c r="J69" i="23"/>
  <c r="K69" i="28"/>
  <c r="EH70" i="2"/>
  <c r="K69" i="17"/>
  <c r="J69" i="34"/>
  <c r="J70" i="34" l="1"/>
  <c r="J70" i="23"/>
  <c r="H70" i="19"/>
  <c r="K70" i="28"/>
  <c r="EH71" i="2"/>
  <c r="K70" i="17"/>
  <c r="K71" i="28" l="1"/>
  <c r="J71" i="34"/>
  <c r="H71" i="19"/>
  <c r="EH72" i="2"/>
  <c r="K71" i="17"/>
  <c r="J71" i="23"/>
  <c r="K72" i="28" l="1"/>
  <c r="EH73" i="2"/>
  <c r="J72" i="23"/>
  <c r="H72" i="19"/>
  <c r="J72" i="34"/>
  <c r="K72" i="17"/>
  <c r="K73" i="28" l="1"/>
  <c r="K73" i="17"/>
  <c r="H73" i="19"/>
  <c r="EH74" i="2"/>
  <c r="J73" i="23"/>
  <c r="J73" i="34"/>
  <c r="K74" i="17" l="1"/>
  <c r="J74" i="34"/>
  <c r="EH75" i="2"/>
  <c r="H74" i="19"/>
  <c r="J74" i="23"/>
  <c r="K74" i="28"/>
  <c r="K75" i="17" l="1"/>
  <c r="EH76" i="2"/>
  <c r="J75" i="34"/>
  <c r="J75" i="23"/>
  <c r="H75" i="19"/>
  <c r="K75" i="28"/>
  <c r="K76" i="17" l="1"/>
  <c r="K76" i="28"/>
  <c r="EH77" i="2"/>
  <c r="J76" i="23"/>
  <c r="H76" i="19"/>
  <c r="J76" i="34"/>
  <c r="K77" i="17" l="1"/>
  <c r="K77" i="28"/>
  <c r="EH78" i="2"/>
  <c r="J77" i="23"/>
  <c r="H77" i="19"/>
  <c r="J77" i="34"/>
  <c r="K78" i="17" l="1"/>
  <c r="K78" i="28"/>
  <c r="J78" i="34"/>
  <c r="H78" i="19"/>
  <c r="EH79" i="2"/>
  <c r="J78" i="23"/>
  <c r="J79" i="23" l="1"/>
  <c r="EH80" i="2"/>
  <c r="K79" i="17"/>
  <c r="H79" i="19"/>
  <c r="K79" i="28"/>
  <c r="J79" i="34"/>
  <c r="J80" i="23" l="1"/>
  <c r="H80" i="19"/>
  <c r="K80" i="17"/>
  <c r="EH81" i="2"/>
  <c r="K80" i="28"/>
  <c r="J80" i="34"/>
  <c r="J81" i="23" l="1"/>
  <c r="EH82" i="2"/>
  <c r="K81" i="17"/>
  <c r="H81" i="19"/>
  <c r="K81" i="28"/>
  <c r="J81" i="34"/>
  <c r="J82" i="34" l="1"/>
  <c r="K82" i="28"/>
  <c r="EH83" i="2"/>
  <c r="J82" i="23"/>
  <c r="K82" i="17"/>
  <c r="H82" i="19"/>
  <c r="EH84" i="2" l="1"/>
  <c r="K83" i="17"/>
  <c r="K83" i="28"/>
  <c r="J83" i="34"/>
  <c r="J83" i="23"/>
  <c r="H83" i="19"/>
  <c r="J84" i="34" l="1"/>
  <c r="K84" i="28"/>
  <c r="J84" i="23"/>
  <c r="EH85" i="2"/>
  <c r="K84" i="17"/>
  <c r="H84" i="19"/>
  <c r="H85" i="19" l="1"/>
  <c r="J85" i="34"/>
  <c r="J85" i="23"/>
  <c r="EH86" i="2"/>
  <c r="K85" i="28"/>
  <c r="K85" i="17"/>
  <c r="H86" i="19" l="1"/>
  <c r="K86" i="17"/>
  <c r="K86" i="28"/>
  <c r="EH87" i="2"/>
  <c r="J86" i="34"/>
  <c r="J86" i="23"/>
  <c r="H87" i="19" l="1"/>
  <c r="J87" i="23"/>
  <c r="J87" i="34"/>
  <c r="K87" i="28"/>
  <c r="EH88" i="2"/>
  <c r="K87" i="17"/>
  <c r="EH89" i="2" l="1"/>
  <c r="J88" i="23"/>
  <c r="H88" i="19"/>
  <c r="K88" i="17"/>
  <c r="K88" i="28"/>
  <c r="J88" i="34"/>
  <c r="H89" i="19" l="1"/>
  <c r="K89" i="28"/>
  <c r="EH90" i="2"/>
  <c r="J89" i="34"/>
  <c r="K89" i="17"/>
  <c r="J89" i="23"/>
  <c r="K90" i="17" l="1"/>
  <c r="J90" i="23"/>
  <c r="H90" i="19"/>
  <c r="J90" i="34"/>
  <c r="K90" i="28"/>
  <c r="EH91" i="2"/>
  <c r="K91" i="17" l="1"/>
  <c r="K91" i="28"/>
  <c r="J91" i="34"/>
  <c r="EH92" i="2"/>
  <c r="H91" i="19"/>
  <c r="J91" i="23"/>
  <c r="K92" i="17" l="1"/>
  <c r="K92" i="28"/>
  <c r="H92" i="19"/>
  <c r="EH93" i="2"/>
  <c r="J92" i="34"/>
  <c r="J92" i="23"/>
  <c r="K93" i="17" l="1"/>
  <c r="K93" i="28"/>
  <c r="H93" i="19"/>
  <c r="EH94" i="2"/>
  <c r="J93" i="34"/>
  <c r="J93" i="23"/>
  <c r="K94" i="17" l="1"/>
  <c r="J94" i="34"/>
  <c r="K94" i="28"/>
  <c r="EH95" i="2"/>
  <c r="H94" i="19"/>
  <c r="J94" i="23"/>
  <c r="J95" i="23" l="1"/>
  <c r="H95" i="19"/>
  <c r="K95" i="17"/>
  <c r="J95" i="34"/>
  <c r="K95" i="28"/>
  <c r="EH96" i="2"/>
  <c r="J96" i="23" l="1"/>
  <c r="K96" i="28"/>
  <c r="K96" i="17"/>
  <c r="EH97" i="2"/>
  <c r="H96" i="19"/>
  <c r="J96" i="34"/>
  <c r="J97" i="23" l="1"/>
  <c r="H97" i="19"/>
  <c r="K97" i="17"/>
  <c r="EH98" i="2"/>
  <c r="K97" i="28"/>
  <c r="J97" i="34"/>
  <c r="J98" i="34" l="1"/>
  <c r="K98" i="17"/>
  <c r="K98" i="28"/>
  <c r="J98" i="23"/>
  <c r="H98" i="19"/>
  <c r="EH99" i="2"/>
  <c r="EH100" i="2" l="1"/>
  <c r="J99" i="23"/>
  <c r="K99" i="17"/>
  <c r="H99" i="19"/>
  <c r="J99" i="34"/>
  <c r="K99" i="28"/>
  <c r="J100" i="34" l="1"/>
  <c r="H100" i="19"/>
  <c r="K100" i="17"/>
  <c r="J100" i="23"/>
  <c r="K100" i="28"/>
  <c r="EH101" i="2"/>
  <c r="H101" i="19" l="1"/>
  <c r="EH102" i="2"/>
  <c r="J101" i="23"/>
  <c r="J101" i="34"/>
  <c r="K101" i="17"/>
  <c r="K101" i="28"/>
  <c r="EH103" i="2" l="1"/>
  <c r="J102" i="23"/>
  <c r="H102" i="19"/>
  <c r="J102" i="34"/>
  <c r="K102" i="17"/>
  <c r="K102" i="28"/>
  <c r="K103" i="28" l="1"/>
  <c r="H103" i="19"/>
  <c r="EH104" i="2"/>
  <c r="J103" i="23"/>
  <c r="K103" i="17"/>
  <c r="J103" i="34"/>
  <c r="K104" i="28" l="1"/>
  <c r="J104" i="34"/>
  <c r="K104" i="17"/>
  <c r="H104" i="19"/>
  <c r="J104" i="23"/>
  <c r="EH105" i="2"/>
  <c r="K105" i="28" l="1"/>
  <c r="EH106" i="2"/>
  <c r="K106" i="28" s="1"/>
  <c r="K105" i="17"/>
  <c r="J105" i="34"/>
  <c r="H105" i="19"/>
  <c r="J105" i="23"/>
  <c r="K106" i="17" l="1"/>
  <c r="H106" i="19"/>
  <c r="J106" i="34"/>
  <c r="J106" i="23"/>
  <c r="EH107" i="2"/>
  <c r="K107" i="28" s="1"/>
  <c r="K107" i="17" l="1"/>
  <c r="EH108" i="2"/>
  <c r="K108" i="28" s="1"/>
  <c r="J107" i="23"/>
  <c r="J107" i="34"/>
  <c r="H107" i="19"/>
  <c r="K108" i="17" l="1"/>
  <c r="J108" i="23"/>
  <c r="J108" i="34"/>
  <c r="H108" i="19"/>
  <c r="EH109" i="2"/>
  <c r="K109" i="28" l="1"/>
  <c r="J109" i="23"/>
  <c r="S109" i="23" s="1"/>
  <c r="EH110" i="2"/>
  <c r="J109" i="34"/>
  <c r="H109" i="19"/>
  <c r="K109" i="17"/>
  <c r="J110" i="34" l="1"/>
  <c r="K110" i="28"/>
  <c r="J110" i="23"/>
  <c r="S110" i="23" s="1"/>
  <c r="R110" i="20"/>
  <c r="H110" i="19"/>
  <c r="P110" i="19" s="1"/>
  <c r="K110" i="17"/>
  <c r="T110" i="17" s="1"/>
  <c r="EH111" i="2"/>
  <c r="B101" i="73"/>
  <c r="B125" i="73" s="1"/>
  <c r="B100" i="73"/>
  <c r="B124" i="73" s="1"/>
  <c r="B99" i="73"/>
  <c r="B123" i="73" s="1"/>
  <c r="B77" i="73"/>
  <c r="J77" i="73" s="1"/>
  <c r="P72" i="73"/>
  <c r="P81" i="73" s="1"/>
  <c r="O72" i="73"/>
  <c r="O81" i="73" s="1"/>
  <c r="N72" i="73"/>
  <c r="N81" i="73" s="1"/>
  <c r="M72" i="73"/>
  <c r="M81" i="73" s="1"/>
  <c r="L72" i="73"/>
  <c r="L81" i="73" s="1"/>
  <c r="K72" i="73"/>
  <c r="K81" i="73" s="1"/>
  <c r="H72" i="73"/>
  <c r="H81" i="73" s="1"/>
  <c r="G72" i="73"/>
  <c r="G81" i="73" s="1"/>
  <c r="F72" i="73"/>
  <c r="F81" i="73" s="1"/>
  <c r="E72" i="73"/>
  <c r="E81" i="73" s="1"/>
  <c r="D72" i="73"/>
  <c r="D81" i="73" s="1"/>
  <c r="C72" i="73"/>
  <c r="C81" i="73" s="1"/>
  <c r="B36" i="73"/>
  <c r="J36" i="73" s="1"/>
  <c r="J50" i="73" s="1"/>
  <c r="B35" i="73"/>
  <c r="J35" i="73" s="1"/>
  <c r="J49" i="73" s="1"/>
  <c r="B34" i="73"/>
  <c r="J34" i="73" s="1"/>
  <c r="J48" i="73" s="1"/>
  <c r="H27" i="73"/>
  <c r="G27" i="73"/>
  <c r="F27" i="73"/>
  <c r="E27" i="73"/>
  <c r="D27" i="73"/>
  <c r="C27" i="73"/>
  <c r="E41" i="73" l="1"/>
  <c r="M27" i="73"/>
  <c r="M41" i="73" s="1"/>
  <c r="F41" i="73"/>
  <c r="N27" i="73"/>
  <c r="N41" i="73" s="1"/>
  <c r="C41" i="73"/>
  <c r="K27" i="73"/>
  <c r="K41" i="73" s="1"/>
  <c r="G41" i="73"/>
  <c r="O27" i="73"/>
  <c r="O41" i="73" s="1"/>
  <c r="H41" i="73"/>
  <c r="P27" i="73"/>
  <c r="P41" i="73" s="1"/>
  <c r="D41" i="73"/>
  <c r="L27" i="73"/>
  <c r="L41" i="73" s="1"/>
  <c r="EH112" i="2"/>
  <c r="J111" i="34"/>
  <c r="K111" i="28"/>
  <c r="R111" i="20"/>
  <c r="J111" i="23"/>
  <c r="S111" i="23" s="1"/>
  <c r="H111" i="19"/>
  <c r="P111" i="19" s="1"/>
  <c r="K111" i="17"/>
  <c r="T111" i="17" s="1"/>
  <c r="B48" i="73"/>
  <c r="B59" i="73" s="1"/>
  <c r="B67" i="73" s="1"/>
  <c r="B75" i="73" s="1"/>
  <c r="B50" i="73"/>
  <c r="B49" i="73"/>
  <c r="B60" i="73" s="1"/>
  <c r="B85" i="73"/>
  <c r="J85" i="73" s="1"/>
  <c r="D138" i="73"/>
  <c r="R112" i="20" l="1"/>
  <c r="J112" i="34"/>
  <c r="K112" i="28"/>
  <c r="J112" i="23"/>
  <c r="S112" i="23" s="1"/>
  <c r="H112" i="19"/>
  <c r="P112" i="19" s="1"/>
  <c r="K112" i="17"/>
  <c r="T112" i="17" s="1"/>
  <c r="EH113" i="2"/>
  <c r="E138" i="73"/>
  <c r="B68" i="73"/>
  <c r="B76" i="73" s="1"/>
  <c r="J76" i="73" s="1"/>
  <c r="B86" i="73"/>
  <c r="J86" i="73" s="1"/>
  <c r="J113" i="34" l="1"/>
  <c r="J113" i="23"/>
  <c r="S113" i="23" s="1"/>
  <c r="K113" i="28"/>
  <c r="H113" i="19"/>
  <c r="P113" i="19" s="1"/>
  <c r="R113" i="20"/>
  <c r="K113" i="17"/>
  <c r="T113" i="17" s="1"/>
  <c r="EH114" i="2"/>
  <c r="F138" i="73"/>
  <c r="J114" i="34" l="1"/>
  <c r="K114" i="28"/>
  <c r="J114" i="23"/>
  <c r="S114" i="23" s="1"/>
  <c r="R114" i="20"/>
  <c r="H114" i="19"/>
  <c r="P114" i="19" s="1"/>
  <c r="EH115" i="2"/>
  <c r="K114" i="17"/>
  <c r="T114" i="17" s="1"/>
  <c r="G138" i="73"/>
  <c r="J115" i="34" l="1"/>
  <c r="K115" i="28"/>
  <c r="J115" i="23"/>
  <c r="S115" i="23" s="1"/>
  <c r="R115" i="20"/>
  <c r="H115" i="19"/>
  <c r="P115" i="19" s="1"/>
  <c r="K115" i="17"/>
  <c r="T115" i="17" s="1"/>
  <c r="EH116" i="2"/>
  <c r="H138" i="73"/>
  <c r="J116" i="23" l="1"/>
  <c r="S116" i="23" s="1"/>
  <c r="J116" i="34"/>
  <c r="K116" i="28"/>
  <c r="H116" i="19"/>
  <c r="P116" i="19" s="1"/>
  <c r="R116" i="20"/>
  <c r="EH117" i="2"/>
  <c r="K116" i="17"/>
  <c r="T116" i="17" s="1"/>
  <c r="I138" i="73"/>
  <c r="J117" i="34" l="1"/>
  <c r="K117" i="28"/>
  <c r="J117" i="23"/>
  <c r="S117" i="23" s="1"/>
  <c r="H117" i="19"/>
  <c r="P117" i="19" s="1"/>
  <c r="R117" i="20"/>
  <c r="K117" i="17"/>
  <c r="T117" i="17" s="1"/>
  <c r="EH118" i="2"/>
  <c r="J138" i="73"/>
  <c r="J118" i="34" l="1"/>
  <c r="J118" i="23"/>
  <c r="S118" i="23" s="1"/>
  <c r="K118" i="28"/>
  <c r="H118" i="19"/>
  <c r="P118" i="19" s="1"/>
  <c r="R118" i="20"/>
  <c r="EH119" i="2"/>
  <c r="K118" i="17"/>
  <c r="T118" i="17" s="1"/>
  <c r="K138" i="73"/>
  <c r="J119" i="34" l="1"/>
  <c r="K119" i="28"/>
  <c r="J119" i="23"/>
  <c r="S119" i="23" s="1"/>
  <c r="R119" i="20"/>
  <c r="H119" i="19"/>
  <c r="P119" i="19" s="1"/>
  <c r="EH120" i="2"/>
  <c r="K119" i="17"/>
  <c r="T119" i="17" s="1"/>
  <c r="L138" i="73"/>
  <c r="R120" i="20" l="1"/>
  <c r="J120" i="34"/>
  <c r="K120" i="28"/>
  <c r="J120" i="23"/>
  <c r="S120" i="23" s="1"/>
  <c r="H120" i="19"/>
  <c r="P120" i="19" s="1"/>
  <c r="K120" i="17"/>
  <c r="T120" i="17" s="1"/>
  <c r="EH121" i="2"/>
  <c r="M138" i="73"/>
  <c r="K121" i="17" l="1"/>
  <c r="T121" i="17" s="1"/>
  <c r="J121" i="34"/>
  <c r="J121" i="23"/>
  <c r="S121" i="23" s="1"/>
  <c r="K121" i="28"/>
  <c r="H121" i="19"/>
  <c r="P121" i="19" s="1"/>
  <c r="R121" i="20"/>
  <c r="N138" i="73"/>
  <c r="O138" i="73" l="1"/>
  <c r="P138" i="73" l="1"/>
  <c r="Q138" i="73" l="1"/>
  <c r="R138" i="73" l="1"/>
  <c r="BJ60" i="3" l="1"/>
  <c r="BK60" i="3"/>
  <c r="BL60" i="3"/>
  <c r="BM60" i="3"/>
  <c r="BO60" i="3" s="1"/>
  <c r="BQ60" i="3" s="1"/>
  <c r="BS60" i="3" s="1"/>
  <c r="BN60" i="3"/>
  <c r="BP60" i="3"/>
  <c r="BR60" i="3" s="1"/>
  <c r="BT60" i="3" s="1"/>
  <c r="BI60" i="3"/>
  <c r="BF68" i="3"/>
  <c r="BF69" i="3"/>
  <c r="BF70" i="3"/>
  <c r="BF71" i="3"/>
  <c r="BF72" i="3"/>
  <c r="BF62" i="3"/>
  <c r="BF63" i="3"/>
  <c r="BF64" i="3"/>
  <c r="BF65" i="3"/>
  <c r="BF66" i="3"/>
  <c r="BF67" i="3"/>
  <c r="BF61" i="3"/>
  <c r="E2" i="11"/>
  <c r="E5" i="51"/>
  <c r="AC13" i="6"/>
  <c r="AC12" i="6"/>
  <c r="J136" i="6" s="1"/>
  <c r="S61" i="61" l="1"/>
  <c r="B85" i="44" l="1"/>
  <c r="C131" i="73" l="1"/>
  <c r="C119" i="73"/>
  <c r="C134" i="73"/>
  <c r="C122" i="73"/>
  <c r="C121" i="73"/>
  <c r="C125" i="73"/>
  <c r="C117" i="73"/>
  <c r="C132" i="73"/>
  <c r="C120" i="73"/>
  <c r="C135" i="73"/>
  <c r="C123" i="73"/>
  <c r="C133" i="73"/>
  <c r="C130" i="73"/>
  <c r="C118" i="73"/>
  <c r="C136" i="73"/>
  <c r="C124" i="73"/>
  <c r="D138" i="41"/>
  <c r="C126" i="73" l="1"/>
  <c r="D131" i="73"/>
  <c r="D119" i="73"/>
  <c r="D122" i="73"/>
  <c r="D117" i="73"/>
  <c r="D136" i="73"/>
  <c r="D134" i="73"/>
  <c r="D121" i="73"/>
  <c r="D125" i="73"/>
  <c r="D120" i="73"/>
  <c r="D132" i="73"/>
  <c r="D118" i="73"/>
  <c r="D124" i="73"/>
  <c r="D123" i="73"/>
  <c r="D135" i="73"/>
  <c r="D130" i="73"/>
  <c r="D133" i="73"/>
  <c r="E138" i="41"/>
  <c r="D126" i="73" l="1"/>
  <c r="E134" i="73"/>
  <c r="E122" i="73"/>
  <c r="E124" i="73"/>
  <c r="E125" i="73"/>
  <c r="E117" i="73"/>
  <c r="E132" i="73"/>
  <c r="E120" i="73"/>
  <c r="E135" i="73"/>
  <c r="E123" i="73"/>
  <c r="E130" i="73"/>
  <c r="E118" i="73"/>
  <c r="E133" i="73"/>
  <c r="E121" i="73"/>
  <c r="E136" i="73"/>
  <c r="E131" i="73"/>
  <c r="E119" i="73"/>
  <c r="F138" i="41"/>
  <c r="E126" i="73" l="1"/>
  <c r="F134" i="73"/>
  <c r="F122" i="73"/>
  <c r="F125" i="73"/>
  <c r="F120" i="73"/>
  <c r="F121" i="73"/>
  <c r="F117" i="73"/>
  <c r="F119" i="73"/>
  <c r="F132" i="73"/>
  <c r="F123" i="73"/>
  <c r="F135" i="73"/>
  <c r="F130" i="73"/>
  <c r="F118" i="73"/>
  <c r="F133" i="73"/>
  <c r="F124" i="73"/>
  <c r="F136" i="73"/>
  <c r="F131" i="73"/>
  <c r="G138" i="41"/>
  <c r="F126" i="73" l="1"/>
  <c r="G125" i="73"/>
  <c r="G117" i="73"/>
  <c r="G132" i="73"/>
  <c r="G120" i="73"/>
  <c r="G135" i="73"/>
  <c r="G123" i="73"/>
  <c r="G130" i="73"/>
  <c r="G118" i="73"/>
  <c r="G133" i="73"/>
  <c r="G121" i="73"/>
  <c r="G131" i="73"/>
  <c r="G136" i="73"/>
  <c r="G124" i="73"/>
  <c r="G119" i="73"/>
  <c r="G134" i="73"/>
  <c r="G122" i="73"/>
  <c r="H138" i="41"/>
  <c r="R11" i="37"/>
  <c r="S11" i="37"/>
  <c r="T11" i="37"/>
  <c r="U11" i="37"/>
  <c r="V11" i="37"/>
  <c r="G2" i="37"/>
  <c r="G3" i="37"/>
  <c r="G4" i="37"/>
  <c r="G5" i="37"/>
  <c r="G6" i="37"/>
  <c r="G7" i="37"/>
  <c r="G8" i="37"/>
  <c r="G9" i="37"/>
  <c r="G10" i="37"/>
  <c r="G11" i="37"/>
  <c r="G12" i="37"/>
  <c r="G13" i="37"/>
  <c r="G14" i="37"/>
  <c r="G15" i="37"/>
  <c r="G16" i="37"/>
  <c r="G17" i="37"/>
  <c r="G18" i="37"/>
  <c r="G19" i="37"/>
  <c r="G20" i="37"/>
  <c r="G21" i="37"/>
  <c r="G22" i="37"/>
  <c r="G23" i="37"/>
  <c r="G24" i="37"/>
  <c r="G25" i="37"/>
  <c r="G26" i="37"/>
  <c r="G27" i="37"/>
  <c r="G28" i="37"/>
  <c r="G29" i="37"/>
  <c r="G30" i="37"/>
  <c r="G31" i="37"/>
  <c r="G32" i="37"/>
  <c r="G33" i="37"/>
  <c r="G34" i="37"/>
  <c r="G35" i="37"/>
  <c r="G36" i="37"/>
  <c r="G37" i="37"/>
  <c r="G38" i="37"/>
  <c r="G39" i="37"/>
  <c r="G40" i="37"/>
  <c r="G41" i="37"/>
  <c r="G42" i="37"/>
  <c r="G43" i="37"/>
  <c r="G44" i="37"/>
  <c r="G45" i="37"/>
  <c r="G46" i="37"/>
  <c r="G47" i="37"/>
  <c r="G48" i="37"/>
  <c r="G49" i="37"/>
  <c r="G50" i="37"/>
  <c r="G51" i="37"/>
  <c r="G52" i="37"/>
  <c r="G53" i="37"/>
  <c r="G54" i="37"/>
  <c r="G55" i="37"/>
  <c r="G56" i="37"/>
  <c r="G57" i="37"/>
  <c r="G58" i="37"/>
  <c r="G59" i="37"/>
  <c r="G60" i="37"/>
  <c r="G61" i="37"/>
  <c r="G62" i="37"/>
  <c r="G63" i="37"/>
  <c r="G64" i="37"/>
  <c r="G65" i="37"/>
  <c r="G66" i="37"/>
  <c r="G67" i="37"/>
  <c r="G68" i="37"/>
  <c r="G69" i="37"/>
  <c r="G70" i="37"/>
  <c r="G71" i="37"/>
  <c r="G72" i="37"/>
  <c r="G73" i="37"/>
  <c r="G74" i="37"/>
  <c r="G75" i="37"/>
  <c r="G76" i="37"/>
  <c r="G77" i="37"/>
  <c r="G78" i="37"/>
  <c r="G79" i="37"/>
  <c r="G80" i="37"/>
  <c r="G81" i="37"/>
  <c r="G82" i="37"/>
  <c r="G83" i="37"/>
  <c r="G84" i="37"/>
  <c r="G85" i="37"/>
  <c r="G86" i="37"/>
  <c r="G87" i="37"/>
  <c r="G88" i="37"/>
  <c r="G89" i="37"/>
  <c r="G90" i="37"/>
  <c r="G91" i="37"/>
  <c r="G92" i="37"/>
  <c r="G93" i="37"/>
  <c r="G94" i="37"/>
  <c r="G95" i="37"/>
  <c r="G96" i="37"/>
  <c r="G97" i="37"/>
  <c r="G122" i="37"/>
  <c r="G123" i="37"/>
  <c r="G124" i="37"/>
  <c r="G125" i="37"/>
  <c r="G126" i="37"/>
  <c r="G127" i="37"/>
  <c r="G128" i="37"/>
  <c r="G129" i="37"/>
  <c r="G130" i="37"/>
  <c r="G131" i="37"/>
  <c r="G132" i="37"/>
  <c r="G133" i="37"/>
  <c r="G134" i="37"/>
  <c r="G135" i="37"/>
  <c r="G136" i="37"/>
  <c r="G137" i="37"/>
  <c r="G138" i="37"/>
  <c r="G139" i="37"/>
  <c r="G140" i="37"/>
  <c r="G141" i="37"/>
  <c r="G142" i="37"/>
  <c r="G143" i="37"/>
  <c r="G144" i="37"/>
  <c r="G145" i="37"/>
  <c r="G146" i="37"/>
  <c r="G147" i="37"/>
  <c r="G148" i="37"/>
  <c r="G149" i="37"/>
  <c r="G150" i="37"/>
  <c r="G151" i="37"/>
  <c r="G152" i="37"/>
  <c r="G153" i="37"/>
  <c r="G154" i="37"/>
  <c r="G155" i="37"/>
  <c r="G156" i="37"/>
  <c r="G157" i="37"/>
  <c r="G158" i="37"/>
  <c r="G159" i="37"/>
  <c r="G160" i="37"/>
  <c r="G161" i="37"/>
  <c r="G162" i="37"/>
  <c r="G163" i="37"/>
  <c r="G164" i="37"/>
  <c r="G165" i="37"/>
  <c r="G166" i="37"/>
  <c r="G167" i="37"/>
  <c r="G168" i="37"/>
  <c r="G169" i="37"/>
  <c r="G170" i="37"/>
  <c r="G171" i="37"/>
  <c r="G172" i="37"/>
  <c r="G173" i="37"/>
  <c r="G174" i="37"/>
  <c r="G175" i="37"/>
  <c r="G176" i="37"/>
  <c r="G177" i="37"/>
  <c r="G178" i="37"/>
  <c r="G179" i="37"/>
  <c r="G180" i="37"/>
  <c r="G181" i="37"/>
  <c r="G182" i="37"/>
  <c r="G183" i="37"/>
  <c r="G184" i="37"/>
  <c r="G185" i="37"/>
  <c r="G186" i="37"/>
  <c r="G187" i="37"/>
  <c r="G188" i="37"/>
  <c r="G189" i="37"/>
  <c r="G190" i="37"/>
  <c r="G191" i="37"/>
  <c r="G192" i="37"/>
  <c r="G193" i="37"/>
  <c r="G1" i="37"/>
  <c r="L1" i="37" s="1"/>
  <c r="L5" i="26"/>
  <c r="L21" i="26"/>
  <c r="L23" i="26"/>
  <c r="L37" i="26"/>
  <c r="L38" i="26"/>
  <c r="G2" i="26"/>
  <c r="L2" i="26" s="1"/>
  <c r="G3" i="26"/>
  <c r="L3" i="26" s="1"/>
  <c r="G4" i="26"/>
  <c r="L4" i="26" s="1"/>
  <c r="G5" i="26"/>
  <c r="G6" i="26"/>
  <c r="L6" i="26" s="1"/>
  <c r="G7" i="26"/>
  <c r="L7" i="26" s="1"/>
  <c r="G8" i="26"/>
  <c r="L8" i="26" s="1"/>
  <c r="G9" i="26"/>
  <c r="L9" i="26" s="1"/>
  <c r="G10" i="26"/>
  <c r="L10" i="26" s="1"/>
  <c r="G11" i="26"/>
  <c r="L11" i="26" s="1"/>
  <c r="G12" i="26"/>
  <c r="L12" i="26" s="1"/>
  <c r="G13" i="26"/>
  <c r="L13" i="26" s="1"/>
  <c r="G14" i="26"/>
  <c r="L14" i="26" s="1"/>
  <c r="G15" i="26"/>
  <c r="L15" i="26" s="1"/>
  <c r="G16" i="26"/>
  <c r="L16" i="26" s="1"/>
  <c r="G17" i="26"/>
  <c r="L17" i="26" s="1"/>
  <c r="G18" i="26"/>
  <c r="L18" i="26" s="1"/>
  <c r="G19" i="26"/>
  <c r="L19" i="26" s="1"/>
  <c r="G20" i="26"/>
  <c r="L20" i="26" s="1"/>
  <c r="G21" i="26"/>
  <c r="G22" i="26"/>
  <c r="L22" i="26" s="1"/>
  <c r="G23" i="26"/>
  <c r="G24" i="26"/>
  <c r="L24" i="26" s="1"/>
  <c r="G25" i="26"/>
  <c r="L25" i="26" s="1"/>
  <c r="G26" i="26"/>
  <c r="L26" i="26" s="1"/>
  <c r="G27" i="26"/>
  <c r="L27" i="26" s="1"/>
  <c r="G28" i="26"/>
  <c r="L28" i="26" s="1"/>
  <c r="G29" i="26"/>
  <c r="L29" i="26" s="1"/>
  <c r="G30" i="26"/>
  <c r="L30" i="26" s="1"/>
  <c r="G31" i="26"/>
  <c r="L31" i="26" s="1"/>
  <c r="G32" i="26"/>
  <c r="L32" i="26" s="1"/>
  <c r="G33" i="26"/>
  <c r="L33" i="26" s="1"/>
  <c r="G34" i="26"/>
  <c r="L34" i="26" s="1"/>
  <c r="G35" i="26"/>
  <c r="L35" i="26" s="1"/>
  <c r="G36" i="26"/>
  <c r="L36" i="26" s="1"/>
  <c r="G37" i="26"/>
  <c r="G38" i="26"/>
  <c r="G39" i="26"/>
  <c r="L39" i="26" s="1"/>
  <c r="G40" i="26"/>
  <c r="L40" i="26" s="1"/>
  <c r="G41" i="26"/>
  <c r="L41" i="26" s="1"/>
  <c r="G42" i="26"/>
  <c r="L42" i="26" s="1"/>
  <c r="G43" i="26"/>
  <c r="L43" i="26" s="1"/>
  <c r="G44" i="26"/>
  <c r="L44" i="26" s="1"/>
  <c r="G45" i="26"/>
  <c r="L45" i="26" s="1"/>
  <c r="G46" i="26"/>
  <c r="L46" i="26" s="1"/>
  <c r="G47" i="26"/>
  <c r="L47" i="26" s="1"/>
  <c r="G48" i="26"/>
  <c r="L48" i="26" s="1"/>
  <c r="G49" i="26"/>
  <c r="L49" i="26" s="1"/>
  <c r="G50" i="26"/>
  <c r="L50" i="26" s="1"/>
  <c r="G51" i="26"/>
  <c r="L51" i="26" s="1"/>
  <c r="G52" i="26"/>
  <c r="L52" i="26" s="1"/>
  <c r="G53" i="26"/>
  <c r="L53" i="26" s="1"/>
  <c r="G54" i="26"/>
  <c r="L54" i="26" s="1"/>
  <c r="G55" i="26"/>
  <c r="L55" i="26" s="1"/>
  <c r="G56" i="26"/>
  <c r="L56" i="26" s="1"/>
  <c r="G57" i="26"/>
  <c r="L57" i="26" s="1"/>
  <c r="G58" i="26"/>
  <c r="L58" i="26" s="1"/>
  <c r="G59" i="26"/>
  <c r="L59" i="26" s="1"/>
  <c r="G60" i="26"/>
  <c r="L60" i="26" s="1"/>
  <c r="G61" i="26"/>
  <c r="L61" i="26" s="1"/>
  <c r="G62" i="26"/>
  <c r="L62" i="26" s="1"/>
  <c r="G63" i="26"/>
  <c r="L63" i="26" s="1"/>
  <c r="G64" i="26"/>
  <c r="L64" i="26" s="1"/>
  <c r="G65" i="26"/>
  <c r="L65" i="26" s="1"/>
  <c r="G66" i="26"/>
  <c r="L66" i="26" s="1"/>
  <c r="G67" i="26"/>
  <c r="L67" i="26" s="1"/>
  <c r="G68" i="26"/>
  <c r="L68" i="26" s="1"/>
  <c r="G69" i="26"/>
  <c r="L69" i="26" s="1"/>
  <c r="G70" i="26"/>
  <c r="L70" i="26" s="1"/>
  <c r="G71" i="26"/>
  <c r="L71" i="26" s="1"/>
  <c r="G72" i="26"/>
  <c r="L72" i="26" s="1"/>
  <c r="G73" i="26"/>
  <c r="L73" i="26" s="1"/>
  <c r="G74" i="26"/>
  <c r="L74" i="26" s="1"/>
  <c r="G75" i="26"/>
  <c r="L75" i="26" s="1"/>
  <c r="G76" i="26"/>
  <c r="L76" i="26" s="1"/>
  <c r="G77" i="26"/>
  <c r="L77" i="26" s="1"/>
  <c r="G78" i="26"/>
  <c r="L78" i="26" s="1"/>
  <c r="G79" i="26"/>
  <c r="L79" i="26" s="1"/>
  <c r="G80" i="26"/>
  <c r="L80" i="26" s="1"/>
  <c r="G81" i="26"/>
  <c r="L81" i="26" s="1"/>
  <c r="G82" i="26"/>
  <c r="L82" i="26" s="1"/>
  <c r="G83" i="26"/>
  <c r="L83" i="26" s="1"/>
  <c r="G84" i="26"/>
  <c r="L84" i="26" s="1"/>
  <c r="G85" i="26"/>
  <c r="L85" i="26" s="1"/>
  <c r="G86" i="26"/>
  <c r="L86" i="26" s="1"/>
  <c r="G87" i="26"/>
  <c r="L87" i="26" s="1"/>
  <c r="G88" i="26"/>
  <c r="L88" i="26" s="1"/>
  <c r="G89" i="26"/>
  <c r="L89" i="26" s="1"/>
  <c r="G90" i="26"/>
  <c r="L90" i="26" s="1"/>
  <c r="G91" i="26"/>
  <c r="L91" i="26" s="1"/>
  <c r="G92" i="26"/>
  <c r="L92" i="26" s="1"/>
  <c r="G93" i="26"/>
  <c r="L93" i="26" s="1"/>
  <c r="G94" i="26"/>
  <c r="L94" i="26" s="1"/>
  <c r="G95" i="26"/>
  <c r="L95" i="26" s="1"/>
  <c r="G96" i="26"/>
  <c r="L96" i="26" s="1"/>
  <c r="G97" i="26"/>
  <c r="L97" i="26" s="1"/>
  <c r="G1" i="26"/>
  <c r="L1" i="26" s="1"/>
  <c r="X7" i="36"/>
  <c r="Y7" i="36"/>
  <c r="Z7" i="36"/>
  <c r="AA7" i="36"/>
  <c r="X8" i="36"/>
  <c r="Y8" i="36"/>
  <c r="Z8" i="36"/>
  <c r="AA8" i="36"/>
  <c r="X9" i="36"/>
  <c r="Y9" i="36"/>
  <c r="Z9" i="36"/>
  <c r="AA9" i="36"/>
  <c r="X10" i="36"/>
  <c r="Y10" i="36"/>
  <c r="Z10" i="36"/>
  <c r="AA10" i="36"/>
  <c r="X11" i="36"/>
  <c r="Y11" i="36"/>
  <c r="Z11" i="36"/>
  <c r="AA11" i="36"/>
  <c r="X12" i="36"/>
  <c r="Y12" i="36"/>
  <c r="Z12" i="36"/>
  <c r="AA12" i="36"/>
  <c r="M75" i="10"/>
  <c r="L75" i="10"/>
  <c r="K75" i="10"/>
  <c r="J75" i="10"/>
  <c r="I75" i="10"/>
  <c r="H75" i="10"/>
  <c r="G75" i="10"/>
  <c r="F75" i="10"/>
  <c r="G75" i="51"/>
  <c r="H75" i="51"/>
  <c r="I75" i="51"/>
  <c r="J75" i="51"/>
  <c r="K75" i="51"/>
  <c r="L75" i="51"/>
  <c r="F75" i="51"/>
  <c r="D44" i="65"/>
  <c r="D155" i="65" s="1"/>
  <c r="D45" i="65"/>
  <c r="D46" i="65"/>
  <c r="D47" i="65"/>
  <c r="D48" i="65"/>
  <c r="D49" i="65"/>
  <c r="D50" i="65"/>
  <c r="D51" i="65"/>
  <c r="D52" i="65"/>
  <c r="D53" i="65"/>
  <c r="D54" i="65"/>
  <c r="D55" i="65"/>
  <c r="D56" i="65"/>
  <c r="D57" i="65"/>
  <c r="D58" i="65"/>
  <c r="D59" i="65"/>
  <c r="D60" i="65"/>
  <c r="D61" i="65"/>
  <c r="D62" i="65"/>
  <c r="D63" i="65"/>
  <c r="D64" i="65"/>
  <c r="D65" i="65"/>
  <c r="D66" i="65"/>
  <c r="D67" i="65"/>
  <c r="D68" i="65"/>
  <c r="D69" i="65"/>
  <c r="D70" i="65"/>
  <c r="D71" i="65"/>
  <c r="D72" i="65"/>
  <c r="D73" i="65"/>
  <c r="D74" i="65"/>
  <c r="D75" i="65"/>
  <c r="D76" i="65"/>
  <c r="D77" i="65"/>
  <c r="D78" i="65"/>
  <c r="D79" i="65"/>
  <c r="D80" i="65"/>
  <c r="D81" i="65"/>
  <c r="D82" i="65"/>
  <c r="D83" i="65"/>
  <c r="D84" i="65"/>
  <c r="D85" i="65"/>
  <c r="D86" i="65"/>
  <c r="D87" i="65"/>
  <c r="D88" i="65"/>
  <c r="D89" i="65"/>
  <c r="D90" i="65"/>
  <c r="D91" i="65"/>
  <c r="D92" i="65"/>
  <c r="D93" i="65"/>
  <c r="D94" i="65"/>
  <c r="D95" i="65"/>
  <c r="D96" i="65"/>
  <c r="D97" i="65"/>
  <c r="D98" i="65"/>
  <c r="D99" i="65"/>
  <c r="D100" i="65"/>
  <c r="D101" i="65"/>
  <c r="D102" i="65"/>
  <c r="D103" i="65"/>
  <c r="D104" i="65"/>
  <c r="D105" i="65"/>
  <c r="D106" i="65"/>
  <c r="D107" i="65"/>
  <c r="D108" i="65"/>
  <c r="D109" i="65"/>
  <c r="D110" i="65"/>
  <c r="D111" i="65"/>
  <c r="D112" i="65"/>
  <c r="D113" i="65"/>
  <c r="D114" i="65"/>
  <c r="D115" i="65"/>
  <c r="D116" i="65"/>
  <c r="D117" i="65"/>
  <c r="D118" i="65"/>
  <c r="D119" i="65"/>
  <c r="D120" i="65"/>
  <c r="D121" i="65"/>
  <c r="D122" i="65"/>
  <c r="D123" i="65"/>
  <c r="D124" i="65"/>
  <c r="D125" i="65"/>
  <c r="D126" i="65"/>
  <c r="D127" i="65"/>
  <c r="D128" i="65"/>
  <c r="D129" i="65"/>
  <c r="D130" i="65"/>
  <c r="D131" i="65"/>
  <c r="D132" i="65"/>
  <c r="D133" i="65"/>
  <c r="D134" i="65"/>
  <c r="D135" i="65"/>
  <c r="D136" i="65"/>
  <c r="D137" i="65"/>
  <c r="ER154" i="65"/>
  <c r="EQ154" i="65"/>
  <c r="EP154" i="65"/>
  <c r="EO154" i="65"/>
  <c r="EN154" i="65"/>
  <c r="EM154" i="65"/>
  <c r="EL154" i="65"/>
  <c r="EK154" i="65"/>
  <c r="EJ154" i="65"/>
  <c r="EI154" i="65"/>
  <c r="EH154" i="65"/>
  <c r="ER153" i="65"/>
  <c r="EQ153" i="65"/>
  <c r="EP153" i="65"/>
  <c r="EO153" i="65"/>
  <c r="EN153" i="65"/>
  <c r="EM153" i="65"/>
  <c r="EL153" i="65"/>
  <c r="EK153" i="65"/>
  <c r="EJ153" i="65"/>
  <c r="EI153" i="65"/>
  <c r="EH153" i="65"/>
  <c r="ER152" i="65"/>
  <c r="EQ152" i="65"/>
  <c r="EP152" i="65"/>
  <c r="EO152" i="65"/>
  <c r="EN152" i="65"/>
  <c r="EM152" i="65"/>
  <c r="EL152" i="65"/>
  <c r="EK152" i="65"/>
  <c r="EJ152" i="65"/>
  <c r="EI152" i="65"/>
  <c r="EH152" i="65"/>
  <c r="DU138" i="65"/>
  <c r="DT138" i="65"/>
  <c r="DS138" i="65"/>
  <c r="DR138" i="65"/>
  <c r="DQ138" i="65"/>
  <c r="DP138" i="65"/>
  <c r="DO138" i="65"/>
  <c r="DN138" i="65"/>
  <c r="DM138" i="65"/>
  <c r="DL138" i="65"/>
  <c r="DK138" i="65"/>
  <c r="DJ138" i="65"/>
  <c r="DI138" i="65"/>
  <c r="DH138" i="65"/>
  <c r="DG138" i="65"/>
  <c r="DF138" i="65"/>
  <c r="DE138" i="65"/>
  <c r="DD138" i="65"/>
  <c r="DC138" i="65"/>
  <c r="DB138" i="65"/>
  <c r="DA138" i="65"/>
  <c r="CZ138" i="65"/>
  <c r="CY138" i="65"/>
  <c r="CX138" i="65"/>
  <c r="CW138" i="65"/>
  <c r="CV138" i="65"/>
  <c r="CU138" i="65"/>
  <c r="CT138" i="65"/>
  <c r="CS138" i="65"/>
  <c r="CR138" i="65"/>
  <c r="CQ138" i="65"/>
  <c r="CP138" i="65"/>
  <c r="CO138" i="65"/>
  <c r="CN138" i="65"/>
  <c r="CM138" i="65"/>
  <c r="CL138" i="65"/>
  <c r="CK138" i="65"/>
  <c r="CJ138" i="65"/>
  <c r="CI138" i="65"/>
  <c r="CH138" i="65"/>
  <c r="CG138" i="65"/>
  <c r="CF138" i="65"/>
  <c r="CE138" i="65"/>
  <c r="CD138" i="65"/>
  <c r="CC138" i="65"/>
  <c r="CB138" i="65"/>
  <c r="CA138" i="65"/>
  <c r="BZ138" i="65"/>
  <c r="BY138" i="65"/>
  <c r="BX138" i="65"/>
  <c r="BW138" i="65"/>
  <c r="BV138" i="65"/>
  <c r="BU138" i="65"/>
  <c r="BT138" i="65"/>
  <c r="BS138" i="65"/>
  <c r="BR138" i="65"/>
  <c r="BQ138" i="65"/>
  <c r="BP138" i="65"/>
  <c r="BO138" i="65"/>
  <c r="BN138" i="65"/>
  <c r="BM138" i="65"/>
  <c r="BL138" i="65"/>
  <c r="BK138" i="65"/>
  <c r="BJ138" i="65"/>
  <c r="BI138" i="65"/>
  <c r="BH138" i="65"/>
  <c r="BG138" i="65"/>
  <c r="BF138" i="65"/>
  <c r="BE138" i="65"/>
  <c r="BD138" i="65"/>
  <c r="BC138" i="65"/>
  <c r="BB138" i="65"/>
  <c r="BA138" i="65"/>
  <c r="AZ138" i="65"/>
  <c r="AY138" i="65"/>
  <c r="AX138" i="65"/>
  <c r="AW138" i="65"/>
  <c r="AV138" i="65"/>
  <c r="AU138" i="65"/>
  <c r="AT138" i="65"/>
  <c r="AS138" i="65"/>
  <c r="EO138" i="65" s="1"/>
  <c r="AR138" i="65"/>
  <c r="EN138" i="65" s="1"/>
  <c r="AQ138" i="65"/>
  <c r="EM138" i="65" s="1"/>
  <c r="AP138" i="65"/>
  <c r="AO138" i="65"/>
  <c r="AN138" i="65"/>
  <c r="AM138" i="65"/>
  <c r="AL138" i="65"/>
  <c r="AK138" i="65"/>
  <c r="AJ138" i="65"/>
  <c r="AI138" i="65"/>
  <c r="AH138" i="65"/>
  <c r="AG138" i="65"/>
  <c r="AF138" i="65"/>
  <c r="AE138" i="65"/>
  <c r="AD138" i="65"/>
  <c r="AC138" i="65"/>
  <c r="AB138" i="65"/>
  <c r="Z138" i="65"/>
  <c r="Y138" i="65"/>
  <c r="X138" i="65"/>
  <c r="W138" i="65"/>
  <c r="V138" i="65"/>
  <c r="U138" i="65"/>
  <c r="T138" i="65"/>
  <c r="S138" i="65"/>
  <c r="R138" i="65"/>
  <c r="Q138" i="65"/>
  <c r="O138" i="65"/>
  <c r="N138" i="65"/>
  <c r="M138" i="65"/>
  <c r="L138" i="65"/>
  <c r="K138" i="65"/>
  <c r="J138" i="65"/>
  <c r="I138" i="65"/>
  <c r="H138" i="65"/>
  <c r="G138" i="65"/>
  <c r="F138" i="65"/>
  <c r="E138" i="65"/>
  <c r="DU137" i="65"/>
  <c r="DT137" i="65"/>
  <c r="DS137" i="65"/>
  <c r="DR137" i="65"/>
  <c r="DQ137" i="65"/>
  <c r="DP137" i="65"/>
  <c r="DO137" i="65"/>
  <c r="DN137" i="65"/>
  <c r="DM137" i="65"/>
  <c r="DL137" i="65"/>
  <c r="DK137" i="65"/>
  <c r="DJ137" i="65"/>
  <c r="DI137" i="65"/>
  <c r="DH137" i="65"/>
  <c r="DG137" i="65"/>
  <c r="DF137" i="65"/>
  <c r="DE137" i="65"/>
  <c r="DD137" i="65"/>
  <c r="DC137" i="65"/>
  <c r="DB137" i="65"/>
  <c r="DA137" i="65"/>
  <c r="CZ137" i="65"/>
  <c r="CY137" i="65"/>
  <c r="CX137" i="65"/>
  <c r="CW137" i="65"/>
  <c r="CV137" i="65"/>
  <c r="CU137" i="65"/>
  <c r="CT137" i="65"/>
  <c r="CS137" i="65"/>
  <c r="CR137" i="65"/>
  <c r="CQ137" i="65"/>
  <c r="CP137" i="65"/>
  <c r="CO137" i="65"/>
  <c r="CN137" i="65"/>
  <c r="CM137" i="65"/>
  <c r="CL137" i="65"/>
  <c r="CK137" i="65"/>
  <c r="CJ137" i="65"/>
  <c r="CI137" i="65"/>
  <c r="CH137" i="65"/>
  <c r="CG137" i="65"/>
  <c r="CF137" i="65"/>
  <c r="CE137" i="65"/>
  <c r="CD137" i="65"/>
  <c r="CC137" i="65"/>
  <c r="CB137" i="65"/>
  <c r="CA137" i="65"/>
  <c r="BZ137" i="65"/>
  <c r="BY137" i="65"/>
  <c r="BX137" i="65"/>
  <c r="BW137" i="65"/>
  <c r="BV137" i="65"/>
  <c r="BU137" i="65"/>
  <c r="BT137" i="65"/>
  <c r="BS137" i="65"/>
  <c r="BR137" i="65"/>
  <c r="BQ137" i="65"/>
  <c r="BP137" i="65"/>
  <c r="BO137" i="65"/>
  <c r="BN137" i="65"/>
  <c r="BM137" i="65"/>
  <c r="BL137" i="65"/>
  <c r="BK137" i="65"/>
  <c r="BJ137" i="65"/>
  <c r="BI137" i="65"/>
  <c r="BH137" i="65"/>
  <c r="BG137" i="65"/>
  <c r="BF137" i="65"/>
  <c r="BE137" i="65"/>
  <c r="BD137" i="65"/>
  <c r="BC137" i="65"/>
  <c r="BB137" i="65"/>
  <c r="BA137" i="65"/>
  <c r="AZ137" i="65"/>
  <c r="AY137" i="65"/>
  <c r="AX137" i="65"/>
  <c r="AW137" i="65"/>
  <c r="AV137" i="65"/>
  <c r="AU137" i="65"/>
  <c r="AT137" i="65"/>
  <c r="AS137" i="65"/>
  <c r="AR137" i="65"/>
  <c r="EN137" i="65" s="1"/>
  <c r="AQ137" i="65"/>
  <c r="EM137" i="65" s="1"/>
  <c r="AP137" i="65"/>
  <c r="EL137" i="65" s="1"/>
  <c r="AO137" i="65"/>
  <c r="AN137" i="65"/>
  <c r="AM137" i="65"/>
  <c r="AL137" i="65"/>
  <c r="AK137" i="65"/>
  <c r="AJ137" i="65"/>
  <c r="AI137" i="65"/>
  <c r="AH137" i="65"/>
  <c r="AG137" i="65"/>
  <c r="AF137" i="65"/>
  <c r="AE137" i="65"/>
  <c r="AD137" i="65"/>
  <c r="AC137" i="65"/>
  <c r="AB137" i="65"/>
  <c r="Z137" i="65"/>
  <c r="Y137" i="65"/>
  <c r="X137" i="65"/>
  <c r="W137" i="65"/>
  <c r="V137" i="65"/>
  <c r="U137" i="65"/>
  <c r="T137" i="65"/>
  <c r="S137" i="65"/>
  <c r="R137" i="65"/>
  <c r="Q137" i="65"/>
  <c r="O137" i="65"/>
  <c r="N137" i="65"/>
  <c r="M137" i="65"/>
  <c r="L137" i="65"/>
  <c r="K137" i="65"/>
  <c r="J137" i="65"/>
  <c r="I137" i="65"/>
  <c r="H137" i="65"/>
  <c r="G137" i="65"/>
  <c r="F137" i="65"/>
  <c r="E137" i="65"/>
  <c r="DU136" i="65"/>
  <c r="DT136" i="65"/>
  <c r="DS136" i="65"/>
  <c r="DR136" i="65"/>
  <c r="DQ136" i="65"/>
  <c r="DP136" i="65"/>
  <c r="DO136" i="65"/>
  <c r="DN136" i="65"/>
  <c r="DM136" i="65"/>
  <c r="DL136" i="65"/>
  <c r="DK136" i="65"/>
  <c r="DJ136" i="65"/>
  <c r="DI136" i="65"/>
  <c r="DH136" i="65"/>
  <c r="DG136" i="65"/>
  <c r="DF136" i="65"/>
  <c r="DE136" i="65"/>
  <c r="DD136" i="65"/>
  <c r="DC136" i="65"/>
  <c r="DB136" i="65"/>
  <c r="DA136" i="65"/>
  <c r="CZ136" i="65"/>
  <c r="CY136" i="65"/>
  <c r="CX136" i="65"/>
  <c r="CW136" i="65"/>
  <c r="CV136" i="65"/>
  <c r="CU136" i="65"/>
  <c r="CT136" i="65"/>
  <c r="CS136" i="65"/>
  <c r="CR136" i="65"/>
  <c r="CQ136" i="65"/>
  <c r="CP136" i="65"/>
  <c r="CO136" i="65"/>
  <c r="CN136" i="65"/>
  <c r="CM136" i="65"/>
  <c r="CL136" i="65"/>
  <c r="CK136" i="65"/>
  <c r="CJ136" i="65"/>
  <c r="CI136" i="65"/>
  <c r="CH136" i="65"/>
  <c r="CG136" i="65"/>
  <c r="CF136" i="65"/>
  <c r="CE136" i="65"/>
  <c r="CD136" i="65"/>
  <c r="CC136" i="65"/>
  <c r="CB136" i="65"/>
  <c r="CA136" i="65"/>
  <c r="BZ136" i="65"/>
  <c r="BY136" i="65"/>
  <c r="BX136" i="65"/>
  <c r="BW136" i="65"/>
  <c r="BV136" i="65"/>
  <c r="BU136" i="65"/>
  <c r="BT136" i="65"/>
  <c r="BS136" i="65"/>
  <c r="BR136" i="65"/>
  <c r="BQ136" i="65"/>
  <c r="BP136" i="65"/>
  <c r="BO136" i="65"/>
  <c r="BN136" i="65"/>
  <c r="BM136" i="65"/>
  <c r="BL136" i="65"/>
  <c r="BK136" i="65"/>
  <c r="BJ136" i="65"/>
  <c r="BI136" i="65"/>
  <c r="BH136" i="65"/>
  <c r="BG136" i="65"/>
  <c r="BF136" i="65"/>
  <c r="BE136" i="65"/>
  <c r="BD136" i="65"/>
  <c r="BC136" i="65"/>
  <c r="BB136" i="65"/>
  <c r="BA136" i="65"/>
  <c r="AZ136" i="65"/>
  <c r="AY136" i="65"/>
  <c r="AX136" i="65"/>
  <c r="AW136" i="65"/>
  <c r="AV136" i="65"/>
  <c r="ER136" i="65" s="1"/>
  <c r="AU136" i="65"/>
  <c r="AT136" i="65"/>
  <c r="AS136" i="65"/>
  <c r="AR136" i="65"/>
  <c r="AQ136" i="65"/>
  <c r="EM136" i="65" s="1"/>
  <c r="AP136" i="65"/>
  <c r="EL136" i="65" s="1"/>
  <c r="AO136" i="65"/>
  <c r="EK136" i="65" s="1"/>
  <c r="AN136" i="65"/>
  <c r="AM136" i="65"/>
  <c r="AL136" i="65"/>
  <c r="AK136" i="65"/>
  <c r="AJ136" i="65"/>
  <c r="AI136" i="65"/>
  <c r="AH136" i="65"/>
  <c r="AG136" i="65"/>
  <c r="AF136" i="65"/>
  <c r="AE136" i="65"/>
  <c r="AD136" i="65"/>
  <c r="AC136" i="65"/>
  <c r="AB136" i="65"/>
  <c r="Z136" i="65"/>
  <c r="Y136" i="65"/>
  <c r="X136" i="65"/>
  <c r="W136" i="65"/>
  <c r="V136" i="65"/>
  <c r="U136" i="65"/>
  <c r="T136" i="65"/>
  <c r="S136" i="65"/>
  <c r="R136" i="65"/>
  <c r="Q136" i="65"/>
  <c r="O136" i="65"/>
  <c r="N136" i="65"/>
  <c r="M136" i="65"/>
  <c r="L136" i="65"/>
  <c r="K136" i="65"/>
  <c r="J136" i="65"/>
  <c r="I136" i="65"/>
  <c r="H136" i="65"/>
  <c r="G136" i="65"/>
  <c r="F136" i="65"/>
  <c r="E136" i="65"/>
  <c r="DU135" i="65"/>
  <c r="DT135" i="65"/>
  <c r="DS135" i="65"/>
  <c r="DR135" i="65"/>
  <c r="DQ135" i="65"/>
  <c r="DP135" i="65"/>
  <c r="DO135" i="65"/>
  <c r="DN135" i="65"/>
  <c r="DM135" i="65"/>
  <c r="DL135" i="65"/>
  <c r="DK135" i="65"/>
  <c r="DJ135" i="65"/>
  <c r="DI135" i="65"/>
  <c r="DH135" i="65"/>
  <c r="DG135" i="65"/>
  <c r="DF135" i="65"/>
  <c r="DE135" i="65"/>
  <c r="DD135" i="65"/>
  <c r="DC135" i="65"/>
  <c r="DB135" i="65"/>
  <c r="DA135" i="65"/>
  <c r="CZ135" i="65"/>
  <c r="CY135" i="65"/>
  <c r="CX135" i="65"/>
  <c r="CW135" i="65"/>
  <c r="CV135" i="65"/>
  <c r="CU135" i="65"/>
  <c r="CT135" i="65"/>
  <c r="CS135" i="65"/>
  <c r="CR135" i="65"/>
  <c r="CQ135" i="65"/>
  <c r="CP135" i="65"/>
  <c r="CO135" i="65"/>
  <c r="CN135" i="65"/>
  <c r="CM135" i="65"/>
  <c r="CL135" i="65"/>
  <c r="CK135" i="65"/>
  <c r="CJ135" i="65"/>
  <c r="CI135" i="65"/>
  <c r="CH135" i="65"/>
  <c r="CG135" i="65"/>
  <c r="CF135" i="65"/>
  <c r="CE135" i="65"/>
  <c r="CD135" i="65"/>
  <c r="CC135" i="65"/>
  <c r="CB135" i="65"/>
  <c r="CA135" i="65"/>
  <c r="BZ135" i="65"/>
  <c r="BY135" i="65"/>
  <c r="BX135" i="65"/>
  <c r="BW135" i="65"/>
  <c r="BV135" i="65"/>
  <c r="BU135" i="65"/>
  <c r="BT135" i="65"/>
  <c r="BS135" i="65"/>
  <c r="BR135" i="65"/>
  <c r="BQ135" i="65"/>
  <c r="BP135" i="65"/>
  <c r="BO135" i="65"/>
  <c r="BN135" i="65"/>
  <c r="BM135" i="65"/>
  <c r="BL135" i="65"/>
  <c r="BK135" i="65"/>
  <c r="BJ135" i="65"/>
  <c r="BI135" i="65"/>
  <c r="BH135" i="65"/>
  <c r="BG135" i="65"/>
  <c r="BF135" i="65"/>
  <c r="BE135" i="65"/>
  <c r="BD135" i="65"/>
  <c r="BC135" i="65"/>
  <c r="BB135" i="65"/>
  <c r="BA135" i="65"/>
  <c r="AZ135" i="65"/>
  <c r="AY135" i="65"/>
  <c r="AX135" i="65"/>
  <c r="AW135" i="65"/>
  <c r="AV135" i="65"/>
  <c r="ER135" i="65" s="1"/>
  <c r="AU135" i="65"/>
  <c r="EQ135" i="65" s="1"/>
  <c r="AT135" i="65"/>
  <c r="AS135" i="65"/>
  <c r="AR135" i="65"/>
  <c r="AQ135" i="65"/>
  <c r="AP135" i="65"/>
  <c r="EL135" i="65" s="1"/>
  <c r="AO135" i="65"/>
  <c r="EK135" i="65" s="1"/>
  <c r="AN135" i="65"/>
  <c r="EJ135" i="65" s="1"/>
  <c r="AM135" i="65"/>
  <c r="AL135" i="65"/>
  <c r="AK135" i="65"/>
  <c r="AJ135" i="65"/>
  <c r="AI135" i="65"/>
  <c r="AH135" i="65"/>
  <c r="AG135" i="65"/>
  <c r="AF135" i="65"/>
  <c r="AE135" i="65"/>
  <c r="AD135" i="65"/>
  <c r="AC135" i="65"/>
  <c r="AB135" i="65"/>
  <c r="Z135" i="65"/>
  <c r="Y135" i="65"/>
  <c r="X135" i="65"/>
  <c r="W135" i="65"/>
  <c r="V135" i="65"/>
  <c r="U135" i="65"/>
  <c r="T135" i="65"/>
  <c r="S135" i="65"/>
  <c r="R135" i="65"/>
  <c r="Q135" i="65"/>
  <c r="O135" i="65"/>
  <c r="N135" i="65"/>
  <c r="M135" i="65"/>
  <c r="L135" i="65"/>
  <c r="K135" i="65"/>
  <c r="J135" i="65"/>
  <c r="I135" i="65"/>
  <c r="H135" i="65"/>
  <c r="G135" i="65"/>
  <c r="F135" i="65"/>
  <c r="E135" i="65"/>
  <c r="DU134" i="65"/>
  <c r="DT134" i="65"/>
  <c r="DS134" i="65"/>
  <c r="DR134" i="65"/>
  <c r="DQ134" i="65"/>
  <c r="DP134" i="65"/>
  <c r="DO134" i="65"/>
  <c r="DN134" i="65"/>
  <c r="DM134" i="65"/>
  <c r="DL134" i="65"/>
  <c r="DK134" i="65"/>
  <c r="DJ134" i="65"/>
  <c r="DI134" i="65"/>
  <c r="DH134" i="65"/>
  <c r="DG134" i="65"/>
  <c r="DF134" i="65"/>
  <c r="DE134" i="65"/>
  <c r="DD134" i="65"/>
  <c r="DC134" i="65"/>
  <c r="DB134" i="65"/>
  <c r="DA134" i="65"/>
  <c r="CZ134" i="65"/>
  <c r="CY134" i="65"/>
  <c r="CX134" i="65"/>
  <c r="CW134" i="65"/>
  <c r="CV134" i="65"/>
  <c r="CU134" i="65"/>
  <c r="CT134" i="65"/>
  <c r="CS134" i="65"/>
  <c r="CR134" i="65"/>
  <c r="CQ134" i="65"/>
  <c r="CP134" i="65"/>
  <c r="CO134" i="65"/>
  <c r="CN134" i="65"/>
  <c r="CM134" i="65"/>
  <c r="CL134" i="65"/>
  <c r="CK134" i="65"/>
  <c r="CJ134" i="65"/>
  <c r="CI134" i="65"/>
  <c r="CH134" i="65"/>
  <c r="CG134" i="65"/>
  <c r="CF134" i="65"/>
  <c r="CE134" i="65"/>
  <c r="CD134" i="65"/>
  <c r="CC134" i="65"/>
  <c r="CB134" i="65"/>
  <c r="CA134" i="65"/>
  <c r="BZ134" i="65"/>
  <c r="BY134" i="65"/>
  <c r="BX134" i="65"/>
  <c r="BW134" i="65"/>
  <c r="BV134" i="65"/>
  <c r="BU134" i="65"/>
  <c r="BT134" i="65"/>
  <c r="BS134" i="65"/>
  <c r="BR134" i="65"/>
  <c r="BQ134" i="65"/>
  <c r="BP134" i="65"/>
  <c r="BO134" i="65"/>
  <c r="BN134" i="65"/>
  <c r="BM134" i="65"/>
  <c r="BL134" i="65"/>
  <c r="BK134" i="65"/>
  <c r="BJ134" i="65"/>
  <c r="BI134" i="65"/>
  <c r="BH134" i="65"/>
  <c r="BG134" i="65"/>
  <c r="BF134" i="65"/>
  <c r="BE134" i="65"/>
  <c r="BD134" i="65"/>
  <c r="BC134" i="65"/>
  <c r="BB134" i="65"/>
  <c r="BA134" i="65"/>
  <c r="AZ134" i="65"/>
  <c r="AY134" i="65"/>
  <c r="AX134" i="65"/>
  <c r="AW134" i="65"/>
  <c r="AV134" i="65"/>
  <c r="ER134" i="65" s="1"/>
  <c r="AU134" i="65"/>
  <c r="EQ134" i="65" s="1"/>
  <c r="AT134" i="65"/>
  <c r="EP134" i="65" s="1"/>
  <c r="AS134" i="65"/>
  <c r="AR134" i="65"/>
  <c r="AQ134" i="65"/>
  <c r="AP134" i="65"/>
  <c r="AO134" i="65"/>
  <c r="EK134" i="65" s="1"/>
  <c r="AN134" i="65"/>
  <c r="EJ134" i="65" s="1"/>
  <c r="AM134" i="65"/>
  <c r="EI134" i="65" s="1"/>
  <c r="AL134" i="65"/>
  <c r="AK134" i="65"/>
  <c r="AJ134" i="65"/>
  <c r="AI134" i="65"/>
  <c r="AH134" i="65"/>
  <c r="AG134" i="65"/>
  <c r="AF134" i="65"/>
  <c r="AE134" i="65"/>
  <c r="AD134" i="65"/>
  <c r="AC134" i="65"/>
  <c r="AB134" i="65"/>
  <c r="Z134" i="65"/>
  <c r="Y134" i="65"/>
  <c r="X134" i="65"/>
  <c r="W134" i="65"/>
  <c r="V134" i="65"/>
  <c r="U134" i="65"/>
  <c r="T134" i="65"/>
  <c r="S134" i="65"/>
  <c r="R134" i="65"/>
  <c r="Q134" i="65"/>
  <c r="O134" i="65"/>
  <c r="N134" i="65"/>
  <c r="M134" i="65"/>
  <c r="L134" i="65"/>
  <c r="K134" i="65"/>
  <c r="J134" i="65"/>
  <c r="I134" i="65"/>
  <c r="H134" i="65"/>
  <c r="G134" i="65"/>
  <c r="F134" i="65"/>
  <c r="E134" i="65"/>
  <c r="DU133" i="65"/>
  <c r="DT133" i="65"/>
  <c r="DS133" i="65"/>
  <c r="DR133" i="65"/>
  <c r="DQ133" i="65"/>
  <c r="DP133" i="65"/>
  <c r="DO133" i="65"/>
  <c r="DN133" i="65"/>
  <c r="DM133" i="65"/>
  <c r="DL133" i="65"/>
  <c r="DK133" i="65"/>
  <c r="DJ133" i="65"/>
  <c r="DI133" i="65"/>
  <c r="DH133" i="65"/>
  <c r="DG133" i="65"/>
  <c r="DF133" i="65"/>
  <c r="DE133" i="65"/>
  <c r="DD133" i="65"/>
  <c r="DC133" i="65"/>
  <c r="DB133" i="65"/>
  <c r="DA133" i="65"/>
  <c r="CZ133" i="65"/>
  <c r="CY133" i="65"/>
  <c r="CX133" i="65"/>
  <c r="CW133" i="65"/>
  <c r="CV133" i="65"/>
  <c r="CU133" i="65"/>
  <c r="CT133" i="65"/>
  <c r="CS133" i="65"/>
  <c r="CR133" i="65"/>
  <c r="CQ133" i="65"/>
  <c r="CP133" i="65"/>
  <c r="CO133" i="65"/>
  <c r="CN133" i="65"/>
  <c r="CM133" i="65"/>
  <c r="CL133" i="65"/>
  <c r="CK133" i="65"/>
  <c r="CJ133" i="65"/>
  <c r="CI133" i="65"/>
  <c r="CH133" i="65"/>
  <c r="CG133" i="65"/>
  <c r="CF133" i="65"/>
  <c r="CE133" i="65"/>
  <c r="CD133" i="65"/>
  <c r="CC133" i="65"/>
  <c r="CB133" i="65"/>
  <c r="CA133" i="65"/>
  <c r="BZ133" i="65"/>
  <c r="BY133" i="65"/>
  <c r="BX133" i="65"/>
  <c r="BW133" i="65"/>
  <c r="BV133" i="65"/>
  <c r="BU133" i="65"/>
  <c r="BT133" i="65"/>
  <c r="BS133" i="65"/>
  <c r="BR133" i="65"/>
  <c r="BQ133" i="65"/>
  <c r="BP133" i="65"/>
  <c r="BO133" i="65"/>
  <c r="BN133" i="65"/>
  <c r="BM133" i="65"/>
  <c r="BL133" i="65"/>
  <c r="BK133" i="65"/>
  <c r="BJ133" i="65"/>
  <c r="BI133" i="65"/>
  <c r="BH133" i="65"/>
  <c r="BG133" i="65"/>
  <c r="BF133" i="65"/>
  <c r="BE133" i="65"/>
  <c r="BD133" i="65"/>
  <c r="BC133" i="65"/>
  <c r="BB133" i="65"/>
  <c r="BA133" i="65"/>
  <c r="AZ133" i="65"/>
  <c r="AY133" i="65"/>
  <c r="AX133" i="65"/>
  <c r="AW133" i="65"/>
  <c r="AV133" i="65"/>
  <c r="AU133" i="65"/>
  <c r="EQ133" i="65" s="1"/>
  <c r="AT133" i="65"/>
  <c r="EP133" i="65" s="1"/>
  <c r="AS133" i="65"/>
  <c r="EO133" i="65" s="1"/>
  <c r="AR133" i="65"/>
  <c r="AQ133" i="65"/>
  <c r="AP133" i="65"/>
  <c r="AO133" i="65"/>
  <c r="AN133" i="65"/>
  <c r="EJ133" i="65" s="1"/>
  <c r="AM133" i="65"/>
  <c r="EI133" i="65" s="1"/>
  <c r="AL133" i="65"/>
  <c r="EH133" i="65" s="1"/>
  <c r="AK133" i="65"/>
  <c r="AJ133" i="65"/>
  <c r="AI133" i="65"/>
  <c r="AH133" i="65"/>
  <c r="AG133" i="65"/>
  <c r="AF133" i="65"/>
  <c r="AE133" i="65"/>
  <c r="AD133" i="65"/>
  <c r="AC133" i="65"/>
  <c r="AB133" i="65"/>
  <c r="Z133" i="65"/>
  <c r="Y133" i="65"/>
  <c r="X133" i="65"/>
  <c r="W133" i="65"/>
  <c r="V133" i="65"/>
  <c r="U133" i="65"/>
  <c r="T133" i="65"/>
  <c r="S133" i="65"/>
  <c r="R133" i="65"/>
  <c r="Q133" i="65"/>
  <c r="O133" i="65"/>
  <c r="N133" i="65"/>
  <c r="M133" i="65"/>
  <c r="L133" i="65"/>
  <c r="K133" i="65"/>
  <c r="J133" i="65"/>
  <c r="I133" i="65"/>
  <c r="H133" i="65"/>
  <c r="G133" i="65"/>
  <c r="F133" i="65"/>
  <c r="E133" i="65"/>
  <c r="DU132" i="65"/>
  <c r="DT132" i="65"/>
  <c r="DS132" i="65"/>
  <c r="DR132" i="65"/>
  <c r="DQ132" i="65"/>
  <c r="DP132" i="65"/>
  <c r="DO132" i="65"/>
  <c r="DN132" i="65"/>
  <c r="DM132" i="65"/>
  <c r="DL132" i="65"/>
  <c r="DK132" i="65"/>
  <c r="DJ132" i="65"/>
  <c r="DI132" i="65"/>
  <c r="DH132" i="65"/>
  <c r="DG132" i="65"/>
  <c r="DF132" i="65"/>
  <c r="DE132" i="65"/>
  <c r="DD132" i="65"/>
  <c r="DC132" i="65"/>
  <c r="DB132" i="65"/>
  <c r="DA132" i="65"/>
  <c r="CZ132" i="65"/>
  <c r="CY132" i="65"/>
  <c r="CX132" i="65"/>
  <c r="CW132" i="65"/>
  <c r="CV132" i="65"/>
  <c r="CU132" i="65"/>
  <c r="CT132" i="65"/>
  <c r="CS132" i="65"/>
  <c r="CR132" i="65"/>
  <c r="CQ132" i="65"/>
  <c r="CP132" i="65"/>
  <c r="CO132" i="65"/>
  <c r="CN132" i="65"/>
  <c r="CM132" i="65"/>
  <c r="CL132" i="65"/>
  <c r="CK132" i="65"/>
  <c r="CJ132" i="65"/>
  <c r="CI132" i="65"/>
  <c r="CH132" i="65"/>
  <c r="CG132" i="65"/>
  <c r="CF132" i="65"/>
  <c r="CE132" i="65"/>
  <c r="CD132" i="65"/>
  <c r="CC132" i="65"/>
  <c r="CB132" i="65"/>
  <c r="CA132" i="65"/>
  <c r="BZ132" i="65"/>
  <c r="BY132" i="65"/>
  <c r="BX132" i="65"/>
  <c r="BW132" i="65"/>
  <c r="BV132" i="65"/>
  <c r="BU132" i="65"/>
  <c r="BT132" i="65"/>
  <c r="BS132" i="65"/>
  <c r="BR132" i="65"/>
  <c r="BQ132" i="65"/>
  <c r="BP132" i="65"/>
  <c r="BO132" i="65"/>
  <c r="BN132" i="65"/>
  <c r="BM132" i="65"/>
  <c r="BL132" i="65"/>
  <c r="BK132" i="65"/>
  <c r="BJ132" i="65"/>
  <c r="BI132" i="65"/>
  <c r="BH132" i="65"/>
  <c r="BG132" i="65"/>
  <c r="BF132" i="65"/>
  <c r="BE132" i="65"/>
  <c r="BD132" i="65"/>
  <c r="BC132" i="65"/>
  <c r="BB132" i="65"/>
  <c r="BA132" i="65"/>
  <c r="AZ132" i="65"/>
  <c r="AY132" i="65"/>
  <c r="AX132" i="65"/>
  <c r="AW132" i="65"/>
  <c r="AV132" i="65"/>
  <c r="AU132" i="65"/>
  <c r="AT132" i="65"/>
  <c r="EP132" i="65" s="1"/>
  <c r="AS132" i="65"/>
  <c r="EO132" i="65" s="1"/>
  <c r="AR132" i="65"/>
  <c r="EN132" i="65" s="1"/>
  <c r="AQ132" i="65"/>
  <c r="AP132" i="65"/>
  <c r="AO132" i="65"/>
  <c r="AN132" i="65"/>
  <c r="AM132" i="65"/>
  <c r="EI132" i="65" s="1"/>
  <c r="AL132" i="65"/>
  <c r="EH132" i="65" s="1"/>
  <c r="AK132" i="65"/>
  <c r="AJ132" i="65"/>
  <c r="AI132" i="65"/>
  <c r="AH132" i="65"/>
  <c r="AG132" i="65"/>
  <c r="AF132" i="65"/>
  <c r="AE132" i="65"/>
  <c r="AD132" i="65"/>
  <c r="AC132" i="65"/>
  <c r="AB132" i="65"/>
  <c r="Z132" i="65"/>
  <c r="Y132" i="65"/>
  <c r="X132" i="65"/>
  <c r="W132" i="65"/>
  <c r="V132" i="65"/>
  <c r="U132" i="65"/>
  <c r="T132" i="65"/>
  <c r="S132" i="65"/>
  <c r="R132" i="65"/>
  <c r="Q132" i="65"/>
  <c r="O132" i="65"/>
  <c r="N132" i="65"/>
  <c r="M132" i="65"/>
  <c r="L132" i="65"/>
  <c r="K132" i="65"/>
  <c r="J132" i="65"/>
  <c r="I132" i="65"/>
  <c r="H132" i="65"/>
  <c r="G132" i="65"/>
  <c r="F132" i="65"/>
  <c r="E132" i="65"/>
  <c r="DU131" i="65"/>
  <c r="DT131" i="65"/>
  <c r="DS131" i="65"/>
  <c r="DR131" i="65"/>
  <c r="DQ131" i="65"/>
  <c r="DP131" i="65"/>
  <c r="DO131" i="65"/>
  <c r="DN131" i="65"/>
  <c r="DM131" i="65"/>
  <c r="DL131" i="65"/>
  <c r="DK131" i="65"/>
  <c r="DJ131" i="65"/>
  <c r="DI131" i="65"/>
  <c r="DH131" i="65"/>
  <c r="DG131" i="65"/>
  <c r="DF131" i="65"/>
  <c r="DE131" i="65"/>
  <c r="DD131" i="65"/>
  <c r="DC131" i="65"/>
  <c r="DB131" i="65"/>
  <c r="DA131" i="65"/>
  <c r="CZ131" i="65"/>
  <c r="CY131" i="65"/>
  <c r="CX131" i="65"/>
  <c r="CW131" i="65"/>
  <c r="CV131" i="65"/>
  <c r="CU131" i="65"/>
  <c r="CT131" i="65"/>
  <c r="CS131" i="65"/>
  <c r="CR131" i="65"/>
  <c r="CQ131" i="65"/>
  <c r="CP131" i="65"/>
  <c r="CO131" i="65"/>
  <c r="CN131" i="65"/>
  <c r="CM131" i="65"/>
  <c r="CL131" i="65"/>
  <c r="CK131" i="65"/>
  <c r="CJ131" i="65"/>
  <c r="CI131" i="65"/>
  <c r="CH131" i="65"/>
  <c r="CG131" i="65"/>
  <c r="CF131" i="65"/>
  <c r="CE131" i="65"/>
  <c r="CD131" i="65"/>
  <c r="CC131" i="65"/>
  <c r="CB131" i="65"/>
  <c r="CA131" i="65"/>
  <c r="BZ131" i="65"/>
  <c r="BY131" i="65"/>
  <c r="BX131" i="65"/>
  <c r="BW131" i="65"/>
  <c r="BV131" i="65"/>
  <c r="BU131" i="65"/>
  <c r="BT131" i="65"/>
  <c r="BS131" i="65"/>
  <c r="BR131" i="65"/>
  <c r="BQ131" i="65"/>
  <c r="BP131" i="65"/>
  <c r="BO131" i="65"/>
  <c r="BN131" i="65"/>
  <c r="BM131" i="65"/>
  <c r="BL131" i="65"/>
  <c r="BK131" i="65"/>
  <c r="BJ131" i="65"/>
  <c r="BI131" i="65"/>
  <c r="BH131" i="65"/>
  <c r="BG131" i="65"/>
  <c r="BF131" i="65"/>
  <c r="BE131" i="65"/>
  <c r="BD131" i="65"/>
  <c r="BC131" i="65"/>
  <c r="BB131" i="65"/>
  <c r="BA131" i="65"/>
  <c r="AZ131" i="65"/>
  <c r="AY131" i="65"/>
  <c r="AX131" i="65"/>
  <c r="AW131" i="65"/>
  <c r="AV131" i="65"/>
  <c r="AU131" i="65"/>
  <c r="AT131" i="65"/>
  <c r="AS131" i="65"/>
  <c r="EO131" i="65" s="1"/>
  <c r="AR131" i="65"/>
  <c r="EN131" i="65" s="1"/>
  <c r="AQ131" i="65"/>
  <c r="EM131" i="65" s="1"/>
  <c r="AP131" i="65"/>
  <c r="AO131" i="65"/>
  <c r="AN131" i="65"/>
  <c r="AM131" i="65"/>
  <c r="AL131" i="65"/>
  <c r="EH131" i="65" s="1"/>
  <c r="AK131" i="65"/>
  <c r="AJ131" i="65"/>
  <c r="AI131" i="65"/>
  <c r="AH131" i="65"/>
  <c r="AG131" i="65"/>
  <c r="AF131" i="65"/>
  <c r="AE131" i="65"/>
  <c r="AD131" i="65"/>
  <c r="AC131" i="65"/>
  <c r="AB131" i="65"/>
  <c r="Z131" i="65"/>
  <c r="Y131" i="65"/>
  <c r="X131" i="65"/>
  <c r="W131" i="65"/>
  <c r="V131" i="65"/>
  <c r="U131" i="65"/>
  <c r="T131" i="65"/>
  <c r="S131" i="65"/>
  <c r="R131" i="65"/>
  <c r="Q131" i="65"/>
  <c r="O131" i="65"/>
  <c r="N131" i="65"/>
  <c r="M131" i="65"/>
  <c r="L131" i="65"/>
  <c r="K131" i="65"/>
  <c r="J131" i="65"/>
  <c r="I131" i="65"/>
  <c r="H131" i="65"/>
  <c r="G131" i="65"/>
  <c r="F131" i="65"/>
  <c r="E131" i="65"/>
  <c r="DU130" i="65"/>
  <c r="DT130" i="65"/>
  <c r="DS130" i="65"/>
  <c r="DR130" i="65"/>
  <c r="DQ130" i="65"/>
  <c r="DP130" i="65"/>
  <c r="DO130" i="65"/>
  <c r="DN130" i="65"/>
  <c r="DM130" i="65"/>
  <c r="DL130" i="65"/>
  <c r="DK130" i="65"/>
  <c r="DJ130" i="65"/>
  <c r="DI130" i="65"/>
  <c r="DH130" i="65"/>
  <c r="DG130" i="65"/>
  <c r="DF130" i="65"/>
  <c r="DE130" i="65"/>
  <c r="DD130" i="65"/>
  <c r="DC130" i="65"/>
  <c r="DB130" i="65"/>
  <c r="DA130" i="65"/>
  <c r="CZ130" i="65"/>
  <c r="CY130" i="65"/>
  <c r="CX130" i="65"/>
  <c r="CW130" i="65"/>
  <c r="CV130" i="65"/>
  <c r="CU130" i="65"/>
  <c r="CT130" i="65"/>
  <c r="CS130" i="65"/>
  <c r="CR130" i="65"/>
  <c r="CQ130" i="65"/>
  <c r="CP130" i="65"/>
  <c r="CO130" i="65"/>
  <c r="CN130" i="65"/>
  <c r="CM130" i="65"/>
  <c r="CL130" i="65"/>
  <c r="CK130" i="65"/>
  <c r="CJ130" i="65"/>
  <c r="CI130" i="65"/>
  <c r="CH130" i="65"/>
  <c r="CG130" i="65"/>
  <c r="CF130" i="65"/>
  <c r="CE130" i="65"/>
  <c r="CD130" i="65"/>
  <c r="CC130" i="65"/>
  <c r="CB130" i="65"/>
  <c r="CA130" i="65"/>
  <c r="BZ130" i="65"/>
  <c r="BY130" i="65"/>
  <c r="BX130" i="65"/>
  <c r="BW130" i="65"/>
  <c r="BV130" i="65"/>
  <c r="BU130" i="65"/>
  <c r="BT130" i="65"/>
  <c r="BS130" i="65"/>
  <c r="BR130" i="65"/>
  <c r="BQ130" i="65"/>
  <c r="BP130" i="65"/>
  <c r="BO130" i="65"/>
  <c r="BN130" i="65"/>
  <c r="BM130" i="65"/>
  <c r="BL130" i="65"/>
  <c r="BK130" i="65"/>
  <c r="BJ130" i="65"/>
  <c r="BI130" i="65"/>
  <c r="BH130" i="65"/>
  <c r="BG130" i="65"/>
  <c r="BF130" i="65"/>
  <c r="BE130" i="65"/>
  <c r="BD130" i="65"/>
  <c r="BC130" i="65"/>
  <c r="BB130" i="65"/>
  <c r="BA130" i="65"/>
  <c r="AZ130" i="65"/>
  <c r="AY130" i="65"/>
  <c r="AX130" i="65"/>
  <c r="AW130" i="65"/>
  <c r="AV130" i="65"/>
  <c r="AU130" i="65"/>
  <c r="AT130" i="65"/>
  <c r="AS130" i="65"/>
  <c r="AR130" i="65"/>
  <c r="EN130" i="65" s="1"/>
  <c r="AQ130" i="65"/>
  <c r="EM130" i="65" s="1"/>
  <c r="AP130" i="65"/>
  <c r="EL130" i="65" s="1"/>
  <c r="AO130" i="65"/>
  <c r="AN130" i="65"/>
  <c r="AM130" i="65"/>
  <c r="AL130" i="65"/>
  <c r="AK130" i="65"/>
  <c r="AJ130" i="65"/>
  <c r="AI130" i="65"/>
  <c r="AH130" i="65"/>
  <c r="AG130" i="65"/>
  <c r="AF130" i="65"/>
  <c r="AE130" i="65"/>
  <c r="AD130" i="65"/>
  <c r="AC130" i="65"/>
  <c r="AB130" i="65"/>
  <c r="Z130" i="65"/>
  <c r="Y130" i="65"/>
  <c r="X130" i="65"/>
  <c r="W130" i="65"/>
  <c r="V130" i="65"/>
  <c r="U130" i="65"/>
  <c r="T130" i="65"/>
  <c r="S130" i="65"/>
  <c r="R130" i="65"/>
  <c r="Q130" i="65"/>
  <c r="O130" i="65"/>
  <c r="N130" i="65"/>
  <c r="M130" i="65"/>
  <c r="L130" i="65"/>
  <c r="K130" i="65"/>
  <c r="J130" i="65"/>
  <c r="I130" i="65"/>
  <c r="H130" i="65"/>
  <c r="G130" i="65"/>
  <c r="F130" i="65"/>
  <c r="E130" i="65"/>
  <c r="DU129" i="65"/>
  <c r="DT129" i="65"/>
  <c r="DS129" i="65"/>
  <c r="DR129" i="65"/>
  <c r="DQ129" i="65"/>
  <c r="DP129" i="65"/>
  <c r="DO129" i="65"/>
  <c r="DN129" i="65"/>
  <c r="DM129" i="65"/>
  <c r="DL129" i="65"/>
  <c r="DK129" i="65"/>
  <c r="DJ129" i="65"/>
  <c r="DI129" i="65"/>
  <c r="DH129" i="65"/>
  <c r="DG129" i="65"/>
  <c r="DF129" i="65"/>
  <c r="DE129" i="65"/>
  <c r="DD129" i="65"/>
  <c r="DC129" i="65"/>
  <c r="DB129" i="65"/>
  <c r="DA129" i="65"/>
  <c r="CZ129" i="65"/>
  <c r="CY129" i="65"/>
  <c r="CX129" i="65"/>
  <c r="CW129" i="65"/>
  <c r="CV129" i="65"/>
  <c r="CU129" i="65"/>
  <c r="CT129" i="65"/>
  <c r="CS129" i="65"/>
  <c r="CR129" i="65"/>
  <c r="CQ129" i="65"/>
  <c r="CP129" i="65"/>
  <c r="CO129" i="65"/>
  <c r="CN129" i="65"/>
  <c r="CM129" i="65"/>
  <c r="CL129" i="65"/>
  <c r="CK129" i="65"/>
  <c r="CJ129" i="65"/>
  <c r="CI129" i="65"/>
  <c r="CH129" i="65"/>
  <c r="CG129" i="65"/>
  <c r="CF129" i="65"/>
  <c r="CE129" i="65"/>
  <c r="CD129" i="65"/>
  <c r="CC129" i="65"/>
  <c r="CB129" i="65"/>
  <c r="CA129" i="65"/>
  <c r="BZ129" i="65"/>
  <c r="BY129" i="65"/>
  <c r="BX129" i="65"/>
  <c r="BW129" i="65"/>
  <c r="BV129" i="65"/>
  <c r="BU129" i="65"/>
  <c r="BT129" i="65"/>
  <c r="BS129" i="65"/>
  <c r="BR129" i="65"/>
  <c r="BQ129" i="65"/>
  <c r="BP129" i="65"/>
  <c r="BO129" i="65"/>
  <c r="BN129" i="65"/>
  <c r="BM129" i="65"/>
  <c r="BL129" i="65"/>
  <c r="BK129" i="65"/>
  <c r="BJ129" i="65"/>
  <c r="BI129" i="65"/>
  <c r="BH129" i="65"/>
  <c r="BG129" i="65"/>
  <c r="BF129" i="65"/>
  <c r="BE129" i="65"/>
  <c r="BD129" i="65"/>
  <c r="BC129" i="65"/>
  <c r="BB129" i="65"/>
  <c r="BA129" i="65"/>
  <c r="AZ129" i="65"/>
  <c r="AY129" i="65"/>
  <c r="AX129" i="65"/>
  <c r="AW129" i="65"/>
  <c r="AV129" i="65"/>
  <c r="AU129" i="65"/>
  <c r="AT129" i="65"/>
  <c r="AS129" i="65"/>
  <c r="AR129" i="65"/>
  <c r="AQ129" i="65"/>
  <c r="EM129" i="65" s="1"/>
  <c r="AP129" i="65"/>
  <c r="EL129" i="65" s="1"/>
  <c r="AO129" i="65"/>
  <c r="EK129" i="65" s="1"/>
  <c r="AN129" i="65"/>
  <c r="AM129" i="65"/>
  <c r="AL129" i="65"/>
  <c r="AK129" i="65"/>
  <c r="AJ129" i="65"/>
  <c r="AI129" i="65"/>
  <c r="AH129" i="65"/>
  <c r="AG129" i="65"/>
  <c r="AF129" i="65"/>
  <c r="AE129" i="65"/>
  <c r="AD129" i="65"/>
  <c r="AC129" i="65"/>
  <c r="AB129" i="65"/>
  <c r="Z129" i="65"/>
  <c r="Y129" i="65"/>
  <c r="X129" i="65"/>
  <c r="W129" i="65"/>
  <c r="V129" i="65"/>
  <c r="U129" i="65"/>
  <c r="T129" i="65"/>
  <c r="S129" i="65"/>
  <c r="R129" i="65"/>
  <c r="Q129" i="65"/>
  <c r="O129" i="65"/>
  <c r="N129" i="65"/>
  <c r="M129" i="65"/>
  <c r="L129" i="65"/>
  <c r="K129" i="65"/>
  <c r="J129" i="65"/>
  <c r="I129" i="65"/>
  <c r="H129" i="65"/>
  <c r="G129" i="65"/>
  <c r="F129" i="65"/>
  <c r="E129" i="65"/>
  <c r="DU128" i="65"/>
  <c r="DT128" i="65"/>
  <c r="DS128" i="65"/>
  <c r="DR128" i="65"/>
  <c r="DQ128" i="65"/>
  <c r="DP128" i="65"/>
  <c r="DO128" i="65"/>
  <c r="DN128" i="65"/>
  <c r="DM128" i="65"/>
  <c r="DL128" i="65"/>
  <c r="DK128" i="65"/>
  <c r="DJ128" i="65"/>
  <c r="DI128" i="65"/>
  <c r="DH128" i="65"/>
  <c r="DG128" i="65"/>
  <c r="DF128" i="65"/>
  <c r="DE128" i="65"/>
  <c r="DD128" i="65"/>
  <c r="DC128" i="65"/>
  <c r="DB128" i="65"/>
  <c r="DA128" i="65"/>
  <c r="CZ128" i="65"/>
  <c r="CY128" i="65"/>
  <c r="CX128" i="65"/>
  <c r="CW128" i="65"/>
  <c r="CV128" i="65"/>
  <c r="CU128" i="65"/>
  <c r="CT128" i="65"/>
  <c r="CS128" i="65"/>
  <c r="CR128" i="65"/>
  <c r="CQ128" i="65"/>
  <c r="CP128" i="65"/>
  <c r="CO128" i="65"/>
  <c r="CN128" i="65"/>
  <c r="CM128" i="65"/>
  <c r="CL128" i="65"/>
  <c r="CK128" i="65"/>
  <c r="CJ128" i="65"/>
  <c r="CI128" i="65"/>
  <c r="CH128" i="65"/>
  <c r="CG128" i="65"/>
  <c r="CF128" i="65"/>
  <c r="CE128" i="65"/>
  <c r="CD128" i="65"/>
  <c r="CC128" i="65"/>
  <c r="CB128" i="65"/>
  <c r="CA128" i="65"/>
  <c r="BZ128" i="65"/>
  <c r="BY128" i="65"/>
  <c r="BX128" i="65"/>
  <c r="BW128" i="65"/>
  <c r="BV128" i="65"/>
  <c r="BU128" i="65"/>
  <c r="BT128" i="65"/>
  <c r="BS128" i="65"/>
  <c r="BR128" i="65"/>
  <c r="BQ128" i="65"/>
  <c r="BP128" i="65"/>
  <c r="BO128" i="65"/>
  <c r="BN128" i="65"/>
  <c r="BM128" i="65"/>
  <c r="BL128" i="65"/>
  <c r="BK128" i="65"/>
  <c r="BJ128" i="65"/>
  <c r="BI128" i="65"/>
  <c r="BH128" i="65"/>
  <c r="BG128" i="65"/>
  <c r="BF128" i="65"/>
  <c r="BE128" i="65"/>
  <c r="BD128" i="65"/>
  <c r="BC128" i="65"/>
  <c r="BB128" i="65"/>
  <c r="BA128" i="65"/>
  <c r="AZ128" i="65"/>
  <c r="AY128" i="65"/>
  <c r="AX128" i="65"/>
  <c r="AW128" i="65"/>
  <c r="AV128" i="65"/>
  <c r="AU128" i="65"/>
  <c r="AT128" i="65"/>
  <c r="AS128" i="65"/>
  <c r="AR128" i="65"/>
  <c r="AQ128" i="65"/>
  <c r="AP128" i="65"/>
  <c r="EL128" i="65" s="1"/>
  <c r="AO128" i="65"/>
  <c r="EK128" i="65" s="1"/>
  <c r="AN128" i="65"/>
  <c r="EJ128" i="65" s="1"/>
  <c r="AM128" i="65"/>
  <c r="AL128" i="65"/>
  <c r="AK128" i="65"/>
  <c r="AJ128" i="65"/>
  <c r="AI128" i="65"/>
  <c r="AH128" i="65"/>
  <c r="AG128" i="65"/>
  <c r="AF128" i="65"/>
  <c r="AE128" i="65"/>
  <c r="AD128" i="65"/>
  <c r="AC128" i="65"/>
  <c r="AB128" i="65"/>
  <c r="Z128" i="65"/>
  <c r="Y128" i="65"/>
  <c r="X128" i="65"/>
  <c r="W128" i="65"/>
  <c r="V128" i="65"/>
  <c r="U128" i="65"/>
  <c r="T128" i="65"/>
  <c r="S128" i="65"/>
  <c r="R128" i="65"/>
  <c r="Q128" i="65"/>
  <c r="O128" i="65"/>
  <c r="N128" i="65"/>
  <c r="M128" i="65"/>
  <c r="L128" i="65"/>
  <c r="K128" i="65"/>
  <c r="J128" i="65"/>
  <c r="I128" i="65"/>
  <c r="H128" i="65"/>
  <c r="G128" i="65"/>
  <c r="F128" i="65"/>
  <c r="E128" i="65"/>
  <c r="DU127" i="65"/>
  <c r="DT127" i="65"/>
  <c r="DS127" i="65"/>
  <c r="DR127" i="65"/>
  <c r="DQ127" i="65"/>
  <c r="DP127" i="65"/>
  <c r="DO127" i="65"/>
  <c r="DN127" i="65"/>
  <c r="DM127" i="65"/>
  <c r="DL127" i="65"/>
  <c r="DK127" i="65"/>
  <c r="DJ127" i="65"/>
  <c r="DI127" i="65"/>
  <c r="DH127" i="65"/>
  <c r="DG127" i="65"/>
  <c r="DF127" i="65"/>
  <c r="DE127" i="65"/>
  <c r="DD127" i="65"/>
  <c r="DC127" i="65"/>
  <c r="DB127" i="65"/>
  <c r="DA127" i="65"/>
  <c r="CZ127" i="65"/>
  <c r="CY127" i="65"/>
  <c r="CX127" i="65"/>
  <c r="CW127" i="65"/>
  <c r="CV127" i="65"/>
  <c r="CU127" i="65"/>
  <c r="CT127" i="65"/>
  <c r="CS127" i="65"/>
  <c r="CR127" i="65"/>
  <c r="CQ127" i="65"/>
  <c r="CP127" i="65"/>
  <c r="CO127" i="65"/>
  <c r="CN127" i="65"/>
  <c r="CM127" i="65"/>
  <c r="CL127" i="65"/>
  <c r="CK127" i="65"/>
  <c r="CJ127" i="65"/>
  <c r="CI127" i="65"/>
  <c r="CH127" i="65"/>
  <c r="CG127" i="65"/>
  <c r="CF127" i="65"/>
  <c r="CE127" i="65"/>
  <c r="CD127" i="65"/>
  <c r="CC127" i="65"/>
  <c r="CB127" i="65"/>
  <c r="CA127" i="65"/>
  <c r="BZ127" i="65"/>
  <c r="BY127" i="65"/>
  <c r="BX127" i="65"/>
  <c r="BW127" i="65"/>
  <c r="BV127" i="65"/>
  <c r="BU127" i="65"/>
  <c r="BT127" i="65"/>
  <c r="BS127" i="65"/>
  <c r="BR127" i="65"/>
  <c r="BQ127" i="65"/>
  <c r="BP127" i="65"/>
  <c r="BO127" i="65"/>
  <c r="BN127" i="65"/>
  <c r="BM127" i="65"/>
  <c r="BL127" i="65"/>
  <c r="BK127" i="65"/>
  <c r="BJ127" i="65"/>
  <c r="BI127" i="65"/>
  <c r="BH127" i="65"/>
  <c r="BG127" i="65"/>
  <c r="BF127" i="65"/>
  <c r="BE127" i="65"/>
  <c r="BD127" i="65"/>
  <c r="BC127" i="65"/>
  <c r="BB127" i="65"/>
  <c r="BA127" i="65"/>
  <c r="AZ127" i="65"/>
  <c r="AY127" i="65"/>
  <c r="AX127" i="65"/>
  <c r="AW127" i="65"/>
  <c r="AV127" i="65"/>
  <c r="ER127" i="65" s="1"/>
  <c r="AU127" i="65"/>
  <c r="AT127" i="65"/>
  <c r="AS127" i="65"/>
  <c r="AR127" i="65"/>
  <c r="AQ127" i="65"/>
  <c r="AP127" i="65"/>
  <c r="AO127" i="65"/>
  <c r="EK127" i="65" s="1"/>
  <c r="AN127" i="65"/>
  <c r="EJ127" i="65" s="1"/>
  <c r="AM127" i="65"/>
  <c r="EI127" i="65" s="1"/>
  <c r="AL127" i="65"/>
  <c r="AK127" i="65"/>
  <c r="AJ127" i="65"/>
  <c r="AI127" i="65"/>
  <c r="AH127" i="65"/>
  <c r="AG127" i="65"/>
  <c r="AF127" i="65"/>
  <c r="AE127" i="65"/>
  <c r="AD127" i="65"/>
  <c r="AC127" i="65"/>
  <c r="AB127" i="65"/>
  <c r="Z127" i="65"/>
  <c r="Y127" i="65"/>
  <c r="X127" i="65"/>
  <c r="W127" i="65"/>
  <c r="V127" i="65"/>
  <c r="U127" i="65"/>
  <c r="T127" i="65"/>
  <c r="S127" i="65"/>
  <c r="R127" i="65"/>
  <c r="Q127" i="65"/>
  <c r="O127" i="65"/>
  <c r="N127" i="65"/>
  <c r="M127" i="65"/>
  <c r="L127" i="65"/>
  <c r="K127" i="65"/>
  <c r="J127" i="65"/>
  <c r="I127" i="65"/>
  <c r="H127" i="65"/>
  <c r="G127" i="65"/>
  <c r="F127" i="65"/>
  <c r="E127" i="65"/>
  <c r="DU126" i="65"/>
  <c r="DT126" i="65"/>
  <c r="DS126" i="65"/>
  <c r="DR126" i="65"/>
  <c r="DQ126" i="65"/>
  <c r="DP126" i="65"/>
  <c r="DO126" i="65"/>
  <c r="DN126" i="65"/>
  <c r="DM126" i="65"/>
  <c r="DL126" i="65"/>
  <c r="DK126" i="65"/>
  <c r="DJ126" i="65"/>
  <c r="DI126" i="65"/>
  <c r="DH126" i="65"/>
  <c r="DG126" i="65"/>
  <c r="DF126" i="65"/>
  <c r="DE126" i="65"/>
  <c r="DD126" i="65"/>
  <c r="DC126" i="65"/>
  <c r="DB126" i="65"/>
  <c r="DA126" i="65"/>
  <c r="CZ126" i="65"/>
  <c r="CY126" i="65"/>
  <c r="CX126" i="65"/>
  <c r="CW126" i="65"/>
  <c r="CV126" i="65"/>
  <c r="CU126" i="65"/>
  <c r="CT126" i="65"/>
  <c r="CS126" i="65"/>
  <c r="CR126" i="65"/>
  <c r="CQ126" i="65"/>
  <c r="CP126" i="65"/>
  <c r="CO126" i="65"/>
  <c r="CN126" i="65"/>
  <c r="CM126" i="65"/>
  <c r="CL126" i="65"/>
  <c r="CK126" i="65"/>
  <c r="CJ126" i="65"/>
  <c r="CI126" i="65"/>
  <c r="CH126" i="65"/>
  <c r="CG126" i="65"/>
  <c r="CF126" i="65"/>
  <c r="CE126" i="65"/>
  <c r="CD126" i="65"/>
  <c r="CC126" i="65"/>
  <c r="CB126" i="65"/>
  <c r="CA126" i="65"/>
  <c r="BZ126" i="65"/>
  <c r="BY126" i="65"/>
  <c r="BX126" i="65"/>
  <c r="BW126" i="65"/>
  <c r="BV126" i="65"/>
  <c r="BU126" i="65"/>
  <c r="BT126" i="65"/>
  <c r="BS126" i="65"/>
  <c r="BR126" i="65"/>
  <c r="BQ126" i="65"/>
  <c r="BP126" i="65"/>
  <c r="BO126" i="65"/>
  <c r="BN126" i="65"/>
  <c r="BM126" i="65"/>
  <c r="BL126" i="65"/>
  <c r="BK126" i="65"/>
  <c r="BJ126" i="65"/>
  <c r="BI126" i="65"/>
  <c r="BH126" i="65"/>
  <c r="BG126" i="65"/>
  <c r="BF126" i="65"/>
  <c r="BE126" i="65"/>
  <c r="BD126" i="65"/>
  <c r="BC126" i="65"/>
  <c r="BB126" i="65"/>
  <c r="BA126" i="65"/>
  <c r="AZ126" i="65"/>
  <c r="AY126" i="65"/>
  <c r="AX126" i="65"/>
  <c r="AW126" i="65"/>
  <c r="AV126" i="65"/>
  <c r="ER126" i="65" s="1"/>
  <c r="AU126" i="65"/>
  <c r="EQ126" i="65" s="1"/>
  <c r="AT126" i="65"/>
  <c r="AS126" i="65"/>
  <c r="AR126" i="65"/>
  <c r="AQ126" i="65"/>
  <c r="AP126" i="65"/>
  <c r="AO126" i="65"/>
  <c r="AN126" i="65"/>
  <c r="EJ126" i="65" s="1"/>
  <c r="AM126" i="65"/>
  <c r="EI126" i="65" s="1"/>
  <c r="AL126" i="65"/>
  <c r="EH126" i="65" s="1"/>
  <c r="AK126" i="65"/>
  <c r="AJ126" i="65"/>
  <c r="AI126" i="65"/>
  <c r="AH126" i="65"/>
  <c r="AG126" i="65"/>
  <c r="AF126" i="65"/>
  <c r="AE126" i="65"/>
  <c r="AD126" i="65"/>
  <c r="AC126" i="65"/>
  <c r="AB126" i="65"/>
  <c r="Z126" i="65"/>
  <c r="Y126" i="65"/>
  <c r="X126" i="65"/>
  <c r="W126" i="65"/>
  <c r="V126" i="65"/>
  <c r="U126" i="65"/>
  <c r="T126" i="65"/>
  <c r="S126" i="65"/>
  <c r="R126" i="65"/>
  <c r="Q126" i="65"/>
  <c r="O126" i="65"/>
  <c r="N126" i="65"/>
  <c r="M126" i="65"/>
  <c r="L126" i="65"/>
  <c r="K126" i="65"/>
  <c r="J126" i="65"/>
  <c r="I126" i="65"/>
  <c r="H126" i="65"/>
  <c r="G126" i="65"/>
  <c r="F126" i="65"/>
  <c r="E126" i="65"/>
  <c r="DU125" i="65"/>
  <c r="DT125" i="65"/>
  <c r="DS125" i="65"/>
  <c r="DR125" i="65"/>
  <c r="DQ125" i="65"/>
  <c r="DP125" i="65"/>
  <c r="DO125" i="65"/>
  <c r="DN125" i="65"/>
  <c r="DM125" i="65"/>
  <c r="DL125" i="65"/>
  <c r="DK125" i="65"/>
  <c r="DJ125" i="65"/>
  <c r="DI125" i="65"/>
  <c r="DH125" i="65"/>
  <c r="DG125" i="65"/>
  <c r="DF125" i="65"/>
  <c r="DE125" i="65"/>
  <c r="DD125" i="65"/>
  <c r="DC125" i="65"/>
  <c r="DB125" i="65"/>
  <c r="DA125" i="65"/>
  <c r="CZ125" i="65"/>
  <c r="CY125" i="65"/>
  <c r="CX125" i="65"/>
  <c r="CW125" i="65"/>
  <c r="CV125" i="65"/>
  <c r="CU125" i="65"/>
  <c r="CT125" i="65"/>
  <c r="CS125" i="65"/>
  <c r="CR125" i="65"/>
  <c r="CQ125" i="65"/>
  <c r="CP125" i="65"/>
  <c r="CO125" i="65"/>
  <c r="CN125" i="65"/>
  <c r="CM125" i="65"/>
  <c r="CL125" i="65"/>
  <c r="CK125" i="65"/>
  <c r="CJ125" i="65"/>
  <c r="CI125" i="65"/>
  <c r="CH125" i="65"/>
  <c r="CG125" i="65"/>
  <c r="CF125" i="65"/>
  <c r="CE125" i="65"/>
  <c r="CD125" i="65"/>
  <c r="CC125" i="65"/>
  <c r="CB125" i="65"/>
  <c r="CA125" i="65"/>
  <c r="BZ125" i="65"/>
  <c r="BY125" i="65"/>
  <c r="BX125" i="65"/>
  <c r="BW125" i="65"/>
  <c r="BV125" i="65"/>
  <c r="BU125" i="65"/>
  <c r="BT125" i="65"/>
  <c r="BS125" i="65"/>
  <c r="BR125" i="65"/>
  <c r="BQ125" i="65"/>
  <c r="BP125" i="65"/>
  <c r="BO125" i="65"/>
  <c r="BN125" i="65"/>
  <c r="BM125" i="65"/>
  <c r="BL125" i="65"/>
  <c r="BK125" i="65"/>
  <c r="BJ125" i="65"/>
  <c r="BI125" i="65"/>
  <c r="BH125" i="65"/>
  <c r="BG125" i="65"/>
  <c r="BF125" i="65"/>
  <c r="BE125" i="65"/>
  <c r="BD125" i="65"/>
  <c r="BC125" i="65"/>
  <c r="BB125" i="65"/>
  <c r="BA125" i="65"/>
  <c r="AZ125" i="65"/>
  <c r="AY125" i="65"/>
  <c r="AX125" i="65"/>
  <c r="AW125" i="65"/>
  <c r="AV125" i="65"/>
  <c r="ER125" i="65" s="1"/>
  <c r="AU125" i="65"/>
  <c r="EQ125" i="65" s="1"/>
  <c r="AT125" i="65"/>
  <c r="EP125" i="65" s="1"/>
  <c r="AS125" i="65"/>
  <c r="AR125" i="65"/>
  <c r="AQ125" i="65"/>
  <c r="AP125" i="65"/>
  <c r="AO125" i="65"/>
  <c r="AN125" i="65"/>
  <c r="AM125" i="65"/>
  <c r="EI125" i="65" s="1"/>
  <c r="AL125" i="65"/>
  <c r="EH125" i="65" s="1"/>
  <c r="AK125" i="65"/>
  <c r="AJ125" i="65"/>
  <c r="AI125" i="65"/>
  <c r="AH125" i="65"/>
  <c r="AG125" i="65"/>
  <c r="AF125" i="65"/>
  <c r="AE125" i="65"/>
  <c r="AD125" i="65"/>
  <c r="AC125" i="65"/>
  <c r="AB125" i="65"/>
  <c r="Z125" i="65"/>
  <c r="Y125" i="65"/>
  <c r="X125" i="65"/>
  <c r="W125" i="65"/>
  <c r="V125" i="65"/>
  <c r="U125" i="65"/>
  <c r="T125" i="65"/>
  <c r="S125" i="65"/>
  <c r="R125" i="65"/>
  <c r="Q125" i="65"/>
  <c r="O125" i="65"/>
  <c r="N125" i="65"/>
  <c r="M125" i="65"/>
  <c r="L125" i="65"/>
  <c r="K125" i="65"/>
  <c r="J125" i="65"/>
  <c r="I125" i="65"/>
  <c r="H125" i="65"/>
  <c r="G125" i="65"/>
  <c r="F125" i="65"/>
  <c r="E125" i="65"/>
  <c r="DU124" i="65"/>
  <c r="DT124" i="65"/>
  <c r="DS124" i="65"/>
  <c r="DR124" i="65"/>
  <c r="DQ124" i="65"/>
  <c r="DP124" i="65"/>
  <c r="DO124" i="65"/>
  <c r="DN124" i="65"/>
  <c r="DM124" i="65"/>
  <c r="DL124" i="65"/>
  <c r="DK124" i="65"/>
  <c r="DJ124" i="65"/>
  <c r="DI124" i="65"/>
  <c r="DH124" i="65"/>
  <c r="DG124" i="65"/>
  <c r="DF124" i="65"/>
  <c r="DE124" i="65"/>
  <c r="DD124" i="65"/>
  <c r="DC124" i="65"/>
  <c r="DB124" i="65"/>
  <c r="DA124" i="65"/>
  <c r="CZ124" i="65"/>
  <c r="CY124" i="65"/>
  <c r="CX124" i="65"/>
  <c r="CW124" i="65"/>
  <c r="CV124" i="65"/>
  <c r="CU124" i="65"/>
  <c r="CT124" i="65"/>
  <c r="CS124" i="65"/>
  <c r="CR124" i="65"/>
  <c r="CQ124" i="65"/>
  <c r="CP124" i="65"/>
  <c r="CO124" i="65"/>
  <c r="CN124" i="65"/>
  <c r="CM124" i="65"/>
  <c r="CL124" i="65"/>
  <c r="CK124" i="65"/>
  <c r="CJ124" i="65"/>
  <c r="CI124" i="65"/>
  <c r="CH124" i="65"/>
  <c r="CG124" i="65"/>
  <c r="CF124" i="65"/>
  <c r="CE124" i="65"/>
  <c r="CD124" i="65"/>
  <c r="CC124" i="65"/>
  <c r="CB124" i="65"/>
  <c r="CA124" i="65"/>
  <c r="BZ124" i="65"/>
  <c r="BY124" i="65"/>
  <c r="BX124" i="65"/>
  <c r="BW124" i="65"/>
  <c r="BV124" i="65"/>
  <c r="BU124" i="65"/>
  <c r="BT124" i="65"/>
  <c r="BS124" i="65"/>
  <c r="BR124" i="65"/>
  <c r="BQ124" i="65"/>
  <c r="BP124" i="65"/>
  <c r="BO124" i="65"/>
  <c r="BN124" i="65"/>
  <c r="BM124" i="65"/>
  <c r="BL124" i="65"/>
  <c r="BK124" i="65"/>
  <c r="BJ124" i="65"/>
  <c r="BI124" i="65"/>
  <c r="BH124" i="65"/>
  <c r="BG124" i="65"/>
  <c r="BF124" i="65"/>
  <c r="BE124" i="65"/>
  <c r="BD124" i="65"/>
  <c r="BC124" i="65"/>
  <c r="BB124" i="65"/>
  <c r="BA124" i="65"/>
  <c r="AZ124" i="65"/>
  <c r="AY124" i="65"/>
  <c r="AX124" i="65"/>
  <c r="AW124" i="65"/>
  <c r="AV124" i="65"/>
  <c r="AU124" i="65"/>
  <c r="EQ124" i="65" s="1"/>
  <c r="AT124" i="65"/>
  <c r="EP124" i="65" s="1"/>
  <c r="AS124" i="65"/>
  <c r="EO124" i="65" s="1"/>
  <c r="AR124" i="65"/>
  <c r="AQ124" i="65"/>
  <c r="AP124" i="65"/>
  <c r="AO124" i="65"/>
  <c r="AN124" i="65"/>
  <c r="AM124" i="65"/>
  <c r="AL124" i="65"/>
  <c r="EH124" i="65" s="1"/>
  <c r="AK124" i="65"/>
  <c r="AJ124" i="65"/>
  <c r="AI124" i="65"/>
  <c r="AH124" i="65"/>
  <c r="AG124" i="65"/>
  <c r="AF124" i="65"/>
  <c r="AE124" i="65"/>
  <c r="AD124" i="65"/>
  <c r="AC124" i="65"/>
  <c r="AB124" i="65"/>
  <c r="Z124" i="65"/>
  <c r="Y124" i="65"/>
  <c r="X124" i="65"/>
  <c r="W124" i="65"/>
  <c r="V124" i="65"/>
  <c r="U124" i="65"/>
  <c r="T124" i="65"/>
  <c r="S124" i="65"/>
  <c r="R124" i="65"/>
  <c r="Q124" i="65"/>
  <c r="O124" i="65"/>
  <c r="N124" i="65"/>
  <c r="M124" i="65"/>
  <c r="L124" i="65"/>
  <c r="K124" i="65"/>
  <c r="J124" i="65"/>
  <c r="I124" i="65"/>
  <c r="H124" i="65"/>
  <c r="G124" i="65"/>
  <c r="F124" i="65"/>
  <c r="E124" i="65"/>
  <c r="DU123" i="65"/>
  <c r="DT123" i="65"/>
  <c r="DS123" i="65"/>
  <c r="DR123" i="65"/>
  <c r="DQ123" i="65"/>
  <c r="DP123" i="65"/>
  <c r="DO123" i="65"/>
  <c r="DN123" i="65"/>
  <c r="DM123" i="65"/>
  <c r="DL123" i="65"/>
  <c r="DK123" i="65"/>
  <c r="DJ123" i="65"/>
  <c r="DI123" i="65"/>
  <c r="DH123" i="65"/>
  <c r="DG123" i="65"/>
  <c r="DF123" i="65"/>
  <c r="DE123" i="65"/>
  <c r="DD123" i="65"/>
  <c r="DC123" i="65"/>
  <c r="DB123" i="65"/>
  <c r="DA123" i="65"/>
  <c r="CZ123" i="65"/>
  <c r="CY123" i="65"/>
  <c r="CX123" i="65"/>
  <c r="CW123" i="65"/>
  <c r="CV123" i="65"/>
  <c r="CU123" i="65"/>
  <c r="CT123" i="65"/>
  <c r="CS123" i="65"/>
  <c r="CR123" i="65"/>
  <c r="CQ123" i="65"/>
  <c r="CP123" i="65"/>
  <c r="CO123" i="65"/>
  <c r="CN123" i="65"/>
  <c r="CM123" i="65"/>
  <c r="CL123" i="65"/>
  <c r="CK123" i="65"/>
  <c r="CJ123" i="65"/>
  <c r="CI123" i="65"/>
  <c r="CH123" i="65"/>
  <c r="CG123" i="65"/>
  <c r="CF123" i="65"/>
  <c r="CE123" i="65"/>
  <c r="CD123" i="65"/>
  <c r="CC123" i="65"/>
  <c r="CB123" i="65"/>
  <c r="CA123" i="65"/>
  <c r="BZ123" i="65"/>
  <c r="BY123" i="65"/>
  <c r="BX123" i="65"/>
  <c r="BW123" i="65"/>
  <c r="BV123" i="65"/>
  <c r="BU123" i="65"/>
  <c r="BT123" i="65"/>
  <c r="BS123" i="65"/>
  <c r="BR123" i="65"/>
  <c r="BQ123" i="65"/>
  <c r="BP123" i="65"/>
  <c r="BO123" i="65"/>
  <c r="BN123" i="65"/>
  <c r="BM123" i="65"/>
  <c r="BL123" i="65"/>
  <c r="BK123" i="65"/>
  <c r="BJ123" i="65"/>
  <c r="BI123" i="65"/>
  <c r="BH123" i="65"/>
  <c r="BG123" i="65"/>
  <c r="BF123" i="65"/>
  <c r="BE123" i="65"/>
  <c r="BD123" i="65"/>
  <c r="BC123" i="65"/>
  <c r="BB123" i="65"/>
  <c r="BA123" i="65"/>
  <c r="AZ123" i="65"/>
  <c r="AY123" i="65"/>
  <c r="AX123" i="65"/>
  <c r="AW123" i="65"/>
  <c r="AV123" i="65"/>
  <c r="ER123" i="65" s="1"/>
  <c r="AU123" i="65"/>
  <c r="EQ123" i="65" s="1"/>
  <c r="AT123" i="65"/>
  <c r="EP123" i="65" s="1"/>
  <c r="AS123" i="65"/>
  <c r="EO123" i="65" s="1"/>
  <c r="AR123" i="65"/>
  <c r="EN123" i="65" s="1"/>
  <c r="AQ123" i="65"/>
  <c r="AP123" i="65"/>
  <c r="AO123" i="65"/>
  <c r="AN123" i="65"/>
  <c r="AM123" i="65"/>
  <c r="AL123" i="65"/>
  <c r="EH123" i="65" s="1"/>
  <c r="AK123" i="65"/>
  <c r="AJ123" i="65"/>
  <c r="AI123" i="65"/>
  <c r="AH123" i="65"/>
  <c r="AG123" i="65"/>
  <c r="AF123" i="65"/>
  <c r="AE123" i="65"/>
  <c r="AD123" i="65"/>
  <c r="AC123" i="65"/>
  <c r="AB123" i="65"/>
  <c r="Z123" i="65"/>
  <c r="Y123" i="65"/>
  <c r="X123" i="65"/>
  <c r="W123" i="65"/>
  <c r="V123" i="65"/>
  <c r="U123" i="65"/>
  <c r="T123" i="65"/>
  <c r="S123" i="65"/>
  <c r="R123" i="65"/>
  <c r="Q123" i="65"/>
  <c r="O123" i="65"/>
  <c r="N123" i="65"/>
  <c r="M123" i="65"/>
  <c r="L123" i="65"/>
  <c r="K123" i="65"/>
  <c r="J123" i="65"/>
  <c r="I123" i="65"/>
  <c r="H123" i="65"/>
  <c r="G123" i="65"/>
  <c r="F123" i="65"/>
  <c r="E123" i="65"/>
  <c r="DU122" i="65"/>
  <c r="DT122" i="65"/>
  <c r="DS122" i="65"/>
  <c r="DR122" i="65"/>
  <c r="DQ122" i="65"/>
  <c r="DP122" i="65"/>
  <c r="DO122" i="65"/>
  <c r="DN122" i="65"/>
  <c r="DM122" i="65"/>
  <c r="DL122" i="65"/>
  <c r="DK122" i="65"/>
  <c r="DJ122" i="65"/>
  <c r="DI122" i="65"/>
  <c r="DH122" i="65"/>
  <c r="DG122" i="65"/>
  <c r="DF122" i="65"/>
  <c r="DE122" i="65"/>
  <c r="DD122" i="65"/>
  <c r="DC122" i="65"/>
  <c r="DB122" i="65"/>
  <c r="DA122" i="65"/>
  <c r="CZ122" i="65"/>
  <c r="CY122" i="65"/>
  <c r="CX122" i="65"/>
  <c r="CW122" i="65"/>
  <c r="CV122" i="65"/>
  <c r="CU122" i="65"/>
  <c r="CT122" i="65"/>
  <c r="CS122" i="65"/>
  <c r="CR122" i="65"/>
  <c r="CQ122" i="65"/>
  <c r="CP122" i="65"/>
  <c r="CO122" i="65"/>
  <c r="CN122" i="65"/>
  <c r="CM122" i="65"/>
  <c r="CL122" i="65"/>
  <c r="CK122" i="65"/>
  <c r="CJ122" i="65"/>
  <c r="CI122" i="65"/>
  <c r="CH122" i="65"/>
  <c r="CG122" i="65"/>
  <c r="CF122" i="65"/>
  <c r="CE122" i="65"/>
  <c r="CD122" i="65"/>
  <c r="CC122" i="65"/>
  <c r="CB122" i="65"/>
  <c r="CA122" i="65"/>
  <c r="BZ122" i="65"/>
  <c r="BY122" i="65"/>
  <c r="BX122" i="65"/>
  <c r="BW122" i="65"/>
  <c r="BV122" i="65"/>
  <c r="BU122" i="65"/>
  <c r="BT122" i="65"/>
  <c r="BS122" i="65"/>
  <c r="BR122" i="65"/>
  <c r="BQ122" i="65"/>
  <c r="BP122" i="65"/>
  <c r="BO122" i="65"/>
  <c r="BN122" i="65"/>
  <c r="BM122" i="65"/>
  <c r="BL122" i="65"/>
  <c r="BK122" i="65"/>
  <c r="BJ122" i="65"/>
  <c r="BI122" i="65"/>
  <c r="BH122" i="65"/>
  <c r="BG122" i="65"/>
  <c r="BF122" i="65"/>
  <c r="BE122" i="65"/>
  <c r="BD122" i="65"/>
  <c r="BC122" i="65"/>
  <c r="BB122" i="65"/>
  <c r="BA122" i="65"/>
  <c r="AZ122" i="65"/>
  <c r="AY122" i="65"/>
  <c r="AX122" i="65"/>
  <c r="AW122" i="65"/>
  <c r="AV122" i="65"/>
  <c r="AU122" i="65"/>
  <c r="EQ122" i="65" s="1"/>
  <c r="AT122" i="65"/>
  <c r="EP122" i="65" s="1"/>
  <c r="AS122" i="65"/>
  <c r="EO122" i="65" s="1"/>
  <c r="AR122" i="65"/>
  <c r="EN122" i="65" s="1"/>
  <c r="AQ122" i="65"/>
  <c r="EM122" i="65" s="1"/>
  <c r="AP122" i="65"/>
  <c r="AO122" i="65"/>
  <c r="AN122" i="65"/>
  <c r="AM122" i="65"/>
  <c r="EI122" i="65" s="1"/>
  <c r="AL122" i="65"/>
  <c r="EH122" i="65" s="1"/>
  <c r="AK122" i="65"/>
  <c r="AJ122" i="65"/>
  <c r="AI122" i="65"/>
  <c r="AH122" i="65"/>
  <c r="AG122" i="65"/>
  <c r="AF122" i="65"/>
  <c r="AE122" i="65"/>
  <c r="AD122" i="65"/>
  <c r="AC122" i="65"/>
  <c r="AB122" i="65"/>
  <c r="Z122" i="65"/>
  <c r="Y122" i="65"/>
  <c r="X122" i="65"/>
  <c r="W122" i="65"/>
  <c r="V122" i="65"/>
  <c r="U122" i="65"/>
  <c r="T122" i="65"/>
  <c r="S122" i="65"/>
  <c r="R122" i="65"/>
  <c r="Q122" i="65"/>
  <c r="O122" i="65"/>
  <c r="N122" i="65"/>
  <c r="M122" i="65"/>
  <c r="L122" i="65"/>
  <c r="K122" i="65"/>
  <c r="J122" i="65"/>
  <c r="I122" i="65"/>
  <c r="H122" i="65"/>
  <c r="G122" i="65"/>
  <c r="F122" i="65"/>
  <c r="E122" i="65"/>
  <c r="DU121" i="65"/>
  <c r="DT121" i="65"/>
  <c r="DS121" i="65"/>
  <c r="DR121" i="65"/>
  <c r="DQ121" i="65"/>
  <c r="DP121" i="65"/>
  <c r="DO121" i="65"/>
  <c r="DN121" i="65"/>
  <c r="DM121" i="65"/>
  <c r="DL121" i="65"/>
  <c r="DK121" i="65"/>
  <c r="DJ121" i="65"/>
  <c r="DI121" i="65"/>
  <c r="DH121" i="65"/>
  <c r="DG121" i="65"/>
  <c r="DF121" i="65"/>
  <c r="DE121" i="65"/>
  <c r="DD121" i="65"/>
  <c r="DC121" i="65"/>
  <c r="DB121" i="65"/>
  <c r="DA121" i="65"/>
  <c r="CZ121" i="65"/>
  <c r="CY121" i="65"/>
  <c r="CX121" i="65"/>
  <c r="CW121" i="65"/>
  <c r="CV121" i="65"/>
  <c r="CU121" i="65"/>
  <c r="CT121" i="65"/>
  <c r="CS121" i="65"/>
  <c r="CR121" i="65"/>
  <c r="CQ121" i="65"/>
  <c r="CP121" i="65"/>
  <c r="CO121" i="65"/>
  <c r="CN121" i="65"/>
  <c r="CM121" i="65"/>
  <c r="CL121" i="65"/>
  <c r="CK121" i="65"/>
  <c r="CJ121" i="65"/>
  <c r="CI121" i="65"/>
  <c r="CH121" i="65"/>
  <c r="CG121" i="65"/>
  <c r="CF121" i="65"/>
  <c r="CE121" i="65"/>
  <c r="CD121" i="65"/>
  <c r="CC121" i="65"/>
  <c r="CB121" i="65"/>
  <c r="CA121" i="65"/>
  <c r="BZ121" i="65"/>
  <c r="BY121" i="65"/>
  <c r="BX121" i="65"/>
  <c r="BW121" i="65"/>
  <c r="BV121" i="65"/>
  <c r="BU121" i="65"/>
  <c r="BT121" i="65"/>
  <c r="BS121" i="65"/>
  <c r="BR121" i="65"/>
  <c r="BQ121" i="65"/>
  <c r="BP121" i="65"/>
  <c r="BO121" i="65"/>
  <c r="BN121" i="65"/>
  <c r="BM121" i="65"/>
  <c r="BL121" i="65"/>
  <c r="BK121" i="65"/>
  <c r="BJ121" i="65"/>
  <c r="BI121" i="65"/>
  <c r="BH121" i="65"/>
  <c r="BG121" i="65"/>
  <c r="BF121" i="65"/>
  <c r="BE121" i="65"/>
  <c r="BD121" i="65"/>
  <c r="BC121" i="65"/>
  <c r="BB121" i="65"/>
  <c r="BA121" i="65"/>
  <c r="AZ121" i="65"/>
  <c r="AY121" i="65"/>
  <c r="AX121" i="65"/>
  <c r="AW121" i="65"/>
  <c r="AV121" i="65"/>
  <c r="AU121" i="65"/>
  <c r="AT121" i="65"/>
  <c r="EP121" i="65" s="1"/>
  <c r="AS121" i="65"/>
  <c r="EO121" i="65" s="1"/>
  <c r="AR121" i="65"/>
  <c r="EN121" i="65" s="1"/>
  <c r="AQ121" i="65"/>
  <c r="EM121" i="65" s="1"/>
  <c r="AP121" i="65"/>
  <c r="EL121" i="65" s="1"/>
  <c r="AO121" i="65"/>
  <c r="AN121" i="65"/>
  <c r="AM121" i="65"/>
  <c r="AL121" i="65"/>
  <c r="AK121" i="65"/>
  <c r="AJ121" i="65"/>
  <c r="AI121" i="65"/>
  <c r="AH121" i="65"/>
  <c r="AG121" i="65"/>
  <c r="AF121" i="65"/>
  <c r="AE121" i="65"/>
  <c r="AD121" i="65"/>
  <c r="AC121" i="65"/>
  <c r="AB121" i="65"/>
  <c r="Z121" i="65"/>
  <c r="Y121" i="65"/>
  <c r="X121" i="65"/>
  <c r="W121" i="65"/>
  <c r="V121" i="65"/>
  <c r="U121" i="65"/>
  <c r="T121" i="65"/>
  <c r="S121" i="65"/>
  <c r="R121" i="65"/>
  <c r="Q121" i="65"/>
  <c r="O121" i="65"/>
  <c r="N121" i="65"/>
  <c r="M121" i="65"/>
  <c r="L121" i="65"/>
  <c r="K121" i="65"/>
  <c r="J121" i="65"/>
  <c r="I121" i="65"/>
  <c r="H121" i="65"/>
  <c r="G121" i="65"/>
  <c r="F121" i="65"/>
  <c r="E121" i="65"/>
  <c r="DU120" i="65"/>
  <c r="DT120" i="65"/>
  <c r="DS120" i="65"/>
  <c r="DR120" i="65"/>
  <c r="DQ120" i="65"/>
  <c r="DP120" i="65"/>
  <c r="DO120" i="65"/>
  <c r="DN120" i="65"/>
  <c r="DM120" i="65"/>
  <c r="DL120" i="65"/>
  <c r="DK120" i="65"/>
  <c r="DJ120" i="65"/>
  <c r="DI120" i="65"/>
  <c r="DH120" i="65"/>
  <c r="DG120" i="65"/>
  <c r="DF120" i="65"/>
  <c r="DE120" i="65"/>
  <c r="DD120" i="65"/>
  <c r="DC120" i="65"/>
  <c r="DB120" i="65"/>
  <c r="DA120" i="65"/>
  <c r="CZ120" i="65"/>
  <c r="CY120" i="65"/>
  <c r="CX120" i="65"/>
  <c r="CW120" i="65"/>
  <c r="CV120" i="65"/>
  <c r="CU120" i="65"/>
  <c r="CT120" i="65"/>
  <c r="CS120" i="65"/>
  <c r="CR120" i="65"/>
  <c r="CQ120" i="65"/>
  <c r="CP120" i="65"/>
  <c r="CO120" i="65"/>
  <c r="CN120" i="65"/>
  <c r="CM120" i="65"/>
  <c r="CL120" i="65"/>
  <c r="CK120" i="65"/>
  <c r="CJ120" i="65"/>
  <c r="CI120" i="65"/>
  <c r="CH120" i="65"/>
  <c r="CG120" i="65"/>
  <c r="CF120" i="65"/>
  <c r="CE120" i="65"/>
  <c r="CD120" i="65"/>
  <c r="CC120" i="65"/>
  <c r="CB120" i="65"/>
  <c r="CA120" i="65"/>
  <c r="BZ120" i="65"/>
  <c r="BY120" i="65"/>
  <c r="BX120" i="65"/>
  <c r="BW120" i="65"/>
  <c r="BV120" i="65"/>
  <c r="BU120" i="65"/>
  <c r="BT120" i="65"/>
  <c r="BS120" i="65"/>
  <c r="BR120" i="65"/>
  <c r="BQ120" i="65"/>
  <c r="BP120" i="65"/>
  <c r="BO120" i="65"/>
  <c r="BN120" i="65"/>
  <c r="BM120" i="65"/>
  <c r="BL120" i="65"/>
  <c r="BK120" i="65"/>
  <c r="BJ120" i="65"/>
  <c r="BI120" i="65"/>
  <c r="BH120" i="65"/>
  <c r="BG120" i="65"/>
  <c r="BF120" i="65"/>
  <c r="BE120" i="65"/>
  <c r="BD120" i="65"/>
  <c r="BC120" i="65"/>
  <c r="BB120" i="65"/>
  <c r="BA120" i="65"/>
  <c r="AZ120" i="65"/>
  <c r="AY120" i="65"/>
  <c r="AX120" i="65"/>
  <c r="AW120" i="65"/>
  <c r="AV120" i="65"/>
  <c r="ER120" i="65" s="1"/>
  <c r="AU120" i="65"/>
  <c r="AT120" i="65"/>
  <c r="EP120" i="65" s="1"/>
  <c r="AS120" i="65"/>
  <c r="EO120" i="65" s="1"/>
  <c r="AR120" i="65"/>
  <c r="EN120" i="65" s="1"/>
  <c r="AQ120" i="65"/>
  <c r="EM120" i="65" s="1"/>
  <c r="AP120" i="65"/>
  <c r="AO120" i="65"/>
  <c r="AN120" i="65"/>
  <c r="AM120" i="65"/>
  <c r="AL120" i="65"/>
  <c r="AK120" i="65"/>
  <c r="AJ120" i="65"/>
  <c r="AI120" i="65"/>
  <c r="AH120" i="65"/>
  <c r="AG120" i="65"/>
  <c r="AF120" i="65"/>
  <c r="AE120" i="65"/>
  <c r="AD120" i="65"/>
  <c r="AC120" i="65"/>
  <c r="AB120" i="65"/>
  <c r="Z120" i="65"/>
  <c r="Y120" i="65"/>
  <c r="X120" i="65"/>
  <c r="W120" i="65"/>
  <c r="V120" i="65"/>
  <c r="U120" i="65"/>
  <c r="T120" i="65"/>
  <c r="S120" i="65"/>
  <c r="R120" i="65"/>
  <c r="Q120" i="65"/>
  <c r="O120" i="65"/>
  <c r="N120" i="65"/>
  <c r="M120" i="65"/>
  <c r="L120" i="65"/>
  <c r="K120" i="65"/>
  <c r="J120" i="65"/>
  <c r="I120" i="65"/>
  <c r="H120" i="65"/>
  <c r="G120" i="65"/>
  <c r="F120" i="65"/>
  <c r="E120" i="65"/>
  <c r="DU119" i="65"/>
  <c r="DT119" i="65"/>
  <c r="DS119" i="65"/>
  <c r="DR119" i="65"/>
  <c r="DQ119" i="65"/>
  <c r="DP119" i="65"/>
  <c r="DO119" i="65"/>
  <c r="DN119" i="65"/>
  <c r="DM119" i="65"/>
  <c r="DL119" i="65"/>
  <c r="DK119" i="65"/>
  <c r="DJ119" i="65"/>
  <c r="DI119" i="65"/>
  <c r="DH119" i="65"/>
  <c r="DG119" i="65"/>
  <c r="DF119" i="65"/>
  <c r="DE119" i="65"/>
  <c r="DD119" i="65"/>
  <c r="DC119" i="65"/>
  <c r="DB119" i="65"/>
  <c r="DA119" i="65"/>
  <c r="CZ119" i="65"/>
  <c r="CY119" i="65"/>
  <c r="CX119" i="65"/>
  <c r="CW119" i="65"/>
  <c r="CV119" i="65"/>
  <c r="CU119" i="65"/>
  <c r="CT119" i="65"/>
  <c r="CS119" i="65"/>
  <c r="CR119" i="65"/>
  <c r="CQ119" i="65"/>
  <c r="CP119" i="65"/>
  <c r="CO119" i="65"/>
  <c r="CN119" i="65"/>
  <c r="CM119" i="65"/>
  <c r="CL119" i="65"/>
  <c r="CK119" i="65"/>
  <c r="CJ119" i="65"/>
  <c r="CI119" i="65"/>
  <c r="CH119" i="65"/>
  <c r="CG119" i="65"/>
  <c r="CF119" i="65"/>
  <c r="CE119" i="65"/>
  <c r="CD119" i="65"/>
  <c r="CC119" i="65"/>
  <c r="CB119" i="65"/>
  <c r="CA119" i="65"/>
  <c r="BZ119" i="65"/>
  <c r="BY119" i="65"/>
  <c r="BX119" i="65"/>
  <c r="BW119" i="65"/>
  <c r="BV119" i="65"/>
  <c r="BU119" i="65"/>
  <c r="BT119" i="65"/>
  <c r="BS119" i="65"/>
  <c r="BR119" i="65"/>
  <c r="BQ119" i="65"/>
  <c r="BP119" i="65"/>
  <c r="BO119" i="65"/>
  <c r="BN119" i="65"/>
  <c r="BM119" i="65"/>
  <c r="BL119" i="65"/>
  <c r="BK119" i="65"/>
  <c r="BJ119" i="65"/>
  <c r="BI119" i="65"/>
  <c r="BH119" i="65"/>
  <c r="BG119" i="65"/>
  <c r="BF119" i="65"/>
  <c r="BE119" i="65"/>
  <c r="BD119" i="65"/>
  <c r="BC119" i="65"/>
  <c r="BB119" i="65"/>
  <c r="BA119" i="65"/>
  <c r="AZ119" i="65"/>
  <c r="AY119" i="65"/>
  <c r="AX119" i="65"/>
  <c r="AW119" i="65"/>
  <c r="AV119" i="65"/>
  <c r="AU119" i="65"/>
  <c r="AT119" i="65"/>
  <c r="EP119" i="65" s="1"/>
  <c r="AS119" i="65"/>
  <c r="AR119" i="65"/>
  <c r="AQ119" i="65"/>
  <c r="AP119" i="65"/>
  <c r="EL119" i="65" s="1"/>
  <c r="AO119" i="65"/>
  <c r="EK119" i="65" s="1"/>
  <c r="AN119" i="65"/>
  <c r="AM119" i="65"/>
  <c r="AL119" i="65"/>
  <c r="AK119" i="65"/>
  <c r="AJ119" i="65"/>
  <c r="AI119" i="65"/>
  <c r="AH119" i="65"/>
  <c r="AG119" i="65"/>
  <c r="AF119" i="65"/>
  <c r="AE119" i="65"/>
  <c r="AD119" i="65"/>
  <c r="AC119" i="65"/>
  <c r="AB119" i="65"/>
  <c r="Z119" i="65"/>
  <c r="Y119" i="65"/>
  <c r="X119" i="65"/>
  <c r="W119" i="65"/>
  <c r="V119" i="65"/>
  <c r="U119" i="65"/>
  <c r="T119" i="65"/>
  <c r="S119" i="65"/>
  <c r="R119" i="65"/>
  <c r="Q119" i="65"/>
  <c r="O119" i="65"/>
  <c r="N119" i="65"/>
  <c r="M119" i="65"/>
  <c r="L119" i="65"/>
  <c r="K119" i="65"/>
  <c r="J119" i="65"/>
  <c r="I119" i="65"/>
  <c r="H119" i="65"/>
  <c r="G119" i="65"/>
  <c r="F119" i="65"/>
  <c r="E119" i="65"/>
  <c r="DU118" i="65"/>
  <c r="DT118" i="65"/>
  <c r="DS118" i="65"/>
  <c r="DR118" i="65"/>
  <c r="DQ118" i="65"/>
  <c r="DP118" i="65"/>
  <c r="DO118" i="65"/>
  <c r="DN118" i="65"/>
  <c r="DM118" i="65"/>
  <c r="DL118" i="65"/>
  <c r="DK118" i="65"/>
  <c r="DJ118" i="65"/>
  <c r="DI118" i="65"/>
  <c r="DH118" i="65"/>
  <c r="DG118" i="65"/>
  <c r="DF118" i="65"/>
  <c r="DE118" i="65"/>
  <c r="DD118" i="65"/>
  <c r="DC118" i="65"/>
  <c r="DB118" i="65"/>
  <c r="DA118" i="65"/>
  <c r="CZ118" i="65"/>
  <c r="CY118" i="65"/>
  <c r="CX118" i="65"/>
  <c r="CW118" i="65"/>
  <c r="CV118" i="65"/>
  <c r="CU118" i="65"/>
  <c r="CT118" i="65"/>
  <c r="CS118" i="65"/>
  <c r="CR118" i="65"/>
  <c r="CQ118" i="65"/>
  <c r="CP118" i="65"/>
  <c r="CO118" i="65"/>
  <c r="CN118" i="65"/>
  <c r="CM118" i="65"/>
  <c r="CL118" i="65"/>
  <c r="CK118" i="65"/>
  <c r="CJ118" i="65"/>
  <c r="CI118" i="65"/>
  <c r="CH118" i="65"/>
  <c r="CG118" i="65"/>
  <c r="CF118" i="65"/>
  <c r="CE118" i="65"/>
  <c r="CD118" i="65"/>
  <c r="CC118" i="65"/>
  <c r="CB118" i="65"/>
  <c r="CA118" i="65"/>
  <c r="BZ118" i="65"/>
  <c r="BY118" i="65"/>
  <c r="BX118" i="65"/>
  <c r="BW118" i="65"/>
  <c r="BV118" i="65"/>
  <c r="BU118" i="65"/>
  <c r="BT118" i="65"/>
  <c r="BS118" i="65"/>
  <c r="BR118" i="65"/>
  <c r="BQ118" i="65"/>
  <c r="BP118" i="65"/>
  <c r="BO118" i="65"/>
  <c r="BN118" i="65"/>
  <c r="BM118" i="65"/>
  <c r="BL118" i="65"/>
  <c r="BK118" i="65"/>
  <c r="BJ118" i="65"/>
  <c r="BI118" i="65"/>
  <c r="BH118" i="65"/>
  <c r="BG118" i="65"/>
  <c r="BF118" i="65"/>
  <c r="BE118" i="65"/>
  <c r="BD118" i="65"/>
  <c r="BC118" i="65"/>
  <c r="BB118" i="65"/>
  <c r="BA118" i="65"/>
  <c r="AZ118" i="65"/>
  <c r="AY118" i="65"/>
  <c r="AX118" i="65"/>
  <c r="AW118" i="65"/>
  <c r="AV118" i="65"/>
  <c r="ER118" i="65" s="1"/>
  <c r="AU118" i="65"/>
  <c r="AT118" i="65"/>
  <c r="AS118" i="65"/>
  <c r="AR118" i="65"/>
  <c r="AQ118" i="65"/>
  <c r="AP118" i="65"/>
  <c r="AO118" i="65"/>
  <c r="EK118" i="65" s="1"/>
  <c r="AN118" i="65"/>
  <c r="EJ118" i="65" s="1"/>
  <c r="AM118" i="65"/>
  <c r="EI118" i="65" s="1"/>
  <c r="AL118" i="65"/>
  <c r="AK118" i="65"/>
  <c r="AJ118" i="65"/>
  <c r="AI118" i="65"/>
  <c r="AH118" i="65"/>
  <c r="AG118" i="65"/>
  <c r="AF118" i="65"/>
  <c r="AE118" i="65"/>
  <c r="AD118" i="65"/>
  <c r="AC118" i="65"/>
  <c r="AB118" i="65"/>
  <c r="Z118" i="65"/>
  <c r="Y118" i="65"/>
  <c r="X118" i="65"/>
  <c r="W118" i="65"/>
  <c r="V118" i="65"/>
  <c r="U118" i="65"/>
  <c r="T118" i="65"/>
  <c r="S118" i="65"/>
  <c r="R118" i="65"/>
  <c r="Q118" i="65"/>
  <c r="O118" i="65"/>
  <c r="N118" i="65"/>
  <c r="M118" i="65"/>
  <c r="L118" i="65"/>
  <c r="K118" i="65"/>
  <c r="J118" i="65"/>
  <c r="I118" i="65"/>
  <c r="H118" i="65"/>
  <c r="G118" i="65"/>
  <c r="F118" i="65"/>
  <c r="E118" i="65"/>
  <c r="DU117" i="65"/>
  <c r="DT117" i="65"/>
  <c r="DS117" i="65"/>
  <c r="DR117" i="65"/>
  <c r="DQ117" i="65"/>
  <c r="DP117" i="65"/>
  <c r="DO117" i="65"/>
  <c r="DN117" i="65"/>
  <c r="DM117" i="65"/>
  <c r="DL117" i="65"/>
  <c r="DK117" i="65"/>
  <c r="DJ117" i="65"/>
  <c r="DI117" i="65"/>
  <c r="DH117" i="65"/>
  <c r="DG117" i="65"/>
  <c r="DF117" i="65"/>
  <c r="DE117" i="65"/>
  <c r="DD117" i="65"/>
  <c r="DC117" i="65"/>
  <c r="DB117" i="65"/>
  <c r="DA117" i="65"/>
  <c r="CZ117" i="65"/>
  <c r="CY117" i="65"/>
  <c r="CX117" i="65"/>
  <c r="CW117" i="65"/>
  <c r="CV117" i="65"/>
  <c r="CU117" i="65"/>
  <c r="CT117" i="65"/>
  <c r="CS117" i="65"/>
  <c r="CR117" i="65"/>
  <c r="CQ117" i="65"/>
  <c r="CP117" i="65"/>
  <c r="CO117" i="65"/>
  <c r="CN117" i="65"/>
  <c r="CM117" i="65"/>
  <c r="CL117" i="65"/>
  <c r="CK117" i="65"/>
  <c r="CJ117" i="65"/>
  <c r="CI117" i="65"/>
  <c r="CH117" i="65"/>
  <c r="CG117" i="65"/>
  <c r="CF117" i="65"/>
  <c r="CE117" i="65"/>
  <c r="CD117" i="65"/>
  <c r="CC117" i="65"/>
  <c r="CB117" i="65"/>
  <c r="CA117" i="65"/>
  <c r="BZ117" i="65"/>
  <c r="BY117" i="65"/>
  <c r="BX117" i="65"/>
  <c r="BW117" i="65"/>
  <c r="BV117" i="65"/>
  <c r="BU117" i="65"/>
  <c r="BT117" i="65"/>
  <c r="BS117" i="65"/>
  <c r="BR117" i="65"/>
  <c r="BQ117" i="65"/>
  <c r="BP117" i="65"/>
  <c r="BO117" i="65"/>
  <c r="BN117" i="65"/>
  <c r="BM117" i="65"/>
  <c r="BL117" i="65"/>
  <c r="BK117" i="65"/>
  <c r="BJ117" i="65"/>
  <c r="BI117" i="65"/>
  <c r="BH117" i="65"/>
  <c r="BG117" i="65"/>
  <c r="BF117" i="65"/>
  <c r="BE117" i="65"/>
  <c r="BD117" i="65"/>
  <c r="BC117" i="65"/>
  <c r="BB117" i="65"/>
  <c r="BA117" i="65"/>
  <c r="AZ117" i="65"/>
  <c r="AY117" i="65"/>
  <c r="AX117" i="65"/>
  <c r="AW117" i="65"/>
  <c r="AV117" i="65"/>
  <c r="ER117" i="65" s="1"/>
  <c r="AU117" i="65"/>
  <c r="EQ117" i="65" s="1"/>
  <c r="AT117" i="65"/>
  <c r="AS117" i="65"/>
  <c r="AR117" i="65"/>
  <c r="AQ117" i="65"/>
  <c r="AP117" i="65"/>
  <c r="AO117" i="65"/>
  <c r="AN117" i="65"/>
  <c r="EJ117" i="65" s="1"/>
  <c r="AM117" i="65"/>
  <c r="EI117" i="65" s="1"/>
  <c r="AL117" i="65"/>
  <c r="EH117" i="65" s="1"/>
  <c r="AK117" i="65"/>
  <c r="AJ117" i="65"/>
  <c r="AI117" i="65"/>
  <c r="AH117" i="65"/>
  <c r="AG117" i="65"/>
  <c r="AF117" i="65"/>
  <c r="AE117" i="65"/>
  <c r="AD117" i="65"/>
  <c r="AC117" i="65"/>
  <c r="AB117" i="65"/>
  <c r="Z117" i="65"/>
  <c r="Y117" i="65"/>
  <c r="X117" i="65"/>
  <c r="W117" i="65"/>
  <c r="V117" i="65"/>
  <c r="U117" i="65"/>
  <c r="T117" i="65"/>
  <c r="S117" i="65"/>
  <c r="R117" i="65"/>
  <c r="Q117" i="65"/>
  <c r="O117" i="65"/>
  <c r="N117" i="65"/>
  <c r="M117" i="65"/>
  <c r="L117" i="65"/>
  <c r="K117" i="65"/>
  <c r="J117" i="65"/>
  <c r="I117" i="65"/>
  <c r="H117" i="65"/>
  <c r="G117" i="65"/>
  <c r="F117" i="65"/>
  <c r="E117" i="65"/>
  <c r="DU116" i="65"/>
  <c r="DT116" i="65"/>
  <c r="DS116" i="65"/>
  <c r="DR116" i="65"/>
  <c r="DQ116" i="65"/>
  <c r="DP116" i="65"/>
  <c r="DO116" i="65"/>
  <c r="DN116" i="65"/>
  <c r="DM116" i="65"/>
  <c r="DL116" i="65"/>
  <c r="DK116" i="65"/>
  <c r="DJ116" i="65"/>
  <c r="DI116" i="65"/>
  <c r="DH116" i="65"/>
  <c r="DG116" i="65"/>
  <c r="DF116" i="65"/>
  <c r="DE116" i="65"/>
  <c r="DD116" i="65"/>
  <c r="DC116" i="65"/>
  <c r="DB116" i="65"/>
  <c r="DA116" i="65"/>
  <c r="CZ116" i="65"/>
  <c r="CY116" i="65"/>
  <c r="CX116" i="65"/>
  <c r="CW116" i="65"/>
  <c r="CV116" i="65"/>
  <c r="CU116" i="65"/>
  <c r="CT116" i="65"/>
  <c r="CS116" i="65"/>
  <c r="CR116" i="65"/>
  <c r="CQ116" i="65"/>
  <c r="CP116" i="65"/>
  <c r="CO116" i="65"/>
  <c r="CN116" i="65"/>
  <c r="CM116" i="65"/>
  <c r="CL116" i="65"/>
  <c r="CK116" i="65"/>
  <c r="CJ116" i="65"/>
  <c r="CI116" i="65"/>
  <c r="CH116" i="65"/>
  <c r="CG116" i="65"/>
  <c r="CF116" i="65"/>
  <c r="CE116" i="65"/>
  <c r="CD116" i="65"/>
  <c r="CC116" i="65"/>
  <c r="CB116" i="65"/>
  <c r="CA116" i="65"/>
  <c r="BZ116" i="65"/>
  <c r="BY116" i="65"/>
  <c r="BX116" i="65"/>
  <c r="BW116" i="65"/>
  <c r="BV116" i="65"/>
  <c r="BU116" i="65"/>
  <c r="BT116" i="65"/>
  <c r="BS116" i="65"/>
  <c r="BR116" i="65"/>
  <c r="BQ116" i="65"/>
  <c r="BP116" i="65"/>
  <c r="BO116" i="65"/>
  <c r="BN116" i="65"/>
  <c r="BM116" i="65"/>
  <c r="BL116" i="65"/>
  <c r="BK116" i="65"/>
  <c r="BJ116" i="65"/>
  <c r="BI116" i="65"/>
  <c r="BH116" i="65"/>
  <c r="BG116" i="65"/>
  <c r="BF116" i="65"/>
  <c r="BE116" i="65"/>
  <c r="BD116" i="65"/>
  <c r="BC116" i="65"/>
  <c r="BB116" i="65"/>
  <c r="BA116" i="65"/>
  <c r="AZ116" i="65"/>
  <c r="AY116" i="65"/>
  <c r="AX116" i="65"/>
  <c r="AW116" i="65"/>
  <c r="AV116" i="65"/>
  <c r="ER116" i="65" s="1"/>
  <c r="AU116" i="65"/>
  <c r="EQ116" i="65" s="1"/>
  <c r="AT116" i="65"/>
  <c r="EP116" i="65" s="1"/>
  <c r="AS116" i="65"/>
  <c r="AR116" i="65"/>
  <c r="AQ116" i="65"/>
  <c r="AP116" i="65"/>
  <c r="AO116" i="65"/>
  <c r="AN116" i="65"/>
  <c r="AM116" i="65"/>
  <c r="EI116" i="65" s="1"/>
  <c r="AL116" i="65"/>
  <c r="EH116" i="65" s="1"/>
  <c r="AK116" i="65"/>
  <c r="AJ116" i="65"/>
  <c r="AI116" i="65"/>
  <c r="AH116" i="65"/>
  <c r="AG116" i="65"/>
  <c r="AF116" i="65"/>
  <c r="AE116" i="65"/>
  <c r="AD116" i="65"/>
  <c r="AC116" i="65"/>
  <c r="AB116" i="65"/>
  <c r="Z116" i="65"/>
  <c r="Y116" i="65"/>
  <c r="X116" i="65"/>
  <c r="W116" i="65"/>
  <c r="V116" i="65"/>
  <c r="U116" i="65"/>
  <c r="T116" i="65"/>
  <c r="S116" i="65"/>
  <c r="R116" i="65"/>
  <c r="Q116" i="65"/>
  <c r="O116" i="65"/>
  <c r="N116" i="65"/>
  <c r="M116" i="65"/>
  <c r="L116" i="65"/>
  <c r="K116" i="65"/>
  <c r="J116" i="65"/>
  <c r="I116" i="65"/>
  <c r="H116" i="65"/>
  <c r="G116" i="65"/>
  <c r="F116" i="65"/>
  <c r="E116" i="65"/>
  <c r="DU115" i="65"/>
  <c r="DT115" i="65"/>
  <c r="DS115" i="65"/>
  <c r="DR115" i="65"/>
  <c r="DQ115" i="65"/>
  <c r="DP115" i="65"/>
  <c r="DO115" i="65"/>
  <c r="DN115" i="65"/>
  <c r="DM115" i="65"/>
  <c r="DL115" i="65"/>
  <c r="DK115" i="65"/>
  <c r="DJ115" i="65"/>
  <c r="DI115" i="65"/>
  <c r="DH115" i="65"/>
  <c r="DG115" i="65"/>
  <c r="DF115" i="65"/>
  <c r="DE115" i="65"/>
  <c r="DD115" i="65"/>
  <c r="DC115" i="65"/>
  <c r="DB115" i="65"/>
  <c r="DA115" i="65"/>
  <c r="CZ115" i="65"/>
  <c r="CY115" i="65"/>
  <c r="CX115" i="65"/>
  <c r="CW115" i="65"/>
  <c r="CV115" i="65"/>
  <c r="CU115" i="65"/>
  <c r="CT115" i="65"/>
  <c r="CS115" i="65"/>
  <c r="CR115" i="65"/>
  <c r="CQ115" i="65"/>
  <c r="CP115" i="65"/>
  <c r="CO115" i="65"/>
  <c r="CN115" i="65"/>
  <c r="CM115" i="65"/>
  <c r="CL115" i="65"/>
  <c r="CK115" i="65"/>
  <c r="CJ115" i="65"/>
  <c r="CI115" i="65"/>
  <c r="CH115" i="65"/>
  <c r="CG115" i="65"/>
  <c r="CF115" i="65"/>
  <c r="CE115" i="65"/>
  <c r="CD115" i="65"/>
  <c r="CC115" i="65"/>
  <c r="CB115" i="65"/>
  <c r="CA115" i="65"/>
  <c r="BZ115" i="65"/>
  <c r="BY115" i="65"/>
  <c r="BX115" i="65"/>
  <c r="BW115" i="65"/>
  <c r="BV115" i="65"/>
  <c r="BU115" i="65"/>
  <c r="BT115" i="65"/>
  <c r="BS115" i="65"/>
  <c r="BR115" i="65"/>
  <c r="BQ115" i="65"/>
  <c r="BP115" i="65"/>
  <c r="BO115" i="65"/>
  <c r="BN115" i="65"/>
  <c r="BM115" i="65"/>
  <c r="BL115" i="65"/>
  <c r="BK115" i="65"/>
  <c r="BJ115" i="65"/>
  <c r="BI115" i="65"/>
  <c r="BH115" i="65"/>
  <c r="BG115" i="65"/>
  <c r="BF115" i="65"/>
  <c r="BE115" i="65"/>
  <c r="BD115" i="65"/>
  <c r="BC115" i="65"/>
  <c r="BB115" i="65"/>
  <c r="BA115" i="65"/>
  <c r="AZ115" i="65"/>
  <c r="AY115" i="65"/>
  <c r="AX115" i="65"/>
  <c r="AW115" i="65"/>
  <c r="AV115" i="65"/>
  <c r="AU115" i="65"/>
  <c r="EQ115" i="65" s="1"/>
  <c r="AT115" i="65"/>
  <c r="EP115" i="65" s="1"/>
  <c r="AS115" i="65"/>
  <c r="EO115" i="65" s="1"/>
  <c r="AR115" i="65"/>
  <c r="AQ115" i="65"/>
  <c r="AP115" i="65"/>
  <c r="AO115" i="65"/>
  <c r="AN115" i="65"/>
  <c r="AM115" i="65"/>
  <c r="AL115" i="65"/>
  <c r="EH115" i="65" s="1"/>
  <c r="AK115" i="65"/>
  <c r="AJ115" i="65"/>
  <c r="AI115" i="65"/>
  <c r="AH115" i="65"/>
  <c r="AG115" i="65"/>
  <c r="AF115" i="65"/>
  <c r="AE115" i="65"/>
  <c r="AD115" i="65"/>
  <c r="AC115" i="65"/>
  <c r="AB115" i="65"/>
  <c r="Z115" i="65"/>
  <c r="Y115" i="65"/>
  <c r="X115" i="65"/>
  <c r="W115" i="65"/>
  <c r="V115" i="65"/>
  <c r="U115" i="65"/>
  <c r="T115" i="65"/>
  <c r="S115" i="65"/>
  <c r="R115" i="65"/>
  <c r="Q115" i="65"/>
  <c r="O115" i="65"/>
  <c r="N115" i="65"/>
  <c r="M115" i="65"/>
  <c r="L115" i="65"/>
  <c r="K115" i="65"/>
  <c r="J115" i="65"/>
  <c r="I115" i="65"/>
  <c r="H115" i="65"/>
  <c r="G115" i="65"/>
  <c r="F115" i="65"/>
  <c r="E115" i="65"/>
  <c r="DU114" i="65"/>
  <c r="DT114" i="65"/>
  <c r="DS114" i="65"/>
  <c r="DR114" i="65"/>
  <c r="DQ114" i="65"/>
  <c r="DP114" i="65"/>
  <c r="DO114" i="65"/>
  <c r="DN114" i="65"/>
  <c r="DM114" i="65"/>
  <c r="DL114" i="65"/>
  <c r="DK114" i="65"/>
  <c r="DJ114" i="65"/>
  <c r="DI114" i="65"/>
  <c r="DH114" i="65"/>
  <c r="DG114" i="65"/>
  <c r="DF114" i="65"/>
  <c r="DE114" i="65"/>
  <c r="DD114" i="65"/>
  <c r="DC114" i="65"/>
  <c r="DB114" i="65"/>
  <c r="DA114" i="65"/>
  <c r="CZ114" i="65"/>
  <c r="CY114" i="65"/>
  <c r="CX114" i="65"/>
  <c r="CW114" i="65"/>
  <c r="CV114" i="65"/>
  <c r="CU114" i="65"/>
  <c r="CT114" i="65"/>
  <c r="CS114" i="65"/>
  <c r="CR114" i="65"/>
  <c r="CQ114" i="65"/>
  <c r="CP114" i="65"/>
  <c r="CO114" i="65"/>
  <c r="CN114" i="65"/>
  <c r="CM114" i="65"/>
  <c r="CL114" i="65"/>
  <c r="CK114" i="65"/>
  <c r="CJ114" i="65"/>
  <c r="CI114" i="65"/>
  <c r="CH114" i="65"/>
  <c r="CG114" i="65"/>
  <c r="CF114" i="65"/>
  <c r="CE114" i="65"/>
  <c r="CD114" i="65"/>
  <c r="CC114" i="65"/>
  <c r="CB114" i="65"/>
  <c r="CA114" i="65"/>
  <c r="BZ114" i="65"/>
  <c r="BY114" i="65"/>
  <c r="BX114" i="65"/>
  <c r="BW114" i="65"/>
  <c r="BV114" i="65"/>
  <c r="BU114" i="65"/>
  <c r="BT114" i="65"/>
  <c r="BS114" i="65"/>
  <c r="BR114" i="65"/>
  <c r="BQ114" i="65"/>
  <c r="BP114" i="65"/>
  <c r="BO114" i="65"/>
  <c r="BN114" i="65"/>
  <c r="BM114" i="65"/>
  <c r="BL114" i="65"/>
  <c r="BK114" i="65"/>
  <c r="BJ114" i="65"/>
  <c r="BI114" i="65"/>
  <c r="BH114" i="65"/>
  <c r="BG114" i="65"/>
  <c r="BF114" i="65"/>
  <c r="BE114" i="65"/>
  <c r="BD114" i="65"/>
  <c r="BC114" i="65"/>
  <c r="BB114" i="65"/>
  <c r="BA114" i="65"/>
  <c r="AZ114" i="65"/>
  <c r="AY114" i="65"/>
  <c r="AX114" i="65"/>
  <c r="AW114" i="65"/>
  <c r="AV114" i="65"/>
  <c r="AU114" i="65"/>
  <c r="AT114" i="65"/>
  <c r="EP114" i="65" s="1"/>
  <c r="AS114" i="65"/>
  <c r="EO114" i="65" s="1"/>
  <c r="AR114" i="65"/>
  <c r="EN114" i="65" s="1"/>
  <c r="AQ114" i="65"/>
  <c r="AP114" i="65"/>
  <c r="AO114" i="65"/>
  <c r="AN114" i="65"/>
  <c r="AM114" i="65"/>
  <c r="AL114" i="65"/>
  <c r="AK114" i="65"/>
  <c r="AJ114" i="65"/>
  <c r="AI114" i="65"/>
  <c r="AH114" i="65"/>
  <c r="AG114" i="65"/>
  <c r="AF114" i="65"/>
  <c r="AE114" i="65"/>
  <c r="AD114" i="65"/>
  <c r="AC114" i="65"/>
  <c r="AB114" i="65"/>
  <c r="Z114" i="65"/>
  <c r="Y114" i="65"/>
  <c r="X114" i="65"/>
  <c r="W114" i="65"/>
  <c r="V114" i="65"/>
  <c r="U114" i="65"/>
  <c r="T114" i="65"/>
  <c r="S114" i="65"/>
  <c r="R114" i="65"/>
  <c r="Q114" i="65"/>
  <c r="O114" i="65"/>
  <c r="N114" i="65"/>
  <c r="M114" i="65"/>
  <c r="L114" i="65"/>
  <c r="K114" i="65"/>
  <c r="J114" i="65"/>
  <c r="I114" i="65"/>
  <c r="H114" i="65"/>
  <c r="G114" i="65"/>
  <c r="F114" i="65"/>
  <c r="E114" i="65"/>
  <c r="DU113" i="65"/>
  <c r="DT113" i="65"/>
  <c r="DS113" i="65"/>
  <c r="DR113" i="65"/>
  <c r="DQ113" i="65"/>
  <c r="DP113" i="65"/>
  <c r="DO113" i="65"/>
  <c r="DN113" i="65"/>
  <c r="DM113" i="65"/>
  <c r="DL113" i="65"/>
  <c r="DK113" i="65"/>
  <c r="DJ113" i="65"/>
  <c r="DI113" i="65"/>
  <c r="DH113" i="65"/>
  <c r="DG113" i="65"/>
  <c r="DF113" i="65"/>
  <c r="DE113" i="65"/>
  <c r="DD113" i="65"/>
  <c r="DC113" i="65"/>
  <c r="DB113" i="65"/>
  <c r="DA113" i="65"/>
  <c r="CZ113" i="65"/>
  <c r="CY113" i="65"/>
  <c r="CX113" i="65"/>
  <c r="CW113" i="65"/>
  <c r="CV113" i="65"/>
  <c r="CU113" i="65"/>
  <c r="CT113" i="65"/>
  <c r="CS113" i="65"/>
  <c r="CR113" i="65"/>
  <c r="CQ113" i="65"/>
  <c r="CP113" i="65"/>
  <c r="CO113" i="65"/>
  <c r="CN113" i="65"/>
  <c r="CM113" i="65"/>
  <c r="CL113" i="65"/>
  <c r="CK113" i="65"/>
  <c r="CJ113" i="65"/>
  <c r="CI113" i="65"/>
  <c r="CH113" i="65"/>
  <c r="CG113" i="65"/>
  <c r="CF113" i="65"/>
  <c r="CE113" i="65"/>
  <c r="CD113" i="65"/>
  <c r="CC113" i="65"/>
  <c r="CB113" i="65"/>
  <c r="CA113" i="65"/>
  <c r="BZ113" i="65"/>
  <c r="BY113" i="65"/>
  <c r="BX113" i="65"/>
  <c r="BW113" i="65"/>
  <c r="BV113" i="65"/>
  <c r="BU113" i="65"/>
  <c r="BT113" i="65"/>
  <c r="BS113" i="65"/>
  <c r="BR113" i="65"/>
  <c r="BQ113" i="65"/>
  <c r="BP113" i="65"/>
  <c r="BO113" i="65"/>
  <c r="BN113" i="65"/>
  <c r="BM113" i="65"/>
  <c r="BL113" i="65"/>
  <c r="BK113" i="65"/>
  <c r="BJ113" i="65"/>
  <c r="BI113" i="65"/>
  <c r="BH113" i="65"/>
  <c r="BG113" i="65"/>
  <c r="BF113" i="65"/>
  <c r="BE113" i="65"/>
  <c r="BD113" i="65"/>
  <c r="BC113" i="65"/>
  <c r="BB113" i="65"/>
  <c r="BA113" i="65"/>
  <c r="AZ113" i="65"/>
  <c r="AY113" i="65"/>
  <c r="AX113" i="65"/>
  <c r="AW113" i="65"/>
  <c r="AV113" i="65"/>
  <c r="AU113" i="65"/>
  <c r="AT113" i="65"/>
  <c r="AS113" i="65"/>
  <c r="EO113" i="65" s="1"/>
  <c r="AR113" i="65"/>
  <c r="EN113" i="65" s="1"/>
  <c r="AQ113" i="65"/>
  <c r="EM113" i="65" s="1"/>
  <c r="AP113" i="65"/>
  <c r="AO113" i="65"/>
  <c r="AN113" i="65"/>
  <c r="AM113" i="65"/>
  <c r="AL113" i="65"/>
  <c r="AK113" i="65"/>
  <c r="AJ113" i="65"/>
  <c r="AI113" i="65"/>
  <c r="AH113" i="65"/>
  <c r="AG113" i="65"/>
  <c r="AF113" i="65"/>
  <c r="AE113" i="65"/>
  <c r="AD113" i="65"/>
  <c r="AC113" i="65"/>
  <c r="AB113" i="65"/>
  <c r="Z113" i="65"/>
  <c r="Y113" i="65"/>
  <c r="X113" i="65"/>
  <c r="W113" i="65"/>
  <c r="V113" i="65"/>
  <c r="U113" i="65"/>
  <c r="T113" i="65"/>
  <c r="S113" i="65"/>
  <c r="R113" i="65"/>
  <c r="Q113" i="65"/>
  <c r="O113" i="65"/>
  <c r="N113" i="65"/>
  <c r="M113" i="65"/>
  <c r="L113" i="65"/>
  <c r="K113" i="65"/>
  <c r="J113" i="65"/>
  <c r="I113" i="65"/>
  <c r="H113" i="65"/>
  <c r="G113" i="65"/>
  <c r="F113" i="65"/>
  <c r="E113" i="65"/>
  <c r="DU112" i="65"/>
  <c r="DT112" i="65"/>
  <c r="DS112" i="65"/>
  <c r="DR112" i="65"/>
  <c r="DQ112" i="65"/>
  <c r="DP112" i="65"/>
  <c r="DO112" i="65"/>
  <c r="DN112" i="65"/>
  <c r="DM112" i="65"/>
  <c r="DL112" i="65"/>
  <c r="DK112" i="65"/>
  <c r="DJ112" i="65"/>
  <c r="DI112" i="65"/>
  <c r="DH112" i="65"/>
  <c r="DG112" i="65"/>
  <c r="DF112" i="65"/>
  <c r="DE112" i="65"/>
  <c r="DD112" i="65"/>
  <c r="DC112" i="65"/>
  <c r="DB112" i="65"/>
  <c r="DA112" i="65"/>
  <c r="CZ112" i="65"/>
  <c r="CY112" i="65"/>
  <c r="CX112" i="65"/>
  <c r="CW112" i="65"/>
  <c r="CV112" i="65"/>
  <c r="CU112" i="65"/>
  <c r="CT112" i="65"/>
  <c r="CS112" i="65"/>
  <c r="CR112" i="65"/>
  <c r="CQ112" i="65"/>
  <c r="CP112" i="65"/>
  <c r="CO112" i="65"/>
  <c r="CN112" i="65"/>
  <c r="CM112" i="65"/>
  <c r="CL112" i="65"/>
  <c r="CK112" i="65"/>
  <c r="CJ112" i="65"/>
  <c r="CI112" i="65"/>
  <c r="CH112" i="65"/>
  <c r="CG112" i="65"/>
  <c r="CF112" i="65"/>
  <c r="CE112" i="65"/>
  <c r="CD112" i="65"/>
  <c r="CC112" i="65"/>
  <c r="CB112" i="65"/>
  <c r="CA112" i="65"/>
  <c r="BZ112" i="65"/>
  <c r="BY112" i="65"/>
  <c r="BX112" i="65"/>
  <c r="BW112" i="65"/>
  <c r="BV112" i="65"/>
  <c r="BU112" i="65"/>
  <c r="BT112" i="65"/>
  <c r="BS112" i="65"/>
  <c r="BR112" i="65"/>
  <c r="BQ112" i="65"/>
  <c r="BP112" i="65"/>
  <c r="BO112" i="65"/>
  <c r="BN112" i="65"/>
  <c r="BM112" i="65"/>
  <c r="BL112" i="65"/>
  <c r="BK112" i="65"/>
  <c r="BJ112" i="65"/>
  <c r="BI112" i="65"/>
  <c r="BH112" i="65"/>
  <c r="BG112" i="65"/>
  <c r="BF112" i="65"/>
  <c r="BE112" i="65"/>
  <c r="BD112" i="65"/>
  <c r="BC112" i="65"/>
  <c r="BB112" i="65"/>
  <c r="BA112" i="65"/>
  <c r="AZ112" i="65"/>
  <c r="AY112" i="65"/>
  <c r="AX112" i="65"/>
  <c r="AW112" i="65"/>
  <c r="AV112" i="65"/>
  <c r="AU112" i="65"/>
  <c r="AT112" i="65"/>
  <c r="AS112" i="65"/>
  <c r="AR112" i="65"/>
  <c r="EN112" i="65" s="1"/>
  <c r="AQ112" i="65"/>
  <c r="EM112" i="65" s="1"/>
  <c r="AP112" i="65"/>
  <c r="EL112" i="65" s="1"/>
  <c r="AO112" i="65"/>
  <c r="AN112" i="65"/>
  <c r="AM112" i="65"/>
  <c r="AL112" i="65"/>
  <c r="AK112" i="65"/>
  <c r="AJ112" i="65"/>
  <c r="AI112" i="65"/>
  <c r="AH112" i="65"/>
  <c r="AG112" i="65"/>
  <c r="AF112" i="65"/>
  <c r="AE112" i="65"/>
  <c r="AD112" i="65"/>
  <c r="AC112" i="65"/>
  <c r="AB112" i="65"/>
  <c r="Z112" i="65"/>
  <c r="Y112" i="65"/>
  <c r="X112" i="65"/>
  <c r="W112" i="65"/>
  <c r="V112" i="65"/>
  <c r="U112" i="65"/>
  <c r="T112" i="65"/>
  <c r="S112" i="65"/>
  <c r="R112" i="65"/>
  <c r="Q112" i="65"/>
  <c r="O112" i="65"/>
  <c r="N112" i="65"/>
  <c r="M112" i="65"/>
  <c r="L112" i="65"/>
  <c r="K112" i="65"/>
  <c r="J112" i="65"/>
  <c r="I112" i="65"/>
  <c r="H112" i="65"/>
  <c r="G112" i="65"/>
  <c r="F112" i="65"/>
  <c r="E112" i="65"/>
  <c r="DU111" i="65"/>
  <c r="DT111" i="65"/>
  <c r="DS111" i="65"/>
  <c r="DR111" i="65"/>
  <c r="DQ111" i="65"/>
  <c r="DP111" i="65"/>
  <c r="DO111" i="65"/>
  <c r="DN111" i="65"/>
  <c r="DM111" i="65"/>
  <c r="DL111" i="65"/>
  <c r="DK111" i="65"/>
  <c r="DJ111" i="65"/>
  <c r="DI111" i="65"/>
  <c r="DH111" i="65"/>
  <c r="DG111" i="65"/>
  <c r="DF111" i="65"/>
  <c r="DE111" i="65"/>
  <c r="DD111" i="65"/>
  <c r="DC111" i="65"/>
  <c r="DB111" i="65"/>
  <c r="DA111" i="65"/>
  <c r="CZ111" i="65"/>
  <c r="CY111" i="65"/>
  <c r="CX111" i="65"/>
  <c r="CW111" i="65"/>
  <c r="CV111" i="65"/>
  <c r="CU111" i="65"/>
  <c r="CT111" i="65"/>
  <c r="CS111" i="65"/>
  <c r="CR111" i="65"/>
  <c r="CQ111" i="65"/>
  <c r="CP111" i="65"/>
  <c r="CO111" i="65"/>
  <c r="CN111" i="65"/>
  <c r="CM111" i="65"/>
  <c r="CL111" i="65"/>
  <c r="CK111" i="65"/>
  <c r="CJ111" i="65"/>
  <c r="CI111" i="65"/>
  <c r="CH111" i="65"/>
  <c r="CG111" i="65"/>
  <c r="CF111" i="65"/>
  <c r="CE111" i="65"/>
  <c r="CD111" i="65"/>
  <c r="CC111" i="65"/>
  <c r="CB111" i="65"/>
  <c r="CA111" i="65"/>
  <c r="BZ111" i="65"/>
  <c r="BY111" i="65"/>
  <c r="BX111" i="65"/>
  <c r="BW111" i="65"/>
  <c r="BV111" i="65"/>
  <c r="BU111" i="65"/>
  <c r="BT111" i="65"/>
  <c r="BS111" i="65"/>
  <c r="BR111" i="65"/>
  <c r="BQ111" i="65"/>
  <c r="BP111" i="65"/>
  <c r="BO111" i="65"/>
  <c r="BN111" i="65"/>
  <c r="BM111" i="65"/>
  <c r="BL111" i="65"/>
  <c r="BK111" i="65"/>
  <c r="BJ111" i="65"/>
  <c r="BI111" i="65"/>
  <c r="BH111" i="65"/>
  <c r="BG111" i="65"/>
  <c r="BF111" i="65"/>
  <c r="BE111" i="65"/>
  <c r="BD111" i="65"/>
  <c r="BC111" i="65"/>
  <c r="BB111" i="65"/>
  <c r="BA111" i="65"/>
  <c r="AZ111" i="65"/>
  <c r="AY111" i="65"/>
  <c r="AX111" i="65"/>
  <c r="AW111" i="65"/>
  <c r="AV111" i="65"/>
  <c r="ER111" i="65" s="1"/>
  <c r="AU111" i="65"/>
  <c r="AT111" i="65"/>
  <c r="AS111" i="65"/>
  <c r="AR111" i="65"/>
  <c r="AQ111" i="65"/>
  <c r="EM111" i="65" s="1"/>
  <c r="AP111" i="65"/>
  <c r="EL111" i="65" s="1"/>
  <c r="AO111" i="65"/>
  <c r="EK111" i="65" s="1"/>
  <c r="AN111" i="65"/>
  <c r="AM111" i="65"/>
  <c r="AL111" i="65"/>
  <c r="AK111" i="65"/>
  <c r="AJ111" i="65"/>
  <c r="AI111" i="65"/>
  <c r="AH111" i="65"/>
  <c r="AG111" i="65"/>
  <c r="AF111" i="65"/>
  <c r="AE111" i="65"/>
  <c r="AD111" i="65"/>
  <c r="AC111" i="65"/>
  <c r="AB111" i="65"/>
  <c r="Z111" i="65"/>
  <c r="Y111" i="65"/>
  <c r="X111" i="65"/>
  <c r="W111" i="65"/>
  <c r="V111" i="65"/>
  <c r="U111" i="65"/>
  <c r="T111" i="65"/>
  <c r="S111" i="65"/>
  <c r="R111" i="65"/>
  <c r="Q111" i="65"/>
  <c r="O111" i="65"/>
  <c r="N111" i="65"/>
  <c r="M111" i="65"/>
  <c r="L111" i="65"/>
  <c r="K111" i="65"/>
  <c r="J111" i="65"/>
  <c r="I111" i="65"/>
  <c r="H111" i="65"/>
  <c r="G111" i="65"/>
  <c r="F111" i="65"/>
  <c r="E111" i="65"/>
  <c r="DU110" i="65"/>
  <c r="DT110" i="65"/>
  <c r="DS110" i="65"/>
  <c r="DR110" i="65"/>
  <c r="DQ110" i="65"/>
  <c r="DP110" i="65"/>
  <c r="DO110" i="65"/>
  <c r="DN110" i="65"/>
  <c r="DM110" i="65"/>
  <c r="DL110" i="65"/>
  <c r="DK110" i="65"/>
  <c r="DJ110" i="65"/>
  <c r="DI110" i="65"/>
  <c r="DH110" i="65"/>
  <c r="DG110" i="65"/>
  <c r="DF110" i="65"/>
  <c r="DE110" i="65"/>
  <c r="DD110" i="65"/>
  <c r="DC110" i="65"/>
  <c r="DB110" i="65"/>
  <c r="DA110" i="65"/>
  <c r="CZ110" i="65"/>
  <c r="CY110" i="65"/>
  <c r="CX110" i="65"/>
  <c r="CW110" i="65"/>
  <c r="CV110" i="65"/>
  <c r="CU110" i="65"/>
  <c r="CT110" i="65"/>
  <c r="CS110" i="65"/>
  <c r="CR110" i="65"/>
  <c r="CQ110" i="65"/>
  <c r="CP110" i="65"/>
  <c r="CO110" i="65"/>
  <c r="CN110" i="65"/>
  <c r="CM110" i="65"/>
  <c r="CL110" i="65"/>
  <c r="CK110" i="65"/>
  <c r="CJ110" i="65"/>
  <c r="CI110" i="65"/>
  <c r="CH110" i="65"/>
  <c r="CG110" i="65"/>
  <c r="CF110" i="65"/>
  <c r="CE110" i="65"/>
  <c r="CD110" i="65"/>
  <c r="CC110" i="65"/>
  <c r="CB110" i="65"/>
  <c r="CA110" i="65"/>
  <c r="BZ110" i="65"/>
  <c r="BY110" i="65"/>
  <c r="BX110" i="65"/>
  <c r="BW110" i="65"/>
  <c r="BV110" i="65"/>
  <c r="BU110" i="65"/>
  <c r="BT110" i="65"/>
  <c r="BS110" i="65"/>
  <c r="BR110" i="65"/>
  <c r="BQ110" i="65"/>
  <c r="BP110" i="65"/>
  <c r="BO110" i="65"/>
  <c r="BN110" i="65"/>
  <c r="BM110" i="65"/>
  <c r="BL110" i="65"/>
  <c r="BK110" i="65"/>
  <c r="BJ110" i="65"/>
  <c r="BI110" i="65"/>
  <c r="BH110" i="65"/>
  <c r="BG110" i="65"/>
  <c r="BF110" i="65"/>
  <c r="BE110" i="65"/>
  <c r="BD110" i="65"/>
  <c r="BC110" i="65"/>
  <c r="BB110" i="65"/>
  <c r="BA110" i="65"/>
  <c r="AZ110" i="65"/>
  <c r="AY110" i="65"/>
  <c r="AX110" i="65"/>
  <c r="AW110" i="65"/>
  <c r="AV110" i="65"/>
  <c r="ER110" i="65" s="1"/>
  <c r="AU110" i="65"/>
  <c r="EQ110" i="65" s="1"/>
  <c r="AT110" i="65"/>
  <c r="AS110" i="65"/>
  <c r="AR110" i="65"/>
  <c r="AQ110" i="65"/>
  <c r="AP110" i="65"/>
  <c r="EL110" i="65" s="1"/>
  <c r="AO110" i="65"/>
  <c r="EK110" i="65" s="1"/>
  <c r="AN110" i="65"/>
  <c r="EJ110" i="65" s="1"/>
  <c r="AM110" i="65"/>
  <c r="AL110" i="65"/>
  <c r="AK110" i="65"/>
  <c r="AJ110" i="65"/>
  <c r="AI110" i="65"/>
  <c r="AH110" i="65"/>
  <c r="AG110" i="65"/>
  <c r="AF110" i="65"/>
  <c r="AE110" i="65"/>
  <c r="AD110" i="65"/>
  <c r="AC110" i="65"/>
  <c r="AB110" i="65"/>
  <c r="Z110" i="65"/>
  <c r="Y110" i="65"/>
  <c r="X110" i="65"/>
  <c r="W110" i="65"/>
  <c r="V110" i="65"/>
  <c r="U110" i="65"/>
  <c r="T110" i="65"/>
  <c r="S110" i="65"/>
  <c r="R110" i="65"/>
  <c r="Q110" i="65"/>
  <c r="O110" i="65"/>
  <c r="N110" i="65"/>
  <c r="M110" i="65"/>
  <c r="L110" i="65"/>
  <c r="K110" i="65"/>
  <c r="J110" i="65"/>
  <c r="I110" i="65"/>
  <c r="H110" i="65"/>
  <c r="G110" i="65"/>
  <c r="F110" i="65"/>
  <c r="E110" i="65"/>
  <c r="DU109" i="65"/>
  <c r="DT109" i="65"/>
  <c r="DS109" i="65"/>
  <c r="DR109" i="65"/>
  <c r="DQ109" i="65"/>
  <c r="DP109" i="65"/>
  <c r="DO109" i="65"/>
  <c r="DN109" i="65"/>
  <c r="DM109" i="65"/>
  <c r="DL109" i="65"/>
  <c r="DK109" i="65"/>
  <c r="DJ109" i="65"/>
  <c r="DI109" i="65"/>
  <c r="DH109" i="65"/>
  <c r="DG109" i="65"/>
  <c r="DF109" i="65"/>
  <c r="DE109" i="65"/>
  <c r="DD109" i="65"/>
  <c r="DC109" i="65"/>
  <c r="DB109" i="65"/>
  <c r="DA109" i="65"/>
  <c r="CZ109" i="65"/>
  <c r="CY109" i="65"/>
  <c r="CX109" i="65"/>
  <c r="CW109" i="65"/>
  <c r="CV109" i="65"/>
  <c r="CU109" i="65"/>
  <c r="CT109" i="65"/>
  <c r="CS109" i="65"/>
  <c r="CR109" i="65"/>
  <c r="CQ109" i="65"/>
  <c r="CP109" i="65"/>
  <c r="CO109" i="65"/>
  <c r="CN109" i="65"/>
  <c r="CM109" i="65"/>
  <c r="CL109" i="65"/>
  <c r="CK109" i="65"/>
  <c r="CJ109" i="65"/>
  <c r="CI109" i="65"/>
  <c r="CH109" i="65"/>
  <c r="CG109" i="65"/>
  <c r="CF109" i="65"/>
  <c r="CE109" i="65"/>
  <c r="CD109" i="65"/>
  <c r="CC109" i="65"/>
  <c r="CB109" i="65"/>
  <c r="CA109" i="65"/>
  <c r="BZ109" i="65"/>
  <c r="BY109" i="65"/>
  <c r="BX109" i="65"/>
  <c r="BW109" i="65"/>
  <c r="BV109" i="65"/>
  <c r="BU109" i="65"/>
  <c r="BT109" i="65"/>
  <c r="BS109" i="65"/>
  <c r="BR109" i="65"/>
  <c r="BQ109" i="65"/>
  <c r="BP109" i="65"/>
  <c r="BO109" i="65"/>
  <c r="BN109" i="65"/>
  <c r="BM109" i="65"/>
  <c r="BL109" i="65"/>
  <c r="BK109" i="65"/>
  <c r="BJ109" i="65"/>
  <c r="BI109" i="65"/>
  <c r="BH109" i="65"/>
  <c r="BG109" i="65"/>
  <c r="BF109" i="65"/>
  <c r="BE109" i="65"/>
  <c r="BD109" i="65"/>
  <c r="BC109" i="65"/>
  <c r="BB109" i="65"/>
  <c r="BA109" i="65"/>
  <c r="AZ109" i="65"/>
  <c r="AY109" i="65"/>
  <c r="AX109" i="65"/>
  <c r="AW109" i="65"/>
  <c r="AV109" i="65"/>
  <c r="ER109" i="65" s="1"/>
  <c r="AU109" i="65"/>
  <c r="EQ109" i="65" s="1"/>
  <c r="AT109" i="65"/>
  <c r="EP109" i="65" s="1"/>
  <c r="AS109" i="65"/>
  <c r="AR109" i="65"/>
  <c r="AQ109" i="65"/>
  <c r="AP109" i="65"/>
  <c r="AO109" i="65"/>
  <c r="EK109" i="65" s="1"/>
  <c r="AN109" i="65"/>
  <c r="EJ109" i="65" s="1"/>
  <c r="AM109" i="65"/>
  <c r="EI109" i="65" s="1"/>
  <c r="AL109" i="65"/>
  <c r="AK109" i="65"/>
  <c r="AJ109" i="65"/>
  <c r="AI109" i="65"/>
  <c r="AH109" i="65"/>
  <c r="AG109" i="65"/>
  <c r="AF109" i="65"/>
  <c r="AE109" i="65"/>
  <c r="AD109" i="65"/>
  <c r="AC109" i="65"/>
  <c r="AB109" i="65"/>
  <c r="Z109" i="65"/>
  <c r="Y109" i="65"/>
  <c r="X109" i="65"/>
  <c r="W109" i="65"/>
  <c r="V109" i="65"/>
  <c r="U109" i="65"/>
  <c r="T109" i="65"/>
  <c r="S109" i="65"/>
  <c r="R109" i="65"/>
  <c r="Q109" i="65"/>
  <c r="O109" i="65"/>
  <c r="N109" i="65"/>
  <c r="M109" i="65"/>
  <c r="L109" i="65"/>
  <c r="K109" i="65"/>
  <c r="J109" i="65"/>
  <c r="I109" i="65"/>
  <c r="H109" i="65"/>
  <c r="G109" i="65"/>
  <c r="F109" i="65"/>
  <c r="E109" i="65"/>
  <c r="DU108" i="65"/>
  <c r="DT108" i="65"/>
  <c r="DS108" i="65"/>
  <c r="DR108" i="65"/>
  <c r="DQ108" i="65"/>
  <c r="DP108" i="65"/>
  <c r="DO108" i="65"/>
  <c r="DN108" i="65"/>
  <c r="DM108" i="65"/>
  <c r="DL108" i="65"/>
  <c r="DK108" i="65"/>
  <c r="DJ108" i="65"/>
  <c r="DI108" i="65"/>
  <c r="DH108" i="65"/>
  <c r="DG108" i="65"/>
  <c r="DF108" i="65"/>
  <c r="DE108" i="65"/>
  <c r="DD108" i="65"/>
  <c r="DC108" i="65"/>
  <c r="DB108" i="65"/>
  <c r="DA108" i="65"/>
  <c r="CZ108" i="65"/>
  <c r="CY108" i="65"/>
  <c r="CX108" i="65"/>
  <c r="CW108" i="65"/>
  <c r="CV108" i="65"/>
  <c r="CU108" i="65"/>
  <c r="CT108" i="65"/>
  <c r="CS108" i="65"/>
  <c r="CR108" i="65"/>
  <c r="CQ108" i="65"/>
  <c r="CP108" i="65"/>
  <c r="CO108" i="65"/>
  <c r="CN108" i="65"/>
  <c r="CM108" i="65"/>
  <c r="CL108" i="65"/>
  <c r="CK108" i="65"/>
  <c r="CJ108" i="65"/>
  <c r="CI108" i="65"/>
  <c r="CH108" i="65"/>
  <c r="CG108" i="65"/>
  <c r="CF108" i="65"/>
  <c r="CE108" i="65"/>
  <c r="CD108" i="65"/>
  <c r="CC108" i="65"/>
  <c r="CB108" i="65"/>
  <c r="CA108" i="65"/>
  <c r="BZ108" i="65"/>
  <c r="BY108" i="65"/>
  <c r="BX108" i="65"/>
  <c r="BW108" i="65"/>
  <c r="BV108" i="65"/>
  <c r="BU108" i="65"/>
  <c r="BT108" i="65"/>
  <c r="BS108" i="65"/>
  <c r="BR108" i="65"/>
  <c r="BQ108" i="65"/>
  <c r="BP108" i="65"/>
  <c r="BO108" i="65"/>
  <c r="BN108" i="65"/>
  <c r="BM108" i="65"/>
  <c r="BL108" i="65"/>
  <c r="BK108" i="65"/>
  <c r="BJ108" i="65"/>
  <c r="BI108" i="65"/>
  <c r="BH108" i="65"/>
  <c r="BG108" i="65"/>
  <c r="BF108" i="65"/>
  <c r="BE108" i="65"/>
  <c r="BD108" i="65"/>
  <c r="BC108" i="65"/>
  <c r="BB108" i="65"/>
  <c r="BA108" i="65"/>
  <c r="AZ108" i="65"/>
  <c r="AY108" i="65"/>
  <c r="AX108" i="65"/>
  <c r="AW108" i="65"/>
  <c r="AV108" i="65"/>
  <c r="AU108" i="65"/>
  <c r="EQ108" i="65" s="1"/>
  <c r="AT108" i="65"/>
  <c r="EP108" i="65" s="1"/>
  <c r="AS108" i="65"/>
  <c r="EO108" i="65" s="1"/>
  <c r="AR108" i="65"/>
  <c r="AQ108" i="65"/>
  <c r="AP108" i="65"/>
  <c r="AO108" i="65"/>
  <c r="AN108" i="65"/>
  <c r="EJ108" i="65" s="1"/>
  <c r="AM108" i="65"/>
  <c r="EI108" i="65" s="1"/>
  <c r="AL108" i="65"/>
  <c r="EH108" i="65" s="1"/>
  <c r="AK108" i="65"/>
  <c r="AJ108" i="65"/>
  <c r="AI108" i="65"/>
  <c r="AH108" i="65"/>
  <c r="AG108" i="65"/>
  <c r="AF108" i="65"/>
  <c r="AE108" i="65"/>
  <c r="AD108" i="65"/>
  <c r="AC108" i="65"/>
  <c r="AB108" i="65"/>
  <c r="Z108" i="65"/>
  <c r="Y108" i="65"/>
  <c r="X108" i="65"/>
  <c r="W108" i="65"/>
  <c r="V108" i="65"/>
  <c r="U108" i="65"/>
  <c r="T108" i="65"/>
  <c r="S108" i="65"/>
  <c r="R108" i="65"/>
  <c r="Q108" i="65"/>
  <c r="O108" i="65"/>
  <c r="N108" i="65"/>
  <c r="M108" i="65"/>
  <c r="L108" i="65"/>
  <c r="K108" i="65"/>
  <c r="J108" i="65"/>
  <c r="I108" i="65"/>
  <c r="H108" i="65"/>
  <c r="G108" i="65"/>
  <c r="F108" i="65"/>
  <c r="E108" i="65"/>
  <c r="DU107" i="65"/>
  <c r="DT107" i="65"/>
  <c r="DS107" i="65"/>
  <c r="DR107" i="65"/>
  <c r="DQ107" i="65"/>
  <c r="DP107" i="65"/>
  <c r="DO107" i="65"/>
  <c r="DN107" i="65"/>
  <c r="DM107" i="65"/>
  <c r="DL107" i="65"/>
  <c r="DK107" i="65"/>
  <c r="DJ107" i="65"/>
  <c r="DI107" i="65"/>
  <c r="DH107" i="65"/>
  <c r="DG107" i="65"/>
  <c r="DF107" i="65"/>
  <c r="DE107" i="65"/>
  <c r="DD107" i="65"/>
  <c r="DC107" i="65"/>
  <c r="DB107" i="65"/>
  <c r="DA107" i="65"/>
  <c r="CZ107" i="65"/>
  <c r="CY107" i="65"/>
  <c r="CX107" i="65"/>
  <c r="CW107" i="65"/>
  <c r="CV107" i="65"/>
  <c r="CU107" i="65"/>
  <c r="CT107" i="65"/>
  <c r="CS107" i="65"/>
  <c r="CR107" i="65"/>
  <c r="CQ107" i="65"/>
  <c r="CP107" i="65"/>
  <c r="CO107" i="65"/>
  <c r="CN107" i="65"/>
  <c r="CM107" i="65"/>
  <c r="CL107" i="65"/>
  <c r="CK107" i="65"/>
  <c r="CJ107" i="65"/>
  <c r="CI107" i="65"/>
  <c r="CH107" i="65"/>
  <c r="CG107" i="65"/>
  <c r="CF107" i="65"/>
  <c r="CE107" i="65"/>
  <c r="CD107" i="65"/>
  <c r="CC107" i="65"/>
  <c r="CB107" i="65"/>
  <c r="CA107" i="65"/>
  <c r="BZ107" i="65"/>
  <c r="BY107" i="65"/>
  <c r="BX107" i="65"/>
  <c r="BW107" i="65"/>
  <c r="BV107" i="65"/>
  <c r="BU107" i="65"/>
  <c r="BT107" i="65"/>
  <c r="BS107" i="65"/>
  <c r="BR107" i="65"/>
  <c r="BQ107" i="65"/>
  <c r="BP107" i="65"/>
  <c r="BO107" i="65"/>
  <c r="BN107" i="65"/>
  <c r="BM107" i="65"/>
  <c r="BL107" i="65"/>
  <c r="BK107" i="65"/>
  <c r="BJ107" i="65"/>
  <c r="BI107" i="65"/>
  <c r="BH107" i="65"/>
  <c r="BG107" i="65"/>
  <c r="BF107" i="65"/>
  <c r="BE107" i="65"/>
  <c r="BD107" i="65"/>
  <c r="BC107" i="65"/>
  <c r="BB107" i="65"/>
  <c r="BA107" i="65"/>
  <c r="AZ107" i="65"/>
  <c r="AY107" i="65"/>
  <c r="AX107" i="65"/>
  <c r="AW107" i="65"/>
  <c r="AV107" i="65"/>
  <c r="ER107" i="65" s="1"/>
  <c r="AU107" i="65"/>
  <c r="AT107" i="65"/>
  <c r="EP107" i="65" s="1"/>
  <c r="AS107" i="65"/>
  <c r="EO107" i="65" s="1"/>
  <c r="AR107" i="65"/>
  <c r="EN107" i="65" s="1"/>
  <c r="AQ107" i="65"/>
  <c r="AP107" i="65"/>
  <c r="AO107" i="65"/>
  <c r="AN107" i="65"/>
  <c r="AM107" i="65"/>
  <c r="EI107" i="65" s="1"/>
  <c r="AL107" i="65"/>
  <c r="EH107" i="65" s="1"/>
  <c r="AK107" i="65"/>
  <c r="AJ107" i="65"/>
  <c r="AI107" i="65"/>
  <c r="AH107" i="65"/>
  <c r="AG107" i="65"/>
  <c r="AF107" i="65"/>
  <c r="AE107" i="65"/>
  <c r="AD107" i="65"/>
  <c r="AC107" i="65"/>
  <c r="AB107" i="65"/>
  <c r="Z107" i="65"/>
  <c r="Y107" i="65"/>
  <c r="X107" i="65"/>
  <c r="W107" i="65"/>
  <c r="V107" i="65"/>
  <c r="U107" i="65"/>
  <c r="T107" i="65"/>
  <c r="S107" i="65"/>
  <c r="R107" i="65"/>
  <c r="Q107" i="65"/>
  <c r="O107" i="65"/>
  <c r="N107" i="65"/>
  <c r="M107" i="65"/>
  <c r="L107" i="65"/>
  <c r="K107" i="65"/>
  <c r="J107" i="65"/>
  <c r="I107" i="65"/>
  <c r="H107" i="65"/>
  <c r="G107" i="65"/>
  <c r="F107" i="65"/>
  <c r="E107" i="65"/>
  <c r="DU106" i="65"/>
  <c r="DT106" i="65"/>
  <c r="DS106" i="65"/>
  <c r="DR106" i="65"/>
  <c r="DQ106" i="65"/>
  <c r="DP106" i="65"/>
  <c r="DO106" i="65"/>
  <c r="DN106" i="65"/>
  <c r="DM106" i="65"/>
  <c r="DL106" i="65"/>
  <c r="DK106" i="65"/>
  <c r="DJ106" i="65"/>
  <c r="DI106" i="65"/>
  <c r="DH106" i="65"/>
  <c r="DG106" i="65"/>
  <c r="DF106" i="65"/>
  <c r="DE106" i="65"/>
  <c r="DD106" i="65"/>
  <c r="DC106" i="65"/>
  <c r="DB106" i="65"/>
  <c r="DA106" i="65"/>
  <c r="CZ106" i="65"/>
  <c r="CY106" i="65"/>
  <c r="CX106" i="65"/>
  <c r="CW106" i="65"/>
  <c r="CV106" i="65"/>
  <c r="CU106" i="65"/>
  <c r="CT106" i="65"/>
  <c r="CS106" i="65"/>
  <c r="CR106" i="65"/>
  <c r="CQ106" i="65"/>
  <c r="CP106" i="65"/>
  <c r="CO106" i="65"/>
  <c r="CN106" i="65"/>
  <c r="CM106" i="65"/>
  <c r="CL106" i="65"/>
  <c r="CK106" i="65"/>
  <c r="CJ106" i="65"/>
  <c r="CI106" i="65"/>
  <c r="CH106" i="65"/>
  <c r="CG106" i="65"/>
  <c r="CF106" i="65"/>
  <c r="CE106" i="65"/>
  <c r="CD106" i="65"/>
  <c r="CC106" i="65"/>
  <c r="CB106" i="65"/>
  <c r="CA106" i="65"/>
  <c r="BZ106" i="65"/>
  <c r="BY106" i="65"/>
  <c r="BX106" i="65"/>
  <c r="BW106" i="65"/>
  <c r="BV106" i="65"/>
  <c r="BU106" i="65"/>
  <c r="BT106" i="65"/>
  <c r="BS106" i="65"/>
  <c r="BR106" i="65"/>
  <c r="BQ106" i="65"/>
  <c r="BP106" i="65"/>
  <c r="BO106" i="65"/>
  <c r="BN106" i="65"/>
  <c r="BM106" i="65"/>
  <c r="BL106" i="65"/>
  <c r="BK106" i="65"/>
  <c r="BJ106" i="65"/>
  <c r="BI106" i="65"/>
  <c r="BH106" i="65"/>
  <c r="BG106" i="65"/>
  <c r="BF106" i="65"/>
  <c r="BE106" i="65"/>
  <c r="BD106" i="65"/>
  <c r="BC106" i="65"/>
  <c r="BB106" i="65"/>
  <c r="BA106" i="65"/>
  <c r="AZ106" i="65"/>
  <c r="AY106" i="65"/>
  <c r="AX106" i="65"/>
  <c r="AW106" i="65"/>
  <c r="AV106" i="65"/>
  <c r="AU106" i="65"/>
  <c r="AT106" i="65"/>
  <c r="AS106" i="65"/>
  <c r="EO106" i="65" s="1"/>
  <c r="AR106" i="65"/>
  <c r="EN106" i="65" s="1"/>
  <c r="AQ106" i="65"/>
  <c r="EM106" i="65" s="1"/>
  <c r="AP106" i="65"/>
  <c r="AO106" i="65"/>
  <c r="AN106" i="65"/>
  <c r="AM106" i="65"/>
  <c r="EI106" i="65" s="1"/>
  <c r="AL106" i="65"/>
  <c r="EH106" i="65" s="1"/>
  <c r="AK106" i="65"/>
  <c r="AJ106" i="65"/>
  <c r="AI106" i="65"/>
  <c r="AH106" i="65"/>
  <c r="AG106" i="65"/>
  <c r="AF106" i="65"/>
  <c r="AE106" i="65"/>
  <c r="AD106" i="65"/>
  <c r="AC106" i="65"/>
  <c r="AB106" i="65"/>
  <c r="Z106" i="65"/>
  <c r="Y106" i="65"/>
  <c r="X106" i="65"/>
  <c r="W106" i="65"/>
  <c r="V106" i="65"/>
  <c r="U106" i="65"/>
  <c r="T106" i="65"/>
  <c r="S106" i="65"/>
  <c r="R106" i="65"/>
  <c r="Q106" i="65"/>
  <c r="O106" i="65"/>
  <c r="N106" i="65"/>
  <c r="M106" i="65"/>
  <c r="L106" i="65"/>
  <c r="K106" i="65"/>
  <c r="J106" i="65"/>
  <c r="I106" i="65"/>
  <c r="H106" i="65"/>
  <c r="G106" i="65"/>
  <c r="F106" i="65"/>
  <c r="E106" i="65"/>
  <c r="DU105" i="65"/>
  <c r="DT105" i="65"/>
  <c r="DS105" i="65"/>
  <c r="DR105" i="65"/>
  <c r="DQ105" i="65"/>
  <c r="DP105" i="65"/>
  <c r="DO105" i="65"/>
  <c r="DN105" i="65"/>
  <c r="DM105" i="65"/>
  <c r="DL105" i="65"/>
  <c r="DK105" i="65"/>
  <c r="DJ105" i="65"/>
  <c r="DI105" i="65"/>
  <c r="DH105" i="65"/>
  <c r="DG105" i="65"/>
  <c r="DF105" i="65"/>
  <c r="DE105" i="65"/>
  <c r="DD105" i="65"/>
  <c r="DC105" i="65"/>
  <c r="DB105" i="65"/>
  <c r="DA105" i="65"/>
  <c r="CZ105" i="65"/>
  <c r="CY105" i="65"/>
  <c r="CX105" i="65"/>
  <c r="CW105" i="65"/>
  <c r="CV105" i="65"/>
  <c r="CU105" i="65"/>
  <c r="CT105" i="65"/>
  <c r="CS105" i="65"/>
  <c r="CR105" i="65"/>
  <c r="CQ105" i="65"/>
  <c r="CP105" i="65"/>
  <c r="CO105" i="65"/>
  <c r="CN105" i="65"/>
  <c r="CM105" i="65"/>
  <c r="CL105" i="65"/>
  <c r="CK105" i="65"/>
  <c r="CJ105" i="65"/>
  <c r="CI105" i="65"/>
  <c r="CH105" i="65"/>
  <c r="CG105" i="65"/>
  <c r="CF105" i="65"/>
  <c r="CE105" i="65"/>
  <c r="CD105" i="65"/>
  <c r="CC105" i="65"/>
  <c r="CB105" i="65"/>
  <c r="CA105" i="65"/>
  <c r="BZ105" i="65"/>
  <c r="BY105" i="65"/>
  <c r="BX105" i="65"/>
  <c r="BW105" i="65"/>
  <c r="BV105" i="65"/>
  <c r="BU105" i="65"/>
  <c r="BT105" i="65"/>
  <c r="BS105" i="65"/>
  <c r="BR105" i="65"/>
  <c r="BQ105" i="65"/>
  <c r="BP105" i="65"/>
  <c r="BO105" i="65"/>
  <c r="BN105" i="65"/>
  <c r="BM105" i="65"/>
  <c r="BL105" i="65"/>
  <c r="BK105" i="65"/>
  <c r="BJ105" i="65"/>
  <c r="BI105" i="65"/>
  <c r="BH105" i="65"/>
  <c r="BG105" i="65"/>
  <c r="BF105" i="65"/>
  <c r="BE105" i="65"/>
  <c r="BD105" i="65"/>
  <c r="BC105" i="65"/>
  <c r="BB105" i="65"/>
  <c r="BA105" i="65"/>
  <c r="AZ105" i="65"/>
  <c r="AY105" i="65"/>
  <c r="AX105" i="65"/>
  <c r="AW105" i="65"/>
  <c r="AV105" i="65"/>
  <c r="AU105" i="65"/>
  <c r="AT105" i="65"/>
  <c r="AS105" i="65"/>
  <c r="AR105" i="65"/>
  <c r="EN105" i="65" s="1"/>
  <c r="AQ105" i="65"/>
  <c r="EM105" i="65" s="1"/>
  <c r="AP105" i="65"/>
  <c r="EL105" i="65" s="1"/>
  <c r="AO105" i="65"/>
  <c r="AN105" i="65"/>
  <c r="AM105" i="65"/>
  <c r="AL105" i="65"/>
  <c r="EH105" i="65" s="1"/>
  <c r="AK105" i="65"/>
  <c r="AJ105" i="65"/>
  <c r="AI105" i="65"/>
  <c r="AH105" i="65"/>
  <c r="AG105" i="65"/>
  <c r="AF105" i="65"/>
  <c r="AE105" i="65"/>
  <c r="AD105" i="65"/>
  <c r="AC105" i="65"/>
  <c r="AB105" i="65"/>
  <c r="Z105" i="65"/>
  <c r="Y105" i="65"/>
  <c r="X105" i="65"/>
  <c r="W105" i="65"/>
  <c r="V105" i="65"/>
  <c r="U105" i="65"/>
  <c r="T105" i="65"/>
  <c r="S105" i="65"/>
  <c r="R105" i="65"/>
  <c r="Q105" i="65"/>
  <c r="O105" i="65"/>
  <c r="N105" i="65"/>
  <c r="M105" i="65"/>
  <c r="L105" i="65"/>
  <c r="K105" i="65"/>
  <c r="J105" i="65"/>
  <c r="I105" i="65"/>
  <c r="H105" i="65"/>
  <c r="G105" i="65"/>
  <c r="F105" i="65"/>
  <c r="E105" i="65"/>
  <c r="DU104" i="65"/>
  <c r="DT104" i="65"/>
  <c r="DS104" i="65"/>
  <c r="DR104" i="65"/>
  <c r="DQ104" i="65"/>
  <c r="DP104" i="65"/>
  <c r="DO104" i="65"/>
  <c r="DN104" i="65"/>
  <c r="DM104" i="65"/>
  <c r="DL104" i="65"/>
  <c r="DK104" i="65"/>
  <c r="DJ104" i="65"/>
  <c r="DI104" i="65"/>
  <c r="DH104" i="65"/>
  <c r="DG104" i="65"/>
  <c r="DF104" i="65"/>
  <c r="DE104" i="65"/>
  <c r="DD104" i="65"/>
  <c r="DC104" i="65"/>
  <c r="DB104" i="65"/>
  <c r="DA104" i="65"/>
  <c r="CZ104" i="65"/>
  <c r="CY104" i="65"/>
  <c r="CX104" i="65"/>
  <c r="CW104" i="65"/>
  <c r="CV104" i="65"/>
  <c r="CU104" i="65"/>
  <c r="CT104" i="65"/>
  <c r="CS104" i="65"/>
  <c r="CR104" i="65"/>
  <c r="CQ104" i="65"/>
  <c r="CP104" i="65"/>
  <c r="CO104" i="65"/>
  <c r="CN104" i="65"/>
  <c r="CM104" i="65"/>
  <c r="CL104" i="65"/>
  <c r="CK104" i="65"/>
  <c r="CJ104" i="65"/>
  <c r="CI104" i="65"/>
  <c r="CH104" i="65"/>
  <c r="CG104" i="65"/>
  <c r="CF104" i="65"/>
  <c r="CE104" i="65"/>
  <c r="CD104" i="65"/>
  <c r="CC104" i="65"/>
  <c r="CB104" i="65"/>
  <c r="CA104" i="65"/>
  <c r="BZ104" i="65"/>
  <c r="BY104" i="65"/>
  <c r="BX104" i="65"/>
  <c r="BW104" i="65"/>
  <c r="BV104" i="65"/>
  <c r="BU104" i="65"/>
  <c r="BT104" i="65"/>
  <c r="BS104" i="65"/>
  <c r="BR104" i="65"/>
  <c r="BQ104" i="65"/>
  <c r="BP104" i="65"/>
  <c r="BO104" i="65"/>
  <c r="BN104" i="65"/>
  <c r="BM104" i="65"/>
  <c r="BL104" i="65"/>
  <c r="BK104" i="65"/>
  <c r="BJ104" i="65"/>
  <c r="BI104" i="65"/>
  <c r="BH104" i="65"/>
  <c r="BG104" i="65"/>
  <c r="BF104" i="65"/>
  <c r="BE104" i="65"/>
  <c r="BD104" i="65"/>
  <c r="BC104" i="65"/>
  <c r="BB104" i="65"/>
  <c r="BA104" i="65"/>
  <c r="AZ104" i="65"/>
  <c r="AY104" i="65"/>
  <c r="AX104" i="65"/>
  <c r="AW104" i="65"/>
  <c r="AV104" i="65"/>
  <c r="AU104" i="65"/>
  <c r="AT104" i="65"/>
  <c r="EP104" i="65" s="1"/>
  <c r="AS104" i="65"/>
  <c r="EO104" i="65" s="1"/>
  <c r="AR104" i="65"/>
  <c r="AQ104" i="65"/>
  <c r="EM104" i="65" s="1"/>
  <c r="AP104" i="65"/>
  <c r="EL104" i="65" s="1"/>
  <c r="AO104" i="65"/>
  <c r="EK104" i="65" s="1"/>
  <c r="AN104" i="65"/>
  <c r="AM104" i="65"/>
  <c r="AL104" i="65"/>
  <c r="AK104" i="65"/>
  <c r="AJ104" i="65"/>
  <c r="AI104" i="65"/>
  <c r="AH104" i="65"/>
  <c r="AG104" i="65"/>
  <c r="AF104" i="65"/>
  <c r="AE104" i="65"/>
  <c r="AD104" i="65"/>
  <c r="AC104" i="65"/>
  <c r="AB104" i="65"/>
  <c r="Z104" i="65"/>
  <c r="Y104" i="65"/>
  <c r="X104" i="65"/>
  <c r="W104" i="65"/>
  <c r="V104" i="65"/>
  <c r="U104" i="65"/>
  <c r="T104" i="65"/>
  <c r="S104" i="65"/>
  <c r="R104" i="65"/>
  <c r="Q104" i="65"/>
  <c r="O104" i="65"/>
  <c r="N104" i="65"/>
  <c r="M104" i="65"/>
  <c r="L104" i="65"/>
  <c r="K104" i="65"/>
  <c r="J104" i="65"/>
  <c r="I104" i="65"/>
  <c r="H104" i="65"/>
  <c r="G104" i="65"/>
  <c r="F104" i="65"/>
  <c r="E104" i="65"/>
  <c r="DU103" i="65"/>
  <c r="DT103" i="65"/>
  <c r="DS103" i="65"/>
  <c r="DR103" i="65"/>
  <c r="DQ103" i="65"/>
  <c r="DP103" i="65"/>
  <c r="DO103" i="65"/>
  <c r="DN103" i="65"/>
  <c r="DM103" i="65"/>
  <c r="DL103" i="65"/>
  <c r="DK103" i="65"/>
  <c r="DJ103" i="65"/>
  <c r="DI103" i="65"/>
  <c r="DH103" i="65"/>
  <c r="DG103" i="65"/>
  <c r="DF103" i="65"/>
  <c r="DE103" i="65"/>
  <c r="DD103" i="65"/>
  <c r="DC103" i="65"/>
  <c r="DB103" i="65"/>
  <c r="DA103" i="65"/>
  <c r="CZ103" i="65"/>
  <c r="CY103" i="65"/>
  <c r="CX103" i="65"/>
  <c r="CW103" i="65"/>
  <c r="CV103" i="65"/>
  <c r="CU103" i="65"/>
  <c r="CT103" i="65"/>
  <c r="CS103" i="65"/>
  <c r="CR103" i="65"/>
  <c r="CQ103" i="65"/>
  <c r="CP103" i="65"/>
  <c r="CO103" i="65"/>
  <c r="CN103" i="65"/>
  <c r="CM103" i="65"/>
  <c r="CL103" i="65"/>
  <c r="CK103" i="65"/>
  <c r="CJ103" i="65"/>
  <c r="CI103" i="65"/>
  <c r="CH103" i="65"/>
  <c r="CG103" i="65"/>
  <c r="CF103" i="65"/>
  <c r="CE103" i="65"/>
  <c r="CD103" i="65"/>
  <c r="CC103" i="65"/>
  <c r="CB103" i="65"/>
  <c r="CA103" i="65"/>
  <c r="BZ103" i="65"/>
  <c r="BY103" i="65"/>
  <c r="BX103" i="65"/>
  <c r="BW103" i="65"/>
  <c r="BV103" i="65"/>
  <c r="BU103" i="65"/>
  <c r="BT103" i="65"/>
  <c r="BS103" i="65"/>
  <c r="BR103" i="65"/>
  <c r="BQ103" i="65"/>
  <c r="BP103" i="65"/>
  <c r="BO103" i="65"/>
  <c r="BN103" i="65"/>
  <c r="BM103" i="65"/>
  <c r="BL103" i="65"/>
  <c r="BK103" i="65"/>
  <c r="BJ103" i="65"/>
  <c r="BI103" i="65"/>
  <c r="BH103" i="65"/>
  <c r="BG103" i="65"/>
  <c r="BF103" i="65"/>
  <c r="BE103" i="65"/>
  <c r="BD103" i="65"/>
  <c r="BC103" i="65"/>
  <c r="BB103" i="65"/>
  <c r="BA103" i="65"/>
  <c r="AZ103" i="65"/>
  <c r="AY103" i="65"/>
  <c r="AX103" i="65"/>
  <c r="AW103" i="65"/>
  <c r="AV103" i="65"/>
  <c r="ER103" i="65" s="1"/>
  <c r="AU103" i="65"/>
  <c r="AT103" i="65"/>
  <c r="AS103" i="65"/>
  <c r="EO103" i="65" s="1"/>
  <c r="AR103" i="65"/>
  <c r="EN103" i="65" s="1"/>
  <c r="AQ103" i="65"/>
  <c r="EM103" i="65" s="1"/>
  <c r="AP103" i="65"/>
  <c r="EL103" i="65" s="1"/>
  <c r="AO103" i="65"/>
  <c r="EK103" i="65" s="1"/>
  <c r="AN103" i="65"/>
  <c r="EJ103" i="65" s="1"/>
  <c r="AM103" i="65"/>
  <c r="AL103" i="65"/>
  <c r="AK103" i="65"/>
  <c r="AJ103" i="65"/>
  <c r="AI103" i="65"/>
  <c r="AH103" i="65"/>
  <c r="AG103" i="65"/>
  <c r="AF103" i="65"/>
  <c r="AE103" i="65"/>
  <c r="AD103" i="65"/>
  <c r="AC103" i="65"/>
  <c r="AB103" i="65"/>
  <c r="Z103" i="65"/>
  <c r="Y103" i="65"/>
  <c r="X103" i="65"/>
  <c r="W103" i="65"/>
  <c r="V103" i="65"/>
  <c r="U103" i="65"/>
  <c r="T103" i="65"/>
  <c r="S103" i="65"/>
  <c r="R103" i="65"/>
  <c r="Q103" i="65"/>
  <c r="O103" i="65"/>
  <c r="N103" i="65"/>
  <c r="M103" i="65"/>
  <c r="L103" i="65"/>
  <c r="K103" i="65"/>
  <c r="J103" i="65"/>
  <c r="I103" i="65"/>
  <c r="H103" i="65"/>
  <c r="G103" i="65"/>
  <c r="F103" i="65"/>
  <c r="E103" i="65"/>
  <c r="DU102" i="65"/>
  <c r="DT102" i="65"/>
  <c r="DS102" i="65"/>
  <c r="DR102" i="65"/>
  <c r="DQ102" i="65"/>
  <c r="DP102" i="65"/>
  <c r="DO102" i="65"/>
  <c r="DN102" i="65"/>
  <c r="DM102" i="65"/>
  <c r="DL102" i="65"/>
  <c r="DK102" i="65"/>
  <c r="DJ102" i="65"/>
  <c r="DI102" i="65"/>
  <c r="DH102" i="65"/>
  <c r="DG102" i="65"/>
  <c r="DF102" i="65"/>
  <c r="DE102" i="65"/>
  <c r="DD102" i="65"/>
  <c r="DC102" i="65"/>
  <c r="DB102" i="65"/>
  <c r="DA102" i="65"/>
  <c r="CZ102" i="65"/>
  <c r="CY102" i="65"/>
  <c r="CX102" i="65"/>
  <c r="CW102" i="65"/>
  <c r="CV102" i="65"/>
  <c r="CU102" i="65"/>
  <c r="CT102" i="65"/>
  <c r="CS102" i="65"/>
  <c r="CR102" i="65"/>
  <c r="CQ102" i="65"/>
  <c r="CP102" i="65"/>
  <c r="CO102" i="65"/>
  <c r="CN102" i="65"/>
  <c r="CM102" i="65"/>
  <c r="CL102" i="65"/>
  <c r="CK102" i="65"/>
  <c r="CJ102" i="65"/>
  <c r="CI102" i="65"/>
  <c r="CH102" i="65"/>
  <c r="CG102" i="65"/>
  <c r="CF102" i="65"/>
  <c r="CE102" i="65"/>
  <c r="CD102" i="65"/>
  <c r="CC102" i="65"/>
  <c r="CB102" i="65"/>
  <c r="CA102" i="65"/>
  <c r="BZ102" i="65"/>
  <c r="BY102" i="65"/>
  <c r="BX102" i="65"/>
  <c r="BW102" i="65"/>
  <c r="BV102" i="65"/>
  <c r="BU102" i="65"/>
  <c r="BT102" i="65"/>
  <c r="BS102" i="65"/>
  <c r="BR102" i="65"/>
  <c r="BQ102" i="65"/>
  <c r="BP102" i="65"/>
  <c r="BO102" i="65"/>
  <c r="BN102" i="65"/>
  <c r="BM102" i="65"/>
  <c r="BL102" i="65"/>
  <c r="BK102" i="65"/>
  <c r="BJ102" i="65"/>
  <c r="BI102" i="65"/>
  <c r="BH102" i="65"/>
  <c r="BG102" i="65"/>
  <c r="BF102" i="65"/>
  <c r="BE102" i="65"/>
  <c r="BD102" i="65"/>
  <c r="BC102" i="65"/>
  <c r="BB102" i="65"/>
  <c r="BA102" i="65"/>
  <c r="AZ102" i="65"/>
  <c r="AY102" i="65"/>
  <c r="AX102" i="65"/>
  <c r="AW102" i="65"/>
  <c r="AV102" i="65"/>
  <c r="AU102" i="65"/>
  <c r="AT102" i="65"/>
  <c r="AS102" i="65"/>
  <c r="AR102" i="65"/>
  <c r="AQ102" i="65"/>
  <c r="AP102" i="65"/>
  <c r="AO102" i="65"/>
  <c r="EK102" i="65" s="1"/>
  <c r="AN102" i="65"/>
  <c r="AM102" i="65"/>
  <c r="EI102" i="65" s="1"/>
  <c r="AL102" i="65"/>
  <c r="AK102" i="65"/>
  <c r="AJ102" i="65"/>
  <c r="AI102" i="65"/>
  <c r="AH102" i="65"/>
  <c r="AG102" i="65"/>
  <c r="AF102" i="65"/>
  <c r="AE102" i="65"/>
  <c r="AD102" i="65"/>
  <c r="AC102" i="65"/>
  <c r="AB102" i="65"/>
  <c r="Z102" i="65"/>
  <c r="Y102" i="65"/>
  <c r="X102" i="65"/>
  <c r="W102" i="65"/>
  <c r="V102" i="65"/>
  <c r="U102" i="65"/>
  <c r="T102" i="65"/>
  <c r="S102" i="65"/>
  <c r="R102" i="65"/>
  <c r="Q102" i="65"/>
  <c r="O102" i="65"/>
  <c r="N102" i="65"/>
  <c r="M102" i="65"/>
  <c r="L102" i="65"/>
  <c r="K102" i="65"/>
  <c r="J102" i="65"/>
  <c r="I102" i="65"/>
  <c r="H102" i="65"/>
  <c r="G102" i="65"/>
  <c r="F102" i="65"/>
  <c r="E102" i="65"/>
  <c r="DU101" i="65"/>
  <c r="DT101" i="65"/>
  <c r="DS101" i="65"/>
  <c r="DR101" i="65"/>
  <c r="DQ101" i="65"/>
  <c r="DP101" i="65"/>
  <c r="DO101" i="65"/>
  <c r="DN101" i="65"/>
  <c r="DM101" i="65"/>
  <c r="DL101" i="65"/>
  <c r="DK101" i="65"/>
  <c r="DJ101" i="65"/>
  <c r="DI101" i="65"/>
  <c r="DH101" i="65"/>
  <c r="DG101" i="65"/>
  <c r="DF101" i="65"/>
  <c r="DE101" i="65"/>
  <c r="DD101" i="65"/>
  <c r="DC101" i="65"/>
  <c r="DB101" i="65"/>
  <c r="DA101" i="65"/>
  <c r="CZ101" i="65"/>
  <c r="CY101" i="65"/>
  <c r="CX101" i="65"/>
  <c r="CW101" i="65"/>
  <c r="CV101" i="65"/>
  <c r="CU101" i="65"/>
  <c r="CT101" i="65"/>
  <c r="CS101" i="65"/>
  <c r="CR101" i="65"/>
  <c r="CQ101" i="65"/>
  <c r="CP101" i="65"/>
  <c r="CO101" i="65"/>
  <c r="CN101" i="65"/>
  <c r="CM101" i="65"/>
  <c r="CL101" i="65"/>
  <c r="CK101" i="65"/>
  <c r="CJ101" i="65"/>
  <c r="CI101" i="65"/>
  <c r="CH101" i="65"/>
  <c r="CG101" i="65"/>
  <c r="CF101" i="65"/>
  <c r="CE101" i="65"/>
  <c r="CD101" i="65"/>
  <c r="CC101" i="65"/>
  <c r="CB101" i="65"/>
  <c r="CA101" i="65"/>
  <c r="BZ101" i="65"/>
  <c r="BY101" i="65"/>
  <c r="BX101" i="65"/>
  <c r="BW101" i="65"/>
  <c r="BV101" i="65"/>
  <c r="BU101" i="65"/>
  <c r="BT101" i="65"/>
  <c r="BS101" i="65"/>
  <c r="BR101" i="65"/>
  <c r="BQ101" i="65"/>
  <c r="BP101" i="65"/>
  <c r="BO101" i="65"/>
  <c r="BN101" i="65"/>
  <c r="BM101" i="65"/>
  <c r="BL101" i="65"/>
  <c r="BK101" i="65"/>
  <c r="BJ101" i="65"/>
  <c r="BI101" i="65"/>
  <c r="BH101" i="65"/>
  <c r="BG101" i="65"/>
  <c r="BF101" i="65"/>
  <c r="BE101" i="65"/>
  <c r="BD101" i="65"/>
  <c r="BC101" i="65"/>
  <c r="BB101" i="65"/>
  <c r="BA101" i="65"/>
  <c r="AZ101" i="65"/>
  <c r="AY101" i="65"/>
  <c r="AX101" i="65"/>
  <c r="AW101" i="65"/>
  <c r="AV101" i="65"/>
  <c r="AU101" i="65"/>
  <c r="EQ101" i="65" s="1"/>
  <c r="AT101" i="65"/>
  <c r="EP101" i="65" s="1"/>
  <c r="AS101" i="65"/>
  <c r="EO101" i="65" s="1"/>
  <c r="AR101" i="65"/>
  <c r="AQ101" i="65"/>
  <c r="EM101" i="65" s="1"/>
  <c r="AP101" i="65"/>
  <c r="AO101" i="65"/>
  <c r="AN101" i="65"/>
  <c r="AM101" i="65"/>
  <c r="AL101" i="65"/>
  <c r="AK101" i="65"/>
  <c r="AJ101" i="65"/>
  <c r="AI101" i="65"/>
  <c r="AH101" i="65"/>
  <c r="AG101" i="65"/>
  <c r="AF101" i="65"/>
  <c r="AE101" i="65"/>
  <c r="AD101" i="65"/>
  <c r="AC101" i="65"/>
  <c r="AB101" i="65"/>
  <c r="Z101" i="65"/>
  <c r="Y101" i="65"/>
  <c r="X101" i="65"/>
  <c r="W101" i="65"/>
  <c r="V101" i="65"/>
  <c r="U101" i="65"/>
  <c r="T101" i="65"/>
  <c r="S101" i="65"/>
  <c r="R101" i="65"/>
  <c r="Q101" i="65"/>
  <c r="O101" i="65"/>
  <c r="N101" i="65"/>
  <c r="M101" i="65"/>
  <c r="L101" i="65"/>
  <c r="K101" i="65"/>
  <c r="J101" i="65"/>
  <c r="I101" i="65"/>
  <c r="H101" i="65"/>
  <c r="G101" i="65"/>
  <c r="F101" i="65"/>
  <c r="E101" i="65"/>
  <c r="DU100" i="65"/>
  <c r="DT100" i="65"/>
  <c r="DS100" i="65"/>
  <c r="DR100" i="65"/>
  <c r="DQ100" i="65"/>
  <c r="DP100" i="65"/>
  <c r="DO100" i="65"/>
  <c r="DN100" i="65"/>
  <c r="DM100" i="65"/>
  <c r="DL100" i="65"/>
  <c r="DK100" i="65"/>
  <c r="DJ100" i="65"/>
  <c r="DI100" i="65"/>
  <c r="DH100" i="65"/>
  <c r="DG100" i="65"/>
  <c r="DF100" i="65"/>
  <c r="DE100" i="65"/>
  <c r="DD100" i="65"/>
  <c r="DC100" i="65"/>
  <c r="DB100" i="65"/>
  <c r="DA100" i="65"/>
  <c r="CZ100" i="65"/>
  <c r="CY100" i="65"/>
  <c r="CX100" i="65"/>
  <c r="CW100" i="65"/>
  <c r="CV100" i="65"/>
  <c r="CU100" i="65"/>
  <c r="CT100" i="65"/>
  <c r="CS100" i="65"/>
  <c r="CR100" i="65"/>
  <c r="CQ100" i="65"/>
  <c r="CP100" i="65"/>
  <c r="CO100" i="65"/>
  <c r="CN100" i="65"/>
  <c r="CM100" i="65"/>
  <c r="CL100" i="65"/>
  <c r="CK100" i="65"/>
  <c r="CJ100" i="65"/>
  <c r="CI100" i="65"/>
  <c r="CH100" i="65"/>
  <c r="CG100" i="65"/>
  <c r="CF100" i="65"/>
  <c r="CE100" i="65"/>
  <c r="CD100" i="65"/>
  <c r="CC100" i="65"/>
  <c r="CB100" i="65"/>
  <c r="CA100" i="65"/>
  <c r="BZ100" i="65"/>
  <c r="BY100" i="65"/>
  <c r="BX100" i="65"/>
  <c r="BW100" i="65"/>
  <c r="BV100" i="65"/>
  <c r="BU100" i="65"/>
  <c r="BT100" i="65"/>
  <c r="BS100" i="65"/>
  <c r="BR100" i="65"/>
  <c r="BQ100" i="65"/>
  <c r="BP100" i="65"/>
  <c r="BO100" i="65"/>
  <c r="BN100" i="65"/>
  <c r="BM100" i="65"/>
  <c r="BL100" i="65"/>
  <c r="BK100" i="65"/>
  <c r="BJ100" i="65"/>
  <c r="BI100" i="65"/>
  <c r="BH100" i="65"/>
  <c r="BG100" i="65"/>
  <c r="BF100" i="65"/>
  <c r="BE100" i="65"/>
  <c r="BD100" i="65"/>
  <c r="BC100" i="65"/>
  <c r="BB100" i="65"/>
  <c r="BA100" i="65"/>
  <c r="AZ100" i="65"/>
  <c r="AY100" i="65"/>
  <c r="AX100" i="65"/>
  <c r="AW100" i="65"/>
  <c r="AV100" i="65"/>
  <c r="AU100" i="65"/>
  <c r="AT100" i="65"/>
  <c r="EP100" i="65" s="1"/>
  <c r="AS100" i="65"/>
  <c r="EO100" i="65" s="1"/>
  <c r="AR100" i="65"/>
  <c r="EN100" i="65" s="1"/>
  <c r="AQ100" i="65"/>
  <c r="EM100" i="65" s="1"/>
  <c r="AP100" i="65"/>
  <c r="AO100" i="65"/>
  <c r="AN100" i="65"/>
  <c r="AM100" i="65"/>
  <c r="AL100" i="65"/>
  <c r="AK100" i="65"/>
  <c r="AJ100" i="65"/>
  <c r="AI100" i="65"/>
  <c r="AH100" i="65"/>
  <c r="AG100" i="65"/>
  <c r="AF100" i="65"/>
  <c r="AE100" i="65"/>
  <c r="AD100" i="65"/>
  <c r="AC100" i="65"/>
  <c r="AB100" i="65"/>
  <c r="Z100" i="65"/>
  <c r="Y100" i="65"/>
  <c r="X100" i="65"/>
  <c r="W100" i="65"/>
  <c r="V100" i="65"/>
  <c r="U100" i="65"/>
  <c r="T100" i="65"/>
  <c r="S100" i="65"/>
  <c r="R100" i="65"/>
  <c r="Q100" i="65"/>
  <c r="O100" i="65"/>
  <c r="N100" i="65"/>
  <c r="M100" i="65"/>
  <c r="L100" i="65"/>
  <c r="K100" i="65"/>
  <c r="J100" i="65"/>
  <c r="I100" i="65"/>
  <c r="H100" i="65"/>
  <c r="G100" i="65"/>
  <c r="F100" i="65"/>
  <c r="E100" i="65"/>
  <c r="DU99" i="65"/>
  <c r="DT99" i="65"/>
  <c r="DS99" i="65"/>
  <c r="DR99" i="65"/>
  <c r="DQ99" i="65"/>
  <c r="DP99" i="65"/>
  <c r="DO99" i="65"/>
  <c r="DN99" i="65"/>
  <c r="DM99" i="65"/>
  <c r="DL99" i="65"/>
  <c r="DK99" i="65"/>
  <c r="DJ99" i="65"/>
  <c r="DI99" i="65"/>
  <c r="DH99" i="65"/>
  <c r="DG99" i="65"/>
  <c r="DF99" i="65"/>
  <c r="DE99" i="65"/>
  <c r="DD99" i="65"/>
  <c r="DC99" i="65"/>
  <c r="DB99" i="65"/>
  <c r="DA99" i="65"/>
  <c r="CZ99" i="65"/>
  <c r="CY99" i="65"/>
  <c r="CX99" i="65"/>
  <c r="CW99" i="65"/>
  <c r="CV99" i="65"/>
  <c r="CU99" i="65"/>
  <c r="CT99" i="65"/>
  <c r="CS99" i="65"/>
  <c r="CR99" i="65"/>
  <c r="CQ99" i="65"/>
  <c r="CP99" i="65"/>
  <c r="CO99" i="65"/>
  <c r="CN99" i="65"/>
  <c r="CM99" i="65"/>
  <c r="CL99" i="65"/>
  <c r="CK99" i="65"/>
  <c r="CJ99" i="65"/>
  <c r="CI99" i="65"/>
  <c r="CH99" i="65"/>
  <c r="CG99" i="65"/>
  <c r="CF99" i="65"/>
  <c r="CE99" i="65"/>
  <c r="CD99" i="65"/>
  <c r="CC99" i="65"/>
  <c r="CB99" i="65"/>
  <c r="CA99" i="65"/>
  <c r="BZ99" i="65"/>
  <c r="BY99" i="65"/>
  <c r="BX99" i="65"/>
  <c r="BW99" i="65"/>
  <c r="BV99" i="65"/>
  <c r="BU99" i="65"/>
  <c r="BT99" i="65"/>
  <c r="BS99" i="65"/>
  <c r="BR99" i="65"/>
  <c r="BQ99" i="65"/>
  <c r="BP99" i="65"/>
  <c r="BO99" i="65"/>
  <c r="BN99" i="65"/>
  <c r="BM99" i="65"/>
  <c r="BL99" i="65"/>
  <c r="BK99" i="65"/>
  <c r="BJ99" i="65"/>
  <c r="BI99" i="65"/>
  <c r="BH99" i="65"/>
  <c r="BG99" i="65"/>
  <c r="BF99" i="65"/>
  <c r="BE99" i="65"/>
  <c r="BD99" i="65"/>
  <c r="BC99" i="65"/>
  <c r="BB99" i="65"/>
  <c r="BA99" i="65"/>
  <c r="AZ99" i="65"/>
  <c r="AY99" i="65"/>
  <c r="AX99" i="65"/>
  <c r="AW99" i="65"/>
  <c r="AV99" i="65"/>
  <c r="AU99" i="65"/>
  <c r="AT99" i="65"/>
  <c r="AS99" i="65"/>
  <c r="EO99" i="65" s="1"/>
  <c r="AR99" i="65"/>
  <c r="EN99" i="65" s="1"/>
  <c r="AQ99" i="65"/>
  <c r="EM99" i="65" s="1"/>
  <c r="AP99" i="65"/>
  <c r="EL99" i="65" s="1"/>
  <c r="AO99" i="65"/>
  <c r="AN99" i="65"/>
  <c r="AM99" i="65"/>
  <c r="AL99" i="65"/>
  <c r="AK99" i="65"/>
  <c r="AJ99" i="65"/>
  <c r="AI99" i="65"/>
  <c r="AH99" i="65"/>
  <c r="AG99" i="65"/>
  <c r="AF99" i="65"/>
  <c r="AE99" i="65"/>
  <c r="AD99" i="65"/>
  <c r="AC99" i="65"/>
  <c r="AB99" i="65"/>
  <c r="Z99" i="65"/>
  <c r="Y99" i="65"/>
  <c r="X99" i="65"/>
  <c r="W99" i="65"/>
  <c r="V99" i="65"/>
  <c r="U99" i="65"/>
  <c r="T99" i="65"/>
  <c r="S99" i="65"/>
  <c r="R99" i="65"/>
  <c r="Q99" i="65"/>
  <c r="O99" i="65"/>
  <c r="N99" i="65"/>
  <c r="M99" i="65"/>
  <c r="L99" i="65"/>
  <c r="K99" i="65"/>
  <c r="J99" i="65"/>
  <c r="I99" i="65"/>
  <c r="H99" i="65"/>
  <c r="G99" i="65"/>
  <c r="F99" i="65"/>
  <c r="E99" i="65"/>
  <c r="DU98" i="65"/>
  <c r="DT98" i="65"/>
  <c r="DS98" i="65"/>
  <c r="DR98" i="65"/>
  <c r="DQ98" i="65"/>
  <c r="DP98" i="65"/>
  <c r="DO98" i="65"/>
  <c r="DN98" i="65"/>
  <c r="DM98" i="65"/>
  <c r="DL98" i="65"/>
  <c r="DK98" i="65"/>
  <c r="DJ98" i="65"/>
  <c r="DI98" i="65"/>
  <c r="DH98" i="65"/>
  <c r="DG98" i="65"/>
  <c r="DF98" i="65"/>
  <c r="DE98" i="65"/>
  <c r="DD98" i="65"/>
  <c r="DC98" i="65"/>
  <c r="DB98" i="65"/>
  <c r="DA98" i="65"/>
  <c r="CZ98" i="65"/>
  <c r="CY98" i="65"/>
  <c r="CX98" i="65"/>
  <c r="CW98" i="65"/>
  <c r="CV98" i="65"/>
  <c r="CU98" i="65"/>
  <c r="CT98" i="65"/>
  <c r="CS98" i="65"/>
  <c r="CR98" i="65"/>
  <c r="CQ98" i="65"/>
  <c r="CP98" i="65"/>
  <c r="CO98" i="65"/>
  <c r="CN98" i="65"/>
  <c r="CM98" i="65"/>
  <c r="CL98" i="65"/>
  <c r="CK98" i="65"/>
  <c r="CJ98" i="65"/>
  <c r="CI98" i="65"/>
  <c r="CH98" i="65"/>
  <c r="CG98" i="65"/>
  <c r="CF98" i="65"/>
  <c r="CE98" i="65"/>
  <c r="CD98" i="65"/>
  <c r="CC98" i="65"/>
  <c r="CB98" i="65"/>
  <c r="CA98" i="65"/>
  <c r="BZ98" i="65"/>
  <c r="BY98" i="65"/>
  <c r="BX98" i="65"/>
  <c r="BW98" i="65"/>
  <c r="BV98" i="65"/>
  <c r="BU98" i="65"/>
  <c r="BT98" i="65"/>
  <c r="BS98" i="65"/>
  <c r="BR98" i="65"/>
  <c r="BQ98" i="65"/>
  <c r="BP98" i="65"/>
  <c r="BO98" i="65"/>
  <c r="BN98" i="65"/>
  <c r="BM98" i="65"/>
  <c r="BL98" i="65"/>
  <c r="BK98" i="65"/>
  <c r="BJ98" i="65"/>
  <c r="BI98" i="65"/>
  <c r="BH98" i="65"/>
  <c r="BG98" i="65"/>
  <c r="BF98" i="65"/>
  <c r="BE98" i="65"/>
  <c r="BD98" i="65"/>
  <c r="BC98" i="65"/>
  <c r="BB98" i="65"/>
  <c r="BA98" i="65"/>
  <c r="AZ98" i="65"/>
  <c r="AY98" i="65"/>
  <c r="AX98" i="65"/>
  <c r="AW98" i="65"/>
  <c r="AV98" i="65"/>
  <c r="ER98" i="65" s="1"/>
  <c r="AU98" i="65"/>
  <c r="AT98" i="65"/>
  <c r="AS98" i="65"/>
  <c r="AR98" i="65"/>
  <c r="EN98" i="65" s="1"/>
  <c r="AQ98" i="65"/>
  <c r="EM98" i="65" s="1"/>
  <c r="AP98" i="65"/>
  <c r="EL98" i="65" s="1"/>
  <c r="AO98" i="65"/>
  <c r="EK98" i="65" s="1"/>
  <c r="AN98" i="65"/>
  <c r="AM98" i="65"/>
  <c r="AL98" i="65"/>
  <c r="AK98" i="65"/>
  <c r="AJ98" i="65"/>
  <c r="AI98" i="65"/>
  <c r="AH98" i="65"/>
  <c r="AG98" i="65"/>
  <c r="AF98" i="65"/>
  <c r="AE98" i="65"/>
  <c r="AD98" i="65"/>
  <c r="AC98" i="65"/>
  <c r="AB98" i="65"/>
  <c r="Z98" i="65"/>
  <c r="Y98" i="65"/>
  <c r="X98" i="65"/>
  <c r="W98" i="65"/>
  <c r="V98" i="65"/>
  <c r="U98" i="65"/>
  <c r="T98" i="65"/>
  <c r="S98" i="65"/>
  <c r="R98" i="65"/>
  <c r="Q98" i="65"/>
  <c r="O98" i="65"/>
  <c r="N98" i="65"/>
  <c r="M98" i="65"/>
  <c r="L98" i="65"/>
  <c r="K98" i="65"/>
  <c r="J98" i="65"/>
  <c r="I98" i="65"/>
  <c r="H98" i="65"/>
  <c r="G98" i="65"/>
  <c r="F98" i="65"/>
  <c r="E98" i="65"/>
  <c r="DU97" i="65"/>
  <c r="DT97" i="65"/>
  <c r="DS97" i="65"/>
  <c r="DR97" i="65"/>
  <c r="DQ97" i="65"/>
  <c r="DP97" i="65"/>
  <c r="DO97" i="65"/>
  <c r="DN97" i="65"/>
  <c r="DM97" i="65"/>
  <c r="DL97" i="65"/>
  <c r="DK97" i="65"/>
  <c r="DJ97" i="65"/>
  <c r="DI97" i="65"/>
  <c r="DH97" i="65"/>
  <c r="DG97" i="65"/>
  <c r="DF97" i="65"/>
  <c r="DE97" i="65"/>
  <c r="DD97" i="65"/>
  <c r="DC97" i="65"/>
  <c r="DB97" i="65"/>
  <c r="DA97" i="65"/>
  <c r="CZ97" i="65"/>
  <c r="CY97" i="65"/>
  <c r="CX97" i="65"/>
  <c r="CW97" i="65"/>
  <c r="CV97" i="65"/>
  <c r="CU97" i="65"/>
  <c r="CT97" i="65"/>
  <c r="CS97" i="65"/>
  <c r="CR97" i="65"/>
  <c r="CQ97" i="65"/>
  <c r="CP97" i="65"/>
  <c r="CO97" i="65"/>
  <c r="CN97" i="65"/>
  <c r="CM97" i="65"/>
  <c r="CL97" i="65"/>
  <c r="CK97" i="65"/>
  <c r="CJ97" i="65"/>
  <c r="CI97" i="65"/>
  <c r="CH97" i="65"/>
  <c r="CG97" i="65"/>
  <c r="CF97" i="65"/>
  <c r="CE97" i="65"/>
  <c r="CD97" i="65"/>
  <c r="CC97" i="65"/>
  <c r="CB97" i="65"/>
  <c r="CA97" i="65"/>
  <c r="BZ97" i="65"/>
  <c r="BY97" i="65"/>
  <c r="BX97" i="65"/>
  <c r="BW97" i="65"/>
  <c r="BV97" i="65"/>
  <c r="BU97" i="65"/>
  <c r="BT97" i="65"/>
  <c r="BS97" i="65"/>
  <c r="BR97" i="65"/>
  <c r="BQ97" i="65"/>
  <c r="BP97" i="65"/>
  <c r="BO97" i="65"/>
  <c r="BN97" i="65"/>
  <c r="BM97" i="65"/>
  <c r="BL97" i="65"/>
  <c r="BK97" i="65"/>
  <c r="BJ97" i="65"/>
  <c r="BI97" i="65"/>
  <c r="BH97" i="65"/>
  <c r="BG97" i="65"/>
  <c r="BF97" i="65"/>
  <c r="BE97" i="65"/>
  <c r="BD97" i="65"/>
  <c r="BC97" i="65"/>
  <c r="BB97" i="65"/>
  <c r="BA97" i="65"/>
  <c r="AZ97" i="65"/>
  <c r="AY97" i="65"/>
  <c r="AX97" i="65"/>
  <c r="AW97" i="65"/>
  <c r="AV97" i="65"/>
  <c r="ER97" i="65" s="1"/>
  <c r="AU97" i="65"/>
  <c r="EQ97" i="65" s="1"/>
  <c r="AT97" i="65"/>
  <c r="AS97" i="65"/>
  <c r="AR97" i="65"/>
  <c r="AQ97" i="65"/>
  <c r="EM97" i="65" s="1"/>
  <c r="AP97" i="65"/>
  <c r="EL97" i="65" s="1"/>
  <c r="AO97" i="65"/>
  <c r="EK97" i="65" s="1"/>
  <c r="AN97" i="65"/>
  <c r="EJ97" i="65" s="1"/>
  <c r="AM97" i="65"/>
  <c r="AL97" i="65"/>
  <c r="AK97" i="65"/>
  <c r="AJ97" i="65"/>
  <c r="AI97" i="65"/>
  <c r="AH97" i="65"/>
  <c r="AG97" i="65"/>
  <c r="AF97" i="65"/>
  <c r="AE97" i="65"/>
  <c r="AD97" i="65"/>
  <c r="AC97" i="65"/>
  <c r="AB97" i="65"/>
  <c r="Z97" i="65"/>
  <c r="Y97" i="65"/>
  <c r="X97" i="65"/>
  <c r="W97" i="65"/>
  <c r="V97" i="65"/>
  <c r="U97" i="65"/>
  <c r="T97" i="65"/>
  <c r="S97" i="65"/>
  <c r="R97" i="65"/>
  <c r="Q97" i="65"/>
  <c r="O97" i="65"/>
  <c r="N97" i="65"/>
  <c r="M97" i="65"/>
  <c r="L97" i="65"/>
  <c r="K97" i="65"/>
  <c r="J97" i="65"/>
  <c r="I97" i="65"/>
  <c r="H97" i="65"/>
  <c r="G97" i="65"/>
  <c r="F97" i="65"/>
  <c r="E97" i="65"/>
  <c r="DU96" i="65"/>
  <c r="DT96" i="65"/>
  <c r="DS96" i="65"/>
  <c r="DR96" i="65"/>
  <c r="DQ96" i="65"/>
  <c r="DP96" i="65"/>
  <c r="DO96" i="65"/>
  <c r="DN96" i="65"/>
  <c r="DM96" i="65"/>
  <c r="DL96" i="65"/>
  <c r="DK96" i="65"/>
  <c r="DJ96" i="65"/>
  <c r="DI96" i="65"/>
  <c r="DH96" i="65"/>
  <c r="DG96" i="65"/>
  <c r="DF96" i="65"/>
  <c r="DE96" i="65"/>
  <c r="DD96" i="65"/>
  <c r="DC96" i="65"/>
  <c r="DB96" i="65"/>
  <c r="DA96" i="65"/>
  <c r="CZ96" i="65"/>
  <c r="CY96" i="65"/>
  <c r="CX96" i="65"/>
  <c r="CW96" i="65"/>
  <c r="CV96" i="65"/>
  <c r="CU96" i="65"/>
  <c r="CT96" i="65"/>
  <c r="CS96" i="65"/>
  <c r="CR96" i="65"/>
  <c r="CQ96" i="65"/>
  <c r="CP96" i="65"/>
  <c r="CO96" i="65"/>
  <c r="CN96" i="65"/>
  <c r="CM96" i="65"/>
  <c r="CL96" i="65"/>
  <c r="CK96" i="65"/>
  <c r="CJ96" i="65"/>
  <c r="CI96" i="65"/>
  <c r="CH96" i="65"/>
  <c r="CG96" i="65"/>
  <c r="CF96" i="65"/>
  <c r="CE96" i="65"/>
  <c r="CD96" i="65"/>
  <c r="CC96" i="65"/>
  <c r="CB96" i="65"/>
  <c r="CA96" i="65"/>
  <c r="BZ96" i="65"/>
  <c r="BY96" i="65"/>
  <c r="BX96" i="65"/>
  <c r="BW96" i="65"/>
  <c r="BV96" i="65"/>
  <c r="BU96" i="65"/>
  <c r="BT96" i="65"/>
  <c r="BS96" i="65"/>
  <c r="BR96" i="65"/>
  <c r="BQ96" i="65"/>
  <c r="BP96" i="65"/>
  <c r="BO96" i="65"/>
  <c r="BN96" i="65"/>
  <c r="BM96" i="65"/>
  <c r="BL96" i="65"/>
  <c r="BK96" i="65"/>
  <c r="BJ96" i="65"/>
  <c r="BI96" i="65"/>
  <c r="BH96" i="65"/>
  <c r="BG96" i="65"/>
  <c r="BF96" i="65"/>
  <c r="BE96" i="65"/>
  <c r="BD96" i="65"/>
  <c r="BC96" i="65"/>
  <c r="BB96" i="65"/>
  <c r="BA96" i="65"/>
  <c r="AZ96" i="65"/>
  <c r="AY96" i="65"/>
  <c r="AX96" i="65"/>
  <c r="AW96" i="65"/>
  <c r="AV96" i="65"/>
  <c r="ER96" i="65" s="1"/>
  <c r="AU96" i="65"/>
  <c r="EQ96" i="65" s="1"/>
  <c r="AT96" i="65"/>
  <c r="EP96" i="65" s="1"/>
  <c r="AS96" i="65"/>
  <c r="AR96" i="65"/>
  <c r="AQ96" i="65"/>
  <c r="AP96" i="65"/>
  <c r="EL96" i="65" s="1"/>
  <c r="AO96" i="65"/>
  <c r="EK96" i="65" s="1"/>
  <c r="AN96" i="65"/>
  <c r="EJ96" i="65" s="1"/>
  <c r="AM96" i="65"/>
  <c r="EI96" i="65" s="1"/>
  <c r="AL96" i="65"/>
  <c r="AK96" i="65"/>
  <c r="AJ96" i="65"/>
  <c r="AI96" i="65"/>
  <c r="AH96" i="65"/>
  <c r="AG96" i="65"/>
  <c r="AF96" i="65"/>
  <c r="AE96" i="65"/>
  <c r="AD96" i="65"/>
  <c r="AC96" i="65"/>
  <c r="AB96" i="65"/>
  <c r="Z96" i="65"/>
  <c r="Y96" i="65"/>
  <c r="X96" i="65"/>
  <c r="W96" i="65"/>
  <c r="V96" i="65"/>
  <c r="U96" i="65"/>
  <c r="T96" i="65"/>
  <c r="S96" i="65"/>
  <c r="R96" i="65"/>
  <c r="Q96" i="65"/>
  <c r="O96" i="65"/>
  <c r="N96" i="65"/>
  <c r="M96" i="65"/>
  <c r="L96" i="65"/>
  <c r="K96" i="65"/>
  <c r="J96" i="65"/>
  <c r="I96" i="65"/>
  <c r="H96" i="65"/>
  <c r="G96" i="65"/>
  <c r="F96" i="65"/>
  <c r="E96" i="65"/>
  <c r="DU95" i="65"/>
  <c r="DT95" i="65"/>
  <c r="DS95" i="65"/>
  <c r="DR95" i="65"/>
  <c r="DQ95" i="65"/>
  <c r="DP95" i="65"/>
  <c r="DO95" i="65"/>
  <c r="DN95" i="65"/>
  <c r="DM95" i="65"/>
  <c r="DL95" i="65"/>
  <c r="DK95" i="65"/>
  <c r="DJ95" i="65"/>
  <c r="DI95" i="65"/>
  <c r="DH95" i="65"/>
  <c r="DG95" i="65"/>
  <c r="DF95" i="65"/>
  <c r="DE95" i="65"/>
  <c r="DD95" i="65"/>
  <c r="DC95" i="65"/>
  <c r="DB95" i="65"/>
  <c r="DA95" i="65"/>
  <c r="CZ95" i="65"/>
  <c r="CY95" i="65"/>
  <c r="CX95" i="65"/>
  <c r="CW95" i="65"/>
  <c r="CV95" i="65"/>
  <c r="CU95" i="65"/>
  <c r="CT95" i="65"/>
  <c r="CS95" i="65"/>
  <c r="CR95" i="65"/>
  <c r="CQ95" i="65"/>
  <c r="CP95" i="65"/>
  <c r="CO95" i="65"/>
  <c r="CN95" i="65"/>
  <c r="CM95" i="65"/>
  <c r="CL95" i="65"/>
  <c r="CK95" i="65"/>
  <c r="CJ95" i="65"/>
  <c r="CI95" i="65"/>
  <c r="CH95" i="65"/>
  <c r="CG95" i="65"/>
  <c r="CF95" i="65"/>
  <c r="CE95" i="65"/>
  <c r="CD95" i="65"/>
  <c r="CC95" i="65"/>
  <c r="CB95" i="65"/>
  <c r="CA95" i="65"/>
  <c r="BZ95" i="65"/>
  <c r="BY95" i="65"/>
  <c r="BX95" i="65"/>
  <c r="BW95" i="65"/>
  <c r="BV95" i="65"/>
  <c r="BU95" i="65"/>
  <c r="BT95" i="65"/>
  <c r="BS95" i="65"/>
  <c r="BR95" i="65"/>
  <c r="BQ95" i="65"/>
  <c r="BP95" i="65"/>
  <c r="BO95" i="65"/>
  <c r="BN95" i="65"/>
  <c r="BM95" i="65"/>
  <c r="BL95" i="65"/>
  <c r="BK95" i="65"/>
  <c r="BJ95" i="65"/>
  <c r="BI95" i="65"/>
  <c r="BH95" i="65"/>
  <c r="BG95" i="65"/>
  <c r="BF95" i="65"/>
  <c r="BE95" i="65"/>
  <c r="BD95" i="65"/>
  <c r="BC95" i="65"/>
  <c r="BB95" i="65"/>
  <c r="BA95" i="65"/>
  <c r="AZ95" i="65"/>
  <c r="AY95" i="65"/>
  <c r="AX95" i="65"/>
  <c r="AW95" i="65"/>
  <c r="AV95" i="65"/>
  <c r="AU95" i="65"/>
  <c r="EQ95" i="65" s="1"/>
  <c r="AT95" i="65"/>
  <c r="EP95" i="65" s="1"/>
  <c r="AS95" i="65"/>
  <c r="EO95" i="65" s="1"/>
  <c r="AR95" i="65"/>
  <c r="AQ95" i="65"/>
  <c r="AP95" i="65"/>
  <c r="AO95" i="65"/>
  <c r="EK95" i="65" s="1"/>
  <c r="AN95" i="65"/>
  <c r="EJ95" i="65" s="1"/>
  <c r="AM95" i="65"/>
  <c r="EI95" i="65" s="1"/>
  <c r="AL95" i="65"/>
  <c r="EH95" i="65" s="1"/>
  <c r="AK95" i="65"/>
  <c r="AJ95" i="65"/>
  <c r="AI95" i="65"/>
  <c r="AH95" i="65"/>
  <c r="AG95" i="65"/>
  <c r="AF95" i="65"/>
  <c r="AE95" i="65"/>
  <c r="AD95" i="65"/>
  <c r="AC95" i="65"/>
  <c r="AB95" i="65"/>
  <c r="Z95" i="65"/>
  <c r="Y95" i="65"/>
  <c r="X95" i="65"/>
  <c r="W95" i="65"/>
  <c r="V95" i="65"/>
  <c r="U95" i="65"/>
  <c r="T95" i="65"/>
  <c r="S95" i="65"/>
  <c r="R95" i="65"/>
  <c r="Q95" i="65"/>
  <c r="O95" i="65"/>
  <c r="N95" i="65"/>
  <c r="M95" i="65"/>
  <c r="L95" i="65"/>
  <c r="K95" i="65"/>
  <c r="J95" i="65"/>
  <c r="I95" i="65"/>
  <c r="H95" i="65"/>
  <c r="G95" i="65"/>
  <c r="F95" i="65"/>
  <c r="E95" i="65"/>
  <c r="DU94" i="65"/>
  <c r="DT94" i="65"/>
  <c r="DS94" i="65"/>
  <c r="DR94" i="65"/>
  <c r="DQ94" i="65"/>
  <c r="DP94" i="65"/>
  <c r="DO94" i="65"/>
  <c r="DN94" i="65"/>
  <c r="DM94" i="65"/>
  <c r="DL94" i="65"/>
  <c r="DK94" i="65"/>
  <c r="DJ94" i="65"/>
  <c r="DI94" i="65"/>
  <c r="DH94" i="65"/>
  <c r="DG94" i="65"/>
  <c r="DF94" i="65"/>
  <c r="DE94" i="65"/>
  <c r="DD94" i="65"/>
  <c r="DC94" i="65"/>
  <c r="DB94" i="65"/>
  <c r="DA94" i="65"/>
  <c r="CZ94" i="65"/>
  <c r="CY94" i="65"/>
  <c r="CX94" i="65"/>
  <c r="CW94" i="65"/>
  <c r="CV94" i="65"/>
  <c r="CU94" i="65"/>
  <c r="CT94" i="65"/>
  <c r="CS94" i="65"/>
  <c r="CR94" i="65"/>
  <c r="CQ94" i="65"/>
  <c r="CP94" i="65"/>
  <c r="CO94" i="65"/>
  <c r="CN94" i="65"/>
  <c r="CM94" i="65"/>
  <c r="CL94" i="65"/>
  <c r="CK94" i="65"/>
  <c r="CJ94" i="65"/>
  <c r="CI94" i="65"/>
  <c r="CH94" i="65"/>
  <c r="CG94" i="65"/>
  <c r="CF94" i="65"/>
  <c r="CE94" i="65"/>
  <c r="CD94" i="65"/>
  <c r="CC94" i="65"/>
  <c r="CB94" i="65"/>
  <c r="CA94" i="65"/>
  <c r="BZ94" i="65"/>
  <c r="BY94" i="65"/>
  <c r="BX94" i="65"/>
  <c r="BW94" i="65"/>
  <c r="BV94" i="65"/>
  <c r="BU94" i="65"/>
  <c r="BT94" i="65"/>
  <c r="BS94" i="65"/>
  <c r="BR94" i="65"/>
  <c r="BQ94" i="65"/>
  <c r="BP94" i="65"/>
  <c r="BO94" i="65"/>
  <c r="BN94" i="65"/>
  <c r="BM94" i="65"/>
  <c r="BL94" i="65"/>
  <c r="BK94" i="65"/>
  <c r="BJ94" i="65"/>
  <c r="BI94" i="65"/>
  <c r="BH94" i="65"/>
  <c r="BG94" i="65"/>
  <c r="BF94" i="65"/>
  <c r="BE94" i="65"/>
  <c r="BD94" i="65"/>
  <c r="BC94" i="65"/>
  <c r="BB94" i="65"/>
  <c r="BA94" i="65"/>
  <c r="AZ94" i="65"/>
  <c r="AY94" i="65"/>
  <c r="AX94" i="65"/>
  <c r="AW94" i="65"/>
  <c r="AV94" i="65"/>
  <c r="AU94" i="65"/>
  <c r="AT94" i="65"/>
  <c r="EP94" i="65" s="1"/>
  <c r="AS94" i="65"/>
  <c r="EO94" i="65" s="1"/>
  <c r="AR94" i="65"/>
  <c r="EN94" i="65" s="1"/>
  <c r="AQ94" i="65"/>
  <c r="AP94" i="65"/>
  <c r="AO94" i="65"/>
  <c r="AN94" i="65"/>
  <c r="EJ94" i="65" s="1"/>
  <c r="AM94" i="65"/>
  <c r="EI94" i="65" s="1"/>
  <c r="AL94" i="65"/>
  <c r="EH94" i="65" s="1"/>
  <c r="AK94" i="65"/>
  <c r="AJ94" i="65"/>
  <c r="AI94" i="65"/>
  <c r="AH94" i="65"/>
  <c r="AG94" i="65"/>
  <c r="AF94" i="65"/>
  <c r="AE94" i="65"/>
  <c r="AD94" i="65"/>
  <c r="AC94" i="65"/>
  <c r="AB94" i="65"/>
  <c r="Z94" i="65"/>
  <c r="Y94" i="65"/>
  <c r="X94" i="65"/>
  <c r="W94" i="65"/>
  <c r="V94" i="65"/>
  <c r="U94" i="65"/>
  <c r="T94" i="65"/>
  <c r="S94" i="65"/>
  <c r="R94" i="65"/>
  <c r="Q94" i="65"/>
  <c r="O94" i="65"/>
  <c r="N94" i="65"/>
  <c r="M94" i="65"/>
  <c r="L94" i="65"/>
  <c r="K94" i="65"/>
  <c r="J94" i="65"/>
  <c r="I94" i="65"/>
  <c r="H94" i="65"/>
  <c r="G94" i="65"/>
  <c r="F94" i="65"/>
  <c r="E94" i="65"/>
  <c r="DU93" i="65"/>
  <c r="DT93" i="65"/>
  <c r="DS93" i="65"/>
  <c r="DR93" i="65"/>
  <c r="DQ93" i="65"/>
  <c r="DP93" i="65"/>
  <c r="DO93" i="65"/>
  <c r="DN93" i="65"/>
  <c r="DM93" i="65"/>
  <c r="DL93" i="65"/>
  <c r="DK93" i="65"/>
  <c r="DJ93" i="65"/>
  <c r="DI93" i="65"/>
  <c r="DH93" i="65"/>
  <c r="DG93" i="65"/>
  <c r="DF93" i="65"/>
  <c r="DE93" i="65"/>
  <c r="DD93" i="65"/>
  <c r="DC93" i="65"/>
  <c r="DB93" i="65"/>
  <c r="DA93" i="65"/>
  <c r="CZ93" i="65"/>
  <c r="CY93" i="65"/>
  <c r="CX93" i="65"/>
  <c r="CW93" i="65"/>
  <c r="CV93" i="65"/>
  <c r="CU93" i="65"/>
  <c r="CT93" i="65"/>
  <c r="CS93" i="65"/>
  <c r="CR93" i="65"/>
  <c r="CQ93" i="65"/>
  <c r="CP93" i="65"/>
  <c r="CO93" i="65"/>
  <c r="CN93" i="65"/>
  <c r="CM93" i="65"/>
  <c r="CL93" i="65"/>
  <c r="CK93" i="65"/>
  <c r="CJ93" i="65"/>
  <c r="CI93" i="65"/>
  <c r="CH93" i="65"/>
  <c r="CG93" i="65"/>
  <c r="CF93" i="65"/>
  <c r="CE93" i="65"/>
  <c r="CD93" i="65"/>
  <c r="CC93" i="65"/>
  <c r="CB93" i="65"/>
  <c r="CA93" i="65"/>
  <c r="BZ93" i="65"/>
  <c r="BY93" i="65"/>
  <c r="BX93" i="65"/>
  <c r="BW93" i="65"/>
  <c r="BV93" i="65"/>
  <c r="BU93" i="65"/>
  <c r="BT93" i="65"/>
  <c r="BS93" i="65"/>
  <c r="BR93" i="65"/>
  <c r="BQ93" i="65"/>
  <c r="BP93" i="65"/>
  <c r="BO93" i="65"/>
  <c r="BN93" i="65"/>
  <c r="BM93" i="65"/>
  <c r="BL93" i="65"/>
  <c r="BK93" i="65"/>
  <c r="BJ93" i="65"/>
  <c r="BI93" i="65"/>
  <c r="BH93" i="65"/>
  <c r="BG93" i="65"/>
  <c r="BF93" i="65"/>
  <c r="BE93" i="65"/>
  <c r="BD93" i="65"/>
  <c r="BC93" i="65"/>
  <c r="BB93" i="65"/>
  <c r="BA93" i="65"/>
  <c r="AZ93" i="65"/>
  <c r="AY93" i="65"/>
  <c r="AX93" i="65"/>
  <c r="AW93" i="65"/>
  <c r="AV93" i="65"/>
  <c r="AU93" i="65"/>
  <c r="AT93" i="65"/>
  <c r="AS93" i="65"/>
  <c r="EO93" i="65" s="1"/>
  <c r="AR93" i="65"/>
  <c r="EN93" i="65" s="1"/>
  <c r="AQ93" i="65"/>
  <c r="EM93" i="65" s="1"/>
  <c r="AP93" i="65"/>
  <c r="AO93" i="65"/>
  <c r="AN93" i="65"/>
  <c r="AM93" i="65"/>
  <c r="EI93" i="65" s="1"/>
  <c r="AL93" i="65"/>
  <c r="EH93" i="65" s="1"/>
  <c r="AK93" i="65"/>
  <c r="AJ93" i="65"/>
  <c r="AI93" i="65"/>
  <c r="AH93" i="65"/>
  <c r="AG93" i="65"/>
  <c r="AF93" i="65"/>
  <c r="AE93" i="65"/>
  <c r="AD93" i="65"/>
  <c r="AC93" i="65"/>
  <c r="AB93" i="65"/>
  <c r="Z93" i="65"/>
  <c r="Y93" i="65"/>
  <c r="X93" i="65"/>
  <c r="W93" i="65"/>
  <c r="V93" i="65"/>
  <c r="U93" i="65"/>
  <c r="T93" i="65"/>
  <c r="S93" i="65"/>
  <c r="R93" i="65"/>
  <c r="Q93" i="65"/>
  <c r="O93" i="65"/>
  <c r="N93" i="65"/>
  <c r="M93" i="65"/>
  <c r="L93" i="65"/>
  <c r="K93" i="65"/>
  <c r="J93" i="65"/>
  <c r="I93" i="65"/>
  <c r="H93" i="65"/>
  <c r="G93" i="65"/>
  <c r="F93" i="65"/>
  <c r="E93" i="65"/>
  <c r="DU92" i="65"/>
  <c r="DT92" i="65"/>
  <c r="DS92" i="65"/>
  <c r="DR92" i="65"/>
  <c r="DQ92" i="65"/>
  <c r="DP92" i="65"/>
  <c r="DO92" i="65"/>
  <c r="DN92" i="65"/>
  <c r="DM92" i="65"/>
  <c r="DL92" i="65"/>
  <c r="DK92" i="65"/>
  <c r="DJ92" i="65"/>
  <c r="DI92" i="65"/>
  <c r="DH92" i="65"/>
  <c r="DG92" i="65"/>
  <c r="DF92" i="65"/>
  <c r="DE92" i="65"/>
  <c r="DD92" i="65"/>
  <c r="DC92" i="65"/>
  <c r="DB92" i="65"/>
  <c r="DA92" i="65"/>
  <c r="CZ92" i="65"/>
  <c r="CY92" i="65"/>
  <c r="CX92" i="65"/>
  <c r="CW92" i="65"/>
  <c r="CV92" i="65"/>
  <c r="CU92" i="65"/>
  <c r="CT92" i="65"/>
  <c r="CS92" i="65"/>
  <c r="CR92" i="65"/>
  <c r="CQ92" i="65"/>
  <c r="CP92" i="65"/>
  <c r="CO92" i="65"/>
  <c r="CN92" i="65"/>
  <c r="CM92" i="65"/>
  <c r="CL92" i="65"/>
  <c r="CK92" i="65"/>
  <c r="CJ92" i="65"/>
  <c r="CI92" i="65"/>
  <c r="CH92" i="65"/>
  <c r="CG92" i="65"/>
  <c r="CF92" i="65"/>
  <c r="CE92" i="65"/>
  <c r="CD92" i="65"/>
  <c r="CC92" i="65"/>
  <c r="CB92" i="65"/>
  <c r="CA92" i="65"/>
  <c r="BZ92" i="65"/>
  <c r="BY92" i="65"/>
  <c r="BX92" i="65"/>
  <c r="BW92" i="65"/>
  <c r="BV92" i="65"/>
  <c r="BU92" i="65"/>
  <c r="BT92" i="65"/>
  <c r="BS92" i="65"/>
  <c r="BR92" i="65"/>
  <c r="BQ92" i="65"/>
  <c r="BP92" i="65"/>
  <c r="BO92" i="65"/>
  <c r="BN92" i="65"/>
  <c r="BM92" i="65"/>
  <c r="BL92" i="65"/>
  <c r="BK92" i="65"/>
  <c r="BJ92" i="65"/>
  <c r="BI92" i="65"/>
  <c r="BH92" i="65"/>
  <c r="BG92" i="65"/>
  <c r="BF92" i="65"/>
  <c r="BE92" i="65"/>
  <c r="BD92" i="65"/>
  <c r="BC92" i="65"/>
  <c r="BB92" i="65"/>
  <c r="BA92" i="65"/>
  <c r="AZ92" i="65"/>
  <c r="AY92" i="65"/>
  <c r="AX92" i="65"/>
  <c r="AW92" i="65"/>
  <c r="AV92" i="65"/>
  <c r="AU92" i="65"/>
  <c r="AT92" i="65"/>
  <c r="AS92" i="65"/>
  <c r="AR92" i="65"/>
  <c r="EN92" i="65" s="1"/>
  <c r="AQ92" i="65"/>
  <c r="EM92" i="65" s="1"/>
  <c r="AP92" i="65"/>
  <c r="EL92" i="65" s="1"/>
  <c r="AO92" i="65"/>
  <c r="AN92" i="65"/>
  <c r="AM92" i="65"/>
  <c r="AL92" i="65"/>
  <c r="EH92" i="65" s="1"/>
  <c r="AK92" i="65"/>
  <c r="AJ92" i="65"/>
  <c r="AI92" i="65"/>
  <c r="AH92" i="65"/>
  <c r="AG92" i="65"/>
  <c r="AF92" i="65"/>
  <c r="AE92" i="65"/>
  <c r="AD92" i="65"/>
  <c r="AC92" i="65"/>
  <c r="AB92" i="65"/>
  <c r="Z92" i="65"/>
  <c r="Y92" i="65"/>
  <c r="X92" i="65"/>
  <c r="W92" i="65"/>
  <c r="V92" i="65"/>
  <c r="U92" i="65"/>
  <c r="T92" i="65"/>
  <c r="S92" i="65"/>
  <c r="R92" i="65"/>
  <c r="Q92" i="65"/>
  <c r="O92" i="65"/>
  <c r="N92" i="65"/>
  <c r="M92" i="65"/>
  <c r="L92" i="65"/>
  <c r="K92" i="65"/>
  <c r="J92" i="65"/>
  <c r="I92" i="65"/>
  <c r="H92" i="65"/>
  <c r="G92" i="65"/>
  <c r="F92" i="65"/>
  <c r="E92" i="65"/>
  <c r="DU91" i="65"/>
  <c r="DT91" i="65"/>
  <c r="DS91" i="65"/>
  <c r="DR91" i="65"/>
  <c r="DQ91" i="65"/>
  <c r="DP91" i="65"/>
  <c r="DO91" i="65"/>
  <c r="DN91" i="65"/>
  <c r="DM91" i="65"/>
  <c r="DL91" i="65"/>
  <c r="DK91" i="65"/>
  <c r="DJ91" i="65"/>
  <c r="DI91" i="65"/>
  <c r="DH91" i="65"/>
  <c r="DG91" i="65"/>
  <c r="DF91" i="65"/>
  <c r="DE91" i="65"/>
  <c r="DD91" i="65"/>
  <c r="DC91" i="65"/>
  <c r="DB91" i="65"/>
  <c r="DA91" i="65"/>
  <c r="CZ91" i="65"/>
  <c r="CY91" i="65"/>
  <c r="CX91" i="65"/>
  <c r="CW91" i="65"/>
  <c r="CV91" i="65"/>
  <c r="CU91" i="65"/>
  <c r="CT91" i="65"/>
  <c r="CS91" i="65"/>
  <c r="CR91" i="65"/>
  <c r="CQ91" i="65"/>
  <c r="CP91" i="65"/>
  <c r="CO91" i="65"/>
  <c r="CN91" i="65"/>
  <c r="CM91" i="65"/>
  <c r="CL91" i="65"/>
  <c r="CK91" i="65"/>
  <c r="CJ91" i="65"/>
  <c r="CI91" i="65"/>
  <c r="CH91" i="65"/>
  <c r="CG91" i="65"/>
  <c r="CF91" i="65"/>
  <c r="CE91" i="65"/>
  <c r="CD91" i="65"/>
  <c r="CC91" i="65"/>
  <c r="CB91" i="65"/>
  <c r="CA91" i="65"/>
  <c r="BZ91" i="65"/>
  <c r="BY91" i="65"/>
  <c r="BX91" i="65"/>
  <c r="BW91" i="65"/>
  <c r="BV91" i="65"/>
  <c r="BU91" i="65"/>
  <c r="BT91" i="65"/>
  <c r="BS91" i="65"/>
  <c r="BR91" i="65"/>
  <c r="BQ91" i="65"/>
  <c r="BP91" i="65"/>
  <c r="BO91" i="65"/>
  <c r="BN91" i="65"/>
  <c r="BM91" i="65"/>
  <c r="BL91" i="65"/>
  <c r="BK91" i="65"/>
  <c r="BJ91" i="65"/>
  <c r="BI91" i="65"/>
  <c r="BH91" i="65"/>
  <c r="BG91" i="65"/>
  <c r="BF91" i="65"/>
  <c r="BE91" i="65"/>
  <c r="BD91" i="65"/>
  <c r="BC91" i="65"/>
  <c r="BB91" i="65"/>
  <c r="BA91" i="65"/>
  <c r="AZ91" i="65"/>
  <c r="AY91" i="65"/>
  <c r="AX91" i="65"/>
  <c r="AW91" i="65"/>
  <c r="AV91" i="65"/>
  <c r="AU91" i="65"/>
  <c r="AT91" i="65"/>
  <c r="AS91" i="65"/>
  <c r="AR91" i="65"/>
  <c r="AQ91" i="65"/>
  <c r="EM91" i="65" s="1"/>
  <c r="AP91" i="65"/>
  <c r="EL91" i="65" s="1"/>
  <c r="AO91" i="65"/>
  <c r="EK91" i="65" s="1"/>
  <c r="AN91" i="65"/>
  <c r="AM91" i="65"/>
  <c r="AL91" i="65"/>
  <c r="AK91" i="65"/>
  <c r="AJ91" i="65"/>
  <c r="AI91" i="65"/>
  <c r="AH91" i="65"/>
  <c r="AG91" i="65"/>
  <c r="AF91" i="65"/>
  <c r="AE91" i="65"/>
  <c r="AD91" i="65"/>
  <c r="AC91" i="65"/>
  <c r="AB91" i="65"/>
  <c r="Z91" i="65"/>
  <c r="Y91" i="65"/>
  <c r="X91" i="65"/>
  <c r="W91" i="65"/>
  <c r="V91" i="65"/>
  <c r="U91" i="65"/>
  <c r="T91" i="65"/>
  <c r="S91" i="65"/>
  <c r="R91" i="65"/>
  <c r="Q91" i="65"/>
  <c r="O91" i="65"/>
  <c r="N91" i="65"/>
  <c r="M91" i="65"/>
  <c r="L91" i="65"/>
  <c r="K91" i="65"/>
  <c r="J91" i="65"/>
  <c r="I91" i="65"/>
  <c r="H91" i="65"/>
  <c r="G91" i="65"/>
  <c r="F91" i="65"/>
  <c r="E91" i="65"/>
  <c r="DU90" i="65"/>
  <c r="DT90" i="65"/>
  <c r="DS90" i="65"/>
  <c r="DR90" i="65"/>
  <c r="DQ90" i="65"/>
  <c r="DP90" i="65"/>
  <c r="DO90" i="65"/>
  <c r="DN90" i="65"/>
  <c r="DM90" i="65"/>
  <c r="DL90" i="65"/>
  <c r="DK90" i="65"/>
  <c r="DJ90" i="65"/>
  <c r="DI90" i="65"/>
  <c r="DH90" i="65"/>
  <c r="DG90" i="65"/>
  <c r="DF90" i="65"/>
  <c r="DE90" i="65"/>
  <c r="DD90" i="65"/>
  <c r="DC90" i="65"/>
  <c r="DB90" i="65"/>
  <c r="DA90" i="65"/>
  <c r="CZ90" i="65"/>
  <c r="CY90" i="65"/>
  <c r="CX90" i="65"/>
  <c r="CW90" i="65"/>
  <c r="CV90" i="65"/>
  <c r="CU90" i="65"/>
  <c r="CT90" i="65"/>
  <c r="CS90" i="65"/>
  <c r="CR90" i="65"/>
  <c r="CQ90" i="65"/>
  <c r="CP90" i="65"/>
  <c r="CO90" i="65"/>
  <c r="CN90" i="65"/>
  <c r="CM90" i="65"/>
  <c r="CL90" i="65"/>
  <c r="CK90" i="65"/>
  <c r="CJ90" i="65"/>
  <c r="CI90" i="65"/>
  <c r="CH90" i="65"/>
  <c r="CG90" i="65"/>
  <c r="CF90" i="65"/>
  <c r="CE90" i="65"/>
  <c r="CD90" i="65"/>
  <c r="CC90" i="65"/>
  <c r="CB90" i="65"/>
  <c r="CA90" i="65"/>
  <c r="BZ90" i="65"/>
  <c r="BY90" i="65"/>
  <c r="BX90" i="65"/>
  <c r="BW90" i="65"/>
  <c r="BV90" i="65"/>
  <c r="BU90" i="65"/>
  <c r="BT90" i="65"/>
  <c r="BS90" i="65"/>
  <c r="BR90" i="65"/>
  <c r="BQ90" i="65"/>
  <c r="BP90" i="65"/>
  <c r="BO90" i="65"/>
  <c r="BN90" i="65"/>
  <c r="BM90" i="65"/>
  <c r="BL90" i="65"/>
  <c r="BK90" i="65"/>
  <c r="BJ90" i="65"/>
  <c r="BI90" i="65"/>
  <c r="BH90" i="65"/>
  <c r="BG90" i="65"/>
  <c r="BF90" i="65"/>
  <c r="BE90" i="65"/>
  <c r="BD90" i="65"/>
  <c r="BC90" i="65"/>
  <c r="BB90" i="65"/>
  <c r="BA90" i="65"/>
  <c r="AZ90" i="65"/>
  <c r="AY90" i="65"/>
  <c r="AX90" i="65"/>
  <c r="AW90" i="65"/>
  <c r="AV90" i="65"/>
  <c r="AU90" i="65"/>
  <c r="AT90" i="65"/>
  <c r="AS90" i="65"/>
  <c r="AR90" i="65"/>
  <c r="AQ90" i="65"/>
  <c r="AP90" i="65"/>
  <c r="EL90" i="65" s="1"/>
  <c r="AO90" i="65"/>
  <c r="EK90" i="65" s="1"/>
  <c r="AN90" i="65"/>
  <c r="EJ90" i="65" s="1"/>
  <c r="AM90" i="65"/>
  <c r="AL90" i="65"/>
  <c r="AK90" i="65"/>
  <c r="AJ90" i="65"/>
  <c r="AI90" i="65"/>
  <c r="AH90" i="65"/>
  <c r="AG90" i="65"/>
  <c r="AF90" i="65"/>
  <c r="AE90" i="65"/>
  <c r="AD90" i="65"/>
  <c r="AC90" i="65"/>
  <c r="AB90" i="65"/>
  <c r="Z90" i="65"/>
  <c r="Y90" i="65"/>
  <c r="X90" i="65"/>
  <c r="W90" i="65"/>
  <c r="V90" i="65"/>
  <c r="U90" i="65"/>
  <c r="T90" i="65"/>
  <c r="S90" i="65"/>
  <c r="R90" i="65"/>
  <c r="Q90" i="65"/>
  <c r="O90" i="65"/>
  <c r="N90" i="65"/>
  <c r="M90" i="65"/>
  <c r="L90" i="65"/>
  <c r="K90" i="65"/>
  <c r="J90" i="65"/>
  <c r="I90" i="65"/>
  <c r="H90" i="65"/>
  <c r="G90" i="65"/>
  <c r="F90" i="65"/>
  <c r="E90" i="65"/>
  <c r="DU89" i="65"/>
  <c r="DT89" i="65"/>
  <c r="DS89" i="65"/>
  <c r="DR89" i="65"/>
  <c r="DQ89" i="65"/>
  <c r="DP89" i="65"/>
  <c r="DO89" i="65"/>
  <c r="DN89" i="65"/>
  <c r="DM89" i="65"/>
  <c r="DL89" i="65"/>
  <c r="DK89" i="65"/>
  <c r="DJ89" i="65"/>
  <c r="DI89" i="65"/>
  <c r="DH89" i="65"/>
  <c r="DG89" i="65"/>
  <c r="DF89" i="65"/>
  <c r="DE89" i="65"/>
  <c r="DD89" i="65"/>
  <c r="DC89" i="65"/>
  <c r="DB89" i="65"/>
  <c r="DA89" i="65"/>
  <c r="CZ89" i="65"/>
  <c r="CY89" i="65"/>
  <c r="CX89" i="65"/>
  <c r="CW89" i="65"/>
  <c r="CV89" i="65"/>
  <c r="CU89" i="65"/>
  <c r="CT89" i="65"/>
  <c r="CS89" i="65"/>
  <c r="CR89" i="65"/>
  <c r="CQ89" i="65"/>
  <c r="CP89" i="65"/>
  <c r="CO89" i="65"/>
  <c r="CN89" i="65"/>
  <c r="CM89" i="65"/>
  <c r="CL89" i="65"/>
  <c r="CK89" i="65"/>
  <c r="CJ89" i="65"/>
  <c r="CI89" i="65"/>
  <c r="CH89" i="65"/>
  <c r="CG89" i="65"/>
  <c r="CF89" i="65"/>
  <c r="CE89" i="65"/>
  <c r="CD89" i="65"/>
  <c r="CC89" i="65"/>
  <c r="CB89" i="65"/>
  <c r="CA89" i="65"/>
  <c r="BZ89" i="65"/>
  <c r="BY89" i="65"/>
  <c r="BX89" i="65"/>
  <c r="BW89" i="65"/>
  <c r="BV89" i="65"/>
  <c r="BU89" i="65"/>
  <c r="BT89" i="65"/>
  <c r="BS89" i="65"/>
  <c r="BR89" i="65"/>
  <c r="BQ89" i="65"/>
  <c r="BP89" i="65"/>
  <c r="BO89" i="65"/>
  <c r="BN89" i="65"/>
  <c r="BM89" i="65"/>
  <c r="BL89" i="65"/>
  <c r="BK89" i="65"/>
  <c r="BJ89" i="65"/>
  <c r="BI89" i="65"/>
  <c r="BH89" i="65"/>
  <c r="BG89" i="65"/>
  <c r="BF89" i="65"/>
  <c r="BE89" i="65"/>
  <c r="BD89" i="65"/>
  <c r="BC89" i="65"/>
  <c r="BB89" i="65"/>
  <c r="BA89" i="65"/>
  <c r="AZ89" i="65"/>
  <c r="AY89" i="65"/>
  <c r="AX89" i="65"/>
  <c r="AW89" i="65"/>
  <c r="AV89" i="65"/>
  <c r="AU89" i="65"/>
  <c r="AT89" i="65"/>
  <c r="AS89" i="65"/>
  <c r="AR89" i="65"/>
  <c r="AQ89" i="65"/>
  <c r="EM89" i="65" s="1"/>
  <c r="AP89" i="65"/>
  <c r="AO89" i="65"/>
  <c r="EK89" i="65" s="1"/>
  <c r="AN89" i="65"/>
  <c r="EJ89" i="65" s="1"/>
  <c r="AM89" i="65"/>
  <c r="EI89" i="65" s="1"/>
  <c r="AL89" i="65"/>
  <c r="AK89" i="65"/>
  <c r="AJ89" i="65"/>
  <c r="AI89" i="65"/>
  <c r="AH89" i="65"/>
  <c r="AG89" i="65"/>
  <c r="AF89" i="65"/>
  <c r="AE89" i="65"/>
  <c r="AD89" i="65"/>
  <c r="AC89" i="65"/>
  <c r="AB89" i="65"/>
  <c r="Z89" i="65"/>
  <c r="Y89" i="65"/>
  <c r="X89" i="65"/>
  <c r="W89" i="65"/>
  <c r="V89" i="65"/>
  <c r="U89" i="65"/>
  <c r="T89" i="65"/>
  <c r="S89" i="65"/>
  <c r="R89" i="65"/>
  <c r="Q89" i="65"/>
  <c r="O89" i="65"/>
  <c r="N89" i="65"/>
  <c r="M89" i="65"/>
  <c r="L89" i="65"/>
  <c r="K89" i="65"/>
  <c r="J89" i="65"/>
  <c r="I89" i="65"/>
  <c r="H89" i="65"/>
  <c r="G89" i="65"/>
  <c r="F89" i="65"/>
  <c r="E89" i="65"/>
  <c r="DU88" i="65"/>
  <c r="DT88" i="65"/>
  <c r="DS88" i="65"/>
  <c r="DR88" i="65"/>
  <c r="DQ88" i="65"/>
  <c r="DP88" i="65"/>
  <c r="DO88" i="65"/>
  <c r="DN88" i="65"/>
  <c r="DM88" i="65"/>
  <c r="DL88" i="65"/>
  <c r="DK88" i="65"/>
  <c r="DJ88" i="65"/>
  <c r="DI88" i="65"/>
  <c r="DH88" i="65"/>
  <c r="DG88" i="65"/>
  <c r="DF88" i="65"/>
  <c r="DE88" i="65"/>
  <c r="DD88" i="65"/>
  <c r="DC88" i="65"/>
  <c r="DB88" i="65"/>
  <c r="DA88" i="65"/>
  <c r="CZ88" i="65"/>
  <c r="CY88" i="65"/>
  <c r="CX88" i="65"/>
  <c r="CW88" i="65"/>
  <c r="CV88" i="65"/>
  <c r="CU88" i="65"/>
  <c r="CT88" i="65"/>
  <c r="CS88" i="65"/>
  <c r="CR88" i="65"/>
  <c r="CQ88" i="65"/>
  <c r="CP88" i="65"/>
  <c r="CO88" i="65"/>
  <c r="CN88" i="65"/>
  <c r="CM88" i="65"/>
  <c r="CL88" i="65"/>
  <c r="CK88" i="65"/>
  <c r="CJ88" i="65"/>
  <c r="CI88" i="65"/>
  <c r="CH88" i="65"/>
  <c r="CG88" i="65"/>
  <c r="CF88" i="65"/>
  <c r="CE88" i="65"/>
  <c r="CD88" i="65"/>
  <c r="CC88" i="65"/>
  <c r="CB88" i="65"/>
  <c r="CA88" i="65"/>
  <c r="BZ88" i="65"/>
  <c r="BY88" i="65"/>
  <c r="BX88" i="65"/>
  <c r="BW88" i="65"/>
  <c r="BV88" i="65"/>
  <c r="BU88" i="65"/>
  <c r="BT88" i="65"/>
  <c r="BS88" i="65"/>
  <c r="BR88" i="65"/>
  <c r="BQ88" i="65"/>
  <c r="BP88" i="65"/>
  <c r="BO88" i="65"/>
  <c r="BN88" i="65"/>
  <c r="BM88" i="65"/>
  <c r="BL88" i="65"/>
  <c r="BK88" i="65"/>
  <c r="BJ88" i="65"/>
  <c r="BI88" i="65"/>
  <c r="BH88" i="65"/>
  <c r="BG88" i="65"/>
  <c r="BF88" i="65"/>
  <c r="BE88" i="65"/>
  <c r="BD88" i="65"/>
  <c r="BC88" i="65"/>
  <c r="BB88" i="65"/>
  <c r="BA88" i="65"/>
  <c r="AZ88" i="65"/>
  <c r="AY88" i="65"/>
  <c r="AX88" i="65"/>
  <c r="AW88" i="65"/>
  <c r="AV88" i="65"/>
  <c r="AU88" i="65"/>
  <c r="AT88" i="65"/>
  <c r="AS88" i="65"/>
  <c r="AR88" i="65"/>
  <c r="AQ88" i="65"/>
  <c r="AP88" i="65"/>
  <c r="EL88" i="65" s="1"/>
  <c r="AO88" i="65"/>
  <c r="EK88" i="65" s="1"/>
  <c r="AN88" i="65"/>
  <c r="EJ88" i="65" s="1"/>
  <c r="AM88" i="65"/>
  <c r="EI88" i="65" s="1"/>
  <c r="AL88" i="65"/>
  <c r="EH88" i="65" s="1"/>
  <c r="AK88" i="65"/>
  <c r="AJ88" i="65"/>
  <c r="AI88" i="65"/>
  <c r="AH88" i="65"/>
  <c r="AG88" i="65"/>
  <c r="AF88" i="65"/>
  <c r="AE88" i="65"/>
  <c r="AD88" i="65"/>
  <c r="AC88" i="65"/>
  <c r="AB88" i="65"/>
  <c r="Z88" i="65"/>
  <c r="Y88" i="65"/>
  <c r="X88" i="65"/>
  <c r="W88" i="65"/>
  <c r="V88" i="65"/>
  <c r="U88" i="65"/>
  <c r="T88" i="65"/>
  <c r="S88" i="65"/>
  <c r="R88" i="65"/>
  <c r="Q88" i="65"/>
  <c r="O88" i="65"/>
  <c r="N88" i="65"/>
  <c r="M88" i="65"/>
  <c r="L88" i="65"/>
  <c r="K88" i="65"/>
  <c r="J88" i="65"/>
  <c r="I88" i="65"/>
  <c r="H88" i="65"/>
  <c r="G88" i="65"/>
  <c r="F88" i="65"/>
  <c r="E88" i="65"/>
  <c r="DU87" i="65"/>
  <c r="DT87" i="65"/>
  <c r="DS87" i="65"/>
  <c r="DR87" i="65"/>
  <c r="DQ87" i="65"/>
  <c r="DP87" i="65"/>
  <c r="DO87" i="65"/>
  <c r="DN87" i="65"/>
  <c r="DM87" i="65"/>
  <c r="DL87" i="65"/>
  <c r="DK87" i="65"/>
  <c r="DJ87" i="65"/>
  <c r="DI87" i="65"/>
  <c r="DH87" i="65"/>
  <c r="DG87" i="65"/>
  <c r="DF87" i="65"/>
  <c r="DE87" i="65"/>
  <c r="DD87" i="65"/>
  <c r="DC87" i="65"/>
  <c r="DB87" i="65"/>
  <c r="DA87" i="65"/>
  <c r="CZ87" i="65"/>
  <c r="CY87" i="65"/>
  <c r="CX87" i="65"/>
  <c r="CW87" i="65"/>
  <c r="CV87" i="65"/>
  <c r="CU87" i="65"/>
  <c r="CT87" i="65"/>
  <c r="CS87" i="65"/>
  <c r="CR87" i="65"/>
  <c r="CQ87" i="65"/>
  <c r="CP87" i="65"/>
  <c r="CO87" i="65"/>
  <c r="CN87" i="65"/>
  <c r="CM87" i="65"/>
  <c r="CL87" i="65"/>
  <c r="CK87" i="65"/>
  <c r="CJ87" i="65"/>
  <c r="CI87" i="65"/>
  <c r="CH87" i="65"/>
  <c r="CG87" i="65"/>
  <c r="CF87" i="65"/>
  <c r="CE87" i="65"/>
  <c r="CD87" i="65"/>
  <c r="CC87" i="65"/>
  <c r="CB87" i="65"/>
  <c r="CA87" i="65"/>
  <c r="BZ87" i="65"/>
  <c r="BY87" i="65"/>
  <c r="BX87" i="65"/>
  <c r="BW87" i="65"/>
  <c r="BV87" i="65"/>
  <c r="BU87" i="65"/>
  <c r="BT87" i="65"/>
  <c r="BS87" i="65"/>
  <c r="BR87" i="65"/>
  <c r="BQ87" i="65"/>
  <c r="BP87" i="65"/>
  <c r="BO87" i="65"/>
  <c r="BN87" i="65"/>
  <c r="BM87" i="65"/>
  <c r="BL87" i="65"/>
  <c r="BK87" i="65"/>
  <c r="BJ87" i="65"/>
  <c r="BI87" i="65"/>
  <c r="BH87" i="65"/>
  <c r="BG87" i="65"/>
  <c r="BF87" i="65"/>
  <c r="BE87" i="65"/>
  <c r="BD87" i="65"/>
  <c r="BC87" i="65"/>
  <c r="BB87" i="65"/>
  <c r="BA87" i="65"/>
  <c r="AZ87" i="65"/>
  <c r="AY87" i="65"/>
  <c r="AX87" i="65"/>
  <c r="AW87" i="65"/>
  <c r="AV87" i="65"/>
  <c r="ER87" i="65" s="1"/>
  <c r="AU87" i="65"/>
  <c r="AT87" i="65"/>
  <c r="AS87" i="65"/>
  <c r="AR87" i="65"/>
  <c r="AQ87" i="65"/>
  <c r="EM87" i="65" s="1"/>
  <c r="AP87" i="65"/>
  <c r="AO87" i="65"/>
  <c r="AN87" i="65"/>
  <c r="EJ87" i="65" s="1"/>
  <c r="AM87" i="65"/>
  <c r="AL87" i="65"/>
  <c r="EH87" i="65" s="1"/>
  <c r="AK87" i="65"/>
  <c r="AJ87" i="65"/>
  <c r="AI87" i="65"/>
  <c r="AH87" i="65"/>
  <c r="AG87" i="65"/>
  <c r="AF87" i="65"/>
  <c r="AE87" i="65"/>
  <c r="AD87" i="65"/>
  <c r="AC87" i="65"/>
  <c r="AB87" i="65"/>
  <c r="Z87" i="65"/>
  <c r="Y87" i="65"/>
  <c r="X87" i="65"/>
  <c r="W87" i="65"/>
  <c r="V87" i="65"/>
  <c r="U87" i="65"/>
  <c r="T87" i="65"/>
  <c r="S87" i="65"/>
  <c r="R87" i="65"/>
  <c r="Q87" i="65"/>
  <c r="O87" i="65"/>
  <c r="N87" i="65"/>
  <c r="M87" i="65"/>
  <c r="L87" i="65"/>
  <c r="K87" i="65"/>
  <c r="J87" i="65"/>
  <c r="I87" i="65"/>
  <c r="H87" i="65"/>
  <c r="G87" i="65"/>
  <c r="F87" i="65"/>
  <c r="E87" i="65"/>
  <c r="DU86" i="65"/>
  <c r="DT86" i="65"/>
  <c r="DS86" i="65"/>
  <c r="DR86" i="65"/>
  <c r="DQ86" i="65"/>
  <c r="DP86" i="65"/>
  <c r="DO86" i="65"/>
  <c r="DN86" i="65"/>
  <c r="DM86" i="65"/>
  <c r="DL86" i="65"/>
  <c r="DK86" i="65"/>
  <c r="DJ86" i="65"/>
  <c r="DI86" i="65"/>
  <c r="DH86" i="65"/>
  <c r="DG86" i="65"/>
  <c r="DF86" i="65"/>
  <c r="DE86" i="65"/>
  <c r="DD86" i="65"/>
  <c r="DC86" i="65"/>
  <c r="DB86" i="65"/>
  <c r="DA86" i="65"/>
  <c r="CZ86" i="65"/>
  <c r="CY86" i="65"/>
  <c r="CX86" i="65"/>
  <c r="CW86" i="65"/>
  <c r="CV86" i="65"/>
  <c r="CU86" i="65"/>
  <c r="CT86" i="65"/>
  <c r="CS86" i="65"/>
  <c r="CR86" i="65"/>
  <c r="CQ86" i="65"/>
  <c r="CP86" i="65"/>
  <c r="CO86" i="65"/>
  <c r="CN86" i="65"/>
  <c r="CM86" i="65"/>
  <c r="CL86" i="65"/>
  <c r="CK86" i="65"/>
  <c r="CJ86" i="65"/>
  <c r="CI86" i="65"/>
  <c r="CH86" i="65"/>
  <c r="CG86" i="65"/>
  <c r="CF86" i="65"/>
  <c r="CE86" i="65"/>
  <c r="CD86" i="65"/>
  <c r="CC86" i="65"/>
  <c r="CB86" i="65"/>
  <c r="CA86" i="65"/>
  <c r="BZ86" i="65"/>
  <c r="BY86" i="65"/>
  <c r="BX86" i="65"/>
  <c r="BW86" i="65"/>
  <c r="BV86" i="65"/>
  <c r="BU86" i="65"/>
  <c r="BT86" i="65"/>
  <c r="BS86" i="65"/>
  <c r="BR86" i="65"/>
  <c r="BQ86" i="65"/>
  <c r="BP86" i="65"/>
  <c r="BO86" i="65"/>
  <c r="BN86" i="65"/>
  <c r="BM86" i="65"/>
  <c r="BL86" i="65"/>
  <c r="BK86" i="65"/>
  <c r="BJ86" i="65"/>
  <c r="BI86" i="65"/>
  <c r="BH86" i="65"/>
  <c r="BG86" i="65"/>
  <c r="BF86" i="65"/>
  <c r="BE86" i="65"/>
  <c r="BD86" i="65"/>
  <c r="BC86" i="65"/>
  <c r="BB86" i="65"/>
  <c r="BA86" i="65"/>
  <c r="AZ86" i="65"/>
  <c r="AY86" i="65"/>
  <c r="AX86" i="65"/>
  <c r="AW86" i="65"/>
  <c r="AV86" i="65"/>
  <c r="AU86" i="65"/>
  <c r="EQ86" i="65" s="1"/>
  <c r="AT86" i="65"/>
  <c r="AS86" i="65"/>
  <c r="AR86" i="65"/>
  <c r="AQ86" i="65"/>
  <c r="EM86" i="65" s="1"/>
  <c r="AP86" i="65"/>
  <c r="AO86" i="65"/>
  <c r="AN86" i="65"/>
  <c r="EJ86" i="65" s="1"/>
  <c r="AM86" i="65"/>
  <c r="AL86" i="65"/>
  <c r="EH86" i="65" s="1"/>
  <c r="AK86" i="65"/>
  <c r="AJ86" i="65"/>
  <c r="AI86" i="65"/>
  <c r="AH86" i="65"/>
  <c r="AG86" i="65"/>
  <c r="AF86" i="65"/>
  <c r="AE86" i="65"/>
  <c r="AD86" i="65"/>
  <c r="AC86" i="65"/>
  <c r="AB86" i="65"/>
  <c r="Z86" i="65"/>
  <c r="Y86" i="65"/>
  <c r="X86" i="65"/>
  <c r="W86" i="65"/>
  <c r="V86" i="65"/>
  <c r="U86" i="65"/>
  <c r="T86" i="65"/>
  <c r="S86" i="65"/>
  <c r="R86" i="65"/>
  <c r="Q86" i="65"/>
  <c r="O86" i="65"/>
  <c r="N86" i="65"/>
  <c r="M86" i="65"/>
  <c r="L86" i="65"/>
  <c r="K86" i="65"/>
  <c r="J86" i="65"/>
  <c r="I86" i="65"/>
  <c r="H86" i="65"/>
  <c r="G86" i="65"/>
  <c r="F86" i="65"/>
  <c r="E86" i="65"/>
  <c r="DU85" i="65"/>
  <c r="DT85" i="65"/>
  <c r="DS85" i="65"/>
  <c r="DR85" i="65"/>
  <c r="DQ85" i="65"/>
  <c r="DP85" i="65"/>
  <c r="DO85" i="65"/>
  <c r="DN85" i="65"/>
  <c r="DM85" i="65"/>
  <c r="DL85" i="65"/>
  <c r="DK85" i="65"/>
  <c r="DJ85" i="65"/>
  <c r="DI85" i="65"/>
  <c r="DH85" i="65"/>
  <c r="DG85" i="65"/>
  <c r="DF85" i="65"/>
  <c r="DE85" i="65"/>
  <c r="DD85" i="65"/>
  <c r="DC85" i="65"/>
  <c r="DB85" i="65"/>
  <c r="DA85" i="65"/>
  <c r="CZ85" i="65"/>
  <c r="CY85" i="65"/>
  <c r="CX85" i="65"/>
  <c r="CW85" i="65"/>
  <c r="CV85" i="65"/>
  <c r="CU85" i="65"/>
  <c r="CT85" i="65"/>
  <c r="CS85" i="65"/>
  <c r="CR85" i="65"/>
  <c r="CQ85" i="65"/>
  <c r="CP85" i="65"/>
  <c r="CO85" i="65"/>
  <c r="CN85" i="65"/>
  <c r="CM85" i="65"/>
  <c r="CL85" i="65"/>
  <c r="CK85" i="65"/>
  <c r="CJ85" i="65"/>
  <c r="CI85" i="65"/>
  <c r="CH85" i="65"/>
  <c r="CG85" i="65"/>
  <c r="CF85" i="65"/>
  <c r="CE85" i="65"/>
  <c r="CD85" i="65"/>
  <c r="CC85" i="65"/>
  <c r="CB85" i="65"/>
  <c r="CA85" i="65"/>
  <c r="BZ85" i="65"/>
  <c r="BY85" i="65"/>
  <c r="BX85" i="65"/>
  <c r="BW85" i="65"/>
  <c r="BV85" i="65"/>
  <c r="BU85" i="65"/>
  <c r="BT85" i="65"/>
  <c r="BS85" i="65"/>
  <c r="BR85" i="65"/>
  <c r="BQ85" i="65"/>
  <c r="BP85" i="65"/>
  <c r="BO85" i="65"/>
  <c r="BN85" i="65"/>
  <c r="BM85" i="65"/>
  <c r="BL85" i="65"/>
  <c r="BK85" i="65"/>
  <c r="BJ85" i="65"/>
  <c r="BI85" i="65"/>
  <c r="BH85" i="65"/>
  <c r="BG85" i="65"/>
  <c r="BF85" i="65"/>
  <c r="BE85" i="65"/>
  <c r="BD85" i="65"/>
  <c r="BC85" i="65"/>
  <c r="BB85" i="65"/>
  <c r="BA85" i="65"/>
  <c r="AZ85" i="65"/>
  <c r="AY85" i="65"/>
  <c r="AX85" i="65"/>
  <c r="AW85" i="65"/>
  <c r="AV85" i="65"/>
  <c r="AU85" i="65"/>
  <c r="AT85" i="65"/>
  <c r="EP85" i="65" s="1"/>
  <c r="AS85" i="65"/>
  <c r="AR85" i="65"/>
  <c r="AQ85" i="65"/>
  <c r="AP85" i="65"/>
  <c r="AO85" i="65"/>
  <c r="EK85" i="65" s="1"/>
  <c r="AN85" i="65"/>
  <c r="AM85" i="65"/>
  <c r="EI85" i="65" s="1"/>
  <c r="AL85" i="65"/>
  <c r="AK85" i="65"/>
  <c r="AJ85" i="65"/>
  <c r="AI85" i="65"/>
  <c r="AH85" i="65"/>
  <c r="AG85" i="65"/>
  <c r="AF85" i="65"/>
  <c r="AE85" i="65"/>
  <c r="AD85" i="65"/>
  <c r="AC85" i="65"/>
  <c r="AB85" i="65"/>
  <c r="Z85" i="65"/>
  <c r="Y85" i="65"/>
  <c r="X85" i="65"/>
  <c r="W85" i="65"/>
  <c r="V85" i="65"/>
  <c r="U85" i="65"/>
  <c r="T85" i="65"/>
  <c r="S85" i="65"/>
  <c r="R85" i="65"/>
  <c r="Q85" i="65"/>
  <c r="O85" i="65"/>
  <c r="N85" i="65"/>
  <c r="M85" i="65"/>
  <c r="L85" i="65"/>
  <c r="K85" i="65"/>
  <c r="J85" i="65"/>
  <c r="I85" i="65"/>
  <c r="H85" i="65"/>
  <c r="G85" i="65"/>
  <c r="F85" i="65"/>
  <c r="E85" i="65"/>
  <c r="DU84" i="65"/>
  <c r="DT84" i="65"/>
  <c r="DS84" i="65"/>
  <c r="DR84" i="65"/>
  <c r="DQ84" i="65"/>
  <c r="DP84" i="65"/>
  <c r="DO84" i="65"/>
  <c r="DN84" i="65"/>
  <c r="DM84" i="65"/>
  <c r="DL84" i="65"/>
  <c r="DK84" i="65"/>
  <c r="DJ84" i="65"/>
  <c r="DI84" i="65"/>
  <c r="DH84" i="65"/>
  <c r="DG84" i="65"/>
  <c r="DF84" i="65"/>
  <c r="DE84" i="65"/>
  <c r="DD84" i="65"/>
  <c r="DC84" i="65"/>
  <c r="DB84" i="65"/>
  <c r="DA84" i="65"/>
  <c r="CZ84" i="65"/>
  <c r="CY84" i="65"/>
  <c r="CX84" i="65"/>
  <c r="CW84" i="65"/>
  <c r="CV84" i="65"/>
  <c r="CU84" i="65"/>
  <c r="CT84" i="65"/>
  <c r="CS84" i="65"/>
  <c r="CR84" i="65"/>
  <c r="CQ84" i="65"/>
  <c r="CP84" i="65"/>
  <c r="CO84" i="65"/>
  <c r="CN84" i="65"/>
  <c r="CM84" i="65"/>
  <c r="CL84" i="65"/>
  <c r="CK84" i="65"/>
  <c r="CJ84" i="65"/>
  <c r="CI84" i="65"/>
  <c r="CH84" i="65"/>
  <c r="CG84" i="65"/>
  <c r="CF84" i="65"/>
  <c r="CE84" i="65"/>
  <c r="CD84" i="65"/>
  <c r="CC84" i="65"/>
  <c r="CB84" i="65"/>
  <c r="CA84" i="65"/>
  <c r="BZ84" i="65"/>
  <c r="BY84" i="65"/>
  <c r="BX84" i="65"/>
  <c r="BW84" i="65"/>
  <c r="BV84" i="65"/>
  <c r="BU84" i="65"/>
  <c r="BT84" i="65"/>
  <c r="BS84" i="65"/>
  <c r="BR84" i="65"/>
  <c r="BQ84" i="65"/>
  <c r="BP84" i="65"/>
  <c r="BO84" i="65"/>
  <c r="BN84" i="65"/>
  <c r="BM84" i="65"/>
  <c r="BL84" i="65"/>
  <c r="BK84" i="65"/>
  <c r="BJ84" i="65"/>
  <c r="BI84" i="65"/>
  <c r="BH84" i="65"/>
  <c r="BG84" i="65"/>
  <c r="BF84" i="65"/>
  <c r="BE84" i="65"/>
  <c r="BD84" i="65"/>
  <c r="BC84" i="65"/>
  <c r="BB84" i="65"/>
  <c r="BA84" i="65"/>
  <c r="AZ84" i="65"/>
  <c r="AY84" i="65"/>
  <c r="AX84" i="65"/>
  <c r="AW84" i="65"/>
  <c r="AV84" i="65"/>
  <c r="AU84" i="65"/>
  <c r="AT84" i="65"/>
  <c r="EP84" i="65" s="1"/>
  <c r="AS84" i="65"/>
  <c r="EO84" i="65" s="1"/>
  <c r="AR84" i="65"/>
  <c r="AQ84" i="65"/>
  <c r="EM84" i="65" s="1"/>
  <c r="AP84" i="65"/>
  <c r="AO84" i="65"/>
  <c r="EK84" i="65" s="1"/>
  <c r="AN84" i="65"/>
  <c r="EJ84" i="65" s="1"/>
  <c r="AM84" i="65"/>
  <c r="AL84" i="65"/>
  <c r="AK84" i="65"/>
  <c r="AJ84" i="65"/>
  <c r="AI84" i="65"/>
  <c r="AH84" i="65"/>
  <c r="AG84" i="65"/>
  <c r="AF84" i="65"/>
  <c r="AE84" i="65"/>
  <c r="AD84" i="65"/>
  <c r="AC84" i="65"/>
  <c r="AB84" i="65"/>
  <c r="Z84" i="65"/>
  <c r="Y84" i="65"/>
  <c r="X84" i="65"/>
  <c r="W84" i="65"/>
  <c r="V84" i="65"/>
  <c r="U84" i="65"/>
  <c r="T84" i="65"/>
  <c r="S84" i="65"/>
  <c r="R84" i="65"/>
  <c r="Q84" i="65"/>
  <c r="O84" i="65"/>
  <c r="N84" i="65"/>
  <c r="M84" i="65"/>
  <c r="L84" i="65"/>
  <c r="K84" i="65"/>
  <c r="J84" i="65"/>
  <c r="I84" i="65"/>
  <c r="H84" i="65"/>
  <c r="G84" i="65"/>
  <c r="F84" i="65"/>
  <c r="E84" i="65"/>
  <c r="DU83" i="65"/>
  <c r="DT83" i="65"/>
  <c r="DS83" i="65"/>
  <c r="DR83" i="65"/>
  <c r="DQ83" i="65"/>
  <c r="DP83" i="65"/>
  <c r="DO83" i="65"/>
  <c r="DN83" i="65"/>
  <c r="DM83" i="65"/>
  <c r="DL83" i="65"/>
  <c r="DK83" i="65"/>
  <c r="DJ83" i="65"/>
  <c r="DI83" i="65"/>
  <c r="DH83" i="65"/>
  <c r="DG83" i="65"/>
  <c r="DF83" i="65"/>
  <c r="DE83" i="65"/>
  <c r="DD83" i="65"/>
  <c r="DC83" i="65"/>
  <c r="DB83" i="65"/>
  <c r="DA83" i="65"/>
  <c r="CZ83" i="65"/>
  <c r="CY83" i="65"/>
  <c r="CX83" i="65"/>
  <c r="CW83" i="65"/>
  <c r="CV83" i="65"/>
  <c r="CU83" i="65"/>
  <c r="CT83" i="65"/>
  <c r="CS83" i="65"/>
  <c r="CR83" i="65"/>
  <c r="CQ83" i="65"/>
  <c r="CP83" i="65"/>
  <c r="CO83" i="65"/>
  <c r="CN83" i="65"/>
  <c r="CM83" i="65"/>
  <c r="CL83" i="65"/>
  <c r="CK83" i="65"/>
  <c r="CJ83" i="65"/>
  <c r="CI83" i="65"/>
  <c r="CH83" i="65"/>
  <c r="CG83" i="65"/>
  <c r="CF83" i="65"/>
  <c r="CE83" i="65"/>
  <c r="CD83" i="65"/>
  <c r="CC83" i="65"/>
  <c r="CB83" i="65"/>
  <c r="CA83" i="65"/>
  <c r="BZ83" i="65"/>
  <c r="BY83" i="65"/>
  <c r="BX83" i="65"/>
  <c r="BW83" i="65"/>
  <c r="BV83" i="65"/>
  <c r="BU83" i="65"/>
  <c r="BT83" i="65"/>
  <c r="BS83" i="65"/>
  <c r="BR83" i="65"/>
  <c r="BQ83" i="65"/>
  <c r="BP83" i="65"/>
  <c r="BO83" i="65"/>
  <c r="BN83" i="65"/>
  <c r="BM83" i="65"/>
  <c r="BL83" i="65"/>
  <c r="BK83" i="65"/>
  <c r="BJ83" i="65"/>
  <c r="BI83" i="65"/>
  <c r="BH83" i="65"/>
  <c r="BG83" i="65"/>
  <c r="BF83" i="65"/>
  <c r="BE83" i="65"/>
  <c r="BD83" i="65"/>
  <c r="BC83" i="65"/>
  <c r="BB83" i="65"/>
  <c r="BA83" i="65"/>
  <c r="AZ83" i="65"/>
  <c r="AY83" i="65"/>
  <c r="AX83" i="65"/>
  <c r="AW83" i="65"/>
  <c r="AV83" i="65"/>
  <c r="ER83" i="65" s="1"/>
  <c r="AU83" i="65"/>
  <c r="AT83" i="65"/>
  <c r="EP83" i="65" s="1"/>
  <c r="AS83" i="65"/>
  <c r="AR83" i="65"/>
  <c r="EN83" i="65" s="1"/>
  <c r="AQ83" i="65"/>
  <c r="EM83" i="65" s="1"/>
  <c r="AP83" i="65"/>
  <c r="AO83" i="65"/>
  <c r="AN83" i="65"/>
  <c r="AM83" i="65"/>
  <c r="EI83" i="65" s="1"/>
  <c r="AL83" i="65"/>
  <c r="EH83" i="65" s="1"/>
  <c r="AK83" i="65"/>
  <c r="AJ83" i="65"/>
  <c r="AI83" i="65"/>
  <c r="AH83" i="65"/>
  <c r="AG83" i="65"/>
  <c r="AF83" i="65"/>
  <c r="AE83" i="65"/>
  <c r="AD83" i="65"/>
  <c r="AC83" i="65"/>
  <c r="AB83" i="65"/>
  <c r="Z83" i="65"/>
  <c r="Y83" i="65"/>
  <c r="X83" i="65"/>
  <c r="W83" i="65"/>
  <c r="V83" i="65"/>
  <c r="U83" i="65"/>
  <c r="T83" i="65"/>
  <c r="S83" i="65"/>
  <c r="R83" i="65"/>
  <c r="Q83" i="65"/>
  <c r="O83" i="65"/>
  <c r="N83" i="65"/>
  <c r="M83" i="65"/>
  <c r="L83" i="65"/>
  <c r="K83" i="65"/>
  <c r="J83" i="65"/>
  <c r="I83" i="65"/>
  <c r="H83" i="65"/>
  <c r="G83" i="65"/>
  <c r="F83" i="65"/>
  <c r="E83" i="65"/>
  <c r="DU82" i="65"/>
  <c r="DT82" i="65"/>
  <c r="DS82" i="65"/>
  <c r="DR82" i="65"/>
  <c r="DQ82" i="65"/>
  <c r="DP82" i="65"/>
  <c r="DO82" i="65"/>
  <c r="DN82" i="65"/>
  <c r="DM82" i="65"/>
  <c r="DL82" i="65"/>
  <c r="DK82" i="65"/>
  <c r="DJ82" i="65"/>
  <c r="DI82" i="65"/>
  <c r="DH82" i="65"/>
  <c r="DG82" i="65"/>
  <c r="DF82" i="65"/>
  <c r="DE82" i="65"/>
  <c r="DD82" i="65"/>
  <c r="DC82" i="65"/>
  <c r="DB82" i="65"/>
  <c r="DA82" i="65"/>
  <c r="CZ82" i="65"/>
  <c r="CY82" i="65"/>
  <c r="CX82" i="65"/>
  <c r="CW82" i="65"/>
  <c r="CV82" i="65"/>
  <c r="CU82" i="65"/>
  <c r="CT82" i="65"/>
  <c r="CS82" i="65"/>
  <c r="CR82" i="65"/>
  <c r="CQ82" i="65"/>
  <c r="CP82" i="65"/>
  <c r="CO82" i="65"/>
  <c r="CN82" i="65"/>
  <c r="CM82" i="65"/>
  <c r="CL82" i="65"/>
  <c r="CK82" i="65"/>
  <c r="CJ82" i="65"/>
  <c r="CI82" i="65"/>
  <c r="CH82" i="65"/>
  <c r="CG82" i="65"/>
  <c r="CF82" i="65"/>
  <c r="CE82" i="65"/>
  <c r="CD82" i="65"/>
  <c r="CC82" i="65"/>
  <c r="CB82" i="65"/>
  <c r="CA82" i="65"/>
  <c r="BZ82" i="65"/>
  <c r="BY82" i="65"/>
  <c r="BX82" i="65"/>
  <c r="BW82" i="65"/>
  <c r="BV82" i="65"/>
  <c r="BU82" i="65"/>
  <c r="BT82" i="65"/>
  <c r="BS82" i="65"/>
  <c r="BR82" i="65"/>
  <c r="BQ82" i="65"/>
  <c r="BP82" i="65"/>
  <c r="BO82" i="65"/>
  <c r="BN82" i="65"/>
  <c r="BM82" i="65"/>
  <c r="BL82" i="65"/>
  <c r="BK82" i="65"/>
  <c r="BJ82" i="65"/>
  <c r="BI82" i="65"/>
  <c r="BH82" i="65"/>
  <c r="BG82" i="65"/>
  <c r="BF82" i="65"/>
  <c r="BE82" i="65"/>
  <c r="BD82" i="65"/>
  <c r="BC82" i="65"/>
  <c r="BB82" i="65"/>
  <c r="BA82" i="65"/>
  <c r="AZ82" i="65"/>
  <c r="AY82" i="65"/>
  <c r="AX82" i="65"/>
  <c r="AW82" i="65"/>
  <c r="AV82" i="65"/>
  <c r="AU82" i="65"/>
  <c r="AT82" i="65"/>
  <c r="EP82" i="65" s="1"/>
  <c r="AS82" i="65"/>
  <c r="AR82" i="65"/>
  <c r="EN82" i="65" s="1"/>
  <c r="AQ82" i="65"/>
  <c r="AP82" i="65"/>
  <c r="AO82" i="65"/>
  <c r="EK82" i="65" s="1"/>
  <c r="AN82" i="65"/>
  <c r="AM82" i="65"/>
  <c r="AL82" i="65"/>
  <c r="AK82" i="65"/>
  <c r="AJ82" i="65"/>
  <c r="AI82" i="65"/>
  <c r="AH82" i="65"/>
  <c r="AG82" i="65"/>
  <c r="AF82" i="65"/>
  <c r="AE82" i="65"/>
  <c r="AD82" i="65"/>
  <c r="AC82" i="65"/>
  <c r="AB82" i="65"/>
  <c r="Z82" i="65"/>
  <c r="Y82" i="65"/>
  <c r="X82" i="65"/>
  <c r="W82" i="65"/>
  <c r="V82" i="65"/>
  <c r="U82" i="65"/>
  <c r="T82" i="65"/>
  <c r="S82" i="65"/>
  <c r="R82" i="65"/>
  <c r="Q82" i="65"/>
  <c r="O82" i="65"/>
  <c r="N82" i="65"/>
  <c r="M82" i="65"/>
  <c r="L82" i="65"/>
  <c r="K82" i="65"/>
  <c r="J82" i="65"/>
  <c r="I82" i="65"/>
  <c r="H82" i="65"/>
  <c r="G82" i="65"/>
  <c r="F82" i="65"/>
  <c r="E82" i="65"/>
  <c r="DU81" i="65"/>
  <c r="DT81" i="65"/>
  <c r="DS81" i="65"/>
  <c r="DR81" i="65"/>
  <c r="DQ81" i="65"/>
  <c r="DP81" i="65"/>
  <c r="DO81" i="65"/>
  <c r="DN81" i="65"/>
  <c r="DM81" i="65"/>
  <c r="DL81" i="65"/>
  <c r="DK81" i="65"/>
  <c r="DJ81" i="65"/>
  <c r="DI81" i="65"/>
  <c r="DH81" i="65"/>
  <c r="DG81" i="65"/>
  <c r="DF81" i="65"/>
  <c r="DE81" i="65"/>
  <c r="DD81" i="65"/>
  <c r="DC81" i="65"/>
  <c r="DB81" i="65"/>
  <c r="DA81" i="65"/>
  <c r="CZ81" i="65"/>
  <c r="CY81" i="65"/>
  <c r="CX81" i="65"/>
  <c r="CW81" i="65"/>
  <c r="CV81" i="65"/>
  <c r="CU81" i="65"/>
  <c r="CT81" i="65"/>
  <c r="CS81" i="65"/>
  <c r="CR81" i="65"/>
  <c r="CQ81" i="65"/>
  <c r="CP81" i="65"/>
  <c r="CO81" i="65"/>
  <c r="CN81" i="65"/>
  <c r="CM81" i="65"/>
  <c r="CL81" i="65"/>
  <c r="CK81" i="65"/>
  <c r="CJ81" i="65"/>
  <c r="CI81" i="65"/>
  <c r="CH81" i="65"/>
  <c r="CG81" i="65"/>
  <c r="CF81" i="65"/>
  <c r="CE81" i="65"/>
  <c r="CD81" i="65"/>
  <c r="CC81" i="65"/>
  <c r="CB81" i="65"/>
  <c r="CA81" i="65"/>
  <c r="BZ81" i="65"/>
  <c r="BY81" i="65"/>
  <c r="BX81" i="65"/>
  <c r="BW81" i="65"/>
  <c r="BV81" i="65"/>
  <c r="BU81" i="65"/>
  <c r="BT81" i="65"/>
  <c r="BS81" i="65"/>
  <c r="BR81" i="65"/>
  <c r="BQ81" i="65"/>
  <c r="BP81" i="65"/>
  <c r="BO81" i="65"/>
  <c r="BN81" i="65"/>
  <c r="BM81" i="65"/>
  <c r="BL81" i="65"/>
  <c r="BK81" i="65"/>
  <c r="BJ81" i="65"/>
  <c r="BI81" i="65"/>
  <c r="BH81" i="65"/>
  <c r="BG81" i="65"/>
  <c r="BF81" i="65"/>
  <c r="BE81" i="65"/>
  <c r="BD81" i="65"/>
  <c r="BC81" i="65"/>
  <c r="BB81" i="65"/>
  <c r="BA81" i="65"/>
  <c r="AZ81" i="65"/>
  <c r="AY81" i="65"/>
  <c r="AX81" i="65"/>
  <c r="AW81" i="65"/>
  <c r="AV81" i="65"/>
  <c r="ER81" i="65" s="1"/>
  <c r="AU81" i="65"/>
  <c r="AT81" i="65"/>
  <c r="EP81" i="65" s="1"/>
  <c r="AS81" i="65"/>
  <c r="AR81" i="65"/>
  <c r="AQ81" i="65"/>
  <c r="EM81" i="65" s="1"/>
  <c r="AP81" i="65"/>
  <c r="AO81" i="65"/>
  <c r="EK81" i="65" s="1"/>
  <c r="AN81" i="65"/>
  <c r="EJ81" i="65" s="1"/>
  <c r="AM81" i="65"/>
  <c r="AL81" i="65"/>
  <c r="AK81" i="65"/>
  <c r="AJ81" i="65"/>
  <c r="AI81" i="65"/>
  <c r="AH81" i="65"/>
  <c r="AG81" i="65"/>
  <c r="AF81" i="65"/>
  <c r="AE81" i="65"/>
  <c r="AD81" i="65"/>
  <c r="AC81" i="65"/>
  <c r="AB81" i="65"/>
  <c r="Z81" i="65"/>
  <c r="Y81" i="65"/>
  <c r="X81" i="65"/>
  <c r="W81" i="65"/>
  <c r="V81" i="65"/>
  <c r="U81" i="65"/>
  <c r="T81" i="65"/>
  <c r="S81" i="65"/>
  <c r="R81" i="65"/>
  <c r="Q81" i="65"/>
  <c r="O81" i="65"/>
  <c r="N81" i="65"/>
  <c r="M81" i="65"/>
  <c r="L81" i="65"/>
  <c r="K81" i="65"/>
  <c r="J81" i="65"/>
  <c r="I81" i="65"/>
  <c r="H81" i="65"/>
  <c r="G81" i="65"/>
  <c r="F81" i="65"/>
  <c r="E81" i="65"/>
  <c r="DU80" i="65"/>
  <c r="DT80" i="65"/>
  <c r="DS80" i="65"/>
  <c r="DR80" i="65"/>
  <c r="DQ80" i="65"/>
  <c r="DP80" i="65"/>
  <c r="DO80" i="65"/>
  <c r="DN80" i="65"/>
  <c r="DM80" i="65"/>
  <c r="DL80" i="65"/>
  <c r="DK80" i="65"/>
  <c r="DJ80" i="65"/>
  <c r="DI80" i="65"/>
  <c r="DH80" i="65"/>
  <c r="DG80" i="65"/>
  <c r="DF80" i="65"/>
  <c r="DE80" i="65"/>
  <c r="DD80" i="65"/>
  <c r="DC80" i="65"/>
  <c r="DB80" i="65"/>
  <c r="DA80" i="65"/>
  <c r="CZ80" i="65"/>
  <c r="CY80" i="65"/>
  <c r="CX80" i="65"/>
  <c r="CW80" i="65"/>
  <c r="CV80" i="65"/>
  <c r="CU80" i="65"/>
  <c r="CT80" i="65"/>
  <c r="CS80" i="65"/>
  <c r="CR80" i="65"/>
  <c r="CQ80" i="65"/>
  <c r="CP80" i="65"/>
  <c r="CO80" i="65"/>
  <c r="CN80" i="65"/>
  <c r="CM80" i="65"/>
  <c r="CL80" i="65"/>
  <c r="CK80" i="65"/>
  <c r="CJ80" i="65"/>
  <c r="CI80" i="65"/>
  <c r="CH80" i="65"/>
  <c r="CG80" i="65"/>
  <c r="CF80" i="65"/>
  <c r="CE80" i="65"/>
  <c r="CD80" i="65"/>
  <c r="CC80" i="65"/>
  <c r="CB80" i="65"/>
  <c r="CA80" i="65"/>
  <c r="BZ80" i="65"/>
  <c r="BY80" i="65"/>
  <c r="BX80" i="65"/>
  <c r="BW80" i="65"/>
  <c r="BV80" i="65"/>
  <c r="BU80" i="65"/>
  <c r="BT80" i="65"/>
  <c r="BS80" i="65"/>
  <c r="BR80" i="65"/>
  <c r="BQ80" i="65"/>
  <c r="BP80" i="65"/>
  <c r="BO80" i="65"/>
  <c r="BN80" i="65"/>
  <c r="BM80" i="65"/>
  <c r="BL80" i="65"/>
  <c r="BK80" i="65"/>
  <c r="BJ80" i="65"/>
  <c r="BI80" i="65"/>
  <c r="BH80" i="65"/>
  <c r="BG80" i="65"/>
  <c r="BF80" i="65"/>
  <c r="BE80" i="65"/>
  <c r="BD80" i="65"/>
  <c r="BC80" i="65"/>
  <c r="BB80" i="65"/>
  <c r="BA80" i="65"/>
  <c r="AZ80" i="65"/>
  <c r="AY80" i="65"/>
  <c r="AX80" i="65"/>
  <c r="AW80" i="65"/>
  <c r="AV80" i="65"/>
  <c r="AU80" i="65"/>
  <c r="EQ80" i="65" s="1"/>
  <c r="AT80" i="65"/>
  <c r="AS80" i="65"/>
  <c r="EO80" i="65" s="1"/>
  <c r="AR80" i="65"/>
  <c r="AQ80" i="65"/>
  <c r="AP80" i="65"/>
  <c r="EL80" i="65" s="1"/>
  <c r="AO80" i="65"/>
  <c r="AN80" i="65"/>
  <c r="EJ80" i="65" s="1"/>
  <c r="AM80" i="65"/>
  <c r="EI80" i="65" s="1"/>
  <c r="AL80" i="65"/>
  <c r="AK80" i="65"/>
  <c r="AJ80" i="65"/>
  <c r="AI80" i="65"/>
  <c r="AH80" i="65"/>
  <c r="AG80" i="65"/>
  <c r="AF80" i="65"/>
  <c r="AE80" i="65"/>
  <c r="AD80" i="65"/>
  <c r="AC80" i="65"/>
  <c r="AB80" i="65"/>
  <c r="Z80" i="65"/>
  <c r="Y80" i="65"/>
  <c r="X80" i="65"/>
  <c r="W80" i="65"/>
  <c r="V80" i="65"/>
  <c r="U80" i="65"/>
  <c r="T80" i="65"/>
  <c r="S80" i="65"/>
  <c r="R80" i="65"/>
  <c r="Q80" i="65"/>
  <c r="O80" i="65"/>
  <c r="N80" i="65"/>
  <c r="M80" i="65"/>
  <c r="L80" i="65"/>
  <c r="K80" i="65"/>
  <c r="J80" i="65"/>
  <c r="I80" i="65"/>
  <c r="H80" i="65"/>
  <c r="G80" i="65"/>
  <c r="F80" i="65"/>
  <c r="E80" i="65"/>
  <c r="DU79" i="65"/>
  <c r="DT79" i="65"/>
  <c r="DS79" i="65"/>
  <c r="DR79" i="65"/>
  <c r="DQ79" i="65"/>
  <c r="DP79" i="65"/>
  <c r="DO79" i="65"/>
  <c r="DN79" i="65"/>
  <c r="DM79" i="65"/>
  <c r="DL79" i="65"/>
  <c r="DK79" i="65"/>
  <c r="DJ79" i="65"/>
  <c r="DI79" i="65"/>
  <c r="DH79" i="65"/>
  <c r="DG79" i="65"/>
  <c r="DF79" i="65"/>
  <c r="DE79" i="65"/>
  <c r="DD79" i="65"/>
  <c r="DC79" i="65"/>
  <c r="DB79" i="65"/>
  <c r="DA79" i="65"/>
  <c r="CZ79" i="65"/>
  <c r="CY79" i="65"/>
  <c r="CX79" i="65"/>
  <c r="CW79" i="65"/>
  <c r="CV79" i="65"/>
  <c r="CU79" i="65"/>
  <c r="CT79" i="65"/>
  <c r="CS79" i="65"/>
  <c r="CR79" i="65"/>
  <c r="CQ79" i="65"/>
  <c r="CP79" i="65"/>
  <c r="CO79" i="65"/>
  <c r="CN79" i="65"/>
  <c r="CM79" i="65"/>
  <c r="CL79" i="65"/>
  <c r="CK79" i="65"/>
  <c r="CJ79" i="65"/>
  <c r="CI79" i="65"/>
  <c r="CH79" i="65"/>
  <c r="CG79" i="65"/>
  <c r="CF79" i="65"/>
  <c r="CE79" i="65"/>
  <c r="CD79" i="65"/>
  <c r="CC79" i="65"/>
  <c r="CB79" i="65"/>
  <c r="CA79" i="65"/>
  <c r="BZ79" i="65"/>
  <c r="BY79" i="65"/>
  <c r="BX79" i="65"/>
  <c r="BW79" i="65"/>
  <c r="BV79" i="65"/>
  <c r="BU79" i="65"/>
  <c r="BT79" i="65"/>
  <c r="BS79" i="65"/>
  <c r="BR79" i="65"/>
  <c r="BQ79" i="65"/>
  <c r="BP79" i="65"/>
  <c r="BO79" i="65"/>
  <c r="BN79" i="65"/>
  <c r="BM79" i="65"/>
  <c r="BL79" i="65"/>
  <c r="BK79" i="65"/>
  <c r="BJ79" i="65"/>
  <c r="BI79" i="65"/>
  <c r="BH79" i="65"/>
  <c r="BG79" i="65"/>
  <c r="BF79" i="65"/>
  <c r="BE79" i="65"/>
  <c r="BD79" i="65"/>
  <c r="BC79" i="65"/>
  <c r="BB79" i="65"/>
  <c r="BA79" i="65"/>
  <c r="AZ79" i="65"/>
  <c r="AY79" i="65"/>
  <c r="AX79" i="65"/>
  <c r="AW79" i="65"/>
  <c r="AV79" i="65"/>
  <c r="ER79" i="65" s="1"/>
  <c r="AU79" i="65"/>
  <c r="AT79" i="65"/>
  <c r="EP79" i="65" s="1"/>
  <c r="AS79" i="65"/>
  <c r="AR79" i="65"/>
  <c r="AQ79" i="65"/>
  <c r="AP79" i="65"/>
  <c r="AO79" i="65"/>
  <c r="EK79" i="65" s="1"/>
  <c r="AN79" i="65"/>
  <c r="AM79" i="65"/>
  <c r="EI79" i="65" s="1"/>
  <c r="AL79" i="65"/>
  <c r="EH79" i="65" s="1"/>
  <c r="AK79" i="65"/>
  <c r="AJ79" i="65"/>
  <c r="AI79" i="65"/>
  <c r="AH79" i="65"/>
  <c r="AG79" i="65"/>
  <c r="AF79" i="65"/>
  <c r="AE79" i="65"/>
  <c r="AD79" i="65"/>
  <c r="AC79" i="65"/>
  <c r="AB79" i="65"/>
  <c r="Z79" i="65"/>
  <c r="Y79" i="65"/>
  <c r="X79" i="65"/>
  <c r="W79" i="65"/>
  <c r="V79" i="65"/>
  <c r="U79" i="65"/>
  <c r="T79" i="65"/>
  <c r="S79" i="65"/>
  <c r="R79" i="65"/>
  <c r="Q79" i="65"/>
  <c r="O79" i="65"/>
  <c r="N79" i="65"/>
  <c r="M79" i="65"/>
  <c r="L79" i="65"/>
  <c r="K79" i="65"/>
  <c r="J79" i="65"/>
  <c r="I79" i="65"/>
  <c r="H79" i="65"/>
  <c r="G79" i="65"/>
  <c r="F79" i="65"/>
  <c r="E79" i="65"/>
  <c r="DU78" i="65"/>
  <c r="DT78" i="65"/>
  <c r="DS78" i="65"/>
  <c r="DR78" i="65"/>
  <c r="DQ78" i="65"/>
  <c r="DP78" i="65"/>
  <c r="DO78" i="65"/>
  <c r="DN78" i="65"/>
  <c r="DM78" i="65"/>
  <c r="DL78" i="65"/>
  <c r="DK78" i="65"/>
  <c r="DJ78" i="65"/>
  <c r="DI78" i="65"/>
  <c r="DH78" i="65"/>
  <c r="DG78" i="65"/>
  <c r="DF78" i="65"/>
  <c r="DE78" i="65"/>
  <c r="DD78" i="65"/>
  <c r="DC78" i="65"/>
  <c r="DB78" i="65"/>
  <c r="DA78" i="65"/>
  <c r="CZ78" i="65"/>
  <c r="CY78" i="65"/>
  <c r="CX78" i="65"/>
  <c r="CW78" i="65"/>
  <c r="CV78" i="65"/>
  <c r="CU78" i="65"/>
  <c r="CT78" i="65"/>
  <c r="CS78" i="65"/>
  <c r="CR78" i="65"/>
  <c r="CQ78" i="65"/>
  <c r="CP78" i="65"/>
  <c r="CO78" i="65"/>
  <c r="CN78" i="65"/>
  <c r="CM78" i="65"/>
  <c r="CL78" i="65"/>
  <c r="CK78" i="65"/>
  <c r="CJ78" i="65"/>
  <c r="CI78" i="65"/>
  <c r="CH78" i="65"/>
  <c r="CG78" i="65"/>
  <c r="CF78" i="65"/>
  <c r="CE78" i="65"/>
  <c r="CD78" i="65"/>
  <c r="CC78" i="65"/>
  <c r="CB78" i="65"/>
  <c r="CA78" i="65"/>
  <c r="BZ78" i="65"/>
  <c r="BY78" i="65"/>
  <c r="BX78" i="65"/>
  <c r="BW78" i="65"/>
  <c r="BV78" i="65"/>
  <c r="BU78" i="65"/>
  <c r="BT78" i="65"/>
  <c r="BS78" i="65"/>
  <c r="BR78" i="65"/>
  <c r="BQ78" i="65"/>
  <c r="BP78" i="65"/>
  <c r="BO78" i="65"/>
  <c r="BN78" i="65"/>
  <c r="BM78" i="65"/>
  <c r="BL78" i="65"/>
  <c r="BK78" i="65"/>
  <c r="BJ78" i="65"/>
  <c r="BI78" i="65"/>
  <c r="BH78" i="65"/>
  <c r="BG78" i="65"/>
  <c r="BF78" i="65"/>
  <c r="BE78" i="65"/>
  <c r="BD78" i="65"/>
  <c r="BC78" i="65"/>
  <c r="BB78" i="65"/>
  <c r="BA78" i="65"/>
  <c r="AZ78" i="65"/>
  <c r="AY78" i="65"/>
  <c r="AX78" i="65"/>
  <c r="AW78" i="65"/>
  <c r="AV78" i="65"/>
  <c r="ER78" i="65" s="1"/>
  <c r="AU78" i="65"/>
  <c r="EQ78" i="65" s="1"/>
  <c r="AT78" i="65"/>
  <c r="AS78" i="65"/>
  <c r="AR78" i="65"/>
  <c r="AQ78" i="65"/>
  <c r="AP78" i="65"/>
  <c r="AO78" i="65"/>
  <c r="AN78" i="65"/>
  <c r="EJ78" i="65" s="1"/>
  <c r="AM78" i="65"/>
  <c r="AL78" i="65"/>
  <c r="EH78" i="65" s="1"/>
  <c r="AK78" i="65"/>
  <c r="AJ78" i="65"/>
  <c r="AI78" i="65"/>
  <c r="AH78" i="65"/>
  <c r="AG78" i="65"/>
  <c r="AF78" i="65"/>
  <c r="AE78" i="65"/>
  <c r="AD78" i="65"/>
  <c r="AC78" i="65"/>
  <c r="AB78" i="65"/>
  <c r="Z78" i="65"/>
  <c r="Y78" i="65"/>
  <c r="X78" i="65"/>
  <c r="W78" i="65"/>
  <c r="V78" i="65"/>
  <c r="U78" i="65"/>
  <c r="T78" i="65"/>
  <c r="S78" i="65"/>
  <c r="R78" i="65"/>
  <c r="Q78" i="65"/>
  <c r="O78" i="65"/>
  <c r="N78" i="65"/>
  <c r="M78" i="65"/>
  <c r="L78" i="65"/>
  <c r="K78" i="65"/>
  <c r="J78" i="65"/>
  <c r="I78" i="65"/>
  <c r="H78" i="65"/>
  <c r="G78" i="65"/>
  <c r="F78" i="65"/>
  <c r="E78" i="65"/>
  <c r="DU77" i="65"/>
  <c r="DT77" i="65"/>
  <c r="DS77" i="65"/>
  <c r="DR77" i="65"/>
  <c r="DQ77" i="65"/>
  <c r="DP77" i="65"/>
  <c r="DO77" i="65"/>
  <c r="DN77" i="65"/>
  <c r="DM77" i="65"/>
  <c r="DL77" i="65"/>
  <c r="DK77" i="65"/>
  <c r="DJ77" i="65"/>
  <c r="DI77" i="65"/>
  <c r="DH77" i="65"/>
  <c r="DG77" i="65"/>
  <c r="DF77" i="65"/>
  <c r="DE77" i="65"/>
  <c r="DD77" i="65"/>
  <c r="DC77" i="65"/>
  <c r="DB77" i="65"/>
  <c r="DA77" i="65"/>
  <c r="CZ77" i="65"/>
  <c r="CY77" i="65"/>
  <c r="CX77" i="65"/>
  <c r="CW77" i="65"/>
  <c r="CV77" i="65"/>
  <c r="CU77" i="65"/>
  <c r="CT77" i="65"/>
  <c r="CS77" i="65"/>
  <c r="CR77" i="65"/>
  <c r="CQ77" i="65"/>
  <c r="CP77" i="65"/>
  <c r="CO77" i="65"/>
  <c r="CN77" i="65"/>
  <c r="CM77" i="65"/>
  <c r="CL77" i="65"/>
  <c r="CK77" i="65"/>
  <c r="CJ77" i="65"/>
  <c r="CI77" i="65"/>
  <c r="CH77" i="65"/>
  <c r="CG77" i="65"/>
  <c r="CF77" i="65"/>
  <c r="CE77" i="65"/>
  <c r="CD77" i="65"/>
  <c r="CC77" i="65"/>
  <c r="CB77" i="65"/>
  <c r="CA77" i="65"/>
  <c r="BZ77" i="65"/>
  <c r="BY77" i="65"/>
  <c r="BX77" i="65"/>
  <c r="BW77" i="65"/>
  <c r="BV77" i="65"/>
  <c r="BU77" i="65"/>
  <c r="BT77" i="65"/>
  <c r="BS77" i="65"/>
  <c r="BR77" i="65"/>
  <c r="BQ77" i="65"/>
  <c r="BP77" i="65"/>
  <c r="BO77" i="65"/>
  <c r="BN77" i="65"/>
  <c r="BM77" i="65"/>
  <c r="BL77" i="65"/>
  <c r="BK77" i="65"/>
  <c r="BJ77" i="65"/>
  <c r="BI77" i="65"/>
  <c r="BH77" i="65"/>
  <c r="BG77" i="65"/>
  <c r="BF77" i="65"/>
  <c r="BE77" i="65"/>
  <c r="BD77" i="65"/>
  <c r="BC77" i="65"/>
  <c r="BB77" i="65"/>
  <c r="BA77" i="65"/>
  <c r="AZ77" i="65"/>
  <c r="AY77" i="65"/>
  <c r="AX77" i="65"/>
  <c r="AW77" i="65"/>
  <c r="AV77" i="65"/>
  <c r="ER77" i="65" s="1"/>
  <c r="AU77" i="65"/>
  <c r="EQ77" i="65" s="1"/>
  <c r="AT77" i="65"/>
  <c r="EP77" i="65" s="1"/>
  <c r="AS77" i="65"/>
  <c r="AR77" i="65"/>
  <c r="AQ77" i="65"/>
  <c r="AP77" i="65"/>
  <c r="EL77" i="65" s="1"/>
  <c r="AO77" i="65"/>
  <c r="AN77" i="65"/>
  <c r="AM77" i="65"/>
  <c r="EI77" i="65" s="1"/>
  <c r="AL77" i="65"/>
  <c r="AK77" i="65"/>
  <c r="AJ77" i="65"/>
  <c r="AI77" i="65"/>
  <c r="AH77" i="65"/>
  <c r="AG77" i="65"/>
  <c r="AF77" i="65"/>
  <c r="AE77" i="65"/>
  <c r="AD77" i="65"/>
  <c r="AC77" i="65"/>
  <c r="AB77" i="65"/>
  <c r="Z77" i="65"/>
  <c r="Y77" i="65"/>
  <c r="X77" i="65"/>
  <c r="W77" i="65"/>
  <c r="V77" i="65"/>
  <c r="U77" i="65"/>
  <c r="T77" i="65"/>
  <c r="S77" i="65"/>
  <c r="R77" i="65"/>
  <c r="Q77" i="65"/>
  <c r="O77" i="65"/>
  <c r="N77" i="65"/>
  <c r="M77" i="65"/>
  <c r="L77" i="65"/>
  <c r="K77" i="65"/>
  <c r="J77" i="65"/>
  <c r="I77" i="65"/>
  <c r="H77" i="65"/>
  <c r="G77" i="65"/>
  <c r="F77" i="65"/>
  <c r="E77" i="65"/>
  <c r="DU76" i="65"/>
  <c r="DT76" i="65"/>
  <c r="DS76" i="65"/>
  <c r="DR76" i="65"/>
  <c r="DQ76" i="65"/>
  <c r="DP76" i="65"/>
  <c r="DO76" i="65"/>
  <c r="DN76" i="65"/>
  <c r="DM76" i="65"/>
  <c r="DL76" i="65"/>
  <c r="DK76" i="65"/>
  <c r="DJ76" i="65"/>
  <c r="DI76" i="65"/>
  <c r="DH76" i="65"/>
  <c r="DG76" i="65"/>
  <c r="DF76" i="65"/>
  <c r="DE76" i="65"/>
  <c r="DD76" i="65"/>
  <c r="DC76" i="65"/>
  <c r="DB76" i="65"/>
  <c r="DA76" i="65"/>
  <c r="CZ76" i="65"/>
  <c r="CY76" i="65"/>
  <c r="CX76" i="65"/>
  <c r="CW76" i="65"/>
  <c r="CV76" i="65"/>
  <c r="CU76" i="65"/>
  <c r="CT76" i="65"/>
  <c r="CS76" i="65"/>
  <c r="CR76" i="65"/>
  <c r="CQ76" i="65"/>
  <c r="CP76" i="65"/>
  <c r="CO76" i="65"/>
  <c r="CN76" i="65"/>
  <c r="CM76" i="65"/>
  <c r="CL76" i="65"/>
  <c r="CK76" i="65"/>
  <c r="CJ76" i="65"/>
  <c r="CI76" i="65"/>
  <c r="CH76" i="65"/>
  <c r="CG76" i="65"/>
  <c r="CF76" i="65"/>
  <c r="CE76" i="65"/>
  <c r="CD76" i="65"/>
  <c r="CC76" i="65"/>
  <c r="CB76" i="65"/>
  <c r="CA76" i="65"/>
  <c r="BZ76" i="65"/>
  <c r="BY76" i="65"/>
  <c r="BX76" i="65"/>
  <c r="BW76" i="65"/>
  <c r="BV76" i="65"/>
  <c r="BU76" i="65"/>
  <c r="BT76" i="65"/>
  <c r="BS76" i="65"/>
  <c r="BR76" i="65"/>
  <c r="BQ76" i="65"/>
  <c r="BP76" i="65"/>
  <c r="BO76" i="65"/>
  <c r="BN76" i="65"/>
  <c r="BM76" i="65"/>
  <c r="BL76" i="65"/>
  <c r="BK76" i="65"/>
  <c r="BJ76" i="65"/>
  <c r="BI76" i="65"/>
  <c r="BH76" i="65"/>
  <c r="BG76" i="65"/>
  <c r="BF76" i="65"/>
  <c r="BE76" i="65"/>
  <c r="BD76" i="65"/>
  <c r="BC76" i="65"/>
  <c r="BB76" i="65"/>
  <c r="BA76" i="65"/>
  <c r="AZ76" i="65"/>
  <c r="AY76" i="65"/>
  <c r="AX76" i="65"/>
  <c r="AW76" i="65"/>
  <c r="AV76" i="65"/>
  <c r="AU76" i="65"/>
  <c r="EQ76" i="65" s="1"/>
  <c r="AT76" i="65"/>
  <c r="EP76" i="65" s="1"/>
  <c r="AS76" i="65"/>
  <c r="EO76" i="65" s="1"/>
  <c r="AR76" i="65"/>
  <c r="AQ76" i="65"/>
  <c r="AP76" i="65"/>
  <c r="AO76" i="65"/>
  <c r="EK76" i="65" s="1"/>
  <c r="AN76" i="65"/>
  <c r="AM76" i="65"/>
  <c r="AL76" i="65"/>
  <c r="EH76" i="65" s="1"/>
  <c r="AK76" i="65"/>
  <c r="AJ76" i="65"/>
  <c r="AI76" i="65"/>
  <c r="AH76" i="65"/>
  <c r="AG76" i="65"/>
  <c r="AF76" i="65"/>
  <c r="AE76" i="65"/>
  <c r="AD76" i="65"/>
  <c r="AC76" i="65"/>
  <c r="AB76" i="65"/>
  <c r="Z76" i="65"/>
  <c r="Y76" i="65"/>
  <c r="X76" i="65"/>
  <c r="W76" i="65"/>
  <c r="V76" i="65"/>
  <c r="U76" i="65"/>
  <c r="T76" i="65"/>
  <c r="S76" i="65"/>
  <c r="R76" i="65"/>
  <c r="Q76" i="65"/>
  <c r="O76" i="65"/>
  <c r="N76" i="65"/>
  <c r="M76" i="65"/>
  <c r="L76" i="65"/>
  <c r="K76" i="65"/>
  <c r="J76" i="65"/>
  <c r="I76" i="65"/>
  <c r="H76" i="65"/>
  <c r="G76" i="65"/>
  <c r="F76" i="65"/>
  <c r="E76" i="65"/>
  <c r="DU75" i="65"/>
  <c r="DT75" i="65"/>
  <c r="DS75" i="65"/>
  <c r="DR75" i="65"/>
  <c r="DQ75" i="65"/>
  <c r="DP75" i="65"/>
  <c r="DO75" i="65"/>
  <c r="DN75" i="65"/>
  <c r="DM75" i="65"/>
  <c r="DL75" i="65"/>
  <c r="DK75" i="65"/>
  <c r="DJ75" i="65"/>
  <c r="DI75" i="65"/>
  <c r="DH75" i="65"/>
  <c r="DG75" i="65"/>
  <c r="DF75" i="65"/>
  <c r="DE75" i="65"/>
  <c r="DD75" i="65"/>
  <c r="DC75" i="65"/>
  <c r="DB75" i="65"/>
  <c r="DA75" i="65"/>
  <c r="CZ75" i="65"/>
  <c r="CY75" i="65"/>
  <c r="CX75" i="65"/>
  <c r="CW75" i="65"/>
  <c r="CV75" i="65"/>
  <c r="CU75" i="65"/>
  <c r="CT75" i="65"/>
  <c r="CS75" i="65"/>
  <c r="CR75" i="65"/>
  <c r="CQ75" i="65"/>
  <c r="CP75" i="65"/>
  <c r="CO75" i="65"/>
  <c r="CN75" i="65"/>
  <c r="CM75" i="65"/>
  <c r="CL75" i="65"/>
  <c r="CK75" i="65"/>
  <c r="CJ75" i="65"/>
  <c r="CI75" i="65"/>
  <c r="CH75" i="65"/>
  <c r="CG75" i="65"/>
  <c r="CF75" i="65"/>
  <c r="CE75" i="65"/>
  <c r="CD75" i="65"/>
  <c r="CC75" i="65"/>
  <c r="CB75" i="65"/>
  <c r="CA75" i="65"/>
  <c r="BZ75" i="65"/>
  <c r="BY75" i="65"/>
  <c r="BX75" i="65"/>
  <c r="BW75" i="65"/>
  <c r="BV75" i="65"/>
  <c r="BU75" i="65"/>
  <c r="BT75" i="65"/>
  <c r="BS75" i="65"/>
  <c r="BR75" i="65"/>
  <c r="BQ75" i="65"/>
  <c r="BP75" i="65"/>
  <c r="BO75" i="65"/>
  <c r="BN75" i="65"/>
  <c r="BM75" i="65"/>
  <c r="BL75" i="65"/>
  <c r="BK75" i="65"/>
  <c r="BJ75" i="65"/>
  <c r="BI75" i="65"/>
  <c r="BH75" i="65"/>
  <c r="BG75" i="65"/>
  <c r="BF75" i="65"/>
  <c r="BE75" i="65"/>
  <c r="BD75" i="65"/>
  <c r="BC75" i="65"/>
  <c r="BB75" i="65"/>
  <c r="BA75" i="65"/>
  <c r="AZ75" i="65"/>
  <c r="AY75" i="65"/>
  <c r="AX75" i="65"/>
  <c r="AW75" i="65"/>
  <c r="AV75" i="65"/>
  <c r="AU75" i="65"/>
  <c r="AT75" i="65"/>
  <c r="EP75" i="65" s="1"/>
  <c r="AS75" i="65"/>
  <c r="EO75" i="65" s="1"/>
  <c r="AR75" i="65"/>
  <c r="EN75" i="65" s="1"/>
  <c r="AQ75" i="65"/>
  <c r="AP75" i="65"/>
  <c r="AO75" i="65"/>
  <c r="AN75" i="65"/>
  <c r="EJ75" i="65" s="1"/>
  <c r="AM75" i="65"/>
  <c r="AL75" i="65"/>
  <c r="AK75" i="65"/>
  <c r="AJ75" i="65"/>
  <c r="AI75" i="65"/>
  <c r="AH75" i="65"/>
  <c r="AG75" i="65"/>
  <c r="AF75" i="65"/>
  <c r="AE75" i="65"/>
  <c r="AD75" i="65"/>
  <c r="AC75" i="65"/>
  <c r="AB75" i="65"/>
  <c r="Z75" i="65"/>
  <c r="Y75" i="65"/>
  <c r="X75" i="65"/>
  <c r="W75" i="65"/>
  <c r="V75" i="65"/>
  <c r="U75" i="65"/>
  <c r="T75" i="65"/>
  <c r="S75" i="65"/>
  <c r="R75" i="65"/>
  <c r="Q75" i="65"/>
  <c r="O75" i="65"/>
  <c r="N75" i="65"/>
  <c r="M75" i="65"/>
  <c r="L75" i="65"/>
  <c r="K75" i="65"/>
  <c r="J75" i="65"/>
  <c r="I75" i="65"/>
  <c r="H75" i="65"/>
  <c r="G75" i="65"/>
  <c r="F75" i="65"/>
  <c r="E75" i="65"/>
  <c r="DU74" i="65"/>
  <c r="DT74" i="65"/>
  <c r="DS74" i="65"/>
  <c r="DR74" i="65"/>
  <c r="DQ74" i="65"/>
  <c r="DP74" i="65"/>
  <c r="DO74" i="65"/>
  <c r="DN74" i="65"/>
  <c r="DM74" i="65"/>
  <c r="DL74" i="65"/>
  <c r="DK74" i="65"/>
  <c r="DJ74" i="65"/>
  <c r="DI74" i="65"/>
  <c r="DH74" i="65"/>
  <c r="DG74" i="65"/>
  <c r="DF74" i="65"/>
  <c r="DE74" i="65"/>
  <c r="DD74" i="65"/>
  <c r="DC74" i="65"/>
  <c r="DB74" i="65"/>
  <c r="DA74" i="65"/>
  <c r="CZ74" i="65"/>
  <c r="CY74" i="65"/>
  <c r="CX74" i="65"/>
  <c r="CW74" i="65"/>
  <c r="CV74" i="65"/>
  <c r="CU74" i="65"/>
  <c r="CT74" i="65"/>
  <c r="CS74" i="65"/>
  <c r="CR74" i="65"/>
  <c r="CQ74" i="65"/>
  <c r="CP74" i="65"/>
  <c r="CO74" i="65"/>
  <c r="CN74" i="65"/>
  <c r="CM74" i="65"/>
  <c r="CL74" i="65"/>
  <c r="CK74" i="65"/>
  <c r="CJ74" i="65"/>
  <c r="CI74" i="65"/>
  <c r="CH74" i="65"/>
  <c r="CG74" i="65"/>
  <c r="CF74" i="65"/>
  <c r="CE74" i="65"/>
  <c r="CD74" i="65"/>
  <c r="CC74" i="65"/>
  <c r="CB74" i="65"/>
  <c r="CA74" i="65"/>
  <c r="BZ74" i="65"/>
  <c r="BY74" i="65"/>
  <c r="BX74" i="65"/>
  <c r="BW74" i="65"/>
  <c r="BV74" i="65"/>
  <c r="BU74" i="65"/>
  <c r="BT74" i="65"/>
  <c r="BS74" i="65"/>
  <c r="BR74" i="65"/>
  <c r="BQ74" i="65"/>
  <c r="BP74" i="65"/>
  <c r="BO74" i="65"/>
  <c r="BN74" i="65"/>
  <c r="BM74" i="65"/>
  <c r="BL74" i="65"/>
  <c r="BK74" i="65"/>
  <c r="BJ74" i="65"/>
  <c r="BI74" i="65"/>
  <c r="BH74" i="65"/>
  <c r="BG74" i="65"/>
  <c r="BF74" i="65"/>
  <c r="BE74" i="65"/>
  <c r="BD74" i="65"/>
  <c r="BC74" i="65"/>
  <c r="BB74" i="65"/>
  <c r="BA74" i="65"/>
  <c r="AZ74" i="65"/>
  <c r="AY74" i="65"/>
  <c r="AX74" i="65"/>
  <c r="AW74" i="65"/>
  <c r="AV74" i="65"/>
  <c r="AU74" i="65"/>
  <c r="AT74" i="65"/>
  <c r="AS74" i="65"/>
  <c r="EO74" i="65" s="1"/>
  <c r="AR74" i="65"/>
  <c r="EN74" i="65" s="1"/>
  <c r="AQ74" i="65"/>
  <c r="EM74" i="65" s="1"/>
  <c r="AP74" i="65"/>
  <c r="AO74" i="65"/>
  <c r="AN74" i="65"/>
  <c r="AM74" i="65"/>
  <c r="EI74" i="65" s="1"/>
  <c r="AL74" i="65"/>
  <c r="AK74" i="65"/>
  <c r="AJ74" i="65"/>
  <c r="AI74" i="65"/>
  <c r="AH74" i="65"/>
  <c r="AG74" i="65"/>
  <c r="AF74" i="65"/>
  <c r="AE74" i="65"/>
  <c r="AD74" i="65"/>
  <c r="AC74" i="65"/>
  <c r="AB74" i="65"/>
  <c r="Z74" i="65"/>
  <c r="Y74" i="65"/>
  <c r="X74" i="65"/>
  <c r="W74" i="65"/>
  <c r="V74" i="65"/>
  <c r="U74" i="65"/>
  <c r="T74" i="65"/>
  <c r="S74" i="65"/>
  <c r="R74" i="65"/>
  <c r="Q74" i="65"/>
  <c r="O74" i="65"/>
  <c r="N74" i="65"/>
  <c r="M74" i="65"/>
  <c r="L74" i="65"/>
  <c r="K74" i="65"/>
  <c r="J74" i="65"/>
  <c r="I74" i="65"/>
  <c r="H74" i="65"/>
  <c r="G74" i="65"/>
  <c r="F74" i="65"/>
  <c r="E74" i="65"/>
  <c r="DU73" i="65"/>
  <c r="DT73" i="65"/>
  <c r="DS73" i="65"/>
  <c r="DR73" i="65"/>
  <c r="DQ73" i="65"/>
  <c r="DP73" i="65"/>
  <c r="DO73" i="65"/>
  <c r="DN73" i="65"/>
  <c r="DM73" i="65"/>
  <c r="DL73" i="65"/>
  <c r="DK73" i="65"/>
  <c r="DJ73" i="65"/>
  <c r="DI73" i="65"/>
  <c r="DH73" i="65"/>
  <c r="DG73" i="65"/>
  <c r="DF73" i="65"/>
  <c r="DE73" i="65"/>
  <c r="DD73" i="65"/>
  <c r="DC73" i="65"/>
  <c r="DB73" i="65"/>
  <c r="DA73" i="65"/>
  <c r="CZ73" i="65"/>
  <c r="CY73" i="65"/>
  <c r="CX73" i="65"/>
  <c r="CW73" i="65"/>
  <c r="CV73" i="65"/>
  <c r="CU73" i="65"/>
  <c r="CT73" i="65"/>
  <c r="CS73" i="65"/>
  <c r="CR73" i="65"/>
  <c r="CQ73" i="65"/>
  <c r="CP73" i="65"/>
  <c r="CO73" i="65"/>
  <c r="CN73" i="65"/>
  <c r="CM73" i="65"/>
  <c r="CL73" i="65"/>
  <c r="CK73" i="65"/>
  <c r="CJ73" i="65"/>
  <c r="CI73" i="65"/>
  <c r="CH73" i="65"/>
  <c r="CG73" i="65"/>
  <c r="CF73" i="65"/>
  <c r="CE73" i="65"/>
  <c r="CD73" i="65"/>
  <c r="CC73" i="65"/>
  <c r="CB73" i="65"/>
  <c r="CA73" i="65"/>
  <c r="BZ73" i="65"/>
  <c r="BY73" i="65"/>
  <c r="BX73" i="65"/>
  <c r="BW73" i="65"/>
  <c r="BV73" i="65"/>
  <c r="BU73" i="65"/>
  <c r="BT73" i="65"/>
  <c r="BS73" i="65"/>
  <c r="BR73" i="65"/>
  <c r="BQ73" i="65"/>
  <c r="BP73" i="65"/>
  <c r="BO73" i="65"/>
  <c r="BN73" i="65"/>
  <c r="BM73" i="65"/>
  <c r="BL73" i="65"/>
  <c r="BK73" i="65"/>
  <c r="BJ73" i="65"/>
  <c r="BI73" i="65"/>
  <c r="BH73" i="65"/>
  <c r="BG73" i="65"/>
  <c r="BF73" i="65"/>
  <c r="BE73" i="65"/>
  <c r="BD73" i="65"/>
  <c r="BC73" i="65"/>
  <c r="BB73" i="65"/>
  <c r="BA73" i="65"/>
  <c r="AZ73" i="65"/>
  <c r="AY73" i="65"/>
  <c r="AX73" i="65"/>
  <c r="AW73" i="65"/>
  <c r="AV73" i="65"/>
  <c r="ER73" i="65" s="1"/>
  <c r="AU73" i="65"/>
  <c r="EQ73" i="65" s="1"/>
  <c r="AT73" i="65"/>
  <c r="AS73" i="65"/>
  <c r="AR73" i="65"/>
  <c r="EN73" i="65" s="1"/>
  <c r="AQ73" i="65"/>
  <c r="EM73" i="65" s="1"/>
  <c r="AP73" i="65"/>
  <c r="EL73" i="65" s="1"/>
  <c r="AO73" i="65"/>
  <c r="AN73" i="65"/>
  <c r="AM73" i="65"/>
  <c r="AL73" i="65"/>
  <c r="EH73" i="65" s="1"/>
  <c r="AK73" i="65"/>
  <c r="AJ73" i="65"/>
  <c r="AI73" i="65"/>
  <c r="AH73" i="65"/>
  <c r="AG73" i="65"/>
  <c r="AF73" i="65"/>
  <c r="AE73" i="65"/>
  <c r="AD73" i="65"/>
  <c r="AC73" i="65"/>
  <c r="AB73" i="65"/>
  <c r="Z73" i="65"/>
  <c r="Y73" i="65"/>
  <c r="X73" i="65"/>
  <c r="W73" i="65"/>
  <c r="V73" i="65"/>
  <c r="U73" i="65"/>
  <c r="T73" i="65"/>
  <c r="S73" i="65"/>
  <c r="R73" i="65"/>
  <c r="Q73" i="65"/>
  <c r="O73" i="65"/>
  <c r="N73" i="65"/>
  <c r="M73" i="65"/>
  <c r="L73" i="65"/>
  <c r="K73" i="65"/>
  <c r="J73" i="65"/>
  <c r="I73" i="65"/>
  <c r="H73" i="65"/>
  <c r="G73" i="65"/>
  <c r="F73" i="65"/>
  <c r="E73" i="65"/>
  <c r="DU72" i="65"/>
  <c r="DT72" i="65"/>
  <c r="DS72" i="65"/>
  <c r="DR72" i="65"/>
  <c r="DQ72" i="65"/>
  <c r="DP72" i="65"/>
  <c r="DO72" i="65"/>
  <c r="DN72" i="65"/>
  <c r="DM72" i="65"/>
  <c r="DL72" i="65"/>
  <c r="DK72" i="65"/>
  <c r="DJ72" i="65"/>
  <c r="DI72" i="65"/>
  <c r="DH72" i="65"/>
  <c r="DG72" i="65"/>
  <c r="DF72" i="65"/>
  <c r="DE72" i="65"/>
  <c r="DD72" i="65"/>
  <c r="DC72" i="65"/>
  <c r="DB72" i="65"/>
  <c r="DA72" i="65"/>
  <c r="CZ72" i="65"/>
  <c r="CY72" i="65"/>
  <c r="CX72" i="65"/>
  <c r="CW72" i="65"/>
  <c r="CV72" i="65"/>
  <c r="CU72" i="65"/>
  <c r="CT72" i="65"/>
  <c r="CS72" i="65"/>
  <c r="CR72" i="65"/>
  <c r="CQ72" i="65"/>
  <c r="CP72" i="65"/>
  <c r="CO72" i="65"/>
  <c r="CN72" i="65"/>
  <c r="CM72" i="65"/>
  <c r="CL72" i="65"/>
  <c r="CK72" i="65"/>
  <c r="CJ72" i="65"/>
  <c r="CI72" i="65"/>
  <c r="CH72" i="65"/>
  <c r="CG72" i="65"/>
  <c r="CF72" i="65"/>
  <c r="CE72" i="65"/>
  <c r="CD72" i="65"/>
  <c r="CC72" i="65"/>
  <c r="CB72" i="65"/>
  <c r="CA72" i="65"/>
  <c r="BZ72" i="65"/>
  <c r="BY72" i="65"/>
  <c r="BX72" i="65"/>
  <c r="BW72" i="65"/>
  <c r="BV72" i="65"/>
  <c r="BU72" i="65"/>
  <c r="BT72" i="65"/>
  <c r="BS72" i="65"/>
  <c r="BR72" i="65"/>
  <c r="BQ72" i="65"/>
  <c r="BP72" i="65"/>
  <c r="BO72" i="65"/>
  <c r="BN72" i="65"/>
  <c r="BM72" i="65"/>
  <c r="BL72" i="65"/>
  <c r="BK72" i="65"/>
  <c r="BJ72" i="65"/>
  <c r="BI72" i="65"/>
  <c r="BH72" i="65"/>
  <c r="BG72" i="65"/>
  <c r="BF72" i="65"/>
  <c r="BE72" i="65"/>
  <c r="BD72" i="65"/>
  <c r="BC72" i="65"/>
  <c r="BB72" i="65"/>
  <c r="BA72" i="65"/>
  <c r="AZ72" i="65"/>
  <c r="AY72" i="65"/>
  <c r="AX72" i="65"/>
  <c r="AW72" i="65"/>
  <c r="AV72" i="65"/>
  <c r="ER72" i="65" s="1"/>
  <c r="AU72" i="65"/>
  <c r="EQ72" i="65" s="1"/>
  <c r="AT72" i="65"/>
  <c r="EP72" i="65" s="1"/>
  <c r="AS72" i="65"/>
  <c r="AR72" i="65"/>
  <c r="AQ72" i="65"/>
  <c r="EM72" i="65" s="1"/>
  <c r="AP72" i="65"/>
  <c r="AO72" i="65"/>
  <c r="AN72" i="65"/>
  <c r="AM72" i="65"/>
  <c r="AL72" i="65"/>
  <c r="AK72" i="65"/>
  <c r="AJ72" i="65"/>
  <c r="AI72" i="65"/>
  <c r="AH72" i="65"/>
  <c r="AG72" i="65"/>
  <c r="AF72" i="65"/>
  <c r="AE72" i="65"/>
  <c r="AD72" i="65"/>
  <c r="AC72" i="65"/>
  <c r="AB72" i="65"/>
  <c r="Z72" i="65"/>
  <c r="Y72" i="65"/>
  <c r="X72" i="65"/>
  <c r="W72" i="65"/>
  <c r="V72" i="65"/>
  <c r="U72" i="65"/>
  <c r="T72" i="65"/>
  <c r="S72" i="65"/>
  <c r="R72" i="65"/>
  <c r="Q72" i="65"/>
  <c r="O72" i="65"/>
  <c r="N72" i="65"/>
  <c r="M72" i="65"/>
  <c r="L72" i="65"/>
  <c r="K72" i="65"/>
  <c r="J72" i="65"/>
  <c r="I72" i="65"/>
  <c r="H72" i="65"/>
  <c r="G72" i="65"/>
  <c r="F72" i="65"/>
  <c r="E72" i="65"/>
  <c r="DU71" i="65"/>
  <c r="DT71" i="65"/>
  <c r="DS71" i="65"/>
  <c r="DR71" i="65"/>
  <c r="DQ71" i="65"/>
  <c r="DP71" i="65"/>
  <c r="DO71" i="65"/>
  <c r="DN71" i="65"/>
  <c r="DM71" i="65"/>
  <c r="DL71" i="65"/>
  <c r="DK71" i="65"/>
  <c r="DJ71" i="65"/>
  <c r="DI71" i="65"/>
  <c r="DH71" i="65"/>
  <c r="DG71" i="65"/>
  <c r="DF71" i="65"/>
  <c r="DE71" i="65"/>
  <c r="DD71" i="65"/>
  <c r="DC71" i="65"/>
  <c r="DB71" i="65"/>
  <c r="DA71" i="65"/>
  <c r="CZ71" i="65"/>
  <c r="CY71" i="65"/>
  <c r="CX71" i="65"/>
  <c r="CW71" i="65"/>
  <c r="CV71" i="65"/>
  <c r="CU71" i="65"/>
  <c r="CT71" i="65"/>
  <c r="CS71" i="65"/>
  <c r="CR71" i="65"/>
  <c r="CQ71" i="65"/>
  <c r="CP71" i="65"/>
  <c r="CO71" i="65"/>
  <c r="CN71" i="65"/>
  <c r="CM71" i="65"/>
  <c r="CL71" i="65"/>
  <c r="CK71" i="65"/>
  <c r="CJ71" i="65"/>
  <c r="CI71" i="65"/>
  <c r="CH71" i="65"/>
  <c r="CG71" i="65"/>
  <c r="CF71" i="65"/>
  <c r="CE71" i="65"/>
  <c r="CD71" i="65"/>
  <c r="CC71" i="65"/>
  <c r="CB71" i="65"/>
  <c r="CA71" i="65"/>
  <c r="BZ71" i="65"/>
  <c r="BY71" i="65"/>
  <c r="BX71" i="65"/>
  <c r="BW71" i="65"/>
  <c r="BV71" i="65"/>
  <c r="BU71" i="65"/>
  <c r="BT71" i="65"/>
  <c r="BS71" i="65"/>
  <c r="BR71" i="65"/>
  <c r="BQ71" i="65"/>
  <c r="BP71" i="65"/>
  <c r="BO71" i="65"/>
  <c r="BN71" i="65"/>
  <c r="BM71" i="65"/>
  <c r="BL71" i="65"/>
  <c r="BK71" i="65"/>
  <c r="BJ71" i="65"/>
  <c r="BI71" i="65"/>
  <c r="BH71" i="65"/>
  <c r="BG71" i="65"/>
  <c r="BF71" i="65"/>
  <c r="BE71" i="65"/>
  <c r="BD71" i="65"/>
  <c r="BC71" i="65"/>
  <c r="BB71" i="65"/>
  <c r="BA71" i="65"/>
  <c r="AZ71" i="65"/>
  <c r="AY71" i="65"/>
  <c r="AX71" i="65"/>
  <c r="AW71" i="65"/>
  <c r="AV71" i="65"/>
  <c r="AU71" i="65"/>
  <c r="EQ71" i="65" s="1"/>
  <c r="AT71" i="65"/>
  <c r="EP71" i="65" s="1"/>
  <c r="AS71" i="65"/>
  <c r="EO71" i="65" s="1"/>
  <c r="AR71" i="65"/>
  <c r="AQ71" i="65"/>
  <c r="AP71" i="65"/>
  <c r="EL71" i="65" s="1"/>
  <c r="AO71" i="65"/>
  <c r="EK71" i="65" s="1"/>
  <c r="AN71" i="65"/>
  <c r="EJ71" i="65" s="1"/>
  <c r="AM71" i="65"/>
  <c r="AL71" i="65"/>
  <c r="AK71" i="65"/>
  <c r="AJ71" i="65"/>
  <c r="AI71" i="65"/>
  <c r="AH71" i="65"/>
  <c r="AG71" i="65"/>
  <c r="AF71" i="65"/>
  <c r="AE71" i="65"/>
  <c r="AD71" i="65"/>
  <c r="AC71" i="65"/>
  <c r="AB71" i="65"/>
  <c r="Z71" i="65"/>
  <c r="Y71" i="65"/>
  <c r="X71" i="65"/>
  <c r="W71" i="65"/>
  <c r="V71" i="65"/>
  <c r="U71" i="65"/>
  <c r="T71" i="65"/>
  <c r="S71" i="65"/>
  <c r="R71" i="65"/>
  <c r="Q71" i="65"/>
  <c r="O71" i="65"/>
  <c r="N71" i="65"/>
  <c r="M71" i="65"/>
  <c r="L71" i="65"/>
  <c r="K71" i="65"/>
  <c r="J71" i="65"/>
  <c r="I71" i="65"/>
  <c r="H71" i="65"/>
  <c r="G71" i="65"/>
  <c r="F71" i="65"/>
  <c r="E71" i="65"/>
  <c r="DU70" i="65"/>
  <c r="DT70" i="65"/>
  <c r="DS70" i="65"/>
  <c r="DR70" i="65"/>
  <c r="DQ70" i="65"/>
  <c r="DP70" i="65"/>
  <c r="DO70" i="65"/>
  <c r="DN70" i="65"/>
  <c r="DM70" i="65"/>
  <c r="DL70" i="65"/>
  <c r="DK70" i="65"/>
  <c r="DJ70" i="65"/>
  <c r="DI70" i="65"/>
  <c r="DH70" i="65"/>
  <c r="DG70" i="65"/>
  <c r="DF70" i="65"/>
  <c r="DE70" i="65"/>
  <c r="DD70" i="65"/>
  <c r="DC70" i="65"/>
  <c r="DB70" i="65"/>
  <c r="DA70" i="65"/>
  <c r="CZ70" i="65"/>
  <c r="CY70" i="65"/>
  <c r="CX70" i="65"/>
  <c r="CW70" i="65"/>
  <c r="CV70" i="65"/>
  <c r="CU70" i="65"/>
  <c r="CT70" i="65"/>
  <c r="CS70" i="65"/>
  <c r="CR70" i="65"/>
  <c r="CQ70" i="65"/>
  <c r="CP70" i="65"/>
  <c r="CO70" i="65"/>
  <c r="CN70" i="65"/>
  <c r="CM70" i="65"/>
  <c r="CL70" i="65"/>
  <c r="CK70" i="65"/>
  <c r="CJ70" i="65"/>
  <c r="CI70" i="65"/>
  <c r="CH70" i="65"/>
  <c r="CG70" i="65"/>
  <c r="CF70" i="65"/>
  <c r="CE70" i="65"/>
  <c r="CD70" i="65"/>
  <c r="CC70" i="65"/>
  <c r="CB70" i="65"/>
  <c r="CA70" i="65"/>
  <c r="BZ70" i="65"/>
  <c r="BY70" i="65"/>
  <c r="BX70" i="65"/>
  <c r="BW70" i="65"/>
  <c r="BV70" i="65"/>
  <c r="BU70" i="65"/>
  <c r="BT70" i="65"/>
  <c r="BS70" i="65"/>
  <c r="BR70" i="65"/>
  <c r="BQ70" i="65"/>
  <c r="BP70" i="65"/>
  <c r="BO70" i="65"/>
  <c r="BN70" i="65"/>
  <c r="BM70" i="65"/>
  <c r="BL70" i="65"/>
  <c r="BK70" i="65"/>
  <c r="BJ70" i="65"/>
  <c r="BI70" i="65"/>
  <c r="BH70" i="65"/>
  <c r="BG70" i="65"/>
  <c r="BF70" i="65"/>
  <c r="BE70" i="65"/>
  <c r="BD70" i="65"/>
  <c r="BC70" i="65"/>
  <c r="BB70" i="65"/>
  <c r="BA70" i="65"/>
  <c r="AZ70" i="65"/>
  <c r="AY70" i="65"/>
  <c r="AX70" i="65"/>
  <c r="AW70" i="65"/>
  <c r="AV70" i="65"/>
  <c r="AU70" i="65"/>
  <c r="EQ70" i="65" s="1"/>
  <c r="AT70" i="65"/>
  <c r="EP70" i="65" s="1"/>
  <c r="AS70" i="65"/>
  <c r="EO70" i="65" s="1"/>
  <c r="AR70" i="65"/>
  <c r="AQ70" i="65"/>
  <c r="AP70" i="65"/>
  <c r="AO70" i="65"/>
  <c r="AN70" i="65"/>
  <c r="AM70" i="65"/>
  <c r="AL70" i="65"/>
  <c r="AK70" i="65"/>
  <c r="AJ70" i="65"/>
  <c r="AI70" i="65"/>
  <c r="AH70" i="65"/>
  <c r="AG70" i="65"/>
  <c r="AF70" i="65"/>
  <c r="AE70" i="65"/>
  <c r="AD70" i="65"/>
  <c r="AC70" i="65"/>
  <c r="AB70" i="65"/>
  <c r="Z70" i="65"/>
  <c r="Y70" i="65"/>
  <c r="X70" i="65"/>
  <c r="W70" i="65"/>
  <c r="V70" i="65"/>
  <c r="U70" i="65"/>
  <c r="T70" i="65"/>
  <c r="S70" i="65"/>
  <c r="R70" i="65"/>
  <c r="Q70" i="65"/>
  <c r="O70" i="65"/>
  <c r="N70" i="65"/>
  <c r="M70" i="65"/>
  <c r="L70" i="65"/>
  <c r="K70" i="65"/>
  <c r="J70" i="65"/>
  <c r="I70" i="65"/>
  <c r="H70" i="65"/>
  <c r="G70" i="65"/>
  <c r="F70" i="65"/>
  <c r="E70" i="65"/>
  <c r="DU69" i="65"/>
  <c r="DT69" i="65"/>
  <c r="DS69" i="65"/>
  <c r="DR69" i="65"/>
  <c r="DQ69" i="65"/>
  <c r="DP69" i="65"/>
  <c r="DO69" i="65"/>
  <c r="DN69" i="65"/>
  <c r="DM69" i="65"/>
  <c r="DL69" i="65"/>
  <c r="DK69" i="65"/>
  <c r="DJ69" i="65"/>
  <c r="DI69" i="65"/>
  <c r="DH69" i="65"/>
  <c r="DG69" i="65"/>
  <c r="DF69" i="65"/>
  <c r="DE69" i="65"/>
  <c r="DD69" i="65"/>
  <c r="DC69" i="65"/>
  <c r="DB69" i="65"/>
  <c r="DA69" i="65"/>
  <c r="CZ69" i="65"/>
  <c r="CY69" i="65"/>
  <c r="CX69" i="65"/>
  <c r="CW69" i="65"/>
  <c r="CV69" i="65"/>
  <c r="CU69" i="65"/>
  <c r="CT69" i="65"/>
  <c r="CS69" i="65"/>
  <c r="CR69" i="65"/>
  <c r="CQ69" i="65"/>
  <c r="CP69" i="65"/>
  <c r="CO69" i="65"/>
  <c r="CN69" i="65"/>
  <c r="CM69" i="65"/>
  <c r="CL69" i="65"/>
  <c r="CK69" i="65"/>
  <c r="CJ69" i="65"/>
  <c r="CI69" i="65"/>
  <c r="CH69" i="65"/>
  <c r="CG69" i="65"/>
  <c r="CF69" i="65"/>
  <c r="CE69" i="65"/>
  <c r="CD69" i="65"/>
  <c r="CC69" i="65"/>
  <c r="CB69" i="65"/>
  <c r="CA69" i="65"/>
  <c r="BZ69" i="65"/>
  <c r="BY69" i="65"/>
  <c r="BX69" i="65"/>
  <c r="BW69" i="65"/>
  <c r="BV69" i="65"/>
  <c r="BU69" i="65"/>
  <c r="BT69" i="65"/>
  <c r="BS69" i="65"/>
  <c r="BR69" i="65"/>
  <c r="BQ69" i="65"/>
  <c r="BP69" i="65"/>
  <c r="BO69" i="65"/>
  <c r="BN69" i="65"/>
  <c r="BM69" i="65"/>
  <c r="BL69" i="65"/>
  <c r="BK69" i="65"/>
  <c r="BJ69" i="65"/>
  <c r="BI69" i="65"/>
  <c r="BH69" i="65"/>
  <c r="BG69" i="65"/>
  <c r="BF69" i="65"/>
  <c r="BE69" i="65"/>
  <c r="BD69" i="65"/>
  <c r="BC69" i="65"/>
  <c r="BB69" i="65"/>
  <c r="BA69" i="65"/>
  <c r="AZ69" i="65"/>
  <c r="AY69" i="65"/>
  <c r="AX69" i="65"/>
  <c r="AW69" i="65"/>
  <c r="AV69" i="65"/>
  <c r="ER69" i="65" s="1"/>
  <c r="AU69" i="65"/>
  <c r="AT69" i="65"/>
  <c r="EP69" i="65" s="1"/>
  <c r="AS69" i="65"/>
  <c r="AR69" i="65"/>
  <c r="EN69" i="65" s="1"/>
  <c r="AQ69" i="65"/>
  <c r="EM69" i="65" s="1"/>
  <c r="AP69" i="65"/>
  <c r="AO69" i="65"/>
  <c r="AN69" i="65"/>
  <c r="EJ69" i="65" s="1"/>
  <c r="AM69" i="65"/>
  <c r="EI69" i="65" s="1"/>
  <c r="AL69" i="65"/>
  <c r="AK69" i="65"/>
  <c r="AJ69" i="65"/>
  <c r="AI69" i="65"/>
  <c r="AH69" i="65"/>
  <c r="AG69" i="65"/>
  <c r="AF69" i="65"/>
  <c r="AE69" i="65"/>
  <c r="AD69" i="65"/>
  <c r="AC69" i="65"/>
  <c r="AB69" i="65"/>
  <c r="Z69" i="65"/>
  <c r="Y69" i="65"/>
  <c r="X69" i="65"/>
  <c r="W69" i="65"/>
  <c r="V69" i="65"/>
  <c r="U69" i="65"/>
  <c r="T69" i="65"/>
  <c r="S69" i="65"/>
  <c r="R69" i="65"/>
  <c r="Q69" i="65"/>
  <c r="O69" i="65"/>
  <c r="N69" i="65"/>
  <c r="M69" i="65"/>
  <c r="L69" i="65"/>
  <c r="K69" i="65"/>
  <c r="J69" i="65"/>
  <c r="I69" i="65"/>
  <c r="H69" i="65"/>
  <c r="G69" i="65"/>
  <c r="F69" i="65"/>
  <c r="E69" i="65"/>
  <c r="DU68" i="65"/>
  <c r="DT68" i="65"/>
  <c r="DS68" i="65"/>
  <c r="DR68" i="65"/>
  <c r="DQ68" i="65"/>
  <c r="DP68" i="65"/>
  <c r="DO68" i="65"/>
  <c r="DN68" i="65"/>
  <c r="DM68" i="65"/>
  <c r="DL68" i="65"/>
  <c r="DK68" i="65"/>
  <c r="DJ68" i="65"/>
  <c r="DI68" i="65"/>
  <c r="DH68" i="65"/>
  <c r="DG68" i="65"/>
  <c r="DF68" i="65"/>
  <c r="DE68" i="65"/>
  <c r="DD68" i="65"/>
  <c r="DC68" i="65"/>
  <c r="DB68" i="65"/>
  <c r="DA68" i="65"/>
  <c r="CZ68" i="65"/>
  <c r="CY68" i="65"/>
  <c r="CX68" i="65"/>
  <c r="CW68" i="65"/>
  <c r="CV68" i="65"/>
  <c r="CU68" i="65"/>
  <c r="CT68" i="65"/>
  <c r="CS68" i="65"/>
  <c r="CR68" i="65"/>
  <c r="CQ68" i="65"/>
  <c r="CP68" i="65"/>
  <c r="CO68" i="65"/>
  <c r="CN68" i="65"/>
  <c r="CM68" i="65"/>
  <c r="CL68" i="65"/>
  <c r="CK68" i="65"/>
  <c r="CJ68" i="65"/>
  <c r="CI68" i="65"/>
  <c r="CH68" i="65"/>
  <c r="CG68" i="65"/>
  <c r="CF68" i="65"/>
  <c r="CE68" i="65"/>
  <c r="CD68" i="65"/>
  <c r="CC68" i="65"/>
  <c r="CB68" i="65"/>
  <c r="CA68" i="65"/>
  <c r="BZ68" i="65"/>
  <c r="BY68" i="65"/>
  <c r="BX68" i="65"/>
  <c r="BW68" i="65"/>
  <c r="BV68" i="65"/>
  <c r="BU68" i="65"/>
  <c r="BT68" i="65"/>
  <c r="BS68" i="65"/>
  <c r="BR68" i="65"/>
  <c r="BQ68" i="65"/>
  <c r="BP68" i="65"/>
  <c r="BO68" i="65"/>
  <c r="BN68" i="65"/>
  <c r="BM68" i="65"/>
  <c r="BL68" i="65"/>
  <c r="BK68" i="65"/>
  <c r="BJ68" i="65"/>
  <c r="BI68" i="65"/>
  <c r="BH68" i="65"/>
  <c r="BG68" i="65"/>
  <c r="BF68" i="65"/>
  <c r="BE68" i="65"/>
  <c r="BD68" i="65"/>
  <c r="BC68" i="65"/>
  <c r="BB68" i="65"/>
  <c r="BA68" i="65"/>
  <c r="AZ68" i="65"/>
  <c r="AY68" i="65"/>
  <c r="AX68" i="65"/>
  <c r="AW68" i="65"/>
  <c r="AV68" i="65"/>
  <c r="AU68" i="65"/>
  <c r="EQ68" i="65" s="1"/>
  <c r="AT68" i="65"/>
  <c r="EP68" i="65" s="1"/>
  <c r="AS68" i="65"/>
  <c r="AR68" i="65"/>
  <c r="EN68" i="65" s="1"/>
  <c r="AQ68" i="65"/>
  <c r="AP68" i="65"/>
  <c r="AO68" i="65"/>
  <c r="EK68" i="65" s="1"/>
  <c r="AN68" i="65"/>
  <c r="AM68" i="65"/>
  <c r="EI68" i="65" s="1"/>
  <c r="AL68" i="65"/>
  <c r="EH68" i="65" s="1"/>
  <c r="AK68" i="65"/>
  <c r="AJ68" i="65"/>
  <c r="AI68" i="65"/>
  <c r="AH68" i="65"/>
  <c r="AG68" i="65"/>
  <c r="AF68" i="65"/>
  <c r="AE68" i="65"/>
  <c r="AD68" i="65"/>
  <c r="AC68" i="65"/>
  <c r="AB68" i="65"/>
  <c r="Z68" i="65"/>
  <c r="Y68" i="65"/>
  <c r="X68" i="65"/>
  <c r="W68" i="65"/>
  <c r="V68" i="65"/>
  <c r="U68" i="65"/>
  <c r="T68" i="65"/>
  <c r="S68" i="65"/>
  <c r="R68" i="65"/>
  <c r="Q68" i="65"/>
  <c r="O68" i="65"/>
  <c r="N68" i="65"/>
  <c r="M68" i="65"/>
  <c r="L68" i="65"/>
  <c r="K68" i="65"/>
  <c r="J68" i="65"/>
  <c r="I68" i="65"/>
  <c r="H68" i="65"/>
  <c r="G68" i="65"/>
  <c r="F68" i="65"/>
  <c r="E68" i="65"/>
  <c r="DU67" i="65"/>
  <c r="DT67" i="65"/>
  <c r="DS67" i="65"/>
  <c r="DR67" i="65"/>
  <c r="DQ67" i="65"/>
  <c r="DP67" i="65"/>
  <c r="DO67" i="65"/>
  <c r="DN67" i="65"/>
  <c r="DM67" i="65"/>
  <c r="DL67" i="65"/>
  <c r="DK67" i="65"/>
  <c r="DJ67" i="65"/>
  <c r="DI67" i="65"/>
  <c r="DH67" i="65"/>
  <c r="DG67" i="65"/>
  <c r="DF67" i="65"/>
  <c r="DE67" i="65"/>
  <c r="DD67" i="65"/>
  <c r="DC67" i="65"/>
  <c r="DB67" i="65"/>
  <c r="DA67" i="65"/>
  <c r="CZ67" i="65"/>
  <c r="CY67" i="65"/>
  <c r="CX67" i="65"/>
  <c r="CW67" i="65"/>
  <c r="CV67" i="65"/>
  <c r="CU67" i="65"/>
  <c r="CT67" i="65"/>
  <c r="CS67" i="65"/>
  <c r="CR67" i="65"/>
  <c r="CQ67" i="65"/>
  <c r="CP67" i="65"/>
  <c r="CO67" i="65"/>
  <c r="CN67" i="65"/>
  <c r="CM67" i="65"/>
  <c r="CL67" i="65"/>
  <c r="CK67" i="65"/>
  <c r="CJ67" i="65"/>
  <c r="CI67" i="65"/>
  <c r="CH67" i="65"/>
  <c r="CG67" i="65"/>
  <c r="CF67" i="65"/>
  <c r="CE67" i="65"/>
  <c r="CD67" i="65"/>
  <c r="CC67" i="65"/>
  <c r="CB67" i="65"/>
  <c r="CA67" i="65"/>
  <c r="BZ67" i="65"/>
  <c r="BY67" i="65"/>
  <c r="BX67" i="65"/>
  <c r="BW67" i="65"/>
  <c r="BV67" i="65"/>
  <c r="BU67" i="65"/>
  <c r="BT67" i="65"/>
  <c r="BS67" i="65"/>
  <c r="BR67" i="65"/>
  <c r="BQ67" i="65"/>
  <c r="BP67" i="65"/>
  <c r="BO67" i="65"/>
  <c r="BN67" i="65"/>
  <c r="BM67" i="65"/>
  <c r="BL67" i="65"/>
  <c r="BK67" i="65"/>
  <c r="BJ67" i="65"/>
  <c r="BI67" i="65"/>
  <c r="BH67" i="65"/>
  <c r="BG67" i="65"/>
  <c r="BF67" i="65"/>
  <c r="BE67" i="65"/>
  <c r="BD67" i="65"/>
  <c r="BC67" i="65"/>
  <c r="BB67" i="65"/>
  <c r="BA67" i="65"/>
  <c r="AZ67" i="65"/>
  <c r="AY67" i="65"/>
  <c r="AX67" i="65"/>
  <c r="AW67" i="65"/>
  <c r="AV67" i="65"/>
  <c r="ER67" i="65" s="1"/>
  <c r="AU67" i="65"/>
  <c r="AT67" i="65"/>
  <c r="EP67" i="65" s="1"/>
  <c r="AS67" i="65"/>
  <c r="EO67" i="65" s="1"/>
  <c r="AR67" i="65"/>
  <c r="EN67" i="65" s="1"/>
  <c r="AQ67" i="65"/>
  <c r="AP67" i="65"/>
  <c r="AO67" i="65"/>
  <c r="EK67" i="65" s="1"/>
  <c r="AN67" i="65"/>
  <c r="AM67" i="65"/>
  <c r="EI67" i="65" s="1"/>
  <c r="AL67" i="65"/>
  <c r="EH67" i="65" s="1"/>
  <c r="AK67" i="65"/>
  <c r="AJ67" i="65"/>
  <c r="AI67" i="65"/>
  <c r="AH67" i="65"/>
  <c r="AG67" i="65"/>
  <c r="AF67" i="65"/>
  <c r="AE67" i="65"/>
  <c r="AD67" i="65"/>
  <c r="AC67" i="65"/>
  <c r="AB67" i="65"/>
  <c r="Z67" i="65"/>
  <c r="Y67" i="65"/>
  <c r="X67" i="65"/>
  <c r="W67" i="65"/>
  <c r="V67" i="65"/>
  <c r="U67" i="65"/>
  <c r="T67" i="65"/>
  <c r="S67" i="65"/>
  <c r="R67" i="65"/>
  <c r="Q67" i="65"/>
  <c r="O67" i="65"/>
  <c r="N67" i="65"/>
  <c r="M67" i="65"/>
  <c r="L67" i="65"/>
  <c r="K67" i="65"/>
  <c r="J67" i="65"/>
  <c r="I67" i="65"/>
  <c r="H67" i="65"/>
  <c r="G67" i="65"/>
  <c r="F67" i="65"/>
  <c r="E67" i="65"/>
  <c r="DU66" i="65"/>
  <c r="DT66" i="65"/>
  <c r="DS66" i="65"/>
  <c r="DR66" i="65"/>
  <c r="DQ66" i="65"/>
  <c r="DP66" i="65"/>
  <c r="DO66" i="65"/>
  <c r="DN66" i="65"/>
  <c r="DM66" i="65"/>
  <c r="DL66" i="65"/>
  <c r="DK66" i="65"/>
  <c r="DJ66" i="65"/>
  <c r="DI66" i="65"/>
  <c r="DH66" i="65"/>
  <c r="DG66" i="65"/>
  <c r="DF66" i="65"/>
  <c r="DE66" i="65"/>
  <c r="DD66" i="65"/>
  <c r="DC66" i="65"/>
  <c r="DB66" i="65"/>
  <c r="DA66" i="65"/>
  <c r="CZ66" i="65"/>
  <c r="CY66" i="65"/>
  <c r="CX66" i="65"/>
  <c r="CW66" i="65"/>
  <c r="CV66" i="65"/>
  <c r="CU66" i="65"/>
  <c r="CT66" i="65"/>
  <c r="CS66" i="65"/>
  <c r="CR66" i="65"/>
  <c r="CQ66" i="65"/>
  <c r="CP66" i="65"/>
  <c r="CO66" i="65"/>
  <c r="CN66" i="65"/>
  <c r="CM66" i="65"/>
  <c r="CL66" i="65"/>
  <c r="CK66" i="65"/>
  <c r="CJ66" i="65"/>
  <c r="CI66" i="65"/>
  <c r="CH66" i="65"/>
  <c r="CG66" i="65"/>
  <c r="CF66" i="65"/>
  <c r="CE66" i="65"/>
  <c r="CD66" i="65"/>
  <c r="CC66" i="65"/>
  <c r="CB66" i="65"/>
  <c r="CA66" i="65"/>
  <c r="BZ66" i="65"/>
  <c r="BY66" i="65"/>
  <c r="BX66" i="65"/>
  <c r="BW66" i="65"/>
  <c r="BV66" i="65"/>
  <c r="BU66" i="65"/>
  <c r="BT66" i="65"/>
  <c r="BS66" i="65"/>
  <c r="BR66" i="65"/>
  <c r="BQ66" i="65"/>
  <c r="BP66" i="65"/>
  <c r="BO66" i="65"/>
  <c r="BN66" i="65"/>
  <c r="BM66" i="65"/>
  <c r="BL66" i="65"/>
  <c r="BK66" i="65"/>
  <c r="BJ66" i="65"/>
  <c r="BI66" i="65"/>
  <c r="BH66" i="65"/>
  <c r="BG66" i="65"/>
  <c r="BF66" i="65"/>
  <c r="BE66" i="65"/>
  <c r="BD66" i="65"/>
  <c r="BC66" i="65"/>
  <c r="BB66" i="65"/>
  <c r="BA66" i="65"/>
  <c r="AZ66" i="65"/>
  <c r="AY66" i="65"/>
  <c r="AX66" i="65"/>
  <c r="AW66" i="65"/>
  <c r="AV66" i="65"/>
  <c r="AU66" i="65"/>
  <c r="EQ66" i="65" s="1"/>
  <c r="AT66" i="65"/>
  <c r="AS66" i="65"/>
  <c r="EO66" i="65" s="1"/>
  <c r="AR66" i="65"/>
  <c r="EN66" i="65" s="1"/>
  <c r="AQ66" i="65"/>
  <c r="EM66" i="65" s="1"/>
  <c r="AP66" i="65"/>
  <c r="AO66" i="65"/>
  <c r="AN66" i="65"/>
  <c r="EJ66" i="65" s="1"/>
  <c r="AM66" i="65"/>
  <c r="AL66" i="65"/>
  <c r="EH66" i="65" s="1"/>
  <c r="AK66" i="65"/>
  <c r="AJ66" i="65"/>
  <c r="AI66" i="65"/>
  <c r="AH66" i="65"/>
  <c r="AG66" i="65"/>
  <c r="AF66" i="65"/>
  <c r="AE66" i="65"/>
  <c r="AD66" i="65"/>
  <c r="AC66" i="65"/>
  <c r="AB66" i="65"/>
  <c r="Z66" i="65"/>
  <c r="Y66" i="65"/>
  <c r="X66" i="65"/>
  <c r="W66" i="65"/>
  <c r="V66" i="65"/>
  <c r="U66" i="65"/>
  <c r="T66" i="65"/>
  <c r="S66" i="65"/>
  <c r="R66" i="65"/>
  <c r="Q66" i="65"/>
  <c r="O66" i="65"/>
  <c r="N66" i="65"/>
  <c r="M66" i="65"/>
  <c r="L66" i="65"/>
  <c r="K66" i="65"/>
  <c r="J66" i="65"/>
  <c r="I66" i="65"/>
  <c r="H66" i="65"/>
  <c r="G66" i="65"/>
  <c r="F66" i="65"/>
  <c r="E66" i="65"/>
  <c r="DU65" i="65"/>
  <c r="DT65" i="65"/>
  <c r="DS65" i="65"/>
  <c r="DR65" i="65"/>
  <c r="DQ65" i="65"/>
  <c r="DP65" i="65"/>
  <c r="DO65" i="65"/>
  <c r="DN65" i="65"/>
  <c r="DM65" i="65"/>
  <c r="DL65" i="65"/>
  <c r="DK65" i="65"/>
  <c r="DJ65" i="65"/>
  <c r="DI65" i="65"/>
  <c r="DH65" i="65"/>
  <c r="DG65" i="65"/>
  <c r="DF65" i="65"/>
  <c r="DE65" i="65"/>
  <c r="DD65" i="65"/>
  <c r="DC65" i="65"/>
  <c r="DB65" i="65"/>
  <c r="DA65" i="65"/>
  <c r="CZ65" i="65"/>
  <c r="CY65" i="65"/>
  <c r="CX65" i="65"/>
  <c r="CW65" i="65"/>
  <c r="CV65" i="65"/>
  <c r="CU65" i="65"/>
  <c r="CT65" i="65"/>
  <c r="CS65" i="65"/>
  <c r="CR65" i="65"/>
  <c r="CQ65" i="65"/>
  <c r="CP65" i="65"/>
  <c r="CO65" i="65"/>
  <c r="CN65" i="65"/>
  <c r="CM65" i="65"/>
  <c r="CL65" i="65"/>
  <c r="CK65" i="65"/>
  <c r="CJ65" i="65"/>
  <c r="CI65" i="65"/>
  <c r="CH65" i="65"/>
  <c r="CG65" i="65"/>
  <c r="CF65" i="65"/>
  <c r="CE65" i="65"/>
  <c r="CD65" i="65"/>
  <c r="CC65" i="65"/>
  <c r="CB65" i="65"/>
  <c r="CA65" i="65"/>
  <c r="BZ65" i="65"/>
  <c r="BY65" i="65"/>
  <c r="BX65" i="65"/>
  <c r="BW65" i="65"/>
  <c r="BV65" i="65"/>
  <c r="BU65" i="65"/>
  <c r="BT65" i="65"/>
  <c r="BS65" i="65"/>
  <c r="BR65" i="65"/>
  <c r="BQ65" i="65"/>
  <c r="BP65" i="65"/>
  <c r="BO65" i="65"/>
  <c r="BN65" i="65"/>
  <c r="BM65" i="65"/>
  <c r="BL65" i="65"/>
  <c r="BK65" i="65"/>
  <c r="BJ65" i="65"/>
  <c r="BI65" i="65"/>
  <c r="BH65" i="65"/>
  <c r="BG65" i="65"/>
  <c r="BF65" i="65"/>
  <c r="BE65" i="65"/>
  <c r="BD65" i="65"/>
  <c r="BC65" i="65"/>
  <c r="BB65" i="65"/>
  <c r="BA65" i="65"/>
  <c r="AZ65" i="65"/>
  <c r="AY65" i="65"/>
  <c r="AX65" i="65"/>
  <c r="AW65" i="65"/>
  <c r="AV65" i="65"/>
  <c r="AU65" i="65"/>
  <c r="AT65" i="65"/>
  <c r="EP65" i="65" s="1"/>
  <c r="AS65" i="65"/>
  <c r="AR65" i="65"/>
  <c r="EN65" i="65" s="1"/>
  <c r="AQ65" i="65"/>
  <c r="EM65" i="65" s="1"/>
  <c r="AP65" i="65"/>
  <c r="EL65" i="65" s="1"/>
  <c r="AO65" i="65"/>
  <c r="AN65" i="65"/>
  <c r="AM65" i="65"/>
  <c r="EI65" i="65" s="1"/>
  <c r="AL65" i="65"/>
  <c r="AK65" i="65"/>
  <c r="AJ65" i="65"/>
  <c r="AI65" i="65"/>
  <c r="AH65" i="65"/>
  <c r="AG65" i="65"/>
  <c r="AF65" i="65"/>
  <c r="AE65" i="65"/>
  <c r="AD65" i="65"/>
  <c r="AC65" i="65"/>
  <c r="AB65" i="65"/>
  <c r="Z65" i="65"/>
  <c r="Y65" i="65"/>
  <c r="X65" i="65"/>
  <c r="W65" i="65"/>
  <c r="V65" i="65"/>
  <c r="U65" i="65"/>
  <c r="T65" i="65"/>
  <c r="S65" i="65"/>
  <c r="R65" i="65"/>
  <c r="Q65" i="65"/>
  <c r="O65" i="65"/>
  <c r="N65" i="65"/>
  <c r="M65" i="65"/>
  <c r="L65" i="65"/>
  <c r="K65" i="65"/>
  <c r="J65" i="65"/>
  <c r="I65" i="65"/>
  <c r="H65" i="65"/>
  <c r="G65" i="65"/>
  <c r="F65" i="65"/>
  <c r="E65" i="65"/>
  <c r="DU64" i="65"/>
  <c r="DT64" i="65"/>
  <c r="DS64" i="65"/>
  <c r="DR64" i="65"/>
  <c r="DQ64" i="65"/>
  <c r="DP64" i="65"/>
  <c r="DO64" i="65"/>
  <c r="DN64" i="65"/>
  <c r="DM64" i="65"/>
  <c r="DL64" i="65"/>
  <c r="DK64" i="65"/>
  <c r="DJ64" i="65"/>
  <c r="DI64" i="65"/>
  <c r="DH64" i="65"/>
  <c r="DG64" i="65"/>
  <c r="DF64" i="65"/>
  <c r="DE64" i="65"/>
  <c r="DD64" i="65"/>
  <c r="DC64" i="65"/>
  <c r="DB64" i="65"/>
  <c r="DA64" i="65"/>
  <c r="CZ64" i="65"/>
  <c r="CY64" i="65"/>
  <c r="CX64" i="65"/>
  <c r="CW64" i="65"/>
  <c r="CV64" i="65"/>
  <c r="CU64" i="65"/>
  <c r="CT64" i="65"/>
  <c r="CS64" i="65"/>
  <c r="CR64" i="65"/>
  <c r="CQ64" i="65"/>
  <c r="CP64" i="65"/>
  <c r="CO64" i="65"/>
  <c r="CN64" i="65"/>
  <c r="CM64" i="65"/>
  <c r="CL64" i="65"/>
  <c r="CK64" i="65"/>
  <c r="CJ64" i="65"/>
  <c r="CI64" i="65"/>
  <c r="CH64" i="65"/>
  <c r="CG64" i="65"/>
  <c r="CF64" i="65"/>
  <c r="CE64" i="65"/>
  <c r="CD64" i="65"/>
  <c r="CC64" i="65"/>
  <c r="CB64" i="65"/>
  <c r="CA64" i="65"/>
  <c r="BZ64" i="65"/>
  <c r="BY64" i="65"/>
  <c r="BX64" i="65"/>
  <c r="BW64" i="65"/>
  <c r="BV64" i="65"/>
  <c r="BU64" i="65"/>
  <c r="BT64" i="65"/>
  <c r="BS64" i="65"/>
  <c r="BR64" i="65"/>
  <c r="BQ64" i="65"/>
  <c r="BP64" i="65"/>
  <c r="BO64" i="65"/>
  <c r="BN64" i="65"/>
  <c r="BM64" i="65"/>
  <c r="BL64" i="65"/>
  <c r="BK64" i="65"/>
  <c r="BJ64" i="65"/>
  <c r="BI64" i="65"/>
  <c r="BH64" i="65"/>
  <c r="BG64" i="65"/>
  <c r="BF64" i="65"/>
  <c r="BE64" i="65"/>
  <c r="BD64" i="65"/>
  <c r="BC64" i="65"/>
  <c r="BB64" i="65"/>
  <c r="BA64" i="65"/>
  <c r="AZ64" i="65"/>
  <c r="AY64" i="65"/>
  <c r="AX64" i="65"/>
  <c r="AW64" i="65"/>
  <c r="AV64" i="65"/>
  <c r="AU64" i="65"/>
  <c r="AT64" i="65"/>
  <c r="AS64" i="65"/>
  <c r="EO64" i="65" s="1"/>
  <c r="AR64" i="65"/>
  <c r="AQ64" i="65"/>
  <c r="EM64" i="65" s="1"/>
  <c r="AP64" i="65"/>
  <c r="EL64" i="65" s="1"/>
  <c r="AO64" i="65"/>
  <c r="EK64" i="65" s="1"/>
  <c r="AN64" i="65"/>
  <c r="AM64" i="65"/>
  <c r="AL64" i="65"/>
  <c r="EH64" i="65" s="1"/>
  <c r="AK64" i="65"/>
  <c r="AJ64" i="65"/>
  <c r="AI64" i="65"/>
  <c r="AH64" i="65"/>
  <c r="AG64" i="65"/>
  <c r="AF64" i="65"/>
  <c r="AE64" i="65"/>
  <c r="AD64" i="65"/>
  <c r="AC64" i="65"/>
  <c r="AB64" i="65"/>
  <c r="Z64" i="65"/>
  <c r="Y64" i="65"/>
  <c r="X64" i="65"/>
  <c r="W64" i="65"/>
  <c r="V64" i="65"/>
  <c r="U64" i="65"/>
  <c r="T64" i="65"/>
  <c r="S64" i="65"/>
  <c r="R64" i="65"/>
  <c r="Q64" i="65"/>
  <c r="O64" i="65"/>
  <c r="N64" i="65"/>
  <c r="M64" i="65"/>
  <c r="L64" i="65"/>
  <c r="K64" i="65"/>
  <c r="J64" i="65"/>
  <c r="I64" i="65"/>
  <c r="H64" i="65"/>
  <c r="G64" i="65"/>
  <c r="F64" i="65"/>
  <c r="E64" i="65"/>
  <c r="DU63" i="65"/>
  <c r="DT63" i="65"/>
  <c r="DS63" i="65"/>
  <c r="DR63" i="65"/>
  <c r="DQ63" i="65"/>
  <c r="DP63" i="65"/>
  <c r="DO63" i="65"/>
  <c r="DN63" i="65"/>
  <c r="DM63" i="65"/>
  <c r="DL63" i="65"/>
  <c r="DK63" i="65"/>
  <c r="DJ63" i="65"/>
  <c r="DI63" i="65"/>
  <c r="DH63" i="65"/>
  <c r="DG63" i="65"/>
  <c r="DF63" i="65"/>
  <c r="DE63" i="65"/>
  <c r="DD63" i="65"/>
  <c r="DC63" i="65"/>
  <c r="DB63" i="65"/>
  <c r="DA63" i="65"/>
  <c r="CZ63" i="65"/>
  <c r="CY63" i="65"/>
  <c r="CX63" i="65"/>
  <c r="CW63" i="65"/>
  <c r="CV63" i="65"/>
  <c r="CU63" i="65"/>
  <c r="CT63" i="65"/>
  <c r="CS63" i="65"/>
  <c r="CR63" i="65"/>
  <c r="CQ63" i="65"/>
  <c r="CP63" i="65"/>
  <c r="CO63" i="65"/>
  <c r="CN63" i="65"/>
  <c r="CM63" i="65"/>
  <c r="CL63" i="65"/>
  <c r="CK63" i="65"/>
  <c r="CJ63" i="65"/>
  <c r="CI63" i="65"/>
  <c r="CH63" i="65"/>
  <c r="CG63" i="65"/>
  <c r="CF63" i="65"/>
  <c r="CE63" i="65"/>
  <c r="CD63" i="65"/>
  <c r="CC63" i="65"/>
  <c r="CB63" i="65"/>
  <c r="CA63" i="65"/>
  <c r="BZ63" i="65"/>
  <c r="BY63" i="65"/>
  <c r="BX63" i="65"/>
  <c r="BW63" i="65"/>
  <c r="BV63" i="65"/>
  <c r="BU63" i="65"/>
  <c r="BT63" i="65"/>
  <c r="BS63" i="65"/>
  <c r="BR63" i="65"/>
  <c r="BQ63" i="65"/>
  <c r="BP63" i="65"/>
  <c r="BO63" i="65"/>
  <c r="BN63" i="65"/>
  <c r="BM63" i="65"/>
  <c r="BL63" i="65"/>
  <c r="BK63" i="65"/>
  <c r="BJ63" i="65"/>
  <c r="BI63" i="65"/>
  <c r="BH63" i="65"/>
  <c r="BG63" i="65"/>
  <c r="BF63" i="65"/>
  <c r="BE63" i="65"/>
  <c r="BD63" i="65"/>
  <c r="BC63" i="65"/>
  <c r="BB63" i="65"/>
  <c r="BA63" i="65"/>
  <c r="AZ63" i="65"/>
  <c r="AY63" i="65"/>
  <c r="AX63" i="65"/>
  <c r="AW63" i="65"/>
  <c r="AV63" i="65"/>
  <c r="ER63" i="65" s="1"/>
  <c r="AU63" i="65"/>
  <c r="AT63" i="65"/>
  <c r="AS63" i="65"/>
  <c r="AR63" i="65"/>
  <c r="EN63" i="65" s="1"/>
  <c r="AQ63" i="65"/>
  <c r="AP63" i="65"/>
  <c r="EL63" i="65" s="1"/>
  <c r="AO63" i="65"/>
  <c r="EK63" i="65" s="1"/>
  <c r="AN63" i="65"/>
  <c r="EJ63" i="65" s="1"/>
  <c r="AM63" i="65"/>
  <c r="AL63" i="65"/>
  <c r="AK63" i="65"/>
  <c r="AJ63" i="65"/>
  <c r="AI63" i="65"/>
  <c r="AH63" i="65"/>
  <c r="AG63" i="65"/>
  <c r="AF63" i="65"/>
  <c r="AE63" i="65"/>
  <c r="AD63" i="65"/>
  <c r="AC63" i="65"/>
  <c r="AB63" i="65"/>
  <c r="Z63" i="65"/>
  <c r="Y63" i="65"/>
  <c r="X63" i="65"/>
  <c r="W63" i="65"/>
  <c r="V63" i="65"/>
  <c r="U63" i="65"/>
  <c r="T63" i="65"/>
  <c r="S63" i="65"/>
  <c r="R63" i="65"/>
  <c r="Q63" i="65"/>
  <c r="O63" i="65"/>
  <c r="N63" i="65"/>
  <c r="M63" i="65"/>
  <c r="L63" i="65"/>
  <c r="K63" i="65"/>
  <c r="J63" i="65"/>
  <c r="I63" i="65"/>
  <c r="H63" i="65"/>
  <c r="G63" i="65"/>
  <c r="F63" i="65"/>
  <c r="E63" i="65"/>
  <c r="DU62" i="65"/>
  <c r="DT62" i="65"/>
  <c r="DS62" i="65"/>
  <c r="DR62" i="65"/>
  <c r="DQ62" i="65"/>
  <c r="DP62" i="65"/>
  <c r="DO62" i="65"/>
  <c r="DN62" i="65"/>
  <c r="DM62" i="65"/>
  <c r="DL62" i="65"/>
  <c r="DK62" i="65"/>
  <c r="DJ62" i="65"/>
  <c r="DI62" i="65"/>
  <c r="DH62" i="65"/>
  <c r="DG62" i="65"/>
  <c r="DF62" i="65"/>
  <c r="DE62" i="65"/>
  <c r="DD62" i="65"/>
  <c r="DC62" i="65"/>
  <c r="DB62" i="65"/>
  <c r="DA62" i="65"/>
  <c r="CZ62" i="65"/>
  <c r="CY62" i="65"/>
  <c r="CX62" i="65"/>
  <c r="CW62" i="65"/>
  <c r="CV62" i="65"/>
  <c r="CU62" i="65"/>
  <c r="CT62" i="65"/>
  <c r="CS62" i="65"/>
  <c r="CR62" i="65"/>
  <c r="CQ62" i="65"/>
  <c r="CP62" i="65"/>
  <c r="CO62" i="65"/>
  <c r="CN62" i="65"/>
  <c r="CM62" i="65"/>
  <c r="CL62" i="65"/>
  <c r="CK62" i="65"/>
  <c r="CJ62" i="65"/>
  <c r="CI62" i="65"/>
  <c r="CH62" i="65"/>
  <c r="CG62" i="65"/>
  <c r="CF62" i="65"/>
  <c r="CE62" i="65"/>
  <c r="CD62" i="65"/>
  <c r="CC62" i="65"/>
  <c r="CB62" i="65"/>
  <c r="CA62" i="65"/>
  <c r="BZ62" i="65"/>
  <c r="BY62" i="65"/>
  <c r="BX62" i="65"/>
  <c r="BW62" i="65"/>
  <c r="BV62" i="65"/>
  <c r="BU62" i="65"/>
  <c r="BT62" i="65"/>
  <c r="BS62" i="65"/>
  <c r="BR62" i="65"/>
  <c r="BQ62" i="65"/>
  <c r="BP62" i="65"/>
  <c r="BO62" i="65"/>
  <c r="BN62" i="65"/>
  <c r="BM62" i="65"/>
  <c r="BL62" i="65"/>
  <c r="BK62" i="65"/>
  <c r="BJ62" i="65"/>
  <c r="BI62" i="65"/>
  <c r="BH62" i="65"/>
  <c r="BG62" i="65"/>
  <c r="BF62" i="65"/>
  <c r="BE62" i="65"/>
  <c r="BD62" i="65"/>
  <c r="BC62" i="65"/>
  <c r="BB62" i="65"/>
  <c r="BA62" i="65"/>
  <c r="AZ62" i="65"/>
  <c r="AY62" i="65"/>
  <c r="AX62" i="65"/>
  <c r="AW62" i="65"/>
  <c r="AV62" i="65"/>
  <c r="ER62" i="65" s="1"/>
  <c r="AU62" i="65"/>
  <c r="EQ62" i="65" s="1"/>
  <c r="AT62" i="65"/>
  <c r="AS62" i="65"/>
  <c r="AR62" i="65"/>
  <c r="AQ62" i="65"/>
  <c r="EM62" i="65" s="1"/>
  <c r="AP62" i="65"/>
  <c r="AO62" i="65"/>
  <c r="EK62" i="65" s="1"/>
  <c r="AN62" i="65"/>
  <c r="EJ62" i="65" s="1"/>
  <c r="AM62" i="65"/>
  <c r="EI62" i="65" s="1"/>
  <c r="AL62" i="65"/>
  <c r="AK62" i="65"/>
  <c r="AJ62" i="65"/>
  <c r="AI62" i="65"/>
  <c r="AH62" i="65"/>
  <c r="AG62" i="65"/>
  <c r="AF62" i="65"/>
  <c r="AE62" i="65"/>
  <c r="AD62" i="65"/>
  <c r="AC62" i="65"/>
  <c r="AB62" i="65"/>
  <c r="Z62" i="65"/>
  <c r="Y62" i="65"/>
  <c r="X62" i="65"/>
  <c r="W62" i="65"/>
  <c r="V62" i="65"/>
  <c r="U62" i="65"/>
  <c r="T62" i="65"/>
  <c r="S62" i="65"/>
  <c r="R62" i="65"/>
  <c r="Q62" i="65"/>
  <c r="O62" i="65"/>
  <c r="N62" i="65"/>
  <c r="M62" i="65"/>
  <c r="L62" i="65"/>
  <c r="K62" i="65"/>
  <c r="J62" i="65"/>
  <c r="I62" i="65"/>
  <c r="H62" i="65"/>
  <c r="G62" i="65"/>
  <c r="F62" i="65"/>
  <c r="E62" i="65"/>
  <c r="DU61" i="65"/>
  <c r="DT61" i="65"/>
  <c r="DS61" i="65"/>
  <c r="DR61" i="65"/>
  <c r="DQ61" i="65"/>
  <c r="DP61" i="65"/>
  <c r="DO61" i="65"/>
  <c r="DN61" i="65"/>
  <c r="DM61" i="65"/>
  <c r="DL61" i="65"/>
  <c r="DK61" i="65"/>
  <c r="DJ61" i="65"/>
  <c r="DI61" i="65"/>
  <c r="DH61" i="65"/>
  <c r="DG61" i="65"/>
  <c r="DF61" i="65"/>
  <c r="DE61" i="65"/>
  <c r="DD61" i="65"/>
  <c r="DC61" i="65"/>
  <c r="DB61" i="65"/>
  <c r="DA61" i="65"/>
  <c r="CZ61" i="65"/>
  <c r="CY61" i="65"/>
  <c r="CX61" i="65"/>
  <c r="CW61" i="65"/>
  <c r="CV61" i="65"/>
  <c r="CU61" i="65"/>
  <c r="CT61" i="65"/>
  <c r="CS61" i="65"/>
  <c r="CR61" i="65"/>
  <c r="CQ61" i="65"/>
  <c r="CP61" i="65"/>
  <c r="CO61" i="65"/>
  <c r="CN61" i="65"/>
  <c r="CM61" i="65"/>
  <c r="CL61" i="65"/>
  <c r="CK61" i="65"/>
  <c r="CJ61" i="65"/>
  <c r="CI61" i="65"/>
  <c r="CH61" i="65"/>
  <c r="CG61" i="65"/>
  <c r="CF61" i="65"/>
  <c r="CE61" i="65"/>
  <c r="CD61" i="65"/>
  <c r="CC61" i="65"/>
  <c r="CB61" i="65"/>
  <c r="CA61" i="65"/>
  <c r="BZ61" i="65"/>
  <c r="BY61" i="65"/>
  <c r="BX61" i="65"/>
  <c r="BW61" i="65"/>
  <c r="BV61" i="65"/>
  <c r="BU61" i="65"/>
  <c r="BT61" i="65"/>
  <c r="BS61" i="65"/>
  <c r="BR61" i="65"/>
  <c r="BQ61" i="65"/>
  <c r="BP61" i="65"/>
  <c r="BO61" i="65"/>
  <c r="BN61" i="65"/>
  <c r="BM61" i="65"/>
  <c r="BL61" i="65"/>
  <c r="BK61" i="65"/>
  <c r="BJ61" i="65"/>
  <c r="BI61" i="65"/>
  <c r="BH61" i="65"/>
  <c r="BG61" i="65"/>
  <c r="BF61" i="65"/>
  <c r="BE61" i="65"/>
  <c r="BD61" i="65"/>
  <c r="BC61" i="65"/>
  <c r="BB61" i="65"/>
  <c r="BA61" i="65"/>
  <c r="AZ61" i="65"/>
  <c r="AY61" i="65"/>
  <c r="AX61" i="65"/>
  <c r="AW61" i="65"/>
  <c r="AV61" i="65"/>
  <c r="ER61" i="65" s="1"/>
  <c r="AU61" i="65"/>
  <c r="EQ61" i="65" s="1"/>
  <c r="AT61" i="65"/>
  <c r="EP61" i="65" s="1"/>
  <c r="AS61" i="65"/>
  <c r="AR61" i="65"/>
  <c r="AQ61" i="65"/>
  <c r="AP61" i="65"/>
  <c r="EL61" i="65" s="1"/>
  <c r="AO61" i="65"/>
  <c r="AN61" i="65"/>
  <c r="EJ61" i="65" s="1"/>
  <c r="AM61" i="65"/>
  <c r="EI61" i="65" s="1"/>
  <c r="AL61" i="65"/>
  <c r="EH61" i="65" s="1"/>
  <c r="AK61" i="65"/>
  <c r="AJ61" i="65"/>
  <c r="AI61" i="65"/>
  <c r="AH61" i="65"/>
  <c r="AG61" i="65"/>
  <c r="AF61" i="65"/>
  <c r="AE61" i="65"/>
  <c r="AD61" i="65"/>
  <c r="AC61" i="65"/>
  <c r="AB61" i="65"/>
  <c r="Z61" i="65"/>
  <c r="Y61" i="65"/>
  <c r="X61" i="65"/>
  <c r="W61" i="65"/>
  <c r="V61" i="65"/>
  <c r="U61" i="65"/>
  <c r="T61" i="65"/>
  <c r="S61" i="65"/>
  <c r="R61" i="65"/>
  <c r="Q61" i="65"/>
  <c r="O61" i="65"/>
  <c r="N61" i="65"/>
  <c r="M61" i="65"/>
  <c r="L61" i="65"/>
  <c r="K61" i="65"/>
  <c r="J61" i="65"/>
  <c r="I61" i="65"/>
  <c r="H61" i="65"/>
  <c r="G61" i="65"/>
  <c r="F61" i="65"/>
  <c r="E61" i="65"/>
  <c r="DU60" i="65"/>
  <c r="DT60" i="65"/>
  <c r="DS60" i="65"/>
  <c r="DR60" i="65"/>
  <c r="DQ60" i="65"/>
  <c r="DP60" i="65"/>
  <c r="DO60" i="65"/>
  <c r="DN60" i="65"/>
  <c r="DM60" i="65"/>
  <c r="DL60" i="65"/>
  <c r="DK60" i="65"/>
  <c r="DJ60" i="65"/>
  <c r="DI60" i="65"/>
  <c r="DH60" i="65"/>
  <c r="DG60" i="65"/>
  <c r="DF60" i="65"/>
  <c r="DE60" i="65"/>
  <c r="DD60" i="65"/>
  <c r="DC60" i="65"/>
  <c r="DB60" i="65"/>
  <c r="DA60" i="65"/>
  <c r="CZ60" i="65"/>
  <c r="CY60" i="65"/>
  <c r="CX60" i="65"/>
  <c r="CW60" i="65"/>
  <c r="CV60" i="65"/>
  <c r="CU60" i="65"/>
  <c r="CT60" i="65"/>
  <c r="CS60" i="65"/>
  <c r="CR60" i="65"/>
  <c r="CQ60" i="65"/>
  <c r="CP60" i="65"/>
  <c r="CO60" i="65"/>
  <c r="CN60" i="65"/>
  <c r="CM60" i="65"/>
  <c r="CL60" i="65"/>
  <c r="CK60" i="65"/>
  <c r="CJ60" i="65"/>
  <c r="CI60" i="65"/>
  <c r="CH60" i="65"/>
  <c r="CG60" i="65"/>
  <c r="CF60" i="65"/>
  <c r="CE60" i="65"/>
  <c r="CD60" i="65"/>
  <c r="CC60" i="65"/>
  <c r="CB60" i="65"/>
  <c r="CA60" i="65"/>
  <c r="BZ60" i="65"/>
  <c r="BY60" i="65"/>
  <c r="BX60" i="65"/>
  <c r="BW60" i="65"/>
  <c r="BV60" i="65"/>
  <c r="BU60" i="65"/>
  <c r="BT60" i="65"/>
  <c r="BS60" i="65"/>
  <c r="BR60" i="65"/>
  <c r="BQ60" i="65"/>
  <c r="BP60" i="65"/>
  <c r="BO60" i="65"/>
  <c r="BN60" i="65"/>
  <c r="BM60" i="65"/>
  <c r="BL60" i="65"/>
  <c r="BK60" i="65"/>
  <c r="BJ60" i="65"/>
  <c r="BI60" i="65"/>
  <c r="BH60" i="65"/>
  <c r="BG60" i="65"/>
  <c r="BF60" i="65"/>
  <c r="BE60" i="65"/>
  <c r="BD60" i="65"/>
  <c r="BC60" i="65"/>
  <c r="BB60" i="65"/>
  <c r="BA60" i="65"/>
  <c r="AZ60" i="65"/>
  <c r="AY60" i="65"/>
  <c r="AX60" i="65"/>
  <c r="AW60" i="65"/>
  <c r="AV60" i="65"/>
  <c r="AU60" i="65"/>
  <c r="EQ60" i="65" s="1"/>
  <c r="AT60" i="65"/>
  <c r="EP60" i="65" s="1"/>
  <c r="AS60" i="65"/>
  <c r="EO60" i="65" s="1"/>
  <c r="AR60" i="65"/>
  <c r="AQ60" i="65"/>
  <c r="AP60" i="65"/>
  <c r="AO60" i="65"/>
  <c r="EK60" i="65" s="1"/>
  <c r="AN60" i="65"/>
  <c r="AM60" i="65"/>
  <c r="EI60" i="65" s="1"/>
  <c r="AL60" i="65"/>
  <c r="EH60" i="65" s="1"/>
  <c r="AK60" i="65"/>
  <c r="AJ60" i="65"/>
  <c r="AI60" i="65"/>
  <c r="AH60" i="65"/>
  <c r="AG60" i="65"/>
  <c r="AF60" i="65"/>
  <c r="AE60" i="65"/>
  <c r="AD60" i="65"/>
  <c r="AC60" i="65"/>
  <c r="AB60" i="65"/>
  <c r="Z60" i="65"/>
  <c r="Y60" i="65"/>
  <c r="X60" i="65"/>
  <c r="W60" i="65"/>
  <c r="V60" i="65"/>
  <c r="U60" i="65"/>
  <c r="T60" i="65"/>
  <c r="S60" i="65"/>
  <c r="R60" i="65"/>
  <c r="Q60" i="65"/>
  <c r="O60" i="65"/>
  <c r="N60" i="65"/>
  <c r="M60" i="65"/>
  <c r="L60" i="65"/>
  <c r="K60" i="65"/>
  <c r="J60" i="65"/>
  <c r="I60" i="65"/>
  <c r="H60" i="65"/>
  <c r="G60" i="65"/>
  <c r="F60" i="65"/>
  <c r="E60" i="65"/>
  <c r="DU59" i="65"/>
  <c r="DT59" i="65"/>
  <c r="DS59" i="65"/>
  <c r="DR59" i="65"/>
  <c r="DQ59" i="65"/>
  <c r="DP59" i="65"/>
  <c r="DO59" i="65"/>
  <c r="DN59" i="65"/>
  <c r="DM59" i="65"/>
  <c r="DL59" i="65"/>
  <c r="DK59" i="65"/>
  <c r="DJ59" i="65"/>
  <c r="DI59" i="65"/>
  <c r="DH59" i="65"/>
  <c r="DG59" i="65"/>
  <c r="DF59" i="65"/>
  <c r="DE59" i="65"/>
  <c r="DD59" i="65"/>
  <c r="DC59" i="65"/>
  <c r="DB59" i="65"/>
  <c r="DA59" i="65"/>
  <c r="CZ59" i="65"/>
  <c r="CY59" i="65"/>
  <c r="CX59" i="65"/>
  <c r="CW59" i="65"/>
  <c r="CV59" i="65"/>
  <c r="CU59" i="65"/>
  <c r="CT59" i="65"/>
  <c r="CS59" i="65"/>
  <c r="CR59" i="65"/>
  <c r="CQ59" i="65"/>
  <c r="CP59" i="65"/>
  <c r="CO59" i="65"/>
  <c r="CN59" i="65"/>
  <c r="CM59" i="65"/>
  <c r="CL59" i="65"/>
  <c r="CK59" i="65"/>
  <c r="CJ59" i="65"/>
  <c r="CI59" i="65"/>
  <c r="CH59" i="65"/>
  <c r="CG59" i="65"/>
  <c r="CF59" i="65"/>
  <c r="CE59" i="65"/>
  <c r="CD59" i="65"/>
  <c r="CC59" i="65"/>
  <c r="CB59" i="65"/>
  <c r="CA59" i="65"/>
  <c r="BZ59" i="65"/>
  <c r="BY59" i="65"/>
  <c r="BX59" i="65"/>
  <c r="BW59" i="65"/>
  <c r="BV59" i="65"/>
  <c r="BU59" i="65"/>
  <c r="BT59" i="65"/>
  <c r="BS59" i="65"/>
  <c r="BR59" i="65"/>
  <c r="BQ59" i="65"/>
  <c r="BP59" i="65"/>
  <c r="BO59" i="65"/>
  <c r="BN59" i="65"/>
  <c r="BM59" i="65"/>
  <c r="BL59" i="65"/>
  <c r="BK59" i="65"/>
  <c r="BJ59" i="65"/>
  <c r="BI59" i="65"/>
  <c r="BH59" i="65"/>
  <c r="BG59" i="65"/>
  <c r="BF59" i="65"/>
  <c r="BE59" i="65"/>
  <c r="BD59" i="65"/>
  <c r="BC59" i="65"/>
  <c r="BB59" i="65"/>
  <c r="BA59" i="65"/>
  <c r="AZ59" i="65"/>
  <c r="AY59" i="65"/>
  <c r="AX59" i="65"/>
  <c r="AW59" i="65"/>
  <c r="AV59" i="65"/>
  <c r="AU59" i="65"/>
  <c r="EQ59" i="65" s="1"/>
  <c r="AT59" i="65"/>
  <c r="EP59" i="65" s="1"/>
  <c r="AS59" i="65"/>
  <c r="EO59" i="65" s="1"/>
  <c r="AR59" i="65"/>
  <c r="EN59" i="65" s="1"/>
  <c r="AQ59" i="65"/>
  <c r="AP59" i="65"/>
  <c r="AO59" i="65"/>
  <c r="AN59" i="65"/>
  <c r="EJ59" i="65" s="1"/>
  <c r="AM59" i="65"/>
  <c r="AL59" i="65"/>
  <c r="EH59" i="65" s="1"/>
  <c r="AK59" i="65"/>
  <c r="AJ59" i="65"/>
  <c r="AI59" i="65"/>
  <c r="AH59" i="65"/>
  <c r="AG59" i="65"/>
  <c r="AF59" i="65"/>
  <c r="AE59" i="65"/>
  <c r="AD59" i="65"/>
  <c r="AC59" i="65"/>
  <c r="AB59" i="65"/>
  <c r="Z59" i="65"/>
  <c r="Y59" i="65"/>
  <c r="X59" i="65"/>
  <c r="W59" i="65"/>
  <c r="V59" i="65"/>
  <c r="U59" i="65"/>
  <c r="T59" i="65"/>
  <c r="S59" i="65"/>
  <c r="R59" i="65"/>
  <c r="Q59" i="65"/>
  <c r="O59" i="65"/>
  <c r="N59" i="65"/>
  <c r="M59" i="65"/>
  <c r="L59" i="65"/>
  <c r="K59" i="65"/>
  <c r="J59" i="65"/>
  <c r="I59" i="65"/>
  <c r="H59" i="65"/>
  <c r="G59" i="65"/>
  <c r="F59" i="65"/>
  <c r="E59" i="65"/>
  <c r="DU58" i="65"/>
  <c r="DT58" i="65"/>
  <c r="DS58" i="65"/>
  <c r="DR58" i="65"/>
  <c r="DQ58" i="65"/>
  <c r="DP58" i="65"/>
  <c r="DO58" i="65"/>
  <c r="DN58" i="65"/>
  <c r="DM58" i="65"/>
  <c r="DL58" i="65"/>
  <c r="DK58" i="65"/>
  <c r="DJ58" i="65"/>
  <c r="DI58" i="65"/>
  <c r="DH58" i="65"/>
  <c r="DG58" i="65"/>
  <c r="DF58" i="65"/>
  <c r="DE58" i="65"/>
  <c r="DD58" i="65"/>
  <c r="DC58" i="65"/>
  <c r="DB58" i="65"/>
  <c r="DA58" i="65"/>
  <c r="CZ58" i="65"/>
  <c r="CY58" i="65"/>
  <c r="CX58" i="65"/>
  <c r="CW58" i="65"/>
  <c r="CV58" i="65"/>
  <c r="CU58" i="65"/>
  <c r="CT58" i="65"/>
  <c r="CS58" i="65"/>
  <c r="CR58" i="65"/>
  <c r="CQ58" i="65"/>
  <c r="CP58" i="65"/>
  <c r="CO58" i="65"/>
  <c r="CN58" i="65"/>
  <c r="CM58" i="65"/>
  <c r="CL58" i="65"/>
  <c r="CK58" i="65"/>
  <c r="CJ58" i="65"/>
  <c r="CI58" i="65"/>
  <c r="CH58" i="65"/>
  <c r="CG58" i="65"/>
  <c r="CF58" i="65"/>
  <c r="CE58" i="65"/>
  <c r="CD58" i="65"/>
  <c r="CC58" i="65"/>
  <c r="CB58" i="65"/>
  <c r="CA58" i="65"/>
  <c r="BZ58" i="65"/>
  <c r="BY58" i="65"/>
  <c r="BX58" i="65"/>
  <c r="BW58" i="65"/>
  <c r="BV58" i="65"/>
  <c r="BU58" i="65"/>
  <c r="BT58" i="65"/>
  <c r="BS58" i="65"/>
  <c r="BR58" i="65"/>
  <c r="BQ58" i="65"/>
  <c r="BP58" i="65"/>
  <c r="BO58" i="65"/>
  <c r="BN58" i="65"/>
  <c r="BM58" i="65"/>
  <c r="BL58" i="65"/>
  <c r="BK58" i="65"/>
  <c r="BJ58" i="65"/>
  <c r="BI58" i="65"/>
  <c r="BH58" i="65"/>
  <c r="BG58" i="65"/>
  <c r="BF58" i="65"/>
  <c r="BE58" i="65"/>
  <c r="BD58" i="65"/>
  <c r="BC58" i="65"/>
  <c r="BB58" i="65"/>
  <c r="BA58" i="65"/>
  <c r="AZ58" i="65"/>
  <c r="AY58" i="65"/>
  <c r="AX58" i="65"/>
  <c r="AW58" i="65"/>
  <c r="AV58" i="65"/>
  <c r="ER58" i="65" s="1"/>
  <c r="AU58" i="65"/>
  <c r="AT58" i="65"/>
  <c r="AS58" i="65"/>
  <c r="EO58" i="65" s="1"/>
  <c r="AR58" i="65"/>
  <c r="EN58" i="65" s="1"/>
  <c r="AQ58" i="65"/>
  <c r="EM58" i="65" s="1"/>
  <c r="AP58" i="65"/>
  <c r="AO58" i="65"/>
  <c r="AN58" i="65"/>
  <c r="AM58" i="65"/>
  <c r="EI58" i="65" s="1"/>
  <c r="AL58" i="65"/>
  <c r="AK58" i="65"/>
  <c r="AJ58" i="65"/>
  <c r="AI58" i="65"/>
  <c r="AH58" i="65"/>
  <c r="AG58" i="65"/>
  <c r="AF58" i="65"/>
  <c r="AE58" i="65"/>
  <c r="AD58" i="65"/>
  <c r="AC58" i="65"/>
  <c r="AB58" i="65"/>
  <c r="Z58" i="65"/>
  <c r="Y58" i="65"/>
  <c r="X58" i="65"/>
  <c r="W58" i="65"/>
  <c r="V58" i="65"/>
  <c r="U58" i="65"/>
  <c r="T58" i="65"/>
  <c r="S58" i="65"/>
  <c r="R58" i="65"/>
  <c r="Q58" i="65"/>
  <c r="O58" i="65"/>
  <c r="N58" i="65"/>
  <c r="M58" i="65"/>
  <c r="L58" i="65"/>
  <c r="K58" i="65"/>
  <c r="J58" i="65"/>
  <c r="I58" i="65"/>
  <c r="H58" i="65"/>
  <c r="G58" i="65"/>
  <c r="F58" i="65"/>
  <c r="E58" i="65"/>
  <c r="DU57" i="65"/>
  <c r="DT57" i="65"/>
  <c r="DS57" i="65"/>
  <c r="DR57" i="65"/>
  <c r="DQ57" i="65"/>
  <c r="DP57" i="65"/>
  <c r="DO57" i="65"/>
  <c r="DN57" i="65"/>
  <c r="DM57" i="65"/>
  <c r="DL57" i="65"/>
  <c r="DK57" i="65"/>
  <c r="DJ57" i="65"/>
  <c r="DI57" i="65"/>
  <c r="DH57" i="65"/>
  <c r="DG57" i="65"/>
  <c r="DF57" i="65"/>
  <c r="DE57" i="65"/>
  <c r="DD57" i="65"/>
  <c r="DC57" i="65"/>
  <c r="DB57" i="65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EQ57" i="65" s="1"/>
  <c r="AT57" i="65"/>
  <c r="AS57" i="65"/>
  <c r="EO57" i="65" s="1"/>
  <c r="AR57" i="65"/>
  <c r="EN57" i="65" s="1"/>
  <c r="AQ57" i="65"/>
  <c r="EM57" i="65" s="1"/>
  <c r="AP57" i="65"/>
  <c r="EL57" i="65" s="1"/>
  <c r="AO57" i="65"/>
  <c r="AN57" i="65"/>
  <c r="AM57" i="65"/>
  <c r="EI57" i="65" s="1"/>
  <c r="AL57" i="65"/>
  <c r="EH57" i="65" s="1"/>
  <c r="AK57" i="65"/>
  <c r="AJ57" i="65"/>
  <c r="AI57" i="65"/>
  <c r="AH57" i="65"/>
  <c r="AG57" i="65"/>
  <c r="AF57" i="65"/>
  <c r="AE57" i="65"/>
  <c r="AD57" i="65"/>
  <c r="AC57" i="65"/>
  <c r="AB57" i="65"/>
  <c r="Z57" i="65"/>
  <c r="Y57" i="65"/>
  <c r="X57" i="65"/>
  <c r="W57" i="65"/>
  <c r="V57" i="65"/>
  <c r="U57" i="65"/>
  <c r="T57" i="65"/>
  <c r="S57" i="65"/>
  <c r="R57" i="65"/>
  <c r="Q57" i="65"/>
  <c r="O57" i="65"/>
  <c r="N57" i="65"/>
  <c r="M57" i="65"/>
  <c r="L57" i="65"/>
  <c r="K57" i="65"/>
  <c r="J57" i="65"/>
  <c r="I57" i="65"/>
  <c r="H57" i="65"/>
  <c r="G57" i="65"/>
  <c r="F57" i="65"/>
  <c r="E57" i="65"/>
  <c r="DU56" i="65"/>
  <c r="DT56" i="65"/>
  <c r="DS56" i="65"/>
  <c r="DR56" i="65"/>
  <c r="DQ56" i="65"/>
  <c r="DP56" i="65"/>
  <c r="DO56" i="65"/>
  <c r="DN56" i="65"/>
  <c r="DM56" i="65"/>
  <c r="DL56" i="65"/>
  <c r="DK56" i="65"/>
  <c r="DJ56" i="65"/>
  <c r="DI56" i="65"/>
  <c r="DH56" i="65"/>
  <c r="DG56" i="65"/>
  <c r="DF56" i="65"/>
  <c r="DE56" i="65"/>
  <c r="DD56" i="65"/>
  <c r="DC56" i="65"/>
  <c r="DB56" i="65"/>
  <c r="DA56" i="65"/>
  <c r="CZ56" i="65"/>
  <c r="CY56" i="65"/>
  <c r="CX56" i="65"/>
  <c r="CW56" i="65"/>
  <c r="CV56" i="65"/>
  <c r="CU56" i="65"/>
  <c r="CT56" i="65"/>
  <c r="CS56" i="65"/>
  <c r="CR56" i="65"/>
  <c r="CQ56" i="65"/>
  <c r="CP56" i="65"/>
  <c r="CO56" i="65"/>
  <c r="CN56" i="65"/>
  <c r="CM56" i="65"/>
  <c r="CL56" i="65"/>
  <c r="CK56" i="65"/>
  <c r="CJ56" i="65"/>
  <c r="CI56" i="65"/>
  <c r="CH56" i="65"/>
  <c r="CG56" i="65"/>
  <c r="CF56" i="65"/>
  <c r="CE56" i="65"/>
  <c r="CD56" i="65"/>
  <c r="CC56" i="65"/>
  <c r="CB56" i="65"/>
  <c r="CA56" i="65"/>
  <c r="BZ56" i="65"/>
  <c r="BY56" i="65"/>
  <c r="BX56" i="65"/>
  <c r="BW56" i="65"/>
  <c r="BV56" i="65"/>
  <c r="BU56" i="65"/>
  <c r="BT56" i="65"/>
  <c r="BS56" i="65"/>
  <c r="BR56" i="65"/>
  <c r="BQ56" i="65"/>
  <c r="BP56" i="65"/>
  <c r="BO56" i="65"/>
  <c r="BN56" i="65"/>
  <c r="BM56" i="65"/>
  <c r="BL56" i="65"/>
  <c r="BK56" i="65"/>
  <c r="BJ56" i="65"/>
  <c r="BI56" i="65"/>
  <c r="BH56" i="65"/>
  <c r="BG56" i="65"/>
  <c r="BF56" i="65"/>
  <c r="BE56" i="65"/>
  <c r="BD56" i="65"/>
  <c r="BC56" i="65"/>
  <c r="BB56" i="65"/>
  <c r="BA56" i="65"/>
  <c r="AZ56" i="65"/>
  <c r="AY56" i="65"/>
  <c r="AX56" i="65"/>
  <c r="AW56" i="65"/>
  <c r="AV56" i="65"/>
  <c r="ER56" i="65" s="1"/>
  <c r="AU56" i="65"/>
  <c r="AT56" i="65"/>
  <c r="EP56" i="65" s="1"/>
  <c r="AS56" i="65"/>
  <c r="AR56" i="65"/>
  <c r="EN56" i="65" s="1"/>
  <c r="AQ56" i="65"/>
  <c r="EM56" i="65" s="1"/>
  <c r="AP56" i="65"/>
  <c r="AO56" i="65"/>
  <c r="EK56" i="65" s="1"/>
  <c r="AN56" i="65"/>
  <c r="AM56" i="65"/>
  <c r="AL56" i="65"/>
  <c r="EH56" i="65" s="1"/>
  <c r="AK56" i="65"/>
  <c r="AJ56" i="65"/>
  <c r="AI56" i="65"/>
  <c r="AH56" i="65"/>
  <c r="AG56" i="65"/>
  <c r="AF56" i="65"/>
  <c r="AE56" i="65"/>
  <c r="AD56" i="65"/>
  <c r="AC56" i="65"/>
  <c r="AB56" i="65"/>
  <c r="Z56" i="65"/>
  <c r="Y56" i="65"/>
  <c r="X56" i="65"/>
  <c r="W56" i="65"/>
  <c r="V56" i="65"/>
  <c r="U56" i="65"/>
  <c r="T56" i="65"/>
  <c r="S56" i="65"/>
  <c r="R56" i="65"/>
  <c r="Q56" i="65"/>
  <c r="O56" i="65"/>
  <c r="N56" i="65"/>
  <c r="M56" i="65"/>
  <c r="L56" i="65"/>
  <c r="K56" i="65"/>
  <c r="J56" i="65"/>
  <c r="I56" i="65"/>
  <c r="H56" i="65"/>
  <c r="G56" i="65"/>
  <c r="F56" i="65"/>
  <c r="E56" i="65"/>
  <c r="DU55" i="65"/>
  <c r="DT55" i="65"/>
  <c r="DS55" i="65"/>
  <c r="DR55" i="65"/>
  <c r="DQ55" i="65"/>
  <c r="DP55" i="65"/>
  <c r="DO55" i="65"/>
  <c r="DN55" i="65"/>
  <c r="DM55" i="65"/>
  <c r="DL55" i="65"/>
  <c r="DK55" i="65"/>
  <c r="DJ55" i="65"/>
  <c r="DI55" i="65"/>
  <c r="DH55" i="65"/>
  <c r="DG55" i="65"/>
  <c r="DF55" i="65"/>
  <c r="DE55" i="65"/>
  <c r="DD55" i="65"/>
  <c r="DC55" i="65"/>
  <c r="DB55" i="65"/>
  <c r="DA55" i="65"/>
  <c r="CZ55" i="65"/>
  <c r="CY55" i="65"/>
  <c r="CX55" i="65"/>
  <c r="CW55" i="65"/>
  <c r="CV55" i="65"/>
  <c r="CU55" i="65"/>
  <c r="CT55" i="65"/>
  <c r="CS55" i="65"/>
  <c r="CR55" i="65"/>
  <c r="CQ55" i="65"/>
  <c r="CP55" i="65"/>
  <c r="CO55" i="65"/>
  <c r="CN55" i="65"/>
  <c r="CM55" i="65"/>
  <c r="CL55" i="65"/>
  <c r="CK55" i="65"/>
  <c r="CJ55" i="65"/>
  <c r="CI55" i="65"/>
  <c r="CH55" i="65"/>
  <c r="CG55" i="65"/>
  <c r="CF55" i="65"/>
  <c r="CE55" i="65"/>
  <c r="CD55" i="65"/>
  <c r="CC55" i="65"/>
  <c r="CB55" i="65"/>
  <c r="CA55" i="65"/>
  <c r="BZ55" i="65"/>
  <c r="BY55" i="65"/>
  <c r="BX55" i="65"/>
  <c r="BW55" i="65"/>
  <c r="BV55" i="65"/>
  <c r="BU55" i="65"/>
  <c r="BT55" i="65"/>
  <c r="BS55" i="65"/>
  <c r="BR55" i="65"/>
  <c r="BQ55" i="65"/>
  <c r="BP55" i="65"/>
  <c r="BO55" i="65"/>
  <c r="BN55" i="65"/>
  <c r="BM55" i="65"/>
  <c r="BL55" i="65"/>
  <c r="BK55" i="65"/>
  <c r="BJ55" i="65"/>
  <c r="BI55" i="65"/>
  <c r="BH55" i="65"/>
  <c r="BG55" i="65"/>
  <c r="BF55" i="65"/>
  <c r="BE55" i="65"/>
  <c r="BD55" i="65"/>
  <c r="BC55" i="65"/>
  <c r="BB55" i="65"/>
  <c r="BA55" i="65"/>
  <c r="AZ55" i="65"/>
  <c r="AY55" i="65"/>
  <c r="AX55" i="65"/>
  <c r="AW55" i="65"/>
  <c r="AV55" i="65"/>
  <c r="AU55" i="65"/>
  <c r="EQ55" i="65" s="1"/>
  <c r="AT55" i="65"/>
  <c r="AS55" i="65"/>
  <c r="EO55" i="65" s="1"/>
  <c r="AR55" i="65"/>
  <c r="AQ55" i="65"/>
  <c r="EM55" i="65" s="1"/>
  <c r="AP55" i="65"/>
  <c r="EL55" i="65" s="1"/>
  <c r="AO55" i="65"/>
  <c r="EK55" i="65" s="1"/>
  <c r="AN55" i="65"/>
  <c r="EJ55" i="65" s="1"/>
  <c r="AM55" i="65"/>
  <c r="AL55" i="65"/>
  <c r="AK55" i="65"/>
  <c r="AJ55" i="65"/>
  <c r="AI55" i="65"/>
  <c r="AH55" i="65"/>
  <c r="AG55" i="65"/>
  <c r="AF55" i="65"/>
  <c r="AE55" i="65"/>
  <c r="AD55" i="65"/>
  <c r="AC55" i="65"/>
  <c r="AB55" i="65"/>
  <c r="Z55" i="65"/>
  <c r="Y55" i="65"/>
  <c r="X55" i="65"/>
  <c r="W55" i="65"/>
  <c r="V55" i="65"/>
  <c r="U55" i="65"/>
  <c r="T55" i="65"/>
  <c r="S55" i="65"/>
  <c r="R55" i="65"/>
  <c r="Q55" i="65"/>
  <c r="O55" i="65"/>
  <c r="N55" i="65"/>
  <c r="M55" i="65"/>
  <c r="L55" i="65"/>
  <c r="K55" i="65"/>
  <c r="J55" i="65"/>
  <c r="I55" i="65"/>
  <c r="H55" i="65"/>
  <c r="G55" i="65"/>
  <c r="F55" i="65"/>
  <c r="E55" i="65"/>
  <c r="DU54" i="65"/>
  <c r="DT54" i="65"/>
  <c r="DS54" i="65"/>
  <c r="DR54" i="65"/>
  <c r="DQ54" i="65"/>
  <c r="DP54" i="65"/>
  <c r="DO54" i="65"/>
  <c r="DN54" i="65"/>
  <c r="DM54" i="65"/>
  <c r="DL54" i="65"/>
  <c r="DK54" i="65"/>
  <c r="DJ54" i="65"/>
  <c r="DI54" i="65"/>
  <c r="DH54" i="65"/>
  <c r="DG54" i="65"/>
  <c r="DF54" i="65"/>
  <c r="DE54" i="65"/>
  <c r="DD54" i="65"/>
  <c r="DC54" i="65"/>
  <c r="DB54" i="65"/>
  <c r="DA54" i="65"/>
  <c r="CZ54" i="65"/>
  <c r="CY54" i="65"/>
  <c r="CX54" i="65"/>
  <c r="CW54" i="65"/>
  <c r="CV54" i="65"/>
  <c r="CU54" i="65"/>
  <c r="CT54" i="65"/>
  <c r="CS54" i="65"/>
  <c r="CR54" i="65"/>
  <c r="CQ54" i="65"/>
  <c r="CP54" i="65"/>
  <c r="CO54" i="65"/>
  <c r="CN54" i="65"/>
  <c r="CM54" i="65"/>
  <c r="CL54" i="65"/>
  <c r="CK54" i="65"/>
  <c r="CJ54" i="65"/>
  <c r="CI54" i="65"/>
  <c r="CH54" i="65"/>
  <c r="CG54" i="65"/>
  <c r="CF54" i="65"/>
  <c r="CE54" i="65"/>
  <c r="CD54" i="65"/>
  <c r="CC54" i="65"/>
  <c r="CB54" i="65"/>
  <c r="CA54" i="65"/>
  <c r="BZ54" i="65"/>
  <c r="BY54" i="65"/>
  <c r="BX54" i="65"/>
  <c r="BW54" i="65"/>
  <c r="BV54" i="65"/>
  <c r="BU54" i="65"/>
  <c r="BT54" i="65"/>
  <c r="BS54" i="65"/>
  <c r="BR54" i="65"/>
  <c r="BQ54" i="65"/>
  <c r="BP54" i="65"/>
  <c r="BO54" i="65"/>
  <c r="BN54" i="65"/>
  <c r="BM54" i="65"/>
  <c r="BL54" i="65"/>
  <c r="BK54" i="65"/>
  <c r="BJ54" i="65"/>
  <c r="BI54" i="65"/>
  <c r="BH54" i="65"/>
  <c r="BG54" i="65"/>
  <c r="BF54" i="65"/>
  <c r="BE54" i="65"/>
  <c r="BD54" i="65"/>
  <c r="BC54" i="65"/>
  <c r="BB54" i="65"/>
  <c r="BA54" i="65"/>
  <c r="AZ54" i="65"/>
  <c r="AY54" i="65"/>
  <c r="AX54" i="65"/>
  <c r="AW54" i="65"/>
  <c r="AV54" i="65"/>
  <c r="ER54" i="65" s="1"/>
  <c r="AU54" i="65"/>
  <c r="EQ54" i="65" s="1"/>
  <c r="AT54" i="65"/>
  <c r="EP54" i="65" s="1"/>
  <c r="AS54" i="65"/>
  <c r="AR54" i="65"/>
  <c r="EN54" i="65" s="1"/>
  <c r="AQ54" i="65"/>
  <c r="AP54" i="65"/>
  <c r="EL54" i="65" s="1"/>
  <c r="AO54" i="65"/>
  <c r="EK54" i="65" s="1"/>
  <c r="AN54" i="65"/>
  <c r="EJ54" i="65" s="1"/>
  <c r="AM54" i="65"/>
  <c r="EI54" i="65" s="1"/>
  <c r="AL54" i="65"/>
  <c r="AK54" i="65"/>
  <c r="AJ54" i="65"/>
  <c r="AI54" i="65"/>
  <c r="AH54" i="65"/>
  <c r="AG54" i="65"/>
  <c r="AF54" i="65"/>
  <c r="AE54" i="65"/>
  <c r="AD54" i="65"/>
  <c r="AC54" i="65"/>
  <c r="AB54" i="65"/>
  <c r="Z54" i="65"/>
  <c r="Y54" i="65"/>
  <c r="X54" i="65"/>
  <c r="W54" i="65"/>
  <c r="V54" i="65"/>
  <c r="U54" i="65"/>
  <c r="T54" i="65"/>
  <c r="S54" i="65"/>
  <c r="R54" i="65"/>
  <c r="Q54" i="65"/>
  <c r="O54" i="65"/>
  <c r="N54" i="65"/>
  <c r="M54" i="65"/>
  <c r="L54" i="65"/>
  <c r="K54" i="65"/>
  <c r="J54" i="65"/>
  <c r="I54" i="65"/>
  <c r="H54" i="65"/>
  <c r="G54" i="65"/>
  <c r="F54" i="65"/>
  <c r="E54" i="65"/>
  <c r="DU53" i="65"/>
  <c r="DT53" i="65"/>
  <c r="DS53" i="65"/>
  <c r="DR53" i="65"/>
  <c r="DQ53" i="65"/>
  <c r="DP53" i="65"/>
  <c r="DO53" i="65"/>
  <c r="DN53" i="65"/>
  <c r="DM53" i="65"/>
  <c r="DL53" i="65"/>
  <c r="DK53" i="65"/>
  <c r="DJ53" i="65"/>
  <c r="DI53" i="65"/>
  <c r="DH53" i="65"/>
  <c r="DG53" i="65"/>
  <c r="DF53" i="65"/>
  <c r="DE53" i="65"/>
  <c r="DD53" i="65"/>
  <c r="DC53" i="65"/>
  <c r="DB53" i="65"/>
  <c r="DA53" i="65"/>
  <c r="CZ53" i="65"/>
  <c r="CY53" i="65"/>
  <c r="CX53" i="65"/>
  <c r="CW53" i="65"/>
  <c r="CV53" i="65"/>
  <c r="CU53" i="65"/>
  <c r="CT53" i="65"/>
  <c r="CS53" i="65"/>
  <c r="CR53" i="65"/>
  <c r="CQ53" i="65"/>
  <c r="CP53" i="65"/>
  <c r="CO53" i="65"/>
  <c r="CN53" i="65"/>
  <c r="CM53" i="65"/>
  <c r="CL53" i="65"/>
  <c r="CK53" i="65"/>
  <c r="CJ53" i="65"/>
  <c r="CI53" i="65"/>
  <c r="CH53" i="65"/>
  <c r="CG53" i="65"/>
  <c r="CF53" i="65"/>
  <c r="CE53" i="65"/>
  <c r="CD53" i="65"/>
  <c r="CC53" i="65"/>
  <c r="CB53" i="65"/>
  <c r="CA53" i="65"/>
  <c r="BZ53" i="65"/>
  <c r="BY53" i="65"/>
  <c r="BX53" i="65"/>
  <c r="BW53" i="65"/>
  <c r="BV53" i="65"/>
  <c r="BU53" i="65"/>
  <c r="BT53" i="65"/>
  <c r="BS53" i="65"/>
  <c r="BR53" i="65"/>
  <c r="BQ53" i="65"/>
  <c r="BP53" i="65"/>
  <c r="BO53" i="65"/>
  <c r="BN53" i="65"/>
  <c r="BM53" i="65"/>
  <c r="BL53" i="65"/>
  <c r="BK53" i="65"/>
  <c r="BJ53" i="65"/>
  <c r="BI53" i="65"/>
  <c r="BH53" i="65"/>
  <c r="BG53" i="65"/>
  <c r="BF53" i="65"/>
  <c r="BE53" i="65"/>
  <c r="BD53" i="65"/>
  <c r="BC53" i="65"/>
  <c r="BB53" i="65"/>
  <c r="BA53" i="65"/>
  <c r="AZ53" i="65"/>
  <c r="AY53" i="65"/>
  <c r="AX53" i="65"/>
  <c r="AW53" i="65"/>
  <c r="AV53" i="65"/>
  <c r="AU53" i="65"/>
  <c r="AT53" i="65"/>
  <c r="AS53" i="65"/>
  <c r="EO53" i="65" s="1"/>
  <c r="AR53" i="65"/>
  <c r="AQ53" i="65"/>
  <c r="EM53" i="65" s="1"/>
  <c r="AP53" i="65"/>
  <c r="AO53" i="65"/>
  <c r="AN53" i="65"/>
  <c r="EJ53" i="65" s="1"/>
  <c r="AM53" i="65"/>
  <c r="EI53" i="65" s="1"/>
  <c r="AL53" i="65"/>
  <c r="AK53" i="65"/>
  <c r="AJ53" i="65"/>
  <c r="AI53" i="65"/>
  <c r="AH53" i="65"/>
  <c r="AG53" i="65"/>
  <c r="AF53" i="65"/>
  <c r="AE53" i="65"/>
  <c r="AD53" i="65"/>
  <c r="AC53" i="65"/>
  <c r="AB53" i="65"/>
  <c r="Z53" i="65"/>
  <c r="Y53" i="65"/>
  <c r="X53" i="65"/>
  <c r="W53" i="65"/>
  <c r="V53" i="65"/>
  <c r="U53" i="65"/>
  <c r="T53" i="65"/>
  <c r="S53" i="65"/>
  <c r="R53" i="65"/>
  <c r="Q53" i="65"/>
  <c r="O53" i="65"/>
  <c r="N53" i="65"/>
  <c r="M53" i="65"/>
  <c r="L53" i="65"/>
  <c r="K53" i="65"/>
  <c r="J53" i="65"/>
  <c r="I53" i="65"/>
  <c r="H53" i="65"/>
  <c r="G53" i="65"/>
  <c r="F53" i="65"/>
  <c r="E53" i="65"/>
  <c r="DU52" i="65"/>
  <c r="DT52" i="65"/>
  <c r="DS52" i="65"/>
  <c r="DR52" i="65"/>
  <c r="DQ52" i="65"/>
  <c r="DP52" i="65"/>
  <c r="DO52" i="65"/>
  <c r="DN52" i="65"/>
  <c r="DM52" i="65"/>
  <c r="DL52" i="65"/>
  <c r="DK52" i="65"/>
  <c r="DJ52" i="65"/>
  <c r="DI52" i="65"/>
  <c r="DH52" i="65"/>
  <c r="DG52" i="65"/>
  <c r="DF52" i="65"/>
  <c r="DE52" i="65"/>
  <c r="DD52" i="65"/>
  <c r="DC52" i="65"/>
  <c r="DB52" i="65"/>
  <c r="DA52" i="65"/>
  <c r="CZ52" i="65"/>
  <c r="CY52" i="65"/>
  <c r="CX52" i="65"/>
  <c r="CW52" i="65"/>
  <c r="CV52" i="65"/>
  <c r="CU52" i="65"/>
  <c r="CT52" i="65"/>
  <c r="CS52" i="65"/>
  <c r="CR52" i="65"/>
  <c r="CQ52" i="65"/>
  <c r="CP52" i="65"/>
  <c r="CO52" i="65"/>
  <c r="CN52" i="65"/>
  <c r="CM52" i="65"/>
  <c r="CL52" i="65"/>
  <c r="CK52" i="65"/>
  <c r="CJ52" i="65"/>
  <c r="CI52" i="65"/>
  <c r="CH52" i="65"/>
  <c r="CG52" i="65"/>
  <c r="CF52" i="65"/>
  <c r="CE52" i="65"/>
  <c r="CD52" i="65"/>
  <c r="CC52" i="65"/>
  <c r="CB52" i="65"/>
  <c r="CA52" i="65"/>
  <c r="BZ52" i="65"/>
  <c r="BY52" i="65"/>
  <c r="BX52" i="65"/>
  <c r="BW52" i="65"/>
  <c r="BV52" i="65"/>
  <c r="BU52" i="65"/>
  <c r="BT52" i="65"/>
  <c r="BS52" i="65"/>
  <c r="BR52" i="65"/>
  <c r="BQ52" i="65"/>
  <c r="BP52" i="65"/>
  <c r="BO52" i="65"/>
  <c r="BN52" i="65"/>
  <c r="BM52" i="65"/>
  <c r="BL52" i="65"/>
  <c r="BK52" i="65"/>
  <c r="BJ52" i="65"/>
  <c r="BI52" i="65"/>
  <c r="BH52" i="65"/>
  <c r="BG52" i="65"/>
  <c r="BF52" i="65"/>
  <c r="BE52" i="65"/>
  <c r="BD52" i="65"/>
  <c r="BC52" i="65"/>
  <c r="BB52" i="65"/>
  <c r="BA52" i="65"/>
  <c r="AZ52" i="65"/>
  <c r="AY52" i="65"/>
  <c r="AX52" i="65"/>
  <c r="AW52" i="65"/>
  <c r="AV52" i="65"/>
  <c r="AU52" i="65"/>
  <c r="EQ52" i="65" s="1"/>
  <c r="AT52" i="65"/>
  <c r="EP52" i="65" s="1"/>
  <c r="AS52" i="65"/>
  <c r="EO52" i="65" s="1"/>
  <c r="AR52" i="65"/>
  <c r="EN52" i="65" s="1"/>
  <c r="AQ52" i="65"/>
  <c r="AP52" i="65"/>
  <c r="EL52" i="65" s="1"/>
  <c r="AO52" i="65"/>
  <c r="AN52" i="65"/>
  <c r="AM52" i="65"/>
  <c r="EI52" i="65" s="1"/>
  <c r="AL52" i="65"/>
  <c r="AK52" i="65"/>
  <c r="AJ52" i="65"/>
  <c r="AI52" i="65"/>
  <c r="AH52" i="65"/>
  <c r="AG52" i="65"/>
  <c r="AF52" i="65"/>
  <c r="AE52" i="65"/>
  <c r="AD52" i="65"/>
  <c r="AC52" i="65"/>
  <c r="AB52" i="65"/>
  <c r="Z52" i="65"/>
  <c r="Y52" i="65"/>
  <c r="X52" i="65"/>
  <c r="W52" i="65"/>
  <c r="V52" i="65"/>
  <c r="U52" i="65"/>
  <c r="T52" i="65"/>
  <c r="S52" i="65"/>
  <c r="R52" i="65"/>
  <c r="Q52" i="65"/>
  <c r="O52" i="65"/>
  <c r="N52" i="65"/>
  <c r="M52" i="65"/>
  <c r="L52" i="65"/>
  <c r="K52" i="65"/>
  <c r="J52" i="65"/>
  <c r="I52" i="65"/>
  <c r="H52" i="65"/>
  <c r="G52" i="65"/>
  <c r="F52" i="65"/>
  <c r="E52" i="65"/>
  <c r="DU51" i="65"/>
  <c r="DT51" i="65"/>
  <c r="DS51" i="65"/>
  <c r="DR51" i="65"/>
  <c r="DQ51" i="65"/>
  <c r="DP51" i="65"/>
  <c r="DO51" i="65"/>
  <c r="DN51" i="65"/>
  <c r="DM51" i="65"/>
  <c r="DL51" i="65"/>
  <c r="DK51" i="65"/>
  <c r="DJ51" i="65"/>
  <c r="DI51" i="65"/>
  <c r="DH51" i="65"/>
  <c r="DG51" i="65"/>
  <c r="DF51" i="65"/>
  <c r="DE51" i="65"/>
  <c r="DD51" i="65"/>
  <c r="DC51" i="65"/>
  <c r="DB51" i="65"/>
  <c r="DA51" i="65"/>
  <c r="CZ51" i="65"/>
  <c r="CY51" i="65"/>
  <c r="CX51" i="65"/>
  <c r="CW51" i="65"/>
  <c r="CV51" i="65"/>
  <c r="CU51" i="65"/>
  <c r="CT51" i="65"/>
  <c r="CS51" i="65"/>
  <c r="CR51" i="65"/>
  <c r="CQ51" i="65"/>
  <c r="CP51" i="65"/>
  <c r="CO51" i="65"/>
  <c r="CN51" i="65"/>
  <c r="CM51" i="65"/>
  <c r="CL51" i="65"/>
  <c r="CK51" i="65"/>
  <c r="CJ51" i="65"/>
  <c r="CI51" i="65"/>
  <c r="CH51" i="65"/>
  <c r="CG51" i="65"/>
  <c r="CF51" i="65"/>
  <c r="CE51" i="65"/>
  <c r="CD51" i="65"/>
  <c r="CC51" i="65"/>
  <c r="CB51" i="65"/>
  <c r="CA51" i="65"/>
  <c r="BZ51" i="65"/>
  <c r="BY51" i="65"/>
  <c r="BX51" i="65"/>
  <c r="BW51" i="65"/>
  <c r="BV51" i="65"/>
  <c r="BU51" i="65"/>
  <c r="BT51" i="65"/>
  <c r="BS51" i="65"/>
  <c r="BR51" i="65"/>
  <c r="BQ51" i="65"/>
  <c r="BP51" i="65"/>
  <c r="BO51" i="65"/>
  <c r="BN51" i="65"/>
  <c r="BM51" i="65"/>
  <c r="BL51" i="65"/>
  <c r="BK51" i="65"/>
  <c r="BJ51" i="65"/>
  <c r="BI51" i="65"/>
  <c r="BH51" i="65"/>
  <c r="BG51" i="65"/>
  <c r="BF51" i="65"/>
  <c r="BE51" i="65"/>
  <c r="BD51" i="65"/>
  <c r="BC51" i="65"/>
  <c r="BB51" i="65"/>
  <c r="BA51" i="65"/>
  <c r="AZ51" i="65"/>
  <c r="AY51" i="65"/>
  <c r="AX51" i="65"/>
  <c r="AW51" i="65"/>
  <c r="AV51" i="65"/>
  <c r="AU51" i="65"/>
  <c r="AT51" i="65"/>
  <c r="AS51" i="65"/>
  <c r="EO51" i="65" s="1"/>
  <c r="AR51" i="65"/>
  <c r="EN51" i="65" s="1"/>
  <c r="AQ51" i="65"/>
  <c r="EM51" i="65" s="1"/>
  <c r="AP51" i="65"/>
  <c r="EL51" i="65" s="1"/>
  <c r="AO51" i="65"/>
  <c r="AN51" i="65"/>
  <c r="AM51" i="65"/>
  <c r="AL51" i="65"/>
  <c r="EH51" i="65" s="1"/>
  <c r="AK51" i="65"/>
  <c r="AJ51" i="65"/>
  <c r="AI51" i="65"/>
  <c r="AH51" i="65"/>
  <c r="AG51" i="65"/>
  <c r="AF51" i="65"/>
  <c r="AE51" i="65"/>
  <c r="AD51" i="65"/>
  <c r="AC51" i="65"/>
  <c r="AB51" i="65"/>
  <c r="Z51" i="65"/>
  <c r="Y51" i="65"/>
  <c r="X51" i="65"/>
  <c r="W51" i="65"/>
  <c r="V51" i="65"/>
  <c r="U51" i="65"/>
  <c r="T51" i="65"/>
  <c r="S51" i="65"/>
  <c r="R51" i="65"/>
  <c r="Q51" i="65"/>
  <c r="O51" i="65"/>
  <c r="N51" i="65"/>
  <c r="M51" i="65"/>
  <c r="L51" i="65"/>
  <c r="K51" i="65"/>
  <c r="J51" i="65"/>
  <c r="I51" i="65"/>
  <c r="H51" i="65"/>
  <c r="G51" i="65"/>
  <c r="F51" i="65"/>
  <c r="E51" i="65"/>
  <c r="DU50" i="65"/>
  <c r="DT50" i="65"/>
  <c r="DS50" i="65"/>
  <c r="DR50" i="65"/>
  <c r="DQ50" i="65"/>
  <c r="DP50" i="65"/>
  <c r="DO50" i="65"/>
  <c r="DN50" i="65"/>
  <c r="DM50" i="65"/>
  <c r="DL50" i="65"/>
  <c r="DK50" i="65"/>
  <c r="DJ50" i="65"/>
  <c r="DI50" i="65"/>
  <c r="DH50" i="65"/>
  <c r="DG50" i="65"/>
  <c r="DF50" i="65"/>
  <c r="DE50" i="65"/>
  <c r="DD50" i="65"/>
  <c r="DC50" i="65"/>
  <c r="DB50" i="65"/>
  <c r="DA50" i="65"/>
  <c r="CZ50" i="65"/>
  <c r="CY50" i="65"/>
  <c r="CX50" i="65"/>
  <c r="CW50" i="65"/>
  <c r="CV50" i="65"/>
  <c r="CU50" i="65"/>
  <c r="CT50" i="65"/>
  <c r="CS50" i="65"/>
  <c r="CR50" i="65"/>
  <c r="CQ50" i="65"/>
  <c r="CP50" i="65"/>
  <c r="CO50" i="65"/>
  <c r="CN50" i="65"/>
  <c r="CM50" i="65"/>
  <c r="CL50" i="65"/>
  <c r="CK50" i="65"/>
  <c r="CJ50" i="65"/>
  <c r="CI50" i="65"/>
  <c r="CH50" i="65"/>
  <c r="CG50" i="65"/>
  <c r="CF50" i="65"/>
  <c r="CE50" i="65"/>
  <c r="CD50" i="65"/>
  <c r="CC50" i="65"/>
  <c r="CB50" i="65"/>
  <c r="CA50" i="65"/>
  <c r="BZ50" i="65"/>
  <c r="BY50" i="65"/>
  <c r="BX50" i="65"/>
  <c r="BW50" i="65"/>
  <c r="BV50" i="65"/>
  <c r="BU50" i="65"/>
  <c r="BT50" i="65"/>
  <c r="BS50" i="65"/>
  <c r="BR50" i="65"/>
  <c r="BQ50" i="65"/>
  <c r="BP50" i="65"/>
  <c r="BO50" i="65"/>
  <c r="BN50" i="65"/>
  <c r="BM50" i="65"/>
  <c r="BL50" i="65"/>
  <c r="BK50" i="65"/>
  <c r="BJ50" i="65"/>
  <c r="BI50" i="65"/>
  <c r="BH50" i="65"/>
  <c r="BG50" i="65"/>
  <c r="BF50" i="65"/>
  <c r="BE50" i="65"/>
  <c r="BD50" i="65"/>
  <c r="BC50" i="65"/>
  <c r="BB50" i="65"/>
  <c r="BA50" i="65"/>
  <c r="AZ50" i="65"/>
  <c r="AY50" i="65"/>
  <c r="AX50" i="65"/>
  <c r="AW50" i="65"/>
  <c r="AV50" i="65"/>
  <c r="AU50" i="65"/>
  <c r="AT50" i="65"/>
  <c r="EP50" i="65" s="1"/>
  <c r="AS50" i="65"/>
  <c r="AR50" i="65"/>
  <c r="AQ50" i="65"/>
  <c r="EM50" i="65" s="1"/>
  <c r="AP50" i="65"/>
  <c r="EL50" i="65" s="1"/>
  <c r="AO50" i="65"/>
  <c r="EK50" i="65" s="1"/>
  <c r="AN50" i="65"/>
  <c r="AM50" i="65"/>
  <c r="AL50" i="65"/>
  <c r="AK50" i="65"/>
  <c r="AJ50" i="65"/>
  <c r="AI50" i="65"/>
  <c r="AH50" i="65"/>
  <c r="AG50" i="65"/>
  <c r="AF50" i="65"/>
  <c r="AE50" i="65"/>
  <c r="AD50" i="65"/>
  <c r="AC50" i="65"/>
  <c r="AB50" i="65"/>
  <c r="Z50" i="65"/>
  <c r="Y50" i="65"/>
  <c r="X50" i="65"/>
  <c r="W50" i="65"/>
  <c r="V50" i="65"/>
  <c r="U50" i="65"/>
  <c r="T50" i="65"/>
  <c r="S50" i="65"/>
  <c r="R50" i="65"/>
  <c r="Q50" i="65"/>
  <c r="O50" i="65"/>
  <c r="N50" i="65"/>
  <c r="M50" i="65"/>
  <c r="L50" i="65"/>
  <c r="K50" i="65"/>
  <c r="J50" i="65"/>
  <c r="I50" i="65"/>
  <c r="H50" i="65"/>
  <c r="G50" i="65"/>
  <c r="F50" i="65"/>
  <c r="E50" i="65"/>
  <c r="DU49" i="65"/>
  <c r="DT49" i="65"/>
  <c r="DS49" i="65"/>
  <c r="DR49" i="65"/>
  <c r="DQ49" i="65"/>
  <c r="DP49" i="65"/>
  <c r="DO49" i="65"/>
  <c r="DN49" i="65"/>
  <c r="DM49" i="65"/>
  <c r="DL49" i="65"/>
  <c r="DK49" i="65"/>
  <c r="DJ49" i="65"/>
  <c r="DI49" i="65"/>
  <c r="DH49" i="65"/>
  <c r="DG49" i="65"/>
  <c r="DF49" i="65"/>
  <c r="DE49" i="65"/>
  <c r="DD49" i="65"/>
  <c r="DC49" i="65"/>
  <c r="DB49" i="65"/>
  <c r="DA49" i="65"/>
  <c r="CZ49" i="65"/>
  <c r="CY49" i="65"/>
  <c r="CX49" i="65"/>
  <c r="CW49" i="65"/>
  <c r="CV49" i="65"/>
  <c r="CU49" i="65"/>
  <c r="CT49" i="65"/>
  <c r="CS49" i="65"/>
  <c r="CR49" i="65"/>
  <c r="CQ49" i="65"/>
  <c r="CP49" i="65"/>
  <c r="CO49" i="65"/>
  <c r="CN49" i="65"/>
  <c r="CM49" i="65"/>
  <c r="CL49" i="65"/>
  <c r="CK49" i="65"/>
  <c r="CJ49" i="65"/>
  <c r="CI49" i="65"/>
  <c r="CH49" i="65"/>
  <c r="CG49" i="65"/>
  <c r="CF49" i="65"/>
  <c r="CE49" i="65"/>
  <c r="CD49" i="65"/>
  <c r="CC49" i="65"/>
  <c r="CB49" i="65"/>
  <c r="CA49" i="65"/>
  <c r="BZ49" i="65"/>
  <c r="BY49" i="65"/>
  <c r="BX49" i="65"/>
  <c r="BW49" i="65"/>
  <c r="BV49" i="65"/>
  <c r="BU49" i="65"/>
  <c r="BT49" i="65"/>
  <c r="BS49" i="65"/>
  <c r="BR49" i="65"/>
  <c r="BQ49" i="65"/>
  <c r="BP49" i="65"/>
  <c r="BO49" i="65"/>
  <c r="BN49" i="65"/>
  <c r="BM49" i="65"/>
  <c r="BL49" i="65"/>
  <c r="BK49" i="65"/>
  <c r="BJ49" i="65"/>
  <c r="BI49" i="65"/>
  <c r="BH49" i="65"/>
  <c r="BG49" i="65"/>
  <c r="BF49" i="65"/>
  <c r="BE49" i="65"/>
  <c r="BD49" i="65"/>
  <c r="BC49" i="65"/>
  <c r="BB49" i="65"/>
  <c r="BA49" i="65"/>
  <c r="AZ49" i="65"/>
  <c r="AY49" i="65"/>
  <c r="AX49" i="65"/>
  <c r="AW49" i="65"/>
  <c r="AV49" i="65"/>
  <c r="AU49" i="65"/>
  <c r="AT49" i="65"/>
  <c r="AS49" i="65"/>
  <c r="EO49" i="65" s="1"/>
  <c r="AR49" i="65"/>
  <c r="AQ49" i="65"/>
  <c r="EM49" i="65" s="1"/>
  <c r="AP49" i="65"/>
  <c r="EL49" i="65" s="1"/>
  <c r="AO49" i="65"/>
  <c r="EK49" i="65" s="1"/>
  <c r="AN49" i="65"/>
  <c r="EJ49" i="65" s="1"/>
  <c r="AM49" i="65"/>
  <c r="AL49" i="65"/>
  <c r="AK49" i="65"/>
  <c r="AJ49" i="65"/>
  <c r="AI49" i="65"/>
  <c r="AH49" i="65"/>
  <c r="AG49" i="65"/>
  <c r="AF49" i="65"/>
  <c r="AE49" i="65"/>
  <c r="AD49" i="65"/>
  <c r="AC49" i="65"/>
  <c r="AB49" i="65"/>
  <c r="Z49" i="65"/>
  <c r="Y49" i="65"/>
  <c r="X49" i="65"/>
  <c r="W49" i="65"/>
  <c r="V49" i="65"/>
  <c r="U49" i="65"/>
  <c r="T49" i="65"/>
  <c r="S49" i="65"/>
  <c r="R49" i="65"/>
  <c r="Q49" i="65"/>
  <c r="O49" i="65"/>
  <c r="N49" i="65"/>
  <c r="M49" i="65"/>
  <c r="L49" i="65"/>
  <c r="K49" i="65"/>
  <c r="J49" i="65"/>
  <c r="I49" i="65"/>
  <c r="H49" i="65"/>
  <c r="G49" i="65"/>
  <c r="F49" i="65"/>
  <c r="E49" i="65"/>
  <c r="DU48" i="65"/>
  <c r="DT48" i="65"/>
  <c r="DS48" i="65"/>
  <c r="DR48" i="65"/>
  <c r="DQ48" i="65"/>
  <c r="DP48" i="65"/>
  <c r="DO48" i="65"/>
  <c r="DN48" i="65"/>
  <c r="DM48" i="65"/>
  <c r="DL48" i="65"/>
  <c r="DK48" i="65"/>
  <c r="DJ48" i="65"/>
  <c r="DI48" i="65"/>
  <c r="DH48" i="65"/>
  <c r="DG48" i="65"/>
  <c r="DF48" i="65"/>
  <c r="DE48" i="65"/>
  <c r="DD48" i="65"/>
  <c r="DC48" i="65"/>
  <c r="DB48" i="65"/>
  <c r="DA48" i="65"/>
  <c r="CZ48" i="65"/>
  <c r="CY48" i="65"/>
  <c r="CX48" i="65"/>
  <c r="CW48" i="65"/>
  <c r="CV48" i="65"/>
  <c r="CU48" i="65"/>
  <c r="CT48" i="65"/>
  <c r="CS48" i="65"/>
  <c r="CR48" i="65"/>
  <c r="CQ48" i="65"/>
  <c r="CP48" i="65"/>
  <c r="CO48" i="65"/>
  <c r="CN48" i="65"/>
  <c r="CM48" i="65"/>
  <c r="CL48" i="65"/>
  <c r="CK48" i="65"/>
  <c r="CJ48" i="65"/>
  <c r="CI48" i="65"/>
  <c r="CH48" i="65"/>
  <c r="CG48" i="65"/>
  <c r="CF48" i="65"/>
  <c r="CE48" i="65"/>
  <c r="CD48" i="65"/>
  <c r="CC48" i="65"/>
  <c r="CB48" i="65"/>
  <c r="CA48" i="65"/>
  <c r="BZ48" i="65"/>
  <c r="BY48" i="65"/>
  <c r="BX48" i="65"/>
  <c r="BW48" i="65"/>
  <c r="BV48" i="65"/>
  <c r="BU48" i="65"/>
  <c r="BT48" i="65"/>
  <c r="BS48" i="65"/>
  <c r="BR48" i="65"/>
  <c r="BQ48" i="65"/>
  <c r="BP48" i="65"/>
  <c r="BO48" i="65"/>
  <c r="BN48" i="65"/>
  <c r="BM48" i="65"/>
  <c r="BL48" i="65"/>
  <c r="BK48" i="65"/>
  <c r="BJ48" i="65"/>
  <c r="BI48" i="65"/>
  <c r="BH48" i="65"/>
  <c r="BG48" i="65"/>
  <c r="BF48" i="65"/>
  <c r="BE48" i="65"/>
  <c r="BD48" i="65"/>
  <c r="BC48" i="65"/>
  <c r="BB48" i="65"/>
  <c r="BA48" i="65"/>
  <c r="AZ48" i="65"/>
  <c r="AY48" i="65"/>
  <c r="AX48" i="65"/>
  <c r="AW48" i="65"/>
  <c r="AV48" i="65"/>
  <c r="ER48" i="65" s="1"/>
  <c r="AU48" i="65"/>
  <c r="AT48" i="65"/>
  <c r="AS48" i="65"/>
  <c r="AR48" i="65"/>
  <c r="EN48" i="65" s="1"/>
  <c r="AQ48" i="65"/>
  <c r="AP48" i="65"/>
  <c r="EL48" i="65" s="1"/>
  <c r="AO48" i="65"/>
  <c r="EK48" i="65" s="1"/>
  <c r="AN48" i="65"/>
  <c r="EJ48" i="65" s="1"/>
  <c r="AM48" i="65"/>
  <c r="EI48" i="65" s="1"/>
  <c r="AL48" i="65"/>
  <c r="AK48" i="65"/>
  <c r="AJ48" i="65"/>
  <c r="AI48" i="65"/>
  <c r="AH48" i="65"/>
  <c r="AG48" i="65"/>
  <c r="AF48" i="65"/>
  <c r="AE48" i="65"/>
  <c r="AD48" i="65"/>
  <c r="AC48" i="65"/>
  <c r="AB48" i="65"/>
  <c r="Z48" i="65"/>
  <c r="Y48" i="65"/>
  <c r="X48" i="65"/>
  <c r="W48" i="65"/>
  <c r="V48" i="65"/>
  <c r="U48" i="65"/>
  <c r="T48" i="65"/>
  <c r="S48" i="65"/>
  <c r="R48" i="65"/>
  <c r="Q48" i="65"/>
  <c r="O48" i="65"/>
  <c r="N48" i="65"/>
  <c r="M48" i="65"/>
  <c r="L48" i="65"/>
  <c r="K48" i="65"/>
  <c r="J48" i="65"/>
  <c r="I48" i="65"/>
  <c r="H48" i="65"/>
  <c r="G48" i="65"/>
  <c r="F48" i="65"/>
  <c r="E48" i="65"/>
  <c r="DU47" i="65"/>
  <c r="DT47" i="65"/>
  <c r="DS47" i="65"/>
  <c r="DR47" i="65"/>
  <c r="DQ47" i="65"/>
  <c r="DP47" i="65"/>
  <c r="DO47" i="65"/>
  <c r="DN47" i="65"/>
  <c r="DM47" i="65"/>
  <c r="DL47" i="65"/>
  <c r="DK47" i="65"/>
  <c r="DJ47" i="65"/>
  <c r="DI47" i="65"/>
  <c r="DH47" i="65"/>
  <c r="DG47" i="65"/>
  <c r="DF47" i="65"/>
  <c r="DE47" i="65"/>
  <c r="DD47" i="65"/>
  <c r="DC47" i="65"/>
  <c r="DB47" i="65"/>
  <c r="DA47" i="65"/>
  <c r="CZ47" i="65"/>
  <c r="CY47" i="65"/>
  <c r="CX47" i="65"/>
  <c r="CW47" i="65"/>
  <c r="CV47" i="65"/>
  <c r="CU47" i="65"/>
  <c r="CT47" i="65"/>
  <c r="CS47" i="65"/>
  <c r="CR47" i="65"/>
  <c r="CQ47" i="65"/>
  <c r="CP47" i="65"/>
  <c r="CO47" i="65"/>
  <c r="CN47" i="65"/>
  <c r="CM47" i="65"/>
  <c r="CL47" i="65"/>
  <c r="CK47" i="65"/>
  <c r="CJ47" i="65"/>
  <c r="CI47" i="65"/>
  <c r="CH47" i="65"/>
  <c r="CG47" i="65"/>
  <c r="CF47" i="65"/>
  <c r="CE47" i="65"/>
  <c r="CD47" i="65"/>
  <c r="CC47" i="65"/>
  <c r="CB47" i="65"/>
  <c r="CA47" i="65"/>
  <c r="BZ47" i="65"/>
  <c r="BY47" i="65"/>
  <c r="BX47" i="65"/>
  <c r="BW47" i="65"/>
  <c r="BV47" i="65"/>
  <c r="BU47" i="65"/>
  <c r="BT47" i="65"/>
  <c r="BS47" i="65"/>
  <c r="BR47" i="65"/>
  <c r="BQ47" i="65"/>
  <c r="BP47" i="65"/>
  <c r="BO47" i="65"/>
  <c r="BN47" i="65"/>
  <c r="BM47" i="65"/>
  <c r="BL47" i="65"/>
  <c r="BK47" i="65"/>
  <c r="BJ47" i="65"/>
  <c r="BI47" i="65"/>
  <c r="BH47" i="65"/>
  <c r="BG47" i="65"/>
  <c r="BF47" i="65"/>
  <c r="BE47" i="65"/>
  <c r="BD47" i="65"/>
  <c r="BC47" i="65"/>
  <c r="BB47" i="65"/>
  <c r="BA47" i="65"/>
  <c r="AZ47" i="65"/>
  <c r="AY47" i="65"/>
  <c r="AX47" i="65"/>
  <c r="AW47" i="65"/>
  <c r="AV47" i="65"/>
  <c r="ER47" i="65" s="1"/>
  <c r="AU47" i="65"/>
  <c r="EQ47" i="65" s="1"/>
  <c r="AT47" i="65"/>
  <c r="EP47" i="65" s="1"/>
  <c r="AS47" i="65"/>
  <c r="AR47" i="65"/>
  <c r="AQ47" i="65"/>
  <c r="EM47" i="65" s="1"/>
  <c r="AP47" i="65"/>
  <c r="AO47" i="65"/>
  <c r="EK47" i="65" s="1"/>
  <c r="AN47" i="65"/>
  <c r="EJ47" i="65" s="1"/>
  <c r="AM47" i="65"/>
  <c r="EI47" i="65" s="1"/>
  <c r="AL47" i="65"/>
  <c r="EH47" i="65" s="1"/>
  <c r="AK47" i="65"/>
  <c r="AJ47" i="65"/>
  <c r="AI47" i="65"/>
  <c r="AH47" i="65"/>
  <c r="AG47" i="65"/>
  <c r="AF47" i="65"/>
  <c r="AE47" i="65"/>
  <c r="AD47" i="65"/>
  <c r="AC47" i="65"/>
  <c r="AB47" i="65"/>
  <c r="Z47" i="65"/>
  <c r="Y47" i="65"/>
  <c r="X47" i="65"/>
  <c r="W47" i="65"/>
  <c r="V47" i="65"/>
  <c r="U47" i="65"/>
  <c r="T47" i="65"/>
  <c r="S47" i="65"/>
  <c r="R47" i="65"/>
  <c r="Q47" i="65"/>
  <c r="O47" i="65"/>
  <c r="N47" i="65"/>
  <c r="M47" i="65"/>
  <c r="L47" i="65"/>
  <c r="K47" i="65"/>
  <c r="J47" i="65"/>
  <c r="I47" i="65"/>
  <c r="H47" i="65"/>
  <c r="G47" i="65"/>
  <c r="F47" i="65"/>
  <c r="E47" i="65"/>
  <c r="DU46" i="65"/>
  <c r="DT46" i="65"/>
  <c r="DS46" i="65"/>
  <c r="DR46" i="65"/>
  <c r="DQ46" i="65"/>
  <c r="DP46" i="65"/>
  <c r="DO46" i="65"/>
  <c r="DN46" i="65"/>
  <c r="DM46" i="65"/>
  <c r="DL46" i="65"/>
  <c r="DK46" i="65"/>
  <c r="DJ46" i="65"/>
  <c r="DI46" i="65"/>
  <c r="DH46" i="65"/>
  <c r="DG46" i="65"/>
  <c r="DF46" i="65"/>
  <c r="DE46" i="65"/>
  <c r="DD46" i="65"/>
  <c r="DC46" i="65"/>
  <c r="DB46" i="65"/>
  <c r="DA46" i="65"/>
  <c r="CZ46" i="65"/>
  <c r="CY46" i="65"/>
  <c r="CX46" i="65"/>
  <c r="CW46" i="65"/>
  <c r="CV46" i="65"/>
  <c r="CU46" i="65"/>
  <c r="CT46" i="65"/>
  <c r="CS46" i="65"/>
  <c r="CR46" i="65"/>
  <c r="CQ46" i="65"/>
  <c r="CP46" i="65"/>
  <c r="CO46" i="65"/>
  <c r="CN46" i="65"/>
  <c r="CM46" i="65"/>
  <c r="CL46" i="65"/>
  <c r="CK46" i="65"/>
  <c r="CJ46" i="65"/>
  <c r="CI46" i="65"/>
  <c r="CH46" i="65"/>
  <c r="CG46" i="65"/>
  <c r="CF46" i="65"/>
  <c r="CE46" i="65"/>
  <c r="CD46" i="65"/>
  <c r="CC46" i="65"/>
  <c r="CB46" i="65"/>
  <c r="CA46" i="65"/>
  <c r="BZ46" i="65"/>
  <c r="BY46" i="65"/>
  <c r="BX46" i="65"/>
  <c r="BW46" i="65"/>
  <c r="BV46" i="65"/>
  <c r="BU46" i="65"/>
  <c r="BT46" i="65"/>
  <c r="BS46" i="65"/>
  <c r="BR46" i="65"/>
  <c r="BQ46" i="65"/>
  <c r="BP46" i="65"/>
  <c r="BO46" i="65"/>
  <c r="BN46" i="65"/>
  <c r="BM46" i="65"/>
  <c r="BL46" i="65"/>
  <c r="BK46" i="65"/>
  <c r="BJ46" i="65"/>
  <c r="BI46" i="65"/>
  <c r="BH46" i="65"/>
  <c r="BG46" i="65"/>
  <c r="BF46" i="65"/>
  <c r="BE46" i="65"/>
  <c r="BD46" i="65"/>
  <c r="BC46" i="65"/>
  <c r="BB46" i="65"/>
  <c r="BA46" i="65"/>
  <c r="AZ46" i="65"/>
  <c r="AY46" i="65"/>
  <c r="AX46" i="65"/>
  <c r="AW46" i="65"/>
  <c r="AV46" i="65"/>
  <c r="AU46" i="65"/>
  <c r="EQ46" i="65" s="1"/>
  <c r="AT46" i="65"/>
  <c r="EP46" i="65" s="1"/>
  <c r="AS46" i="65"/>
  <c r="AR46" i="65"/>
  <c r="AQ46" i="65"/>
  <c r="AP46" i="65"/>
  <c r="EL46" i="65" s="1"/>
  <c r="AO46" i="65"/>
  <c r="AN46" i="65"/>
  <c r="EJ46" i="65" s="1"/>
  <c r="AM46" i="65"/>
  <c r="EI46" i="65" s="1"/>
  <c r="AL46" i="65"/>
  <c r="EH46" i="65" s="1"/>
  <c r="AK46" i="65"/>
  <c r="AJ46" i="65"/>
  <c r="AI46" i="65"/>
  <c r="AH46" i="65"/>
  <c r="AG46" i="65"/>
  <c r="AF46" i="65"/>
  <c r="AE46" i="65"/>
  <c r="AD46" i="65"/>
  <c r="AC46" i="65"/>
  <c r="AB46" i="65"/>
  <c r="Z46" i="65"/>
  <c r="Y46" i="65"/>
  <c r="X46" i="65"/>
  <c r="W46" i="65"/>
  <c r="V46" i="65"/>
  <c r="U46" i="65"/>
  <c r="T46" i="65"/>
  <c r="S46" i="65"/>
  <c r="R46" i="65"/>
  <c r="Q46" i="65"/>
  <c r="O46" i="65"/>
  <c r="N46" i="65"/>
  <c r="M46" i="65"/>
  <c r="L46" i="65"/>
  <c r="K46" i="65"/>
  <c r="J46" i="65"/>
  <c r="I46" i="65"/>
  <c r="H46" i="65"/>
  <c r="G46" i="65"/>
  <c r="F46" i="65"/>
  <c r="E46" i="65"/>
  <c r="DU45" i="65"/>
  <c r="DT45" i="65"/>
  <c r="DS45" i="65"/>
  <c r="DR45" i="65"/>
  <c r="DQ45" i="65"/>
  <c r="DP45" i="65"/>
  <c r="DO45" i="65"/>
  <c r="DN45" i="65"/>
  <c r="DM45" i="65"/>
  <c r="DL45" i="65"/>
  <c r="DK45" i="65"/>
  <c r="DJ45" i="65"/>
  <c r="DI45" i="65"/>
  <c r="DH45" i="65"/>
  <c r="DG45" i="65"/>
  <c r="DF45" i="65"/>
  <c r="DE45" i="65"/>
  <c r="DD45" i="65"/>
  <c r="DC45" i="65"/>
  <c r="DB45" i="65"/>
  <c r="DA45" i="65"/>
  <c r="CZ45" i="65"/>
  <c r="CY45" i="65"/>
  <c r="CX45" i="65"/>
  <c r="CW45" i="65"/>
  <c r="CV45" i="65"/>
  <c r="CU45" i="65"/>
  <c r="CT45" i="65"/>
  <c r="CS45" i="65"/>
  <c r="CR45" i="65"/>
  <c r="CQ45" i="65"/>
  <c r="CP45" i="65"/>
  <c r="CO45" i="65"/>
  <c r="CN45" i="65"/>
  <c r="CM45" i="65"/>
  <c r="CL45" i="65"/>
  <c r="CK45" i="65"/>
  <c r="CJ45" i="65"/>
  <c r="CI45" i="65"/>
  <c r="CH45" i="65"/>
  <c r="CG45" i="65"/>
  <c r="CF45" i="65"/>
  <c r="CE45" i="65"/>
  <c r="CD45" i="65"/>
  <c r="CC45" i="65"/>
  <c r="CB45" i="65"/>
  <c r="CA45" i="65"/>
  <c r="BZ45" i="65"/>
  <c r="BY45" i="65"/>
  <c r="BX45" i="65"/>
  <c r="BW45" i="65"/>
  <c r="BV45" i="65"/>
  <c r="BU45" i="65"/>
  <c r="BT45" i="65"/>
  <c r="BS45" i="65"/>
  <c r="BR45" i="65"/>
  <c r="BQ45" i="65"/>
  <c r="BP45" i="65"/>
  <c r="BO45" i="65"/>
  <c r="BN45" i="65"/>
  <c r="BM45" i="65"/>
  <c r="BL45" i="65"/>
  <c r="BK45" i="65"/>
  <c r="BJ45" i="65"/>
  <c r="BI45" i="65"/>
  <c r="BH45" i="65"/>
  <c r="BG45" i="65"/>
  <c r="BF45" i="65"/>
  <c r="BE45" i="65"/>
  <c r="BD45" i="65"/>
  <c r="BC45" i="65"/>
  <c r="BB45" i="65"/>
  <c r="BA45" i="65"/>
  <c r="AZ45" i="65"/>
  <c r="AY45" i="65"/>
  <c r="AX45" i="65"/>
  <c r="AW45" i="65"/>
  <c r="AV45" i="65"/>
  <c r="ER45" i="65" s="1"/>
  <c r="AU45" i="65"/>
  <c r="AT45" i="65"/>
  <c r="EP45" i="65" s="1"/>
  <c r="AS45" i="65"/>
  <c r="AR45" i="65"/>
  <c r="AQ45" i="65"/>
  <c r="AP45" i="65"/>
  <c r="AO45" i="65"/>
  <c r="EK45" i="65" s="1"/>
  <c r="AN45" i="65"/>
  <c r="AM45" i="65"/>
  <c r="AL45" i="65"/>
  <c r="EH45" i="65" s="1"/>
  <c r="AK45" i="65"/>
  <c r="AJ45" i="65"/>
  <c r="AI45" i="65"/>
  <c r="AH45" i="65"/>
  <c r="AG45" i="65"/>
  <c r="AF45" i="65"/>
  <c r="AE45" i="65"/>
  <c r="AD45" i="65"/>
  <c r="AC45" i="65"/>
  <c r="AB45" i="65"/>
  <c r="Z45" i="65"/>
  <c r="Y45" i="65"/>
  <c r="X45" i="65"/>
  <c r="W45" i="65"/>
  <c r="V45" i="65"/>
  <c r="U45" i="65"/>
  <c r="T45" i="65"/>
  <c r="S45" i="65"/>
  <c r="R45" i="65"/>
  <c r="Q45" i="65"/>
  <c r="O45" i="65"/>
  <c r="N45" i="65"/>
  <c r="M45" i="65"/>
  <c r="L45" i="65"/>
  <c r="K45" i="65"/>
  <c r="J45" i="65"/>
  <c r="I45" i="65"/>
  <c r="H45" i="65"/>
  <c r="G45" i="65"/>
  <c r="F45" i="65"/>
  <c r="E45" i="65"/>
  <c r="DU44" i="65"/>
  <c r="DU155" i="65" s="1"/>
  <c r="DT44" i="65"/>
  <c r="DT155" i="65" s="1"/>
  <c r="DS44" i="65"/>
  <c r="DS155" i="65" s="1"/>
  <c r="DR44" i="65"/>
  <c r="DR155" i="65" s="1"/>
  <c r="DQ44" i="65"/>
  <c r="DQ155" i="65" s="1"/>
  <c r="DP44" i="65"/>
  <c r="DP155" i="65" s="1"/>
  <c r="DO44" i="65"/>
  <c r="DO155" i="65" s="1"/>
  <c r="DN44" i="65"/>
  <c r="DN155" i="65" s="1"/>
  <c r="DM44" i="65"/>
  <c r="DM155" i="65" s="1"/>
  <c r="DL44" i="65"/>
  <c r="DL155" i="65" s="1"/>
  <c r="DK44" i="65"/>
  <c r="DK155" i="65" s="1"/>
  <c r="DJ44" i="65"/>
  <c r="DJ155" i="65" s="1"/>
  <c r="DI44" i="65"/>
  <c r="DI155" i="65" s="1"/>
  <c r="DH44" i="65"/>
  <c r="DH155" i="65" s="1"/>
  <c r="DG44" i="65"/>
  <c r="DG155" i="65" s="1"/>
  <c r="DF44" i="65"/>
  <c r="DF155" i="65" s="1"/>
  <c r="DE44" i="65"/>
  <c r="DE155" i="65" s="1"/>
  <c r="DD44" i="65"/>
  <c r="DD155" i="65" s="1"/>
  <c r="DC44" i="65"/>
  <c r="DC155" i="65" s="1"/>
  <c r="DB44" i="65"/>
  <c r="DB155" i="65" s="1"/>
  <c r="DA44" i="65"/>
  <c r="DA155" i="65" s="1"/>
  <c r="CZ44" i="65"/>
  <c r="CZ155" i="65" s="1"/>
  <c r="CY44" i="65"/>
  <c r="CY155" i="65" s="1"/>
  <c r="CX44" i="65"/>
  <c r="CX155" i="65" s="1"/>
  <c r="CW44" i="65"/>
  <c r="CW155" i="65" s="1"/>
  <c r="CV44" i="65"/>
  <c r="CV155" i="65" s="1"/>
  <c r="CU44" i="65"/>
  <c r="CU155" i="65" s="1"/>
  <c r="CT44" i="65"/>
  <c r="CT155" i="65" s="1"/>
  <c r="CS44" i="65"/>
  <c r="CS155" i="65" s="1"/>
  <c r="CR44" i="65"/>
  <c r="CR155" i="65" s="1"/>
  <c r="CQ44" i="65"/>
  <c r="CQ155" i="65" s="1"/>
  <c r="CP44" i="65"/>
  <c r="CP155" i="65" s="1"/>
  <c r="CO44" i="65"/>
  <c r="CO155" i="65" s="1"/>
  <c r="CN44" i="65"/>
  <c r="CN155" i="65" s="1"/>
  <c r="CM44" i="65"/>
  <c r="CM155" i="65" s="1"/>
  <c r="CL44" i="65"/>
  <c r="CL155" i="65" s="1"/>
  <c r="CK44" i="65"/>
  <c r="CK155" i="65" s="1"/>
  <c r="CJ44" i="65"/>
  <c r="CJ155" i="65" s="1"/>
  <c r="CI44" i="65"/>
  <c r="CI155" i="65" s="1"/>
  <c r="CH44" i="65"/>
  <c r="CH155" i="65" s="1"/>
  <c r="CG44" i="65"/>
  <c r="CG155" i="65" s="1"/>
  <c r="CF44" i="65"/>
  <c r="CF155" i="65" s="1"/>
  <c r="CE44" i="65"/>
  <c r="CE155" i="65" s="1"/>
  <c r="CD44" i="65"/>
  <c r="CD155" i="65" s="1"/>
  <c r="CC44" i="65"/>
  <c r="CC155" i="65" s="1"/>
  <c r="CB44" i="65"/>
  <c r="CB155" i="65" s="1"/>
  <c r="CA44" i="65"/>
  <c r="CA155" i="65" s="1"/>
  <c r="BZ44" i="65"/>
  <c r="BZ155" i="65" s="1"/>
  <c r="BY44" i="65"/>
  <c r="BY155" i="65" s="1"/>
  <c r="BX44" i="65"/>
  <c r="BX155" i="65" s="1"/>
  <c r="BW44" i="65"/>
  <c r="BW155" i="65" s="1"/>
  <c r="BV44" i="65"/>
  <c r="BV155" i="65" s="1"/>
  <c r="BU44" i="65"/>
  <c r="BU155" i="65" s="1"/>
  <c r="BT44" i="65"/>
  <c r="BT155" i="65" s="1"/>
  <c r="BS44" i="65"/>
  <c r="BS155" i="65" s="1"/>
  <c r="BR44" i="65"/>
  <c r="BR155" i="65" s="1"/>
  <c r="BQ44" i="65"/>
  <c r="BQ155" i="65" s="1"/>
  <c r="BP44" i="65"/>
  <c r="BP155" i="65" s="1"/>
  <c r="BO44" i="65"/>
  <c r="BO155" i="65" s="1"/>
  <c r="BN44" i="65"/>
  <c r="BN155" i="65" s="1"/>
  <c r="BM44" i="65"/>
  <c r="BM155" i="65" s="1"/>
  <c r="BL44" i="65"/>
  <c r="BL155" i="65" s="1"/>
  <c r="BK44" i="65"/>
  <c r="BK155" i="65" s="1"/>
  <c r="BJ44" i="65"/>
  <c r="BJ155" i="65" s="1"/>
  <c r="BI44" i="65"/>
  <c r="BI155" i="65" s="1"/>
  <c r="BH44" i="65"/>
  <c r="BH155" i="65" s="1"/>
  <c r="BG44" i="65"/>
  <c r="BG155" i="65" s="1"/>
  <c r="BF44" i="65"/>
  <c r="BF155" i="65" s="1"/>
  <c r="BE44" i="65"/>
  <c r="BE155" i="65" s="1"/>
  <c r="BD44" i="65"/>
  <c r="BD155" i="65" s="1"/>
  <c r="BC44" i="65"/>
  <c r="BC155" i="65" s="1"/>
  <c r="BB44" i="65"/>
  <c r="BB155" i="65" s="1"/>
  <c r="BA44" i="65"/>
  <c r="BA155" i="65" s="1"/>
  <c r="AZ44" i="65"/>
  <c r="AZ155" i="65" s="1"/>
  <c r="AY44" i="65"/>
  <c r="AY155" i="65" s="1"/>
  <c r="AX44" i="65"/>
  <c r="AX155" i="65" s="1"/>
  <c r="AW44" i="65"/>
  <c r="AW155" i="65" s="1"/>
  <c r="AV44" i="65"/>
  <c r="AV155" i="65" s="1"/>
  <c r="ER155" i="65" s="1"/>
  <c r="AU44" i="65"/>
  <c r="AU155" i="65" s="1"/>
  <c r="EQ155" i="65" s="1"/>
  <c r="AT44" i="65"/>
  <c r="AT155" i="65" s="1"/>
  <c r="EP155" i="65" s="1"/>
  <c r="AS44" i="65"/>
  <c r="AS155" i="65" s="1"/>
  <c r="EO155" i="65" s="1"/>
  <c r="AR44" i="65"/>
  <c r="AR155" i="65" s="1"/>
  <c r="EN155" i="65" s="1"/>
  <c r="AQ44" i="65"/>
  <c r="AQ155" i="65" s="1"/>
  <c r="EM155" i="65" s="1"/>
  <c r="AP44" i="65"/>
  <c r="AP155" i="65" s="1"/>
  <c r="EL155" i="65" s="1"/>
  <c r="AO44" i="65"/>
  <c r="AO155" i="65" s="1"/>
  <c r="EK155" i="65" s="1"/>
  <c r="AN44" i="65"/>
  <c r="AN155" i="65" s="1"/>
  <c r="EJ155" i="65" s="1"/>
  <c r="AM44" i="65"/>
  <c r="AM155" i="65" s="1"/>
  <c r="EI155" i="65" s="1"/>
  <c r="AL44" i="65"/>
  <c r="AL155" i="65" s="1"/>
  <c r="EH155" i="65" s="1"/>
  <c r="AK44" i="65"/>
  <c r="AK155" i="65" s="1"/>
  <c r="AJ44" i="65"/>
  <c r="AJ155" i="65" s="1"/>
  <c r="AI44" i="65"/>
  <c r="AI155" i="65" s="1"/>
  <c r="AH44" i="65"/>
  <c r="AH155" i="65" s="1"/>
  <c r="AG44" i="65"/>
  <c r="AG155" i="65" s="1"/>
  <c r="AF44" i="65"/>
  <c r="AF155" i="65" s="1"/>
  <c r="AE44" i="65"/>
  <c r="AE155" i="65" s="1"/>
  <c r="AD44" i="65"/>
  <c r="AD155" i="65" s="1"/>
  <c r="AC44" i="65"/>
  <c r="AC155" i="65" s="1"/>
  <c r="AB44" i="65"/>
  <c r="AB155" i="65" s="1"/>
  <c r="Z44" i="65"/>
  <c r="Z155" i="65" s="1"/>
  <c r="Y44" i="65"/>
  <c r="Y155" i="65" s="1"/>
  <c r="X44" i="65"/>
  <c r="X155" i="65" s="1"/>
  <c r="W44" i="65"/>
  <c r="W155" i="65" s="1"/>
  <c r="V44" i="65"/>
  <c r="V155" i="65" s="1"/>
  <c r="U44" i="65"/>
  <c r="U155" i="65" s="1"/>
  <c r="T44" i="65"/>
  <c r="T155" i="65" s="1"/>
  <c r="S44" i="65"/>
  <c r="S155" i="65" s="1"/>
  <c r="R44" i="65"/>
  <c r="R155" i="65" s="1"/>
  <c r="Q44" i="65"/>
  <c r="Q155" i="65" s="1"/>
  <c r="O44" i="65"/>
  <c r="O155" i="65" s="1"/>
  <c r="N44" i="65"/>
  <c r="N155" i="65" s="1"/>
  <c r="M44" i="65"/>
  <c r="M155" i="65" s="1"/>
  <c r="L44" i="65"/>
  <c r="L155" i="65" s="1"/>
  <c r="K44" i="65"/>
  <c r="K155" i="65" s="1"/>
  <c r="J44" i="65"/>
  <c r="J155" i="65" s="1"/>
  <c r="I44" i="65"/>
  <c r="I155" i="65" s="1"/>
  <c r="H44" i="65"/>
  <c r="H155" i="65" s="1"/>
  <c r="G44" i="65"/>
  <c r="G155" i="65" s="1"/>
  <c r="F44" i="65"/>
  <c r="F155" i="65" s="1"/>
  <c r="E44" i="65"/>
  <c r="E155" i="65" s="1"/>
  <c r="ER33" i="65"/>
  <c r="EQ33" i="65"/>
  <c r="EP33" i="65"/>
  <c r="EO33" i="65"/>
  <c r="EN33" i="65"/>
  <c r="EM33" i="65"/>
  <c r="EL33" i="65"/>
  <c r="EK33" i="65"/>
  <c r="EJ33" i="65"/>
  <c r="EI33" i="65"/>
  <c r="EH33" i="65"/>
  <c r="EG33" i="65"/>
  <c r="EF33" i="65"/>
  <c r="EE33" i="65"/>
  <c r="ED33" i="65"/>
  <c r="EC33" i="65"/>
  <c r="EB33" i="65"/>
  <c r="EA33" i="65"/>
  <c r="DZ33" i="65"/>
  <c r="DY33" i="65"/>
  <c r="DX33" i="65"/>
  <c r="ER32" i="65"/>
  <c r="EQ32" i="65"/>
  <c r="EP32" i="65"/>
  <c r="EO32" i="65"/>
  <c r="EN32" i="65"/>
  <c r="EM32" i="65"/>
  <c r="EL32" i="65"/>
  <c r="EK32" i="65"/>
  <c r="EJ32" i="65"/>
  <c r="EI32" i="65"/>
  <c r="EH32" i="65"/>
  <c r="EG32" i="65"/>
  <c r="EF32" i="65"/>
  <c r="EE32" i="65"/>
  <c r="ED32" i="65"/>
  <c r="EC32" i="65"/>
  <c r="EB32" i="65"/>
  <c r="EA32" i="65"/>
  <c r="DZ32" i="65"/>
  <c r="DY32" i="65"/>
  <c r="DX32" i="65"/>
  <c r="P32" i="65"/>
  <c r="ER31" i="65"/>
  <c r="EQ31" i="65"/>
  <c r="EP31" i="65"/>
  <c r="EO31" i="65"/>
  <c r="EN31" i="65"/>
  <c r="EM31" i="65"/>
  <c r="EL31" i="65"/>
  <c r="EK31" i="65"/>
  <c r="EJ31" i="65"/>
  <c r="EI31" i="65"/>
  <c r="EH31" i="65"/>
  <c r="EG31" i="65"/>
  <c r="EF31" i="65"/>
  <c r="EE31" i="65"/>
  <c r="ED31" i="65"/>
  <c r="EC31" i="65"/>
  <c r="EB31" i="65"/>
  <c r="EA31" i="65"/>
  <c r="DZ31" i="65"/>
  <c r="DY31" i="65"/>
  <c r="DX31" i="65"/>
  <c r="P31" i="65"/>
  <c r="ER30" i="65"/>
  <c r="EQ30" i="65"/>
  <c r="EP30" i="65"/>
  <c r="EO30" i="65"/>
  <c r="EN30" i="65"/>
  <c r="EM30" i="65"/>
  <c r="EL30" i="65"/>
  <c r="EK30" i="65"/>
  <c r="EJ30" i="65"/>
  <c r="EI30" i="65"/>
  <c r="EH30" i="65"/>
  <c r="EG30" i="65"/>
  <c r="EF30" i="65"/>
  <c r="EE30" i="65"/>
  <c r="ED30" i="65"/>
  <c r="EC30" i="65"/>
  <c r="EB30" i="65"/>
  <c r="EA30" i="65"/>
  <c r="DZ30" i="65"/>
  <c r="DY30" i="65"/>
  <c r="DX30" i="65"/>
  <c r="P30" i="65"/>
  <c r="ER29" i="65"/>
  <c r="EQ29" i="65"/>
  <c r="EP29" i="65"/>
  <c r="EO29" i="65"/>
  <c r="EN29" i="65"/>
  <c r="EM29" i="65"/>
  <c r="EL29" i="65"/>
  <c r="EK29" i="65"/>
  <c r="EJ29" i="65"/>
  <c r="EI29" i="65"/>
  <c r="EH29" i="65"/>
  <c r="EG29" i="65"/>
  <c r="EF29" i="65"/>
  <c r="EE29" i="65"/>
  <c r="ED29" i="65"/>
  <c r="EC29" i="65"/>
  <c r="EB29" i="65"/>
  <c r="EA29" i="65"/>
  <c r="DZ29" i="65"/>
  <c r="DY29" i="65"/>
  <c r="DX29" i="65"/>
  <c r="P29" i="65"/>
  <c r="ER28" i="65"/>
  <c r="EQ28" i="65"/>
  <c r="EP28" i="65"/>
  <c r="EO28" i="65"/>
  <c r="EN28" i="65"/>
  <c r="EM28" i="65"/>
  <c r="EL28" i="65"/>
  <c r="EK28" i="65"/>
  <c r="EJ28" i="65"/>
  <c r="EI28" i="65"/>
  <c r="EH28" i="65"/>
  <c r="EG28" i="65"/>
  <c r="EF28" i="65"/>
  <c r="EE28" i="65"/>
  <c r="ED28" i="65"/>
  <c r="EC28" i="65"/>
  <c r="EB28" i="65"/>
  <c r="EA28" i="65"/>
  <c r="DZ28" i="65"/>
  <c r="DY28" i="65"/>
  <c r="DX28" i="65"/>
  <c r="P28" i="65"/>
  <c r="ER27" i="65"/>
  <c r="EQ27" i="65"/>
  <c r="EP27" i="65"/>
  <c r="EO27" i="65"/>
  <c r="EN27" i="65"/>
  <c r="EM27" i="65"/>
  <c r="EL27" i="65"/>
  <c r="EK27" i="65"/>
  <c r="EJ27" i="65"/>
  <c r="EI27" i="65"/>
  <c r="EH27" i="65"/>
  <c r="EG27" i="65"/>
  <c r="EF27" i="65"/>
  <c r="EE27" i="65"/>
  <c r="ED27" i="65"/>
  <c r="EC27" i="65"/>
  <c r="EB27" i="65"/>
  <c r="EA27" i="65"/>
  <c r="DZ27" i="65"/>
  <c r="DY27" i="65"/>
  <c r="DX27" i="65"/>
  <c r="P27" i="65"/>
  <c r="ER26" i="65"/>
  <c r="EQ26" i="65"/>
  <c r="EP26" i="65"/>
  <c r="EO26" i="65"/>
  <c r="EN26" i="65"/>
  <c r="EM26" i="65"/>
  <c r="EL26" i="65"/>
  <c r="EK26" i="65"/>
  <c r="EJ26" i="65"/>
  <c r="EI26" i="65"/>
  <c r="EH26" i="65"/>
  <c r="EG26" i="65"/>
  <c r="EF26" i="65"/>
  <c r="EE26" i="65"/>
  <c r="ED26" i="65"/>
  <c r="EC26" i="65"/>
  <c r="EB26" i="65"/>
  <c r="EA26" i="65"/>
  <c r="DZ26" i="65"/>
  <c r="DY26" i="65"/>
  <c r="DX26" i="65"/>
  <c r="P26" i="65"/>
  <c r="ER25" i="65"/>
  <c r="EQ25" i="65"/>
  <c r="EP25" i="65"/>
  <c r="EO25" i="65"/>
  <c r="EN25" i="65"/>
  <c r="EM25" i="65"/>
  <c r="EL25" i="65"/>
  <c r="EK25" i="65"/>
  <c r="EJ25" i="65"/>
  <c r="EI25" i="65"/>
  <c r="EH25" i="65"/>
  <c r="EG25" i="65"/>
  <c r="EF25" i="65"/>
  <c r="EE25" i="65"/>
  <c r="ED25" i="65"/>
  <c r="EC25" i="65"/>
  <c r="EB25" i="65"/>
  <c r="EA25" i="65"/>
  <c r="DZ25" i="65"/>
  <c r="DY25" i="65"/>
  <c r="DX25" i="65"/>
  <c r="P25" i="65"/>
  <c r="ER24" i="65"/>
  <c r="EQ24" i="65"/>
  <c r="EP24" i="65"/>
  <c r="EO24" i="65"/>
  <c r="EN24" i="65"/>
  <c r="EM24" i="65"/>
  <c r="EL24" i="65"/>
  <c r="EK24" i="65"/>
  <c r="EJ24" i="65"/>
  <c r="EI24" i="65"/>
  <c r="EH24" i="65"/>
  <c r="EG24" i="65"/>
  <c r="EF24" i="65"/>
  <c r="EE24" i="65"/>
  <c r="ED24" i="65"/>
  <c r="EC24" i="65"/>
  <c r="EB24" i="65"/>
  <c r="EA24" i="65"/>
  <c r="DZ24" i="65"/>
  <c r="DY24" i="65"/>
  <c r="DX24" i="65"/>
  <c r="P24" i="65"/>
  <c r="ER23" i="65"/>
  <c r="EQ23" i="65"/>
  <c r="EP23" i="65"/>
  <c r="EO23" i="65"/>
  <c r="EN23" i="65"/>
  <c r="EM23" i="65"/>
  <c r="EL23" i="65"/>
  <c r="EK23" i="65"/>
  <c r="EJ23" i="65"/>
  <c r="EI23" i="65"/>
  <c r="EH23" i="65"/>
  <c r="EG23" i="65"/>
  <c r="EF23" i="65"/>
  <c r="EE23" i="65"/>
  <c r="ED23" i="65"/>
  <c r="EC23" i="65"/>
  <c r="EB23" i="65"/>
  <c r="EA23" i="65"/>
  <c r="DZ23" i="65"/>
  <c r="DY23" i="65"/>
  <c r="DX23" i="65"/>
  <c r="P23" i="65"/>
  <c r="ER22" i="65"/>
  <c r="EQ22" i="65"/>
  <c r="EP22" i="65"/>
  <c r="EO22" i="65"/>
  <c r="EN22" i="65"/>
  <c r="EM22" i="65"/>
  <c r="EL22" i="65"/>
  <c r="EK22" i="65"/>
  <c r="EJ22" i="65"/>
  <c r="EI22" i="65"/>
  <c r="EH22" i="65"/>
  <c r="EG22" i="65"/>
  <c r="EF22" i="65"/>
  <c r="EE22" i="65"/>
  <c r="ED22" i="65"/>
  <c r="EC22" i="65"/>
  <c r="EB22" i="65"/>
  <c r="EA22" i="65"/>
  <c r="DZ22" i="65"/>
  <c r="DY22" i="65"/>
  <c r="DX22" i="65"/>
  <c r="P22" i="65"/>
  <c r="ER21" i="65"/>
  <c r="EQ21" i="65"/>
  <c r="EP21" i="65"/>
  <c r="EO21" i="65"/>
  <c r="EN21" i="65"/>
  <c r="EM21" i="65"/>
  <c r="EL21" i="65"/>
  <c r="EK21" i="65"/>
  <c r="EJ21" i="65"/>
  <c r="EI21" i="65"/>
  <c r="EH21" i="65"/>
  <c r="EG21" i="65"/>
  <c r="EF21" i="65"/>
  <c r="EE21" i="65"/>
  <c r="ED21" i="65"/>
  <c r="EC21" i="65"/>
  <c r="EB21" i="65"/>
  <c r="EA21" i="65"/>
  <c r="DZ21" i="65"/>
  <c r="DY21" i="65"/>
  <c r="DX21" i="65"/>
  <c r="P21" i="65"/>
  <c r="DW21" i="65" s="1"/>
  <c r="ER20" i="65"/>
  <c r="EQ20" i="65"/>
  <c r="EP20" i="65"/>
  <c r="EO20" i="65"/>
  <c r="EN20" i="65"/>
  <c r="EM20" i="65"/>
  <c r="EL20" i="65"/>
  <c r="EK20" i="65"/>
  <c r="EJ20" i="65"/>
  <c r="EI20" i="65"/>
  <c r="EH20" i="65"/>
  <c r="EG20" i="65"/>
  <c r="EF20" i="65"/>
  <c r="EE20" i="65"/>
  <c r="ED20" i="65"/>
  <c r="EC20" i="65"/>
  <c r="EB20" i="65"/>
  <c r="EA20" i="65"/>
  <c r="DZ20" i="65"/>
  <c r="DY20" i="65"/>
  <c r="DX20" i="65"/>
  <c r="P20" i="65"/>
  <c r="ER19" i="65"/>
  <c r="EQ19" i="65"/>
  <c r="EP19" i="65"/>
  <c r="EO19" i="65"/>
  <c r="EN19" i="65"/>
  <c r="EM19" i="65"/>
  <c r="EL19" i="65"/>
  <c r="EK19" i="65"/>
  <c r="EJ19" i="65"/>
  <c r="EI19" i="65"/>
  <c r="EH19" i="65"/>
  <c r="EG19" i="65"/>
  <c r="EF19" i="65"/>
  <c r="EE19" i="65"/>
  <c r="ED19" i="65"/>
  <c r="EC19" i="65"/>
  <c r="EB19" i="65"/>
  <c r="EA19" i="65"/>
  <c r="DZ19" i="65"/>
  <c r="DY19" i="65"/>
  <c r="DX19" i="65"/>
  <c r="AA19" i="65"/>
  <c r="P19" i="65"/>
  <c r="ER18" i="65"/>
  <c r="EQ18" i="65"/>
  <c r="EP18" i="65"/>
  <c r="EO18" i="65"/>
  <c r="EN18" i="65"/>
  <c r="EM18" i="65"/>
  <c r="EL18" i="65"/>
  <c r="EK18" i="65"/>
  <c r="EJ18" i="65"/>
  <c r="EI18" i="65"/>
  <c r="EH18" i="65"/>
  <c r="EG18" i="65"/>
  <c r="EF18" i="65"/>
  <c r="EE18" i="65"/>
  <c r="ED18" i="65"/>
  <c r="EC18" i="65"/>
  <c r="EB18" i="65"/>
  <c r="EA18" i="65"/>
  <c r="DZ18" i="65"/>
  <c r="DY18" i="65"/>
  <c r="DX18" i="65"/>
  <c r="AA18" i="65"/>
  <c r="P18" i="65"/>
  <c r="ER17" i="65"/>
  <c r="EQ17" i="65"/>
  <c r="EP17" i="65"/>
  <c r="EO17" i="65"/>
  <c r="EN17" i="65"/>
  <c r="EM17" i="65"/>
  <c r="EL17" i="65"/>
  <c r="EK17" i="65"/>
  <c r="EJ17" i="65"/>
  <c r="EI17" i="65"/>
  <c r="EH17" i="65"/>
  <c r="EG17" i="65"/>
  <c r="EF17" i="65"/>
  <c r="EE17" i="65"/>
  <c r="ED17" i="65"/>
  <c r="EC17" i="65"/>
  <c r="EB17" i="65"/>
  <c r="EA17" i="65"/>
  <c r="DZ17" i="65"/>
  <c r="DY17" i="65"/>
  <c r="DX17" i="65"/>
  <c r="AA17" i="65"/>
  <c r="P17" i="65"/>
  <c r="ER16" i="65"/>
  <c r="EQ16" i="65"/>
  <c r="EP16" i="65"/>
  <c r="EO16" i="65"/>
  <c r="EN16" i="65"/>
  <c r="EM16" i="65"/>
  <c r="EL16" i="65"/>
  <c r="EK16" i="65"/>
  <c r="EJ16" i="65"/>
  <c r="EI16" i="65"/>
  <c r="EH16" i="65"/>
  <c r="EG16" i="65"/>
  <c r="EF16" i="65"/>
  <c r="EE16" i="65"/>
  <c r="ED16" i="65"/>
  <c r="EC16" i="65"/>
  <c r="EB16" i="65"/>
  <c r="EA16" i="65"/>
  <c r="DZ16" i="65"/>
  <c r="DY16" i="65"/>
  <c r="DX16" i="65"/>
  <c r="AA16" i="65"/>
  <c r="P16" i="65"/>
  <c r="ER15" i="65"/>
  <c r="EQ15" i="65"/>
  <c r="EP15" i="65"/>
  <c r="EO15" i="65"/>
  <c r="EN15" i="65"/>
  <c r="EM15" i="65"/>
  <c r="EL15" i="65"/>
  <c r="EK15" i="65"/>
  <c r="EJ15" i="65"/>
  <c r="EI15" i="65"/>
  <c r="EH15" i="65"/>
  <c r="EG15" i="65"/>
  <c r="EF15" i="65"/>
  <c r="EE15" i="65"/>
  <c r="ED15" i="65"/>
  <c r="EC15" i="65"/>
  <c r="EB15" i="65"/>
  <c r="EA15" i="65"/>
  <c r="DZ15" i="65"/>
  <c r="DY15" i="65"/>
  <c r="DX15" i="65"/>
  <c r="AA15" i="65"/>
  <c r="P15" i="65"/>
  <c r="ER14" i="65"/>
  <c r="EQ14" i="65"/>
  <c r="EP14" i="65"/>
  <c r="EO14" i="65"/>
  <c r="EN14" i="65"/>
  <c r="EM14" i="65"/>
  <c r="EL14" i="65"/>
  <c r="EK14" i="65"/>
  <c r="EJ14" i="65"/>
  <c r="EI14" i="65"/>
  <c r="EH14" i="65"/>
  <c r="EG14" i="65"/>
  <c r="EF14" i="65"/>
  <c r="EE14" i="65"/>
  <c r="ED14" i="65"/>
  <c r="EC14" i="65"/>
  <c r="EB14" i="65"/>
  <c r="EA14" i="65"/>
  <c r="DZ14" i="65"/>
  <c r="DY14" i="65"/>
  <c r="DX14" i="65"/>
  <c r="AA14" i="65"/>
  <c r="P14" i="65"/>
  <c r="ER13" i="65"/>
  <c r="EQ13" i="65"/>
  <c r="EP13" i="65"/>
  <c r="EO13" i="65"/>
  <c r="EN13" i="65"/>
  <c r="EM13" i="65"/>
  <c r="EL13" i="65"/>
  <c r="EK13" i="65"/>
  <c r="EJ13" i="65"/>
  <c r="EI13" i="65"/>
  <c r="EH13" i="65"/>
  <c r="EG13" i="65"/>
  <c r="EF13" i="65"/>
  <c r="EE13" i="65"/>
  <c r="ED13" i="65"/>
  <c r="EC13" i="65"/>
  <c r="EB13" i="65"/>
  <c r="EA13" i="65"/>
  <c r="DZ13" i="65"/>
  <c r="DY13" i="65"/>
  <c r="DX13" i="65"/>
  <c r="AA13" i="65"/>
  <c r="AA70" i="65" s="1"/>
  <c r="P13" i="65"/>
  <c r="ER12" i="65"/>
  <c r="EQ12" i="65"/>
  <c r="EP12" i="65"/>
  <c r="EO12" i="65"/>
  <c r="EN12" i="65"/>
  <c r="EM12" i="65"/>
  <c r="EL12" i="65"/>
  <c r="EK12" i="65"/>
  <c r="EJ12" i="65"/>
  <c r="EI12" i="65"/>
  <c r="EH12" i="65"/>
  <c r="EG12" i="65"/>
  <c r="EF12" i="65"/>
  <c r="EE12" i="65"/>
  <c r="ED12" i="65"/>
  <c r="EC12" i="65"/>
  <c r="EB12" i="65"/>
  <c r="EA12" i="65"/>
  <c r="DZ12" i="65"/>
  <c r="DY12" i="65"/>
  <c r="DX12" i="65"/>
  <c r="AA12" i="65"/>
  <c r="P12" i="65"/>
  <c r="ER11" i="65"/>
  <c r="EQ11" i="65"/>
  <c r="EP11" i="65"/>
  <c r="EO11" i="65"/>
  <c r="EN11" i="65"/>
  <c r="EM11" i="65"/>
  <c r="EL11" i="65"/>
  <c r="EK11" i="65"/>
  <c r="EJ11" i="65"/>
  <c r="EI11" i="65"/>
  <c r="EH11" i="65"/>
  <c r="EG11" i="65"/>
  <c r="EF11" i="65"/>
  <c r="EE11" i="65"/>
  <c r="ED11" i="65"/>
  <c r="EC11" i="65"/>
  <c r="EB11" i="65"/>
  <c r="EA11" i="65"/>
  <c r="DZ11" i="65"/>
  <c r="DY11" i="65"/>
  <c r="DX11" i="65"/>
  <c r="AA11" i="65"/>
  <c r="P11" i="65"/>
  <c r="ER10" i="65"/>
  <c r="EQ10" i="65"/>
  <c r="EP10" i="65"/>
  <c r="EO10" i="65"/>
  <c r="EN10" i="65"/>
  <c r="EM10" i="65"/>
  <c r="EL10" i="65"/>
  <c r="EK10" i="65"/>
  <c r="EJ10" i="65"/>
  <c r="EI10" i="65"/>
  <c r="EH10" i="65"/>
  <c r="EG10" i="65"/>
  <c r="EF10" i="65"/>
  <c r="EE10" i="65"/>
  <c r="ED10" i="65"/>
  <c r="EC10" i="65"/>
  <c r="EB10" i="65"/>
  <c r="EA10" i="65"/>
  <c r="DZ10" i="65"/>
  <c r="DY10" i="65"/>
  <c r="DX10" i="65"/>
  <c r="AA10" i="65"/>
  <c r="P10" i="65"/>
  <c r="P61" i="65" s="1"/>
  <c r="ER9" i="65"/>
  <c r="EQ9" i="65"/>
  <c r="EP9" i="65"/>
  <c r="EO9" i="65"/>
  <c r="EN9" i="65"/>
  <c r="EM9" i="65"/>
  <c r="EL9" i="65"/>
  <c r="EK9" i="65"/>
  <c r="EJ9" i="65"/>
  <c r="EI9" i="65"/>
  <c r="EH9" i="65"/>
  <c r="EG9" i="65"/>
  <c r="EF9" i="65"/>
  <c r="EE9" i="65"/>
  <c r="ED9" i="65"/>
  <c r="EC9" i="65"/>
  <c r="EB9" i="65"/>
  <c r="EA9" i="65"/>
  <c r="DZ9" i="65"/>
  <c r="DY9" i="65"/>
  <c r="DX9" i="65"/>
  <c r="AA9" i="65"/>
  <c r="P9" i="65"/>
  <c r="ER8" i="65"/>
  <c r="EQ8" i="65"/>
  <c r="EP8" i="65"/>
  <c r="EO8" i="65"/>
  <c r="EN8" i="65"/>
  <c r="EM8" i="65"/>
  <c r="EL8" i="65"/>
  <c r="EK8" i="65"/>
  <c r="EJ8" i="65"/>
  <c r="EI8" i="65"/>
  <c r="EH8" i="65"/>
  <c r="EG8" i="65"/>
  <c r="EF8" i="65"/>
  <c r="EE8" i="65"/>
  <c r="ED8" i="65"/>
  <c r="EC8" i="65"/>
  <c r="EB8" i="65"/>
  <c r="EA8" i="65"/>
  <c r="DZ8" i="65"/>
  <c r="DY8" i="65"/>
  <c r="DX8" i="65"/>
  <c r="AA8" i="65"/>
  <c r="AA53" i="65" s="1"/>
  <c r="P8" i="65"/>
  <c r="P54" i="65" s="1"/>
  <c r="ER7" i="65"/>
  <c r="EQ7" i="65"/>
  <c r="EP7" i="65"/>
  <c r="EO7" i="65"/>
  <c r="EN7" i="65"/>
  <c r="EM7" i="65"/>
  <c r="EL7" i="65"/>
  <c r="EK7" i="65"/>
  <c r="EJ7" i="65"/>
  <c r="EI7" i="65"/>
  <c r="EH7" i="65"/>
  <c r="EG7" i="65"/>
  <c r="EF7" i="65"/>
  <c r="EE7" i="65"/>
  <c r="ED7" i="65"/>
  <c r="EC7" i="65"/>
  <c r="EB7" i="65"/>
  <c r="EA7" i="65"/>
  <c r="DZ7" i="65"/>
  <c r="DY7" i="65"/>
  <c r="DX7" i="65"/>
  <c r="AA7" i="65"/>
  <c r="AA50" i="65" s="1"/>
  <c r="P7" i="65"/>
  <c r="P50" i="65" s="1"/>
  <c r="ER6" i="65"/>
  <c r="EQ6" i="65"/>
  <c r="EP6" i="65"/>
  <c r="EO6" i="65"/>
  <c r="EN6" i="65"/>
  <c r="EM6" i="65"/>
  <c r="EL6" i="65"/>
  <c r="EK6" i="65"/>
  <c r="EJ6" i="65"/>
  <c r="EI6" i="65"/>
  <c r="EH6" i="65"/>
  <c r="EG6" i="65"/>
  <c r="EF6" i="65"/>
  <c r="EE6" i="65"/>
  <c r="ED6" i="65"/>
  <c r="EC6" i="65"/>
  <c r="EB6" i="65"/>
  <c r="EA6" i="65"/>
  <c r="DZ6" i="65"/>
  <c r="DY6" i="65"/>
  <c r="DX6" i="65"/>
  <c r="AA6" i="65"/>
  <c r="P6" i="65"/>
  <c r="P47" i="65" s="1"/>
  <c r="ER5" i="65"/>
  <c r="EQ5" i="65"/>
  <c r="EP5" i="65"/>
  <c r="EO5" i="65"/>
  <c r="EN5" i="65"/>
  <c r="EM5" i="65"/>
  <c r="EL5" i="65"/>
  <c r="EK5" i="65"/>
  <c r="EJ5" i="65"/>
  <c r="EI5" i="65"/>
  <c r="EH5" i="65"/>
  <c r="EG5" i="65"/>
  <c r="EF5" i="65"/>
  <c r="EE5" i="65"/>
  <c r="ED5" i="65"/>
  <c r="EC5" i="65"/>
  <c r="EB5" i="65"/>
  <c r="EA5" i="65"/>
  <c r="DZ5" i="65"/>
  <c r="DY5" i="65"/>
  <c r="DX5" i="65"/>
  <c r="AA5" i="65"/>
  <c r="AA44" i="65" s="1"/>
  <c r="P5" i="65"/>
  <c r="P45" i="65" s="1"/>
  <c r="G126" i="73" l="1"/>
  <c r="H125" i="73"/>
  <c r="H117" i="73"/>
  <c r="H120" i="73"/>
  <c r="H132" i="73"/>
  <c r="H135" i="73"/>
  <c r="H123" i="73"/>
  <c r="H118" i="73"/>
  <c r="H130" i="73"/>
  <c r="H119" i="73"/>
  <c r="H121" i="73"/>
  <c r="H133" i="73"/>
  <c r="H122" i="73"/>
  <c r="H136" i="73"/>
  <c r="H124" i="73"/>
  <c r="H134" i="73"/>
  <c r="H131" i="73"/>
  <c r="DW19" i="65"/>
  <c r="D156" i="65"/>
  <c r="D157" i="65" s="1"/>
  <c r="I156" i="65"/>
  <c r="AC156" i="65"/>
  <c r="AS156" i="65"/>
  <c r="EO156" i="65" s="1"/>
  <c r="CO156" i="65"/>
  <c r="DE156" i="65"/>
  <c r="AU156" i="65"/>
  <c r="EQ156" i="65" s="1"/>
  <c r="BK156" i="65"/>
  <c r="CA156" i="65"/>
  <c r="CQ156" i="65"/>
  <c r="CQ157" i="65" s="1"/>
  <c r="CQ158" i="65" s="1"/>
  <c r="CQ159" i="65" s="1"/>
  <c r="CQ160" i="65" s="1"/>
  <c r="CQ161" i="65" s="1"/>
  <c r="CQ162" i="65" s="1"/>
  <c r="CQ163" i="65" s="1"/>
  <c r="CQ164" i="65" s="1"/>
  <c r="CQ165" i="65" s="1"/>
  <c r="CQ166" i="65" s="1"/>
  <c r="CQ167" i="65" s="1"/>
  <c r="CQ168" i="65" s="1"/>
  <c r="CQ169" i="65" s="1"/>
  <c r="CQ170" i="65" s="1"/>
  <c r="CQ171" i="65" s="1"/>
  <c r="CQ172" i="65" s="1"/>
  <c r="CQ173" i="65" s="1"/>
  <c r="CQ174" i="65" s="1"/>
  <c r="CQ175" i="65" s="1"/>
  <c r="CQ176" i="65" s="1"/>
  <c r="CQ177" i="65" s="1"/>
  <c r="CQ178" i="65" s="1"/>
  <c r="CQ179" i="65" s="1"/>
  <c r="CQ180" i="65" s="1"/>
  <c r="CQ181" i="65" s="1"/>
  <c r="CQ182" i="65" s="1"/>
  <c r="CQ183" i="65" s="1"/>
  <c r="CQ184" i="65" s="1"/>
  <c r="CQ185" i="65" s="1"/>
  <c r="CQ186" i="65" s="1"/>
  <c r="CQ187" i="65" s="1"/>
  <c r="CQ188" i="65" s="1"/>
  <c r="CQ189" i="65" s="1"/>
  <c r="CQ190" i="65" s="1"/>
  <c r="CQ191" i="65" s="1"/>
  <c r="CQ192" i="65" s="1"/>
  <c r="CQ193" i="65" s="1"/>
  <c r="CQ194" i="65" s="1"/>
  <c r="CQ195" i="65" s="1"/>
  <c r="CQ196" i="65" s="1"/>
  <c r="CQ197" i="65" s="1"/>
  <c r="CQ198" i="65" s="1"/>
  <c r="CQ199" i="65" s="1"/>
  <c r="CQ200" i="65" s="1"/>
  <c r="CQ201" i="65" s="1"/>
  <c r="CQ202" i="65" s="1"/>
  <c r="CQ203" i="65" s="1"/>
  <c r="CQ204" i="65" s="1"/>
  <c r="CQ205" i="65" s="1"/>
  <c r="CQ206" i="65" s="1"/>
  <c r="CQ207" i="65" s="1"/>
  <c r="CQ208" i="65" s="1"/>
  <c r="CQ209" i="65" s="1"/>
  <c r="CQ210" i="65" s="1"/>
  <c r="CQ211" i="65" s="1"/>
  <c r="CQ212" i="65" s="1"/>
  <c r="CQ213" i="65" s="1"/>
  <c r="CQ214" i="65" s="1"/>
  <c r="CQ215" i="65" s="1"/>
  <c r="CQ216" i="65" s="1"/>
  <c r="CQ217" i="65" s="1"/>
  <c r="CQ218" i="65" s="1"/>
  <c r="CQ219" i="65" s="1"/>
  <c r="CQ220" i="65" s="1"/>
  <c r="CQ221" i="65" s="1"/>
  <c r="CQ222" i="65" s="1"/>
  <c r="CQ223" i="65" s="1"/>
  <c r="CQ224" i="65" s="1"/>
  <c r="CQ225" i="65" s="1"/>
  <c r="CQ226" i="65" s="1"/>
  <c r="CQ227" i="65" s="1"/>
  <c r="CQ228" i="65" s="1"/>
  <c r="CQ229" i="65" s="1"/>
  <c r="CQ230" i="65" s="1"/>
  <c r="CQ231" i="65" s="1"/>
  <c r="CQ232" i="65" s="1"/>
  <c r="CQ233" i="65" s="1"/>
  <c r="CQ234" i="65" s="1"/>
  <c r="CQ235" i="65" s="1"/>
  <c r="CQ236" i="65" s="1"/>
  <c r="CQ237" i="65" s="1"/>
  <c r="CQ238" i="65" s="1"/>
  <c r="CQ239" i="65" s="1"/>
  <c r="CQ240" i="65" s="1"/>
  <c r="CQ241" i="65" s="1"/>
  <c r="CQ242" i="65" s="1"/>
  <c r="CQ243" i="65" s="1"/>
  <c r="CQ244" i="65" s="1"/>
  <c r="CQ245" i="65" s="1"/>
  <c r="CQ246" i="65" s="1"/>
  <c r="CQ247" i="65" s="1"/>
  <c r="CQ248" i="65" s="1"/>
  <c r="CQ249" i="65" s="1"/>
  <c r="CQ250" i="65" s="1"/>
  <c r="CQ251" i="65" s="1"/>
  <c r="CQ252" i="65" s="1"/>
  <c r="CQ253" i="65" s="1"/>
  <c r="CQ254" i="65" s="1"/>
  <c r="CQ255" i="65" s="1"/>
  <c r="CQ256" i="65" s="1"/>
  <c r="CQ257" i="65" s="1"/>
  <c r="CQ258" i="65" s="1"/>
  <c r="CQ259" i="65" s="1"/>
  <c r="CQ260" i="65" s="1"/>
  <c r="CQ261" i="65" s="1"/>
  <c r="CQ262" i="65" s="1"/>
  <c r="DG156" i="65"/>
  <c r="DG157" i="65" s="1"/>
  <c r="DG158" i="65" s="1"/>
  <c r="DG159" i="65" s="1"/>
  <c r="DG160" i="65" s="1"/>
  <c r="DG161" i="65" s="1"/>
  <c r="DG162" i="65" s="1"/>
  <c r="DG163" i="65" s="1"/>
  <c r="DG164" i="65" s="1"/>
  <c r="DG165" i="65" s="1"/>
  <c r="DG166" i="65" s="1"/>
  <c r="DG167" i="65" s="1"/>
  <c r="DG168" i="65" s="1"/>
  <c r="DG169" i="65" s="1"/>
  <c r="DG170" i="65" s="1"/>
  <c r="DG171" i="65" s="1"/>
  <c r="DG172" i="65" s="1"/>
  <c r="DG173" i="65" s="1"/>
  <c r="DG174" i="65" s="1"/>
  <c r="DG175" i="65" s="1"/>
  <c r="DG176" i="65" s="1"/>
  <c r="DG177" i="65" s="1"/>
  <c r="DG178" i="65" s="1"/>
  <c r="DG179" i="65" s="1"/>
  <c r="DG180" i="65" s="1"/>
  <c r="DG181" i="65" s="1"/>
  <c r="DG182" i="65" s="1"/>
  <c r="DG183" i="65" s="1"/>
  <c r="DG184" i="65" s="1"/>
  <c r="DG185" i="65" s="1"/>
  <c r="DG186" i="65" s="1"/>
  <c r="DG187" i="65" s="1"/>
  <c r="DG188" i="65" s="1"/>
  <c r="DG189" i="65" s="1"/>
  <c r="DG190" i="65" s="1"/>
  <c r="DG191" i="65" s="1"/>
  <c r="DG192" i="65" s="1"/>
  <c r="DG193" i="65" s="1"/>
  <c r="DG194" i="65" s="1"/>
  <c r="DG195" i="65" s="1"/>
  <c r="DG196" i="65" s="1"/>
  <c r="DG197" i="65" s="1"/>
  <c r="DG198" i="65" s="1"/>
  <c r="DG199" i="65" s="1"/>
  <c r="DG200" i="65" s="1"/>
  <c r="DG201" i="65" s="1"/>
  <c r="DG202" i="65" s="1"/>
  <c r="DG203" i="65" s="1"/>
  <c r="DG204" i="65" s="1"/>
  <c r="DG205" i="65" s="1"/>
  <c r="DG206" i="65" s="1"/>
  <c r="DG207" i="65" s="1"/>
  <c r="DG208" i="65" s="1"/>
  <c r="DG209" i="65" s="1"/>
  <c r="DG210" i="65" s="1"/>
  <c r="DG211" i="65" s="1"/>
  <c r="DG212" i="65" s="1"/>
  <c r="DG213" i="65" s="1"/>
  <c r="DG214" i="65" s="1"/>
  <c r="DG215" i="65" s="1"/>
  <c r="DG216" i="65" s="1"/>
  <c r="DG217" i="65" s="1"/>
  <c r="DG218" i="65" s="1"/>
  <c r="DG219" i="65" s="1"/>
  <c r="DG220" i="65" s="1"/>
  <c r="DG221" i="65" s="1"/>
  <c r="DG222" i="65" s="1"/>
  <c r="DG223" i="65" s="1"/>
  <c r="DG224" i="65" s="1"/>
  <c r="DG225" i="65" s="1"/>
  <c r="DG226" i="65" s="1"/>
  <c r="DG227" i="65" s="1"/>
  <c r="DG228" i="65" s="1"/>
  <c r="DG229" i="65" s="1"/>
  <c r="DG230" i="65" s="1"/>
  <c r="DG231" i="65" s="1"/>
  <c r="DG232" i="65" s="1"/>
  <c r="DG233" i="65" s="1"/>
  <c r="DG234" i="65" s="1"/>
  <c r="DG235" i="65" s="1"/>
  <c r="DG236" i="65" s="1"/>
  <c r="DG237" i="65" s="1"/>
  <c r="DG238" i="65" s="1"/>
  <c r="DG239" i="65" s="1"/>
  <c r="DG240" i="65" s="1"/>
  <c r="DG241" i="65" s="1"/>
  <c r="DG242" i="65" s="1"/>
  <c r="DG243" i="65" s="1"/>
  <c r="DG244" i="65" s="1"/>
  <c r="DG245" i="65" s="1"/>
  <c r="DG246" i="65" s="1"/>
  <c r="DG247" i="65" s="1"/>
  <c r="DG248" i="65" s="1"/>
  <c r="DG249" i="65" s="1"/>
  <c r="DG250" i="65" s="1"/>
  <c r="DG251" i="65" s="1"/>
  <c r="DG252" i="65" s="1"/>
  <c r="DG253" i="65" s="1"/>
  <c r="DG254" i="65" s="1"/>
  <c r="DG255" i="65" s="1"/>
  <c r="DG256" i="65" s="1"/>
  <c r="DG257" i="65" s="1"/>
  <c r="DG258" i="65" s="1"/>
  <c r="DG259" i="65" s="1"/>
  <c r="DG260" i="65" s="1"/>
  <c r="DG261" i="65" s="1"/>
  <c r="DG262" i="65" s="1"/>
  <c r="J156" i="65"/>
  <c r="J157" i="65" s="1"/>
  <c r="J158" i="65" s="1"/>
  <c r="J159" i="65" s="1"/>
  <c r="J160" i="65" s="1"/>
  <c r="J161" i="65" s="1"/>
  <c r="J162" i="65" s="1"/>
  <c r="J163" i="65" s="1"/>
  <c r="J164" i="65" s="1"/>
  <c r="J165" i="65" s="1"/>
  <c r="J166" i="65" s="1"/>
  <c r="J167" i="65" s="1"/>
  <c r="J168" i="65" s="1"/>
  <c r="J169" i="65" s="1"/>
  <c r="J170" i="65" s="1"/>
  <c r="J171" i="65" s="1"/>
  <c r="J172" i="65" s="1"/>
  <c r="J173" i="65" s="1"/>
  <c r="J174" i="65" s="1"/>
  <c r="J175" i="65" s="1"/>
  <c r="J176" i="65" s="1"/>
  <c r="J177" i="65" s="1"/>
  <c r="J178" i="65" s="1"/>
  <c r="J179" i="65" s="1"/>
  <c r="J180" i="65" s="1"/>
  <c r="J181" i="65" s="1"/>
  <c r="J182" i="65" s="1"/>
  <c r="J183" i="65" s="1"/>
  <c r="J184" i="65" s="1"/>
  <c r="J185" i="65" s="1"/>
  <c r="J186" i="65" s="1"/>
  <c r="J187" i="65" s="1"/>
  <c r="J188" i="65" s="1"/>
  <c r="J189" i="65" s="1"/>
  <c r="J190" i="65" s="1"/>
  <c r="J191" i="65" s="1"/>
  <c r="J192" i="65" s="1"/>
  <c r="J193" i="65" s="1"/>
  <c r="J194" i="65" s="1"/>
  <c r="J195" i="65" s="1"/>
  <c r="J196" i="65" s="1"/>
  <c r="J197" i="65" s="1"/>
  <c r="J198" i="65" s="1"/>
  <c r="J199" i="65" s="1"/>
  <c r="J200" i="65" s="1"/>
  <c r="J201" i="65" s="1"/>
  <c r="J202" i="65" s="1"/>
  <c r="J203" i="65" s="1"/>
  <c r="J204" i="65" s="1"/>
  <c r="J205" i="65" s="1"/>
  <c r="J206" i="65" s="1"/>
  <c r="J207" i="65" s="1"/>
  <c r="J208" i="65" s="1"/>
  <c r="J209" i="65" s="1"/>
  <c r="J210" i="65" s="1"/>
  <c r="J211" i="65" s="1"/>
  <c r="J212" i="65" s="1"/>
  <c r="J213" i="65" s="1"/>
  <c r="J214" i="65" s="1"/>
  <c r="J215" i="65" s="1"/>
  <c r="J216" i="65" s="1"/>
  <c r="J217" i="65" s="1"/>
  <c r="J218" i="65" s="1"/>
  <c r="J219" i="65" s="1"/>
  <c r="J220" i="65" s="1"/>
  <c r="J221" i="65" s="1"/>
  <c r="J222" i="65" s="1"/>
  <c r="J223" i="65" s="1"/>
  <c r="J224" i="65" s="1"/>
  <c r="J225" i="65" s="1"/>
  <c r="J226" i="65" s="1"/>
  <c r="J227" i="65" s="1"/>
  <c r="J228" i="65" s="1"/>
  <c r="J229" i="65" s="1"/>
  <c r="J230" i="65" s="1"/>
  <c r="J231" i="65" s="1"/>
  <c r="J232" i="65" s="1"/>
  <c r="J233" i="65" s="1"/>
  <c r="J234" i="65" s="1"/>
  <c r="J235" i="65" s="1"/>
  <c r="J236" i="65" s="1"/>
  <c r="J237" i="65" s="1"/>
  <c r="J238" i="65" s="1"/>
  <c r="J239" i="65" s="1"/>
  <c r="J240" i="65" s="1"/>
  <c r="J241" i="65" s="1"/>
  <c r="J242" i="65" s="1"/>
  <c r="J243" i="65" s="1"/>
  <c r="J244" i="65" s="1"/>
  <c r="J245" i="65" s="1"/>
  <c r="J246" i="65" s="1"/>
  <c r="J247" i="65" s="1"/>
  <c r="J248" i="65" s="1"/>
  <c r="J249" i="65" s="1"/>
  <c r="J250" i="65" s="1"/>
  <c r="J251" i="65" s="1"/>
  <c r="J252" i="65" s="1"/>
  <c r="J253" i="65" s="1"/>
  <c r="J254" i="65" s="1"/>
  <c r="J255" i="65" s="1"/>
  <c r="J256" i="65" s="1"/>
  <c r="J257" i="65" s="1"/>
  <c r="J258" i="65" s="1"/>
  <c r="J259" i="65" s="1"/>
  <c r="J260" i="65" s="1"/>
  <c r="J261" i="65" s="1"/>
  <c r="J262" i="65" s="1"/>
  <c r="AR156" i="65"/>
  <c r="EN156" i="65" s="1"/>
  <c r="CN156" i="65"/>
  <c r="D158" i="65"/>
  <c r="D159" i="65" s="1"/>
  <c r="D160" i="65" s="1"/>
  <c r="D161" i="65" s="1"/>
  <c r="EB83" i="65"/>
  <c r="DU156" i="65"/>
  <c r="DT156" i="65"/>
  <c r="EA125" i="65"/>
  <c r="DD156" i="65"/>
  <c r="DZ132" i="65"/>
  <c r="DZ119" i="65"/>
  <c r="EG117" i="65"/>
  <c r="DY104" i="65"/>
  <c r="BX156" i="65"/>
  <c r="DY74" i="65"/>
  <c r="BY156" i="65"/>
  <c r="BY157" i="65" s="1"/>
  <c r="BY158" i="65" s="1"/>
  <c r="BY159" i="65" s="1"/>
  <c r="BY160" i="65" s="1"/>
  <c r="BY161" i="65" s="1"/>
  <c r="BY162" i="65" s="1"/>
  <c r="BY163" i="65" s="1"/>
  <c r="BY164" i="65" s="1"/>
  <c r="BY165" i="65" s="1"/>
  <c r="BY166" i="65" s="1"/>
  <c r="BY167" i="65" s="1"/>
  <c r="BY168" i="65" s="1"/>
  <c r="BY169" i="65" s="1"/>
  <c r="BY170" i="65" s="1"/>
  <c r="BY171" i="65" s="1"/>
  <c r="BY172" i="65" s="1"/>
  <c r="BY173" i="65" s="1"/>
  <c r="BY174" i="65" s="1"/>
  <c r="BY175" i="65" s="1"/>
  <c r="BY176" i="65" s="1"/>
  <c r="BY177" i="65" s="1"/>
  <c r="BY178" i="65" s="1"/>
  <c r="BY179" i="65" s="1"/>
  <c r="BY180" i="65" s="1"/>
  <c r="BY181" i="65" s="1"/>
  <c r="BY182" i="65" s="1"/>
  <c r="BY183" i="65" s="1"/>
  <c r="BY184" i="65" s="1"/>
  <c r="BY185" i="65" s="1"/>
  <c r="BY186" i="65" s="1"/>
  <c r="BY187" i="65" s="1"/>
  <c r="BY188" i="65" s="1"/>
  <c r="BY189" i="65" s="1"/>
  <c r="BY190" i="65" s="1"/>
  <c r="BY191" i="65" s="1"/>
  <c r="BY192" i="65" s="1"/>
  <c r="BY193" i="65" s="1"/>
  <c r="BY194" i="65" s="1"/>
  <c r="BY195" i="65" s="1"/>
  <c r="BY196" i="65" s="1"/>
  <c r="BY197" i="65" s="1"/>
  <c r="BY198" i="65" s="1"/>
  <c r="BY199" i="65" s="1"/>
  <c r="BY200" i="65" s="1"/>
  <c r="BY201" i="65" s="1"/>
  <c r="BY202" i="65" s="1"/>
  <c r="BY203" i="65" s="1"/>
  <c r="BY204" i="65" s="1"/>
  <c r="BY205" i="65" s="1"/>
  <c r="BY206" i="65" s="1"/>
  <c r="BY207" i="65" s="1"/>
  <c r="BY208" i="65" s="1"/>
  <c r="BY209" i="65" s="1"/>
  <c r="BY210" i="65" s="1"/>
  <c r="BY211" i="65" s="1"/>
  <c r="BY212" i="65" s="1"/>
  <c r="BY213" i="65" s="1"/>
  <c r="BY214" i="65" s="1"/>
  <c r="BY215" i="65" s="1"/>
  <c r="BY216" i="65" s="1"/>
  <c r="BY217" i="65" s="1"/>
  <c r="BY218" i="65" s="1"/>
  <c r="BY219" i="65" s="1"/>
  <c r="BY220" i="65" s="1"/>
  <c r="BY221" i="65" s="1"/>
  <c r="BY222" i="65" s="1"/>
  <c r="BY223" i="65" s="1"/>
  <c r="BY224" i="65" s="1"/>
  <c r="BY225" i="65" s="1"/>
  <c r="BY226" i="65" s="1"/>
  <c r="BY227" i="65" s="1"/>
  <c r="BY228" i="65" s="1"/>
  <c r="BY229" i="65" s="1"/>
  <c r="BY230" i="65" s="1"/>
  <c r="BY231" i="65" s="1"/>
  <c r="BY232" i="65" s="1"/>
  <c r="BY233" i="65" s="1"/>
  <c r="BY234" i="65" s="1"/>
  <c r="BY235" i="65" s="1"/>
  <c r="BY236" i="65" s="1"/>
  <c r="BY237" i="65" s="1"/>
  <c r="BY238" i="65" s="1"/>
  <c r="BY239" i="65" s="1"/>
  <c r="BY240" i="65" s="1"/>
  <c r="BY241" i="65" s="1"/>
  <c r="BY242" i="65" s="1"/>
  <c r="BY243" i="65" s="1"/>
  <c r="BY244" i="65" s="1"/>
  <c r="BY245" i="65" s="1"/>
  <c r="BY246" i="65" s="1"/>
  <c r="BY247" i="65" s="1"/>
  <c r="BY248" i="65" s="1"/>
  <c r="BY249" i="65" s="1"/>
  <c r="BY250" i="65" s="1"/>
  <c r="BY251" i="65" s="1"/>
  <c r="BY252" i="65" s="1"/>
  <c r="BY253" i="65" s="1"/>
  <c r="BY254" i="65" s="1"/>
  <c r="BY255" i="65" s="1"/>
  <c r="BY256" i="65" s="1"/>
  <c r="BY257" i="65" s="1"/>
  <c r="BY258" i="65" s="1"/>
  <c r="BY259" i="65" s="1"/>
  <c r="BY260" i="65" s="1"/>
  <c r="BY261" i="65" s="1"/>
  <c r="BY262" i="65" s="1"/>
  <c r="EG132" i="65"/>
  <c r="EC61" i="65"/>
  <c r="EE105" i="65"/>
  <c r="EA112" i="65"/>
  <c r="EG124" i="65"/>
  <c r="EE91" i="65"/>
  <c r="EF134" i="65"/>
  <c r="EB99" i="65"/>
  <c r="BI156" i="65"/>
  <c r="EB112" i="65"/>
  <c r="DZ116" i="65"/>
  <c r="EA133" i="65"/>
  <c r="BH156" i="65"/>
  <c r="EF92" i="65"/>
  <c r="EB107" i="65"/>
  <c r="DZ115" i="65"/>
  <c r="EA117" i="65"/>
  <c r="EE71" i="65"/>
  <c r="EB118" i="65"/>
  <c r="DY101" i="65"/>
  <c r="EB88" i="65"/>
  <c r="EA126" i="65"/>
  <c r="EQ44" i="65"/>
  <c r="EE116" i="65"/>
  <c r="ED122" i="65"/>
  <c r="EG127" i="65"/>
  <c r="ED129" i="65"/>
  <c r="EB133" i="65"/>
  <c r="EA137" i="65"/>
  <c r="EF116" i="65"/>
  <c r="DX121" i="65"/>
  <c r="EG116" i="65"/>
  <c r="DY132" i="65"/>
  <c r="EA132" i="65"/>
  <c r="EC89" i="65"/>
  <c r="EC128" i="65"/>
  <c r="EC115" i="65"/>
  <c r="AB156" i="65"/>
  <c r="EF113" i="65"/>
  <c r="EF126" i="65"/>
  <c r="EE130" i="65"/>
  <c r="DZ112" i="65"/>
  <c r="EG113" i="65"/>
  <c r="DZ125" i="65"/>
  <c r="EF130" i="65"/>
  <c r="AE156" i="65"/>
  <c r="AE157" i="65" s="1"/>
  <c r="AE158" i="65" s="1"/>
  <c r="AE159" i="65" s="1"/>
  <c r="AE160" i="65" s="1"/>
  <c r="AE161" i="65" s="1"/>
  <c r="AE162" i="65" s="1"/>
  <c r="AE163" i="65" s="1"/>
  <c r="AE164" i="65" s="1"/>
  <c r="AE165" i="65" s="1"/>
  <c r="AE166" i="65" s="1"/>
  <c r="AE167" i="65" s="1"/>
  <c r="AE168" i="65" s="1"/>
  <c r="AE169" i="65" s="1"/>
  <c r="AE170" i="65" s="1"/>
  <c r="AE171" i="65" s="1"/>
  <c r="AE172" i="65" s="1"/>
  <c r="AE173" i="65" s="1"/>
  <c r="AE174" i="65" s="1"/>
  <c r="AE175" i="65" s="1"/>
  <c r="AE176" i="65" s="1"/>
  <c r="AE177" i="65" s="1"/>
  <c r="AE178" i="65" s="1"/>
  <c r="AE179" i="65" s="1"/>
  <c r="AE180" i="65" s="1"/>
  <c r="AE181" i="65" s="1"/>
  <c r="AE182" i="65" s="1"/>
  <c r="AE183" i="65" s="1"/>
  <c r="AE184" i="65" s="1"/>
  <c r="AE185" i="65" s="1"/>
  <c r="AE186" i="65" s="1"/>
  <c r="AE187" i="65" s="1"/>
  <c r="AE188" i="65" s="1"/>
  <c r="AE189" i="65" s="1"/>
  <c r="AE190" i="65" s="1"/>
  <c r="AE191" i="65" s="1"/>
  <c r="AE192" i="65" s="1"/>
  <c r="AE193" i="65" s="1"/>
  <c r="AE194" i="65" s="1"/>
  <c r="AE195" i="65" s="1"/>
  <c r="AE196" i="65" s="1"/>
  <c r="AE197" i="65" s="1"/>
  <c r="AE198" i="65" s="1"/>
  <c r="AE199" i="65" s="1"/>
  <c r="AE200" i="65" s="1"/>
  <c r="AE201" i="65" s="1"/>
  <c r="AE202" i="65" s="1"/>
  <c r="AE203" i="65" s="1"/>
  <c r="AE204" i="65" s="1"/>
  <c r="AE205" i="65" s="1"/>
  <c r="AE206" i="65" s="1"/>
  <c r="AE207" i="65" s="1"/>
  <c r="AE208" i="65" s="1"/>
  <c r="AE209" i="65" s="1"/>
  <c r="AE210" i="65" s="1"/>
  <c r="AE211" i="65" s="1"/>
  <c r="AE212" i="65" s="1"/>
  <c r="AE213" i="65" s="1"/>
  <c r="AE214" i="65" s="1"/>
  <c r="AE215" i="65" s="1"/>
  <c r="AE216" i="65" s="1"/>
  <c r="AE217" i="65" s="1"/>
  <c r="AE218" i="65" s="1"/>
  <c r="AE219" i="65" s="1"/>
  <c r="AE220" i="65" s="1"/>
  <c r="AE221" i="65" s="1"/>
  <c r="AE222" i="65" s="1"/>
  <c r="AE223" i="65" s="1"/>
  <c r="AE224" i="65" s="1"/>
  <c r="AE225" i="65" s="1"/>
  <c r="AE226" i="65" s="1"/>
  <c r="AE227" i="65" s="1"/>
  <c r="AE228" i="65" s="1"/>
  <c r="AE229" i="65" s="1"/>
  <c r="AE230" i="65" s="1"/>
  <c r="AE231" i="65" s="1"/>
  <c r="AE232" i="65" s="1"/>
  <c r="AE233" i="65" s="1"/>
  <c r="AE234" i="65" s="1"/>
  <c r="AE235" i="65" s="1"/>
  <c r="AE236" i="65" s="1"/>
  <c r="AE237" i="65" s="1"/>
  <c r="AE238" i="65" s="1"/>
  <c r="AE239" i="65" s="1"/>
  <c r="AE240" i="65" s="1"/>
  <c r="AE241" i="65" s="1"/>
  <c r="AE242" i="65" s="1"/>
  <c r="AE243" i="65" s="1"/>
  <c r="AE244" i="65" s="1"/>
  <c r="AE245" i="65" s="1"/>
  <c r="AE246" i="65" s="1"/>
  <c r="AE247" i="65" s="1"/>
  <c r="AE248" i="65" s="1"/>
  <c r="AE249" i="65" s="1"/>
  <c r="AE250" i="65" s="1"/>
  <c r="AE251" i="65" s="1"/>
  <c r="AE252" i="65" s="1"/>
  <c r="AE253" i="65" s="1"/>
  <c r="AE254" i="65" s="1"/>
  <c r="AE255" i="65" s="1"/>
  <c r="AE256" i="65" s="1"/>
  <c r="AE257" i="65" s="1"/>
  <c r="AE258" i="65" s="1"/>
  <c r="AE259" i="65" s="1"/>
  <c r="AE260" i="65" s="1"/>
  <c r="AE261" i="65" s="1"/>
  <c r="AE262" i="65" s="1"/>
  <c r="EF138" i="65"/>
  <c r="EB109" i="65"/>
  <c r="EC109" i="65"/>
  <c r="ED116" i="65"/>
  <c r="DZ137" i="65"/>
  <c r="DX114" i="65"/>
  <c r="DX85" i="65"/>
  <c r="EB127" i="65"/>
  <c r="ED90" i="65"/>
  <c r="EC119" i="65"/>
  <c r="Z156" i="65"/>
  <c r="EF131" i="65"/>
  <c r="M156" i="65"/>
  <c r="M157" i="65" s="1"/>
  <c r="M158" i="65" s="1"/>
  <c r="M159" i="65" s="1"/>
  <c r="M160" i="65" s="1"/>
  <c r="M161" i="65" s="1"/>
  <c r="M162" i="65" s="1"/>
  <c r="M163" i="65" s="1"/>
  <c r="M164" i="65" s="1"/>
  <c r="M165" i="65" s="1"/>
  <c r="M166" i="65" s="1"/>
  <c r="M167" i="65" s="1"/>
  <c r="M168" i="65" s="1"/>
  <c r="M169" i="65" s="1"/>
  <c r="M170" i="65" s="1"/>
  <c r="M171" i="65" s="1"/>
  <c r="M172" i="65" s="1"/>
  <c r="M173" i="65" s="1"/>
  <c r="M174" i="65" s="1"/>
  <c r="M175" i="65" s="1"/>
  <c r="M176" i="65" s="1"/>
  <c r="M177" i="65" s="1"/>
  <c r="M178" i="65" s="1"/>
  <c r="M179" i="65" s="1"/>
  <c r="M180" i="65" s="1"/>
  <c r="M181" i="65" s="1"/>
  <c r="M182" i="65" s="1"/>
  <c r="M183" i="65" s="1"/>
  <c r="M184" i="65" s="1"/>
  <c r="M185" i="65" s="1"/>
  <c r="M186" i="65" s="1"/>
  <c r="M187" i="65" s="1"/>
  <c r="M188" i="65" s="1"/>
  <c r="M189" i="65" s="1"/>
  <c r="M190" i="65" s="1"/>
  <c r="M191" i="65" s="1"/>
  <c r="M192" i="65" s="1"/>
  <c r="M193" i="65" s="1"/>
  <c r="M194" i="65" s="1"/>
  <c r="M195" i="65" s="1"/>
  <c r="M196" i="65" s="1"/>
  <c r="M197" i="65" s="1"/>
  <c r="M198" i="65" s="1"/>
  <c r="M199" i="65" s="1"/>
  <c r="M200" i="65" s="1"/>
  <c r="M201" i="65" s="1"/>
  <c r="M202" i="65" s="1"/>
  <c r="M203" i="65" s="1"/>
  <c r="M204" i="65" s="1"/>
  <c r="M205" i="65" s="1"/>
  <c r="M206" i="65" s="1"/>
  <c r="M207" i="65" s="1"/>
  <c r="M208" i="65" s="1"/>
  <c r="M209" i="65" s="1"/>
  <c r="M210" i="65" s="1"/>
  <c r="M211" i="65" s="1"/>
  <c r="M212" i="65" s="1"/>
  <c r="M213" i="65" s="1"/>
  <c r="M214" i="65" s="1"/>
  <c r="M215" i="65" s="1"/>
  <c r="M216" i="65" s="1"/>
  <c r="M217" i="65" s="1"/>
  <c r="M218" i="65" s="1"/>
  <c r="M219" i="65" s="1"/>
  <c r="M220" i="65" s="1"/>
  <c r="M221" i="65" s="1"/>
  <c r="M222" i="65" s="1"/>
  <c r="M223" i="65" s="1"/>
  <c r="M224" i="65" s="1"/>
  <c r="M225" i="65" s="1"/>
  <c r="M226" i="65" s="1"/>
  <c r="M227" i="65" s="1"/>
  <c r="M228" i="65" s="1"/>
  <c r="M229" i="65" s="1"/>
  <c r="M230" i="65" s="1"/>
  <c r="M231" i="65" s="1"/>
  <c r="M232" i="65" s="1"/>
  <c r="M233" i="65" s="1"/>
  <c r="M234" i="65" s="1"/>
  <c r="M235" i="65" s="1"/>
  <c r="M236" i="65" s="1"/>
  <c r="M237" i="65" s="1"/>
  <c r="M238" i="65" s="1"/>
  <c r="M239" i="65" s="1"/>
  <c r="M240" i="65" s="1"/>
  <c r="M241" i="65" s="1"/>
  <c r="M242" i="65" s="1"/>
  <c r="M243" i="65" s="1"/>
  <c r="M244" i="65" s="1"/>
  <c r="M245" i="65" s="1"/>
  <c r="M246" i="65" s="1"/>
  <c r="M247" i="65" s="1"/>
  <c r="M248" i="65" s="1"/>
  <c r="M249" i="65" s="1"/>
  <c r="M250" i="65" s="1"/>
  <c r="M251" i="65" s="1"/>
  <c r="M252" i="65" s="1"/>
  <c r="M253" i="65" s="1"/>
  <c r="M254" i="65" s="1"/>
  <c r="M255" i="65" s="1"/>
  <c r="M256" i="65" s="1"/>
  <c r="M257" i="65" s="1"/>
  <c r="M258" i="65" s="1"/>
  <c r="M259" i="65" s="1"/>
  <c r="M260" i="65" s="1"/>
  <c r="M261" i="65" s="1"/>
  <c r="M262" i="65" s="1"/>
  <c r="DX100" i="65"/>
  <c r="DZ53" i="65"/>
  <c r="DY115" i="65"/>
  <c r="EA101" i="65"/>
  <c r="L156" i="65"/>
  <c r="D162" i="65"/>
  <c r="D163" i="65" s="1"/>
  <c r="D164" i="65" s="1"/>
  <c r="D165" i="65" s="1"/>
  <c r="D166" i="65" s="1"/>
  <c r="D167" i="65" s="1"/>
  <c r="D168" i="65" s="1"/>
  <c r="D169" i="65" s="1"/>
  <c r="D170" i="65" s="1"/>
  <c r="D171" i="65" s="1"/>
  <c r="D172" i="65" s="1"/>
  <c r="D173" i="65" s="1"/>
  <c r="D174" i="65" s="1"/>
  <c r="D175" i="65" s="1"/>
  <c r="D176" i="65" s="1"/>
  <c r="D177" i="65" s="1"/>
  <c r="D178" i="65" s="1"/>
  <c r="D179" i="65" s="1"/>
  <c r="D180" i="65" s="1"/>
  <c r="D181" i="65" s="1"/>
  <c r="D182" i="65" s="1"/>
  <c r="D183" i="65" s="1"/>
  <c r="D184" i="65" s="1"/>
  <c r="D185" i="65" s="1"/>
  <c r="D186" i="65" s="1"/>
  <c r="D187" i="65" s="1"/>
  <c r="D188" i="65" s="1"/>
  <c r="D189" i="65" s="1"/>
  <c r="D190" i="65" s="1"/>
  <c r="D191" i="65" s="1"/>
  <c r="D192" i="65" s="1"/>
  <c r="D193" i="65" s="1"/>
  <c r="D194" i="65" s="1"/>
  <c r="D195" i="65" s="1"/>
  <c r="D196" i="65" s="1"/>
  <c r="D197" i="65" s="1"/>
  <c r="D198" i="65" s="1"/>
  <c r="D199" i="65" s="1"/>
  <c r="D200" i="65" s="1"/>
  <c r="D201" i="65" s="1"/>
  <c r="D202" i="65" s="1"/>
  <c r="D203" i="65" s="1"/>
  <c r="D204" i="65" s="1"/>
  <c r="D205" i="65" s="1"/>
  <c r="D206" i="65" s="1"/>
  <c r="D207" i="65" s="1"/>
  <c r="D208" i="65" s="1"/>
  <c r="D209" i="65" s="1"/>
  <c r="D210" i="65" s="1"/>
  <c r="D211" i="65" s="1"/>
  <c r="D212" i="65" s="1"/>
  <c r="D213" i="65" s="1"/>
  <c r="D214" i="65" s="1"/>
  <c r="D215" i="65" s="1"/>
  <c r="D216" i="65" s="1"/>
  <c r="D217" i="65" s="1"/>
  <c r="D218" i="65" s="1"/>
  <c r="D219" i="65" s="1"/>
  <c r="D220" i="65" s="1"/>
  <c r="D221" i="65" s="1"/>
  <c r="D222" i="65" s="1"/>
  <c r="D223" i="65" s="1"/>
  <c r="D224" i="65" s="1"/>
  <c r="D225" i="65" s="1"/>
  <c r="D226" i="65" s="1"/>
  <c r="D227" i="65" s="1"/>
  <c r="D228" i="65" s="1"/>
  <c r="D229" i="65" s="1"/>
  <c r="D230" i="65" s="1"/>
  <c r="D231" i="65" s="1"/>
  <c r="D232" i="65" s="1"/>
  <c r="D233" i="65" s="1"/>
  <c r="D234" i="65" s="1"/>
  <c r="D235" i="65" s="1"/>
  <c r="D236" i="65" s="1"/>
  <c r="D237" i="65" s="1"/>
  <c r="D238" i="65" s="1"/>
  <c r="D239" i="65" s="1"/>
  <c r="D240" i="65" s="1"/>
  <c r="D241" i="65" s="1"/>
  <c r="D242" i="65" s="1"/>
  <c r="D243" i="65" s="1"/>
  <c r="D244" i="65" s="1"/>
  <c r="D245" i="65" s="1"/>
  <c r="D246" i="65" s="1"/>
  <c r="D247" i="65" s="1"/>
  <c r="D248" i="65" s="1"/>
  <c r="D249" i="65" s="1"/>
  <c r="D250" i="65" s="1"/>
  <c r="D251" i="65" s="1"/>
  <c r="D252" i="65" s="1"/>
  <c r="D253" i="65" s="1"/>
  <c r="D254" i="65" s="1"/>
  <c r="D255" i="65" s="1"/>
  <c r="D256" i="65" s="1"/>
  <c r="D257" i="65" s="1"/>
  <c r="D258" i="65" s="1"/>
  <c r="D259" i="65" s="1"/>
  <c r="D260" i="65" s="1"/>
  <c r="D261" i="65" s="1"/>
  <c r="D262" i="65" s="1"/>
  <c r="DW14" i="65"/>
  <c r="DX47" i="65"/>
  <c r="DW15" i="65"/>
  <c r="DW31" i="65"/>
  <c r="DZ50" i="65"/>
  <c r="ED78" i="65"/>
  <c r="DY84" i="65"/>
  <c r="DZ94" i="65"/>
  <c r="EF95" i="65"/>
  <c r="DY110" i="65"/>
  <c r="EC111" i="65"/>
  <c r="DX113" i="65"/>
  <c r="ED114" i="65"/>
  <c r="EC118" i="65"/>
  <c r="DX135" i="65"/>
  <c r="EE78" i="65"/>
  <c r="DZ110" i="65"/>
  <c r="ED111" i="65"/>
  <c r="EE114" i="65"/>
  <c r="EE121" i="65"/>
  <c r="DX123" i="65"/>
  <c r="DY135" i="65"/>
  <c r="EC136" i="65"/>
  <c r="DX57" i="65"/>
  <c r="EA60" i="65"/>
  <c r="EA84" i="65"/>
  <c r="EA110" i="65"/>
  <c r="EE111" i="65"/>
  <c r="EF114" i="65"/>
  <c r="EB117" i="65"/>
  <c r="DX120" i="65"/>
  <c r="EF121" i="65"/>
  <c r="DX130" i="65"/>
  <c r="ED136" i="65"/>
  <c r="EG78" i="65"/>
  <c r="EE82" i="65"/>
  <c r="EC94" i="65"/>
  <c r="EB100" i="65"/>
  <c r="EB103" i="65"/>
  <c r="DX109" i="65"/>
  <c r="EB110" i="65"/>
  <c r="EA113" i="65"/>
  <c r="EG114" i="65"/>
  <c r="DY120" i="65"/>
  <c r="DY130" i="65"/>
  <c r="DX134" i="65"/>
  <c r="EA135" i="65"/>
  <c r="EE136" i="65"/>
  <c r="EC49" i="65"/>
  <c r="DY57" i="65"/>
  <c r="DW11" i="65"/>
  <c r="DW27" i="65"/>
  <c r="EF49" i="65"/>
  <c r="EF80" i="65"/>
  <c r="DY93" i="65"/>
  <c r="DY96" i="65"/>
  <c r="EC110" i="65"/>
  <c r="EB113" i="65"/>
  <c r="EA116" i="65"/>
  <c r="EG118" i="65"/>
  <c r="DZ120" i="65"/>
  <c r="EB135" i="65"/>
  <c r="EA138" i="65"/>
  <c r="ED49" i="65"/>
  <c r="EF45" i="65"/>
  <c r="DY70" i="65"/>
  <c r="EB77" i="65"/>
  <c r="EF91" i="65"/>
  <c r="DX105" i="65"/>
  <c r="ED110" i="65"/>
  <c r="EC113" i="65"/>
  <c r="EE117" i="65"/>
  <c r="DY121" i="65"/>
  <c r="EC127" i="65"/>
  <c r="EC135" i="65"/>
  <c r="EB138" i="65"/>
  <c r="EC51" i="65"/>
  <c r="DY48" i="65"/>
  <c r="EE55" i="65"/>
  <c r="DX56" i="65"/>
  <c r="ED62" i="65"/>
  <c r="DZ70" i="65"/>
  <c r="EE75" i="65"/>
  <c r="EB79" i="65"/>
  <c r="EG93" i="65"/>
  <c r="DX102" i="65"/>
  <c r="EB102" i="65"/>
  <c r="ED104" i="65"/>
  <c r="EA109" i="65"/>
  <c r="ED113" i="65"/>
  <c r="EF117" i="65"/>
  <c r="EB120" i="65"/>
  <c r="EA134" i="65"/>
  <c r="ED135" i="65"/>
  <c r="EE113" i="65"/>
  <c r="DX129" i="65"/>
  <c r="EB134" i="65"/>
  <c r="DZ122" i="65"/>
  <c r="DZ133" i="65"/>
  <c r="EC134" i="65"/>
  <c r="EE138" i="65"/>
  <c r="EF81" i="65"/>
  <c r="DZ108" i="65"/>
  <c r="M35" i="51"/>
  <c r="EF57" i="65"/>
  <c r="EA67" i="65"/>
  <c r="DX87" i="65"/>
  <c r="EG138" i="65"/>
  <c r="EE70" i="65"/>
  <c r="EG82" i="65"/>
  <c r="DZ100" i="65"/>
  <c r="EB108" i="65"/>
  <c r="EF109" i="65"/>
  <c r="EC112" i="65"/>
  <c r="DY114" i="65"/>
  <c r="ED115" i="65"/>
  <c r="EB137" i="65"/>
  <c r="DX80" i="65"/>
  <c r="ED80" i="65"/>
  <c r="DZ87" i="65"/>
  <c r="EE99" i="65"/>
  <c r="EF104" i="65"/>
  <c r="DY111" i="65"/>
  <c r="ED112" i="65"/>
  <c r="EE115" i="65"/>
  <c r="DY118" i="65"/>
  <c r="DZ47" i="65"/>
  <c r="EG52" i="65"/>
  <c r="EE52" i="65"/>
  <c r="EF59" i="65"/>
  <c r="ED74" i="65"/>
  <c r="DZ98" i="65"/>
  <c r="EE102" i="65"/>
  <c r="EG104" i="65"/>
  <c r="DZ111" i="65"/>
  <c r="EE112" i="65"/>
  <c r="EF115" i="65"/>
  <c r="ED119" i="65"/>
  <c r="EG126" i="65"/>
  <c r="DX131" i="65"/>
  <c r="DY136" i="65"/>
  <c r="ED137" i="65"/>
  <c r="EA53" i="65"/>
  <c r="DW17" i="65"/>
  <c r="DW33" i="65"/>
  <c r="AI156" i="65"/>
  <c r="AI157" i="65" s="1"/>
  <c r="AI158" i="65" s="1"/>
  <c r="AI159" i="65" s="1"/>
  <c r="AI160" i="65" s="1"/>
  <c r="AI161" i="65" s="1"/>
  <c r="AI162" i="65" s="1"/>
  <c r="AI163" i="65" s="1"/>
  <c r="AI164" i="65" s="1"/>
  <c r="AI165" i="65" s="1"/>
  <c r="AI166" i="65" s="1"/>
  <c r="AI167" i="65" s="1"/>
  <c r="AI168" i="65" s="1"/>
  <c r="AI169" i="65" s="1"/>
  <c r="AI170" i="65" s="1"/>
  <c r="AI171" i="65" s="1"/>
  <c r="AI172" i="65" s="1"/>
  <c r="AI173" i="65" s="1"/>
  <c r="AI174" i="65" s="1"/>
  <c r="AI175" i="65" s="1"/>
  <c r="AI176" i="65" s="1"/>
  <c r="AI177" i="65" s="1"/>
  <c r="AI178" i="65" s="1"/>
  <c r="AI179" i="65" s="1"/>
  <c r="AI180" i="65" s="1"/>
  <c r="AI181" i="65" s="1"/>
  <c r="AI182" i="65" s="1"/>
  <c r="AI183" i="65" s="1"/>
  <c r="AI184" i="65" s="1"/>
  <c r="AI185" i="65" s="1"/>
  <c r="AI186" i="65" s="1"/>
  <c r="AI187" i="65" s="1"/>
  <c r="AI188" i="65" s="1"/>
  <c r="AI189" i="65" s="1"/>
  <c r="AI190" i="65" s="1"/>
  <c r="AI191" i="65" s="1"/>
  <c r="AI192" i="65" s="1"/>
  <c r="AI193" i="65" s="1"/>
  <c r="AI194" i="65" s="1"/>
  <c r="AI195" i="65" s="1"/>
  <c r="AI196" i="65" s="1"/>
  <c r="AI197" i="65" s="1"/>
  <c r="AI198" i="65" s="1"/>
  <c r="AI199" i="65" s="1"/>
  <c r="AI200" i="65" s="1"/>
  <c r="AI201" i="65" s="1"/>
  <c r="AI202" i="65" s="1"/>
  <c r="AI203" i="65" s="1"/>
  <c r="AI204" i="65" s="1"/>
  <c r="AI205" i="65" s="1"/>
  <c r="AI206" i="65" s="1"/>
  <c r="AI207" i="65" s="1"/>
  <c r="AI208" i="65" s="1"/>
  <c r="AI209" i="65" s="1"/>
  <c r="AI210" i="65" s="1"/>
  <c r="AI211" i="65" s="1"/>
  <c r="AI212" i="65" s="1"/>
  <c r="AI213" i="65" s="1"/>
  <c r="AI214" i="65" s="1"/>
  <c r="AI215" i="65" s="1"/>
  <c r="AI216" i="65" s="1"/>
  <c r="AI217" i="65" s="1"/>
  <c r="AI218" i="65" s="1"/>
  <c r="AI219" i="65" s="1"/>
  <c r="AI220" i="65" s="1"/>
  <c r="AI221" i="65" s="1"/>
  <c r="AI222" i="65" s="1"/>
  <c r="AI223" i="65" s="1"/>
  <c r="AI224" i="65" s="1"/>
  <c r="AI225" i="65" s="1"/>
  <c r="AI226" i="65" s="1"/>
  <c r="AI227" i="65" s="1"/>
  <c r="AI228" i="65" s="1"/>
  <c r="AI229" i="65" s="1"/>
  <c r="AI230" i="65" s="1"/>
  <c r="AI231" i="65" s="1"/>
  <c r="AI232" i="65" s="1"/>
  <c r="AI233" i="65" s="1"/>
  <c r="AI234" i="65" s="1"/>
  <c r="AI235" i="65" s="1"/>
  <c r="AI236" i="65" s="1"/>
  <c r="AI237" i="65" s="1"/>
  <c r="AI238" i="65" s="1"/>
  <c r="AI239" i="65" s="1"/>
  <c r="AI240" i="65" s="1"/>
  <c r="AI241" i="65" s="1"/>
  <c r="AI242" i="65" s="1"/>
  <c r="AI243" i="65" s="1"/>
  <c r="AI244" i="65" s="1"/>
  <c r="AI245" i="65" s="1"/>
  <c r="AI246" i="65" s="1"/>
  <c r="AI247" i="65" s="1"/>
  <c r="AI248" i="65" s="1"/>
  <c r="AI249" i="65" s="1"/>
  <c r="AI250" i="65" s="1"/>
  <c r="AI251" i="65" s="1"/>
  <c r="AY156" i="65"/>
  <c r="BO156" i="65"/>
  <c r="CE156" i="65"/>
  <c r="CU156" i="65"/>
  <c r="DK156" i="65"/>
  <c r="DK157" i="65" s="1"/>
  <c r="DK158" i="65" s="1"/>
  <c r="DK159" i="65" s="1"/>
  <c r="DK160" i="65" s="1"/>
  <c r="DK161" i="65" s="1"/>
  <c r="DK162" i="65" s="1"/>
  <c r="DK163" i="65" s="1"/>
  <c r="DK164" i="65" s="1"/>
  <c r="DK165" i="65" s="1"/>
  <c r="DK166" i="65" s="1"/>
  <c r="DK167" i="65" s="1"/>
  <c r="DK168" i="65" s="1"/>
  <c r="DK169" i="65" s="1"/>
  <c r="DK170" i="65" s="1"/>
  <c r="DK171" i="65" s="1"/>
  <c r="DK172" i="65" s="1"/>
  <c r="DK173" i="65" s="1"/>
  <c r="DK174" i="65" s="1"/>
  <c r="DK175" i="65" s="1"/>
  <c r="DK176" i="65" s="1"/>
  <c r="DK177" i="65" s="1"/>
  <c r="DK178" i="65" s="1"/>
  <c r="DK179" i="65" s="1"/>
  <c r="DK180" i="65" s="1"/>
  <c r="DK181" i="65" s="1"/>
  <c r="DK182" i="65" s="1"/>
  <c r="DK183" i="65" s="1"/>
  <c r="DK184" i="65" s="1"/>
  <c r="DK185" i="65" s="1"/>
  <c r="DK186" i="65" s="1"/>
  <c r="DK187" i="65" s="1"/>
  <c r="DK188" i="65" s="1"/>
  <c r="DK189" i="65" s="1"/>
  <c r="DK190" i="65" s="1"/>
  <c r="DK191" i="65" s="1"/>
  <c r="DK192" i="65" s="1"/>
  <c r="DK193" i="65" s="1"/>
  <c r="DK194" i="65" s="1"/>
  <c r="DK195" i="65" s="1"/>
  <c r="DK196" i="65" s="1"/>
  <c r="DK197" i="65" s="1"/>
  <c r="DK198" i="65" s="1"/>
  <c r="DK199" i="65" s="1"/>
  <c r="DK200" i="65" s="1"/>
  <c r="DK201" i="65" s="1"/>
  <c r="DK202" i="65" s="1"/>
  <c r="DK203" i="65" s="1"/>
  <c r="DK204" i="65" s="1"/>
  <c r="DK205" i="65" s="1"/>
  <c r="DK206" i="65" s="1"/>
  <c r="DK207" i="65" s="1"/>
  <c r="DK208" i="65" s="1"/>
  <c r="DK209" i="65" s="1"/>
  <c r="DK210" i="65" s="1"/>
  <c r="DK211" i="65" s="1"/>
  <c r="DK212" i="65" s="1"/>
  <c r="DK213" i="65" s="1"/>
  <c r="DK214" i="65" s="1"/>
  <c r="DK215" i="65" s="1"/>
  <c r="DK216" i="65" s="1"/>
  <c r="DK217" i="65" s="1"/>
  <c r="DK218" i="65" s="1"/>
  <c r="DK219" i="65" s="1"/>
  <c r="DK220" i="65" s="1"/>
  <c r="DK221" i="65" s="1"/>
  <c r="DK222" i="65" s="1"/>
  <c r="DK223" i="65" s="1"/>
  <c r="DK224" i="65" s="1"/>
  <c r="DK225" i="65" s="1"/>
  <c r="DK226" i="65" s="1"/>
  <c r="DK227" i="65" s="1"/>
  <c r="DK228" i="65" s="1"/>
  <c r="DK229" i="65" s="1"/>
  <c r="DK230" i="65" s="1"/>
  <c r="DK231" i="65" s="1"/>
  <c r="DK232" i="65" s="1"/>
  <c r="DK233" i="65" s="1"/>
  <c r="DK234" i="65" s="1"/>
  <c r="DK235" i="65" s="1"/>
  <c r="DK236" i="65" s="1"/>
  <c r="DK237" i="65" s="1"/>
  <c r="DK238" i="65" s="1"/>
  <c r="DK239" i="65" s="1"/>
  <c r="DK240" i="65" s="1"/>
  <c r="DK241" i="65" s="1"/>
  <c r="DK242" i="65" s="1"/>
  <c r="DK243" i="65" s="1"/>
  <c r="DK244" i="65" s="1"/>
  <c r="DK245" i="65" s="1"/>
  <c r="DK246" i="65" s="1"/>
  <c r="DK247" i="65" s="1"/>
  <c r="DK248" i="65" s="1"/>
  <c r="DK249" i="65" s="1"/>
  <c r="DK250" i="65" s="1"/>
  <c r="DK251" i="65" s="1"/>
  <c r="DK252" i="65" s="1"/>
  <c r="DK253" i="65" s="1"/>
  <c r="DK254" i="65" s="1"/>
  <c r="DK255" i="65" s="1"/>
  <c r="DK256" i="65" s="1"/>
  <c r="DK257" i="65" s="1"/>
  <c r="DK258" i="65" s="1"/>
  <c r="DK259" i="65" s="1"/>
  <c r="DK260" i="65" s="1"/>
  <c r="DK261" i="65" s="1"/>
  <c r="DK262" i="65" s="1"/>
  <c r="EG46" i="65"/>
  <c r="DZ51" i="65"/>
  <c r="DZ66" i="65"/>
  <c r="ED85" i="65"/>
  <c r="ED95" i="65"/>
  <c r="EA98" i="65"/>
  <c r="EA107" i="65"/>
  <c r="EA111" i="65"/>
  <c r="EF112" i="65"/>
  <c r="EB114" i="65"/>
  <c r="EG115" i="65"/>
  <c r="DX117" i="65"/>
  <c r="ED125" i="65"/>
  <c r="EE129" i="65"/>
  <c r="DY131" i="65"/>
  <c r="DZ136" i="65"/>
  <c r="EE137" i="65"/>
  <c r="DW12" i="65"/>
  <c r="S156" i="65"/>
  <c r="S157" i="65" s="1"/>
  <c r="S158" i="65" s="1"/>
  <c r="S159" i="65" s="1"/>
  <c r="S160" i="65" s="1"/>
  <c r="AC157" i="65"/>
  <c r="AC158" i="65" s="1"/>
  <c r="AC159" i="65" s="1"/>
  <c r="AC160" i="65" s="1"/>
  <c r="AC161" i="65" s="1"/>
  <c r="AC162" i="65" s="1"/>
  <c r="AC163" i="65" s="1"/>
  <c r="AC164" i="65" s="1"/>
  <c r="AC165" i="65" s="1"/>
  <c r="AC166" i="65" s="1"/>
  <c r="AC167" i="65" s="1"/>
  <c r="AC168" i="65" s="1"/>
  <c r="AC169" i="65" s="1"/>
  <c r="AC170" i="65" s="1"/>
  <c r="AC171" i="65" s="1"/>
  <c r="AC172" i="65" s="1"/>
  <c r="AC173" i="65" s="1"/>
  <c r="AC174" i="65" s="1"/>
  <c r="AC175" i="65" s="1"/>
  <c r="AC176" i="65" s="1"/>
  <c r="AC177" i="65" s="1"/>
  <c r="AC178" i="65" s="1"/>
  <c r="AC179" i="65" s="1"/>
  <c r="AC180" i="65" s="1"/>
  <c r="AC181" i="65" s="1"/>
  <c r="AC182" i="65" s="1"/>
  <c r="AC183" i="65" s="1"/>
  <c r="AC184" i="65" s="1"/>
  <c r="AC185" i="65" s="1"/>
  <c r="AC186" i="65" s="1"/>
  <c r="AC187" i="65" s="1"/>
  <c r="AC188" i="65" s="1"/>
  <c r="AC189" i="65" s="1"/>
  <c r="AC190" i="65" s="1"/>
  <c r="AC191" i="65" s="1"/>
  <c r="AC192" i="65" s="1"/>
  <c r="AC193" i="65" s="1"/>
  <c r="AC194" i="65" s="1"/>
  <c r="AC195" i="65" s="1"/>
  <c r="AC196" i="65" s="1"/>
  <c r="AC197" i="65" s="1"/>
  <c r="AC198" i="65" s="1"/>
  <c r="AC199" i="65" s="1"/>
  <c r="AC200" i="65" s="1"/>
  <c r="AC201" i="65" s="1"/>
  <c r="AC202" i="65" s="1"/>
  <c r="AC203" i="65" s="1"/>
  <c r="AC204" i="65" s="1"/>
  <c r="AC205" i="65" s="1"/>
  <c r="AC206" i="65" s="1"/>
  <c r="AC207" i="65" s="1"/>
  <c r="AC208" i="65" s="1"/>
  <c r="AC209" i="65" s="1"/>
  <c r="AC210" i="65" s="1"/>
  <c r="AC211" i="65" s="1"/>
  <c r="AC212" i="65" s="1"/>
  <c r="AC213" i="65" s="1"/>
  <c r="AC214" i="65" s="1"/>
  <c r="AC215" i="65" s="1"/>
  <c r="AC216" i="65" s="1"/>
  <c r="AC217" i="65" s="1"/>
  <c r="AC218" i="65" s="1"/>
  <c r="AC219" i="65" s="1"/>
  <c r="AC220" i="65" s="1"/>
  <c r="AC221" i="65" s="1"/>
  <c r="AC222" i="65" s="1"/>
  <c r="AC223" i="65" s="1"/>
  <c r="AC224" i="65" s="1"/>
  <c r="AC225" i="65" s="1"/>
  <c r="AC226" i="65" s="1"/>
  <c r="AC227" i="65" s="1"/>
  <c r="AC228" i="65" s="1"/>
  <c r="AC229" i="65" s="1"/>
  <c r="AC230" i="65" s="1"/>
  <c r="AC231" i="65" s="1"/>
  <c r="AC232" i="65" s="1"/>
  <c r="AC233" i="65" s="1"/>
  <c r="AC234" i="65" s="1"/>
  <c r="AC235" i="65" s="1"/>
  <c r="AC236" i="65" s="1"/>
  <c r="AC237" i="65" s="1"/>
  <c r="AC238" i="65" s="1"/>
  <c r="AC239" i="65" s="1"/>
  <c r="AC240" i="65" s="1"/>
  <c r="AC241" i="65" s="1"/>
  <c r="AC242" i="65" s="1"/>
  <c r="AC243" i="65" s="1"/>
  <c r="AC244" i="65" s="1"/>
  <c r="AC245" i="65" s="1"/>
  <c r="AC246" i="65" s="1"/>
  <c r="AC247" i="65" s="1"/>
  <c r="AC248" i="65" s="1"/>
  <c r="AC249" i="65" s="1"/>
  <c r="AC250" i="65" s="1"/>
  <c r="AC251" i="65" s="1"/>
  <c r="AC252" i="65" s="1"/>
  <c r="AC253" i="65" s="1"/>
  <c r="AC254" i="65" s="1"/>
  <c r="AC255" i="65" s="1"/>
  <c r="AC256" i="65" s="1"/>
  <c r="AC257" i="65" s="1"/>
  <c r="AC258" i="65" s="1"/>
  <c r="AC259" i="65" s="1"/>
  <c r="AC260" i="65" s="1"/>
  <c r="AC261" i="65" s="1"/>
  <c r="AC262" i="65" s="1"/>
  <c r="AS157" i="65"/>
  <c r="EO157" i="65" s="1"/>
  <c r="BI157" i="65"/>
  <c r="BI158" i="65" s="1"/>
  <c r="BI159" i="65" s="1"/>
  <c r="BI160" i="65" s="1"/>
  <c r="BI161" i="65" s="1"/>
  <c r="BI162" i="65" s="1"/>
  <c r="BI163" i="65" s="1"/>
  <c r="BI164" i="65" s="1"/>
  <c r="BI165" i="65" s="1"/>
  <c r="BI166" i="65" s="1"/>
  <c r="BI167" i="65" s="1"/>
  <c r="BI168" i="65" s="1"/>
  <c r="BI169" i="65" s="1"/>
  <c r="BI170" i="65" s="1"/>
  <c r="BI171" i="65" s="1"/>
  <c r="BI172" i="65" s="1"/>
  <c r="BI173" i="65" s="1"/>
  <c r="BI174" i="65" s="1"/>
  <c r="BI175" i="65" s="1"/>
  <c r="BI176" i="65" s="1"/>
  <c r="BI177" i="65" s="1"/>
  <c r="BI178" i="65" s="1"/>
  <c r="BI179" i="65" s="1"/>
  <c r="BI180" i="65" s="1"/>
  <c r="BI181" i="65" s="1"/>
  <c r="BI182" i="65" s="1"/>
  <c r="BI183" i="65" s="1"/>
  <c r="BI184" i="65" s="1"/>
  <c r="BI185" i="65" s="1"/>
  <c r="BI186" i="65" s="1"/>
  <c r="BI187" i="65" s="1"/>
  <c r="BI188" i="65" s="1"/>
  <c r="BI189" i="65" s="1"/>
  <c r="BI190" i="65" s="1"/>
  <c r="BI191" i="65" s="1"/>
  <c r="BI192" i="65" s="1"/>
  <c r="BI193" i="65" s="1"/>
  <c r="BI194" i="65" s="1"/>
  <c r="BI195" i="65" s="1"/>
  <c r="BI196" i="65" s="1"/>
  <c r="BI197" i="65" s="1"/>
  <c r="BI198" i="65" s="1"/>
  <c r="BI199" i="65" s="1"/>
  <c r="BI200" i="65" s="1"/>
  <c r="BI201" i="65" s="1"/>
  <c r="BI202" i="65" s="1"/>
  <c r="BI203" i="65" s="1"/>
  <c r="BI204" i="65" s="1"/>
  <c r="BI205" i="65" s="1"/>
  <c r="BI206" i="65" s="1"/>
  <c r="BI207" i="65" s="1"/>
  <c r="BI208" i="65" s="1"/>
  <c r="BI209" i="65" s="1"/>
  <c r="BI210" i="65" s="1"/>
  <c r="BI211" i="65" s="1"/>
  <c r="BI212" i="65" s="1"/>
  <c r="BI213" i="65" s="1"/>
  <c r="BI214" i="65" s="1"/>
  <c r="BI215" i="65" s="1"/>
  <c r="BI216" i="65" s="1"/>
  <c r="BI217" i="65" s="1"/>
  <c r="BI218" i="65" s="1"/>
  <c r="BI219" i="65" s="1"/>
  <c r="BI220" i="65" s="1"/>
  <c r="BI221" i="65" s="1"/>
  <c r="BI222" i="65" s="1"/>
  <c r="BI223" i="65" s="1"/>
  <c r="BI224" i="65" s="1"/>
  <c r="BI225" i="65" s="1"/>
  <c r="BI226" i="65" s="1"/>
  <c r="BI227" i="65" s="1"/>
  <c r="BI228" i="65" s="1"/>
  <c r="BI229" i="65" s="1"/>
  <c r="BI230" i="65" s="1"/>
  <c r="BI231" i="65" s="1"/>
  <c r="BI232" i="65" s="1"/>
  <c r="BI233" i="65" s="1"/>
  <c r="BI234" i="65" s="1"/>
  <c r="BI235" i="65" s="1"/>
  <c r="BI236" i="65" s="1"/>
  <c r="BI237" i="65" s="1"/>
  <c r="BI238" i="65" s="1"/>
  <c r="BI239" i="65" s="1"/>
  <c r="BI240" i="65" s="1"/>
  <c r="BI241" i="65" s="1"/>
  <c r="BI242" i="65" s="1"/>
  <c r="BI243" i="65" s="1"/>
  <c r="BI244" i="65" s="1"/>
  <c r="BI245" i="65" s="1"/>
  <c r="BI246" i="65" s="1"/>
  <c r="BI247" i="65" s="1"/>
  <c r="BI248" i="65" s="1"/>
  <c r="BI249" i="65" s="1"/>
  <c r="BI250" i="65" s="1"/>
  <c r="BI251" i="65" s="1"/>
  <c r="BI252" i="65" s="1"/>
  <c r="BI253" i="65" s="1"/>
  <c r="BI254" i="65" s="1"/>
  <c r="BI255" i="65" s="1"/>
  <c r="BI256" i="65" s="1"/>
  <c r="BI257" i="65" s="1"/>
  <c r="BI258" i="65" s="1"/>
  <c r="BI259" i="65" s="1"/>
  <c r="BI260" i="65" s="1"/>
  <c r="BI261" i="65" s="1"/>
  <c r="BI262" i="65" s="1"/>
  <c r="CO157" i="65"/>
  <c r="CO158" i="65" s="1"/>
  <c r="CO159" i="65" s="1"/>
  <c r="CO160" i="65" s="1"/>
  <c r="CO161" i="65" s="1"/>
  <c r="CO162" i="65" s="1"/>
  <c r="CO163" i="65" s="1"/>
  <c r="CO164" i="65" s="1"/>
  <c r="CO165" i="65" s="1"/>
  <c r="CO166" i="65" s="1"/>
  <c r="CO167" i="65" s="1"/>
  <c r="CO168" i="65" s="1"/>
  <c r="CO169" i="65" s="1"/>
  <c r="CO170" i="65" s="1"/>
  <c r="CO171" i="65" s="1"/>
  <c r="CO172" i="65" s="1"/>
  <c r="CO173" i="65" s="1"/>
  <c r="CO174" i="65" s="1"/>
  <c r="CO175" i="65" s="1"/>
  <c r="CO176" i="65" s="1"/>
  <c r="CO177" i="65" s="1"/>
  <c r="CO178" i="65" s="1"/>
  <c r="CO179" i="65" s="1"/>
  <c r="CO180" i="65" s="1"/>
  <c r="CO181" i="65" s="1"/>
  <c r="CO182" i="65" s="1"/>
  <c r="CO183" i="65" s="1"/>
  <c r="CO184" i="65" s="1"/>
  <c r="CO185" i="65" s="1"/>
  <c r="CO186" i="65" s="1"/>
  <c r="CO187" i="65" s="1"/>
  <c r="CO188" i="65" s="1"/>
  <c r="CO189" i="65" s="1"/>
  <c r="CO190" i="65" s="1"/>
  <c r="CO191" i="65" s="1"/>
  <c r="CO192" i="65" s="1"/>
  <c r="CO193" i="65" s="1"/>
  <c r="CO194" i="65" s="1"/>
  <c r="CO195" i="65" s="1"/>
  <c r="CO196" i="65" s="1"/>
  <c r="CO197" i="65" s="1"/>
  <c r="CO198" i="65" s="1"/>
  <c r="CO199" i="65" s="1"/>
  <c r="CO200" i="65" s="1"/>
  <c r="CO201" i="65" s="1"/>
  <c r="CO202" i="65" s="1"/>
  <c r="CO203" i="65" s="1"/>
  <c r="CO204" i="65" s="1"/>
  <c r="CO205" i="65" s="1"/>
  <c r="CO206" i="65" s="1"/>
  <c r="CO207" i="65" s="1"/>
  <c r="CO208" i="65" s="1"/>
  <c r="CO209" i="65" s="1"/>
  <c r="CO210" i="65" s="1"/>
  <c r="CO211" i="65" s="1"/>
  <c r="CO212" i="65" s="1"/>
  <c r="CO213" i="65" s="1"/>
  <c r="CO214" i="65" s="1"/>
  <c r="CO215" i="65" s="1"/>
  <c r="CO216" i="65" s="1"/>
  <c r="CO217" i="65" s="1"/>
  <c r="CO218" i="65" s="1"/>
  <c r="CO219" i="65" s="1"/>
  <c r="CO220" i="65" s="1"/>
  <c r="CO221" i="65" s="1"/>
  <c r="CO222" i="65" s="1"/>
  <c r="CO223" i="65" s="1"/>
  <c r="CO224" i="65" s="1"/>
  <c r="CO225" i="65" s="1"/>
  <c r="CO226" i="65" s="1"/>
  <c r="CO227" i="65" s="1"/>
  <c r="CO228" i="65" s="1"/>
  <c r="CO229" i="65" s="1"/>
  <c r="CO230" i="65" s="1"/>
  <c r="CO231" i="65" s="1"/>
  <c r="CO232" i="65" s="1"/>
  <c r="CO233" i="65" s="1"/>
  <c r="CO234" i="65" s="1"/>
  <c r="CO235" i="65" s="1"/>
  <c r="CO236" i="65" s="1"/>
  <c r="CO237" i="65" s="1"/>
  <c r="CO238" i="65" s="1"/>
  <c r="CO239" i="65" s="1"/>
  <c r="CO240" i="65" s="1"/>
  <c r="CO241" i="65" s="1"/>
  <c r="CO242" i="65" s="1"/>
  <c r="CO243" i="65" s="1"/>
  <c r="CO244" i="65" s="1"/>
  <c r="CO245" i="65" s="1"/>
  <c r="CO246" i="65" s="1"/>
  <c r="CO247" i="65" s="1"/>
  <c r="CO248" i="65" s="1"/>
  <c r="CO249" i="65" s="1"/>
  <c r="CO250" i="65" s="1"/>
  <c r="CO251" i="65" s="1"/>
  <c r="CO252" i="65" s="1"/>
  <c r="CO253" i="65" s="1"/>
  <c r="CO254" i="65" s="1"/>
  <c r="CO255" i="65" s="1"/>
  <c r="CO256" i="65" s="1"/>
  <c r="CO257" i="65" s="1"/>
  <c r="CO258" i="65" s="1"/>
  <c r="CO259" i="65" s="1"/>
  <c r="CO260" i="65" s="1"/>
  <c r="CO261" i="65" s="1"/>
  <c r="CO262" i="65" s="1"/>
  <c r="DE157" i="65"/>
  <c r="DE158" i="65" s="1"/>
  <c r="DE159" i="65" s="1"/>
  <c r="DE160" i="65" s="1"/>
  <c r="DE161" i="65" s="1"/>
  <c r="DE162" i="65" s="1"/>
  <c r="DE163" i="65" s="1"/>
  <c r="DE164" i="65" s="1"/>
  <c r="DE165" i="65" s="1"/>
  <c r="DE166" i="65" s="1"/>
  <c r="DE167" i="65" s="1"/>
  <c r="DE168" i="65" s="1"/>
  <c r="DE169" i="65" s="1"/>
  <c r="DE170" i="65" s="1"/>
  <c r="DE171" i="65" s="1"/>
  <c r="DE172" i="65" s="1"/>
  <c r="DE173" i="65" s="1"/>
  <c r="DE174" i="65" s="1"/>
  <c r="DE175" i="65" s="1"/>
  <c r="DE176" i="65" s="1"/>
  <c r="DE177" i="65" s="1"/>
  <c r="DE178" i="65" s="1"/>
  <c r="DE179" i="65" s="1"/>
  <c r="DE180" i="65" s="1"/>
  <c r="DE181" i="65" s="1"/>
  <c r="DE182" i="65" s="1"/>
  <c r="DE183" i="65" s="1"/>
  <c r="DE184" i="65" s="1"/>
  <c r="DE185" i="65" s="1"/>
  <c r="DE186" i="65" s="1"/>
  <c r="DE187" i="65" s="1"/>
  <c r="DE188" i="65" s="1"/>
  <c r="DE189" i="65" s="1"/>
  <c r="DE190" i="65" s="1"/>
  <c r="DE191" i="65" s="1"/>
  <c r="DE192" i="65" s="1"/>
  <c r="DE193" i="65" s="1"/>
  <c r="DE194" i="65" s="1"/>
  <c r="DE195" i="65" s="1"/>
  <c r="DE196" i="65" s="1"/>
  <c r="DE197" i="65" s="1"/>
  <c r="DE198" i="65" s="1"/>
  <c r="DE199" i="65" s="1"/>
  <c r="DE200" i="65" s="1"/>
  <c r="DE201" i="65" s="1"/>
  <c r="DE202" i="65" s="1"/>
  <c r="DE203" i="65" s="1"/>
  <c r="DE204" i="65" s="1"/>
  <c r="DE205" i="65" s="1"/>
  <c r="DE206" i="65" s="1"/>
  <c r="DE207" i="65" s="1"/>
  <c r="DE208" i="65" s="1"/>
  <c r="DE209" i="65" s="1"/>
  <c r="DE210" i="65" s="1"/>
  <c r="DE211" i="65" s="1"/>
  <c r="DE212" i="65" s="1"/>
  <c r="DE213" i="65" s="1"/>
  <c r="DE214" i="65" s="1"/>
  <c r="DE215" i="65" s="1"/>
  <c r="DE216" i="65" s="1"/>
  <c r="DE217" i="65" s="1"/>
  <c r="DE218" i="65" s="1"/>
  <c r="DE219" i="65" s="1"/>
  <c r="DE220" i="65" s="1"/>
  <c r="DE221" i="65" s="1"/>
  <c r="DE222" i="65" s="1"/>
  <c r="DE223" i="65" s="1"/>
  <c r="DE224" i="65" s="1"/>
  <c r="DE225" i="65" s="1"/>
  <c r="DE226" i="65" s="1"/>
  <c r="DE227" i="65" s="1"/>
  <c r="DE228" i="65" s="1"/>
  <c r="DE229" i="65" s="1"/>
  <c r="DE230" i="65" s="1"/>
  <c r="DE231" i="65" s="1"/>
  <c r="DE232" i="65" s="1"/>
  <c r="DE233" i="65" s="1"/>
  <c r="DE234" i="65" s="1"/>
  <c r="DE235" i="65" s="1"/>
  <c r="DE236" i="65" s="1"/>
  <c r="DE237" i="65" s="1"/>
  <c r="DE238" i="65" s="1"/>
  <c r="DE239" i="65" s="1"/>
  <c r="DE240" i="65" s="1"/>
  <c r="DE241" i="65" s="1"/>
  <c r="DE242" i="65" s="1"/>
  <c r="DE243" i="65" s="1"/>
  <c r="DE244" i="65" s="1"/>
  <c r="DE245" i="65" s="1"/>
  <c r="DE246" i="65" s="1"/>
  <c r="DE247" i="65" s="1"/>
  <c r="DE248" i="65" s="1"/>
  <c r="DE249" i="65" s="1"/>
  <c r="DE250" i="65" s="1"/>
  <c r="DE251" i="65" s="1"/>
  <c r="DE252" i="65" s="1"/>
  <c r="DE253" i="65" s="1"/>
  <c r="DE254" i="65" s="1"/>
  <c r="DE255" i="65" s="1"/>
  <c r="DE256" i="65" s="1"/>
  <c r="DE257" i="65" s="1"/>
  <c r="DE258" i="65" s="1"/>
  <c r="DE259" i="65" s="1"/>
  <c r="DE260" i="65" s="1"/>
  <c r="DE261" i="65" s="1"/>
  <c r="DE262" i="65" s="1"/>
  <c r="DU157" i="65"/>
  <c r="DU158" i="65" s="1"/>
  <c r="DU159" i="65" s="1"/>
  <c r="DU160" i="65" s="1"/>
  <c r="DU161" i="65" s="1"/>
  <c r="DU162" i="65" s="1"/>
  <c r="DU163" i="65" s="1"/>
  <c r="DU164" i="65" s="1"/>
  <c r="DU165" i="65" s="1"/>
  <c r="DU166" i="65" s="1"/>
  <c r="DU167" i="65" s="1"/>
  <c r="DU168" i="65" s="1"/>
  <c r="DU169" i="65" s="1"/>
  <c r="DU170" i="65" s="1"/>
  <c r="DU171" i="65" s="1"/>
  <c r="DU172" i="65" s="1"/>
  <c r="DU173" i="65" s="1"/>
  <c r="DU174" i="65" s="1"/>
  <c r="DU175" i="65" s="1"/>
  <c r="DU176" i="65" s="1"/>
  <c r="DU177" i="65" s="1"/>
  <c r="DU178" i="65" s="1"/>
  <c r="DU179" i="65" s="1"/>
  <c r="DU180" i="65" s="1"/>
  <c r="DU181" i="65" s="1"/>
  <c r="DU182" i="65" s="1"/>
  <c r="DU183" i="65" s="1"/>
  <c r="DU184" i="65" s="1"/>
  <c r="DU185" i="65" s="1"/>
  <c r="DU186" i="65" s="1"/>
  <c r="DU187" i="65" s="1"/>
  <c r="DU188" i="65" s="1"/>
  <c r="DU189" i="65" s="1"/>
  <c r="DU190" i="65" s="1"/>
  <c r="DU191" i="65" s="1"/>
  <c r="DU192" i="65" s="1"/>
  <c r="DU193" i="65" s="1"/>
  <c r="DU194" i="65" s="1"/>
  <c r="DU195" i="65" s="1"/>
  <c r="DU196" i="65" s="1"/>
  <c r="DU197" i="65" s="1"/>
  <c r="DU198" i="65" s="1"/>
  <c r="DU199" i="65" s="1"/>
  <c r="DU200" i="65" s="1"/>
  <c r="DU201" i="65" s="1"/>
  <c r="DU202" i="65" s="1"/>
  <c r="DU203" i="65" s="1"/>
  <c r="DU204" i="65" s="1"/>
  <c r="DU205" i="65" s="1"/>
  <c r="DU206" i="65" s="1"/>
  <c r="DU207" i="65" s="1"/>
  <c r="DU208" i="65" s="1"/>
  <c r="DU209" i="65" s="1"/>
  <c r="DU210" i="65" s="1"/>
  <c r="DU211" i="65" s="1"/>
  <c r="DU212" i="65" s="1"/>
  <c r="DU213" i="65" s="1"/>
  <c r="DU214" i="65" s="1"/>
  <c r="DU215" i="65" s="1"/>
  <c r="DU216" i="65" s="1"/>
  <c r="DU217" i="65" s="1"/>
  <c r="DU218" i="65" s="1"/>
  <c r="DU219" i="65" s="1"/>
  <c r="DU220" i="65" s="1"/>
  <c r="DU221" i="65" s="1"/>
  <c r="DU222" i="65" s="1"/>
  <c r="DU223" i="65" s="1"/>
  <c r="DU224" i="65" s="1"/>
  <c r="DU225" i="65" s="1"/>
  <c r="DU226" i="65" s="1"/>
  <c r="DU227" i="65" s="1"/>
  <c r="DU228" i="65" s="1"/>
  <c r="DU229" i="65" s="1"/>
  <c r="DU230" i="65" s="1"/>
  <c r="DU231" i="65" s="1"/>
  <c r="DU232" i="65" s="1"/>
  <c r="DU233" i="65" s="1"/>
  <c r="DU234" i="65" s="1"/>
  <c r="DU235" i="65" s="1"/>
  <c r="DU236" i="65" s="1"/>
  <c r="DU237" i="65" s="1"/>
  <c r="DU238" i="65" s="1"/>
  <c r="DU239" i="65" s="1"/>
  <c r="DU240" i="65" s="1"/>
  <c r="DU241" i="65" s="1"/>
  <c r="DU242" i="65" s="1"/>
  <c r="DU243" i="65" s="1"/>
  <c r="DU244" i="65" s="1"/>
  <c r="DU245" i="65" s="1"/>
  <c r="DU246" i="65" s="1"/>
  <c r="DU247" i="65" s="1"/>
  <c r="DU248" i="65" s="1"/>
  <c r="DU249" i="65" s="1"/>
  <c r="DU250" i="65" s="1"/>
  <c r="DU251" i="65" s="1"/>
  <c r="DU252" i="65" s="1"/>
  <c r="DU253" i="65" s="1"/>
  <c r="DU254" i="65" s="1"/>
  <c r="DU255" i="65" s="1"/>
  <c r="DU256" i="65" s="1"/>
  <c r="DU257" i="65" s="1"/>
  <c r="DU258" i="65" s="1"/>
  <c r="DU259" i="65" s="1"/>
  <c r="DU260" i="65" s="1"/>
  <c r="DU261" i="65" s="1"/>
  <c r="DU262" i="65" s="1"/>
  <c r="EF74" i="65"/>
  <c r="DX84" i="65"/>
  <c r="EE90" i="65"/>
  <c r="EC101" i="65"/>
  <c r="EB111" i="65"/>
  <c r="EC114" i="65"/>
  <c r="EE125" i="65"/>
  <c r="DZ131" i="65"/>
  <c r="EA136" i="65"/>
  <c r="EF137" i="65"/>
  <c r="L141" i="37"/>
  <c r="L30" i="37"/>
  <c r="L175" i="37"/>
  <c r="L63" i="37"/>
  <c r="L173" i="37"/>
  <c r="L94" i="37"/>
  <c r="L31" i="37"/>
  <c r="L157" i="37"/>
  <c r="L127" i="37"/>
  <c r="L125" i="37"/>
  <c r="L46" i="37"/>
  <c r="L174" i="37"/>
  <c r="L93" i="37"/>
  <c r="L79" i="37"/>
  <c r="L159" i="37"/>
  <c r="L78" i="37"/>
  <c r="L158" i="37"/>
  <c r="L77" i="37"/>
  <c r="L143" i="37"/>
  <c r="L62" i="37"/>
  <c r="L142" i="37"/>
  <c r="L61" i="37"/>
  <c r="L47" i="37"/>
  <c r="L126" i="37"/>
  <c r="L45" i="37"/>
  <c r="L191" i="37"/>
  <c r="L29" i="37"/>
  <c r="L190" i="37"/>
  <c r="L189" i="37"/>
  <c r="L95" i="37"/>
  <c r="L15" i="37"/>
  <c r="L14" i="37"/>
  <c r="L13" i="37"/>
  <c r="I138" i="41"/>
  <c r="L188" i="37"/>
  <c r="L172" i="37"/>
  <c r="L156" i="37"/>
  <c r="L140" i="37"/>
  <c r="L124" i="37"/>
  <c r="L92" i="37"/>
  <c r="L76" i="37"/>
  <c r="L60" i="37"/>
  <c r="L44" i="37"/>
  <c r="L28" i="37"/>
  <c r="L12" i="37"/>
  <c r="L187" i="37"/>
  <c r="L171" i="37"/>
  <c r="L155" i="37"/>
  <c r="L139" i="37"/>
  <c r="L123" i="37"/>
  <c r="L91" i="37"/>
  <c r="L75" i="37"/>
  <c r="L59" i="37"/>
  <c r="L43" i="37"/>
  <c r="L27" i="37"/>
  <c r="L11" i="37"/>
  <c r="L186" i="37"/>
  <c r="L170" i="37"/>
  <c r="L154" i="37"/>
  <c r="L138" i="37"/>
  <c r="L122" i="37"/>
  <c r="L90" i="37"/>
  <c r="L74" i="37"/>
  <c r="L58" i="37"/>
  <c r="L42" i="37"/>
  <c r="L26" i="37"/>
  <c r="L10" i="37"/>
  <c r="L185" i="37"/>
  <c r="L169" i="37"/>
  <c r="L153" i="37"/>
  <c r="L137" i="37"/>
  <c r="L89" i="37"/>
  <c r="L73" i="37"/>
  <c r="L57" i="37"/>
  <c r="L41" i="37"/>
  <c r="L25" i="37"/>
  <c r="L9" i="37"/>
  <c r="L184" i="37"/>
  <c r="L168" i="37"/>
  <c r="L152" i="37"/>
  <c r="L136" i="37"/>
  <c r="L88" i="37"/>
  <c r="L72" i="37"/>
  <c r="L56" i="37"/>
  <c r="L40" i="37"/>
  <c r="L24" i="37"/>
  <c r="L8" i="37"/>
  <c r="L183" i="37"/>
  <c r="L167" i="37"/>
  <c r="L151" i="37"/>
  <c r="L135" i="37"/>
  <c r="L87" i="37"/>
  <c r="L71" i="37"/>
  <c r="L55" i="37"/>
  <c r="L39" i="37"/>
  <c r="L23" i="37"/>
  <c r="L7" i="37"/>
  <c r="L182" i="37"/>
  <c r="L166" i="37"/>
  <c r="L150" i="37"/>
  <c r="L134" i="37"/>
  <c r="L86" i="37"/>
  <c r="L70" i="37"/>
  <c r="L54" i="37"/>
  <c r="L38" i="37"/>
  <c r="L22" i="37"/>
  <c r="L6" i="37"/>
  <c r="L181" i="37"/>
  <c r="L165" i="37"/>
  <c r="L149" i="37"/>
  <c r="L133" i="37"/>
  <c r="L85" i="37"/>
  <c r="L69" i="37"/>
  <c r="L53" i="37"/>
  <c r="L37" i="37"/>
  <c r="L21" i="37"/>
  <c r="L5" i="37"/>
  <c r="L180" i="37"/>
  <c r="L164" i="37"/>
  <c r="L148" i="37"/>
  <c r="L132" i="37"/>
  <c r="L84" i="37"/>
  <c r="L68" i="37"/>
  <c r="L52" i="37"/>
  <c r="L36" i="37"/>
  <c r="L20" i="37"/>
  <c r="L4" i="37"/>
  <c r="L179" i="37"/>
  <c r="L163" i="37"/>
  <c r="L147" i="37"/>
  <c r="L131" i="37"/>
  <c r="L83" i="37"/>
  <c r="L67" i="37"/>
  <c r="L51" i="37"/>
  <c r="L35" i="37"/>
  <c r="L19" i="37"/>
  <c r="L3" i="37"/>
  <c r="L178" i="37"/>
  <c r="L162" i="37"/>
  <c r="L146" i="37"/>
  <c r="L130" i="37"/>
  <c r="L82" i="37"/>
  <c r="L66" i="37"/>
  <c r="L50" i="37"/>
  <c r="L34" i="37"/>
  <c r="L18" i="37"/>
  <c r="L2" i="37"/>
  <c r="L193" i="37"/>
  <c r="L177" i="37"/>
  <c r="L161" i="37"/>
  <c r="L145" i="37"/>
  <c r="L129" i="37"/>
  <c r="L97" i="37"/>
  <c r="L81" i="37"/>
  <c r="L65" i="37"/>
  <c r="L49" i="37"/>
  <c r="L33" i="37"/>
  <c r="L17" i="37"/>
  <c r="L192" i="37"/>
  <c r="L176" i="37"/>
  <c r="L160" i="37"/>
  <c r="L144" i="37"/>
  <c r="L128" i="37"/>
  <c r="L96" i="37"/>
  <c r="L80" i="37"/>
  <c r="L64" i="37"/>
  <c r="L48" i="37"/>
  <c r="L32" i="37"/>
  <c r="L16" i="37"/>
  <c r="EB51" i="65"/>
  <c r="DY52" i="65"/>
  <c r="EB53" i="65"/>
  <c r="EG54" i="65"/>
  <c r="EF55" i="65"/>
  <c r="ED71" i="65"/>
  <c r="EF78" i="65"/>
  <c r="ED81" i="65"/>
  <c r="DZ84" i="65"/>
  <c r="EE85" i="65"/>
  <c r="P53" i="65"/>
  <c r="DW53" i="65" s="1"/>
  <c r="EA62" i="65"/>
  <c r="EC79" i="65"/>
  <c r="EF85" i="65"/>
  <c r="DY47" i="65"/>
  <c r="EB48" i="65"/>
  <c r="DX50" i="65"/>
  <c r="DZ61" i="65"/>
  <c r="EA70" i="65"/>
  <c r="EF71" i="65"/>
  <c r="EE74" i="65"/>
  <c r="DX83" i="65"/>
  <c r="EG85" i="65"/>
  <c r="EA87" i="65"/>
  <c r="EE51" i="65"/>
  <c r="EB70" i="65"/>
  <c r="EG71" i="65"/>
  <c r="EC80" i="65"/>
  <c r="EG81" i="65"/>
  <c r="DY83" i="65"/>
  <c r="EC84" i="65"/>
  <c r="EB87" i="65"/>
  <c r="EE94" i="65"/>
  <c r="DY97" i="65"/>
  <c r="DX48" i="65"/>
  <c r="DX70" i="65"/>
  <c r="P46" i="65"/>
  <c r="EO46" i="65"/>
  <c r="EC48" i="65"/>
  <c r="EF56" i="65"/>
  <c r="EA61" i="65"/>
  <c r="DW6" i="65"/>
  <c r="DW13" i="65"/>
  <c r="DW29" i="65"/>
  <c r="EE44" i="65"/>
  <c r="O156" i="65"/>
  <c r="O157" i="65" s="1"/>
  <c r="O158" i="65" s="1"/>
  <c r="O159" i="65" s="1"/>
  <c r="O160" i="65" s="1"/>
  <c r="O161" i="65" s="1"/>
  <c r="O162" i="65" s="1"/>
  <c r="O163" i="65" s="1"/>
  <c r="O164" i="65" s="1"/>
  <c r="O165" i="65" s="1"/>
  <c r="O166" i="65" s="1"/>
  <c r="O167" i="65" s="1"/>
  <c r="O168" i="65" s="1"/>
  <c r="O169" i="65" s="1"/>
  <c r="O170" i="65" s="1"/>
  <c r="O171" i="65" s="1"/>
  <c r="O172" i="65" s="1"/>
  <c r="O173" i="65" s="1"/>
  <c r="O174" i="65" s="1"/>
  <c r="O175" i="65" s="1"/>
  <c r="O176" i="65" s="1"/>
  <c r="O177" i="65" s="1"/>
  <c r="O178" i="65" s="1"/>
  <c r="O179" i="65" s="1"/>
  <c r="O180" i="65" s="1"/>
  <c r="O181" i="65" s="1"/>
  <c r="O182" i="65" s="1"/>
  <c r="O183" i="65" s="1"/>
  <c r="O184" i="65" s="1"/>
  <c r="O185" i="65" s="1"/>
  <c r="O186" i="65" s="1"/>
  <c r="O187" i="65" s="1"/>
  <c r="O188" i="65" s="1"/>
  <c r="O189" i="65" s="1"/>
  <c r="O190" i="65" s="1"/>
  <c r="O191" i="65" s="1"/>
  <c r="O192" i="65" s="1"/>
  <c r="O193" i="65" s="1"/>
  <c r="O194" i="65" s="1"/>
  <c r="O195" i="65" s="1"/>
  <c r="O196" i="65" s="1"/>
  <c r="O197" i="65" s="1"/>
  <c r="O198" i="65" s="1"/>
  <c r="O199" i="65" s="1"/>
  <c r="O200" i="65" s="1"/>
  <c r="O201" i="65" s="1"/>
  <c r="O202" i="65" s="1"/>
  <c r="O203" i="65" s="1"/>
  <c r="O204" i="65" s="1"/>
  <c r="O205" i="65" s="1"/>
  <c r="O206" i="65" s="1"/>
  <c r="O207" i="65" s="1"/>
  <c r="O208" i="65" s="1"/>
  <c r="O209" i="65" s="1"/>
  <c r="O210" i="65" s="1"/>
  <c r="O211" i="65" s="1"/>
  <c r="O212" i="65" s="1"/>
  <c r="O213" i="65" s="1"/>
  <c r="O214" i="65" s="1"/>
  <c r="O215" i="65" s="1"/>
  <c r="O216" i="65" s="1"/>
  <c r="O217" i="65" s="1"/>
  <c r="O218" i="65" s="1"/>
  <c r="O219" i="65" s="1"/>
  <c r="O220" i="65" s="1"/>
  <c r="O221" i="65" s="1"/>
  <c r="O222" i="65" s="1"/>
  <c r="O223" i="65" s="1"/>
  <c r="O224" i="65" s="1"/>
  <c r="O225" i="65" s="1"/>
  <c r="O226" i="65" s="1"/>
  <c r="O227" i="65" s="1"/>
  <c r="O228" i="65" s="1"/>
  <c r="O229" i="65" s="1"/>
  <c r="O230" i="65" s="1"/>
  <c r="O231" i="65" s="1"/>
  <c r="O232" i="65" s="1"/>
  <c r="O233" i="65" s="1"/>
  <c r="O234" i="65" s="1"/>
  <c r="O235" i="65" s="1"/>
  <c r="O236" i="65" s="1"/>
  <c r="O237" i="65" s="1"/>
  <c r="O238" i="65" s="1"/>
  <c r="O239" i="65" s="1"/>
  <c r="O240" i="65" s="1"/>
  <c r="O241" i="65" s="1"/>
  <c r="O242" i="65" s="1"/>
  <c r="O243" i="65" s="1"/>
  <c r="O244" i="65" s="1"/>
  <c r="O245" i="65" s="1"/>
  <c r="O246" i="65" s="1"/>
  <c r="O247" i="65" s="1"/>
  <c r="O248" i="65" s="1"/>
  <c r="O249" i="65" s="1"/>
  <c r="O250" i="65" s="1"/>
  <c r="O251" i="65" s="1"/>
  <c r="O252" i="65" s="1"/>
  <c r="O253" i="65" s="1"/>
  <c r="O254" i="65" s="1"/>
  <c r="O255" i="65" s="1"/>
  <c r="O256" i="65" s="1"/>
  <c r="O257" i="65" s="1"/>
  <c r="O258" i="65" s="1"/>
  <c r="O259" i="65" s="1"/>
  <c r="O260" i="65" s="1"/>
  <c r="O261" i="65" s="1"/>
  <c r="O262" i="65" s="1"/>
  <c r="EN45" i="65"/>
  <c r="DX46" i="65"/>
  <c r="EA47" i="65"/>
  <c r="EF51" i="65"/>
  <c r="EG56" i="65"/>
  <c r="DY60" i="65"/>
  <c r="EB61" i="65"/>
  <c r="DY65" i="65"/>
  <c r="DZ69" i="65"/>
  <c r="EC70" i="65"/>
  <c r="EG74" i="65"/>
  <c r="EF77" i="65"/>
  <c r="DZ83" i="65"/>
  <c r="ED84" i="65"/>
  <c r="EE89" i="65"/>
  <c r="DZ97" i="65"/>
  <c r="ED98" i="65"/>
  <c r="DX45" i="65"/>
  <c r="EC53" i="65"/>
  <c r="DY50" i="65"/>
  <c r="EE58" i="65"/>
  <c r="EJ44" i="65"/>
  <c r="EO45" i="65"/>
  <c r="EB47" i="65"/>
  <c r="EE48" i="65"/>
  <c r="EA50" i="65"/>
  <c r="EG51" i="65"/>
  <c r="DX52" i="65"/>
  <c r="EG58" i="65"/>
  <c r="DZ60" i="65"/>
  <c r="EG73" i="65"/>
  <c r="EF73" i="65"/>
  <c r="DX74" i="65"/>
  <c r="EG77" i="65"/>
  <c r="EA83" i="65"/>
  <c r="EE84" i="65"/>
  <c r="DX92" i="65"/>
  <c r="DX96" i="65"/>
  <c r="DX59" i="65"/>
  <c r="EG65" i="65"/>
  <c r="EB78" i="65"/>
  <c r="DY45" i="65"/>
  <c r="EN44" i="65"/>
  <c r="EA46" i="65"/>
  <c r="DY59" i="65"/>
  <c r="ED72" i="65"/>
  <c r="DX75" i="65"/>
  <c r="EG80" i="65"/>
  <c r="DX82" i="65"/>
  <c r="EC83" i="65"/>
  <c r="EC97" i="65"/>
  <c r="EG98" i="65"/>
  <c r="DZ52" i="65"/>
  <c r="DX51" i="65"/>
  <c r="P44" i="65"/>
  <c r="P155" i="65" s="1"/>
  <c r="ED47" i="65"/>
  <c r="DW9" i="65"/>
  <c r="DW25" i="65"/>
  <c r="DX155" i="65"/>
  <c r="EO44" i="65"/>
  <c r="AK156" i="65"/>
  <c r="BA156" i="65"/>
  <c r="BQ156" i="65"/>
  <c r="CG156" i="65"/>
  <c r="CG157" i="65" s="1"/>
  <c r="CG158" i="65" s="1"/>
  <c r="CG159" i="65" s="1"/>
  <c r="CG160" i="65" s="1"/>
  <c r="CG161" i="65" s="1"/>
  <c r="CG162" i="65" s="1"/>
  <c r="CG163" i="65" s="1"/>
  <c r="CG164" i="65" s="1"/>
  <c r="CG165" i="65" s="1"/>
  <c r="CG166" i="65" s="1"/>
  <c r="CG167" i="65" s="1"/>
  <c r="CG168" i="65" s="1"/>
  <c r="CG169" i="65" s="1"/>
  <c r="CG170" i="65" s="1"/>
  <c r="CG171" i="65" s="1"/>
  <c r="CG172" i="65" s="1"/>
  <c r="CG173" i="65" s="1"/>
  <c r="CG174" i="65" s="1"/>
  <c r="CG175" i="65" s="1"/>
  <c r="CG176" i="65" s="1"/>
  <c r="CG177" i="65" s="1"/>
  <c r="CG178" i="65" s="1"/>
  <c r="CG179" i="65" s="1"/>
  <c r="CG180" i="65" s="1"/>
  <c r="CG181" i="65" s="1"/>
  <c r="CG182" i="65" s="1"/>
  <c r="CG183" i="65" s="1"/>
  <c r="CG184" i="65" s="1"/>
  <c r="CG185" i="65" s="1"/>
  <c r="CG186" i="65" s="1"/>
  <c r="CG187" i="65" s="1"/>
  <c r="CG188" i="65" s="1"/>
  <c r="CG189" i="65" s="1"/>
  <c r="CG190" i="65" s="1"/>
  <c r="CG191" i="65" s="1"/>
  <c r="CG192" i="65" s="1"/>
  <c r="CG193" i="65" s="1"/>
  <c r="CG194" i="65" s="1"/>
  <c r="CG195" i="65" s="1"/>
  <c r="CG196" i="65" s="1"/>
  <c r="CG197" i="65" s="1"/>
  <c r="CG198" i="65" s="1"/>
  <c r="CG199" i="65" s="1"/>
  <c r="CG200" i="65" s="1"/>
  <c r="CG201" i="65" s="1"/>
  <c r="CG202" i="65" s="1"/>
  <c r="CG203" i="65" s="1"/>
  <c r="CG204" i="65" s="1"/>
  <c r="CG205" i="65" s="1"/>
  <c r="CG206" i="65" s="1"/>
  <c r="CG207" i="65" s="1"/>
  <c r="CG208" i="65" s="1"/>
  <c r="CG209" i="65" s="1"/>
  <c r="CG210" i="65" s="1"/>
  <c r="CG211" i="65" s="1"/>
  <c r="CG212" i="65" s="1"/>
  <c r="CG213" i="65" s="1"/>
  <c r="CG214" i="65" s="1"/>
  <c r="CG215" i="65" s="1"/>
  <c r="CG216" i="65" s="1"/>
  <c r="CG217" i="65" s="1"/>
  <c r="CG218" i="65" s="1"/>
  <c r="CG219" i="65" s="1"/>
  <c r="CG220" i="65" s="1"/>
  <c r="CG221" i="65" s="1"/>
  <c r="CG222" i="65" s="1"/>
  <c r="CG223" i="65" s="1"/>
  <c r="CG224" i="65" s="1"/>
  <c r="CG225" i="65" s="1"/>
  <c r="CG226" i="65" s="1"/>
  <c r="CG227" i="65" s="1"/>
  <c r="CG228" i="65" s="1"/>
  <c r="CG229" i="65" s="1"/>
  <c r="CG230" i="65" s="1"/>
  <c r="CG231" i="65" s="1"/>
  <c r="CG232" i="65" s="1"/>
  <c r="CG233" i="65" s="1"/>
  <c r="CG234" i="65" s="1"/>
  <c r="CG235" i="65" s="1"/>
  <c r="CG236" i="65" s="1"/>
  <c r="CG237" i="65" s="1"/>
  <c r="CG238" i="65" s="1"/>
  <c r="CG239" i="65" s="1"/>
  <c r="CG240" i="65" s="1"/>
  <c r="CG241" i="65" s="1"/>
  <c r="CG242" i="65" s="1"/>
  <c r="CG243" i="65" s="1"/>
  <c r="CG244" i="65" s="1"/>
  <c r="CG245" i="65" s="1"/>
  <c r="CG246" i="65" s="1"/>
  <c r="CG247" i="65" s="1"/>
  <c r="CG248" i="65" s="1"/>
  <c r="CG249" i="65" s="1"/>
  <c r="CG250" i="65" s="1"/>
  <c r="CG251" i="65" s="1"/>
  <c r="CG252" i="65" s="1"/>
  <c r="CG253" i="65" s="1"/>
  <c r="CG254" i="65" s="1"/>
  <c r="CG255" i="65" s="1"/>
  <c r="CG256" i="65" s="1"/>
  <c r="CG257" i="65" s="1"/>
  <c r="CG258" i="65" s="1"/>
  <c r="CG259" i="65" s="1"/>
  <c r="CG260" i="65" s="1"/>
  <c r="CG261" i="65" s="1"/>
  <c r="CG262" i="65" s="1"/>
  <c r="CW156" i="65"/>
  <c r="DM156" i="65"/>
  <c r="EE47" i="65"/>
  <c r="P49" i="65"/>
  <c r="ED50" i="65"/>
  <c r="EA52" i="65"/>
  <c r="ED53" i="65"/>
  <c r="DZ58" i="65"/>
  <c r="DZ59" i="65"/>
  <c r="EG66" i="65"/>
  <c r="ED69" i="65"/>
  <c r="DZ72" i="65"/>
  <c r="DY82" i="65"/>
  <c r="DX95" i="65"/>
  <c r="ED55" i="65"/>
  <c r="DW10" i="65"/>
  <c r="EB50" i="65"/>
  <c r="DX49" i="65"/>
  <c r="EF64" i="65"/>
  <c r="DZ68" i="65"/>
  <c r="EA77" i="65"/>
  <c r="EE79" i="65"/>
  <c r="DZ82" i="65"/>
  <c r="EF82" i="65"/>
  <c r="EC86" i="65"/>
  <c r="DY95" i="65"/>
  <c r="EB96" i="65"/>
  <c r="DZ46" i="65"/>
  <c r="DW23" i="65"/>
  <c r="E156" i="65"/>
  <c r="EC45" i="65"/>
  <c r="AM156" i="65"/>
  <c r="EI156" i="65" s="1"/>
  <c r="BC156" i="65"/>
  <c r="BS156" i="65"/>
  <c r="CI156" i="65"/>
  <c r="CY156" i="65"/>
  <c r="CY157" i="65" s="1"/>
  <c r="CY158" i="65" s="1"/>
  <c r="CY159" i="65" s="1"/>
  <c r="CY160" i="65" s="1"/>
  <c r="CY161" i="65" s="1"/>
  <c r="CY162" i="65" s="1"/>
  <c r="CY163" i="65" s="1"/>
  <c r="CY164" i="65" s="1"/>
  <c r="CY165" i="65" s="1"/>
  <c r="CY166" i="65" s="1"/>
  <c r="CY167" i="65" s="1"/>
  <c r="CY168" i="65" s="1"/>
  <c r="CY169" i="65" s="1"/>
  <c r="CY170" i="65" s="1"/>
  <c r="CY171" i="65" s="1"/>
  <c r="CY172" i="65" s="1"/>
  <c r="CY173" i="65" s="1"/>
  <c r="CY174" i="65" s="1"/>
  <c r="CY175" i="65" s="1"/>
  <c r="CY176" i="65" s="1"/>
  <c r="CY177" i="65" s="1"/>
  <c r="CY178" i="65" s="1"/>
  <c r="CY179" i="65" s="1"/>
  <c r="CY180" i="65" s="1"/>
  <c r="CY181" i="65" s="1"/>
  <c r="CY182" i="65" s="1"/>
  <c r="CY183" i="65" s="1"/>
  <c r="CY184" i="65" s="1"/>
  <c r="CY185" i="65" s="1"/>
  <c r="CY186" i="65" s="1"/>
  <c r="CY187" i="65" s="1"/>
  <c r="CY188" i="65" s="1"/>
  <c r="CY189" i="65" s="1"/>
  <c r="CY190" i="65" s="1"/>
  <c r="CY191" i="65" s="1"/>
  <c r="CY192" i="65" s="1"/>
  <c r="CY193" i="65" s="1"/>
  <c r="CY194" i="65" s="1"/>
  <c r="CY195" i="65" s="1"/>
  <c r="CY196" i="65" s="1"/>
  <c r="CY197" i="65" s="1"/>
  <c r="CY198" i="65" s="1"/>
  <c r="CY199" i="65" s="1"/>
  <c r="CY200" i="65" s="1"/>
  <c r="CY201" i="65" s="1"/>
  <c r="CY202" i="65" s="1"/>
  <c r="CY203" i="65" s="1"/>
  <c r="CY204" i="65" s="1"/>
  <c r="CY205" i="65" s="1"/>
  <c r="CY206" i="65" s="1"/>
  <c r="CY207" i="65" s="1"/>
  <c r="CY208" i="65" s="1"/>
  <c r="CY209" i="65" s="1"/>
  <c r="CY210" i="65" s="1"/>
  <c r="CY211" i="65" s="1"/>
  <c r="CY212" i="65" s="1"/>
  <c r="CY213" i="65" s="1"/>
  <c r="CY214" i="65" s="1"/>
  <c r="CY215" i="65" s="1"/>
  <c r="CY216" i="65" s="1"/>
  <c r="CY217" i="65" s="1"/>
  <c r="CY218" i="65" s="1"/>
  <c r="CY219" i="65" s="1"/>
  <c r="CY220" i="65" s="1"/>
  <c r="CY221" i="65" s="1"/>
  <c r="CY222" i="65" s="1"/>
  <c r="CY223" i="65" s="1"/>
  <c r="CY224" i="65" s="1"/>
  <c r="CY225" i="65" s="1"/>
  <c r="CY226" i="65" s="1"/>
  <c r="CY227" i="65" s="1"/>
  <c r="CY228" i="65" s="1"/>
  <c r="CY229" i="65" s="1"/>
  <c r="CY230" i="65" s="1"/>
  <c r="CY231" i="65" s="1"/>
  <c r="CY232" i="65" s="1"/>
  <c r="CY233" i="65" s="1"/>
  <c r="CY234" i="65" s="1"/>
  <c r="CY235" i="65" s="1"/>
  <c r="CY236" i="65" s="1"/>
  <c r="CY237" i="65" s="1"/>
  <c r="CY238" i="65" s="1"/>
  <c r="CY239" i="65" s="1"/>
  <c r="CY240" i="65" s="1"/>
  <c r="CY241" i="65" s="1"/>
  <c r="CY242" i="65" s="1"/>
  <c r="CY243" i="65" s="1"/>
  <c r="CY244" i="65" s="1"/>
  <c r="CY245" i="65" s="1"/>
  <c r="CY246" i="65" s="1"/>
  <c r="CY247" i="65" s="1"/>
  <c r="CY248" i="65" s="1"/>
  <c r="CY249" i="65" s="1"/>
  <c r="CY250" i="65" s="1"/>
  <c r="CY251" i="65" s="1"/>
  <c r="CY252" i="65" s="1"/>
  <c r="CY253" i="65" s="1"/>
  <c r="CY254" i="65" s="1"/>
  <c r="CY255" i="65" s="1"/>
  <c r="CY256" i="65" s="1"/>
  <c r="CY257" i="65" s="1"/>
  <c r="CY258" i="65" s="1"/>
  <c r="CY259" i="65" s="1"/>
  <c r="CY260" i="65" s="1"/>
  <c r="CY261" i="65" s="1"/>
  <c r="CY262" i="65" s="1"/>
  <c r="DO156" i="65"/>
  <c r="DO157" i="65" s="1"/>
  <c r="DO158" i="65" s="1"/>
  <c r="DO159" i="65" s="1"/>
  <c r="DO160" i="65" s="1"/>
  <c r="DO161" i="65" s="1"/>
  <c r="DO162" i="65" s="1"/>
  <c r="DO163" i="65" s="1"/>
  <c r="DO164" i="65" s="1"/>
  <c r="DO165" i="65" s="1"/>
  <c r="DO166" i="65" s="1"/>
  <c r="DO167" i="65" s="1"/>
  <c r="DO168" i="65" s="1"/>
  <c r="DO169" i="65" s="1"/>
  <c r="DO170" i="65" s="1"/>
  <c r="DO171" i="65" s="1"/>
  <c r="DO172" i="65" s="1"/>
  <c r="DO173" i="65" s="1"/>
  <c r="DO174" i="65" s="1"/>
  <c r="DO175" i="65" s="1"/>
  <c r="DO176" i="65" s="1"/>
  <c r="DO177" i="65" s="1"/>
  <c r="DO178" i="65" s="1"/>
  <c r="DO179" i="65" s="1"/>
  <c r="DO180" i="65" s="1"/>
  <c r="DO181" i="65" s="1"/>
  <c r="DO182" i="65" s="1"/>
  <c r="DO183" i="65" s="1"/>
  <c r="DO184" i="65" s="1"/>
  <c r="DO185" i="65" s="1"/>
  <c r="DO186" i="65" s="1"/>
  <c r="DO187" i="65" s="1"/>
  <c r="DO188" i="65" s="1"/>
  <c r="DO189" i="65" s="1"/>
  <c r="DO190" i="65" s="1"/>
  <c r="DO191" i="65" s="1"/>
  <c r="DO192" i="65" s="1"/>
  <c r="DO193" i="65" s="1"/>
  <c r="DO194" i="65" s="1"/>
  <c r="DO195" i="65" s="1"/>
  <c r="DO196" i="65" s="1"/>
  <c r="DO197" i="65" s="1"/>
  <c r="DO198" i="65" s="1"/>
  <c r="DO199" i="65" s="1"/>
  <c r="DO200" i="65" s="1"/>
  <c r="DO201" i="65" s="1"/>
  <c r="DO202" i="65" s="1"/>
  <c r="DO203" i="65" s="1"/>
  <c r="DO204" i="65" s="1"/>
  <c r="DO205" i="65" s="1"/>
  <c r="DO206" i="65" s="1"/>
  <c r="DO207" i="65" s="1"/>
  <c r="DO208" i="65" s="1"/>
  <c r="DO209" i="65" s="1"/>
  <c r="DO210" i="65" s="1"/>
  <c r="DO211" i="65" s="1"/>
  <c r="DO212" i="65" s="1"/>
  <c r="DO213" i="65" s="1"/>
  <c r="DO214" i="65" s="1"/>
  <c r="DO215" i="65" s="1"/>
  <c r="DO216" i="65" s="1"/>
  <c r="DO217" i="65" s="1"/>
  <c r="DO218" i="65" s="1"/>
  <c r="DO219" i="65" s="1"/>
  <c r="DO220" i="65" s="1"/>
  <c r="DO221" i="65" s="1"/>
  <c r="DO222" i="65" s="1"/>
  <c r="DO223" i="65" s="1"/>
  <c r="DO224" i="65" s="1"/>
  <c r="DO225" i="65" s="1"/>
  <c r="DO226" i="65" s="1"/>
  <c r="DO227" i="65" s="1"/>
  <c r="DO228" i="65" s="1"/>
  <c r="DO229" i="65" s="1"/>
  <c r="DO230" i="65" s="1"/>
  <c r="DO231" i="65" s="1"/>
  <c r="DO232" i="65" s="1"/>
  <c r="DO233" i="65" s="1"/>
  <c r="DO234" i="65" s="1"/>
  <c r="DO235" i="65" s="1"/>
  <c r="DO236" i="65" s="1"/>
  <c r="DO237" i="65" s="1"/>
  <c r="DO238" i="65" s="1"/>
  <c r="DO239" i="65" s="1"/>
  <c r="DO240" i="65" s="1"/>
  <c r="DO241" i="65" s="1"/>
  <c r="DO242" i="65" s="1"/>
  <c r="DO243" i="65" s="1"/>
  <c r="DO244" i="65" s="1"/>
  <c r="DO245" i="65" s="1"/>
  <c r="DO246" i="65" s="1"/>
  <c r="DO247" i="65" s="1"/>
  <c r="DO248" i="65" s="1"/>
  <c r="DO249" i="65" s="1"/>
  <c r="DO250" i="65" s="1"/>
  <c r="DO251" i="65" s="1"/>
  <c r="DO252" i="65" s="1"/>
  <c r="DO253" i="65" s="1"/>
  <c r="DO254" i="65" s="1"/>
  <c r="DO255" i="65" s="1"/>
  <c r="DO256" i="65" s="1"/>
  <c r="DO257" i="65" s="1"/>
  <c r="DO258" i="65" s="1"/>
  <c r="DO259" i="65" s="1"/>
  <c r="DO260" i="65" s="1"/>
  <c r="DO261" i="65" s="1"/>
  <c r="DO262" i="65" s="1"/>
  <c r="ED46" i="65"/>
  <c r="DY49" i="65"/>
  <c r="EC52" i="65"/>
  <c r="EF53" i="65"/>
  <c r="EA68" i="65"/>
  <c r="EB72" i="65"/>
  <c r="EG76" i="65"/>
  <c r="EF79" i="65"/>
  <c r="DX81" i="65"/>
  <c r="DY85" i="65"/>
  <c r="ED88" i="65"/>
  <c r="DZ95" i="65"/>
  <c r="EM44" i="65"/>
  <c r="U156" i="65"/>
  <c r="U157" i="65" s="1"/>
  <c r="EE50" i="65"/>
  <c r="W156" i="65"/>
  <c r="W157" i="65" s="1"/>
  <c r="DZ49" i="65"/>
  <c r="EG50" i="65"/>
  <c r="ED52" i="65"/>
  <c r="EF60" i="65"/>
  <c r="EB68" i="65"/>
  <c r="EG79" i="65"/>
  <c r="DY81" i="65"/>
  <c r="EE81" i="65"/>
  <c r="EG83" i="65"/>
  <c r="DY88" i="65"/>
  <c r="EA95" i="65"/>
  <c r="EF100" i="65"/>
  <c r="G156" i="65"/>
  <c r="AO156" i="65"/>
  <c r="EK156" i="65" s="1"/>
  <c r="BE156" i="65"/>
  <c r="BE157" i="65" s="1"/>
  <c r="BE158" i="65" s="1"/>
  <c r="BE159" i="65" s="1"/>
  <c r="BE160" i="65" s="1"/>
  <c r="BE161" i="65" s="1"/>
  <c r="BE162" i="65" s="1"/>
  <c r="BE163" i="65" s="1"/>
  <c r="BE164" i="65" s="1"/>
  <c r="BE165" i="65" s="1"/>
  <c r="BE166" i="65" s="1"/>
  <c r="BE167" i="65" s="1"/>
  <c r="BE168" i="65" s="1"/>
  <c r="BE169" i="65" s="1"/>
  <c r="BE170" i="65" s="1"/>
  <c r="BE171" i="65" s="1"/>
  <c r="BE172" i="65" s="1"/>
  <c r="BE173" i="65" s="1"/>
  <c r="BE174" i="65" s="1"/>
  <c r="BE175" i="65" s="1"/>
  <c r="BE176" i="65" s="1"/>
  <c r="BE177" i="65" s="1"/>
  <c r="BE178" i="65" s="1"/>
  <c r="BE179" i="65" s="1"/>
  <c r="BE180" i="65" s="1"/>
  <c r="BE181" i="65" s="1"/>
  <c r="BE182" i="65" s="1"/>
  <c r="BE183" i="65" s="1"/>
  <c r="BE184" i="65" s="1"/>
  <c r="BE185" i="65" s="1"/>
  <c r="BE186" i="65" s="1"/>
  <c r="BE187" i="65" s="1"/>
  <c r="BE188" i="65" s="1"/>
  <c r="BE189" i="65" s="1"/>
  <c r="BE190" i="65" s="1"/>
  <c r="BE191" i="65" s="1"/>
  <c r="BE192" i="65" s="1"/>
  <c r="BE193" i="65" s="1"/>
  <c r="BE194" i="65" s="1"/>
  <c r="BE195" i="65" s="1"/>
  <c r="BE196" i="65" s="1"/>
  <c r="BE197" i="65" s="1"/>
  <c r="BE198" i="65" s="1"/>
  <c r="BE199" i="65" s="1"/>
  <c r="BE200" i="65" s="1"/>
  <c r="BE201" i="65" s="1"/>
  <c r="BE202" i="65" s="1"/>
  <c r="BE203" i="65" s="1"/>
  <c r="BE204" i="65" s="1"/>
  <c r="BE205" i="65" s="1"/>
  <c r="BE206" i="65" s="1"/>
  <c r="BE207" i="65" s="1"/>
  <c r="BE208" i="65" s="1"/>
  <c r="BE209" i="65" s="1"/>
  <c r="BE210" i="65" s="1"/>
  <c r="BE211" i="65" s="1"/>
  <c r="BE212" i="65" s="1"/>
  <c r="BE213" i="65" s="1"/>
  <c r="BE214" i="65" s="1"/>
  <c r="BE215" i="65" s="1"/>
  <c r="BE216" i="65" s="1"/>
  <c r="BE217" i="65" s="1"/>
  <c r="BE218" i="65" s="1"/>
  <c r="BE219" i="65" s="1"/>
  <c r="BE220" i="65" s="1"/>
  <c r="BE221" i="65" s="1"/>
  <c r="BE222" i="65" s="1"/>
  <c r="BE223" i="65" s="1"/>
  <c r="BE224" i="65" s="1"/>
  <c r="BE225" i="65" s="1"/>
  <c r="BE226" i="65" s="1"/>
  <c r="BE227" i="65" s="1"/>
  <c r="BE228" i="65" s="1"/>
  <c r="BE229" i="65" s="1"/>
  <c r="BE230" i="65" s="1"/>
  <c r="BE231" i="65" s="1"/>
  <c r="BE232" i="65" s="1"/>
  <c r="BE233" i="65" s="1"/>
  <c r="BE234" i="65" s="1"/>
  <c r="BE235" i="65" s="1"/>
  <c r="BE236" i="65" s="1"/>
  <c r="BE237" i="65" s="1"/>
  <c r="BE238" i="65" s="1"/>
  <c r="BE239" i="65" s="1"/>
  <c r="BE240" i="65" s="1"/>
  <c r="BE241" i="65" s="1"/>
  <c r="BE242" i="65" s="1"/>
  <c r="BE243" i="65" s="1"/>
  <c r="BE244" i="65" s="1"/>
  <c r="BE245" i="65" s="1"/>
  <c r="BE246" i="65" s="1"/>
  <c r="BE247" i="65" s="1"/>
  <c r="BE248" i="65" s="1"/>
  <c r="BE249" i="65" s="1"/>
  <c r="BE250" i="65" s="1"/>
  <c r="BE251" i="65" s="1"/>
  <c r="BE252" i="65" s="1"/>
  <c r="BE253" i="65" s="1"/>
  <c r="BE254" i="65" s="1"/>
  <c r="BE255" i="65" s="1"/>
  <c r="BE256" i="65" s="1"/>
  <c r="BE257" i="65" s="1"/>
  <c r="BE258" i="65" s="1"/>
  <c r="BE259" i="65" s="1"/>
  <c r="BE260" i="65" s="1"/>
  <c r="BE261" i="65" s="1"/>
  <c r="BE262" i="65" s="1"/>
  <c r="BU156" i="65"/>
  <c r="BU157" i="65" s="1"/>
  <c r="BU158" i="65" s="1"/>
  <c r="BU159" i="65" s="1"/>
  <c r="BU160" i="65" s="1"/>
  <c r="BU161" i="65" s="1"/>
  <c r="BU162" i="65" s="1"/>
  <c r="BU163" i="65" s="1"/>
  <c r="BU164" i="65" s="1"/>
  <c r="BU165" i="65" s="1"/>
  <c r="BU166" i="65" s="1"/>
  <c r="BU167" i="65" s="1"/>
  <c r="BU168" i="65" s="1"/>
  <c r="BU169" i="65" s="1"/>
  <c r="BU170" i="65" s="1"/>
  <c r="BU171" i="65" s="1"/>
  <c r="BU172" i="65" s="1"/>
  <c r="BU173" i="65" s="1"/>
  <c r="BU174" i="65" s="1"/>
  <c r="BU175" i="65" s="1"/>
  <c r="BU176" i="65" s="1"/>
  <c r="BU177" i="65" s="1"/>
  <c r="BU178" i="65" s="1"/>
  <c r="BU179" i="65" s="1"/>
  <c r="BU180" i="65" s="1"/>
  <c r="BU181" i="65" s="1"/>
  <c r="BU182" i="65" s="1"/>
  <c r="BU183" i="65" s="1"/>
  <c r="BU184" i="65" s="1"/>
  <c r="BU185" i="65" s="1"/>
  <c r="BU186" i="65" s="1"/>
  <c r="BU187" i="65" s="1"/>
  <c r="BU188" i="65" s="1"/>
  <c r="BU189" i="65" s="1"/>
  <c r="BU190" i="65" s="1"/>
  <c r="BU191" i="65" s="1"/>
  <c r="BU192" i="65" s="1"/>
  <c r="BU193" i="65" s="1"/>
  <c r="BU194" i="65" s="1"/>
  <c r="BU195" i="65" s="1"/>
  <c r="BU196" i="65" s="1"/>
  <c r="BU197" i="65" s="1"/>
  <c r="BU198" i="65" s="1"/>
  <c r="BU199" i="65" s="1"/>
  <c r="BU200" i="65" s="1"/>
  <c r="BU201" i="65" s="1"/>
  <c r="BU202" i="65" s="1"/>
  <c r="BU203" i="65" s="1"/>
  <c r="BU204" i="65" s="1"/>
  <c r="BU205" i="65" s="1"/>
  <c r="BU206" i="65" s="1"/>
  <c r="BU207" i="65" s="1"/>
  <c r="BU208" i="65" s="1"/>
  <c r="BU209" i="65" s="1"/>
  <c r="BU210" i="65" s="1"/>
  <c r="BU211" i="65" s="1"/>
  <c r="BU212" i="65" s="1"/>
  <c r="BU213" i="65" s="1"/>
  <c r="BU214" i="65" s="1"/>
  <c r="BU215" i="65" s="1"/>
  <c r="BU216" i="65" s="1"/>
  <c r="BU217" i="65" s="1"/>
  <c r="BU218" i="65" s="1"/>
  <c r="BU219" i="65" s="1"/>
  <c r="BU220" i="65" s="1"/>
  <c r="BU221" i="65" s="1"/>
  <c r="BU222" i="65" s="1"/>
  <c r="BU223" i="65" s="1"/>
  <c r="BU224" i="65" s="1"/>
  <c r="BU225" i="65" s="1"/>
  <c r="BU226" i="65" s="1"/>
  <c r="BU227" i="65" s="1"/>
  <c r="BU228" i="65" s="1"/>
  <c r="BU229" i="65" s="1"/>
  <c r="BU230" i="65" s="1"/>
  <c r="BU231" i="65" s="1"/>
  <c r="BU232" i="65" s="1"/>
  <c r="BU233" i="65" s="1"/>
  <c r="BU234" i="65" s="1"/>
  <c r="BU235" i="65" s="1"/>
  <c r="BU236" i="65" s="1"/>
  <c r="BU237" i="65" s="1"/>
  <c r="BU238" i="65" s="1"/>
  <c r="BU239" i="65" s="1"/>
  <c r="BU240" i="65" s="1"/>
  <c r="BU241" i="65" s="1"/>
  <c r="BU242" i="65" s="1"/>
  <c r="BU243" i="65" s="1"/>
  <c r="BU244" i="65" s="1"/>
  <c r="BU245" i="65" s="1"/>
  <c r="BU246" i="65" s="1"/>
  <c r="BU247" i="65" s="1"/>
  <c r="BU248" i="65" s="1"/>
  <c r="BU249" i="65" s="1"/>
  <c r="BU250" i="65" s="1"/>
  <c r="BU251" i="65" s="1"/>
  <c r="BU252" i="65" s="1"/>
  <c r="BU253" i="65" s="1"/>
  <c r="BU254" i="65" s="1"/>
  <c r="BU255" i="65" s="1"/>
  <c r="BU256" i="65" s="1"/>
  <c r="BU257" i="65" s="1"/>
  <c r="BU258" i="65" s="1"/>
  <c r="BU259" i="65" s="1"/>
  <c r="BU260" i="65" s="1"/>
  <c r="BU261" i="65" s="1"/>
  <c r="BU262" i="65" s="1"/>
  <c r="CK156" i="65"/>
  <c r="CK157" i="65" s="1"/>
  <c r="CK158" i="65" s="1"/>
  <c r="CK159" i="65" s="1"/>
  <c r="CK160" i="65" s="1"/>
  <c r="CK161" i="65" s="1"/>
  <c r="CK162" i="65" s="1"/>
  <c r="CK163" i="65" s="1"/>
  <c r="CK164" i="65" s="1"/>
  <c r="CK165" i="65" s="1"/>
  <c r="CK166" i="65" s="1"/>
  <c r="CK167" i="65" s="1"/>
  <c r="CK168" i="65" s="1"/>
  <c r="CK169" i="65" s="1"/>
  <c r="CK170" i="65" s="1"/>
  <c r="CK171" i="65" s="1"/>
  <c r="CK172" i="65" s="1"/>
  <c r="CK173" i="65" s="1"/>
  <c r="CK174" i="65" s="1"/>
  <c r="CK175" i="65" s="1"/>
  <c r="CK176" i="65" s="1"/>
  <c r="CK177" i="65" s="1"/>
  <c r="CK178" i="65" s="1"/>
  <c r="CK179" i="65" s="1"/>
  <c r="CK180" i="65" s="1"/>
  <c r="CK181" i="65" s="1"/>
  <c r="CK182" i="65" s="1"/>
  <c r="CK183" i="65" s="1"/>
  <c r="CK184" i="65" s="1"/>
  <c r="CK185" i="65" s="1"/>
  <c r="CK186" i="65" s="1"/>
  <c r="CK187" i="65" s="1"/>
  <c r="CK188" i="65" s="1"/>
  <c r="CK189" i="65" s="1"/>
  <c r="CK190" i="65" s="1"/>
  <c r="CK191" i="65" s="1"/>
  <c r="CK192" i="65" s="1"/>
  <c r="CK193" i="65" s="1"/>
  <c r="CK194" i="65" s="1"/>
  <c r="CK195" i="65" s="1"/>
  <c r="CK196" i="65" s="1"/>
  <c r="CK197" i="65" s="1"/>
  <c r="CK198" i="65" s="1"/>
  <c r="CK199" i="65" s="1"/>
  <c r="CK200" i="65" s="1"/>
  <c r="CK201" i="65" s="1"/>
  <c r="CK202" i="65" s="1"/>
  <c r="CK203" i="65" s="1"/>
  <c r="CK204" i="65" s="1"/>
  <c r="CK205" i="65" s="1"/>
  <c r="CK206" i="65" s="1"/>
  <c r="CK207" i="65" s="1"/>
  <c r="CK208" i="65" s="1"/>
  <c r="CK209" i="65" s="1"/>
  <c r="CK210" i="65" s="1"/>
  <c r="CK211" i="65" s="1"/>
  <c r="CK212" i="65" s="1"/>
  <c r="CK213" i="65" s="1"/>
  <c r="CK214" i="65" s="1"/>
  <c r="CK215" i="65" s="1"/>
  <c r="CK216" i="65" s="1"/>
  <c r="CK217" i="65" s="1"/>
  <c r="CK218" i="65" s="1"/>
  <c r="CK219" i="65" s="1"/>
  <c r="CK220" i="65" s="1"/>
  <c r="CK221" i="65" s="1"/>
  <c r="CK222" i="65" s="1"/>
  <c r="CK223" i="65" s="1"/>
  <c r="CK224" i="65" s="1"/>
  <c r="CK225" i="65" s="1"/>
  <c r="CK226" i="65" s="1"/>
  <c r="CK227" i="65" s="1"/>
  <c r="CK228" i="65" s="1"/>
  <c r="CK229" i="65" s="1"/>
  <c r="CK230" i="65" s="1"/>
  <c r="CK231" i="65" s="1"/>
  <c r="CK232" i="65" s="1"/>
  <c r="CK233" i="65" s="1"/>
  <c r="CK234" i="65" s="1"/>
  <c r="CK235" i="65" s="1"/>
  <c r="CK236" i="65" s="1"/>
  <c r="CK237" i="65" s="1"/>
  <c r="CK238" i="65" s="1"/>
  <c r="CK239" i="65" s="1"/>
  <c r="CK240" i="65" s="1"/>
  <c r="CK241" i="65" s="1"/>
  <c r="CK242" i="65" s="1"/>
  <c r="CK243" i="65" s="1"/>
  <c r="CK244" i="65" s="1"/>
  <c r="CK245" i="65" s="1"/>
  <c r="CK246" i="65" s="1"/>
  <c r="CK247" i="65" s="1"/>
  <c r="CK248" i="65" s="1"/>
  <c r="CK249" i="65" s="1"/>
  <c r="CK250" i="65" s="1"/>
  <c r="CK251" i="65" s="1"/>
  <c r="CK252" i="65" s="1"/>
  <c r="CK253" i="65" s="1"/>
  <c r="CK254" i="65" s="1"/>
  <c r="CK255" i="65" s="1"/>
  <c r="CK256" i="65" s="1"/>
  <c r="CK257" i="65" s="1"/>
  <c r="CK258" i="65" s="1"/>
  <c r="CK259" i="65" s="1"/>
  <c r="CK260" i="65" s="1"/>
  <c r="CK261" i="65" s="1"/>
  <c r="CK262" i="65" s="1"/>
  <c r="EA49" i="65"/>
  <c r="EB55" i="65"/>
  <c r="DX58" i="65"/>
  <c r="EE63" i="65"/>
  <c r="EF86" i="65"/>
  <c r="EA99" i="65"/>
  <c r="DY46" i="65"/>
  <c r="DZ48" i="65"/>
  <c r="EC155" i="65"/>
  <c r="Y156" i="65"/>
  <c r="Y157" i="65" s="1"/>
  <c r="Y158" i="65" s="1"/>
  <c r="AP156" i="65"/>
  <c r="EL156" i="65" s="1"/>
  <c r="BF156" i="65"/>
  <c r="BF157" i="65" s="1"/>
  <c r="BF158" i="65" s="1"/>
  <c r="BF159" i="65" s="1"/>
  <c r="BF160" i="65" s="1"/>
  <c r="BF161" i="65" s="1"/>
  <c r="BF162" i="65" s="1"/>
  <c r="BF163" i="65" s="1"/>
  <c r="BF164" i="65" s="1"/>
  <c r="BF165" i="65" s="1"/>
  <c r="BF166" i="65" s="1"/>
  <c r="BF167" i="65" s="1"/>
  <c r="BF168" i="65" s="1"/>
  <c r="BF169" i="65" s="1"/>
  <c r="BF170" i="65" s="1"/>
  <c r="BF171" i="65" s="1"/>
  <c r="BF172" i="65" s="1"/>
  <c r="BF173" i="65" s="1"/>
  <c r="BF174" i="65" s="1"/>
  <c r="BF175" i="65" s="1"/>
  <c r="BF176" i="65" s="1"/>
  <c r="BF177" i="65" s="1"/>
  <c r="BF178" i="65" s="1"/>
  <c r="BF179" i="65" s="1"/>
  <c r="BF180" i="65" s="1"/>
  <c r="BF181" i="65" s="1"/>
  <c r="BF182" i="65" s="1"/>
  <c r="BF183" i="65" s="1"/>
  <c r="BF184" i="65" s="1"/>
  <c r="BF185" i="65" s="1"/>
  <c r="BF186" i="65" s="1"/>
  <c r="BF187" i="65" s="1"/>
  <c r="BF188" i="65" s="1"/>
  <c r="BF189" i="65" s="1"/>
  <c r="BF190" i="65" s="1"/>
  <c r="BF191" i="65" s="1"/>
  <c r="BF192" i="65" s="1"/>
  <c r="BF193" i="65" s="1"/>
  <c r="BF194" i="65" s="1"/>
  <c r="BF195" i="65" s="1"/>
  <c r="BF196" i="65" s="1"/>
  <c r="BF197" i="65" s="1"/>
  <c r="BF198" i="65" s="1"/>
  <c r="BF199" i="65" s="1"/>
  <c r="BF200" i="65" s="1"/>
  <c r="BF201" i="65" s="1"/>
  <c r="BF202" i="65" s="1"/>
  <c r="BF203" i="65" s="1"/>
  <c r="BF204" i="65" s="1"/>
  <c r="BF205" i="65" s="1"/>
  <c r="BF206" i="65" s="1"/>
  <c r="BF207" i="65" s="1"/>
  <c r="BF208" i="65" s="1"/>
  <c r="BF209" i="65" s="1"/>
  <c r="BF210" i="65" s="1"/>
  <c r="BF211" i="65" s="1"/>
  <c r="BF212" i="65" s="1"/>
  <c r="BF213" i="65" s="1"/>
  <c r="BF214" i="65" s="1"/>
  <c r="BF215" i="65" s="1"/>
  <c r="BF216" i="65" s="1"/>
  <c r="BF217" i="65" s="1"/>
  <c r="BF218" i="65" s="1"/>
  <c r="BF219" i="65" s="1"/>
  <c r="BF220" i="65" s="1"/>
  <c r="BF221" i="65" s="1"/>
  <c r="BF222" i="65" s="1"/>
  <c r="BF223" i="65" s="1"/>
  <c r="BF224" i="65" s="1"/>
  <c r="BF225" i="65" s="1"/>
  <c r="BF226" i="65" s="1"/>
  <c r="BF227" i="65" s="1"/>
  <c r="BF228" i="65" s="1"/>
  <c r="BF229" i="65" s="1"/>
  <c r="BF230" i="65" s="1"/>
  <c r="BF231" i="65" s="1"/>
  <c r="BF232" i="65" s="1"/>
  <c r="BF233" i="65" s="1"/>
  <c r="BF234" i="65" s="1"/>
  <c r="BF235" i="65" s="1"/>
  <c r="BF236" i="65" s="1"/>
  <c r="BF237" i="65" s="1"/>
  <c r="BF238" i="65" s="1"/>
  <c r="BF239" i="65" s="1"/>
  <c r="BF240" i="65" s="1"/>
  <c r="BF241" i="65" s="1"/>
  <c r="BF242" i="65" s="1"/>
  <c r="BF243" i="65" s="1"/>
  <c r="BF244" i="65" s="1"/>
  <c r="BF245" i="65" s="1"/>
  <c r="BF246" i="65" s="1"/>
  <c r="BF247" i="65" s="1"/>
  <c r="BF248" i="65" s="1"/>
  <c r="BF249" i="65" s="1"/>
  <c r="BF250" i="65" s="1"/>
  <c r="BF251" i="65" s="1"/>
  <c r="BF252" i="65" s="1"/>
  <c r="BF253" i="65" s="1"/>
  <c r="BF254" i="65" s="1"/>
  <c r="BF255" i="65" s="1"/>
  <c r="BF256" i="65" s="1"/>
  <c r="BF257" i="65" s="1"/>
  <c r="BF258" i="65" s="1"/>
  <c r="BF259" i="65" s="1"/>
  <c r="BF260" i="65" s="1"/>
  <c r="BF261" i="65" s="1"/>
  <c r="BF262" i="65" s="1"/>
  <c r="BV156" i="65"/>
  <c r="BV157" i="65" s="1"/>
  <c r="BV158" i="65" s="1"/>
  <c r="BV159" i="65" s="1"/>
  <c r="BV160" i="65" s="1"/>
  <c r="BV161" i="65" s="1"/>
  <c r="BV162" i="65" s="1"/>
  <c r="BV163" i="65" s="1"/>
  <c r="BV164" i="65" s="1"/>
  <c r="BV165" i="65" s="1"/>
  <c r="BV166" i="65" s="1"/>
  <c r="BV167" i="65" s="1"/>
  <c r="BV168" i="65" s="1"/>
  <c r="BV169" i="65" s="1"/>
  <c r="BV170" i="65" s="1"/>
  <c r="BV171" i="65" s="1"/>
  <c r="BV172" i="65" s="1"/>
  <c r="BV173" i="65" s="1"/>
  <c r="BV174" i="65" s="1"/>
  <c r="BV175" i="65" s="1"/>
  <c r="BV176" i="65" s="1"/>
  <c r="BV177" i="65" s="1"/>
  <c r="BV178" i="65" s="1"/>
  <c r="BV179" i="65" s="1"/>
  <c r="BV180" i="65" s="1"/>
  <c r="BV181" i="65" s="1"/>
  <c r="BV182" i="65" s="1"/>
  <c r="BV183" i="65" s="1"/>
  <c r="BV184" i="65" s="1"/>
  <c r="BV185" i="65" s="1"/>
  <c r="BV186" i="65" s="1"/>
  <c r="BV187" i="65" s="1"/>
  <c r="BV188" i="65" s="1"/>
  <c r="BV189" i="65" s="1"/>
  <c r="BV190" i="65" s="1"/>
  <c r="BV191" i="65" s="1"/>
  <c r="BV192" i="65" s="1"/>
  <c r="BV193" i="65" s="1"/>
  <c r="BV194" i="65" s="1"/>
  <c r="BV195" i="65" s="1"/>
  <c r="BV196" i="65" s="1"/>
  <c r="BV197" i="65" s="1"/>
  <c r="BV198" i="65" s="1"/>
  <c r="BV199" i="65" s="1"/>
  <c r="BV200" i="65" s="1"/>
  <c r="BV201" i="65" s="1"/>
  <c r="BV202" i="65" s="1"/>
  <c r="BV203" i="65" s="1"/>
  <c r="BV204" i="65" s="1"/>
  <c r="BV205" i="65" s="1"/>
  <c r="BV206" i="65" s="1"/>
  <c r="BV207" i="65" s="1"/>
  <c r="BV208" i="65" s="1"/>
  <c r="BV209" i="65" s="1"/>
  <c r="BV210" i="65" s="1"/>
  <c r="BV211" i="65" s="1"/>
  <c r="BV212" i="65" s="1"/>
  <c r="BV213" i="65" s="1"/>
  <c r="BV214" i="65" s="1"/>
  <c r="BV215" i="65" s="1"/>
  <c r="BV216" i="65" s="1"/>
  <c r="BV217" i="65" s="1"/>
  <c r="BV218" i="65" s="1"/>
  <c r="BV219" i="65" s="1"/>
  <c r="BV220" i="65" s="1"/>
  <c r="BV221" i="65" s="1"/>
  <c r="BV222" i="65" s="1"/>
  <c r="BV223" i="65" s="1"/>
  <c r="BV224" i="65" s="1"/>
  <c r="BV225" i="65" s="1"/>
  <c r="BV226" i="65" s="1"/>
  <c r="BV227" i="65" s="1"/>
  <c r="BV228" i="65" s="1"/>
  <c r="BV229" i="65" s="1"/>
  <c r="BV230" i="65" s="1"/>
  <c r="BV231" i="65" s="1"/>
  <c r="BV232" i="65" s="1"/>
  <c r="BV233" i="65" s="1"/>
  <c r="BV234" i="65" s="1"/>
  <c r="BV235" i="65" s="1"/>
  <c r="BV236" i="65" s="1"/>
  <c r="BV237" i="65" s="1"/>
  <c r="BV238" i="65" s="1"/>
  <c r="BV239" i="65" s="1"/>
  <c r="BV240" i="65" s="1"/>
  <c r="BV241" i="65" s="1"/>
  <c r="BV242" i="65" s="1"/>
  <c r="BV243" i="65" s="1"/>
  <c r="BV244" i="65" s="1"/>
  <c r="BV245" i="65" s="1"/>
  <c r="BV246" i="65" s="1"/>
  <c r="BV247" i="65" s="1"/>
  <c r="BV248" i="65" s="1"/>
  <c r="BV249" i="65" s="1"/>
  <c r="BV250" i="65" s="1"/>
  <c r="BV251" i="65" s="1"/>
  <c r="BV252" i="65" s="1"/>
  <c r="BV253" i="65" s="1"/>
  <c r="BV254" i="65" s="1"/>
  <c r="BV255" i="65" s="1"/>
  <c r="BV256" i="65" s="1"/>
  <c r="BV257" i="65" s="1"/>
  <c r="BV258" i="65" s="1"/>
  <c r="BV259" i="65" s="1"/>
  <c r="BV260" i="65" s="1"/>
  <c r="BV261" i="65" s="1"/>
  <c r="BV262" i="65" s="1"/>
  <c r="CL156" i="65"/>
  <c r="CL157" i="65" s="1"/>
  <c r="CL158" i="65" s="1"/>
  <c r="CL159" i="65" s="1"/>
  <c r="CL160" i="65" s="1"/>
  <c r="CL161" i="65" s="1"/>
  <c r="CL162" i="65" s="1"/>
  <c r="CL163" i="65" s="1"/>
  <c r="CL164" i="65" s="1"/>
  <c r="CL165" i="65" s="1"/>
  <c r="CL166" i="65" s="1"/>
  <c r="CL167" i="65" s="1"/>
  <c r="CL168" i="65" s="1"/>
  <c r="CL169" i="65" s="1"/>
  <c r="CL170" i="65" s="1"/>
  <c r="CL171" i="65" s="1"/>
  <c r="CL172" i="65" s="1"/>
  <c r="CL173" i="65" s="1"/>
  <c r="CL174" i="65" s="1"/>
  <c r="CL175" i="65" s="1"/>
  <c r="CL176" i="65" s="1"/>
  <c r="CL177" i="65" s="1"/>
  <c r="CL178" i="65" s="1"/>
  <c r="CL179" i="65" s="1"/>
  <c r="CL180" i="65" s="1"/>
  <c r="CL181" i="65" s="1"/>
  <c r="CL182" i="65" s="1"/>
  <c r="CL183" i="65" s="1"/>
  <c r="CL184" i="65" s="1"/>
  <c r="CL185" i="65" s="1"/>
  <c r="CL186" i="65" s="1"/>
  <c r="CL187" i="65" s="1"/>
  <c r="CL188" i="65" s="1"/>
  <c r="CL189" i="65" s="1"/>
  <c r="CL190" i="65" s="1"/>
  <c r="CL191" i="65" s="1"/>
  <c r="CL192" i="65" s="1"/>
  <c r="CL193" i="65" s="1"/>
  <c r="CL194" i="65" s="1"/>
  <c r="CL195" i="65" s="1"/>
  <c r="CL196" i="65" s="1"/>
  <c r="CL197" i="65" s="1"/>
  <c r="CL198" i="65" s="1"/>
  <c r="CL199" i="65" s="1"/>
  <c r="CL200" i="65" s="1"/>
  <c r="CL201" i="65" s="1"/>
  <c r="CL202" i="65" s="1"/>
  <c r="CL203" i="65" s="1"/>
  <c r="CL204" i="65" s="1"/>
  <c r="CL205" i="65" s="1"/>
  <c r="CL206" i="65" s="1"/>
  <c r="CL207" i="65" s="1"/>
  <c r="CL208" i="65" s="1"/>
  <c r="CL209" i="65" s="1"/>
  <c r="CL210" i="65" s="1"/>
  <c r="CL211" i="65" s="1"/>
  <c r="CL212" i="65" s="1"/>
  <c r="CL213" i="65" s="1"/>
  <c r="CL214" i="65" s="1"/>
  <c r="CL215" i="65" s="1"/>
  <c r="CL216" i="65" s="1"/>
  <c r="CL217" i="65" s="1"/>
  <c r="CL218" i="65" s="1"/>
  <c r="CL219" i="65" s="1"/>
  <c r="CL220" i="65" s="1"/>
  <c r="CL221" i="65" s="1"/>
  <c r="CL222" i="65" s="1"/>
  <c r="CL223" i="65" s="1"/>
  <c r="CL224" i="65" s="1"/>
  <c r="CL225" i="65" s="1"/>
  <c r="CL226" i="65" s="1"/>
  <c r="CL227" i="65" s="1"/>
  <c r="CL228" i="65" s="1"/>
  <c r="CL229" i="65" s="1"/>
  <c r="CL230" i="65" s="1"/>
  <c r="CL231" i="65" s="1"/>
  <c r="CL232" i="65" s="1"/>
  <c r="CL233" i="65" s="1"/>
  <c r="CL234" i="65" s="1"/>
  <c r="CL235" i="65" s="1"/>
  <c r="CL236" i="65" s="1"/>
  <c r="CL237" i="65" s="1"/>
  <c r="CL238" i="65" s="1"/>
  <c r="CL239" i="65" s="1"/>
  <c r="CL240" i="65" s="1"/>
  <c r="CL241" i="65" s="1"/>
  <c r="CL242" i="65" s="1"/>
  <c r="CL243" i="65" s="1"/>
  <c r="CL244" i="65" s="1"/>
  <c r="CL245" i="65" s="1"/>
  <c r="CL246" i="65" s="1"/>
  <c r="CL247" i="65" s="1"/>
  <c r="CL248" i="65" s="1"/>
  <c r="CL249" i="65" s="1"/>
  <c r="CL250" i="65" s="1"/>
  <c r="CL251" i="65" s="1"/>
  <c r="CL252" i="65" s="1"/>
  <c r="CL253" i="65" s="1"/>
  <c r="CL254" i="65" s="1"/>
  <c r="CL255" i="65" s="1"/>
  <c r="CL256" i="65" s="1"/>
  <c r="CL257" i="65" s="1"/>
  <c r="CL258" i="65" s="1"/>
  <c r="CL259" i="65" s="1"/>
  <c r="CL260" i="65" s="1"/>
  <c r="CL261" i="65" s="1"/>
  <c r="CL262" i="65" s="1"/>
  <c r="DB156" i="65"/>
  <c r="DB157" i="65" s="1"/>
  <c r="DB158" i="65" s="1"/>
  <c r="DB159" i="65" s="1"/>
  <c r="DB160" i="65" s="1"/>
  <c r="DB161" i="65" s="1"/>
  <c r="DB162" i="65" s="1"/>
  <c r="DB163" i="65" s="1"/>
  <c r="DB164" i="65" s="1"/>
  <c r="DB165" i="65" s="1"/>
  <c r="DB166" i="65" s="1"/>
  <c r="DB167" i="65" s="1"/>
  <c r="DB168" i="65" s="1"/>
  <c r="DB169" i="65" s="1"/>
  <c r="DB170" i="65" s="1"/>
  <c r="DB171" i="65" s="1"/>
  <c r="DB172" i="65" s="1"/>
  <c r="DB173" i="65" s="1"/>
  <c r="DB174" i="65" s="1"/>
  <c r="DB175" i="65" s="1"/>
  <c r="DB176" i="65" s="1"/>
  <c r="DB177" i="65" s="1"/>
  <c r="DB178" i="65" s="1"/>
  <c r="DB179" i="65" s="1"/>
  <c r="DB180" i="65" s="1"/>
  <c r="DB181" i="65" s="1"/>
  <c r="DB182" i="65" s="1"/>
  <c r="DB183" i="65" s="1"/>
  <c r="DB184" i="65" s="1"/>
  <c r="DB185" i="65" s="1"/>
  <c r="DB186" i="65" s="1"/>
  <c r="DB187" i="65" s="1"/>
  <c r="DB188" i="65" s="1"/>
  <c r="DB189" i="65" s="1"/>
  <c r="DB190" i="65" s="1"/>
  <c r="DB191" i="65" s="1"/>
  <c r="DB192" i="65" s="1"/>
  <c r="DB193" i="65" s="1"/>
  <c r="DB194" i="65" s="1"/>
  <c r="DB195" i="65" s="1"/>
  <c r="DB196" i="65" s="1"/>
  <c r="DB197" i="65" s="1"/>
  <c r="DB198" i="65" s="1"/>
  <c r="DB199" i="65" s="1"/>
  <c r="DB200" i="65" s="1"/>
  <c r="DB201" i="65" s="1"/>
  <c r="DB202" i="65" s="1"/>
  <c r="DB203" i="65" s="1"/>
  <c r="DB204" i="65" s="1"/>
  <c r="DB205" i="65" s="1"/>
  <c r="DB206" i="65" s="1"/>
  <c r="DB207" i="65" s="1"/>
  <c r="DB208" i="65" s="1"/>
  <c r="DB209" i="65" s="1"/>
  <c r="DB210" i="65" s="1"/>
  <c r="DB211" i="65" s="1"/>
  <c r="DB212" i="65" s="1"/>
  <c r="DB213" i="65" s="1"/>
  <c r="DB214" i="65" s="1"/>
  <c r="DB215" i="65" s="1"/>
  <c r="DB216" i="65" s="1"/>
  <c r="DB217" i="65" s="1"/>
  <c r="DB218" i="65" s="1"/>
  <c r="DB219" i="65" s="1"/>
  <c r="DB220" i="65" s="1"/>
  <c r="DB221" i="65" s="1"/>
  <c r="DB222" i="65" s="1"/>
  <c r="DB223" i="65" s="1"/>
  <c r="DB224" i="65" s="1"/>
  <c r="DB225" i="65" s="1"/>
  <c r="DB226" i="65" s="1"/>
  <c r="DB227" i="65" s="1"/>
  <c r="DB228" i="65" s="1"/>
  <c r="DB229" i="65" s="1"/>
  <c r="DB230" i="65" s="1"/>
  <c r="DB231" i="65" s="1"/>
  <c r="DB232" i="65" s="1"/>
  <c r="DB233" i="65" s="1"/>
  <c r="DB234" i="65" s="1"/>
  <c r="DB235" i="65" s="1"/>
  <c r="DB236" i="65" s="1"/>
  <c r="DB237" i="65" s="1"/>
  <c r="DB238" i="65" s="1"/>
  <c r="DB239" i="65" s="1"/>
  <c r="DB240" i="65" s="1"/>
  <c r="DB241" i="65" s="1"/>
  <c r="DB242" i="65" s="1"/>
  <c r="DB243" i="65" s="1"/>
  <c r="DB244" i="65" s="1"/>
  <c r="DB245" i="65" s="1"/>
  <c r="DB246" i="65" s="1"/>
  <c r="DB247" i="65" s="1"/>
  <c r="DB248" i="65" s="1"/>
  <c r="DB249" i="65" s="1"/>
  <c r="DB250" i="65" s="1"/>
  <c r="DB251" i="65" s="1"/>
  <c r="DB252" i="65" s="1"/>
  <c r="DB253" i="65" s="1"/>
  <c r="DB254" i="65" s="1"/>
  <c r="DB255" i="65" s="1"/>
  <c r="DB256" i="65" s="1"/>
  <c r="DB257" i="65" s="1"/>
  <c r="DB258" i="65" s="1"/>
  <c r="DB259" i="65" s="1"/>
  <c r="DB260" i="65" s="1"/>
  <c r="DB261" i="65" s="1"/>
  <c r="DB262" i="65" s="1"/>
  <c r="DR156" i="65"/>
  <c r="DR157" i="65" s="1"/>
  <c r="DR158" i="65" s="1"/>
  <c r="DR159" i="65" s="1"/>
  <c r="DR160" i="65" s="1"/>
  <c r="DR161" i="65" s="1"/>
  <c r="DR162" i="65" s="1"/>
  <c r="DR163" i="65" s="1"/>
  <c r="DR164" i="65" s="1"/>
  <c r="DR165" i="65" s="1"/>
  <c r="DR166" i="65" s="1"/>
  <c r="DR167" i="65" s="1"/>
  <c r="DR168" i="65" s="1"/>
  <c r="DR169" i="65" s="1"/>
  <c r="DR170" i="65" s="1"/>
  <c r="DR171" i="65" s="1"/>
  <c r="DR172" i="65" s="1"/>
  <c r="DR173" i="65" s="1"/>
  <c r="DR174" i="65" s="1"/>
  <c r="DR175" i="65" s="1"/>
  <c r="DR176" i="65" s="1"/>
  <c r="DR177" i="65" s="1"/>
  <c r="DR178" i="65" s="1"/>
  <c r="DR179" i="65" s="1"/>
  <c r="DR180" i="65" s="1"/>
  <c r="DR181" i="65" s="1"/>
  <c r="DR182" i="65" s="1"/>
  <c r="DR183" i="65" s="1"/>
  <c r="DR184" i="65" s="1"/>
  <c r="DR185" i="65" s="1"/>
  <c r="DR186" i="65" s="1"/>
  <c r="DR187" i="65" s="1"/>
  <c r="DR188" i="65" s="1"/>
  <c r="DR189" i="65" s="1"/>
  <c r="DR190" i="65" s="1"/>
  <c r="DR191" i="65" s="1"/>
  <c r="DR192" i="65" s="1"/>
  <c r="DR193" i="65" s="1"/>
  <c r="DR194" i="65" s="1"/>
  <c r="DR195" i="65" s="1"/>
  <c r="DR196" i="65" s="1"/>
  <c r="DR197" i="65" s="1"/>
  <c r="DR198" i="65" s="1"/>
  <c r="DR199" i="65" s="1"/>
  <c r="DR200" i="65" s="1"/>
  <c r="DR201" i="65" s="1"/>
  <c r="DR202" i="65" s="1"/>
  <c r="DR203" i="65" s="1"/>
  <c r="DR204" i="65" s="1"/>
  <c r="DR205" i="65" s="1"/>
  <c r="DR206" i="65" s="1"/>
  <c r="DR207" i="65" s="1"/>
  <c r="DR208" i="65" s="1"/>
  <c r="DR209" i="65" s="1"/>
  <c r="DR210" i="65" s="1"/>
  <c r="DR211" i="65" s="1"/>
  <c r="DR212" i="65" s="1"/>
  <c r="DR213" i="65" s="1"/>
  <c r="DR214" i="65" s="1"/>
  <c r="DR215" i="65" s="1"/>
  <c r="DR216" i="65" s="1"/>
  <c r="DR217" i="65" s="1"/>
  <c r="DR218" i="65" s="1"/>
  <c r="DR219" i="65" s="1"/>
  <c r="DR220" i="65" s="1"/>
  <c r="DR221" i="65" s="1"/>
  <c r="DR222" i="65" s="1"/>
  <c r="DR223" i="65" s="1"/>
  <c r="DR224" i="65" s="1"/>
  <c r="DR225" i="65" s="1"/>
  <c r="DR226" i="65" s="1"/>
  <c r="DR227" i="65" s="1"/>
  <c r="DR228" i="65" s="1"/>
  <c r="DR229" i="65" s="1"/>
  <c r="DR230" i="65" s="1"/>
  <c r="DR231" i="65" s="1"/>
  <c r="DR232" i="65" s="1"/>
  <c r="DR233" i="65" s="1"/>
  <c r="DR234" i="65" s="1"/>
  <c r="DR235" i="65" s="1"/>
  <c r="DR236" i="65" s="1"/>
  <c r="DR237" i="65" s="1"/>
  <c r="DR238" i="65" s="1"/>
  <c r="DR239" i="65" s="1"/>
  <c r="DR240" i="65" s="1"/>
  <c r="DR241" i="65" s="1"/>
  <c r="DR242" i="65" s="1"/>
  <c r="DR243" i="65" s="1"/>
  <c r="DR244" i="65" s="1"/>
  <c r="DR245" i="65" s="1"/>
  <c r="DR246" i="65" s="1"/>
  <c r="DR247" i="65" s="1"/>
  <c r="DR248" i="65" s="1"/>
  <c r="DR249" i="65" s="1"/>
  <c r="DR250" i="65" s="1"/>
  <c r="DR251" i="65" s="1"/>
  <c r="DR252" i="65" s="1"/>
  <c r="DR253" i="65" s="1"/>
  <c r="DR254" i="65" s="1"/>
  <c r="DR255" i="65" s="1"/>
  <c r="DR256" i="65" s="1"/>
  <c r="DR257" i="65" s="1"/>
  <c r="DR258" i="65" s="1"/>
  <c r="DR259" i="65" s="1"/>
  <c r="DR260" i="65" s="1"/>
  <c r="DR261" i="65" s="1"/>
  <c r="DR262" i="65" s="1"/>
  <c r="DY51" i="65"/>
  <c r="DX54" i="65"/>
  <c r="EC55" i="65"/>
  <c r="EE59" i="65"/>
  <c r="EB85" i="65"/>
  <c r="EG86" i="65"/>
  <c r="EG88" i="65"/>
  <c r="DY94" i="65"/>
  <c r="AA155" i="65"/>
  <c r="DW50" i="65"/>
  <c r="EI56" i="65"/>
  <c r="ED60" i="65"/>
  <c r="EH63" i="65"/>
  <c r="EI64" i="65"/>
  <c r="EJ65" i="65"/>
  <c r="EK66" i="65"/>
  <c r="EL67" i="65"/>
  <c r="EO69" i="65"/>
  <c r="AA92" i="65"/>
  <c r="AA93" i="65"/>
  <c r="AA94" i="65"/>
  <c r="EJ60" i="65"/>
  <c r="DW5" i="65"/>
  <c r="DW7" i="65"/>
  <c r="ED155" i="65"/>
  <c r="EF44" i="65"/>
  <c r="H156" i="65"/>
  <c r="H157" i="65" s="1"/>
  <c r="H158" i="65" s="1"/>
  <c r="H159" i="65" s="1"/>
  <c r="H160" i="65" s="1"/>
  <c r="H161" i="65" s="1"/>
  <c r="H162" i="65" s="1"/>
  <c r="H163" i="65" s="1"/>
  <c r="H164" i="65" s="1"/>
  <c r="H165" i="65" s="1"/>
  <c r="H166" i="65" s="1"/>
  <c r="H167" i="65" s="1"/>
  <c r="H168" i="65" s="1"/>
  <c r="H169" i="65" s="1"/>
  <c r="H170" i="65" s="1"/>
  <c r="H171" i="65" s="1"/>
  <c r="H172" i="65" s="1"/>
  <c r="H173" i="65" s="1"/>
  <c r="H174" i="65" s="1"/>
  <c r="H175" i="65" s="1"/>
  <c r="H176" i="65" s="1"/>
  <c r="H177" i="65" s="1"/>
  <c r="H178" i="65" s="1"/>
  <c r="H179" i="65" s="1"/>
  <c r="H180" i="65" s="1"/>
  <c r="H181" i="65" s="1"/>
  <c r="H182" i="65" s="1"/>
  <c r="H183" i="65" s="1"/>
  <c r="H184" i="65" s="1"/>
  <c r="H185" i="65" s="1"/>
  <c r="H186" i="65" s="1"/>
  <c r="H187" i="65" s="1"/>
  <c r="H188" i="65" s="1"/>
  <c r="H189" i="65" s="1"/>
  <c r="H190" i="65" s="1"/>
  <c r="H191" i="65" s="1"/>
  <c r="H192" i="65" s="1"/>
  <c r="H193" i="65" s="1"/>
  <c r="H194" i="65" s="1"/>
  <c r="H195" i="65" s="1"/>
  <c r="H196" i="65" s="1"/>
  <c r="H197" i="65" s="1"/>
  <c r="H198" i="65" s="1"/>
  <c r="H199" i="65" s="1"/>
  <c r="H200" i="65" s="1"/>
  <c r="H201" i="65" s="1"/>
  <c r="H202" i="65" s="1"/>
  <c r="H203" i="65" s="1"/>
  <c r="H204" i="65" s="1"/>
  <c r="H205" i="65" s="1"/>
  <c r="H206" i="65" s="1"/>
  <c r="H207" i="65" s="1"/>
  <c r="H208" i="65" s="1"/>
  <c r="H209" i="65" s="1"/>
  <c r="H210" i="65" s="1"/>
  <c r="H211" i="65" s="1"/>
  <c r="H212" i="65" s="1"/>
  <c r="H213" i="65" s="1"/>
  <c r="H214" i="65" s="1"/>
  <c r="H215" i="65" s="1"/>
  <c r="H216" i="65" s="1"/>
  <c r="H217" i="65" s="1"/>
  <c r="H218" i="65" s="1"/>
  <c r="H219" i="65" s="1"/>
  <c r="H220" i="65" s="1"/>
  <c r="H221" i="65" s="1"/>
  <c r="H222" i="65" s="1"/>
  <c r="H223" i="65" s="1"/>
  <c r="H224" i="65" s="1"/>
  <c r="H225" i="65" s="1"/>
  <c r="H226" i="65" s="1"/>
  <c r="H227" i="65" s="1"/>
  <c r="H228" i="65" s="1"/>
  <c r="H229" i="65" s="1"/>
  <c r="H230" i="65" s="1"/>
  <c r="H231" i="65" s="1"/>
  <c r="H232" i="65" s="1"/>
  <c r="H233" i="65" s="1"/>
  <c r="H234" i="65" s="1"/>
  <c r="H235" i="65" s="1"/>
  <c r="H236" i="65" s="1"/>
  <c r="H237" i="65" s="1"/>
  <c r="H238" i="65" s="1"/>
  <c r="H239" i="65" s="1"/>
  <c r="H240" i="65" s="1"/>
  <c r="H241" i="65" s="1"/>
  <c r="H242" i="65" s="1"/>
  <c r="H243" i="65" s="1"/>
  <c r="H244" i="65" s="1"/>
  <c r="H245" i="65" s="1"/>
  <c r="H246" i="65" s="1"/>
  <c r="H247" i="65" s="1"/>
  <c r="H248" i="65" s="1"/>
  <c r="H249" i="65" s="1"/>
  <c r="H250" i="65" s="1"/>
  <c r="H251" i="65" s="1"/>
  <c r="H252" i="65" s="1"/>
  <c r="H253" i="65" s="1"/>
  <c r="H254" i="65" s="1"/>
  <c r="H255" i="65" s="1"/>
  <c r="H256" i="65" s="1"/>
  <c r="H257" i="65" s="1"/>
  <c r="H258" i="65" s="1"/>
  <c r="H259" i="65" s="1"/>
  <c r="H260" i="65" s="1"/>
  <c r="H261" i="65" s="1"/>
  <c r="H262" i="65" s="1"/>
  <c r="X156" i="65"/>
  <c r="AN156" i="65"/>
  <c r="EJ156" i="65" s="1"/>
  <c r="BD156" i="65"/>
  <c r="BD157" i="65" s="1"/>
  <c r="BD158" i="65" s="1"/>
  <c r="BD159" i="65" s="1"/>
  <c r="BD160" i="65" s="1"/>
  <c r="BD161" i="65" s="1"/>
  <c r="BD162" i="65" s="1"/>
  <c r="BD163" i="65" s="1"/>
  <c r="BD164" i="65" s="1"/>
  <c r="BD165" i="65" s="1"/>
  <c r="BD166" i="65" s="1"/>
  <c r="BD167" i="65" s="1"/>
  <c r="BD168" i="65" s="1"/>
  <c r="BD169" i="65" s="1"/>
  <c r="BD170" i="65" s="1"/>
  <c r="BD171" i="65" s="1"/>
  <c r="BD172" i="65" s="1"/>
  <c r="BD173" i="65" s="1"/>
  <c r="BD174" i="65" s="1"/>
  <c r="BD175" i="65" s="1"/>
  <c r="BD176" i="65" s="1"/>
  <c r="BD177" i="65" s="1"/>
  <c r="BD178" i="65" s="1"/>
  <c r="BD179" i="65" s="1"/>
  <c r="BD180" i="65" s="1"/>
  <c r="BD181" i="65" s="1"/>
  <c r="BD182" i="65" s="1"/>
  <c r="BD183" i="65" s="1"/>
  <c r="BD184" i="65" s="1"/>
  <c r="BD185" i="65" s="1"/>
  <c r="BD186" i="65" s="1"/>
  <c r="BD187" i="65" s="1"/>
  <c r="BD188" i="65" s="1"/>
  <c r="BD189" i="65" s="1"/>
  <c r="BD190" i="65" s="1"/>
  <c r="BD191" i="65" s="1"/>
  <c r="BD192" i="65" s="1"/>
  <c r="BD193" i="65" s="1"/>
  <c r="BD194" i="65" s="1"/>
  <c r="BD195" i="65" s="1"/>
  <c r="BD196" i="65" s="1"/>
  <c r="BD197" i="65" s="1"/>
  <c r="BD198" i="65" s="1"/>
  <c r="BD199" i="65" s="1"/>
  <c r="BD200" i="65" s="1"/>
  <c r="BD201" i="65" s="1"/>
  <c r="BD202" i="65" s="1"/>
  <c r="BD203" i="65" s="1"/>
  <c r="BD204" i="65" s="1"/>
  <c r="BD205" i="65" s="1"/>
  <c r="BD206" i="65" s="1"/>
  <c r="BD207" i="65" s="1"/>
  <c r="BD208" i="65" s="1"/>
  <c r="BD209" i="65" s="1"/>
  <c r="BD210" i="65" s="1"/>
  <c r="BD211" i="65" s="1"/>
  <c r="BD212" i="65" s="1"/>
  <c r="BD213" i="65" s="1"/>
  <c r="BD214" i="65" s="1"/>
  <c r="BD215" i="65" s="1"/>
  <c r="BD216" i="65" s="1"/>
  <c r="BD217" i="65" s="1"/>
  <c r="BD218" i="65" s="1"/>
  <c r="BD219" i="65" s="1"/>
  <c r="BD220" i="65" s="1"/>
  <c r="BD221" i="65" s="1"/>
  <c r="BD222" i="65" s="1"/>
  <c r="BD223" i="65" s="1"/>
  <c r="BD224" i="65" s="1"/>
  <c r="BD225" i="65" s="1"/>
  <c r="BD226" i="65" s="1"/>
  <c r="BD227" i="65" s="1"/>
  <c r="BD228" i="65" s="1"/>
  <c r="BD229" i="65" s="1"/>
  <c r="BD230" i="65" s="1"/>
  <c r="BD231" i="65" s="1"/>
  <c r="BD232" i="65" s="1"/>
  <c r="BD233" i="65" s="1"/>
  <c r="BD234" i="65" s="1"/>
  <c r="BD235" i="65" s="1"/>
  <c r="BD236" i="65" s="1"/>
  <c r="BD237" i="65" s="1"/>
  <c r="BD238" i="65" s="1"/>
  <c r="BD239" i="65" s="1"/>
  <c r="BD240" i="65" s="1"/>
  <c r="BD241" i="65" s="1"/>
  <c r="BD242" i="65" s="1"/>
  <c r="BD243" i="65" s="1"/>
  <c r="BD244" i="65" s="1"/>
  <c r="BD245" i="65" s="1"/>
  <c r="BD246" i="65" s="1"/>
  <c r="BD247" i="65" s="1"/>
  <c r="BD248" i="65" s="1"/>
  <c r="BD249" i="65" s="1"/>
  <c r="BD250" i="65" s="1"/>
  <c r="BD251" i="65" s="1"/>
  <c r="BD252" i="65" s="1"/>
  <c r="BD253" i="65" s="1"/>
  <c r="BD254" i="65" s="1"/>
  <c r="BD255" i="65" s="1"/>
  <c r="BD256" i="65" s="1"/>
  <c r="BD257" i="65" s="1"/>
  <c r="BD258" i="65" s="1"/>
  <c r="BD259" i="65" s="1"/>
  <c r="BD260" i="65" s="1"/>
  <c r="BD261" i="65" s="1"/>
  <c r="BD262" i="65" s="1"/>
  <c r="BT156" i="65"/>
  <c r="BT157" i="65" s="1"/>
  <c r="BT158" i="65" s="1"/>
  <c r="BT159" i="65" s="1"/>
  <c r="BT160" i="65" s="1"/>
  <c r="BT161" i="65" s="1"/>
  <c r="BT162" i="65" s="1"/>
  <c r="BT163" i="65" s="1"/>
  <c r="BT164" i="65" s="1"/>
  <c r="BT165" i="65" s="1"/>
  <c r="BT166" i="65" s="1"/>
  <c r="BT167" i="65" s="1"/>
  <c r="BT168" i="65" s="1"/>
  <c r="BT169" i="65" s="1"/>
  <c r="BT170" i="65" s="1"/>
  <c r="BT171" i="65" s="1"/>
  <c r="BT172" i="65" s="1"/>
  <c r="BT173" i="65" s="1"/>
  <c r="BT174" i="65" s="1"/>
  <c r="BT175" i="65" s="1"/>
  <c r="BT176" i="65" s="1"/>
  <c r="BT177" i="65" s="1"/>
  <c r="BT178" i="65" s="1"/>
  <c r="BT179" i="65" s="1"/>
  <c r="BT180" i="65" s="1"/>
  <c r="BT181" i="65" s="1"/>
  <c r="BT182" i="65" s="1"/>
  <c r="BT183" i="65" s="1"/>
  <c r="BT184" i="65" s="1"/>
  <c r="BT185" i="65" s="1"/>
  <c r="BT186" i="65" s="1"/>
  <c r="BT187" i="65" s="1"/>
  <c r="BT188" i="65" s="1"/>
  <c r="BT189" i="65" s="1"/>
  <c r="BT190" i="65" s="1"/>
  <c r="BT191" i="65" s="1"/>
  <c r="BT192" i="65" s="1"/>
  <c r="BT193" i="65" s="1"/>
  <c r="BT194" i="65" s="1"/>
  <c r="BT195" i="65" s="1"/>
  <c r="BT196" i="65" s="1"/>
  <c r="BT197" i="65" s="1"/>
  <c r="BT198" i="65" s="1"/>
  <c r="BT199" i="65" s="1"/>
  <c r="BT200" i="65" s="1"/>
  <c r="BT201" i="65" s="1"/>
  <c r="BT202" i="65" s="1"/>
  <c r="BT203" i="65" s="1"/>
  <c r="BT204" i="65" s="1"/>
  <c r="BT205" i="65" s="1"/>
  <c r="BT206" i="65" s="1"/>
  <c r="BT207" i="65" s="1"/>
  <c r="BT208" i="65" s="1"/>
  <c r="BT209" i="65" s="1"/>
  <c r="BT210" i="65" s="1"/>
  <c r="BT211" i="65" s="1"/>
  <c r="BT212" i="65" s="1"/>
  <c r="BT213" i="65" s="1"/>
  <c r="BT214" i="65" s="1"/>
  <c r="BT215" i="65" s="1"/>
  <c r="BT216" i="65" s="1"/>
  <c r="BT217" i="65" s="1"/>
  <c r="BT218" i="65" s="1"/>
  <c r="BT219" i="65" s="1"/>
  <c r="BT220" i="65" s="1"/>
  <c r="BT221" i="65" s="1"/>
  <c r="BT222" i="65" s="1"/>
  <c r="BT223" i="65" s="1"/>
  <c r="BT224" i="65" s="1"/>
  <c r="BT225" i="65" s="1"/>
  <c r="BT226" i="65" s="1"/>
  <c r="BT227" i="65" s="1"/>
  <c r="BT228" i="65" s="1"/>
  <c r="BT229" i="65" s="1"/>
  <c r="BT230" i="65" s="1"/>
  <c r="BT231" i="65" s="1"/>
  <c r="BT232" i="65" s="1"/>
  <c r="BT233" i="65" s="1"/>
  <c r="BT234" i="65" s="1"/>
  <c r="BT235" i="65" s="1"/>
  <c r="BT236" i="65" s="1"/>
  <c r="BT237" i="65" s="1"/>
  <c r="BT238" i="65" s="1"/>
  <c r="BT239" i="65" s="1"/>
  <c r="BT240" i="65" s="1"/>
  <c r="BT241" i="65" s="1"/>
  <c r="BT242" i="65" s="1"/>
  <c r="BT243" i="65" s="1"/>
  <c r="BT244" i="65" s="1"/>
  <c r="BT245" i="65" s="1"/>
  <c r="BT246" i="65" s="1"/>
  <c r="BT247" i="65" s="1"/>
  <c r="BT248" i="65" s="1"/>
  <c r="BT249" i="65" s="1"/>
  <c r="BT250" i="65" s="1"/>
  <c r="BT251" i="65" s="1"/>
  <c r="BT252" i="65" s="1"/>
  <c r="BT253" i="65" s="1"/>
  <c r="BT254" i="65" s="1"/>
  <c r="BT255" i="65" s="1"/>
  <c r="BT256" i="65" s="1"/>
  <c r="BT257" i="65" s="1"/>
  <c r="BT258" i="65" s="1"/>
  <c r="BT259" i="65" s="1"/>
  <c r="BT260" i="65" s="1"/>
  <c r="BT261" i="65" s="1"/>
  <c r="BT262" i="65" s="1"/>
  <c r="CJ156" i="65"/>
  <c r="CJ157" i="65" s="1"/>
  <c r="CJ158" i="65" s="1"/>
  <c r="CJ159" i="65" s="1"/>
  <c r="CJ160" i="65" s="1"/>
  <c r="CJ161" i="65" s="1"/>
  <c r="CJ162" i="65" s="1"/>
  <c r="CJ163" i="65" s="1"/>
  <c r="CJ164" i="65" s="1"/>
  <c r="CJ165" i="65" s="1"/>
  <c r="CJ166" i="65" s="1"/>
  <c r="CJ167" i="65" s="1"/>
  <c r="CJ168" i="65" s="1"/>
  <c r="CJ169" i="65" s="1"/>
  <c r="CJ170" i="65" s="1"/>
  <c r="CJ171" i="65" s="1"/>
  <c r="CJ172" i="65" s="1"/>
  <c r="CJ173" i="65" s="1"/>
  <c r="CJ174" i="65" s="1"/>
  <c r="CJ175" i="65" s="1"/>
  <c r="CJ176" i="65" s="1"/>
  <c r="CJ177" i="65" s="1"/>
  <c r="CJ178" i="65" s="1"/>
  <c r="CJ179" i="65" s="1"/>
  <c r="CJ180" i="65" s="1"/>
  <c r="CJ181" i="65" s="1"/>
  <c r="CJ182" i="65" s="1"/>
  <c r="CJ183" i="65" s="1"/>
  <c r="CJ184" i="65" s="1"/>
  <c r="CJ185" i="65" s="1"/>
  <c r="CJ186" i="65" s="1"/>
  <c r="CJ187" i="65" s="1"/>
  <c r="CJ188" i="65" s="1"/>
  <c r="CJ189" i="65" s="1"/>
  <c r="CJ190" i="65" s="1"/>
  <c r="CJ191" i="65" s="1"/>
  <c r="CJ192" i="65" s="1"/>
  <c r="CJ193" i="65" s="1"/>
  <c r="CJ194" i="65" s="1"/>
  <c r="CJ195" i="65" s="1"/>
  <c r="CJ196" i="65" s="1"/>
  <c r="CJ197" i="65" s="1"/>
  <c r="CJ198" i="65" s="1"/>
  <c r="CJ199" i="65" s="1"/>
  <c r="CJ200" i="65" s="1"/>
  <c r="CJ201" i="65" s="1"/>
  <c r="CJ202" i="65" s="1"/>
  <c r="CJ203" i="65" s="1"/>
  <c r="CJ204" i="65" s="1"/>
  <c r="CJ205" i="65" s="1"/>
  <c r="CJ206" i="65" s="1"/>
  <c r="CJ207" i="65" s="1"/>
  <c r="CJ208" i="65" s="1"/>
  <c r="CJ209" i="65" s="1"/>
  <c r="CJ210" i="65" s="1"/>
  <c r="CJ211" i="65" s="1"/>
  <c r="CJ212" i="65" s="1"/>
  <c r="CJ213" i="65" s="1"/>
  <c r="CJ214" i="65" s="1"/>
  <c r="CJ215" i="65" s="1"/>
  <c r="CJ216" i="65" s="1"/>
  <c r="CJ217" i="65" s="1"/>
  <c r="CJ218" i="65" s="1"/>
  <c r="CJ219" i="65" s="1"/>
  <c r="CJ220" i="65" s="1"/>
  <c r="CJ221" i="65" s="1"/>
  <c r="CJ222" i="65" s="1"/>
  <c r="CJ223" i="65" s="1"/>
  <c r="CJ224" i="65" s="1"/>
  <c r="CJ225" i="65" s="1"/>
  <c r="CJ226" i="65" s="1"/>
  <c r="CJ227" i="65" s="1"/>
  <c r="CJ228" i="65" s="1"/>
  <c r="CJ229" i="65" s="1"/>
  <c r="CJ230" i="65" s="1"/>
  <c r="CJ231" i="65" s="1"/>
  <c r="CJ232" i="65" s="1"/>
  <c r="CJ233" i="65" s="1"/>
  <c r="CJ234" i="65" s="1"/>
  <c r="CJ235" i="65" s="1"/>
  <c r="CJ236" i="65" s="1"/>
  <c r="CJ237" i="65" s="1"/>
  <c r="CJ238" i="65" s="1"/>
  <c r="CJ239" i="65" s="1"/>
  <c r="CJ240" i="65" s="1"/>
  <c r="CJ241" i="65" s="1"/>
  <c r="CJ242" i="65" s="1"/>
  <c r="CJ243" i="65" s="1"/>
  <c r="CJ244" i="65" s="1"/>
  <c r="CJ245" i="65" s="1"/>
  <c r="CJ246" i="65" s="1"/>
  <c r="CJ247" i="65" s="1"/>
  <c r="CJ248" i="65" s="1"/>
  <c r="CJ249" i="65" s="1"/>
  <c r="CJ250" i="65" s="1"/>
  <c r="CJ251" i="65" s="1"/>
  <c r="CJ252" i="65" s="1"/>
  <c r="CJ253" i="65" s="1"/>
  <c r="CJ254" i="65" s="1"/>
  <c r="CJ255" i="65" s="1"/>
  <c r="CJ256" i="65" s="1"/>
  <c r="CJ257" i="65" s="1"/>
  <c r="CJ258" i="65" s="1"/>
  <c r="CJ259" i="65" s="1"/>
  <c r="CJ260" i="65" s="1"/>
  <c r="CJ261" i="65" s="1"/>
  <c r="CJ262" i="65" s="1"/>
  <c r="CZ156" i="65"/>
  <c r="CZ157" i="65" s="1"/>
  <c r="DP156" i="65"/>
  <c r="DP157" i="65" s="1"/>
  <c r="EG45" i="65"/>
  <c r="I157" i="65"/>
  <c r="AA48" i="65"/>
  <c r="EH54" i="65"/>
  <c r="EP55" i="65"/>
  <c r="EJ56" i="65"/>
  <c r="EQ58" i="65"/>
  <c r="AA59" i="65"/>
  <c r="EM59" i="65"/>
  <c r="EG59" i="65"/>
  <c r="EE60" i="65"/>
  <c r="ED61" i="65"/>
  <c r="EC62" i="65"/>
  <c r="AA68" i="65"/>
  <c r="EM68" i="65"/>
  <c r="EG68" i="65"/>
  <c r="EE155" i="65"/>
  <c r="EG44" i="65"/>
  <c r="DA156" i="65"/>
  <c r="DA157" i="65" s="1"/>
  <c r="DA158" i="65" s="1"/>
  <c r="DA159" i="65" s="1"/>
  <c r="DQ156" i="65"/>
  <c r="DQ157" i="65" s="1"/>
  <c r="DQ158" i="65" s="1"/>
  <c r="DQ159" i="65" s="1"/>
  <c r="DQ160" i="65" s="1"/>
  <c r="DQ161" i="65" s="1"/>
  <c r="DQ162" i="65" s="1"/>
  <c r="DQ163" i="65" s="1"/>
  <c r="DQ164" i="65" s="1"/>
  <c r="DQ165" i="65" s="1"/>
  <c r="DQ166" i="65" s="1"/>
  <c r="DQ167" i="65" s="1"/>
  <c r="DQ168" i="65" s="1"/>
  <c r="DQ169" i="65" s="1"/>
  <c r="DQ170" i="65" s="1"/>
  <c r="DQ171" i="65" s="1"/>
  <c r="DQ172" i="65" s="1"/>
  <c r="DQ173" i="65" s="1"/>
  <c r="DQ174" i="65" s="1"/>
  <c r="DQ175" i="65" s="1"/>
  <c r="DQ176" i="65" s="1"/>
  <c r="DQ177" i="65" s="1"/>
  <c r="DQ178" i="65" s="1"/>
  <c r="DQ179" i="65" s="1"/>
  <c r="DQ180" i="65" s="1"/>
  <c r="DQ181" i="65" s="1"/>
  <c r="DQ182" i="65" s="1"/>
  <c r="DQ183" i="65" s="1"/>
  <c r="DQ184" i="65" s="1"/>
  <c r="DQ185" i="65" s="1"/>
  <c r="DQ186" i="65" s="1"/>
  <c r="DQ187" i="65" s="1"/>
  <c r="DQ188" i="65" s="1"/>
  <c r="DQ189" i="65" s="1"/>
  <c r="DQ190" i="65" s="1"/>
  <c r="DQ191" i="65" s="1"/>
  <c r="DQ192" i="65" s="1"/>
  <c r="DQ193" i="65" s="1"/>
  <c r="DQ194" i="65" s="1"/>
  <c r="DQ195" i="65" s="1"/>
  <c r="DQ196" i="65" s="1"/>
  <c r="DQ197" i="65" s="1"/>
  <c r="DQ198" i="65" s="1"/>
  <c r="DQ199" i="65" s="1"/>
  <c r="DQ200" i="65" s="1"/>
  <c r="DQ201" i="65" s="1"/>
  <c r="DQ202" i="65" s="1"/>
  <c r="DQ203" i="65" s="1"/>
  <c r="DQ204" i="65" s="1"/>
  <c r="DQ205" i="65" s="1"/>
  <c r="DQ206" i="65" s="1"/>
  <c r="DQ207" i="65" s="1"/>
  <c r="DQ208" i="65" s="1"/>
  <c r="DQ209" i="65" s="1"/>
  <c r="DQ210" i="65" s="1"/>
  <c r="DQ211" i="65" s="1"/>
  <c r="DQ212" i="65" s="1"/>
  <c r="DQ213" i="65" s="1"/>
  <c r="DQ214" i="65" s="1"/>
  <c r="DQ215" i="65" s="1"/>
  <c r="DQ216" i="65" s="1"/>
  <c r="DQ217" i="65" s="1"/>
  <c r="DQ218" i="65" s="1"/>
  <c r="DQ219" i="65" s="1"/>
  <c r="DQ220" i="65" s="1"/>
  <c r="DQ221" i="65" s="1"/>
  <c r="DQ222" i="65" s="1"/>
  <c r="DQ223" i="65" s="1"/>
  <c r="DQ224" i="65" s="1"/>
  <c r="DQ225" i="65" s="1"/>
  <c r="DQ226" i="65" s="1"/>
  <c r="DQ227" i="65" s="1"/>
  <c r="DQ228" i="65" s="1"/>
  <c r="DQ229" i="65" s="1"/>
  <c r="DQ230" i="65" s="1"/>
  <c r="DQ231" i="65" s="1"/>
  <c r="DQ232" i="65" s="1"/>
  <c r="DQ233" i="65" s="1"/>
  <c r="DQ234" i="65" s="1"/>
  <c r="DQ235" i="65" s="1"/>
  <c r="DQ236" i="65" s="1"/>
  <c r="DQ237" i="65" s="1"/>
  <c r="DQ238" i="65" s="1"/>
  <c r="DQ239" i="65" s="1"/>
  <c r="DQ240" i="65" s="1"/>
  <c r="DQ241" i="65" s="1"/>
  <c r="DQ242" i="65" s="1"/>
  <c r="DQ243" i="65" s="1"/>
  <c r="DQ244" i="65" s="1"/>
  <c r="DQ245" i="65" s="1"/>
  <c r="DQ246" i="65" s="1"/>
  <c r="DQ247" i="65" s="1"/>
  <c r="DQ248" i="65" s="1"/>
  <c r="DQ249" i="65" s="1"/>
  <c r="DQ250" i="65" s="1"/>
  <c r="DQ251" i="65" s="1"/>
  <c r="DQ252" i="65" s="1"/>
  <c r="DQ253" i="65" s="1"/>
  <c r="DQ254" i="65" s="1"/>
  <c r="DQ255" i="65" s="1"/>
  <c r="DQ256" i="65" s="1"/>
  <c r="DQ257" i="65" s="1"/>
  <c r="DQ258" i="65" s="1"/>
  <c r="DQ259" i="65" s="1"/>
  <c r="DQ260" i="65" s="1"/>
  <c r="DQ261" i="65" s="1"/>
  <c r="DQ262" i="65" s="1"/>
  <c r="Z157" i="65"/>
  <c r="AA47" i="65"/>
  <c r="DW47" i="65" s="1"/>
  <c r="P52" i="65"/>
  <c r="DY55" i="65"/>
  <c r="DZ57" i="65"/>
  <c r="EE61" i="65"/>
  <c r="ED63" i="65"/>
  <c r="EE64" i="65"/>
  <c r="EF65" i="65"/>
  <c r="EI45" i="65"/>
  <c r="EN50" i="65"/>
  <c r="P51" i="65"/>
  <c r="P55" i="65"/>
  <c r="EA57" i="65"/>
  <c r="EG60" i="65"/>
  <c r="EF61" i="65"/>
  <c r="EE62" i="65"/>
  <c r="AA111" i="65"/>
  <c r="AA112" i="65"/>
  <c r="AA110" i="65"/>
  <c r="EF155" i="65"/>
  <c r="EH44" i="65"/>
  <c r="AA46" i="65"/>
  <c r="EG155" i="65"/>
  <c r="EI44" i="65"/>
  <c r="K156" i="65"/>
  <c r="K157" i="65" s="1"/>
  <c r="K158" i="65" s="1"/>
  <c r="K159" i="65" s="1"/>
  <c r="K160" i="65" s="1"/>
  <c r="K161" i="65" s="1"/>
  <c r="K162" i="65" s="1"/>
  <c r="K163" i="65" s="1"/>
  <c r="K164" i="65" s="1"/>
  <c r="K165" i="65" s="1"/>
  <c r="K166" i="65" s="1"/>
  <c r="K167" i="65" s="1"/>
  <c r="K168" i="65" s="1"/>
  <c r="K169" i="65" s="1"/>
  <c r="K170" i="65" s="1"/>
  <c r="K171" i="65" s="1"/>
  <c r="K172" i="65" s="1"/>
  <c r="K173" i="65" s="1"/>
  <c r="K174" i="65" s="1"/>
  <c r="K175" i="65" s="1"/>
  <c r="K176" i="65" s="1"/>
  <c r="K177" i="65" s="1"/>
  <c r="K178" i="65" s="1"/>
  <c r="K179" i="65" s="1"/>
  <c r="K180" i="65" s="1"/>
  <c r="K181" i="65" s="1"/>
  <c r="K182" i="65" s="1"/>
  <c r="K183" i="65" s="1"/>
  <c r="K184" i="65" s="1"/>
  <c r="K185" i="65" s="1"/>
  <c r="K186" i="65" s="1"/>
  <c r="K187" i="65" s="1"/>
  <c r="K188" i="65" s="1"/>
  <c r="K189" i="65" s="1"/>
  <c r="K190" i="65" s="1"/>
  <c r="K191" i="65" s="1"/>
  <c r="K192" i="65" s="1"/>
  <c r="K193" i="65" s="1"/>
  <c r="K194" i="65" s="1"/>
  <c r="K195" i="65" s="1"/>
  <c r="K196" i="65" s="1"/>
  <c r="K197" i="65" s="1"/>
  <c r="K198" i="65" s="1"/>
  <c r="K199" i="65" s="1"/>
  <c r="K200" i="65" s="1"/>
  <c r="K201" i="65" s="1"/>
  <c r="K202" i="65" s="1"/>
  <c r="K203" i="65" s="1"/>
  <c r="K204" i="65" s="1"/>
  <c r="K205" i="65" s="1"/>
  <c r="K206" i="65" s="1"/>
  <c r="K207" i="65" s="1"/>
  <c r="K208" i="65" s="1"/>
  <c r="K209" i="65" s="1"/>
  <c r="K210" i="65" s="1"/>
  <c r="K211" i="65" s="1"/>
  <c r="K212" i="65" s="1"/>
  <c r="K213" i="65" s="1"/>
  <c r="K214" i="65" s="1"/>
  <c r="K215" i="65" s="1"/>
  <c r="K216" i="65" s="1"/>
  <c r="K217" i="65" s="1"/>
  <c r="K218" i="65" s="1"/>
  <c r="K219" i="65" s="1"/>
  <c r="K220" i="65" s="1"/>
  <c r="K221" i="65" s="1"/>
  <c r="K222" i="65" s="1"/>
  <c r="K223" i="65" s="1"/>
  <c r="K224" i="65" s="1"/>
  <c r="K225" i="65" s="1"/>
  <c r="K226" i="65" s="1"/>
  <c r="K227" i="65" s="1"/>
  <c r="K228" i="65" s="1"/>
  <c r="K229" i="65" s="1"/>
  <c r="K230" i="65" s="1"/>
  <c r="K231" i="65" s="1"/>
  <c r="K232" i="65" s="1"/>
  <c r="K233" i="65" s="1"/>
  <c r="K234" i="65" s="1"/>
  <c r="K235" i="65" s="1"/>
  <c r="K236" i="65" s="1"/>
  <c r="K237" i="65" s="1"/>
  <c r="K238" i="65" s="1"/>
  <c r="K239" i="65" s="1"/>
  <c r="K240" i="65" s="1"/>
  <c r="K241" i="65" s="1"/>
  <c r="K242" i="65" s="1"/>
  <c r="K243" i="65" s="1"/>
  <c r="K244" i="65" s="1"/>
  <c r="K245" i="65" s="1"/>
  <c r="K246" i="65" s="1"/>
  <c r="K247" i="65" s="1"/>
  <c r="K248" i="65" s="1"/>
  <c r="K249" i="65" s="1"/>
  <c r="K250" i="65" s="1"/>
  <c r="K251" i="65" s="1"/>
  <c r="K252" i="65" s="1"/>
  <c r="K253" i="65" s="1"/>
  <c r="K254" i="65" s="1"/>
  <c r="K255" i="65" s="1"/>
  <c r="K256" i="65" s="1"/>
  <c r="K257" i="65" s="1"/>
  <c r="K258" i="65" s="1"/>
  <c r="K259" i="65" s="1"/>
  <c r="K260" i="65" s="1"/>
  <c r="K261" i="65" s="1"/>
  <c r="K262" i="65" s="1"/>
  <c r="AA45" i="65"/>
  <c r="AQ156" i="65"/>
  <c r="EM156" i="65" s="1"/>
  <c r="BG156" i="65"/>
  <c r="BG157" i="65" s="1"/>
  <c r="BG158" i="65" s="1"/>
  <c r="BG159" i="65" s="1"/>
  <c r="BG160" i="65" s="1"/>
  <c r="BG161" i="65" s="1"/>
  <c r="BG162" i="65" s="1"/>
  <c r="BG163" i="65" s="1"/>
  <c r="BG164" i="65" s="1"/>
  <c r="BG165" i="65" s="1"/>
  <c r="BG166" i="65" s="1"/>
  <c r="BG167" i="65" s="1"/>
  <c r="BG168" i="65" s="1"/>
  <c r="BG169" i="65" s="1"/>
  <c r="BG170" i="65" s="1"/>
  <c r="BG171" i="65" s="1"/>
  <c r="BG172" i="65" s="1"/>
  <c r="BG173" i="65" s="1"/>
  <c r="BG174" i="65" s="1"/>
  <c r="BG175" i="65" s="1"/>
  <c r="BG176" i="65" s="1"/>
  <c r="BG177" i="65" s="1"/>
  <c r="BG178" i="65" s="1"/>
  <c r="BG179" i="65" s="1"/>
  <c r="BG180" i="65" s="1"/>
  <c r="BG181" i="65" s="1"/>
  <c r="BG182" i="65" s="1"/>
  <c r="BG183" i="65" s="1"/>
  <c r="BG184" i="65" s="1"/>
  <c r="BG185" i="65" s="1"/>
  <c r="BG186" i="65" s="1"/>
  <c r="BG187" i="65" s="1"/>
  <c r="BG188" i="65" s="1"/>
  <c r="BG189" i="65" s="1"/>
  <c r="BG190" i="65" s="1"/>
  <c r="BG191" i="65" s="1"/>
  <c r="BG192" i="65" s="1"/>
  <c r="BG193" i="65" s="1"/>
  <c r="BG194" i="65" s="1"/>
  <c r="BG195" i="65" s="1"/>
  <c r="BG196" i="65" s="1"/>
  <c r="BG197" i="65" s="1"/>
  <c r="BG198" i="65" s="1"/>
  <c r="BG199" i="65" s="1"/>
  <c r="BG200" i="65" s="1"/>
  <c r="BG201" i="65" s="1"/>
  <c r="BG202" i="65" s="1"/>
  <c r="BG203" i="65" s="1"/>
  <c r="BG204" i="65" s="1"/>
  <c r="BG205" i="65" s="1"/>
  <c r="BG206" i="65" s="1"/>
  <c r="BG207" i="65" s="1"/>
  <c r="BG208" i="65" s="1"/>
  <c r="BG209" i="65" s="1"/>
  <c r="BG210" i="65" s="1"/>
  <c r="BG211" i="65" s="1"/>
  <c r="BG212" i="65" s="1"/>
  <c r="BG213" i="65" s="1"/>
  <c r="BG214" i="65" s="1"/>
  <c r="BG215" i="65" s="1"/>
  <c r="BG216" i="65" s="1"/>
  <c r="BG217" i="65" s="1"/>
  <c r="BG218" i="65" s="1"/>
  <c r="BG219" i="65" s="1"/>
  <c r="BG220" i="65" s="1"/>
  <c r="BG221" i="65" s="1"/>
  <c r="BG222" i="65" s="1"/>
  <c r="BG223" i="65" s="1"/>
  <c r="BG224" i="65" s="1"/>
  <c r="BG225" i="65" s="1"/>
  <c r="BG226" i="65" s="1"/>
  <c r="BG227" i="65" s="1"/>
  <c r="BG228" i="65" s="1"/>
  <c r="BG229" i="65" s="1"/>
  <c r="BG230" i="65" s="1"/>
  <c r="BG231" i="65" s="1"/>
  <c r="BG232" i="65" s="1"/>
  <c r="BG233" i="65" s="1"/>
  <c r="BG234" i="65" s="1"/>
  <c r="BG235" i="65" s="1"/>
  <c r="BG236" i="65" s="1"/>
  <c r="BG237" i="65" s="1"/>
  <c r="BG238" i="65" s="1"/>
  <c r="BG239" i="65" s="1"/>
  <c r="BG240" i="65" s="1"/>
  <c r="BG241" i="65" s="1"/>
  <c r="BG242" i="65" s="1"/>
  <c r="BG243" i="65" s="1"/>
  <c r="BG244" i="65" s="1"/>
  <c r="BG245" i="65" s="1"/>
  <c r="BG246" i="65" s="1"/>
  <c r="BG247" i="65" s="1"/>
  <c r="BG248" i="65" s="1"/>
  <c r="BG249" i="65" s="1"/>
  <c r="BG250" i="65" s="1"/>
  <c r="BG251" i="65" s="1"/>
  <c r="BG252" i="65" s="1"/>
  <c r="BG253" i="65" s="1"/>
  <c r="BG254" i="65" s="1"/>
  <c r="BG255" i="65" s="1"/>
  <c r="BG256" i="65" s="1"/>
  <c r="BG257" i="65" s="1"/>
  <c r="BG258" i="65" s="1"/>
  <c r="BG259" i="65" s="1"/>
  <c r="BG260" i="65" s="1"/>
  <c r="BG261" i="65" s="1"/>
  <c r="BG262" i="65" s="1"/>
  <c r="BW156" i="65"/>
  <c r="BW157" i="65" s="1"/>
  <c r="BW158" i="65" s="1"/>
  <c r="BW159" i="65" s="1"/>
  <c r="BW160" i="65" s="1"/>
  <c r="BW161" i="65" s="1"/>
  <c r="BW162" i="65" s="1"/>
  <c r="BW163" i="65" s="1"/>
  <c r="BW164" i="65" s="1"/>
  <c r="BW165" i="65" s="1"/>
  <c r="BW166" i="65" s="1"/>
  <c r="BW167" i="65" s="1"/>
  <c r="BW168" i="65" s="1"/>
  <c r="BW169" i="65" s="1"/>
  <c r="BW170" i="65" s="1"/>
  <c r="BW171" i="65" s="1"/>
  <c r="BW172" i="65" s="1"/>
  <c r="BW173" i="65" s="1"/>
  <c r="BW174" i="65" s="1"/>
  <c r="BW175" i="65" s="1"/>
  <c r="BW176" i="65" s="1"/>
  <c r="BW177" i="65" s="1"/>
  <c r="BW178" i="65" s="1"/>
  <c r="BW179" i="65" s="1"/>
  <c r="BW180" i="65" s="1"/>
  <c r="BW181" i="65" s="1"/>
  <c r="BW182" i="65" s="1"/>
  <c r="BW183" i="65" s="1"/>
  <c r="BW184" i="65" s="1"/>
  <c r="BW185" i="65" s="1"/>
  <c r="BW186" i="65" s="1"/>
  <c r="BW187" i="65" s="1"/>
  <c r="BW188" i="65" s="1"/>
  <c r="BW189" i="65" s="1"/>
  <c r="BW190" i="65" s="1"/>
  <c r="BW191" i="65" s="1"/>
  <c r="BW192" i="65" s="1"/>
  <c r="BW193" i="65" s="1"/>
  <c r="BW194" i="65" s="1"/>
  <c r="BW195" i="65" s="1"/>
  <c r="BW196" i="65" s="1"/>
  <c r="BW197" i="65" s="1"/>
  <c r="BW198" i="65" s="1"/>
  <c r="BW199" i="65" s="1"/>
  <c r="BW200" i="65" s="1"/>
  <c r="BW201" i="65" s="1"/>
  <c r="BW202" i="65" s="1"/>
  <c r="BW203" i="65" s="1"/>
  <c r="BW204" i="65" s="1"/>
  <c r="BW205" i="65" s="1"/>
  <c r="BW206" i="65" s="1"/>
  <c r="BW207" i="65" s="1"/>
  <c r="BW208" i="65" s="1"/>
  <c r="BW209" i="65" s="1"/>
  <c r="BW210" i="65" s="1"/>
  <c r="BW211" i="65" s="1"/>
  <c r="BW212" i="65" s="1"/>
  <c r="BW213" i="65" s="1"/>
  <c r="BW214" i="65" s="1"/>
  <c r="BW215" i="65" s="1"/>
  <c r="BW216" i="65" s="1"/>
  <c r="BW217" i="65" s="1"/>
  <c r="BW218" i="65" s="1"/>
  <c r="BW219" i="65" s="1"/>
  <c r="BW220" i="65" s="1"/>
  <c r="BW221" i="65" s="1"/>
  <c r="BW222" i="65" s="1"/>
  <c r="BW223" i="65" s="1"/>
  <c r="BW224" i="65" s="1"/>
  <c r="BW225" i="65" s="1"/>
  <c r="BW226" i="65" s="1"/>
  <c r="BW227" i="65" s="1"/>
  <c r="BW228" i="65" s="1"/>
  <c r="BW229" i="65" s="1"/>
  <c r="BW230" i="65" s="1"/>
  <c r="BW231" i="65" s="1"/>
  <c r="BW232" i="65" s="1"/>
  <c r="BW233" i="65" s="1"/>
  <c r="BW234" i="65" s="1"/>
  <c r="BW235" i="65" s="1"/>
  <c r="BW236" i="65" s="1"/>
  <c r="BW237" i="65" s="1"/>
  <c r="BW238" i="65" s="1"/>
  <c r="BW239" i="65" s="1"/>
  <c r="BW240" i="65" s="1"/>
  <c r="BW241" i="65" s="1"/>
  <c r="BW242" i="65" s="1"/>
  <c r="BW243" i="65" s="1"/>
  <c r="BW244" i="65" s="1"/>
  <c r="BW245" i="65" s="1"/>
  <c r="BW246" i="65" s="1"/>
  <c r="BW247" i="65" s="1"/>
  <c r="BW248" i="65" s="1"/>
  <c r="BW249" i="65" s="1"/>
  <c r="BW250" i="65" s="1"/>
  <c r="BW251" i="65" s="1"/>
  <c r="BW252" i="65" s="1"/>
  <c r="BW253" i="65" s="1"/>
  <c r="BW254" i="65" s="1"/>
  <c r="BW255" i="65" s="1"/>
  <c r="BW256" i="65" s="1"/>
  <c r="BW257" i="65" s="1"/>
  <c r="BW258" i="65" s="1"/>
  <c r="BW259" i="65" s="1"/>
  <c r="BW260" i="65" s="1"/>
  <c r="BW261" i="65" s="1"/>
  <c r="BW262" i="65" s="1"/>
  <c r="CM156" i="65"/>
  <c r="CM157" i="65" s="1"/>
  <c r="CM158" i="65" s="1"/>
  <c r="CM159" i="65" s="1"/>
  <c r="CM160" i="65" s="1"/>
  <c r="CM161" i="65" s="1"/>
  <c r="CM162" i="65" s="1"/>
  <c r="CM163" i="65" s="1"/>
  <c r="CM164" i="65" s="1"/>
  <c r="CM165" i="65" s="1"/>
  <c r="CM166" i="65" s="1"/>
  <c r="CM167" i="65" s="1"/>
  <c r="CM168" i="65" s="1"/>
  <c r="CM169" i="65" s="1"/>
  <c r="CM170" i="65" s="1"/>
  <c r="CM171" i="65" s="1"/>
  <c r="CM172" i="65" s="1"/>
  <c r="CM173" i="65" s="1"/>
  <c r="CM174" i="65" s="1"/>
  <c r="CM175" i="65" s="1"/>
  <c r="CM176" i="65" s="1"/>
  <c r="CM177" i="65" s="1"/>
  <c r="CM178" i="65" s="1"/>
  <c r="CM179" i="65" s="1"/>
  <c r="CM180" i="65" s="1"/>
  <c r="CM181" i="65" s="1"/>
  <c r="CM182" i="65" s="1"/>
  <c r="CM183" i="65" s="1"/>
  <c r="CM184" i="65" s="1"/>
  <c r="CM185" i="65" s="1"/>
  <c r="CM186" i="65" s="1"/>
  <c r="CM187" i="65" s="1"/>
  <c r="CM188" i="65" s="1"/>
  <c r="CM189" i="65" s="1"/>
  <c r="CM190" i="65" s="1"/>
  <c r="CM191" i="65" s="1"/>
  <c r="CM192" i="65" s="1"/>
  <c r="CM193" i="65" s="1"/>
  <c r="CM194" i="65" s="1"/>
  <c r="CM195" i="65" s="1"/>
  <c r="CM196" i="65" s="1"/>
  <c r="CM197" i="65" s="1"/>
  <c r="CM198" i="65" s="1"/>
  <c r="CM199" i="65" s="1"/>
  <c r="CM200" i="65" s="1"/>
  <c r="CM201" i="65" s="1"/>
  <c r="CM202" i="65" s="1"/>
  <c r="CM203" i="65" s="1"/>
  <c r="CM204" i="65" s="1"/>
  <c r="CM205" i="65" s="1"/>
  <c r="CM206" i="65" s="1"/>
  <c r="CM207" i="65" s="1"/>
  <c r="CM208" i="65" s="1"/>
  <c r="CM209" i="65" s="1"/>
  <c r="CM210" i="65" s="1"/>
  <c r="CM211" i="65" s="1"/>
  <c r="CM212" i="65" s="1"/>
  <c r="CM213" i="65" s="1"/>
  <c r="CM214" i="65" s="1"/>
  <c r="CM215" i="65" s="1"/>
  <c r="CM216" i="65" s="1"/>
  <c r="CM217" i="65" s="1"/>
  <c r="CM218" i="65" s="1"/>
  <c r="CM219" i="65" s="1"/>
  <c r="CM220" i="65" s="1"/>
  <c r="CM221" i="65" s="1"/>
  <c r="CM222" i="65" s="1"/>
  <c r="CM223" i="65" s="1"/>
  <c r="CM224" i="65" s="1"/>
  <c r="CM225" i="65" s="1"/>
  <c r="CM226" i="65" s="1"/>
  <c r="CM227" i="65" s="1"/>
  <c r="CM228" i="65" s="1"/>
  <c r="CM229" i="65" s="1"/>
  <c r="CM230" i="65" s="1"/>
  <c r="CM231" i="65" s="1"/>
  <c r="CM232" i="65" s="1"/>
  <c r="CM233" i="65" s="1"/>
  <c r="CM234" i="65" s="1"/>
  <c r="CM235" i="65" s="1"/>
  <c r="CM236" i="65" s="1"/>
  <c r="CM237" i="65" s="1"/>
  <c r="CM238" i="65" s="1"/>
  <c r="CM239" i="65" s="1"/>
  <c r="CM240" i="65" s="1"/>
  <c r="CM241" i="65" s="1"/>
  <c r="CM242" i="65" s="1"/>
  <c r="CM243" i="65" s="1"/>
  <c r="CM244" i="65" s="1"/>
  <c r="CM245" i="65" s="1"/>
  <c r="CM246" i="65" s="1"/>
  <c r="CM247" i="65" s="1"/>
  <c r="CM248" i="65" s="1"/>
  <c r="CM249" i="65" s="1"/>
  <c r="CM250" i="65" s="1"/>
  <c r="CM251" i="65" s="1"/>
  <c r="CM252" i="65" s="1"/>
  <c r="CM253" i="65" s="1"/>
  <c r="CM254" i="65" s="1"/>
  <c r="CM255" i="65" s="1"/>
  <c r="CM256" i="65" s="1"/>
  <c r="CM257" i="65" s="1"/>
  <c r="CM258" i="65" s="1"/>
  <c r="CM259" i="65" s="1"/>
  <c r="CM260" i="65" s="1"/>
  <c r="CM261" i="65" s="1"/>
  <c r="CM262" i="65" s="1"/>
  <c r="DC156" i="65"/>
  <c r="DC157" i="65" s="1"/>
  <c r="DC158" i="65" s="1"/>
  <c r="DC159" i="65" s="1"/>
  <c r="DC160" i="65" s="1"/>
  <c r="DC161" i="65" s="1"/>
  <c r="DC162" i="65" s="1"/>
  <c r="DC163" i="65" s="1"/>
  <c r="DC164" i="65" s="1"/>
  <c r="DC165" i="65" s="1"/>
  <c r="DC166" i="65" s="1"/>
  <c r="DC167" i="65" s="1"/>
  <c r="DC168" i="65" s="1"/>
  <c r="DC169" i="65" s="1"/>
  <c r="DC170" i="65" s="1"/>
  <c r="DC171" i="65" s="1"/>
  <c r="DC172" i="65" s="1"/>
  <c r="DC173" i="65" s="1"/>
  <c r="DC174" i="65" s="1"/>
  <c r="DC175" i="65" s="1"/>
  <c r="DC176" i="65" s="1"/>
  <c r="DC177" i="65" s="1"/>
  <c r="DC178" i="65" s="1"/>
  <c r="DC179" i="65" s="1"/>
  <c r="DC180" i="65" s="1"/>
  <c r="DC181" i="65" s="1"/>
  <c r="DC182" i="65" s="1"/>
  <c r="DC183" i="65" s="1"/>
  <c r="DC184" i="65" s="1"/>
  <c r="DC185" i="65" s="1"/>
  <c r="DC186" i="65" s="1"/>
  <c r="DC187" i="65" s="1"/>
  <c r="DC188" i="65" s="1"/>
  <c r="DC189" i="65" s="1"/>
  <c r="DC190" i="65" s="1"/>
  <c r="DC191" i="65" s="1"/>
  <c r="DC192" i="65" s="1"/>
  <c r="DC193" i="65" s="1"/>
  <c r="DC194" i="65" s="1"/>
  <c r="DC195" i="65" s="1"/>
  <c r="DC196" i="65" s="1"/>
  <c r="DC197" i="65" s="1"/>
  <c r="DC198" i="65" s="1"/>
  <c r="DC199" i="65" s="1"/>
  <c r="DC200" i="65" s="1"/>
  <c r="DC201" i="65" s="1"/>
  <c r="DC202" i="65" s="1"/>
  <c r="DC203" i="65" s="1"/>
  <c r="DC204" i="65" s="1"/>
  <c r="DC205" i="65" s="1"/>
  <c r="DC206" i="65" s="1"/>
  <c r="DC207" i="65" s="1"/>
  <c r="DC208" i="65" s="1"/>
  <c r="DC209" i="65" s="1"/>
  <c r="DC210" i="65" s="1"/>
  <c r="DC211" i="65" s="1"/>
  <c r="DC212" i="65" s="1"/>
  <c r="DC213" i="65" s="1"/>
  <c r="DC214" i="65" s="1"/>
  <c r="DC215" i="65" s="1"/>
  <c r="DC216" i="65" s="1"/>
  <c r="DC217" i="65" s="1"/>
  <c r="DC218" i="65" s="1"/>
  <c r="DC219" i="65" s="1"/>
  <c r="DC220" i="65" s="1"/>
  <c r="DC221" i="65" s="1"/>
  <c r="DC222" i="65" s="1"/>
  <c r="DC223" i="65" s="1"/>
  <c r="DC224" i="65" s="1"/>
  <c r="DC225" i="65" s="1"/>
  <c r="DC226" i="65" s="1"/>
  <c r="DC227" i="65" s="1"/>
  <c r="DC228" i="65" s="1"/>
  <c r="DC229" i="65" s="1"/>
  <c r="DC230" i="65" s="1"/>
  <c r="DC231" i="65" s="1"/>
  <c r="DC232" i="65" s="1"/>
  <c r="DC233" i="65" s="1"/>
  <c r="DC234" i="65" s="1"/>
  <c r="DC235" i="65" s="1"/>
  <c r="DC236" i="65" s="1"/>
  <c r="DC237" i="65" s="1"/>
  <c r="DC238" i="65" s="1"/>
  <c r="DC239" i="65" s="1"/>
  <c r="DC240" i="65" s="1"/>
  <c r="DC241" i="65" s="1"/>
  <c r="DC242" i="65" s="1"/>
  <c r="DC243" i="65" s="1"/>
  <c r="DC244" i="65" s="1"/>
  <c r="DC245" i="65" s="1"/>
  <c r="DC246" i="65" s="1"/>
  <c r="DC247" i="65" s="1"/>
  <c r="DC248" i="65" s="1"/>
  <c r="DC249" i="65" s="1"/>
  <c r="DC250" i="65" s="1"/>
  <c r="DC251" i="65" s="1"/>
  <c r="DC252" i="65" s="1"/>
  <c r="DC253" i="65" s="1"/>
  <c r="DC254" i="65" s="1"/>
  <c r="DC255" i="65" s="1"/>
  <c r="DC256" i="65" s="1"/>
  <c r="DC257" i="65" s="1"/>
  <c r="DC258" i="65" s="1"/>
  <c r="DC259" i="65" s="1"/>
  <c r="DC260" i="65" s="1"/>
  <c r="DC261" i="65" s="1"/>
  <c r="DC262" i="65" s="1"/>
  <c r="DS156" i="65"/>
  <c r="DS157" i="65" s="1"/>
  <c r="DS158" i="65" s="1"/>
  <c r="DS159" i="65" s="1"/>
  <c r="DS160" i="65" s="1"/>
  <c r="EJ45" i="65"/>
  <c r="L157" i="65"/>
  <c r="L158" i="65" s="1"/>
  <c r="L159" i="65" s="1"/>
  <c r="L160" i="65" s="1"/>
  <c r="L161" i="65" s="1"/>
  <c r="L162" i="65" s="1"/>
  <c r="L163" i="65" s="1"/>
  <c r="L164" i="65" s="1"/>
  <c r="L165" i="65" s="1"/>
  <c r="L166" i="65" s="1"/>
  <c r="L167" i="65" s="1"/>
  <c r="L168" i="65" s="1"/>
  <c r="L169" i="65" s="1"/>
  <c r="L170" i="65" s="1"/>
  <c r="L171" i="65" s="1"/>
  <c r="L172" i="65" s="1"/>
  <c r="L173" i="65" s="1"/>
  <c r="L174" i="65" s="1"/>
  <c r="L175" i="65" s="1"/>
  <c r="L176" i="65" s="1"/>
  <c r="L177" i="65" s="1"/>
  <c r="L178" i="65" s="1"/>
  <c r="L179" i="65" s="1"/>
  <c r="L180" i="65" s="1"/>
  <c r="L181" i="65" s="1"/>
  <c r="L182" i="65" s="1"/>
  <c r="L183" i="65" s="1"/>
  <c r="L184" i="65" s="1"/>
  <c r="L185" i="65" s="1"/>
  <c r="L186" i="65" s="1"/>
  <c r="L187" i="65" s="1"/>
  <c r="L188" i="65" s="1"/>
  <c r="L189" i="65" s="1"/>
  <c r="L190" i="65" s="1"/>
  <c r="L191" i="65" s="1"/>
  <c r="L192" i="65" s="1"/>
  <c r="L193" i="65" s="1"/>
  <c r="L194" i="65" s="1"/>
  <c r="L195" i="65" s="1"/>
  <c r="L196" i="65" s="1"/>
  <c r="L197" i="65" s="1"/>
  <c r="L198" i="65" s="1"/>
  <c r="L199" i="65" s="1"/>
  <c r="L200" i="65" s="1"/>
  <c r="L201" i="65" s="1"/>
  <c r="L202" i="65" s="1"/>
  <c r="L203" i="65" s="1"/>
  <c r="L204" i="65" s="1"/>
  <c r="L205" i="65" s="1"/>
  <c r="L206" i="65" s="1"/>
  <c r="L207" i="65" s="1"/>
  <c r="L208" i="65" s="1"/>
  <c r="L209" i="65" s="1"/>
  <c r="L210" i="65" s="1"/>
  <c r="L211" i="65" s="1"/>
  <c r="L212" i="65" s="1"/>
  <c r="L213" i="65" s="1"/>
  <c r="L214" i="65" s="1"/>
  <c r="L215" i="65" s="1"/>
  <c r="L216" i="65" s="1"/>
  <c r="L217" i="65" s="1"/>
  <c r="L218" i="65" s="1"/>
  <c r="L219" i="65" s="1"/>
  <c r="L220" i="65" s="1"/>
  <c r="L221" i="65" s="1"/>
  <c r="L222" i="65" s="1"/>
  <c r="L223" i="65" s="1"/>
  <c r="L224" i="65" s="1"/>
  <c r="L225" i="65" s="1"/>
  <c r="L226" i="65" s="1"/>
  <c r="L227" i="65" s="1"/>
  <c r="L228" i="65" s="1"/>
  <c r="L229" i="65" s="1"/>
  <c r="L230" i="65" s="1"/>
  <c r="L231" i="65" s="1"/>
  <c r="L232" i="65" s="1"/>
  <c r="L233" i="65" s="1"/>
  <c r="L234" i="65" s="1"/>
  <c r="L235" i="65" s="1"/>
  <c r="L236" i="65" s="1"/>
  <c r="L237" i="65" s="1"/>
  <c r="L238" i="65" s="1"/>
  <c r="L239" i="65" s="1"/>
  <c r="L240" i="65" s="1"/>
  <c r="L241" i="65" s="1"/>
  <c r="L242" i="65" s="1"/>
  <c r="L243" i="65" s="1"/>
  <c r="L244" i="65" s="1"/>
  <c r="L245" i="65" s="1"/>
  <c r="L246" i="65" s="1"/>
  <c r="L247" i="65" s="1"/>
  <c r="L248" i="65" s="1"/>
  <c r="L249" i="65" s="1"/>
  <c r="L250" i="65" s="1"/>
  <c r="L251" i="65" s="1"/>
  <c r="L252" i="65" s="1"/>
  <c r="L253" i="65" s="1"/>
  <c r="L254" i="65" s="1"/>
  <c r="L255" i="65" s="1"/>
  <c r="L256" i="65" s="1"/>
  <c r="L257" i="65" s="1"/>
  <c r="L258" i="65" s="1"/>
  <c r="L259" i="65" s="1"/>
  <c r="L260" i="65" s="1"/>
  <c r="L261" i="65" s="1"/>
  <c r="L262" i="65" s="1"/>
  <c r="AB157" i="65"/>
  <c r="AB158" i="65" s="1"/>
  <c r="AB159" i="65" s="1"/>
  <c r="AB160" i="65" s="1"/>
  <c r="AB161" i="65" s="1"/>
  <c r="AB162" i="65" s="1"/>
  <c r="AB163" i="65" s="1"/>
  <c r="AB164" i="65" s="1"/>
  <c r="AR157" i="65"/>
  <c r="EN157" i="65" s="1"/>
  <c r="BH157" i="65"/>
  <c r="BH158" i="65" s="1"/>
  <c r="BH159" i="65" s="1"/>
  <c r="BH160" i="65" s="1"/>
  <c r="BH161" i="65" s="1"/>
  <c r="BH162" i="65" s="1"/>
  <c r="BH163" i="65" s="1"/>
  <c r="BH164" i="65" s="1"/>
  <c r="BH165" i="65" s="1"/>
  <c r="BH166" i="65" s="1"/>
  <c r="BH167" i="65" s="1"/>
  <c r="BH168" i="65" s="1"/>
  <c r="BH169" i="65" s="1"/>
  <c r="BH170" i="65" s="1"/>
  <c r="BH171" i="65" s="1"/>
  <c r="BH172" i="65" s="1"/>
  <c r="BH173" i="65" s="1"/>
  <c r="BH174" i="65" s="1"/>
  <c r="BH175" i="65" s="1"/>
  <c r="BH176" i="65" s="1"/>
  <c r="BH177" i="65" s="1"/>
  <c r="BH178" i="65" s="1"/>
  <c r="BH179" i="65" s="1"/>
  <c r="BH180" i="65" s="1"/>
  <c r="BH181" i="65" s="1"/>
  <c r="BH182" i="65" s="1"/>
  <c r="BH183" i="65" s="1"/>
  <c r="BH184" i="65" s="1"/>
  <c r="BH185" i="65" s="1"/>
  <c r="BH186" i="65" s="1"/>
  <c r="BH187" i="65" s="1"/>
  <c r="BH188" i="65" s="1"/>
  <c r="BH189" i="65" s="1"/>
  <c r="BH190" i="65" s="1"/>
  <c r="BH191" i="65" s="1"/>
  <c r="BH192" i="65" s="1"/>
  <c r="BH193" i="65" s="1"/>
  <c r="BH194" i="65" s="1"/>
  <c r="BH195" i="65" s="1"/>
  <c r="BH196" i="65" s="1"/>
  <c r="BH197" i="65" s="1"/>
  <c r="BH198" i="65" s="1"/>
  <c r="BH199" i="65" s="1"/>
  <c r="BH200" i="65" s="1"/>
  <c r="BH201" i="65" s="1"/>
  <c r="BH202" i="65" s="1"/>
  <c r="BH203" i="65" s="1"/>
  <c r="BH204" i="65" s="1"/>
  <c r="BH205" i="65" s="1"/>
  <c r="BH206" i="65" s="1"/>
  <c r="BH207" i="65" s="1"/>
  <c r="BH208" i="65" s="1"/>
  <c r="BH209" i="65" s="1"/>
  <c r="BH210" i="65" s="1"/>
  <c r="BH211" i="65" s="1"/>
  <c r="BH212" i="65" s="1"/>
  <c r="BH213" i="65" s="1"/>
  <c r="BH214" i="65" s="1"/>
  <c r="BH215" i="65" s="1"/>
  <c r="BH216" i="65" s="1"/>
  <c r="BH217" i="65" s="1"/>
  <c r="BH218" i="65" s="1"/>
  <c r="BH219" i="65" s="1"/>
  <c r="BH220" i="65" s="1"/>
  <c r="BH221" i="65" s="1"/>
  <c r="BH222" i="65" s="1"/>
  <c r="BH223" i="65" s="1"/>
  <c r="BH224" i="65" s="1"/>
  <c r="BH225" i="65" s="1"/>
  <c r="BH226" i="65" s="1"/>
  <c r="BH227" i="65" s="1"/>
  <c r="BH228" i="65" s="1"/>
  <c r="BH229" i="65" s="1"/>
  <c r="BH230" i="65" s="1"/>
  <c r="BH231" i="65" s="1"/>
  <c r="BH232" i="65" s="1"/>
  <c r="BH233" i="65" s="1"/>
  <c r="BH234" i="65" s="1"/>
  <c r="BH235" i="65" s="1"/>
  <c r="BH236" i="65" s="1"/>
  <c r="BH237" i="65" s="1"/>
  <c r="BH238" i="65" s="1"/>
  <c r="BH239" i="65" s="1"/>
  <c r="BH240" i="65" s="1"/>
  <c r="BH241" i="65" s="1"/>
  <c r="BH242" i="65" s="1"/>
  <c r="BH243" i="65" s="1"/>
  <c r="BH244" i="65" s="1"/>
  <c r="BH245" i="65" s="1"/>
  <c r="BH246" i="65" s="1"/>
  <c r="BH247" i="65" s="1"/>
  <c r="BH248" i="65" s="1"/>
  <c r="BH249" i="65" s="1"/>
  <c r="BH250" i="65" s="1"/>
  <c r="BH251" i="65" s="1"/>
  <c r="BH252" i="65" s="1"/>
  <c r="BH253" i="65" s="1"/>
  <c r="BH254" i="65" s="1"/>
  <c r="BH255" i="65" s="1"/>
  <c r="BH256" i="65" s="1"/>
  <c r="BH257" i="65" s="1"/>
  <c r="BH258" i="65" s="1"/>
  <c r="BH259" i="65" s="1"/>
  <c r="BH260" i="65" s="1"/>
  <c r="BH261" i="65" s="1"/>
  <c r="BH262" i="65" s="1"/>
  <c r="BX157" i="65"/>
  <c r="BX158" i="65" s="1"/>
  <c r="BX159" i="65" s="1"/>
  <c r="BX160" i="65" s="1"/>
  <c r="BX161" i="65" s="1"/>
  <c r="BX162" i="65" s="1"/>
  <c r="BX163" i="65" s="1"/>
  <c r="BX164" i="65" s="1"/>
  <c r="BX165" i="65" s="1"/>
  <c r="BX166" i="65" s="1"/>
  <c r="BX167" i="65" s="1"/>
  <c r="BX168" i="65" s="1"/>
  <c r="BX169" i="65" s="1"/>
  <c r="BX170" i="65" s="1"/>
  <c r="BX171" i="65" s="1"/>
  <c r="BX172" i="65" s="1"/>
  <c r="BX173" i="65" s="1"/>
  <c r="BX174" i="65" s="1"/>
  <c r="BX175" i="65" s="1"/>
  <c r="BX176" i="65" s="1"/>
  <c r="BX177" i="65" s="1"/>
  <c r="BX178" i="65" s="1"/>
  <c r="BX179" i="65" s="1"/>
  <c r="BX180" i="65" s="1"/>
  <c r="BX181" i="65" s="1"/>
  <c r="BX182" i="65" s="1"/>
  <c r="BX183" i="65" s="1"/>
  <c r="BX184" i="65" s="1"/>
  <c r="BX185" i="65" s="1"/>
  <c r="BX186" i="65" s="1"/>
  <c r="BX187" i="65" s="1"/>
  <c r="BX188" i="65" s="1"/>
  <c r="BX189" i="65" s="1"/>
  <c r="BX190" i="65" s="1"/>
  <c r="BX191" i="65" s="1"/>
  <c r="BX192" i="65" s="1"/>
  <c r="BX193" i="65" s="1"/>
  <c r="BX194" i="65" s="1"/>
  <c r="BX195" i="65" s="1"/>
  <c r="BX196" i="65" s="1"/>
  <c r="BX197" i="65" s="1"/>
  <c r="BX198" i="65" s="1"/>
  <c r="BX199" i="65" s="1"/>
  <c r="BX200" i="65" s="1"/>
  <c r="BX201" i="65" s="1"/>
  <c r="BX202" i="65" s="1"/>
  <c r="BX203" i="65" s="1"/>
  <c r="BX204" i="65" s="1"/>
  <c r="BX205" i="65" s="1"/>
  <c r="BX206" i="65" s="1"/>
  <c r="BX207" i="65" s="1"/>
  <c r="BX208" i="65" s="1"/>
  <c r="BX209" i="65" s="1"/>
  <c r="BX210" i="65" s="1"/>
  <c r="BX211" i="65" s="1"/>
  <c r="BX212" i="65" s="1"/>
  <c r="BX213" i="65" s="1"/>
  <c r="BX214" i="65" s="1"/>
  <c r="BX215" i="65" s="1"/>
  <c r="BX216" i="65" s="1"/>
  <c r="BX217" i="65" s="1"/>
  <c r="BX218" i="65" s="1"/>
  <c r="BX219" i="65" s="1"/>
  <c r="BX220" i="65" s="1"/>
  <c r="BX221" i="65" s="1"/>
  <c r="BX222" i="65" s="1"/>
  <c r="BX223" i="65" s="1"/>
  <c r="BX224" i="65" s="1"/>
  <c r="BX225" i="65" s="1"/>
  <c r="BX226" i="65" s="1"/>
  <c r="BX227" i="65" s="1"/>
  <c r="BX228" i="65" s="1"/>
  <c r="BX229" i="65" s="1"/>
  <c r="BX230" i="65" s="1"/>
  <c r="BX231" i="65" s="1"/>
  <c r="BX232" i="65" s="1"/>
  <c r="BX233" i="65" s="1"/>
  <c r="BX234" i="65" s="1"/>
  <c r="BX235" i="65" s="1"/>
  <c r="BX236" i="65" s="1"/>
  <c r="BX237" i="65" s="1"/>
  <c r="BX238" i="65" s="1"/>
  <c r="BX239" i="65" s="1"/>
  <c r="BX240" i="65" s="1"/>
  <c r="BX241" i="65" s="1"/>
  <c r="BX242" i="65" s="1"/>
  <c r="BX243" i="65" s="1"/>
  <c r="BX244" i="65" s="1"/>
  <c r="BX245" i="65" s="1"/>
  <c r="BX246" i="65" s="1"/>
  <c r="BX247" i="65" s="1"/>
  <c r="BX248" i="65" s="1"/>
  <c r="BX249" i="65" s="1"/>
  <c r="BX250" i="65" s="1"/>
  <c r="BX251" i="65" s="1"/>
  <c r="BX252" i="65" s="1"/>
  <c r="BX253" i="65" s="1"/>
  <c r="BX254" i="65" s="1"/>
  <c r="BX255" i="65" s="1"/>
  <c r="BX256" i="65" s="1"/>
  <c r="BX257" i="65" s="1"/>
  <c r="BX258" i="65" s="1"/>
  <c r="BX259" i="65" s="1"/>
  <c r="BX260" i="65" s="1"/>
  <c r="BX261" i="65" s="1"/>
  <c r="BX262" i="65" s="1"/>
  <c r="CN157" i="65"/>
  <c r="CN158" i="65" s="1"/>
  <c r="CN159" i="65" s="1"/>
  <c r="CN160" i="65" s="1"/>
  <c r="CN161" i="65" s="1"/>
  <c r="CN162" i="65" s="1"/>
  <c r="CN163" i="65" s="1"/>
  <c r="CN164" i="65" s="1"/>
  <c r="CN165" i="65" s="1"/>
  <c r="CN166" i="65" s="1"/>
  <c r="CN167" i="65" s="1"/>
  <c r="CN168" i="65" s="1"/>
  <c r="CN169" i="65" s="1"/>
  <c r="CN170" i="65" s="1"/>
  <c r="CN171" i="65" s="1"/>
  <c r="CN172" i="65" s="1"/>
  <c r="CN173" i="65" s="1"/>
  <c r="CN174" i="65" s="1"/>
  <c r="CN175" i="65" s="1"/>
  <c r="CN176" i="65" s="1"/>
  <c r="CN177" i="65" s="1"/>
  <c r="CN178" i="65" s="1"/>
  <c r="CN179" i="65" s="1"/>
  <c r="CN180" i="65" s="1"/>
  <c r="CN181" i="65" s="1"/>
  <c r="CN182" i="65" s="1"/>
  <c r="CN183" i="65" s="1"/>
  <c r="CN184" i="65" s="1"/>
  <c r="CN185" i="65" s="1"/>
  <c r="CN186" i="65" s="1"/>
  <c r="CN187" i="65" s="1"/>
  <c r="CN188" i="65" s="1"/>
  <c r="CN189" i="65" s="1"/>
  <c r="CN190" i="65" s="1"/>
  <c r="CN191" i="65" s="1"/>
  <c r="CN192" i="65" s="1"/>
  <c r="CN193" i="65" s="1"/>
  <c r="CN194" i="65" s="1"/>
  <c r="CN195" i="65" s="1"/>
  <c r="CN196" i="65" s="1"/>
  <c r="CN197" i="65" s="1"/>
  <c r="CN198" i="65" s="1"/>
  <c r="CN199" i="65" s="1"/>
  <c r="CN200" i="65" s="1"/>
  <c r="CN201" i="65" s="1"/>
  <c r="CN202" i="65" s="1"/>
  <c r="CN203" i="65" s="1"/>
  <c r="CN204" i="65" s="1"/>
  <c r="CN205" i="65" s="1"/>
  <c r="CN206" i="65" s="1"/>
  <c r="CN207" i="65" s="1"/>
  <c r="CN208" i="65" s="1"/>
  <c r="CN209" i="65" s="1"/>
  <c r="CN210" i="65" s="1"/>
  <c r="CN211" i="65" s="1"/>
  <c r="CN212" i="65" s="1"/>
  <c r="CN213" i="65" s="1"/>
  <c r="CN214" i="65" s="1"/>
  <c r="CN215" i="65" s="1"/>
  <c r="CN216" i="65" s="1"/>
  <c r="CN217" i="65" s="1"/>
  <c r="CN218" i="65" s="1"/>
  <c r="CN219" i="65" s="1"/>
  <c r="CN220" i="65" s="1"/>
  <c r="CN221" i="65" s="1"/>
  <c r="CN222" i="65" s="1"/>
  <c r="CN223" i="65" s="1"/>
  <c r="CN224" i="65" s="1"/>
  <c r="CN225" i="65" s="1"/>
  <c r="CN226" i="65" s="1"/>
  <c r="CN227" i="65" s="1"/>
  <c r="CN228" i="65" s="1"/>
  <c r="CN229" i="65" s="1"/>
  <c r="CN230" i="65" s="1"/>
  <c r="CN231" i="65" s="1"/>
  <c r="CN232" i="65" s="1"/>
  <c r="CN233" i="65" s="1"/>
  <c r="CN234" i="65" s="1"/>
  <c r="CN235" i="65" s="1"/>
  <c r="CN236" i="65" s="1"/>
  <c r="CN237" i="65" s="1"/>
  <c r="CN238" i="65" s="1"/>
  <c r="CN239" i="65" s="1"/>
  <c r="CN240" i="65" s="1"/>
  <c r="CN241" i="65" s="1"/>
  <c r="CN242" i="65" s="1"/>
  <c r="CN243" i="65" s="1"/>
  <c r="CN244" i="65" s="1"/>
  <c r="CN245" i="65" s="1"/>
  <c r="CN246" i="65" s="1"/>
  <c r="CN247" i="65" s="1"/>
  <c r="CN248" i="65" s="1"/>
  <c r="CN249" i="65" s="1"/>
  <c r="CN250" i="65" s="1"/>
  <c r="CN251" i="65" s="1"/>
  <c r="CN252" i="65" s="1"/>
  <c r="CN253" i="65" s="1"/>
  <c r="CN254" i="65" s="1"/>
  <c r="CN255" i="65" s="1"/>
  <c r="CN256" i="65" s="1"/>
  <c r="CN257" i="65" s="1"/>
  <c r="CN258" i="65" s="1"/>
  <c r="CN259" i="65" s="1"/>
  <c r="CN260" i="65" s="1"/>
  <c r="CN261" i="65" s="1"/>
  <c r="CN262" i="65" s="1"/>
  <c r="DD157" i="65"/>
  <c r="DD158" i="65" s="1"/>
  <c r="DD159" i="65" s="1"/>
  <c r="DD160" i="65" s="1"/>
  <c r="DD161" i="65" s="1"/>
  <c r="DD162" i="65" s="1"/>
  <c r="DD163" i="65" s="1"/>
  <c r="DD164" i="65" s="1"/>
  <c r="DD165" i="65" s="1"/>
  <c r="DD166" i="65" s="1"/>
  <c r="DD167" i="65" s="1"/>
  <c r="DD168" i="65" s="1"/>
  <c r="DD169" i="65" s="1"/>
  <c r="DD170" i="65" s="1"/>
  <c r="DD171" i="65" s="1"/>
  <c r="DD172" i="65" s="1"/>
  <c r="DD173" i="65" s="1"/>
  <c r="DD174" i="65" s="1"/>
  <c r="DD175" i="65" s="1"/>
  <c r="DD176" i="65" s="1"/>
  <c r="DD177" i="65" s="1"/>
  <c r="DD178" i="65" s="1"/>
  <c r="DD179" i="65" s="1"/>
  <c r="DD180" i="65" s="1"/>
  <c r="DD181" i="65" s="1"/>
  <c r="DD182" i="65" s="1"/>
  <c r="DD183" i="65" s="1"/>
  <c r="DD184" i="65" s="1"/>
  <c r="DD185" i="65" s="1"/>
  <c r="DD186" i="65" s="1"/>
  <c r="DD187" i="65" s="1"/>
  <c r="DD188" i="65" s="1"/>
  <c r="DD189" i="65" s="1"/>
  <c r="DD190" i="65" s="1"/>
  <c r="DD191" i="65" s="1"/>
  <c r="DD192" i="65" s="1"/>
  <c r="DD193" i="65" s="1"/>
  <c r="DD194" i="65" s="1"/>
  <c r="DD195" i="65" s="1"/>
  <c r="DD196" i="65" s="1"/>
  <c r="DD197" i="65" s="1"/>
  <c r="DD198" i="65" s="1"/>
  <c r="DD199" i="65" s="1"/>
  <c r="DD200" i="65" s="1"/>
  <c r="DD201" i="65" s="1"/>
  <c r="DD202" i="65" s="1"/>
  <c r="DD203" i="65" s="1"/>
  <c r="DD204" i="65" s="1"/>
  <c r="DD205" i="65" s="1"/>
  <c r="DD206" i="65" s="1"/>
  <c r="DD207" i="65" s="1"/>
  <c r="DD208" i="65" s="1"/>
  <c r="DD209" i="65" s="1"/>
  <c r="DD210" i="65" s="1"/>
  <c r="DD211" i="65" s="1"/>
  <c r="DD212" i="65" s="1"/>
  <c r="DD213" i="65" s="1"/>
  <c r="DD214" i="65" s="1"/>
  <c r="DD215" i="65" s="1"/>
  <c r="DD216" i="65" s="1"/>
  <c r="DD217" i="65" s="1"/>
  <c r="DD218" i="65" s="1"/>
  <c r="DD219" i="65" s="1"/>
  <c r="DD220" i="65" s="1"/>
  <c r="DD221" i="65" s="1"/>
  <c r="DD222" i="65" s="1"/>
  <c r="DD223" i="65" s="1"/>
  <c r="DD224" i="65" s="1"/>
  <c r="DD225" i="65" s="1"/>
  <c r="DD226" i="65" s="1"/>
  <c r="DD227" i="65" s="1"/>
  <c r="DD228" i="65" s="1"/>
  <c r="DD229" i="65" s="1"/>
  <c r="DD230" i="65" s="1"/>
  <c r="DD231" i="65" s="1"/>
  <c r="DD232" i="65" s="1"/>
  <c r="DD233" i="65" s="1"/>
  <c r="DD234" i="65" s="1"/>
  <c r="DD235" i="65" s="1"/>
  <c r="DD236" i="65" s="1"/>
  <c r="DD237" i="65" s="1"/>
  <c r="DD238" i="65" s="1"/>
  <c r="DD239" i="65" s="1"/>
  <c r="DD240" i="65" s="1"/>
  <c r="DD241" i="65" s="1"/>
  <c r="DD242" i="65" s="1"/>
  <c r="DD243" i="65" s="1"/>
  <c r="DD244" i="65" s="1"/>
  <c r="DD245" i="65" s="1"/>
  <c r="DD246" i="65" s="1"/>
  <c r="DD247" i="65" s="1"/>
  <c r="DD248" i="65" s="1"/>
  <c r="DD249" i="65" s="1"/>
  <c r="DD250" i="65" s="1"/>
  <c r="DD251" i="65" s="1"/>
  <c r="DD252" i="65" s="1"/>
  <c r="DD253" i="65" s="1"/>
  <c r="DD254" i="65" s="1"/>
  <c r="DD255" i="65" s="1"/>
  <c r="DD256" i="65" s="1"/>
  <c r="DD257" i="65" s="1"/>
  <c r="DD258" i="65" s="1"/>
  <c r="DD259" i="65" s="1"/>
  <c r="DD260" i="65" s="1"/>
  <c r="DD261" i="65" s="1"/>
  <c r="DD262" i="65" s="1"/>
  <c r="DT157" i="65"/>
  <c r="DT158" i="65" s="1"/>
  <c r="DT159" i="65" s="1"/>
  <c r="DT160" i="65" s="1"/>
  <c r="DT161" i="65" s="1"/>
  <c r="DT162" i="65" s="1"/>
  <c r="DT163" i="65" s="1"/>
  <c r="DT164" i="65" s="1"/>
  <c r="DT165" i="65" s="1"/>
  <c r="DT166" i="65" s="1"/>
  <c r="DT167" i="65" s="1"/>
  <c r="DT168" i="65" s="1"/>
  <c r="DT169" i="65" s="1"/>
  <c r="DT170" i="65" s="1"/>
  <c r="DT171" i="65" s="1"/>
  <c r="DT172" i="65" s="1"/>
  <c r="DT173" i="65" s="1"/>
  <c r="DT174" i="65" s="1"/>
  <c r="DT175" i="65" s="1"/>
  <c r="DT176" i="65" s="1"/>
  <c r="DT177" i="65" s="1"/>
  <c r="DT178" i="65" s="1"/>
  <c r="DT179" i="65" s="1"/>
  <c r="DT180" i="65" s="1"/>
  <c r="DT181" i="65" s="1"/>
  <c r="DT182" i="65" s="1"/>
  <c r="DT183" i="65" s="1"/>
  <c r="DT184" i="65" s="1"/>
  <c r="DT185" i="65" s="1"/>
  <c r="DT186" i="65" s="1"/>
  <c r="DT187" i="65" s="1"/>
  <c r="DT188" i="65" s="1"/>
  <c r="DT189" i="65" s="1"/>
  <c r="DT190" i="65" s="1"/>
  <c r="DT191" i="65" s="1"/>
  <c r="DT192" i="65" s="1"/>
  <c r="DT193" i="65" s="1"/>
  <c r="DT194" i="65" s="1"/>
  <c r="DT195" i="65" s="1"/>
  <c r="DT196" i="65" s="1"/>
  <c r="DT197" i="65" s="1"/>
  <c r="DT198" i="65" s="1"/>
  <c r="DT199" i="65" s="1"/>
  <c r="DT200" i="65" s="1"/>
  <c r="DT201" i="65" s="1"/>
  <c r="DT202" i="65" s="1"/>
  <c r="DT203" i="65" s="1"/>
  <c r="DT204" i="65" s="1"/>
  <c r="DT205" i="65" s="1"/>
  <c r="DT206" i="65" s="1"/>
  <c r="DT207" i="65" s="1"/>
  <c r="DT208" i="65" s="1"/>
  <c r="DT209" i="65" s="1"/>
  <c r="DT210" i="65" s="1"/>
  <c r="DT211" i="65" s="1"/>
  <c r="DT212" i="65" s="1"/>
  <c r="DT213" i="65" s="1"/>
  <c r="DT214" i="65" s="1"/>
  <c r="DT215" i="65" s="1"/>
  <c r="DT216" i="65" s="1"/>
  <c r="DT217" i="65" s="1"/>
  <c r="DT218" i="65" s="1"/>
  <c r="DT219" i="65" s="1"/>
  <c r="DT220" i="65" s="1"/>
  <c r="DT221" i="65" s="1"/>
  <c r="DT222" i="65" s="1"/>
  <c r="DT223" i="65" s="1"/>
  <c r="DT224" i="65" s="1"/>
  <c r="DT225" i="65" s="1"/>
  <c r="DT226" i="65" s="1"/>
  <c r="DT227" i="65" s="1"/>
  <c r="DT228" i="65" s="1"/>
  <c r="DT229" i="65" s="1"/>
  <c r="DT230" i="65" s="1"/>
  <c r="DT231" i="65" s="1"/>
  <c r="DT232" i="65" s="1"/>
  <c r="DT233" i="65" s="1"/>
  <c r="DT234" i="65" s="1"/>
  <c r="DT235" i="65" s="1"/>
  <c r="DT236" i="65" s="1"/>
  <c r="DT237" i="65" s="1"/>
  <c r="DT238" i="65" s="1"/>
  <c r="DT239" i="65" s="1"/>
  <c r="DT240" i="65" s="1"/>
  <c r="DT241" i="65" s="1"/>
  <c r="DT242" i="65" s="1"/>
  <c r="DT243" i="65" s="1"/>
  <c r="DT244" i="65" s="1"/>
  <c r="DT245" i="65" s="1"/>
  <c r="DT246" i="65" s="1"/>
  <c r="DT247" i="65" s="1"/>
  <c r="DT248" i="65" s="1"/>
  <c r="DT249" i="65" s="1"/>
  <c r="DT250" i="65" s="1"/>
  <c r="DT251" i="65" s="1"/>
  <c r="DT252" i="65" s="1"/>
  <c r="DT253" i="65" s="1"/>
  <c r="DT254" i="65" s="1"/>
  <c r="DT255" i="65" s="1"/>
  <c r="DT256" i="65" s="1"/>
  <c r="DT257" i="65" s="1"/>
  <c r="DT258" i="65" s="1"/>
  <c r="DT259" i="65" s="1"/>
  <c r="DT260" i="65" s="1"/>
  <c r="DT261" i="65" s="1"/>
  <c r="DT262" i="65" s="1"/>
  <c r="EK46" i="65"/>
  <c r="AS158" i="65"/>
  <c r="EL47" i="65"/>
  <c r="EM48" i="65"/>
  <c r="EN49" i="65"/>
  <c r="EO50" i="65"/>
  <c r="EP51" i="65"/>
  <c r="ER52" i="65"/>
  <c r="DX55" i="65"/>
  <c r="EB57" i="65"/>
  <c r="DY58" i="65"/>
  <c r="EN60" i="65"/>
  <c r="EG61" i="65"/>
  <c r="EF62" i="65"/>
  <c r="EF63" i="65"/>
  <c r="EG64" i="65"/>
  <c r="EF67" i="65"/>
  <c r="EA51" i="65"/>
  <c r="EQ51" i="65"/>
  <c r="EB52" i="65"/>
  <c r="EE53" i="65"/>
  <c r="EC57" i="65"/>
  <c r="EG62" i="65"/>
  <c r="EG63" i="65"/>
  <c r="EE66" i="65"/>
  <c r="EG67" i="65"/>
  <c r="DY69" i="65"/>
  <c r="DX69" i="65"/>
  <c r="AA80" i="65"/>
  <c r="AA81" i="65"/>
  <c r="AA82" i="65"/>
  <c r="AA49" i="65"/>
  <c r="EL45" i="65"/>
  <c r="EM46" i="65"/>
  <c r="EN47" i="65"/>
  <c r="P48" i="65"/>
  <c r="EO48" i="65"/>
  <c r="EP49" i="65"/>
  <c r="EQ50" i="65"/>
  <c r="ER51" i="65"/>
  <c r="AA54" i="65"/>
  <c r="DW54" i="65" s="1"/>
  <c r="EM54" i="65"/>
  <c r="DZ55" i="65"/>
  <c r="EO56" i="65"/>
  <c r="EA58" i="65"/>
  <c r="P59" i="65"/>
  <c r="ER59" i="65"/>
  <c r="EA59" i="65"/>
  <c r="ED65" i="65"/>
  <c r="EF66" i="65"/>
  <c r="AA98" i="65"/>
  <c r="AA99" i="65"/>
  <c r="AA100" i="65"/>
  <c r="EK44" i="65"/>
  <c r="P65" i="65"/>
  <c r="P66" i="65"/>
  <c r="P67" i="65"/>
  <c r="P72" i="65"/>
  <c r="P73" i="65"/>
  <c r="P71" i="65"/>
  <c r="P77" i="65"/>
  <c r="P78" i="65"/>
  <c r="P79" i="65"/>
  <c r="P83" i="65"/>
  <c r="P84" i="65"/>
  <c r="P85" i="65"/>
  <c r="P89" i="65"/>
  <c r="P90" i="65"/>
  <c r="P91" i="65"/>
  <c r="P95" i="65"/>
  <c r="P96" i="65"/>
  <c r="P97" i="65"/>
  <c r="P102" i="65"/>
  <c r="P103" i="65"/>
  <c r="P101" i="65"/>
  <c r="P108" i="65"/>
  <c r="P109" i="65"/>
  <c r="P107" i="65"/>
  <c r="P113" i="65"/>
  <c r="P114" i="65"/>
  <c r="P115" i="65"/>
  <c r="P119" i="65"/>
  <c r="P120" i="65"/>
  <c r="P121" i="65"/>
  <c r="P125" i="65"/>
  <c r="P126" i="65"/>
  <c r="P127" i="65"/>
  <c r="P131" i="65"/>
  <c r="P132" i="65"/>
  <c r="P133" i="65"/>
  <c r="P137" i="65"/>
  <c r="P138" i="65"/>
  <c r="EL44" i="65"/>
  <c r="N156" i="65"/>
  <c r="N157" i="65" s="1"/>
  <c r="N158" i="65" s="1"/>
  <c r="N159" i="65" s="1"/>
  <c r="N160" i="65" s="1"/>
  <c r="N161" i="65" s="1"/>
  <c r="N162" i="65" s="1"/>
  <c r="N163" i="65" s="1"/>
  <c r="N164" i="65" s="1"/>
  <c r="N165" i="65" s="1"/>
  <c r="N166" i="65" s="1"/>
  <c r="N167" i="65" s="1"/>
  <c r="N168" i="65" s="1"/>
  <c r="N169" i="65" s="1"/>
  <c r="N170" i="65" s="1"/>
  <c r="N171" i="65" s="1"/>
  <c r="N172" i="65" s="1"/>
  <c r="N173" i="65" s="1"/>
  <c r="N174" i="65" s="1"/>
  <c r="N175" i="65" s="1"/>
  <c r="N176" i="65" s="1"/>
  <c r="N177" i="65" s="1"/>
  <c r="N178" i="65" s="1"/>
  <c r="N179" i="65" s="1"/>
  <c r="N180" i="65" s="1"/>
  <c r="N181" i="65" s="1"/>
  <c r="N182" i="65" s="1"/>
  <c r="N183" i="65" s="1"/>
  <c r="N184" i="65" s="1"/>
  <c r="N185" i="65" s="1"/>
  <c r="N186" i="65" s="1"/>
  <c r="N187" i="65" s="1"/>
  <c r="N188" i="65" s="1"/>
  <c r="N189" i="65" s="1"/>
  <c r="N190" i="65" s="1"/>
  <c r="N191" i="65" s="1"/>
  <c r="N192" i="65" s="1"/>
  <c r="N193" i="65" s="1"/>
  <c r="N194" i="65" s="1"/>
  <c r="N195" i="65" s="1"/>
  <c r="N196" i="65" s="1"/>
  <c r="N197" i="65" s="1"/>
  <c r="N198" i="65" s="1"/>
  <c r="N199" i="65" s="1"/>
  <c r="N200" i="65" s="1"/>
  <c r="N201" i="65" s="1"/>
  <c r="N202" i="65" s="1"/>
  <c r="N203" i="65" s="1"/>
  <c r="N204" i="65" s="1"/>
  <c r="N205" i="65" s="1"/>
  <c r="N206" i="65" s="1"/>
  <c r="N207" i="65" s="1"/>
  <c r="N208" i="65" s="1"/>
  <c r="N209" i="65" s="1"/>
  <c r="N210" i="65" s="1"/>
  <c r="N211" i="65" s="1"/>
  <c r="N212" i="65" s="1"/>
  <c r="N213" i="65" s="1"/>
  <c r="N214" i="65" s="1"/>
  <c r="N215" i="65" s="1"/>
  <c r="N216" i="65" s="1"/>
  <c r="N217" i="65" s="1"/>
  <c r="N218" i="65" s="1"/>
  <c r="N219" i="65" s="1"/>
  <c r="N220" i="65" s="1"/>
  <c r="N221" i="65" s="1"/>
  <c r="N222" i="65" s="1"/>
  <c r="N223" i="65" s="1"/>
  <c r="N224" i="65" s="1"/>
  <c r="N225" i="65" s="1"/>
  <c r="N226" i="65" s="1"/>
  <c r="N227" i="65" s="1"/>
  <c r="N228" i="65" s="1"/>
  <c r="N229" i="65" s="1"/>
  <c r="N230" i="65" s="1"/>
  <c r="N231" i="65" s="1"/>
  <c r="N232" i="65" s="1"/>
  <c r="N233" i="65" s="1"/>
  <c r="N234" i="65" s="1"/>
  <c r="N235" i="65" s="1"/>
  <c r="N236" i="65" s="1"/>
  <c r="N237" i="65" s="1"/>
  <c r="N238" i="65" s="1"/>
  <c r="N239" i="65" s="1"/>
  <c r="N240" i="65" s="1"/>
  <c r="N241" i="65" s="1"/>
  <c r="N242" i="65" s="1"/>
  <c r="N243" i="65" s="1"/>
  <c r="N244" i="65" s="1"/>
  <c r="N245" i="65" s="1"/>
  <c r="N246" i="65" s="1"/>
  <c r="N247" i="65" s="1"/>
  <c r="N248" i="65" s="1"/>
  <c r="N249" i="65" s="1"/>
  <c r="N250" i="65" s="1"/>
  <c r="N251" i="65" s="1"/>
  <c r="N252" i="65" s="1"/>
  <c r="N253" i="65" s="1"/>
  <c r="N254" i="65" s="1"/>
  <c r="N255" i="65" s="1"/>
  <c r="N256" i="65" s="1"/>
  <c r="N257" i="65" s="1"/>
  <c r="N258" i="65" s="1"/>
  <c r="N259" i="65" s="1"/>
  <c r="N260" i="65" s="1"/>
  <c r="N261" i="65" s="1"/>
  <c r="N262" i="65" s="1"/>
  <c r="AD156" i="65"/>
  <c r="AD157" i="65" s="1"/>
  <c r="AD158" i="65" s="1"/>
  <c r="AD159" i="65" s="1"/>
  <c r="AD160" i="65" s="1"/>
  <c r="AD161" i="65" s="1"/>
  <c r="AD162" i="65" s="1"/>
  <c r="AD163" i="65" s="1"/>
  <c r="AD164" i="65" s="1"/>
  <c r="AD165" i="65" s="1"/>
  <c r="AD166" i="65" s="1"/>
  <c r="AD167" i="65" s="1"/>
  <c r="AD168" i="65" s="1"/>
  <c r="AD169" i="65" s="1"/>
  <c r="AD170" i="65" s="1"/>
  <c r="AD171" i="65" s="1"/>
  <c r="AD172" i="65" s="1"/>
  <c r="AD173" i="65" s="1"/>
  <c r="AD174" i="65" s="1"/>
  <c r="AD175" i="65" s="1"/>
  <c r="AD176" i="65" s="1"/>
  <c r="AD177" i="65" s="1"/>
  <c r="AD178" i="65" s="1"/>
  <c r="AD179" i="65" s="1"/>
  <c r="AD180" i="65" s="1"/>
  <c r="AD181" i="65" s="1"/>
  <c r="AD182" i="65" s="1"/>
  <c r="AD183" i="65" s="1"/>
  <c r="AD184" i="65" s="1"/>
  <c r="AD185" i="65" s="1"/>
  <c r="AD186" i="65" s="1"/>
  <c r="AD187" i="65" s="1"/>
  <c r="AD188" i="65" s="1"/>
  <c r="AD189" i="65" s="1"/>
  <c r="AD190" i="65" s="1"/>
  <c r="AD191" i="65" s="1"/>
  <c r="AD192" i="65" s="1"/>
  <c r="AD193" i="65" s="1"/>
  <c r="AD194" i="65" s="1"/>
  <c r="AD195" i="65" s="1"/>
  <c r="AD196" i="65" s="1"/>
  <c r="AD197" i="65" s="1"/>
  <c r="AD198" i="65" s="1"/>
  <c r="AD199" i="65" s="1"/>
  <c r="AD200" i="65" s="1"/>
  <c r="AD201" i="65" s="1"/>
  <c r="AD202" i="65" s="1"/>
  <c r="AD203" i="65" s="1"/>
  <c r="AD204" i="65" s="1"/>
  <c r="AD205" i="65" s="1"/>
  <c r="AD206" i="65" s="1"/>
  <c r="AD207" i="65" s="1"/>
  <c r="AD208" i="65" s="1"/>
  <c r="AD209" i="65" s="1"/>
  <c r="AD210" i="65" s="1"/>
  <c r="AD211" i="65" s="1"/>
  <c r="AD212" i="65" s="1"/>
  <c r="AD213" i="65" s="1"/>
  <c r="AD214" i="65" s="1"/>
  <c r="AD215" i="65" s="1"/>
  <c r="AD216" i="65" s="1"/>
  <c r="AD217" i="65" s="1"/>
  <c r="AD218" i="65" s="1"/>
  <c r="AD219" i="65" s="1"/>
  <c r="AD220" i="65" s="1"/>
  <c r="AD221" i="65" s="1"/>
  <c r="AD222" i="65" s="1"/>
  <c r="AD223" i="65" s="1"/>
  <c r="AD224" i="65" s="1"/>
  <c r="AD225" i="65" s="1"/>
  <c r="AD226" i="65" s="1"/>
  <c r="AD227" i="65" s="1"/>
  <c r="AD228" i="65" s="1"/>
  <c r="AD229" i="65" s="1"/>
  <c r="AD230" i="65" s="1"/>
  <c r="AD231" i="65" s="1"/>
  <c r="AD232" i="65" s="1"/>
  <c r="AD233" i="65" s="1"/>
  <c r="AD234" i="65" s="1"/>
  <c r="AD235" i="65" s="1"/>
  <c r="AD236" i="65" s="1"/>
  <c r="AD237" i="65" s="1"/>
  <c r="AD238" i="65" s="1"/>
  <c r="AD239" i="65" s="1"/>
  <c r="AD240" i="65" s="1"/>
  <c r="AD241" i="65" s="1"/>
  <c r="AD242" i="65" s="1"/>
  <c r="AD243" i="65" s="1"/>
  <c r="AD244" i="65" s="1"/>
  <c r="AD245" i="65" s="1"/>
  <c r="AD246" i="65" s="1"/>
  <c r="AD247" i="65" s="1"/>
  <c r="AD248" i="65" s="1"/>
  <c r="AD249" i="65" s="1"/>
  <c r="AD250" i="65" s="1"/>
  <c r="AD251" i="65" s="1"/>
  <c r="AD252" i="65" s="1"/>
  <c r="AD253" i="65" s="1"/>
  <c r="AD254" i="65" s="1"/>
  <c r="AD255" i="65" s="1"/>
  <c r="AD256" i="65" s="1"/>
  <c r="AD257" i="65" s="1"/>
  <c r="AD258" i="65" s="1"/>
  <c r="AD259" i="65" s="1"/>
  <c r="AD260" i="65" s="1"/>
  <c r="AD261" i="65" s="1"/>
  <c r="AD262" i="65" s="1"/>
  <c r="AT156" i="65"/>
  <c r="EP156" i="65" s="1"/>
  <c r="BJ156" i="65"/>
  <c r="BJ157" i="65" s="1"/>
  <c r="BJ158" i="65" s="1"/>
  <c r="BJ159" i="65" s="1"/>
  <c r="BJ160" i="65" s="1"/>
  <c r="BJ161" i="65" s="1"/>
  <c r="BJ162" i="65" s="1"/>
  <c r="BJ163" i="65" s="1"/>
  <c r="BJ164" i="65" s="1"/>
  <c r="BJ165" i="65" s="1"/>
  <c r="BJ166" i="65" s="1"/>
  <c r="BJ167" i="65" s="1"/>
  <c r="BJ168" i="65" s="1"/>
  <c r="BJ169" i="65" s="1"/>
  <c r="BJ170" i="65" s="1"/>
  <c r="BJ171" i="65" s="1"/>
  <c r="BJ172" i="65" s="1"/>
  <c r="BJ173" i="65" s="1"/>
  <c r="BJ174" i="65" s="1"/>
  <c r="BJ175" i="65" s="1"/>
  <c r="BJ176" i="65" s="1"/>
  <c r="BJ177" i="65" s="1"/>
  <c r="BJ178" i="65" s="1"/>
  <c r="BJ179" i="65" s="1"/>
  <c r="BJ180" i="65" s="1"/>
  <c r="BJ181" i="65" s="1"/>
  <c r="BJ182" i="65" s="1"/>
  <c r="BJ183" i="65" s="1"/>
  <c r="BJ184" i="65" s="1"/>
  <c r="BJ185" i="65" s="1"/>
  <c r="BJ186" i="65" s="1"/>
  <c r="BJ187" i="65" s="1"/>
  <c r="BJ188" i="65" s="1"/>
  <c r="BJ189" i="65" s="1"/>
  <c r="BJ190" i="65" s="1"/>
  <c r="BJ191" i="65" s="1"/>
  <c r="BJ192" i="65" s="1"/>
  <c r="BJ193" i="65" s="1"/>
  <c r="BJ194" i="65" s="1"/>
  <c r="BJ195" i="65" s="1"/>
  <c r="BJ196" i="65" s="1"/>
  <c r="BJ197" i="65" s="1"/>
  <c r="BJ198" i="65" s="1"/>
  <c r="BJ199" i="65" s="1"/>
  <c r="BJ200" i="65" s="1"/>
  <c r="BJ201" i="65" s="1"/>
  <c r="BJ202" i="65" s="1"/>
  <c r="BJ203" i="65" s="1"/>
  <c r="BJ204" i="65" s="1"/>
  <c r="BJ205" i="65" s="1"/>
  <c r="BJ206" i="65" s="1"/>
  <c r="BJ207" i="65" s="1"/>
  <c r="BJ208" i="65" s="1"/>
  <c r="BJ209" i="65" s="1"/>
  <c r="BJ210" i="65" s="1"/>
  <c r="BJ211" i="65" s="1"/>
  <c r="BJ212" i="65" s="1"/>
  <c r="BJ213" i="65" s="1"/>
  <c r="BJ214" i="65" s="1"/>
  <c r="BJ215" i="65" s="1"/>
  <c r="BJ216" i="65" s="1"/>
  <c r="BJ217" i="65" s="1"/>
  <c r="BJ218" i="65" s="1"/>
  <c r="BJ219" i="65" s="1"/>
  <c r="BJ220" i="65" s="1"/>
  <c r="BJ221" i="65" s="1"/>
  <c r="BJ222" i="65" s="1"/>
  <c r="BJ223" i="65" s="1"/>
  <c r="BJ224" i="65" s="1"/>
  <c r="BJ225" i="65" s="1"/>
  <c r="BJ226" i="65" s="1"/>
  <c r="BJ227" i="65" s="1"/>
  <c r="BJ228" i="65" s="1"/>
  <c r="BJ229" i="65" s="1"/>
  <c r="BJ230" i="65" s="1"/>
  <c r="BJ231" i="65" s="1"/>
  <c r="BJ232" i="65" s="1"/>
  <c r="BJ233" i="65" s="1"/>
  <c r="BJ234" i="65" s="1"/>
  <c r="BJ235" i="65" s="1"/>
  <c r="BJ236" i="65" s="1"/>
  <c r="BJ237" i="65" s="1"/>
  <c r="BJ238" i="65" s="1"/>
  <c r="BJ239" i="65" s="1"/>
  <c r="BJ240" i="65" s="1"/>
  <c r="BJ241" i="65" s="1"/>
  <c r="BJ242" i="65" s="1"/>
  <c r="BJ243" i="65" s="1"/>
  <c r="BJ244" i="65" s="1"/>
  <c r="BJ245" i="65" s="1"/>
  <c r="BJ246" i="65" s="1"/>
  <c r="BJ247" i="65" s="1"/>
  <c r="BJ248" i="65" s="1"/>
  <c r="BJ249" i="65" s="1"/>
  <c r="BJ250" i="65" s="1"/>
  <c r="BJ251" i="65" s="1"/>
  <c r="BJ252" i="65" s="1"/>
  <c r="BJ253" i="65" s="1"/>
  <c r="BJ254" i="65" s="1"/>
  <c r="BJ255" i="65" s="1"/>
  <c r="BJ256" i="65" s="1"/>
  <c r="BJ257" i="65" s="1"/>
  <c r="BJ258" i="65" s="1"/>
  <c r="BJ259" i="65" s="1"/>
  <c r="BJ260" i="65" s="1"/>
  <c r="BJ261" i="65" s="1"/>
  <c r="BJ262" i="65" s="1"/>
  <c r="BZ156" i="65"/>
  <c r="BZ157" i="65" s="1"/>
  <c r="BZ158" i="65" s="1"/>
  <c r="BZ159" i="65" s="1"/>
  <c r="BZ160" i="65" s="1"/>
  <c r="BZ161" i="65" s="1"/>
  <c r="BZ162" i="65" s="1"/>
  <c r="BZ163" i="65" s="1"/>
  <c r="BZ164" i="65" s="1"/>
  <c r="BZ165" i="65" s="1"/>
  <c r="BZ166" i="65" s="1"/>
  <c r="BZ167" i="65" s="1"/>
  <c r="BZ168" i="65" s="1"/>
  <c r="BZ169" i="65" s="1"/>
  <c r="BZ170" i="65" s="1"/>
  <c r="BZ171" i="65" s="1"/>
  <c r="BZ172" i="65" s="1"/>
  <c r="BZ173" i="65" s="1"/>
  <c r="BZ174" i="65" s="1"/>
  <c r="BZ175" i="65" s="1"/>
  <c r="BZ176" i="65" s="1"/>
  <c r="BZ177" i="65" s="1"/>
  <c r="BZ178" i="65" s="1"/>
  <c r="BZ179" i="65" s="1"/>
  <c r="BZ180" i="65" s="1"/>
  <c r="BZ181" i="65" s="1"/>
  <c r="BZ182" i="65" s="1"/>
  <c r="BZ183" i="65" s="1"/>
  <c r="BZ184" i="65" s="1"/>
  <c r="BZ185" i="65" s="1"/>
  <c r="BZ186" i="65" s="1"/>
  <c r="BZ187" i="65" s="1"/>
  <c r="BZ188" i="65" s="1"/>
  <c r="BZ189" i="65" s="1"/>
  <c r="BZ190" i="65" s="1"/>
  <c r="BZ191" i="65" s="1"/>
  <c r="BZ192" i="65" s="1"/>
  <c r="BZ193" i="65" s="1"/>
  <c r="BZ194" i="65" s="1"/>
  <c r="BZ195" i="65" s="1"/>
  <c r="BZ196" i="65" s="1"/>
  <c r="BZ197" i="65" s="1"/>
  <c r="BZ198" i="65" s="1"/>
  <c r="BZ199" i="65" s="1"/>
  <c r="BZ200" i="65" s="1"/>
  <c r="BZ201" i="65" s="1"/>
  <c r="BZ202" i="65" s="1"/>
  <c r="BZ203" i="65" s="1"/>
  <c r="BZ204" i="65" s="1"/>
  <c r="BZ205" i="65" s="1"/>
  <c r="BZ206" i="65" s="1"/>
  <c r="BZ207" i="65" s="1"/>
  <c r="BZ208" i="65" s="1"/>
  <c r="BZ209" i="65" s="1"/>
  <c r="BZ210" i="65" s="1"/>
  <c r="BZ211" i="65" s="1"/>
  <c r="BZ212" i="65" s="1"/>
  <c r="BZ213" i="65" s="1"/>
  <c r="BZ214" i="65" s="1"/>
  <c r="BZ215" i="65" s="1"/>
  <c r="BZ216" i="65" s="1"/>
  <c r="BZ217" i="65" s="1"/>
  <c r="BZ218" i="65" s="1"/>
  <c r="BZ219" i="65" s="1"/>
  <c r="BZ220" i="65" s="1"/>
  <c r="BZ221" i="65" s="1"/>
  <c r="BZ222" i="65" s="1"/>
  <c r="BZ223" i="65" s="1"/>
  <c r="BZ224" i="65" s="1"/>
  <c r="BZ225" i="65" s="1"/>
  <c r="BZ226" i="65" s="1"/>
  <c r="BZ227" i="65" s="1"/>
  <c r="BZ228" i="65" s="1"/>
  <c r="BZ229" i="65" s="1"/>
  <c r="BZ230" i="65" s="1"/>
  <c r="BZ231" i="65" s="1"/>
  <c r="BZ232" i="65" s="1"/>
  <c r="BZ233" i="65" s="1"/>
  <c r="BZ234" i="65" s="1"/>
  <c r="BZ235" i="65" s="1"/>
  <c r="BZ236" i="65" s="1"/>
  <c r="BZ237" i="65" s="1"/>
  <c r="BZ238" i="65" s="1"/>
  <c r="BZ239" i="65" s="1"/>
  <c r="BZ240" i="65" s="1"/>
  <c r="BZ241" i="65" s="1"/>
  <c r="BZ242" i="65" s="1"/>
  <c r="BZ243" i="65" s="1"/>
  <c r="BZ244" i="65" s="1"/>
  <c r="BZ245" i="65" s="1"/>
  <c r="BZ246" i="65" s="1"/>
  <c r="BZ247" i="65" s="1"/>
  <c r="BZ248" i="65" s="1"/>
  <c r="BZ249" i="65" s="1"/>
  <c r="BZ250" i="65" s="1"/>
  <c r="BZ251" i="65" s="1"/>
  <c r="BZ252" i="65" s="1"/>
  <c r="BZ253" i="65" s="1"/>
  <c r="BZ254" i="65" s="1"/>
  <c r="BZ255" i="65" s="1"/>
  <c r="BZ256" i="65" s="1"/>
  <c r="BZ257" i="65" s="1"/>
  <c r="BZ258" i="65" s="1"/>
  <c r="BZ259" i="65" s="1"/>
  <c r="BZ260" i="65" s="1"/>
  <c r="BZ261" i="65" s="1"/>
  <c r="BZ262" i="65" s="1"/>
  <c r="CP156" i="65"/>
  <c r="CP157" i="65" s="1"/>
  <c r="CP158" i="65" s="1"/>
  <c r="CP159" i="65" s="1"/>
  <c r="CP160" i="65" s="1"/>
  <c r="CP161" i="65" s="1"/>
  <c r="CP162" i="65" s="1"/>
  <c r="CP163" i="65" s="1"/>
  <c r="CP164" i="65" s="1"/>
  <c r="CP165" i="65" s="1"/>
  <c r="CP166" i="65" s="1"/>
  <c r="CP167" i="65" s="1"/>
  <c r="CP168" i="65" s="1"/>
  <c r="CP169" i="65" s="1"/>
  <c r="CP170" i="65" s="1"/>
  <c r="CP171" i="65" s="1"/>
  <c r="CP172" i="65" s="1"/>
  <c r="CP173" i="65" s="1"/>
  <c r="CP174" i="65" s="1"/>
  <c r="CP175" i="65" s="1"/>
  <c r="CP176" i="65" s="1"/>
  <c r="CP177" i="65" s="1"/>
  <c r="CP178" i="65" s="1"/>
  <c r="CP179" i="65" s="1"/>
  <c r="CP180" i="65" s="1"/>
  <c r="CP181" i="65" s="1"/>
  <c r="CP182" i="65" s="1"/>
  <c r="CP183" i="65" s="1"/>
  <c r="CP184" i="65" s="1"/>
  <c r="CP185" i="65" s="1"/>
  <c r="CP186" i="65" s="1"/>
  <c r="CP187" i="65" s="1"/>
  <c r="CP188" i="65" s="1"/>
  <c r="CP189" i="65" s="1"/>
  <c r="CP190" i="65" s="1"/>
  <c r="CP191" i="65" s="1"/>
  <c r="CP192" i="65" s="1"/>
  <c r="CP193" i="65" s="1"/>
  <c r="CP194" i="65" s="1"/>
  <c r="CP195" i="65" s="1"/>
  <c r="CP196" i="65" s="1"/>
  <c r="CP197" i="65" s="1"/>
  <c r="CP198" i="65" s="1"/>
  <c r="CP199" i="65" s="1"/>
  <c r="CP200" i="65" s="1"/>
  <c r="CP201" i="65" s="1"/>
  <c r="CP202" i="65" s="1"/>
  <c r="CP203" i="65" s="1"/>
  <c r="CP204" i="65" s="1"/>
  <c r="CP205" i="65" s="1"/>
  <c r="CP206" i="65" s="1"/>
  <c r="CP207" i="65" s="1"/>
  <c r="CP208" i="65" s="1"/>
  <c r="CP209" i="65" s="1"/>
  <c r="CP210" i="65" s="1"/>
  <c r="CP211" i="65" s="1"/>
  <c r="CP212" i="65" s="1"/>
  <c r="CP213" i="65" s="1"/>
  <c r="CP214" i="65" s="1"/>
  <c r="CP215" i="65" s="1"/>
  <c r="CP216" i="65" s="1"/>
  <c r="CP217" i="65" s="1"/>
  <c r="CP218" i="65" s="1"/>
  <c r="CP219" i="65" s="1"/>
  <c r="CP220" i="65" s="1"/>
  <c r="CP221" i="65" s="1"/>
  <c r="CP222" i="65" s="1"/>
  <c r="CP223" i="65" s="1"/>
  <c r="CP224" i="65" s="1"/>
  <c r="CP225" i="65" s="1"/>
  <c r="CP226" i="65" s="1"/>
  <c r="CP227" i="65" s="1"/>
  <c r="CP228" i="65" s="1"/>
  <c r="CP229" i="65" s="1"/>
  <c r="CP230" i="65" s="1"/>
  <c r="CP231" i="65" s="1"/>
  <c r="CP232" i="65" s="1"/>
  <c r="CP233" i="65" s="1"/>
  <c r="CP234" i="65" s="1"/>
  <c r="CP235" i="65" s="1"/>
  <c r="CP236" i="65" s="1"/>
  <c r="CP237" i="65" s="1"/>
  <c r="CP238" i="65" s="1"/>
  <c r="CP239" i="65" s="1"/>
  <c r="CP240" i="65" s="1"/>
  <c r="CP241" i="65" s="1"/>
  <c r="CP242" i="65" s="1"/>
  <c r="CP243" i="65" s="1"/>
  <c r="CP244" i="65" s="1"/>
  <c r="CP245" i="65" s="1"/>
  <c r="CP246" i="65" s="1"/>
  <c r="CP247" i="65" s="1"/>
  <c r="CP248" i="65" s="1"/>
  <c r="CP249" i="65" s="1"/>
  <c r="CP250" i="65" s="1"/>
  <c r="CP251" i="65" s="1"/>
  <c r="CP252" i="65" s="1"/>
  <c r="CP253" i="65" s="1"/>
  <c r="CP254" i="65" s="1"/>
  <c r="CP255" i="65" s="1"/>
  <c r="CP256" i="65" s="1"/>
  <c r="CP257" i="65" s="1"/>
  <c r="CP258" i="65" s="1"/>
  <c r="CP259" i="65" s="1"/>
  <c r="CP260" i="65" s="1"/>
  <c r="CP261" i="65" s="1"/>
  <c r="CP262" i="65" s="1"/>
  <c r="DF156" i="65"/>
  <c r="DF157" i="65" s="1"/>
  <c r="DF158" i="65" s="1"/>
  <c r="DF159" i="65" s="1"/>
  <c r="DF160" i="65" s="1"/>
  <c r="DF161" i="65" s="1"/>
  <c r="DF162" i="65" s="1"/>
  <c r="DF163" i="65" s="1"/>
  <c r="DF164" i="65" s="1"/>
  <c r="DF165" i="65" s="1"/>
  <c r="DF166" i="65" s="1"/>
  <c r="DF167" i="65" s="1"/>
  <c r="DF168" i="65" s="1"/>
  <c r="DF169" i="65" s="1"/>
  <c r="EM45" i="65"/>
  <c r="AU157" i="65"/>
  <c r="EQ157" i="65" s="1"/>
  <c r="BK157" i="65"/>
  <c r="BK158" i="65" s="1"/>
  <c r="BK159" i="65" s="1"/>
  <c r="BK160" i="65" s="1"/>
  <c r="BK161" i="65" s="1"/>
  <c r="BK162" i="65" s="1"/>
  <c r="BK163" i="65" s="1"/>
  <c r="BK164" i="65" s="1"/>
  <c r="BK165" i="65" s="1"/>
  <c r="BK166" i="65" s="1"/>
  <c r="BK167" i="65" s="1"/>
  <c r="BK168" i="65" s="1"/>
  <c r="BK169" i="65" s="1"/>
  <c r="BK170" i="65" s="1"/>
  <c r="BK171" i="65" s="1"/>
  <c r="BK172" i="65" s="1"/>
  <c r="BK173" i="65" s="1"/>
  <c r="BK174" i="65" s="1"/>
  <c r="BK175" i="65" s="1"/>
  <c r="BK176" i="65" s="1"/>
  <c r="BK177" i="65" s="1"/>
  <c r="BK178" i="65" s="1"/>
  <c r="BK179" i="65" s="1"/>
  <c r="BK180" i="65" s="1"/>
  <c r="BK181" i="65" s="1"/>
  <c r="BK182" i="65" s="1"/>
  <c r="BK183" i="65" s="1"/>
  <c r="BK184" i="65" s="1"/>
  <c r="BK185" i="65" s="1"/>
  <c r="BK186" i="65" s="1"/>
  <c r="BK187" i="65" s="1"/>
  <c r="BK188" i="65" s="1"/>
  <c r="BK189" i="65" s="1"/>
  <c r="BK190" i="65" s="1"/>
  <c r="BK191" i="65" s="1"/>
  <c r="BK192" i="65" s="1"/>
  <c r="BK193" i="65" s="1"/>
  <c r="BK194" i="65" s="1"/>
  <c r="BK195" i="65" s="1"/>
  <c r="BK196" i="65" s="1"/>
  <c r="BK197" i="65" s="1"/>
  <c r="BK198" i="65" s="1"/>
  <c r="BK199" i="65" s="1"/>
  <c r="BK200" i="65" s="1"/>
  <c r="BK201" i="65" s="1"/>
  <c r="BK202" i="65" s="1"/>
  <c r="BK203" i="65" s="1"/>
  <c r="BK204" i="65" s="1"/>
  <c r="BK205" i="65" s="1"/>
  <c r="BK206" i="65" s="1"/>
  <c r="BK207" i="65" s="1"/>
  <c r="BK208" i="65" s="1"/>
  <c r="BK209" i="65" s="1"/>
  <c r="BK210" i="65" s="1"/>
  <c r="BK211" i="65" s="1"/>
  <c r="BK212" i="65" s="1"/>
  <c r="BK213" i="65" s="1"/>
  <c r="BK214" i="65" s="1"/>
  <c r="BK215" i="65" s="1"/>
  <c r="BK216" i="65" s="1"/>
  <c r="BK217" i="65" s="1"/>
  <c r="BK218" i="65" s="1"/>
  <c r="BK219" i="65" s="1"/>
  <c r="BK220" i="65" s="1"/>
  <c r="BK221" i="65" s="1"/>
  <c r="BK222" i="65" s="1"/>
  <c r="BK223" i="65" s="1"/>
  <c r="BK224" i="65" s="1"/>
  <c r="BK225" i="65" s="1"/>
  <c r="BK226" i="65" s="1"/>
  <c r="BK227" i="65" s="1"/>
  <c r="BK228" i="65" s="1"/>
  <c r="BK229" i="65" s="1"/>
  <c r="BK230" i="65" s="1"/>
  <c r="BK231" i="65" s="1"/>
  <c r="BK232" i="65" s="1"/>
  <c r="BK233" i="65" s="1"/>
  <c r="BK234" i="65" s="1"/>
  <c r="BK235" i="65" s="1"/>
  <c r="BK236" i="65" s="1"/>
  <c r="BK237" i="65" s="1"/>
  <c r="BK238" i="65" s="1"/>
  <c r="BK239" i="65" s="1"/>
  <c r="BK240" i="65" s="1"/>
  <c r="BK241" i="65" s="1"/>
  <c r="BK242" i="65" s="1"/>
  <c r="BK243" i="65" s="1"/>
  <c r="BK244" i="65" s="1"/>
  <c r="BK245" i="65" s="1"/>
  <c r="BK246" i="65" s="1"/>
  <c r="BK247" i="65" s="1"/>
  <c r="BK248" i="65" s="1"/>
  <c r="BK249" i="65" s="1"/>
  <c r="BK250" i="65" s="1"/>
  <c r="BK251" i="65" s="1"/>
  <c r="BK252" i="65" s="1"/>
  <c r="BK253" i="65" s="1"/>
  <c r="BK254" i="65" s="1"/>
  <c r="BK255" i="65" s="1"/>
  <c r="BK256" i="65" s="1"/>
  <c r="BK257" i="65" s="1"/>
  <c r="BK258" i="65" s="1"/>
  <c r="BK259" i="65" s="1"/>
  <c r="BK260" i="65" s="1"/>
  <c r="BK261" i="65" s="1"/>
  <c r="BK262" i="65" s="1"/>
  <c r="CA157" i="65"/>
  <c r="CA158" i="65" s="1"/>
  <c r="CA159" i="65" s="1"/>
  <c r="CA160" i="65" s="1"/>
  <c r="CA161" i="65" s="1"/>
  <c r="CA162" i="65" s="1"/>
  <c r="CA163" i="65" s="1"/>
  <c r="EN46" i="65"/>
  <c r="EO47" i="65"/>
  <c r="EP48" i="65"/>
  <c r="EQ49" i="65"/>
  <c r="ER50" i="65"/>
  <c r="EH53" i="65"/>
  <c r="EA55" i="65"/>
  <c r="EK57" i="65"/>
  <c r="EC64" i="65"/>
  <c r="EE65" i="65"/>
  <c r="DX68" i="65"/>
  <c r="AA56" i="65"/>
  <c r="AA57" i="65"/>
  <c r="AA125" i="65"/>
  <c r="AA126" i="65"/>
  <c r="AA127" i="65"/>
  <c r="EA48" i="65"/>
  <c r="EQ48" i="65"/>
  <c r="EB49" i="65"/>
  <c r="ER49" i="65"/>
  <c r="EC50" i="65"/>
  <c r="ED51" i="65"/>
  <c r="EO54" i="65"/>
  <c r="EG55" i="65"/>
  <c r="EQ56" i="65"/>
  <c r="EC56" i="65"/>
  <c r="EC58" i="65"/>
  <c r="EH58" i="65"/>
  <c r="EB58" i="65"/>
  <c r="EB60" i="65"/>
  <c r="EB63" i="65"/>
  <c r="ED64" i="65"/>
  <c r="EB69" i="65"/>
  <c r="AA77" i="65"/>
  <c r="AA78" i="65"/>
  <c r="AA79" i="65"/>
  <c r="AA85" i="65"/>
  <c r="AA83" i="65"/>
  <c r="AA84" i="65"/>
  <c r="AA91" i="65"/>
  <c r="AA90" i="65"/>
  <c r="AA89" i="65"/>
  <c r="AA97" i="65"/>
  <c r="AA95" i="65"/>
  <c r="AA96" i="65"/>
  <c r="AA101" i="65"/>
  <c r="AA102" i="65"/>
  <c r="AA103" i="65"/>
  <c r="AA109" i="65"/>
  <c r="AA108" i="65"/>
  <c r="AA107" i="65"/>
  <c r="AA113" i="65"/>
  <c r="AA114" i="65"/>
  <c r="AA115" i="65"/>
  <c r="AA120" i="65"/>
  <c r="AA121" i="65"/>
  <c r="AA119" i="65"/>
  <c r="AA131" i="65"/>
  <c r="AA132" i="65"/>
  <c r="AA133" i="65"/>
  <c r="AA137" i="65"/>
  <c r="AA138" i="65"/>
  <c r="DW8" i="65"/>
  <c r="DW16" i="65"/>
  <c r="DW18" i="65"/>
  <c r="DW20" i="65"/>
  <c r="DW22" i="65"/>
  <c r="DW24" i="65"/>
  <c r="DW26" i="65"/>
  <c r="DW28" i="65"/>
  <c r="DW30" i="65"/>
  <c r="DW32" i="65"/>
  <c r="DX44" i="65"/>
  <c r="AF156" i="65"/>
  <c r="AF157" i="65" s="1"/>
  <c r="AF158" i="65" s="1"/>
  <c r="AF159" i="65" s="1"/>
  <c r="AF160" i="65" s="1"/>
  <c r="AF161" i="65" s="1"/>
  <c r="AF162" i="65" s="1"/>
  <c r="AF163" i="65" s="1"/>
  <c r="AF164" i="65" s="1"/>
  <c r="AF165" i="65" s="1"/>
  <c r="AF166" i="65" s="1"/>
  <c r="AF167" i="65" s="1"/>
  <c r="AF168" i="65" s="1"/>
  <c r="AF169" i="65" s="1"/>
  <c r="AF170" i="65" s="1"/>
  <c r="AF171" i="65" s="1"/>
  <c r="AF172" i="65" s="1"/>
  <c r="AF173" i="65" s="1"/>
  <c r="AF174" i="65" s="1"/>
  <c r="AF175" i="65" s="1"/>
  <c r="AF176" i="65" s="1"/>
  <c r="AF177" i="65" s="1"/>
  <c r="AF178" i="65" s="1"/>
  <c r="AF179" i="65" s="1"/>
  <c r="AF180" i="65" s="1"/>
  <c r="AF181" i="65" s="1"/>
  <c r="AF182" i="65" s="1"/>
  <c r="AF183" i="65" s="1"/>
  <c r="AF184" i="65" s="1"/>
  <c r="AF185" i="65" s="1"/>
  <c r="AF186" i="65" s="1"/>
  <c r="AF187" i="65" s="1"/>
  <c r="AF188" i="65" s="1"/>
  <c r="AF189" i="65" s="1"/>
  <c r="AF190" i="65" s="1"/>
  <c r="AF191" i="65" s="1"/>
  <c r="AF192" i="65" s="1"/>
  <c r="AF193" i="65" s="1"/>
  <c r="AF194" i="65" s="1"/>
  <c r="AF195" i="65" s="1"/>
  <c r="AF196" i="65" s="1"/>
  <c r="AF197" i="65" s="1"/>
  <c r="AF198" i="65" s="1"/>
  <c r="AF199" i="65" s="1"/>
  <c r="AF200" i="65" s="1"/>
  <c r="AF201" i="65" s="1"/>
  <c r="AF202" i="65" s="1"/>
  <c r="AF203" i="65" s="1"/>
  <c r="AF204" i="65" s="1"/>
  <c r="AF205" i="65" s="1"/>
  <c r="AF206" i="65" s="1"/>
  <c r="AF207" i="65" s="1"/>
  <c r="AF208" i="65" s="1"/>
  <c r="AF209" i="65" s="1"/>
  <c r="AF210" i="65" s="1"/>
  <c r="AF211" i="65" s="1"/>
  <c r="AF212" i="65" s="1"/>
  <c r="AF213" i="65" s="1"/>
  <c r="AF214" i="65" s="1"/>
  <c r="AF215" i="65" s="1"/>
  <c r="AF216" i="65" s="1"/>
  <c r="AF217" i="65" s="1"/>
  <c r="AF218" i="65" s="1"/>
  <c r="AF219" i="65" s="1"/>
  <c r="AF220" i="65" s="1"/>
  <c r="AF221" i="65" s="1"/>
  <c r="AF222" i="65" s="1"/>
  <c r="AF223" i="65" s="1"/>
  <c r="AF224" i="65" s="1"/>
  <c r="AF225" i="65" s="1"/>
  <c r="AF226" i="65" s="1"/>
  <c r="AF227" i="65" s="1"/>
  <c r="AF228" i="65" s="1"/>
  <c r="AF229" i="65" s="1"/>
  <c r="AF230" i="65" s="1"/>
  <c r="AF231" i="65" s="1"/>
  <c r="AF232" i="65" s="1"/>
  <c r="AF233" i="65" s="1"/>
  <c r="AF234" i="65" s="1"/>
  <c r="AF235" i="65" s="1"/>
  <c r="AF236" i="65" s="1"/>
  <c r="AF237" i="65" s="1"/>
  <c r="AF238" i="65" s="1"/>
  <c r="AF239" i="65" s="1"/>
  <c r="AF240" i="65" s="1"/>
  <c r="AF241" i="65" s="1"/>
  <c r="AF242" i="65" s="1"/>
  <c r="AF243" i="65" s="1"/>
  <c r="AF244" i="65" s="1"/>
  <c r="AF245" i="65" s="1"/>
  <c r="AF246" i="65" s="1"/>
  <c r="AF247" i="65" s="1"/>
  <c r="AF248" i="65" s="1"/>
  <c r="AF249" i="65" s="1"/>
  <c r="AF250" i="65" s="1"/>
  <c r="AF251" i="65" s="1"/>
  <c r="AF252" i="65" s="1"/>
  <c r="AF253" i="65" s="1"/>
  <c r="AF254" i="65" s="1"/>
  <c r="AF255" i="65" s="1"/>
  <c r="AF256" i="65" s="1"/>
  <c r="AF257" i="65" s="1"/>
  <c r="AF258" i="65" s="1"/>
  <c r="AF259" i="65" s="1"/>
  <c r="AF260" i="65" s="1"/>
  <c r="AF261" i="65" s="1"/>
  <c r="AF262" i="65" s="1"/>
  <c r="AV156" i="65"/>
  <c r="BL156" i="65"/>
  <c r="BL157" i="65" s="1"/>
  <c r="BL158" i="65" s="1"/>
  <c r="BL159" i="65" s="1"/>
  <c r="BL160" i="65" s="1"/>
  <c r="BL161" i="65" s="1"/>
  <c r="BL162" i="65" s="1"/>
  <c r="BL163" i="65" s="1"/>
  <c r="BL164" i="65" s="1"/>
  <c r="BL165" i="65" s="1"/>
  <c r="BL166" i="65" s="1"/>
  <c r="BL167" i="65" s="1"/>
  <c r="BL168" i="65" s="1"/>
  <c r="BL169" i="65" s="1"/>
  <c r="BL170" i="65" s="1"/>
  <c r="BL171" i="65" s="1"/>
  <c r="BL172" i="65" s="1"/>
  <c r="BL173" i="65" s="1"/>
  <c r="BL174" i="65" s="1"/>
  <c r="BL175" i="65" s="1"/>
  <c r="BL176" i="65" s="1"/>
  <c r="BL177" i="65" s="1"/>
  <c r="BL178" i="65" s="1"/>
  <c r="BL179" i="65" s="1"/>
  <c r="BL180" i="65" s="1"/>
  <c r="BL181" i="65" s="1"/>
  <c r="BL182" i="65" s="1"/>
  <c r="BL183" i="65" s="1"/>
  <c r="BL184" i="65" s="1"/>
  <c r="BL185" i="65" s="1"/>
  <c r="BL186" i="65" s="1"/>
  <c r="BL187" i="65" s="1"/>
  <c r="BL188" i="65" s="1"/>
  <c r="BL189" i="65" s="1"/>
  <c r="BL190" i="65" s="1"/>
  <c r="BL191" i="65" s="1"/>
  <c r="BL192" i="65" s="1"/>
  <c r="BL193" i="65" s="1"/>
  <c r="BL194" i="65" s="1"/>
  <c r="BL195" i="65" s="1"/>
  <c r="BL196" i="65" s="1"/>
  <c r="BL197" i="65" s="1"/>
  <c r="BL198" i="65" s="1"/>
  <c r="BL199" i="65" s="1"/>
  <c r="BL200" i="65" s="1"/>
  <c r="BL201" i="65" s="1"/>
  <c r="BL202" i="65" s="1"/>
  <c r="BL203" i="65" s="1"/>
  <c r="BL204" i="65" s="1"/>
  <c r="BL205" i="65" s="1"/>
  <c r="BL206" i="65" s="1"/>
  <c r="BL207" i="65" s="1"/>
  <c r="BL208" i="65" s="1"/>
  <c r="BL209" i="65" s="1"/>
  <c r="BL210" i="65" s="1"/>
  <c r="BL211" i="65" s="1"/>
  <c r="BL212" i="65" s="1"/>
  <c r="BL213" i="65" s="1"/>
  <c r="BL214" i="65" s="1"/>
  <c r="BL215" i="65" s="1"/>
  <c r="BL216" i="65" s="1"/>
  <c r="BL217" i="65" s="1"/>
  <c r="BL218" i="65" s="1"/>
  <c r="BL219" i="65" s="1"/>
  <c r="BL220" i="65" s="1"/>
  <c r="BL221" i="65" s="1"/>
  <c r="BL222" i="65" s="1"/>
  <c r="BL223" i="65" s="1"/>
  <c r="BL224" i="65" s="1"/>
  <c r="BL225" i="65" s="1"/>
  <c r="BL226" i="65" s="1"/>
  <c r="BL227" i="65" s="1"/>
  <c r="BL228" i="65" s="1"/>
  <c r="BL229" i="65" s="1"/>
  <c r="BL230" i="65" s="1"/>
  <c r="BL231" i="65" s="1"/>
  <c r="BL232" i="65" s="1"/>
  <c r="BL233" i="65" s="1"/>
  <c r="BL234" i="65" s="1"/>
  <c r="BL235" i="65" s="1"/>
  <c r="BL236" i="65" s="1"/>
  <c r="BL237" i="65" s="1"/>
  <c r="BL238" i="65" s="1"/>
  <c r="BL239" i="65" s="1"/>
  <c r="BL240" i="65" s="1"/>
  <c r="BL241" i="65" s="1"/>
  <c r="BL242" i="65" s="1"/>
  <c r="BL243" i="65" s="1"/>
  <c r="BL244" i="65" s="1"/>
  <c r="BL245" i="65" s="1"/>
  <c r="BL246" i="65" s="1"/>
  <c r="BL247" i="65" s="1"/>
  <c r="BL248" i="65" s="1"/>
  <c r="BL249" i="65" s="1"/>
  <c r="BL250" i="65" s="1"/>
  <c r="BL251" i="65" s="1"/>
  <c r="BL252" i="65" s="1"/>
  <c r="BL253" i="65" s="1"/>
  <c r="BL254" i="65" s="1"/>
  <c r="BL255" i="65" s="1"/>
  <c r="BL256" i="65" s="1"/>
  <c r="BL257" i="65" s="1"/>
  <c r="BL258" i="65" s="1"/>
  <c r="BL259" i="65" s="1"/>
  <c r="BL260" i="65" s="1"/>
  <c r="BL261" i="65" s="1"/>
  <c r="BL262" i="65" s="1"/>
  <c r="CB156" i="65"/>
  <c r="CB157" i="65" s="1"/>
  <c r="CB158" i="65" s="1"/>
  <c r="CB159" i="65" s="1"/>
  <c r="CB160" i="65" s="1"/>
  <c r="CB161" i="65" s="1"/>
  <c r="CB162" i="65" s="1"/>
  <c r="CB163" i="65" s="1"/>
  <c r="CB164" i="65" s="1"/>
  <c r="CB165" i="65" s="1"/>
  <c r="CB166" i="65" s="1"/>
  <c r="CB167" i="65" s="1"/>
  <c r="CB168" i="65" s="1"/>
  <c r="CB169" i="65" s="1"/>
  <c r="CB170" i="65" s="1"/>
  <c r="CB171" i="65" s="1"/>
  <c r="CB172" i="65" s="1"/>
  <c r="CB173" i="65" s="1"/>
  <c r="CB174" i="65" s="1"/>
  <c r="CB175" i="65" s="1"/>
  <c r="CB176" i="65" s="1"/>
  <c r="CB177" i="65" s="1"/>
  <c r="CB178" i="65" s="1"/>
  <c r="CB179" i="65" s="1"/>
  <c r="CB180" i="65" s="1"/>
  <c r="CB181" i="65" s="1"/>
  <c r="CB182" i="65" s="1"/>
  <c r="CB183" i="65" s="1"/>
  <c r="CB184" i="65" s="1"/>
  <c r="CB185" i="65" s="1"/>
  <c r="CB186" i="65" s="1"/>
  <c r="CB187" i="65" s="1"/>
  <c r="CB188" i="65" s="1"/>
  <c r="CB189" i="65" s="1"/>
  <c r="CB190" i="65" s="1"/>
  <c r="CB191" i="65" s="1"/>
  <c r="CB192" i="65" s="1"/>
  <c r="CB193" i="65" s="1"/>
  <c r="CB194" i="65" s="1"/>
  <c r="CB195" i="65" s="1"/>
  <c r="CB196" i="65" s="1"/>
  <c r="CB197" i="65" s="1"/>
  <c r="CB198" i="65" s="1"/>
  <c r="CB199" i="65" s="1"/>
  <c r="CB200" i="65" s="1"/>
  <c r="CB201" i="65" s="1"/>
  <c r="CB202" i="65" s="1"/>
  <c r="CB203" i="65" s="1"/>
  <c r="CB204" i="65" s="1"/>
  <c r="CB205" i="65" s="1"/>
  <c r="CB206" i="65" s="1"/>
  <c r="CB207" i="65" s="1"/>
  <c r="CB208" i="65" s="1"/>
  <c r="CB209" i="65" s="1"/>
  <c r="CB210" i="65" s="1"/>
  <c r="CB211" i="65" s="1"/>
  <c r="CB212" i="65" s="1"/>
  <c r="CB213" i="65" s="1"/>
  <c r="CB214" i="65" s="1"/>
  <c r="CB215" i="65" s="1"/>
  <c r="CB216" i="65" s="1"/>
  <c r="CB217" i="65" s="1"/>
  <c r="CB218" i="65" s="1"/>
  <c r="CB219" i="65" s="1"/>
  <c r="CB220" i="65" s="1"/>
  <c r="CB221" i="65" s="1"/>
  <c r="CB222" i="65" s="1"/>
  <c r="CB223" i="65" s="1"/>
  <c r="CB224" i="65" s="1"/>
  <c r="CB225" i="65" s="1"/>
  <c r="CB226" i="65" s="1"/>
  <c r="CB227" i="65" s="1"/>
  <c r="CB228" i="65" s="1"/>
  <c r="CB229" i="65" s="1"/>
  <c r="CB230" i="65" s="1"/>
  <c r="CB231" i="65" s="1"/>
  <c r="CB232" i="65" s="1"/>
  <c r="CB233" i="65" s="1"/>
  <c r="CB234" i="65" s="1"/>
  <c r="CB235" i="65" s="1"/>
  <c r="CB236" i="65" s="1"/>
  <c r="CB237" i="65" s="1"/>
  <c r="CB238" i="65" s="1"/>
  <c r="CB239" i="65" s="1"/>
  <c r="CB240" i="65" s="1"/>
  <c r="CB241" i="65" s="1"/>
  <c r="CB242" i="65" s="1"/>
  <c r="CB243" i="65" s="1"/>
  <c r="CB244" i="65" s="1"/>
  <c r="CB245" i="65" s="1"/>
  <c r="CB246" i="65" s="1"/>
  <c r="CB247" i="65" s="1"/>
  <c r="CB248" i="65" s="1"/>
  <c r="CB249" i="65" s="1"/>
  <c r="CB250" i="65" s="1"/>
  <c r="CB251" i="65" s="1"/>
  <c r="CB252" i="65" s="1"/>
  <c r="CB253" i="65" s="1"/>
  <c r="CB254" i="65" s="1"/>
  <c r="CB255" i="65" s="1"/>
  <c r="CB256" i="65" s="1"/>
  <c r="CB257" i="65" s="1"/>
  <c r="CB258" i="65" s="1"/>
  <c r="CB259" i="65" s="1"/>
  <c r="CB260" i="65" s="1"/>
  <c r="CB261" i="65" s="1"/>
  <c r="CB262" i="65" s="1"/>
  <c r="CR156" i="65"/>
  <c r="CR157" i="65" s="1"/>
  <c r="CR158" i="65" s="1"/>
  <c r="CR159" i="65" s="1"/>
  <c r="CR160" i="65" s="1"/>
  <c r="CR161" i="65" s="1"/>
  <c r="CR162" i="65" s="1"/>
  <c r="CR163" i="65" s="1"/>
  <c r="CR164" i="65" s="1"/>
  <c r="CR165" i="65" s="1"/>
  <c r="CR166" i="65" s="1"/>
  <c r="CR167" i="65" s="1"/>
  <c r="CR168" i="65" s="1"/>
  <c r="CR169" i="65" s="1"/>
  <c r="CR170" i="65" s="1"/>
  <c r="CR171" i="65" s="1"/>
  <c r="CR172" i="65" s="1"/>
  <c r="CR173" i="65" s="1"/>
  <c r="CR174" i="65" s="1"/>
  <c r="CR175" i="65" s="1"/>
  <c r="CR176" i="65" s="1"/>
  <c r="CR177" i="65" s="1"/>
  <c r="CR178" i="65" s="1"/>
  <c r="CR179" i="65" s="1"/>
  <c r="CR180" i="65" s="1"/>
  <c r="CR181" i="65" s="1"/>
  <c r="CR182" i="65" s="1"/>
  <c r="CR183" i="65" s="1"/>
  <c r="CR184" i="65" s="1"/>
  <c r="CR185" i="65" s="1"/>
  <c r="CR186" i="65" s="1"/>
  <c r="CR187" i="65" s="1"/>
  <c r="CR188" i="65" s="1"/>
  <c r="CR189" i="65" s="1"/>
  <c r="CR190" i="65" s="1"/>
  <c r="CR191" i="65" s="1"/>
  <c r="CR192" i="65" s="1"/>
  <c r="CR193" i="65" s="1"/>
  <c r="CR194" i="65" s="1"/>
  <c r="CR195" i="65" s="1"/>
  <c r="CR196" i="65" s="1"/>
  <c r="CR197" i="65" s="1"/>
  <c r="CR198" i="65" s="1"/>
  <c r="CR199" i="65" s="1"/>
  <c r="CR200" i="65" s="1"/>
  <c r="CR201" i="65" s="1"/>
  <c r="CR202" i="65" s="1"/>
  <c r="CR203" i="65" s="1"/>
  <c r="CR204" i="65" s="1"/>
  <c r="CR205" i="65" s="1"/>
  <c r="CR206" i="65" s="1"/>
  <c r="CR207" i="65" s="1"/>
  <c r="CR208" i="65" s="1"/>
  <c r="CR209" i="65" s="1"/>
  <c r="CR210" i="65" s="1"/>
  <c r="CR211" i="65" s="1"/>
  <c r="CR212" i="65" s="1"/>
  <c r="CR213" i="65" s="1"/>
  <c r="CR214" i="65" s="1"/>
  <c r="CR215" i="65" s="1"/>
  <c r="CR216" i="65" s="1"/>
  <c r="CR217" i="65" s="1"/>
  <c r="CR218" i="65" s="1"/>
  <c r="CR219" i="65" s="1"/>
  <c r="CR220" i="65" s="1"/>
  <c r="CR221" i="65" s="1"/>
  <c r="CR222" i="65" s="1"/>
  <c r="CR223" i="65" s="1"/>
  <c r="CR224" i="65" s="1"/>
  <c r="CR225" i="65" s="1"/>
  <c r="CR226" i="65" s="1"/>
  <c r="CR227" i="65" s="1"/>
  <c r="CR228" i="65" s="1"/>
  <c r="CR229" i="65" s="1"/>
  <c r="CR230" i="65" s="1"/>
  <c r="CR231" i="65" s="1"/>
  <c r="CR232" i="65" s="1"/>
  <c r="CR233" i="65" s="1"/>
  <c r="CR234" i="65" s="1"/>
  <c r="CR235" i="65" s="1"/>
  <c r="CR236" i="65" s="1"/>
  <c r="CR237" i="65" s="1"/>
  <c r="CR238" i="65" s="1"/>
  <c r="CR239" i="65" s="1"/>
  <c r="CR240" i="65" s="1"/>
  <c r="CR241" i="65" s="1"/>
  <c r="CR242" i="65" s="1"/>
  <c r="CR243" i="65" s="1"/>
  <c r="CR244" i="65" s="1"/>
  <c r="CR245" i="65" s="1"/>
  <c r="CR246" i="65" s="1"/>
  <c r="CR247" i="65" s="1"/>
  <c r="CR248" i="65" s="1"/>
  <c r="CR249" i="65" s="1"/>
  <c r="CR250" i="65" s="1"/>
  <c r="CR251" i="65" s="1"/>
  <c r="CR252" i="65" s="1"/>
  <c r="CR253" i="65" s="1"/>
  <c r="CR254" i="65" s="1"/>
  <c r="CR255" i="65" s="1"/>
  <c r="CR256" i="65" s="1"/>
  <c r="CR257" i="65" s="1"/>
  <c r="CR258" i="65" s="1"/>
  <c r="CR259" i="65" s="1"/>
  <c r="CR260" i="65" s="1"/>
  <c r="CR261" i="65" s="1"/>
  <c r="CR262" i="65" s="1"/>
  <c r="DH156" i="65"/>
  <c r="DH157" i="65" s="1"/>
  <c r="DH158" i="65" s="1"/>
  <c r="DH159" i="65" s="1"/>
  <c r="DH160" i="65" s="1"/>
  <c r="DH161" i="65" s="1"/>
  <c r="DH162" i="65" s="1"/>
  <c r="DH163" i="65" s="1"/>
  <c r="DH164" i="65" s="1"/>
  <c r="DH165" i="65" s="1"/>
  <c r="DH166" i="65" s="1"/>
  <c r="DH167" i="65" s="1"/>
  <c r="DH168" i="65" s="1"/>
  <c r="DH169" i="65" s="1"/>
  <c r="DH170" i="65" s="1"/>
  <c r="DH171" i="65" s="1"/>
  <c r="DH172" i="65" s="1"/>
  <c r="DH173" i="65" s="1"/>
  <c r="DH174" i="65" s="1"/>
  <c r="DH175" i="65" s="1"/>
  <c r="DH176" i="65" s="1"/>
  <c r="DH177" i="65" s="1"/>
  <c r="DH178" i="65" s="1"/>
  <c r="DH179" i="65" s="1"/>
  <c r="DH180" i="65" s="1"/>
  <c r="DH181" i="65" s="1"/>
  <c r="DH182" i="65" s="1"/>
  <c r="DH183" i="65" s="1"/>
  <c r="DH184" i="65" s="1"/>
  <c r="DH185" i="65" s="1"/>
  <c r="DH186" i="65" s="1"/>
  <c r="DH187" i="65" s="1"/>
  <c r="DH188" i="65" s="1"/>
  <c r="DH189" i="65" s="1"/>
  <c r="DH190" i="65" s="1"/>
  <c r="DH191" i="65" s="1"/>
  <c r="DH192" i="65" s="1"/>
  <c r="DH193" i="65" s="1"/>
  <c r="DH194" i="65" s="1"/>
  <c r="DH195" i="65" s="1"/>
  <c r="DH196" i="65" s="1"/>
  <c r="DH197" i="65" s="1"/>
  <c r="DH198" i="65" s="1"/>
  <c r="DH199" i="65" s="1"/>
  <c r="DH200" i="65" s="1"/>
  <c r="DH201" i="65" s="1"/>
  <c r="DH202" i="65" s="1"/>
  <c r="DH203" i="65" s="1"/>
  <c r="DH204" i="65" s="1"/>
  <c r="DH205" i="65" s="1"/>
  <c r="DH206" i="65" s="1"/>
  <c r="DH207" i="65" s="1"/>
  <c r="DH208" i="65" s="1"/>
  <c r="DH209" i="65" s="1"/>
  <c r="DH210" i="65" s="1"/>
  <c r="DH211" i="65" s="1"/>
  <c r="DH212" i="65" s="1"/>
  <c r="DH213" i="65" s="1"/>
  <c r="DH214" i="65" s="1"/>
  <c r="DH215" i="65" s="1"/>
  <c r="DH216" i="65" s="1"/>
  <c r="DH217" i="65" s="1"/>
  <c r="DH218" i="65" s="1"/>
  <c r="DH219" i="65" s="1"/>
  <c r="DH220" i="65" s="1"/>
  <c r="DH221" i="65" s="1"/>
  <c r="DH222" i="65" s="1"/>
  <c r="DH223" i="65" s="1"/>
  <c r="DH224" i="65" s="1"/>
  <c r="DH225" i="65" s="1"/>
  <c r="DH226" i="65" s="1"/>
  <c r="DH227" i="65" s="1"/>
  <c r="DH228" i="65" s="1"/>
  <c r="DH229" i="65" s="1"/>
  <c r="DH230" i="65" s="1"/>
  <c r="DH231" i="65" s="1"/>
  <c r="DH232" i="65" s="1"/>
  <c r="DH233" i="65" s="1"/>
  <c r="DH234" i="65" s="1"/>
  <c r="DH235" i="65" s="1"/>
  <c r="DH236" i="65" s="1"/>
  <c r="DH237" i="65" s="1"/>
  <c r="DH238" i="65" s="1"/>
  <c r="DH239" i="65" s="1"/>
  <c r="DH240" i="65" s="1"/>
  <c r="DH241" i="65" s="1"/>
  <c r="DH242" i="65" s="1"/>
  <c r="DH243" i="65" s="1"/>
  <c r="DH244" i="65" s="1"/>
  <c r="DH245" i="65" s="1"/>
  <c r="DH246" i="65" s="1"/>
  <c r="DH247" i="65" s="1"/>
  <c r="DH248" i="65" s="1"/>
  <c r="DH249" i="65" s="1"/>
  <c r="DH250" i="65" s="1"/>
  <c r="DH251" i="65" s="1"/>
  <c r="DH252" i="65" s="1"/>
  <c r="DH253" i="65" s="1"/>
  <c r="DH254" i="65" s="1"/>
  <c r="DH255" i="65" s="1"/>
  <c r="DH256" i="65" s="1"/>
  <c r="DH257" i="65" s="1"/>
  <c r="DH258" i="65" s="1"/>
  <c r="DH259" i="65" s="1"/>
  <c r="DH260" i="65" s="1"/>
  <c r="DH261" i="65" s="1"/>
  <c r="DH262" i="65" s="1"/>
  <c r="EL53" i="65"/>
  <c r="EK53" i="65"/>
  <c r="EH55" i="65"/>
  <c r="ED56" i="65"/>
  <c r="EG57" i="65"/>
  <c r="ED58" i="65"/>
  <c r="EP58" i="65"/>
  <c r="P60" i="65"/>
  <c r="EB62" i="65"/>
  <c r="EC63" i="65"/>
  <c r="DX66" i="65"/>
  <c r="DY67" i="65"/>
  <c r="EC69" i="65"/>
  <c r="DY44" i="65"/>
  <c r="Q156" i="65"/>
  <c r="AG156" i="65"/>
  <c r="AG157" i="65" s="1"/>
  <c r="AG158" i="65" s="1"/>
  <c r="AG159" i="65" s="1"/>
  <c r="AG160" i="65" s="1"/>
  <c r="AG161" i="65" s="1"/>
  <c r="AG162" i="65" s="1"/>
  <c r="AG163" i="65" s="1"/>
  <c r="AG164" i="65" s="1"/>
  <c r="AG165" i="65" s="1"/>
  <c r="AG166" i="65" s="1"/>
  <c r="AG167" i="65" s="1"/>
  <c r="AG168" i="65" s="1"/>
  <c r="AG169" i="65" s="1"/>
  <c r="AG170" i="65" s="1"/>
  <c r="AG171" i="65" s="1"/>
  <c r="AG172" i="65" s="1"/>
  <c r="AG173" i="65" s="1"/>
  <c r="AG174" i="65" s="1"/>
  <c r="AG175" i="65" s="1"/>
  <c r="AG176" i="65" s="1"/>
  <c r="AG177" i="65" s="1"/>
  <c r="AG178" i="65" s="1"/>
  <c r="AG179" i="65" s="1"/>
  <c r="AG180" i="65" s="1"/>
  <c r="AG181" i="65" s="1"/>
  <c r="AG182" i="65" s="1"/>
  <c r="AG183" i="65" s="1"/>
  <c r="AG184" i="65" s="1"/>
  <c r="AG185" i="65" s="1"/>
  <c r="AG186" i="65" s="1"/>
  <c r="AG187" i="65" s="1"/>
  <c r="AG188" i="65" s="1"/>
  <c r="AG189" i="65" s="1"/>
  <c r="AG190" i="65" s="1"/>
  <c r="AG191" i="65" s="1"/>
  <c r="AG192" i="65" s="1"/>
  <c r="AG193" i="65" s="1"/>
  <c r="AG194" i="65" s="1"/>
  <c r="AG195" i="65" s="1"/>
  <c r="AG196" i="65" s="1"/>
  <c r="AG197" i="65" s="1"/>
  <c r="AG198" i="65" s="1"/>
  <c r="AG199" i="65" s="1"/>
  <c r="AG200" i="65" s="1"/>
  <c r="AG201" i="65" s="1"/>
  <c r="AG202" i="65" s="1"/>
  <c r="AG203" i="65" s="1"/>
  <c r="AG204" i="65" s="1"/>
  <c r="AG205" i="65" s="1"/>
  <c r="AG206" i="65" s="1"/>
  <c r="AG207" i="65" s="1"/>
  <c r="AG208" i="65" s="1"/>
  <c r="AG209" i="65" s="1"/>
  <c r="AG210" i="65" s="1"/>
  <c r="AG211" i="65" s="1"/>
  <c r="AG212" i="65" s="1"/>
  <c r="AG213" i="65" s="1"/>
  <c r="AG214" i="65" s="1"/>
  <c r="AG215" i="65" s="1"/>
  <c r="AG216" i="65" s="1"/>
  <c r="AG217" i="65" s="1"/>
  <c r="AG218" i="65" s="1"/>
  <c r="AG219" i="65" s="1"/>
  <c r="AG220" i="65" s="1"/>
  <c r="AG221" i="65" s="1"/>
  <c r="AG222" i="65" s="1"/>
  <c r="AG223" i="65" s="1"/>
  <c r="AG224" i="65" s="1"/>
  <c r="AG225" i="65" s="1"/>
  <c r="AG226" i="65" s="1"/>
  <c r="AG227" i="65" s="1"/>
  <c r="AG228" i="65" s="1"/>
  <c r="AG229" i="65" s="1"/>
  <c r="AG230" i="65" s="1"/>
  <c r="AG231" i="65" s="1"/>
  <c r="AG232" i="65" s="1"/>
  <c r="AG233" i="65" s="1"/>
  <c r="AG234" i="65" s="1"/>
  <c r="AG235" i="65" s="1"/>
  <c r="AG236" i="65" s="1"/>
  <c r="AG237" i="65" s="1"/>
  <c r="AG238" i="65" s="1"/>
  <c r="AG239" i="65" s="1"/>
  <c r="AG240" i="65" s="1"/>
  <c r="AG241" i="65" s="1"/>
  <c r="AG242" i="65" s="1"/>
  <c r="AG243" i="65" s="1"/>
  <c r="AG244" i="65" s="1"/>
  <c r="AG245" i="65" s="1"/>
  <c r="AG246" i="65" s="1"/>
  <c r="AG247" i="65" s="1"/>
  <c r="AG248" i="65" s="1"/>
  <c r="AG249" i="65" s="1"/>
  <c r="AG250" i="65" s="1"/>
  <c r="AG251" i="65" s="1"/>
  <c r="AG252" i="65" s="1"/>
  <c r="AG253" i="65" s="1"/>
  <c r="AG254" i="65" s="1"/>
  <c r="AG255" i="65" s="1"/>
  <c r="AG256" i="65" s="1"/>
  <c r="AG257" i="65" s="1"/>
  <c r="AG258" i="65" s="1"/>
  <c r="AG259" i="65" s="1"/>
  <c r="AG260" i="65" s="1"/>
  <c r="AG261" i="65" s="1"/>
  <c r="AG262" i="65" s="1"/>
  <c r="AW156" i="65"/>
  <c r="AW157" i="65" s="1"/>
  <c r="AW158" i="65" s="1"/>
  <c r="AW159" i="65" s="1"/>
  <c r="AW160" i="65" s="1"/>
  <c r="AW161" i="65" s="1"/>
  <c r="AW162" i="65" s="1"/>
  <c r="AW163" i="65" s="1"/>
  <c r="AW164" i="65" s="1"/>
  <c r="AW165" i="65" s="1"/>
  <c r="AW166" i="65" s="1"/>
  <c r="AW167" i="65" s="1"/>
  <c r="AW168" i="65" s="1"/>
  <c r="AW169" i="65" s="1"/>
  <c r="AW170" i="65" s="1"/>
  <c r="AW171" i="65" s="1"/>
  <c r="AW172" i="65" s="1"/>
  <c r="AW173" i="65" s="1"/>
  <c r="AW174" i="65" s="1"/>
  <c r="AW175" i="65" s="1"/>
  <c r="AW176" i="65" s="1"/>
  <c r="AW177" i="65" s="1"/>
  <c r="AW178" i="65" s="1"/>
  <c r="AW179" i="65" s="1"/>
  <c r="AW180" i="65" s="1"/>
  <c r="AW181" i="65" s="1"/>
  <c r="AW182" i="65" s="1"/>
  <c r="AW183" i="65" s="1"/>
  <c r="AW184" i="65" s="1"/>
  <c r="AW185" i="65" s="1"/>
  <c r="AW186" i="65" s="1"/>
  <c r="AW187" i="65" s="1"/>
  <c r="AW188" i="65" s="1"/>
  <c r="AW189" i="65" s="1"/>
  <c r="AW190" i="65" s="1"/>
  <c r="AW191" i="65" s="1"/>
  <c r="AW192" i="65" s="1"/>
  <c r="AW193" i="65" s="1"/>
  <c r="AW194" i="65" s="1"/>
  <c r="AW195" i="65" s="1"/>
  <c r="AW196" i="65" s="1"/>
  <c r="AW197" i="65" s="1"/>
  <c r="AW198" i="65" s="1"/>
  <c r="AW199" i="65" s="1"/>
  <c r="AW200" i="65" s="1"/>
  <c r="AW201" i="65" s="1"/>
  <c r="AW202" i="65" s="1"/>
  <c r="AW203" i="65" s="1"/>
  <c r="AW204" i="65" s="1"/>
  <c r="AW205" i="65" s="1"/>
  <c r="AW206" i="65" s="1"/>
  <c r="AW207" i="65" s="1"/>
  <c r="AW208" i="65" s="1"/>
  <c r="AW209" i="65" s="1"/>
  <c r="AW210" i="65" s="1"/>
  <c r="AW211" i="65" s="1"/>
  <c r="AW212" i="65" s="1"/>
  <c r="AW213" i="65" s="1"/>
  <c r="AW214" i="65" s="1"/>
  <c r="AW215" i="65" s="1"/>
  <c r="AW216" i="65" s="1"/>
  <c r="AW217" i="65" s="1"/>
  <c r="AW218" i="65" s="1"/>
  <c r="AW219" i="65" s="1"/>
  <c r="AW220" i="65" s="1"/>
  <c r="AW221" i="65" s="1"/>
  <c r="AW222" i="65" s="1"/>
  <c r="AW223" i="65" s="1"/>
  <c r="AW224" i="65" s="1"/>
  <c r="AW225" i="65" s="1"/>
  <c r="AW226" i="65" s="1"/>
  <c r="AW227" i="65" s="1"/>
  <c r="AW228" i="65" s="1"/>
  <c r="AW229" i="65" s="1"/>
  <c r="AW230" i="65" s="1"/>
  <c r="AW231" i="65" s="1"/>
  <c r="AW232" i="65" s="1"/>
  <c r="AW233" i="65" s="1"/>
  <c r="AW234" i="65" s="1"/>
  <c r="AW235" i="65" s="1"/>
  <c r="AW236" i="65" s="1"/>
  <c r="AW237" i="65" s="1"/>
  <c r="AW238" i="65" s="1"/>
  <c r="AW239" i="65" s="1"/>
  <c r="AW240" i="65" s="1"/>
  <c r="AW241" i="65" s="1"/>
  <c r="AW242" i="65" s="1"/>
  <c r="AW243" i="65" s="1"/>
  <c r="AW244" i="65" s="1"/>
  <c r="AW245" i="65" s="1"/>
  <c r="AW246" i="65" s="1"/>
  <c r="AW247" i="65" s="1"/>
  <c r="AW248" i="65" s="1"/>
  <c r="AW249" i="65" s="1"/>
  <c r="AW250" i="65" s="1"/>
  <c r="AW251" i="65" s="1"/>
  <c r="BM156" i="65"/>
  <c r="BM157" i="65" s="1"/>
  <c r="BM158" i="65" s="1"/>
  <c r="BM159" i="65" s="1"/>
  <c r="BM160" i="65" s="1"/>
  <c r="BM161" i="65" s="1"/>
  <c r="BM162" i="65" s="1"/>
  <c r="BM163" i="65" s="1"/>
  <c r="BM164" i="65" s="1"/>
  <c r="BM165" i="65" s="1"/>
  <c r="BM166" i="65" s="1"/>
  <c r="BM167" i="65" s="1"/>
  <c r="BM168" i="65" s="1"/>
  <c r="BM169" i="65" s="1"/>
  <c r="BM170" i="65" s="1"/>
  <c r="BM171" i="65" s="1"/>
  <c r="BM172" i="65" s="1"/>
  <c r="BM173" i="65" s="1"/>
  <c r="BM174" i="65" s="1"/>
  <c r="BM175" i="65" s="1"/>
  <c r="BM176" i="65" s="1"/>
  <c r="BM177" i="65" s="1"/>
  <c r="BM178" i="65" s="1"/>
  <c r="BM179" i="65" s="1"/>
  <c r="BM180" i="65" s="1"/>
  <c r="BM181" i="65" s="1"/>
  <c r="BM182" i="65" s="1"/>
  <c r="BM183" i="65" s="1"/>
  <c r="BM184" i="65" s="1"/>
  <c r="BM185" i="65" s="1"/>
  <c r="BM186" i="65" s="1"/>
  <c r="BM187" i="65" s="1"/>
  <c r="BM188" i="65" s="1"/>
  <c r="BM189" i="65" s="1"/>
  <c r="BM190" i="65" s="1"/>
  <c r="BM191" i="65" s="1"/>
  <c r="BM192" i="65" s="1"/>
  <c r="BM193" i="65" s="1"/>
  <c r="BM194" i="65" s="1"/>
  <c r="BM195" i="65" s="1"/>
  <c r="BM196" i="65" s="1"/>
  <c r="BM197" i="65" s="1"/>
  <c r="BM198" i="65" s="1"/>
  <c r="BM199" i="65" s="1"/>
  <c r="BM200" i="65" s="1"/>
  <c r="BM201" i="65" s="1"/>
  <c r="BM202" i="65" s="1"/>
  <c r="BM203" i="65" s="1"/>
  <c r="BM204" i="65" s="1"/>
  <c r="BM205" i="65" s="1"/>
  <c r="BM206" i="65" s="1"/>
  <c r="BM207" i="65" s="1"/>
  <c r="BM208" i="65" s="1"/>
  <c r="BM209" i="65" s="1"/>
  <c r="BM210" i="65" s="1"/>
  <c r="BM211" i="65" s="1"/>
  <c r="BM212" i="65" s="1"/>
  <c r="BM213" i="65" s="1"/>
  <c r="BM214" i="65" s="1"/>
  <c r="BM215" i="65" s="1"/>
  <c r="BM216" i="65" s="1"/>
  <c r="BM217" i="65" s="1"/>
  <c r="BM218" i="65" s="1"/>
  <c r="BM219" i="65" s="1"/>
  <c r="BM220" i="65" s="1"/>
  <c r="BM221" i="65" s="1"/>
  <c r="BM222" i="65" s="1"/>
  <c r="BM223" i="65" s="1"/>
  <c r="BM224" i="65" s="1"/>
  <c r="BM225" i="65" s="1"/>
  <c r="BM226" i="65" s="1"/>
  <c r="BM227" i="65" s="1"/>
  <c r="BM228" i="65" s="1"/>
  <c r="BM229" i="65" s="1"/>
  <c r="BM230" i="65" s="1"/>
  <c r="BM231" i="65" s="1"/>
  <c r="BM232" i="65" s="1"/>
  <c r="BM233" i="65" s="1"/>
  <c r="BM234" i="65" s="1"/>
  <c r="BM235" i="65" s="1"/>
  <c r="BM236" i="65" s="1"/>
  <c r="BM237" i="65" s="1"/>
  <c r="BM238" i="65" s="1"/>
  <c r="BM239" i="65" s="1"/>
  <c r="BM240" i="65" s="1"/>
  <c r="BM241" i="65" s="1"/>
  <c r="BM242" i="65" s="1"/>
  <c r="BM243" i="65" s="1"/>
  <c r="BM244" i="65" s="1"/>
  <c r="BM245" i="65" s="1"/>
  <c r="BM246" i="65" s="1"/>
  <c r="BM247" i="65" s="1"/>
  <c r="BM248" i="65" s="1"/>
  <c r="BM249" i="65" s="1"/>
  <c r="BM250" i="65" s="1"/>
  <c r="BM251" i="65" s="1"/>
  <c r="BM252" i="65" s="1"/>
  <c r="BM253" i="65" s="1"/>
  <c r="BM254" i="65" s="1"/>
  <c r="BM255" i="65" s="1"/>
  <c r="BM256" i="65" s="1"/>
  <c r="BM257" i="65" s="1"/>
  <c r="BM258" i="65" s="1"/>
  <c r="BM259" i="65" s="1"/>
  <c r="BM260" i="65" s="1"/>
  <c r="BM261" i="65" s="1"/>
  <c r="BM262" i="65" s="1"/>
  <c r="CC156" i="65"/>
  <c r="CC157" i="65" s="1"/>
  <c r="CC158" i="65" s="1"/>
  <c r="CC159" i="65" s="1"/>
  <c r="CC160" i="65" s="1"/>
  <c r="CC161" i="65" s="1"/>
  <c r="CC162" i="65" s="1"/>
  <c r="CC163" i="65" s="1"/>
  <c r="CC164" i="65" s="1"/>
  <c r="CC165" i="65" s="1"/>
  <c r="CC166" i="65" s="1"/>
  <c r="CC167" i="65" s="1"/>
  <c r="CC168" i="65" s="1"/>
  <c r="CC169" i="65" s="1"/>
  <c r="CC170" i="65" s="1"/>
  <c r="CC171" i="65" s="1"/>
  <c r="CC172" i="65" s="1"/>
  <c r="CC173" i="65" s="1"/>
  <c r="CC174" i="65" s="1"/>
  <c r="CC175" i="65" s="1"/>
  <c r="CC176" i="65" s="1"/>
  <c r="CC177" i="65" s="1"/>
  <c r="CC178" i="65" s="1"/>
  <c r="CC179" i="65" s="1"/>
  <c r="CC180" i="65" s="1"/>
  <c r="CC181" i="65" s="1"/>
  <c r="CC182" i="65" s="1"/>
  <c r="CC183" i="65" s="1"/>
  <c r="CC184" i="65" s="1"/>
  <c r="CC185" i="65" s="1"/>
  <c r="CC186" i="65" s="1"/>
  <c r="CC187" i="65" s="1"/>
  <c r="CC188" i="65" s="1"/>
  <c r="CC189" i="65" s="1"/>
  <c r="CC190" i="65" s="1"/>
  <c r="CC191" i="65" s="1"/>
  <c r="CC192" i="65" s="1"/>
  <c r="CC193" i="65" s="1"/>
  <c r="CC194" i="65" s="1"/>
  <c r="CC195" i="65" s="1"/>
  <c r="CC196" i="65" s="1"/>
  <c r="CC197" i="65" s="1"/>
  <c r="CC198" i="65" s="1"/>
  <c r="CC199" i="65" s="1"/>
  <c r="CC200" i="65" s="1"/>
  <c r="CC201" i="65" s="1"/>
  <c r="CC202" i="65" s="1"/>
  <c r="CC203" i="65" s="1"/>
  <c r="CC204" i="65" s="1"/>
  <c r="CC205" i="65" s="1"/>
  <c r="CC206" i="65" s="1"/>
  <c r="CC207" i="65" s="1"/>
  <c r="CC208" i="65" s="1"/>
  <c r="CC209" i="65" s="1"/>
  <c r="CC210" i="65" s="1"/>
  <c r="CC211" i="65" s="1"/>
  <c r="CC212" i="65" s="1"/>
  <c r="CC213" i="65" s="1"/>
  <c r="CC214" i="65" s="1"/>
  <c r="CC215" i="65" s="1"/>
  <c r="CC216" i="65" s="1"/>
  <c r="CC217" i="65" s="1"/>
  <c r="CC218" i="65" s="1"/>
  <c r="CC219" i="65" s="1"/>
  <c r="CC220" i="65" s="1"/>
  <c r="CC221" i="65" s="1"/>
  <c r="CC222" i="65" s="1"/>
  <c r="CC223" i="65" s="1"/>
  <c r="CC224" i="65" s="1"/>
  <c r="CC225" i="65" s="1"/>
  <c r="CC226" i="65" s="1"/>
  <c r="CC227" i="65" s="1"/>
  <c r="CC228" i="65" s="1"/>
  <c r="CC229" i="65" s="1"/>
  <c r="CC230" i="65" s="1"/>
  <c r="CC231" i="65" s="1"/>
  <c r="CC232" i="65" s="1"/>
  <c r="CC233" i="65" s="1"/>
  <c r="CC234" i="65" s="1"/>
  <c r="CC235" i="65" s="1"/>
  <c r="CC236" i="65" s="1"/>
  <c r="CC237" i="65" s="1"/>
  <c r="CC238" i="65" s="1"/>
  <c r="CC239" i="65" s="1"/>
  <c r="CC240" i="65" s="1"/>
  <c r="CC241" i="65" s="1"/>
  <c r="CC242" i="65" s="1"/>
  <c r="CC243" i="65" s="1"/>
  <c r="CC244" i="65" s="1"/>
  <c r="CC245" i="65" s="1"/>
  <c r="CC246" i="65" s="1"/>
  <c r="CC247" i="65" s="1"/>
  <c r="CC248" i="65" s="1"/>
  <c r="CC249" i="65" s="1"/>
  <c r="CC250" i="65" s="1"/>
  <c r="CC251" i="65" s="1"/>
  <c r="CC252" i="65" s="1"/>
  <c r="CC253" i="65" s="1"/>
  <c r="CC254" i="65" s="1"/>
  <c r="CC255" i="65" s="1"/>
  <c r="CC256" i="65" s="1"/>
  <c r="CC257" i="65" s="1"/>
  <c r="CC258" i="65" s="1"/>
  <c r="CC259" i="65" s="1"/>
  <c r="CC260" i="65" s="1"/>
  <c r="CC261" i="65" s="1"/>
  <c r="CC262" i="65" s="1"/>
  <c r="CS156" i="65"/>
  <c r="CS157" i="65" s="1"/>
  <c r="CS158" i="65" s="1"/>
  <c r="CS159" i="65" s="1"/>
  <c r="CS160" i="65" s="1"/>
  <c r="CS161" i="65" s="1"/>
  <c r="CS162" i="65" s="1"/>
  <c r="CS163" i="65" s="1"/>
  <c r="CS164" i="65" s="1"/>
  <c r="CS165" i="65" s="1"/>
  <c r="CS166" i="65" s="1"/>
  <c r="CS167" i="65" s="1"/>
  <c r="CS168" i="65" s="1"/>
  <c r="CS169" i="65" s="1"/>
  <c r="CS170" i="65" s="1"/>
  <c r="CS171" i="65" s="1"/>
  <c r="CS172" i="65" s="1"/>
  <c r="CS173" i="65" s="1"/>
  <c r="CS174" i="65" s="1"/>
  <c r="CS175" i="65" s="1"/>
  <c r="CS176" i="65" s="1"/>
  <c r="CS177" i="65" s="1"/>
  <c r="CS178" i="65" s="1"/>
  <c r="CS179" i="65" s="1"/>
  <c r="CS180" i="65" s="1"/>
  <c r="CS181" i="65" s="1"/>
  <c r="CS182" i="65" s="1"/>
  <c r="CS183" i="65" s="1"/>
  <c r="CS184" i="65" s="1"/>
  <c r="CS185" i="65" s="1"/>
  <c r="CS186" i="65" s="1"/>
  <c r="CS187" i="65" s="1"/>
  <c r="CS188" i="65" s="1"/>
  <c r="CS189" i="65" s="1"/>
  <c r="CS190" i="65" s="1"/>
  <c r="CS191" i="65" s="1"/>
  <c r="CS192" i="65" s="1"/>
  <c r="CS193" i="65" s="1"/>
  <c r="CS194" i="65" s="1"/>
  <c r="CS195" i="65" s="1"/>
  <c r="CS196" i="65" s="1"/>
  <c r="CS197" i="65" s="1"/>
  <c r="CS198" i="65" s="1"/>
  <c r="CS199" i="65" s="1"/>
  <c r="CS200" i="65" s="1"/>
  <c r="CS201" i="65" s="1"/>
  <c r="CS202" i="65" s="1"/>
  <c r="CS203" i="65" s="1"/>
  <c r="CS204" i="65" s="1"/>
  <c r="CS205" i="65" s="1"/>
  <c r="CS206" i="65" s="1"/>
  <c r="CS207" i="65" s="1"/>
  <c r="CS208" i="65" s="1"/>
  <c r="CS209" i="65" s="1"/>
  <c r="CS210" i="65" s="1"/>
  <c r="CS211" i="65" s="1"/>
  <c r="CS212" i="65" s="1"/>
  <c r="CS213" i="65" s="1"/>
  <c r="CS214" i="65" s="1"/>
  <c r="CS215" i="65" s="1"/>
  <c r="CS216" i="65" s="1"/>
  <c r="CS217" i="65" s="1"/>
  <c r="CS218" i="65" s="1"/>
  <c r="CS219" i="65" s="1"/>
  <c r="CS220" i="65" s="1"/>
  <c r="CS221" i="65" s="1"/>
  <c r="CS222" i="65" s="1"/>
  <c r="CS223" i="65" s="1"/>
  <c r="CS224" i="65" s="1"/>
  <c r="CS225" i="65" s="1"/>
  <c r="CS226" i="65" s="1"/>
  <c r="CS227" i="65" s="1"/>
  <c r="CS228" i="65" s="1"/>
  <c r="CS229" i="65" s="1"/>
  <c r="CS230" i="65" s="1"/>
  <c r="CS231" i="65" s="1"/>
  <c r="CS232" i="65" s="1"/>
  <c r="CS233" i="65" s="1"/>
  <c r="CS234" i="65" s="1"/>
  <c r="CS235" i="65" s="1"/>
  <c r="CS236" i="65" s="1"/>
  <c r="CS237" i="65" s="1"/>
  <c r="CS238" i="65" s="1"/>
  <c r="CS239" i="65" s="1"/>
  <c r="CS240" i="65" s="1"/>
  <c r="CS241" i="65" s="1"/>
  <c r="CS242" i="65" s="1"/>
  <c r="CS243" i="65" s="1"/>
  <c r="CS244" i="65" s="1"/>
  <c r="CS245" i="65" s="1"/>
  <c r="CS246" i="65" s="1"/>
  <c r="CS247" i="65" s="1"/>
  <c r="CS248" i="65" s="1"/>
  <c r="CS249" i="65" s="1"/>
  <c r="CS250" i="65" s="1"/>
  <c r="CS251" i="65" s="1"/>
  <c r="CS252" i="65" s="1"/>
  <c r="CS253" i="65" s="1"/>
  <c r="CS254" i="65" s="1"/>
  <c r="CS255" i="65" s="1"/>
  <c r="CS256" i="65" s="1"/>
  <c r="CS257" i="65" s="1"/>
  <c r="CS258" i="65" s="1"/>
  <c r="CS259" i="65" s="1"/>
  <c r="CS260" i="65" s="1"/>
  <c r="CS261" i="65" s="1"/>
  <c r="CS262" i="65" s="1"/>
  <c r="DI156" i="65"/>
  <c r="DI157" i="65" s="1"/>
  <c r="DI158" i="65" s="1"/>
  <c r="DI159" i="65" s="1"/>
  <c r="DI160" i="65" s="1"/>
  <c r="DI161" i="65" s="1"/>
  <c r="DI162" i="65" s="1"/>
  <c r="DI163" i="65" s="1"/>
  <c r="DI164" i="65" s="1"/>
  <c r="DI165" i="65" s="1"/>
  <c r="DI166" i="65" s="1"/>
  <c r="DI167" i="65" s="1"/>
  <c r="DI168" i="65" s="1"/>
  <c r="DI169" i="65" s="1"/>
  <c r="DI170" i="65" s="1"/>
  <c r="DI171" i="65" s="1"/>
  <c r="DI172" i="65" s="1"/>
  <c r="DI173" i="65" s="1"/>
  <c r="DI174" i="65" s="1"/>
  <c r="DI175" i="65" s="1"/>
  <c r="DI176" i="65" s="1"/>
  <c r="DI177" i="65" s="1"/>
  <c r="DI178" i="65" s="1"/>
  <c r="DI179" i="65" s="1"/>
  <c r="DI180" i="65" s="1"/>
  <c r="DI181" i="65" s="1"/>
  <c r="DI182" i="65" s="1"/>
  <c r="DI183" i="65" s="1"/>
  <c r="DI184" i="65" s="1"/>
  <c r="DI185" i="65" s="1"/>
  <c r="DI186" i="65" s="1"/>
  <c r="DI187" i="65" s="1"/>
  <c r="DI188" i="65" s="1"/>
  <c r="DI189" i="65" s="1"/>
  <c r="DI190" i="65" s="1"/>
  <c r="DI191" i="65" s="1"/>
  <c r="DI192" i="65" s="1"/>
  <c r="DI193" i="65" s="1"/>
  <c r="DI194" i="65" s="1"/>
  <c r="DI195" i="65" s="1"/>
  <c r="DI196" i="65" s="1"/>
  <c r="DI197" i="65" s="1"/>
  <c r="DI198" i="65" s="1"/>
  <c r="DI199" i="65" s="1"/>
  <c r="DI200" i="65" s="1"/>
  <c r="DI201" i="65" s="1"/>
  <c r="DI202" i="65" s="1"/>
  <c r="DI203" i="65" s="1"/>
  <c r="DI204" i="65" s="1"/>
  <c r="DI205" i="65" s="1"/>
  <c r="DI206" i="65" s="1"/>
  <c r="DI207" i="65" s="1"/>
  <c r="DI208" i="65" s="1"/>
  <c r="DI209" i="65" s="1"/>
  <c r="DI210" i="65" s="1"/>
  <c r="DI211" i="65" s="1"/>
  <c r="DI212" i="65" s="1"/>
  <c r="DI213" i="65" s="1"/>
  <c r="DI214" i="65" s="1"/>
  <c r="DI215" i="65" s="1"/>
  <c r="DI216" i="65" s="1"/>
  <c r="DI217" i="65" s="1"/>
  <c r="DI218" i="65" s="1"/>
  <c r="DI219" i="65" s="1"/>
  <c r="DI220" i="65" s="1"/>
  <c r="DI221" i="65" s="1"/>
  <c r="DI222" i="65" s="1"/>
  <c r="DI223" i="65" s="1"/>
  <c r="DI224" i="65" s="1"/>
  <c r="DI225" i="65" s="1"/>
  <c r="DI226" i="65" s="1"/>
  <c r="DI227" i="65" s="1"/>
  <c r="DI228" i="65" s="1"/>
  <c r="DI229" i="65" s="1"/>
  <c r="DI230" i="65" s="1"/>
  <c r="DI231" i="65" s="1"/>
  <c r="DI232" i="65" s="1"/>
  <c r="DI233" i="65" s="1"/>
  <c r="DI234" i="65" s="1"/>
  <c r="DI235" i="65" s="1"/>
  <c r="DI236" i="65" s="1"/>
  <c r="DI237" i="65" s="1"/>
  <c r="DI238" i="65" s="1"/>
  <c r="DI239" i="65" s="1"/>
  <c r="DI240" i="65" s="1"/>
  <c r="DI241" i="65" s="1"/>
  <c r="DI242" i="65" s="1"/>
  <c r="DI243" i="65" s="1"/>
  <c r="DI244" i="65" s="1"/>
  <c r="DI245" i="65" s="1"/>
  <c r="DI246" i="65" s="1"/>
  <c r="DI247" i="65" s="1"/>
  <c r="DI248" i="65" s="1"/>
  <c r="DI249" i="65" s="1"/>
  <c r="DI250" i="65" s="1"/>
  <c r="DI251" i="65" s="1"/>
  <c r="DI252" i="65" s="1"/>
  <c r="DI253" i="65" s="1"/>
  <c r="DI254" i="65" s="1"/>
  <c r="DI255" i="65" s="1"/>
  <c r="DI256" i="65" s="1"/>
  <c r="DI257" i="65" s="1"/>
  <c r="DI258" i="65" s="1"/>
  <c r="DI259" i="65" s="1"/>
  <c r="DI260" i="65" s="1"/>
  <c r="DI261" i="65" s="1"/>
  <c r="DI262" i="65" s="1"/>
  <c r="DZ45" i="65"/>
  <c r="EH52" i="65"/>
  <c r="EG53" i="65"/>
  <c r="EA54" i="65"/>
  <c r="EI55" i="65"/>
  <c r="EE56" i="65"/>
  <c r="EJ58" i="65"/>
  <c r="DX60" i="65"/>
  <c r="DX65" i="65"/>
  <c r="DY66" i="65"/>
  <c r="DZ67" i="65"/>
  <c r="I158" i="65"/>
  <c r="I159" i="65" s="1"/>
  <c r="I160" i="65" s="1"/>
  <c r="I161" i="65" s="1"/>
  <c r="I162" i="65" s="1"/>
  <c r="I163" i="65" s="1"/>
  <c r="I164" i="65" s="1"/>
  <c r="I165" i="65" s="1"/>
  <c r="I166" i="65" s="1"/>
  <c r="I167" i="65" s="1"/>
  <c r="I168" i="65" s="1"/>
  <c r="I169" i="65" s="1"/>
  <c r="I170" i="65" s="1"/>
  <c r="I171" i="65" s="1"/>
  <c r="I172" i="65" s="1"/>
  <c r="I173" i="65" s="1"/>
  <c r="I174" i="65" s="1"/>
  <c r="I175" i="65" s="1"/>
  <c r="I176" i="65" s="1"/>
  <c r="I177" i="65" s="1"/>
  <c r="I178" i="65" s="1"/>
  <c r="I179" i="65" s="1"/>
  <c r="I180" i="65" s="1"/>
  <c r="I181" i="65" s="1"/>
  <c r="I182" i="65" s="1"/>
  <c r="I183" i="65" s="1"/>
  <c r="I184" i="65" s="1"/>
  <c r="I185" i="65" s="1"/>
  <c r="I186" i="65" s="1"/>
  <c r="I187" i="65" s="1"/>
  <c r="I188" i="65" s="1"/>
  <c r="I189" i="65" s="1"/>
  <c r="I190" i="65" s="1"/>
  <c r="I191" i="65" s="1"/>
  <c r="I192" i="65" s="1"/>
  <c r="I193" i="65" s="1"/>
  <c r="I194" i="65" s="1"/>
  <c r="I195" i="65" s="1"/>
  <c r="I196" i="65" s="1"/>
  <c r="I197" i="65" s="1"/>
  <c r="I198" i="65" s="1"/>
  <c r="I199" i="65" s="1"/>
  <c r="I200" i="65" s="1"/>
  <c r="I201" i="65" s="1"/>
  <c r="I202" i="65" s="1"/>
  <c r="I203" i="65" s="1"/>
  <c r="I204" i="65" s="1"/>
  <c r="I205" i="65" s="1"/>
  <c r="I206" i="65" s="1"/>
  <c r="I207" i="65" s="1"/>
  <c r="I208" i="65" s="1"/>
  <c r="I209" i="65" s="1"/>
  <c r="I210" i="65" s="1"/>
  <c r="I211" i="65" s="1"/>
  <c r="I212" i="65" s="1"/>
  <c r="I213" i="65" s="1"/>
  <c r="I214" i="65" s="1"/>
  <c r="I215" i="65" s="1"/>
  <c r="I216" i="65" s="1"/>
  <c r="I217" i="65" s="1"/>
  <c r="I218" i="65" s="1"/>
  <c r="I219" i="65" s="1"/>
  <c r="I220" i="65" s="1"/>
  <c r="I221" i="65" s="1"/>
  <c r="I222" i="65" s="1"/>
  <c r="I223" i="65" s="1"/>
  <c r="I224" i="65" s="1"/>
  <c r="I225" i="65" s="1"/>
  <c r="I226" i="65" s="1"/>
  <c r="I227" i="65" s="1"/>
  <c r="I228" i="65" s="1"/>
  <c r="I229" i="65" s="1"/>
  <c r="I230" i="65" s="1"/>
  <c r="I231" i="65" s="1"/>
  <c r="I232" i="65" s="1"/>
  <c r="I233" i="65" s="1"/>
  <c r="I234" i="65" s="1"/>
  <c r="I235" i="65" s="1"/>
  <c r="I236" i="65" s="1"/>
  <c r="I237" i="65" s="1"/>
  <c r="I238" i="65" s="1"/>
  <c r="I239" i="65" s="1"/>
  <c r="I240" i="65" s="1"/>
  <c r="I241" i="65" s="1"/>
  <c r="I242" i="65" s="1"/>
  <c r="I243" i="65" s="1"/>
  <c r="I244" i="65" s="1"/>
  <c r="I245" i="65" s="1"/>
  <c r="I246" i="65" s="1"/>
  <c r="I247" i="65" s="1"/>
  <c r="I248" i="65" s="1"/>
  <c r="I249" i="65" s="1"/>
  <c r="I250" i="65" s="1"/>
  <c r="I251" i="65" s="1"/>
  <c r="I252" i="65" s="1"/>
  <c r="I253" i="65" s="1"/>
  <c r="I254" i="65" s="1"/>
  <c r="I255" i="65" s="1"/>
  <c r="I256" i="65" s="1"/>
  <c r="I257" i="65" s="1"/>
  <c r="I258" i="65" s="1"/>
  <c r="I259" i="65" s="1"/>
  <c r="I260" i="65" s="1"/>
  <c r="I261" i="65" s="1"/>
  <c r="I262" i="65" s="1"/>
  <c r="DZ44" i="65"/>
  <c r="EP44" i="65"/>
  <c r="R156" i="65"/>
  <c r="AH156" i="65"/>
  <c r="AH157" i="65" s="1"/>
  <c r="AH158" i="65" s="1"/>
  <c r="AH159" i="65" s="1"/>
  <c r="AH160" i="65" s="1"/>
  <c r="AH161" i="65" s="1"/>
  <c r="AH162" i="65" s="1"/>
  <c r="AH163" i="65" s="1"/>
  <c r="AH164" i="65" s="1"/>
  <c r="AH165" i="65" s="1"/>
  <c r="AH166" i="65" s="1"/>
  <c r="AH167" i="65" s="1"/>
  <c r="AH168" i="65" s="1"/>
  <c r="AH169" i="65" s="1"/>
  <c r="AH170" i="65" s="1"/>
  <c r="AH171" i="65" s="1"/>
  <c r="AH172" i="65" s="1"/>
  <c r="AH173" i="65" s="1"/>
  <c r="AH174" i="65" s="1"/>
  <c r="AH175" i="65" s="1"/>
  <c r="AH176" i="65" s="1"/>
  <c r="AH177" i="65" s="1"/>
  <c r="AH178" i="65" s="1"/>
  <c r="AH179" i="65" s="1"/>
  <c r="AH180" i="65" s="1"/>
  <c r="AH181" i="65" s="1"/>
  <c r="AH182" i="65" s="1"/>
  <c r="AH183" i="65" s="1"/>
  <c r="AH184" i="65" s="1"/>
  <c r="AH185" i="65" s="1"/>
  <c r="AH186" i="65" s="1"/>
  <c r="AH187" i="65" s="1"/>
  <c r="AH188" i="65" s="1"/>
  <c r="AH189" i="65" s="1"/>
  <c r="AH190" i="65" s="1"/>
  <c r="AH191" i="65" s="1"/>
  <c r="AH192" i="65" s="1"/>
  <c r="AH193" i="65" s="1"/>
  <c r="AH194" i="65" s="1"/>
  <c r="AH195" i="65" s="1"/>
  <c r="AH196" i="65" s="1"/>
  <c r="AH197" i="65" s="1"/>
  <c r="AH198" i="65" s="1"/>
  <c r="AH199" i="65" s="1"/>
  <c r="AH200" i="65" s="1"/>
  <c r="AH201" i="65" s="1"/>
  <c r="AH202" i="65" s="1"/>
  <c r="AH203" i="65" s="1"/>
  <c r="AH204" i="65" s="1"/>
  <c r="AH205" i="65" s="1"/>
  <c r="AH206" i="65" s="1"/>
  <c r="AH207" i="65" s="1"/>
  <c r="AH208" i="65" s="1"/>
  <c r="AH209" i="65" s="1"/>
  <c r="AH210" i="65" s="1"/>
  <c r="AH211" i="65" s="1"/>
  <c r="AH212" i="65" s="1"/>
  <c r="AH213" i="65" s="1"/>
  <c r="AH214" i="65" s="1"/>
  <c r="AH215" i="65" s="1"/>
  <c r="AH216" i="65" s="1"/>
  <c r="AH217" i="65" s="1"/>
  <c r="AH218" i="65" s="1"/>
  <c r="AH219" i="65" s="1"/>
  <c r="AH220" i="65" s="1"/>
  <c r="AH221" i="65" s="1"/>
  <c r="AH222" i="65" s="1"/>
  <c r="AH223" i="65" s="1"/>
  <c r="AH224" i="65" s="1"/>
  <c r="AH225" i="65" s="1"/>
  <c r="AH226" i="65" s="1"/>
  <c r="AH227" i="65" s="1"/>
  <c r="AH228" i="65" s="1"/>
  <c r="AH229" i="65" s="1"/>
  <c r="AH230" i="65" s="1"/>
  <c r="AH231" i="65" s="1"/>
  <c r="AH232" i="65" s="1"/>
  <c r="AH233" i="65" s="1"/>
  <c r="AH234" i="65" s="1"/>
  <c r="AH235" i="65" s="1"/>
  <c r="AH236" i="65" s="1"/>
  <c r="AH237" i="65" s="1"/>
  <c r="AH238" i="65" s="1"/>
  <c r="AH239" i="65" s="1"/>
  <c r="AH240" i="65" s="1"/>
  <c r="AH241" i="65" s="1"/>
  <c r="AH242" i="65" s="1"/>
  <c r="AH243" i="65" s="1"/>
  <c r="AH244" i="65" s="1"/>
  <c r="AH245" i="65" s="1"/>
  <c r="AH246" i="65" s="1"/>
  <c r="AH247" i="65" s="1"/>
  <c r="AH248" i="65" s="1"/>
  <c r="AH249" i="65" s="1"/>
  <c r="AH250" i="65" s="1"/>
  <c r="AH251" i="65" s="1"/>
  <c r="AH252" i="65" s="1"/>
  <c r="AH253" i="65" s="1"/>
  <c r="AH254" i="65" s="1"/>
  <c r="AH255" i="65" s="1"/>
  <c r="AH256" i="65" s="1"/>
  <c r="AH257" i="65" s="1"/>
  <c r="AH258" i="65" s="1"/>
  <c r="AH259" i="65" s="1"/>
  <c r="AH260" i="65" s="1"/>
  <c r="AH261" i="65" s="1"/>
  <c r="AH262" i="65" s="1"/>
  <c r="AX156" i="65"/>
  <c r="AX157" i="65" s="1"/>
  <c r="AX158" i="65" s="1"/>
  <c r="AX159" i="65" s="1"/>
  <c r="AX160" i="65" s="1"/>
  <c r="AX161" i="65" s="1"/>
  <c r="AX162" i="65" s="1"/>
  <c r="AX163" i="65" s="1"/>
  <c r="AX164" i="65" s="1"/>
  <c r="AX165" i="65" s="1"/>
  <c r="AX166" i="65" s="1"/>
  <c r="AX167" i="65" s="1"/>
  <c r="AX168" i="65" s="1"/>
  <c r="AX169" i="65" s="1"/>
  <c r="AX170" i="65" s="1"/>
  <c r="AX171" i="65" s="1"/>
  <c r="AX172" i="65" s="1"/>
  <c r="AX173" i="65" s="1"/>
  <c r="AX174" i="65" s="1"/>
  <c r="AX175" i="65" s="1"/>
  <c r="AX176" i="65" s="1"/>
  <c r="AX177" i="65" s="1"/>
  <c r="AX178" i="65" s="1"/>
  <c r="AX179" i="65" s="1"/>
  <c r="AX180" i="65" s="1"/>
  <c r="AX181" i="65" s="1"/>
  <c r="AX182" i="65" s="1"/>
  <c r="AX183" i="65" s="1"/>
  <c r="AX184" i="65" s="1"/>
  <c r="AX185" i="65" s="1"/>
  <c r="AX186" i="65" s="1"/>
  <c r="AX187" i="65" s="1"/>
  <c r="AX188" i="65" s="1"/>
  <c r="AX189" i="65" s="1"/>
  <c r="AX190" i="65" s="1"/>
  <c r="AX191" i="65" s="1"/>
  <c r="AX192" i="65" s="1"/>
  <c r="AX193" i="65" s="1"/>
  <c r="AX194" i="65" s="1"/>
  <c r="AX195" i="65" s="1"/>
  <c r="AX196" i="65" s="1"/>
  <c r="AX197" i="65" s="1"/>
  <c r="AX198" i="65" s="1"/>
  <c r="AX199" i="65" s="1"/>
  <c r="AX200" i="65" s="1"/>
  <c r="AX201" i="65" s="1"/>
  <c r="AX202" i="65" s="1"/>
  <c r="AX203" i="65" s="1"/>
  <c r="AX204" i="65" s="1"/>
  <c r="AX205" i="65" s="1"/>
  <c r="AX206" i="65" s="1"/>
  <c r="AX207" i="65" s="1"/>
  <c r="AX208" i="65" s="1"/>
  <c r="AX209" i="65" s="1"/>
  <c r="AX210" i="65" s="1"/>
  <c r="AX211" i="65" s="1"/>
  <c r="AX212" i="65" s="1"/>
  <c r="AX213" i="65" s="1"/>
  <c r="AX214" i="65" s="1"/>
  <c r="AX215" i="65" s="1"/>
  <c r="AX216" i="65" s="1"/>
  <c r="AX217" i="65" s="1"/>
  <c r="AX218" i="65" s="1"/>
  <c r="AX219" i="65" s="1"/>
  <c r="AX220" i="65" s="1"/>
  <c r="AX221" i="65" s="1"/>
  <c r="AX222" i="65" s="1"/>
  <c r="AX223" i="65" s="1"/>
  <c r="AX224" i="65" s="1"/>
  <c r="AX225" i="65" s="1"/>
  <c r="AX226" i="65" s="1"/>
  <c r="AX227" i="65" s="1"/>
  <c r="AX228" i="65" s="1"/>
  <c r="AX229" i="65" s="1"/>
  <c r="AX230" i="65" s="1"/>
  <c r="AX231" i="65" s="1"/>
  <c r="AX232" i="65" s="1"/>
  <c r="AX233" i="65" s="1"/>
  <c r="AX234" i="65" s="1"/>
  <c r="AX235" i="65" s="1"/>
  <c r="AX236" i="65" s="1"/>
  <c r="AX237" i="65" s="1"/>
  <c r="AX238" i="65" s="1"/>
  <c r="AX239" i="65" s="1"/>
  <c r="AX240" i="65" s="1"/>
  <c r="AX241" i="65" s="1"/>
  <c r="AX242" i="65" s="1"/>
  <c r="AX243" i="65" s="1"/>
  <c r="AX244" i="65" s="1"/>
  <c r="AX245" i="65" s="1"/>
  <c r="AX246" i="65" s="1"/>
  <c r="AX247" i="65" s="1"/>
  <c r="AX248" i="65" s="1"/>
  <c r="AX249" i="65" s="1"/>
  <c r="AX250" i="65" s="1"/>
  <c r="AX251" i="65" s="1"/>
  <c r="AX252" i="65" s="1"/>
  <c r="AX253" i="65" s="1"/>
  <c r="AX254" i="65" s="1"/>
  <c r="AX255" i="65" s="1"/>
  <c r="AX256" i="65" s="1"/>
  <c r="AX257" i="65" s="1"/>
  <c r="AX258" i="65" s="1"/>
  <c r="AX259" i="65" s="1"/>
  <c r="AX260" i="65" s="1"/>
  <c r="AX261" i="65" s="1"/>
  <c r="AX262" i="65" s="1"/>
  <c r="BN156" i="65"/>
  <c r="BN157" i="65" s="1"/>
  <c r="BN158" i="65" s="1"/>
  <c r="BN159" i="65" s="1"/>
  <c r="BN160" i="65" s="1"/>
  <c r="BN161" i="65" s="1"/>
  <c r="BN162" i="65" s="1"/>
  <c r="BN163" i="65" s="1"/>
  <c r="BN164" i="65" s="1"/>
  <c r="BN165" i="65" s="1"/>
  <c r="BN166" i="65" s="1"/>
  <c r="BN167" i="65" s="1"/>
  <c r="BN168" i="65" s="1"/>
  <c r="BN169" i="65" s="1"/>
  <c r="BN170" i="65" s="1"/>
  <c r="BN171" i="65" s="1"/>
  <c r="BN172" i="65" s="1"/>
  <c r="BN173" i="65" s="1"/>
  <c r="BN174" i="65" s="1"/>
  <c r="BN175" i="65" s="1"/>
  <c r="BN176" i="65" s="1"/>
  <c r="BN177" i="65" s="1"/>
  <c r="BN178" i="65" s="1"/>
  <c r="BN179" i="65" s="1"/>
  <c r="BN180" i="65" s="1"/>
  <c r="BN181" i="65" s="1"/>
  <c r="BN182" i="65" s="1"/>
  <c r="BN183" i="65" s="1"/>
  <c r="BN184" i="65" s="1"/>
  <c r="BN185" i="65" s="1"/>
  <c r="BN186" i="65" s="1"/>
  <c r="BN187" i="65" s="1"/>
  <c r="BN188" i="65" s="1"/>
  <c r="BN189" i="65" s="1"/>
  <c r="BN190" i="65" s="1"/>
  <c r="BN191" i="65" s="1"/>
  <c r="BN192" i="65" s="1"/>
  <c r="BN193" i="65" s="1"/>
  <c r="BN194" i="65" s="1"/>
  <c r="BN195" i="65" s="1"/>
  <c r="BN196" i="65" s="1"/>
  <c r="BN197" i="65" s="1"/>
  <c r="BN198" i="65" s="1"/>
  <c r="BN199" i="65" s="1"/>
  <c r="BN200" i="65" s="1"/>
  <c r="BN201" i="65" s="1"/>
  <c r="BN202" i="65" s="1"/>
  <c r="BN203" i="65" s="1"/>
  <c r="BN204" i="65" s="1"/>
  <c r="BN205" i="65" s="1"/>
  <c r="BN206" i="65" s="1"/>
  <c r="BN207" i="65" s="1"/>
  <c r="BN208" i="65" s="1"/>
  <c r="BN209" i="65" s="1"/>
  <c r="BN210" i="65" s="1"/>
  <c r="BN211" i="65" s="1"/>
  <c r="BN212" i="65" s="1"/>
  <c r="BN213" i="65" s="1"/>
  <c r="BN214" i="65" s="1"/>
  <c r="BN215" i="65" s="1"/>
  <c r="BN216" i="65" s="1"/>
  <c r="BN217" i="65" s="1"/>
  <c r="BN218" i="65" s="1"/>
  <c r="BN219" i="65" s="1"/>
  <c r="BN220" i="65" s="1"/>
  <c r="BN221" i="65" s="1"/>
  <c r="BN222" i="65" s="1"/>
  <c r="BN223" i="65" s="1"/>
  <c r="BN224" i="65" s="1"/>
  <c r="BN225" i="65" s="1"/>
  <c r="BN226" i="65" s="1"/>
  <c r="BN227" i="65" s="1"/>
  <c r="BN228" i="65" s="1"/>
  <c r="BN229" i="65" s="1"/>
  <c r="BN230" i="65" s="1"/>
  <c r="BN231" i="65" s="1"/>
  <c r="BN232" i="65" s="1"/>
  <c r="BN233" i="65" s="1"/>
  <c r="BN234" i="65" s="1"/>
  <c r="BN235" i="65" s="1"/>
  <c r="BN236" i="65" s="1"/>
  <c r="BN237" i="65" s="1"/>
  <c r="BN238" i="65" s="1"/>
  <c r="BN239" i="65" s="1"/>
  <c r="BN240" i="65" s="1"/>
  <c r="BN241" i="65" s="1"/>
  <c r="BN242" i="65" s="1"/>
  <c r="BN243" i="65" s="1"/>
  <c r="BN244" i="65" s="1"/>
  <c r="BN245" i="65" s="1"/>
  <c r="BN246" i="65" s="1"/>
  <c r="BN247" i="65" s="1"/>
  <c r="BN248" i="65" s="1"/>
  <c r="BN249" i="65" s="1"/>
  <c r="BN250" i="65" s="1"/>
  <c r="BN251" i="65" s="1"/>
  <c r="CD156" i="65"/>
  <c r="CD157" i="65" s="1"/>
  <c r="CD158" i="65" s="1"/>
  <c r="CD159" i="65" s="1"/>
  <c r="CD160" i="65" s="1"/>
  <c r="CD161" i="65" s="1"/>
  <c r="CD162" i="65" s="1"/>
  <c r="CD163" i="65" s="1"/>
  <c r="CD164" i="65" s="1"/>
  <c r="CD165" i="65" s="1"/>
  <c r="CD166" i="65" s="1"/>
  <c r="CD167" i="65" s="1"/>
  <c r="CD168" i="65" s="1"/>
  <c r="CD169" i="65" s="1"/>
  <c r="CD170" i="65" s="1"/>
  <c r="CD171" i="65" s="1"/>
  <c r="CD172" i="65" s="1"/>
  <c r="CD173" i="65" s="1"/>
  <c r="CD174" i="65" s="1"/>
  <c r="CD175" i="65" s="1"/>
  <c r="CD176" i="65" s="1"/>
  <c r="CD177" i="65" s="1"/>
  <c r="CD178" i="65" s="1"/>
  <c r="CD179" i="65" s="1"/>
  <c r="CD180" i="65" s="1"/>
  <c r="CD181" i="65" s="1"/>
  <c r="CD182" i="65" s="1"/>
  <c r="CD183" i="65" s="1"/>
  <c r="CD184" i="65" s="1"/>
  <c r="CD185" i="65" s="1"/>
  <c r="CD186" i="65" s="1"/>
  <c r="CD187" i="65" s="1"/>
  <c r="CD188" i="65" s="1"/>
  <c r="CD189" i="65" s="1"/>
  <c r="CD190" i="65" s="1"/>
  <c r="CD191" i="65" s="1"/>
  <c r="CD192" i="65" s="1"/>
  <c r="CD193" i="65" s="1"/>
  <c r="CD194" i="65" s="1"/>
  <c r="CD195" i="65" s="1"/>
  <c r="CD196" i="65" s="1"/>
  <c r="CD197" i="65" s="1"/>
  <c r="CD198" i="65" s="1"/>
  <c r="CD199" i="65" s="1"/>
  <c r="CD200" i="65" s="1"/>
  <c r="CD201" i="65" s="1"/>
  <c r="CD202" i="65" s="1"/>
  <c r="CD203" i="65" s="1"/>
  <c r="CD204" i="65" s="1"/>
  <c r="CD205" i="65" s="1"/>
  <c r="CD206" i="65" s="1"/>
  <c r="CD207" i="65" s="1"/>
  <c r="CD208" i="65" s="1"/>
  <c r="CD209" i="65" s="1"/>
  <c r="CD210" i="65" s="1"/>
  <c r="CD211" i="65" s="1"/>
  <c r="CD212" i="65" s="1"/>
  <c r="CD213" i="65" s="1"/>
  <c r="CD214" i="65" s="1"/>
  <c r="CD215" i="65" s="1"/>
  <c r="CD216" i="65" s="1"/>
  <c r="CD217" i="65" s="1"/>
  <c r="CD218" i="65" s="1"/>
  <c r="CD219" i="65" s="1"/>
  <c r="CD220" i="65" s="1"/>
  <c r="CD221" i="65" s="1"/>
  <c r="CD222" i="65" s="1"/>
  <c r="CD223" i="65" s="1"/>
  <c r="CD224" i="65" s="1"/>
  <c r="CD225" i="65" s="1"/>
  <c r="CD226" i="65" s="1"/>
  <c r="CD227" i="65" s="1"/>
  <c r="CD228" i="65" s="1"/>
  <c r="CD229" i="65" s="1"/>
  <c r="CD230" i="65" s="1"/>
  <c r="CD231" i="65" s="1"/>
  <c r="CD232" i="65" s="1"/>
  <c r="CD233" i="65" s="1"/>
  <c r="CD234" i="65" s="1"/>
  <c r="CD235" i="65" s="1"/>
  <c r="CD236" i="65" s="1"/>
  <c r="CD237" i="65" s="1"/>
  <c r="CD238" i="65" s="1"/>
  <c r="CD239" i="65" s="1"/>
  <c r="CD240" i="65" s="1"/>
  <c r="CD241" i="65" s="1"/>
  <c r="CD242" i="65" s="1"/>
  <c r="CD243" i="65" s="1"/>
  <c r="CD244" i="65" s="1"/>
  <c r="CD245" i="65" s="1"/>
  <c r="CD246" i="65" s="1"/>
  <c r="CD247" i="65" s="1"/>
  <c r="CD248" i="65" s="1"/>
  <c r="CD249" i="65" s="1"/>
  <c r="CD250" i="65" s="1"/>
  <c r="CD251" i="65" s="1"/>
  <c r="CD252" i="65" s="1"/>
  <c r="CD253" i="65" s="1"/>
  <c r="CD254" i="65" s="1"/>
  <c r="CD255" i="65" s="1"/>
  <c r="CD256" i="65" s="1"/>
  <c r="CD257" i="65" s="1"/>
  <c r="CD258" i="65" s="1"/>
  <c r="CD259" i="65" s="1"/>
  <c r="CD260" i="65" s="1"/>
  <c r="CD261" i="65" s="1"/>
  <c r="CD262" i="65" s="1"/>
  <c r="CT156" i="65"/>
  <c r="CT157" i="65" s="1"/>
  <c r="CT158" i="65" s="1"/>
  <c r="CT159" i="65" s="1"/>
  <c r="CT160" i="65" s="1"/>
  <c r="CT161" i="65" s="1"/>
  <c r="CT162" i="65" s="1"/>
  <c r="CT163" i="65" s="1"/>
  <c r="CT164" i="65" s="1"/>
  <c r="CT165" i="65" s="1"/>
  <c r="CT166" i="65" s="1"/>
  <c r="CT167" i="65" s="1"/>
  <c r="CT168" i="65" s="1"/>
  <c r="CT169" i="65" s="1"/>
  <c r="CT170" i="65" s="1"/>
  <c r="CT171" i="65" s="1"/>
  <c r="CT172" i="65" s="1"/>
  <c r="CT173" i="65" s="1"/>
  <c r="CT174" i="65" s="1"/>
  <c r="CT175" i="65" s="1"/>
  <c r="CT176" i="65" s="1"/>
  <c r="CT177" i="65" s="1"/>
  <c r="CT178" i="65" s="1"/>
  <c r="CT179" i="65" s="1"/>
  <c r="CT180" i="65" s="1"/>
  <c r="CT181" i="65" s="1"/>
  <c r="CT182" i="65" s="1"/>
  <c r="CT183" i="65" s="1"/>
  <c r="CT184" i="65" s="1"/>
  <c r="CT185" i="65" s="1"/>
  <c r="CT186" i="65" s="1"/>
  <c r="CT187" i="65" s="1"/>
  <c r="CT188" i="65" s="1"/>
  <c r="CT189" i="65" s="1"/>
  <c r="CT190" i="65" s="1"/>
  <c r="CT191" i="65" s="1"/>
  <c r="CT192" i="65" s="1"/>
  <c r="CT193" i="65" s="1"/>
  <c r="CT194" i="65" s="1"/>
  <c r="CT195" i="65" s="1"/>
  <c r="CT196" i="65" s="1"/>
  <c r="CT197" i="65" s="1"/>
  <c r="CT198" i="65" s="1"/>
  <c r="CT199" i="65" s="1"/>
  <c r="CT200" i="65" s="1"/>
  <c r="CT201" i="65" s="1"/>
  <c r="CT202" i="65" s="1"/>
  <c r="CT203" i="65" s="1"/>
  <c r="CT204" i="65" s="1"/>
  <c r="CT205" i="65" s="1"/>
  <c r="CT206" i="65" s="1"/>
  <c r="CT207" i="65" s="1"/>
  <c r="CT208" i="65" s="1"/>
  <c r="CT209" i="65" s="1"/>
  <c r="CT210" i="65" s="1"/>
  <c r="CT211" i="65" s="1"/>
  <c r="CT212" i="65" s="1"/>
  <c r="CT213" i="65" s="1"/>
  <c r="CT214" i="65" s="1"/>
  <c r="CT215" i="65" s="1"/>
  <c r="CT216" i="65" s="1"/>
  <c r="CT217" i="65" s="1"/>
  <c r="CT218" i="65" s="1"/>
  <c r="CT219" i="65" s="1"/>
  <c r="CT220" i="65" s="1"/>
  <c r="CT221" i="65" s="1"/>
  <c r="CT222" i="65" s="1"/>
  <c r="CT223" i="65" s="1"/>
  <c r="CT224" i="65" s="1"/>
  <c r="CT225" i="65" s="1"/>
  <c r="CT226" i="65" s="1"/>
  <c r="CT227" i="65" s="1"/>
  <c r="CT228" i="65" s="1"/>
  <c r="CT229" i="65" s="1"/>
  <c r="CT230" i="65" s="1"/>
  <c r="CT231" i="65" s="1"/>
  <c r="CT232" i="65" s="1"/>
  <c r="CT233" i="65" s="1"/>
  <c r="CT234" i="65" s="1"/>
  <c r="CT235" i="65" s="1"/>
  <c r="CT236" i="65" s="1"/>
  <c r="CT237" i="65" s="1"/>
  <c r="CT238" i="65" s="1"/>
  <c r="CT239" i="65" s="1"/>
  <c r="CT240" i="65" s="1"/>
  <c r="CT241" i="65" s="1"/>
  <c r="CT242" i="65" s="1"/>
  <c r="CT243" i="65" s="1"/>
  <c r="CT244" i="65" s="1"/>
  <c r="CT245" i="65" s="1"/>
  <c r="CT246" i="65" s="1"/>
  <c r="CT247" i="65" s="1"/>
  <c r="CT248" i="65" s="1"/>
  <c r="CT249" i="65" s="1"/>
  <c r="CT250" i="65" s="1"/>
  <c r="CT251" i="65" s="1"/>
  <c r="CT252" i="65" s="1"/>
  <c r="CT253" i="65" s="1"/>
  <c r="CT254" i="65" s="1"/>
  <c r="CT255" i="65" s="1"/>
  <c r="CT256" i="65" s="1"/>
  <c r="CT257" i="65" s="1"/>
  <c r="CT258" i="65" s="1"/>
  <c r="CT259" i="65" s="1"/>
  <c r="CT260" i="65" s="1"/>
  <c r="CT261" i="65" s="1"/>
  <c r="CT262" i="65" s="1"/>
  <c r="DJ156" i="65"/>
  <c r="DJ157" i="65" s="1"/>
  <c r="DJ158" i="65" s="1"/>
  <c r="DJ159" i="65" s="1"/>
  <c r="DJ160" i="65" s="1"/>
  <c r="DJ161" i="65" s="1"/>
  <c r="DJ162" i="65" s="1"/>
  <c r="DJ163" i="65" s="1"/>
  <c r="DJ164" i="65" s="1"/>
  <c r="DJ165" i="65" s="1"/>
  <c r="DJ166" i="65" s="1"/>
  <c r="DJ167" i="65" s="1"/>
  <c r="DJ168" i="65" s="1"/>
  <c r="DJ169" i="65" s="1"/>
  <c r="DJ170" i="65" s="1"/>
  <c r="DJ171" i="65" s="1"/>
  <c r="DJ172" i="65" s="1"/>
  <c r="DJ173" i="65" s="1"/>
  <c r="DJ174" i="65" s="1"/>
  <c r="DJ175" i="65" s="1"/>
  <c r="DJ176" i="65" s="1"/>
  <c r="DJ177" i="65" s="1"/>
  <c r="DJ178" i="65" s="1"/>
  <c r="DJ179" i="65" s="1"/>
  <c r="DJ180" i="65" s="1"/>
  <c r="DJ181" i="65" s="1"/>
  <c r="DJ182" i="65" s="1"/>
  <c r="DJ183" i="65" s="1"/>
  <c r="DJ184" i="65" s="1"/>
  <c r="DJ185" i="65" s="1"/>
  <c r="DJ186" i="65" s="1"/>
  <c r="DJ187" i="65" s="1"/>
  <c r="DJ188" i="65" s="1"/>
  <c r="DJ189" i="65" s="1"/>
  <c r="DJ190" i="65" s="1"/>
  <c r="DJ191" i="65" s="1"/>
  <c r="DJ192" i="65" s="1"/>
  <c r="DJ193" i="65" s="1"/>
  <c r="DJ194" i="65" s="1"/>
  <c r="DJ195" i="65" s="1"/>
  <c r="DJ196" i="65" s="1"/>
  <c r="DJ197" i="65" s="1"/>
  <c r="DJ198" i="65" s="1"/>
  <c r="DJ199" i="65" s="1"/>
  <c r="DJ200" i="65" s="1"/>
  <c r="DJ201" i="65" s="1"/>
  <c r="DJ202" i="65" s="1"/>
  <c r="DJ203" i="65" s="1"/>
  <c r="DJ204" i="65" s="1"/>
  <c r="DJ205" i="65" s="1"/>
  <c r="DJ206" i="65" s="1"/>
  <c r="DJ207" i="65" s="1"/>
  <c r="DJ208" i="65" s="1"/>
  <c r="DJ209" i="65" s="1"/>
  <c r="DJ210" i="65" s="1"/>
  <c r="DJ211" i="65" s="1"/>
  <c r="DJ212" i="65" s="1"/>
  <c r="DJ213" i="65" s="1"/>
  <c r="DJ214" i="65" s="1"/>
  <c r="DJ215" i="65" s="1"/>
  <c r="DJ216" i="65" s="1"/>
  <c r="DJ217" i="65" s="1"/>
  <c r="DJ218" i="65" s="1"/>
  <c r="DJ219" i="65" s="1"/>
  <c r="DJ220" i="65" s="1"/>
  <c r="DJ221" i="65" s="1"/>
  <c r="DJ222" i="65" s="1"/>
  <c r="DJ223" i="65" s="1"/>
  <c r="DJ224" i="65" s="1"/>
  <c r="DJ225" i="65" s="1"/>
  <c r="DJ226" i="65" s="1"/>
  <c r="DJ227" i="65" s="1"/>
  <c r="DJ228" i="65" s="1"/>
  <c r="DJ229" i="65" s="1"/>
  <c r="DJ230" i="65" s="1"/>
  <c r="DJ231" i="65" s="1"/>
  <c r="DJ232" i="65" s="1"/>
  <c r="DJ233" i="65" s="1"/>
  <c r="DJ234" i="65" s="1"/>
  <c r="DJ235" i="65" s="1"/>
  <c r="DJ236" i="65" s="1"/>
  <c r="DJ237" i="65" s="1"/>
  <c r="DJ238" i="65" s="1"/>
  <c r="DJ239" i="65" s="1"/>
  <c r="DJ240" i="65" s="1"/>
  <c r="DJ241" i="65" s="1"/>
  <c r="DJ242" i="65" s="1"/>
  <c r="DJ243" i="65" s="1"/>
  <c r="DJ244" i="65" s="1"/>
  <c r="DJ245" i="65" s="1"/>
  <c r="DJ246" i="65" s="1"/>
  <c r="DJ247" i="65" s="1"/>
  <c r="DJ248" i="65" s="1"/>
  <c r="DJ249" i="65" s="1"/>
  <c r="DJ250" i="65" s="1"/>
  <c r="DJ251" i="65" s="1"/>
  <c r="EA45" i="65"/>
  <c r="EQ45" i="65"/>
  <c r="AY157" i="65"/>
  <c r="AY158" i="65" s="1"/>
  <c r="AY159" i="65" s="1"/>
  <c r="AY160" i="65" s="1"/>
  <c r="AY161" i="65" s="1"/>
  <c r="AY162" i="65" s="1"/>
  <c r="AY163" i="65" s="1"/>
  <c r="AY164" i="65" s="1"/>
  <c r="AY165" i="65" s="1"/>
  <c r="AY166" i="65" s="1"/>
  <c r="AY167" i="65" s="1"/>
  <c r="AY168" i="65" s="1"/>
  <c r="AY169" i="65" s="1"/>
  <c r="AY170" i="65" s="1"/>
  <c r="AY171" i="65" s="1"/>
  <c r="AY172" i="65" s="1"/>
  <c r="AY173" i="65" s="1"/>
  <c r="AY174" i="65" s="1"/>
  <c r="AY175" i="65" s="1"/>
  <c r="AY176" i="65" s="1"/>
  <c r="AY177" i="65" s="1"/>
  <c r="AY178" i="65" s="1"/>
  <c r="AY179" i="65" s="1"/>
  <c r="AY180" i="65" s="1"/>
  <c r="AY181" i="65" s="1"/>
  <c r="AY182" i="65" s="1"/>
  <c r="AY183" i="65" s="1"/>
  <c r="AY184" i="65" s="1"/>
  <c r="AY185" i="65" s="1"/>
  <c r="AY186" i="65" s="1"/>
  <c r="AY187" i="65" s="1"/>
  <c r="AY188" i="65" s="1"/>
  <c r="AY189" i="65" s="1"/>
  <c r="AY190" i="65" s="1"/>
  <c r="AY191" i="65" s="1"/>
  <c r="AY192" i="65" s="1"/>
  <c r="AY193" i="65" s="1"/>
  <c r="AY194" i="65" s="1"/>
  <c r="AY195" i="65" s="1"/>
  <c r="AY196" i="65" s="1"/>
  <c r="AY197" i="65" s="1"/>
  <c r="AY198" i="65" s="1"/>
  <c r="AY199" i="65" s="1"/>
  <c r="AY200" i="65" s="1"/>
  <c r="AY201" i="65" s="1"/>
  <c r="AY202" i="65" s="1"/>
  <c r="AY203" i="65" s="1"/>
  <c r="AY204" i="65" s="1"/>
  <c r="AY205" i="65" s="1"/>
  <c r="AY206" i="65" s="1"/>
  <c r="AY207" i="65" s="1"/>
  <c r="AY208" i="65" s="1"/>
  <c r="AY209" i="65" s="1"/>
  <c r="AY210" i="65" s="1"/>
  <c r="AY211" i="65" s="1"/>
  <c r="AY212" i="65" s="1"/>
  <c r="AY213" i="65" s="1"/>
  <c r="AY214" i="65" s="1"/>
  <c r="AY215" i="65" s="1"/>
  <c r="AY216" i="65" s="1"/>
  <c r="AY217" i="65" s="1"/>
  <c r="AY218" i="65" s="1"/>
  <c r="AY219" i="65" s="1"/>
  <c r="AY220" i="65" s="1"/>
  <c r="AY221" i="65" s="1"/>
  <c r="AY222" i="65" s="1"/>
  <c r="AY223" i="65" s="1"/>
  <c r="AY224" i="65" s="1"/>
  <c r="AY225" i="65" s="1"/>
  <c r="AY226" i="65" s="1"/>
  <c r="AY227" i="65" s="1"/>
  <c r="AY228" i="65" s="1"/>
  <c r="AY229" i="65" s="1"/>
  <c r="AY230" i="65" s="1"/>
  <c r="AY231" i="65" s="1"/>
  <c r="AY232" i="65" s="1"/>
  <c r="AY233" i="65" s="1"/>
  <c r="AY234" i="65" s="1"/>
  <c r="AY235" i="65" s="1"/>
  <c r="AY236" i="65" s="1"/>
  <c r="AY237" i="65" s="1"/>
  <c r="AY238" i="65" s="1"/>
  <c r="AY239" i="65" s="1"/>
  <c r="AY240" i="65" s="1"/>
  <c r="AY241" i="65" s="1"/>
  <c r="AY242" i="65" s="1"/>
  <c r="AY243" i="65" s="1"/>
  <c r="AY244" i="65" s="1"/>
  <c r="AY245" i="65" s="1"/>
  <c r="AY246" i="65" s="1"/>
  <c r="AY247" i="65" s="1"/>
  <c r="AY248" i="65" s="1"/>
  <c r="AY249" i="65" s="1"/>
  <c r="AY250" i="65" s="1"/>
  <c r="AY251" i="65" s="1"/>
  <c r="AY252" i="65" s="1"/>
  <c r="AY253" i="65" s="1"/>
  <c r="AY254" i="65" s="1"/>
  <c r="AY255" i="65" s="1"/>
  <c r="AY256" i="65" s="1"/>
  <c r="AY257" i="65" s="1"/>
  <c r="AY258" i="65" s="1"/>
  <c r="AY259" i="65" s="1"/>
  <c r="AY260" i="65" s="1"/>
  <c r="AY261" i="65" s="1"/>
  <c r="AY262" i="65" s="1"/>
  <c r="BO157" i="65"/>
  <c r="BO158" i="65" s="1"/>
  <c r="BO159" i="65" s="1"/>
  <c r="BO160" i="65" s="1"/>
  <c r="BO161" i="65" s="1"/>
  <c r="BO162" i="65" s="1"/>
  <c r="BO163" i="65" s="1"/>
  <c r="BO164" i="65" s="1"/>
  <c r="BO165" i="65" s="1"/>
  <c r="BO166" i="65" s="1"/>
  <c r="BO167" i="65" s="1"/>
  <c r="BO168" i="65" s="1"/>
  <c r="BO169" i="65" s="1"/>
  <c r="BO170" i="65" s="1"/>
  <c r="BO171" i="65" s="1"/>
  <c r="BO172" i="65" s="1"/>
  <c r="BO173" i="65" s="1"/>
  <c r="BO174" i="65" s="1"/>
  <c r="BO175" i="65" s="1"/>
  <c r="BO176" i="65" s="1"/>
  <c r="BO177" i="65" s="1"/>
  <c r="BO178" i="65" s="1"/>
  <c r="BO179" i="65" s="1"/>
  <c r="BO180" i="65" s="1"/>
  <c r="BO181" i="65" s="1"/>
  <c r="BO182" i="65" s="1"/>
  <c r="BO183" i="65" s="1"/>
  <c r="BO184" i="65" s="1"/>
  <c r="BO185" i="65" s="1"/>
  <c r="BO186" i="65" s="1"/>
  <c r="BO187" i="65" s="1"/>
  <c r="BO188" i="65" s="1"/>
  <c r="BO189" i="65" s="1"/>
  <c r="BO190" i="65" s="1"/>
  <c r="BO191" i="65" s="1"/>
  <c r="BO192" i="65" s="1"/>
  <c r="BO193" i="65" s="1"/>
  <c r="BO194" i="65" s="1"/>
  <c r="BO195" i="65" s="1"/>
  <c r="BO196" i="65" s="1"/>
  <c r="BO197" i="65" s="1"/>
  <c r="BO198" i="65" s="1"/>
  <c r="BO199" i="65" s="1"/>
  <c r="BO200" i="65" s="1"/>
  <c r="BO201" i="65" s="1"/>
  <c r="BO202" i="65" s="1"/>
  <c r="BO203" i="65" s="1"/>
  <c r="BO204" i="65" s="1"/>
  <c r="BO205" i="65" s="1"/>
  <c r="BO206" i="65" s="1"/>
  <c r="BO207" i="65" s="1"/>
  <c r="BO208" i="65" s="1"/>
  <c r="BO209" i="65" s="1"/>
  <c r="BO210" i="65" s="1"/>
  <c r="BO211" i="65" s="1"/>
  <c r="BO212" i="65" s="1"/>
  <c r="BO213" i="65" s="1"/>
  <c r="BO214" i="65" s="1"/>
  <c r="BO215" i="65" s="1"/>
  <c r="BO216" i="65" s="1"/>
  <c r="BO217" i="65" s="1"/>
  <c r="BO218" i="65" s="1"/>
  <c r="BO219" i="65" s="1"/>
  <c r="BO220" i="65" s="1"/>
  <c r="BO221" i="65" s="1"/>
  <c r="BO222" i="65" s="1"/>
  <c r="BO223" i="65" s="1"/>
  <c r="BO224" i="65" s="1"/>
  <c r="BO225" i="65" s="1"/>
  <c r="BO226" i="65" s="1"/>
  <c r="BO227" i="65" s="1"/>
  <c r="BO228" i="65" s="1"/>
  <c r="BO229" i="65" s="1"/>
  <c r="BO230" i="65" s="1"/>
  <c r="BO231" i="65" s="1"/>
  <c r="BO232" i="65" s="1"/>
  <c r="BO233" i="65" s="1"/>
  <c r="BO234" i="65" s="1"/>
  <c r="BO235" i="65" s="1"/>
  <c r="BO236" i="65" s="1"/>
  <c r="BO237" i="65" s="1"/>
  <c r="BO238" i="65" s="1"/>
  <c r="BO239" i="65" s="1"/>
  <c r="BO240" i="65" s="1"/>
  <c r="BO241" i="65" s="1"/>
  <c r="BO242" i="65" s="1"/>
  <c r="BO243" i="65" s="1"/>
  <c r="BO244" i="65" s="1"/>
  <c r="BO245" i="65" s="1"/>
  <c r="BO246" i="65" s="1"/>
  <c r="BO247" i="65" s="1"/>
  <c r="BO248" i="65" s="1"/>
  <c r="BO249" i="65" s="1"/>
  <c r="BO250" i="65" s="1"/>
  <c r="BO251" i="65" s="1"/>
  <c r="BO252" i="65" s="1"/>
  <c r="BO253" i="65" s="1"/>
  <c r="BO254" i="65" s="1"/>
  <c r="BO255" i="65" s="1"/>
  <c r="BO256" i="65" s="1"/>
  <c r="BO257" i="65" s="1"/>
  <c r="BO258" i="65" s="1"/>
  <c r="BO259" i="65" s="1"/>
  <c r="BO260" i="65" s="1"/>
  <c r="BO261" i="65" s="1"/>
  <c r="BO262" i="65" s="1"/>
  <c r="CE157" i="65"/>
  <c r="CE158" i="65" s="1"/>
  <c r="CE159" i="65" s="1"/>
  <c r="CE160" i="65" s="1"/>
  <c r="CE161" i="65" s="1"/>
  <c r="CE162" i="65" s="1"/>
  <c r="CE163" i="65" s="1"/>
  <c r="CE164" i="65" s="1"/>
  <c r="CE165" i="65" s="1"/>
  <c r="CE166" i="65" s="1"/>
  <c r="CE167" i="65" s="1"/>
  <c r="CE168" i="65" s="1"/>
  <c r="CE169" i="65" s="1"/>
  <c r="CE170" i="65" s="1"/>
  <c r="CE171" i="65" s="1"/>
  <c r="CE172" i="65" s="1"/>
  <c r="CE173" i="65" s="1"/>
  <c r="CE174" i="65" s="1"/>
  <c r="CE175" i="65" s="1"/>
  <c r="CE176" i="65" s="1"/>
  <c r="CE177" i="65" s="1"/>
  <c r="CE178" i="65" s="1"/>
  <c r="CE179" i="65" s="1"/>
  <c r="CE180" i="65" s="1"/>
  <c r="CE181" i="65" s="1"/>
  <c r="CE182" i="65" s="1"/>
  <c r="CE183" i="65" s="1"/>
  <c r="CE184" i="65" s="1"/>
  <c r="CE185" i="65" s="1"/>
  <c r="CE186" i="65" s="1"/>
  <c r="CE187" i="65" s="1"/>
  <c r="CE188" i="65" s="1"/>
  <c r="CE189" i="65" s="1"/>
  <c r="CE190" i="65" s="1"/>
  <c r="CE191" i="65" s="1"/>
  <c r="CE192" i="65" s="1"/>
  <c r="CE193" i="65" s="1"/>
  <c r="CE194" i="65" s="1"/>
  <c r="CE195" i="65" s="1"/>
  <c r="CE196" i="65" s="1"/>
  <c r="CE197" i="65" s="1"/>
  <c r="CE198" i="65" s="1"/>
  <c r="CE199" i="65" s="1"/>
  <c r="CE200" i="65" s="1"/>
  <c r="CE201" i="65" s="1"/>
  <c r="CE202" i="65" s="1"/>
  <c r="CE203" i="65" s="1"/>
  <c r="CE204" i="65" s="1"/>
  <c r="CE205" i="65" s="1"/>
  <c r="CE206" i="65" s="1"/>
  <c r="CE207" i="65" s="1"/>
  <c r="CE208" i="65" s="1"/>
  <c r="CE209" i="65" s="1"/>
  <c r="CE210" i="65" s="1"/>
  <c r="CE211" i="65" s="1"/>
  <c r="CE212" i="65" s="1"/>
  <c r="CE213" i="65" s="1"/>
  <c r="CE214" i="65" s="1"/>
  <c r="CE215" i="65" s="1"/>
  <c r="CE216" i="65" s="1"/>
  <c r="CE217" i="65" s="1"/>
  <c r="CE218" i="65" s="1"/>
  <c r="CE219" i="65" s="1"/>
  <c r="CE220" i="65" s="1"/>
  <c r="CE221" i="65" s="1"/>
  <c r="CE222" i="65" s="1"/>
  <c r="CE223" i="65" s="1"/>
  <c r="CE224" i="65" s="1"/>
  <c r="CE225" i="65" s="1"/>
  <c r="CE226" i="65" s="1"/>
  <c r="CE227" i="65" s="1"/>
  <c r="CE228" i="65" s="1"/>
  <c r="CE229" i="65" s="1"/>
  <c r="CE230" i="65" s="1"/>
  <c r="CE231" i="65" s="1"/>
  <c r="CE232" i="65" s="1"/>
  <c r="CE233" i="65" s="1"/>
  <c r="CE234" i="65" s="1"/>
  <c r="CE235" i="65" s="1"/>
  <c r="CE236" i="65" s="1"/>
  <c r="CE237" i="65" s="1"/>
  <c r="CE238" i="65" s="1"/>
  <c r="CE239" i="65" s="1"/>
  <c r="CE240" i="65" s="1"/>
  <c r="CE241" i="65" s="1"/>
  <c r="CE242" i="65" s="1"/>
  <c r="CE243" i="65" s="1"/>
  <c r="CE244" i="65" s="1"/>
  <c r="CE245" i="65" s="1"/>
  <c r="CE246" i="65" s="1"/>
  <c r="CE247" i="65" s="1"/>
  <c r="CE248" i="65" s="1"/>
  <c r="CE249" i="65" s="1"/>
  <c r="CE250" i="65" s="1"/>
  <c r="CE251" i="65" s="1"/>
  <c r="CE252" i="65" s="1"/>
  <c r="CE253" i="65" s="1"/>
  <c r="CE254" i="65" s="1"/>
  <c r="CE255" i="65" s="1"/>
  <c r="CE256" i="65" s="1"/>
  <c r="CE257" i="65" s="1"/>
  <c r="CE258" i="65" s="1"/>
  <c r="CE259" i="65" s="1"/>
  <c r="CE260" i="65" s="1"/>
  <c r="CE261" i="65" s="1"/>
  <c r="CE262" i="65" s="1"/>
  <c r="CU157" i="65"/>
  <c r="CU158" i="65" s="1"/>
  <c r="CU159" i="65" s="1"/>
  <c r="CU160" i="65" s="1"/>
  <c r="CU161" i="65" s="1"/>
  <c r="CU162" i="65" s="1"/>
  <c r="CU163" i="65" s="1"/>
  <c r="CU164" i="65" s="1"/>
  <c r="CU165" i="65" s="1"/>
  <c r="CU166" i="65" s="1"/>
  <c r="CU167" i="65" s="1"/>
  <c r="CU168" i="65" s="1"/>
  <c r="CU169" i="65" s="1"/>
  <c r="CU170" i="65" s="1"/>
  <c r="CU171" i="65" s="1"/>
  <c r="CU172" i="65" s="1"/>
  <c r="CU173" i="65" s="1"/>
  <c r="CU174" i="65" s="1"/>
  <c r="CU175" i="65" s="1"/>
  <c r="CU176" i="65" s="1"/>
  <c r="CU177" i="65" s="1"/>
  <c r="CU178" i="65" s="1"/>
  <c r="CU179" i="65" s="1"/>
  <c r="CU180" i="65" s="1"/>
  <c r="CU181" i="65" s="1"/>
  <c r="CU182" i="65" s="1"/>
  <c r="CU183" i="65" s="1"/>
  <c r="CU184" i="65" s="1"/>
  <c r="CU185" i="65" s="1"/>
  <c r="CU186" i="65" s="1"/>
  <c r="CU187" i="65" s="1"/>
  <c r="CU188" i="65" s="1"/>
  <c r="CU189" i="65" s="1"/>
  <c r="CU190" i="65" s="1"/>
  <c r="CU191" i="65" s="1"/>
  <c r="CU192" i="65" s="1"/>
  <c r="CU193" i="65" s="1"/>
  <c r="CU194" i="65" s="1"/>
  <c r="CU195" i="65" s="1"/>
  <c r="CU196" i="65" s="1"/>
  <c r="CU197" i="65" s="1"/>
  <c r="CU198" i="65" s="1"/>
  <c r="CU199" i="65" s="1"/>
  <c r="CU200" i="65" s="1"/>
  <c r="CU201" i="65" s="1"/>
  <c r="CU202" i="65" s="1"/>
  <c r="CU203" i="65" s="1"/>
  <c r="CU204" i="65" s="1"/>
  <c r="CU205" i="65" s="1"/>
  <c r="CU206" i="65" s="1"/>
  <c r="CU207" i="65" s="1"/>
  <c r="CU208" i="65" s="1"/>
  <c r="CU209" i="65" s="1"/>
  <c r="CU210" i="65" s="1"/>
  <c r="CU211" i="65" s="1"/>
  <c r="CU212" i="65" s="1"/>
  <c r="CU213" i="65" s="1"/>
  <c r="CU214" i="65" s="1"/>
  <c r="CU215" i="65" s="1"/>
  <c r="CU216" i="65" s="1"/>
  <c r="CU217" i="65" s="1"/>
  <c r="CU218" i="65" s="1"/>
  <c r="CU219" i="65" s="1"/>
  <c r="CU220" i="65" s="1"/>
  <c r="CU221" i="65" s="1"/>
  <c r="CU222" i="65" s="1"/>
  <c r="CU223" i="65" s="1"/>
  <c r="CU224" i="65" s="1"/>
  <c r="CU225" i="65" s="1"/>
  <c r="CU226" i="65" s="1"/>
  <c r="CU227" i="65" s="1"/>
  <c r="CU228" i="65" s="1"/>
  <c r="CU229" i="65" s="1"/>
  <c r="CU230" i="65" s="1"/>
  <c r="CU231" i="65" s="1"/>
  <c r="CU232" i="65" s="1"/>
  <c r="CU233" i="65" s="1"/>
  <c r="CU234" i="65" s="1"/>
  <c r="CU235" i="65" s="1"/>
  <c r="CU236" i="65" s="1"/>
  <c r="CU237" i="65" s="1"/>
  <c r="CU238" i="65" s="1"/>
  <c r="CU239" i="65" s="1"/>
  <c r="CU240" i="65" s="1"/>
  <c r="CU241" i="65" s="1"/>
  <c r="CU242" i="65" s="1"/>
  <c r="CU243" i="65" s="1"/>
  <c r="CU244" i="65" s="1"/>
  <c r="CU245" i="65" s="1"/>
  <c r="CU246" i="65" s="1"/>
  <c r="CU247" i="65" s="1"/>
  <c r="CU248" i="65" s="1"/>
  <c r="CU249" i="65" s="1"/>
  <c r="CU250" i="65" s="1"/>
  <c r="CU251" i="65" s="1"/>
  <c r="CU252" i="65" s="1"/>
  <c r="CU253" i="65" s="1"/>
  <c r="CU254" i="65" s="1"/>
  <c r="CU255" i="65" s="1"/>
  <c r="CU256" i="65" s="1"/>
  <c r="CU257" i="65" s="1"/>
  <c r="CU258" i="65" s="1"/>
  <c r="CU259" i="65" s="1"/>
  <c r="CU260" i="65" s="1"/>
  <c r="CU261" i="65" s="1"/>
  <c r="CU262" i="65" s="1"/>
  <c r="EB46" i="65"/>
  <c r="ER46" i="65"/>
  <c r="EC47" i="65"/>
  <c r="ED48" i="65"/>
  <c r="EE49" i="65"/>
  <c r="EF50" i="65"/>
  <c r="EF52" i="65"/>
  <c r="EN53" i="65"/>
  <c r="EB54" i="65"/>
  <c r="EB59" i="65"/>
  <c r="DX61" i="65"/>
  <c r="DX64" i="65"/>
  <c r="AA74" i="65"/>
  <c r="AA76" i="65"/>
  <c r="AA75" i="65"/>
  <c r="AA122" i="65"/>
  <c r="AA124" i="65"/>
  <c r="AA123" i="65"/>
  <c r="EA44" i="65"/>
  <c r="EB45" i="65"/>
  <c r="EC46" i="65"/>
  <c r="EJ52" i="65"/>
  <c r="EC54" i="65"/>
  <c r="DY56" i="65"/>
  <c r="EP57" i="65"/>
  <c r="EL58" i="65"/>
  <c r="EF58" i="65"/>
  <c r="DY61" i="65"/>
  <c r="AA86" i="65"/>
  <c r="AA87" i="65"/>
  <c r="AA88" i="65"/>
  <c r="AA104" i="65"/>
  <c r="AA105" i="65"/>
  <c r="AA106" i="65"/>
  <c r="AA116" i="65"/>
  <c r="AA117" i="65"/>
  <c r="AA118" i="65"/>
  <c r="AA65" i="65"/>
  <c r="AA66" i="65"/>
  <c r="AA67" i="65"/>
  <c r="DY155" i="65"/>
  <c r="DZ155" i="65"/>
  <c r="EB44" i="65"/>
  <c r="ER44" i="65"/>
  <c r="T156" i="65"/>
  <c r="AJ156" i="65"/>
  <c r="AZ156" i="65"/>
  <c r="AZ157" i="65" s="1"/>
  <c r="AZ158" i="65" s="1"/>
  <c r="AZ159" i="65" s="1"/>
  <c r="AZ160" i="65" s="1"/>
  <c r="AZ161" i="65" s="1"/>
  <c r="AZ162" i="65" s="1"/>
  <c r="AZ163" i="65" s="1"/>
  <c r="AZ164" i="65" s="1"/>
  <c r="AZ165" i="65" s="1"/>
  <c r="AZ166" i="65" s="1"/>
  <c r="AZ167" i="65" s="1"/>
  <c r="AZ168" i="65" s="1"/>
  <c r="AZ169" i="65" s="1"/>
  <c r="AZ170" i="65" s="1"/>
  <c r="AZ171" i="65" s="1"/>
  <c r="AZ172" i="65" s="1"/>
  <c r="AZ173" i="65" s="1"/>
  <c r="AZ174" i="65" s="1"/>
  <c r="AZ175" i="65" s="1"/>
  <c r="AZ176" i="65" s="1"/>
  <c r="AZ177" i="65" s="1"/>
  <c r="AZ178" i="65" s="1"/>
  <c r="AZ179" i="65" s="1"/>
  <c r="AZ180" i="65" s="1"/>
  <c r="AZ181" i="65" s="1"/>
  <c r="AZ182" i="65" s="1"/>
  <c r="AZ183" i="65" s="1"/>
  <c r="AZ184" i="65" s="1"/>
  <c r="AZ185" i="65" s="1"/>
  <c r="AZ186" i="65" s="1"/>
  <c r="AZ187" i="65" s="1"/>
  <c r="AZ188" i="65" s="1"/>
  <c r="AZ189" i="65" s="1"/>
  <c r="AZ190" i="65" s="1"/>
  <c r="AZ191" i="65" s="1"/>
  <c r="AZ192" i="65" s="1"/>
  <c r="AZ193" i="65" s="1"/>
  <c r="AZ194" i="65" s="1"/>
  <c r="AZ195" i="65" s="1"/>
  <c r="AZ196" i="65" s="1"/>
  <c r="AZ197" i="65" s="1"/>
  <c r="AZ198" i="65" s="1"/>
  <c r="AZ199" i="65" s="1"/>
  <c r="AZ200" i="65" s="1"/>
  <c r="AZ201" i="65" s="1"/>
  <c r="AZ202" i="65" s="1"/>
  <c r="AZ203" i="65" s="1"/>
  <c r="AZ204" i="65" s="1"/>
  <c r="AZ205" i="65" s="1"/>
  <c r="AZ206" i="65" s="1"/>
  <c r="AZ207" i="65" s="1"/>
  <c r="AZ208" i="65" s="1"/>
  <c r="AZ209" i="65" s="1"/>
  <c r="AZ210" i="65" s="1"/>
  <c r="AZ211" i="65" s="1"/>
  <c r="AZ212" i="65" s="1"/>
  <c r="AZ213" i="65" s="1"/>
  <c r="AZ214" i="65" s="1"/>
  <c r="AZ215" i="65" s="1"/>
  <c r="AZ216" i="65" s="1"/>
  <c r="AZ217" i="65" s="1"/>
  <c r="AZ218" i="65" s="1"/>
  <c r="AZ219" i="65" s="1"/>
  <c r="AZ220" i="65" s="1"/>
  <c r="AZ221" i="65" s="1"/>
  <c r="AZ222" i="65" s="1"/>
  <c r="AZ223" i="65" s="1"/>
  <c r="AZ224" i="65" s="1"/>
  <c r="AZ225" i="65" s="1"/>
  <c r="AZ226" i="65" s="1"/>
  <c r="AZ227" i="65" s="1"/>
  <c r="AZ228" i="65" s="1"/>
  <c r="AZ229" i="65" s="1"/>
  <c r="AZ230" i="65" s="1"/>
  <c r="AZ231" i="65" s="1"/>
  <c r="AZ232" i="65" s="1"/>
  <c r="AZ233" i="65" s="1"/>
  <c r="AZ234" i="65" s="1"/>
  <c r="AZ235" i="65" s="1"/>
  <c r="AZ236" i="65" s="1"/>
  <c r="AZ237" i="65" s="1"/>
  <c r="AZ238" i="65" s="1"/>
  <c r="AZ239" i="65" s="1"/>
  <c r="AZ240" i="65" s="1"/>
  <c r="AZ241" i="65" s="1"/>
  <c r="AZ242" i="65" s="1"/>
  <c r="AZ243" i="65" s="1"/>
  <c r="AZ244" i="65" s="1"/>
  <c r="AZ245" i="65" s="1"/>
  <c r="AZ246" i="65" s="1"/>
  <c r="AZ247" i="65" s="1"/>
  <c r="AZ248" i="65" s="1"/>
  <c r="AZ249" i="65" s="1"/>
  <c r="AZ250" i="65" s="1"/>
  <c r="AZ251" i="65" s="1"/>
  <c r="AZ252" i="65" s="1"/>
  <c r="AZ253" i="65" s="1"/>
  <c r="AZ254" i="65" s="1"/>
  <c r="AZ255" i="65" s="1"/>
  <c r="AZ256" i="65" s="1"/>
  <c r="AZ257" i="65" s="1"/>
  <c r="AZ258" i="65" s="1"/>
  <c r="AZ259" i="65" s="1"/>
  <c r="AZ260" i="65" s="1"/>
  <c r="AZ261" i="65" s="1"/>
  <c r="AZ262" i="65" s="1"/>
  <c r="BP156" i="65"/>
  <c r="BP157" i="65" s="1"/>
  <c r="BP158" i="65" s="1"/>
  <c r="BP159" i="65" s="1"/>
  <c r="BP160" i="65" s="1"/>
  <c r="BP161" i="65" s="1"/>
  <c r="BP162" i="65" s="1"/>
  <c r="BP163" i="65" s="1"/>
  <c r="BP164" i="65" s="1"/>
  <c r="BP165" i="65" s="1"/>
  <c r="BP166" i="65" s="1"/>
  <c r="BP167" i="65" s="1"/>
  <c r="BP168" i="65" s="1"/>
  <c r="BP169" i="65" s="1"/>
  <c r="BP170" i="65" s="1"/>
  <c r="BP171" i="65" s="1"/>
  <c r="BP172" i="65" s="1"/>
  <c r="BP173" i="65" s="1"/>
  <c r="BP174" i="65" s="1"/>
  <c r="BP175" i="65" s="1"/>
  <c r="BP176" i="65" s="1"/>
  <c r="BP177" i="65" s="1"/>
  <c r="BP178" i="65" s="1"/>
  <c r="BP179" i="65" s="1"/>
  <c r="BP180" i="65" s="1"/>
  <c r="BP181" i="65" s="1"/>
  <c r="BP182" i="65" s="1"/>
  <c r="BP183" i="65" s="1"/>
  <c r="BP184" i="65" s="1"/>
  <c r="BP185" i="65" s="1"/>
  <c r="BP186" i="65" s="1"/>
  <c r="BP187" i="65" s="1"/>
  <c r="BP188" i="65" s="1"/>
  <c r="BP189" i="65" s="1"/>
  <c r="BP190" i="65" s="1"/>
  <c r="BP191" i="65" s="1"/>
  <c r="BP192" i="65" s="1"/>
  <c r="BP193" i="65" s="1"/>
  <c r="BP194" i="65" s="1"/>
  <c r="BP195" i="65" s="1"/>
  <c r="BP196" i="65" s="1"/>
  <c r="BP197" i="65" s="1"/>
  <c r="BP198" i="65" s="1"/>
  <c r="BP199" i="65" s="1"/>
  <c r="BP200" i="65" s="1"/>
  <c r="BP201" i="65" s="1"/>
  <c r="BP202" i="65" s="1"/>
  <c r="BP203" i="65" s="1"/>
  <c r="BP204" i="65" s="1"/>
  <c r="BP205" i="65" s="1"/>
  <c r="BP206" i="65" s="1"/>
  <c r="BP207" i="65" s="1"/>
  <c r="BP208" i="65" s="1"/>
  <c r="BP209" i="65" s="1"/>
  <c r="BP210" i="65" s="1"/>
  <c r="BP211" i="65" s="1"/>
  <c r="BP212" i="65" s="1"/>
  <c r="BP213" i="65" s="1"/>
  <c r="BP214" i="65" s="1"/>
  <c r="BP215" i="65" s="1"/>
  <c r="BP216" i="65" s="1"/>
  <c r="BP217" i="65" s="1"/>
  <c r="BP218" i="65" s="1"/>
  <c r="BP219" i="65" s="1"/>
  <c r="BP220" i="65" s="1"/>
  <c r="BP221" i="65" s="1"/>
  <c r="BP222" i="65" s="1"/>
  <c r="BP223" i="65" s="1"/>
  <c r="BP224" i="65" s="1"/>
  <c r="BP225" i="65" s="1"/>
  <c r="BP226" i="65" s="1"/>
  <c r="BP227" i="65" s="1"/>
  <c r="BP228" i="65" s="1"/>
  <c r="BP229" i="65" s="1"/>
  <c r="BP230" i="65" s="1"/>
  <c r="BP231" i="65" s="1"/>
  <c r="BP232" i="65" s="1"/>
  <c r="BP233" i="65" s="1"/>
  <c r="BP234" i="65" s="1"/>
  <c r="BP235" i="65" s="1"/>
  <c r="BP236" i="65" s="1"/>
  <c r="BP237" i="65" s="1"/>
  <c r="BP238" i="65" s="1"/>
  <c r="BP239" i="65" s="1"/>
  <c r="BP240" i="65" s="1"/>
  <c r="BP241" i="65" s="1"/>
  <c r="BP242" i="65" s="1"/>
  <c r="BP243" i="65" s="1"/>
  <c r="BP244" i="65" s="1"/>
  <c r="BP245" i="65" s="1"/>
  <c r="BP246" i="65" s="1"/>
  <c r="BP247" i="65" s="1"/>
  <c r="BP248" i="65" s="1"/>
  <c r="BP249" i="65" s="1"/>
  <c r="BP250" i="65" s="1"/>
  <c r="BP251" i="65" s="1"/>
  <c r="BP252" i="65" s="1"/>
  <c r="BP253" i="65" s="1"/>
  <c r="BP254" i="65" s="1"/>
  <c r="BP255" i="65" s="1"/>
  <c r="BP256" i="65" s="1"/>
  <c r="BP257" i="65" s="1"/>
  <c r="BP258" i="65" s="1"/>
  <c r="BP259" i="65" s="1"/>
  <c r="BP260" i="65" s="1"/>
  <c r="BP261" i="65" s="1"/>
  <c r="BP262" i="65" s="1"/>
  <c r="CF156" i="65"/>
  <c r="CF157" i="65" s="1"/>
  <c r="CF158" i="65" s="1"/>
  <c r="CF159" i="65" s="1"/>
  <c r="CF160" i="65" s="1"/>
  <c r="CF161" i="65" s="1"/>
  <c r="CF162" i="65" s="1"/>
  <c r="CF163" i="65" s="1"/>
  <c r="CF164" i="65" s="1"/>
  <c r="CF165" i="65" s="1"/>
  <c r="CF166" i="65" s="1"/>
  <c r="CF167" i="65" s="1"/>
  <c r="CF168" i="65" s="1"/>
  <c r="CF169" i="65" s="1"/>
  <c r="CF170" i="65" s="1"/>
  <c r="CF171" i="65" s="1"/>
  <c r="CF172" i="65" s="1"/>
  <c r="CF173" i="65" s="1"/>
  <c r="CF174" i="65" s="1"/>
  <c r="CF175" i="65" s="1"/>
  <c r="CF176" i="65" s="1"/>
  <c r="CF177" i="65" s="1"/>
  <c r="CF178" i="65" s="1"/>
  <c r="CF179" i="65" s="1"/>
  <c r="CF180" i="65" s="1"/>
  <c r="CF181" i="65" s="1"/>
  <c r="CF182" i="65" s="1"/>
  <c r="CF183" i="65" s="1"/>
  <c r="CF184" i="65" s="1"/>
  <c r="CF185" i="65" s="1"/>
  <c r="CF186" i="65" s="1"/>
  <c r="CF187" i="65" s="1"/>
  <c r="CF188" i="65" s="1"/>
  <c r="CF189" i="65" s="1"/>
  <c r="CF190" i="65" s="1"/>
  <c r="CF191" i="65" s="1"/>
  <c r="CF192" i="65" s="1"/>
  <c r="CF193" i="65" s="1"/>
  <c r="CF194" i="65" s="1"/>
  <c r="CF195" i="65" s="1"/>
  <c r="CF196" i="65" s="1"/>
  <c r="CF197" i="65" s="1"/>
  <c r="CF198" i="65" s="1"/>
  <c r="CF199" i="65" s="1"/>
  <c r="CF200" i="65" s="1"/>
  <c r="CF201" i="65" s="1"/>
  <c r="CF202" i="65" s="1"/>
  <c r="CF203" i="65" s="1"/>
  <c r="CF204" i="65" s="1"/>
  <c r="CF205" i="65" s="1"/>
  <c r="CF206" i="65" s="1"/>
  <c r="CF207" i="65" s="1"/>
  <c r="CF208" i="65" s="1"/>
  <c r="CF209" i="65" s="1"/>
  <c r="CF210" i="65" s="1"/>
  <c r="CF211" i="65" s="1"/>
  <c r="CF212" i="65" s="1"/>
  <c r="CF213" i="65" s="1"/>
  <c r="CF214" i="65" s="1"/>
  <c r="CF215" i="65" s="1"/>
  <c r="CF216" i="65" s="1"/>
  <c r="CF217" i="65" s="1"/>
  <c r="CF218" i="65" s="1"/>
  <c r="CF219" i="65" s="1"/>
  <c r="CF220" i="65" s="1"/>
  <c r="CF221" i="65" s="1"/>
  <c r="CF222" i="65" s="1"/>
  <c r="CF223" i="65" s="1"/>
  <c r="CF224" i="65" s="1"/>
  <c r="CF225" i="65" s="1"/>
  <c r="CF226" i="65" s="1"/>
  <c r="CF227" i="65" s="1"/>
  <c r="CF228" i="65" s="1"/>
  <c r="CF229" i="65" s="1"/>
  <c r="CF230" i="65" s="1"/>
  <c r="CF231" i="65" s="1"/>
  <c r="CF232" i="65" s="1"/>
  <c r="CF233" i="65" s="1"/>
  <c r="CF234" i="65" s="1"/>
  <c r="CF235" i="65" s="1"/>
  <c r="CF236" i="65" s="1"/>
  <c r="CF237" i="65" s="1"/>
  <c r="CF238" i="65" s="1"/>
  <c r="CF239" i="65" s="1"/>
  <c r="CF240" i="65" s="1"/>
  <c r="CF241" i="65" s="1"/>
  <c r="CF242" i="65" s="1"/>
  <c r="CF243" i="65" s="1"/>
  <c r="CF244" i="65" s="1"/>
  <c r="CF245" i="65" s="1"/>
  <c r="CF246" i="65" s="1"/>
  <c r="CF247" i="65" s="1"/>
  <c r="CF248" i="65" s="1"/>
  <c r="CF249" i="65" s="1"/>
  <c r="CF250" i="65" s="1"/>
  <c r="CF251" i="65" s="1"/>
  <c r="CF252" i="65" s="1"/>
  <c r="CF253" i="65" s="1"/>
  <c r="CF254" i="65" s="1"/>
  <c r="CF255" i="65" s="1"/>
  <c r="CF256" i="65" s="1"/>
  <c r="CF257" i="65" s="1"/>
  <c r="CF258" i="65" s="1"/>
  <c r="CF259" i="65" s="1"/>
  <c r="CF260" i="65" s="1"/>
  <c r="CF261" i="65" s="1"/>
  <c r="CF262" i="65" s="1"/>
  <c r="CV156" i="65"/>
  <c r="CV157" i="65" s="1"/>
  <c r="CV158" i="65" s="1"/>
  <c r="CV159" i="65" s="1"/>
  <c r="CV160" i="65" s="1"/>
  <c r="CV161" i="65" s="1"/>
  <c r="CV162" i="65" s="1"/>
  <c r="CV163" i="65" s="1"/>
  <c r="CV164" i="65" s="1"/>
  <c r="CV165" i="65" s="1"/>
  <c r="CV166" i="65" s="1"/>
  <c r="CV167" i="65" s="1"/>
  <c r="CV168" i="65" s="1"/>
  <c r="CV169" i="65" s="1"/>
  <c r="CV170" i="65" s="1"/>
  <c r="CV171" i="65" s="1"/>
  <c r="CV172" i="65" s="1"/>
  <c r="CV173" i="65" s="1"/>
  <c r="CV174" i="65" s="1"/>
  <c r="CV175" i="65" s="1"/>
  <c r="CV176" i="65" s="1"/>
  <c r="CV177" i="65" s="1"/>
  <c r="CV178" i="65" s="1"/>
  <c r="CV179" i="65" s="1"/>
  <c r="CV180" i="65" s="1"/>
  <c r="CV181" i="65" s="1"/>
  <c r="CV182" i="65" s="1"/>
  <c r="CV183" i="65" s="1"/>
  <c r="CV184" i="65" s="1"/>
  <c r="CV185" i="65" s="1"/>
  <c r="CV186" i="65" s="1"/>
  <c r="CV187" i="65" s="1"/>
  <c r="CV188" i="65" s="1"/>
  <c r="CV189" i="65" s="1"/>
  <c r="CV190" i="65" s="1"/>
  <c r="CV191" i="65" s="1"/>
  <c r="CV192" i="65" s="1"/>
  <c r="CV193" i="65" s="1"/>
  <c r="CV194" i="65" s="1"/>
  <c r="CV195" i="65" s="1"/>
  <c r="CV196" i="65" s="1"/>
  <c r="CV197" i="65" s="1"/>
  <c r="CV198" i="65" s="1"/>
  <c r="CV199" i="65" s="1"/>
  <c r="CV200" i="65" s="1"/>
  <c r="CV201" i="65" s="1"/>
  <c r="CV202" i="65" s="1"/>
  <c r="CV203" i="65" s="1"/>
  <c r="CV204" i="65" s="1"/>
  <c r="CV205" i="65" s="1"/>
  <c r="CV206" i="65" s="1"/>
  <c r="CV207" i="65" s="1"/>
  <c r="CV208" i="65" s="1"/>
  <c r="CV209" i="65" s="1"/>
  <c r="CV210" i="65" s="1"/>
  <c r="CV211" i="65" s="1"/>
  <c r="CV212" i="65" s="1"/>
  <c r="CV213" i="65" s="1"/>
  <c r="CV214" i="65" s="1"/>
  <c r="CV215" i="65" s="1"/>
  <c r="CV216" i="65" s="1"/>
  <c r="CV217" i="65" s="1"/>
  <c r="CV218" i="65" s="1"/>
  <c r="CV219" i="65" s="1"/>
  <c r="CV220" i="65" s="1"/>
  <c r="CV221" i="65" s="1"/>
  <c r="CV222" i="65" s="1"/>
  <c r="CV223" i="65" s="1"/>
  <c r="CV224" i="65" s="1"/>
  <c r="CV225" i="65" s="1"/>
  <c r="CV226" i="65" s="1"/>
  <c r="CV227" i="65" s="1"/>
  <c r="CV228" i="65" s="1"/>
  <c r="CV229" i="65" s="1"/>
  <c r="CV230" i="65" s="1"/>
  <c r="CV231" i="65" s="1"/>
  <c r="CV232" i="65" s="1"/>
  <c r="CV233" i="65" s="1"/>
  <c r="CV234" i="65" s="1"/>
  <c r="CV235" i="65" s="1"/>
  <c r="CV236" i="65" s="1"/>
  <c r="CV237" i="65" s="1"/>
  <c r="CV238" i="65" s="1"/>
  <c r="CV239" i="65" s="1"/>
  <c r="CV240" i="65" s="1"/>
  <c r="CV241" i="65" s="1"/>
  <c r="CV242" i="65" s="1"/>
  <c r="CV243" i="65" s="1"/>
  <c r="CV244" i="65" s="1"/>
  <c r="CV245" i="65" s="1"/>
  <c r="CV246" i="65" s="1"/>
  <c r="CV247" i="65" s="1"/>
  <c r="CV248" i="65" s="1"/>
  <c r="CV249" i="65" s="1"/>
  <c r="CV250" i="65" s="1"/>
  <c r="CV251" i="65" s="1"/>
  <c r="CV252" i="65" s="1"/>
  <c r="CV253" i="65" s="1"/>
  <c r="CV254" i="65" s="1"/>
  <c r="CV255" i="65" s="1"/>
  <c r="CV256" i="65" s="1"/>
  <c r="CV257" i="65" s="1"/>
  <c r="CV258" i="65" s="1"/>
  <c r="CV259" i="65" s="1"/>
  <c r="CV260" i="65" s="1"/>
  <c r="CV261" i="65" s="1"/>
  <c r="CV262" i="65" s="1"/>
  <c r="DL156" i="65"/>
  <c r="DL157" i="65" s="1"/>
  <c r="DL158" i="65" s="1"/>
  <c r="DL159" i="65" s="1"/>
  <c r="DL160" i="65" s="1"/>
  <c r="DL161" i="65" s="1"/>
  <c r="DL162" i="65" s="1"/>
  <c r="DL163" i="65" s="1"/>
  <c r="DL164" i="65" s="1"/>
  <c r="DL165" i="65" s="1"/>
  <c r="DL166" i="65" s="1"/>
  <c r="DL167" i="65" s="1"/>
  <c r="DL168" i="65" s="1"/>
  <c r="DL169" i="65" s="1"/>
  <c r="DL170" i="65" s="1"/>
  <c r="DL171" i="65" s="1"/>
  <c r="DL172" i="65" s="1"/>
  <c r="DL173" i="65" s="1"/>
  <c r="DL174" i="65" s="1"/>
  <c r="DL175" i="65" s="1"/>
  <c r="DL176" i="65" s="1"/>
  <c r="DL177" i="65" s="1"/>
  <c r="DL178" i="65" s="1"/>
  <c r="DL179" i="65" s="1"/>
  <c r="DL180" i="65" s="1"/>
  <c r="DL181" i="65" s="1"/>
  <c r="DL182" i="65" s="1"/>
  <c r="DL183" i="65" s="1"/>
  <c r="DL184" i="65" s="1"/>
  <c r="DL185" i="65" s="1"/>
  <c r="DL186" i="65" s="1"/>
  <c r="DL187" i="65" s="1"/>
  <c r="DL188" i="65" s="1"/>
  <c r="DL189" i="65" s="1"/>
  <c r="DL190" i="65" s="1"/>
  <c r="DL191" i="65" s="1"/>
  <c r="DL192" i="65" s="1"/>
  <c r="DL193" i="65" s="1"/>
  <c r="DL194" i="65" s="1"/>
  <c r="DL195" i="65" s="1"/>
  <c r="DL196" i="65" s="1"/>
  <c r="DL197" i="65" s="1"/>
  <c r="DL198" i="65" s="1"/>
  <c r="DL199" i="65" s="1"/>
  <c r="DL200" i="65" s="1"/>
  <c r="DL201" i="65" s="1"/>
  <c r="DL202" i="65" s="1"/>
  <c r="DL203" i="65" s="1"/>
  <c r="DL204" i="65" s="1"/>
  <c r="DL205" i="65" s="1"/>
  <c r="DL206" i="65" s="1"/>
  <c r="DL207" i="65" s="1"/>
  <c r="DL208" i="65" s="1"/>
  <c r="DL209" i="65" s="1"/>
  <c r="DL210" i="65" s="1"/>
  <c r="DL211" i="65" s="1"/>
  <c r="DL212" i="65" s="1"/>
  <c r="DL213" i="65" s="1"/>
  <c r="DL214" i="65" s="1"/>
  <c r="DL215" i="65" s="1"/>
  <c r="DL216" i="65" s="1"/>
  <c r="DL217" i="65" s="1"/>
  <c r="DL218" i="65" s="1"/>
  <c r="DL219" i="65" s="1"/>
  <c r="DL220" i="65" s="1"/>
  <c r="DL221" i="65" s="1"/>
  <c r="DL222" i="65" s="1"/>
  <c r="DL223" i="65" s="1"/>
  <c r="DL224" i="65" s="1"/>
  <c r="DL225" i="65" s="1"/>
  <c r="DL226" i="65" s="1"/>
  <c r="DL227" i="65" s="1"/>
  <c r="DL228" i="65" s="1"/>
  <c r="DL229" i="65" s="1"/>
  <c r="DL230" i="65" s="1"/>
  <c r="DL231" i="65" s="1"/>
  <c r="DL232" i="65" s="1"/>
  <c r="DL233" i="65" s="1"/>
  <c r="DL234" i="65" s="1"/>
  <c r="DL235" i="65" s="1"/>
  <c r="DL236" i="65" s="1"/>
  <c r="DL237" i="65" s="1"/>
  <c r="DL238" i="65" s="1"/>
  <c r="DL239" i="65" s="1"/>
  <c r="DL240" i="65" s="1"/>
  <c r="DL241" i="65" s="1"/>
  <c r="DL242" i="65" s="1"/>
  <c r="DL243" i="65" s="1"/>
  <c r="DL244" i="65" s="1"/>
  <c r="DL245" i="65" s="1"/>
  <c r="DL246" i="65" s="1"/>
  <c r="DL247" i="65" s="1"/>
  <c r="DL248" i="65" s="1"/>
  <c r="DL249" i="65" s="1"/>
  <c r="DL250" i="65" s="1"/>
  <c r="DL251" i="65" s="1"/>
  <c r="DL252" i="65" s="1"/>
  <c r="DL253" i="65" s="1"/>
  <c r="DL254" i="65" s="1"/>
  <c r="DL255" i="65" s="1"/>
  <c r="DL256" i="65" s="1"/>
  <c r="DL257" i="65" s="1"/>
  <c r="DL258" i="65" s="1"/>
  <c r="DL259" i="65" s="1"/>
  <c r="DL260" i="65" s="1"/>
  <c r="DL261" i="65" s="1"/>
  <c r="DL262" i="65" s="1"/>
  <c r="E157" i="65"/>
  <c r="E158" i="65" s="1"/>
  <c r="E159" i="65" s="1"/>
  <c r="E160" i="65" s="1"/>
  <c r="E161" i="65" s="1"/>
  <c r="E162" i="65" s="1"/>
  <c r="E163" i="65" s="1"/>
  <c r="E164" i="65" s="1"/>
  <c r="E165" i="65" s="1"/>
  <c r="E166" i="65" s="1"/>
  <c r="E167" i="65" s="1"/>
  <c r="E168" i="65" s="1"/>
  <c r="E169" i="65" s="1"/>
  <c r="E170" i="65" s="1"/>
  <c r="E171" i="65" s="1"/>
  <c r="E172" i="65" s="1"/>
  <c r="E173" i="65" s="1"/>
  <c r="E174" i="65" s="1"/>
  <c r="E175" i="65" s="1"/>
  <c r="E176" i="65" s="1"/>
  <c r="E177" i="65" s="1"/>
  <c r="E178" i="65" s="1"/>
  <c r="E179" i="65" s="1"/>
  <c r="E180" i="65" s="1"/>
  <c r="E181" i="65" s="1"/>
  <c r="E182" i="65" s="1"/>
  <c r="E183" i="65" s="1"/>
  <c r="E184" i="65" s="1"/>
  <c r="E185" i="65" s="1"/>
  <c r="E186" i="65" s="1"/>
  <c r="E187" i="65" s="1"/>
  <c r="E188" i="65" s="1"/>
  <c r="E189" i="65" s="1"/>
  <c r="E190" i="65" s="1"/>
  <c r="E191" i="65" s="1"/>
  <c r="E192" i="65" s="1"/>
  <c r="E193" i="65" s="1"/>
  <c r="E194" i="65" s="1"/>
  <c r="E195" i="65" s="1"/>
  <c r="E196" i="65" s="1"/>
  <c r="E197" i="65" s="1"/>
  <c r="E198" i="65" s="1"/>
  <c r="E199" i="65" s="1"/>
  <c r="E200" i="65" s="1"/>
  <c r="E201" i="65" s="1"/>
  <c r="E202" i="65" s="1"/>
  <c r="E203" i="65" s="1"/>
  <c r="E204" i="65" s="1"/>
  <c r="E205" i="65" s="1"/>
  <c r="E206" i="65" s="1"/>
  <c r="E207" i="65" s="1"/>
  <c r="E208" i="65" s="1"/>
  <c r="E209" i="65" s="1"/>
  <c r="E210" i="65" s="1"/>
  <c r="E211" i="65" s="1"/>
  <c r="E212" i="65" s="1"/>
  <c r="E213" i="65" s="1"/>
  <c r="E214" i="65" s="1"/>
  <c r="E215" i="65" s="1"/>
  <c r="E216" i="65" s="1"/>
  <c r="E217" i="65" s="1"/>
  <c r="E218" i="65" s="1"/>
  <c r="E219" i="65" s="1"/>
  <c r="E220" i="65" s="1"/>
  <c r="E221" i="65" s="1"/>
  <c r="E222" i="65" s="1"/>
  <c r="E223" i="65" s="1"/>
  <c r="E224" i="65" s="1"/>
  <c r="E225" i="65" s="1"/>
  <c r="E226" i="65" s="1"/>
  <c r="E227" i="65" s="1"/>
  <c r="E228" i="65" s="1"/>
  <c r="E229" i="65" s="1"/>
  <c r="E230" i="65" s="1"/>
  <c r="E231" i="65" s="1"/>
  <c r="E232" i="65" s="1"/>
  <c r="E233" i="65" s="1"/>
  <c r="E234" i="65" s="1"/>
  <c r="E235" i="65" s="1"/>
  <c r="E236" i="65" s="1"/>
  <c r="E237" i="65" s="1"/>
  <c r="E238" i="65" s="1"/>
  <c r="E239" i="65" s="1"/>
  <c r="E240" i="65" s="1"/>
  <c r="E241" i="65" s="1"/>
  <c r="E242" i="65" s="1"/>
  <c r="E243" i="65" s="1"/>
  <c r="E244" i="65" s="1"/>
  <c r="E245" i="65" s="1"/>
  <c r="E246" i="65" s="1"/>
  <c r="E247" i="65" s="1"/>
  <c r="E248" i="65" s="1"/>
  <c r="E249" i="65" s="1"/>
  <c r="E250" i="65" s="1"/>
  <c r="E251" i="65" s="1"/>
  <c r="E252" i="65" s="1"/>
  <c r="E253" i="65" s="1"/>
  <c r="E254" i="65" s="1"/>
  <c r="E255" i="65" s="1"/>
  <c r="E256" i="65" s="1"/>
  <c r="E257" i="65" s="1"/>
  <c r="E258" i="65" s="1"/>
  <c r="E259" i="65" s="1"/>
  <c r="E260" i="65" s="1"/>
  <c r="E261" i="65" s="1"/>
  <c r="E262" i="65" s="1"/>
  <c r="AK157" i="65"/>
  <c r="AK158" i="65" s="1"/>
  <c r="AK159" i="65" s="1"/>
  <c r="AK160" i="65" s="1"/>
  <c r="AK161" i="65" s="1"/>
  <c r="AK162" i="65" s="1"/>
  <c r="AK163" i="65" s="1"/>
  <c r="AK164" i="65" s="1"/>
  <c r="AK165" i="65" s="1"/>
  <c r="AK166" i="65" s="1"/>
  <c r="AK167" i="65" s="1"/>
  <c r="AK168" i="65" s="1"/>
  <c r="AK169" i="65" s="1"/>
  <c r="AK170" i="65" s="1"/>
  <c r="AK171" i="65" s="1"/>
  <c r="AK172" i="65" s="1"/>
  <c r="AK173" i="65" s="1"/>
  <c r="AK174" i="65" s="1"/>
  <c r="AK175" i="65" s="1"/>
  <c r="AK176" i="65" s="1"/>
  <c r="AK177" i="65" s="1"/>
  <c r="AK178" i="65" s="1"/>
  <c r="AK179" i="65" s="1"/>
  <c r="AK180" i="65" s="1"/>
  <c r="AK181" i="65" s="1"/>
  <c r="AK182" i="65" s="1"/>
  <c r="AK183" i="65" s="1"/>
  <c r="AK184" i="65" s="1"/>
  <c r="AK185" i="65" s="1"/>
  <c r="AK186" i="65" s="1"/>
  <c r="AK187" i="65" s="1"/>
  <c r="AK188" i="65" s="1"/>
  <c r="AK189" i="65" s="1"/>
  <c r="AK190" i="65" s="1"/>
  <c r="AK191" i="65" s="1"/>
  <c r="AK192" i="65" s="1"/>
  <c r="AK193" i="65" s="1"/>
  <c r="AK194" i="65" s="1"/>
  <c r="AK195" i="65" s="1"/>
  <c r="AK196" i="65" s="1"/>
  <c r="AK197" i="65" s="1"/>
  <c r="AK198" i="65" s="1"/>
  <c r="AK199" i="65" s="1"/>
  <c r="AK200" i="65" s="1"/>
  <c r="AK201" i="65" s="1"/>
  <c r="AK202" i="65" s="1"/>
  <c r="AK203" i="65" s="1"/>
  <c r="AK204" i="65" s="1"/>
  <c r="AK205" i="65" s="1"/>
  <c r="AK206" i="65" s="1"/>
  <c r="AK207" i="65" s="1"/>
  <c r="AK208" i="65" s="1"/>
  <c r="AK209" i="65" s="1"/>
  <c r="AK210" i="65" s="1"/>
  <c r="AK211" i="65" s="1"/>
  <c r="AK212" i="65" s="1"/>
  <c r="AK213" i="65" s="1"/>
  <c r="AK214" i="65" s="1"/>
  <c r="AK215" i="65" s="1"/>
  <c r="AK216" i="65" s="1"/>
  <c r="AK217" i="65" s="1"/>
  <c r="AK218" i="65" s="1"/>
  <c r="AK219" i="65" s="1"/>
  <c r="AK220" i="65" s="1"/>
  <c r="AK221" i="65" s="1"/>
  <c r="AK222" i="65" s="1"/>
  <c r="AK223" i="65" s="1"/>
  <c r="AK224" i="65" s="1"/>
  <c r="AK225" i="65" s="1"/>
  <c r="AK226" i="65" s="1"/>
  <c r="AK227" i="65" s="1"/>
  <c r="AK228" i="65" s="1"/>
  <c r="AK229" i="65" s="1"/>
  <c r="AK230" i="65" s="1"/>
  <c r="AK231" i="65" s="1"/>
  <c r="AK232" i="65" s="1"/>
  <c r="AK233" i="65" s="1"/>
  <c r="AK234" i="65" s="1"/>
  <c r="AK235" i="65" s="1"/>
  <c r="AK236" i="65" s="1"/>
  <c r="AK237" i="65" s="1"/>
  <c r="AK238" i="65" s="1"/>
  <c r="AK239" i="65" s="1"/>
  <c r="AK240" i="65" s="1"/>
  <c r="AK241" i="65" s="1"/>
  <c r="AK242" i="65" s="1"/>
  <c r="AK243" i="65" s="1"/>
  <c r="AK244" i="65" s="1"/>
  <c r="AK245" i="65" s="1"/>
  <c r="AK246" i="65" s="1"/>
  <c r="AK247" i="65" s="1"/>
  <c r="AK248" i="65" s="1"/>
  <c r="AK249" i="65" s="1"/>
  <c r="AK250" i="65" s="1"/>
  <c r="AK251" i="65" s="1"/>
  <c r="AK252" i="65" s="1"/>
  <c r="AK253" i="65" s="1"/>
  <c r="AK254" i="65" s="1"/>
  <c r="AK255" i="65" s="1"/>
  <c r="AK256" i="65" s="1"/>
  <c r="AK257" i="65" s="1"/>
  <c r="AK258" i="65" s="1"/>
  <c r="AK259" i="65" s="1"/>
  <c r="AK260" i="65" s="1"/>
  <c r="AK261" i="65" s="1"/>
  <c r="AK262" i="65" s="1"/>
  <c r="BA157" i="65"/>
  <c r="BA158" i="65" s="1"/>
  <c r="BA159" i="65" s="1"/>
  <c r="BA160" i="65" s="1"/>
  <c r="BA161" i="65" s="1"/>
  <c r="BA162" i="65" s="1"/>
  <c r="BA163" i="65" s="1"/>
  <c r="BA164" i="65" s="1"/>
  <c r="BA165" i="65" s="1"/>
  <c r="BA166" i="65" s="1"/>
  <c r="BA167" i="65" s="1"/>
  <c r="BA168" i="65" s="1"/>
  <c r="BA169" i="65" s="1"/>
  <c r="BA170" i="65" s="1"/>
  <c r="BA171" i="65" s="1"/>
  <c r="BA172" i="65" s="1"/>
  <c r="BA173" i="65" s="1"/>
  <c r="BA174" i="65" s="1"/>
  <c r="BA175" i="65" s="1"/>
  <c r="BA176" i="65" s="1"/>
  <c r="BA177" i="65" s="1"/>
  <c r="BA178" i="65" s="1"/>
  <c r="BA179" i="65" s="1"/>
  <c r="BA180" i="65" s="1"/>
  <c r="BA181" i="65" s="1"/>
  <c r="BA182" i="65" s="1"/>
  <c r="BA183" i="65" s="1"/>
  <c r="BA184" i="65" s="1"/>
  <c r="BA185" i="65" s="1"/>
  <c r="BA186" i="65" s="1"/>
  <c r="BA187" i="65" s="1"/>
  <c r="BA188" i="65" s="1"/>
  <c r="BA189" i="65" s="1"/>
  <c r="BA190" i="65" s="1"/>
  <c r="BA191" i="65" s="1"/>
  <c r="BA192" i="65" s="1"/>
  <c r="BA193" i="65" s="1"/>
  <c r="BA194" i="65" s="1"/>
  <c r="BA195" i="65" s="1"/>
  <c r="BA196" i="65" s="1"/>
  <c r="BA197" i="65" s="1"/>
  <c r="BA198" i="65" s="1"/>
  <c r="BA199" i="65" s="1"/>
  <c r="BA200" i="65" s="1"/>
  <c r="BA201" i="65" s="1"/>
  <c r="BA202" i="65" s="1"/>
  <c r="BA203" i="65" s="1"/>
  <c r="BA204" i="65" s="1"/>
  <c r="BA205" i="65" s="1"/>
  <c r="BA206" i="65" s="1"/>
  <c r="BA207" i="65" s="1"/>
  <c r="BA208" i="65" s="1"/>
  <c r="BA209" i="65" s="1"/>
  <c r="BA210" i="65" s="1"/>
  <c r="BA211" i="65" s="1"/>
  <c r="BA212" i="65" s="1"/>
  <c r="BA213" i="65" s="1"/>
  <c r="BA214" i="65" s="1"/>
  <c r="BA215" i="65" s="1"/>
  <c r="BA216" i="65" s="1"/>
  <c r="BA217" i="65" s="1"/>
  <c r="BA218" i="65" s="1"/>
  <c r="BA219" i="65" s="1"/>
  <c r="BA220" i="65" s="1"/>
  <c r="BA221" i="65" s="1"/>
  <c r="BA222" i="65" s="1"/>
  <c r="BA223" i="65" s="1"/>
  <c r="BA224" i="65" s="1"/>
  <c r="BA225" i="65" s="1"/>
  <c r="BA226" i="65" s="1"/>
  <c r="BA227" i="65" s="1"/>
  <c r="BA228" i="65" s="1"/>
  <c r="BA229" i="65" s="1"/>
  <c r="BA230" i="65" s="1"/>
  <c r="BA231" i="65" s="1"/>
  <c r="BA232" i="65" s="1"/>
  <c r="BA233" i="65" s="1"/>
  <c r="BA234" i="65" s="1"/>
  <c r="BA235" i="65" s="1"/>
  <c r="BA236" i="65" s="1"/>
  <c r="BA237" i="65" s="1"/>
  <c r="BA238" i="65" s="1"/>
  <c r="BA239" i="65" s="1"/>
  <c r="BA240" i="65" s="1"/>
  <c r="BA241" i="65" s="1"/>
  <c r="BA242" i="65" s="1"/>
  <c r="BA243" i="65" s="1"/>
  <c r="BA244" i="65" s="1"/>
  <c r="BA245" i="65" s="1"/>
  <c r="BA246" i="65" s="1"/>
  <c r="BA247" i="65" s="1"/>
  <c r="BA248" i="65" s="1"/>
  <c r="BA249" i="65" s="1"/>
  <c r="BA250" i="65" s="1"/>
  <c r="BA251" i="65" s="1"/>
  <c r="BA252" i="65" s="1"/>
  <c r="BA253" i="65" s="1"/>
  <c r="BA254" i="65" s="1"/>
  <c r="BA255" i="65" s="1"/>
  <c r="BA256" i="65" s="1"/>
  <c r="BA257" i="65" s="1"/>
  <c r="BA258" i="65" s="1"/>
  <c r="BA259" i="65" s="1"/>
  <c r="BA260" i="65" s="1"/>
  <c r="BA261" i="65" s="1"/>
  <c r="BA262" i="65" s="1"/>
  <c r="BQ157" i="65"/>
  <c r="BQ158" i="65" s="1"/>
  <c r="BQ159" i="65" s="1"/>
  <c r="BQ160" i="65" s="1"/>
  <c r="BQ161" i="65" s="1"/>
  <c r="BQ162" i="65" s="1"/>
  <c r="BQ163" i="65" s="1"/>
  <c r="BQ164" i="65" s="1"/>
  <c r="BQ165" i="65" s="1"/>
  <c r="BQ166" i="65" s="1"/>
  <c r="BQ167" i="65" s="1"/>
  <c r="BQ168" i="65" s="1"/>
  <c r="BQ169" i="65" s="1"/>
  <c r="BQ170" i="65" s="1"/>
  <c r="BQ171" i="65" s="1"/>
  <c r="BQ172" i="65" s="1"/>
  <c r="BQ173" i="65" s="1"/>
  <c r="BQ174" i="65" s="1"/>
  <c r="BQ175" i="65" s="1"/>
  <c r="BQ176" i="65" s="1"/>
  <c r="BQ177" i="65" s="1"/>
  <c r="BQ178" i="65" s="1"/>
  <c r="BQ179" i="65" s="1"/>
  <c r="BQ180" i="65" s="1"/>
  <c r="BQ181" i="65" s="1"/>
  <c r="BQ182" i="65" s="1"/>
  <c r="BQ183" i="65" s="1"/>
  <c r="BQ184" i="65" s="1"/>
  <c r="BQ185" i="65" s="1"/>
  <c r="BQ186" i="65" s="1"/>
  <c r="BQ187" i="65" s="1"/>
  <c r="BQ188" i="65" s="1"/>
  <c r="BQ189" i="65" s="1"/>
  <c r="BQ190" i="65" s="1"/>
  <c r="BQ191" i="65" s="1"/>
  <c r="BQ192" i="65" s="1"/>
  <c r="BQ193" i="65" s="1"/>
  <c r="BQ194" i="65" s="1"/>
  <c r="BQ195" i="65" s="1"/>
  <c r="BQ196" i="65" s="1"/>
  <c r="BQ197" i="65" s="1"/>
  <c r="BQ198" i="65" s="1"/>
  <c r="BQ199" i="65" s="1"/>
  <c r="BQ200" i="65" s="1"/>
  <c r="BQ201" i="65" s="1"/>
  <c r="BQ202" i="65" s="1"/>
  <c r="BQ203" i="65" s="1"/>
  <c r="BQ204" i="65" s="1"/>
  <c r="BQ205" i="65" s="1"/>
  <c r="BQ206" i="65" s="1"/>
  <c r="BQ207" i="65" s="1"/>
  <c r="BQ208" i="65" s="1"/>
  <c r="BQ209" i="65" s="1"/>
  <c r="BQ210" i="65" s="1"/>
  <c r="BQ211" i="65" s="1"/>
  <c r="BQ212" i="65" s="1"/>
  <c r="BQ213" i="65" s="1"/>
  <c r="BQ214" i="65" s="1"/>
  <c r="BQ215" i="65" s="1"/>
  <c r="BQ216" i="65" s="1"/>
  <c r="BQ217" i="65" s="1"/>
  <c r="BQ218" i="65" s="1"/>
  <c r="BQ219" i="65" s="1"/>
  <c r="BQ220" i="65" s="1"/>
  <c r="BQ221" i="65" s="1"/>
  <c r="BQ222" i="65" s="1"/>
  <c r="BQ223" i="65" s="1"/>
  <c r="BQ224" i="65" s="1"/>
  <c r="BQ225" i="65" s="1"/>
  <c r="BQ226" i="65" s="1"/>
  <c r="BQ227" i="65" s="1"/>
  <c r="BQ228" i="65" s="1"/>
  <c r="BQ229" i="65" s="1"/>
  <c r="BQ230" i="65" s="1"/>
  <c r="BQ231" i="65" s="1"/>
  <c r="BQ232" i="65" s="1"/>
  <c r="BQ233" i="65" s="1"/>
  <c r="BQ234" i="65" s="1"/>
  <c r="BQ235" i="65" s="1"/>
  <c r="BQ236" i="65" s="1"/>
  <c r="BQ237" i="65" s="1"/>
  <c r="BQ238" i="65" s="1"/>
  <c r="BQ239" i="65" s="1"/>
  <c r="BQ240" i="65" s="1"/>
  <c r="BQ241" i="65" s="1"/>
  <c r="BQ242" i="65" s="1"/>
  <c r="BQ243" i="65" s="1"/>
  <c r="BQ244" i="65" s="1"/>
  <c r="BQ245" i="65" s="1"/>
  <c r="BQ246" i="65" s="1"/>
  <c r="BQ247" i="65" s="1"/>
  <c r="BQ248" i="65" s="1"/>
  <c r="BQ249" i="65" s="1"/>
  <c r="BQ250" i="65" s="1"/>
  <c r="BQ251" i="65" s="1"/>
  <c r="BQ252" i="65" s="1"/>
  <c r="BQ253" i="65" s="1"/>
  <c r="BQ254" i="65" s="1"/>
  <c r="BQ255" i="65" s="1"/>
  <c r="BQ256" i="65" s="1"/>
  <c r="BQ257" i="65" s="1"/>
  <c r="BQ258" i="65" s="1"/>
  <c r="BQ259" i="65" s="1"/>
  <c r="BQ260" i="65" s="1"/>
  <c r="BQ261" i="65" s="1"/>
  <c r="BQ262" i="65" s="1"/>
  <c r="CW157" i="65"/>
  <c r="CW158" i="65" s="1"/>
  <c r="CW159" i="65" s="1"/>
  <c r="CW160" i="65" s="1"/>
  <c r="CW161" i="65" s="1"/>
  <c r="CW162" i="65" s="1"/>
  <c r="CW163" i="65" s="1"/>
  <c r="CW164" i="65" s="1"/>
  <c r="CW165" i="65" s="1"/>
  <c r="CW166" i="65" s="1"/>
  <c r="CW167" i="65" s="1"/>
  <c r="CW168" i="65" s="1"/>
  <c r="CW169" i="65" s="1"/>
  <c r="CW170" i="65" s="1"/>
  <c r="CW171" i="65" s="1"/>
  <c r="CW172" i="65" s="1"/>
  <c r="CW173" i="65" s="1"/>
  <c r="CW174" i="65" s="1"/>
  <c r="CW175" i="65" s="1"/>
  <c r="CW176" i="65" s="1"/>
  <c r="CW177" i="65" s="1"/>
  <c r="CW178" i="65" s="1"/>
  <c r="CW179" i="65" s="1"/>
  <c r="CW180" i="65" s="1"/>
  <c r="CW181" i="65" s="1"/>
  <c r="CW182" i="65" s="1"/>
  <c r="CW183" i="65" s="1"/>
  <c r="CW184" i="65" s="1"/>
  <c r="CW185" i="65" s="1"/>
  <c r="CW186" i="65" s="1"/>
  <c r="CW187" i="65" s="1"/>
  <c r="CW188" i="65" s="1"/>
  <c r="CW189" i="65" s="1"/>
  <c r="CW190" i="65" s="1"/>
  <c r="CW191" i="65" s="1"/>
  <c r="CW192" i="65" s="1"/>
  <c r="CW193" i="65" s="1"/>
  <c r="CW194" i="65" s="1"/>
  <c r="CW195" i="65" s="1"/>
  <c r="CW196" i="65" s="1"/>
  <c r="CW197" i="65" s="1"/>
  <c r="CW198" i="65" s="1"/>
  <c r="CW199" i="65" s="1"/>
  <c r="CW200" i="65" s="1"/>
  <c r="CW201" i="65" s="1"/>
  <c r="CW202" i="65" s="1"/>
  <c r="CW203" i="65" s="1"/>
  <c r="CW204" i="65" s="1"/>
  <c r="CW205" i="65" s="1"/>
  <c r="CW206" i="65" s="1"/>
  <c r="CW207" i="65" s="1"/>
  <c r="CW208" i="65" s="1"/>
  <c r="CW209" i="65" s="1"/>
  <c r="CW210" i="65" s="1"/>
  <c r="CW211" i="65" s="1"/>
  <c r="CW212" i="65" s="1"/>
  <c r="CW213" i="65" s="1"/>
  <c r="CW214" i="65" s="1"/>
  <c r="CW215" i="65" s="1"/>
  <c r="CW216" i="65" s="1"/>
  <c r="CW217" i="65" s="1"/>
  <c r="CW218" i="65" s="1"/>
  <c r="CW219" i="65" s="1"/>
  <c r="CW220" i="65" s="1"/>
  <c r="CW221" i="65" s="1"/>
  <c r="CW222" i="65" s="1"/>
  <c r="CW223" i="65" s="1"/>
  <c r="CW224" i="65" s="1"/>
  <c r="CW225" i="65" s="1"/>
  <c r="CW226" i="65" s="1"/>
  <c r="CW227" i="65" s="1"/>
  <c r="CW228" i="65" s="1"/>
  <c r="CW229" i="65" s="1"/>
  <c r="CW230" i="65" s="1"/>
  <c r="CW231" i="65" s="1"/>
  <c r="CW232" i="65" s="1"/>
  <c r="CW233" i="65" s="1"/>
  <c r="CW234" i="65" s="1"/>
  <c r="CW235" i="65" s="1"/>
  <c r="CW236" i="65" s="1"/>
  <c r="CW237" i="65" s="1"/>
  <c r="CW238" i="65" s="1"/>
  <c r="CW239" i="65" s="1"/>
  <c r="CW240" i="65" s="1"/>
  <c r="CW241" i="65" s="1"/>
  <c r="CW242" i="65" s="1"/>
  <c r="CW243" i="65" s="1"/>
  <c r="CW244" i="65" s="1"/>
  <c r="CW245" i="65" s="1"/>
  <c r="CW246" i="65" s="1"/>
  <c r="CW247" i="65" s="1"/>
  <c r="CW248" i="65" s="1"/>
  <c r="CW249" i="65" s="1"/>
  <c r="CW250" i="65" s="1"/>
  <c r="CW251" i="65" s="1"/>
  <c r="CW252" i="65" s="1"/>
  <c r="CW253" i="65" s="1"/>
  <c r="CW254" i="65" s="1"/>
  <c r="CW255" i="65" s="1"/>
  <c r="CW256" i="65" s="1"/>
  <c r="CW257" i="65" s="1"/>
  <c r="CW258" i="65" s="1"/>
  <c r="CW259" i="65" s="1"/>
  <c r="CW260" i="65" s="1"/>
  <c r="CW261" i="65" s="1"/>
  <c r="CW262" i="65" s="1"/>
  <c r="DM157" i="65"/>
  <c r="DM158" i="65" s="1"/>
  <c r="DM159" i="65" s="1"/>
  <c r="DM160" i="65" s="1"/>
  <c r="DM161" i="65" s="1"/>
  <c r="DM162" i="65" s="1"/>
  <c r="DM163" i="65" s="1"/>
  <c r="DM164" i="65" s="1"/>
  <c r="DM165" i="65" s="1"/>
  <c r="DM166" i="65" s="1"/>
  <c r="DM167" i="65" s="1"/>
  <c r="DM168" i="65" s="1"/>
  <c r="DM169" i="65" s="1"/>
  <c r="DM170" i="65" s="1"/>
  <c r="DM171" i="65" s="1"/>
  <c r="DM172" i="65" s="1"/>
  <c r="DM173" i="65" s="1"/>
  <c r="DM174" i="65" s="1"/>
  <c r="DM175" i="65" s="1"/>
  <c r="DM176" i="65" s="1"/>
  <c r="DM177" i="65" s="1"/>
  <c r="DM178" i="65" s="1"/>
  <c r="DM179" i="65" s="1"/>
  <c r="DM180" i="65" s="1"/>
  <c r="DM181" i="65" s="1"/>
  <c r="DM182" i="65" s="1"/>
  <c r="DM183" i="65" s="1"/>
  <c r="DM184" i="65" s="1"/>
  <c r="DM185" i="65" s="1"/>
  <c r="DM186" i="65" s="1"/>
  <c r="DM187" i="65" s="1"/>
  <c r="DM188" i="65" s="1"/>
  <c r="DM189" i="65" s="1"/>
  <c r="DM190" i="65" s="1"/>
  <c r="DM191" i="65" s="1"/>
  <c r="DM192" i="65" s="1"/>
  <c r="DM193" i="65" s="1"/>
  <c r="DM194" i="65" s="1"/>
  <c r="DM195" i="65" s="1"/>
  <c r="DM196" i="65" s="1"/>
  <c r="DM197" i="65" s="1"/>
  <c r="DM198" i="65" s="1"/>
  <c r="DM199" i="65" s="1"/>
  <c r="DM200" i="65" s="1"/>
  <c r="DM201" i="65" s="1"/>
  <c r="DM202" i="65" s="1"/>
  <c r="DM203" i="65" s="1"/>
  <c r="DM204" i="65" s="1"/>
  <c r="DM205" i="65" s="1"/>
  <c r="DM206" i="65" s="1"/>
  <c r="DM207" i="65" s="1"/>
  <c r="DM208" i="65" s="1"/>
  <c r="DM209" i="65" s="1"/>
  <c r="DM210" i="65" s="1"/>
  <c r="DM211" i="65" s="1"/>
  <c r="DM212" i="65" s="1"/>
  <c r="DM213" i="65" s="1"/>
  <c r="DM214" i="65" s="1"/>
  <c r="DM215" i="65" s="1"/>
  <c r="DM216" i="65" s="1"/>
  <c r="DM217" i="65" s="1"/>
  <c r="DM218" i="65" s="1"/>
  <c r="DM219" i="65" s="1"/>
  <c r="DM220" i="65" s="1"/>
  <c r="DM221" i="65" s="1"/>
  <c r="DM222" i="65" s="1"/>
  <c r="DM223" i="65" s="1"/>
  <c r="DM224" i="65" s="1"/>
  <c r="DM225" i="65" s="1"/>
  <c r="DM226" i="65" s="1"/>
  <c r="DM227" i="65" s="1"/>
  <c r="DM228" i="65" s="1"/>
  <c r="DM229" i="65" s="1"/>
  <c r="DM230" i="65" s="1"/>
  <c r="DM231" i="65" s="1"/>
  <c r="DM232" i="65" s="1"/>
  <c r="DM233" i="65" s="1"/>
  <c r="DM234" i="65" s="1"/>
  <c r="DM235" i="65" s="1"/>
  <c r="DM236" i="65" s="1"/>
  <c r="DM237" i="65" s="1"/>
  <c r="DM238" i="65" s="1"/>
  <c r="DM239" i="65" s="1"/>
  <c r="DM240" i="65" s="1"/>
  <c r="DM241" i="65" s="1"/>
  <c r="DM242" i="65" s="1"/>
  <c r="DM243" i="65" s="1"/>
  <c r="DM244" i="65" s="1"/>
  <c r="DM245" i="65" s="1"/>
  <c r="DM246" i="65" s="1"/>
  <c r="DM247" i="65" s="1"/>
  <c r="DM248" i="65" s="1"/>
  <c r="DM249" i="65" s="1"/>
  <c r="DM250" i="65" s="1"/>
  <c r="DM251" i="65" s="1"/>
  <c r="DM252" i="65" s="1"/>
  <c r="DM253" i="65" s="1"/>
  <c r="DM254" i="65" s="1"/>
  <c r="DM255" i="65" s="1"/>
  <c r="DM256" i="65" s="1"/>
  <c r="DM257" i="65" s="1"/>
  <c r="DM258" i="65" s="1"/>
  <c r="DM259" i="65" s="1"/>
  <c r="DM260" i="65" s="1"/>
  <c r="DM261" i="65" s="1"/>
  <c r="DM262" i="65" s="1"/>
  <c r="EF48" i="65"/>
  <c r="EG49" i="65"/>
  <c r="EH50" i="65"/>
  <c r="EI51" i="65"/>
  <c r="AA52" i="65"/>
  <c r="EK52" i="65"/>
  <c r="EP53" i="65"/>
  <c r="DY54" i="65"/>
  <c r="ED54" i="65"/>
  <c r="DZ56" i="65"/>
  <c r="AA58" i="65"/>
  <c r="ED59" i="65"/>
  <c r="EI59" i="65"/>
  <c r="EC59" i="65"/>
  <c r="DY62" i="65"/>
  <c r="AA62" i="65"/>
  <c r="AA63" i="65"/>
  <c r="AA64" i="65"/>
  <c r="AA136" i="65"/>
  <c r="AA134" i="65"/>
  <c r="AA135" i="65"/>
  <c r="AA72" i="65"/>
  <c r="AA73" i="65"/>
  <c r="AA71" i="65"/>
  <c r="EA155" i="65"/>
  <c r="EC44" i="65"/>
  <c r="ED45" i="65"/>
  <c r="EE46" i="65"/>
  <c r="EF47" i="65"/>
  <c r="EG48" i="65"/>
  <c r="DA160" i="65"/>
  <c r="DA161" i="65" s="1"/>
  <c r="DA162" i="65" s="1"/>
  <c r="DA163" i="65" s="1"/>
  <c r="DA164" i="65" s="1"/>
  <c r="DA165" i="65" s="1"/>
  <c r="DA166" i="65" s="1"/>
  <c r="DA167" i="65" s="1"/>
  <c r="DA168" i="65" s="1"/>
  <c r="DA169" i="65" s="1"/>
  <c r="DA170" i="65" s="1"/>
  <c r="DA171" i="65" s="1"/>
  <c r="DA172" i="65" s="1"/>
  <c r="DA173" i="65" s="1"/>
  <c r="DA174" i="65" s="1"/>
  <c r="DA175" i="65" s="1"/>
  <c r="DA176" i="65" s="1"/>
  <c r="DA177" i="65" s="1"/>
  <c r="DA178" i="65" s="1"/>
  <c r="DA179" i="65" s="1"/>
  <c r="DA180" i="65" s="1"/>
  <c r="DA181" i="65" s="1"/>
  <c r="DA182" i="65" s="1"/>
  <c r="DA183" i="65" s="1"/>
  <c r="DA184" i="65" s="1"/>
  <c r="DA185" i="65" s="1"/>
  <c r="DA186" i="65" s="1"/>
  <c r="DA187" i="65" s="1"/>
  <c r="DA188" i="65" s="1"/>
  <c r="DA189" i="65" s="1"/>
  <c r="DA190" i="65" s="1"/>
  <c r="DA191" i="65" s="1"/>
  <c r="DA192" i="65" s="1"/>
  <c r="DA193" i="65" s="1"/>
  <c r="DA194" i="65" s="1"/>
  <c r="DA195" i="65" s="1"/>
  <c r="DA196" i="65" s="1"/>
  <c r="DA197" i="65" s="1"/>
  <c r="DA198" i="65" s="1"/>
  <c r="DA199" i="65" s="1"/>
  <c r="DA200" i="65" s="1"/>
  <c r="DA201" i="65" s="1"/>
  <c r="DA202" i="65" s="1"/>
  <c r="DA203" i="65" s="1"/>
  <c r="DA204" i="65" s="1"/>
  <c r="DA205" i="65" s="1"/>
  <c r="DA206" i="65" s="1"/>
  <c r="DA207" i="65" s="1"/>
  <c r="DA208" i="65" s="1"/>
  <c r="DA209" i="65" s="1"/>
  <c r="DA210" i="65" s="1"/>
  <c r="DA211" i="65" s="1"/>
  <c r="DA212" i="65" s="1"/>
  <c r="DA213" i="65" s="1"/>
  <c r="DA214" i="65" s="1"/>
  <c r="DA215" i="65" s="1"/>
  <c r="DA216" i="65" s="1"/>
  <c r="DA217" i="65" s="1"/>
  <c r="DA218" i="65" s="1"/>
  <c r="DA219" i="65" s="1"/>
  <c r="DA220" i="65" s="1"/>
  <c r="DA221" i="65" s="1"/>
  <c r="DA222" i="65" s="1"/>
  <c r="DA223" i="65" s="1"/>
  <c r="DA224" i="65" s="1"/>
  <c r="DA225" i="65" s="1"/>
  <c r="DA226" i="65" s="1"/>
  <c r="DA227" i="65" s="1"/>
  <c r="DA228" i="65" s="1"/>
  <c r="DA229" i="65" s="1"/>
  <c r="DA230" i="65" s="1"/>
  <c r="DA231" i="65" s="1"/>
  <c r="DA232" i="65" s="1"/>
  <c r="DA233" i="65" s="1"/>
  <c r="DA234" i="65" s="1"/>
  <c r="DA235" i="65" s="1"/>
  <c r="DA236" i="65" s="1"/>
  <c r="DA237" i="65" s="1"/>
  <c r="DA238" i="65" s="1"/>
  <c r="DA239" i="65" s="1"/>
  <c r="DA240" i="65" s="1"/>
  <c r="DA241" i="65" s="1"/>
  <c r="DA242" i="65" s="1"/>
  <c r="DA243" i="65" s="1"/>
  <c r="DA244" i="65" s="1"/>
  <c r="DA245" i="65" s="1"/>
  <c r="DA246" i="65" s="1"/>
  <c r="DA247" i="65" s="1"/>
  <c r="DA248" i="65" s="1"/>
  <c r="DA249" i="65" s="1"/>
  <c r="DA250" i="65" s="1"/>
  <c r="DA251" i="65" s="1"/>
  <c r="DA252" i="65" s="1"/>
  <c r="DA253" i="65" s="1"/>
  <c r="DA254" i="65" s="1"/>
  <c r="DA255" i="65" s="1"/>
  <c r="DA256" i="65" s="1"/>
  <c r="DA257" i="65" s="1"/>
  <c r="DA258" i="65" s="1"/>
  <c r="DA259" i="65" s="1"/>
  <c r="DA260" i="65" s="1"/>
  <c r="DA261" i="65" s="1"/>
  <c r="DA262" i="65" s="1"/>
  <c r="EH49" i="65"/>
  <c r="EI50" i="65"/>
  <c r="AA51" i="65"/>
  <c r="EJ51" i="65"/>
  <c r="CA164" i="65"/>
  <c r="CA165" i="65" s="1"/>
  <c r="CA166" i="65" s="1"/>
  <c r="CA167" i="65" s="1"/>
  <c r="CA168" i="65" s="1"/>
  <c r="CA169" i="65" s="1"/>
  <c r="CA170" i="65" s="1"/>
  <c r="CA171" i="65" s="1"/>
  <c r="CA172" i="65" s="1"/>
  <c r="CA173" i="65" s="1"/>
  <c r="CA174" i="65" s="1"/>
  <c r="CA175" i="65" s="1"/>
  <c r="CA176" i="65" s="1"/>
  <c r="CA177" i="65" s="1"/>
  <c r="CA178" i="65" s="1"/>
  <c r="CA179" i="65" s="1"/>
  <c r="CA180" i="65" s="1"/>
  <c r="CA181" i="65" s="1"/>
  <c r="CA182" i="65" s="1"/>
  <c r="CA183" i="65" s="1"/>
  <c r="CA184" i="65" s="1"/>
  <c r="CA185" i="65" s="1"/>
  <c r="CA186" i="65" s="1"/>
  <c r="CA187" i="65" s="1"/>
  <c r="CA188" i="65" s="1"/>
  <c r="CA189" i="65" s="1"/>
  <c r="CA190" i="65" s="1"/>
  <c r="CA191" i="65" s="1"/>
  <c r="CA192" i="65" s="1"/>
  <c r="CA193" i="65" s="1"/>
  <c r="CA194" i="65" s="1"/>
  <c r="CA195" i="65" s="1"/>
  <c r="CA196" i="65" s="1"/>
  <c r="CA197" i="65" s="1"/>
  <c r="CA198" i="65" s="1"/>
  <c r="CA199" i="65" s="1"/>
  <c r="CA200" i="65" s="1"/>
  <c r="CA201" i="65" s="1"/>
  <c r="CA202" i="65" s="1"/>
  <c r="CA203" i="65" s="1"/>
  <c r="CA204" i="65" s="1"/>
  <c r="CA205" i="65" s="1"/>
  <c r="CA206" i="65" s="1"/>
  <c r="CA207" i="65" s="1"/>
  <c r="CA208" i="65" s="1"/>
  <c r="CA209" i="65" s="1"/>
  <c r="CA210" i="65" s="1"/>
  <c r="CA211" i="65" s="1"/>
  <c r="CA212" i="65" s="1"/>
  <c r="CA213" i="65" s="1"/>
  <c r="CA214" i="65" s="1"/>
  <c r="CA215" i="65" s="1"/>
  <c r="CA216" i="65" s="1"/>
  <c r="CA217" i="65" s="1"/>
  <c r="CA218" i="65" s="1"/>
  <c r="CA219" i="65" s="1"/>
  <c r="CA220" i="65" s="1"/>
  <c r="CA221" i="65" s="1"/>
  <c r="CA222" i="65" s="1"/>
  <c r="CA223" i="65" s="1"/>
  <c r="CA224" i="65" s="1"/>
  <c r="CA225" i="65" s="1"/>
  <c r="CA226" i="65" s="1"/>
  <c r="CA227" i="65" s="1"/>
  <c r="CA228" i="65" s="1"/>
  <c r="CA229" i="65" s="1"/>
  <c r="CA230" i="65" s="1"/>
  <c r="CA231" i="65" s="1"/>
  <c r="CA232" i="65" s="1"/>
  <c r="CA233" i="65" s="1"/>
  <c r="CA234" i="65" s="1"/>
  <c r="CA235" i="65" s="1"/>
  <c r="CA236" i="65" s="1"/>
  <c r="CA237" i="65" s="1"/>
  <c r="CA238" i="65" s="1"/>
  <c r="CA239" i="65" s="1"/>
  <c r="CA240" i="65" s="1"/>
  <c r="CA241" i="65" s="1"/>
  <c r="CA242" i="65" s="1"/>
  <c r="CA243" i="65" s="1"/>
  <c r="CA244" i="65" s="1"/>
  <c r="CA245" i="65" s="1"/>
  <c r="CA246" i="65" s="1"/>
  <c r="CA247" i="65" s="1"/>
  <c r="CA248" i="65" s="1"/>
  <c r="CA249" i="65" s="1"/>
  <c r="CA250" i="65" s="1"/>
  <c r="CA251" i="65" s="1"/>
  <c r="CA252" i="65" s="1"/>
  <c r="CA253" i="65" s="1"/>
  <c r="CA254" i="65" s="1"/>
  <c r="CA255" i="65" s="1"/>
  <c r="CA256" i="65" s="1"/>
  <c r="CA257" i="65" s="1"/>
  <c r="CA258" i="65" s="1"/>
  <c r="CA259" i="65" s="1"/>
  <c r="CA260" i="65" s="1"/>
  <c r="CA261" i="65" s="1"/>
  <c r="CA262" i="65" s="1"/>
  <c r="DX53" i="65"/>
  <c r="EQ53" i="65"/>
  <c r="DZ54" i="65"/>
  <c r="EE54" i="65"/>
  <c r="AA55" i="65"/>
  <c r="EA56" i="65"/>
  <c r="ER57" i="65"/>
  <c r="ED57" i="65"/>
  <c r="DZ62" i="65"/>
  <c r="DZ63" i="65"/>
  <c r="EA64" i="65"/>
  <c r="EB65" i="65"/>
  <c r="EH65" i="65"/>
  <c r="EC66" i="65"/>
  <c r="EI66" i="65"/>
  <c r="ED67" i="65"/>
  <c r="EJ67" i="65"/>
  <c r="DX67" i="65"/>
  <c r="EE68" i="65"/>
  <c r="EJ68" i="65"/>
  <c r="AA69" i="65"/>
  <c r="EA69" i="65"/>
  <c r="EC71" i="65"/>
  <c r="AA128" i="65"/>
  <c r="AA129" i="65"/>
  <c r="AA130" i="65"/>
  <c r="AA60" i="65"/>
  <c r="AA61" i="65"/>
  <c r="P56" i="65"/>
  <c r="P58" i="65"/>
  <c r="P62" i="65"/>
  <c r="P63" i="65"/>
  <c r="P64" i="65"/>
  <c r="P68" i="65"/>
  <c r="P69" i="65"/>
  <c r="P70" i="65"/>
  <c r="P75" i="65"/>
  <c r="P74" i="65"/>
  <c r="P76" i="65"/>
  <c r="P80" i="65"/>
  <c r="P81" i="65"/>
  <c r="P82" i="65"/>
  <c r="P87" i="65"/>
  <c r="P86" i="65"/>
  <c r="P88" i="65"/>
  <c r="P92" i="65"/>
  <c r="P93" i="65"/>
  <c r="P94" i="65"/>
  <c r="P98" i="65"/>
  <c r="P99" i="65"/>
  <c r="P100" i="65"/>
  <c r="P105" i="65"/>
  <c r="P106" i="65"/>
  <c r="P104" i="65"/>
  <c r="P110" i="65"/>
  <c r="P111" i="65"/>
  <c r="P112" i="65"/>
  <c r="P116" i="65"/>
  <c r="P117" i="65"/>
  <c r="P118" i="65"/>
  <c r="P123" i="65"/>
  <c r="P122" i="65"/>
  <c r="P124" i="65"/>
  <c r="P128" i="65"/>
  <c r="P129" i="65"/>
  <c r="P130" i="65"/>
  <c r="P134" i="65"/>
  <c r="P135" i="65"/>
  <c r="P136" i="65"/>
  <c r="EB155" i="65"/>
  <c r="ED44" i="65"/>
  <c r="F156" i="65"/>
  <c r="F157" i="65" s="1"/>
  <c r="F158" i="65" s="1"/>
  <c r="F159" i="65" s="1"/>
  <c r="F160" i="65" s="1"/>
  <c r="F161" i="65" s="1"/>
  <c r="F162" i="65" s="1"/>
  <c r="F163" i="65" s="1"/>
  <c r="F164" i="65" s="1"/>
  <c r="F165" i="65" s="1"/>
  <c r="F166" i="65" s="1"/>
  <c r="F167" i="65" s="1"/>
  <c r="F168" i="65" s="1"/>
  <c r="F169" i="65" s="1"/>
  <c r="F170" i="65" s="1"/>
  <c r="F171" i="65" s="1"/>
  <c r="F172" i="65" s="1"/>
  <c r="F173" i="65" s="1"/>
  <c r="F174" i="65" s="1"/>
  <c r="F175" i="65" s="1"/>
  <c r="F176" i="65" s="1"/>
  <c r="F177" i="65" s="1"/>
  <c r="F178" i="65" s="1"/>
  <c r="F179" i="65" s="1"/>
  <c r="F180" i="65" s="1"/>
  <c r="F181" i="65" s="1"/>
  <c r="F182" i="65" s="1"/>
  <c r="F183" i="65" s="1"/>
  <c r="F184" i="65" s="1"/>
  <c r="F185" i="65" s="1"/>
  <c r="F186" i="65" s="1"/>
  <c r="F187" i="65" s="1"/>
  <c r="F188" i="65" s="1"/>
  <c r="F189" i="65" s="1"/>
  <c r="F190" i="65" s="1"/>
  <c r="F191" i="65" s="1"/>
  <c r="F192" i="65" s="1"/>
  <c r="F193" i="65" s="1"/>
  <c r="F194" i="65" s="1"/>
  <c r="F195" i="65" s="1"/>
  <c r="F196" i="65" s="1"/>
  <c r="F197" i="65" s="1"/>
  <c r="F198" i="65" s="1"/>
  <c r="F199" i="65" s="1"/>
  <c r="F200" i="65" s="1"/>
  <c r="F201" i="65" s="1"/>
  <c r="F202" i="65" s="1"/>
  <c r="F203" i="65" s="1"/>
  <c r="F204" i="65" s="1"/>
  <c r="F205" i="65" s="1"/>
  <c r="F206" i="65" s="1"/>
  <c r="F207" i="65" s="1"/>
  <c r="F208" i="65" s="1"/>
  <c r="F209" i="65" s="1"/>
  <c r="F210" i="65" s="1"/>
  <c r="F211" i="65" s="1"/>
  <c r="F212" i="65" s="1"/>
  <c r="F213" i="65" s="1"/>
  <c r="F214" i="65" s="1"/>
  <c r="F215" i="65" s="1"/>
  <c r="F216" i="65" s="1"/>
  <c r="F217" i="65" s="1"/>
  <c r="F218" i="65" s="1"/>
  <c r="F219" i="65" s="1"/>
  <c r="F220" i="65" s="1"/>
  <c r="F221" i="65" s="1"/>
  <c r="F222" i="65" s="1"/>
  <c r="F223" i="65" s="1"/>
  <c r="F224" i="65" s="1"/>
  <c r="F225" i="65" s="1"/>
  <c r="F226" i="65" s="1"/>
  <c r="F227" i="65" s="1"/>
  <c r="F228" i="65" s="1"/>
  <c r="F229" i="65" s="1"/>
  <c r="F230" i="65" s="1"/>
  <c r="F231" i="65" s="1"/>
  <c r="F232" i="65" s="1"/>
  <c r="F233" i="65" s="1"/>
  <c r="F234" i="65" s="1"/>
  <c r="F235" i="65" s="1"/>
  <c r="F236" i="65" s="1"/>
  <c r="F237" i="65" s="1"/>
  <c r="F238" i="65" s="1"/>
  <c r="F239" i="65" s="1"/>
  <c r="F240" i="65" s="1"/>
  <c r="F241" i="65" s="1"/>
  <c r="F242" i="65" s="1"/>
  <c r="F243" i="65" s="1"/>
  <c r="F244" i="65" s="1"/>
  <c r="F245" i="65" s="1"/>
  <c r="F246" i="65" s="1"/>
  <c r="F247" i="65" s="1"/>
  <c r="F248" i="65" s="1"/>
  <c r="F249" i="65" s="1"/>
  <c r="F250" i="65" s="1"/>
  <c r="F251" i="65" s="1"/>
  <c r="F252" i="65" s="1"/>
  <c r="F253" i="65" s="1"/>
  <c r="F254" i="65" s="1"/>
  <c r="F255" i="65" s="1"/>
  <c r="F256" i="65" s="1"/>
  <c r="F257" i="65" s="1"/>
  <c r="F258" i="65" s="1"/>
  <c r="F259" i="65" s="1"/>
  <c r="F260" i="65" s="1"/>
  <c r="F261" i="65" s="1"/>
  <c r="F262" i="65" s="1"/>
  <c r="V156" i="65"/>
  <c r="V157" i="65" s="1"/>
  <c r="AL156" i="65"/>
  <c r="EH156" i="65" s="1"/>
  <c r="BB156" i="65"/>
  <c r="BB157" i="65" s="1"/>
  <c r="BB158" i="65" s="1"/>
  <c r="BB159" i="65" s="1"/>
  <c r="BB160" i="65" s="1"/>
  <c r="BB161" i="65" s="1"/>
  <c r="BB162" i="65" s="1"/>
  <c r="BB163" i="65" s="1"/>
  <c r="BB164" i="65" s="1"/>
  <c r="BB165" i="65" s="1"/>
  <c r="BB166" i="65" s="1"/>
  <c r="BB167" i="65" s="1"/>
  <c r="BB168" i="65" s="1"/>
  <c r="BB169" i="65" s="1"/>
  <c r="BB170" i="65" s="1"/>
  <c r="BB171" i="65" s="1"/>
  <c r="BB172" i="65" s="1"/>
  <c r="BB173" i="65" s="1"/>
  <c r="BB174" i="65" s="1"/>
  <c r="BB175" i="65" s="1"/>
  <c r="BB176" i="65" s="1"/>
  <c r="BB177" i="65" s="1"/>
  <c r="BB178" i="65" s="1"/>
  <c r="BB179" i="65" s="1"/>
  <c r="BB180" i="65" s="1"/>
  <c r="BB181" i="65" s="1"/>
  <c r="BB182" i="65" s="1"/>
  <c r="BB183" i="65" s="1"/>
  <c r="BB184" i="65" s="1"/>
  <c r="BB185" i="65" s="1"/>
  <c r="BB186" i="65" s="1"/>
  <c r="BB187" i="65" s="1"/>
  <c r="BB188" i="65" s="1"/>
  <c r="BB189" i="65" s="1"/>
  <c r="BB190" i="65" s="1"/>
  <c r="BB191" i="65" s="1"/>
  <c r="BB192" i="65" s="1"/>
  <c r="BB193" i="65" s="1"/>
  <c r="BB194" i="65" s="1"/>
  <c r="BB195" i="65" s="1"/>
  <c r="BB196" i="65" s="1"/>
  <c r="BB197" i="65" s="1"/>
  <c r="BB198" i="65" s="1"/>
  <c r="BB199" i="65" s="1"/>
  <c r="BB200" i="65" s="1"/>
  <c r="BB201" i="65" s="1"/>
  <c r="BB202" i="65" s="1"/>
  <c r="BB203" i="65" s="1"/>
  <c r="BB204" i="65" s="1"/>
  <c r="BB205" i="65" s="1"/>
  <c r="BB206" i="65" s="1"/>
  <c r="BB207" i="65" s="1"/>
  <c r="BB208" i="65" s="1"/>
  <c r="BB209" i="65" s="1"/>
  <c r="BB210" i="65" s="1"/>
  <c r="BB211" i="65" s="1"/>
  <c r="BB212" i="65" s="1"/>
  <c r="BB213" i="65" s="1"/>
  <c r="BB214" i="65" s="1"/>
  <c r="BB215" i="65" s="1"/>
  <c r="BB216" i="65" s="1"/>
  <c r="BB217" i="65" s="1"/>
  <c r="BB218" i="65" s="1"/>
  <c r="BB219" i="65" s="1"/>
  <c r="BB220" i="65" s="1"/>
  <c r="BB221" i="65" s="1"/>
  <c r="BB222" i="65" s="1"/>
  <c r="BB223" i="65" s="1"/>
  <c r="BB224" i="65" s="1"/>
  <c r="BB225" i="65" s="1"/>
  <c r="BB226" i="65" s="1"/>
  <c r="BB227" i="65" s="1"/>
  <c r="BB228" i="65" s="1"/>
  <c r="BB229" i="65" s="1"/>
  <c r="BB230" i="65" s="1"/>
  <c r="BB231" i="65" s="1"/>
  <c r="BB232" i="65" s="1"/>
  <c r="BB233" i="65" s="1"/>
  <c r="BB234" i="65" s="1"/>
  <c r="BB235" i="65" s="1"/>
  <c r="BB236" i="65" s="1"/>
  <c r="BB237" i="65" s="1"/>
  <c r="BB238" i="65" s="1"/>
  <c r="BB239" i="65" s="1"/>
  <c r="BB240" i="65" s="1"/>
  <c r="BB241" i="65" s="1"/>
  <c r="BB242" i="65" s="1"/>
  <c r="BB243" i="65" s="1"/>
  <c r="BB244" i="65" s="1"/>
  <c r="BB245" i="65" s="1"/>
  <c r="BB246" i="65" s="1"/>
  <c r="BB247" i="65" s="1"/>
  <c r="BB248" i="65" s="1"/>
  <c r="BB249" i="65" s="1"/>
  <c r="BB250" i="65" s="1"/>
  <c r="BB251" i="65" s="1"/>
  <c r="BB252" i="65" s="1"/>
  <c r="BB253" i="65" s="1"/>
  <c r="BB254" i="65" s="1"/>
  <c r="BB255" i="65" s="1"/>
  <c r="BB256" i="65" s="1"/>
  <c r="BB257" i="65" s="1"/>
  <c r="BB258" i="65" s="1"/>
  <c r="BB259" i="65" s="1"/>
  <c r="BB260" i="65" s="1"/>
  <c r="BB261" i="65" s="1"/>
  <c r="BB262" i="65" s="1"/>
  <c r="BR156" i="65"/>
  <c r="BR157" i="65" s="1"/>
  <c r="BR158" i="65" s="1"/>
  <c r="BR159" i="65" s="1"/>
  <c r="BR160" i="65" s="1"/>
  <c r="BR161" i="65" s="1"/>
  <c r="BR162" i="65" s="1"/>
  <c r="BR163" i="65" s="1"/>
  <c r="BR164" i="65" s="1"/>
  <c r="BR165" i="65" s="1"/>
  <c r="BR166" i="65" s="1"/>
  <c r="BR167" i="65" s="1"/>
  <c r="BR168" i="65" s="1"/>
  <c r="BR169" i="65" s="1"/>
  <c r="BR170" i="65" s="1"/>
  <c r="BR171" i="65" s="1"/>
  <c r="BR172" i="65" s="1"/>
  <c r="BR173" i="65" s="1"/>
  <c r="BR174" i="65" s="1"/>
  <c r="BR175" i="65" s="1"/>
  <c r="BR176" i="65" s="1"/>
  <c r="BR177" i="65" s="1"/>
  <c r="BR178" i="65" s="1"/>
  <c r="BR179" i="65" s="1"/>
  <c r="BR180" i="65" s="1"/>
  <c r="BR181" i="65" s="1"/>
  <c r="BR182" i="65" s="1"/>
  <c r="BR183" i="65" s="1"/>
  <c r="BR184" i="65" s="1"/>
  <c r="BR185" i="65" s="1"/>
  <c r="BR186" i="65" s="1"/>
  <c r="BR187" i="65" s="1"/>
  <c r="BR188" i="65" s="1"/>
  <c r="BR189" i="65" s="1"/>
  <c r="BR190" i="65" s="1"/>
  <c r="BR191" i="65" s="1"/>
  <c r="BR192" i="65" s="1"/>
  <c r="BR193" i="65" s="1"/>
  <c r="BR194" i="65" s="1"/>
  <c r="BR195" i="65" s="1"/>
  <c r="BR196" i="65" s="1"/>
  <c r="BR197" i="65" s="1"/>
  <c r="BR198" i="65" s="1"/>
  <c r="BR199" i="65" s="1"/>
  <c r="BR200" i="65" s="1"/>
  <c r="BR201" i="65" s="1"/>
  <c r="BR202" i="65" s="1"/>
  <c r="BR203" i="65" s="1"/>
  <c r="BR204" i="65" s="1"/>
  <c r="BR205" i="65" s="1"/>
  <c r="BR206" i="65" s="1"/>
  <c r="BR207" i="65" s="1"/>
  <c r="BR208" i="65" s="1"/>
  <c r="BR209" i="65" s="1"/>
  <c r="BR210" i="65" s="1"/>
  <c r="BR211" i="65" s="1"/>
  <c r="BR212" i="65" s="1"/>
  <c r="BR213" i="65" s="1"/>
  <c r="BR214" i="65" s="1"/>
  <c r="BR215" i="65" s="1"/>
  <c r="BR216" i="65" s="1"/>
  <c r="BR217" i="65" s="1"/>
  <c r="BR218" i="65" s="1"/>
  <c r="BR219" i="65" s="1"/>
  <c r="BR220" i="65" s="1"/>
  <c r="BR221" i="65" s="1"/>
  <c r="BR222" i="65" s="1"/>
  <c r="BR223" i="65" s="1"/>
  <c r="BR224" i="65" s="1"/>
  <c r="BR225" i="65" s="1"/>
  <c r="BR226" i="65" s="1"/>
  <c r="BR227" i="65" s="1"/>
  <c r="BR228" i="65" s="1"/>
  <c r="BR229" i="65" s="1"/>
  <c r="BR230" i="65" s="1"/>
  <c r="BR231" i="65" s="1"/>
  <c r="BR232" i="65" s="1"/>
  <c r="BR233" i="65" s="1"/>
  <c r="BR234" i="65" s="1"/>
  <c r="BR235" i="65" s="1"/>
  <c r="BR236" i="65" s="1"/>
  <c r="BR237" i="65" s="1"/>
  <c r="BR238" i="65" s="1"/>
  <c r="BR239" i="65" s="1"/>
  <c r="BR240" i="65" s="1"/>
  <c r="BR241" i="65" s="1"/>
  <c r="BR242" i="65" s="1"/>
  <c r="BR243" i="65" s="1"/>
  <c r="BR244" i="65" s="1"/>
  <c r="BR245" i="65" s="1"/>
  <c r="BR246" i="65" s="1"/>
  <c r="BR247" i="65" s="1"/>
  <c r="BR248" i="65" s="1"/>
  <c r="BR249" i="65" s="1"/>
  <c r="BR250" i="65" s="1"/>
  <c r="BR251" i="65" s="1"/>
  <c r="BR252" i="65" s="1"/>
  <c r="BR253" i="65" s="1"/>
  <c r="BR254" i="65" s="1"/>
  <c r="BR255" i="65" s="1"/>
  <c r="BR256" i="65" s="1"/>
  <c r="BR257" i="65" s="1"/>
  <c r="BR258" i="65" s="1"/>
  <c r="BR259" i="65" s="1"/>
  <c r="BR260" i="65" s="1"/>
  <c r="BR261" i="65" s="1"/>
  <c r="BR262" i="65" s="1"/>
  <c r="CH156" i="65"/>
  <c r="CH157" i="65" s="1"/>
  <c r="CH158" i="65" s="1"/>
  <c r="CH159" i="65" s="1"/>
  <c r="CH160" i="65" s="1"/>
  <c r="CH161" i="65" s="1"/>
  <c r="CH162" i="65" s="1"/>
  <c r="CH163" i="65" s="1"/>
  <c r="CH164" i="65" s="1"/>
  <c r="CH165" i="65" s="1"/>
  <c r="CH166" i="65" s="1"/>
  <c r="CH167" i="65" s="1"/>
  <c r="CH168" i="65" s="1"/>
  <c r="CH169" i="65" s="1"/>
  <c r="CH170" i="65" s="1"/>
  <c r="CH171" i="65" s="1"/>
  <c r="CH172" i="65" s="1"/>
  <c r="CH173" i="65" s="1"/>
  <c r="CH174" i="65" s="1"/>
  <c r="CH175" i="65" s="1"/>
  <c r="CH176" i="65" s="1"/>
  <c r="CH177" i="65" s="1"/>
  <c r="CH178" i="65" s="1"/>
  <c r="CH179" i="65" s="1"/>
  <c r="CH180" i="65" s="1"/>
  <c r="CH181" i="65" s="1"/>
  <c r="CH182" i="65" s="1"/>
  <c r="CH183" i="65" s="1"/>
  <c r="CH184" i="65" s="1"/>
  <c r="CH185" i="65" s="1"/>
  <c r="CH186" i="65" s="1"/>
  <c r="CH187" i="65" s="1"/>
  <c r="CH188" i="65" s="1"/>
  <c r="CH189" i="65" s="1"/>
  <c r="CH190" i="65" s="1"/>
  <c r="CH191" i="65" s="1"/>
  <c r="CH192" i="65" s="1"/>
  <c r="CH193" i="65" s="1"/>
  <c r="CH194" i="65" s="1"/>
  <c r="CH195" i="65" s="1"/>
  <c r="CH196" i="65" s="1"/>
  <c r="CH197" i="65" s="1"/>
  <c r="CH198" i="65" s="1"/>
  <c r="CH199" i="65" s="1"/>
  <c r="CH200" i="65" s="1"/>
  <c r="CH201" i="65" s="1"/>
  <c r="CH202" i="65" s="1"/>
  <c r="CH203" i="65" s="1"/>
  <c r="CH204" i="65" s="1"/>
  <c r="CH205" i="65" s="1"/>
  <c r="CH206" i="65" s="1"/>
  <c r="CH207" i="65" s="1"/>
  <c r="CH208" i="65" s="1"/>
  <c r="CH209" i="65" s="1"/>
  <c r="CH210" i="65" s="1"/>
  <c r="CH211" i="65" s="1"/>
  <c r="CH212" i="65" s="1"/>
  <c r="CH213" i="65" s="1"/>
  <c r="CH214" i="65" s="1"/>
  <c r="CH215" i="65" s="1"/>
  <c r="CH216" i="65" s="1"/>
  <c r="CH217" i="65" s="1"/>
  <c r="CH218" i="65" s="1"/>
  <c r="CH219" i="65" s="1"/>
  <c r="CH220" i="65" s="1"/>
  <c r="CH221" i="65" s="1"/>
  <c r="CH222" i="65" s="1"/>
  <c r="CH223" i="65" s="1"/>
  <c r="CH224" i="65" s="1"/>
  <c r="CH225" i="65" s="1"/>
  <c r="CH226" i="65" s="1"/>
  <c r="CH227" i="65" s="1"/>
  <c r="CH228" i="65" s="1"/>
  <c r="CH229" i="65" s="1"/>
  <c r="CH230" i="65" s="1"/>
  <c r="CH231" i="65" s="1"/>
  <c r="CH232" i="65" s="1"/>
  <c r="CH233" i="65" s="1"/>
  <c r="CH234" i="65" s="1"/>
  <c r="CH235" i="65" s="1"/>
  <c r="CH236" i="65" s="1"/>
  <c r="CH237" i="65" s="1"/>
  <c r="CH238" i="65" s="1"/>
  <c r="CH239" i="65" s="1"/>
  <c r="CH240" i="65" s="1"/>
  <c r="CH241" i="65" s="1"/>
  <c r="CH242" i="65" s="1"/>
  <c r="CH243" i="65" s="1"/>
  <c r="CH244" i="65" s="1"/>
  <c r="CH245" i="65" s="1"/>
  <c r="CH246" i="65" s="1"/>
  <c r="CH247" i="65" s="1"/>
  <c r="CH248" i="65" s="1"/>
  <c r="CH249" i="65" s="1"/>
  <c r="CH250" i="65" s="1"/>
  <c r="CH251" i="65" s="1"/>
  <c r="CH252" i="65" s="1"/>
  <c r="CH253" i="65" s="1"/>
  <c r="CH254" i="65" s="1"/>
  <c r="CH255" i="65" s="1"/>
  <c r="CH256" i="65" s="1"/>
  <c r="CH257" i="65" s="1"/>
  <c r="CH258" i="65" s="1"/>
  <c r="CH259" i="65" s="1"/>
  <c r="CH260" i="65" s="1"/>
  <c r="CH261" i="65" s="1"/>
  <c r="CH262" i="65" s="1"/>
  <c r="CX156" i="65"/>
  <c r="CX157" i="65" s="1"/>
  <c r="CX158" i="65" s="1"/>
  <c r="CX159" i="65" s="1"/>
  <c r="CX160" i="65" s="1"/>
  <c r="CX161" i="65" s="1"/>
  <c r="CX162" i="65" s="1"/>
  <c r="CX163" i="65" s="1"/>
  <c r="CX164" i="65" s="1"/>
  <c r="CX165" i="65" s="1"/>
  <c r="CX166" i="65" s="1"/>
  <c r="CX167" i="65" s="1"/>
  <c r="CX168" i="65" s="1"/>
  <c r="CX169" i="65" s="1"/>
  <c r="CX170" i="65" s="1"/>
  <c r="CX171" i="65" s="1"/>
  <c r="CX172" i="65" s="1"/>
  <c r="CX173" i="65" s="1"/>
  <c r="CX174" i="65" s="1"/>
  <c r="CX175" i="65" s="1"/>
  <c r="CX176" i="65" s="1"/>
  <c r="CX177" i="65" s="1"/>
  <c r="CX178" i="65" s="1"/>
  <c r="CX179" i="65" s="1"/>
  <c r="CX180" i="65" s="1"/>
  <c r="CX181" i="65" s="1"/>
  <c r="CX182" i="65" s="1"/>
  <c r="CX183" i="65" s="1"/>
  <c r="CX184" i="65" s="1"/>
  <c r="CX185" i="65" s="1"/>
  <c r="CX186" i="65" s="1"/>
  <c r="CX187" i="65" s="1"/>
  <c r="CX188" i="65" s="1"/>
  <c r="CX189" i="65" s="1"/>
  <c r="CX190" i="65" s="1"/>
  <c r="CX191" i="65" s="1"/>
  <c r="CX192" i="65" s="1"/>
  <c r="CX193" i="65" s="1"/>
  <c r="CX194" i="65" s="1"/>
  <c r="CX195" i="65" s="1"/>
  <c r="CX196" i="65" s="1"/>
  <c r="CX197" i="65" s="1"/>
  <c r="CX198" i="65" s="1"/>
  <c r="CX199" i="65" s="1"/>
  <c r="CX200" i="65" s="1"/>
  <c r="CX201" i="65" s="1"/>
  <c r="CX202" i="65" s="1"/>
  <c r="CX203" i="65" s="1"/>
  <c r="CX204" i="65" s="1"/>
  <c r="CX205" i="65" s="1"/>
  <c r="CX206" i="65" s="1"/>
  <c r="CX207" i="65" s="1"/>
  <c r="CX208" i="65" s="1"/>
  <c r="CX209" i="65" s="1"/>
  <c r="CX210" i="65" s="1"/>
  <c r="CX211" i="65" s="1"/>
  <c r="CX212" i="65" s="1"/>
  <c r="CX213" i="65" s="1"/>
  <c r="CX214" i="65" s="1"/>
  <c r="CX215" i="65" s="1"/>
  <c r="CX216" i="65" s="1"/>
  <c r="CX217" i="65" s="1"/>
  <c r="CX218" i="65" s="1"/>
  <c r="CX219" i="65" s="1"/>
  <c r="CX220" i="65" s="1"/>
  <c r="CX221" i="65" s="1"/>
  <c r="CX222" i="65" s="1"/>
  <c r="CX223" i="65" s="1"/>
  <c r="CX224" i="65" s="1"/>
  <c r="CX225" i="65" s="1"/>
  <c r="CX226" i="65" s="1"/>
  <c r="CX227" i="65" s="1"/>
  <c r="CX228" i="65" s="1"/>
  <c r="CX229" i="65" s="1"/>
  <c r="CX230" i="65" s="1"/>
  <c r="CX231" i="65" s="1"/>
  <c r="CX232" i="65" s="1"/>
  <c r="CX233" i="65" s="1"/>
  <c r="CX234" i="65" s="1"/>
  <c r="CX235" i="65" s="1"/>
  <c r="CX236" i="65" s="1"/>
  <c r="CX237" i="65" s="1"/>
  <c r="CX238" i="65" s="1"/>
  <c r="CX239" i="65" s="1"/>
  <c r="CX240" i="65" s="1"/>
  <c r="CX241" i="65" s="1"/>
  <c r="CX242" i="65" s="1"/>
  <c r="CX243" i="65" s="1"/>
  <c r="CX244" i="65" s="1"/>
  <c r="CX245" i="65" s="1"/>
  <c r="CX246" i="65" s="1"/>
  <c r="CX247" i="65" s="1"/>
  <c r="CX248" i="65" s="1"/>
  <c r="CX249" i="65" s="1"/>
  <c r="CX250" i="65" s="1"/>
  <c r="CX251" i="65" s="1"/>
  <c r="CX252" i="65" s="1"/>
  <c r="CX253" i="65" s="1"/>
  <c r="CX254" i="65" s="1"/>
  <c r="CX255" i="65" s="1"/>
  <c r="CX256" i="65" s="1"/>
  <c r="CX257" i="65" s="1"/>
  <c r="CX258" i="65" s="1"/>
  <c r="CX259" i="65" s="1"/>
  <c r="CX260" i="65" s="1"/>
  <c r="CX261" i="65" s="1"/>
  <c r="CX262" i="65" s="1"/>
  <c r="DN156" i="65"/>
  <c r="DN157" i="65" s="1"/>
  <c r="DN158" i="65" s="1"/>
  <c r="DN159" i="65" s="1"/>
  <c r="DN160" i="65" s="1"/>
  <c r="DN161" i="65" s="1"/>
  <c r="DN162" i="65" s="1"/>
  <c r="DN163" i="65" s="1"/>
  <c r="DN164" i="65" s="1"/>
  <c r="DN165" i="65" s="1"/>
  <c r="DN166" i="65" s="1"/>
  <c r="DN167" i="65" s="1"/>
  <c r="DN168" i="65" s="1"/>
  <c r="DN169" i="65" s="1"/>
  <c r="DN170" i="65" s="1"/>
  <c r="DN171" i="65" s="1"/>
  <c r="DN172" i="65" s="1"/>
  <c r="DN173" i="65" s="1"/>
  <c r="DN174" i="65" s="1"/>
  <c r="DN175" i="65" s="1"/>
  <c r="DN176" i="65" s="1"/>
  <c r="DN177" i="65" s="1"/>
  <c r="DN178" i="65" s="1"/>
  <c r="DN179" i="65" s="1"/>
  <c r="DN180" i="65" s="1"/>
  <c r="DN181" i="65" s="1"/>
  <c r="DN182" i="65" s="1"/>
  <c r="DN183" i="65" s="1"/>
  <c r="DN184" i="65" s="1"/>
  <c r="DN185" i="65" s="1"/>
  <c r="DN186" i="65" s="1"/>
  <c r="DN187" i="65" s="1"/>
  <c r="DN188" i="65" s="1"/>
  <c r="DN189" i="65" s="1"/>
  <c r="DN190" i="65" s="1"/>
  <c r="DN191" i="65" s="1"/>
  <c r="DN192" i="65" s="1"/>
  <c r="DN193" i="65" s="1"/>
  <c r="DN194" i="65" s="1"/>
  <c r="DN195" i="65" s="1"/>
  <c r="DN196" i="65" s="1"/>
  <c r="DN197" i="65" s="1"/>
  <c r="DN198" i="65" s="1"/>
  <c r="DN199" i="65" s="1"/>
  <c r="DN200" i="65" s="1"/>
  <c r="DN201" i="65" s="1"/>
  <c r="DN202" i="65" s="1"/>
  <c r="DN203" i="65" s="1"/>
  <c r="DN204" i="65" s="1"/>
  <c r="DN205" i="65" s="1"/>
  <c r="DN206" i="65" s="1"/>
  <c r="DN207" i="65" s="1"/>
  <c r="DN208" i="65" s="1"/>
  <c r="DN209" i="65" s="1"/>
  <c r="DN210" i="65" s="1"/>
  <c r="DN211" i="65" s="1"/>
  <c r="DN212" i="65" s="1"/>
  <c r="DN213" i="65" s="1"/>
  <c r="DN214" i="65" s="1"/>
  <c r="DN215" i="65" s="1"/>
  <c r="DN216" i="65" s="1"/>
  <c r="DN217" i="65" s="1"/>
  <c r="DN218" i="65" s="1"/>
  <c r="DN219" i="65" s="1"/>
  <c r="DN220" i="65" s="1"/>
  <c r="DN221" i="65" s="1"/>
  <c r="DN222" i="65" s="1"/>
  <c r="DN223" i="65" s="1"/>
  <c r="DN224" i="65" s="1"/>
  <c r="DN225" i="65" s="1"/>
  <c r="DN226" i="65" s="1"/>
  <c r="DN227" i="65" s="1"/>
  <c r="DN228" i="65" s="1"/>
  <c r="DN229" i="65" s="1"/>
  <c r="DN230" i="65" s="1"/>
  <c r="DN231" i="65" s="1"/>
  <c r="DN232" i="65" s="1"/>
  <c r="DN233" i="65" s="1"/>
  <c r="DN234" i="65" s="1"/>
  <c r="DN235" i="65" s="1"/>
  <c r="DN236" i="65" s="1"/>
  <c r="DN237" i="65" s="1"/>
  <c r="DN238" i="65" s="1"/>
  <c r="DN239" i="65" s="1"/>
  <c r="DN240" i="65" s="1"/>
  <c r="DN241" i="65" s="1"/>
  <c r="DN242" i="65" s="1"/>
  <c r="DN243" i="65" s="1"/>
  <c r="DN244" i="65" s="1"/>
  <c r="DN245" i="65" s="1"/>
  <c r="DN246" i="65" s="1"/>
  <c r="DN247" i="65" s="1"/>
  <c r="DN248" i="65" s="1"/>
  <c r="DN249" i="65" s="1"/>
  <c r="DN250" i="65" s="1"/>
  <c r="DN251" i="65" s="1"/>
  <c r="DN252" i="65" s="1"/>
  <c r="DN253" i="65" s="1"/>
  <c r="DN254" i="65" s="1"/>
  <c r="DN255" i="65" s="1"/>
  <c r="DN256" i="65" s="1"/>
  <c r="DN257" i="65" s="1"/>
  <c r="DN258" i="65" s="1"/>
  <c r="DN259" i="65" s="1"/>
  <c r="DN260" i="65" s="1"/>
  <c r="DN261" i="65" s="1"/>
  <c r="DN262" i="65" s="1"/>
  <c r="EE45" i="65"/>
  <c r="G157" i="65"/>
  <c r="G158" i="65" s="1"/>
  <c r="G159" i="65" s="1"/>
  <c r="G160" i="65" s="1"/>
  <c r="G161" i="65" s="1"/>
  <c r="G162" i="65" s="1"/>
  <c r="G163" i="65" s="1"/>
  <c r="G164" i="65" s="1"/>
  <c r="G165" i="65" s="1"/>
  <c r="G166" i="65" s="1"/>
  <c r="G167" i="65" s="1"/>
  <c r="G168" i="65" s="1"/>
  <c r="G169" i="65" s="1"/>
  <c r="G170" i="65" s="1"/>
  <c r="G171" i="65" s="1"/>
  <c r="G172" i="65" s="1"/>
  <c r="G173" i="65" s="1"/>
  <c r="G174" i="65" s="1"/>
  <c r="G175" i="65" s="1"/>
  <c r="G176" i="65" s="1"/>
  <c r="G177" i="65" s="1"/>
  <c r="G178" i="65" s="1"/>
  <c r="G179" i="65" s="1"/>
  <c r="G180" i="65" s="1"/>
  <c r="G181" i="65" s="1"/>
  <c r="G182" i="65" s="1"/>
  <c r="G183" i="65" s="1"/>
  <c r="G184" i="65" s="1"/>
  <c r="G185" i="65" s="1"/>
  <c r="G186" i="65" s="1"/>
  <c r="G187" i="65" s="1"/>
  <c r="G188" i="65" s="1"/>
  <c r="G189" i="65" s="1"/>
  <c r="G190" i="65" s="1"/>
  <c r="G191" i="65" s="1"/>
  <c r="G192" i="65" s="1"/>
  <c r="G193" i="65" s="1"/>
  <c r="G194" i="65" s="1"/>
  <c r="G195" i="65" s="1"/>
  <c r="G196" i="65" s="1"/>
  <c r="G197" i="65" s="1"/>
  <c r="G198" i="65" s="1"/>
  <c r="G199" i="65" s="1"/>
  <c r="G200" i="65" s="1"/>
  <c r="G201" i="65" s="1"/>
  <c r="G202" i="65" s="1"/>
  <c r="G203" i="65" s="1"/>
  <c r="G204" i="65" s="1"/>
  <c r="G205" i="65" s="1"/>
  <c r="G206" i="65" s="1"/>
  <c r="G207" i="65" s="1"/>
  <c r="G208" i="65" s="1"/>
  <c r="G209" i="65" s="1"/>
  <c r="G210" i="65" s="1"/>
  <c r="G211" i="65" s="1"/>
  <c r="G212" i="65" s="1"/>
  <c r="G213" i="65" s="1"/>
  <c r="G214" i="65" s="1"/>
  <c r="G215" i="65" s="1"/>
  <c r="G216" i="65" s="1"/>
  <c r="G217" i="65" s="1"/>
  <c r="G218" i="65" s="1"/>
  <c r="G219" i="65" s="1"/>
  <c r="G220" i="65" s="1"/>
  <c r="G221" i="65" s="1"/>
  <c r="G222" i="65" s="1"/>
  <c r="G223" i="65" s="1"/>
  <c r="G224" i="65" s="1"/>
  <c r="G225" i="65" s="1"/>
  <c r="G226" i="65" s="1"/>
  <c r="G227" i="65" s="1"/>
  <c r="G228" i="65" s="1"/>
  <c r="G229" i="65" s="1"/>
  <c r="G230" i="65" s="1"/>
  <c r="G231" i="65" s="1"/>
  <c r="G232" i="65" s="1"/>
  <c r="G233" i="65" s="1"/>
  <c r="G234" i="65" s="1"/>
  <c r="G235" i="65" s="1"/>
  <c r="G236" i="65" s="1"/>
  <c r="G237" i="65" s="1"/>
  <c r="G238" i="65" s="1"/>
  <c r="G239" i="65" s="1"/>
  <c r="G240" i="65" s="1"/>
  <c r="G241" i="65" s="1"/>
  <c r="G242" i="65" s="1"/>
  <c r="G243" i="65" s="1"/>
  <c r="G244" i="65" s="1"/>
  <c r="G245" i="65" s="1"/>
  <c r="G246" i="65" s="1"/>
  <c r="G247" i="65" s="1"/>
  <c r="G248" i="65" s="1"/>
  <c r="G249" i="65" s="1"/>
  <c r="G250" i="65" s="1"/>
  <c r="G251" i="65" s="1"/>
  <c r="G252" i="65" s="1"/>
  <c r="G253" i="65" s="1"/>
  <c r="G254" i="65" s="1"/>
  <c r="G255" i="65" s="1"/>
  <c r="G256" i="65" s="1"/>
  <c r="G257" i="65" s="1"/>
  <c r="G258" i="65" s="1"/>
  <c r="G259" i="65" s="1"/>
  <c r="G260" i="65" s="1"/>
  <c r="G261" i="65" s="1"/>
  <c r="G262" i="65" s="1"/>
  <c r="BC157" i="65"/>
  <c r="BC158" i="65" s="1"/>
  <c r="BC159" i="65" s="1"/>
  <c r="BC160" i="65" s="1"/>
  <c r="BC161" i="65" s="1"/>
  <c r="BC162" i="65" s="1"/>
  <c r="BC163" i="65" s="1"/>
  <c r="BC164" i="65" s="1"/>
  <c r="BC165" i="65" s="1"/>
  <c r="BC166" i="65" s="1"/>
  <c r="BC167" i="65" s="1"/>
  <c r="BC168" i="65" s="1"/>
  <c r="BC169" i="65" s="1"/>
  <c r="BC170" i="65" s="1"/>
  <c r="BC171" i="65" s="1"/>
  <c r="BC172" i="65" s="1"/>
  <c r="BC173" i="65" s="1"/>
  <c r="BC174" i="65" s="1"/>
  <c r="BC175" i="65" s="1"/>
  <c r="BC176" i="65" s="1"/>
  <c r="BC177" i="65" s="1"/>
  <c r="BC178" i="65" s="1"/>
  <c r="BC179" i="65" s="1"/>
  <c r="BC180" i="65" s="1"/>
  <c r="BC181" i="65" s="1"/>
  <c r="BC182" i="65" s="1"/>
  <c r="BC183" i="65" s="1"/>
  <c r="BC184" i="65" s="1"/>
  <c r="BC185" i="65" s="1"/>
  <c r="BC186" i="65" s="1"/>
  <c r="BC187" i="65" s="1"/>
  <c r="BC188" i="65" s="1"/>
  <c r="BC189" i="65" s="1"/>
  <c r="BC190" i="65" s="1"/>
  <c r="BC191" i="65" s="1"/>
  <c r="BC192" i="65" s="1"/>
  <c r="BC193" i="65" s="1"/>
  <c r="BC194" i="65" s="1"/>
  <c r="BC195" i="65" s="1"/>
  <c r="BC196" i="65" s="1"/>
  <c r="BC197" i="65" s="1"/>
  <c r="BC198" i="65" s="1"/>
  <c r="BC199" i="65" s="1"/>
  <c r="BC200" i="65" s="1"/>
  <c r="BC201" i="65" s="1"/>
  <c r="BC202" i="65" s="1"/>
  <c r="BC203" i="65" s="1"/>
  <c r="BC204" i="65" s="1"/>
  <c r="BC205" i="65" s="1"/>
  <c r="BC206" i="65" s="1"/>
  <c r="BC207" i="65" s="1"/>
  <c r="BC208" i="65" s="1"/>
  <c r="BC209" i="65" s="1"/>
  <c r="BC210" i="65" s="1"/>
  <c r="BC211" i="65" s="1"/>
  <c r="BC212" i="65" s="1"/>
  <c r="BC213" i="65" s="1"/>
  <c r="BC214" i="65" s="1"/>
  <c r="BC215" i="65" s="1"/>
  <c r="BC216" i="65" s="1"/>
  <c r="BC217" i="65" s="1"/>
  <c r="BC218" i="65" s="1"/>
  <c r="BC219" i="65" s="1"/>
  <c r="BC220" i="65" s="1"/>
  <c r="BC221" i="65" s="1"/>
  <c r="BC222" i="65" s="1"/>
  <c r="BC223" i="65" s="1"/>
  <c r="BC224" i="65" s="1"/>
  <c r="BC225" i="65" s="1"/>
  <c r="BC226" i="65" s="1"/>
  <c r="BC227" i="65" s="1"/>
  <c r="BC228" i="65" s="1"/>
  <c r="BC229" i="65" s="1"/>
  <c r="BC230" i="65" s="1"/>
  <c r="BC231" i="65" s="1"/>
  <c r="BC232" i="65" s="1"/>
  <c r="BC233" i="65" s="1"/>
  <c r="BC234" i="65" s="1"/>
  <c r="BC235" i="65" s="1"/>
  <c r="BC236" i="65" s="1"/>
  <c r="BC237" i="65" s="1"/>
  <c r="BC238" i="65" s="1"/>
  <c r="BC239" i="65" s="1"/>
  <c r="BC240" i="65" s="1"/>
  <c r="BC241" i="65" s="1"/>
  <c r="BC242" i="65" s="1"/>
  <c r="BC243" i="65" s="1"/>
  <c r="BC244" i="65" s="1"/>
  <c r="BC245" i="65" s="1"/>
  <c r="BC246" i="65" s="1"/>
  <c r="BC247" i="65" s="1"/>
  <c r="BC248" i="65" s="1"/>
  <c r="BC249" i="65" s="1"/>
  <c r="BC250" i="65" s="1"/>
  <c r="BC251" i="65" s="1"/>
  <c r="BC252" i="65" s="1"/>
  <c r="BC253" i="65" s="1"/>
  <c r="BC254" i="65" s="1"/>
  <c r="BC255" i="65" s="1"/>
  <c r="BC256" i="65" s="1"/>
  <c r="BC257" i="65" s="1"/>
  <c r="BC258" i="65" s="1"/>
  <c r="BC259" i="65" s="1"/>
  <c r="BC260" i="65" s="1"/>
  <c r="BC261" i="65" s="1"/>
  <c r="BC262" i="65" s="1"/>
  <c r="BS157" i="65"/>
  <c r="BS158" i="65" s="1"/>
  <c r="BS159" i="65" s="1"/>
  <c r="BS160" i="65" s="1"/>
  <c r="BS161" i="65" s="1"/>
  <c r="BS162" i="65" s="1"/>
  <c r="BS163" i="65" s="1"/>
  <c r="BS164" i="65" s="1"/>
  <c r="BS165" i="65" s="1"/>
  <c r="BS166" i="65" s="1"/>
  <c r="BS167" i="65" s="1"/>
  <c r="BS168" i="65" s="1"/>
  <c r="BS169" i="65" s="1"/>
  <c r="BS170" i="65" s="1"/>
  <c r="BS171" i="65" s="1"/>
  <c r="BS172" i="65" s="1"/>
  <c r="BS173" i="65" s="1"/>
  <c r="BS174" i="65" s="1"/>
  <c r="BS175" i="65" s="1"/>
  <c r="BS176" i="65" s="1"/>
  <c r="BS177" i="65" s="1"/>
  <c r="BS178" i="65" s="1"/>
  <c r="BS179" i="65" s="1"/>
  <c r="BS180" i="65" s="1"/>
  <c r="BS181" i="65" s="1"/>
  <c r="BS182" i="65" s="1"/>
  <c r="BS183" i="65" s="1"/>
  <c r="BS184" i="65" s="1"/>
  <c r="BS185" i="65" s="1"/>
  <c r="BS186" i="65" s="1"/>
  <c r="BS187" i="65" s="1"/>
  <c r="BS188" i="65" s="1"/>
  <c r="BS189" i="65" s="1"/>
  <c r="BS190" i="65" s="1"/>
  <c r="BS191" i="65" s="1"/>
  <c r="BS192" i="65" s="1"/>
  <c r="BS193" i="65" s="1"/>
  <c r="BS194" i="65" s="1"/>
  <c r="BS195" i="65" s="1"/>
  <c r="BS196" i="65" s="1"/>
  <c r="BS197" i="65" s="1"/>
  <c r="BS198" i="65" s="1"/>
  <c r="BS199" i="65" s="1"/>
  <c r="BS200" i="65" s="1"/>
  <c r="BS201" i="65" s="1"/>
  <c r="BS202" i="65" s="1"/>
  <c r="BS203" i="65" s="1"/>
  <c r="BS204" i="65" s="1"/>
  <c r="BS205" i="65" s="1"/>
  <c r="BS206" i="65" s="1"/>
  <c r="BS207" i="65" s="1"/>
  <c r="BS208" i="65" s="1"/>
  <c r="BS209" i="65" s="1"/>
  <c r="BS210" i="65" s="1"/>
  <c r="BS211" i="65" s="1"/>
  <c r="BS212" i="65" s="1"/>
  <c r="BS213" i="65" s="1"/>
  <c r="BS214" i="65" s="1"/>
  <c r="BS215" i="65" s="1"/>
  <c r="BS216" i="65" s="1"/>
  <c r="BS217" i="65" s="1"/>
  <c r="BS218" i="65" s="1"/>
  <c r="BS219" i="65" s="1"/>
  <c r="BS220" i="65" s="1"/>
  <c r="BS221" i="65" s="1"/>
  <c r="BS222" i="65" s="1"/>
  <c r="BS223" i="65" s="1"/>
  <c r="BS224" i="65" s="1"/>
  <c r="BS225" i="65" s="1"/>
  <c r="BS226" i="65" s="1"/>
  <c r="BS227" i="65" s="1"/>
  <c r="BS228" i="65" s="1"/>
  <c r="BS229" i="65" s="1"/>
  <c r="BS230" i="65" s="1"/>
  <c r="BS231" i="65" s="1"/>
  <c r="BS232" i="65" s="1"/>
  <c r="BS233" i="65" s="1"/>
  <c r="BS234" i="65" s="1"/>
  <c r="BS235" i="65" s="1"/>
  <c r="BS236" i="65" s="1"/>
  <c r="BS237" i="65" s="1"/>
  <c r="BS238" i="65" s="1"/>
  <c r="BS239" i="65" s="1"/>
  <c r="BS240" i="65" s="1"/>
  <c r="BS241" i="65" s="1"/>
  <c r="BS242" i="65" s="1"/>
  <c r="BS243" i="65" s="1"/>
  <c r="BS244" i="65" s="1"/>
  <c r="BS245" i="65" s="1"/>
  <c r="BS246" i="65" s="1"/>
  <c r="BS247" i="65" s="1"/>
  <c r="BS248" i="65" s="1"/>
  <c r="BS249" i="65" s="1"/>
  <c r="BS250" i="65" s="1"/>
  <c r="BS251" i="65" s="1"/>
  <c r="BS252" i="65" s="1"/>
  <c r="BS253" i="65" s="1"/>
  <c r="BS254" i="65" s="1"/>
  <c r="BS255" i="65" s="1"/>
  <c r="BS256" i="65" s="1"/>
  <c r="BS257" i="65" s="1"/>
  <c r="BS258" i="65" s="1"/>
  <c r="BS259" i="65" s="1"/>
  <c r="BS260" i="65" s="1"/>
  <c r="BS261" i="65" s="1"/>
  <c r="BS262" i="65" s="1"/>
  <c r="CI157" i="65"/>
  <c r="CI158" i="65" s="1"/>
  <c r="CI159" i="65" s="1"/>
  <c r="CI160" i="65" s="1"/>
  <c r="CI161" i="65" s="1"/>
  <c r="CI162" i="65" s="1"/>
  <c r="CI163" i="65" s="1"/>
  <c r="CI164" i="65" s="1"/>
  <c r="CI165" i="65" s="1"/>
  <c r="CI166" i="65" s="1"/>
  <c r="CI167" i="65" s="1"/>
  <c r="CI168" i="65" s="1"/>
  <c r="CI169" i="65" s="1"/>
  <c r="CI170" i="65" s="1"/>
  <c r="CI171" i="65" s="1"/>
  <c r="CI172" i="65" s="1"/>
  <c r="CI173" i="65" s="1"/>
  <c r="CI174" i="65" s="1"/>
  <c r="CI175" i="65" s="1"/>
  <c r="CI176" i="65" s="1"/>
  <c r="CI177" i="65" s="1"/>
  <c r="CI178" i="65" s="1"/>
  <c r="CI179" i="65" s="1"/>
  <c r="CI180" i="65" s="1"/>
  <c r="CI181" i="65" s="1"/>
  <c r="CI182" i="65" s="1"/>
  <c r="CI183" i="65" s="1"/>
  <c r="CI184" i="65" s="1"/>
  <c r="CI185" i="65" s="1"/>
  <c r="CI186" i="65" s="1"/>
  <c r="CI187" i="65" s="1"/>
  <c r="CI188" i="65" s="1"/>
  <c r="CI189" i="65" s="1"/>
  <c r="CI190" i="65" s="1"/>
  <c r="CI191" i="65" s="1"/>
  <c r="CI192" i="65" s="1"/>
  <c r="CI193" i="65" s="1"/>
  <c r="CI194" i="65" s="1"/>
  <c r="CI195" i="65" s="1"/>
  <c r="CI196" i="65" s="1"/>
  <c r="CI197" i="65" s="1"/>
  <c r="CI198" i="65" s="1"/>
  <c r="CI199" i="65" s="1"/>
  <c r="CI200" i="65" s="1"/>
  <c r="CI201" i="65" s="1"/>
  <c r="CI202" i="65" s="1"/>
  <c r="CI203" i="65" s="1"/>
  <c r="CI204" i="65" s="1"/>
  <c r="CI205" i="65" s="1"/>
  <c r="CI206" i="65" s="1"/>
  <c r="CI207" i="65" s="1"/>
  <c r="CI208" i="65" s="1"/>
  <c r="CI209" i="65" s="1"/>
  <c r="CI210" i="65" s="1"/>
  <c r="CI211" i="65" s="1"/>
  <c r="CI212" i="65" s="1"/>
  <c r="CI213" i="65" s="1"/>
  <c r="CI214" i="65" s="1"/>
  <c r="CI215" i="65" s="1"/>
  <c r="CI216" i="65" s="1"/>
  <c r="CI217" i="65" s="1"/>
  <c r="CI218" i="65" s="1"/>
  <c r="CI219" i="65" s="1"/>
  <c r="CI220" i="65" s="1"/>
  <c r="CI221" i="65" s="1"/>
  <c r="CI222" i="65" s="1"/>
  <c r="CI223" i="65" s="1"/>
  <c r="CI224" i="65" s="1"/>
  <c r="CI225" i="65" s="1"/>
  <c r="CI226" i="65" s="1"/>
  <c r="CI227" i="65" s="1"/>
  <c r="CI228" i="65" s="1"/>
  <c r="CI229" i="65" s="1"/>
  <c r="CI230" i="65" s="1"/>
  <c r="CI231" i="65" s="1"/>
  <c r="CI232" i="65" s="1"/>
  <c r="CI233" i="65" s="1"/>
  <c r="CI234" i="65" s="1"/>
  <c r="CI235" i="65" s="1"/>
  <c r="CI236" i="65" s="1"/>
  <c r="CI237" i="65" s="1"/>
  <c r="CI238" i="65" s="1"/>
  <c r="CI239" i="65" s="1"/>
  <c r="CI240" i="65" s="1"/>
  <c r="CI241" i="65" s="1"/>
  <c r="CI242" i="65" s="1"/>
  <c r="CI243" i="65" s="1"/>
  <c r="CI244" i="65" s="1"/>
  <c r="CI245" i="65" s="1"/>
  <c r="CI246" i="65" s="1"/>
  <c r="CI247" i="65" s="1"/>
  <c r="CI248" i="65" s="1"/>
  <c r="CI249" i="65" s="1"/>
  <c r="CI250" i="65" s="1"/>
  <c r="CI251" i="65" s="1"/>
  <c r="CI252" i="65" s="1"/>
  <c r="CI253" i="65" s="1"/>
  <c r="CI254" i="65" s="1"/>
  <c r="CI255" i="65" s="1"/>
  <c r="CI256" i="65" s="1"/>
  <c r="CI257" i="65" s="1"/>
  <c r="CI258" i="65" s="1"/>
  <c r="CI259" i="65" s="1"/>
  <c r="CI260" i="65" s="1"/>
  <c r="CI261" i="65" s="1"/>
  <c r="CI262" i="65" s="1"/>
  <c r="EF46" i="65"/>
  <c r="CZ158" i="65"/>
  <c r="CZ159" i="65" s="1"/>
  <c r="CZ160" i="65" s="1"/>
  <c r="CZ161" i="65" s="1"/>
  <c r="CZ162" i="65" s="1"/>
  <c r="CZ163" i="65" s="1"/>
  <c r="CZ164" i="65" s="1"/>
  <c r="CZ165" i="65" s="1"/>
  <c r="CZ166" i="65" s="1"/>
  <c r="CZ167" i="65" s="1"/>
  <c r="CZ168" i="65" s="1"/>
  <c r="CZ169" i="65" s="1"/>
  <c r="CZ170" i="65" s="1"/>
  <c r="CZ171" i="65" s="1"/>
  <c r="CZ172" i="65" s="1"/>
  <c r="CZ173" i="65" s="1"/>
  <c r="CZ174" i="65" s="1"/>
  <c r="CZ175" i="65" s="1"/>
  <c r="CZ176" i="65" s="1"/>
  <c r="CZ177" i="65" s="1"/>
  <c r="CZ178" i="65" s="1"/>
  <c r="CZ179" i="65" s="1"/>
  <c r="CZ180" i="65" s="1"/>
  <c r="CZ181" i="65" s="1"/>
  <c r="CZ182" i="65" s="1"/>
  <c r="CZ183" i="65" s="1"/>
  <c r="CZ184" i="65" s="1"/>
  <c r="CZ185" i="65" s="1"/>
  <c r="CZ186" i="65" s="1"/>
  <c r="CZ187" i="65" s="1"/>
  <c r="CZ188" i="65" s="1"/>
  <c r="CZ189" i="65" s="1"/>
  <c r="CZ190" i="65" s="1"/>
  <c r="CZ191" i="65" s="1"/>
  <c r="CZ192" i="65" s="1"/>
  <c r="CZ193" i="65" s="1"/>
  <c r="CZ194" i="65" s="1"/>
  <c r="CZ195" i="65" s="1"/>
  <c r="CZ196" i="65" s="1"/>
  <c r="CZ197" i="65" s="1"/>
  <c r="CZ198" i="65" s="1"/>
  <c r="CZ199" i="65" s="1"/>
  <c r="CZ200" i="65" s="1"/>
  <c r="CZ201" i="65" s="1"/>
  <c r="CZ202" i="65" s="1"/>
  <c r="CZ203" i="65" s="1"/>
  <c r="CZ204" i="65" s="1"/>
  <c r="CZ205" i="65" s="1"/>
  <c r="CZ206" i="65" s="1"/>
  <c r="CZ207" i="65" s="1"/>
  <c r="CZ208" i="65" s="1"/>
  <c r="CZ209" i="65" s="1"/>
  <c r="CZ210" i="65" s="1"/>
  <c r="CZ211" i="65" s="1"/>
  <c r="CZ212" i="65" s="1"/>
  <c r="CZ213" i="65" s="1"/>
  <c r="CZ214" i="65" s="1"/>
  <c r="CZ215" i="65" s="1"/>
  <c r="CZ216" i="65" s="1"/>
  <c r="CZ217" i="65" s="1"/>
  <c r="CZ218" i="65" s="1"/>
  <c r="CZ219" i="65" s="1"/>
  <c r="CZ220" i="65" s="1"/>
  <c r="CZ221" i="65" s="1"/>
  <c r="CZ222" i="65" s="1"/>
  <c r="CZ223" i="65" s="1"/>
  <c r="CZ224" i="65" s="1"/>
  <c r="CZ225" i="65" s="1"/>
  <c r="CZ226" i="65" s="1"/>
  <c r="CZ227" i="65" s="1"/>
  <c r="CZ228" i="65" s="1"/>
  <c r="CZ229" i="65" s="1"/>
  <c r="CZ230" i="65" s="1"/>
  <c r="CZ231" i="65" s="1"/>
  <c r="CZ232" i="65" s="1"/>
  <c r="CZ233" i="65" s="1"/>
  <c r="CZ234" i="65" s="1"/>
  <c r="CZ235" i="65" s="1"/>
  <c r="CZ236" i="65" s="1"/>
  <c r="CZ237" i="65" s="1"/>
  <c r="CZ238" i="65" s="1"/>
  <c r="CZ239" i="65" s="1"/>
  <c r="CZ240" i="65" s="1"/>
  <c r="CZ241" i="65" s="1"/>
  <c r="CZ242" i="65" s="1"/>
  <c r="CZ243" i="65" s="1"/>
  <c r="CZ244" i="65" s="1"/>
  <c r="CZ245" i="65" s="1"/>
  <c r="CZ246" i="65" s="1"/>
  <c r="CZ247" i="65" s="1"/>
  <c r="CZ248" i="65" s="1"/>
  <c r="CZ249" i="65" s="1"/>
  <c r="CZ250" i="65" s="1"/>
  <c r="CZ251" i="65" s="1"/>
  <c r="CZ252" i="65" s="1"/>
  <c r="CZ253" i="65" s="1"/>
  <c r="CZ254" i="65" s="1"/>
  <c r="CZ255" i="65" s="1"/>
  <c r="CZ256" i="65" s="1"/>
  <c r="CZ257" i="65" s="1"/>
  <c r="CZ258" i="65" s="1"/>
  <c r="CZ259" i="65" s="1"/>
  <c r="CZ260" i="65" s="1"/>
  <c r="CZ261" i="65" s="1"/>
  <c r="CZ262" i="65" s="1"/>
  <c r="DP158" i="65"/>
  <c r="DP159" i="65" s="1"/>
  <c r="DP160" i="65" s="1"/>
  <c r="DP161" i="65" s="1"/>
  <c r="DP162" i="65" s="1"/>
  <c r="DP163" i="65" s="1"/>
  <c r="DP164" i="65" s="1"/>
  <c r="DP165" i="65" s="1"/>
  <c r="DP166" i="65" s="1"/>
  <c r="DP167" i="65" s="1"/>
  <c r="DP168" i="65" s="1"/>
  <c r="DP169" i="65" s="1"/>
  <c r="DP170" i="65" s="1"/>
  <c r="DP171" i="65" s="1"/>
  <c r="DP172" i="65" s="1"/>
  <c r="DP173" i="65" s="1"/>
  <c r="DP174" i="65" s="1"/>
  <c r="DP175" i="65" s="1"/>
  <c r="DP176" i="65" s="1"/>
  <c r="DP177" i="65" s="1"/>
  <c r="DP178" i="65" s="1"/>
  <c r="DP179" i="65" s="1"/>
  <c r="DP180" i="65" s="1"/>
  <c r="DP181" i="65" s="1"/>
  <c r="DP182" i="65" s="1"/>
  <c r="DP183" i="65" s="1"/>
  <c r="DP184" i="65" s="1"/>
  <c r="DP185" i="65" s="1"/>
  <c r="DP186" i="65" s="1"/>
  <c r="DP187" i="65" s="1"/>
  <c r="DP188" i="65" s="1"/>
  <c r="DP189" i="65" s="1"/>
  <c r="DP190" i="65" s="1"/>
  <c r="DP191" i="65" s="1"/>
  <c r="DP192" i="65" s="1"/>
  <c r="DP193" i="65" s="1"/>
  <c r="DP194" i="65" s="1"/>
  <c r="DP195" i="65" s="1"/>
  <c r="DP196" i="65" s="1"/>
  <c r="DP197" i="65" s="1"/>
  <c r="DP198" i="65" s="1"/>
  <c r="DP199" i="65" s="1"/>
  <c r="DP200" i="65" s="1"/>
  <c r="DP201" i="65" s="1"/>
  <c r="DP202" i="65" s="1"/>
  <c r="DP203" i="65" s="1"/>
  <c r="DP204" i="65" s="1"/>
  <c r="DP205" i="65" s="1"/>
  <c r="DP206" i="65" s="1"/>
  <c r="DP207" i="65" s="1"/>
  <c r="DP208" i="65" s="1"/>
  <c r="DP209" i="65" s="1"/>
  <c r="DP210" i="65" s="1"/>
  <c r="DP211" i="65" s="1"/>
  <c r="DP212" i="65" s="1"/>
  <c r="DP213" i="65" s="1"/>
  <c r="DP214" i="65" s="1"/>
  <c r="DP215" i="65" s="1"/>
  <c r="DP216" i="65" s="1"/>
  <c r="DP217" i="65" s="1"/>
  <c r="DP218" i="65" s="1"/>
  <c r="DP219" i="65" s="1"/>
  <c r="DP220" i="65" s="1"/>
  <c r="DP221" i="65" s="1"/>
  <c r="DP222" i="65" s="1"/>
  <c r="DP223" i="65" s="1"/>
  <c r="DP224" i="65" s="1"/>
  <c r="DP225" i="65" s="1"/>
  <c r="DP226" i="65" s="1"/>
  <c r="DP227" i="65" s="1"/>
  <c r="DP228" i="65" s="1"/>
  <c r="DP229" i="65" s="1"/>
  <c r="DP230" i="65" s="1"/>
  <c r="DP231" i="65" s="1"/>
  <c r="DP232" i="65" s="1"/>
  <c r="DP233" i="65" s="1"/>
  <c r="DP234" i="65" s="1"/>
  <c r="DP235" i="65" s="1"/>
  <c r="DP236" i="65" s="1"/>
  <c r="DP237" i="65" s="1"/>
  <c r="DP238" i="65" s="1"/>
  <c r="DP239" i="65" s="1"/>
  <c r="DP240" i="65" s="1"/>
  <c r="DP241" i="65" s="1"/>
  <c r="DP242" i="65" s="1"/>
  <c r="DP243" i="65" s="1"/>
  <c r="DP244" i="65" s="1"/>
  <c r="DP245" i="65" s="1"/>
  <c r="DP246" i="65" s="1"/>
  <c r="DP247" i="65" s="1"/>
  <c r="DP248" i="65" s="1"/>
  <c r="DP249" i="65" s="1"/>
  <c r="DP250" i="65" s="1"/>
  <c r="DP251" i="65" s="1"/>
  <c r="DP252" i="65" s="1"/>
  <c r="DP253" i="65" s="1"/>
  <c r="DP254" i="65" s="1"/>
  <c r="DP255" i="65" s="1"/>
  <c r="DP256" i="65" s="1"/>
  <c r="DP257" i="65" s="1"/>
  <c r="DP258" i="65" s="1"/>
  <c r="DP259" i="65" s="1"/>
  <c r="DP260" i="65" s="1"/>
  <c r="DP261" i="65" s="1"/>
  <c r="DP262" i="65" s="1"/>
  <c r="EG47" i="65"/>
  <c r="EH48" i="65"/>
  <c r="EI49" i="65"/>
  <c r="DS161" i="65"/>
  <c r="DS162" i="65" s="1"/>
  <c r="DS163" i="65" s="1"/>
  <c r="DS164" i="65" s="1"/>
  <c r="DS165" i="65" s="1"/>
  <c r="DS166" i="65" s="1"/>
  <c r="DS167" i="65" s="1"/>
  <c r="DS168" i="65" s="1"/>
  <c r="DS169" i="65" s="1"/>
  <c r="DS170" i="65" s="1"/>
  <c r="DS171" i="65" s="1"/>
  <c r="DS172" i="65" s="1"/>
  <c r="DS173" i="65" s="1"/>
  <c r="DS174" i="65" s="1"/>
  <c r="DS175" i="65" s="1"/>
  <c r="DS176" i="65" s="1"/>
  <c r="DS177" i="65" s="1"/>
  <c r="DS178" i="65" s="1"/>
  <c r="DS179" i="65" s="1"/>
  <c r="DS180" i="65" s="1"/>
  <c r="DS181" i="65" s="1"/>
  <c r="DS182" i="65" s="1"/>
  <c r="DS183" i="65" s="1"/>
  <c r="DS184" i="65" s="1"/>
  <c r="DS185" i="65" s="1"/>
  <c r="DS186" i="65" s="1"/>
  <c r="DS187" i="65" s="1"/>
  <c r="DS188" i="65" s="1"/>
  <c r="DS189" i="65" s="1"/>
  <c r="DS190" i="65" s="1"/>
  <c r="DS191" i="65" s="1"/>
  <c r="DS192" i="65" s="1"/>
  <c r="DS193" i="65" s="1"/>
  <c r="DS194" i="65" s="1"/>
  <c r="DS195" i="65" s="1"/>
  <c r="DS196" i="65" s="1"/>
  <c r="DS197" i="65" s="1"/>
  <c r="DS198" i="65" s="1"/>
  <c r="DS199" i="65" s="1"/>
  <c r="DS200" i="65" s="1"/>
  <c r="DS201" i="65" s="1"/>
  <c r="DS202" i="65" s="1"/>
  <c r="DS203" i="65" s="1"/>
  <c r="DS204" i="65" s="1"/>
  <c r="DS205" i="65" s="1"/>
  <c r="DS206" i="65" s="1"/>
  <c r="DS207" i="65" s="1"/>
  <c r="DS208" i="65" s="1"/>
  <c r="DS209" i="65" s="1"/>
  <c r="DS210" i="65" s="1"/>
  <c r="DS211" i="65" s="1"/>
  <c r="DS212" i="65" s="1"/>
  <c r="DS213" i="65" s="1"/>
  <c r="DS214" i="65" s="1"/>
  <c r="DS215" i="65" s="1"/>
  <c r="DS216" i="65" s="1"/>
  <c r="DS217" i="65" s="1"/>
  <c r="DS218" i="65" s="1"/>
  <c r="DS219" i="65" s="1"/>
  <c r="DS220" i="65" s="1"/>
  <c r="DS221" i="65" s="1"/>
  <c r="DS222" i="65" s="1"/>
  <c r="DS223" i="65" s="1"/>
  <c r="DS224" i="65" s="1"/>
  <c r="DS225" i="65" s="1"/>
  <c r="DS226" i="65" s="1"/>
  <c r="DS227" i="65" s="1"/>
  <c r="DS228" i="65" s="1"/>
  <c r="DS229" i="65" s="1"/>
  <c r="DS230" i="65" s="1"/>
  <c r="DS231" i="65" s="1"/>
  <c r="DS232" i="65" s="1"/>
  <c r="DS233" i="65" s="1"/>
  <c r="DS234" i="65" s="1"/>
  <c r="DS235" i="65" s="1"/>
  <c r="DS236" i="65" s="1"/>
  <c r="DS237" i="65" s="1"/>
  <c r="DS238" i="65" s="1"/>
  <c r="DS239" i="65" s="1"/>
  <c r="DS240" i="65" s="1"/>
  <c r="DS241" i="65" s="1"/>
  <c r="DS242" i="65" s="1"/>
  <c r="DS243" i="65" s="1"/>
  <c r="DS244" i="65" s="1"/>
  <c r="DS245" i="65" s="1"/>
  <c r="DS246" i="65" s="1"/>
  <c r="DS247" i="65" s="1"/>
  <c r="DS248" i="65" s="1"/>
  <c r="DS249" i="65" s="1"/>
  <c r="DS250" i="65" s="1"/>
  <c r="DS251" i="65" s="1"/>
  <c r="DS252" i="65" s="1"/>
  <c r="DS253" i="65" s="1"/>
  <c r="DS254" i="65" s="1"/>
  <c r="DS255" i="65" s="1"/>
  <c r="DS256" i="65" s="1"/>
  <c r="DS257" i="65" s="1"/>
  <c r="DS258" i="65" s="1"/>
  <c r="DS259" i="65" s="1"/>
  <c r="DS260" i="65" s="1"/>
  <c r="DS261" i="65" s="1"/>
  <c r="DS262" i="65" s="1"/>
  <c r="EJ50" i="65"/>
  <c r="EK51" i="65"/>
  <c r="EM52" i="65"/>
  <c r="DY53" i="65"/>
  <c r="ER53" i="65"/>
  <c r="EF54" i="65"/>
  <c r="EN55" i="65"/>
  <c r="ER55" i="65"/>
  <c r="EB56" i="65"/>
  <c r="EL56" i="65"/>
  <c r="P57" i="65"/>
  <c r="EE57" i="65"/>
  <c r="EK59" i="65"/>
  <c r="EC60" i="65"/>
  <c r="ER60" i="65"/>
  <c r="EA63" i="65"/>
  <c r="EB64" i="65"/>
  <c r="EC65" i="65"/>
  <c r="ED66" i="65"/>
  <c r="EE67" i="65"/>
  <c r="EF68" i="65"/>
  <c r="DY68" i="65"/>
  <c r="DZ71" i="65"/>
  <c r="EN70" i="65"/>
  <c r="EB71" i="65"/>
  <c r="DY73" i="65"/>
  <c r="ER76" i="65"/>
  <c r="EL72" i="65"/>
  <c r="DZ73" i="65"/>
  <c r="ER74" i="65"/>
  <c r="EQ75" i="65"/>
  <c r="DZ75" i="65"/>
  <c r="DZ77" i="65"/>
  <c r="AB165" i="65"/>
  <c r="AB166" i="65" s="1"/>
  <c r="AB167" i="65" s="1"/>
  <c r="AB168" i="65" s="1"/>
  <c r="AB169" i="65" s="1"/>
  <c r="AB170" i="65" s="1"/>
  <c r="AB171" i="65" s="1"/>
  <c r="AB172" i="65" s="1"/>
  <c r="AB173" i="65" s="1"/>
  <c r="AB174" i="65" s="1"/>
  <c r="AB175" i="65" s="1"/>
  <c r="AB176" i="65" s="1"/>
  <c r="AB177" i="65" s="1"/>
  <c r="AB178" i="65" s="1"/>
  <c r="AB179" i="65" s="1"/>
  <c r="AB180" i="65" s="1"/>
  <c r="AB181" i="65" s="1"/>
  <c r="AB182" i="65" s="1"/>
  <c r="AB183" i="65" s="1"/>
  <c r="AB184" i="65" s="1"/>
  <c r="AB185" i="65" s="1"/>
  <c r="AB186" i="65" s="1"/>
  <c r="AB187" i="65" s="1"/>
  <c r="AB188" i="65" s="1"/>
  <c r="AB189" i="65" s="1"/>
  <c r="AB190" i="65" s="1"/>
  <c r="AB191" i="65" s="1"/>
  <c r="AB192" i="65" s="1"/>
  <c r="AB193" i="65" s="1"/>
  <c r="AB194" i="65" s="1"/>
  <c r="AB195" i="65" s="1"/>
  <c r="AB196" i="65" s="1"/>
  <c r="AB197" i="65" s="1"/>
  <c r="AB198" i="65" s="1"/>
  <c r="AB199" i="65" s="1"/>
  <c r="AB200" i="65" s="1"/>
  <c r="AB201" i="65" s="1"/>
  <c r="AB202" i="65" s="1"/>
  <c r="AB203" i="65" s="1"/>
  <c r="AB204" i="65" s="1"/>
  <c r="AB205" i="65" s="1"/>
  <c r="AB206" i="65" s="1"/>
  <c r="AB207" i="65" s="1"/>
  <c r="AB208" i="65" s="1"/>
  <c r="AB209" i="65" s="1"/>
  <c r="AB210" i="65" s="1"/>
  <c r="AB211" i="65" s="1"/>
  <c r="AB212" i="65" s="1"/>
  <c r="AB213" i="65" s="1"/>
  <c r="AB214" i="65" s="1"/>
  <c r="AB215" i="65" s="1"/>
  <c r="AB216" i="65" s="1"/>
  <c r="AB217" i="65" s="1"/>
  <c r="AB218" i="65" s="1"/>
  <c r="AB219" i="65" s="1"/>
  <c r="AB220" i="65" s="1"/>
  <c r="AB221" i="65" s="1"/>
  <c r="AB222" i="65" s="1"/>
  <c r="AB223" i="65" s="1"/>
  <c r="AB224" i="65" s="1"/>
  <c r="AB225" i="65" s="1"/>
  <c r="AB226" i="65" s="1"/>
  <c r="AB227" i="65" s="1"/>
  <c r="AB228" i="65" s="1"/>
  <c r="AB229" i="65" s="1"/>
  <c r="AB230" i="65" s="1"/>
  <c r="AB231" i="65" s="1"/>
  <c r="AB232" i="65" s="1"/>
  <c r="AB233" i="65" s="1"/>
  <c r="AB234" i="65" s="1"/>
  <c r="AB235" i="65" s="1"/>
  <c r="AB236" i="65" s="1"/>
  <c r="AB237" i="65" s="1"/>
  <c r="AB238" i="65" s="1"/>
  <c r="AB239" i="65" s="1"/>
  <c r="AB240" i="65" s="1"/>
  <c r="AB241" i="65" s="1"/>
  <c r="AB242" i="65" s="1"/>
  <c r="AB243" i="65" s="1"/>
  <c r="AB244" i="65" s="1"/>
  <c r="AB245" i="65" s="1"/>
  <c r="AB246" i="65" s="1"/>
  <c r="AB247" i="65" s="1"/>
  <c r="AB248" i="65" s="1"/>
  <c r="AB249" i="65" s="1"/>
  <c r="AB250" i="65" s="1"/>
  <c r="AB251" i="65" s="1"/>
  <c r="AB252" i="65" s="1"/>
  <c r="AB253" i="65" s="1"/>
  <c r="AB254" i="65" s="1"/>
  <c r="AB255" i="65" s="1"/>
  <c r="AB256" i="65" s="1"/>
  <c r="AB257" i="65" s="1"/>
  <c r="AB258" i="65" s="1"/>
  <c r="AB259" i="65" s="1"/>
  <c r="AB260" i="65" s="1"/>
  <c r="AB261" i="65" s="1"/>
  <c r="AB262" i="65" s="1"/>
  <c r="EL69" i="65"/>
  <c r="EN72" i="65"/>
  <c r="EB73" i="65"/>
  <c r="EL68" i="65"/>
  <c r="ER70" i="65"/>
  <c r="EI73" i="65"/>
  <c r="EC77" i="65"/>
  <c r="EJ73" i="65"/>
  <c r="DZ74" i="65"/>
  <c r="ED77" i="65"/>
  <c r="EH71" i="65"/>
  <c r="EK73" i="65"/>
  <c r="EA74" i="65"/>
  <c r="EA75" i="65"/>
  <c r="EB76" i="65"/>
  <c r="EE77" i="65"/>
  <c r="EH62" i="65"/>
  <c r="EI63" i="65"/>
  <c r="EJ64" i="65"/>
  <c r="EK65" i="65"/>
  <c r="EL66" i="65"/>
  <c r="EM67" i="65"/>
  <c r="EO68" i="65"/>
  <c r="EQ69" i="65"/>
  <c r="EI71" i="65"/>
  <c r="EB74" i="65"/>
  <c r="EH74" i="65"/>
  <c r="EB75" i="65"/>
  <c r="EC76" i="65"/>
  <c r="ED70" i="65"/>
  <c r="EC72" i="65"/>
  <c r="EC74" i="65"/>
  <c r="EC75" i="65"/>
  <c r="EH75" i="65"/>
  <c r="ED76" i="65"/>
  <c r="DX72" i="65"/>
  <c r="EJ74" i="65"/>
  <c r="EE76" i="65"/>
  <c r="ER68" i="65"/>
  <c r="EF70" i="65"/>
  <c r="DY72" i="65"/>
  <c r="EE72" i="65"/>
  <c r="EO73" i="65"/>
  <c r="EF76" i="65"/>
  <c r="EK61" i="65"/>
  <c r="EL62" i="65"/>
  <c r="EM63" i="65"/>
  <c r="EN64" i="65"/>
  <c r="EO65" i="65"/>
  <c r="EP66" i="65"/>
  <c r="EQ67" i="65"/>
  <c r="EG70" i="65"/>
  <c r="EM71" i="65"/>
  <c r="EF72" i="65"/>
  <c r="DX73" i="65"/>
  <c r="EL74" i="65"/>
  <c r="EF75" i="65"/>
  <c r="EK75" i="65"/>
  <c r="DX63" i="65"/>
  <c r="DY64" i="65"/>
  <c r="DZ65" i="65"/>
  <c r="EA66" i="65"/>
  <c r="EB67" i="65"/>
  <c r="EC68" i="65"/>
  <c r="EE69" i="65"/>
  <c r="EH70" i="65"/>
  <c r="EN71" i="65"/>
  <c r="EA72" i="65"/>
  <c r="EG72" i="65"/>
  <c r="EA73" i="65"/>
  <c r="EN76" i="65"/>
  <c r="EL60" i="65"/>
  <c r="EM61" i="65"/>
  <c r="DX62" i="65"/>
  <c r="EN62" i="65"/>
  <c r="DY63" i="65"/>
  <c r="EO63" i="65"/>
  <c r="DZ64" i="65"/>
  <c r="EP64" i="65"/>
  <c r="EA65" i="65"/>
  <c r="EQ65" i="65"/>
  <c r="EB66" i="65"/>
  <c r="ER66" i="65"/>
  <c r="EC67" i="65"/>
  <c r="ED68" i="65"/>
  <c r="EF69" i="65"/>
  <c r="EI70" i="65"/>
  <c r="ER71" i="65"/>
  <c r="EH72" i="65"/>
  <c r="EC73" i="65"/>
  <c r="EM75" i="65"/>
  <c r="EG75" i="65"/>
  <c r="EJ57" i="65"/>
  <c r="EK58" i="65"/>
  <c r="EL59" i="65"/>
  <c r="EM60" i="65"/>
  <c r="EN61" i="65"/>
  <c r="EO62" i="65"/>
  <c r="EP63" i="65"/>
  <c r="EQ64" i="65"/>
  <c r="ER65" i="65"/>
  <c r="EG69" i="65"/>
  <c r="EL70" i="65"/>
  <c r="EJ70" i="65"/>
  <c r="DY71" i="65"/>
  <c r="EI72" i="65"/>
  <c r="ED73" i="65"/>
  <c r="DZ76" i="65"/>
  <c r="DY76" i="65"/>
  <c r="EA78" i="65"/>
  <c r="DF170" i="65"/>
  <c r="DF171" i="65" s="1"/>
  <c r="DF172" i="65" s="1"/>
  <c r="DF173" i="65" s="1"/>
  <c r="DF174" i="65" s="1"/>
  <c r="DF175" i="65" s="1"/>
  <c r="DF176" i="65" s="1"/>
  <c r="DF177" i="65" s="1"/>
  <c r="DF178" i="65" s="1"/>
  <c r="DF179" i="65" s="1"/>
  <c r="DF180" i="65" s="1"/>
  <c r="DF181" i="65" s="1"/>
  <c r="DF182" i="65" s="1"/>
  <c r="DF183" i="65" s="1"/>
  <c r="DF184" i="65" s="1"/>
  <c r="DF185" i="65" s="1"/>
  <c r="DF186" i="65" s="1"/>
  <c r="DF187" i="65" s="1"/>
  <c r="DF188" i="65" s="1"/>
  <c r="DF189" i="65" s="1"/>
  <c r="DF190" i="65" s="1"/>
  <c r="DF191" i="65" s="1"/>
  <c r="DF192" i="65" s="1"/>
  <c r="DF193" i="65" s="1"/>
  <c r="DF194" i="65" s="1"/>
  <c r="DF195" i="65" s="1"/>
  <c r="DF196" i="65" s="1"/>
  <c r="DF197" i="65" s="1"/>
  <c r="DF198" i="65" s="1"/>
  <c r="DF199" i="65" s="1"/>
  <c r="DF200" i="65" s="1"/>
  <c r="DF201" i="65" s="1"/>
  <c r="DF202" i="65" s="1"/>
  <c r="DF203" i="65" s="1"/>
  <c r="DF204" i="65" s="1"/>
  <c r="DF205" i="65" s="1"/>
  <c r="DF206" i="65" s="1"/>
  <c r="DF207" i="65" s="1"/>
  <c r="DF208" i="65" s="1"/>
  <c r="DF209" i="65" s="1"/>
  <c r="DF210" i="65" s="1"/>
  <c r="DF211" i="65" s="1"/>
  <c r="DF212" i="65" s="1"/>
  <c r="DF213" i="65" s="1"/>
  <c r="DF214" i="65" s="1"/>
  <c r="DF215" i="65" s="1"/>
  <c r="DF216" i="65" s="1"/>
  <c r="DF217" i="65" s="1"/>
  <c r="DF218" i="65" s="1"/>
  <c r="DF219" i="65" s="1"/>
  <c r="DF220" i="65" s="1"/>
  <c r="DF221" i="65" s="1"/>
  <c r="DF222" i="65" s="1"/>
  <c r="DF223" i="65" s="1"/>
  <c r="DF224" i="65" s="1"/>
  <c r="DF225" i="65" s="1"/>
  <c r="DF226" i="65" s="1"/>
  <c r="DF227" i="65" s="1"/>
  <c r="DF228" i="65" s="1"/>
  <c r="DF229" i="65" s="1"/>
  <c r="DF230" i="65" s="1"/>
  <c r="DF231" i="65" s="1"/>
  <c r="DF232" i="65" s="1"/>
  <c r="DF233" i="65" s="1"/>
  <c r="DF234" i="65" s="1"/>
  <c r="DF235" i="65" s="1"/>
  <c r="DF236" i="65" s="1"/>
  <c r="DF237" i="65" s="1"/>
  <c r="DF238" i="65" s="1"/>
  <c r="DF239" i="65" s="1"/>
  <c r="DF240" i="65" s="1"/>
  <c r="DF241" i="65" s="1"/>
  <c r="DF242" i="65" s="1"/>
  <c r="DF243" i="65" s="1"/>
  <c r="DF244" i="65" s="1"/>
  <c r="DF245" i="65" s="1"/>
  <c r="DF246" i="65" s="1"/>
  <c r="DF247" i="65" s="1"/>
  <c r="DF248" i="65" s="1"/>
  <c r="DF249" i="65" s="1"/>
  <c r="DF250" i="65" s="1"/>
  <c r="DF251" i="65" s="1"/>
  <c r="DF252" i="65" s="1"/>
  <c r="DF253" i="65" s="1"/>
  <c r="DF254" i="65" s="1"/>
  <c r="DF255" i="65" s="1"/>
  <c r="DF256" i="65" s="1"/>
  <c r="DF257" i="65" s="1"/>
  <c r="DF258" i="65" s="1"/>
  <c r="DF259" i="65" s="1"/>
  <c r="DF260" i="65" s="1"/>
  <c r="DF261" i="65" s="1"/>
  <c r="DF262" i="65" s="1"/>
  <c r="EO61" i="65"/>
  <c r="EP62" i="65"/>
  <c r="EQ63" i="65"/>
  <c r="ER64" i="65"/>
  <c r="EK69" i="65"/>
  <c r="EH69" i="65"/>
  <c r="EM70" i="65"/>
  <c r="EK70" i="65"/>
  <c r="EA71" i="65"/>
  <c r="EJ72" i="65"/>
  <c r="EK72" i="65"/>
  <c r="EE73" i="65"/>
  <c r="EP74" i="65"/>
  <c r="DY75" i="65"/>
  <c r="EA76" i="65"/>
  <c r="DX77" i="65"/>
  <c r="EL84" i="65"/>
  <c r="EB86" i="65"/>
  <c r="EM88" i="65"/>
  <c r="EC90" i="65"/>
  <c r="EH90" i="65"/>
  <c r="EG95" i="65"/>
  <c r="EK83" i="65"/>
  <c r="EQ85" i="65"/>
  <c r="EE87" i="65"/>
  <c r="EI87" i="65"/>
  <c r="DX88" i="65"/>
  <c r="EN88" i="65"/>
  <c r="EQ100" i="65"/>
  <c r="DY100" i="65"/>
  <c r="ED100" i="65"/>
  <c r="EC78" i="65"/>
  <c r="ED79" i="65"/>
  <c r="EE80" i="65"/>
  <c r="EJ82" i="65"/>
  <c r="DZ85" i="65"/>
  <c r="ER85" i="65"/>
  <c r="EE86" i="65"/>
  <c r="EF89" i="65"/>
  <c r="DX91" i="65"/>
  <c r="EN91" i="65"/>
  <c r="EK94" i="65"/>
  <c r="DX97" i="65"/>
  <c r="ED102" i="65"/>
  <c r="EH82" i="65"/>
  <c r="EJ83" i="65"/>
  <c r="EN84" i="65"/>
  <c r="EA85" i="65"/>
  <c r="EK87" i="65"/>
  <c r="EG89" i="65"/>
  <c r="EL89" i="65"/>
  <c r="EB93" i="65"/>
  <c r="EF94" i="65"/>
  <c r="EC98" i="65"/>
  <c r="DX71" i="65"/>
  <c r="EO72" i="65"/>
  <c r="EP73" i="65"/>
  <c r="EQ74" i="65"/>
  <c r="ER75" i="65"/>
  <c r="EH81" i="65"/>
  <c r="EI82" i="65"/>
  <c r="EL83" i="65"/>
  <c r="EL87" i="65"/>
  <c r="EQ88" i="65"/>
  <c r="EG90" i="65"/>
  <c r="DY99" i="65"/>
  <c r="EB101" i="65"/>
  <c r="EH80" i="65"/>
  <c r="EI81" i="65"/>
  <c r="ED86" i="65"/>
  <c r="EC88" i="65"/>
  <c r="EN89" i="65"/>
  <c r="EM90" i="65"/>
  <c r="EJ93" i="65"/>
  <c r="EA97" i="65"/>
  <c r="EP99" i="65"/>
  <c r="DX99" i="65"/>
  <c r="EC99" i="65"/>
  <c r="EG102" i="65"/>
  <c r="ED75" i="65"/>
  <c r="EL82" i="65"/>
  <c r="ER84" i="65"/>
  <c r="EQ84" i="65"/>
  <c r="EI86" i="65"/>
  <c r="EO87" i="65"/>
  <c r="EN87" i="65"/>
  <c r="DY89" i="65"/>
  <c r="EO89" i="65"/>
  <c r="EE93" i="65"/>
  <c r="DZ96" i="65"/>
  <c r="EB97" i="65"/>
  <c r="EM82" i="65"/>
  <c r="EO83" i="65"/>
  <c r="EP87" i="65"/>
  <c r="EO90" i="65"/>
  <c r="EA92" i="65"/>
  <c r="EA96" i="65"/>
  <c r="EA100" i="65"/>
  <c r="EH77" i="65"/>
  <c r="EI78" i="65"/>
  <c r="EJ79" i="65"/>
  <c r="EK80" i="65"/>
  <c r="EL81" i="65"/>
  <c r="EC85" i="65"/>
  <c r="EK86" i="65"/>
  <c r="EQ87" i="65"/>
  <c r="DZ88" i="65"/>
  <c r="DZ89" i="65"/>
  <c r="DX98" i="65"/>
  <c r="EF101" i="65"/>
  <c r="EO82" i="65"/>
  <c r="EQ83" i="65"/>
  <c r="EH85" i="65"/>
  <c r="EL86" i="65"/>
  <c r="EA88" i="65"/>
  <c r="EI92" i="65"/>
  <c r="EG92" i="65"/>
  <c r="EO98" i="65"/>
  <c r="EB98" i="65"/>
  <c r="EI76" i="65"/>
  <c r="EJ77" i="65"/>
  <c r="EK78" i="65"/>
  <c r="EL79" i="65"/>
  <c r="EM80" i="65"/>
  <c r="EN81" i="65"/>
  <c r="EN86" i="65"/>
  <c r="DX89" i="65"/>
  <c r="ED89" i="65"/>
  <c r="DZ91" i="65"/>
  <c r="ED92" i="65"/>
  <c r="EJ92" i="65"/>
  <c r="EF97" i="65"/>
  <c r="EH103" i="65"/>
  <c r="EI75" i="65"/>
  <c r="EJ76" i="65"/>
  <c r="EK77" i="65"/>
  <c r="EL78" i="65"/>
  <c r="EM79" i="65"/>
  <c r="EN80" i="65"/>
  <c r="EO81" i="65"/>
  <c r="EQ82" i="65"/>
  <c r="EB84" i="65"/>
  <c r="EJ85" i="65"/>
  <c r="EO86" i="65"/>
  <c r="DY87" i="65"/>
  <c r="EG91" i="65"/>
  <c r="EE92" i="65"/>
  <c r="DX94" i="65"/>
  <c r="EE96" i="65"/>
  <c r="DZ99" i="65"/>
  <c r="EE100" i="65"/>
  <c r="EC103" i="65"/>
  <c r="EM78" i="65"/>
  <c r="DX79" i="65"/>
  <c r="EN79" i="65"/>
  <c r="DY80" i="65"/>
  <c r="DZ81" i="65"/>
  <c r="EA82" i="65"/>
  <c r="ER82" i="65"/>
  <c r="EF84" i="65"/>
  <c r="EP86" i="65"/>
  <c r="EC87" i="65"/>
  <c r="DY90" i="65"/>
  <c r="EH91" i="65"/>
  <c r="EN97" i="65"/>
  <c r="EC102" i="65"/>
  <c r="EL76" i="65"/>
  <c r="EM77" i="65"/>
  <c r="DX78" i="65"/>
  <c r="EN78" i="65"/>
  <c r="DY79" i="65"/>
  <c r="EO79" i="65"/>
  <c r="DZ80" i="65"/>
  <c r="EP80" i="65"/>
  <c r="EA81" i="65"/>
  <c r="EQ81" i="65"/>
  <c r="EB82" i="65"/>
  <c r="ED83" i="65"/>
  <c r="EG84" i="65"/>
  <c r="EM85" i="65"/>
  <c r="EL85" i="65"/>
  <c r="DY86" i="65"/>
  <c r="ED87" i="65"/>
  <c r="EE88" i="65"/>
  <c r="EO88" i="65"/>
  <c r="EA89" i="65"/>
  <c r="EC91" i="65"/>
  <c r="EI91" i="65"/>
  <c r="EG96" i="65"/>
  <c r="DY102" i="65"/>
  <c r="ED106" i="65"/>
  <c r="EK74" i="65"/>
  <c r="EL75" i="65"/>
  <c r="EM76" i="65"/>
  <c r="EN77" i="65"/>
  <c r="DY78" i="65"/>
  <c r="EO78" i="65"/>
  <c r="DZ79" i="65"/>
  <c r="EA80" i="65"/>
  <c r="EB81" i="65"/>
  <c r="EC82" i="65"/>
  <c r="EE83" i="65"/>
  <c r="EH84" i="65"/>
  <c r="EN85" i="65"/>
  <c r="DZ86" i="65"/>
  <c r="ER86" i="65"/>
  <c r="EF87" i="65"/>
  <c r="EF88" i="65"/>
  <c r="ER88" i="65"/>
  <c r="EB89" i="65"/>
  <c r="EF90" i="65"/>
  <c r="ED91" i="65"/>
  <c r="EM96" i="65"/>
  <c r="ER101" i="65"/>
  <c r="DZ101" i="65"/>
  <c r="EE101" i="65"/>
  <c r="EQ104" i="65"/>
  <c r="DZ104" i="65"/>
  <c r="DX76" i="65"/>
  <c r="DY77" i="65"/>
  <c r="EO77" i="65"/>
  <c r="DZ78" i="65"/>
  <c r="EP78" i="65"/>
  <c r="EA79" i="65"/>
  <c r="EQ79" i="65"/>
  <c r="EB80" i="65"/>
  <c r="ER80" i="65"/>
  <c r="EC81" i="65"/>
  <c r="ED82" i="65"/>
  <c r="EF83" i="65"/>
  <c r="EI84" i="65"/>
  <c r="EO85" i="65"/>
  <c r="DX86" i="65"/>
  <c r="EA86" i="65"/>
  <c r="EG87" i="65"/>
  <c r="EP89" i="65"/>
  <c r="EB90" i="65"/>
  <c r="DX93" i="65"/>
  <c r="EL95" i="65"/>
  <c r="DY98" i="65"/>
  <c r="ED99" i="65"/>
  <c r="EI103" i="65"/>
  <c r="ER104" i="65"/>
  <c r="EK106" i="65"/>
  <c r="EL109" i="65"/>
  <c r="EC104" i="65"/>
  <c r="EL106" i="65"/>
  <c r="ED107" i="65"/>
  <c r="EG109" i="65"/>
  <c r="DX104" i="65"/>
  <c r="EG106" i="65"/>
  <c r="EE107" i="65"/>
  <c r="EE108" i="65"/>
  <c r="EK93" i="65"/>
  <c r="EL94" i="65"/>
  <c r="EM95" i="65"/>
  <c r="EN96" i="65"/>
  <c r="EO97" i="65"/>
  <c r="EP98" i="65"/>
  <c r="EQ99" i="65"/>
  <c r="ER100" i="65"/>
  <c r="EH102" i="65"/>
  <c r="EF102" i="65"/>
  <c r="DZ105" i="65"/>
  <c r="EF108" i="65"/>
  <c r="EK108" i="65"/>
  <c r="EC108" i="65"/>
  <c r="EH89" i="65"/>
  <c r="EI90" i="65"/>
  <c r="EJ91" i="65"/>
  <c r="EK92" i="65"/>
  <c r="EL93" i="65"/>
  <c r="EM94" i="65"/>
  <c r="EN95" i="65"/>
  <c r="EO96" i="65"/>
  <c r="EP97" i="65"/>
  <c r="EQ98" i="65"/>
  <c r="ER99" i="65"/>
  <c r="EC100" i="65"/>
  <c r="ED101" i="65"/>
  <c r="EA105" i="65"/>
  <c r="EL107" i="65"/>
  <c r="EA104" i="65"/>
  <c r="ED105" i="65"/>
  <c r="DX106" i="65"/>
  <c r="EM107" i="65"/>
  <c r="EM108" i="65"/>
  <c r="EJ102" i="65"/>
  <c r="EB104" i="65"/>
  <c r="DY105" i="65"/>
  <c r="EG105" i="65"/>
  <c r="DY106" i="65"/>
  <c r="EN108" i="65"/>
  <c r="EH101" i="65"/>
  <c r="EP103" i="65"/>
  <c r="EI104" i="65"/>
  <c r="EB106" i="65"/>
  <c r="ER106" i="65"/>
  <c r="EA106" i="65"/>
  <c r="DY92" i="65"/>
  <c r="EO92" i="65"/>
  <c r="DZ93" i="65"/>
  <c r="EP93" i="65"/>
  <c r="EA94" i="65"/>
  <c r="EQ94" i="65"/>
  <c r="EB95" i="65"/>
  <c r="ER95" i="65"/>
  <c r="EC96" i="65"/>
  <c r="ED97" i="65"/>
  <c r="EE98" i="65"/>
  <c r="EF99" i="65"/>
  <c r="EG100" i="65"/>
  <c r="EI101" i="65"/>
  <c r="EL102" i="65"/>
  <c r="EQ103" i="65"/>
  <c r="DX103" i="65"/>
  <c r="EJ104" i="65"/>
  <c r="EF106" i="65"/>
  <c r="DX90" i="65"/>
  <c r="EN90" i="65"/>
  <c r="DY91" i="65"/>
  <c r="EO91" i="65"/>
  <c r="DZ92" i="65"/>
  <c r="EP92" i="65"/>
  <c r="EA93" i="65"/>
  <c r="EQ93" i="65"/>
  <c r="EB94" i="65"/>
  <c r="ER94" i="65"/>
  <c r="EC95" i="65"/>
  <c r="ED96" i="65"/>
  <c r="EE97" i="65"/>
  <c r="EF98" i="65"/>
  <c r="EG99" i="65"/>
  <c r="EH100" i="65"/>
  <c r="EG101" i="65"/>
  <c r="EJ101" i="65"/>
  <c r="EM102" i="65"/>
  <c r="DY103" i="65"/>
  <c r="EE104" i="65"/>
  <c r="EB105" i="65"/>
  <c r="EG107" i="65"/>
  <c r="DY109" i="65"/>
  <c r="EP91" i="65"/>
  <c r="EQ92" i="65"/>
  <c r="ER93" i="65"/>
  <c r="EH99" i="65"/>
  <c r="EI100" i="65"/>
  <c r="EK101" i="65"/>
  <c r="EO102" i="65"/>
  <c r="EN102" i="65"/>
  <c r="EC105" i="65"/>
  <c r="DZ109" i="65"/>
  <c r="DZ90" i="65"/>
  <c r="EP90" i="65"/>
  <c r="EA91" i="65"/>
  <c r="EQ91" i="65"/>
  <c r="EB92" i="65"/>
  <c r="ER92" i="65"/>
  <c r="EC93" i="65"/>
  <c r="ED94" i="65"/>
  <c r="EE95" i="65"/>
  <c r="EF96" i="65"/>
  <c r="EG97" i="65"/>
  <c r="EH98" i="65"/>
  <c r="EI99" i="65"/>
  <c r="EJ100" i="65"/>
  <c r="EL101" i="65"/>
  <c r="EP102" i="65"/>
  <c r="EJ105" i="65"/>
  <c r="EP105" i="65"/>
  <c r="DX107" i="65"/>
  <c r="EC107" i="65"/>
  <c r="EJ107" i="65"/>
  <c r="DX108" i="65"/>
  <c r="EA90" i="65"/>
  <c r="EQ90" i="65"/>
  <c r="EB91" i="65"/>
  <c r="ER91" i="65"/>
  <c r="EC92" i="65"/>
  <c r="ED93" i="65"/>
  <c r="EH97" i="65"/>
  <c r="EI98" i="65"/>
  <c r="EJ99" i="65"/>
  <c r="EK100" i="65"/>
  <c r="EQ102" i="65"/>
  <c r="DZ103" i="65"/>
  <c r="ED103" i="65"/>
  <c r="EN104" i="65"/>
  <c r="EK105" i="65"/>
  <c r="EQ105" i="65"/>
  <c r="DY108" i="65"/>
  <c r="EP88" i="65"/>
  <c r="EQ89" i="65"/>
  <c r="ER90" i="65"/>
  <c r="EH96" i="65"/>
  <c r="EI97" i="65"/>
  <c r="EJ98" i="65"/>
  <c r="EK99" i="65"/>
  <c r="EL100" i="65"/>
  <c r="EN101" i="65"/>
  <c r="DZ102" i="65"/>
  <c r="ER102" i="65"/>
  <c r="EA103" i="65"/>
  <c r="EE103" i="65"/>
  <c r="EF105" i="65"/>
  <c r="DZ107" i="65"/>
  <c r="DY107" i="65"/>
  <c r="EG110" i="65"/>
  <c r="ER89" i="65"/>
  <c r="EF93" i="65"/>
  <c r="EG94" i="65"/>
  <c r="DX101" i="65"/>
  <c r="EA102" i="65"/>
  <c r="EG103" i="65"/>
  <c r="EF103" i="65"/>
  <c r="EC106" i="65"/>
  <c r="EQ106" i="65"/>
  <c r="EA108" i="65"/>
  <c r="EM110" i="65"/>
  <c r="EG120" i="65"/>
  <c r="EK122" i="65"/>
  <c r="EB129" i="65"/>
  <c r="EL134" i="65"/>
  <c r="EJ120" i="65"/>
  <c r="EI120" i="65"/>
  <c r="EQ121" i="65"/>
  <c r="EL122" i="65"/>
  <c r="EG134" i="65"/>
  <c r="DX112" i="65"/>
  <c r="DY113" i="65"/>
  <c r="DZ114" i="65"/>
  <c r="EA115" i="65"/>
  <c r="EB116" i="65"/>
  <c r="EC117" i="65"/>
  <c r="ED118" i="65"/>
  <c r="EE119" i="65"/>
  <c r="EK120" i="65"/>
  <c r="ER121" i="65"/>
  <c r="DZ121" i="65"/>
  <c r="EC123" i="65"/>
  <c r="EB123" i="65"/>
  <c r="EK133" i="65"/>
  <c r="EC137" i="65"/>
  <c r="DX111" i="65"/>
  <c r="EN111" i="65"/>
  <c r="DY112" i="65"/>
  <c r="EO112" i="65"/>
  <c r="DZ113" i="65"/>
  <c r="EP113" i="65"/>
  <c r="EA114" i="65"/>
  <c r="EQ114" i="65"/>
  <c r="EB115" i="65"/>
  <c r="ER115" i="65"/>
  <c r="EC116" i="65"/>
  <c r="ED117" i="65"/>
  <c r="EE118" i="65"/>
  <c r="EI119" i="65"/>
  <c r="EF119" i="65"/>
  <c r="EL120" i="65"/>
  <c r="EC121" i="65"/>
  <c r="ED123" i="65"/>
  <c r="EI123" i="65"/>
  <c r="DZ124" i="65"/>
  <c r="EF128" i="65"/>
  <c r="EE128" i="65"/>
  <c r="EF133" i="65"/>
  <c r="DZ138" i="65"/>
  <c r="EP138" i="65"/>
  <c r="DY138" i="65"/>
  <c r="EH104" i="65"/>
  <c r="EI105" i="65"/>
  <c r="EJ106" i="65"/>
  <c r="EK107" i="65"/>
  <c r="EL108" i="65"/>
  <c r="EM109" i="65"/>
  <c r="DX110" i="65"/>
  <c r="EN110" i="65"/>
  <c r="EO111" i="65"/>
  <c r="EP112" i="65"/>
  <c r="EQ113" i="65"/>
  <c r="ER114" i="65"/>
  <c r="EF118" i="65"/>
  <c r="EG119" i="65"/>
  <c r="ED121" i="65"/>
  <c r="EJ123" i="65"/>
  <c r="EA128" i="65"/>
  <c r="EJ132" i="65"/>
  <c r="EN109" i="65"/>
  <c r="EO110" i="65"/>
  <c r="EP111" i="65"/>
  <c r="EQ112" i="65"/>
  <c r="ER113" i="65"/>
  <c r="EH119" i="65"/>
  <c r="EK123" i="65"/>
  <c r="EE132" i="65"/>
  <c r="EO109" i="65"/>
  <c r="EP110" i="65"/>
  <c r="EQ111" i="65"/>
  <c r="ER112" i="65"/>
  <c r="EH118" i="65"/>
  <c r="EJ119" i="65"/>
  <c r="DY122" i="65"/>
  <c r="EL123" i="65"/>
  <c r="EC124" i="65"/>
  <c r="EG125" i="65"/>
  <c r="EE127" i="65"/>
  <c r="ED127" i="65"/>
  <c r="EB136" i="65"/>
  <c r="EG137" i="65"/>
  <c r="EA121" i="65"/>
  <c r="EG121" i="65"/>
  <c r="ER122" i="65"/>
  <c r="EM123" i="65"/>
  <c r="EJ124" i="65"/>
  <c r="DZ127" i="65"/>
  <c r="ED128" i="65"/>
  <c r="EI131" i="65"/>
  <c r="DZ135" i="65"/>
  <c r="DX138" i="65"/>
  <c r="EQ120" i="65"/>
  <c r="EB121" i="65"/>
  <c r="EH121" i="65"/>
  <c r="EE124" i="65"/>
  <c r="ED131" i="65"/>
  <c r="DY137" i="65"/>
  <c r="EO137" i="65"/>
  <c r="DX137" i="65"/>
  <c r="EM119" i="65"/>
  <c r="EI121" i="65"/>
  <c r="DX122" i="65"/>
  <c r="EE122" i="65"/>
  <c r="ED126" i="65"/>
  <c r="EC126" i="65"/>
  <c r="DY134" i="65"/>
  <c r="EO105" i="65"/>
  <c r="DZ106" i="65"/>
  <c r="EP106" i="65"/>
  <c r="EQ107" i="65"/>
  <c r="ER108" i="65"/>
  <c r="EH114" i="65"/>
  <c r="EI115" i="65"/>
  <c r="EJ116" i="65"/>
  <c r="EK117" i="65"/>
  <c r="EL118" i="65"/>
  <c r="EN119" i="65"/>
  <c r="EJ121" i="65"/>
  <c r="EF122" i="65"/>
  <c r="DY126" i="65"/>
  <c r="DZ134" i="65"/>
  <c r="ED109" i="65"/>
  <c r="EE110" i="65"/>
  <c r="EF111" i="65"/>
  <c r="EG112" i="65"/>
  <c r="EH113" i="65"/>
  <c r="EI114" i="65"/>
  <c r="EJ115" i="65"/>
  <c r="EK116" i="65"/>
  <c r="EL117" i="65"/>
  <c r="EM118" i="65"/>
  <c r="DX119" i="65"/>
  <c r="EO119" i="65"/>
  <c r="EK121" i="65"/>
  <c r="EG122" i="65"/>
  <c r="DZ123" i="65"/>
  <c r="EH130" i="65"/>
  <c r="EG130" i="65"/>
  <c r="EG131" i="65"/>
  <c r="DX133" i="65"/>
  <c r="ED108" i="65"/>
  <c r="EE109" i="65"/>
  <c r="EF110" i="65"/>
  <c r="EG111" i="65"/>
  <c r="EH112" i="65"/>
  <c r="EI113" i="65"/>
  <c r="EJ114" i="65"/>
  <c r="EK115" i="65"/>
  <c r="EL116" i="65"/>
  <c r="EM117" i="65"/>
  <c r="DX118" i="65"/>
  <c r="EN118" i="65"/>
  <c r="DY119" i="65"/>
  <c r="EC120" i="65"/>
  <c r="EA122" i="65"/>
  <c r="EA123" i="65"/>
  <c r="EC125" i="65"/>
  <c r="EB125" i="65"/>
  <c r="EC130" i="65"/>
  <c r="DY133" i="65"/>
  <c r="DX136" i="65"/>
  <c r="EN136" i="65"/>
  <c r="EC138" i="65"/>
  <c r="ER105" i="65"/>
  <c r="EH111" i="65"/>
  <c r="EI112" i="65"/>
  <c r="EJ113" i="65"/>
  <c r="EK114" i="65"/>
  <c r="EL115" i="65"/>
  <c r="EM116" i="65"/>
  <c r="EN117" i="65"/>
  <c r="EO118" i="65"/>
  <c r="EQ119" i="65"/>
  <c r="ED120" i="65"/>
  <c r="EB122" i="65"/>
  <c r="EE123" i="65"/>
  <c r="DY124" i="65"/>
  <c r="DX125" i="65"/>
  <c r="EB126" i="65"/>
  <c r="ED138" i="65"/>
  <c r="EH110" i="65"/>
  <c r="EI111" i="65"/>
  <c r="EJ112" i="65"/>
  <c r="EK113" i="65"/>
  <c r="EL114" i="65"/>
  <c r="EM115" i="65"/>
  <c r="DX116" i="65"/>
  <c r="EN116" i="65"/>
  <c r="DY117" i="65"/>
  <c r="EO117" i="65"/>
  <c r="DZ118" i="65"/>
  <c r="EP118" i="65"/>
  <c r="EA119" i="65"/>
  <c r="ER119" i="65"/>
  <c r="EA120" i="65"/>
  <c r="EE120" i="65"/>
  <c r="EC122" i="65"/>
  <c r="DY123" i="65"/>
  <c r="EF123" i="65"/>
  <c r="DX132" i="65"/>
  <c r="EG135" i="65"/>
  <c r="EE106" i="65"/>
  <c r="EF107" i="65"/>
  <c r="EG108" i="65"/>
  <c r="EH109" i="65"/>
  <c r="EI110" i="65"/>
  <c r="EJ111" i="65"/>
  <c r="EK112" i="65"/>
  <c r="EL113" i="65"/>
  <c r="EM114" i="65"/>
  <c r="DX115" i="65"/>
  <c r="EN115" i="65"/>
  <c r="DY116" i="65"/>
  <c r="EO116" i="65"/>
  <c r="DZ117" i="65"/>
  <c r="EP117" i="65"/>
  <c r="EA118" i="65"/>
  <c r="EQ118" i="65"/>
  <c r="EB119" i="65"/>
  <c r="EH120" i="65"/>
  <c r="EF120" i="65"/>
  <c r="EJ122" i="65"/>
  <c r="EG123" i="65"/>
  <c r="EB124" i="65"/>
  <c r="ER124" i="65"/>
  <c r="EA124" i="65"/>
  <c r="EG129" i="65"/>
  <c r="EF129" i="65"/>
  <c r="EM135" i="65"/>
  <c r="EE126" i="65"/>
  <c r="EF127" i="65"/>
  <c r="EG128" i="65"/>
  <c r="EH129" i="65"/>
  <c r="EI130" i="65"/>
  <c r="EJ131" i="65"/>
  <c r="EK132" i="65"/>
  <c r="EL133" i="65"/>
  <c r="EM134" i="65"/>
  <c r="EN135" i="65"/>
  <c r="EO136" i="65"/>
  <c r="EP137" i="65"/>
  <c r="EQ138" i="65"/>
  <c r="ED124" i="65"/>
  <c r="EH128" i="65"/>
  <c r="EI129" i="65"/>
  <c r="EJ130" i="65"/>
  <c r="EK131" i="65"/>
  <c r="EL132" i="65"/>
  <c r="EM133" i="65"/>
  <c r="EN134" i="65"/>
  <c r="EO135" i="65"/>
  <c r="EP136" i="65"/>
  <c r="EQ137" i="65"/>
  <c r="ER138" i="65"/>
  <c r="EF125" i="65"/>
  <c r="EH127" i="65"/>
  <c r="EI128" i="65"/>
  <c r="EJ129" i="65"/>
  <c r="EK130" i="65"/>
  <c r="EL131" i="65"/>
  <c r="EM132" i="65"/>
  <c r="EN133" i="65"/>
  <c r="EO134" i="65"/>
  <c r="EP135" i="65"/>
  <c r="EQ136" i="65"/>
  <c r="ER137" i="65"/>
  <c r="EF124" i="65"/>
  <c r="EI124" i="65"/>
  <c r="EJ125" i="65"/>
  <c r="EK126" i="65"/>
  <c r="EL127" i="65"/>
  <c r="EM128" i="65"/>
  <c r="EN129" i="65"/>
  <c r="EO130" i="65"/>
  <c r="EP131" i="65"/>
  <c r="EQ132" i="65"/>
  <c r="ER133" i="65"/>
  <c r="EK125" i="65"/>
  <c r="EL126" i="65"/>
  <c r="EM127" i="65"/>
  <c r="DX128" i="65"/>
  <c r="EN128" i="65"/>
  <c r="DY129" i="65"/>
  <c r="EO129" i="65"/>
  <c r="DZ130" i="65"/>
  <c r="EP130" i="65"/>
  <c r="EA131" i="65"/>
  <c r="EQ131" i="65"/>
  <c r="EB132" i="65"/>
  <c r="ER132" i="65"/>
  <c r="EC133" i="65"/>
  <c r="ED134" i="65"/>
  <c r="EE135" i="65"/>
  <c r="EF136" i="65"/>
  <c r="EH138" i="65"/>
  <c r="EK124" i="65"/>
  <c r="EL125" i="65"/>
  <c r="EM126" i="65"/>
  <c r="DX127" i="65"/>
  <c r="EN127" i="65"/>
  <c r="DY128" i="65"/>
  <c r="EO128" i="65"/>
  <c r="DZ129" i="65"/>
  <c r="EP129" i="65"/>
  <c r="EA130" i="65"/>
  <c r="EQ130" i="65"/>
  <c r="EB131" i="65"/>
  <c r="ER131" i="65"/>
  <c r="EC132" i="65"/>
  <c r="ED133" i="65"/>
  <c r="EE134" i="65"/>
  <c r="EF135" i="65"/>
  <c r="EG136" i="65"/>
  <c r="EH137" i="65"/>
  <c r="EI138" i="65"/>
  <c r="EL124" i="65"/>
  <c r="EM125" i="65"/>
  <c r="DX126" i="65"/>
  <c r="EN126" i="65"/>
  <c r="DY127" i="65"/>
  <c r="EO127" i="65"/>
  <c r="DZ128" i="65"/>
  <c r="EP128" i="65"/>
  <c r="EA129" i="65"/>
  <c r="EQ129" i="65"/>
  <c r="EB130" i="65"/>
  <c r="ER130" i="65"/>
  <c r="EC131" i="65"/>
  <c r="ED132" i="65"/>
  <c r="EE133" i="65"/>
  <c r="EH136" i="65"/>
  <c r="EI137" i="65"/>
  <c r="EJ138" i="65"/>
  <c r="EM124" i="65"/>
  <c r="EN125" i="65"/>
  <c r="EO126" i="65"/>
  <c r="EP127" i="65"/>
  <c r="EQ128" i="65"/>
  <c r="ER129" i="65"/>
  <c r="EH135" i="65"/>
  <c r="EI136" i="65"/>
  <c r="EJ137" i="65"/>
  <c r="EK138" i="65"/>
  <c r="DX124" i="65"/>
  <c r="EN124" i="65"/>
  <c r="DY125" i="65"/>
  <c r="EO125" i="65"/>
  <c r="DZ126" i="65"/>
  <c r="EP126" i="65"/>
  <c r="EA127" i="65"/>
  <c r="EQ127" i="65"/>
  <c r="EB128" i="65"/>
  <c r="ER128" i="65"/>
  <c r="EC129" i="65"/>
  <c r="ED130" i="65"/>
  <c r="EE131" i="65"/>
  <c r="EF132" i="65"/>
  <c r="EG133" i="65"/>
  <c r="EH134" i="65"/>
  <c r="EI135" i="65"/>
  <c r="EJ136" i="65"/>
  <c r="EK137" i="65"/>
  <c r="EL138" i="65"/>
  <c r="DW40" i="65" l="1"/>
  <c r="P149" i="65"/>
  <c r="DW149" i="65" s="1"/>
  <c r="P150" i="65"/>
  <c r="DW150" i="65" s="1"/>
  <c r="P151" i="65"/>
  <c r="DW151" i="65" s="1"/>
  <c r="I134" i="73"/>
  <c r="I132" i="73"/>
  <c r="I120" i="73"/>
  <c r="I135" i="73"/>
  <c r="I123" i="73"/>
  <c r="I130" i="73"/>
  <c r="I118" i="73"/>
  <c r="I122" i="73"/>
  <c r="I133" i="73"/>
  <c r="I121" i="73"/>
  <c r="I117" i="73"/>
  <c r="I136" i="73"/>
  <c r="I124" i="73"/>
  <c r="I131" i="73"/>
  <c r="I119" i="73"/>
  <c r="I125" i="73"/>
  <c r="H126" i="73"/>
  <c r="N35" i="51"/>
  <c r="DJ252" i="65"/>
  <c r="AI252" i="65"/>
  <c r="AI253" i="65" s="1"/>
  <c r="AI254" i="65" s="1"/>
  <c r="AI255" i="65" s="1"/>
  <c r="AI256" i="65" s="1"/>
  <c r="AI257" i="65" s="1"/>
  <c r="AI258" i="65" s="1"/>
  <c r="AI259" i="65" s="1"/>
  <c r="AI260" i="65" s="1"/>
  <c r="AI261" i="65" s="1"/>
  <c r="AI262" i="65" s="1"/>
  <c r="BN252" i="65"/>
  <c r="BN253" i="65" s="1"/>
  <c r="BN254" i="65" s="1"/>
  <c r="BN255" i="65" s="1"/>
  <c r="BN256" i="65" s="1"/>
  <c r="BN257" i="65" s="1"/>
  <c r="BN258" i="65" s="1"/>
  <c r="BN259" i="65" s="1"/>
  <c r="BN260" i="65" s="1"/>
  <c r="BN261" i="65" s="1"/>
  <c r="BN262" i="65" s="1"/>
  <c r="AW252" i="65"/>
  <c r="L57" i="10"/>
  <c r="AP157" i="65"/>
  <c r="EL157" i="65" s="1"/>
  <c r="K57" i="10"/>
  <c r="H59" i="10"/>
  <c r="F57" i="10"/>
  <c r="G59" i="10"/>
  <c r="DW155" i="65"/>
  <c r="AA156" i="65"/>
  <c r="AA157" i="65" s="1"/>
  <c r="AA158" i="65" s="1"/>
  <c r="AA159" i="65" s="1"/>
  <c r="AA160" i="65" s="1"/>
  <c r="AA161" i="65" s="1"/>
  <c r="AA162" i="65" s="1"/>
  <c r="AA163" i="65" s="1"/>
  <c r="AA164" i="65" s="1"/>
  <c r="AA165" i="65" s="1"/>
  <c r="AA166" i="65" s="1"/>
  <c r="AA167" i="65" s="1"/>
  <c r="AA168" i="65" s="1"/>
  <c r="AA169" i="65" s="1"/>
  <c r="AA170" i="65" s="1"/>
  <c r="AA171" i="65" s="1"/>
  <c r="AA172" i="65" s="1"/>
  <c r="AA173" i="65" s="1"/>
  <c r="AA174" i="65" s="1"/>
  <c r="AA175" i="65" s="1"/>
  <c r="AA176" i="65" s="1"/>
  <c r="AA177" i="65" s="1"/>
  <c r="AA178" i="65" s="1"/>
  <c r="AA179" i="65" s="1"/>
  <c r="AA180" i="65" s="1"/>
  <c r="AA181" i="65" s="1"/>
  <c r="AA182" i="65" s="1"/>
  <c r="AA183" i="65" s="1"/>
  <c r="AA184" i="65" s="1"/>
  <c r="AA185" i="65" s="1"/>
  <c r="AA186" i="65" s="1"/>
  <c r="AA187" i="65" s="1"/>
  <c r="AA188" i="65" s="1"/>
  <c r="AA189" i="65" s="1"/>
  <c r="AA190" i="65" s="1"/>
  <c r="AA191" i="65" s="1"/>
  <c r="AA192" i="65" s="1"/>
  <c r="AA193" i="65" s="1"/>
  <c r="AA194" i="65" s="1"/>
  <c r="AA195" i="65" s="1"/>
  <c r="AA196" i="65" s="1"/>
  <c r="AA197" i="65" s="1"/>
  <c r="AA198" i="65" s="1"/>
  <c r="AA199" i="65" s="1"/>
  <c r="AA200" i="65" s="1"/>
  <c r="AA201" i="65" s="1"/>
  <c r="AA202" i="65" s="1"/>
  <c r="AA203" i="65" s="1"/>
  <c r="AA204" i="65" s="1"/>
  <c r="AA205" i="65" s="1"/>
  <c r="AA206" i="65" s="1"/>
  <c r="AA207" i="65" s="1"/>
  <c r="AA208" i="65" s="1"/>
  <c r="AA209" i="65" s="1"/>
  <c r="AA210" i="65" s="1"/>
  <c r="AA211" i="65" s="1"/>
  <c r="AA212" i="65" s="1"/>
  <c r="AA213" i="65" s="1"/>
  <c r="AA214" i="65" s="1"/>
  <c r="AA215" i="65" s="1"/>
  <c r="AA216" i="65" s="1"/>
  <c r="AA217" i="65" s="1"/>
  <c r="AA218" i="65" s="1"/>
  <c r="AA219" i="65" s="1"/>
  <c r="AA220" i="65" s="1"/>
  <c r="AA221" i="65" s="1"/>
  <c r="AA222" i="65" s="1"/>
  <c r="AA223" i="65" s="1"/>
  <c r="AA224" i="65" s="1"/>
  <c r="AA225" i="65" s="1"/>
  <c r="AA226" i="65" s="1"/>
  <c r="AA227" i="65" s="1"/>
  <c r="AA228" i="65" s="1"/>
  <c r="AA229" i="65" s="1"/>
  <c r="AA230" i="65" s="1"/>
  <c r="AA231" i="65" s="1"/>
  <c r="AA232" i="65" s="1"/>
  <c r="AA233" i="65" s="1"/>
  <c r="AA234" i="65" s="1"/>
  <c r="AA235" i="65" s="1"/>
  <c r="AA236" i="65" s="1"/>
  <c r="AA237" i="65" s="1"/>
  <c r="AA238" i="65" s="1"/>
  <c r="AA239" i="65" s="1"/>
  <c r="AA240" i="65" s="1"/>
  <c r="AA241" i="65" s="1"/>
  <c r="AA242" i="65" s="1"/>
  <c r="AA243" i="65" s="1"/>
  <c r="AA244" i="65" s="1"/>
  <c r="AA245" i="65" s="1"/>
  <c r="AA246" i="65" s="1"/>
  <c r="AA247" i="65" s="1"/>
  <c r="AA248" i="65" s="1"/>
  <c r="AA249" i="65" s="1"/>
  <c r="AA250" i="65" s="1"/>
  <c r="AA251" i="65" s="1"/>
  <c r="AA252" i="65" s="1"/>
  <c r="AA253" i="65" s="1"/>
  <c r="AA254" i="65" s="1"/>
  <c r="AA255" i="65" s="1"/>
  <c r="AA256" i="65" s="1"/>
  <c r="AA257" i="65" s="1"/>
  <c r="AA258" i="65" s="1"/>
  <c r="AA259" i="65" s="1"/>
  <c r="AA260" i="65" s="1"/>
  <c r="AA261" i="65" s="1"/>
  <c r="AA262" i="65" s="1"/>
  <c r="AL157" i="65"/>
  <c r="EH157" i="65" s="1"/>
  <c r="AT157" i="65"/>
  <c r="AT158" i="65" s="1"/>
  <c r="AM157" i="65"/>
  <c r="EI157" i="65" s="1"/>
  <c r="F47" i="10"/>
  <c r="F44" i="10"/>
  <c r="M64" i="51"/>
  <c r="M62" i="51" s="1"/>
  <c r="M57" i="10"/>
  <c r="F15" i="10"/>
  <c r="F25" i="10"/>
  <c r="F52" i="10"/>
  <c r="F20" i="10"/>
  <c r="F165" i="10"/>
  <c r="F12" i="10"/>
  <c r="J138" i="41"/>
  <c r="P156" i="65"/>
  <c r="P157" i="65" s="1"/>
  <c r="ED156" i="65"/>
  <c r="EC156" i="65"/>
  <c r="DW44" i="65"/>
  <c r="EA156" i="65"/>
  <c r="AN157" i="65"/>
  <c r="AO157" i="65"/>
  <c r="AU158" i="65"/>
  <c r="EQ158" i="65" s="1"/>
  <c r="DY156" i="65"/>
  <c r="R157" i="65"/>
  <c r="DW136" i="65"/>
  <c r="DW106" i="65"/>
  <c r="DW75" i="65"/>
  <c r="DW134" i="65"/>
  <c r="DW100" i="65"/>
  <c r="DW69" i="65"/>
  <c r="Y159" i="65"/>
  <c r="ED157" i="65"/>
  <c r="W158" i="65"/>
  <c r="DW130" i="65"/>
  <c r="DW99" i="65"/>
  <c r="DW68" i="65"/>
  <c r="DW129" i="65"/>
  <c r="DW98" i="65"/>
  <c r="DW64" i="65"/>
  <c r="EC157" i="65"/>
  <c r="V158" i="65"/>
  <c r="DW109" i="65"/>
  <c r="DW128" i="65"/>
  <c r="DW94" i="65"/>
  <c r="DW63" i="65"/>
  <c r="DW124" i="65"/>
  <c r="DW93" i="65"/>
  <c r="DW62" i="65"/>
  <c r="EF156" i="65"/>
  <c r="DW112" i="65"/>
  <c r="DW81" i="65"/>
  <c r="AJ157" i="65"/>
  <c r="AJ158" i="65" s="1"/>
  <c r="AJ159" i="65" s="1"/>
  <c r="AJ160" i="65" s="1"/>
  <c r="AJ161" i="65" s="1"/>
  <c r="AJ162" i="65" s="1"/>
  <c r="AJ163" i="65" s="1"/>
  <c r="AJ164" i="65" s="1"/>
  <c r="AJ165" i="65" s="1"/>
  <c r="AJ166" i="65" s="1"/>
  <c r="AJ167" i="65" s="1"/>
  <c r="AJ168" i="65" s="1"/>
  <c r="AJ169" i="65" s="1"/>
  <c r="AJ170" i="65" s="1"/>
  <c r="AJ171" i="65" s="1"/>
  <c r="AJ172" i="65" s="1"/>
  <c r="AJ173" i="65" s="1"/>
  <c r="AJ174" i="65" s="1"/>
  <c r="AJ175" i="65" s="1"/>
  <c r="AJ176" i="65" s="1"/>
  <c r="AJ177" i="65" s="1"/>
  <c r="AJ178" i="65" s="1"/>
  <c r="AJ179" i="65" s="1"/>
  <c r="AJ180" i="65" s="1"/>
  <c r="AJ181" i="65" s="1"/>
  <c r="AJ182" i="65" s="1"/>
  <c r="AJ183" i="65" s="1"/>
  <c r="AJ184" i="65" s="1"/>
  <c r="AJ185" i="65" s="1"/>
  <c r="AJ186" i="65" s="1"/>
  <c r="AJ187" i="65" s="1"/>
  <c r="AJ188" i="65" s="1"/>
  <c r="AJ189" i="65" s="1"/>
  <c r="AJ190" i="65" s="1"/>
  <c r="AJ191" i="65" s="1"/>
  <c r="AJ192" i="65" s="1"/>
  <c r="AJ193" i="65" s="1"/>
  <c r="AJ194" i="65" s="1"/>
  <c r="AJ195" i="65" s="1"/>
  <c r="AJ196" i="65" s="1"/>
  <c r="AJ197" i="65" s="1"/>
  <c r="AJ198" i="65" s="1"/>
  <c r="AJ199" i="65" s="1"/>
  <c r="AJ200" i="65" s="1"/>
  <c r="AJ201" i="65" s="1"/>
  <c r="AJ202" i="65" s="1"/>
  <c r="AJ203" i="65" s="1"/>
  <c r="AJ204" i="65" s="1"/>
  <c r="AJ205" i="65" s="1"/>
  <c r="AJ206" i="65" s="1"/>
  <c r="AJ207" i="65" s="1"/>
  <c r="AJ208" i="65" s="1"/>
  <c r="AJ209" i="65" s="1"/>
  <c r="AJ210" i="65" s="1"/>
  <c r="AJ211" i="65" s="1"/>
  <c r="AJ212" i="65" s="1"/>
  <c r="AJ213" i="65" s="1"/>
  <c r="AJ214" i="65" s="1"/>
  <c r="AJ215" i="65" s="1"/>
  <c r="AJ216" i="65" s="1"/>
  <c r="AJ217" i="65" s="1"/>
  <c r="AJ218" i="65" s="1"/>
  <c r="AJ219" i="65" s="1"/>
  <c r="AJ220" i="65" s="1"/>
  <c r="AJ221" i="65" s="1"/>
  <c r="AJ222" i="65" s="1"/>
  <c r="AJ223" i="65" s="1"/>
  <c r="AJ224" i="65" s="1"/>
  <c r="AJ225" i="65" s="1"/>
  <c r="AJ226" i="65" s="1"/>
  <c r="AJ227" i="65" s="1"/>
  <c r="AJ228" i="65" s="1"/>
  <c r="AJ229" i="65" s="1"/>
  <c r="AJ230" i="65" s="1"/>
  <c r="AJ231" i="65" s="1"/>
  <c r="AJ232" i="65" s="1"/>
  <c r="AJ233" i="65" s="1"/>
  <c r="AJ234" i="65" s="1"/>
  <c r="AJ235" i="65" s="1"/>
  <c r="AJ236" i="65" s="1"/>
  <c r="AJ237" i="65" s="1"/>
  <c r="AJ238" i="65" s="1"/>
  <c r="AJ239" i="65" s="1"/>
  <c r="AJ240" i="65" s="1"/>
  <c r="AJ241" i="65" s="1"/>
  <c r="AJ242" i="65" s="1"/>
  <c r="AJ243" i="65" s="1"/>
  <c r="AJ244" i="65" s="1"/>
  <c r="AJ245" i="65" s="1"/>
  <c r="AJ246" i="65" s="1"/>
  <c r="AJ247" i="65" s="1"/>
  <c r="AJ248" i="65" s="1"/>
  <c r="AJ249" i="65" s="1"/>
  <c r="AJ250" i="65" s="1"/>
  <c r="AJ251" i="65" s="1"/>
  <c r="AJ252" i="65" s="1"/>
  <c r="AJ253" i="65" s="1"/>
  <c r="AJ254" i="65" s="1"/>
  <c r="AJ255" i="65" s="1"/>
  <c r="AJ256" i="65" s="1"/>
  <c r="AJ257" i="65" s="1"/>
  <c r="AJ258" i="65" s="1"/>
  <c r="AJ259" i="65" s="1"/>
  <c r="AJ260" i="65" s="1"/>
  <c r="AJ261" i="65" s="1"/>
  <c r="AJ262" i="65" s="1"/>
  <c r="DW57" i="65"/>
  <c r="DW135" i="65"/>
  <c r="DW105" i="65"/>
  <c r="DW70" i="65"/>
  <c r="DW60" i="65"/>
  <c r="DZ159" i="65"/>
  <c r="DW113" i="65"/>
  <c r="DW79" i="65"/>
  <c r="EO158" i="65"/>
  <c r="AS159" i="65"/>
  <c r="DX156" i="65"/>
  <c r="DW107" i="65"/>
  <c r="DW78" i="65"/>
  <c r="EG156" i="65"/>
  <c r="DW77" i="65"/>
  <c r="EB157" i="65"/>
  <c r="U158" i="65"/>
  <c r="DW138" i="65"/>
  <c r="DW108" i="65"/>
  <c r="DW71" i="65"/>
  <c r="DW49" i="65"/>
  <c r="DZ160" i="65"/>
  <c r="S161" i="65"/>
  <c r="DW137" i="65"/>
  <c r="DW101" i="65"/>
  <c r="DW73" i="65"/>
  <c r="DW59" i="65"/>
  <c r="EP157" i="65"/>
  <c r="DW122" i="65"/>
  <c r="DW92" i="65"/>
  <c r="DW58" i="65"/>
  <c r="DW123" i="65"/>
  <c r="DW88" i="65"/>
  <c r="DW56" i="65"/>
  <c r="DZ158" i="65"/>
  <c r="DW131" i="65"/>
  <c r="DW97" i="65"/>
  <c r="DW66" i="65"/>
  <c r="DW118" i="65"/>
  <c r="DW86" i="65"/>
  <c r="DW61" i="65"/>
  <c r="DW127" i="65"/>
  <c r="DW96" i="65"/>
  <c r="DW65" i="65"/>
  <c r="EB156" i="65"/>
  <c r="DW117" i="65"/>
  <c r="DW87" i="65"/>
  <c r="Q157" i="65"/>
  <c r="DW125" i="65"/>
  <c r="DW91" i="65"/>
  <c r="T157" i="65"/>
  <c r="DW121" i="65"/>
  <c r="DW90" i="65"/>
  <c r="DZ156" i="65"/>
  <c r="DW104" i="65"/>
  <c r="DW74" i="65"/>
  <c r="ER156" i="65"/>
  <c r="AV157" i="65"/>
  <c r="AQ157" i="65"/>
  <c r="DW45" i="65"/>
  <c r="DW133" i="65"/>
  <c r="DW103" i="65"/>
  <c r="DW72" i="65"/>
  <c r="EG157" i="65"/>
  <c r="AP158" i="65"/>
  <c r="DW132" i="65"/>
  <c r="DW102" i="65"/>
  <c r="DW67" i="65"/>
  <c r="Z158" i="65"/>
  <c r="DW51" i="65"/>
  <c r="EE156" i="65"/>
  <c r="DW52" i="65"/>
  <c r="DW126" i="65"/>
  <c r="DW95" i="65"/>
  <c r="DW46" i="65"/>
  <c r="DW55" i="65"/>
  <c r="X157" i="65"/>
  <c r="DW116" i="65"/>
  <c r="DW82" i="65"/>
  <c r="DW120" i="65"/>
  <c r="DW89" i="65"/>
  <c r="DZ157" i="65"/>
  <c r="DW119" i="65"/>
  <c r="DW85" i="65"/>
  <c r="DW48" i="65"/>
  <c r="AR158" i="65"/>
  <c r="DW111" i="65"/>
  <c r="DW80" i="65"/>
  <c r="DW115" i="65"/>
  <c r="DW84" i="65"/>
  <c r="DW110" i="65"/>
  <c r="DW76" i="65"/>
  <c r="DW114" i="65"/>
  <c r="DW83" i="65"/>
  <c r="O67" i="51" l="1"/>
  <c r="O35" i="51"/>
  <c r="P67" i="51"/>
  <c r="J132" i="73"/>
  <c r="J120" i="73"/>
  <c r="J123" i="73"/>
  <c r="J135" i="73"/>
  <c r="J118" i="73"/>
  <c r="J119" i="73"/>
  <c r="J130" i="73"/>
  <c r="J121" i="73"/>
  <c r="J133" i="73"/>
  <c r="J124" i="73"/>
  <c r="J117" i="73"/>
  <c r="J136" i="73"/>
  <c r="J125" i="73"/>
  <c r="J122" i="73"/>
  <c r="J131" i="73"/>
  <c r="J134" i="73"/>
  <c r="I126" i="73"/>
  <c r="V35" i="51"/>
  <c r="X67" i="51"/>
  <c r="T67" i="51"/>
  <c r="U67" i="51"/>
  <c r="V67" i="51"/>
  <c r="W67" i="51"/>
  <c r="T35" i="51"/>
  <c r="U35" i="51"/>
  <c r="X35" i="51"/>
  <c r="W35" i="51"/>
  <c r="AW253" i="65"/>
  <c r="DJ253" i="65"/>
  <c r="AU159" i="65"/>
  <c r="F161" i="10"/>
  <c r="G52" i="10"/>
  <c r="H52" i="10" s="1"/>
  <c r="I52" i="10" s="1"/>
  <c r="J52" i="10" s="1"/>
  <c r="G57" i="10"/>
  <c r="G60" i="10" s="1"/>
  <c r="G44" i="10"/>
  <c r="H44" i="10" s="1"/>
  <c r="I44" i="10" s="1"/>
  <c r="J44" i="10" s="1"/>
  <c r="K44" i="10" s="1"/>
  <c r="L44" i="10" s="1"/>
  <c r="M44" i="10" s="1"/>
  <c r="N44" i="10" s="1"/>
  <c r="N71" i="10" s="1"/>
  <c r="H57" i="10"/>
  <c r="H60" i="10" s="1"/>
  <c r="F38" i="10"/>
  <c r="AL158" i="65"/>
  <c r="AL159" i="65" s="1"/>
  <c r="EH159" i="65" s="1"/>
  <c r="G161" i="10"/>
  <c r="F37" i="10"/>
  <c r="AM158" i="65"/>
  <c r="EI158" i="65" s="1"/>
  <c r="F168" i="51"/>
  <c r="F164" i="51"/>
  <c r="I59" i="10"/>
  <c r="I57" i="10"/>
  <c r="I60" i="10" s="1"/>
  <c r="G47" i="10"/>
  <c r="H47" i="10" s="1"/>
  <c r="I47" i="10" s="1"/>
  <c r="J57" i="10"/>
  <c r="J60" i="10" s="1"/>
  <c r="J59" i="10"/>
  <c r="F71" i="10"/>
  <c r="DW156" i="65"/>
  <c r="F69" i="10"/>
  <c r="F70" i="10"/>
  <c r="G165" i="10"/>
  <c r="F39" i="10"/>
  <c r="G164" i="51"/>
  <c r="G168" i="51"/>
  <c r="G160" i="51"/>
  <c r="F160" i="51"/>
  <c r="I64" i="51"/>
  <c r="G64" i="51"/>
  <c r="K64" i="51"/>
  <c r="K62" i="51" s="1"/>
  <c r="J64" i="51"/>
  <c r="F64" i="51"/>
  <c r="L64" i="51"/>
  <c r="H64" i="51"/>
  <c r="K138" i="41"/>
  <c r="EK157" i="65"/>
  <c r="AO158" i="65"/>
  <c r="EJ157" i="65"/>
  <c r="AN158" i="65"/>
  <c r="EG158" i="65"/>
  <c r="Z159" i="65"/>
  <c r="EF157" i="65"/>
  <c r="DX157" i="65"/>
  <c r="Q158" i="65"/>
  <c r="EN158" i="65"/>
  <c r="AR159" i="65"/>
  <c r="EO159" i="65"/>
  <c r="AS160" i="65"/>
  <c r="EM157" i="65"/>
  <c r="AQ158" i="65"/>
  <c r="EB158" i="65"/>
  <c r="U159" i="65"/>
  <c r="ER157" i="65"/>
  <c r="AV158" i="65"/>
  <c r="DZ161" i="65"/>
  <c r="S162" i="65"/>
  <c r="DW157" i="65"/>
  <c r="P158" i="65"/>
  <c r="EA157" i="65"/>
  <c r="T158" i="65"/>
  <c r="EP158" i="65"/>
  <c r="AT159" i="65"/>
  <c r="EL158" i="65"/>
  <c r="AP159" i="65"/>
  <c r="ED158" i="65"/>
  <c r="W159" i="65"/>
  <c r="EQ159" i="65"/>
  <c r="AU160" i="65"/>
  <c r="EC158" i="65"/>
  <c r="V159" i="65"/>
  <c r="EF159" i="65"/>
  <c r="Y160" i="65"/>
  <c r="EF158" i="65"/>
  <c r="EE157" i="65"/>
  <c r="X158" i="65"/>
  <c r="DY157" i="65"/>
  <c r="R158" i="65"/>
  <c r="K135" i="73" l="1"/>
  <c r="K123" i="73"/>
  <c r="K130" i="73"/>
  <c r="K118" i="73"/>
  <c r="K133" i="73"/>
  <c r="K121" i="73"/>
  <c r="K136" i="73"/>
  <c r="K124" i="73"/>
  <c r="K125" i="73"/>
  <c r="K131" i="73"/>
  <c r="K119" i="73"/>
  <c r="K120" i="73"/>
  <c r="K134" i="73"/>
  <c r="K122" i="73"/>
  <c r="K117" i="73"/>
  <c r="K132" i="73"/>
  <c r="J126" i="73"/>
  <c r="AW254" i="65"/>
  <c r="DJ254" i="65"/>
  <c r="AM159" i="65"/>
  <c r="EH158" i="65"/>
  <c r="AL160" i="65"/>
  <c r="AL161" i="65" s="1"/>
  <c r="L138" i="41"/>
  <c r="K52" i="10"/>
  <c r="J47" i="10"/>
  <c r="EK158" i="65"/>
  <c r="AO159" i="65"/>
  <c r="EJ158" i="65"/>
  <c r="AN159" i="65"/>
  <c r="EI159" i="65"/>
  <c r="AM160" i="65"/>
  <c r="EB159" i="65"/>
  <c r="U160" i="65"/>
  <c r="EM158" i="65"/>
  <c r="AQ159" i="65"/>
  <c r="EL159" i="65"/>
  <c r="AP160" i="65"/>
  <c r="DY158" i="65"/>
  <c r="R159" i="65"/>
  <c r="EA158" i="65"/>
  <c r="T159" i="65"/>
  <c r="EO160" i="65"/>
  <c r="AS161" i="65"/>
  <c r="ED159" i="65"/>
  <c r="W160" i="65"/>
  <c r="EP159" i="65"/>
  <c r="AT160" i="65"/>
  <c r="EE158" i="65"/>
  <c r="X159" i="65"/>
  <c r="EF160" i="65"/>
  <c r="Y161" i="65"/>
  <c r="DW158" i="65"/>
  <c r="P159" i="65"/>
  <c r="EN159" i="65"/>
  <c r="AR160" i="65"/>
  <c r="EC159" i="65"/>
  <c r="V160" i="65"/>
  <c r="DZ162" i="65"/>
  <c r="S163" i="65"/>
  <c r="EQ160" i="65"/>
  <c r="AU161" i="65"/>
  <c r="ER158" i="65"/>
  <c r="AV159" i="65"/>
  <c r="DX158" i="65"/>
  <c r="Q159" i="65"/>
  <c r="EG159" i="65"/>
  <c r="Z160" i="65"/>
  <c r="L118" i="41" l="1"/>
  <c r="L119" i="41"/>
  <c r="L120" i="41"/>
  <c r="L124" i="41"/>
  <c r="L121" i="41"/>
  <c r="L122" i="41"/>
  <c r="L123" i="41"/>
  <c r="L130" i="41"/>
  <c r="L131" i="41"/>
  <c r="L132" i="41"/>
  <c r="L133" i="41"/>
  <c r="L125" i="41"/>
  <c r="L134" i="41"/>
  <c r="L135" i="41"/>
  <c r="L136" i="41"/>
  <c r="L117" i="41"/>
  <c r="K126" i="73"/>
  <c r="DJ255" i="65"/>
  <c r="AW255" i="65"/>
  <c r="AW256" i="65" s="1"/>
  <c r="AW257" i="65" s="1"/>
  <c r="EH160" i="65"/>
  <c r="M138" i="41"/>
  <c r="K47" i="10"/>
  <c r="L52" i="10"/>
  <c r="AN160" i="65"/>
  <c r="EJ159" i="65"/>
  <c r="EK159" i="65"/>
  <c r="AO160" i="65"/>
  <c r="EO161" i="65"/>
  <c r="AS162" i="65"/>
  <c r="DW159" i="65"/>
  <c r="P160" i="65"/>
  <c r="EF161" i="65"/>
  <c r="Y162" i="65"/>
  <c r="EL160" i="65"/>
  <c r="AP161" i="65"/>
  <c r="EQ161" i="65"/>
  <c r="AU162" i="65"/>
  <c r="EC160" i="65"/>
  <c r="V161" i="65"/>
  <c r="EN160" i="65"/>
  <c r="AR161" i="65"/>
  <c r="EA159" i="65"/>
  <c r="T160" i="65"/>
  <c r="EG160" i="65"/>
  <c r="Z161" i="65"/>
  <c r="DX159" i="65"/>
  <c r="Q160" i="65"/>
  <c r="DY159" i="65"/>
  <c r="R160" i="65"/>
  <c r="ER159" i="65"/>
  <c r="AV160" i="65"/>
  <c r="EE159" i="65"/>
  <c r="X160" i="65"/>
  <c r="EP160" i="65"/>
  <c r="AT161" i="65"/>
  <c r="EM159" i="65"/>
  <c r="AQ160" i="65"/>
  <c r="EH161" i="65"/>
  <c r="AL162" i="65"/>
  <c r="EB160" i="65"/>
  <c r="U161" i="65"/>
  <c r="DZ163" i="65"/>
  <c r="S164" i="65"/>
  <c r="ED160" i="65"/>
  <c r="W161" i="65"/>
  <c r="EI160" i="65"/>
  <c r="AM161" i="65"/>
  <c r="L137" i="41" l="1"/>
  <c r="AW258" i="65"/>
  <c r="DJ256" i="65"/>
  <c r="N138" i="41"/>
  <c r="M52" i="10"/>
  <c r="N52" i="10" s="1"/>
  <c r="L47" i="10"/>
  <c r="AO161" i="65"/>
  <c r="EK160" i="65"/>
  <c r="AN161" i="65"/>
  <c r="EJ160" i="65"/>
  <c r="EP161" i="65"/>
  <c r="AT162" i="65"/>
  <c r="EA160" i="65"/>
  <c r="T161" i="65"/>
  <c r="EM160" i="65"/>
  <c r="AQ161" i="65"/>
  <c r="ER160" i="65"/>
  <c r="AV161" i="65"/>
  <c r="EC161" i="65"/>
  <c r="V162" i="65"/>
  <c r="ED161" i="65"/>
  <c r="W162" i="65"/>
  <c r="EN161" i="65"/>
  <c r="AR162" i="65"/>
  <c r="EO162" i="65"/>
  <c r="AS163" i="65"/>
  <c r="EI161" i="65"/>
  <c r="AM162" i="65"/>
  <c r="EE160" i="65"/>
  <c r="X161" i="65"/>
  <c r="EQ162" i="65"/>
  <c r="AU163" i="65"/>
  <c r="DZ164" i="65"/>
  <c r="S165" i="65"/>
  <c r="DY160" i="65"/>
  <c r="R161" i="65"/>
  <c r="EL161" i="65"/>
  <c r="AP162" i="65"/>
  <c r="EB161" i="65"/>
  <c r="U162" i="65"/>
  <c r="DX160" i="65"/>
  <c r="Q161" i="65"/>
  <c r="EF162" i="65"/>
  <c r="Y163" i="65"/>
  <c r="EH162" i="65"/>
  <c r="AL163" i="65"/>
  <c r="DW160" i="65"/>
  <c r="P161" i="65"/>
  <c r="EG161" i="65"/>
  <c r="Z162" i="65"/>
  <c r="N55" i="10" l="1"/>
  <c r="N70" i="10"/>
  <c r="AW259" i="65"/>
  <c r="AW260" i="65" s="1"/>
  <c r="AW261" i="65" s="1"/>
  <c r="DJ257" i="65"/>
  <c r="O138" i="41"/>
  <c r="M47" i="10"/>
  <c r="N47" i="10" s="1"/>
  <c r="AO162" i="65"/>
  <c r="EK161" i="65"/>
  <c r="AN162" i="65"/>
  <c r="EJ161" i="65"/>
  <c r="EG162" i="65"/>
  <c r="Z163" i="65"/>
  <c r="EO163" i="65"/>
  <c r="AS164" i="65"/>
  <c r="DX161" i="65"/>
  <c r="Q162" i="65"/>
  <c r="EB162" i="65"/>
  <c r="U163" i="65"/>
  <c r="EN162" i="65"/>
  <c r="AR163" i="65"/>
  <c r="EL162" i="65"/>
  <c r="AP163" i="65"/>
  <c r="ED162" i="65"/>
  <c r="W163" i="65"/>
  <c r="DY161" i="65"/>
  <c r="R162" i="65"/>
  <c r="EC162" i="65"/>
  <c r="V163" i="65"/>
  <c r="DW161" i="65"/>
  <c r="P162" i="65"/>
  <c r="DZ165" i="65"/>
  <c r="S166" i="65"/>
  <c r="ER161" i="65"/>
  <c r="AV162" i="65"/>
  <c r="EQ163" i="65"/>
  <c r="AU164" i="65"/>
  <c r="EM161" i="65"/>
  <c r="AQ162" i="65"/>
  <c r="EH163" i="65"/>
  <c r="AL164" i="65"/>
  <c r="EE161" i="65"/>
  <c r="X162" i="65"/>
  <c r="EA161" i="65"/>
  <c r="T162" i="65"/>
  <c r="EF163" i="65"/>
  <c r="Y164" i="65"/>
  <c r="EI162" i="65"/>
  <c r="AM163" i="65"/>
  <c r="EP162" i="65"/>
  <c r="AT163" i="65"/>
  <c r="N50" i="10" l="1"/>
  <c r="N69" i="10"/>
  <c r="AW262" i="65"/>
  <c r="DJ258" i="65"/>
  <c r="P138" i="41"/>
  <c r="EJ162" i="65"/>
  <c r="AN163" i="65"/>
  <c r="EK162" i="65"/>
  <c r="AO163" i="65"/>
  <c r="EM162" i="65"/>
  <c r="AQ163" i="65"/>
  <c r="EP163" i="65"/>
  <c r="AT164" i="65"/>
  <c r="EQ164" i="65"/>
  <c r="AU165" i="65"/>
  <c r="ED163" i="65"/>
  <c r="W164" i="65"/>
  <c r="EL163" i="65"/>
  <c r="AP164" i="65"/>
  <c r="EI163" i="65"/>
  <c r="AM164" i="65"/>
  <c r="ER162" i="65"/>
  <c r="AV163" i="65"/>
  <c r="EN163" i="65"/>
  <c r="AR164" i="65"/>
  <c r="EF164" i="65"/>
  <c r="Y165" i="65"/>
  <c r="DZ166" i="65"/>
  <c r="S167" i="65"/>
  <c r="EB163" i="65"/>
  <c r="U164" i="65"/>
  <c r="EA162" i="65"/>
  <c r="T163" i="65"/>
  <c r="DW162" i="65"/>
  <c r="P163" i="65"/>
  <c r="DX162" i="65"/>
  <c r="Q163" i="65"/>
  <c r="EE162" i="65"/>
  <c r="X163" i="65"/>
  <c r="EC163" i="65"/>
  <c r="V164" i="65"/>
  <c r="EO164" i="65"/>
  <c r="AS165" i="65"/>
  <c r="EH164" i="65"/>
  <c r="AL165" i="65"/>
  <c r="DY162" i="65"/>
  <c r="R163" i="65"/>
  <c r="EG163" i="65"/>
  <c r="Z164" i="65"/>
  <c r="DJ259" i="65" l="1"/>
  <c r="Q138" i="41"/>
  <c r="EK163" i="65"/>
  <c r="AO164" i="65"/>
  <c r="EJ163" i="65"/>
  <c r="AN164" i="65"/>
  <c r="EI164" i="65"/>
  <c r="AM165" i="65"/>
  <c r="DW163" i="65"/>
  <c r="P164" i="65"/>
  <c r="DX163" i="65"/>
  <c r="Q164" i="65"/>
  <c r="EL164" i="65"/>
  <c r="AP165" i="65"/>
  <c r="EG164" i="65"/>
  <c r="Z165" i="65"/>
  <c r="EA163" i="65"/>
  <c r="T164" i="65"/>
  <c r="DY163" i="65"/>
  <c r="R164" i="65"/>
  <c r="EB164" i="65"/>
  <c r="U165" i="65"/>
  <c r="ED164" i="65"/>
  <c r="W165" i="65"/>
  <c r="EH165" i="65"/>
  <c r="AL166" i="65"/>
  <c r="DZ167" i="65"/>
  <c r="S168" i="65"/>
  <c r="EQ165" i="65"/>
  <c r="AU166" i="65"/>
  <c r="EO165" i="65"/>
  <c r="AS166" i="65"/>
  <c r="EF165" i="65"/>
  <c r="Y166" i="65"/>
  <c r="EC164" i="65"/>
  <c r="V165" i="65"/>
  <c r="EN164" i="65"/>
  <c r="AR165" i="65"/>
  <c r="EP164" i="65"/>
  <c r="AT165" i="65"/>
  <c r="EE163" i="65"/>
  <c r="X164" i="65"/>
  <c r="ER163" i="65"/>
  <c r="AV164" i="65"/>
  <c r="EM163" i="65"/>
  <c r="AQ164" i="65"/>
  <c r="DJ260" i="65" l="1"/>
  <c r="R138" i="41"/>
  <c r="EJ164" i="65"/>
  <c r="AN165" i="65"/>
  <c r="EK164" i="65"/>
  <c r="AO165" i="65"/>
  <c r="EC165" i="65"/>
  <c r="V166" i="65"/>
  <c r="EF166" i="65"/>
  <c r="Y167" i="65"/>
  <c r="DY164" i="65"/>
  <c r="R165" i="65"/>
  <c r="EM164" i="65"/>
  <c r="AQ165" i="65"/>
  <c r="EO166" i="65"/>
  <c r="AS167" i="65"/>
  <c r="EA164" i="65"/>
  <c r="T165" i="65"/>
  <c r="EI165" i="65"/>
  <c r="AM166" i="65"/>
  <c r="ER164" i="65"/>
  <c r="AV165" i="65"/>
  <c r="EE164" i="65"/>
  <c r="X165" i="65"/>
  <c r="DZ168" i="65"/>
  <c r="S169" i="65"/>
  <c r="EL165" i="65"/>
  <c r="AP166" i="65"/>
  <c r="EG165" i="65"/>
  <c r="Z166" i="65"/>
  <c r="EP165" i="65"/>
  <c r="AT166" i="65"/>
  <c r="EH166" i="65"/>
  <c r="AL167" i="65"/>
  <c r="DX164" i="65"/>
  <c r="Q165" i="65"/>
  <c r="EB165" i="65"/>
  <c r="U166" i="65"/>
  <c r="EQ166" i="65"/>
  <c r="AU167" i="65"/>
  <c r="EN165" i="65"/>
  <c r="AR166" i="65"/>
  <c r="ED165" i="65"/>
  <c r="W166" i="65"/>
  <c r="DW164" i="65"/>
  <c r="P165" i="65"/>
  <c r="DJ261" i="65" l="1"/>
  <c r="EK165" i="65"/>
  <c r="AO166" i="65"/>
  <c r="EJ165" i="65"/>
  <c r="AN166" i="65"/>
  <c r="EH167" i="65"/>
  <c r="AL168" i="65"/>
  <c r="EP166" i="65"/>
  <c r="AT167" i="65"/>
  <c r="EM165" i="65"/>
  <c r="AQ166" i="65"/>
  <c r="EA165" i="65"/>
  <c r="T166" i="65"/>
  <c r="EO167" i="65"/>
  <c r="AS168" i="65"/>
  <c r="DW165" i="65"/>
  <c r="P166" i="65"/>
  <c r="EG166" i="65"/>
  <c r="Z167" i="65"/>
  <c r="ED166" i="65"/>
  <c r="W167" i="65"/>
  <c r="EL166" i="65"/>
  <c r="AP167" i="65"/>
  <c r="EN166" i="65"/>
  <c r="AR167" i="65"/>
  <c r="DZ169" i="65"/>
  <c r="S170" i="65"/>
  <c r="DY165" i="65"/>
  <c r="R166" i="65"/>
  <c r="EQ167" i="65"/>
  <c r="AU168" i="65"/>
  <c r="EE165" i="65"/>
  <c r="X166" i="65"/>
  <c r="EF167" i="65"/>
  <c r="Y168" i="65"/>
  <c r="EB166" i="65"/>
  <c r="U167" i="65"/>
  <c r="ER165" i="65"/>
  <c r="AV166" i="65"/>
  <c r="DX165" i="65"/>
  <c r="Q166" i="65"/>
  <c r="EI166" i="65"/>
  <c r="AM167" i="65"/>
  <c r="EC166" i="65"/>
  <c r="V167" i="65"/>
  <c r="DJ262" i="65" l="1"/>
  <c r="EJ166" i="65"/>
  <c r="AN167" i="65"/>
  <c r="EK166" i="65"/>
  <c r="AO167" i="65"/>
  <c r="DW166" i="65"/>
  <c r="P167" i="65"/>
  <c r="EC167" i="65"/>
  <c r="V168" i="65"/>
  <c r="EA166" i="65"/>
  <c r="T167" i="65"/>
  <c r="DX166" i="65"/>
  <c r="Q167" i="65"/>
  <c r="EF168" i="65"/>
  <c r="Y169" i="65"/>
  <c r="EG167" i="65"/>
  <c r="Z168" i="65"/>
  <c r="EE166" i="65"/>
  <c r="X167" i="65"/>
  <c r="EQ168" i="65"/>
  <c r="AU169" i="65"/>
  <c r="DY166" i="65"/>
  <c r="R167" i="65"/>
  <c r="EN167" i="65"/>
  <c r="AR168" i="65"/>
  <c r="ER166" i="65"/>
  <c r="AV167" i="65"/>
  <c r="EL167" i="65"/>
  <c r="AP168" i="65"/>
  <c r="EP167" i="65"/>
  <c r="AT168" i="65"/>
  <c r="EB167" i="65"/>
  <c r="U168" i="65"/>
  <c r="ED167" i="65"/>
  <c r="W168" i="65"/>
  <c r="EH168" i="65"/>
  <c r="AL169" i="65"/>
  <c r="EO168" i="65"/>
  <c r="AS169" i="65"/>
  <c r="EI167" i="65"/>
  <c r="AM168" i="65"/>
  <c r="DZ170" i="65"/>
  <c r="S171" i="65"/>
  <c r="EM166" i="65"/>
  <c r="AQ167" i="65"/>
  <c r="EK167" i="65" l="1"/>
  <c r="AO168" i="65"/>
  <c r="EJ167" i="65"/>
  <c r="AN168" i="65"/>
  <c r="EE167" i="65"/>
  <c r="X168" i="65"/>
  <c r="EP168" i="65"/>
  <c r="AT169" i="65"/>
  <c r="EF169" i="65"/>
  <c r="Y170" i="65"/>
  <c r="ER167" i="65"/>
  <c r="AV168" i="65"/>
  <c r="EN168" i="65"/>
  <c r="AR169" i="65"/>
  <c r="EG168" i="65"/>
  <c r="Z169" i="65"/>
  <c r="EM167" i="65"/>
  <c r="AQ168" i="65"/>
  <c r="EI168" i="65"/>
  <c r="AM169" i="65"/>
  <c r="DX167" i="65"/>
  <c r="Q168" i="65"/>
  <c r="EO169" i="65"/>
  <c r="AS170" i="65"/>
  <c r="EH169" i="65"/>
  <c r="AL170" i="65"/>
  <c r="DY167" i="65"/>
  <c r="R168" i="65"/>
  <c r="ED168" i="65"/>
  <c r="W169" i="65"/>
  <c r="EQ169" i="65"/>
  <c r="AU170" i="65"/>
  <c r="DW167" i="65"/>
  <c r="P168" i="65"/>
  <c r="EB168" i="65"/>
  <c r="U169" i="65"/>
  <c r="EL168" i="65"/>
  <c r="AP169" i="65"/>
  <c r="DZ171" i="65"/>
  <c r="S172" i="65"/>
  <c r="EA167" i="65"/>
  <c r="T168" i="65"/>
  <c r="EC168" i="65"/>
  <c r="V169" i="65"/>
  <c r="EJ168" i="65" l="1"/>
  <c r="AN169" i="65"/>
  <c r="AO169" i="65"/>
  <c r="EK168" i="65"/>
  <c r="EQ170" i="65"/>
  <c r="AU171" i="65"/>
  <c r="EC169" i="65"/>
  <c r="V170" i="65"/>
  <c r="EH170" i="65"/>
  <c r="AL171" i="65"/>
  <c r="DZ172" i="65"/>
  <c r="S173" i="65"/>
  <c r="EO170" i="65"/>
  <c r="AS171" i="65"/>
  <c r="EM168" i="65"/>
  <c r="AQ169" i="65"/>
  <c r="EN169" i="65"/>
  <c r="AR170" i="65"/>
  <c r="ER168" i="65"/>
  <c r="AV169" i="65"/>
  <c r="EI169" i="65"/>
  <c r="AM170" i="65"/>
  <c r="DW168" i="65"/>
  <c r="P169" i="65"/>
  <c r="EG169" i="65"/>
  <c r="Z170" i="65"/>
  <c r="ED169" i="65"/>
  <c r="W170" i="65"/>
  <c r="EA168" i="65"/>
  <c r="T169" i="65"/>
  <c r="DY168" i="65"/>
  <c r="R169" i="65"/>
  <c r="EF170" i="65"/>
  <c r="Y171" i="65"/>
  <c r="EL169" i="65"/>
  <c r="AP170" i="65"/>
  <c r="DX168" i="65"/>
  <c r="Q169" i="65"/>
  <c r="EP169" i="65"/>
  <c r="AT170" i="65"/>
  <c r="EB169" i="65"/>
  <c r="U170" i="65"/>
  <c r="EE168" i="65"/>
  <c r="X169" i="65"/>
  <c r="AO170" i="65" l="1"/>
  <c r="EK169" i="65"/>
  <c r="AN170" i="65"/>
  <c r="EJ169" i="65"/>
  <c r="EN170" i="65"/>
  <c r="AR171" i="65"/>
  <c r="EA169" i="65"/>
  <c r="T170" i="65"/>
  <c r="EB170" i="65"/>
  <c r="U171" i="65"/>
  <c r="EP170" i="65"/>
  <c r="AT171" i="65"/>
  <c r="DX169" i="65"/>
  <c r="Q170" i="65"/>
  <c r="DY169" i="65"/>
  <c r="R170" i="65"/>
  <c r="EO171" i="65"/>
  <c r="AS172" i="65"/>
  <c r="ED170" i="65"/>
  <c r="W171" i="65"/>
  <c r="EH171" i="65"/>
  <c r="AL172" i="65"/>
  <c r="DW169" i="65"/>
  <c r="P170" i="65"/>
  <c r="EI170" i="65"/>
  <c r="AM171" i="65"/>
  <c r="EF171" i="65"/>
  <c r="Y172" i="65"/>
  <c r="ER169" i="65"/>
  <c r="AV170" i="65"/>
  <c r="EQ171" i="65"/>
  <c r="AU172" i="65"/>
  <c r="EM169" i="65"/>
  <c r="AQ170" i="65"/>
  <c r="EE169" i="65"/>
  <c r="X170" i="65"/>
  <c r="DZ173" i="65"/>
  <c r="S174" i="65"/>
  <c r="EG170" i="65"/>
  <c r="Z171" i="65"/>
  <c r="EL170" i="65"/>
  <c r="AP171" i="65"/>
  <c r="EC170" i="65"/>
  <c r="V171" i="65"/>
  <c r="EJ170" i="65" l="1"/>
  <c r="AN171" i="65"/>
  <c r="EK170" i="65"/>
  <c r="AO171" i="65"/>
  <c r="ED171" i="65"/>
  <c r="W172" i="65"/>
  <c r="EC171" i="65"/>
  <c r="V172" i="65"/>
  <c r="EL171" i="65"/>
  <c r="AP172" i="65"/>
  <c r="EB171" i="65"/>
  <c r="U172" i="65"/>
  <c r="EM170" i="65"/>
  <c r="AQ171" i="65"/>
  <c r="EQ172" i="65"/>
  <c r="AU173" i="65"/>
  <c r="DX170" i="65"/>
  <c r="Q171" i="65"/>
  <c r="EI171" i="65"/>
  <c r="AM172" i="65"/>
  <c r="EO172" i="65"/>
  <c r="AS173" i="65"/>
  <c r="DY170" i="65"/>
  <c r="R171" i="65"/>
  <c r="EG171" i="65"/>
  <c r="Z172" i="65"/>
  <c r="DZ174" i="65"/>
  <c r="S175" i="65"/>
  <c r="DW170" i="65"/>
  <c r="P171" i="65"/>
  <c r="EA170" i="65"/>
  <c r="T171" i="65"/>
  <c r="ER170" i="65"/>
  <c r="AV171" i="65"/>
  <c r="EP171" i="65"/>
  <c r="AT172" i="65"/>
  <c r="EE170" i="65"/>
  <c r="X171" i="65"/>
  <c r="EH172" i="65"/>
  <c r="AL173" i="65"/>
  <c r="EN171" i="65"/>
  <c r="AR172" i="65"/>
  <c r="EF172" i="65"/>
  <c r="Y173" i="65"/>
  <c r="EK171" i="65" l="1"/>
  <c r="AO172" i="65"/>
  <c r="AN172" i="65"/>
  <c r="EJ171" i="65"/>
  <c r="EQ173" i="65"/>
  <c r="AU174" i="65"/>
  <c r="EH173" i="65"/>
  <c r="AL174" i="65"/>
  <c r="DX171" i="65"/>
  <c r="Q172" i="65"/>
  <c r="DW171" i="65"/>
  <c r="P172" i="65"/>
  <c r="EM171" i="65"/>
  <c r="AQ172" i="65"/>
  <c r="EB172" i="65"/>
  <c r="U173" i="65"/>
  <c r="EP172" i="65"/>
  <c r="AT173" i="65"/>
  <c r="EF173" i="65"/>
  <c r="Y174" i="65"/>
  <c r="DZ175" i="65"/>
  <c r="S176" i="65"/>
  <c r="EG172" i="65"/>
  <c r="Z173" i="65"/>
  <c r="EE171" i="65"/>
  <c r="X172" i="65"/>
  <c r="DY171" i="65"/>
  <c r="R172" i="65"/>
  <c r="EL172" i="65"/>
  <c r="AP173" i="65"/>
  <c r="EO173" i="65"/>
  <c r="AS174" i="65"/>
  <c r="ER171" i="65"/>
  <c r="AV172" i="65"/>
  <c r="EI172" i="65"/>
  <c r="AM173" i="65"/>
  <c r="ED172" i="65"/>
  <c r="W173" i="65"/>
  <c r="EA171" i="65"/>
  <c r="T172" i="65"/>
  <c r="EN172" i="65"/>
  <c r="AR173" i="65"/>
  <c r="EC172" i="65"/>
  <c r="V173" i="65"/>
  <c r="EJ172" i="65" l="1"/>
  <c r="AN173" i="65"/>
  <c r="EK172" i="65"/>
  <c r="AO173" i="65"/>
  <c r="EP173" i="65"/>
  <c r="AT174" i="65"/>
  <c r="EB173" i="65"/>
  <c r="U174" i="65"/>
  <c r="EC173" i="65"/>
  <c r="V174" i="65"/>
  <c r="EM172" i="65"/>
  <c r="AQ173" i="65"/>
  <c r="EN173" i="65"/>
  <c r="AR174" i="65"/>
  <c r="DX172" i="65"/>
  <c r="Q173" i="65"/>
  <c r="EO174" i="65"/>
  <c r="AS175" i="65"/>
  <c r="EL173" i="65"/>
  <c r="AP174" i="65"/>
  <c r="DY172" i="65"/>
  <c r="R173" i="65"/>
  <c r="EA172" i="65"/>
  <c r="T173" i="65"/>
  <c r="EG173" i="65"/>
  <c r="Z174" i="65"/>
  <c r="EH174" i="65"/>
  <c r="AL175" i="65"/>
  <c r="DZ176" i="65"/>
  <c r="S177" i="65"/>
  <c r="EI173" i="65"/>
  <c r="AM174" i="65"/>
  <c r="EF174" i="65"/>
  <c r="Y175" i="65"/>
  <c r="ER172" i="65"/>
  <c r="AV173" i="65"/>
  <c r="DW172" i="65"/>
  <c r="P173" i="65"/>
  <c r="EE172" i="65"/>
  <c r="X173" i="65"/>
  <c r="ED173" i="65"/>
  <c r="W174" i="65"/>
  <c r="EQ174" i="65"/>
  <c r="AU175" i="65"/>
  <c r="EK173" i="65" l="1"/>
  <c r="AO174" i="65"/>
  <c r="EJ173" i="65"/>
  <c r="AN174" i="65"/>
  <c r="EO175" i="65"/>
  <c r="AS176" i="65"/>
  <c r="EI174" i="65"/>
  <c r="AM175" i="65"/>
  <c r="EM173" i="65"/>
  <c r="AQ174" i="65"/>
  <c r="EC174" i="65"/>
  <c r="V175" i="65"/>
  <c r="EF175" i="65"/>
  <c r="Y176" i="65"/>
  <c r="DX173" i="65"/>
  <c r="Q174" i="65"/>
  <c r="DZ177" i="65"/>
  <c r="S178" i="65"/>
  <c r="EN174" i="65"/>
  <c r="AR175" i="65"/>
  <c r="EE173" i="65"/>
  <c r="X174" i="65"/>
  <c r="DW173" i="65"/>
  <c r="P174" i="65"/>
  <c r="EB174" i="65"/>
  <c r="U175" i="65"/>
  <c r="ER173" i="65"/>
  <c r="AV174" i="65"/>
  <c r="DY173" i="65"/>
  <c r="R174" i="65"/>
  <c r="EP174" i="65"/>
  <c r="AT175" i="65"/>
  <c r="EL174" i="65"/>
  <c r="AP175" i="65"/>
  <c r="EQ175" i="65"/>
  <c r="AU176" i="65"/>
  <c r="ED174" i="65"/>
  <c r="W175" i="65"/>
  <c r="EH175" i="65"/>
  <c r="AL176" i="65"/>
  <c r="EG174" i="65"/>
  <c r="Z175" i="65"/>
  <c r="EA173" i="65"/>
  <c r="T174" i="65"/>
  <c r="AN175" i="65" l="1"/>
  <c r="EJ174" i="65"/>
  <c r="EK174" i="65"/>
  <c r="AO175" i="65"/>
  <c r="DZ178" i="65"/>
  <c r="S179" i="65"/>
  <c r="EA174" i="65"/>
  <c r="T175" i="65"/>
  <c r="EF176" i="65"/>
  <c r="Y177" i="65"/>
  <c r="EG175" i="65"/>
  <c r="Z176" i="65"/>
  <c r="DX174" i="65"/>
  <c r="Q175" i="65"/>
  <c r="EP175" i="65"/>
  <c r="AT176" i="65"/>
  <c r="DY174" i="65"/>
  <c r="R175" i="65"/>
  <c r="ER174" i="65"/>
  <c r="AV175" i="65"/>
  <c r="EB175" i="65"/>
  <c r="U176" i="65"/>
  <c r="EH176" i="65"/>
  <c r="AL177" i="65"/>
  <c r="DW174" i="65"/>
  <c r="P175" i="65"/>
  <c r="EI175" i="65"/>
  <c r="AM176" i="65"/>
  <c r="EN175" i="65"/>
  <c r="AR176" i="65"/>
  <c r="EC175" i="65"/>
  <c r="V176" i="65"/>
  <c r="EM174" i="65"/>
  <c r="AQ175" i="65"/>
  <c r="ED175" i="65"/>
  <c r="W176" i="65"/>
  <c r="EE174" i="65"/>
  <c r="X175" i="65"/>
  <c r="EQ176" i="65"/>
  <c r="AU177" i="65"/>
  <c r="EO176" i="65"/>
  <c r="AS177" i="65"/>
  <c r="EL175" i="65"/>
  <c r="AP176" i="65"/>
  <c r="EK175" i="65" l="1"/>
  <c r="AO176" i="65"/>
  <c r="AN176" i="65"/>
  <c r="EJ175" i="65"/>
  <c r="ER175" i="65"/>
  <c r="AV176" i="65"/>
  <c r="DY175" i="65"/>
  <c r="R176" i="65"/>
  <c r="EN176" i="65"/>
  <c r="AR177" i="65"/>
  <c r="DX175" i="65"/>
  <c r="Q176" i="65"/>
  <c r="EG176" i="65"/>
  <c r="Z177" i="65"/>
  <c r="DW175" i="65"/>
  <c r="P176" i="65"/>
  <c r="EP176" i="65"/>
  <c r="AT177" i="65"/>
  <c r="EO177" i="65"/>
  <c r="AS178" i="65"/>
  <c r="EH177" i="65"/>
  <c r="AL178" i="65"/>
  <c r="EM175" i="65"/>
  <c r="AQ176" i="65"/>
  <c r="EB176" i="65"/>
  <c r="U177" i="65"/>
  <c r="DZ179" i="65"/>
  <c r="S180" i="65"/>
  <c r="EC176" i="65"/>
  <c r="V177" i="65"/>
  <c r="EL176" i="65"/>
  <c r="AP177" i="65"/>
  <c r="EQ177" i="65"/>
  <c r="AU178" i="65"/>
  <c r="EI176" i="65"/>
  <c r="AM177" i="65"/>
  <c r="EE175" i="65"/>
  <c r="X176" i="65"/>
  <c r="EF177" i="65"/>
  <c r="Y178" i="65"/>
  <c r="ED176" i="65"/>
  <c r="W177" i="65"/>
  <c r="EA175" i="65"/>
  <c r="T176" i="65"/>
  <c r="AN177" i="65" l="1"/>
  <c r="EJ176" i="65"/>
  <c r="EK176" i="65"/>
  <c r="AO177" i="65"/>
  <c r="EL177" i="65"/>
  <c r="AP178" i="65"/>
  <c r="EG177" i="65"/>
  <c r="Z178" i="65"/>
  <c r="ED177" i="65"/>
  <c r="W178" i="65"/>
  <c r="EF178" i="65"/>
  <c r="Y179" i="65"/>
  <c r="EN177" i="65"/>
  <c r="AR178" i="65"/>
  <c r="EA176" i="65"/>
  <c r="T177" i="65"/>
  <c r="DX176" i="65"/>
  <c r="Q177" i="65"/>
  <c r="EM176" i="65"/>
  <c r="AQ177" i="65"/>
  <c r="EH178" i="65"/>
  <c r="AL179" i="65"/>
  <c r="EQ178" i="65"/>
  <c r="AU179" i="65"/>
  <c r="EO178" i="65"/>
  <c r="AS179" i="65"/>
  <c r="ER176" i="65"/>
  <c r="AV177" i="65"/>
  <c r="EP177" i="65"/>
  <c r="AT178" i="65"/>
  <c r="DW176" i="65"/>
  <c r="P177" i="65"/>
  <c r="EC177" i="65"/>
  <c r="V178" i="65"/>
  <c r="DZ180" i="65"/>
  <c r="S181" i="65"/>
  <c r="EB177" i="65"/>
  <c r="U178" i="65"/>
  <c r="EE176" i="65"/>
  <c r="X177" i="65"/>
  <c r="EI177" i="65"/>
  <c r="AM178" i="65"/>
  <c r="DY176" i="65"/>
  <c r="R177" i="65"/>
  <c r="EK177" i="65" l="1"/>
  <c r="AO178" i="65"/>
  <c r="EJ177" i="65"/>
  <c r="AN178" i="65"/>
  <c r="DX177" i="65"/>
  <c r="Q178" i="65"/>
  <c r="DY177" i="65"/>
  <c r="R178" i="65"/>
  <c r="EP178" i="65"/>
  <c r="AT179" i="65"/>
  <c r="DW177" i="65"/>
  <c r="P178" i="65"/>
  <c r="EN178" i="65"/>
  <c r="AR179" i="65"/>
  <c r="EO179" i="65"/>
  <c r="AS180" i="65"/>
  <c r="ED178" i="65"/>
  <c r="W179" i="65"/>
  <c r="EB178" i="65"/>
  <c r="U179" i="65"/>
  <c r="EG178" i="65"/>
  <c r="Z179" i="65"/>
  <c r="EC178" i="65"/>
  <c r="V179" i="65"/>
  <c r="EL178" i="65"/>
  <c r="AP179" i="65"/>
  <c r="EA177" i="65"/>
  <c r="T178" i="65"/>
  <c r="ER177" i="65"/>
  <c r="AV178" i="65"/>
  <c r="EI178" i="65"/>
  <c r="AM179" i="65"/>
  <c r="EF179" i="65"/>
  <c r="Y180" i="65"/>
  <c r="EE177" i="65"/>
  <c r="X178" i="65"/>
  <c r="EQ179" i="65"/>
  <c r="AU180" i="65"/>
  <c r="EH179" i="65"/>
  <c r="AL180" i="65"/>
  <c r="DZ181" i="65"/>
  <c r="S182" i="65"/>
  <c r="EM177" i="65"/>
  <c r="AQ178" i="65"/>
  <c r="EJ178" i="65" l="1"/>
  <c r="AN179" i="65"/>
  <c r="EK178" i="65"/>
  <c r="AO179" i="65"/>
  <c r="EI179" i="65"/>
  <c r="AM180" i="65"/>
  <c r="ER178" i="65"/>
  <c r="AV179" i="65"/>
  <c r="DW178" i="65"/>
  <c r="P179" i="65"/>
  <c r="EP179" i="65"/>
  <c r="AT180" i="65"/>
  <c r="EM178" i="65"/>
  <c r="AQ179" i="65"/>
  <c r="EA178" i="65"/>
  <c r="T179" i="65"/>
  <c r="DZ182" i="65"/>
  <c r="S183" i="65"/>
  <c r="EL179" i="65"/>
  <c r="AP180" i="65"/>
  <c r="EH180" i="65"/>
  <c r="AL181" i="65"/>
  <c r="EC179" i="65"/>
  <c r="V180" i="65"/>
  <c r="EF180" i="65"/>
  <c r="Y181" i="65"/>
  <c r="EG179" i="65"/>
  <c r="Z180" i="65"/>
  <c r="DX178" i="65"/>
  <c r="Q179" i="65"/>
  <c r="EB179" i="65"/>
  <c r="U180" i="65"/>
  <c r="ED179" i="65"/>
  <c r="W180" i="65"/>
  <c r="EO180" i="65"/>
  <c r="AS181" i="65"/>
  <c r="EN179" i="65"/>
  <c r="AR180" i="65"/>
  <c r="EQ180" i="65"/>
  <c r="AU181" i="65"/>
  <c r="EE178" i="65"/>
  <c r="X179" i="65"/>
  <c r="DY178" i="65"/>
  <c r="R179" i="65"/>
  <c r="EK179" i="65" l="1"/>
  <c r="AO180" i="65"/>
  <c r="AN180" i="65"/>
  <c r="EJ179" i="65"/>
  <c r="EB180" i="65"/>
  <c r="U181" i="65"/>
  <c r="DX179" i="65"/>
  <c r="Q180" i="65"/>
  <c r="EM179" i="65"/>
  <c r="AQ180" i="65"/>
  <c r="EP180" i="65"/>
  <c r="AT181" i="65"/>
  <c r="EL180" i="65"/>
  <c r="AP181" i="65"/>
  <c r="EA179" i="65"/>
  <c r="T180" i="65"/>
  <c r="EG180" i="65"/>
  <c r="Z181" i="65"/>
  <c r="EQ181" i="65"/>
  <c r="AU182" i="65"/>
  <c r="DW179" i="65"/>
  <c r="P180" i="65"/>
  <c r="EN180" i="65"/>
  <c r="AR181" i="65"/>
  <c r="EH181" i="65"/>
  <c r="AL182" i="65"/>
  <c r="EI180" i="65"/>
  <c r="AM181" i="65"/>
  <c r="ED180" i="65"/>
  <c r="W181" i="65"/>
  <c r="DZ183" i="65"/>
  <c r="S184" i="65"/>
  <c r="DY179" i="65"/>
  <c r="R180" i="65"/>
  <c r="EE179" i="65"/>
  <c r="X180" i="65"/>
  <c r="EF181" i="65"/>
  <c r="Y182" i="65"/>
  <c r="EC180" i="65"/>
  <c r="V181" i="65"/>
  <c r="ER179" i="65"/>
  <c r="AV180" i="65"/>
  <c r="EO181" i="65"/>
  <c r="AS182" i="65"/>
  <c r="EJ180" i="65" l="1"/>
  <c r="AN181" i="65"/>
  <c r="AO181" i="65"/>
  <c r="EK180" i="65"/>
  <c r="EA180" i="65"/>
  <c r="T181" i="65"/>
  <c r="EO182" i="65"/>
  <c r="AS183" i="65"/>
  <c r="EH182" i="65"/>
  <c r="AL183" i="65"/>
  <c r="EM180" i="65"/>
  <c r="AQ181" i="65"/>
  <c r="DY180" i="65"/>
  <c r="R181" i="65"/>
  <c r="DZ184" i="65"/>
  <c r="S185" i="65"/>
  <c r="EL181" i="65"/>
  <c r="AP182" i="65"/>
  <c r="EI181" i="65"/>
  <c r="AM182" i="65"/>
  <c r="EC181" i="65"/>
  <c r="V182" i="65"/>
  <c r="EN181" i="65"/>
  <c r="AR182" i="65"/>
  <c r="DW180" i="65"/>
  <c r="P181" i="65"/>
  <c r="EQ182" i="65"/>
  <c r="AU183" i="65"/>
  <c r="EB181" i="65"/>
  <c r="U182" i="65"/>
  <c r="EG181" i="65"/>
  <c r="Z182" i="65"/>
  <c r="ED181" i="65"/>
  <c r="W182" i="65"/>
  <c r="ER180" i="65"/>
  <c r="AV181" i="65"/>
  <c r="EP181" i="65"/>
  <c r="AT182" i="65"/>
  <c r="EF182" i="65"/>
  <c r="Y183" i="65"/>
  <c r="DX180" i="65"/>
  <c r="Q181" i="65"/>
  <c r="EE180" i="65"/>
  <c r="X181" i="65"/>
  <c r="AO182" i="65" l="1"/>
  <c r="EK181" i="65"/>
  <c r="AN182" i="65"/>
  <c r="EJ181" i="65"/>
  <c r="ED182" i="65"/>
  <c r="W183" i="65"/>
  <c r="DZ185" i="65"/>
  <c r="S186" i="65"/>
  <c r="DY181" i="65"/>
  <c r="R182" i="65"/>
  <c r="DX181" i="65"/>
  <c r="Q182" i="65"/>
  <c r="DW181" i="65"/>
  <c r="P182" i="65"/>
  <c r="EL182" i="65"/>
  <c r="AP183" i="65"/>
  <c r="EE181" i="65"/>
  <c r="X182" i="65"/>
  <c r="EQ183" i="65"/>
  <c r="AU184" i="65"/>
  <c r="EF183" i="65"/>
  <c r="Y184" i="65"/>
  <c r="EN182" i="65"/>
  <c r="AR183" i="65"/>
  <c r="EC182" i="65"/>
  <c r="V183" i="65"/>
  <c r="ER181" i="65"/>
  <c r="AV182" i="65"/>
  <c r="EI182" i="65"/>
  <c r="AM183" i="65"/>
  <c r="EA181" i="65"/>
  <c r="T182" i="65"/>
  <c r="EG182" i="65"/>
  <c r="Z183" i="65"/>
  <c r="EB182" i="65"/>
  <c r="U183" i="65"/>
  <c r="EM181" i="65"/>
  <c r="AQ182" i="65"/>
  <c r="EH183" i="65"/>
  <c r="AL184" i="65"/>
  <c r="EP182" i="65"/>
  <c r="AT183" i="65"/>
  <c r="EO183" i="65"/>
  <c r="AS184" i="65"/>
  <c r="AN183" i="65" l="1"/>
  <c r="EJ182" i="65"/>
  <c r="EK182" i="65"/>
  <c r="AO183" i="65"/>
  <c r="EE182" i="65"/>
  <c r="X183" i="65"/>
  <c r="EL183" i="65"/>
  <c r="AP184" i="65"/>
  <c r="EO184" i="65"/>
  <c r="AS185" i="65"/>
  <c r="ER182" i="65"/>
  <c r="AV183" i="65"/>
  <c r="DW182" i="65"/>
  <c r="P183" i="65"/>
  <c r="EN183" i="65"/>
  <c r="AR184" i="65"/>
  <c r="EF184" i="65"/>
  <c r="Y185" i="65"/>
  <c r="EQ184" i="65"/>
  <c r="AU185" i="65"/>
  <c r="ED183" i="65"/>
  <c r="W184" i="65"/>
  <c r="EG183" i="65"/>
  <c r="Z184" i="65"/>
  <c r="EA182" i="65"/>
  <c r="T183" i="65"/>
  <c r="EI183" i="65"/>
  <c r="AM184" i="65"/>
  <c r="EP183" i="65"/>
  <c r="AT184" i="65"/>
  <c r="EC183" i="65"/>
  <c r="V184" i="65"/>
  <c r="DX182" i="65"/>
  <c r="Q183" i="65"/>
  <c r="EH184" i="65"/>
  <c r="AL185" i="65"/>
  <c r="DY182" i="65"/>
  <c r="R183" i="65"/>
  <c r="EM182" i="65"/>
  <c r="AQ183" i="65"/>
  <c r="DZ186" i="65"/>
  <c r="S187" i="65"/>
  <c r="EB183" i="65"/>
  <c r="U184" i="65"/>
  <c r="EK183" i="65" l="1"/>
  <c r="AO184" i="65"/>
  <c r="EJ183" i="65"/>
  <c r="AN184" i="65"/>
  <c r="DZ187" i="65"/>
  <c r="S188" i="65"/>
  <c r="EC184" i="65"/>
  <c r="V185" i="65"/>
  <c r="EA183" i="65"/>
  <c r="T184" i="65"/>
  <c r="EG184" i="65"/>
  <c r="Z185" i="65"/>
  <c r="DY183" i="65"/>
  <c r="R184" i="65"/>
  <c r="EH185" i="65"/>
  <c r="AL186" i="65"/>
  <c r="EN184" i="65"/>
  <c r="AR185" i="65"/>
  <c r="EP184" i="65"/>
  <c r="AT185" i="65"/>
  <c r="EB184" i="65"/>
  <c r="U185" i="65"/>
  <c r="EI184" i="65"/>
  <c r="AM185" i="65"/>
  <c r="DW183" i="65"/>
  <c r="P184" i="65"/>
  <c r="ER183" i="65"/>
  <c r="AV184" i="65"/>
  <c r="ED184" i="65"/>
  <c r="W185" i="65"/>
  <c r="EQ185" i="65"/>
  <c r="AU186" i="65"/>
  <c r="DX183" i="65"/>
  <c r="Q184" i="65"/>
  <c r="EF185" i="65"/>
  <c r="Y186" i="65"/>
  <c r="EE183" i="65"/>
  <c r="X184" i="65"/>
  <c r="EM183" i="65"/>
  <c r="AQ184" i="65"/>
  <c r="EO185" i="65"/>
  <c r="AS186" i="65"/>
  <c r="EL184" i="65"/>
  <c r="AP185" i="65"/>
  <c r="EJ184" i="65" l="1"/>
  <c r="AN185" i="65"/>
  <c r="EK184" i="65"/>
  <c r="AO185" i="65"/>
  <c r="ED185" i="65"/>
  <c r="W186" i="65"/>
  <c r="DY184" i="65"/>
  <c r="R185" i="65"/>
  <c r="EO186" i="65"/>
  <c r="AS187" i="65"/>
  <c r="ER184" i="65"/>
  <c r="AV185" i="65"/>
  <c r="EA184" i="65"/>
  <c r="T185" i="65"/>
  <c r="EI185" i="65"/>
  <c r="AM186" i="65"/>
  <c r="EN185" i="65"/>
  <c r="AR186" i="65"/>
  <c r="EH186" i="65"/>
  <c r="AL187" i="65"/>
  <c r="EL185" i="65"/>
  <c r="AP186" i="65"/>
  <c r="EG185" i="65"/>
  <c r="Z186" i="65"/>
  <c r="EM184" i="65"/>
  <c r="AQ185" i="65"/>
  <c r="EE184" i="65"/>
  <c r="X185" i="65"/>
  <c r="EF186" i="65"/>
  <c r="Y187" i="65"/>
  <c r="EB185" i="65"/>
  <c r="U186" i="65"/>
  <c r="DX184" i="65"/>
  <c r="Q185" i="65"/>
  <c r="EP185" i="65"/>
  <c r="AT186" i="65"/>
  <c r="DZ188" i="65"/>
  <c r="S189" i="65"/>
  <c r="EQ186" i="65"/>
  <c r="AU187" i="65"/>
  <c r="DW184" i="65"/>
  <c r="P185" i="65"/>
  <c r="EC185" i="65"/>
  <c r="V186" i="65"/>
  <c r="EK185" i="65" l="1"/>
  <c r="AO186" i="65"/>
  <c r="EJ185" i="65"/>
  <c r="AN186" i="65"/>
  <c r="EH187" i="65"/>
  <c r="AL188" i="65"/>
  <c r="EN186" i="65"/>
  <c r="AR187" i="65"/>
  <c r="EC186" i="65"/>
  <c r="V187" i="65"/>
  <c r="EE185" i="65"/>
  <c r="X186" i="65"/>
  <c r="EM185" i="65"/>
  <c r="AQ186" i="65"/>
  <c r="EP186" i="65"/>
  <c r="AT187" i="65"/>
  <c r="DX185" i="65"/>
  <c r="Q186" i="65"/>
  <c r="EI186" i="65"/>
  <c r="AM187" i="65"/>
  <c r="EF187" i="65"/>
  <c r="Y188" i="65"/>
  <c r="ER185" i="65"/>
  <c r="AV186" i="65"/>
  <c r="EQ187" i="65"/>
  <c r="AU188" i="65"/>
  <c r="EG186" i="65"/>
  <c r="Z187" i="65"/>
  <c r="DZ189" i="65"/>
  <c r="S190" i="65"/>
  <c r="EL186" i="65"/>
  <c r="AP187" i="65"/>
  <c r="ED186" i="65"/>
  <c r="W187" i="65"/>
  <c r="EB186" i="65"/>
  <c r="U187" i="65"/>
  <c r="EA185" i="65"/>
  <c r="T186" i="65"/>
  <c r="DW185" i="65"/>
  <c r="P186" i="65"/>
  <c r="EO187" i="65"/>
  <c r="AS188" i="65"/>
  <c r="DY185" i="65"/>
  <c r="R186" i="65"/>
  <c r="EJ186" i="65" l="1"/>
  <c r="AN187" i="65"/>
  <c r="EK186" i="65"/>
  <c r="AO187" i="65"/>
  <c r="EP187" i="65"/>
  <c r="AT188" i="65"/>
  <c r="EG187" i="65"/>
  <c r="Z188" i="65"/>
  <c r="EE186" i="65"/>
  <c r="X187" i="65"/>
  <c r="EC187" i="65"/>
  <c r="V188" i="65"/>
  <c r="ED187" i="65"/>
  <c r="W188" i="65"/>
  <c r="EL187" i="65"/>
  <c r="AP188" i="65"/>
  <c r="DY186" i="65"/>
  <c r="R187" i="65"/>
  <c r="EM186" i="65"/>
  <c r="AQ187" i="65"/>
  <c r="DW186" i="65"/>
  <c r="P187" i="65"/>
  <c r="ER186" i="65"/>
  <c r="AV187" i="65"/>
  <c r="EB187" i="65"/>
  <c r="U188" i="65"/>
  <c r="EF188" i="65"/>
  <c r="Y189" i="65"/>
  <c r="EH188" i="65"/>
  <c r="AL189" i="65"/>
  <c r="EI187" i="65"/>
  <c r="AM188" i="65"/>
  <c r="DX186" i="65"/>
  <c r="Q187" i="65"/>
  <c r="DZ190" i="65"/>
  <c r="S191" i="65"/>
  <c r="EO188" i="65"/>
  <c r="AS189" i="65"/>
  <c r="EQ188" i="65"/>
  <c r="AU189" i="65"/>
  <c r="EA186" i="65"/>
  <c r="T187" i="65"/>
  <c r="EN187" i="65"/>
  <c r="AR188" i="65"/>
  <c r="AO188" i="65" l="1"/>
  <c r="EK187" i="65"/>
  <c r="AN188" i="65"/>
  <c r="EJ187" i="65"/>
  <c r="DX187" i="65"/>
  <c r="Q188" i="65"/>
  <c r="DY187" i="65"/>
  <c r="R188" i="65"/>
  <c r="EH189" i="65"/>
  <c r="AL190" i="65"/>
  <c r="ED188" i="65"/>
  <c r="W189" i="65"/>
  <c r="EA187" i="65"/>
  <c r="T188" i="65"/>
  <c r="EQ189" i="65"/>
  <c r="AU190" i="65"/>
  <c r="EL188" i="65"/>
  <c r="AP189" i="65"/>
  <c r="EF189" i="65"/>
  <c r="Y190" i="65"/>
  <c r="EB188" i="65"/>
  <c r="U189" i="65"/>
  <c r="ER187" i="65"/>
  <c r="AV188" i="65"/>
  <c r="EO189" i="65"/>
  <c r="AS190" i="65"/>
  <c r="DZ191" i="65"/>
  <c r="S192" i="65"/>
  <c r="DW187" i="65"/>
  <c r="P188" i="65"/>
  <c r="EP188" i="65"/>
  <c r="AT189" i="65"/>
  <c r="EM187" i="65"/>
  <c r="AQ188" i="65"/>
  <c r="EI188" i="65"/>
  <c r="AM189" i="65"/>
  <c r="EN188" i="65"/>
  <c r="AR189" i="65"/>
  <c r="EC188" i="65"/>
  <c r="V189" i="65"/>
  <c r="EE187" i="65"/>
  <c r="X188" i="65"/>
  <c r="EG188" i="65"/>
  <c r="Z189" i="65"/>
  <c r="EJ188" i="65" l="1"/>
  <c r="AN189" i="65"/>
  <c r="AO189" i="65"/>
  <c r="EK188" i="65"/>
  <c r="EM188" i="65"/>
  <c r="AQ189" i="65"/>
  <c r="EL189" i="65"/>
  <c r="AP190" i="65"/>
  <c r="EG189" i="65"/>
  <c r="Z190" i="65"/>
  <c r="DZ192" i="65"/>
  <c r="S193" i="65"/>
  <c r="EO190" i="65"/>
  <c r="AS191" i="65"/>
  <c r="EQ190" i="65"/>
  <c r="AU191" i="65"/>
  <c r="EE188" i="65"/>
  <c r="X189" i="65"/>
  <c r="ED189" i="65"/>
  <c r="W190" i="65"/>
  <c r="EN189" i="65"/>
  <c r="AR190" i="65"/>
  <c r="EI189" i="65"/>
  <c r="AM190" i="65"/>
  <c r="EB189" i="65"/>
  <c r="U190" i="65"/>
  <c r="DX188" i="65"/>
  <c r="Q189" i="65"/>
  <c r="EF190" i="65"/>
  <c r="Y191" i="65"/>
  <c r="EP189" i="65"/>
  <c r="AT190" i="65"/>
  <c r="DW188" i="65"/>
  <c r="P189" i="65"/>
  <c r="EA188" i="65"/>
  <c r="T189" i="65"/>
  <c r="EC189" i="65"/>
  <c r="V190" i="65"/>
  <c r="EH190" i="65"/>
  <c r="AL191" i="65"/>
  <c r="ER188" i="65"/>
  <c r="AV189" i="65"/>
  <c r="DY188" i="65"/>
  <c r="R189" i="65"/>
  <c r="AO190" i="65" l="1"/>
  <c r="EK189" i="65"/>
  <c r="AN190" i="65"/>
  <c r="EJ189" i="65"/>
  <c r="EQ191" i="65"/>
  <c r="AU192" i="65"/>
  <c r="EO191" i="65"/>
  <c r="AS192" i="65"/>
  <c r="EB190" i="65"/>
  <c r="U191" i="65"/>
  <c r="EI190" i="65"/>
  <c r="AM191" i="65"/>
  <c r="EG190" i="65"/>
  <c r="Z191" i="65"/>
  <c r="EP190" i="65"/>
  <c r="AT191" i="65"/>
  <c r="DY189" i="65"/>
  <c r="R190" i="65"/>
  <c r="DX189" i="65"/>
  <c r="Q190" i="65"/>
  <c r="ER189" i="65"/>
  <c r="AV190" i="65"/>
  <c r="DZ193" i="65"/>
  <c r="S194" i="65"/>
  <c r="EC190" i="65"/>
  <c r="V191" i="65"/>
  <c r="EA189" i="65"/>
  <c r="T190" i="65"/>
  <c r="DW189" i="65"/>
  <c r="P190" i="65"/>
  <c r="ED190" i="65"/>
  <c r="W191" i="65"/>
  <c r="EM189" i="65"/>
  <c r="AQ190" i="65"/>
  <c r="EE189" i="65"/>
  <c r="X190" i="65"/>
  <c r="EF191" i="65"/>
  <c r="Y192" i="65"/>
  <c r="EH191" i="65"/>
  <c r="AL192" i="65"/>
  <c r="EN190" i="65"/>
  <c r="AR191" i="65"/>
  <c r="EL190" i="65"/>
  <c r="AP191" i="65"/>
  <c r="AO191" i="65" l="1"/>
  <c r="EK190" i="65"/>
  <c r="EJ190" i="65"/>
  <c r="AN191" i="65"/>
  <c r="DX190" i="65"/>
  <c r="Q191" i="65"/>
  <c r="ED191" i="65"/>
  <c r="W192" i="65"/>
  <c r="EP191" i="65"/>
  <c r="AT192" i="65"/>
  <c r="EI191" i="65"/>
  <c r="AM192" i="65"/>
  <c r="EH192" i="65"/>
  <c r="AL193" i="65"/>
  <c r="EB191" i="65"/>
  <c r="U192" i="65"/>
  <c r="EF192" i="65"/>
  <c r="Y193" i="65"/>
  <c r="EM190" i="65"/>
  <c r="AQ191" i="65"/>
  <c r="EL191" i="65"/>
  <c r="AP192" i="65"/>
  <c r="EA190" i="65"/>
  <c r="T191" i="65"/>
  <c r="EG191" i="65"/>
  <c r="Z192" i="65"/>
  <c r="EC191" i="65"/>
  <c r="V192" i="65"/>
  <c r="EE190" i="65"/>
  <c r="X191" i="65"/>
  <c r="ER190" i="65"/>
  <c r="AV191" i="65"/>
  <c r="EQ192" i="65"/>
  <c r="AU193" i="65"/>
  <c r="DY190" i="65"/>
  <c r="R191" i="65"/>
  <c r="DW190" i="65"/>
  <c r="P191" i="65"/>
  <c r="EN191" i="65"/>
  <c r="AR192" i="65"/>
  <c r="DZ194" i="65"/>
  <c r="S195" i="65"/>
  <c r="EO192" i="65"/>
  <c r="AS193" i="65"/>
  <c r="EJ191" i="65" l="1"/>
  <c r="AN192" i="65"/>
  <c r="AO192" i="65"/>
  <c r="EK191" i="65"/>
  <c r="EB192" i="65"/>
  <c r="U193" i="65"/>
  <c r="EN192" i="65"/>
  <c r="AR193" i="65"/>
  <c r="EF193" i="65"/>
  <c r="Y194" i="65"/>
  <c r="EO193" i="65"/>
  <c r="AS194" i="65"/>
  <c r="EC192" i="65"/>
  <c r="V193" i="65"/>
  <c r="EI192" i="65"/>
  <c r="AM193" i="65"/>
  <c r="EG192" i="65"/>
  <c r="Z193" i="65"/>
  <c r="EA191" i="65"/>
  <c r="T192" i="65"/>
  <c r="DY191" i="65"/>
  <c r="R192" i="65"/>
  <c r="EQ193" i="65"/>
  <c r="AU194" i="65"/>
  <c r="EM191" i="65"/>
  <c r="AQ192" i="65"/>
  <c r="DX191" i="65"/>
  <c r="Q192" i="65"/>
  <c r="ER191" i="65"/>
  <c r="AV192" i="65"/>
  <c r="EE191" i="65"/>
  <c r="X192" i="65"/>
  <c r="EH193" i="65"/>
  <c r="AL194" i="65"/>
  <c r="DZ195" i="65"/>
  <c r="S196" i="65"/>
  <c r="DW191" i="65"/>
  <c r="P192" i="65"/>
  <c r="EP192" i="65"/>
  <c r="AT193" i="65"/>
  <c r="EL192" i="65"/>
  <c r="AP193" i="65"/>
  <c r="ED192" i="65"/>
  <c r="W193" i="65"/>
  <c r="AO193" i="65" l="1"/>
  <c r="EK192" i="65"/>
  <c r="EJ192" i="65"/>
  <c r="AN193" i="65"/>
  <c r="EG193" i="65"/>
  <c r="Z194" i="65"/>
  <c r="EE192" i="65"/>
  <c r="X193" i="65"/>
  <c r="ER192" i="65"/>
  <c r="AV193" i="65"/>
  <c r="EL193" i="65"/>
  <c r="AP194" i="65"/>
  <c r="EM192" i="65"/>
  <c r="AQ193" i="65"/>
  <c r="EQ194" i="65"/>
  <c r="AU195" i="65"/>
  <c r="EI193" i="65"/>
  <c r="AM194" i="65"/>
  <c r="ED193" i="65"/>
  <c r="W194" i="65"/>
  <c r="EC193" i="65"/>
  <c r="V194" i="65"/>
  <c r="EO194" i="65"/>
  <c r="AS195" i="65"/>
  <c r="EF194" i="65"/>
  <c r="Y195" i="65"/>
  <c r="DW192" i="65"/>
  <c r="P193" i="65"/>
  <c r="DY192" i="65"/>
  <c r="R193" i="65"/>
  <c r="DZ196" i="65"/>
  <c r="S197" i="65"/>
  <c r="EA192" i="65"/>
  <c r="T193" i="65"/>
  <c r="EB193" i="65"/>
  <c r="U194" i="65"/>
  <c r="EH194" i="65"/>
  <c r="AL195" i="65"/>
  <c r="DX192" i="65"/>
  <c r="Q193" i="65"/>
  <c r="EP193" i="65"/>
  <c r="AT194" i="65"/>
  <c r="EN193" i="65"/>
  <c r="AR194" i="65"/>
  <c r="AN194" i="65" l="1"/>
  <c r="EJ193" i="65"/>
  <c r="AO194" i="65"/>
  <c r="EK193" i="65"/>
  <c r="EB194" i="65"/>
  <c r="U195" i="65"/>
  <c r="EI194" i="65"/>
  <c r="AM195" i="65"/>
  <c r="EA193" i="65"/>
  <c r="T194" i="65"/>
  <c r="EQ195" i="65"/>
  <c r="AU196" i="65"/>
  <c r="EN194" i="65"/>
  <c r="AR195" i="65"/>
  <c r="DW193" i="65"/>
  <c r="P194" i="65"/>
  <c r="EF195" i="65"/>
  <c r="Y196" i="65"/>
  <c r="EO195" i="65"/>
  <c r="AS196" i="65"/>
  <c r="EC194" i="65"/>
  <c r="V195" i="65"/>
  <c r="EG194" i="65"/>
  <c r="Z195" i="65"/>
  <c r="ED194" i="65"/>
  <c r="W195" i="65"/>
  <c r="DZ197" i="65"/>
  <c r="S198" i="65"/>
  <c r="DY193" i="65"/>
  <c r="R194" i="65"/>
  <c r="EM193" i="65"/>
  <c r="AQ194" i="65"/>
  <c r="EL194" i="65"/>
  <c r="AP195" i="65"/>
  <c r="EP194" i="65"/>
  <c r="AT195" i="65"/>
  <c r="ER193" i="65"/>
  <c r="AV194" i="65"/>
  <c r="DX193" i="65"/>
  <c r="Q194" i="65"/>
  <c r="EE193" i="65"/>
  <c r="X194" i="65"/>
  <c r="EH195" i="65"/>
  <c r="AL196" i="65"/>
  <c r="AO195" i="65" l="1"/>
  <c r="EK194" i="65"/>
  <c r="EJ194" i="65"/>
  <c r="AN195" i="65"/>
  <c r="EH196" i="65"/>
  <c r="AL197" i="65"/>
  <c r="EN195" i="65"/>
  <c r="AR196" i="65"/>
  <c r="EE194" i="65"/>
  <c r="X195" i="65"/>
  <c r="EQ196" i="65"/>
  <c r="AU197" i="65"/>
  <c r="EA194" i="65"/>
  <c r="T195" i="65"/>
  <c r="EF196" i="65"/>
  <c r="Y197" i="65"/>
  <c r="DY194" i="65"/>
  <c r="R195" i="65"/>
  <c r="DW194" i="65"/>
  <c r="P195" i="65"/>
  <c r="DZ198" i="65"/>
  <c r="S199" i="65"/>
  <c r="DX194" i="65"/>
  <c r="Q195" i="65"/>
  <c r="ER194" i="65"/>
  <c r="AV195" i="65"/>
  <c r="EP195" i="65"/>
  <c r="AT196" i="65"/>
  <c r="EC195" i="65"/>
  <c r="V196" i="65"/>
  <c r="EL195" i="65"/>
  <c r="AP196" i="65"/>
  <c r="EO196" i="65"/>
  <c r="AS197" i="65"/>
  <c r="EB195" i="65"/>
  <c r="U196" i="65"/>
  <c r="EM194" i="65"/>
  <c r="AQ195" i="65"/>
  <c r="ED195" i="65"/>
  <c r="W196" i="65"/>
  <c r="EG195" i="65"/>
  <c r="Z196" i="65"/>
  <c r="EI195" i="65"/>
  <c r="AM196" i="65"/>
  <c r="AN196" i="65" l="1"/>
  <c r="EJ195" i="65"/>
  <c r="EK195" i="65"/>
  <c r="AO196" i="65"/>
  <c r="EO197" i="65"/>
  <c r="AS198" i="65"/>
  <c r="EF197" i="65"/>
  <c r="Y198" i="65"/>
  <c r="EC196" i="65"/>
  <c r="V197" i="65"/>
  <c r="EA195" i="65"/>
  <c r="T196" i="65"/>
  <c r="EG196" i="65"/>
  <c r="Z197" i="65"/>
  <c r="EP196" i="65"/>
  <c r="AT197" i="65"/>
  <c r="EE195" i="65"/>
  <c r="X196" i="65"/>
  <c r="DZ199" i="65"/>
  <c r="S200" i="65"/>
  <c r="EB196" i="65"/>
  <c r="U197" i="65"/>
  <c r="DW195" i="65"/>
  <c r="P196" i="65"/>
  <c r="EH197" i="65"/>
  <c r="AL198" i="65"/>
  <c r="DY195" i="65"/>
  <c r="R196" i="65"/>
  <c r="EL196" i="65"/>
  <c r="AP197" i="65"/>
  <c r="EI196" i="65"/>
  <c r="AM197" i="65"/>
  <c r="EQ197" i="65"/>
  <c r="AU198" i="65"/>
  <c r="ED196" i="65"/>
  <c r="W197" i="65"/>
  <c r="ER195" i="65"/>
  <c r="AV196" i="65"/>
  <c r="DX195" i="65"/>
  <c r="Q196" i="65"/>
  <c r="EM195" i="65"/>
  <c r="AQ196" i="65"/>
  <c r="EN196" i="65"/>
  <c r="AR197" i="65"/>
  <c r="AO197" i="65" l="1"/>
  <c r="EK196" i="65"/>
  <c r="EJ196" i="65"/>
  <c r="AN197" i="65"/>
  <c r="EI197" i="65"/>
  <c r="AM198" i="65"/>
  <c r="EA196" i="65"/>
  <c r="T197" i="65"/>
  <c r="DW196" i="65"/>
  <c r="P197" i="65"/>
  <c r="EB197" i="65"/>
  <c r="U198" i="65"/>
  <c r="EL197" i="65"/>
  <c r="AP198" i="65"/>
  <c r="DY196" i="65"/>
  <c r="R197" i="65"/>
  <c r="EM196" i="65"/>
  <c r="AQ197" i="65"/>
  <c r="DX196" i="65"/>
  <c r="Q197" i="65"/>
  <c r="ER196" i="65"/>
  <c r="AV197" i="65"/>
  <c r="DZ200" i="65"/>
  <c r="S201" i="65"/>
  <c r="EQ198" i="65"/>
  <c r="AU199" i="65"/>
  <c r="EE196" i="65"/>
  <c r="X197" i="65"/>
  <c r="EO198" i="65"/>
  <c r="AS199" i="65"/>
  <c r="EP197" i="65"/>
  <c r="AT198" i="65"/>
  <c r="EG197" i="65"/>
  <c r="Z198" i="65"/>
  <c r="EN197" i="65"/>
  <c r="AR198" i="65"/>
  <c r="EH198" i="65"/>
  <c r="AL199" i="65"/>
  <c r="EC197" i="65"/>
  <c r="V198" i="65"/>
  <c r="ED197" i="65"/>
  <c r="W198" i="65"/>
  <c r="EF198" i="65"/>
  <c r="Y199" i="65"/>
  <c r="EJ197" i="65" l="1"/>
  <c r="AN198" i="65"/>
  <c r="EK197" i="65"/>
  <c r="AO198" i="65"/>
  <c r="ED198" i="65"/>
  <c r="W199" i="65"/>
  <c r="EG198" i="65"/>
  <c r="Z199" i="65"/>
  <c r="DY197" i="65"/>
  <c r="R198" i="65"/>
  <c r="EL198" i="65"/>
  <c r="AP199" i="65"/>
  <c r="EE197" i="65"/>
  <c r="X198" i="65"/>
  <c r="EC198" i="65"/>
  <c r="V199" i="65"/>
  <c r="DW197" i="65"/>
  <c r="P198" i="65"/>
  <c r="EN198" i="65"/>
  <c r="AR199" i="65"/>
  <c r="DX197" i="65"/>
  <c r="Q198" i="65"/>
  <c r="EI198" i="65"/>
  <c r="AM199" i="65"/>
  <c r="EM197" i="65"/>
  <c r="AQ198" i="65"/>
  <c r="EP198" i="65"/>
  <c r="AT199" i="65"/>
  <c r="EF199" i="65"/>
  <c r="Y200" i="65"/>
  <c r="EO199" i="65"/>
  <c r="AS200" i="65"/>
  <c r="EB198" i="65"/>
  <c r="U199" i="65"/>
  <c r="EQ199" i="65"/>
  <c r="AU200" i="65"/>
  <c r="DZ201" i="65"/>
  <c r="S202" i="65"/>
  <c r="EH199" i="65"/>
  <c r="AL200" i="65"/>
  <c r="ER197" i="65"/>
  <c r="AV198" i="65"/>
  <c r="EA197" i="65"/>
  <c r="T198" i="65"/>
  <c r="AN199" i="65" l="1"/>
  <c r="EJ198" i="65"/>
  <c r="AO199" i="65"/>
  <c r="EK198" i="65"/>
  <c r="EF200" i="65"/>
  <c r="Y201" i="65"/>
  <c r="EE198" i="65"/>
  <c r="X199" i="65"/>
  <c r="EL199" i="65"/>
  <c r="AP200" i="65"/>
  <c r="EH200" i="65"/>
  <c r="AL201" i="65"/>
  <c r="DX198" i="65"/>
  <c r="Q199" i="65"/>
  <c r="EO200" i="65"/>
  <c r="AS201" i="65"/>
  <c r="EP199" i="65"/>
  <c r="AT200" i="65"/>
  <c r="EM198" i="65"/>
  <c r="AQ199" i="65"/>
  <c r="EI199" i="65"/>
  <c r="AM200" i="65"/>
  <c r="EG199" i="65"/>
  <c r="Z200" i="65"/>
  <c r="EN199" i="65"/>
  <c r="AR200" i="65"/>
  <c r="EB199" i="65"/>
  <c r="U200" i="65"/>
  <c r="ED199" i="65"/>
  <c r="W200" i="65"/>
  <c r="DW198" i="65"/>
  <c r="P199" i="65"/>
  <c r="EC199" i="65"/>
  <c r="V200" i="65"/>
  <c r="EA198" i="65"/>
  <c r="T199" i="65"/>
  <c r="ER198" i="65"/>
  <c r="AV199" i="65"/>
  <c r="DY198" i="65"/>
  <c r="R199" i="65"/>
  <c r="DZ202" i="65"/>
  <c r="S203" i="65"/>
  <c r="EQ200" i="65"/>
  <c r="AU201" i="65"/>
  <c r="AO200" i="65" l="1"/>
  <c r="EK199" i="65"/>
  <c r="AN200" i="65"/>
  <c r="EJ199" i="65"/>
  <c r="ED200" i="65"/>
  <c r="W201" i="65"/>
  <c r="DX199" i="65"/>
  <c r="Q200" i="65"/>
  <c r="EB200" i="65"/>
  <c r="U201" i="65"/>
  <c r="EN200" i="65"/>
  <c r="AR201" i="65"/>
  <c r="EM199" i="65"/>
  <c r="AQ200" i="65"/>
  <c r="DW199" i="65"/>
  <c r="P200" i="65"/>
  <c r="EO201" i="65"/>
  <c r="AS202" i="65"/>
  <c r="DZ203" i="65"/>
  <c r="S204" i="65"/>
  <c r="EH201" i="65"/>
  <c r="AL202" i="65"/>
  <c r="EL200" i="65"/>
  <c r="AP201" i="65"/>
  <c r="EG200" i="65"/>
  <c r="Z201" i="65"/>
  <c r="EA199" i="65"/>
  <c r="T200" i="65"/>
  <c r="EI200" i="65"/>
  <c r="AM201" i="65"/>
  <c r="EF201" i="65"/>
  <c r="Y202" i="65"/>
  <c r="EC200" i="65"/>
  <c r="V201" i="65"/>
  <c r="EP200" i="65"/>
  <c r="AT201" i="65"/>
  <c r="EQ201" i="65"/>
  <c r="AU202" i="65"/>
  <c r="DY199" i="65"/>
  <c r="R200" i="65"/>
  <c r="ER199" i="65"/>
  <c r="AV200" i="65"/>
  <c r="EE199" i="65"/>
  <c r="X200" i="65"/>
  <c r="EJ200" i="65" l="1"/>
  <c r="AN201" i="65"/>
  <c r="EK200" i="65"/>
  <c r="AO201" i="65"/>
  <c r="EF202" i="65"/>
  <c r="Y203" i="65"/>
  <c r="EM200" i="65"/>
  <c r="AQ201" i="65"/>
  <c r="DY200" i="65"/>
  <c r="R201" i="65"/>
  <c r="EQ202" i="65"/>
  <c r="AU203" i="65"/>
  <c r="EE200" i="65"/>
  <c r="X201" i="65"/>
  <c r="EI201" i="65"/>
  <c r="AM202" i="65"/>
  <c r="EA200" i="65"/>
  <c r="T201" i="65"/>
  <c r="EN201" i="65"/>
  <c r="AR202" i="65"/>
  <c r="EB201" i="65"/>
  <c r="U202" i="65"/>
  <c r="EH202" i="65"/>
  <c r="AL203" i="65"/>
  <c r="EP201" i="65"/>
  <c r="AT202" i="65"/>
  <c r="DZ204" i="65"/>
  <c r="S205" i="65"/>
  <c r="ED201" i="65"/>
  <c r="W202" i="65"/>
  <c r="EC201" i="65"/>
  <c r="V202" i="65"/>
  <c r="EO202" i="65"/>
  <c r="AS203" i="65"/>
  <c r="DW200" i="65"/>
  <c r="P201" i="65"/>
  <c r="ER200" i="65"/>
  <c r="AV201" i="65"/>
  <c r="EG201" i="65"/>
  <c r="Z202" i="65"/>
  <c r="EL201" i="65"/>
  <c r="AP202" i="65"/>
  <c r="DX200" i="65"/>
  <c r="Q201" i="65"/>
  <c r="AO202" i="65" l="1"/>
  <c r="EK201" i="65"/>
  <c r="EJ201" i="65"/>
  <c r="AN202" i="65"/>
  <c r="EI202" i="65"/>
  <c r="AM203" i="65"/>
  <c r="ED202" i="65"/>
  <c r="W203" i="65"/>
  <c r="DX201" i="65"/>
  <c r="Q202" i="65"/>
  <c r="EL202" i="65"/>
  <c r="AP203" i="65"/>
  <c r="EH203" i="65"/>
  <c r="AL204" i="65"/>
  <c r="DY201" i="65"/>
  <c r="R202" i="65"/>
  <c r="EM201" i="65"/>
  <c r="AQ202" i="65"/>
  <c r="EE201" i="65"/>
  <c r="X202" i="65"/>
  <c r="DZ205" i="65"/>
  <c r="S206" i="65"/>
  <c r="EQ203" i="65"/>
  <c r="AU204" i="65"/>
  <c r="ER201" i="65"/>
  <c r="AV202" i="65"/>
  <c r="DW201" i="65"/>
  <c r="P202" i="65"/>
  <c r="EO203" i="65"/>
  <c r="AS204" i="65"/>
  <c r="EA201" i="65"/>
  <c r="T202" i="65"/>
  <c r="EC202" i="65"/>
  <c r="V203" i="65"/>
  <c r="EP202" i="65"/>
  <c r="AT203" i="65"/>
  <c r="EG202" i="65"/>
  <c r="Z203" i="65"/>
  <c r="EB202" i="65"/>
  <c r="U203" i="65"/>
  <c r="EN202" i="65"/>
  <c r="AR203" i="65"/>
  <c r="EF203" i="65"/>
  <c r="Y204" i="65"/>
  <c r="EJ202" i="65" l="1"/>
  <c r="AN203" i="65"/>
  <c r="EK202" i="65"/>
  <c r="AO203" i="65"/>
  <c r="DY202" i="65"/>
  <c r="R203" i="65"/>
  <c r="EE202" i="65"/>
  <c r="X203" i="65"/>
  <c r="EM202" i="65"/>
  <c r="AQ203" i="65"/>
  <c r="EO204" i="65"/>
  <c r="AS205" i="65"/>
  <c r="EN203" i="65"/>
  <c r="AR204" i="65"/>
  <c r="DW202" i="65"/>
  <c r="P203" i="65"/>
  <c r="ER202" i="65"/>
  <c r="AV203" i="65"/>
  <c r="EL203" i="65"/>
  <c r="AP204" i="65"/>
  <c r="EG203" i="65"/>
  <c r="Z204" i="65"/>
  <c r="DX202" i="65"/>
  <c r="Q203" i="65"/>
  <c r="EP203" i="65"/>
  <c r="AT204" i="65"/>
  <c r="EC203" i="65"/>
  <c r="V204" i="65"/>
  <c r="DZ206" i="65"/>
  <c r="S207" i="65"/>
  <c r="EI203" i="65"/>
  <c r="AM204" i="65"/>
  <c r="EA202" i="65"/>
  <c r="T203" i="65"/>
  <c r="EF204" i="65"/>
  <c r="Y205" i="65"/>
  <c r="EH204" i="65"/>
  <c r="AL205" i="65"/>
  <c r="EB203" i="65"/>
  <c r="U204" i="65"/>
  <c r="EQ204" i="65"/>
  <c r="AU205" i="65"/>
  <c r="ED203" i="65"/>
  <c r="W204" i="65"/>
  <c r="EK203" i="65" l="1"/>
  <c r="AO204" i="65"/>
  <c r="EJ203" i="65"/>
  <c r="AN204" i="65"/>
  <c r="EI204" i="65"/>
  <c r="AM205" i="65"/>
  <c r="DW203" i="65"/>
  <c r="P204" i="65"/>
  <c r="ED204" i="65"/>
  <c r="W205" i="65"/>
  <c r="EQ205" i="65"/>
  <c r="AU206" i="65"/>
  <c r="EB204" i="65"/>
  <c r="U205" i="65"/>
  <c r="DX203" i="65"/>
  <c r="Q204" i="65"/>
  <c r="ER203" i="65"/>
  <c r="AV204" i="65"/>
  <c r="DZ207" i="65"/>
  <c r="S208" i="65"/>
  <c r="EC204" i="65"/>
  <c r="V205" i="65"/>
  <c r="EN204" i="65"/>
  <c r="AR205" i="65"/>
  <c r="EO205" i="65"/>
  <c r="AS206" i="65"/>
  <c r="EP204" i="65"/>
  <c r="AT205" i="65"/>
  <c r="EH205" i="65"/>
  <c r="AL206" i="65"/>
  <c r="EG204" i="65"/>
  <c r="Z205" i="65"/>
  <c r="EA203" i="65"/>
  <c r="T204" i="65"/>
  <c r="EL204" i="65"/>
  <c r="AP205" i="65"/>
  <c r="EM203" i="65"/>
  <c r="AQ204" i="65"/>
  <c r="EE203" i="65"/>
  <c r="X204" i="65"/>
  <c r="EF205" i="65"/>
  <c r="Y206" i="65"/>
  <c r="DY203" i="65"/>
  <c r="R204" i="65"/>
  <c r="EJ204" i="65" l="1"/>
  <c r="AN205" i="65"/>
  <c r="EK204" i="65"/>
  <c r="AO205" i="65"/>
  <c r="EL205" i="65"/>
  <c r="AP206" i="65"/>
  <c r="EA204" i="65"/>
  <c r="T205" i="65"/>
  <c r="DY204" i="65"/>
  <c r="R205" i="65"/>
  <c r="DX204" i="65"/>
  <c r="Q205" i="65"/>
  <c r="EF206" i="65"/>
  <c r="Y207" i="65"/>
  <c r="EH206" i="65"/>
  <c r="AL207" i="65"/>
  <c r="EB205" i="65"/>
  <c r="U206" i="65"/>
  <c r="EE204" i="65"/>
  <c r="X205" i="65"/>
  <c r="EP205" i="65"/>
  <c r="AT206" i="65"/>
  <c r="EQ206" i="65"/>
  <c r="AU207" i="65"/>
  <c r="EM204" i="65"/>
  <c r="AQ205" i="65"/>
  <c r="EO206" i="65"/>
  <c r="AS207" i="65"/>
  <c r="ED205" i="65"/>
  <c r="W206" i="65"/>
  <c r="EN205" i="65"/>
  <c r="AR206" i="65"/>
  <c r="DZ208" i="65"/>
  <c r="S209" i="65"/>
  <c r="ER204" i="65"/>
  <c r="AV205" i="65"/>
  <c r="EG205" i="65"/>
  <c r="Z206" i="65"/>
  <c r="DW204" i="65"/>
  <c r="P205" i="65"/>
  <c r="EC205" i="65"/>
  <c r="V206" i="65"/>
  <c r="EI205" i="65"/>
  <c r="AM206" i="65"/>
  <c r="EJ205" i="65" l="1"/>
  <c r="AN206" i="65"/>
  <c r="AO206" i="65"/>
  <c r="EK205" i="65"/>
  <c r="EI206" i="65"/>
  <c r="AM207" i="65"/>
  <c r="EN206" i="65"/>
  <c r="AR207" i="65"/>
  <c r="EE205" i="65"/>
  <c r="X206" i="65"/>
  <c r="EB206" i="65"/>
  <c r="U207" i="65"/>
  <c r="EH207" i="65"/>
  <c r="AL208" i="65"/>
  <c r="EC206" i="65"/>
  <c r="V207" i="65"/>
  <c r="EF207" i="65"/>
  <c r="Y208" i="65"/>
  <c r="DX205" i="65"/>
  <c r="Q206" i="65"/>
  <c r="EM205" i="65"/>
  <c r="AQ206" i="65"/>
  <c r="EQ207" i="65"/>
  <c r="AU208" i="65"/>
  <c r="EG206" i="65"/>
  <c r="Z207" i="65"/>
  <c r="EP206" i="65"/>
  <c r="AT207" i="65"/>
  <c r="EL206" i="65"/>
  <c r="AP207" i="65"/>
  <c r="ER205" i="65"/>
  <c r="AV206" i="65"/>
  <c r="DZ209" i="65"/>
  <c r="S210" i="65"/>
  <c r="ED206" i="65"/>
  <c r="W207" i="65"/>
  <c r="EO207" i="65"/>
  <c r="AS208" i="65"/>
  <c r="DW205" i="65"/>
  <c r="P206" i="65"/>
  <c r="DY205" i="65"/>
  <c r="R206" i="65"/>
  <c r="EA205" i="65"/>
  <c r="T206" i="65"/>
  <c r="EK206" i="65" l="1"/>
  <c r="AO207" i="65"/>
  <c r="AN207" i="65"/>
  <c r="EJ206" i="65"/>
  <c r="EF208" i="65"/>
  <c r="Y209" i="65"/>
  <c r="DY206" i="65"/>
  <c r="R207" i="65"/>
  <c r="EL207" i="65"/>
  <c r="AP208" i="65"/>
  <c r="EA206" i="65"/>
  <c r="T207" i="65"/>
  <c r="EC207" i="65"/>
  <c r="V208" i="65"/>
  <c r="EG207" i="65"/>
  <c r="Z208" i="65"/>
  <c r="EQ208" i="65"/>
  <c r="AU209" i="65"/>
  <c r="EB207" i="65"/>
  <c r="U208" i="65"/>
  <c r="EO208" i="65"/>
  <c r="AS209" i="65"/>
  <c r="EM206" i="65"/>
  <c r="AQ207" i="65"/>
  <c r="DZ210" i="65"/>
  <c r="S211" i="65"/>
  <c r="DX206" i="65"/>
  <c r="Q207" i="65"/>
  <c r="EI207" i="65"/>
  <c r="AM208" i="65"/>
  <c r="ER206" i="65"/>
  <c r="AV207" i="65"/>
  <c r="EP207" i="65"/>
  <c r="AT208" i="65"/>
  <c r="EH208" i="65"/>
  <c r="AL209" i="65"/>
  <c r="DW206" i="65"/>
  <c r="P207" i="65"/>
  <c r="EE206" i="65"/>
  <c r="X207" i="65"/>
  <c r="ED207" i="65"/>
  <c r="W208" i="65"/>
  <c r="EN207" i="65"/>
  <c r="AR208" i="65"/>
  <c r="EK207" i="65" l="1"/>
  <c r="AO208" i="65"/>
  <c r="EJ207" i="65"/>
  <c r="AN208" i="65"/>
  <c r="EP208" i="65"/>
  <c r="AT209" i="65"/>
  <c r="EA207" i="65"/>
  <c r="T208" i="65"/>
  <c r="EI208" i="65"/>
  <c r="AM209" i="65"/>
  <c r="EQ209" i="65"/>
  <c r="AU210" i="65"/>
  <c r="ED208" i="65"/>
  <c r="W209" i="65"/>
  <c r="EG208" i="65"/>
  <c r="Z209" i="65"/>
  <c r="EN208" i="65"/>
  <c r="AR209" i="65"/>
  <c r="EE207" i="65"/>
  <c r="X208" i="65"/>
  <c r="DY207" i="65"/>
  <c r="R208" i="65"/>
  <c r="EH209" i="65"/>
  <c r="AL210" i="65"/>
  <c r="EB208" i="65"/>
  <c r="U209" i="65"/>
  <c r="EF209" i="65"/>
  <c r="Y210" i="65"/>
  <c r="ER207" i="65"/>
  <c r="AV208" i="65"/>
  <c r="EC208" i="65"/>
  <c r="V209" i="65"/>
  <c r="DX207" i="65"/>
  <c r="Q208" i="65"/>
  <c r="DZ211" i="65"/>
  <c r="S212" i="65"/>
  <c r="EL208" i="65"/>
  <c r="AP209" i="65"/>
  <c r="EM207" i="65"/>
  <c r="AQ208" i="65"/>
  <c r="DW207" i="65"/>
  <c r="P208" i="65"/>
  <c r="EO209" i="65"/>
  <c r="AS210" i="65"/>
  <c r="AN209" i="65" l="1"/>
  <c r="EJ208" i="65"/>
  <c r="EK208" i="65"/>
  <c r="AO209" i="65"/>
  <c r="DX208" i="65"/>
  <c r="Q209" i="65"/>
  <c r="EE208" i="65"/>
  <c r="X209" i="65"/>
  <c r="EC209" i="65"/>
  <c r="V210" i="65"/>
  <c r="EN209" i="65"/>
  <c r="AR210" i="65"/>
  <c r="EG209" i="65"/>
  <c r="Z210" i="65"/>
  <c r="DW208" i="65"/>
  <c r="P209" i="65"/>
  <c r="EM208" i="65"/>
  <c r="AQ209" i="65"/>
  <c r="EQ210" i="65"/>
  <c r="AU211" i="65"/>
  <c r="EI209" i="65"/>
  <c r="AM210" i="65"/>
  <c r="EL209" i="65"/>
  <c r="AP210" i="65"/>
  <c r="DY208" i="65"/>
  <c r="R209" i="65"/>
  <c r="DZ212" i="65"/>
  <c r="S213" i="65"/>
  <c r="EP209" i="65"/>
  <c r="AT210" i="65"/>
  <c r="EO210" i="65"/>
  <c r="AS211" i="65"/>
  <c r="ER208" i="65"/>
  <c r="AV209" i="65"/>
  <c r="EF210" i="65"/>
  <c r="Y211" i="65"/>
  <c r="ED209" i="65"/>
  <c r="W210" i="65"/>
  <c r="EB209" i="65"/>
  <c r="U210" i="65"/>
  <c r="EH210" i="65"/>
  <c r="AL211" i="65"/>
  <c r="EA208" i="65"/>
  <c r="T209" i="65"/>
  <c r="EK209" i="65" l="1"/>
  <c r="AO210" i="65"/>
  <c r="AN210" i="65"/>
  <c r="EJ209" i="65"/>
  <c r="EO211" i="65"/>
  <c r="AS212" i="65"/>
  <c r="EM209" i="65"/>
  <c r="AQ210" i="65"/>
  <c r="EQ211" i="65"/>
  <c r="AU212" i="65"/>
  <c r="DW209" i="65"/>
  <c r="P210" i="65"/>
  <c r="EH211" i="65"/>
  <c r="AL212" i="65"/>
  <c r="DZ213" i="65"/>
  <c r="S214" i="65"/>
  <c r="EL210" i="65"/>
  <c r="AP211" i="65"/>
  <c r="EE209" i="65"/>
  <c r="X210" i="65"/>
  <c r="EF211" i="65"/>
  <c r="Y212" i="65"/>
  <c r="EI210" i="65"/>
  <c r="AM211" i="65"/>
  <c r="DX209" i="65"/>
  <c r="Q210" i="65"/>
  <c r="ER209" i="65"/>
  <c r="AV210" i="65"/>
  <c r="EA209" i="65"/>
  <c r="T210" i="65"/>
  <c r="EP210" i="65"/>
  <c r="AT211" i="65"/>
  <c r="EG210" i="65"/>
  <c r="Z211" i="65"/>
  <c r="EN210" i="65"/>
  <c r="AR211" i="65"/>
  <c r="EB210" i="65"/>
  <c r="U211" i="65"/>
  <c r="DY209" i="65"/>
  <c r="R210" i="65"/>
  <c r="EC210" i="65"/>
  <c r="V211" i="65"/>
  <c r="ED210" i="65"/>
  <c r="W211" i="65"/>
  <c r="AN211" i="65" l="1"/>
  <c r="EJ210" i="65"/>
  <c r="AO211" i="65"/>
  <c r="EK210" i="65"/>
  <c r="EL211" i="65"/>
  <c r="AP212" i="65"/>
  <c r="EE210" i="65"/>
  <c r="X211" i="65"/>
  <c r="EP211" i="65"/>
  <c r="AT212" i="65"/>
  <c r="EA210" i="65"/>
  <c r="T211" i="65"/>
  <c r="ED211" i="65"/>
  <c r="W212" i="65"/>
  <c r="EH212" i="65"/>
  <c r="AL213" i="65"/>
  <c r="ER210" i="65"/>
  <c r="AV211" i="65"/>
  <c r="EB211" i="65"/>
  <c r="U212" i="65"/>
  <c r="EQ212" i="65"/>
  <c r="AU213" i="65"/>
  <c r="EN211" i="65"/>
  <c r="AR212" i="65"/>
  <c r="EM210" i="65"/>
  <c r="AQ211" i="65"/>
  <c r="EF212" i="65"/>
  <c r="Y213" i="65"/>
  <c r="EO212" i="65"/>
  <c r="AS213" i="65"/>
  <c r="EG211" i="65"/>
  <c r="Z212" i="65"/>
  <c r="DZ214" i="65"/>
  <c r="S215" i="65"/>
  <c r="EC211" i="65"/>
  <c r="V212" i="65"/>
  <c r="DY210" i="65"/>
  <c r="R211" i="65"/>
  <c r="DW210" i="65"/>
  <c r="P211" i="65"/>
  <c r="DX210" i="65"/>
  <c r="Q211" i="65"/>
  <c r="EI211" i="65"/>
  <c r="AM212" i="65"/>
  <c r="AN212" i="65" l="1"/>
  <c r="EJ211" i="65"/>
  <c r="EK211" i="65"/>
  <c r="AO212" i="65"/>
  <c r="EH213" i="65"/>
  <c r="AL214" i="65"/>
  <c r="EG212" i="65"/>
  <c r="Z213" i="65"/>
  <c r="EI212" i="65"/>
  <c r="AM213" i="65"/>
  <c r="EB212" i="65"/>
  <c r="U213" i="65"/>
  <c r="EF213" i="65"/>
  <c r="Y214" i="65"/>
  <c r="DW211" i="65"/>
  <c r="P212" i="65"/>
  <c r="EA211" i="65"/>
  <c r="T212" i="65"/>
  <c r="EM211" i="65"/>
  <c r="AQ212" i="65"/>
  <c r="EC212" i="65"/>
  <c r="V213" i="65"/>
  <c r="EN212" i="65"/>
  <c r="AR213" i="65"/>
  <c r="EE211" i="65"/>
  <c r="X212" i="65"/>
  <c r="DZ215" i="65"/>
  <c r="S216" i="65"/>
  <c r="EQ213" i="65"/>
  <c r="AU214" i="65"/>
  <c r="EL212" i="65"/>
  <c r="AP213" i="65"/>
  <c r="ER211" i="65"/>
  <c r="AV212" i="65"/>
  <c r="EO213" i="65"/>
  <c r="AS214" i="65"/>
  <c r="DX211" i="65"/>
  <c r="Q212" i="65"/>
  <c r="ED212" i="65"/>
  <c r="W213" i="65"/>
  <c r="DY211" i="65"/>
  <c r="R212" i="65"/>
  <c r="EP212" i="65"/>
  <c r="AT213" i="65"/>
  <c r="AO213" i="65" l="1"/>
  <c r="EK212" i="65"/>
  <c r="EJ212" i="65"/>
  <c r="AN213" i="65"/>
  <c r="EL213" i="65"/>
  <c r="AP214" i="65"/>
  <c r="EQ214" i="65"/>
  <c r="AU215" i="65"/>
  <c r="EF214" i="65"/>
  <c r="Y215" i="65"/>
  <c r="DY212" i="65"/>
  <c r="R213" i="65"/>
  <c r="EA212" i="65"/>
  <c r="T213" i="65"/>
  <c r="EP213" i="65"/>
  <c r="AT214" i="65"/>
  <c r="DZ216" i="65"/>
  <c r="S217" i="65"/>
  <c r="ER212" i="65"/>
  <c r="AV213" i="65"/>
  <c r="DW212" i="65"/>
  <c r="P213" i="65"/>
  <c r="EE212" i="65"/>
  <c r="X213" i="65"/>
  <c r="EB213" i="65"/>
  <c r="U214" i="65"/>
  <c r="ED213" i="65"/>
  <c r="W214" i="65"/>
  <c r="EN213" i="65"/>
  <c r="AR214" i="65"/>
  <c r="EI213" i="65"/>
  <c r="AM214" i="65"/>
  <c r="DX212" i="65"/>
  <c r="Q213" i="65"/>
  <c r="EC213" i="65"/>
  <c r="V214" i="65"/>
  <c r="EG213" i="65"/>
  <c r="Z214" i="65"/>
  <c r="EO214" i="65"/>
  <c r="AS215" i="65"/>
  <c r="EM212" i="65"/>
  <c r="AQ213" i="65"/>
  <c r="EH214" i="65"/>
  <c r="AL215" i="65"/>
  <c r="EK213" i="65" l="1"/>
  <c r="AO214" i="65"/>
  <c r="AN214" i="65"/>
  <c r="EJ213" i="65"/>
  <c r="EE213" i="65"/>
  <c r="X214" i="65"/>
  <c r="EP214" i="65"/>
  <c r="AT215" i="65"/>
  <c r="EH215" i="65"/>
  <c r="AL216" i="65"/>
  <c r="EB214" i="65"/>
  <c r="U215" i="65"/>
  <c r="EA213" i="65"/>
  <c r="T214" i="65"/>
  <c r="ED214" i="65"/>
  <c r="W215" i="65"/>
  <c r="EM213" i="65"/>
  <c r="AQ214" i="65"/>
  <c r="EO215" i="65"/>
  <c r="AS216" i="65"/>
  <c r="EI214" i="65"/>
  <c r="AM215" i="65"/>
  <c r="EN214" i="65"/>
  <c r="AR215" i="65"/>
  <c r="DY213" i="65"/>
  <c r="R214" i="65"/>
  <c r="EF215" i="65"/>
  <c r="Y216" i="65"/>
  <c r="EG214" i="65"/>
  <c r="Z215" i="65"/>
  <c r="DW213" i="65"/>
  <c r="P214" i="65"/>
  <c r="EC214" i="65"/>
  <c r="V215" i="65"/>
  <c r="ER213" i="65"/>
  <c r="AV214" i="65"/>
  <c r="EQ215" i="65"/>
  <c r="AU216" i="65"/>
  <c r="DX213" i="65"/>
  <c r="Q214" i="65"/>
  <c r="DZ217" i="65"/>
  <c r="S218" i="65"/>
  <c r="EL214" i="65"/>
  <c r="AP215" i="65"/>
  <c r="EJ214" i="65" l="1"/>
  <c r="AN215" i="65"/>
  <c r="AO215" i="65"/>
  <c r="EK214" i="65"/>
  <c r="DW214" i="65"/>
  <c r="P215" i="65"/>
  <c r="EG215" i="65"/>
  <c r="Z216" i="65"/>
  <c r="EF216" i="65"/>
  <c r="Y217" i="65"/>
  <c r="DY214" i="65"/>
  <c r="R215" i="65"/>
  <c r="EN215" i="65"/>
  <c r="AR216" i="65"/>
  <c r="EE214" i="65"/>
  <c r="X215" i="65"/>
  <c r="EO216" i="65"/>
  <c r="AS217" i="65"/>
  <c r="EM214" i="65"/>
  <c r="AQ215" i="65"/>
  <c r="EL215" i="65"/>
  <c r="AP216" i="65"/>
  <c r="ED215" i="65"/>
  <c r="W216" i="65"/>
  <c r="DZ218" i="65"/>
  <c r="S219" i="65"/>
  <c r="EA214" i="65"/>
  <c r="T215" i="65"/>
  <c r="DX214" i="65"/>
  <c r="Q215" i="65"/>
  <c r="EB215" i="65"/>
  <c r="U216" i="65"/>
  <c r="EQ216" i="65"/>
  <c r="AU217" i="65"/>
  <c r="EH216" i="65"/>
  <c r="AL217" i="65"/>
  <c r="ER214" i="65"/>
  <c r="AV215" i="65"/>
  <c r="EI215" i="65"/>
  <c r="AM216" i="65"/>
  <c r="EP215" i="65"/>
  <c r="AT216" i="65"/>
  <c r="EC215" i="65"/>
  <c r="V216" i="65"/>
  <c r="AO216" i="65" l="1"/>
  <c r="EK215" i="65"/>
  <c r="EJ215" i="65"/>
  <c r="AN216" i="65"/>
  <c r="EB216" i="65"/>
  <c r="U217" i="65"/>
  <c r="EQ217" i="65"/>
  <c r="AU218" i="65"/>
  <c r="EA215" i="65"/>
  <c r="T216" i="65"/>
  <c r="DZ219" i="65"/>
  <c r="S220" i="65"/>
  <c r="EI216" i="65"/>
  <c r="AM217" i="65"/>
  <c r="EO217" i="65"/>
  <c r="AS218" i="65"/>
  <c r="EE215" i="65"/>
  <c r="X216" i="65"/>
  <c r="EN216" i="65"/>
  <c r="AR217" i="65"/>
  <c r="DY215" i="65"/>
  <c r="R216" i="65"/>
  <c r="EP216" i="65"/>
  <c r="AT217" i="65"/>
  <c r="EF217" i="65"/>
  <c r="Y218" i="65"/>
  <c r="ER215" i="65"/>
  <c r="AV216" i="65"/>
  <c r="EG216" i="65"/>
  <c r="Z217" i="65"/>
  <c r="EH217" i="65"/>
  <c r="AL218" i="65"/>
  <c r="EM215" i="65"/>
  <c r="AQ216" i="65"/>
  <c r="DW215" i="65"/>
  <c r="P216" i="65"/>
  <c r="DX215" i="65"/>
  <c r="Q216" i="65"/>
  <c r="EC216" i="65"/>
  <c r="V217" i="65"/>
  <c r="ED216" i="65"/>
  <c r="W217" i="65"/>
  <c r="EL216" i="65"/>
  <c r="AP217" i="65"/>
  <c r="EJ216" i="65" l="1"/>
  <c r="AN217" i="65"/>
  <c r="EK216" i="65"/>
  <c r="AO217" i="65"/>
  <c r="EH218" i="65"/>
  <c r="AL219" i="65"/>
  <c r="EL217" i="65"/>
  <c r="AP218" i="65"/>
  <c r="EI217" i="65"/>
  <c r="AM218" i="65"/>
  <c r="DZ220" i="65"/>
  <c r="S221" i="65"/>
  <c r="EA216" i="65"/>
  <c r="T217" i="65"/>
  <c r="EE216" i="65"/>
  <c r="X217" i="65"/>
  <c r="ER216" i="65"/>
  <c r="AV217" i="65"/>
  <c r="EF218" i="65"/>
  <c r="Y219" i="65"/>
  <c r="EC217" i="65"/>
  <c r="V218" i="65"/>
  <c r="DX216" i="65"/>
  <c r="Q217" i="65"/>
  <c r="DW216" i="65"/>
  <c r="P217" i="65"/>
  <c r="DY216" i="65"/>
  <c r="R217" i="65"/>
  <c r="EM216" i="65"/>
  <c r="AQ217" i="65"/>
  <c r="EN217" i="65"/>
  <c r="AR218" i="65"/>
  <c r="EB217" i="65"/>
  <c r="U218" i="65"/>
  <c r="EG217" i="65"/>
  <c r="Z218" i="65"/>
  <c r="EO218" i="65"/>
  <c r="AS219" i="65"/>
  <c r="ED217" i="65"/>
  <c r="W218" i="65"/>
  <c r="EP217" i="65"/>
  <c r="AT218" i="65"/>
  <c r="EQ218" i="65"/>
  <c r="AU219" i="65"/>
  <c r="EK217" i="65" l="1"/>
  <c r="AO218" i="65"/>
  <c r="AN218" i="65"/>
  <c r="EJ217" i="65"/>
  <c r="ER217" i="65"/>
  <c r="AV218" i="65"/>
  <c r="EM217" i="65"/>
  <c r="AQ218" i="65"/>
  <c r="EA217" i="65"/>
  <c r="T218" i="65"/>
  <c r="DW217" i="65"/>
  <c r="P218" i="65"/>
  <c r="DX217" i="65"/>
  <c r="Q218" i="65"/>
  <c r="EE217" i="65"/>
  <c r="X218" i="65"/>
  <c r="EQ219" i="65"/>
  <c r="AU220" i="65"/>
  <c r="EP218" i="65"/>
  <c r="AT219" i="65"/>
  <c r="EI218" i="65"/>
  <c r="AM219" i="65"/>
  <c r="EC218" i="65"/>
  <c r="V219" i="65"/>
  <c r="EG218" i="65"/>
  <c r="Z219" i="65"/>
  <c r="EF219" i="65"/>
  <c r="Y220" i="65"/>
  <c r="EH219" i="65"/>
  <c r="AL220" i="65"/>
  <c r="EB218" i="65"/>
  <c r="U219" i="65"/>
  <c r="EN218" i="65"/>
  <c r="AR219" i="65"/>
  <c r="DY217" i="65"/>
  <c r="R218" i="65"/>
  <c r="DZ221" i="65"/>
  <c r="S222" i="65"/>
  <c r="ED218" i="65"/>
  <c r="W219" i="65"/>
  <c r="EO219" i="65"/>
  <c r="AS220" i="65"/>
  <c r="EL218" i="65"/>
  <c r="AP219" i="65"/>
  <c r="EJ218" i="65" l="1"/>
  <c r="AN219" i="65"/>
  <c r="EK218" i="65"/>
  <c r="AO219" i="65"/>
  <c r="EB219" i="65"/>
  <c r="U220" i="65"/>
  <c r="EP219" i="65"/>
  <c r="AT220" i="65"/>
  <c r="EQ220" i="65"/>
  <c r="AU221" i="65"/>
  <c r="EL219" i="65"/>
  <c r="AP220" i="65"/>
  <c r="EH220" i="65"/>
  <c r="AL221" i="65"/>
  <c r="EO220" i="65"/>
  <c r="AS221" i="65"/>
  <c r="DX218" i="65"/>
  <c r="Q219" i="65"/>
  <c r="ED219" i="65"/>
  <c r="W220" i="65"/>
  <c r="DW218" i="65"/>
  <c r="P219" i="65"/>
  <c r="EA218" i="65"/>
  <c r="T219" i="65"/>
  <c r="ER218" i="65"/>
  <c r="AV219" i="65"/>
  <c r="EN219" i="65"/>
  <c r="AR220" i="65"/>
  <c r="EE218" i="65"/>
  <c r="X219" i="65"/>
  <c r="EF220" i="65"/>
  <c r="Y221" i="65"/>
  <c r="EG219" i="65"/>
  <c r="Z220" i="65"/>
  <c r="DZ222" i="65"/>
  <c r="S223" i="65"/>
  <c r="EC219" i="65"/>
  <c r="V220" i="65"/>
  <c r="DY218" i="65"/>
  <c r="R219" i="65"/>
  <c r="EI219" i="65"/>
  <c r="AM220" i="65"/>
  <c r="EM218" i="65"/>
  <c r="AQ219" i="65"/>
  <c r="EK219" i="65" l="1"/>
  <c r="AO220" i="65"/>
  <c r="EJ219" i="65"/>
  <c r="AN220" i="65"/>
  <c r="DX219" i="65"/>
  <c r="Q220" i="65"/>
  <c r="ED220" i="65"/>
  <c r="W221" i="65"/>
  <c r="EF221" i="65"/>
  <c r="Y222" i="65"/>
  <c r="EM219" i="65"/>
  <c r="AQ220" i="65"/>
  <c r="EN220" i="65"/>
  <c r="AR221" i="65"/>
  <c r="EI220" i="65"/>
  <c r="AM221" i="65"/>
  <c r="ER219" i="65"/>
  <c r="AV220" i="65"/>
  <c r="DY219" i="65"/>
  <c r="R220" i="65"/>
  <c r="EC220" i="65"/>
  <c r="V221" i="65"/>
  <c r="EP220" i="65"/>
  <c r="AT221" i="65"/>
  <c r="DZ223" i="65"/>
  <c r="S224" i="65"/>
  <c r="DW219" i="65"/>
  <c r="P220" i="65"/>
  <c r="EB220" i="65"/>
  <c r="U221" i="65"/>
  <c r="EG220" i="65"/>
  <c r="Z221" i="65"/>
  <c r="EE219" i="65"/>
  <c r="X220" i="65"/>
  <c r="EO221" i="65"/>
  <c r="AS222" i="65"/>
  <c r="EH221" i="65"/>
  <c r="AL222" i="65"/>
  <c r="EL220" i="65"/>
  <c r="AP221" i="65"/>
  <c r="EQ221" i="65"/>
  <c r="AU222" i="65"/>
  <c r="EA219" i="65"/>
  <c r="T220" i="65"/>
  <c r="EJ220" i="65" l="1"/>
  <c r="AN221" i="65"/>
  <c r="AO221" i="65"/>
  <c r="EK220" i="65"/>
  <c r="ER220" i="65"/>
  <c r="AV221" i="65"/>
  <c r="EB221" i="65"/>
  <c r="U222" i="65"/>
  <c r="DZ224" i="65"/>
  <c r="S225" i="65"/>
  <c r="EP221" i="65"/>
  <c r="AT222" i="65"/>
  <c r="EF222" i="65"/>
  <c r="Y223" i="65"/>
  <c r="EG221" i="65"/>
  <c r="Z222" i="65"/>
  <c r="DW220" i="65"/>
  <c r="P221" i="65"/>
  <c r="EQ222" i="65"/>
  <c r="AU223" i="65"/>
  <c r="EM220" i="65"/>
  <c r="AQ221" i="65"/>
  <c r="EE220" i="65"/>
  <c r="X221" i="65"/>
  <c r="DX220" i="65"/>
  <c r="Q221" i="65"/>
  <c r="EI221" i="65"/>
  <c r="AM222" i="65"/>
  <c r="EA220" i="65"/>
  <c r="T221" i="65"/>
  <c r="EN221" i="65"/>
  <c r="AR222" i="65"/>
  <c r="EL221" i="65"/>
  <c r="AP222" i="65"/>
  <c r="EH222" i="65"/>
  <c r="AL223" i="65"/>
  <c r="EC221" i="65"/>
  <c r="V222" i="65"/>
  <c r="EO222" i="65"/>
  <c r="AS223" i="65"/>
  <c r="ED221" i="65"/>
  <c r="W222" i="65"/>
  <c r="DY220" i="65"/>
  <c r="R221" i="65"/>
  <c r="EK221" i="65" l="1"/>
  <c r="AO222" i="65"/>
  <c r="EJ221" i="65"/>
  <c r="AN222" i="65"/>
  <c r="EN222" i="65"/>
  <c r="AR223" i="65"/>
  <c r="EG222" i="65"/>
  <c r="Z223" i="65"/>
  <c r="EF223" i="65"/>
  <c r="Y224" i="65"/>
  <c r="EQ223" i="65"/>
  <c r="AU224" i="65"/>
  <c r="DX221" i="65"/>
  <c r="Q222" i="65"/>
  <c r="EO223" i="65"/>
  <c r="AS224" i="65"/>
  <c r="EL222" i="65"/>
  <c r="AP223" i="65"/>
  <c r="DY221" i="65"/>
  <c r="R222" i="65"/>
  <c r="ED222" i="65"/>
  <c r="W223" i="65"/>
  <c r="EP222" i="65"/>
  <c r="AT223" i="65"/>
  <c r="DZ225" i="65"/>
  <c r="S226" i="65"/>
  <c r="EM221" i="65"/>
  <c r="AQ222" i="65"/>
  <c r="ER221" i="65"/>
  <c r="AV222" i="65"/>
  <c r="DW221" i="65"/>
  <c r="P222" i="65"/>
  <c r="EA221" i="65"/>
  <c r="T222" i="65"/>
  <c r="EI222" i="65"/>
  <c r="AM223" i="65"/>
  <c r="EE221" i="65"/>
  <c r="X222" i="65"/>
  <c r="EC222" i="65"/>
  <c r="V223" i="65"/>
  <c r="EB222" i="65"/>
  <c r="U223" i="65"/>
  <c r="EH223" i="65"/>
  <c r="AL224" i="65"/>
  <c r="EJ222" i="65" l="1"/>
  <c r="AN223" i="65"/>
  <c r="EK222" i="65"/>
  <c r="AO223" i="65"/>
  <c r="EA222" i="65"/>
  <c r="T223" i="65"/>
  <c r="DW222" i="65"/>
  <c r="P223" i="65"/>
  <c r="EO224" i="65"/>
  <c r="AS225" i="65"/>
  <c r="DX222" i="65"/>
  <c r="Q223" i="65"/>
  <c r="EQ224" i="65"/>
  <c r="AU225" i="65"/>
  <c r="DZ226" i="65"/>
  <c r="S227" i="65"/>
  <c r="EH224" i="65"/>
  <c r="AL225" i="65"/>
  <c r="EM222" i="65"/>
  <c r="AQ223" i="65"/>
  <c r="EC223" i="65"/>
  <c r="V224" i="65"/>
  <c r="ED223" i="65"/>
  <c r="W224" i="65"/>
  <c r="EN223" i="65"/>
  <c r="AR224" i="65"/>
  <c r="DY222" i="65"/>
  <c r="R223" i="65"/>
  <c r="EL223" i="65"/>
  <c r="AP224" i="65"/>
  <c r="ER222" i="65"/>
  <c r="AV223" i="65"/>
  <c r="EB223" i="65"/>
  <c r="U224" i="65"/>
  <c r="EE222" i="65"/>
  <c r="X223" i="65"/>
  <c r="EF224" i="65"/>
  <c r="Y225" i="65"/>
  <c r="EP223" i="65"/>
  <c r="AT224" i="65"/>
  <c r="EG223" i="65"/>
  <c r="Z224" i="65"/>
  <c r="EI223" i="65"/>
  <c r="AM224" i="65"/>
  <c r="EK223" i="65" l="1"/>
  <c r="AO224" i="65"/>
  <c r="EJ223" i="65"/>
  <c r="AN224" i="65"/>
  <c r="DZ227" i="65"/>
  <c r="S228" i="65"/>
  <c r="EL224" i="65"/>
  <c r="AP225" i="65"/>
  <c r="DX223" i="65"/>
  <c r="Q224" i="65"/>
  <c r="EM223" i="65"/>
  <c r="AQ224" i="65"/>
  <c r="EH225" i="65"/>
  <c r="AL226" i="65"/>
  <c r="EI224" i="65"/>
  <c r="AM225" i="65"/>
  <c r="ER223" i="65"/>
  <c r="AV224" i="65"/>
  <c r="EG224" i="65"/>
  <c r="Z225" i="65"/>
  <c r="EQ225" i="65"/>
  <c r="AU226" i="65"/>
  <c r="EO225" i="65"/>
  <c r="AS226" i="65"/>
  <c r="EF225" i="65"/>
  <c r="Y226" i="65"/>
  <c r="ED224" i="65"/>
  <c r="W225" i="65"/>
  <c r="EE223" i="65"/>
  <c r="X224" i="65"/>
  <c r="EC224" i="65"/>
  <c r="V225" i="65"/>
  <c r="EA223" i="65"/>
  <c r="T224" i="65"/>
  <c r="EB224" i="65"/>
  <c r="U225" i="65"/>
  <c r="EP224" i="65"/>
  <c r="AT225" i="65"/>
  <c r="DY223" i="65"/>
  <c r="R224" i="65"/>
  <c r="EN224" i="65"/>
  <c r="AR225" i="65"/>
  <c r="DW223" i="65"/>
  <c r="P224" i="65"/>
  <c r="AO225" i="65" l="1"/>
  <c r="EK224" i="65"/>
  <c r="EJ224" i="65"/>
  <c r="AN225" i="65"/>
  <c r="EA224" i="65"/>
  <c r="T225" i="65"/>
  <c r="EI225" i="65"/>
  <c r="AM226" i="65"/>
  <c r="DW224" i="65"/>
  <c r="P225" i="65"/>
  <c r="EE224" i="65"/>
  <c r="X225" i="65"/>
  <c r="EM224" i="65"/>
  <c r="AQ225" i="65"/>
  <c r="DY224" i="65"/>
  <c r="R225" i="65"/>
  <c r="DX224" i="65"/>
  <c r="Q225" i="65"/>
  <c r="EH226" i="65"/>
  <c r="AL227" i="65"/>
  <c r="ED225" i="65"/>
  <c r="W226" i="65"/>
  <c r="EF226" i="65"/>
  <c r="Y227" i="65"/>
  <c r="EB225" i="65"/>
  <c r="U226" i="65"/>
  <c r="EG225" i="65"/>
  <c r="Z226" i="65"/>
  <c r="DZ228" i="65"/>
  <c r="S229" i="65"/>
  <c r="ER224" i="65"/>
  <c r="AV225" i="65"/>
  <c r="EC225" i="65"/>
  <c r="V226" i="65"/>
  <c r="EN225" i="65"/>
  <c r="AR226" i="65"/>
  <c r="EP225" i="65"/>
  <c r="AT226" i="65"/>
  <c r="EO226" i="65"/>
  <c r="AS227" i="65"/>
  <c r="EQ226" i="65"/>
  <c r="AU227" i="65"/>
  <c r="EL225" i="65"/>
  <c r="AP226" i="65"/>
  <c r="EJ225" i="65" l="1"/>
  <c r="AN226" i="65"/>
  <c r="EK225" i="65"/>
  <c r="AO226" i="65"/>
  <c r="EC226" i="65"/>
  <c r="V227" i="65"/>
  <c r="DZ229" i="65"/>
  <c r="S230" i="65"/>
  <c r="EO227" i="65"/>
  <c r="AS228" i="65"/>
  <c r="DW225" i="65"/>
  <c r="P226" i="65"/>
  <c r="EH227" i="65"/>
  <c r="AL228" i="65"/>
  <c r="ER225" i="65"/>
  <c r="AV226" i="65"/>
  <c r="EG226" i="65"/>
  <c r="Z227" i="65"/>
  <c r="EE225" i="65"/>
  <c r="X226" i="65"/>
  <c r="EF227" i="65"/>
  <c r="Y228" i="65"/>
  <c r="EN226" i="65"/>
  <c r="AR227" i="65"/>
  <c r="ED226" i="65"/>
  <c r="W227" i="65"/>
  <c r="EA225" i="65"/>
  <c r="T226" i="65"/>
  <c r="DX225" i="65"/>
  <c r="Q226" i="65"/>
  <c r="EL226" i="65"/>
  <c r="AP227" i="65"/>
  <c r="DY225" i="65"/>
  <c r="R226" i="65"/>
  <c r="EQ227" i="65"/>
  <c r="AU228" i="65"/>
  <c r="EM225" i="65"/>
  <c r="AQ226" i="65"/>
  <c r="EP226" i="65"/>
  <c r="AT227" i="65"/>
  <c r="EB226" i="65"/>
  <c r="U227" i="65"/>
  <c r="EI226" i="65"/>
  <c r="AM227" i="65"/>
  <c r="AO227" i="65" l="1"/>
  <c r="EK226" i="65"/>
  <c r="EJ226" i="65"/>
  <c r="AN227" i="65"/>
  <c r="EE226" i="65"/>
  <c r="X227" i="65"/>
  <c r="EH228" i="65"/>
  <c r="AL229" i="65"/>
  <c r="EB227" i="65"/>
  <c r="U228" i="65"/>
  <c r="EQ228" i="65"/>
  <c r="AU229" i="65"/>
  <c r="DY226" i="65"/>
  <c r="R227" i="65"/>
  <c r="EG227" i="65"/>
  <c r="Z228" i="65"/>
  <c r="EI227" i="65"/>
  <c r="AM228" i="65"/>
  <c r="ER226" i="65"/>
  <c r="AV227" i="65"/>
  <c r="EA226" i="65"/>
  <c r="T227" i="65"/>
  <c r="EO228" i="65"/>
  <c r="AS229" i="65"/>
  <c r="EN227" i="65"/>
  <c r="AR228" i="65"/>
  <c r="EM226" i="65"/>
  <c r="AQ227" i="65"/>
  <c r="EF228" i="65"/>
  <c r="Y229" i="65"/>
  <c r="EC227" i="65"/>
  <c r="V228" i="65"/>
  <c r="EL227" i="65"/>
  <c r="AP228" i="65"/>
  <c r="DX226" i="65"/>
  <c r="Q227" i="65"/>
  <c r="DW226" i="65"/>
  <c r="P227" i="65"/>
  <c r="EP227" i="65"/>
  <c r="AT228" i="65"/>
  <c r="ED227" i="65"/>
  <c r="W228" i="65"/>
  <c r="DZ230" i="65"/>
  <c r="S231" i="65"/>
  <c r="AN228" i="65" l="1"/>
  <c r="EJ227" i="65"/>
  <c r="EK227" i="65"/>
  <c r="AO228" i="65"/>
  <c r="EC228" i="65"/>
  <c r="V229" i="65"/>
  <c r="EI228" i="65"/>
  <c r="AM229" i="65"/>
  <c r="DZ231" i="65"/>
  <c r="S232" i="65"/>
  <c r="EG228" i="65"/>
  <c r="Z229" i="65"/>
  <c r="ED228" i="65"/>
  <c r="W229" i="65"/>
  <c r="DY227" i="65"/>
  <c r="R228" i="65"/>
  <c r="DW227" i="65"/>
  <c r="P228" i="65"/>
  <c r="EO229" i="65"/>
  <c r="AS230" i="65"/>
  <c r="DX227" i="65"/>
  <c r="Q228" i="65"/>
  <c r="EH229" i="65"/>
  <c r="AL230" i="65"/>
  <c r="EL228" i="65"/>
  <c r="AP229" i="65"/>
  <c r="EE227" i="65"/>
  <c r="X228" i="65"/>
  <c r="ER227" i="65"/>
  <c r="AV228" i="65"/>
  <c r="EF229" i="65"/>
  <c r="Y230" i="65"/>
  <c r="EM227" i="65"/>
  <c r="AQ228" i="65"/>
  <c r="EN228" i="65"/>
  <c r="AR229" i="65"/>
  <c r="EP228" i="65"/>
  <c r="AT229" i="65"/>
  <c r="EQ229" i="65"/>
  <c r="AU230" i="65"/>
  <c r="EB228" i="65"/>
  <c r="U229" i="65"/>
  <c r="EA227" i="65"/>
  <c r="T228" i="65"/>
  <c r="AO229" i="65" l="1"/>
  <c r="EK228" i="65"/>
  <c r="AN229" i="65"/>
  <c r="EJ228" i="65"/>
  <c r="DW228" i="65"/>
  <c r="P229" i="65"/>
  <c r="EA228" i="65"/>
  <c r="T229" i="65"/>
  <c r="EE228" i="65"/>
  <c r="X229" i="65"/>
  <c r="ED229" i="65"/>
  <c r="W230" i="65"/>
  <c r="EQ230" i="65"/>
  <c r="AU231" i="65"/>
  <c r="EP229" i="65"/>
  <c r="AT230" i="65"/>
  <c r="DX228" i="65"/>
  <c r="Q229" i="65"/>
  <c r="EM228" i="65"/>
  <c r="AQ229" i="65"/>
  <c r="EO230" i="65"/>
  <c r="AS231" i="65"/>
  <c r="EC229" i="65"/>
  <c r="V230" i="65"/>
  <c r="EF230" i="65"/>
  <c r="Y231" i="65"/>
  <c r="ER228" i="65"/>
  <c r="AV229" i="65"/>
  <c r="DY228" i="65"/>
  <c r="R229" i="65"/>
  <c r="EB229" i="65"/>
  <c r="U230" i="65"/>
  <c r="EL229" i="65"/>
  <c r="AP230" i="65"/>
  <c r="EG229" i="65"/>
  <c r="Z230" i="65"/>
  <c r="EH230" i="65"/>
  <c r="AL231" i="65"/>
  <c r="DZ232" i="65"/>
  <c r="S233" i="65"/>
  <c r="EN229" i="65"/>
  <c r="AR230" i="65"/>
  <c r="EI229" i="65"/>
  <c r="AM230" i="65"/>
  <c r="EJ229" i="65" l="1"/>
  <c r="AN230" i="65"/>
  <c r="EK229" i="65"/>
  <c r="AO230" i="65"/>
  <c r="EB230" i="65"/>
  <c r="U231" i="65"/>
  <c r="EP230" i="65"/>
  <c r="AT231" i="65"/>
  <c r="EQ231" i="65"/>
  <c r="AU232" i="65"/>
  <c r="EH231" i="65"/>
  <c r="AL232" i="65"/>
  <c r="DY229" i="65"/>
  <c r="R230" i="65"/>
  <c r="ED230" i="65"/>
  <c r="W231" i="65"/>
  <c r="EN230" i="65"/>
  <c r="AR231" i="65"/>
  <c r="EA229" i="65"/>
  <c r="T230" i="65"/>
  <c r="DW229" i="65"/>
  <c r="P230" i="65"/>
  <c r="EI230" i="65"/>
  <c r="AM231" i="65"/>
  <c r="ER229" i="65"/>
  <c r="AV230" i="65"/>
  <c r="EF231" i="65"/>
  <c r="Y232" i="65"/>
  <c r="DZ233" i="65"/>
  <c r="S234" i="65"/>
  <c r="EC230" i="65"/>
  <c r="V231" i="65"/>
  <c r="EE229" i="65"/>
  <c r="X230" i="65"/>
  <c r="EO231" i="65"/>
  <c r="AS232" i="65"/>
  <c r="EG230" i="65"/>
  <c r="Z231" i="65"/>
  <c r="EM229" i="65"/>
  <c r="AQ230" i="65"/>
  <c r="EL230" i="65"/>
  <c r="AP231" i="65"/>
  <c r="DX229" i="65"/>
  <c r="Q230" i="65"/>
  <c r="EK230" i="65" l="1"/>
  <c r="AO231" i="65"/>
  <c r="AN231" i="65"/>
  <c r="EJ230" i="65"/>
  <c r="EC231" i="65"/>
  <c r="V232" i="65"/>
  <c r="DY230" i="65"/>
  <c r="R231" i="65"/>
  <c r="EE230" i="65"/>
  <c r="X231" i="65"/>
  <c r="EL231" i="65"/>
  <c r="AP232" i="65"/>
  <c r="ED231" i="65"/>
  <c r="W232" i="65"/>
  <c r="DX230" i="65"/>
  <c r="Q231" i="65"/>
  <c r="EH232" i="65"/>
  <c r="AL233" i="65"/>
  <c r="ER230" i="65"/>
  <c r="AV231" i="65"/>
  <c r="EM230" i="65"/>
  <c r="AQ231" i="65"/>
  <c r="EQ232" i="65"/>
  <c r="AU233" i="65"/>
  <c r="EG231" i="65"/>
  <c r="Z232" i="65"/>
  <c r="DW230" i="65"/>
  <c r="P231" i="65"/>
  <c r="EO232" i="65"/>
  <c r="AS233" i="65"/>
  <c r="EA230" i="65"/>
  <c r="T231" i="65"/>
  <c r="EB231" i="65"/>
  <c r="U232" i="65"/>
  <c r="EN231" i="65"/>
  <c r="AR232" i="65"/>
  <c r="DZ234" i="65"/>
  <c r="S235" i="65"/>
  <c r="EF232" i="65"/>
  <c r="Y233" i="65"/>
  <c r="EI231" i="65"/>
  <c r="AM232" i="65"/>
  <c r="EP231" i="65"/>
  <c r="AT232" i="65"/>
  <c r="AN232" i="65" l="1"/>
  <c r="EJ231" i="65"/>
  <c r="EK231" i="65"/>
  <c r="AO232" i="65"/>
  <c r="EB232" i="65"/>
  <c r="U233" i="65"/>
  <c r="EA231" i="65"/>
  <c r="T232" i="65"/>
  <c r="EH233" i="65"/>
  <c r="AL234" i="65"/>
  <c r="EP232" i="65"/>
  <c r="AT233" i="65"/>
  <c r="DX231" i="65"/>
  <c r="Q232" i="65"/>
  <c r="DW231" i="65"/>
  <c r="P232" i="65"/>
  <c r="EL232" i="65"/>
  <c r="AP233" i="65"/>
  <c r="EQ233" i="65"/>
  <c r="AU234" i="65"/>
  <c r="DZ235" i="65"/>
  <c r="S236" i="65"/>
  <c r="EM231" i="65"/>
  <c r="AQ232" i="65"/>
  <c r="EN232" i="65"/>
  <c r="AR233" i="65"/>
  <c r="ER231" i="65"/>
  <c r="AV232" i="65"/>
  <c r="EC232" i="65"/>
  <c r="V233" i="65"/>
  <c r="EO233" i="65"/>
  <c r="AS234" i="65"/>
  <c r="EI232" i="65"/>
  <c r="AM233" i="65"/>
  <c r="ED232" i="65"/>
  <c r="W233" i="65"/>
  <c r="EG232" i="65"/>
  <c r="Z233" i="65"/>
  <c r="EF233" i="65"/>
  <c r="Y234" i="65"/>
  <c r="EE231" i="65"/>
  <c r="X232" i="65"/>
  <c r="DY231" i="65"/>
  <c r="R232" i="65"/>
  <c r="EK232" i="65" l="1"/>
  <c r="AO233" i="65"/>
  <c r="EJ232" i="65"/>
  <c r="AN233" i="65"/>
  <c r="EL233" i="65"/>
  <c r="AP234" i="65"/>
  <c r="DY232" i="65"/>
  <c r="R233" i="65"/>
  <c r="DW232" i="65"/>
  <c r="P233" i="65"/>
  <c r="DX232" i="65"/>
  <c r="Q233" i="65"/>
  <c r="EP233" i="65"/>
  <c r="AT234" i="65"/>
  <c r="EN233" i="65"/>
  <c r="AR234" i="65"/>
  <c r="EQ234" i="65"/>
  <c r="AU235" i="65"/>
  <c r="EE232" i="65"/>
  <c r="X233" i="65"/>
  <c r="EF234" i="65"/>
  <c r="Y235" i="65"/>
  <c r="ER232" i="65"/>
  <c r="AV233" i="65"/>
  <c r="EG233" i="65"/>
  <c r="Z234" i="65"/>
  <c r="EM232" i="65"/>
  <c r="AQ233" i="65"/>
  <c r="ED233" i="65"/>
  <c r="W234" i="65"/>
  <c r="DZ236" i="65"/>
  <c r="S237" i="65"/>
  <c r="EB233" i="65"/>
  <c r="U234" i="65"/>
  <c r="EI233" i="65"/>
  <c r="AM234" i="65"/>
  <c r="EO234" i="65"/>
  <c r="AS235" i="65"/>
  <c r="EC233" i="65"/>
  <c r="V234" i="65"/>
  <c r="EH234" i="65"/>
  <c r="AL235" i="65"/>
  <c r="EA232" i="65"/>
  <c r="T233" i="65"/>
  <c r="EJ233" i="65" l="1"/>
  <c r="AN234" i="65"/>
  <c r="AO234" i="65"/>
  <c r="EK233" i="65"/>
  <c r="EQ235" i="65"/>
  <c r="AU236" i="65"/>
  <c r="ED234" i="65"/>
  <c r="W235" i="65"/>
  <c r="EN234" i="65"/>
  <c r="AR235" i="65"/>
  <c r="EP234" i="65"/>
  <c r="AT235" i="65"/>
  <c r="EH235" i="65"/>
  <c r="AL236" i="65"/>
  <c r="EB234" i="65"/>
  <c r="U235" i="65"/>
  <c r="DZ237" i="65"/>
  <c r="S238" i="65"/>
  <c r="EA233" i="65"/>
  <c r="T234" i="65"/>
  <c r="EM233" i="65"/>
  <c r="AQ234" i="65"/>
  <c r="EG234" i="65"/>
  <c r="Z235" i="65"/>
  <c r="DW233" i="65"/>
  <c r="P234" i="65"/>
  <c r="EO235" i="65"/>
  <c r="AS236" i="65"/>
  <c r="EI234" i="65"/>
  <c r="AM235" i="65"/>
  <c r="EE233" i="65"/>
  <c r="X234" i="65"/>
  <c r="EL234" i="65"/>
  <c r="AP235" i="65"/>
  <c r="DX233" i="65"/>
  <c r="Q234" i="65"/>
  <c r="EC234" i="65"/>
  <c r="V235" i="65"/>
  <c r="ER233" i="65"/>
  <c r="AV234" i="65"/>
  <c r="EF235" i="65"/>
  <c r="Y236" i="65"/>
  <c r="DY233" i="65"/>
  <c r="R234" i="65"/>
  <c r="EK234" i="65" l="1"/>
  <c r="AO235" i="65"/>
  <c r="AN235" i="65"/>
  <c r="EJ234" i="65"/>
  <c r="EB235" i="65"/>
  <c r="U236" i="65"/>
  <c r="EP235" i="65"/>
  <c r="AT236" i="65"/>
  <c r="EN235" i="65"/>
  <c r="AR236" i="65"/>
  <c r="EA234" i="65"/>
  <c r="T235" i="65"/>
  <c r="EL235" i="65"/>
  <c r="AP236" i="65"/>
  <c r="DZ238" i="65"/>
  <c r="S239" i="65"/>
  <c r="EH236" i="65"/>
  <c r="AL237" i="65"/>
  <c r="ER234" i="65"/>
  <c r="AV235" i="65"/>
  <c r="EC235" i="65"/>
  <c r="V236" i="65"/>
  <c r="DX234" i="65"/>
  <c r="Q235" i="65"/>
  <c r="EM234" i="65"/>
  <c r="AQ235" i="65"/>
  <c r="EQ236" i="65"/>
  <c r="AU237" i="65"/>
  <c r="DY234" i="65"/>
  <c r="R235" i="65"/>
  <c r="EE234" i="65"/>
  <c r="X235" i="65"/>
  <c r="EF236" i="65"/>
  <c r="Y237" i="65"/>
  <c r="EI235" i="65"/>
  <c r="AM236" i="65"/>
  <c r="EO236" i="65"/>
  <c r="AS237" i="65"/>
  <c r="DW234" i="65"/>
  <c r="P235" i="65"/>
  <c r="EG235" i="65"/>
  <c r="Z236" i="65"/>
  <c r="ED235" i="65"/>
  <c r="W236" i="65"/>
  <c r="EJ235" i="65" l="1"/>
  <c r="AN236" i="65"/>
  <c r="EK235" i="65"/>
  <c r="AO236" i="65"/>
  <c r="EH237" i="65"/>
  <c r="AL238" i="65"/>
  <c r="DZ239" i="65"/>
  <c r="S240" i="65"/>
  <c r="ED236" i="65"/>
  <c r="W237" i="65"/>
  <c r="EL236" i="65"/>
  <c r="AP237" i="65"/>
  <c r="EG236" i="65"/>
  <c r="Z237" i="65"/>
  <c r="EA235" i="65"/>
  <c r="T236" i="65"/>
  <c r="DX235" i="65"/>
  <c r="Q236" i="65"/>
  <c r="EE235" i="65"/>
  <c r="X236" i="65"/>
  <c r="DY235" i="65"/>
  <c r="R236" i="65"/>
  <c r="EQ237" i="65"/>
  <c r="AU238" i="65"/>
  <c r="DW235" i="65"/>
  <c r="P236" i="65"/>
  <c r="EO237" i="65"/>
  <c r="AS238" i="65"/>
  <c r="EI236" i="65"/>
  <c r="AM237" i="65"/>
  <c r="EC236" i="65"/>
  <c r="V237" i="65"/>
  <c r="EF237" i="65"/>
  <c r="Y238" i="65"/>
  <c r="ER235" i="65"/>
  <c r="AV236" i="65"/>
  <c r="EB236" i="65"/>
  <c r="U237" i="65"/>
  <c r="EM235" i="65"/>
  <c r="AQ236" i="65"/>
  <c r="EN236" i="65"/>
  <c r="AR237" i="65"/>
  <c r="EP236" i="65"/>
  <c r="AT237" i="65"/>
  <c r="EK236" i="65" l="1"/>
  <c r="AO237" i="65"/>
  <c r="EJ236" i="65"/>
  <c r="AN237" i="65"/>
  <c r="EF238" i="65"/>
  <c r="Y239" i="65"/>
  <c r="EC237" i="65"/>
  <c r="V238" i="65"/>
  <c r="EI237" i="65"/>
  <c r="AM238" i="65"/>
  <c r="DX236" i="65"/>
  <c r="Q237" i="65"/>
  <c r="EA236" i="65"/>
  <c r="T237" i="65"/>
  <c r="EN237" i="65"/>
  <c r="AR238" i="65"/>
  <c r="EG237" i="65"/>
  <c r="Z238" i="65"/>
  <c r="DW236" i="65"/>
  <c r="P237" i="65"/>
  <c r="EL237" i="65"/>
  <c r="AP238" i="65"/>
  <c r="EQ238" i="65"/>
  <c r="AU239" i="65"/>
  <c r="EB237" i="65"/>
  <c r="U238" i="65"/>
  <c r="DY236" i="65"/>
  <c r="R237" i="65"/>
  <c r="ER236" i="65"/>
  <c r="AV237" i="65"/>
  <c r="EE236" i="65"/>
  <c r="X237" i="65"/>
  <c r="EH238" i="65"/>
  <c r="AL239" i="65"/>
  <c r="EP237" i="65"/>
  <c r="AT238" i="65"/>
  <c r="EO238" i="65"/>
  <c r="AS239" i="65"/>
  <c r="EM236" i="65"/>
  <c r="AQ237" i="65"/>
  <c r="ED237" i="65"/>
  <c r="W238" i="65"/>
  <c r="DZ240" i="65"/>
  <c r="S241" i="65"/>
  <c r="AN238" i="65" l="1"/>
  <c r="EJ237" i="65"/>
  <c r="EK237" i="65"/>
  <c r="AO238" i="65"/>
  <c r="EH239" i="65"/>
  <c r="AL240" i="65"/>
  <c r="EE237" i="65"/>
  <c r="X238" i="65"/>
  <c r="ED238" i="65"/>
  <c r="W239" i="65"/>
  <c r="DW237" i="65"/>
  <c r="P238" i="65"/>
  <c r="EG238" i="65"/>
  <c r="Z239" i="65"/>
  <c r="DZ241" i="65"/>
  <c r="S242" i="65"/>
  <c r="ER237" i="65"/>
  <c r="AV238" i="65"/>
  <c r="EA237" i="65"/>
  <c r="T238" i="65"/>
  <c r="EM237" i="65"/>
  <c r="AQ238" i="65"/>
  <c r="DX237" i="65"/>
  <c r="Q238" i="65"/>
  <c r="EB238" i="65"/>
  <c r="U239" i="65"/>
  <c r="EI238" i="65"/>
  <c r="AM239" i="65"/>
  <c r="EQ239" i="65"/>
  <c r="AU240" i="65"/>
  <c r="EP238" i="65"/>
  <c r="AT239" i="65"/>
  <c r="EL238" i="65"/>
  <c r="AP239" i="65"/>
  <c r="EF239" i="65"/>
  <c r="Y240" i="65"/>
  <c r="EN238" i="65"/>
  <c r="AR239" i="65"/>
  <c r="DY237" i="65"/>
  <c r="R238" i="65"/>
  <c r="EO239" i="65"/>
  <c r="AS240" i="65"/>
  <c r="EC238" i="65"/>
  <c r="V239" i="65"/>
  <c r="AO239" i="65" l="1"/>
  <c r="EK238" i="65"/>
  <c r="EJ238" i="65"/>
  <c r="AN239" i="65"/>
  <c r="EC239" i="65"/>
  <c r="V240" i="65"/>
  <c r="ER238" i="65"/>
  <c r="AV239" i="65"/>
  <c r="EG239" i="65"/>
  <c r="Z240" i="65"/>
  <c r="EO240" i="65"/>
  <c r="AS241" i="65"/>
  <c r="EI239" i="65"/>
  <c r="AM240" i="65"/>
  <c r="ED239" i="65"/>
  <c r="W240" i="65"/>
  <c r="DY238" i="65"/>
  <c r="R239" i="65"/>
  <c r="EE238" i="65"/>
  <c r="X239" i="65"/>
  <c r="EN239" i="65"/>
  <c r="AR240" i="65"/>
  <c r="EH240" i="65"/>
  <c r="AL241" i="65"/>
  <c r="EF240" i="65"/>
  <c r="Y241" i="65"/>
  <c r="EA238" i="65"/>
  <c r="T239" i="65"/>
  <c r="EL239" i="65"/>
  <c r="AP240" i="65"/>
  <c r="EP239" i="65"/>
  <c r="AT240" i="65"/>
  <c r="DZ242" i="65"/>
  <c r="S243" i="65"/>
  <c r="EQ240" i="65"/>
  <c r="AU241" i="65"/>
  <c r="DW238" i="65"/>
  <c r="P239" i="65"/>
  <c r="EB239" i="65"/>
  <c r="U240" i="65"/>
  <c r="DX238" i="65"/>
  <c r="Q239" i="65"/>
  <c r="EM238" i="65"/>
  <c r="AQ239" i="65"/>
  <c r="EJ239" i="65" l="1"/>
  <c r="AN240" i="65"/>
  <c r="EK239" i="65"/>
  <c r="AO240" i="65"/>
  <c r="EP240" i="65"/>
  <c r="AT241" i="65"/>
  <c r="ED240" i="65"/>
  <c r="W241" i="65"/>
  <c r="EI240" i="65"/>
  <c r="AM241" i="65"/>
  <c r="EB240" i="65"/>
  <c r="U241" i="65"/>
  <c r="DY239" i="65"/>
  <c r="R240" i="65"/>
  <c r="EL240" i="65"/>
  <c r="AP241" i="65"/>
  <c r="EM239" i="65"/>
  <c r="AQ240" i="65"/>
  <c r="EA239" i="65"/>
  <c r="T240" i="65"/>
  <c r="EF241" i="65"/>
  <c r="Y242" i="65"/>
  <c r="EO241" i="65"/>
  <c r="AS242" i="65"/>
  <c r="DW239" i="65"/>
  <c r="P240" i="65"/>
  <c r="EG240" i="65"/>
  <c r="Z241" i="65"/>
  <c r="EQ241" i="65"/>
  <c r="AU242" i="65"/>
  <c r="ER239" i="65"/>
  <c r="AV240" i="65"/>
  <c r="DZ243" i="65"/>
  <c r="S244" i="65"/>
  <c r="EE239" i="65"/>
  <c r="X240" i="65"/>
  <c r="EC240" i="65"/>
  <c r="V241" i="65"/>
  <c r="DX239" i="65"/>
  <c r="Q240" i="65"/>
  <c r="EH241" i="65"/>
  <c r="AL242" i="65"/>
  <c r="EN240" i="65"/>
  <c r="AR241" i="65"/>
  <c r="EJ240" i="65" l="1"/>
  <c r="AN241" i="65"/>
  <c r="EK240" i="65"/>
  <c r="AO241" i="65"/>
  <c r="EL241" i="65"/>
  <c r="AP242" i="65"/>
  <c r="EN241" i="65"/>
  <c r="AR242" i="65"/>
  <c r="DY240" i="65"/>
  <c r="R241" i="65"/>
  <c r="EB241" i="65"/>
  <c r="U242" i="65"/>
  <c r="DX240" i="65"/>
  <c r="Q241" i="65"/>
  <c r="EO242" i="65"/>
  <c r="AS243" i="65"/>
  <c r="EM240" i="65"/>
  <c r="AQ241" i="65"/>
  <c r="EQ242" i="65"/>
  <c r="AU243" i="65"/>
  <c r="EI241" i="65"/>
  <c r="AM242" i="65"/>
  <c r="EF242" i="65"/>
  <c r="Y243" i="65"/>
  <c r="EA240" i="65"/>
  <c r="T241" i="65"/>
  <c r="EP241" i="65"/>
  <c r="AT242" i="65"/>
  <c r="DZ244" i="65"/>
  <c r="S245" i="65"/>
  <c r="ER240" i="65"/>
  <c r="AV241" i="65"/>
  <c r="EH242" i="65"/>
  <c r="AL243" i="65"/>
  <c r="EG241" i="65"/>
  <c r="Z242" i="65"/>
  <c r="DW240" i="65"/>
  <c r="P241" i="65"/>
  <c r="EC241" i="65"/>
  <c r="V242" i="65"/>
  <c r="ED241" i="65"/>
  <c r="W242" i="65"/>
  <c r="EE240" i="65"/>
  <c r="X241" i="65"/>
  <c r="EK241" i="65" l="1"/>
  <c r="AO242" i="65"/>
  <c r="AN242" i="65"/>
  <c r="EJ241" i="65"/>
  <c r="EQ243" i="65"/>
  <c r="AU244" i="65"/>
  <c r="ER241" i="65"/>
  <c r="AV242" i="65"/>
  <c r="EE241" i="65"/>
  <c r="X242" i="65"/>
  <c r="EA241" i="65"/>
  <c r="T242" i="65"/>
  <c r="EF243" i="65"/>
  <c r="Y244" i="65"/>
  <c r="EH243" i="65"/>
  <c r="AL244" i="65"/>
  <c r="EM241" i="65"/>
  <c r="AQ242" i="65"/>
  <c r="DZ245" i="65"/>
  <c r="S246" i="65"/>
  <c r="EP242" i="65"/>
  <c r="AT243" i="65"/>
  <c r="EB242" i="65"/>
  <c r="U243" i="65"/>
  <c r="DY241" i="65"/>
  <c r="R242" i="65"/>
  <c r="EG242" i="65"/>
  <c r="Z243" i="65"/>
  <c r="EI242" i="65"/>
  <c r="AM243" i="65"/>
  <c r="EL242" i="65"/>
  <c r="AP243" i="65"/>
  <c r="EO243" i="65"/>
  <c r="AS244" i="65"/>
  <c r="ED242" i="65"/>
  <c r="W243" i="65"/>
  <c r="DX241" i="65"/>
  <c r="Q242" i="65"/>
  <c r="EC242" i="65"/>
  <c r="V243" i="65"/>
  <c r="DW241" i="65"/>
  <c r="P242" i="65"/>
  <c r="EN242" i="65"/>
  <c r="AR243" i="65"/>
  <c r="AN243" i="65" l="1"/>
  <c r="EJ242" i="65"/>
  <c r="AO243" i="65"/>
  <c r="EK242" i="65"/>
  <c r="EH244" i="65"/>
  <c r="AL245" i="65"/>
  <c r="DW242" i="65"/>
  <c r="P243" i="65"/>
  <c r="EC243" i="65"/>
  <c r="V244" i="65"/>
  <c r="DZ246" i="65"/>
  <c r="S247" i="65"/>
  <c r="EL243" i="65"/>
  <c r="AP244" i="65"/>
  <c r="EN243" i="65"/>
  <c r="AR244" i="65"/>
  <c r="EF244" i="65"/>
  <c r="Y245" i="65"/>
  <c r="EA242" i="65"/>
  <c r="T243" i="65"/>
  <c r="EE242" i="65"/>
  <c r="X243" i="65"/>
  <c r="DX242" i="65"/>
  <c r="Q243" i="65"/>
  <c r="ER242" i="65"/>
  <c r="AV243" i="65"/>
  <c r="ED243" i="65"/>
  <c r="W244" i="65"/>
  <c r="EP243" i="65"/>
  <c r="AT244" i="65"/>
  <c r="EQ244" i="65"/>
  <c r="AU245" i="65"/>
  <c r="EO244" i="65"/>
  <c r="AS245" i="65"/>
  <c r="EM242" i="65"/>
  <c r="AQ243" i="65"/>
  <c r="EI243" i="65"/>
  <c r="AM244" i="65"/>
  <c r="EG243" i="65"/>
  <c r="Z244" i="65"/>
  <c r="DY242" i="65"/>
  <c r="R243" i="65"/>
  <c r="EB243" i="65"/>
  <c r="U244" i="65"/>
  <c r="EK243" i="65" l="1"/>
  <c r="AO244" i="65"/>
  <c r="EJ243" i="65"/>
  <c r="AN244" i="65"/>
  <c r="EO245" i="65"/>
  <c r="AS246" i="65"/>
  <c r="EN244" i="65"/>
  <c r="AR245" i="65"/>
  <c r="EP244" i="65"/>
  <c r="AT245" i="65"/>
  <c r="DY243" i="65"/>
  <c r="R244" i="65"/>
  <c r="EQ245" i="65"/>
  <c r="AU246" i="65"/>
  <c r="EB244" i="65"/>
  <c r="U245" i="65"/>
  <c r="EL244" i="65"/>
  <c r="AP245" i="65"/>
  <c r="ED244" i="65"/>
  <c r="W245" i="65"/>
  <c r="EC244" i="65"/>
  <c r="V245" i="65"/>
  <c r="EI244" i="65"/>
  <c r="AM245" i="65"/>
  <c r="EE243" i="65"/>
  <c r="X244" i="65"/>
  <c r="EM243" i="65"/>
  <c r="AQ244" i="65"/>
  <c r="EA243" i="65"/>
  <c r="T244" i="65"/>
  <c r="EH245" i="65"/>
  <c r="AL246" i="65"/>
  <c r="EF245" i="65"/>
  <c r="Y246" i="65"/>
  <c r="DZ247" i="65"/>
  <c r="S248" i="65"/>
  <c r="ER243" i="65"/>
  <c r="AV244" i="65"/>
  <c r="EG244" i="65"/>
  <c r="Z245" i="65"/>
  <c r="DX243" i="65"/>
  <c r="Q244" i="65"/>
  <c r="DW243" i="65"/>
  <c r="P244" i="65"/>
  <c r="EK244" i="65" l="1"/>
  <c r="AO245" i="65"/>
  <c r="EJ244" i="65"/>
  <c r="AN245" i="65"/>
  <c r="EH246" i="65"/>
  <c r="AL247" i="65"/>
  <c r="EB245" i="65"/>
  <c r="U246" i="65"/>
  <c r="EE244" i="65"/>
  <c r="X245" i="65"/>
  <c r="EI245" i="65"/>
  <c r="AM246" i="65"/>
  <c r="ED245" i="65"/>
  <c r="W246" i="65"/>
  <c r="EA244" i="65"/>
  <c r="T245" i="65"/>
  <c r="EL245" i="65"/>
  <c r="AP246" i="65"/>
  <c r="DW244" i="65"/>
  <c r="P245" i="65"/>
  <c r="EM244" i="65"/>
  <c r="AQ245" i="65"/>
  <c r="EQ246" i="65"/>
  <c r="AU247" i="65"/>
  <c r="ER244" i="65"/>
  <c r="AV245" i="65"/>
  <c r="DZ248" i="65"/>
  <c r="S249" i="65"/>
  <c r="EF246" i="65"/>
  <c r="Y247" i="65"/>
  <c r="EO246" i="65"/>
  <c r="AS247" i="65"/>
  <c r="DX244" i="65"/>
  <c r="Q245" i="65"/>
  <c r="EG245" i="65"/>
  <c r="Z246" i="65"/>
  <c r="DY244" i="65"/>
  <c r="R245" i="65"/>
  <c r="EP245" i="65"/>
  <c r="AT246" i="65"/>
  <c r="EC245" i="65"/>
  <c r="V246" i="65"/>
  <c r="EN245" i="65"/>
  <c r="AR246" i="65"/>
  <c r="AN246" i="65" l="1"/>
  <c r="EJ245" i="65"/>
  <c r="AO246" i="65"/>
  <c r="EK245" i="65"/>
  <c r="EL246" i="65"/>
  <c r="AP247" i="65"/>
  <c r="EN246" i="65"/>
  <c r="AR247" i="65"/>
  <c r="EC246" i="65"/>
  <c r="V247" i="65"/>
  <c r="EP246" i="65"/>
  <c r="AT247" i="65"/>
  <c r="EE245" i="65"/>
  <c r="X246" i="65"/>
  <c r="EO247" i="65"/>
  <c r="AS248" i="65"/>
  <c r="EF247" i="65"/>
  <c r="Y248" i="65"/>
  <c r="ER245" i="65"/>
  <c r="AV246" i="65"/>
  <c r="DY245" i="65"/>
  <c r="R246" i="65"/>
  <c r="EM245" i="65"/>
  <c r="AQ246" i="65"/>
  <c r="DX245" i="65"/>
  <c r="Q246" i="65"/>
  <c r="DW245" i="65"/>
  <c r="P246" i="65"/>
  <c r="EH247" i="65"/>
  <c r="AL248" i="65"/>
  <c r="EA245" i="65"/>
  <c r="T246" i="65"/>
  <c r="ED246" i="65"/>
  <c r="W247" i="65"/>
  <c r="DZ249" i="65"/>
  <c r="S250" i="65"/>
  <c r="EI246" i="65"/>
  <c r="AM247" i="65"/>
  <c r="EQ247" i="65"/>
  <c r="AU248" i="65"/>
  <c r="EG246" i="65"/>
  <c r="Z247" i="65"/>
  <c r="EB246" i="65"/>
  <c r="U247" i="65"/>
  <c r="DZ250" i="65" l="1"/>
  <c r="S251" i="65"/>
  <c r="EK246" i="65"/>
  <c r="AO247" i="65"/>
  <c r="AN247" i="65"/>
  <c r="EJ246" i="65"/>
  <c r="EE246" i="65"/>
  <c r="X247" i="65"/>
  <c r="EA246" i="65"/>
  <c r="T247" i="65"/>
  <c r="EO248" i="65"/>
  <c r="AS249" i="65"/>
  <c r="EH248" i="65"/>
  <c r="AL249" i="65"/>
  <c r="DW246" i="65"/>
  <c r="P247" i="65"/>
  <c r="EP247" i="65"/>
  <c r="AT248" i="65"/>
  <c r="DX246" i="65"/>
  <c r="Q247" i="65"/>
  <c r="EQ248" i="65"/>
  <c r="AU249" i="65"/>
  <c r="EM246" i="65"/>
  <c r="AQ247" i="65"/>
  <c r="EC247" i="65"/>
  <c r="V248" i="65"/>
  <c r="EN247" i="65"/>
  <c r="AR248" i="65"/>
  <c r="ER246" i="65"/>
  <c r="AV247" i="65"/>
  <c r="ED247" i="65"/>
  <c r="W248" i="65"/>
  <c r="EF248" i="65"/>
  <c r="Y249" i="65"/>
  <c r="EL247" i="65"/>
  <c r="AP248" i="65"/>
  <c r="EB247" i="65"/>
  <c r="U248" i="65"/>
  <c r="EG247" i="65"/>
  <c r="Z248" i="65"/>
  <c r="EI247" i="65"/>
  <c r="AM248" i="65"/>
  <c r="DY246" i="65"/>
  <c r="R247" i="65"/>
  <c r="DZ251" i="65" l="1"/>
  <c r="S252" i="65"/>
  <c r="EJ247" i="65"/>
  <c r="AN248" i="65"/>
  <c r="EK247" i="65"/>
  <c r="AO248" i="65"/>
  <c r="EL248" i="65"/>
  <c r="AP249" i="65"/>
  <c r="ER247" i="65"/>
  <c r="AV248" i="65"/>
  <c r="EI248" i="65"/>
  <c r="AM249" i="65"/>
  <c r="EQ249" i="65"/>
  <c r="AU250" i="65"/>
  <c r="EP248" i="65"/>
  <c r="AT249" i="65"/>
  <c r="ED248" i="65"/>
  <c r="W249" i="65"/>
  <c r="EH249" i="65"/>
  <c r="AL250" i="65"/>
  <c r="EN248" i="65"/>
  <c r="AR249" i="65"/>
  <c r="EA247" i="65"/>
  <c r="T248" i="65"/>
  <c r="EG248" i="65"/>
  <c r="Z249" i="65"/>
  <c r="EM247" i="65"/>
  <c r="AQ248" i="65"/>
  <c r="EE247" i="65"/>
  <c r="X248" i="65"/>
  <c r="EB248" i="65"/>
  <c r="U249" i="65"/>
  <c r="DX247" i="65"/>
  <c r="Q248" i="65"/>
  <c r="EF249" i="65"/>
  <c r="Y250" i="65"/>
  <c r="DW247" i="65"/>
  <c r="P248" i="65"/>
  <c r="DY247" i="65"/>
  <c r="R248" i="65"/>
  <c r="EO249" i="65"/>
  <c r="AS250" i="65"/>
  <c r="EC248" i="65"/>
  <c r="V249" i="65"/>
  <c r="EF250" i="65" l="1"/>
  <c r="Y251" i="65"/>
  <c r="DZ252" i="65"/>
  <c r="S253" i="65"/>
  <c r="EQ250" i="65"/>
  <c r="AU251" i="65"/>
  <c r="EO250" i="65"/>
  <c r="AS251" i="65"/>
  <c r="EH250" i="65"/>
  <c r="AL251" i="65"/>
  <c r="EK248" i="65"/>
  <c r="AO249" i="65"/>
  <c r="AN249" i="65"/>
  <c r="EJ248" i="65"/>
  <c r="DW248" i="65"/>
  <c r="P249" i="65"/>
  <c r="EI249" i="65"/>
  <c r="AM250" i="65"/>
  <c r="DY248" i="65"/>
  <c r="R249" i="65"/>
  <c r="EA248" i="65"/>
  <c r="T249" i="65"/>
  <c r="EL249" i="65"/>
  <c r="AP250" i="65"/>
  <c r="EN249" i="65"/>
  <c r="AR250" i="65"/>
  <c r="DX248" i="65"/>
  <c r="Q249" i="65"/>
  <c r="ED249" i="65"/>
  <c r="W250" i="65"/>
  <c r="EB249" i="65"/>
  <c r="U250" i="65"/>
  <c r="EP249" i="65"/>
  <c r="AT250" i="65"/>
  <c r="EE248" i="65"/>
  <c r="X249" i="65"/>
  <c r="EC249" i="65"/>
  <c r="V250" i="65"/>
  <c r="EM248" i="65"/>
  <c r="AQ249" i="65"/>
  <c r="EG249" i="65"/>
  <c r="Z250" i="65"/>
  <c r="ER248" i="65"/>
  <c r="AV249" i="65"/>
  <c r="AL252" i="65" l="1"/>
  <c r="EH251" i="65"/>
  <c r="AS252" i="65"/>
  <c r="EO251" i="65"/>
  <c r="EB250" i="65"/>
  <c r="U251" i="65"/>
  <c r="ED250" i="65"/>
  <c r="W251" i="65"/>
  <c r="EN250" i="65"/>
  <c r="AR251" i="65"/>
  <c r="EC250" i="65"/>
  <c r="V251" i="65"/>
  <c r="EI250" i="65"/>
  <c r="AM251" i="65"/>
  <c r="EG250" i="65"/>
  <c r="Z251" i="65"/>
  <c r="EL250" i="65"/>
  <c r="AP251" i="65"/>
  <c r="EQ251" i="65"/>
  <c r="AU252" i="65"/>
  <c r="S254" i="65"/>
  <c r="DZ253" i="65"/>
  <c r="EP250" i="65"/>
  <c r="AT251" i="65"/>
  <c r="EF251" i="65"/>
  <c r="Y252" i="65"/>
  <c r="EJ249" i="65"/>
  <c r="AN250" i="65"/>
  <c r="EK249" i="65"/>
  <c r="AO250" i="65"/>
  <c r="DX249" i="65"/>
  <c r="Q250" i="65"/>
  <c r="DY249" i="65"/>
  <c r="R250" i="65"/>
  <c r="DW249" i="65"/>
  <c r="P250" i="65"/>
  <c r="ER249" i="65"/>
  <c r="AV250" i="65"/>
  <c r="EM249" i="65"/>
  <c r="AQ250" i="65"/>
  <c r="EA249" i="65"/>
  <c r="T250" i="65"/>
  <c r="EE249" i="65"/>
  <c r="X250" i="65"/>
  <c r="V252" i="65" l="1"/>
  <c r="EC251" i="65"/>
  <c r="AR252" i="65"/>
  <c r="EN251" i="65"/>
  <c r="ED251" i="65"/>
  <c r="W252" i="65"/>
  <c r="DX250" i="65"/>
  <c r="Q251" i="65"/>
  <c r="AM252" i="65"/>
  <c r="EI251" i="65"/>
  <c r="EE250" i="65"/>
  <c r="X251" i="65"/>
  <c r="EF252" i="65"/>
  <c r="Y253" i="65"/>
  <c r="EP251" i="65"/>
  <c r="AT252" i="65"/>
  <c r="EQ252" i="65"/>
  <c r="AU253" i="65"/>
  <c r="EL251" i="65"/>
  <c r="AP252" i="65"/>
  <c r="Z252" i="65"/>
  <c r="EG251" i="65"/>
  <c r="EK250" i="65"/>
  <c r="AO251" i="65"/>
  <c r="EJ250" i="65"/>
  <c r="AN251" i="65"/>
  <c r="EA250" i="65"/>
  <c r="T251" i="65"/>
  <c r="EM250" i="65"/>
  <c r="AQ251" i="65"/>
  <c r="ER250" i="65"/>
  <c r="AV251" i="65"/>
  <c r="EB251" i="65"/>
  <c r="U252" i="65"/>
  <c r="DZ254" i="65"/>
  <c r="S255" i="65"/>
  <c r="DW250" i="65"/>
  <c r="P251" i="65"/>
  <c r="EO252" i="65"/>
  <c r="AS253" i="65"/>
  <c r="DY250" i="65"/>
  <c r="R251" i="65"/>
  <c r="AL253" i="65"/>
  <c r="EH252" i="65"/>
  <c r="Z81" i="51"/>
  <c r="Z80" i="51" s="1"/>
  <c r="Y81" i="51"/>
  <c r="Y80" i="51" s="1"/>
  <c r="X81" i="51"/>
  <c r="X80" i="51" s="1"/>
  <c r="X74" i="51"/>
  <c r="W74" i="51"/>
  <c r="V74" i="51"/>
  <c r="U74" i="51"/>
  <c r="T74" i="51"/>
  <c r="U74" i="10"/>
  <c r="V74" i="10"/>
  <c r="W74" i="10"/>
  <c r="X74" i="10"/>
  <c r="T74" i="10"/>
  <c r="EP252" i="65" l="1"/>
  <c r="AT253" i="65"/>
  <c r="AV252" i="65"/>
  <c r="ER251" i="65"/>
  <c r="EF253" i="65"/>
  <c r="Y254" i="65"/>
  <c r="EA251" i="65"/>
  <c r="T252" i="65"/>
  <c r="EJ251" i="65"/>
  <c r="AN252" i="65"/>
  <c r="EK251" i="65"/>
  <c r="AO252" i="65"/>
  <c r="Z253" i="65"/>
  <c r="EG252" i="65"/>
  <c r="EN252" i="65"/>
  <c r="AR253" i="65"/>
  <c r="AQ252" i="65"/>
  <c r="EM251" i="65"/>
  <c r="EO253" i="65"/>
  <c r="AS254" i="65"/>
  <c r="P252" i="65"/>
  <c r="DW251" i="65"/>
  <c r="EL252" i="65"/>
  <c r="AP253" i="65"/>
  <c r="AU254" i="65"/>
  <c r="EQ253" i="65"/>
  <c r="X252" i="65"/>
  <c r="EE251" i="65"/>
  <c r="EH253" i="65"/>
  <c r="AL254" i="65"/>
  <c r="DY251" i="65"/>
  <c r="R252" i="65"/>
  <c r="AM253" i="65"/>
  <c r="EI252" i="65"/>
  <c r="DX251" i="65"/>
  <c r="Q252" i="65"/>
  <c r="ED252" i="65"/>
  <c r="W253" i="65"/>
  <c r="DZ255" i="65"/>
  <c r="S256" i="65"/>
  <c r="U253" i="65"/>
  <c r="EB252" i="65"/>
  <c r="V253" i="65"/>
  <c r="EC252" i="65"/>
  <c r="A34" i="14"/>
  <c r="R1" i="31"/>
  <c r="I1" i="31"/>
  <c r="Y14" i="31"/>
  <c r="Z14" i="31"/>
  <c r="AA14" i="31"/>
  <c r="AB14" i="31"/>
  <c r="AC14" i="31"/>
  <c r="R3" i="20"/>
  <c r="R6" i="20"/>
  <c r="R10" i="20"/>
  <c r="R15" i="20"/>
  <c r="R19" i="20"/>
  <c r="R22" i="20"/>
  <c r="R26" i="20"/>
  <c r="R31" i="20"/>
  <c r="R35" i="20"/>
  <c r="R38" i="20"/>
  <c r="R42" i="20"/>
  <c r="R47" i="20"/>
  <c r="R51" i="20"/>
  <c r="R54" i="20"/>
  <c r="R58" i="20"/>
  <c r="R63" i="20"/>
  <c r="R67" i="20"/>
  <c r="R70" i="20"/>
  <c r="R74" i="20"/>
  <c r="R79" i="20"/>
  <c r="R83" i="20"/>
  <c r="R86" i="20"/>
  <c r="R90" i="20"/>
  <c r="R95" i="20"/>
  <c r="R99" i="20"/>
  <c r="R102" i="20"/>
  <c r="R106" i="20"/>
  <c r="R2" i="20"/>
  <c r="R4" i="20"/>
  <c r="R5" i="20"/>
  <c r="R7" i="20"/>
  <c r="R8" i="20"/>
  <c r="R9" i="20"/>
  <c r="R11" i="20"/>
  <c r="R12" i="20"/>
  <c r="R13" i="20"/>
  <c r="R14" i="20"/>
  <c r="R16" i="20"/>
  <c r="R17" i="20"/>
  <c r="R18" i="20"/>
  <c r="R20" i="20"/>
  <c r="R21" i="20"/>
  <c r="R23" i="20"/>
  <c r="R24" i="20"/>
  <c r="R25" i="20"/>
  <c r="R27" i="20"/>
  <c r="R28" i="20"/>
  <c r="R29" i="20"/>
  <c r="R30" i="20"/>
  <c r="R32" i="20"/>
  <c r="R33" i="20"/>
  <c r="R34" i="20"/>
  <c r="R36" i="20"/>
  <c r="R37" i="20"/>
  <c r="R39" i="20"/>
  <c r="R40" i="20"/>
  <c r="R41" i="20"/>
  <c r="R43" i="20"/>
  <c r="R44" i="20"/>
  <c r="R45" i="20"/>
  <c r="R46" i="20"/>
  <c r="R48" i="20"/>
  <c r="R49" i="20"/>
  <c r="R50" i="20"/>
  <c r="R52" i="20"/>
  <c r="R53" i="20"/>
  <c r="R55" i="20"/>
  <c r="R56" i="20"/>
  <c r="R57" i="20"/>
  <c r="R59" i="20"/>
  <c r="R60" i="20"/>
  <c r="R61" i="20"/>
  <c r="R62" i="20"/>
  <c r="R64" i="20"/>
  <c r="R65" i="20"/>
  <c r="R66" i="20"/>
  <c r="R68" i="20"/>
  <c r="R69" i="20"/>
  <c r="R71" i="20"/>
  <c r="R72" i="20"/>
  <c r="R73" i="20"/>
  <c r="R75" i="20"/>
  <c r="R76" i="20"/>
  <c r="R77" i="20"/>
  <c r="R78" i="20"/>
  <c r="R80" i="20"/>
  <c r="R81" i="20"/>
  <c r="R82" i="20"/>
  <c r="R84" i="20"/>
  <c r="R85" i="20"/>
  <c r="R87" i="20"/>
  <c r="R88" i="20"/>
  <c r="R89" i="20"/>
  <c r="R91" i="20"/>
  <c r="R92" i="20"/>
  <c r="R93" i="20"/>
  <c r="R94" i="20"/>
  <c r="R96" i="20"/>
  <c r="R97" i="20"/>
  <c r="R98" i="20"/>
  <c r="R100" i="20"/>
  <c r="R101" i="20"/>
  <c r="R103" i="20"/>
  <c r="R104" i="20"/>
  <c r="R105" i="20"/>
  <c r="R107" i="20"/>
  <c r="R108" i="20"/>
  <c r="R109" i="20"/>
  <c r="R1" i="20"/>
  <c r="I1" i="20"/>
  <c r="E8" i="11"/>
  <c r="X66" i="61"/>
  <c r="AW62" i="61"/>
  <c r="AC61" i="61"/>
  <c r="AD61" i="61"/>
  <c r="AE61" i="61"/>
  <c r="AF61" i="61"/>
  <c r="AG61" i="61"/>
  <c r="AH61" i="61"/>
  <c r="AI61" i="61"/>
  <c r="AJ61" i="61"/>
  <c r="AK61" i="61"/>
  <c r="AL61" i="61"/>
  <c r="AM61" i="61"/>
  <c r="AN61" i="61"/>
  <c r="AO61" i="61"/>
  <c r="AP61" i="61"/>
  <c r="AQ61" i="61"/>
  <c r="AR61" i="61"/>
  <c r="AS61" i="61"/>
  <c r="AT61" i="61"/>
  <c r="AU61" i="61"/>
  <c r="AV61" i="61"/>
  <c r="AW61" i="61"/>
  <c r="AC62" i="61"/>
  <c r="AD62" i="61"/>
  <c r="AE62" i="61"/>
  <c r="AF62" i="61"/>
  <c r="AG62" i="61"/>
  <c r="AH62" i="61"/>
  <c r="AI62" i="61"/>
  <c r="AJ62" i="61"/>
  <c r="AK62" i="61"/>
  <c r="AL62" i="61"/>
  <c r="AM62" i="61"/>
  <c r="AN62" i="61"/>
  <c r="AO62" i="61"/>
  <c r="AP62" i="61"/>
  <c r="AQ62" i="61"/>
  <c r="AR62" i="61"/>
  <c r="AS62" i="61"/>
  <c r="AT62" i="61"/>
  <c r="AU62" i="61"/>
  <c r="AV62" i="61"/>
  <c r="AC63" i="61"/>
  <c r="AD63" i="61"/>
  <c r="AE63" i="61"/>
  <c r="AF63" i="61"/>
  <c r="AG63" i="61"/>
  <c r="AH63" i="61"/>
  <c r="AI63" i="61"/>
  <c r="AJ63" i="61"/>
  <c r="AK63" i="61"/>
  <c r="AL63" i="61"/>
  <c r="AM63" i="61"/>
  <c r="AN63" i="61"/>
  <c r="AO63" i="61"/>
  <c r="AP63" i="61"/>
  <c r="AQ63" i="61"/>
  <c r="AR63" i="61"/>
  <c r="AS63" i="61"/>
  <c r="AT63" i="61"/>
  <c r="AU63" i="61"/>
  <c r="AV63" i="61"/>
  <c r="AW63" i="61"/>
  <c r="AC64" i="61"/>
  <c r="AD64" i="61"/>
  <c r="AE64" i="61"/>
  <c r="AF64" i="61"/>
  <c r="AG64" i="61"/>
  <c r="AH64" i="61"/>
  <c r="AI64" i="61"/>
  <c r="AJ64" i="61"/>
  <c r="AK64" i="61"/>
  <c r="AL64" i="61"/>
  <c r="AM64" i="61"/>
  <c r="AN64" i="61"/>
  <c r="AO64" i="61"/>
  <c r="AP64" i="61"/>
  <c r="AQ64" i="61"/>
  <c r="AR64" i="61"/>
  <c r="AS64" i="61"/>
  <c r="AT64" i="61"/>
  <c r="AU64" i="61"/>
  <c r="AV64" i="61"/>
  <c r="AW64" i="61"/>
  <c r="AC65" i="61"/>
  <c r="AD65" i="61"/>
  <c r="AE65" i="61"/>
  <c r="AF65" i="61"/>
  <c r="AG65" i="61"/>
  <c r="AH65" i="61"/>
  <c r="AI65" i="61"/>
  <c r="AJ65" i="61"/>
  <c r="AK65" i="61"/>
  <c r="AL65" i="61"/>
  <c r="AM65" i="61"/>
  <c r="AN65" i="61"/>
  <c r="AO65" i="61"/>
  <c r="AP65" i="61"/>
  <c r="AQ65" i="61"/>
  <c r="AR65" i="61"/>
  <c r="AS65" i="61"/>
  <c r="AT65" i="61"/>
  <c r="AU65" i="61"/>
  <c r="AV65" i="61"/>
  <c r="AW65" i="61"/>
  <c r="AC66" i="61"/>
  <c r="AD66" i="61"/>
  <c r="AE66" i="61"/>
  <c r="AF66" i="61"/>
  <c r="AG66" i="61"/>
  <c r="AH66" i="61"/>
  <c r="AI66" i="61"/>
  <c r="AJ66" i="61"/>
  <c r="AK66" i="61"/>
  <c r="AL66" i="61"/>
  <c r="AM66" i="61"/>
  <c r="AN66" i="61"/>
  <c r="AO66" i="61"/>
  <c r="AP66" i="61"/>
  <c r="AQ66" i="61"/>
  <c r="AR66" i="61"/>
  <c r="AS66" i="61"/>
  <c r="AT66" i="61"/>
  <c r="AU66" i="61"/>
  <c r="AV66" i="61"/>
  <c r="AW66" i="61"/>
  <c r="AC67" i="61"/>
  <c r="AD67" i="61"/>
  <c r="AE67" i="61"/>
  <c r="AF67" i="61"/>
  <c r="AG67" i="61"/>
  <c r="AH67" i="61"/>
  <c r="AI67" i="61"/>
  <c r="AJ67" i="61"/>
  <c r="AK67" i="61"/>
  <c r="AL67" i="61"/>
  <c r="AM67" i="61"/>
  <c r="AN67" i="61"/>
  <c r="AO67" i="61"/>
  <c r="AP67" i="61"/>
  <c r="AQ67" i="61"/>
  <c r="AR67" i="61"/>
  <c r="AS67" i="61"/>
  <c r="AT67" i="61"/>
  <c r="AU67" i="61"/>
  <c r="AV67" i="61"/>
  <c r="AW67" i="61"/>
  <c r="AC68" i="61"/>
  <c r="AD68" i="61"/>
  <c r="AE68" i="61"/>
  <c r="AF68" i="61"/>
  <c r="AG68" i="61"/>
  <c r="AH68" i="61"/>
  <c r="AI68" i="61"/>
  <c r="AJ68" i="61"/>
  <c r="AK68" i="61"/>
  <c r="AL68" i="61"/>
  <c r="AM68" i="61"/>
  <c r="AN68" i="61"/>
  <c r="AO68" i="61"/>
  <c r="AP68" i="61"/>
  <c r="AQ68" i="61"/>
  <c r="AR68" i="61"/>
  <c r="AS68" i="61"/>
  <c r="AT68" i="61"/>
  <c r="AU68" i="61"/>
  <c r="AV68" i="61"/>
  <c r="AW68" i="61"/>
  <c r="AC69" i="61"/>
  <c r="AD69" i="61"/>
  <c r="AE69" i="61"/>
  <c r="AF69" i="61"/>
  <c r="AG69" i="61"/>
  <c r="AH69" i="61"/>
  <c r="AI69" i="61"/>
  <c r="AJ69" i="61"/>
  <c r="AK69" i="61"/>
  <c r="AL69" i="61"/>
  <c r="AM69" i="61"/>
  <c r="AN69" i="61"/>
  <c r="AO69" i="61"/>
  <c r="AP69" i="61"/>
  <c r="AQ69" i="61"/>
  <c r="AR69" i="61"/>
  <c r="AS69" i="61"/>
  <c r="AT69" i="61"/>
  <c r="AU69" i="61"/>
  <c r="AV69" i="61"/>
  <c r="AW69" i="61"/>
  <c r="AC70" i="61"/>
  <c r="AD70" i="61"/>
  <c r="AE70" i="61"/>
  <c r="AF70" i="61"/>
  <c r="AG70" i="61"/>
  <c r="AH70" i="61"/>
  <c r="AI70" i="61"/>
  <c r="AJ70" i="61"/>
  <c r="AK70" i="61"/>
  <c r="AL70" i="61"/>
  <c r="AM70" i="61"/>
  <c r="AN70" i="61"/>
  <c r="AO70" i="61"/>
  <c r="AP70" i="61"/>
  <c r="AQ70" i="61"/>
  <c r="AR70" i="61"/>
  <c r="AS70" i="61"/>
  <c r="AT70" i="61"/>
  <c r="AU70" i="61"/>
  <c r="AV70" i="61"/>
  <c r="AW70" i="61"/>
  <c r="AC71" i="61"/>
  <c r="AD71" i="61"/>
  <c r="AE71" i="61"/>
  <c r="AF71" i="61"/>
  <c r="AG71" i="61"/>
  <c r="AH71" i="61"/>
  <c r="AI71" i="61"/>
  <c r="AJ71" i="61"/>
  <c r="AK71" i="61"/>
  <c r="AL71" i="61"/>
  <c r="AM71" i="61"/>
  <c r="AN71" i="61"/>
  <c r="AO71" i="61"/>
  <c r="AP71" i="61"/>
  <c r="AQ71" i="61"/>
  <c r="AR71" i="61"/>
  <c r="AS71" i="61"/>
  <c r="AT71" i="61"/>
  <c r="AU71" i="61"/>
  <c r="AV71" i="61"/>
  <c r="AW71" i="61"/>
  <c r="AC72" i="61"/>
  <c r="AD72" i="61"/>
  <c r="AE72" i="61"/>
  <c r="AF72" i="61"/>
  <c r="AG72" i="61"/>
  <c r="AH72" i="61"/>
  <c r="AI72" i="61"/>
  <c r="AJ72" i="61"/>
  <c r="AK72" i="61"/>
  <c r="AL72" i="61"/>
  <c r="AM72" i="61"/>
  <c r="AN72" i="61"/>
  <c r="AO72" i="61"/>
  <c r="AP72" i="61"/>
  <c r="AQ72" i="61"/>
  <c r="AR72" i="61"/>
  <c r="AS72" i="61"/>
  <c r="AT72" i="61"/>
  <c r="AU72" i="61"/>
  <c r="AV72" i="61"/>
  <c r="AW72" i="61"/>
  <c r="AC73" i="61"/>
  <c r="AD73" i="61"/>
  <c r="AE73" i="61"/>
  <c r="AF73" i="61"/>
  <c r="AG73" i="61"/>
  <c r="AH73" i="61"/>
  <c r="AI73" i="61"/>
  <c r="AJ73" i="61"/>
  <c r="AK73" i="61"/>
  <c r="AL73" i="61"/>
  <c r="AM73" i="61"/>
  <c r="AN73" i="61"/>
  <c r="AO73" i="61"/>
  <c r="AP73" i="61"/>
  <c r="AQ73" i="61"/>
  <c r="AR73" i="61"/>
  <c r="AS73" i="61"/>
  <c r="AT73" i="61"/>
  <c r="AU73" i="61"/>
  <c r="AV73" i="61"/>
  <c r="AW73" i="61"/>
  <c r="AC74" i="61"/>
  <c r="AD74" i="61"/>
  <c r="AE74" i="61"/>
  <c r="AF74" i="61"/>
  <c r="AG74" i="61"/>
  <c r="AH74" i="61"/>
  <c r="AI74" i="61"/>
  <c r="AJ74" i="61"/>
  <c r="AK74" i="61"/>
  <c r="AL74" i="61"/>
  <c r="AM74" i="61"/>
  <c r="AN74" i="61"/>
  <c r="AO74" i="61"/>
  <c r="AP74" i="61"/>
  <c r="AQ74" i="61"/>
  <c r="AR74" i="61"/>
  <c r="AS74" i="61"/>
  <c r="AT74" i="61"/>
  <c r="AU74" i="61"/>
  <c r="AV74" i="61"/>
  <c r="AW74" i="61"/>
  <c r="AC75" i="61"/>
  <c r="AD75" i="61"/>
  <c r="AE75" i="61"/>
  <c r="AF75" i="61"/>
  <c r="AG75" i="61"/>
  <c r="AH75" i="61"/>
  <c r="AI75" i="61"/>
  <c r="AJ75" i="61"/>
  <c r="AK75" i="61"/>
  <c r="AL75" i="61"/>
  <c r="AM75" i="61"/>
  <c r="AN75" i="61"/>
  <c r="AO75" i="61"/>
  <c r="AP75" i="61"/>
  <c r="AQ75" i="61"/>
  <c r="AR75" i="61"/>
  <c r="AS75" i="61"/>
  <c r="AT75" i="61"/>
  <c r="AU75" i="61"/>
  <c r="AV75" i="61"/>
  <c r="AW75" i="61"/>
  <c r="AB62" i="61"/>
  <c r="AB63" i="61"/>
  <c r="AB64" i="61"/>
  <c r="AB65" i="61"/>
  <c r="AB66" i="61"/>
  <c r="AB67" i="61"/>
  <c r="AB68" i="61"/>
  <c r="AB69" i="61"/>
  <c r="AB70" i="61"/>
  <c r="AB71" i="61"/>
  <c r="AB72" i="61"/>
  <c r="AB73" i="61"/>
  <c r="AB74" i="61"/>
  <c r="AB75" i="61"/>
  <c r="AB61" i="61"/>
  <c r="Z62" i="61"/>
  <c r="Z63" i="61"/>
  <c r="Z64" i="61"/>
  <c r="Z65" i="61"/>
  <c r="Z66" i="61"/>
  <c r="Z67" i="61"/>
  <c r="Z80" i="61" s="1"/>
  <c r="Z68" i="61"/>
  <c r="Z81" i="61" s="1"/>
  <c r="Z69" i="61"/>
  <c r="Z70" i="61"/>
  <c r="Z71" i="61"/>
  <c r="Z72" i="61"/>
  <c r="Z82" i="61" s="1"/>
  <c r="Z73" i="61"/>
  <c r="Z74" i="61"/>
  <c r="Z75" i="61"/>
  <c r="Z61" i="61"/>
  <c r="H101" i="7"/>
  <c r="K122" i="28"/>
  <c r="K123" i="28" s="1"/>
  <c r="K124" i="28" s="1"/>
  <c r="K125" i="28" s="1"/>
  <c r="K126" i="28" s="1"/>
  <c r="K127" i="28" s="1"/>
  <c r="K128" i="28" s="1"/>
  <c r="K129" i="28" s="1"/>
  <c r="K130" i="28" s="1"/>
  <c r="K131" i="28" s="1"/>
  <c r="K132" i="28" s="1"/>
  <c r="K133" i="28" s="1"/>
  <c r="K134" i="28" s="1"/>
  <c r="K135" i="28" s="1"/>
  <c r="K136" i="28" s="1"/>
  <c r="K137" i="28" s="1"/>
  <c r="K138" i="28" s="1"/>
  <c r="K139" i="28" s="1"/>
  <c r="K140" i="28" s="1"/>
  <c r="K141" i="28" s="1"/>
  <c r="K142" i="28" s="1"/>
  <c r="K143" i="28" s="1"/>
  <c r="K144" i="28" s="1"/>
  <c r="K145" i="28" s="1"/>
  <c r="K146" i="28" s="1"/>
  <c r="K147" i="28" s="1"/>
  <c r="K148" i="28" s="1"/>
  <c r="K149" i="28" s="1"/>
  <c r="K150" i="28" s="1"/>
  <c r="K151" i="28" s="1"/>
  <c r="K152" i="28" s="1"/>
  <c r="K153" i="28" s="1"/>
  <c r="K154" i="28" s="1"/>
  <c r="K155" i="28" s="1"/>
  <c r="K156" i="28" s="1"/>
  <c r="K157" i="28" s="1"/>
  <c r="K158" i="28" s="1"/>
  <c r="K159" i="28" s="1"/>
  <c r="K160" i="28" s="1"/>
  <c r="K161" i="28" s="1"/>
  <c r="K162" i="28" s="1"/>
  <c r="K163" i="28" s="1"/>
  <c r="K164" i="28" s="1"/>
  <c r="K165" i="28" s="1"/>
  <c r="K166" i="28" s="1"/>
  <c r="K167" i="28" s="1"/>
  <c r="K168" i="28" s="1"/>
  <c r="K169" i="28" s="1"/>
  <c r="K170" i="28" s="1"/>
  <c r="K171" i="28" s="1"/>
  <c r="K172" i="28" s="1"/>
  <c r="K173" i="28" s="1"/>
  <c r="K174" i="28" s="1"/>
  <c r="K175" i="28" s="1"/>
  <c r="K176" i="28" s="1"/>
  <c r="K177" i="28" s="1"/>
  <c r="K178" i="28" s="1"/>
  <c r="K179" i="28" s="1"/>
  <c r="K180" i="28" s="1"/>
  <c r="K181" i="28" s="1"/>
  <c r="K182" i="28" s="1"/>
  <c r="K183" i="28" s="1"/>
  <c r="K184" i="28" s="1"/>
  <c r="K185" i="28" s="1"/>
  <c r="K186" i="28" s="1"/>
  <c r="K187" i="28" s="1"/>
  <c r="K188" i="28" s="1"/>
  <c r="K189" i="28" s="1"/>
  <c r="K190" i="28" s="1"/>
  <c r="K191" i="28" s="1"/>
  <c r="K192" i="28" s="1"/>
  <c r="K193" i="28" s="1"/>
  <c r="T8" i="37"/>
  <c r="U8" i="37"/>
  <c r="V8" i="37"/>
  <c r="T9" i="37"/>
  <c r="U9" i="37"/>
  <c r="V9" i="37"/>
  <c r="T10" i="37"/>
  <c r="U10" i="37"/>
  <c r="V10" i="37"/>
  <c r="S9" i="37"/>
  <c r="S10" i="37"/>
  <c r="S8" i="37"/>
  <c r="AC8" i="34"/>
  <c r="AD8" i="34"/>
  <c r="AE8" i="34"/>
  <c r="AC9" i="34"/>
  <c r="AD9" i="34"/>
  <c r="AE9" i="34"/>
  <c r="AC10" i="34"/>
  <c r="AD10" i="34"/>
  <c r="AE10" i="34"/>
  <c r="AC11" i="34"/>
  <c r="AD11" i="34"/>
  <c r="AE11" i="34"/>
  <c r="AC12" i="34"/>
  <c r="AD12" i="34"/>
  <c r="AE12" i="34"/>
  <c r="AC13" i="34"/>
  <c r="AD13" i="34"/>
  <c r="AE13" i="34"/>
  <c r="AC14" i="34"/>
  <c r="AD14" i="34"/>
  <c r="AE14" i="34"/>
  <c r="AC15" i="34"/>
  <c r="AD15" i="34"/>
  <c r="AE15" i="34"/>
  <c r="AB9" i="34"/>
  <c r="AB10" i="34"/>
  <c r="AB11" i="34"/>
  <c r="AB12" i="34"/>
  <c r="AB13" i="34"/>
  <c r="AB14" i="34"/>
  <c r="AB15" i="34"/>
  <c r="AB8" i="34"/>
  <c r="V8" i="33"/>
  <c r="W8" i="33"/>
  <c r="X8" i="33"/>
  <c r="V9" i="33"/>
  <c r="W9" i="33"/>
  <c r="X9" i="33"/>
  <c r="V10" i="33"/>
  <c r="W10" i="33"/>
  <c r="X10" i="33"/>
  <c r="V11" i="33"/>
  <c r="W11" i="33"/>
  <c r="X11" i="33"/>
  <c r="V12" i="33"/>
  <c r="W12" i="33"/>
  <c r="X12" i="33"/>
  <c r="U9" i="33"/>
  <c r="U10" i="33"/>
  <c r="U11" i="33"/>
  <c r="U12" i="33"/>
  <c r="U8" i="33"/>
  <c r="R8" i="32"/>
  <c r="S8" i="32"/>
  <c r="T8" i="32"/>
  <c r="R9" i="32"/>
  <c r="S9" i="32"/>
  <c r="T9" i="32"/>
  <c r="R10" i="32"/>
  <c r="S10" i="32"/>
  <c r="T10" i="32"/>
  <c r="Q9" i="32"/>
  <c r="Q10" i="32"/>
  <c r="Q8" i="32"/>
  <c r="AA8" i="31"/>
  <c r="AB8" i="31"/>
  <c r="AC8" i="31"/>
  <c r="AA9" i="31"/>
  <c r="AB9" i="31"/>
  <c r="AC9" i="31"/>
  <c r="AA10" i="31"/>
  <c r="AB10" i="31"/>
  <c r="AC10" i="31"/>
  <c r="AA11" i="31"/>
  <c r="AB11" i="31"/>
  <c r="AC11" i="31"/>
  <c r="AA12" i="31"/>
  <c r="AB12" i="31"/>
  <c r="AC12" i="31"/>
  <c r="AA13" i="31"/>
  <c r="AB13" i="31"/>
  <c r="AC13" i="31"/>
  <c r="Z9" i="31"/>
  <c r="Z10" i="31"/>
  <c r="Z11" i="31"/>
  <c r="Z12" i="31"/>
  <c r="Z13" i="31"/>
  <c r="Z8" i="31"/>
  <c r="Y7" i="30"/>
  <c r="Z7" i="30"/>
  <c r="AA7" i="30"/>
  <c r="Y8" i="30"/>
  <c r="Z8" i="30"/>
  <c r="AA8" i="30"/>
  <c r="Y9" i="30"/>
  <c r="Z9" i="30"/>
  <c r="AA9" i="30"/>
  <c r="Y10" i="30"/>
  <c r="Z10" i="30"/>
  <c r="AA10" i="30"/>
  <c r="Y11" i="30"/>
  <c r="Z11" i="30"/>
  <c r="AA11" i="30"/>
  <c r="Y12" i="30"/>
  <c r="Z12" i="30"/>
  <c r="AA12" i="30"/>
  <c r="X8" i="30"/>
  <c r="X9" i="30"/>
  <c r="X10" i="30"/>
  <c r="X11" i="30"/>
  <c r="X12" i="30"/>
  <c r="X7" i="30"/>
  <c r="AA8" i="29"/>
  <c r="AB8" i="29"/>
  <c r="AC8" i="29"/>
  <c r="AA9" i="29"/>
  <c r="AB9" i="29"/>
  <c r="AC9" i="29"/>
  <c r="AA10" i="29"/>
  <c r="AB10" i="29"/>
  <c r="AC10" i="29"/>
  <c r="AA11" i="29"/>
  <c r="AB11" i="29"/>
  <c r="AC11" i="29"/>
  <c r="AA12" i="29"/>
  <c r="AB12" i="29"/>
  <c r="AC12" i="29"/>
  <c r="AA13" i="29"/>
  <c r="AB13" i="29"/>
  <c r="AC13" i="29"/>
  <c r="AA14" i="29"/>
  <c r="AB14" i="29"/>
  <c r="AC14" i="29"/>
  <c r="Z9" i="29"/>
  <c r="Z10" i="29"/>
  <c r="Z11" i="29"/>
  <c r="Z12" i="29"/>
  <c r="Z13" i="29"/>
  <c r="Z14" i="29"/>
  <c r="Z8" i="29"/>
  <c r="AC8" i="28"/>
  <c r="AD8" i="28"/>
  <c r="AE8" i="28"/>
  <c r="AC9" i="28"/>
  <c r="AD9" i="28"/>
  <c r="AE9" i="28"/>
  <c r="AC10" i="28"/>
  <c r="AD10" i="28"/>
  <c r="AE10" i="28"/>
  <c r="AC11" i="28"/>
  <c r="AD11" i="28"/>
  <c r="AE11" i="28"/>
  <c r="AC12" i="28"/>
  <c r="AD12" i="28"/>
  <c r="AE12" i="28"/>
  <c r="AC13" i="28"/>
  <c r="AD13" i="28"/>
  <c r="AE13" i="28"/>
  <c r="AC14" i="28"/>
  <c r="AD14" i="28"/>
  <c r="AE14" i="28"/>
  <c r="AC15" i="28"/>
  <c r="AD15" i="28"/>
  <c r="AE15" i="28"/>
  <c r="AB9" i="28"/>
  <c r="AB10" i="28"/>
  <c r="AB11" i="28"/>
  <c r="AB12" i="28"/>
  <c r="AB13" i="28"/>
  <c r="AB14" i="28"/>
  <c r="AB15" i="28"/>
  <c r="AB8" i="28"/>
  <c r="G45" i="42"/>
  <c r="G46" i="42"/>
  <c r="T97" i="11"/>
  <c r="E97" i="11"/>
  <c r="B106" i="11"/>
  <c r="R136" i="61"/>
  <c r="Q138" i="61"/>
  <c r="J8" i="7" a="1"/>
  <c r="J8" i="7" s="1"/>
  <c r="H19" i="42"/>
  <c r="C136" i="61"/>
  <c r="D136" i="61"/>
  <c r="E136" i="61"/>
  <c r="F136" i="61"/>
  <c r="G136" i="61"/>
  <c r="H136" i="61"/>
  <c r="I136" i="61"/>
  <c r="J136" i="61"/>
  <c r="K136" i="61"/>
  <c r="L136" i="61"/>
  <c r="M136" i="61"/>
  <c r="N136" i="61"/>
  <c r="O136" i="61"/>
  <c r="P136" i="61"/>
  <c r="Q136" i="61"/>
  <c r="S136" i="61"/>
  <c r="T136" i="61"/>
  <c r="U136" i="61"/>
  <c r="V136" i="61"/>
  <c r="W136" i="61"/>
  <c r="C137" i="61"/>
  <c r="D137" i="61"/>
  <c r="E137" i="61"/>
  <c r="F137" i="61"/>
  <c r="G137" i="61"/>
  <c r="H137" i="61"/>
  <c r="I137" i="61"/>
  <c r="J137" i="61"/>
  <c r="K137" i="61"/>
  <c r="L137" i="61"/>
  <c r="M137" i="61"/>
  <c r="N137" i="61"/>
  <c r="O137" i="61"/>
  <c r="P137" i="61"/>
  <c r="Q137" i="61"/>
  <c r="R137" i="61"/>
  <c r="S137" i="61"/>
  <c r="T137" i="61"/>
  <c r="U137" i="61"/>
  <c r="V137" i="61"/>
  <c r="W137" i="61"/>
  <c r="C138" i="61"/>
  <c r="D138" i="61"/>
  <c r="E138" i="61"/>
  <c r="F138" i="61"/>
  <c r="G138" i="61"/>
  <c r="H138" i="61"/>
  <c r="I138" i="61"/>
  <c r="J138" i="61"/>
  <c r="K138" i="61"/>
  <c r="L138" i="61"/>
  <c r="M138" i="61"/>
  <c r="N138" i="61"/>
  <c r="O138" i="61"/>
  <c r="P138" i="61"/>
  <c r="R138" i="61"/>
  <c r="S138" i="61"/>
  <c r="T138" i="61"/>
  <c r="U138" i="61"/>
  <c r="V138" i="61"/>
  <c r="W138" i="61"/>
  <c r="C139" i="61"/>
  <c r="D139" i="61"/>
  <c r="E139" i="61"/>
  <c r="F139" i="61"/>
  <c r="G139" i="61"/>
  <c r="H139" i="61"/>
  <c r="I139" i="61"/>
  <c r="J139" i="61"/>
  <c r="K139" i="61"/>
  <c r="L139" i="61"/>
  <c r="M139" i="61"/>
  <c r="N139" i="61"/>
  <c r="O139" i="61"/>
  <c r="P139" i="61"/>
  <c r="Q139" i="61"/>
  <c r="R139" i="61"/>
  <c r="S139" i="61"/>
  <c r="T139" i="61"/>
  <c r="U139" i="61"/>
  <c r="V139" i="61"/>
  <c r="W139" i="61"/>
  <c r="C140" i="61"/>
  <c r="D140" i="61"/>
  <c r="E140" i="61"/>
  <c r="F140" i="61"/>
  <c r="G140" i="61"/>
  <c r="H140" i="61"/>
  <c r="I140" i="61"/>
  <c r="J140" i="61"/>
  <c r="K140" i="61"/>
  <c r="L140" i="61"/>
  <c r="M140" i="61"/>
  <c r="N140" i="61"/>
  <c r="O140" i="61"/>
  <c r="P140" i="61"/>
  <c r="Q140" i="61"/>
  <c r="R140" i="61"/>
  <c r="S140" i="61"/>
  <c r="T140" i="61"/>
  <c r="U140" i="61"/>
  <c r="V140" i="61"/>
  <c r="W140" i="61"/>
  <c r="C141" i="61"/>
  <c r="D141" i="61"/>
  <c r="E141" i="61"/>
  <c r="F141" i="61"/>
  <c r="G141" i="61"/>
  <c r="H141" i="61"/>
  <c r="I141" i="61"/>
  <c r="J141" i="61"/>
  <c r="K141" i="61"/>
  <c r="L141" i="61"/>
  <c r="M141" i="61"/>
  <c r="N141" i="61"/>
  <c r="O141" i="61"/>
  <c r="P141" i="61"/>
  <c r="Q141" i="61"/>
  <c r="R141" i="61"/>
  <c r="S141" i="61"/>
  <c r="T141" i="61"/>
  <c r="U141" i="61"/>
  <c r="V141" i="61"/>
  <c r="W141" i="61"/>
  <c r="X137" i="61"/>
  <c r="X138" i="61"/>
  <c r="X139" i="61"/>
  <c r="X140" i="61"/>
  <c r="X141" i="61"/>
  <c r="X136" i="61"/>
  <c r="A141" i="61"/>
  <c r="A137" i="61"/>
  <c r="A138" i="61"/>
  <c r="A139" i="61"/>
  <c r="A140" i="61"/>
  <c r="A136" i="61"/>
  <c r="B135" i="61"/>
  <c r="C135" i="61"/>
  <c r="C142" i="61" s="1"/>
  <c r="D135" i="61"/>
  <c r="E135" i="61"/>
  <c r="E142" i="61" s="1"/>
  <c r="F135" i="61"/>
  <c r="G135" i="61"/>
  <c r="H135" i="61"/>
  <c r="I135" i="61"/>
  <c r="J135" i="61"/>
  <c r="K135" i="61"/>
  <c r="K142" i="61" s="1"/>
  <c r="L135" i="61"/>
  <c r="M135" i="61"/>
  <c r="N135" i="61"/>
  <c r="O135" i="61"/>
  <c r="P135" i="61"/>
  <c r="Q135" i="61"/>
  <c r="Q142" i="61" s="1"/>
  <c r="R135" i="61"/>
  <c r="S135" i="61"/>
  <c r="S142" i="61" s="1"/>
  <c r="T135" i="61"/>
  <c r="U135" i="61"/>
  <c r="U142" i="61" s="1"/>
  <c r="V135" i="61"/>
  <c r="W135" i="61"/>
  <c r="X135" i="61"/>
  <c r="M20" i="42"/>
  <c r="Q115" i="34" l="1"/>
  <c r="Q111" i="34"/>
  <c r="Q110" i="34"/>
  <c r="Q113" i="34"/>
  <c r="Q120" i="34"/>
  <c r="Q118" i="34"/>
  <c r="Q119" i="34"/>
  <c r="Q112" i="34"/>
  <c r="Q121" i="34"/>
  <c r="Q117" i="34"/>
  <c r="Q116" i="34"/>
  <c r="Q114" i="34"/>
  <c r="P116" i="34"/>
  <c r="P115" i="34"/>
  <c r="P111" i="34"/>
  <c r="P118" i="34"/>
  <c r="P117" i="34"/>
  <c r="P113" i="34"/>
  <c r="P120" i="34"/>
  <c r="P119" i="34"/>
  <c r="P112" i="34"/>
  <c r="P121" i="34"/>
  <c r="P110" i="34"/>
  <c r="P114" i="34"/>
  <c r="M116" i="34"/>
  <c r="M112" i="34"/>
  <c r="M115" i="34"/>
  <c r="M119" i="34"/>
  <c r="M111" i="34"/>
  <c r="M118" i="34"/>
  <c r="M114" i="34"/>
  <c r="M110" i="34"/>
  <c r="M117" i="34"/>
  <c r="M121" i="34"/>
  <c r="M113" i="34"/>
  <c r="M120" i="34"/>
  <c r="T120" i="34"/>
  <c r="T119" i="34"/>
  <c r="T115" i="34"/>
  <c r="T121" i="34"/>
  <c r="T110" i="34"/>
  <c r="T117" i="34"/>
  <c r="T116" i="34"/>
  <c r="T114" i="34"/>
  <c r="T112" i="34"/>
  <c r="T118" i="34"/>
  <c r="T113" i="34"/>
  <c r="T111" i="34"/>
  <c r="S113" i="34"/>
  <c r="S112" i="34"/>
  <c r="S115" i="34"/>
  <c r="S111" i="34"/>
  <c r="S110" i="34"/>
  <c r="S117" i="34"/>
  <c r="S114" i="34"/>
  <c r="S116" i="34"/>
  <c r="S119" i="34"/>
  <c r="S120" i="34"/>
  <c r="S118" i="34"/>
  <c r="S121" i="34"/>
  <c r="J110" i="33"/>
  <c r="J112" i="33"/>
  <c r="J114" i="33"/>
  <c r="J116" i="33"/>
  <c r="J118" i="33"/>
  <c r="J120" i="33"/>
  <c r="J111" i="33"/>
  <c r="J113" i="33"/>
  <c r="J115" i="33"/>
  <c r="J117" i="33"/>
  <c r="J119" i="33"/>
  <c r="J121" i="33"/>
  <c r="N121" i="33"/>
  <c r="N116" i="33"/>
  <c r="N119" i="33"/>
  <c r="N114" i="33"/>
  <c r="N117" i="33"/>
  <c r="N112" i="33"/>
  <c r="N115" i="33"/>
  <c r="N113" i="33"/>
  <c r="N110" i="33"/>
  <c r="N111" i="33"/>
  <c r="N120" i="33"/>
  <c r="N118" i="33"/>
  <c r="K110" i="33"/>
  <c r="K112" i="33"/>
  <c r="K114" i="33"/>
  <c r="K116" i="33"/>
  <c r="K118" i="33"/>
  <c r="K120" i="33"/>
  <c r="K111" i="33"/>
  <c r="K113" i="33"/>
  <c r="K115" i="33"/>
  <c r="K117" i="33"/>
  <c r="K119" i="33"/>
  <c r="K121" i="33"/>
  <c r="H112" i="32"/>
  <c r="H121" i="32"/>
  <c r="H115" i="32"/>
  <c r="H118" i="32"/>
  <c r="H110" i="32"/>
  <c r="H113" i="32"/>
  <c r="H116" i="32"/>
  <c r="H119" i="32"/>
  <c r="H111" i="32"/>
  <c r="H117" i="32"/>
  <c r="H120" i="32"/>
  <c r="H114" i="32"/>
  <c r="J121" i="32"/>
  <c r="J113" i="32"/>
  <c r="J117" i="32"/>
  <c r="J114" i="32"/>
  <c r="J120" i="32"/>
  <c r="J111" i="32"/>
  <c r="J119" i="32"/>
  <c r="J116" i="32"/>
  <c r="J110" i="32"/>
  <c r="J118" i="32"/>
  <c r="J115" i="32"/>
  <c r="J112" i="32"/>
  <c r="L120" i="31"/>
  <c r="L112" i="31"/>
  <c r="L117" i="31"/>
  <c r="L115" i="31"/>
  <c r="L110" i="31"/>
  <c r="L121" i="31"/>
  <c r="L113" i="31"/>
  <c r="L118" i="31"/>
  <c r="L116" i="31"/>
  <c r="L111" i="31"/>
  <c r="L119" i="31"/>
  <c r="L114" i="31"/>
  <c r="P120" i="31"/>
  <c r="P112" i="31"/>
  <c r="P117" i="31"/>
  <c r="P115" i="31"/>
  <c r="P121" i="31"/>
  <c r="P113" i="31"/>
  <c r="P116" i="31"/>
  <c r="P114" i="31"/>
  <c r="P110" i="31"/>
  <c r="P119" i="31"/>
  <c r="P111" i="31"/>
  <c r="P118" i="31"/>
  <c r="R114" i="31"/>
  <c r="R120" i="31"/>
  <c r="R112" i="31"/>
  <c r="R115" i="31"/>
  <c r="R121" i="31"/>
  <c r="R113" i="31"/>
  <c r="R111" i="31"/>
  <c r="R119" i="31"/>
  <c r="R116" i="31"/>
  <c r="R117" i="31"/>
  <c r="R118" i="31"/>
  <c r="R110" i="31"/>
  <c r="K110" i="30"/>
  <c r="K116" i="30"/>
  <c r="K112" i="30"/>
  <c r="K114" i="30"/>
  <c r="K121" i="30"/>
  <c r="K111" i="30"/>
  <c r="K117" i="30"/>
  <c r="K119" i="30"/>
  <c r="K115" i="30"/>
  <c r="K113" i="30"/>
  <c r="K120" i="30"/>
  <c r="K118" i="30"/>
  <c r="N118" i="30"/>
  <c r="N112" i="30"/>
  <c r="N111" i="30"/>
  <c r="N117" i="30"/>
  <c r="N114" i="30"/>
  <c r="N116" i="30"/>
  <c r="N110" i="30"/>
  <c r="N120" i="30"/>
  <c r="N113" i="30"/>
  <c r="N115" i="30"/>
  <c r="N119" i="30"/>
  <c r="N121" i="30"/>
  <c r="P116" i="30"/>
  <c r="P118" i="30"/>
  <c r="P112" i="30"/>
  <c r="P121" i="30"/>
  <c r="P117" i="30"/>
  <c r="P111" i="30"/>
  <c r="P110" i="30"/>
  <c r="P120" i="30"/>
  <c r="P113" i="30"/>
  <c r="P115" i="30"/>
  <c r="P119" i="30"/>
  <c r="P114" i="30"/>
  <c r="O112" i="30"/>
  <c r="O111" i="30"/>
  <c r="O113" i="30"/>
  <c r="O110" i="30"/>
  <c r="O115" i="30"/>
  <c r="O114" i="30"/>
  <c r="L117" i="29"/>
  <c r="L119" i="29"/>
  <c r="L121" i="29"/>
  <c r="L113" i="29"/>
  <c r="L111" i="29"/>
  <c r="L115" i="29"/>
  <c r="L120" i="29"/>
  <c r="L118" i="29"/>
  <c r="L114" i="29"/>
  <c r="L116" i="29"/>
  <c r="L110" i="29"/>
  <c r="L112" i="29"/>
  <c r="Q119" i="29"/>
  <c r="Q117" i="29"/>
  <c r="Q121" i="29"/>
  <c r="Q111" i="29"/>
  <c r="Q120" i="29"/>
  <c r="Q118" i="29"/>
  <c r="Q110" i="29"/>
  <c r="Q114" i="29"/>
  <c r="Q112" i="29"/>
  <c r="Q116" i="29"/>
  <c r="Q115" i="29"/>
  <c r="Q113" i="29"/>
  <c r="P111" i="29"/>
  <c r="P110" i="29"/>
  <c r="P112" i="29"/>
  <c r="P113" i="29"/>
  <c r="P114" i="29"/>
  <c r="P115" i="29"/>
  <c r="P116" i="29"/>
  <c r="P117" i="29"/>
  <c r="P118" i="29"/>
  <c r="P119" i="29"/>
  <c r="P120" i="29"/>
  <c r="P121" i="29"/>
  <c r="R117" i="29"/>
  <c r="R121" i="29"/>
  <c r="R113" i="29"/>
  <c r="R120" i="29"/>
  <c r="R110" i="29"/>
  <c r="R114" i="29"/>
  <c r="R119" i="29"/>
  <c r="R112" i="29"/>
  <c r="R116" i="29"/>
  <c r="R118" i="29"/>
  <c r="R115" i="29"/>
  <c r="R111" i="29"/>
  <c r="M115" i="28"/>
  <c r="M118" i="28"/>
  <c r="M111" i="28"/>
  <c r="M114" i="28"/>
  <c r="M106" i="28"/>
  <c r="M110" i="28"/>
  <c r="M117" i="28"/>
  <c r="M113" i="28"/>
  <c r="M120" i="28"/>
  <c r="M109" i="28"/>
  <c r="M116" i="28"/>
  <c r="M112" i="28"/>
  <c r="M119" i="28"/>
  <c r="M108" i="28"/>
  <c r="M121" i="28"/>
  <c r="M107" i="28"/>
  <c r="T112" i="28"/>
  <c r="T119" i="28"/>
  <c r="T121" i="28"/>
  <c r="T118" i="28"/>
  <c r="T107" i="28"/>
  <c r="T106" i="28"/>
  <c r="T114" i="28"/>
  <c r="T109" i="28"/>
  <c r="T113" i="28"/>
  <c r="T111" i="28"/>
  <c r="T115" i="28"/>
  <c r="T108" i="28"/>
  <c r="T116" i="28"/>
  <c r="T117" i="28"/>
  <c r="T110" i="28"/>
  <c r="T120" i="28"/>
  <c r="S119" i="28"/>
  <c r="S121" i="28"/>
  <c r="S115" i="28"/>
  <c r="S107" i="28"/>
  <c r="S114" i="28"/>
  <c r="S110" i="28"/>
  <c r="S109" i="28"/>
  <c r="S116" i="28"/>
  <c r="S112" i="28"/>
  <c r="S111" i="28"/>
  <c r="S106" i="28"/>
  <c r="S113" i="28"/>
  <c r="S118" i="28"/>
  <c r="S120" i="28"/>
  <c r="S108" i="28"/>
  <c r="S117" i="28"/>
  <c r="P115" i="28"/>
  <c r="P114" i="28"/>
  <c r="P110" i="28"/>
  <c r="P117" i="28"/>
  <c r="P120" i="28"/>
  <c r="P119" i="28"/>
  <c r="P121" i="28"/>
  <c r="P111" i="28"/>
  <c r="P112" i="28"/>
  <c r="P118" i="28"/>
  <c r="P116" i="28"/>
  <c r="P113" i="28"/>
  <c r="Q114" i="28"/>
  <c r="Q110" i="28"/>
  <c r="Q117" i="28"/>
  <c r="Q113" i="28"/>
  <c r="Q112" i="28"/>
  <c r="Q119" i="28"/>
  <c r="Q121" i="28"/>
  <c r="Q111" i="28"/>
  <c r="Q116" i="28"/>
  <c r="Q118" i="28"/>
  <c r="Q120" i="28"/>
  <c r="Q115" i="28"/>
  <c r="C144" i="61"/>
  <c r="F142" i="61"/>
  <c r="F144" i="61" s="1"/>
  <c r="T142" i="61"/>
  <c r="T144" i="61" s="1"/>
  <c r="D142" i="61"/>
  <c r="J142" i="61"/>
  <c r="J144" i="61" s="1"/>
  <c r="V142" i="61"/>
  <c r="S144" i="61"/>
  <c r="O142" i="61"/>
  <c r="O144" i="61" s="1"/>
  <c r="AQ77" i="61"/>
  <c r="AQ82" i="61" s="1"/>
  <c r="L142" i="61"/>
  <c r="L144" i="61" s="1"/>
  <c r="W142" i="61"/>
  <c r="W144" i="61" s="1"/>
  <c r="G142" i="61"/>
  <c r="AS77" i="61"/>
  <c r="AS81" i="61" s="1"/>
  <c r="V144" i="61"/>
  <c r="D144" i="61"/>
  <c r="U144" i="61"/>
  <c r="E144" i="61"/>
  <c r="N142" i="61"/>
  <c r="N144" i="61" s="1"/>
  <c r="M142" i="61"/>
  <c r="M144" i="61" s="1"/>
  <c r="AW77" i="61"/>
  <c r="AW81" i="61" s="1"/>
  <c r="P142" i="61"/>
  <c r="P144" i="61" s="1"/>
  <c r="AV77" i="61"/>
  <c r="AV81" i="61" s="1"/>
  <c r="AK77" i="61"/>
  <c r="AK81" i="61" s="1"/>
  <c r="AJ77" i="61"/>
  <c r="AJ81" i="61" s="1"/>
  <c r="AI77" i="61"/>
  <c r="AI81" i="61" s="1"/>
  <c r="X144" i="61"/>
  <c r="AC77" i="61"/>
  <c r="AC80" i="61" s="1"/>
  <c r="AH77" i="61"/>
  <c r="AH80" i="61" s="1"/>
  <c r="AR77" i="61"/>
  <c r="AR81" i="61" s="1"/>
  <c r="AT77" i="61"/>
  <c r="AT81" i="61" s="1"/>
  <c r="AD77" i="61"/>
  <c r="AD80" i="61" s="1"/>
  <c r="AN77" i="61"/>
  <c r="AN80" i="61" s="1"/>
  <c r="AG77" i="61"/>
  <c r="AG81" i="61" s="1"/>
  <c r="I142" i="61"/>
  <c r="I144" i="61" s="1"/>
  <c r="AF77" i="61"/>
  <c r="AF82" i="61" s="1"/>
  <c r="X142" i="61"/>
  <c r="H142" i="61"/>
  <c r="H144" i="61" s="1"/>
  <c r="AL77" i="61"/>
  <c r="AP77" i="61"/>
  <c r="AP80" i="61" s="1"/>
  <c r="AU77" i="61"/>
  <c r="AU81" i="61" s="1"/>
  <c r="AE77" i="61"/>
  <c r="AE82" i="61" s="1"/>
  <c r="AO77" i="61"/>
  <c r="AO81" i="61" s="1"/>
  <c r="AM77" i="61"/>
  <c r="AM80" i="61" s="1"/>
  <c r="G144" i="61"/>
  <c r="R142" i="61"/>
  <c r="R144" i="61" s="1"/>
  <c r="K144" i="61"/>
  <c r="DY252" i="65"/>
  <c r="R253" i="65"/>
  <c r="AR254" i="65"/>
  <c r="EN253" i="65"/>
  <c r="EH254" i="65"/>
  <c r="AL255" i="65"/>
  <c r="Z254" i="65"/>
  <c r="EG253" i="65"/>
  <c r="EK252" i="65"/>
  <c r="AO253" i="65"/>
  <c r="V254" i="65"/>
  <c r="EC253" i="65"/>
  <c r="EE252" i="65"/>
  <c r="X253" i="65"/>
  <c r="EJ252" i="65"/>
  <c r="AN253" i="65"/>
  <c r="EB253" i="65"/>
  <c r="U254" i="65"/>
  <c r="EQ254" i="65"/>
  <c r="AU255" i="65"/>
  <c r="S257" i="65"/>
  <c r="DZ256" i="65"/>
  <c r="EL253" i="65"/>
  <c r="AP254" i="65"/>
  <c r="EA252" i="65"/>
  <c r="T253" i="65"/>
  <c r="ED253" i="65"/>
  <c r="W254" i="65"/>
  <c r="EF254" i="65"/>
  <c r="Y255" i="65"/>
  <c r="P253" i="65"/>
  <c r="DW252" i="65"/>
  <c r="Q253" i="65"/>
  <c r="DX252" i="65"/>
  <c r="AS255" i="65"/>
  <c r="EO254" i="65"/>
  <c r="AV253" i="65"/>
  <c r="ER252" i="65"/>
  <c r="EP253" i="65"/>
  <c r="AT254" i="65"/>
  <c r="EI253" i="65"/>
  <c r="AM254" i="65"/>
  <c r="AQ253" i="65"/>
  <c r="EM252" i="65"/>
  <c r="A35" i="14"/>
  <c r="A36" i="14" s="1"/>
  <c r="A37" i="14" s="1"/>
  <c r="A38" i="14" s="1"/>
  <c r="A39" i="14" s="1"/>
  <c r="A40" i="14" s="1"/>
  <c r="A41" i="14" s="1"/>
  <c r="A42" i="14" s="1"/>
  <c r="A43" i="14" s="1"/>
  <c r="A44" i="14" s="1"/>
  <c r="R137" i="31"/>
  <c r="R122" i="31"/>
  <c r="R130" i="31"/>
  <c r="R138" i="31"/>
  <c r="R145" i="31"/>
  <c r="R123" i="31"/>
  <c r="R131" i="31"/>
  <c r="R139" i="31"/>
  <c r="R129" i="31"/>
  <c r="R124" i="31"/>
  <c r="R132" i="31"/>
  <c r="R140" i="31"/>
  <c r="R125" i="31"/>
  <c r="R133" i="31"/>
  <c r="R141" i="31"/>
  <c r="R126" i="31"/>
  <c r="R134" i="31"/>
  <c r="R142" i="31"/>
  <c r="R127" i="31"/>
  <c r="R135" i="31"/>
  <c r="R143" i="31"/>
  <c r="R128" i="31"/>
  <c r="R136" i="31"/>
  <c r="R144" i="31"/>
  <c r="R109" i="31"/>
  <c r="R102" i="31"/>
  <c r="R93" i="31"/>
  <c r="R86" i="31"/>
  <c r="R77" i="31"/>
  <c r="R70" i="31"/>
  <c r="R61" i="31"/>
  <c r="R54" i="31"/>
  <c r="R45" i="31"/>
  <c r="R99" i="31"/>
  <c r="R83" i="31"/>
  <c r="R67" i="31"/>
  <c r="R51" i="31"/>
  <c r="R35" i="31"/>
  <c r="R19" i="31"/>
  <c r="R3" i="31"/>
  <c r="R98" i="31"/>
  <c r="R82" i="31"/>
  <c r="R66" i="31"/>
  <c r="R50" i="31"/>
  <c r="R34" i="31"/>
  <c r="R18" i="31"/>
  <c r="R2" i="31"/>
  <c r="R97" i="31"/>
  <c r="R81" i="31"/>
  <c r="R65" i="31"/>
  <c r="R49" i="31"/>
  <c r="R33" i="31"/>
  <c r="R17" i="31"/>
  <c r="R96" i="31"/>
  <c r="R80" i="31"/>
  <c r="R64" i="31"/>
  <c r="R48" i="31"/>
  <c r="R32" i="31"/>
  <c r="R16" i="31"/>
  <c r="R95" i="31"/>
  <c r="R79" i="31"/>
  <c r="R63" i="31"/>
  <c r="R47" i="31"/>
  <c r="R31" i="31"/>
  <c r="R15" i="31"/>
  <c r="R94" i="31"/>
  <c r="R78" i="31"/>
  <c r="R62" i="31"/>
  <c r="R46" i="31"/>
  <c r="R30" i="31"/>
  <c r="R14" i="31"/>
  <c r="R29" i="31"/>
  <c r="R13" i="31"/>
  <c r="R108" i="31"/>
  <c r="R92" i="31"/>
  <c r="R76" i="31"/>
  <c r="R60" i="31"/>
  <c r="R44" i="31"/>
  <c r="R28" i="31"/>
  <c r="R12" i="31"/>
  <c r="R107" i="31"/>
  <c r="R91" i="31"/>
  <c r="R75" i="31"/>
  <c r="R59" i="31"/>
  <c r="R43" i="31"/>
  <c r="R27" i="31"/>
  <c r="R11" i="31"/>
  <c r="R106" i="31"/>
  <c r="R90" i="31"/>
  <c r="R74" i="31"/>
  <c r="R58" i="31"/>
  <c r="R42" i="31"/>
  <c r="R26" i="31"/>
  <c r="R10" i="31"/>
  <c r="R105" i="31"/>
  <c r="R89" i="31"/>
  <c r="R73" i="31"/>
  <c r="R57" i="31"/>
  <c r="R41" i="31"/>
  <c r="R25" i="31"/>
  <c r="R9" i="31"/>
  <c r="R104" i="31"/>
  <c r="R88" i="31"/>
  <c r="R72" i="31"/>
  <c r="R56" i="31"/>
  <c r="R40" i="31"/>
  <c r="R24" i="31"/>
  <c r="R8" i="31"/>
  <c r="R103" i="31"/>
  <c r="R87" i="31"/>
  <c r="R71" i="31"/>
  <c r="R55" i="31"/>
  <c r="R39" i="31"/>
  <c r="R23" i="31"/>
  <c r="R7" i="31"/>
  <c r="R38" i="31"/>
  <c r="R22" i="31"/>
  <c r="R6" i="31"/>
  <c r="R101" i="31"/>
  <c r="R85" i="31"/>
  <c r="R69" i="31"/>
  <c r="R53" i="31"/>
  <c r="R37" i="31"/>
  <c r="R21" i="31"/>
  <c r="R5" i="31"/>
  <c r="R100" i="31"/>
  <c r="R84" i="31"/>
  <c r="R68" i="31"/>
  <c r="R52" i="31"/>
  <c r="R36" i="31"/>
  <c r="R20" i="31"/>
  <c r="R4" i="31"/>
  <c r="AL82" i="61"/>
  <c r="AB77" i="61"/>
  <c r="AV82" i="61"/>
  <c r="AL81" i="61"/>
  <c r="AL80" i="61"/>
  <c r="Q144" i="61"/>
  <c r="AE81" i="61" l="1"/>
  <c r="AQ80" i="61"/>
  <c r="AK80" i="61"/>
  <c r="AC81" i="61"/>
  <c r="AQ81" i="61"/>
  <c r="AD81" i="61"/>
  <c r="AR82" i="61"/>
  <c r="AK82" i="61"/>
  <c r="AF80" i="61"/>
  <c r="AF81" i="61"/>
  <c r="AO82" i="61"/>
  <c r="AO80" i="61"/>
  <c r="AH81" i="61"/>
  <c r="AS82" i="61"/>
  <c r="AR80" i="61"/>
  <c r="AC82" i="61"/>
  <c r="AS80" i="61"/>
  <c r="AG80" i="61"/>
  <c r="AU80" i="61"/>
  <c r="AW82" i="61"/>
  <c r="AI82" i="61"/>
  <c r="AJ80" i="61"/>
  <c r="AI80" i="61"/>
  <c r="AP82" i="61"/>
  <c r="AV80" i="61"/>
  <c r="AW80" i="61"/>
  <c r="AP81" i="61"/>
  <c r="AJ82" i="61"/>
  <c r="AM82" i="61"/>
  <c r="AT82" i="61"/>
  <c r="AD82" i="61"/>
  <c r="AG82" i="61"/>
  <c r="AM81" i="61"/>
  <c r="AT80" i="61"/>
  <c r="AN81" i="61"/>
  <c r="AE80" i="61"/>
  <c r="AN82" i="61"/>
  <c r="AH82" i="61"/>
  <c r="AU82" i="61"/>
  <c r="EJ253" i="65"/>
  <c r="AN254" i="65"/>
  <c r="ED254" i="65"/>
  <c r="W255" i="65"/>
  <c r="V255" i="65"/>
  <c r="EC254" i="65"/>
  <c r="EK253" i="65"/>
  <c r="AO254" i="65"/>
  <c r="EF255" i="65"/>
  <c r="Y256" i="65"/>
  <c r="EL254" i="65"/>
  <c r="AP255" i="65"/>
  <c r="Z255" i="65"/>
  <c r="EG254" i="65"/>
  <c r="EH255" i="65"/>
  <c r="AL256" i="65"/>
  <c r="AV254" i="65"/>
  <c r="ER253" i="65"/>
  <c r="S258" i="65"/>
  <c r="DZ257" i="65"/>
  <c r="AU256" i="65"/>
  <c r="EQ255" i="65"/>
  <c r="X254" i="65"/>
  <c r="EE253" i="65"/>
  <c r="EA253" i="65"/>
  <c r="T254" i="65"/>
  <c r="EO255" i="65"/>
  <c r="AS256" i="65"/>
  <c r="AR255" i="65"/>
  <c r="EN254" i="65"/>
  <c r="AQ254" i="65"/>
  <c r="EM253" i="65"/>
  <c r="EP254" i="65"/>
  <c r="AT255" i="65"/>
  <c r="U255" i="65"/>
  <c r="EB254" i="65"/>
  <c r="DY253" i="65"/>
  <c r="R254" i="65"/>
  <c r="P254" i="65"/>
  <c r="DW253" i="65"/>
  <c r="EI254" i="65"/>
  <c r="AM255" i="65"/>
  <c r="DX253" i="65"/>
  <c r="Q254" i="65"/>
  <c r="EV1" i="3"/>
  <c r="EW1" i="3"/>
  <c r="AQ255" i="65" l="1"/>
  <c r="EM254" i="65"/>
  <c r="EN255" i="65"/>
  <c r="AR256" i="65"/>
  <c r="DX254" i="65"/>
  <c r="Q255" i="65"/>
  <c r="EF256" i="65"/>
  <c r="Y257" i="65"/>
  <c r="S259" i="65"/>
  <c r="DZ258" i="65"/>
  <c r="AS257" i="65"/>
  <c r="EO256" i="65"/>
  <c r="T255" i="65"/>
  <c r="EA254" i="65"/>
  <c r="P255" i="65"/>
  <c r="DW254" i="65"/>
  <c r="EQ256" i="65"/>
  <c r="AU257" i="65"/>
  <c r="AT256" i="65"/>
  <c r="EP255" i="65"/>
  <c r="EJ254" i="65"/>
  <c r="AN255" i="65"/>
  <c r="EH256" i="65"/>
  <c r="AL257" i="65"/>
  <c r="Z256" i="65"/>
  <c r="EG255" i="65"/>
  <c r="EL255" i="65"/>
  <c r="AP256" i="65"/>
  <c r="EI255" i="65"/>
  <c r="AM256" i="65"/>
  <c r="EK254" i="65"/>
  <c r="AO255" i="65"/>
  <c r="X255" i="65"/>
  <c r="EE254" i="65"/>
  <c r="DY254" i="65"/>
  <c r="R255" i="65"/>
  <c r="V256" i="65"/>
  <c r="EC255" i="65"/>
  <c r="ED255" i="65"/>
  <c r="W256" i="65"/>
  <c r="EB255" i="65"/>
  <c r="U256" i="65"/>
  <c r="AV255" i="65"/>
  <c r="ER254" i="65"/>
  <c r="FD1" i="3"/>
  <c r="E1" i="36"/>
  <c r="E1" i="25"/>
  <c r="E1" i="34"/>
  <c r="E1" i="23"/>
  <c r="E1" i="19"/>
  <c r="E1" i="29"/>
  <c r="FC1" i="3"/>
  <c r="FB1" i="3"/>
  <c r="EX1" i="3"/>
  <c r="EU1" i="3"/>
  <c r="FA1" i="3"/>
  <c r="EZ1" i="3"/>
  <c r="EY1" i="3"/>
  <c r="EI256" i="65" l="1"/>
  <c r="AM257" i="65"/>
  <c r="P256" i="65"/>
  <c r="DW255" i="65"/>
  <c r="ER255" i="65"/>
  <c r="AV256" i="65"/>
  <c r="U257" i="65"/>
  <c r="EB256" i="65"/>
  <c r="S260" i="65"/>
  <c r="DZ259" i="65"/>
  <c r="AL258" i="65"/>
  <c r="EH257" i="65"/>
  <c r="EP256" i="65"/>
  <c r="AT257" i="65"/>
  <c r="EK255" i="65"/>
  <c r="AO256" i="65"/>
  <c r="EA255" i="65"/>
  <c r="T256" i="65"/>
  <c r="EL256" i="65"/>
  <c r="AP257" i="65"/>
  <c r="Z257" i="65"/>
  <c r="EG256" i="65"/>
  <c r="EF257" i="65"/>
  <c r="Y258" i="65"/>
  <c r="Q256" i="65"/>
  <c r="DX255" i="65"/>
  <c r="V257" i="65"/>
  <c r="EC256" i="65"/>
  <c r="EN256" i="65"/>
  <c r="AR257" i="65"/>
  <c r="EQ257" i="65"/>
  <c r="AU258" i="65"/>
  <c r="AS258" i="65"/>
  <c r="EO257" i="65"/>
  <c r="ED256" i="65"/>
  <c r="W257" i="65"/>
  <c r="EJ255" i="65"/>
  <c r="AN256" i="65"/>
  <c r="DY255" i="65"/>
  <c r="R256" i="65"/>
  <c r="X256" i="65"/>
  <c r="EE255" i="65"/>
  <c r="EM255" i="65"/>
  <c r="AQ256" i="65"/>
  <c r="J1" i="19"/>
  <c r="J1" i="29"/>
  <c r="O48" i="12"/>
  <c r="BC26" i="40"/>
  <c r="AU26" i="40"/>
  <c r="W26" i="40"/>
  <c r="O26" i="40"/>
  <c r="G26" i="40"/>
  <c r="AT258" i="65" l="1"/>
  <c r="EP257" i="65"/>
  <c r="X257" i="65"/>
  <c r="EE256" i="65"/>
  <c r="R257" i="65"/>
  <c r="DY256" i="65"/>
  <c r="EJ256" i="65"/>
  <c r="AN257" i="65"/>
  <c r="ED257" i="65"/>
  <c r="W258" i="65"/>
  <c r="P257" i="65"/>
  <c r="DW256" i="65"/>
  <c r="AU259" i="65"/>
  <c r="EQ258" i="65"/>
  <c r="V258" i="65"/>
  <c r="EC257" i="65"/>
  <c r="DZ260" i="65"/>
  <c r="S261" i="65"/>
  <c r="EF258" i="65"/>
  <c r="Y259" i="65"/>
  <c r="EB257" i="65"/>
  <c r="U258" i="65"/>
  <c r="ER256" i="65"/>
  <c r="AV257" i="65"/>
  <c r="Z258" i="65"/>
  <c r="EG257" i="65"/>
  <c r="EA256" i="65"/>
  <c r="T257" i="65"/>
  <c r="AM258" i="65"/>
  <c r="EI257" i="65"/>
  <c r="EK256" i="65"/>
  <c r="AO257" i="65"/>
  <c r="AR258" i="65"/>
  <c r="EN257" i="65"/>
  <c r="EM256" i="65"/>
  <c r="AQ257" i="65"/>
  <c r="AL259" i="65"/>
  <c r="EH258" i="65"/>
  <c r="DX256" i="65"/>
  <c r="Q257" i="65"/>
  <c r="EL257" i="65"/>
  <c r="AP258" i="65"/>
  <c r="EO258" i="65"/>
  <c r="AS259" i="65"/>
  <c r="P48" i="12"/>
  <c r="S48" i="12"/>
  <c r="Q48" i="12"/>
  <c r="T48" i="12"/>
  <c r="R48" i="12"/>
  <c r="U48" i="12"/>
  <c r="V259" i="65" l="1"/>
  <c r="EC258" i="65"/>
  <c r="EI258" i="65"/>
  <c r="AM259" i="65"/>
  <c r="EL258" i="65"/>
  <c r="AP259" i="65"/>
  <c r="EJ257" i="65"/>
  <c r="AN258" i="65"/>
  <c r="EH259" i="65"/>
  <c r="AL260" i="65"/>
  <c r="X258" i="65"/>
  <c r="EE257" i="65"/>
  <c r="EK257" i="65"/>
  <c r="AO258" i="65"/>
  <c r="AU260" i="65"/>
  <c r="EQ259" i="65"/>
  <c r="EA257" i="65"/>
  <c r="T258" i="65"/>
  <c r="P258" i="65"/>
  <c r="DW257" i="65"/>
  <c r="W259" i="65"/>
  <c r="ED258" i="65"/>
  <c r="DX257" i="65"/>
  <c r="Q258" i="65"/>
  <c r="EB258" i="65"/>
  <c r="U259" i="65"/>
  <c r="R258" i="65"/>
  <c r="DY257" i="65"/>
  <c r="EF259" i="65"/>
  <c r="Y260" i="65"/>
  <c r="DZ261" i="65"/>
  <c r="S262" i="65"/>
  <c r="DZ262" i="65" s="1"/>
  <c r="AS260" i="65"/>
  <c r="EO259" i="65"/>
  <c r="Z259" i="65"/>
  <c r="EG258" i="65"/>
  <c r="ER257" i="65"/>
  <c r="AV258" i="65"/>
  <c r="AQ258" i="65"/>
  <c r="EM257" i="65"/>
  <c r="AR259" i="65"/>
  <c r="EN258" i="65"/>
  <c r="EP258" i="65"/>
  <c r="AT259" i="65"/>
  <c r="R2" i="30"/>
  <c r="R3" i="30"/>
  <c r="R4" i="30"/>
  <c r="R5" i="30"/>
  <c r="R6" i="30"/>
  <c r="R7" i="30"/>
  <c r="R8" i="30"/>
  <c r="R9" i="30"/>
  <c r="R10" i="30"/>
  <c r="R11" i="30"/>
  <c r="R12" i="30"/>
  <c r="R13" i="30"/>
  <c r="T2" i="31"/>
  <c r="T3" i="31"/>
  <c r="T4" i="31"/>
  <c r="T5" i="31"/>
  <c r="T6" i="31"/>
  <c r="T7" i="31"/>
  <c r="T8" i="31"/>
  <c r="T9" i="31"/>
  <c r="T10" i="31"/>
  <c r="T11" i="31"/>
  <c r="T12" i="31"/>
  <c r="T13" i="31"/>
  <c r="V2" i="34"/>
  <c r="V3" i="34"/>
  <c r="V4" i="34"/>
  <c r="V5" i="34"/>
  <c r="V6" i="34"/>
  <c r="V7" i="34"/>
  <c r="V8" i="34"/>
  <c r="V9" i="34"/>
  <c r="V10" i="34"/>
  <c r="V11" i="34"/>
  <c r="V12" i="34"/>
  <c r="V13" i="34"/>
  <c r="T2" i="35"/>
  <c r="T3" i="35"/>
  <c r="T4" i="35"/>
  <c r="T5" i="35"/>
  <c r="T6" i="35"/>
  <c r="T7" i="35"/>
  <c r="T8" i="35"/>
  <c r="T9" i="35"/>
  <c r="T10" i="35"/>
  <c r="T11" i="35"/>
  <c r="T12" i="35"/>
  <c r="T13" i="35"/>
  <c r="R2" i="36"/>
  <c r="R3" i="36"/>
  <c r="R4" i="36"/>
  <c r="R5" i="36"/>
  <c r="R6" i="36"/>
  <c r="R7" i="36"/>
  <c r="R8" i="36"/>
  <c r="R9" i="36"/>
  <c r="R10" i="36"/>
  <c r="R11" i="36"/>
  <c r="R12" i="36"/>
  <c r="R13" i="36"/>
  <c r="S2" i="36"/>
  <c r="S3" i="36"/>
  <c r="S4" i="36"/>
  <c r="S5" i="36"/>
  <c r="S6" i="36"/>
  <c r="S7" i="36"/>
  <c r="S8" i="36"/>
  <c r="S9" i="36"/>
  <c r="S10" i="36"/>
  <c r="S11" i="36"/>
  <c r="S12" i="36"/>
  <c r="S13" i="36"/>
  <c r="S14" i="36"/>
  <c r="S15" i="36"/>
  <c r="S16" i="36"/>
  <c r="S17" i="36"/>
  <c r="S18" i="36"/>
  <c r="S19" i="36"/>
  <c r="S20" i="36"/>
  <c r="S21" i="36"/>
  <c r="S22" i="36"/>
  <c r="S23" i="36"/>
  <c r="S24" i="36"/>
  <c r="S25" i="36"/>
  <c r="S26" i="36"/>
  <c r="S27" i="36"/>
  <c r="S28" i="36"/>
  <c r="S29" i="36"/>
  <c r="S30" i="36"/>
  <c r="S31" i="36"/>
  <c r="S32" i="36"/>
  <c r="S33" i="36"/>
  <c r="S34" i="36"/>
  <c r="S35" i="36"/>
  <c r="S36" i="36"/>
  <c r="S37" i="36"/>
  <c r="U2" i="35"/>
  <c r="U3" i="35"/>
  <c r="U4" i="35"/>
  <c r="U5" i="35"/>
  <c r="U6" i="35"/>
  <c r="U7" i="35"/>
  <c r="U8" i="35"/>
  <c r="U9" i="35"/>
  <c r="U10" i="35"/>
  <c r="U11" i="35"/>
  <c r="U12" i="35"/>
  <c r="U13" i="35"/>
  <c r="U14" i="35"/>
  <c r="U15" i="35"/>
  <c r="U16" i="35"/>
  <c r="U17" i="35"/>
  <c r="U18" i="35"/>
  <c r="U19" i="35"/>
  <c r="U20" i="35"/>
  <c r="U21" i="35"/>
  <c r="U22" i="35"/>
  <c r="U23" i="35"/>
  <c r="U24" i="35"/>
  <c r="U25" i="35"/>
  <c r="U26" i="35"/>
  <c r="U27" i="35"/>
  <c r="U28" i="35"/>
  <c r="U29" i="35"/>
  <c r="U30" i="35"/>
  <c r="U31" i="35"/>
  <c r="U32" i="35"/>
  <c r="U33" i="35"/>
  <c r="U34" i="35"/>
  <c r="U35" i="35"/>
  <c r="U36" i="35"/>
  <c r="U37" i="35"/>
  <c r="W2" i="34"/>
  <c r="W3" i="34"/>
  <c r="W4" i="34"/>
  <c r="W5" i="34"/>
  <c r="W6" i="34"/>
  <c r="W7" i="34"/>
  <c r="W8" i="34"/>
  <c r="W9" i="34"/>
  <c r="W10" i="34"/>
  <c r="W11" i="34"/>
  <c r="W12" i="34"/>
  <c r="W13" i="34"/>
  <c r="W14" i="34"/>
  <c r="W15" i="34"/>
  <c r="W16" i="34"/>
  <c r="W17" i="34"/>
  <c r="W18" i="34"/>
  <c r="W19" i="34"/>
  <c r="W20" i="34"/>
  <c r="W21" i="34"/>
  <c r="W22" i="34"/>
  <c r="W23" i="34"/>
  <c r="W24" i="34"/>
  <c r="W25" i="34"/>
  <c r="W26" i="34"/>
  <c r="W27" i="34"/>
  <c r="W28" i="34"/>
  <c r="W29" i="34"/>
  <c r="W30" i="34"/>
  <c r="W31" i="34"/>
  <c r="W32" i="34"/>
  <c r="W33" i="34"/>
  <c r="W34" i="34"/>
  <c r="W35" i="34"/>
  <c r="W36" i="34"/>
  <c r="W37" i="34"/>
  <c r="U2" i="31"/>
  <c r="U3" i="31"/>
  <c r="U4" i="31"/>
  <c r="U5" i="31"/>
  <c r="U6" i="31"/>
  <c r="U7" i="31"/>
  <c r="U8" i="31"/>
  <c r="U9" i="31"/>
  <c r="U10" i="31"/>
  <c r="U11" i="31"/>
  <c r="U12" i="31"/>
  <c r="U13" i="31"/>
  <c r="U14" i="31"/>
  <c r="U15" i="31"/>
  <c r="U16" i="31"/>
  <c r="U17" i="31"/>
  <c r="U18" i="31"/>
  <c r="U19" i="31"/>
  <c r="U20" i="31"/>
  <c r="U21" i="31"/>
  <c r="U22" i="31"/>
  <c r="U23" i="31"/>
  <c r="U24" i="31"/>
  <c r="U25" i="31"/>
  <c r="U26" i="31"/>
  <c r="U27" i="31"/>
  <c r="U28" i="31"/>
  <c r="U29" i="31"/>
  <c r="U30" i="31"/>
  <c r="U31" i="31"/>
  <c r="U32" i="31"/>
  <c r="U33" i="31"/>
  <c r="U34" i="31"/>
  <c r="U35" i="31"/>
  <c r="U36" i="31"/>
  <c r="U37" i="31"/>
  <c r="S2" i="30"/>
  <c r="S3" i="30"/>
  <c r="S4" i="30"/>
  <c r="S5" i="30"/>
  <c r="S6" i="30"/>
  <c r="S7" i="30"/>
  <c r="S8" i="30"/>
  <c r="S9" i="30"/>
  <c r="S10" i="30"/>
  <c r="S11" i="30"/>
  <c r="S12" i="30"/>
  <c r="S13" i="30"/>
  <c r="S14" i="30"/>
  <c r="S15" i="30"/>
  <c r="S16" i="30"/>
  <c r="S17" i="30"/>
  <c r="S18" i="30"/>
  <c r="S19" i="30"/>
  <c r="S20" i="30"/>
  <c r="S21" i="30"/>
  <c r="S22" i="30"/>
  <c r="S23" i="30"/>
  <c r="S24" i="30"/>
  <c r="S25" i="30"/>
  <c r="S26" i="30"/>
  <c r="S27" i="30"/>
  <c r="S28" i="30"/>
  <c r="S29" i="30"/>
  <c r="S30" i="30"/>
  <c r="S31" i="30"/>
  <c r="S32" i="30"/>
  <c r="S33" i="30"/>
  <c r="S34" i="30"/>
  <c r="S35" i="30"/>
  <c r="S36" i="30"/>
  <c r="S37" i="30"/>
  <c r="T2" i="29"/>
  <c r="T3" i="29"/>
  <c r="T4" i="29"/>
  <c r="T5" i="29"/>
  <c r="T6" i="29"/>
  <c r="T7" i="29"/>
  <c r="T8" i="29"/>
  <c r="T9" i="29"/>
  <c r="T10" i="29"/>
  <c r="T11" i="29"/>
  <c r="T12" i="29"/>
  <c r="T13" i="29"/>
  <c r="U2" i="29"/>
  <c r="U3" i="29"/>
  <c r="U4" i="29"/>
  <c r="U5" i="29"/>
  <c r="U6" i="29"/>
  <c r="U7" i="29"/>
  <c r="U8" i="29"/>
  <c r="U9" i="29"/>
  <c r="U10" i="29"/>
  <c r="U11" i="29"/>
  <c r="U12" i="29"/>
  <c r="U13" i="29"/>
  <c r="U14" i="29"/>
  <c r="U15" i="29"/>
  <c r="U16" i="29"/>
  <c r="U17" i="29"/>
  <c r="U18" i="29"/>
  <c r="U19" i="29"/>
  <c r="U20" i="29"/>
  <c r="U21" i="29"/>
  <c r="U22" i="29"/>
  <c r="U23" i="29"/>
  <c r="U24" i="29"/>
  <c r="U25" i="29"/>
  <c r="U26" i="29"/>
  <c r="U27" i="29"/>
  <c r="U28" i="29"/>
  <c r="U29" i="29"/>
  <c r="U30" i="29"/>
  <c r="U31" i="29"/>
  <c r="U32" i="29"/>
  <c r="U33" i="29"/>
  <c r="U34" i="29"/>
  <c r="U35" i="29"/>
  <c r="U36" i="29"/>
  <c r="U37" i="29"/>
  <c r="V2" i="28"/>
  <c r="V3" i="28"/>
  <c r="V4" i="28"/>
  <c r="V5" i="28"/>
  <c r="V6" i="28"/>
  <c r="V7" i="28"/>
  <c r="V8" i="28"/>
  <c r="V9" i="28"/>
  <c r="V10" i="28"/>
  <c r="V11" i="28"/>
  <c r="V12" i="28"/>
  <c r="V13" i="28"/>
  <c r="W2" i="28"/>
  <c r="W3" i="28"/>
  <c r="W4" i="28"/>
  <c r="W5" i="28"/>
  <c r="W6" i="28"/>
  <c r="W7" i="28"/>
  <c r="W8" i="28"/>
  <c r="W9" i="28"/>
  <c r="W10" i="28"/>
  <c r="W11" i="28"/>
  <c r="W12" i="28"/>
  <c r="W13" i="28"/>
  <c r="W14" i="28"/>
  <c r="W15" i="28"/>
  <c r="W16" i="28"/>
  <c r="W17" i="28"/>
  <c r="W18" i="28"/>
  <c r="W19" i="28"/>
  <c r="W20" i="28"/>
  <c r="W21" i="28"/>
  <c r="W22" i="28"/>
  <c r="W23" i="28"/>
  <c r="W24" i="28"/>
  <c r="W25" i="28"/>
  <c r="W26" i="28"/>
  <c r="W27" i="28"/>
  <c r="W28" i="28"/>
  <c r="W29" i="28"/>
  <c r="W30" i="28"/>
  <c r="W31" i="28"/>
  <c r="W32" i="28"/>
  <c r="W33" i="28"/>
  <c r="W34" i="28"/>
  <c r="W35" i="28"/>
  <c r="W36" i="28"/>
  <c r="W37" i="28"/>
  <c r="N2" i="37"/>
  <c r="N3" i="37"/>
  <c r="N4" i="37"/>
  <c r="N5" i="37"/>
  <c r="N6" i="37"/>
  <c r="N7" i="37"/>
  <c r="N8" i="37"/>
  <c r="N9" i="37"/>
  <c r="N10" i="37"/>
  <c r="N11" i="37"/>
  <c r="N12" i="37"/>
  <c r="N13" i="37"/>
  <c r="P2" i="33"/>
  <c r="P3" i="33"/>
  <c r="P4" i="33"/>
  <c r="P5" i="33"/>
  <c r="P6" i="33"/>
  <c r="P7" i="33"/>
  <c r="P8" i="33"/>
  <c r="P9" i="33"/>
  <c r="P10" i="33"/>
  <c r="P11" i="33"/>
  <c r="P12" i="33"/>
  <c r="P13" i="33"/>
  <c r="L2" i="32"/>
  <c r="L3" i="32"/>
  <c r="L4" i="32"/>
  <c r="L5" i="32"/>
  <c r="L6" i="32"/>
  <c r="L7" i="32"/>
  <c r="L8" i="32"/>
  <c r="L9" i="32"/>
  <c r="L10" i="32"/>
  <c r="L11" i="32"/>
  <c r="L12" i="32"/>
  <c r="L13" i="32"/>
  <c r="D1" i="23"/>
  <c r="D1" i="21"/>
  <c r="D1" i="20"/>
  <c r="D1" i="18"/>
  <c r="D1" i="19"/>
  <c r="D1" i="17"/>
  <c r="N2" i="26"/>
  <c r="N3" i="26"/>
  <c r="N4" i="26"/>
  <c r="N5" i="26"/>
  <c r="N6" i="26"/>
  <c r="N7" i="26"/>
  <c r="N8" i="26"/>
  <c r="N9" i="26"/>
  <c r="N10" i="26"/>
  <c r="N11" i="26"/>
  <c r="N12" i="26"/>
  <c r="N13" i="26"/>
  <c r="R2" i="25"/>
  <c r="R3" i="25"/>
  <c r="R4" i="25"/>
  <c r="R5" i="25"/>
  <c r="R6" i="25"/>
  <c r="R7" i="25"/>
  <c r="R8" i="25"/>
  <c r="R9" i="25"/>
  <c r="R10" i="25"/>
  <c r="R11" i="25"/>
  <c r="R12" i="25"/>
  <c r="R13" i="25"/>
  <c r="T2" i="24"/>
  <c r="T3" i="24"/>
  <c r="T4" i="24"/>
  <c r="T5" i="24"/>
  <c r="T6" i="24"/>
  <c r="T7" i="24"/>
  <c r="T8" i="24"/>
  <c r="T9" i="24"/>
  <c r="T10" i="24"/>
  <c r="T11" i="24"/>
  <c r="T12" i="24"/>
  <c r="T13" i="24"/>
  <c r="V2" i="23"/>
  <c r="V3" i="23"/>
  <c r="V4" i="23"/>
  <c r="V5" i="23"/>
  <c r="V6" i="23"/>
  <c r="V7" i="23"/>
  <c r="V8" i="23"/>
  <c r="V9" i="23"/>
  <c r="V10" i="23"/>
  <c r="V11" i="23"/>
  <c r="V12" i="23"/>
  <c r="V13" i="23"/>
  <c r="P2" i="22"/>
  <c r="P3" i="22"/>
  <c r="P4" i="22"/>
  <c r="P5" i="22"/>
  <c r="P6" i="22"/>
  <c r="P7" i="22"/>
  <c r="P8" i="22"/>
  <c r="P9" i="22"/>
  <c r="P10" i="22"/>
  <c r="P11" i="22"/>
  <c r="P12" i="22"/>
  <c r="P13" i="22"/>
  <c r="L2" i="21"/>
  <c r="L3" i="21"/>
  <c r="L4" i="21"/>
  <c r="L5" i="21"/>
  <c r="L6" i="21"/>
  <c r="L7" i="21"/>
  <c r="L8" i="21"/>
  <c r="L9" i="21"/>
  <c r="L10" i="21"/>
  <c r="L11" i="21"/>
  <c r="L12" i="21"/>
  <c r="L13" i="21"/>
  <c r="T2" i="20"/>
  <c r="T3" i="20"/>
  <c r="T4" i="20"/>
  <c r="T5" i="20"/>
  <c r="T6" i="20"/>
  <c r="T7" i="20"/>
  <c r="T8" i="20"/>
  <c r="T9" i="20"/>
  <c r="T10" i="20"/>
  <c r="T11" i="20"/>
  <c r="T12" i="20"/>
  <c r="T13" i="20"/>
  <c r="R2" i="18"/>
  <c r="R3" i="18"/>
  <c r="R4" i="18"/>
  <c r="R5" i="18"/>
  <c r="R6" i="18"/>
  <c r="R7" i="18"/>
  <c r="R8" i="18"/>
  <c r="R9" i="18"/>
  <c r="R10" i="18"/>
  <c r="R11" i="18"/>
  <c r="R12" i="18"/>
  <c r="R13" i="18"/>
  <c r="T2" i="19"/>
  <c r="T3" i="19"/>
  <c r="T4" i="19"/>
  <c r="T5" i="19"/>
  <c r="T6" i="19"/>
  <c r="T7" i="19"/>
  <c r="T8" i="19"/>
  <c r="T9" i="19"/>
  <c r="T10" i="19"/>
  <c r="T11" i="19"/>
  <c r="T12" i="19"/>
  <c r="T13" i="19"/>
  <c r="V2" i="17"/>
  <c r="V3" i="17"/>
  <c r="V4" i="17"/>
  <c r="V5" i="17"/>
  <c r="V6" i="17"/>
  <c r="V7" i="17"/>
  <c r="V8" i="17"/>
  <c r="V9" i="17"/>
  <c r="V10" i="17"/>
  <c r="V11" i="17"/>
  <c r="V12" i="17"/>
  <c r="V13" i="17"/>
  <c r="Q106" i="11"/>
  <c r="Q105" i="11"/>
  <c r="Q103" i="11"/>
  <c r="AD102" i="11"/>
  <c r="AC102" i="11"/>
  <c r="AB102" i="11"/>
  <c r="AA102" i="11"/>
  <c r="Z102" i="11"/>
  <c r="Y102" i="11"/>
  <c r="X102" i="11"/>
  <c r="W102" i="11"/>
  <c r="V102" i="11"/>
  <c r="U102" i="11"/>
  <c r="T102" i="11"/>
  <c r="S102" i="11"/>
  <c r="R102" i="11"/>
  <c r="D134" i="10"/>
  <c r="D139" i="10" s="1"/>
  <c r="D133" i="10"/>
  <c r="D138" i="10" s="1"/>
  <c r="G79" i="10"/>
  <c r="H79" i="10"/>
  <c r="H108" i="10" s="1"/>
  <c r="H124" i="10" s="1"/>
  <c r="H132" i="10" s="1"/>
  <c r="H137" i="10" s="1"/>
  <c r="I79" i="10"/>
  <c r="I108" i="10" s="1"/>
  <c r="I116" i="10" s="1"/>
  <c r="J79" i="10"/>
  <c r="J108" i="10" s="1"/>
  <c r="J116" i="10" s="1"/>
  <c r="K79" i="10"/>
  <c r="K108" i="10" s="1"/>
  <c r="K124" i="10" s="1"/>
  <c r="K132" i="10" s="1"/>
  <c r="K137" i="10" s="1"/>
  <c r="L79" i="10"/>
  <c r="L108" i="10" s="1"/>
  <c r="L124" i="10" s="1"/>
  <c r="L132" i="10" s="1"/>
  <c r="L137" i="10" s="1"/>
  <c r="M79" i="10"/>
  <c r="M108" i="10" s="1"/>
  <c r="N79" i="10"/>
  <c r="O79" i="10"/>
  <c r="O108" i="10" s="1"/>
  <c r="P79" i="10"/>
  <c r="P108" i="10" s="1"/>
  <c r="P124" i="10" s="1"/>
  <c r="P132" i="10" s="1"/>
  <c r="P137" i="10" s="1"/>
  <c r="Q79" i="10"/>
  <c r="Q108" i="10" s="1"/>
  <c r="R79" i="10"/>
  <c r="S79" i="10"/>
  <c r="S108" i="10" s="1"/>
  <c r="S124" i="10" s="1"/>
  <c r="S132" i="10" s="1"/>
  <c r="S137" i="10" s="1"/>
  <c r="T79" i="10"/>
  <c r="T108" i="10" s="1"/>
  <c r="F79" i="10"/>
  <c r="F108" i="10"/>
  <c r="F116" i="10" s="1"/>
  <c r="R108" i="10"/>
  <c r="R124" i="10" s="1"/>
  <c r="R132" i="10" s="1"/>
  <c r="R137" i="10" s="1"/>
  <c r="N108" i="10"/>
  <c r="N116" i="10" s="1"/>
  <c r="G108" i="10"/>
  <c r="G124" i="10" s="1"/>
  <c r="G132" i="10" s="1"/>
  <c r="G137" i="10" s="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C102" i="11"/>
  <c r="B105" i="11"/>
  <c r="B104" i="11"/>
  <c r="B103" i="11"/>
  <c r="D135" i="51"/>
  <c r="D140" i="51" s="1"/>
  <c r="D134" i="51"/>
  <c r="D139" i="51" s="1"/>
  <c r="D133" i="51"/>
  <c r="D138" i="51" s="1"/>
  <c r="EQ260" i="65" l="1"/>
  <c r="AU261" i="65"/>
  <c r="EF260" i="65"/>
  <c r="Y261" i="65"/>
  <c r="EK258" i="65"/>
  <c r="AO259" i="65"/>
  <c r="AT260" i="65"/>
  <c r="EP259" i="65"/>
  <c r="DY258" i="65"/>
  <c r="R259" i="65"/>
  <c r="X259" i="65"/>
  <c r="EE258" i="65"/>
  <c r="EB259" i="65"/>
  <c r="U260" i="65"/>
  <c r="EH260" i="65"/>
  <c r="AL261" i="65"/>
  <c r="EN259" i="65"/>
  <c r="AR260" i="65"/>
  <c r="DX258" i="65"/>
  <c r="Q259" i="65"/>
  <c r="EJ258" i="65"/>
  <c r="AN259" i="65"/>
  <c r="EM258" i="65"/>
  <c r="AQ259" i="65"/>
  <c r="AV259" i="65"/>
  <c r="ER258" i="65"/>
  <c r="EL259" i="65"/>
  <c r="AP260" i="65"/>
  <c r="W260" i="65"/>
  <c r="ED259" i="65"/>
  <c r="EI259" i="65"/>
  <c r="AM260" i="65"/>
  <c r="Z260" i="65"/>
  <c r="EG259" i="65"/>
  <c r="P259" i="65"/>
  <c r="DW258" i="65"/>
  <c r="EA258" i="65"/>
  <c r="T259" i="65"/>
  <c r="AS261" i="65"/>
  <c r="EO260" i="65"/>
  <c r="V260" i="65"/>
  <c r="EC259" i="65"/>
  <c r="Q116" i="10"/>
  <c r="Q124" i="10"/>
  <c r="Q132" i="10" s="1"/>
  <c r="Q137" i="10" s="1"/>
  <c r="G116" i="10"/>
  <c r="M116" i="10"/>
  <c r="M124" i="10"/>
  <c r="M132" i="10" s="1"/>
  <c r="M137" i="10" s="1"/>
  <c r="O124" i="10"/>
  <c r="O132" i="10" s="1"/>
  <c r="O137" i="10" s="1"/>
  <c r="O116" i="10"/>
  <c r="T124" i="10"/>
  <c r="T132" i="10" s="1"/>
  <c r="T137" i="10" s="1"/>
  <c r="T116" i="10"/>
  <c r="P116" i="10"/>
  <c r="N124" i="10"/>
  <c r="N132" i="10" s="1"/>
  <c r="N137" i="10" s="1"/>
  <c r="R116" i="10"/>
  <c r="S116" i="10"/>
  <c r="F124" i="10"/>
  <c r="F132" i="10" s="1"/>
  <c r="F137" i="10" s="1"/>
  <c r="J124" i="10"/>
  <c r="J132" i="10" s="1"/>
  <c r="J137" i="10" s="1"/>
  <c r="H116" i="10"/>
  <c r="I124" i="10"/>
  <c r="I132" i="10" s="1"/>
  <c r="I137" i="10" s="1"/>
  <c r="K116" i="10"/>
  <c r="L116" i="10"/>
  <c r="ED260" i="65" l="1"/>
  <c r="W261" i="65"/>
  <c r="V261" i="65"/>
  <c r="EC260" i="65"/>
  <c r="AQ260" i="65"/>
  <c r="EM259" i="65"/>
  <c r="EJ259" i="65"/>
  <c r="AN260" i="65"/>
  <c r="P260" i="65"/>
  <c r="DW259" i="65"/>
  <c r="AL262" i="65"/>
  <c r="EH262" i="65" s="1"/>
  <c r="EH261" i="65"/>
  <c r="U261" i="65"/>
  <c r="EB260" i="65"/>
  <c r="EE259" i="65"/>
  <c r="X260" i="65"/>
  <c r="EO261" i="65"/>
  <c r="AS262" i="65"/>
  <c r="EO262" i="65" s="1"/>
  <c r="AT261" i="65"/>
  <c r="EP260" i="65"/>
  <c r="EK259" i="65"/>
  <c r="AO260" i="65"/>
  <c r="Q260" i="65"/>
  <c r="DX259" i="65"/>
  <c r="EN260" i="65"/>
  <c r="AR261" i="65"/>
  <c r="EQ261" i="65"/>
  <c r="AU262" i="65"/>
  <c r="EQ262" i="65" s="1"/>
  <c r="AM261" i="65"/>
  <c r="EI260" i="65"/>
  <c r="EL260" i="65"/>
  <c r="AP261" i="65"/>
  <c r="R260" i="65"/>
  <c r="DY259" i="65"/>
  <c r="AV260" i="65"/>
  <c r="ER259" i="65"/>
  <c r="EA259" i="65"/>
  <c r="T260" i="65"/>
  <c r="EF261" i="65"/>
  <c r="Y262" i="65"/>
  <c r="EF262" i="65" s="1"/>
  <c r="Z261" i="65"/>
  <c r="EG260" i="65"/>
  <c r="EK260" i="65" l="1"/>
  <c r="AO261" i="65"/>
  <c r="V262" i="65"/>
  <c r="EC262" i="65" s="1"/>
  <c r="EC261" i="65"/>
  <c r="EL261" i="65"/>
  <c r="AP262" i="65"/>
  <c r="EL262" i="65" s="1"/>
  <c r="EI261" i="65"/>
  <c r="AM262" i="65"/>
  <c r="EI262" i="65" s="1"/>
  <c r="EN261" i="65"/>
  <c r="AR262" i="65"/>
  <c r="EN262" i="65" s="1"/>
  <c r="Z262" i="65"/>
  <c r="EG262" i="65" s="1"/>
  <c r="EG261" i="65"/>
  <c r="Q261" i="65"/>
  <c r="DX260" i="65"/>
  <c r="EA260" i="65"/>
  <c r="T261" i="65"/>
  <c r="W262" i="65"/>
  <c r="ED262" i="65" s="1"/>
  <c r="ED261" i="65"/>
  <c r="EE260" i="65"/>
  <c r="X261" i="65"/>
  <c r="U262" i="65"/>
  <c r="EB262" i="65" s="1"/>
  <c r="EB261" i="65"/>
  <c r="P261" i="65"/>
  <c r="DW260" i="65"/>
  <c r="EJ260" i="65"/>
  <c r="AN261" i="65"/>
  <c r="EM260" i="65"/>
  <c r="AQ261" i="65"/>
  <c r="ER260" i="65"/>
  <c r="AV261" i="65"/>
  <c r="AT262" i="65"/>
  <c r="EP262" i="65" s="1"/>
  <c r="EP261" i="65"/>
  <c r="DY260" i="65"/>
  <c r="R261" i="65"/>
  <c r="T262" i="65" l="1"/>
  <c r="EA262" i="65" s="1"/>
  <c r="EA261" i="65"/>
  <c r="P262" i="65"/>
  <c r="DW262" i="65" s="1"/>
  <c r="DW261" i="65"/>
  <c r="X262" i="65"/>
  <c r="EE262" i="65" s="1"/>
  <c r="EE261" i="65"/>
  <c r="R262" i="65"/>
  <c r="DY262" i="65" s="1"/>
  <c r="DY261" i="65"/>
  <c r="EK261" i="65"/>
  <c r="AO262" i="65"/>
  <c r="EK262" i="65" s="1"/>
  <c r="ER261" i="65"/>
  <c r="AV262" i="65"/>
  <c r="ER262" i="65" s="1"/>
  <c r="DX261" i="65"/>
  <c r="Q262" i="65"/>
  <c r="DX262" i="65" s="1"/>
  <c r="EM261" i="65"/>
  <c r="AQ262" i="65"/>
  <c r="EM262" i="65" s="1"/>
  <c r="EJ261" i="65"/>
  <c r="AN262" i="65"/>
  <c r="EJ262" i="65" s="1"/>
  <c r="R146" i="31"/>
  <c r="R147" i="31" l="1"/>
  <c r="R148" i="31" l="1"/>
  <c r="R149" i="31" l="1"/>
  <c r="R150" i="31" l="1"/>
  <c r="R151" i="31" l="1"/>
  <c r="R152" i="31" l="1"/>
  <c r="R153" i="31" l="1"/>
  <c r="R154" i="31" l="1"/>
  <c r="R155" i="31" l="1"/>
  <c r="R156" i="31" l="1"/>
  <c r="R157" i="31" l="1"/>
  <c r="R158" i="31" l="1"/>
  <c r="R159" i="31" l="1"/>
  <c r="R160" i="31" l="1"/>
  <c r="R161" i="31" l="1"/>
  <c r="R162" i="31" l="1"/>
  <c r="R163" i="31" l="1"/>
  <c r="R164" i="31" l="1"/>
  <c r="R165" i="31" l="1"/>
  <c r="R166" i="31" l="1"/>
  <c r="R167" i="31" l="1"/>
  <c r="R168" i="31" l="1"/>
  <c r="R169" i="31" l="1"/>
  <c r="R170" i="31" l="1"/>
  <c r="R171" i="31" l="1"/>
  <c r="R172" i="31" l="1"/>
  <c r="R173" i="31" l="1"/>
  <c r="R174" i="31" l="1"/>
  <c r="R175" i="31" l="1"/>
  <c r="R176" i="31" l="1"/>
  <c r="R177" i="31" l="1"/>
  <c r="R178" i="31" l="1"/>
  <c r="R179" i="31" l="1"/>
  <c r="R180" i="31" l="1"/>
  <c r="R181" i="31" l="1"/>
  <c r="R182" i="31" l="1"/>
  <c r="R183" i="31" l="1"/>
  <c r="R184" i="31" l="1"/>
  <c r="R185" i="31" l="1"/>
  <c r="R186" i="31" l="1"/>
  <c r="R187" i="31" l="1"/>
  <c r="R188" i="31" l="1"/>
  <c r="R189" i="31" l="1"/>
  <c r="R190" i="31" l="1"/>
  <c r="R191" i="31" l="1"/>
  <c r="R192" i="31" l="1"/>
  <c r="R193" i="31" l="1"/>
  <c r="G79" i="51" l="1"/>
  <c r="G108" i="51" s="1"/>
  <c r="H79" i="51"/>
  <c r="H108" i="51" s="1"/>
  <c r="I79" i="51"/>
  <c r="I108" i="51" s="1"/>
  <c r="J79" i="51"/>
  <c r="J108" i="51" s="1"/>
  <c r="K79" i="51"/>
  <c r="K108" i="51" s="1"/>
  <c r="L79" i="51"/>
  <c r="L108" i="51" s="1"/>
  <c r="M79" i="51"/>
  <c r="M108" i="51" s="1"/>
  <c r="N79" i="51"/>
  <c r="N108" i="51" s="1"/>
  <c r="O79" i="51"/>
  <c r="O108" i="51" s="1"/>
  <c r="P79" i="51"/>
  <c r="P108" i="51" s="1"/>
  <c r="Q79" i="51"/>
  <c r="Q108" i="51" s="1"/>
  <c r="R79" i="51"/>
  <c r="R108" i="51" s="1"/>
  <c r="S79" i="51"/>
  <c r="S108" i="51" s="1"/>
  <c r="T79" i="51"/>
  <c r="T108" i="51" s="1"/>
  <c r="F79" i="51"/>
  <c r="F108" i="51" s="1"/>
  <c r="F116" i="51" s="1"/>
  <c r="C72" i="61"/>
  <c r="D72" i="61"/>
  <c r="E72" i="61"/>
  <c r="F72" i="61"/>
  <c r="G72" i="61"/>
  <c r="H72" i="61"/>
  <c r="I72" i="61"/>
  <c r="J72" i="61"/>
  <c r="K72" i="61"/>
  <c r="L72" i="61"/>
  <c r="M72" i="61"/>
  <c r="N72" i="61"/>
  <c r="O72" i="61"/>
  <c r="P72" i="61"/>
  <c r="Q72" i="61"/>
  <c r="R72" i="61"/>
  <c r="S72" i="61"/>
  <c r="T72" i="61"/>
  <c r="U72" i="61"/>
  <c r="V72" i="61"/>
  <c r="W72" i="61"/>
  <c r="X72" i="61"/>
  <c r="C73" i="61"/>
  <c r="D73" i="61"/>
  <c r="E73" i="61"/>
  <c r="F73" i="61"/>
  <c r="G73" i="61"/>
  <c r="H73" i="61"/>
  <c r="I73" i="61"/>
  <c r="J73" i="61"/>
  <c r="K73" i="61"/>
  <c r="L73" i="61"/>
  <c r="M73" i="61"/>
  <c r="N73" i="61"/>
  <c r="O73" i="61"/>
  <c r="P73" i="61"/>
  <c r="Q73" i="61"/>
  <c r="R73" i="61"/>
  <c r="S73" i="61"/>
  <c r="T73" i="61"/>
  <c r="U73" i="61"/>
  <c r="V73" i="61"/>
  <c r="W73" i="61"/>
  <c r="X73" i="61"/>
  <c r="C74" i="61"/>
  <c r="D74" i="61"/>
  <c r="E74" i="61"/>
  <c r="F74" i="61"/>
  <c r="G74" i="61"/>
  <c r="H74" i="61"/>
  <c r="I74" i="61"/>
  <c r="J74" i="61"/>
  <c r="K74" i="61"/>
  <c r="L74" i="61"/>
  <c r="M74" i="61"/>
  <c r="N74" i="61"/>
  <c r="O74" i="61"/>
  <c r="P74" i="61"/>
  <c r="Q74" i="61"/>
  <c r="R74" i="61"/>
  <c r="S74" i="61"/>
  <c r="T74" i="61"/>
  <c r="U74" i="61"/>
  <c r="V74" i="61"/>
  <c r="W74" i="61"/>
  <c r="X74" i="61"/>
  <c r="C75" i="61"/>
  <c r="D75" i="61"/>
  <c r="E75" i="61"/>
  <c r="F75" i="61"/>
  <c r="G75" i="61"/>
  <c r="H75" i="61"/>
  <c r="I75" i="61"/>
  <c r="J75" i="61"/>
  <c r="K75" i="61"/>
  <c r="L75" i="61"/>
  <c r="M75" i="61"/>
  <c r="N75" i="61"/>
  <c r="O75" i="61"/>
  <c r="P75" i="61"/>
  <c r="Q75" i="61"/>
  <c r="R75" i="61"/>
  <c r="S75" i="61"/>
  <c r="T75" i="61"/>
  <c r="U75" i="61"/>
  <c r="V75" i="61"/>
  <c r="W75" i="61"/>
  <c r="X75" i="61"/>
  <c r="A73" i="61"/>
  <c r="A74" i="61"/>
  <c r="A75" i="61"/>
  <c r="A71" i="61"/>
  <c r="A72" i="61"/>
  <c r="C61" i="61"/>
  <c r="D61" i="61"/>
  <c r="E61" i="61"/>
  <c r="F61" i="61"/>
  <c r="G61" i="61"/>
  <c r="H61" i="61"/>
  <c r="I61" i="61"/>
  <c r="J61" i="61"/>
  <c r="K61" i="61"/>
  <c r="L61" i="61"/>
  <c r="M61" i="61"/>
  <c r="N61" i="61"/>
  <c r="O61" i="61"/>
  <c r="P61" i="61"/>
  <c r="Q61" i="61"/>
  <c r="R61" i="61"/>
  <c r="T61" i="61"/>
  <c r="U61" i="61"/>
  <c r="V61" i="61"/>
  <c r="W61" i="61"/>
  <c r="C62" i="61"/>
  <c r="D62" i="61"/>
  <c r="E62" i="61"/>
  <c r="F62" i="61"/>
  <c r="G62" i="61"/>
  <c r="H62" i="61"/>
  <c r="I62" i="61"/>
  <c r="J62" i="61"/>
  <c r="K62" i="61"/>
  <c r="L62" i="61"/>
  <c r="M62" i="61"/>
  <c r="N62" i="61"/>
  <c r="O62" i="61"/>
  <c r="P62" i="61"/>
  <c r="Q62" i="61"/>
  <c r="R62" i="61"/>
  <c r="S62" i="61"/>
  <c r="T62" i="61"/>
  <c r="U62" i="61"/>
  <c r="V62" i="61"/>
  <c r="W62" i="61"/>
  <c r="C63" i="61"/>
  <c r="D63" i="61"/>
  <c r="E63" i="61"/>
  <c r="F63" i="61"/>
  <c r="G63" i="61"/>
  <c r="H63" i="61"/>
  <c r="I63" i="61"/>
  <c r="J63" i="61"/>
  <c r="K63" i="61"/>
  <c r="L63" i="61"/>
  <c r="M63" i="61"/>
  <c r="N63" i="61"/>
  <c r="O63" i="61"/>
  <c r="P63" i="61"/>
  <c r="Q63" i="61"/>
  <c r="R63" i="61"/>
  <c r="S63" i="61"/>
  <c r="T63" i="61"/>
  <c r="U63" i="61"/>
  <c r="V63" i="61"/>
  <c r="W63" i="61"/>
  <c r="C64" i="61"/>
  <c r="D64" i="61"/>
  <c r="E64" i="61"/>
  <c r="F64" i="61"/>
  <c r="G64" i="61"/>
  <c r="H64" i="61"/>
  <c r="I64" i="61"/>
  <c r="J64" i="61"/>
  <c r="K64" i="61"/>
  <c r="L64" i="61"/>
  <c r="M64" i="61"/>
  <c r="N64" i="61"/>
  <c r="O64" i="61"/>
  <c r="P64" i="61"/>
  <c r="Q64" i="61"/>
  <c r="R64" i="61"/>
  <c r="S64" i="61"/>
  <c r="T64" i="61"/>
  <c r="U64" i="61"/>
  <c r="V64" i="61"/>
  <c r="W64" i="61"/>
  <c r="C65" i="61"/>
  <c r="D65" i="61"/>
  <c r="E65" i="61"/>
  <c r="F65" i="61"/>
  <c r="G65" i="61"/>
  <c r="H65" i="61"/>
  <c r="I65" i="61"/>
  <c r="J65" i="61"/>
  <c r="K65" i="61"/>
  <c r="L65" i="61"/>
  <c r="M65" i="61"/>
  <c r="N65" i="61"/>
  <c r="O65" i="61"/>
  <c r="P65" i="61"/>
  <c r="Q65" i="61"/>
  <c r="R65" i="61"/>
  <c r="S65" i="61"/>
  <c r="T65" i="61"/>
  <c r="U65" i="61"/>
  <c r="V65" i="61"/>
  <c r="W65" i="61"/>
  <c r="C66" i="61"/>
  <c r="D66" i="61"/>
  <c r="E66" i="61"/>
  <c r="F66" i="61"/>
  <c r="G66" i="61"/>
  <c r="H66" i="61"/>
  <c r="I66" i="61"/>
  <c r="J66" i="61"/>
  <c r="K66" i="61"/>
  <c r="L66" i="61"/>
  <c r="M66" i="61"/>
  <c r="N66" i="61"/>
  <c r="O66" i="61"/>
  <c r="P66" i="61"/>
  <c r="Q66" i="61"/>
  <c r="R66" i="61"/>
  <c r="S66" i="61"/>
  <c r="T66" i="61"/>
  <c r="U66" i="61"/>
  <c r="V66" i="61"/>
  <c r="W66" i="61"/>
  <c r="C67" i="61"/>
  <c r="D67" i="61"/>
  <c r="E67" i="61"/>
  <c r="F67" i="61"/>
  <c r="G67" i="61"/>
  <c r="H67" i="61"/>
  <c r="I67" i="61"/>
  <c r="J67" i="61"/>
  <c r="K67" i="61"/>
  <c r="L67" i="61"/>
  <c r="M67" i="61"/>
  <c r="N67" i="61"/>
  <c r="O67" i="61"/>
  <c r="P67" i="61"/>
  <c r="Q67" i="61"/>
  <c r="R67" i="61"/>
  <c r="S67" i="61"/>
  <c r="T67" i="61"/>
  <c r="U67" i="61"/>
  <c r="V67" i="61"/>
  <c r="W67" i="61"/>
  <c r="C68" i="61"/>
  <c r="D68" i="61"/>
  <c r="E68" i="61"/>
  <c r="F68" i="61"/>
  <c r="G68" i="61"/>
  <c r="H68" i="61"/>
  <c r="I68" i="61"/>
  <c r="J68" i="61"/>
  <c r="K68" i="61"/>
  <c r="L68" i="61"/>
  <c r="M68" i="61"/>
  <c r="N68" i="61"/>
  <c r="O68" i="61"/>
  <c r="P68" i="61"/>
  <c r="Q68" i="61"/>
  <c r="R68" i="61"/>
  <c r="S68" i="61"/>
  <c r="T68" i="61"/>
  <c r="U68" i="61"/>
  <c r="V68" i="61"/>
  <c r="W68" i="61"/>
  <c r="C69" i="61"/>
  <c r="D69" i="61"/>
  <c r="E69" i="61"/>
  <c r="F69" i="61"/>
  <c r="G69" i="61"/>
  <c r="H69" i="61"/>
  <c r="I69" i="61"/>
  <c r="J69" i="61"/>
  <c r="K69" i="61"/>
  <c r="L69" i="61"/>
  <c r="M69" i="61"/>
  <c r="N69" i="61"/>
  <c r="O69" i="61"/>
  <c r="P69" i="61"/>
  <c r="Q69" i="61"/>
  <c r="R69" i="61"/>
  <c r="S69" i="61"/>
  <c r="T69" i="61"/>
  <c r="U69" i="61"/>
  <c r="V69" i="61"/>
  <c r="W69" i="61"/>
  <c r="C70" i="61"/>
  <c r="D70" i="61"/>
  <c r="E70" i="61"/>
  <c r="F70" i="61"/>
  <c r="G70" i="61"/>
  <c r="H70" i="61"/>
  <c r="I70" i="61"/>
  <c r="J70" i="61"/>
  <c r="K70" i="61"/>
  <c r="L70" i="61"/>
  <c r="M70" i="61"/>
  <c r="N70" i="61"/>
  <c r="O70" i="61"/>
  <c r="P70" i="61"/>
  <c r="Q70" i="61"/>
  <c r="R70" i="61"/>
  <c r="S70" i="61"/>
  <c r="T70" i="61"/>
  <c r="U70" i="61"/>
  <c r="V70" i="61"/>
  <c r="W70" i="61"/>
  <c r="X70" i="61"/>
  <c r="X62" i="61"/>
  <c r="X63" i="61"/>
  <c r="X64" i="61"/>
  <c r="X65" i="61"/>
  <c r="X67" i="61"/>
  <c r="X68" i="61"/>
  <c r="X69" i="61"/>
  <c r="A62" i="61"/>
  <c r="A63" i="61"/>
  <c r="A64" i="61"/>
  <c r="A65" i="61"/>
  <c r="A66" i="61"/>
  <c r="A67" i="61"/>
  <c r="A80" i="61" s="1"/>
  <c r="A68" i="61"/>
  <c r="A81" i="61" s="1"/>
  <c r="A69" i="61"/>
  <c r="A70" i="61"/>
  <c r="A61" i="61"/>
  <c r="X61" i="61"/>
  <c r="AC15" i="6"/>
  <c r="C5" i="7"/>
  <c r="D5" i="7"/>
  <c r="E5" i="7"/>
  <c r="C6" i="7"/>
  <c r="D6" i="7"/>
  <c r="E6" i="7"/>
  <c r="C7" i="7"/>
  <c r="D7" i="7"/>
  <c r="E7" i="7"/>
  <c r="C8" i="7"/>
  <c r="D8" i="7"/>
  <c r="E8" i="7"/>
  <c r="C9" i="7"/>
  <c r="D9" i="7"/>
  <c r="E9" i="7"/>
  <c r="C10" i="7"/>
  <c r="D10" i="7"/>
  <c r="E10" i="7"/>
  <c r="C11" i="7"/>
  <c r="D11" i="7"/>
  <c r="E11" i="7"/>
  <c r="C12" i="7"/>
  <c r="D12" i="7"/>
  <c r="E12" i="7"/>
  <c r="C13" i="7"/>
  <c r="D13" i="7"/>
  <c r="E13" i="7"/>
  <c r="C14" i="7"/>
  <c r="D14" i="7"/>
  <c r="C15" i="7"/>
  <c r="D15" i="7"/>
  <c r="E15" i="7"/>
  <c r="C16" i="7"/>
  <c r="D16" i="7"/>
  <c r="E16" i="7"/>
  <c r="C17" i="7"/>
  <c r="D17" i="7"/>
  <c r="E17" i="7"/>
  <c r="E4" i="7"/>
  <c r="C4" i="7"/>
  <c r="D4" i="7"/>
  <c r="BE18" i="7"/>
  <c r="BC18" i="7"/>
  <c r="BB18" i="7"/>
  <c r="BA18" i="7"/>
  <c r="AZ18" i="7"/>
  <c r="BG14" i="7"/>
  <c r="BJ12" i="7"/>
  <c r="BG4" i="7"/>
  <c r="BF4" i="7"/>
  <c r="BF18" i="7" s="1"/>
  <c r="E14" i="7" l="1"/>
  <c r="BG18" i="7"/>
  <c r="L83" i="61"/>
  <c r="U79" i="61"/>
  <c r="X78" i="61"/>
  <c r="W79" i="61"/>
  <c r="H84" i="61"/>
  <c r="L78" i="61"/>
  <c r="D84" i="61"/>
  <c r="D83" i="61"/>
  <c r="K78" i="61"/>
  <c r="R78" i="61"/>
  <c r="S83" i="61"/>
  <c r="R79" i="61"/>
  <c r="H83" i="61"/>
  <c r="R84" i="61"/>
  <c r="D79" i="61"/>
  <c r="V83" i="61"/>
  <c r="O84" i="61"/>
  <c r="D77" i="61"/>
  <c r="D82" i="61" s="1"/>
  <c r="U77" i="61"/>
  <c r="U82" i="61" s="1"/>
  <c r="D80" i="61"/>
  <c r="W77" i="61"/>
  <c r="W82" i="61" s="1"/>
  <c r="F77" i="61"/>
  <c r="F82" i="61" s="1"/>
  <c r="T77" i="61"/>
  <c r="T79" i="61" s="1"/>
  <c r="C77" i="61"/>
  <c r="R77" i="61"/>
  <c r="R83" i="61" s="1"/>
  <c r="Q77" i="61"/>
  <c r="P77" i="61"/>
  <c r="P82" i="61" s="1"/>
  <c r="N77" i="61"/>
  <c r="N79" i="61" s="1"/>
  <c r="E77" i="61"/>
  <c r="E82" i="61" s="1"/>
  <c r="M77" i="61"/>
  <c r="M82" i="61" s="1"/>
  <c r="O77" i="61"/>
  <c r="O82" i="61" s="1"/>
  <c r="L77" i="61"/>
  <c r="L82" i="61" s="1"/>
  <c r="I77" i="61"/>
  <c r="I78" i="61" s="1"/>
  <c r="K77" i="61"/>
  <c r="K82" i="61" s="1"/>
  <c r="H77" i="61"/>
  <c r="H82" i="61" s="1"/>
  <c r="J77" i="61"/>
  <c r="G77" i="61"/>
  <c r="G82" i="61" s="1"/>
  <c r="X77" i="61"/>
  <c r="X79" i="61" s="1"/>
  <c r="U80" i="61"/>
  <c r="N80" i="61"/>
  <c r="U81" i="61"/>
  <c r="C23" i="11" s="1"/>
  <c r="E81" i="61"/>
  <c r="V77" i="61"/>
  <c r="V82" i="61" s="1"/>
  <c r="S77" i="61"/>
  <c r="S82" i="61" s="1"/>
  <c r="T124" i="51"/>
  <c r="T132" i="51" s="1"/>
  <c r="T137" i="51" s="1"/>
  <c r="T116" i="51"/>
  <c r="S124" i="51"/>
  <c r="S132" i="51" s="1"/>
  <c r="S137" i="51" s="1"/>
  <c r="S116" i="51"/>
  <c r="R124" i="51"/>
  <c r="R132" i="51" s="1"/>
  <c r="R137" i="51" s="1"/>
  <c r="R116" i="51"/>
  <c r="Q124" i="51"/>
  <c r="Q132" i="51" s="1"/>
  <c r="Q137" i="51" s="1"/>
  <c r="Q116" i="51"/>
  <c r="P124" i="51"/>
  <c r="P132" i="51" s="1"/>
  <c r="P137" i="51" s="1"/>
  <c r="P116" i="51"/>
  <c r="O124" i="51"/>
  <c r="O132" i="51" s="1"/>
  <c r="O137" i="51" s="1"/>
  <c r="O116" i="51"/>
  <c r="N124" i="51"/>
  <c r="N132" i="51" s="1"/>
  <c r="N137" i="51" s="1"/>
  <c r="N116" i="51"/>
  <c r="M124" i="51"/>
  <c r="M132" i="51" s="1"/>
  <c r="M137" i="51" s="1"/>
  <c r="M116" i="51"/>
  <c r="L124" i="51"/>
  <c r="L132" i="51" s="1"/>
  <c r="L137" i="51" s="1"/>
  <c r="L116" i="51"/>
  <c r="K124" i="51"/>
  <c r="K132" i="51" s="1"/>
  <c r="K137" i="51" s="1"/>
  <c r="K116" i="51"/>
  <c r="J124" i="51"/>
  <c r="J132" i="51" s="1"/>
  <c r="J137" i="51" s="1"/>
  <c r="J116" i="51"/>
  <c r="I124" i="51"/>
  <c r="I132" i="51" s="1"/>
  <c r="I137" i="51" s="1"/>
  <c r="I116" i="51"/>
  <c r="H124" i="51"/>
  <c r="H132" i="51" s="1"/>
  <c r="H137" i="51" s="1"/>
  <c r="H116" i="51"/>
  <c r="G124" i="51"/>
  <c r="G132" i="51" s="1"/>
  <c r="G137" i="51" s="1"/>
  <c r="G116" i="51"/>
  <c r="F124" i="51"/>
  <c r="E79" i="61" l="1"/>
  <c r="W83" i="61"/>
  <c r="M79" i="61"/>
  <c r="W80" i="61"/>
  <c r="E84" i="61"/>
  <c r="K83" i="61"/>
  <c r="N78" i="61"/>
  <c r="W78" i="61"/>
  <c r="E78" i="61"/>
  <c r="F80" i="61"/>
  <c r="M81" i="61"/>
  <c r="O81" i="61"/>
  <c r="N83" i="61"/>
  <c r="M84" i="61"/>
  <c r="O78" i="61"/>
  <c r="D78" i="61"/>
  <c r="T80" i="61"/>
  <c r="K84" i="61"/>
  <c r="T83" i="61"/>
  <c r="L79" i="61"/>
  <c r="H79" i="61"/>
  <c r="T78" i="61"/>
  <c r="U83" i="61"/>
  <c r="E83" i="61"/>
  <c r="V78" i="61"/>
  <c r="T84" i="61"/>
  <c r="G79" i="61"/>
  <c r="W84" i="61"/>
  <c r="Q81" i="61"/>
  <c r="Q82" i="61"/>
  <c r="J81" i="61"/>
  <c r="J82" i="61"/>
  <c r="G84" i="61"/>
  <c r="I80" i="61"/>
  <c r="I82" i="61"/>
  <c r="U84" i="61"/>
  <c r="F79" i="61"/>
  <c r="Q84" i="61"/>
  <c r="T81" i="61"/>
  <c r="T82" i="61"/>
  <c r="P78" i="61"/>
  <c r="M83" i="61"/>
  <c r="P84" i="61"/>
  <c r="U78" i="61"/>
  <c r="K80" i="61"/>
  <c r="H78" i="61"/>
  <c r="P79" i="61"/>
  <c r="J79" i="61"/>
  <c r="S79" i="61"/>
  <c r="I79" i="61"/>
  <c r="L84" i="61"/>
  <c r="F78" i="61"/>
  <c r="O79" i="61"/>
  <c r="F84" i="61"/>
  <c r="I84" i="61"/>
  <c r="R81" i="61"/>
  <c r="R82" i="61"/>
  <c r="X80" i="61"/>
  <c r="X82" i="61"/>
  <c r="Q79" i="61"/>
  <c r="K79" i="61"/>
  <c r="S84" i="61"/>
  <c r="H80" i="61"/>
  <c r="J84" i="61"/>
  <c r="X83" i="61"/>
  <c r="Q78" i="61"/>
  <c r="F81" i="61"/>
  <c r="G78" i="61"/>
  <c r="G83" i="61"/>
  <c r="I83" i="61"/>
  <c r="V79" i="61"/>
  <c r="S78" i="61"/>
  <c r="Q83" i="61"/>
  <c r="V84" i="61"/>
  <c r="M78" i="61"/>
  <c r="J83" i="61"/>
  <c r="W81" i="61"/>
  <c r="E23" i="11" s="1"/>
  <c r="E22" i="11" s="1"/>
  <c r="T22" i="11" s="1"/>
  <c r="T44" i="11" s="1"/>
  <c r="T55" i="11" s="1"/>
  <c r="E80" i="61"/>
  <c r="N81" i="61"/>
  <c r="N82" i="61"/>
  <c r="P83" i="61"/>
  <c r="N84" i="61"/>
  <c r="J78" i="61"/>
  <c r="F83" i="61"/>
  <c r="X84" i="61"/>
  <c r="O83" i="61"/>
  <c r="S80" i="61"/>
  <c r="I81" i="61"/>
  <c r="K81" i="61"/>
  <c r="P80" i="61"/>
  <c r="P81" i="61"/>
  <c r="G80" i="61"/>
  <c r="J80" i="61"/>
  <c r="O80" i="61"/>
  <c r="X81" i="61"/>
  <c r="F23" i="11" s="1"/>
  <c r="F34" i="11" s="1"/>
  <c r="R80" i="61"/>
  <c r="D81" i="61"/>
  <c r="G81" i="61"/>
  <c r="M80" i="61"/>
  <c r="L81" i="61"/>
  <c r="H81" i="61"/>
  <c r="Q80" i="61"/>
  <c r="L80" i="61"/>
  <c r="V80" i="61"/>
  <c r="C34" i="11"/>
  <c r="C25" i="11"/>
  <c r="C22" i="11"/>
  <c r="R22" i="11" s="1"/>
  <c r="R44" i="11" s="1"/>
  <c r="R55" i="11" s="1"/>
  <c r="R23" i="11"/>
  <c r="R25" i="11" s="1"/>
  <c r="V81" i="61"/>
  <c r="D23" i="11" s="1"/>
  <c r="K23" i="11" s="1" a="1"/>
  <c r="K23" i="11" s="1"/>
  <c r="Z23" i="11" s="1"/>
  <c r="S81" i="61"/>
  <c r="F132" i="51"/>
  <c r="F137" i="51" s="1"/>
  <c r="E34" i="11" l="1"/>
  <c r="T23" i="11"/>
  <c r="G23" i="11" a="1"/>
  <c r="G23" i="11" s="1"/>
  <c r="V23" i="11" s="1"/>
  <c r="V22" i="11" s="1"/>
  <c r="I23" i="11" a="1"/>
  <c r="I23" i="11" s="1"/>
  <c r="X23" i="11" s="1"/>
  <c r="O23" i="11" a="1"/>
  <c r="O23" i="11" s="1"/>
  <c r="AD23" i="11" s="1"/>
  <c r="J23" i="11" a="1"/>
  <c r="J23" i="11" s="1"/>
  <c r="Y23" i="11" s="1"/>
  <c r="H23" i="11" a="1"/>
  <c r="H23" i="11" s="1"/>
  <c r="W23" i="11" s="1"/>
  <c r="F22" i="11"/>
  <c r="U22" i="11" s="1"/>
  <c r="U44" i="11" s="1"/>
  <c r="U55" i="11" s="1"/>
  <c r="U23" i="11"/>
  <c r="N23" i="11" a="1"/>
  <c r="N23" i="11" s="1"/>
  <c r="AC23" i="11" s="1"/>
  <c r="M23" i="11" a="1"/>
  <c r="M23" i="11" s="1"/>
  <c r="AB23" i="11" s="1"/>
  <c r="C36" i="11"/>
  <c r="C45" i="11"/>
  <c r="C33" i="11"/>
  <c r="E33" i="11"/>
  <c r="E45" i="11"/>
  <c r="D22" i="11"/>
  <c r="S22" i="11" s="1"/>
  <c r="S44" i="11" s="1"/>
  <c r="S55" i="11" s="1"/>
  <c r="D34" i="11"/>
  <c r="S23" i="11"/>
  <c r="F45" i="11"/>
  <c r="F33" i="11"/>
  <c r="L23" i="11" a="1"/>
  <c r="L23" i="11" s="1"/>
  <c r="AA23" i="11" s="1"/>
  <c r="X11" i="42"/>
  <c r="Y3" i="42" s="1"/>
  <c r="G22" i="11" l="1"/>
  <c r="G34" i="11"/>
  <c r="G45" i="11" s="1"/>
  <c r="F44" i="11"/>
  <c r="U45" i="11"/>
  <c r="R45" i="11"/>
  <c r="R47" i="11" s="1"/>
  <c r="C44" i="11"/>
  <c r="C55" i="11" s="1"/>
  <c r="C47" i="11"/>
  <c r="D33" i="11"/>
  <c r="D45" i="11"/>
  <c r="T45" i="11"/>
  <c r="E44" i="11"/>
  <c r="E55" i="11" s="1"/>
  <c r="Y5" i="42"/>
  <c r="Y10" i="42"/>
  <c r="Y9" i="42"/>
  <c r="Y8" i="42"/>
  <c r="Y7" i="42"/>
  <c r="Y6" i="42"/>
  <c r="Y4" i="42"/>
  <c r="G33" i="11" l="1"/>
  <c r="D44" i="11"/>
  <c r="D55" i="11" s="1"/>
  <c r="S45" i="11"/>
  <c r="G44" i="11"/>
  <c r="V45" i="11"/>
  <c r="V44" i="11" s="1"/>
  <c r="V55" i="11" s="1"/>
  <c r="D23" i="42"/>
  <c r="D24" i="42"/>
  <c r="D22" i="42"/>
  <c r="Y4" i="5"/>
  <c r="Z4" i="5"/>
  <c r="AA4" i="5"/>
  <c r="AB4" i="5"/>
  <c r="AC4" i="5"/>
  <c r="AD4" i="5"/>
  <c r="AE4" i="5"/>
  <c r="AF4" i="5"/>
  <c r="AG4" i="5"/>
  <c r="AJ4" i="5"/>
  <c r="Y5" i="5"/>
  <c r="Z5" i="5"/>
  <c r="AA5" i="5"/>
  <c r="AB5" i="5"/>
  <c r="AC5" i="5"/>
  <c r="AD5" i="5"/>
  <c r="AE5" i="5"/>
  <c r="AF5" i="5"/>
  <c r="AG5" i="5"/>
  <c r="AJ5" i="5"/>
  <c r="Y6" i="5"/>
  <c r="Z6" i="5"/>
  <c r="AA6" i="5"/>
  <c r="AB6" i="5"/>
  <c r="AC6" i="5"/>
  <c r="AD6" i="5"/>
  <c r="AE6" i="5"/>
  <c r="AF6" i="5"/>
  <c r="AG6" i="5"/>
  <c r="AJ6" i="5"/>
  <c r="Y7" i="5"/>
  <c r="Z7" i="5"/>
  <c r="AA7" i="5"/>
  <c r="AB7" i="5"/>
  <c r="AC7" i="5"/>
  <c r="AD7" i="5"/>
  <c r="AE7" i="5"/>
  <c r="AF7" i="5"/>
  <c r="AG7" i="5"/>
  <c r="AJ7" i="5"/>
  <c r="Y8" i="5"/>
  <c r="Z8" i="5"/>
  <c r="AA8" i="5"/>
  <c r="AB8" i="5"/>
  <c r="AC8" i="5"/>
  <c r="AD8" i="5"/>
  <c r="AE8" i="5"/>
  <c r="AF8" i="5"/>
  <c r="AG8" i="5"/>
  <c r="AJ8" i="5"/>
  <c r="Y9" i="5"/>
  <c r="Z9" i="5"/>
  <c r="AA9" i="5"/>
  <c r="AB9" i="5"/>
  <c r="AC9" i="5"/>
  <c r="AD9" i="5"/>
  <c r="AE9" i="5"/>
  <c r="AF9" i="5"/>
  <c r="AG9" i="5"/>
  <c r="AJ9" i="5"/>
  <c r="Y10" i="5"/>
  <c r="Z10" i="5"/>
  <c r="AA10" i="5"/>
  <c r="AB10" i="5"/>
  <c r="AC10" i="5"/>
  <c r="AD10" i="5"/>
  <c r="AE10" i="5"/>
  <c r="AF10" i="5"/>
  <c r="AG10" i="5"/>
  <c r="AJ10" i="5"/>
  <c r="AC11" i="5"/>
  <c r="AD11" i="5"/>
  <c r="AE11" i="5"/>
  <c r="AJ11" i="5"/>
  <c r="AC12" i="5"/>
  <c r="AD12" i="5"/>
  <c r="AE12" i="5"/>
  <c r="AJ12" i="5"/>
  <c r="AC13" i="5"/>
  <c r="AD13" i="5"/>
  <c r="AE13" i="5"/>
  <c r="AJ13" i="5"/>
  <c r="AC14" i="5"/>
  <c r="AD14" i="5"/>
  <c r="AE14" i="5"/>
  <c r="AJ14" i="5"/>
  <c r="AC15" i="5"/>
  <c r="AD15" i="5"/>
  <c r="AE15" i="5"/>
  <c r="AJ15" i="5"/>
  <c r="AC16" i="5"/>
  <c r="AD16" i="5"/>
  <c r="AE16" i="5"/>
  <c r="AJ16" i="5"/>
  <c r="AC17" i="5"/>
  <c r="AD17" i="5"/>
  <c r="AE17" i="5"/>
  <c r="AJ17" i="5"/>
  <c r="AC18" i="5"/>
  <c r="AD18" i="5"/>
  <c r="AE18" i="5"/>
  <c r="AJ18" i="5"/>
  <c r="AC19" i="5"/>
  <c r="AD19" i="5"/>
  <c r="AE19" i="5"/>
  <c r="AJ19" i="5"/>
  <c r="AC20" i="5"/>
  <c r="AD20" i="5"/>
  <c r="AE20" i="5"/>
  <c r="AJ20" i="5"/>
  <c r="AC21" i="5"/>
  <c r="AD21" i="5"/>
  <c r="AE21" i="5"/>
  <c r="AJ21" i="5"/>
  <c r="AE31" i="5"/>
  <c r="G88" i="7"/>
  <c r="H89" i="7"/>
  <c r="F93" i="7"/>
  <c r="G93" i="7"/>
  <c r="H93" i="7"/>
  <c r="AH11" i="7"/>
  <c r="AI11" i="7"/>
  <c r="D87" i="7" s="1"/>
  <c r="AJ11" i="7"/>
  <c r="AK11" i="7"/>
  <c r="E87" i="7" s="1"/>
  <c r="AL11" i="7"/>
  <c r="AM11" i="7"/>
  <c r="AM29" i="7" s="1"/>
  <c r="AN11" i="7"/>
  <c r="AO11" i="7"/>
  <c r="AO29" i="7" s="1"/>
  <c r="AH12" i="7"/>
  <c r="C88" i="7" s="1"/>
  <c r="AI12" i="7"/>
  <c r="AJ12" i="7"/>
  <c r="AK12" i="7"/>
  <c r="E88" i="7" s="1"/>
  <c r="AL12" i="7"/>
  <c r="F88" i="7" s="1"/>
  <c r="AM12" i="7"/>
  <c r="AN12" i="7"/>
  <c r="AO12" i="7"/>
  <c r="AP12" i="7" s="1"/>
  <c r="AH13" i="7"/>
  <c r="C89" i="7" s="1"/>
  <c r="AI13" i="7"/>
  <c r="D89" i="7" s="1"/>
  <c r="AJ13" i="7"/>
  <c r="AJ31" i="7" s="1"/>
  <c r="AK13" i="7"/>
  <c r="E89" i="7" s="1"/>
  <c r="AL13" i="7"/>
  <c r="AM13" i="7"/>
  <c r="AN13" i="7"/>
  <c r="AO13" i="7"/>
  <c r="AH15" i="7"/>
  <c r="C91" i="7" s="1"/>
  <c r="AI15" i="7"/>
  <c r="AJ15" i="7"/>
  <c r="AJ33" i="7" s="1"/>
  <c r="AK15" i="7"/>
  <c r="AK33" i="7" s="1"/>
  <c r="AL15" i="7"/>
  <c r="AM15" i="7"/>
  <c r="AN15" i="7"/>
  <c r="AH17" i="7"/>
  <c r="C93" i="7" s="1"/>
  <c r="AI17" i="7"/>
  <c r="D93" i="7" s="1"/>
  <c r="AJ17" i="7"/>
  <c r="AJ35" i="7" s="1"/>
  <c r="AK17" i="7"/>
  <c r="AK35" i="7" s="1"/>
  <c r="AL17" i="7"/>
  <c r="AL35" i="7" s="1"/>
  <c r="AM17" i="7"/>
  <c r="AN17" i="7"/>
  <c r="AH91" i="7"/>
  <c r="AI91" i="7"/>
  <c r="AJ91" i="7"/>
  <c r="AG91" i="7"/>
  <c r="AM91" i="7" s="1"/>
  <c r="D88" i="7"/>
  <c r="D91" i="7"/>
  <c r="AM65" i="7"/>
  <c r="AM66" i="7"/>
  <c r="AM67" i="7"/>
  <c r="AM68" i="7"/>
  <c r="AM70" i="7"/>
  <c r="AM71" i="7"/>
  <c r="AH30" i="7"/>
  <c r="T30" i="7"/>
  <c r="T11" i="7"/>
  <c r="C65" i="7" s="1"/>
  <c r="U11" i="7"/>
  <c r="V11" i="7"/>
  <c r="D65" i="7" s="1"/>
  <c r="W11" i="7"/>
  <c r="E65" i="7" s="1"/>
  <c r="X11" i="7"/>
  <c r="F65" i="7" s="1"/>
  <c r="Y11" i="7"/>
  <c r="T12" i="7"/>
  <c r="C66" i="7" s="1"/>
  <c r="U12" i="7"/>
  <c r="V12" i="7"/>
  <c r="W12" i="7"/>
  <c r="X12" i="7"/>
  <c r="F66" i="7" s="1"/>
  <c r="Y12" i="7"/>
  <c r="Z59" i="7"/>
  <c r="AA11" i="7"/>
  <c r="AB11" i="7"/>
  <c r="AC11" i="7"/>
  <c r="AD11" i="7"/>
  <c r="AA12" i="7"/>
  <c r="AB12" i="7"/>
  <c r="AC12" i="7"/>
  <c r="AD12" i="7"/>
  <c r="AA13" i="7"/>
  <c r="AB13" i="7"/>
  <c r="AC13" i="7"/>
  <c r="AD13" i="7"/>
  <c r="Z11" i="7"/>
  <c r="Z12" i="7"/>
  <c r="Z13" i="7"/>
  <c r="Z15" i="7"/>
  <c r="Z17" i="7"/>
  <c r="Z66" i="7"/>
  <c r="Z67" i="7"/>
  <c r="Z68" i="7"/>
  <c r="Z70" i="7"/>
  <c r="P72" i="7"/>
  <c r="P81" i="7"/>
  <c r="P63" i="7" s="1"/>
  <c r="P85" i="7"/>
  <c r="P67" i="7" s="1"/>
  <c r="P78" i="7"/>
  <c r="P60" i="7" s="1"/>
  <c r="P79" i="7"/>
  <c r="P61" i="7" s="1"/>
  <c r="P80" i="7"/>
  <c r="P62" i="7" s="1"/>
  <c r="P86" i="7"/>
  <c r="P68" i="7" s="1"/>
  <c r="P87" i="7"/>
  <c r="P69" i="7" s="1"/>
  <c r="P88" i="7"/>
  <c r="P70" i="7" s="1"/>
  <c r="P89" i="7"/>
  <c r="P71" i="7" s="1"/>
  <c r="P90" i="7"/>
  <c r="B64" i="7"/>
  <c r="P83" i="7" s="1"/>
  <c r="P65" i="7" s="1"/>
  <c r="B65" i="7"/>
  <c r="P84" i="7" s="1"/>
  <c r="P66" i="7" s="1"/>
  <c r="B66" i="7"/>
  <c r="B88" i="7" s="1"/>
  <c r="B63" i="7"/>
  <c r="P82" i="7" s="1"/>
  <c r="P64" i="7" s="1"/>
  <c r="G65" i="7"/>
  <c r="G66" i="7"/>
  <c r="B58" i="7"/>
  <c r="AL33" i="7" l="1"/>
  <c r="AN29" i="7"/>
  <c r="AL29" i="7"/>
  <c r="AN30" i="7"/>
  <c r="AP30" i="7"/>
  <c r="AQ12" i="7"/>
  <c r="B86" i="7"/>
  <c r="AP13" i="7"/>
  <c r="AO31" i="7"/>
  <c r="AN31" i="7"/>
  <c r="AM31" i="7"/>
  <c r="H87" i="7"/>
  <c r="AL31" i="7"/>
  <c r="G87" i="7"/>
  <c r="AK31" i="7"/>
  <c r="AP11" i="7"/>
  <c r="F87" i="7"/>
  <c r="AN35" i="7"/>
  <c r="AN33" i="7"/>
  <c r="AK29" i="7"/>
  <c r="H91" i="7"/>
  <c r="AM35" i="7"/>
  <c r="AM33" i="7"/>
  <c r="AO30" i="7"/>
  <c r="AJ29" i="7"/>
  <c r="G91" i="7"/>
  <c r="F91" i="7"/>
  <c r="AM30" i="7"/>
  <c r="B85" i="7"/>
  <c r="AL30" i="7"/>
  <c r="E93" i="7"/>
  <c r="J93" i="7" s="1"/>
  <c r="G89" i="7"/>
  <c r="AK30" i="7"/>
  <c r="F89" i="7"/>
  <c r="J89" i="7" s="1"/>
  <c r="B87" i="7"/>
  <c r="AJ30" i="7"/>
  <c r="E91" i="7"/>
  <c r="H88" i="7"/>
  <c r="AI30" i="7"/>
  <c r="X29" i="7"/>
  <c r="T29" i="7"/>
  <c r="W29" i="7"/>
  <c r="Y29" i="7"/>
  <c r="V29" i="7"/>
  <c r="U29" i="7"/>
  <c r="I24" i="42"/>
  <c r="M23" i="42"/>
  <c r="K23" i="42"/>
  <c r="L23" i="42"/>
  <c r="AI29" i="7"/>
  <c r="AH29" i="7"/>
  <c r="J88" i="7"/>
  <c r="C87" i="7"/>
  <c r="E66" i="7"/>
  <c r="Z30" i="7"/>
  <c r="Z29" i="7"/>
  <c r="V30" i="7"/>
  <c r="D66" i="7"/>
  <c r="Y30" i="7"/>
  <c r="AB29" i="7"/>
  <c r="AA29" i="7"/>
  <c r="AC29" i="7"/>
  <c r="X30" i="7"/>
  <c r="AA30" i="7"/>
  <c r="U30" i="7"/>
  <c r="W30" i="7"/>
  <c r="AD29" i="7"/>
  <c r="J91" i="7" l="1"/>
  <c r="AJ88" i="7" s="1"/>
  <c r="AH88" i="7"/>
  <c r="AP29" i="7"/>
  <c r="AQ11" i="7"/>
  <c r="AQ13" i="7"/>
  <c r="AP31" i="7"/>
  <c r="AG88" i="7"/>
  <c r="AR12" i="7"/>
  <c r="AR30" i="7" s="1"/>
  <c r="AQ30" i="7"/>
  <c r="AI88" i="7"/>
  <c r="F22" i="42"/>
  <c r="G22" i="42"/>
  <c r="H22" i="42"/>
  <c r="G24" i="42"/>
  <c r="J24" i="42"/>
  <c r="F24" i="42"/>
  <c r="H24" i="42"/>
  <c r="K24" i="42"/>
  <c r="F23" i="42"/>
  <c r="K22" i="42"/>
  <c r="J87" i="7"/>
  <c r="AG86" i="7"/>
  <c r="AI86" i="7"/>
  <c r="AH86" i="7"/>
  <c r="AJ86" i="7"/>
  <c r="AH90" i="7"/>
  <c r="AI90" i="7"/>
  <c r="AJ90" i="7"/>
  <c r="AG90" i="7"/>
  <c r="AG85" i="7"/>
  <c r="AH85" i="7"/>
  <c r="AI85" i="7"/>
  <c r="AJ85" i="7"/>
  <c r="AB30" i="7"/>
  <c r="AM88" i="7" l="1"/>
  <c r="AQ29" i="7"/>
  <c r="AR11" i="7"/>
  <c r="AR29" i="7" s="1"/>
  <c r="AR13" i="7"/>
  <c r="AR31" i="7" s="1"/>
  <c r="AQ31" i="7"/>
  <c r="I22" i="42"/>
  <c r="J22" i="42"/>
  <c r="L22" i="42"/>
  <c r="G23" i="42"/>
  <c r="L24" i="42"/>
  <c r="AM86" i="7"/>
  <c r="AM90" i="7"/>
  <c r="AI84" i="7"/>
  <c r="AJ84" i="7"/>
  <c r="AH84" i="7"/>
  <c r="AG84" i="7"/>
  <c r="AM85" i="7"/>
  <c r="AC30" i="7"/>
  <c r="AM84" i="7" l="1"/>
  <c r="M24" i="42"/>
  <c r="H23" i="42"/>
  <c r="M22" i="42"/>
  <c r="AD30" i="7"/>
  <c r="I23" i="42" l="1"/>
  <c r="J23" i="42"/>
  <c r="M16" i="7" l="1" a="1"/>
  <c r="M16" i="7" s="1"/>
  <c r="L16" i="7" a="1"/>
  <c r="L16" i="7" s="1"/>
  <c r="K16" i="7" a="1"/>
  <c r="K16" i="7" s="1"/>
  <c r="J16" i="7" a="1"/>
  <c r="J16" i="7" s="1"/>
  <c r="M14" i="7" a="1"/>
  <c r="M14" i="7" s="1"/>
  <c r="L14" i="7" a="1"/>
  <c r="L14" i="7" s="1"/>
  <c r="K14" i="7" a="1"/>
  <c r="K14" i="7" s="1"/>
  <c r="J14" i="7" a="1"/>
  <c r="J14" i="7" s="1"/>
  <c r="M10" i="7" a="1"/>
  <c r="M10" i="7" s="1"/>
  <c r="L10" i="7" a="1"/>
  <c r="L10" i="7" s="1"/>
  <c r="K10" i="7" a="1"/>
  <c r="K10" i="7" s="1"/>
  <c r="J10" i="7" a="1"/>
  <c r="J10" i="7" s="1"/>
  <c r="M8" i="7" a="1"/>
  <c r="M8" i="7" s="1"/>
  <c r="L8" i="7" a="1"/>
  <c r="L8" i="7" s="1"/>
  <c r="K8" i="7" a="1"/>
  <c r="K8" i="7" s="1"/>
  <c r="M7" i="7" a="1"/>
  <c r="M7" i="7" s="1"/>
  <c r="L7" i="7" a="1"/>
  <c r="L7" i="7" s="1"/>
  <c r="K7" i="7" a="1"/>
  <c r="K7" i="7" s="1"/>
  <c r="J7" i="7" a="1"/>
  <c r="J7" i="7" s="1"/>
  <c r="K5" i="7" a="1"/>
  <c r="K5" i="7" s="1"/>
  <c r="L5" i="7" a="1"/>
  <c r="L5" i="7" s="1"/>
  <c r="M5" i="7" a="1"/>
  <c r="M5" i="7" s="1"/>
  <c r="J5" i="7" a="1"/>
  <c r="J5" i="7" s="1"/>
  <c r="J4" i="7"/>
  <c r="H65" i="7"/>
  <c r="J65" i="7" s="1"/>
  <c r="H66" i="7"/>
  <c r="J66" i="7" s="1"/>
  <c r="D125" i="7"/>
  <c r="E125" i="7"/>
  <c r="F125" i="7"/>
  <c r="G125" i="7"/>
  <c r="B126" i="7"/>
  <c r="B127" i="7"/>
  <c r="B128" i="7"/>
  <c r="B129" i="7"/>
  <c r="B125" i="7"/>
  <c r="AG5" i="7"/>
  <c r="AG6" i="7"/>
  <c r="AG7" i="7"/>
  <c r="AG8" i="7"/>
  <c r="AG13" i="7"/>
  <c r="AG14" i="7"/>
  <c r="AG15" i="7"/>
  <c r="AG16" i="7"/>
  <c r="AG17" i="7"/>
  <c r="AG4" i="7"/>
  <c r="S10" i="7"/>
  <c r="S11" i="7"/>
  <c r="S12" i="7"/>
  <c r="S9" i="7"/>
  <c r="J9" i="7"/>
  <c r="AG11" i="7" l="1"/>
  <c r="AG29" i="7" s="1"/>
  <c r="S29" i="7"/>
  <c r="AG10" i="7"/>
  <c r="AG28" i="7" s="1"/>
  <c r="S28" i="7"/>
  <c r="AG9" i="7"/>
  <c r="AG27" i="7" s="1"/>
  <c r="S27" i="7"/>
  <c r="AG12" i="7"/>
  <c r="AG30" i="7" s="1"/>
  <c r="S30" i="7"/>
  <c r="S84" i="7"/>
  <c r="T84" i="7"/>
  <c r="U84" i="7"/>
  <c r="V84" i="7"/>
  <c r="W84" i="7"/>
  <c r="X84" i="7"/>
  <c r="S85" i="7"/>
  <c r="T85" i="7"/>
  <c r="U85" i="7"/>
  <c r="V85" i="7"/>
  <c r="W85" i="7"/>
  <c r="X85" i="7"/>
  <c r="H125" i="7"/>
  <c r="K9" i="7"/>
  <c r="L9" i="7" s="1"/>
  <c r="M9" i="7" s="1"/>
  <c r="K4" i="7"/>
  <c r="L4" i="7"/>
  <c r="M4" i="7" s="1"/>
  <c r="Z85" i="7" l="1"/>
  <c r="Z84" i="7"/>
  <c r="E18" i="42" l="1"/>
  <c r="CF99" i="2"/>
  <c r="CF100" i="2"/>
  <c r="CF101" i="2"/>
  <c r="CF102" i="2"/>
  <c r="CF103" i="2"/>
  <c r="CF104" i="2"/>
  <c r="CF105" i="2"/>
  <c r="CF106" i="2"/>
  <c r="CF107" i="2"/>
  <c r="CF108" i="2"/>
  <c r="CF109" i="2"/>
  <c r="CF98" i="2"/>
  <c r="AS100" i="2"/>
  <c r="AS101" i="2"/>
  <c r="AS102" i="2"/>
  <c r="AS103" i="2"/>
  <c r="AS104" i="2"/>
  <c r="AS105" i="2"/>
  <c r="AS106" i="2"/>
  <c r="AS107" i="2"/>
  <c r="AS108" i="2"/>
  <c r="AS109" i="2"/>
  <c r="AS99" i="2"/>
  <c r="AS98" i="2"/>
  <c r="CF118" i="2" l="1"/>
  <c r="CF119" i="2"/>
  <c r="CF120" i="2"/>
  <c r="CF121" i="2"/>
  <c r="CF116" i="2"/>
  <c r="CF110" i="2"/>
  <c r="CF111" i="2"/>
  <c r="CF112" i="2"/>
  <c r="CF113" i="2"/>
  <c r="CF114" i="2"/>
  <c r="CF115" i="2"/>
  <c r="CF117" i="2"/>
  <c r="A45" i="14"/>
  <c r="K34" i="73"/>
  <c r="L34" i="73"/>
  <c r="M34" i="73"/>
  <c r="N34" i="73"/>
  <c r="O34" i="73"/>
  <c r="P34" i="73"/>
  <c r="AB43" i="8"/>
  <c r="K35" i="73"/>
  <c r="L35" i="73"/>
  <c r="M35" i="73"/>
  <c r="N35" i="73"/>
  <c r="O35" i="73"/>
  <c r="P35" i="73"/>
  <c r="AB44" i="8"/>
  <c r="K36" i="73"/>
  <c r="L36" i="73"/>
  <c r="M36" i="73"/>
  <c r="N36" i="73"/>
  <c r="O36" i="73"/>
  <c r="P36" i="73"/>
  <c r="C34" i="73"/>
  <c r="D34" i="73"/>
  <c r="E34" i="73"/>
  <c r="F34" i="73"/>
  <c r="G34" i="73"/>
  <c r="H34" i="73"/>
  <c r="C35" i="73"/>
  <c r="D35" i="73"/>
  <c r="E35" i="73"/>
  <c r="F35" i="73"/>
  <c r="G35" i="73"/>
  <c r="H35" i="73"/>
  <c r="C36" i="73"/>
  <c r="D36" i="73"/>
  <c r="E36" i="73"/>
  <c r="F36" i="73"/>
  <c r="G36" i="73"/>
  <c r="H36" i="73"/>
  <c r="I98" i="37"/>
  <c r="I99" i="37"/>
  <c r="I100" i="37"/>
  <c r="I101" i="37"/>
  <c r="I102" i="37"/>
  <c r="I103" i="37"/>
  <c r="I104" i="37"/>
  <c r="I105" i="37"/>
  <c r="I106" i="37"/>
  <c r="I107" i="37"/>
  <c r="I108" i="37"/>
  <c r="I109" i="37"/>
  <c r="H97" i="36"/>
  <c r="O97" i="36" s="1"/>
  <c r="I97" i="36"/>
  <c r="P97" i="36" s="1"/>
  <c r="K97" i="36"/>
  <c r="H98" i="36"/>
  <c r="O98" i="36" s="1"/>
  <c r="K98" i="36"/>
  <c r="H99" i="36"/>
  <c r="O99" i="36" s="1"/>
  <c r="K99" i="36"/>
  <c r="H100" i="36"/>
  <c r="O100" i="36" s="1"/>
  <c r="K100" i="36"/>
  <c r="H101" i="36"/>
  <c r="O101" i="36" s="1"/>
  <c r="K101" i="36"/>
  <c r="H102" i="36"/>
  <c r="O102" i="36" s="1"/>
  <c r="K102" i="36"/>
  <c r="H103" i="36"/>
  <c r="O103" i="36" s="1"/>
  <c r="K103" i="36"/>
  <c r="H104" i="36"/>
  <c r="O104" i="36" s="1"/>
  <c r="K104" i="36"/>
  <c r="H105" i="36"/>
  <c r="O105" i="36" s="1"/>
  <c r="K105" i="36"/>
  <c r="H106" i="36"/>
  <c r="O106" i="36" s="1"/>
  <c r="K106" i="36"/>
  <c r="H107" i="36"/>
  <c r="O107" i="36" s="1"/>
  <c r="K107" i="36"/>
  <c r="H108" i="36"/>
  <c r="O108" i="36" s="1"/>
  <c r="K108" i="36"/>
  <c r="H109" i="36"/>
  <c r="O109" i="36" s="1"/>
  <c r="K109" i="36"/>
  <c r="I96" i="35"/>
  <c r="Q96" i="35" s="1"/>
  <c r="J96" i="35"/>
  <c r="R96" i="35" s="1"/>
  <c r="L96" i="35"/>
  <c r="I97" i="35"/>
  <c r="Q97" i="35" s="1"/>
  <c r="J97" i="35"/>
  <c r="R97" i="35" s="1"/>
  <c r="L97" i="35"/>
  <c r="I98" i="35"/>
  <c r="Q98" i="35" s="1"/>
  <c r="L98" i="35"/>
  <c r="I99" i="35"/>
  <c r="Q99" i="35" s="1"/>
  <c r="L99" i="35"/>
  <c r="I100" i="35"/>
  <c r="Q100" i="35" s="1"/>
  <c r="L100" i="35"/>
  <c r="I101" i="35"/>
  <c r="Q101" i="35" s="1"/>
  <c r="L101" i="35"/>
  <c r="I102" i="35"/>
  <c r="Q102" i="35" s="1"/>
  <c r="L102" i="35"/>
  <c r="I103" i="35"/>
  <c r="Q103" i="35" s="1"/>
  <c r="L103" i="35"/>
  <c r="I104" i="35"/>
  <c r="Q104" i="35" s="1"/>
  <c r="L104" i="35"/>
  <c r="I105" i="35"/>
  <c r="Q105" i="35" s="1"/>
  <c r="L105" i="35"/>
  <c r="I106" i="35"/>
  <c r="Q106" i="35" s="1"/>
  <c r="L106" i="35"/>
  <c r="I107" i="35"/>
  <c r="Q107" i="35" s="1"/>
  <c r="L107" i="35"/>
  <c r="I108" i="35"/>
  <c r="Q108" i="35" s="1"/>
  <c r="L108" i="35"/>
  <c r="I109" i="35"/>
  <c r="Q109" i="35" s="1"/>
  <c r="L109" i="35"/>
  <c r="S98" i="34"/>
  <c r="M98" i="34"/>
  <c r="S99" i="34"/>
  <c r="M99" i="34"/>
  <c r="S100" i="34"/>
  <c r="M100" i="34"/>
  <c r="S101" i="34"/>
  <c r="M101" i="34"/>
  <c r="S102" i="34"/>
  <c r="M102" i="34"/>
  <c r="S103" i="34"/>
  <c r="M103" i="34"/>
  <c r="S104" i="34"/>
  <c r="M104" i="34"/>
  <c r="S105" i="34"/>
  <c r="M105" i="34"/>
  <c r="S106" i="34"/>
  <c r="M106" i="34"/>
  <c r="S107" i="34"/>
  <c r="M107" i="34"/>
  <c r="S108" i="34"/>
  <c r="M108" i="34"/>
  <c r="S109" i="34"/>
  <c r="M109" i="34"/>
  <c r="E98" i="33"/>
  <c r="K98" i="33" s="1"/>
  <c r="H98" i="33"/>
  <c r="N98" i="33" s="1"/>
  <c r="J98" i="33"/>
  <c r="E99" i="33"/>
  <c r="K99" i="33" s="1"/>
  <c r="H99" i="33"/>
  <c r="N99" i="33" s="1"/>
  <c r="J99" i="33"/>
  <c r="E100" i="33"/>
  <c r="K100" i="33" s="1"/>
  <c r="H100" i="33"/>
  <c r="N100" i="33" s="1"/>
  <c r="J100" i="33"/>
  <c r="E101" i="33"/>
  <c r="K101" i="33" s="1"/>
  <c r="H101" i="33"/>
  <c r="N101" i="33" s="1"/>
  <c r="J101" i="33"/>
  <c r="E102" i="33"/>
  <c r="K102" i="33" s="1"/>
  <c r="H102" i="33"/>
  <c r="N102" i="33" s="1"/>
  <c r="J102" i="33"/>
  <c r="E103" i="33"/>
  <c r="K103" i="33" s="1"/>
  <c r="H103" i="33"/>
  <c r="N103" i="33" s="1"/>
  <c r="J103" i="33"/>
  <c r="E104" i="33"/>
  <c r="K104" i="33" s="1"/>
  <c r="H104" i="33"/>
  <c r="N104" i="33" s="1"/>
  <c r="J104" i="33"/>
  <c r="E105" i="33"/>
  <c r="K105" i="33" s="1"/>
  <c r="H105" i="33"/>
  <c r="N105" i="33" s="1"/>
  <c r="J105" i="33"/>
  <c r="E106" i="33"/>
  <c r="K106" i="33" s="1"/>
  <c r="H106" i="33"/>
  <c r="N106" i="33" s="1"/>
  <c r="J106" i="33"/>
  <c r="E107" i="33"/>
  <c r="K107" i="33" s="1"/>
  <c r="H107" i="33"/>
  <c r="N107" i="33" s="1"/>
  <c r="J107" i="33"/>
  <c r="E108" i="33"/>
  <c r="K108" i="33" s="1"/>
  <c r="H108" i="33"/>
  <c r="N108" i="33" s="1"/>
  <c r="J108" i="33"/>
  <c r="E109" i="33"/>
  <c r="K109" i="33" s="1"/>
  <c r="H109" i="33"/>
  <c r="N109" i="33" s="1"/>
  <c r="J109" i="33"/>
  <c r="F96" i="32"/>
  <c r="J96" i="32" s="1"/>
  <c r="H96" i="32"/>
  <c r="F97" i="32"/>
  <c r="J97" i="32" s="1"/>
  <c r="H97" i="32"/>
  <c r="F98" i="32"/>
  <c r="J98" i="32" s="1"/>
  <c r="H98" i="32"/>
  <c r="F99" i="32"/>
  <c r="J99" i="32" s="1"/>
  <c r="H99" i="32"/>
  <c r="F100" i="32"/>
  <c r="J100" i="32" s="1"/>
  <c r="H100" i="32"/>
  <c r="F101" i="32"/>
  <c r="J101" i="32" s="1"/>
  <c r="H101" i="32"/>
  <c r="F102" i="32"/>
  <c r="J102" i="32" s="1"/>
  <c r="H102" i="32"/>
  <c r="F103" i="32"/>
  <c r="J103" i="32" s="1"/>
  <c r="H103" i="32"/>
  <c r="F104" i="32"/>
  <c r="J104" i="32" s="1"/>
  <c r="H104" i="32"/>
  <c r="F105" i="32"/>
  <c r="J105" i="32" s="1"/>
  <c r="H105" i="32"/>
  <c r="F106" i="32"/>
  <c r="J106" i="32" s="1"/>
  <c r="H106" i="32"/>
  <c r="F107" i="32"/>
  <c r="J107" i="32" s="1"/>
  <c r="H107" i="32"/>
  <c r="F108" i="32"/>
  <c r="J108" i="32" s="1"/>
  <c r="H108" i="32"/>
  <c r="F109" i="32"/>
  <c r="J109" i="32" s="1"/>
  <c r="H109" i="32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G97" i="30"/>
  <c r="N97" i="30" s="1"/>
  <c r="K97" i="30"/>
  <c r="G98" i="30"/>
  <c r="N98" i="30" s="1"/>
  <c r="K98" i="30"/>
  <c r="G99" i="30"/>
  <c r="N99" i="30" s="1"/>
  <c r="K99" i="30"/>
  <c r="G100" i="30"/>
  <c r="N100" i="30" s="1"/>
  <c r="K100" i="30"/>
  <c r="G101" i="30"/>
  <c r="N101" i="30" s="1"/>
  <c r="K101" i="30"/>
  <c r="G102" i="30"/>
  <c r="N102" i="30" s="1"/>
  <c r="K102" i="30"/>
  <c r="G103" i="30"/>
  <c r="N103" i="30" s="1"/>
  <c r="K103" i="30"/>
  <c r="G104" i="30"/>
  <c r="N104" i="30" s="1"/>
  <c r="K104" i="30"/>
  <c r="G105" i="30"/>
  <c r="N105" i="30" s="1"/>
  <c r="K105" i="30"/>
  <c r="G106" i="30"/>
  <c r="N106" i="30" s="1"/>
  <c r="K106" i="30"/>
  <c r="G107" i="30"/>
  <c r="N107" i="30" s="1"/>
  <c r="K107" i="30"/>
  <c r="G108" i="30"/>
  <c r="N108" i="30" s="1"/>
  <c r="K108" i="30"/>
  <c r="G109" i="30"/>
  <c r="N109" i="30" s="1"/>
  <c r="K109" i="30"/>
  <c r="P98" i="29"/>
  <c r="L98" i="29"/>
  <c r="P99" i="29"/>
  <c r="L99" i="29"/>
  <c r="P100" i="29"/>
  <c r="L100" i="29"/>
  <c r="P101" i="29"/>
  <c r="L101" i="29"/>
  <c r="P102" i="29"/>
  <c r="L102" i="29"/>
  <c r="P103" i="29"/>
  <c r="L103" i="29"/>
  <c r="P104" i="29"/>
  <c r="L104" i="29"/>
  <c r="P105" i="29"/>
  <c r="L105" i="29"/>
  <c r="P106" i="29"/>
  <c r="L106" i="29"/>
  <c r="P107" i="29"/>
  <c r="L107" i="29"/>
  <c r="P108" i="29"/>
  <c r="L108" i="29"/>
  <c r="P109" i="29"/>
  <c r="L109" i="29"/>
  <c r="T98" i="28"/>
  <c r="M98" i="28"/>
  <c r="T99" i="28"/>
  <c r="M99" i="28"/>
  <c r="T100" i="28"/>
  <c r="M100" i="28"/>
  <c r="T101" i="28"/>
  <c r="M101" i="28"/>
  <c r="T102" i="28"/>
  <c r="M102" i="28"/>
  <c r="T103" i="28"/>
  <c r="M103" i="28"/>
  <c r="T104" i="28"/>
  <c r="M104" i="28"/>
  <c r="T105" i="28"/>
  <c r="M105" i="28"/>
  <c r="I98" i="26"/>
  <c r="I99" i="26"/>
  <c r="I100" i="26"/>
  <c r="I101" i="26"/>
  <c r="I102" i="26"/>
  <c r="I103" i="26"/>
  <c r="I104" i="26"/>
  <c r="I105" i="26"/>
  <c r="I106" i="26"/>
  <c r="I107" i="26"/>
  <c r="I108" i="26"/>
  <c r="I109" i="26"/>
  <c r="H98" i="25"/>
  <c r="O98" i="25" s="1"/>
  <c r="K98" i="25"/>
  <c r="H99" i="25"/>
  <c r="O99" i="25" s="1"/>
  <c r="K99" i="25"/>
  <c r="H100" i="25"/>
  <c r="O100" i="25" s="1"/>
  <c r="K100" i="25"/>
  <c r="H101" i="25"/>
  <c r="O101" i="25" s="1"/>
  <c r="K101" i="25"/>
  <c r="H102" i="25"/>
  <c r="O102" i="25" s="1"/>
  <c r="K102" i="25"/>
  <c r="H103" i="25"/>
  <c r="O103" i="25" s="1"/>
  <c r="K103" i="25"/>
  <c r="H104" i="25"/>
  <c r="O104" i="25" s="1"/>
  <c r="K104" i="25"/>
  <c r="H105" i="25"/>
  <c r="O105" i="25" s="1"/>
  <c r="K105" i="25"/>
  <c r="H106" i="25"/>
  <c r="O106" i="25" s="1"/>
  <c r="K106" i="25"/>
  <c r="H107" i="25"/>
  <c r="O107" i="25" s="1"/>
  <c r="K107" i="25"/>
  <c r="H108" i="25"/>
  <c r="O108" i="25" s="1"/>
  <c r="K108" i="25"/>
  <c r="H109" i="25"/>
  <c r="O109" i="25" s="1"/>
  <c r="K109" i="25"/>
  <c r="I98" i="24"/>
  <c r="Q98" i="24" s="1"/>
  <c r="L98" i="24"/>
  <c r="I99" i="24"/>
  <c r="Q99" i="24" s="1"/>
  <c r="L99" i="24"/>
  <c r="I100" i="24"/>
  <c r="Q100" i="24" s="1"/>
  <c r="L100" i="24"/>
  <c r="I101" i="24"/>
  <c r="Q101" i="24" s="1"/>
  <c r="L101" i="24"/>
  <c r="I102" i="24"/>
  <c r="Q102" i="24" s="1"/>
  <c r="L102" i="24"/>
  <c r="I103" i="24"/>
  <c r="Q103" i="24" s="1"/>
  <c r="L103" i="24"/>
  <c r="I104" i="24"/>
  <c r="Q104" i="24" s="1"/>
  <c r="L104" i="24"/>
  <c r="I105" i="24"/>
  <c r="Q105" i="24" s="1"/>
  <c r="L105" i="24"/>
  <c r="I106" i="24"/>
  <c r="Q106" i="24" s="1"/>
  <c r="L106" i="24"/>
  <c r="I107" i="24"/>
  <c r="Q107" i="24" s="1"/>
  <c r="L107" i="24"/>
  <c r="I108" i="24"/>
  <c r="Q108" i="24" s="1"/>
  <c r="L108" i="24"/>
  <c r="I109" i="24"/>
  <c r="Q109" i="24" s="1"/>
  <c r="L109" i="24"/>
  <c r="S98" i="23"/>
  <c r="M98" i="23"/>
  <c r="S99" i="23"/>
  <c r="M99" i="23"/>
  <c r="S100" i="23"/>
  <c r="M100" i="23"/>
  <c r="S101" i="23"/>
  <c r="M101" i="23"/>
  <c r="S102" i="23"/>
  <c r="M102" i="23"/>
  <c r="S103" i="23"/>
  <c r="M103" i="23"/>
  <c r="S104" i="23"/>
  <c r="M104" i="23"/>
  <c r="S105" i="23"/>
  <c r="M105" i="23"/>
  <c r="S106" i="23"/>
  <c r="M106" i="23"/>
  <c r="S107" i="23"/>
  <c r="M107" i="23"/>
  <c r="S108" i="23"/>
  <c r="M108" i="23"/>
  <c r="E98" i="22"/>
  <c r="K98" i="22" s="1"/>
  <c r="H98" i="22"/>
  <c r="N98" i="22" s="1"/>
  <c r="J98" i="22"/>
  <c r="E99" i="22"/>
  <c r="K99" i="22" s="1"/>
  <c r="H99" i="22"/>
  <c r="N99" i="22" s="1"/>
  <c r="J99" i="22"/>
  <c r="E100" i="22"/>
  <c r="K100" i="22" s="1"/>
  <c r="H100" i="22"/>
  <c r="N100" i="22" s="1"/>
  <c r="J100" i="22"/>
  <c r="E101" i="22"/>
  <c r="K101" i="22" s="1"/>
  <c r="H101" i="22"/>
  <c r="N101" i="22" s="1"/>
  <c r="J101" i="22"/>
  <c r="E102" i="22"/>
  <c r="K102" i="22" s="1"/>
  <c r="H102" i="22"/>
  <c r="N102" i="22" s="1"/>
  <c r="J102" i="22"/>
  <c r="E103" i="22"/>
  <c r="K103" i="22" s="1"/>
  <c r="H103" i="22"/>
  <c r="N103" i="22" s="1"/>
  <c r="J103" i="22"/>
  <c r="E104" i="22"/>
  <c r="K104" i="22" s="1"/>
  <c r="H104" i="22"/>
  <c r="N104" i="22" s="1"/>
  <c r="J104" i="22"/>
  <c r="E105" i="22"/>
  <c r="K105" i="22" s="1"/>
  <c r="H105" i="22"/>
  <c r="N105" i="22" s="1"/>
  <c r="J105" i="22"/>
  <c r="E106" i="22"/>
  <c r="K106" i="22" s="1"/>
  <c r="H106" i="22"/>
  <c r="N106" i="22" s="1"/>
  <c r="J106" i="22"/>
  <c r="E107" i="22"/>
  <c r="K107" i="22" s="1"/>
  <c r="H107" i="22"/>
  <c r="N107" i="22" s="1"/>
  <c r="J107" i="22"/>
  <c r="E108" i="22"/>
  <c r="K108" i="22" s="1"/>
  <c r="H108" i="22"/>
  <c r="N108" i="22" s="1"/>
  <c r="J108" i="22"/>
  <c r="F98" i="21"/>
  <c r="J98" i="21" s="1"/>
  <c r="H98" i="21"/>
  <c r="F99" i="21"/>
  <c r="J99" i="21" s="1"/>
  <c r="H99" i="21"/>
  <c r="F100" i="21"/>
  <c r="J100" i="21" s="1"/>
  <c r="H100" i="21"/>
  <c r="F101" i="21"/>
  <c r="J101" i="21" s="1"/>
  <c r="H101" i="21"/>
  <c r="F102" i="21"/>
  <c r="J102" i="21" s="1"/>
  <c r="H102" i="21"/>
  <c r="F103" i="21"/>
  <c r="J103" i="21" s="1"/>
  <c r="H103" i="21"/>
  <c r="F104" i="21"/>
  <c r="J104" i="21" s="1"/>
  <c r="H104" i="21"/>
  <c r="F105" i="21"/>
  <c r="J105" i="21" s="1"/>
  <c r="H105" i="21"/>
  <c r="F106" i="21"/>
  <c r="J106" i="21" s="1"/>
  <c r="H106" i="21"/>
  <c r="F107" i="21"/>
  <c r="J107" i="21" s="1"/>
  <c r="H107" i="21"/>
  <c r="F108" i="21"/>
  <c r="J108" i="21" s="1"/>
  <c r="H108" i="21"/>
  <c r="F109" i="21"/>
  <c r="J109" i="21" s="1"/>
  <c r="H109" i="21"/>
  <c r="L98" i="20"/>
  <c r="L99" i="20"/>
  <c r="L100" i="20"/>
  <c r="L101" i="20"/>
  <c r="L102" i="20"/>
  <c r="L103" i="20"/>
  <c r="L104" i="20"/>
  <c r="L105" i="20"/>
  <c r="L106" i="20"/>
  <c r="L107" i="20"/>
  <c r="L108" i="20"/>
  <c r="L109" i="20"/>
  <c r="G98" i="18"/>
  <c r="N98" i="18" s="1"/>
  <c r="K98" i="18"/>
  <c r="G99" i="18"/>
  <c r="N99" i="18" s="1"/>
  <c r="K99" i="18"/>
  <c r="G100" i="18"/>
  <c r="N100" i="18" s="1"/>
  <c r="K100" i="18"/>
  <c r="G101" i="18"/>
  <c r="N101" i="18" s="1"/>
  <c r="K101" i="18"/>
  <c r="G102" i="18"/>
  <c r="N102" i="18" s="1"/>
  <c r="K102" i="18"/>
  <c r="G103" i="18"/>
  <c r="N103" i="18" s="1"/>
  <c r="K103" i="18"/>
  <c r="G104" i="18"/>
  <c r="N104" i="18" s="1"/>
  <c r="K104" i="18"/>
  <c r="G105" i="18"/>
  <c r="N105" i="18" s="1"/>
  <c r="K105" i="18"/>
  <c r="G106" i="18"/>
  <c r="N106" i="18" s="1"/>
  <c r="K106" i="18"/>
  <c r="G107" i="18"/>
  <c r="N107" i="18" s="1"/>
  <c r="K107" i="18"/>
  <c r="G108" i="18"/>
  <c r="N108" i="18" s="1"/>
  <c r="K108" i="18"/>
  <c r="G109" i="18"/>
  <c r="N109" i="18" s="1"/>
  <c r="K109" i="18"/>
  <c r="A57" i="14" l="1"/>
  <c r="AC26" i="6"/>
  <c r="AC27" i="6" s="1"/>
  <c r="A69" i="14" l="1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CN107" i="2"/>
  <c r="CO107" i="2"/>
  <c r="CP107" i="2"/>
  <c r="CQ107" i="2"/>
  <c r="CR107" i="2"/>
  <c r="CS107" i="2"/>
  <c r="CT107" i="2"/>
  <c r="CU107" i="2"/>
  <c r="CV107" i="2"/>
  <c r="CW107" i="2"/>
  <c r="CX107" i="2"/>
  <c r="CY107" i="2"/>
  <c r="CZ107" i="2"/>
  <c r="DA107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CN109" i="2"/>
  <c r="CO109" i="2"/>
  <c r="CP109" i="2"/>
  <c r="E109" i="23" s="1"/>
  <c r="N109" i="23" s="1"/>
  <c r="CQ109" i="2"/>
  <c r="CR109" i="2"/>
  <c r="CS109" i="2"/>
  <c r="CT109" i="2"/>
  <c r="CU109" i="2"/>
  <c r="F109" i="23" s="1"/>
  <c r="O109" i="23" s="1"/>
  <c r="CV109" i="2"/>
  <c r="CW109" i="2"/>
  <c r="CX109" i="2"/>
  <c r="CY109" i="2"/>
  <c r="CZ109" i="2"/>
  <c r="DA109" i="2"/>
  <c r="DB98" i="2"/>
  <c r="DC98" i="2"/>
  <c r="DD98" i="2"/>
  <c r="DE98" i="2"/>
  <c r="DF98" i="2"/>
  <c r="DG98" i="2"/>
  <c r="DB99" i="2"/>
  <c r="DC99" i="2"/>
  <c r="DD99" i="2"/>
  <c r="DE99" i="2"/>
  <c r="DF99" i="2"/>
  <c r="DG99" i="2"/>
  <c r="DB100" i="2"/>
  <c r="DC100" i="2"/>
  <c r="DD100" i="2"/>
  <c r="DE100" i="2"/>
  <c r="DF100" i="2"/>
  <c r="DG100" i="2"/>
  <c r="DB101" i="2"/>
  <c r="DC101" i="2"/>
  <c r="DD101" i="2"/>
  <c r="DE101" i="2"/>
  <c r="DF101" i="2"/>
  <c r="DG101" i="2"/>
  <c r="DB102" i="2"/>
  <c r="DC102" i="2"/>
  <c r="DD102" i="2"/>
  <c r="DE102" i="2"/>
  <c r="DF102" i="2"/>
  <c r="DG102" i="2"/>
  <c r="DB103" i="2"/>
  <c r="DC103" i="2"/>
  <c r="DD103" i="2"/>
  <c r="DE103" i="2"/>
  <c r="DF103" i="2"/>
  <c r="DG103" i="2"/>
  <c r="DB104" i="2"/>
  <c r="DC104" i="2"/>
  <c r="DD104" i="2"/>
  <c r="DE104" i="2"/>
  <c r="DF104" i="2"/>
  <c r="DG104" i="2"/>
  <c r="DB105" i="2"/>
  <c r="DC105" i="2"/>
  <c r="DD105" i="2"/>
  <c r="DE105" i="2"/>
  <c r="DF105" i="2"/>
  <c r="DG105" i="2"/>
  <c r="DB106" i="2"/>
  <c r="DC106" i="2"/>
  <c r="DD106" i="2"/>
  <c r="DE106" i="2"/>
  <c r="DF106" i="2"/>
  <c r="DG106" i="2"/>
  <c r="DB107" i="2"/>
  <c r="DC107" i="2"/>
  <c r="DD107" i="2"/>
  <c r="DE107" i="2"/>
  <c r="DF107" i="2"/>
  <c r="DG107" i="2"/>
  <c r="DB108" i="2"/>
  <c r="DC108" i="2"/>
  <c r="DD108" i="2"/>
  <c r="DE108" i="2"/>
  <c r="DF108" i="2"/>
  <c r="DG108" i="2"/>
  <c r="P98" i="19"/>
  <c r="L98" i="19"/>
  <c r="P99" i="19"/>
  <c r="L99" i="19"/>
  <c r="P100" i="19"/>
  <c r="L100" i="19"/>
  <c r="P101" i="19"/>
  <c r="L101" i="19"/>
  <c r="P102" i="19"/>
  <c r="L102" i="19"/>
  <c r="P103" i="19"/>
  <c r="L103" i="19"/>
  <c r="P104" i="19"/>
  <c r="L104" i="19"/>
  <c r="P105" i="19"/>
  <c r="L105" i="19"/>
  <c r="P106" i="19"/>
  <c r="L106" i="19"/>
  <c r="P107" i="19"/>
  <c r="L107" i="19"/>
  <c r="P108" i="19"/>
  <c r="L108" i="19"/>
  <c r="P109" i="19"/>
  <c r="L109" i="19"/>
  <c r="T98" i="17"/>
  <c r="M98" i="17"/>
  <c r="T99" i="17"/>
  <c r="M99" i="17"/>
  <c r="T100" i="17"/>
  <c r="M100" i="17"/>
  <c r="T101" i="17"/>
  <c r="M101" i="17"/>
  <c r="T102" i="17"/>
  <c r="M102" i="17"/>
  <c r="T103" i="17"/>
  <c r="M103" i="17"/>
  <c r="T104" i="17"/>
  <c r="M104" i="17"/>
  <c r="T105" i="17"/>
  <c r="M105" i="17"/>
  <c r="T106" i="17"/>
  <c r="M106" i="17"/>
  <c r="T107" i="17"/>
  <c r="M107" i="17"/>
  <c r="T108" i="17"/>
  <c r="M108" i="17"/>
  <c r="T109" i="17"/>
  <c r="M109" i="17"/>
  <c r="EO98" i="2"/>
  <c r="EP98" i="2"/>
  <c r="FD98" i="2"/>
  <c r="FE98" i="2"/>
  <c r="FG98" i="2"/>
  <c r="ES99" i="2"/>
  <c r="ES100" i="2"/>
  <c r="ET100" i="2"/>
  <c r="FG100" i="2"/>
  <c r="FH100" i="2"/>
  <c r="FI100" i="2"/>
  <c r="EU101" i="2"/>
  <c r="FK101" i="2"/>
  <c r="EX102" i="2"/>
  <c r="EE98" i="2"/>
  <c r="EE110" i="2" s="1"/>
  <c r="EF98" i="2"/>
  <c r="EF110" i="2" s="1"/>
  <c r="EE99" i="2"/>
  <c r="EE111" i="2" s="1"/>
  <c r="EF99" i="2"/>
  <c r="EF111" i="2" s="1"/>
  <c r="EE100" i="2"/>
  <c r="EE112" i="2" s="1"/>
  <c r="EF100" i="2"/>
  <c r="EF112" i="2" s="1"/>
  <c r="EE101" i="2"/>
  <c r="EE113" i="2" s="1"/>
  <c r="EF101" i="2"/>
  <c r="EF113" i="2" s="1"/>
  <c r="EE102" i="2"/>
  <c r="EE114" i="2" s="1"/>
  <c r="EF102" i="2"/>
  <c r="EF114" i="2" s="1"/>
  <c r="EE103" i="2"/>
  <c r="EE115" i="2" s="1"/>
  <c r="EF103" i="2"/>
  <c r="EF115" i="2" s="1"/>
  <c r="EE104" i="2"/>
  <c r="EE116" i="2" s="1"/>
  <c r="EF104" i="2"/>
  <c r="EF116" i="2" s="1"/>
  <c r="EE105" i="2"/>
  <c r="EE117" i="2" s="1"/>
  <c r="EF105" i="2"/>
  <c r="EF117" i="2" s="1"/>
  <c r="EE106" i="2"/>
  <c r="EE118" i="2" s="1"/>
  <c r="EF106" i="2"/>
  <c r="EF118" i="2" s="1"/>
  <c r="EE107" i="2"/>
  <c r="EE119" i="2" s="1"/>
  <c r="EF107" i="2"/>
  <c r="EF119" i="2" s="1"/>
  <c r="EE108" i="2"/>
  <c r="EE120" i="2" s="1"/>
  <c r="EF108" i="2"/>
  <c r="EF120" i="2" s="1"/>
  <c r="EE109" i="2"/>
  <c r="EF109" i="2"/>
  <c r="EF121" i="2" s="1"/>
  <c r="DS99" i="2"/>
  <c r="DS111" i="2" s="1"/>
  <c r="DT99" i="2"/>
  <c r="DT111" i="2" s="1"/>
  <c r="DU99" i="2"/>
  <c r="DU111" i="2" s="1"/>
  <c r="DV99" i="2"/>
  <c r="DV111" i="2" s="1"/>
  <c r="DW99" i="2"/>
  <c r="DW111" i="2" s="1"/>
  <c r="DX99" i="2"/>
  <c r="DX111" i="2" s="1"/>
  <c r="DY99" i="2"/>
  <c r="DY111" i="2" s="1"/>
  <c r="DZ99" i="2"/>
  <c r="DZ111" i="2" s="1"/>
  <c r="EA99" i="2"/>
  <c r="EA111" i="2" s="1"/>
  <c r="EB99" i="2"/>
  <c r="EB111" i="2" s="1"/>
  <c r="EC99" i="2"/>
  <c r="EC111" i="2" s="1"/>
  <c r="ED99" i="2"/>
  <c r="ED111" i="2" s="1"/>
  <c r="DS100" i="2"/>
  <c r="DS112" i="2" s="1"/>
  <c r="DT100" i="2"/>
  <c r="DT112" i="2" s="1"/>
  <c r="DU100" i="2"/>
  <c r="DU112" i="2" s="1"/>
  <c r="DV100" i="2"/>
  <c r="DV112" i="2" s="1"/>
  <c r="DW100" i="2"/>
  <c r="DW112" i="2" s="1"/>
  <c r="DX100" i="2"/>
  <c r="DX112" i="2" s="1"/>
  <c r="DY100" i="2"/>
  <c r="DY112" i="2" s="1"/>
  <c r="DZ100" i="2"/>
  <c r="DZ112" i="2" s="1"/>
  <c r="EA100" i="2"/>
  <c r="EA112" i="2" s="1"/>
  <c r="EB100" i="2"/>
  <c r="EB112" i="2" s="1"/>
  <c r="EC100" i="2"/>
  <c r="EC112" i="2" s="1"/>
  <c r="ED100" i="2"/>
  <c r="ED112" i="2" s="1"/>
  <c r="DS101" i="2"/>
  <c r="DS113" i="2" s="1"/>
  <c r="DT101" i="2"/>
  <c r="DT113" i="2" s="1"/>
  <c r="DU101" i="2"/>
  <c r="DU113" i="2" s="1"/>
  <c r="DV101" i="2"/>
  <c r="DV113" i="2" s="1"/>
  <c r="DW101" i="2"/>
  <c r="DW113" i="2" s="1"/>
  <c r="DX101" i="2"/>
  <c r="DX113" i="2" s="1"/>
  <c r="DY101" i="2"/>
  <c r="DY113" i="2" s="1"/>
  <c r="DZ101" i="2"/>
  <c r="DZ113" i="2" s="1"/>
  <c r="EA101" i="2"/>
  <c r="EA113" i="2" s="1"/>
  <c r="EB101" i="2"/>
  <c r="EB113" i="2" s="1"/>
  <c r="EC101" i="2"/>
  <c r="EC113" i="2" s="1"/>
  <c r="ED101" i="2"/>
  <c r="ED113" i="2" s="1"/>
  <c r="DS102" i="2"/>
  <c r="DS114" i="2" s="1"/>
  <c r="DT102" i="2"/>
  <c r="DT114" i="2" s="1"/>
  <c r="DU102" i="2"/>
  <c r="DU114" i="2" s="1"/>
  <c r="DV102" i="2"/>
  <c r="DV114" i="2" s="1"/>
  <c r="DW102" i="2"/>
  <c r="DW114" i="2" s="1"/>
  <c r="DX102" i="2"/>
  <c r="DX114" i="2" s="1"/>
  <c r="DY102" i="2"/>
  <c r="DY114" i="2" s="1"/>
  <c r="DZ102" i="2"/>
  <c r="DZ114" i="2" s="1"/>
  <c r="EA102" i="2"/>
  <c r="EA114" i="2" s="1"/>
  <c r="EB102" i="2"/>
  <c r="EB114" i="2" s="1"/>
  <c r="EC102" i="2"/>
  <c r="EC114" i="2" s="1"/>
  <c r="ED102" i="2"/>
  <c r="ED114" i="2" s="1"/>
  <c r="DS103" i="2"/>
  <c r="DS115" i="2" s="1"/>
  <c r="DT103" i="2"/>
  <c r="DT115" i="2" s="1"/>
  <c r="DU103" i="2"/>
  <c r="DU115" i="2" s="1"/>
  <c r="DV103" i="2"/>
  <c r="DV115" i="2" s="1"/>
  <c r="DW103" i="2"/>
  <c r="DW115" i="2" s="1"/>
  <c r="DX103" i="2"/>
  <c r="DX115" i="2" s="1"/>
  <c r="DY103" i="2"/>
  <c r="DY115" i="2" s="1"/>
  <c r="DZ103" i="2"/>
  <c r="DZ115" i="2" s="1"/>
  <c r="EA103" i="2"/>
  <c r="EA115" i="2" s="1"/>
  <c r="EB103" i="2"/>
  <c r="EB115" i="2" s="1"/>
  <c r="EC103" i="2"/>
  <c r="EC115" i="2" s="1"/>
  <c r="ED103" i="2"/>
  <c r="ED115" i="2" s="1"/>
  <c r="DS104" i="2"/>
  <c r="DS116" i="2" s="1"/>
  <c r="DT104" i="2"/>
  <c r="DT116" i="2" s="1"/>
  <c r="DU104" i="2"/>
  <c r="DU116" i="2" s="1"/>
  <c r="DV104" i="2"/>
  <c r="DV116" i="2" s="1"/>
  <c r="DW104" i="2"/>
  <c r="DW116" i="2" s="1"/>
  <c r="DX104" i="2"/>
  <c r="DX116" i="2" s="1"/>
  <c r="DY104" i="2"/>
  <c r="DY116" i="2" s="1"/>
  <c r="DZ104" i="2"/>
  <c r="DZ116" i="2" s="1"/>
  <c r="EA104" i="2"/>
  <c r="EA116" i="2" s="1"/>
  <c r="EB104" i="2"/>
  <c r="EB116" i="2" s="1"/>
  <c r="EC104" i="2"/>
  <c r="EC116" i="2" s="1"/>
  <c r="ED104" i="2"/>
  <c r="ED116" i="2" s="1"/>
  <c r="DS105" i="2"/>
  <c r="DS117" i="2" s="1"/>
  <c r="DT105" i="2"/>
  <c r="DT117" i="2" s="1"/>
  <c r="DU105" i="2"/>
  <c r="DU117" i="2" s="1"/>
  <c r="DV105" i="2"/>
  <c r="DV117" i="2" s="1"/>
  <c r="DW105" i="2"/>
  <c r="DW117" i="2" s="1"/>
  <c r="DX105" i="2"/>
  <c r="DX117" i="2" s="1"/>
  <c r="DY105" i="2"/>
  <c r="DY117" i="2" s="1"/>
  <c r="DZ105" i="2"/>
  <c r="DZ117" i="2" s="1"/>
  <c r="EA105" i="2"/>
  <c r="EA117" i="2" s="1"/>
  <c r="EB105" i="2"/>
  <c r="EB117" i="2" s="1"/>
  <c r="EC105" i="2"/>
  <c r="EC117" i="2" s="1"/>
  <c r="ED105" i="2"/>
  <c r="ED117" i="2" s="1"/>
  <c r="DS106" i="2"/>
  <c r="DS118" i="2" s="1"/>
  <c r="DT106" i="2"/>
  <c r="DT118" i="2" s="1"/>
  <c r="DU106" i="2"/>
  <c r="DU118" i="2" s="1"/>
  <c r="DV106" i="2"/>
  <c r="DV118" i="2" s="1"/>
  <c r="DW106" i="2"/>
  <c r="DW118" i="2" s="1"/>
  <c r="DX106" i="2"/>
  <c r="DX118" i="2" s="1"/>
  <c r="DY106" i="2"/>
  <c r="DY118" i="2" s="1"/>
  <c r="DZ106" i="2"/>
  <c r="DZ118" i="2" s="1"/>
  <c r="EA106" i="2"/>
  <c r="EA118" i="2" s="1"/>
  <c r="EB106" i="2"/>
  <c r="EB118" i="2" s="1"/>
  <c r="EC106" i="2"/>
  <c r="EC118" i="2" s="1"/>
  <c r="ED106" i="2"/>
  <c r="ED118" i="2" s="1"/>
  <c r="DS107" i="2"/>
  <c r="DS119" i="2" s="1"/>
  <c r="DT107" i="2"/>
  <c r="DT119" i="2" s="1"/>
  <c r="DU107" i="2"/>
  <c r="DU119" i="2" s="1"/>
  <c r="DV107" i="2"/>
  <c r="DV119" i="2" s="1"/>
  <c r="DW107" i="2"/>
  <c r="DW119" i="2" s="1"/>
  <c r="DX107" i="2"/>
  <c r="DX119" i="2" s="1"/>
  <c r="DY107" i="2"/>
  <c r="DY119" i="2" s="1"/>
  <c r="DZ107" i="2"/>
  <c r="DZ119" i="2" s="1"/>
  <c r="EA107" i="2"/>
  <c r="EA119" i="2" s="1"/>
  <c r="EB107" i="2"/>
  <c r="EB119" i="2" s="1"/>
  <c r="EC107" i="2"/>
  <c r="EC119" i="2" s="1"/>
  <c r="ED107" i="2"/>
  <c r="ED119" i="2" s="1"/>
  <c r="DS108" i="2"/>
  <c r="DS120" i="2" s="1"/>
  <c r="DT108" i="2"/>
  <c r="DT120" i="2" s="1"/>
  <c r="DU108" i="2"/>
  <c r="DU120" i="2" s="1"/>
  <c r="DV108" i="2"/>
  <c r="DV120" i="2" s="1"/>
  <c r="DW108" i="2"/>
  <c r="DW120" i="2" s="1"/>
  <c r="DX108" i="2"/>
  <c r="DX120" i="2" s="1"/>
  <c r="DY108" i="2"/>
  <c r="DY120" i="2" s="1"/>
  <c r="DZ108" i="2"/>
  <c r="DZ120" i="2" s="1"/>
  <c r="EA108" i="2"/>
  <c r="EA120" i="2" s="1"/>
  <c r="EB108" i="2"/>
  <c r="EB120" i="2" s="1"/>
  <c r="EC108" i="2"/>
  <c r="EC120" i="2" s="1"/>
  <c r="ED108" i="2"/>
  <c r="ED120" i="2" s="1"/>
  <c r="DS109" i="2"/>
  <c r="DS121" i="2" s="1"/>
  <c r="DT109" i="2"/>
  <c r="DT121" i="2" s="1"/>
  <c r="DU109" i="2"/>
  <c r="DU121" i="2" s="1"/>
  <c r="DV109" i="2"/>
  <c r="DV121" i="2" s="1"/>
  <c r="DW109" i="2"/>
  <c r="DW121" i="2" s="1"/>
  <c r="DX109" i="2"/>
  <c r="DX121" i="2" s="1"/>
  <c r="DY109" i="2"/>
  <c r="DY121" i="2" s="1"/>
  <c r="DZ109" i="2"/>
  <c r="DZ121" i="2" s="1"/>
  <c r="EA109" i="2"/>
  <c r="EA121" i="2" s="1"/>
  <c r="EB109" i="2"/>
  <c r="EB121" i="2" s="1"/>
  <c r="EC109" i="2"/>
  <c r="EC121" i="2" s="1"/>
  <c r="ED109" i="2"/>
  <c r="ED121" i="2" s="1"/>
  <c r="DT98" i="2"/>
  <c r="DT110" i="2" s="1"/>
  <c r="DU98" i="2"/>
  <c r="DU110" i="2" s="1"/>
  <c r="DV98" i="2"/>
  <c r="DV110" i="2" s="1"/>
  <c r="DW98" i="2"/>
  <c r="DW110" i="2" s="1"/>
  <c r="DX98" i="2"/>
  <c r="DX110" i="2" s="1"/>
  <c r="DY98" i="2"/>
  <c r="DY110" i="2" s="1"/>
  <c r="DZ98" i="2"/>
  <c r="DZ110" i="2" s="1"/>
  <c r="EA98" i="2"/>
  <c r="EA110" i="2" s="1"/>
  <c r="EB98" i="2"/>
  <c r="EB110" i="2" s="1"/>
  <c r="EC98" i="2"/>
  <c r="EC110" i="2" s="1"/>
  <c r="ED98" i="2"/>
  <c r="ED110" i="2" s="1"/>
  <c r="DS98" i="2"/>
  <c r="DS110" i="2" s="1"/>
  <c r="G114" i="33" l="1"/>
  <c r="M114" i="33" s="1"/>
  <c r="G114" i="22"/>
  <c r="M114" i="22" s="1"/>
  <c r="EG114" i="2"/>
  <c r="G118" i="26"/>
  <c r="L118" i="26" s="1"/>
  <c r="M118" i="26" s="1"/>
  <c r="G118" i="37"/>
  <c r="L118" i="37" s="1"/>
  <c r="G114" i="26"/>
  <c r="L114" i="26" s="1"/>
  <c r="M114" i="26" s="1"/>
  <c r="G114" i="37"/>
  <c r="L114" i="37" s="1"/>
  <c r="J121" i="24"/>
  <c r="R121" i="24" s="1"/>
  <c r="I121" i="25"/>
  <c r="P121" i="25" s="1"/>
  <c r="Q121" i="25" s="1"/>
  <c r="I113" i="25"/>
  <c r="P113" i="25" s="1"/>
  <c r="Q113" i="25" s="1"/>
  <c r="J113" i="24"/>
  <c r="R113" i="24" s="1"/>
  <c r="S113" i="24" s="1"/>
  <c r="J120" i="24"/>
  <c r="R120" i="24" s="1"/>
  <c r="I120" i="25"/>
  <c r="P120" i="25" s="1"/>
  <c r="Q120" i="25" s="1"/>
  <c r="J112" i="24"/>
  <c r="R112" i="24" s="1"/>
  <c r="S112" i="24" s="1"/>
  <c r="I112" i="25"/>
  <c r="P112" i="25" s="1"/>
  <c r="Q112" i="25" s="1"/>
  <c r="G113" i="33"/>
  <c r="M113" i="33" s="1"/>
  <c r="G113" i="22"/>
  <c r="M113" i="22" s="1"/>
  <c r="EG113" i="2"/>
  <c r="G120" i="33"/>
  <c r="M120" i="33" s="1"/>
  <c r="G120" i="22"/>
  <c r="M120" i="22" s="1"/>
  <c r="EG120" i="2"/>
  <c r="G112" i="33"/>
  <c r="M112" i="33" s="1"/>
  <c r="G112" i="22"/>
  <c r="M112" i="22" s="1"/>
  <c r="EG112" i="2"/>
  <c r="G119" i="26"/>
  <c r="L119" i="26" s="1"/>
  <c r="M119" i="26" s="1"/>
  <c r="G119" i="37"/>
  <c r="L119" i="37" s="1"/>
  <c r="G115" i="26"/>
  <c r="L115" i="26" s="1"/>
  <c r="M115" i="26" s="1"/>
  <c r="G115" i="37"/>
  <c r="L115" i="37" s="1"/>
  <c r="G111" i="26"/>
  <c r="L111" i="26" s="1"/>
  <c r="M111" i="26" s="1"/>
  <c r="G111" i="37"/>
  <c r="L111" i="37" s="1"/>
  <c r="I119" i="25"/>
  <c r="P119" i="25" s="1"/>
  <c r="Q119" i="25" s="1"/>
  <c r="J119" i="24"/>
  <c r="R119" i="24" s="1"/>
  <c r="J111" i="24"/>
  <c r="R111" i="24" s="1"/>
  <c r="S111" i="24" s="1"/>
  <c r="I111" i="25"/>
  <c r="P111" i="25" s="1"/>
  <c r="Q111" i="25" s="1"/>
  <c r="I118" i="25"/>
  <c r="P118" i="25" s="1"/>
  <c r="Q118" i="25" s="1"/>
  <c r="J118" i="24"/>
  <c r="R118" i="24" s="1"/>
  <c r="I110" i="25"/>
  <c r="P110" i="25" s="1"/>
  <c r="Q110" i="25" s="1"/>
  <c r="J110" i="24"/>
  <c r="R110" i="24" s="1"/>
  <c r="S110" i="24" s="1"/>
  <c r="G118" i="33"/>
  <c r="M118" i="33" s="1"/>
  <c r="G118" i="22"/>
  <c r="M118" i="22" s="1"/>
  <c r="EG118" i="2"/>
  <c r="G110" i="33"/>
  <c r="M110" i="33" s="1"/>
  <c r="G110" i="22"/>
  <c r="M110" i="22" s="1"/>
  <c r="EG110" i="2"/>
  <c r="G111" i="22"/>
  <c r="M111" i="22" s="1"/>
  <c r="G111" i="33"/>
  <c r="M111" i="33" s="1"/>
  <c r="EG111" i="2"/>
  <c r="G120" i="26"/>
  <c r="L120" i="26" s="1"/>
  <c r="M120" i="26" s="1"/>
  <c r="G120" i="37"/>
  <c r="L120" i="37" s="1"/>
  <c r="G116" i="26"/>
  <c r="L116" i="26" s="1"/>
  <c r="M116" i="26" s="1"/>
  <c r="G116" i="37"/>
  <c r="L116" i="37" s="1"/>
  <c r="G112" i="26"/>
  <c r="L112" i="26" s="1"/>
  <c r="M112" i="26" s="1"/>
  <c r="G112" i="37"/>
  <c r="L112" i="37" s="1"/>
  <c r="I117" i="25"/>
  <c r="P117" i="25" s="1"/>
  <c r="Q117" i="25" s="1"/>
  <c r="J117" i="24"/>
  <c r="R117" i="24" s="1"/>
  <c r="G117" i="33"/>
  <c r="M117" i="33" s="1"/>
  <c r="G117" i="22"/>
  <c r="M117" i="22" s="1"/>
  <c r="EG117" i="2"/>
  <c r="G110" i="26"/>
  <c r="L110" i="26" s="1"/>
  <c r="M110" i="26" s="1"/>
  <c r="G110" i="37"/>
  <c r="L110" i="37" s="1"/>
  <c r="G119" i="33"/>
  <c r="M119" i="33" s="1"/>
  <c r="G119" i="22"/>
  <c r="M119" i="22" s="1"/>
  <c r="EG119" i="2"/>
  <c r="I116" i="25"/>
  <c r="P116" i="25" s="1"/>
  <c r="Q116" i="25" s="1"/>
  <c r="J116" i="24"/>
  <c r="R116" i="24" s="1"/>
  <c r="G116" i="33"/>
  <c r="M116" i="33" s="1"/>
  <c r="G116" i="22"/>
  <c r="M116" i="22" s="1"/>
  <c r="EG116" i="2"/>
  <c r="G121" i="26"/>
  <c r="L121" i="26" s="1"/>
  <c r="M121" i="26" s="1"/>
  <c r="G121" i="37"/>
  <c r="L121" i="37" s="1"/>
  <c r="G117" i="26"/>
  <c r="L117" i="26" s="1"/>
  <c r="M117" i="26" s="1"/>
  <c r="G117" i="37"/>
  <c r="L117" i="37" s="1"/>
  <c r="G113" i="26"/>
  <c r="L113" i="26" s="1"/>
  <c r="M113" i="26" s="1"/>
  <c r="G113" i="37"/>
  <c r="L113" i="37" s="1"/>
  <c r="I115" i="25"/>
  <c r="P115" i="25" s="1"/>
  <c r="Q115" i="25" s="1"/>
  <c r="J115" i="24"/>
  <c r="R115" i="24" s="1"/>
  <c r="S115" i="24" s="1"/>
  <c r="G109" i="22"/>
  <c r="M109" i="22" s="1"/>
  <c r="EE121" i="2"/>
  <c r="G115" i="33"/>
  <c r="M115" i="33" s="1"/>
  <c r="G115" i="22"/>
  <c r="M115" i="22" s="1"/>
  <c r="EG115" i="2"/>
  <c r="J114" i="24"/>
  <c r="R114" i="24" s="1"/>
  <c r="S114" i="24" s="1"/>
  <c r="I114" i="25"/>
  <c r="P114" i="25" s="1"/>
  <c r="Q114" i="25" s="1"/>
  <c r="A107" i="19"/>
  <c r="G107" i="26"/>
  <c r="L107" i="26" s="1"/>
  <c r="G107" i="37"/>
  <c r="L107" i="37" s="1"/>
  <c r="G103" i="26"/>
  <c r="L103" i="26" s="1"/>
  <c r="G103" i="37"/>
  <c r="L103" i="37" s="1"/>
  <c r="G99" i="26"/>
  <c r="L99" i="26" s="1"/>
  <c r="G99" i="37"/>
  <c r="L99" i="37" s="1"/>
  <c r="E103" i="25"/>
  <c r="A109" i="17"/>
  <c r="G108" i="37"/>
  <c r="L108" i="37" s="1"/>
  <c r="G108" i="26"/>
  <c r="L108" i="26" s="1"/>
  <c r="G104" i="26"/>
  <c r="L104" i="26" s="1"/>
  <c r="G104" i="37"/>
  <c r="L104" i="37" s="1"/>
  <c r="G100" i="26"/>
  <c r="L100" i="26" s="1"/>
  <c r="G100" i="37"/>
  <c r="L100" i="37" s="1"/>
  <c r="EN102" i="2"/>
  <c r="A104" i="19"/>
  <c r="E106" i="25"/>
  <c r="E98" i="25"/>
  <c r="G109" i="26"/>
  <c r="L109" i="26" s="1"/>
  <c r="G109" i="37"/>
  <c r="L109" i="37" s="1"/>
  <c r="G105" i="26"/>
  <c r="L105" i="26" s="1"/>
  <c r="G105" i="37"/>
  <c r="L105" i="37" s="1"/>
  <c r="G101" i="26"/>
  <c r="L101" i="26" s="1"/>
  <c r="G101" i="37"/>
  <c r="L101" i="37" s="1"/>
  <c r="E107" i="25"/>
  <c r="G106" i="26"/>
  <c r="L106" i="26" s="1"/>
  <c r="G106" i="37"/>
  <c r="L106" i="37" s="1"/>
  <c r="G102" i="26"/>
  <c r="L102" i="26" s="1"/>
  <c r="G102" i="37"/>
  <c r="L102" i="37" s="1"/>
  <c r="G98" i="26"/>
  <c r="L98" i="26" s="1"/>
  <c r="G98" i="37"/>
  <c r="L98" i="37" s="1"/>
  <c r="FF99" i="2"/>
  <c r="ER99" i="2"/>
  <c r="H99" i="28" s="1"/>
  <c r="Q99" i="28" s="1"/>
  <c r="FL102" i="2"/>
  <c r="FB102" i="2"/>
  <c r="E101" i="23"/>
  <c r="E101" i="19"/>
  <c r="E104" i="25"/>
  <c r="E102" i="23"/>
  <c r="E102" i="19"/>
  <c r="M102" i="19" s="1"/>
  <c r="E105" i="25"/>
  <c r="E103" i="23"/>
  <c r="E103" i="19"/>
  <c r="M103" i="19" s="1"/>
  <c r="E109" i="19"/>
  <c r="M109" i="19" s="1"/>
  <c r="J98" i="19"/>
  <c r="R98" i="19" s="1"/>
  <c r="J98" i="29"/>
  <c r="R98" i="29" s="1"/>
  <c r="E105" i="23"/>
  <c r="N105" i="23" s="1"/>
  <c r="E105" i="19"/>
  <c r="M105" i="19" s="1"/>
  <c r="E99" i="25"/>
  <c r="E104" i="23"/>
  <c r="E104" i="19"/>
  <c r="E108" i="25"/>
  <c r="L108" i="25" s="1"/>
  <c r="E106" i="23"/>
  <c r="E106" i="19"/>
  <c r="M106" i="19" s="1"/>
  <c r="E100" i="25"/>
  <c r="E98" i="23"/>
  <c r="E98" i="19"/>
  <c r="M98" i="19" s="1"/>
  <c r="E109" i="25"/>
  <c r="L109" i="25" s="1"/>
  <c r="E107" i="23"/>
  <c r="E107" i="19"/>
  <c r="M107" i="19" s="1"/>
  <c r="E101" i="25"/>
  <c r="E99" i="23"/>
  <c r="N99" i="23" s="1"/>
  <c r="E99" i="19"/>
  <c r="M99" i="19" s="1"/>
  <c r="E108" i="23"/>
  <c r="N108" i="23" s="1"/>
  <c r="E108" i="19"/>
  <c r="M108" i="19" s="1"/>
  <c r="E102" i="25"/>
  <c r="E100" i="23"/>
  <c r="E100" i="19"/>
  <c r="M100" i="19" s="1"/>
  <c r="EY100" i="2"/>
  <c r="F106" i="19"/>
  <c r="N106" i="19" s="1"/>
  <c r="FB103" i="2"/>
  <c r="EV100" i="2"/>
  <c r="F99" i="19"/>
  <c r="N99" i="19" s="1"/>
  <c r="E104" i="17"/>
  <c r="N104" i="17" s="1"/>
  <c r="EV109" i="2"/>
  <c r="F100" i="19"/>
  <c r="N100" i="19" s="1"/>
  <c r="F99" i="17"/>
  <c r="O99" i="17" s="1"/>
  <c r="FA105" i="2"/>
  <c r="F109" i="19"/>
  <c r="N109" i="19" s="1"/>
  <c r="FJ102" i="2"/>
  <c r="FH101" i="2"/>
  <c r="FB98" i="2"/>
  <c r="F109" i="17"/>
  <c r="O109" i="17" s="1"/>
  <c r="EP108" i="2"/>
  <c r="FB107" i="2"/>
  <c r="EZ105" i="2"/>
  <c r="EX104" i="2"/>
  <c r="FB99" i="2"/>
  <c r="E107" i="17"/>
  <c r="N107" i="17" s="1"/>
  <c r="FE101" i="2"/>
  <c r="EM99" i="2"/>
  <c r="F103" i="19"/>
  <c r="N103" i="19" s="1"/>
  <c r="EN100" i="2"/>
  <c r="T129" i="3"/>
  <c r="T128" i="3"/>
  <c r="T127" i="3"/>
  <c r="T126" i="3"/>
  <c r="T125" i="3"/>
  <c r="T124" i="3"/>
  <c r="T123" i="3"/>
  <c r="T132" i="3"/>
  <c r="T131" i="3"/>
  <c r="T133" i="3"/>
  <c r="T130" i="3"/>
  <c r="T122" i="3"/>
  <c r="A81" i="14"/>
  <c r="C99" i="17"/>
  <c r="C105" i="17"/>
  <c r="C104" i="19"/>
  <c r="FG99" i="2"/>
  <c r="FE99" i="2"/>
  <c r="FG108" i="2"/>
  <c r="EM105" i="2"/>
  <c r="EQ98" i="2"/>
  <c r="FA104" i="2"/>
  <c r="FD99" i="2"/>
  <c r="EW101" i="2"/>
  <c r="FF104" i="2"/>
  <c r="EN105" i="2"/>
  <c r="EZ103" i="2"/>
  <c r="FA103" i="2"/>
  <c r="FK98" i="2"/>
  <c r="ER100" i="2"/>
  <c r="H100" i="28" s="1"/>
  <c r="Q100" i="28" s="1"/>
  <c r="EO105" i="2"/>
  <c r="EZ98" i="2"/>
  <c r="FI99" i="2"/>
  <c r="EO102" i="2"/>
  <c r="FM99" i="2"/>
  <c r="FJ99" i="2"/>
  <c r="EM104" i="2"/>
  <c r="FA98" i="2"/>
  <c r="FH108" i="2"/>
  <c r="FF107" i="2"/>
  <c r="FL101" i="2"/>
  <c r="FB105" i="2"/>
  <c r="FJ101" i="2"/>
  <c r="FA99" i="2"/>
  <c r="EQ107" i="2"/>
  <c r="FJ106" i="2"/>
  <c r="ET99" i="2"/>
  <c r="EP104" i="2"/>
  <c r="ET108" i="2"/>
  <c r="ER107" i="2"/>
  <c r="H107" i="28" s="1"/>
  <c r="Q107" i="28" s="1"/>
  <c r="FD106" i="2"/>
  <c r="FA102" i="2"/>
  <c r="ER106" i="2"/>
  <c r="H106" i="28" s="1"/>
  <c r="Q106" i="28" s="1"/>
  <c r="FM103" i="2"/>
  <c r="FE107" i="2"/>
  <c r="FK105" i="2"/>
  <c r="FC106" i="2"/>
  <c r="FK102" i="2"/>
  <c r="E105" i="17"/>
  <c r="N105" i="17" s="1"/>
  <c r="FD103" i="2"/>
  <c r="EQ99" i="2"/>
  <c r="FJ109" i="2"/>
  <c r="EP105" i="2"/>
  <c r="FH99" i="2"/>
  <c r="EW100" i="2"/>
  <c r="FL108" i="2"/>
  <c r="ES101" i="2"/>
  <c r="FF98" i="2"/>
  <c r="EU103" i="2"/>
  <c r="EX107" i="2"/>
  <c r="EV101" i="2"/>
  <c r="EP106" i="2"/>
  <c r="ET107" i="2"/>
  <c r="EY101" i="2"/>
  <c r="FK100" i="2"/>
  <c r="EZ109" i="2"/>
  <c r="F98" i="19"/>
  <c r="N98" i="19" s="1"/>
  <c r="FF105" i="2"/>
  <c r="EN103" i="2"/>
  <c r="FL100" i="2"/>
  <c r="EX108" i="2"/>
  <c r="ER105" i="2"/>
  <c r="H105" i="17" s="1"/>
  <c r="Q105" i="17" s="1"/>
  <c r="FI109" i="2"/>
  <c r="FA106" i="2"/>
  <c r="EV99" i="2"/>
  <c r="FN101" i="2"/>
  <c r="EX100" i="2"/>
  <c r="EZ101" i="2"/>
  <c r="FH98" i="2"/>
  <c r="F98" i="17"/>
  <c r="O98" i="17" s="1"/>
  <c r="FJ100" i="2"/>
  <c r="EQ101" i="2"/>
  <c r="FF100" i="2"/>
  <c r="EU99" i="2"/>
  <c r="EM98" i="2"/>
  <c r="EY103" i="2"/>
  <c r="EV106" i="2"/>
  <c r="FH103" i="2"/>
  <c r="FK104" i="2"/>
  <c r="FG102" i="2"/>
  <c r="EW104" i="2"/>
  <c r="FL107" i="2"/>
  <c r="FN109" i="2"/>
  <c r="ET106" i="2"/>
  <c r="EO104" i="2"/>
  <c r="FJ107" i="2"/>
  <c r="EX105" i="2"/>
  <c r="EO107" i="2"/>
  <c r="FG104" i="2"/>
  <c r="EU102" i="2"/>
  <c r="FD109" i="2"/>
  <c r="FK106" i="2"/>
  <c r="EW103" i="2"/>
  <c r="FG101" i="2"/>
  <c r="FG107" i="2"/>
  <c r="EQ106" i="2"/>
  <c r="FL109" i="2"/>
  <c r="EZ99" i="2"/>
  <c r="FI106" i="2"/>
  <c r="EQ108" i="2"/>
  <c r="FC101" i="2"/>
  <c r="FK107" i="2"/>
  <c r="EY106" i="2"/>
  <c r="EQ100" i="2"/>
  <c r="FN108" i="2"/>
  <c r="FH105" i="2"/>
  <c r="EZ108" i="2"/>
  <c r="FK108" i="2"/>
  <c r="ES104" i="2"/>
  <c r="FC102" i="2"/>
  <c r="FN99" i="2"/>
  <c r="EV107" i="2"/>
  <c r="FD104" i="2"/>
  <c r="EM103" i="2"/>
  <c r="FI101" i="2"/>
  <c r="ER98" i="2"/>
  <c r="EZ102" i="2"/>
  <c r="FF106" i="2"/>
  <c r="EQ105" i="2"/>
  <c r="FG109" i="2"/>
  <c r="E98" i="17"/>
  <c r="N98" i="17" s="1"/>
  <c r="EM106" i="2"/>
  <c r="G106" i="28" s="1"/>
  <c r="P106" i="28" s="1"/>
  <c r="FK103" i="2"/>
  <c r="ER103" i="2"/>
  <c r="ET104" i="2"/>
  <c r="H104" i="23" s="1"/>
  <c r="Q104" i="23" s="1"/>
  <c r="FH104" i="2"/>
  <c r="FM109" i="2"/>
  <c r="EV108" i="2"/>
  <c r="FD105" i="2"/>
  <c r="EX109" i="2"/>
  <c r="EP107" i="2"/>
  <c r="EY104" i="2"/>
  <c r="EO99" i="2"/>
  <c r="FC107" i="2"/>
  <c r="FI102" i="2"/>
  <c r="FE100" i="2"/>
  <c r="FI108" i="2"/>
  <c r="EZ107" i="2"/>
  <c r="EX106" i="2"/>
  <c r="FN103" i="2"/>
  <c r="FA101" i="2"/>
  <c r="EZ100" i="2"/>
  <c r="FC99" i="2"/>
  <c r="FC98" i="2"/>
  <c r="FE108" i="2"/>
  <c r="EQ109" i="2"/>
  <c r="EY105" i="2"/>
  <c r="ES106" i="2"/>
  <c r="EO109" i="2"/>
  <c r="FI107" i="2"/>
  <c r="FG106" i="2"/>
  <c r="FC104" i="2"/>
  <c r="EP102" i="2"/>
  <c r="FI105" i="2"/>
  <c r="FJ108" i="2"/>
  <c r="EP101" i="2"/>
  <c r="F104" i="17"/>
  <c r="O104" i="17" s="1"/>
  <c r="FA108" i="2"/>
  <c r="EW106" i="2"/>
  <c r="ES105" i="2"/>
  <c r="FL99" i="2"/>
  <c r="M101" i="19"/>
  <c r="EX103" i="2"/>
  <c r="ET101" i="2"/>
  <c r="EQ103" i="2"/>
  <c r="FM107" i="2"/>
  <c r="EM109" i="2"/>
  <c r="FL103" i="2"/>
  <c r="FE106" i="2"/>
  <c r="FF103" i="2"/>
  <c r="FB101" i="2"/>
  <c r="FN102" i="2"/>
  <c r="EN98" i="2"/>
  <c r="FL98" i="2"/>
  <c r="F101" i="19"/>
  <c r="N101" i="19" s="1"/>
  <c r="FB108" i="2"/>
  <c r="EU108" i="2"/>
  <c r="ET103" i="2"/>
  <c r="H103" i="23" s="1"/>
  <c r="Q103" i="23" s="1"/>
  <c r="F105" i="17"/>
  <c r="O105" i="17" s="1"/>
  <c r="FH102" i="2"/>
  <c r="FN104" i="2"/>
  <c r="FM104" i="2"/>
  <c r="EP103" i="2"/>
  <c r="E106" i="17"/>
  <c r="N106" i="17" s="1"/>
  <c r="EY109" i="2"/>
  <c r="FD107" i="2"/>
  <c r="ET109" i="2"/>
  <c r="H109" i="23" s="1"/>
  <c r="Q109" i="23" s="1"/>
  <c r="EW108" i="2"/>
  <c r="FB106" i="2"/>
  <c r="EU107" i="2"/>
  <c r="EZ104" i="2"/>
  <c r="FC105" i="2"/>
  <c r="FM102" i="2"/>
  <c r="FK109" i="2"/>
  <c r="EY102" i="2"/>
  <c r="EW109" i="2"/>
  <c r="EX98" i="2"/>
  <c r="EN101" i="2"/>
  <c r="ET98" i="2"/>
  <c r="H98" i="34" s="1"/>
  <c r="Q98" i="34" s="1"/>
  <c r="FL106" i="2"/>
  <c r="FB109" i="2"/>
  <c r="FD102" i="2"/>
  <c r="FJ105" i="2"/>
  <c r="F104" i="19"/>
  <c r="N104" i="19" s="1"/>
  <c r="EN109" i="2"/>
  <c r="E109" i="17"/>
  <c r="N109" i="17" s="1"/>
  <c r="FM108" i="2"/>
  <c r="ES107" i="2"/>
  <c r="FH107" i="2"/>
  <c r="FN106" i="2"/>
  <c r="EV105" i="2"/>
  <c r="FB104" i="2"/>
  <c r="FE103" i="2"/>
  <c r="EX99" i="2"/>
  <c r="F108" i="19"/>
  <c r="N108" i="19" s="1"/>
  <c r="ES103" i="2"/>
  <c r="EO100" i="2"/>
  <c r="EY98" i="2"/>
  <c r="EW105" i="2"/>
  <c r="FA107" i="2"/>
  <c r="FH109" i="2"/>
  <c r="ES108" i="2"/>
  <c r="EO106" i="2"/>
  <c r="EU105" i="2"/>
  <c r="FG103" i="2"/>
  <c r="EW102" i="2"/>
  <c r="EP99" i="2"/>
  <c r="F100" i="17"/>
  <c r="O100" i="17" s="1"/>
  <c r="ER108" i="2"/>
  <c r="H108" i="28" s="1"/>
  <c r="Q108" i="28" s="1"/>
  <c r="EY107" i="2"/>
  <c r="EN106" i="2"/>
  <c r="FB100" i="2"/>
  <c r="E100" i="17"/>
  <c r="N100" i="17" s="1"/>
  <c r="EQ102" i="2"/>
  <c r="FA100" i="2"/>
  <c r="FM98" i="2"/>
  <c r="FC109" i="2"/>
  <c r="EM108" i="2"/>
  <c r="G108" i="28" s="1"/>
  <c r="P108" i="28" s="1"/>
  <c r="FM105" i="2"/>
  <c r="EU104" i="2"/>
  <c r="FE102" i="2"/>
  <c r="FE109" i="2"/>
  <c r="FC100" i="2"/>
  <c r="EO108" i="2"/>
  <c r="FL105" i="2"/>
  <c r="ER102" i="2"/>
  <c r="F107" i="17"/>
  <c r="O107" i="17" s="1"/>
  <c r="F102" i="17"/>
  <c r="O102" i="17" s="1"/>
  <c r="EX101" i="2"/>
  <c r="FN98" i="2"/>
  <c r="EP109" i="2"/>
  <c r="EY108" i="2"/>
  <c r="FF102" i="2"/>
  <c r="EM102" i="2"/>
  <c r="FI104" i="2"/>
  <c r="FK99" i="2"/>
  <c r="FE104" i="2"/>
  <c r="EU98" i="2"/>
  <c r="EO103" i="2"/>
  <c r="FM100" i="2"/>
  <c r="FI98" i="2"/>
  <c r="FG105" i="2"/>
  <c r="FC103" i="2"/>
  <c r="FM106" i="2"/>
  <c r="EU106" i="2"/>
  <c r="ES102" i="2"/>
  <c r="EM100" i="2"/>
  <c r="EW99" i="2"/>
  <c r="EQ104" i="2"/>
  <c r="EM107" i="2"/>
  <c r="G107" i="28" s="1"/>
  <c r="P107" i="28" s="1"/>
  <c r="FI103" i="2"/>
  <c r="E99" i="17"/>
  <c r="N99" i="17" s="1"/>
  <c r="EU109" i="2"/>
  <c r="FF108" i="2"/>
  <c r="EN108" i="2"/>
  <c r="EO101" i="2"/>
  <c r="F108" i="17"/>
  <c r="O108" i="17" s="1"/>
  <c r="F103" i="17"/>
  <c r="O103" i="17" s="1"/>
  <c r="ES109" i="2"/>
  <c r="FC108" i="2"/>
  <c r="FN107" i="2"/>
  <c r="EW107" i="2"/>
  <c r="FH106" i="2"/>
  <c r="FJ104" i="2"/>
  <c r="ER104" i="2"/>
  <c r="EV102" i="2"/>
  <c r="FN100" i="2"/>
  <c r="EV98" i="2"/>
  <c r="F107" i="19"/>
  <c r="N107" i="19" s="1"/>
  <c r="FA109" i="2"/>
  <c r="EZ106" i="2"/>
  <c r="ET105" i="2"/>
  <c r="EN104" i="2"/>
  <c r="FD101" i="2"/>
  <c r="EM101" i="2"/>
  <c r="FE105" i="2"/>
  <c r="E103" i="17"/>
  <c r="N103" i="17" s="1"/>
  <c r="EV104" i="2"/>
  <c r="FM101" i="2"/>
  <c r="EY99" i="2"/>
  <c r="FJ98" i="2"/>
  <c r="ES98" i="2"/>
  <c r="EG99" i="2"/>
  <c r="EW98" i="2"/>
  <c r="F105" i="19"/>
  <c r="N105" i="19" s="1"/>
  <c r="E108" i="17"/>
  <c r="N108" i="17" s="1"/>
  <c r="EG100" i="2"/>
  <c r="F106" i="17"/>
  <c r="O106" i="17" s="1"/>
  <c r="E102" i="17"/>
  <c r="N102" i="17" s="1"/>
  <c r="E101" i="17"/>
  <c r="N101" i="17" s="1"/>
  <c r="C100" i="20"/>
  <c r="C100" i="26"/>
  <c r="C100" i="21"/>
  <c r="C100" i="37"/>
  <c r="C100" i="22"/>
  <c r="C100" i="36"/>
  <c r="C100" i="29"/>
  <c r="C100" i="25"/>
  <c r="C100" i="24"/>
  <c r="C100" i="35"/>
  <c r="C100" i="31"/>
  <c r="C100" i="18"/>
  <c r="C100" i="34"/>
  <c r="C100" i="32"/>
  <c r="C100" i="30"/>
  <c r="C100" i="33"/>
  <c r="C100" i="28"/>
  <c r="C100" i="23"/>
  <c r="C100" i="19"/>
  <c r="C100" i="17"/>
  <c r="C109" i="34"/>
  <c r="C109" i="37"/>
  <c r="C109" i="32"/>
  <c r="C109" i="24"/>
  <c r="C109" i="35"/>
  <c r="C109" i="30"/>
  <c r="C109" i="33"/>
  <c r="C109" i="25"/>
  <c r="C109" i="36"/>
  <c r="C109" i="18"/>
  <c r="C109" i="26"/>
  <c r="C109" i="21"/>
  <c r="C109" i="31"/>
  <c r="C109" i="29"/>
  <c r="C109" i="20"/>
  <c r="C109" i="19"/>
  <c r="C109" i="17"/>
  <c r="C108" i="33"/>
  <c r="C108" i="18"/>
  <c r="C108" i="30"/>
  <c r="C108" i="36"/>
  <c r="C108" i="32"/>
  <c r="C108" i="34"/>
  <c r="C108" i="20"/>
  <c r="C108" i="29"/>
  <c r="C108" i="26"/>
  <c r="C108" i="21"/>
  <c r="C108" i="31"/>
  <c r="C108" i="23"/>
  <c r="C108" i="22"/>
  <c r="C108" i="24"/>
  <c r="C108" i="37"/>
  <c r="C108" i="35"/>
  <c r="C108" i="25"/>
  <c r="C108" i="19"/>
  <c r="C108" i="17"/>
  <c r="C107" i="24"/>
  <c r="C107" i="26"/>
  <c r="C107" i="21"/>
  <c r="C107" i="31"/>
  <c r="C107" i="25"/>
  <c r="C107" i="22"/>
  <c r="C107" i="35"/>
  <c r="C107" i="34"/>
  <c r="C107" i="33"/>
  <c r="C107" i="37"/>
  <c r="C107" i="18"/>
  <c r="C107" i="36"/>
  <c r="C107" i="30"/>
  <c r="C107" i="23"/>
  <c r="C107" i="32"/>
  <c r="C107" i="29"/>
  <c r="C107" i="20"/>
  <c r="C107" i="19"/>
  <c r="C107" i="17"/>
  <c r="C103" i="37"/>
  <c r="C103" i="35"/>
  <c r="C103" i="28"/>
  <c r="C103" i="29"/>
  <c r="C103" i="25"/>
  <c r="C103" i="23"/>
  <c r="C103" i="24"/>
  <c r="C103" i="33"/>
  <c r="C103" i="22"/>
  <c r="C103" i="18"/>
  <c r="C103" i="32"/>
  <c r="C103" i="34"/>
  <c r="C103" i="36"/>
  <c r="C103" i="31"/>
  <c r="C103" i="20"/>
  <c r="C103" i="30"/>
  <c r="C103" i="26"/>
  <c r="C103" i="21"/>
  <c r="C103" i="19"/>
  <c r="C103" i="17"/>
  <c r="C102" i="22"/>
  <c r="C102" i="36"/>
  <c r="C102" i="20"/>
  <c r="C102" i="32"/>
  <c r="C102" i="31"/>
  <c r="C102" i="28"/>
  <c r="C102" i="30"/>
  <c r="C102" i="23"/>
  <c r="C102" i="29"/>
  <c r="C102" i="26"/>
  <c r="C102" i="35"/>
  <c r="C102" i="21"/>
  <c r="C102" i="25"/>
  <c r="C102" i="37"/>
  <c r="C102" i="24"/>
  <c r="C102" i="18"/>
  <c r="C102" i="34"/>
  <c r="C102" i="33"/>
  <c r="C102" i="17"/>
  <c r="C102" i="19"/>
  <c r="C106" i="33"/>
  <c r="C106" i="18"/>
  <c r="C106" i="36"/>
  <c r="C106" i="37"/>
  <c r="C106" i="30"/>
  <c r="C106" i="29"/>
  <c r="C106" i="20"/>
  <c r="C106" i="25"/>
  <c r="C106" i="24"/>
  <c r="C106" i="32"/>
  <c r="C106" i="35"/>
  <c r="C106" i="22"/>
  <c r="C106" i="34"/>
  <c r="C106" i="31"/>
  <c r="C106" i="26"/>
  <c r="C106" i="23"/>
  <c r="C106" i="21"/>
  <c r="C106" i="19"/>
  <c r="C106" i="17"/>
  <c r="C101" i="30"/>
  <c r="C101" i="35"/>
  <c r="C101" i="25"/>
  <c r="C101" i="18"/>
  <c r="C101" i="24"/>
  <c r="C101" i="33"/>
  <c r="C101" i="34"/>
  <c r="C101" i="26"/>
  <c r="C101" i="21"/>
  <c r="C101" i="37"/>
  <c r="C101" i="28"/>
  <c r="C101" i="23"/>
  <c r="C101" i="22"/>
  <c r="C101" i="20"/>
  <c r="C101" i="36"/>
  <c r="C101" i="29"/>
  <c r="C101" i="32"/>
  <c r="C101" i="31"/>
  <c r="C101" i="19"/>
  <c r="C101" i="17"/>
  <c r="G103" i="33"/>
  <c r="M103" i="33" s="1"/>
  <c r="G103" i="22"/>
  <c r="M103" i="22" s="1"/>
  <c r="A106" i="19"/>
  <c r="EG105" i="2"/>
  <c r="E107" i="24"/>
  <c r="M107" i="24" s="1"/>
  <c r="L107" i="25"/>
  <c r="E107" i="18"/>
  <c r="L107" i="18" s="1"/>
  <c r="N107" i="23"/>
  <c r="E107" i="20"/>
  <c r="M107" i="20" s="1"/>
  <c r="E99" i="18"/>
  <c r="L99" i="18" s="1"/>
  <c r="E99" i="20"/>
  <c r="M99" i="20" s="1"/>
  <c r="L99" i="25"/>
  <c r="E99" i="24"/>
  <c r="M99" i="24" s="1"/>
  <c r="A100" i="37"/>
  <c r="A100" i="26"/>
  <c r="A100" i="21"/>
  <c r="A100" i="36"/>
  <c r="A100" i="22"/>
  <c r="A100" i="35"/>
  <c r="A100" i="31"/>
  <c r="A100" i="25"/>
  <c r="A100" i="24"/>
  <c r="A100" i="34"/>
  <c r="A100" i="32"/>
  <c r="A100" i="30"/>
  <c r="A100" i="18"/>
  <c r="A100" i="33"/>
  <c r="A100" i="28"/>
  <c r="A100" i="23"/>
  <c r="A100" i="20"/>
  <c r="I102" i="25"/>
  <c r="P102" i="25" s="1"/>
  <c r="J102" i="24"/>
  <c r="R102" i="24" s="1"/>
  <c r="I102" i="36"/>
  <c r="P102" i="36" s="1"/>
  <c r="J102" i="35"/>
  <c r="R102" i="35" s="1"/>
  <c r="H101" i="34"/>
  <c r="Q101" i="34" s="1"/>
  <c r="H101" i="23"/>
  <c r="Q101" i="23" s="1"/>
  <c r="EG104" i="2"/>
  <c r="F104" i="25"/>
  <c r="M104" i="25" s="1"/>
  <c r="F104" i="24"/>
  <c r="N104" i="24" s="1"/>
  <c r="F104" i="20"/>
  <c r="N104" i="20" s="1"/>
  <c r="F103" i="23"/>
  <c r="O103" i="23" s="1"/>
  <c r="F103" i="18"/>
  <c r="M103" i="18" s="1"/>
  <c r="B104" i="17"/>
  <c r="B104" i="31"/>
  <c r="B104" i="36"/>
  <c r="B104" i="30"/>
  <c r="B104" i="37"/>
  <c r="B104" i="34"/>
  <c r="B104" i="35"/>
  <c r="B104" i="28"/>
  <c r="B104" i="32"/>
  <c r="B104" i="29"/>
  <c r="B104" i="33"/>
  <c r="B98" i="34"/>
  <c r="B98" i="36"/>
  <c r="B98" i="29"/>
  <c r="B98" i="35"/>
  <c r="B98" i="37"/>
  <c r="B98" i="28"/>
  <c r="B98" i="33"/>
  <c r="B98" i="30"/>
  <c r="B98" i="31"/>
  <c r="B98" i="32"/>
  <c r="G102" i="33"/>
  <c r="M102" i="33" s="1"/>
  <c r="G102" i="22"/>
  <c r="M102" i="22" s="1"/>
  <c r="H107" i="34"/>
  <c r="Q107" i="34" s="1"/>
  <c r="H107" i="23"/>
  <c r="Q107" i="23" s="1"/>
  <c r="G103" i="23"/>
  <c r="P103" i="23" s="1"/>
  <c r="G103" i="34"/>
  <c r="P103" i="34" s="1"/>
  <c r="A100" i="17"/>
  <c r="EG103" i="2"/>
  <c r="E108" i="18"/>
  <c r="L108" i="18" s="1"/>
  <c r="E108" i="20"/>
  <c r="M108" i="20" s="1"/>
  <c r="E108" i="24"/>
  <c r="M108" i="24" s="1"/>
  <c r="E100" i="20"/>
  <c r="M100" i="20" s="1"/>
  <c r="L100" i="25"/>
  <c r="E100" i="24"/>
  <c r="M100" i="24" s="1"/>
  <c r="E100" i="18"/>
  <c r="L100" i="18" s="1"/>
  <c r="N100" i="23"/>
  <c r="B103" i="19"/>
  <c r="B103" i="37"/>
  <c r="B103" i="35"/>
  <c r="B103" i="28"/>
  <c r="B103" i="29"/>
  <c r="B103" i="33"/>
  <c r="B103" i="32"/>
  <c r="B103" i="34"/>
  <c r="B103" i="36"/>
  <c r="B103" i="31"/>
  <c r="B103" i="30"/>
  <c r="A98" i="23"/>
  <c r="A98" i="20"/>
  <c r="A98" i="36"/>
  <c r="A98" i="24"/>
  <c r="A98" i="22"/>
  <c r="A98" i="35"/>
  <c r="A98" i="37"/>
  <c r="A98" i="28"/>
  <c r="A98" i="26"/>
  <c r="A98" i="21"/>
  <c r="A98" i="18"/>
  <c r="A98" i="33"/>
  <c r="A98" i="30"/>
  <c r="A98" i="31"/>
  <c r="A98" i="32"/>
  <c r="A98" i="34"/>
  <c r="A98" i="25"/>
  <c r="J109" i="35"/>
  <c r="R109" i="35" s="1"/>
  <c r="J109" i="24"/>
  <c r="R109" i="24" s="1"/>
  <c r="I109" i="36"/>
  <c r="P109" i="36" s="1"/>
  <c r="I109" i="25"/>
  <c r="P109" i="25" s="1"/>
  <c r="J101" i="35"/>
  <c r="R101" i="35" s="1"/>
  <c r="I101" i="25"/>
  <c r="P101" i="25" s="1"/>
  <c r="J101" i="24"/>
  <c r="R101" i="24" s="1"/>
  <c r="I101" i="36"/>
  <c r="P101" i="36" s="1"/>
  <c r="A102" i="19"/>
  <c r="EG102" i="2"/>
  <c r="F105" i="24"/>
  <c r="N105" i="24" s="1"/>
  <c r="F105" i="25"/>
  <c r="M105" i="25" s="1"/>
  <c r="F105" i="20"/>
  <c r="N105" i="20" s="1"/>
  <c r="F104" i="23"/>
  <c r="O104" i="23" s="1"/>
  <c r="F104" i="18"/>
  <c r="M104" i="18" s="1"/>
  <c r="C98" i="25"/>
  <c r="C98" i="34"/>
  <c r="C98" i="23"/>
  <c r="C98" i="20"/>
  <c r="C98" i="36"/>
  <c r="C98" i="29"/>
  <c r="C98" i="24"/>
  <c r="C98" i="22"/>
  <c r="C98" i="35"/>
  <c r="C98" i="37"/>
  <c r="C98" i="26"/>
  <c r="C98" i="28"/>
  <c r="C98" i="21"/>
  <c r="C98" i="18"/>
  <c r="C98" i="33"/>
  <c r="C98" i="30"/>
  <c r="C98" i="31"/>
  <c r="C98" i="32"/>
  <c r="A103" i="37"/>
  <c r="A103" i="35"/>
  <c r="A103" i="28"/>
  <c r="A103" i="25"/>
  <c r="A103" i="23"/>
  <c r="A103" i="33"/>
  <c r="A103" i="24"/>
  <c r="A103" i="22"/>
  <c r="A103" i="32"/>
  <c r="A103" i="18"/>
  <c r="A103" i="34"/>
  <c r="A103" i="36"/>
  <c r="A103" i="31"/>
  <c r="A103" i="20"/>
  <c r="A103" i="30"/>
  <c r="A103" i="26"/>
  <c r="A103" i="21"/>
  <c r="G109" i="33"/>
  <c r="M109" i="33" s="1"/>
  <c r="G101" i="33"/>
  <c r="M101" i="33" s="1"/>
  <c r="G101" i="22"/>
  <c r="M101" i="22" s="1"/>
  <c r="H99" i="34"/>
  <c r="Q99" i="34" s="1"/>
  <c r="C98" i="17"/>
  <c r="C99" i="19"/>
  <c r="EG101" i="2"/>
  <c r="E109" i="20"/>
  <c r="M109" i="20" s="1"/>
  <c r="E109" i="24"/>
  <c r="M109" i="24" s="1"/>
  <c r="E109" i="18"/>
  <c r="L109" i="18" s="1"/>
  <c r="L101" i="25"/>
  <c r="E101" i="18"/>
  <c r="L101" i="18" s="1"/>
  <c r="E101" i="24"/>
  <c r="M101" i="24" s="1"/>
  <c r="N101" i="23"/>
  <c r="E101" i="20"/>
  <c r="M101" i="20" s="1"/>
  <c r="B99" i="19"/>
  <c r="B99" i="33"/>
  <c r="B99" i="31"/>
  <c r="B99" i="30"/>
  <c r="B99" i="28"/>
  <c r="B99" i="32"/>
  <c r="B99" i="36"/>
  <c r="B99" i="29"/>
  <c r="B99" i="37"/>
  <c r="B99" i="34"/>
  <c r="B99" i="35"/>
  <c r="A99" i="18"/>
  <c r="A99" i="33"/>
  <c r="A99" i="31"/>
  <c r="A99" i="30"/>
  <c r="A99" i="28"/>
  <c r="A99" i="32"/>
  <c r="A99" i="20"/>
  <c r="A99" i="36"/>
  <c r="A99" i="37"/>
  <c r="A99" i="34"/>
  <c r="A99" i="22"/>
  <c r="A99" i="26"/>
  <c r="A99" i="25"/>
  <c r="A99" i="24"/>
  <c r="A99" i="21"/>
  <c r="A99" i="35"/>
  <c r="A99" i="23"/>
  <c r="B109" i="34"/>
  <c r="B109" i="37"/>
  <c r="B109" i="32"/>
  <c r="B109" i="35"/>
  <c r="B109" i="30"/>
  <c r="B109" i="33"/>
  <c r="B109" i="36"/>
  <c r="B109" i="31"/>
  <c r="B109" i="29"/>
  <c r="J108" i="24"/>
  <c r="R108" i="24" s="1"/>
  <c r="J108" i="35"/>
  <c r="R108" i="35" s="1"/>
  <c r="I108" i="25"/>
  <c r="P108" i="25" s="1"/>
  <c r="I108" i="36"/>
  <c r="P108" i="36" s="1"/>
  <c r="I100" i="36"/>
  <c r="P100" i="36" s="1"/>
  <c r="J100" i="35"/>
  <c r="R100" i="35" s="1"/>
  <c r="I100" i="25"/>
  <c r="P100" i="25" s="1"/>
  <c r="J100" i="24"/>
  <c r="R100" i="24" s="1"/>
  <c r="A107" i="17"/>
  <c r="A98" i="17"/>
  <c r="A99" i="19"/>
  <c r="F106" i="20"/>
  <c r="N106" i="20" s="1"/>
  <c r="F106" i="25"/>
  <c r="M106" i="25" s="1"/>
  <c r="F106" i="24"/>
  <c r="N106" i="24" s="1"/>
  <c r="F105" i="23"/>
  <c r="O105" i="23" s="1"/>
  <c r="F105" i="18"/>
  <c r="M105" i="18" s="1"/>
  <c r="F98" i="25"/>
  <c r="M98" i="25" s="1"/>
  <c r="F98" i="20"/>
  <c r="N98" i="20" s="1"/>
  <c r="F98" i="24"/>
  <c r="N98" i="24" s="1"/>
  <c r="C105" i="35"/>
  <c r="C105" i="23"/>
  <c r="C105" i="32"/>
  <c r="C105" i="34"/>
  <c r="C105" i="22"/>
  <c r="C105" i="28"/>
  <c r="C105" i="31"/>
  <c r="C105" i="33"/>
  <c r="C105" i="26"/>
  <c r="C105" i="21"/>
  <c r="C105" i="29"/>
  <c r="C105" i="18"/>
  <c r="C105" i="36"/>
  <c r="C105" i="25"/>
  <c r="C105" i="20"/>
  <c r="C105" i="30"/>
  <c r="C105" i="37"/>
  <c r="C105" i="24"/>
  <c r="B102" i="36"/>
  <c r="B102" i="32"/>
  <c r="B102" i="31"/>
  <c r="B102" i="28"/>
  <c r="B102" i="30"/>
  <c r="B102" i="29"/>
  <c r="B102" i="35"/>
  <c r="B102" i="37"/>
  <c r="B102" i="34"/>
  <c r="B102" i="33"/>
  <c r="A109" i="34"/>
  <c r="A109" i="37"/>
  <c r="A109" i="32"/>
  <c r="A109" i="35"/>
  <c r="A109" i="30"/>
  <c r="A109" i="24"/>
  <c r="A109" i="33"/>
  <c r="A109" i="36"/>
  <c r="A109" i="25"/>
  <c r="A109" i="18"/>
  <c r="A109" i="26"/>
  <c r="A109" i="21"/>
  <c r="A109" i="31"/>
  <c r="A109" i="20"/>
  <c r="G108" i="33"/>
  <c r="M108" i="33" s="1"/>
  <c r="G108" i="22"/>
  <c r="M108" i="22" s="1"/>
  <c r="G100" i="22"/>
  <c r="M100" i="22" s="1"/>
  <c r="G100" i="33"/>
  <c r="M100" i="33" s="1"/>
  <c r="H99" i="17"/>
  <c r="Q99" i="17" s="1"/>
  <c r="G98" i="17"/>
  <c r="P98" i="17" s="1"/>
  <c r="G98" i="34"/>
  <c r="P98" i="34" s="1"/>
  <c r="G98" i="23"/>
  <c r="P98" i="23" s="1"/>
  <c r="G98" i="28"/>
  <c r="P98" i="28" s="1"/>
  <c r="A105" i="17"/>
  <c r="A103" i="17"/>
  <c r="C105" i="19"/>
  <c r="E102" i="20"/>
  <c r="M102" i="20" s="1"/>
  <c r="N102" i="23"/>
  <c r="L102" i="25"/>
  <c r="E102" i="24"/>
  <c r="M102" i="24" s="1"/>
  <c r="E102" i="18"/>
  <c r="L102" i="18" s="1"/>
  <c r="B107" i="17"/>
  <c r="B107" i="31"/>
  <c r="B107" i="35"/>
  <c r="B107" i="34"/>
  <c r="B107" i="33"/>
  <c r="B107" i="37"/>
  <c r="B107" i="36"/>
  <c r="B107" i="30"/>
  <c r="B107" i="32"/>
  <c r="B107" i="29"/>
  <c r="A102" i="36"/>
  <c r="A102" i="32"/>
  <c r="A102" i="20"/>
  <c r="A102" i="31"/>
  <c r="A102" i="28"/>
  <c r="A102" i="30"/>
  <c r="A102" i="23"/>
  <c r="A102" i="35"/>
  <c r="A102" i="26"/>
  <c r="A102" i="21"/>
  <c r="A102" i="37"/>
  <c r="A102" i="25"/>
  <c r="A102" i="24"/>
  <c r="A102" i="18"/>
  <c r="A102" i="34"/>
  <c r="A102" i="33"/>
  <c r="A102" i="22"/>
  <c r="J107" i="24"/>
  <c r="R107" i="24" s="1"/>
  <c r="I107" i="25"/>
  <c r="P107" i="25" s="1"/>
  <c r="J107" i="35"/>
  <c r="R107" i="35" s="1"/>
  <c r="I107" i="36"/>
  <c r="P107" i="36" s="1"/>
  <c r="I99" i="25"/>
  <c r="P99" i="25" s="1"/>
  <c r="J99" i="24"/>
  <c r="R99" i="24" s="1"/>
  <c r="J99" i="35"/>
  <c r="R99" i="35" s="1"/>
  <c r="I99" i="36"/>
  <c r="P99" i="36" s="1"/>
  <c r="A101" i="17"/>
  <c r="A105" i="19"/>
  <c r="F107" i="20"/>
  <c r="N107" i="20" s="1"/>
  <c r="F107" i="24"/>
  <c r="N107" i="24" s="1"/>
  <c r="F107" i="25"/>
  <c r="M107" i="25" s="1"/>
  <c r="F106" i="18"/>
  <c r="M106" i="18" s="1"/>
  <c r="F106" i="23"/>
  <c r="O106" i="23" s="1"/>
  <c r="F99" i="20"/>
  <c r="N99" i="20" s="1"/>
  <c r="F99" i="25"/>
  <c r="M99" i="25" s="1"/>
  <c r="F99" i="24"/>
  <c r="N99" i="24" s="1"/>
  <c r="F98" i="23"/>
  <c r="O98" i="23" s="1"/>
  <c r="F98" i="18"/>
  <c r="M98" i="18" s="1"/>
  <c r="B105" i="19"/>
  <c r="B105" i="35"/>
  <c r="B105" i="32"/>
  <c r="B105" i="34"/>
  <c r="B105" i="28"/>
  <c r="B105" i="31"/>
  <c r="B105" i="33"/>
  <c r="B105" i="29"/>
  <c r="B105" i="36"/>
  <c r="B105" i="30"/>
  <c r="B105" i="37"/>
  <c r="A107" i="31"/>
  <c r="A107" i="26"/>
  <c r="A107" i="21"/>
  <c r="A107" i="25"/>
  <c r="A107" i="22"/>
  <c r="A107" i="35"/>
  <c r="A107" i="34"/>
  <c r="A107" i="33"/>
  <c r="A107" i="37"/>
  <c r="A107" i="18"/>
  <c r="A107" i="36"/>
  <c r="A107" i="30"/>
  <c r="A107" i="23"/>
  <c r="A107" i="32"/>
  <c r="A107" i="20"/>
  <c r="A107" i="24"/>
  <c r="B108" i="19"/>
  <c r="B108" i="33"/>
  <c r="B108" i="30"/>
  <c r="B108" i="36"/>
  <c r="B108" i="32"/>
  <c r="B108" i="34"/>
  <c r="B108" i="29"/>
  <c r="B108" i="31"/>
  <c r="B108" i="37"/>
  <c r="B108" i="35"/>
  <c r="G107" i="22"/>
  <c r="M107" i="22" s="1"/>
  <c r="G107" i="33"/>
  <c r="M107" i="33" s="1"/>
  <c r="G99" i="33"/>
  <c r="M99" i="33" s="1"/>
  <c r="G99" i="22"/>
  <c r="M99" i="22" s="1"/>
  <c r="H108" i="34"/>
  <c r="Q108" i="34" s="1"/>
  <c r="H108" i="23"/>
  <c r="Q108" i="23" s="1"/>
  <c r="G107" i="23"/>
  <c r="P107" i="23" s="1"/>
  <c r="G104" i="17"/>
  <c r="P104" i="17" s="1"/>
  <c r="G104" i="23"/>
  <c r="P104" i="23" s="1"/>
  <c r="G104" i="34"/>
  <c r="P104" i="34" s="1"/>
  <c r="G104" i="28"/>
  <c r="P104" i="28" s="1"/>
  <c r="L103" i="25"/>
  <c r="N103" i="23"/>
  <c r="E103" i="24"/>
  <c r="M103" i="24" s="1"/>
  <c r="E103" i="18"/>
  <c r="L103" i="18" s="1"/>
  <c r="E103" i="20"/>
  <c r="M103" i="20" s="1"/>
  <c r="B100" i="37"/>
  <c r="B100" i="36"/>
  <c r="B100" i="29"/>
  <c r="B100" i="35"/>
  <c r="B100" i="31"/>
  <c r="B100" i="34"/>
  <c r="B100" i="32"/>
  <c r="B100" i="30"/>
  <c r="B100" i="33"/>
  <c r="B100" i="28"/>
  <c r="A104" i="23"/>
  <c r="A104" i="36"/>
  <c r="A104" i="24"/>
  <c r="A104" i="18"/>
  <c r="A104" i="26"/>
  <c r="A104" i="21"/>
  <c r="A104" i="20"/>
  <c r="A104" i="30"/>
  <c r="A104" i="37"/>
  <c r="A104" i="34"/>
  <c r="A104" i="35"/>
  <c r="A104" i="28"/>
  <c r="A104" i="32"/>
  <c r="A104" i="22"/>
  <c r="A104" i="33"/>
  <c r="A104" i="25"/>
  <c r="A104" i="31"/>
  <c r="B101" i="19"/>
  <c r="B101" i="30"/>
  <c r="B101" i="35"/>
  <c r="B101" i="33"/>
  <c r="B101" i="34"/>
  <c r="B101" i="37"/>
  <c r="B101" i="28"/>
  <c r="B101" i="36"/>
  <c r="B101" i="29"/>
  <c r="B101" i="32"/>
  <c r="B101" i="31"/>
  <c r="A108" i="30"/>
  <c r="A108" i="18"/>
  <c r="A108" i="36"/>
  <c r="A108" i="32"/>
  <c r="A108" i="34"/>
  <c r="A108" i="20"/>
  <c r="A108" i="26"/>
  <c r="A108" i="21"/>
  <c r="A108" i="31"/>
  <c r="A108" i="23"/>
  <c r="A108" i="22"/>
  <c r="A108" i="24"/>
  <c r="A108" i="37"/>
  <c r="A108" i="35"/>
  <c r="A108" i="25"/>
  <c r="A108" i="33"/>
  <c r="I106" i="36"/>
  <c r="P106" i="36" s="1"/>
  <c r="I106" i="25"/>
  <c r="P106" i="25" s="1"/>
  <c r="J106" i="24"/>
  <c r="R106" i="24" s="1"/>
  <c r="J106" i="35"/>
  <c r="R106" i="35" s="1"/>
  <c r="I98" i="25"/>
  <c r="P98" i="25" s="1"/>
  <c r="I98" i="36"/>
  <c r="P98" i="36" s="1"/>
  <c r="J98" i="24"/>
  <c r="R98" i="24" s="1"/>
  <c r="J98" i="35"/>
  <c r="R98" i="35" s="1"/>
  <c r="A100" i="19"/>
  <c r="F108" i="25"/>
  <c r="M108" i="25" s="1"/>
  <c r="F108" i="20"/>
  <c r="N108" i="20" s="1"/>
  <c r="F108" i="24"/>
  <c r="N108" i="24" s="1"/>
  <c r="F107" i="18"/>
  <c r="M107" i="18" s="1"/>
  <c r="F107" i="23"/>
  <c r="O107" i="23" s="1"/>
  <c r="F100" i="20"/>
  <c r="N100" i="20" s="1"/>
  <c r="F100" i="25"/>
  <c r="M100" i="25" s="1"/>
  <c r="F100" i="24"/>
  <c r="N100" i="24" s="1"/>
  <c r="F99" i="23"/>
  <c r="O99" i="23" s="1"/>
  <c r="F99" i="18"/>
  <c r="M99" i="18" s="1"/>
  <c r="C104" i="33"/>
  <c r="C104" i="31"/>
  <c r="C104" i="23"/>
  <c r="C104" i="24"/>
  <c r="C104" i="18"/>
  <c r="C104" i="36"/>
  <c r="C104" i="26"/>
  <c r="C104" i="21"/>
  <c r="C104" i="20"/>
  <c r="C104" i="30"/>
  <c r="C104" i="37"/>
  <c r="C104" i="34"/>
  <c r="C104" i="35"/>
  <c r="C104" i="28"/>
  <c r="C104" i="32"/>
  <c r="C104" i="22"/>
  <c r="C104" i="29"/>
  <c r="C104" i="25"/>
  <c r="B106" i="17"/>
  <c r="B106" i="36"/>
  <c r="B106" i="37"/>
  <c r="B106" i="30"/>
  <c r="B106" i="29"/>
  <c r="B106" i="32"/>
  <c r="B106" i="35"/>
  <c r="B106" i="34"/>
  <c r="B106" i="31"/>
  <c r="B106" i="33"/>
  <c r="A101" i="35"/>
  <c r="A101" i="25"/>
  <c r="A101" i="18"/>
  <c r="A101" i="33"/>
  <c r="A101" i="24"/>
  <c r="A101" i="34"/>
  <c r="A101" i="26"/>
  <c r="A101" i="21"/>
  <c r="A101" i="37"/>
  <c r="A101" i="28"/>
  <c r="A101" i="23"/>
  <c r="A101" i="22"/>
  <c r="A101" i="20"/>
  <c r="A101" i="36"/>
  <c r="A101" i="32"/>
  <c r="A101" i="31"/>
  <c r="A101" i="30"/>
  <c r="G106" i="33"/>
  <c r="M106" i="33" s="1"/>
  <c r="G106" i="22"/>
  <c r="M106" i="22" s="1"/>
  <c r="G98" i="22"/>
  <c r="M98" i="22" s="1"/>
  <c r="G98" i="33"/>
  <c r="M98" i="33" s="1"/>
  <c r="H100" i="23"/>
  <c r="Q100" i="23" s="1"/>
  <c r="H100" i="34"/>
  <c r="Q100" i="34" s="1"/>
  <c r="G99" i="23"/>
  <c r="P99" i="23" s="1"/>
  <c r="G99" i="28"/>
  <c r="P99" i="28" s="1"/>
  <c r="G99" i="34"/>
  <c r="P99" i="34" s="1"/>
  <c r="A99" i="17"/>
  <c r="L104" i="25"/>
  <c r="N104" i="23"/>
  <c r="E104" i="24"/>
  <c r="M104" i="24" s="1"/>
  <c r="E104" i="18"/>
  <c r="L104" i="18" s="1"/>
  <c r="E104" i="20"/>
  <c r="M104" i="20" s="1"/>
  <c r="A106" i="18"/>
  <c r="A106" i="36"/>
  <c r="A106" i="37"/>
  <c r="A106" i="30"/>
  <c r="A106" i="20"/>
  <c r="A106" i="32"/>
  <c r="A106" i="25"/>
  <c r="A106" i="24"/>
  <c r="A106" i="35"/>
  <c r="A106" i="34"/>
  <c r="A106" i="31"/>
  <c r="A106" i="22"/>
  <c r="A106" i="26"/>
  <c r="A106" i="23"/>
  <c r="A106" i="21"/>
  <c r="A106" i="33"/>
  <c r="I105" i="25"/>
  <c r="P105" i="25" s="1"/>
  <c r="J105" i="24"/>
  <c r="R105" i="24" s="1"/>
  <c r="J105" i="35"/>
  <c r="R105" i="35" s="1"/>
  <c r="I105" i="36"/>
  <c r="P105" i="36" s="1"/>
  <c r="EG98" i="2"/>
  <c r="F109" i="20"/>
  <c r="N109" i="20" s="1"/>
  <c r="F109" i="24"/>
  <c r="N109" i="24" s="1"/>
  <c r="F109" i="25"/>
  <c r="M109" i="25" s="1"/>
  <c r="F108" i="18"/>
  <c r="M108" i="18" s="1"/>
  <c r="F108" i="23"/>
  <c r="O108" i="23" s="1"/>
  <c r="F101" i="25"/>
  <c r="M101" i="25" s="1"/>
  <c r="F101" i="24"/>
  <c r="N101" i="24" s="1"/>
  <c r="F101" i="20"/>
  <c r="N101" i="20" s="1"/>
  <c r="F100" i="23"/>
  <c r="O100" i="23" s="1"/>
  <c r="F100" i="18"/>
  <c r="M100" i="18" s="1"/>
  <c r="G105" i="22"/>
  <c r="M105" i="22" s="1"/>
  <c r="G105" i="33"/>
  <c r="M105" i="33" s="1"/>
  <c r="H100" i="17"/>
  <c r="Q100" i="17" s="1"/>
  <c r="A108" i="17"/>
  <c r="C104" i="17"/>
  <c r="A108" i="19"/>
  <c r="A103" i="19"/>
  <c r="C98" i="19"/>
  <c r="EG109" i="2"/>
  <c r="E105" i="18"/>
  <c r="L105" i="18" s="1"/>
  <c r="L105" i="25"/>
  <c r="E105" i="20"/>
  <c r="M105" i="20" s="1"/>
  <c r="E105" i="24"/>
  <c r="M105" i="24" s="1"/>
  <c r="I104" i="25"/>
  <c r="P104" i="25" s="1"/>
  <c r="I104" i="36"/>
  <c r="P104" i="36" s="1"/>
  <c r="J104" i="24"/>
  <c r="R104" i="24" s="1"/>
  <c r="J104" i="35"/>
  <c r="R104" i="35" s="1"/>
  <c r="H106" i="23"/>
  <c r="Q106" i="23" s="1"/>
  <c r="H106" i="34"/>
  <c r="Q106" i="34" s="1"/>
  <c r="H103" i="28"/>
  <c r="Q103" i="28" s="1"/>
  <c r="G102" i="34"/>
  <c r="P102" i="34" s="1"/>
  <c r="G102" i="28"/>
  <c r="P102" i="28" s="1"/>
  <c r="G102" i="23"/>
  <c r="P102" i="23" s="1"/>
  <c r="A104" i="17"/>
  <c r="A101" i="19"/>
  <c r="A98" i="19"/>
  <c r="EG108" i="2"/>
  <c r="I108" i="28" s="1"/>
  <c r="R108" i="28" s="1"/>
  <c r="F109" i="18"/>
  <c r="M109" i="18" s="1"/>
  <c r="F102" i="20"/>
  <c r="N102" i="20" s="1"/>
  <c r="F102" i="25"/>
  <c r="M102" i="25" s="1"/>
  <c r="F102" i="24"/>
  <c r="N102" i="24" s="1"/>
  <c r="F101" i="18"/>
  <c r="M101" i="18" s="1"/>
  <c r="F101" i="23"/>
  <c r="O101" i="23" s="1"/>
  <c r="A105" i="35"/>
  <c r="A105" i="32"/>
  <c r="A105" i="23"/>
  <c r="A105" i="34"/>
  <c r="A105" i="28"/>
  <c r="A105" i="22"/>
  <c r="A105" i="31"/>
  <c r="A105" i="33"/>
  <c r="A105" i="26"/>
  <c r="A105" i="21"/>
  <c r="A105" i="36"/>
  <c r="A105" i="18"/>
  <c r="A105" i="25"/>
  <c r="A105" i="30"/>
  <c r="A105" i="20"/>
  <c r="A105" i="37"/>
  <c r="A105" i="24"/>
  <c r="C99" i="35"/>
  <c r="C99" i="18"/>
  <c r="C99" i="33"/>
  <c r="C99" i="31"/>
  <c r="C99" i="30"/>
  <c r="C99" i="28"/>
  <c r="C99" i="32"/>
  <c r="C99" i="20"/>
  <c r="C99" i="36"/>
  <c r="C99" i="29"/>
  <c r="C99" i="22"/>
  <c r="C99" i="37"/>
  <c r="C99" i="34"/>
  <c r="C99" i="26"/>
  <c r="C99" i="25"/>
  <c r="C99" i="24"/>
  <c r="C99" i="21"/>
  <c r="C99" i="23"/>
  <c r="G104" i="22"/>
  <c r="M104" i="22" s="1"/>
  <c r="G104" i="33"/>
  <c r="M104" i="33" s="1"/>
  <c r="H109" i="34"/>
  <c r="Q109" i="34" s="1"/>
  <c r="G108" i="34"/>
  <c r="P108" i="34" s="1"/>
  <c r="G108" i="23"/>
  <c r="P108" i="23" s="1"/>
  <c r="G105" i="34"/>
  <c r="P105" i="34" s="1"/>
  <c r="G105" i="23"/>
  <c r="P105" i="23" s="1"/>
  <c r="G105" i="28"/>
  <c r="P105" i="28" s="1"/>
  <c r="A106" i="17"/>
  <c r="A102" i="17"/>
  <c r="EG107" i="2"/>
  <c r="I107" i="28" s="1"/>
  <c r="R107" i="28" s="1"/>
  <c r="E106" i="18"/>
  <c r="L106" i="18" s="1"/>
  <c r="E106" i="20"/>
  <c r="M106" i="20" s="1"/>
  <c r="L106" i="25"/>
  <c r="E106" i="24"/>
  <c r="M106" i="24" s="1"/>
  <c r="N106" i="23"/>
  <c r="L98" i="25"/>
  <c r="N98" i="23"/>
  <c r="E98" i="20"/>
  <c r="M98" i="20" s="1"/>
  <c r="E98" i="24"/>
  <c r="M98" i="24" s="1"/>
  <c r="E98" i="18"/>
  <c r="L98" i="18" s="1"/>
  <c r="J103" i="35"/>
  <c r="R103" i="35" s="1"/>
  <c r="I103" i="25"/>
  <c r="P103" i="25" s="1"/>
  <c r="J103" i="24"/>
  <c r="R103" i="24" s="1"/>
  <c r="I103" i="36"/>
  <c r="P103" i="36" s="1"/>
  <c r="A109" i="19"/>
  <c r="EG106" i="2"/>
  <c r="I106" i="28" s="1"/>
  <c r="R106" i="28" s="1"/>
  <c r="FJ103" i="2"/>
  <c r="F103" i="25"/>
  <c r="M103" i="25" s="1"/>
  <c r="F103" i="24"/>
  <c r="N103" i="24" s="1"/>
  <c r="F103" i="20"/>
  <c r="N103" i="20" s="1"/>
  <c r="ET102" i="2"/>
  <c r="F102" i="23"/>
  <c r="O102" i="23" s="1"/>
  <c r="F102" i="18"/>
  <c r="M102" i="18" s="1"/>
  <c r="H102" i="30"/>
  <c r="O102" i="30" s="1"/>
  <c r="H102" i="18"/>
  <c r="O102" i="18" s="1"/>
  <c r="H103" i="18"/>
  <c r="O103" i="18" s="1"/>
  <c r="H103" i="30"/>
  <c r="O103" i="30" s="1"/>
  <c r="H107" i="24"/>
  <c r="P107" i="24" s="1"/>
  <c r="H107" i="35"/>
  <c r="P107" i="35" s="1"/>
  <c r="H100" i="30"/>
  <c r="O100" i="30" s="1"/>
  <c r="H100" i="18"/>
  <c r="O100" i="18" s="1"/>
  <c r="H107" i="18"/>
  <c r="O107" i="18" s="1"/>
  <c r="H107" i="30"/>
  <c r="O107" i="30" s="1"/>
  <c r="H104" i="24"/>
  <c r="P104" i="24" s="1"/>
  <c r="H104" i="35"/>
  <c r="P104" i="35" s="1"/>
  <c r="H101" i="35"/>
  <c r="P101" i="35" s="1"/>
  <c r="H101" i="24"/>
  <c r="P101" i="24" s="1"/>
  <c r="H106" i="35"/>
  <c r="P106" i="35" s="1"/>
  <c r="H106" i="24"/>
  <c r="P106" i="24" s="1"/>
  <c r="H104" i="30"/>
  <c r="O104" i="30" s="1"/>
  <c r="H104" i="18"/>
  <c r="O104" i="18" s="1"/>
  <c r="H98" i="35"/>
  <c r="P98" i="35" s="1"/>
  <c r="H98" i="24"/>
  <c r="P98" i="24" s="1"/>
  <c r="H101" i="18"/>
  <c r="O101" i="18" s="1"/>
  <c r="H101" i="30"/>
  <c r="O101" i="30" s="1"/>
  <c r="H98" i="30"/>
  <c r="O98" i="30" s="1"/>
  <c r="H98" i="18"/>
  <c r="O98" i="18" s="1"/>
  <c r="H106" i="30"/>
  <c r="O106" i="30" s="1"/>
  <c r="H106" i="18"/>
  <c r="O106" i="18" s="1"/>
  <c r="H102" i="24"/>
  <c r="P102" i="24" s="1"/>
  <c r="H102" i="35"/>
  <c r="P102" i="35" s="1"/>
  <c r="H99" i="30"/>
  <c r="O99" i="30" s="1"/>
  <c r="H99" i="18"/>
  <c r="O99" i="18" s="1"/>
  <c r="H99" i="24"/>
  <c r="P99" i="24" s="1"/>
  <c r="H99" i="35"/>
  <c r="P99" i="35" s="1"/>
  <c r="H108" i="30"/>
  <c r="O108" i="30" s="1"/>
  <c r="H108" i="18"/>
  <c r="O108" i="18" s="1"/>
  <c r="H105" i="35"/>
  <c r="P105" i="35" s="1"/>
  <c r="H105" i="24"/>
  <c r="P105" i="24" s="1"/>
  <c r="H103" i="35"/>
  <c r="P103" i="35" s="1"/>
  <c r="H103" i="24"/>
  <c r="P103" i="24" s="1"/>
  <c r="H108" i="35"/>
  <c r="P108" i="35" s="1"/>
  <c r="H108" i="24"/>
  <c r="P108" i="24" s="1"/>
  <c r="H105" i="18"/>
  <c r="O105" i="18" s="1"/>
  <c r="H105" i="30"/>
  <c r="O105" i="30" s="1"/>
  <c r="H100" i="24"/>
  <c r="P100" i="24" s="1"/>
  <c r="H100" i="35"/>
  <c r="P100" i="35" s="1"/>
  <c r="FV109" i="2"/>
  <c r="C44" i="14"/>
  <c r="X132" i="3"/>
  <c r="W123" i="3"/>
  <c r="AB129" i="3"/>
  <c r="GD109" i="2"/>
  <c r="U130" i="3"/>
  <c r="AA129" i="3"/>
  <c r="X125" i="3"/>
  <c r="AB122" i="3"/>
  <c r="W125" i="3"/>
  <c r="AB131" i="3"/>
  <c r="Z129" i="3"/>
  <c r="AA122" i="3"/>
  <c r="AA131" i="3"/>
  <c r="Y129" i="3"/>
  <c r="X127" i="3"/>
  <c r="V125" i="3"/>
  <c r="AB124" i="3"/>
  <c r="Z122" i="3"/>
  <c r="X123" i="3"/>
  <c r="U132" i="3"/>
  <c r="AB133" i="3"/>
  <c r="Z131" i="3"/>
  <c r="W127" i="3"/>
  <c r="U125" i="3"/>
  <c r="AA124" i="3"/>
  <c r="Y122" i="3"/>
  <c r="Y131" i="3"/>
  <c r="W130" i="3"/>
  <c r="AA127" i="3"/>
  <c r="V127" i="3"/>
  <c r="AB126" i="3"/>
  <c r="Z124" i="3"/>
  <c r="S130" i="3"/>
  <c r="Z133" i="3"/>
  <c r="W129" i="3"/>
  <c r="U127" i="3"/>
  <c r="AA126" i="3"/>
  <c r="Y124" i="3"/>
  <c r="X122" i="3"/>
  <c r="U128" i="3"/>
  <c r="S131" i="3"/>
  <c r="AA133" i="3"/>
  <c r="X129" i="3"/>
  <c r="S129" i="3"/>
  <c r="Y133" i="3"/>
  <c r="X131" i="3"/>
  <c r="V129" i="3"/>
  <c r="AB128" i="3"/>
  <c r="Z126" i="3"/>
  <c r="W122" i="3"/>
  <c r="X124" i="3"/>
  <c r="U123" i="3"/>
  <c r="S127" i="3"/>
  <c r="F109" i="26"/>
  <c r="K109" i="26" s="1"/>
  <c r="BH44" i="14"/>
  <c r="F109" i="37"/>
  <c r="K109" i="37" s="1"/>
  <c r="AK44" i="14"/>
  <c r="X133" i="3"/>
  <c r="V131" i="3"/>
  <c r="AB130" i="3"/>
  <c r="BB44" i="14"/>
  <c r="U131" i="3"/>
  <c r="V124" i="3"/>
  <c r="BN44" i="14"/>
  <c r="GB109" i="2"/>
  <c r="AO44" i="14"/>
  <c r="AA130" i="3"/>
  <c r="AB132" i="3"/>
  <c r="U129" i="3"/>
  <c r="S126" i="3"/>
  <c r="W133" i="3"/>
  <c r="AX44" i="14"/>
  <c r="Z130" i="3"/>
  <c r="AG44" i="14"/>
  <c r="Y128" i="3"/>
  <c r="X126" i="3"/>
  <c r="AA44" i="14"/>
  <c r="AB45" i="14" s="1"/>
  <c r="U124" i="3"/>
  <c r="U44" i="14"/>
  <c r="U133" i="3"/>
  <c r="Y130" i="3"/>
  <c r="X128" i="3"/>
  <c r="S123" i="3"/>
  <c r="O44" i="14"/>
  <c r="U126" i="3"/>
  <c r="Y123" i="3"/>
  <c r="S122" i="3"/>
  <c r="Y132" i="3"/>
  <c r="X130" i="3"/>
  <c r="V128" i="3"/>
  <c r="AB127" i="3"/>
  <c r="Z125" i="3"/>
  <c r="V132" i="3"/>
  <c r="V130" i="3"/>
  <c r="Y126" i="3"/>
  <c r="AA128" i="3"/>
  <c r="W132" i="3"/>
  <c r="S124" i="3"/>
  <c r="V126" i="3"/>
  <c r="U122" i="3"/>
  <c r="Z128" i="3"/>
  <c r="S133" i="3"/>
  <c r="W128" i="3"/>
  <c r="AA132" i="3"/>
  <c r="Y125" i="3"/>
  <c r="AB123" i="3"/>
  <c r="W131" i="3"/>
  <c r="Z132" i="3"/>
  <c r="GC109" i="2"/>
  <c r="Z123" i="3"/>
  <c r="FW109" i="2"/>
  <c r="V123" i="3"/>
  <c r="S132" i="3"/>
  <c r="Y127" i="3"/>
  <c r="AT44" i="14"/>
  <c r="GA109" i="2"/>
  <c r="FU109" i="2"/>
  <c r="AA125" i="3"/>
  <c r="S128" i="3"/>
  <c r="W124" i="3"/>
  <c r="G44" i="14"/>
  <c r="Z127" i="3"/>
  <c r="AA123" i="3"/>
  <c r="V133" i="3"/>
  <c r="AB125" i="3"/>
  <c r="S125" i="3"/>
  <c r="W126" i="3"/>
  <c r="V122" i="3"/>
  <c r="B109" i="25"/>
  <c r="B109" i="20"/>
  <c r="B109" i="21"/>
  <c r="B109" i="24"/>
  <c r="B109" i="26"/>
  <c r="B109" i="18"/>
  <c r="B101" i="17"/>
  <c r="B102" i="22"/>
  <c r="B102" i="21"/>
  <c r="B102" i="26"/>
  <c r="B102" i="20"/>
  <c r="B102" i="23"/>
  <c r="B102" i="25"/>
  <c r="B102" i="24"/>
  <c r="B102" i="18"/>
  <c r="B104" i="19"/>
  <c r="B107" i="23"/>
  <c r="B107" i="18"/>
  <c r="B107" i="21"/>
  <c r="B107" i="26"/>
  <c r="B107" i="25"/>
  <c r="B107" i="24"/>
  <c r="B107" i="22"/>
  <c r="B107" i="20"/>
  <c r="B108" i="26"/>
  <c r="B108" i="23"/>
  <c r="B108" i="25"/>
  <c r="B108" i="22"/>
  <c r="B108" i="24"/>
  <c r="B108" i="20"/>
  <c r="B108" i="21"/>
  <c r="B108" i="18"/>
  <c r="B109" i="17"/>
  <c r="B101" i="24"/>
  <c r="B101" i="18"/>
  <c r="B101" i="25"/>
  <c r="B101" i="22"/>
  <c r="B101" i="23"/>
  <c r="B101" i="20"/>
  <c r="B101" i="21"/>
  <c r="B101" i="26"/>
  <c r="B107" i="19"/>
  <c r="B106" i="26"/>
  <c r="B106" i="20"/>
  <c r="B106" i="23"/>
  <c r="B106" i="22"/>
  <c r="B106" i="25"/>
  <c r="B106" i="18"/>
  <c r="B106" i="21"/>
  <c r="B106" i="24"/>
  <c r="B102" i="19"/>
  <c r="B102" i="17"/>
  <c r="B100" i="24"/>
  <c r="B100" i="18"/>
  <c r="B100" i="21"/>
  <c r="B100" i="26"/>
  <c r="B100" i="25"/>
  <c r="B100" i="23"/>
  <c r="B100" i="22"/>
  <c r="B100" i="20"/>
  <c r="B105" i="18"/>
  <c r="B105" i="24"/>
  <c r="B105" i="20"/>
  <c r="B105" i="23"/>
  <c r="B105" i="21"/>
  <c r="B105" i="26"/>
  <c r="B105" i="22"/>
  <c r="B105" i="25"/>
  <c r="B109" i="19"/>
  <c r="B104" i="25"/>
  <c r="B104" i="21"/>
  <c r="B104" i="22"/>
  <c r="B104" i="26"/>
  <c r="B104" i="24"/>
  <c r="B104" i="23"/>
  <c r="B104" i="18"/>
  <c r="B104" i="20"/>
  <c r="B105" i="17"/>
  <c r="B100" i="17"/>
  <c r="B103" i="17"/>
  <c r="B100" i="19"/>
  <c r="B103" i="20"/>
  <c r="B103" i="25"/>
  <c r="B103" i="24"/>
  <c r="B103" i="23"/>
  <c r="B103" i="21"/>
  <c r="B103" i="22"/>
  <c r="B103" i="26"/>
  <c r="B103" i="18"/>
  <c r="B108" i="17"/>
  <c r="B106" i="19"/>
  <c r="B99" i="17"/>
  <c r="B99" i="20"/>
  <c r="B99" i="26"/>
  <c r="B99" i="18"/>
  <c r="B99" i="23"/>
  <c r="B99" i="21"/>
  <c r="B99" i="24"/>
  <c r="B99" i="25"/>
  <c r="B99" i="22"/>
  <c r="B98" i="24"/>
  <c r="B98" i="18"/>
  <c r="B98" i="25"/>
  <c r="B98" i="21"/>
  <c r="B98" i="22"/>
  <c r="B98" i="26"/>
  <c r="B98" i="23"/>
  <c r="B98" i="20"/>
  <c r="B98" i="17"/>
  <c r="B98" i="19"/>
  <c r="G108" i="17"/>
  <c r="P108" i="17" s="1"/>
  <c r="G102" i="17"/>
  <c r="P102" i="17" s="1"/>
  <c r="H103" i="17"/>
  <c r="Q103" i="17" s="1"/>
  <c r="G103" i="17"/>
  <c r="P103" i="17" s="1"/>
  <c r="H106" i="17"/>
  <c r="Q106" i="17" s="1"/>
  <c r="G106" i="17"/>
  <c r="P106" i="17" s="1"/>
  <c r="H107" i="17"/>
  <c r="Q107" i="17" s="1"/>
  <c r="G107" i="17"/>
  <c r="P107" i="17" s="1"/>
  <c r="H108" i="17"/>
  <c r="Q108" i="17" s="1"/>
  <c r="FN105" i="2"/>
  <c r="ER101" i="2"/>
  <c r="EU100" i="2"/>
  <c r="EN107" i="2"/>
  <c r="FF101" i="2"/>
  <c r="M104" i="19"/>
  <c r="FD108" i="2"/>
  <c r="FL104" i="2"/>
  <c r="H98" i="17"/>
  <c r="Q98" i="17" s="1"/>
  <c r="G99" i="17"/>
  <c r="P99" i="17" s="1"/>
  <c r="H104" i="17"/>
  <c r="Q104" i="17" s="1"/>
  <c r="EP100" i="2"/>
  <c r="G105" i="17"/>
  <c r="P105" i="17" s="1"/>
  <c r="EV103" i="2"/>
  <c r="F102" i="19"/>
  <c r="N102" i="19" s="1"/>
  <c r="FD100" i="2"/>
  <c r="G100" i="17"/>
  <c r="P100" i="17" s="1"/>
  <c r="F101" i="17"/>
  <c r="O101" i="17" s="1"/>
  <c r="ER109" i="2"/>
  <c r="H109" i="28" s="1"/>
  <c r="Q109" i="28" s="1"/>
  <c r="FF109" i="2"/>
  <c r="EN99" i="2"/>
  <c r="I99" i="17"/>
  <c r="R99" i="17" s="1"/>
  <c r="I102" i="17"/>
  <c r="R102" i="17" s="1"/>
  <c r="BC45" i="14" l="1"/>
  <c r="I119" i="17"/>
  <c r="R119" i="17" s="1"/>
  <c r="U119" i="17" s="1"/>
  <c r="I119" i="28"/>
  <c r="R119" i="28" s="1"/>
  <c r="G119" i="31"/>
  <c r="O119" i="31" s="1"/>
  <c r="I119" i="34"/>
  <c r="R119" i="34" s="1"/>
  <c r="G119" i="29"/>
  <c r="O119" i="29" s="1"/>
  <c r="I119" i="23"/>
  <c r="R119" i="23" s="1"/>
  <c r="U119" i="23" s="1"/>
  <c r="G119" i="20"/>
  <c r="O119" i="20" s="1"/>
  <c r="G119" i="19"/>
  <c r="O119" i="19" s="1"/>
  <c r="S119" i="19" s="1"/>
  <c r="I111" i="17"/>
  <c r="R111" i="17" s="1"/>
  <c r="U111" i="17" s="1"/>
  <c r="G111" i="29"/>
  <c r="O111" i="29" s="1"/>
  <c r="G111" i="31"/>
  <c r="O111" i="31" s="1"/>
  <c r="I111" i="28"/>
  <c r="R111" i="28" s="1"/>
  <c r="I111" i="23"/>
  <c r="R111" i="23" s="1"/>
  <c r="U111" i="23" s="1"/>
  <c r="I111" i="34"/>
  <c r="R111" i="34" s="1"/>
  <c r="G111" i="20"/>
  <c r="O111" i="20" s="1"/>
  <c r="G111" i="19"/>
  <c r="O111" i="19" s="1"/>
  <c r="S111" i="19" s="1"/>
  <c r="G121" i="22"/>
  <c r="M121" i="22" s="1"/>
  <c r="G121" i="33"/>
  <c r="M121" i="33" s="1"/>
  <c r="EG121" i="2"/>
  <c r="AH45" i="14"/>
  <c r="G110" i="31"/>
  <c r="O110" i="31" s="1"/>
  <c r="G110" i="20"/>
  <c r="O110" i="20" s="1"/>
  <c r="I110" i="34"/>
  <c r="R110" i="34" s="1"/>
  <c r="G110" i="29"/>
  <c r="O110" i="29" s="1"/>
  <c r="I110" i="28"/>
  <c r="R110" i="28" s="1"/>
  <c r="I110" i="23"/>
  <c r="R110" i="23" s="1"/>
  <c r="U110" i="23" s="1"/>
  <c r="G110" i="19"/>
  <c r="O110" i="19" s="1"/>
  <c r="S110" i="19" s="1"/>
  <c r="I110" i="17"/>
  <c r="R110" i="17" s="1"/>
  <c r="U110" i="17" s="1"/>
  <c r="H45" i="14"/>
  <c r="AL45" i="14"/>
  <c r="AY45" i="14"/>
  <c r="G117" i="29"/>
  <c r="O117" i="29" s="1"/>
  <c r="I117" i="28"/>
  <c r="R117" i="28" s="1"/>
  <c r="G117" i="31"/>
  <c r="O117" i="31" s="1"/>
  <c r="I117" i="34"/>
  <c r="R117" i="34" s="1"/>
  <c r="I117" i="23"/>
  <c r="R117" i="23" s="1"/>
  <c r="U117" i="23" s="1"/>
  <c r="G117" i="20"/>
  <c r="O117" i="20" s="1"/>
  <c r="G117" i="19"/>
  <c r="O117" i="19" s="1"/>
  <c r="S117" i="19" s="1"/>
  <c r="I117" i="17"/>
  <c r="R117" i="17" s="1"/>
  <c r="U117" i="17" s="1"/>
  <c r="BI45" i="14"/>
  <c r="G118" i="29"/>
  <c r="O118" i="29" s="1"/>
  <c r="I118" i="34"/>
  <c r="R118" i="34" s="1"/>
  <c r="G118" i="31"/>
  <c r="O118" i="31" s="1"/>
  <c r="I118" i="28"/>
  <c r="R118" i="28" s="1"/>
  <c r="I118" i="23"/>
  <c r="R118" i="23" s="1"/>
  <c r="U118" i="23" s="1"/>
  <c r="G118" i="20"/>
  <c r="O118" i="20" s="1"/>
  <c r="G118" i="19"/>
  <c r="O118" i="19" s="1"/>
  <c r="S118" i="19" s="1"/>
  <c r="I118" i="17"/>
  <c r="R118" i="17" s="1"/>
  <c r="U118" i="17" s="1"/>
  <c r="G109" i="17"/>
  <c r="P109" i="17" s="1"/>
  <c r="G109" i="28"/>
  <c r="P109" i="28" s="1"/>
  <c r="G109" i="23"/>
  <c r="P109" i="23" s="1"/>
  <c r="I112" i="17"/>
  <c r="R112" i="17" s="1"/>
  <c r="U112" i="17" s="1"/>
  <c r="I112" i="23"/>
  <c r="R112" i="23" s="1"/>
  <c r="U112" i="23" s="1"/>
  <c r="I112" i="34"/>
  <c r="R112" i="34" s="1"/>
  <c r="G112" i="29"/>
  <c r="O112" i="29" s="1"/>
  <c r="G112" i="31"/>
  <c r="O112" i="31" s="1"/>
  <c r="I112" i="28"/>
  <c r="R112" i="28" s="1"/>
  <c r="G112" i="19"/>
  <c r="O112" i="19" s="1"/>
  <c r="S112" i="19" s="1"/>
  <c r="G112" i="20"/>
  <c r="O112" i="20" s="1"/>
  <c r="P45" i="14"/>
  <c r="AU45" i="14"/>
  <c r="G120" i="31"/>
  <c r="O120" i="31" s="1"/>
  <c r="I120" i="34"/>
  <c r="R120" i="34" s="1"/>
  <c r="I120" i="28"/>
  <c r="R120" i="28" s="1"/>
  <c r="G120" i="29"/>
  <c r="O120" i="29" s="1"/>
  <c r="G120" i="20"/>
  <c r="O120" i="20" s="1"/>
  <c r="I120" i="23"/>
  <c r="R120" i="23" s="1"/>
  <c r="U120" i="23" s="1"/>
  <c r="G120" i="19"/>
  <c r="O120" i="19" s="1"/>
  <c r="S120" i="19" s="1"/>
  <c r="I120" i="17"/>
  <c r="R120" i="17" s="1"/>
  <c r="U120" i="17" s="1"/>
  <c r="AP45" i="14"/>
  <c r="I109" i="28"/>
  <c r="R109" i="28" s="1"/>
  <c r="I109" i="23"/>
  <c r="R109" i="23" s="1"/>
  <c r="I116" i="17"/>
  <c r="R116" i="17" s="1"/>
  <c r="U116" i="17" s="1"/>
  <c r="G116" i="31"/>
  <c r="O116" i="31" s="1"/>
  <c r="I116" i="34"/>
  <c r="R116" i="34" s="1"/>
  <c r="G116" i="29"/>
  <c r="O116" i="29" s="1"/>
  <c r="I116" i="28"/>
  <c r="R116" i="28" s="1"/>
  <c r="G116" i="20"/>
  <c r="O116" i="20" s="1"/>
  <c r="I116" i="23"/>
  <c r="R116" i="23" s="1"/>
  <c r="U116" i="23" s="1"/>
  <c r="G116" i="19"/>
  <c r="O116" i="19" s="1"/>
  <c r="S116" i="19" s="1"/>
  <c r="BO45" i="14"/>
  <c r="I113" i="23"/>
  <c r="R113" i="23" s="1"/>
  <c r="U113" i="23" s="1"/>
  <c r="I113" i="28"/>
  <c r="R113" i="28" s="1"/>
  <c r="G113" i="31"/>
  <c r="O113" i="31" s="1"/>
  <c r="G113" i="29"/>
  <c r="O113" i="29" s="1"/>
  <c r="I113" i="34"/>
  <c r="R113" i="34" s="1"/>
  <c r="G113" i="19"/>
  <c r="O113" i="19" s="1"/>
  <c r="S113" i="19" s="1"/>
  <c r="G113" i="20"/>
  <c r="O113" i="20" s="1"/>
  <c r="I113" i="17"/>
  <c r="R113" i="17" s="1"/>
  <c r="U113" i="17" s="1"/>
  <c r="I114" i="17"/>
  <c r="R114" i="17" s="1"/>
  <c r="U114" i="17" s="1"/>
  <c r="G114" i="29"/>
  <c r="O114" i="29" s="1"/>
  <c r="I114" i="23"/>
  <c r="R114" i="23" s="1"/>
  <c r="U114" i="23" s="1"/>
  <c r="I114" i="34"/>
  <c r="R114" i="34" s="1"/>
  <c r="I114" i="28"/>
  <c r="R114" i="28" s="1"/>
  <c r="G114" i="31"/>
  <c r="O114" i="31" s="1"/>
  <c r="G114" i="20"/>
  <c r="O114" i="20" s="1"/>
  <c r="G114" i="19"/>
  <c r="O114" i="19" s="1"/>
  <c r="S114" i="19" s="1"/>
  <c r="V45" i="14"/>
  <c r="G115" i="31"/>
  <c r="O115" i="31" s="1"/>
  <c r="I115" i="28"/>
  <c r="R115" i="28" s="1"/>
  <c r="G115" i="29"/>
  <c r="O115" i="29" s="1"/>
  <c r="I115" i="23"/>
  <c r="R115" i="23" s="1"/>
  <c r="U115" i="23" s="1"/>
  <c r="I115" i="34"/>
  <c r="R115" i="34" s="1"/>
  <c r="G115" i="20"/>
  <c r="O115" i="20" s="1"/>
  <c r="G115" i="19"/>
  <c r="O115" i="19" s="1"/>
  <c r="S115" i="19" s="1"/>
  <c r="I115" i="17"/>
  <c r="R115" i="17" s="1"/>
  <c r="U115" i="17" s="1"/>
  <c r="D45" i="14"/>
  <c r="G103" i="28"/>
  <c r="P103" i="28" s="1"/>
  <c r="G107" i="34"/>
  <c r="P107" i="34" s="1"/>
  <c r="H99" i="23"/>
  <c r="Q99" i="23" s="1"/>
  <c r="H98" i="23"/>
  <c r="Q98" i="23" s="1"/>
  <c r="H103" i="34"/>
  <c r="Q103" i="34" s="1"/>
  <c r="H105" i="28"/>
  <c r="Q105" i="28" s="1"/>
  <c r="G106" i="23"/>
  <c r="P106" i="23" s="1"/>
  <c r="FD133" i="3"/>
  <c r="G106" i="34"/>
  <c r="P106" i="34" s="1"/>
  <c r="G109" i="34"/>
  <c r="P109" i="34" s="1"/>
  <c r="J104" i="29"/>
  <c r="R104" i="29" s="1"/>
  <c r="J104" i="19"/>
  <c r="R104" i="19" s="1"/>
  <c r="J105" i="29"/>
  <c r="R105" i="29" s="1"/>
  <c r="J105" i="19"/>
  <c r="R105" i="19" s="1"/>
  <c r="J108" i="29"/>
  <c r="R108" i="29" s="1"/>
  <c r="J108" i="19"/>
  <c r="R108" i="19" s="1"/>
  <c r="J101" i="29"/>
  <c r="R101" i="29" s="1"/>
  <c r="J101" i="19"/>
  <c r="R101" i="19" s="1"/>
  <c r="G101" i="34"/>
  <c r="P101" i="34" s="1"/>
  <c r="J100" i="29"/>
  <c r="R100" i="29" s="1"/>
  <c r="J100" i="19"/>
  <c r="R100" i="19" s="1"/>
  <c r="G101" i="17"/>
  <c r="P101" i="17" s="1"/>
  <c r="J103" i="29"/>
  <c r="R103" i="29" s="1"/>
  <c r="J103" i="19"/>
  <c r="R103" i="19" s="1"/>
  <c r="J109" i="29"/>
  <c r="R109" i="29" s="1"/>
  <c r="J109" i="19"/>
  <c r="R109" i="19" s="1"/>
  <c r="J99" i="19"/>
  <c r="R99" i="19" s="1"/>
  <c r="J99" i="29"/>
  <c r="R99" i="29" s="1"/>
  <c r="J107" i="29"/>
  <c r="R107" i="29" s="1"/>
  <c r="J107" i="19"/>
  <c r="R107" i="19" s="1"/>
  <c r="J106" i="29"/>
  <c r="R106" i="29" s="1"/>
  <c r="J106" i="19"/>
  <c r="R106" i="19" s="1"/>
  <c r="J102" i="29"/>
  <c r="R102" i="29" s="1"/>
  <c r="J102" i="19"/>
  <c r="R102" i="19" s="1"/>
  <c r="H104" i="28"/>
  <c r="Q104" i="28" s="1"/>
  <c r="G100" i="23"/>
  <c r="P100" i="23" s="1"/>
  <c r="H102" i="17"/>
  <c r="Q102" i="17" s="1"/>
  <c r="H102" i="28"/>
  <c r="Q102" i="28" s="1"/>
  <c r="I104" i="17"/>
  <c r="R104" i="17" s="1"/>
  <c r="H98" i="28"/>
  <c r="Q98" i="28" s="1"/>
  <c r="G107" i="19"/>
  <c r="O107" i="19" s="1"/>
  <c r="H104" i="34"/>
  <c r="Q104" i="34" s="1"/>
  <c r="H101" i="28"/>
  <c r="Q101" i="28" s="1"/>
  <c r="A93" i="14"/>
  <c r="H105" i="34"/>
  <c r="Q105" i="34" s="1"/>
  <c r="H105" i="23"/>
  <c r="Q105" i="23" s="1"/>
  <c r="G101" i="23"/>
  <c r="P101" i="23" s="1"/>
  <c r="G105" i="19"/>
  <c r="O105" i="19" s="1"/>
  <c r="G101" i="28"/>
  <c r="P101" i="28" s="1"/>
  <c r="G104" i="19"/>
  <c r="O104" i="19" s="1"/>
  <c r="G100" i="34"/>
  <c r="P100" i="34" s="1"/>
  <c r="G100" i="28"/>
  <c r="P100" i="28" s="1"/>
  <c r="G99" i="19"/>
  <c r="O99" i="19" s="1"/>
  <c r="G99" i="29"/>
  <c r="O99" i="29" s="1"/>
  <c r="G100" i="29"/>
  <c r="O100" i="29" s="1"/>
  <c r="I100" i="28"/>
  <c r="R100" i="28" s="1"/>
  <c r="I99" i="34"/>
  <c r="R99" i="34" s="1"/>
  <c r="I100" i="23"/>
  <c r="R100" i="23" s="1"/>
  <c r="G99" i="20"/>
  <c r="O99" i="20" s="1"/>
  <c r="G100" i="31"/>
  <c r="O100" i="31" s="1"/>
  <c r="G100" i="20"/>
  <c r="O100" i="20" s="1"/>
  <c r="I100" i="34"/>
  <c r="R100" i="34" s="1"/>
  <c r="I100" i="17"/>
  <c r="R100" i="17" s="1"/>
  <c r="I99" i="28"/>
  <c r="R99" i="28" s="1"/>
  <c r="I99" i="23"/>
  <c r="R99" i="23" s="1"/>
  <c r="G99" i="31"/>
  <c r="O99" i="31" s="1"/>
  <c r="G100" i="19"/>
  <c r="O100" i="19" s="1"/>
  <c r="H102" i="34"/>
  <c r="Q102" i="34" s="1"/>
  <c r="H102" i="23"/>
  <c r="Q102" i="23" s="1"/>
  <c r="I106" i="34"/>
  <c r="R106" i="34" s="1"/>
  <c r="I106" i="23"/>
  <c r="R106" i="23" s="1"/>
  <c r="G106" i="29"/>
  <c r="O106" i="29" s="1"/>
  <c r="G106" i="20"/>
  <c r="O106" i="20" s="1"/>
  <c r="G106" i="31"/>
  <c r="O106" i="31" s="1"/>
  <c r="G106" i="19"/>
  <c r="O106" i="19" s="1"/>
  <c r="I106" i="17"/>
  <c r="R106" i="17" s="1"/>
  <c r="G98" i="19"/>
  <c r="O98" i="19" s="1"/>
  <c r="I98" i="34"/>
  <c r="R98" i="34" s="1"/>
  <c r="G98" i="29"/>
  <c r="O98" i="29" s="1"/>
  <c r="G98" i="20"/>
  <c r="O98" i="20" s="1"/>
  <c r="I98" i="23"/>
  <c r="R98" i="23" s="1"/>
  <c r="I98" i="28"/>
  <c r="R98" i="28" s="1"/>
  <c r="G98" i="31"/>
  <c r="O98" i="31" s="1"/>
  <c r="I98" i="17"/>
  <c r="R98" i="17" s="1"/>
  <c r="G108" i="29"/>
  <c r="O108" i="29" s="1"/>
  <c r="I108" i="34"/>
  <c r="R108" i="34" s="1"/>
  <c r="G108" i="20"/>
  <c r="O108" i="20" s="1"/>
  <c r="G108" i="31"/>
  <c r="O108" i="31" s="1"/>
  <c r="I108" i="23"/>
  <c r="R108" i="23" s="1"/>
  <c r="G108" i="19"/>
  <c r="O108" i="19" s="1"/>
  <c r="I108" i="17"/>
  <c r="R108" i="17" s="1"/>
  <c r="G103" i="19"/>
  <c r="O103" i="19" s="1"/>
  <c r="G103" i="29"/>
  <c r="O103" i="29" s="1"/>
  <c r="I103" i="28"/>
  <c r="R103" i="28" s="1"/>
  <c r="I103" i="23"/>
  <c r="R103" i="23" s="1"/>
  <c r="G103" i="31"/>
  <c r="O103" i="31" s="1"/>
  <c r="I103" i="34"/>
  <c r="R103" i="34" s="1"/>
  <c r="G103" i="20"/>
  <c r="O103" i="20" s="1"/>
  <c r="I103" i="17"/>
  <c r="R103" i="17" s="1"/>
  <c r="G101" i="31"/>
  <c r="O101" i="31" s="1"/>
  <c r="I101" i="34"/>
  <c r="R101" i="34" s="1"/>
  <c r="I101" i="28"/>
  <c r="R101" i="28" s="1"/>
  <c r="G101" i="20"/>
  <c r="O101" i="20" s="1"/>
  <c r="I101" i="23"/>
  <c r="R101" i="23" s="1"/>
  <c r="G101" i="29"/>
  <c r="O101" i="29" s="1"/>
  <c r="G101" i="19"/>
  <c r="O101" i="19" s="1"/>
  <c r="I101" i="17"/>
  <c r="R101" i="17" s="1"/>
  <c r="G109" i="31"/>
  <c r="O109" i="31" s="1"/>
  <c r="G109" i="29"/>
  <c r="O109" i="29" s="1"/>
  <c r="G109" i="20"/>
  <c r="O109" i="20" s="1"/>
  <c r="I109" i="34"/>
  <c r="R109" i="34" s="1"/>
  <c r="I109" i="17"/>
  <c r="R109" i="17" s="1"/>
  <c r="G109" i="19"/>
  <c r="O109" i="19" s="1"/>
  <c r="G104" i="29"/>
  <c r="O104" i="29" s="1"/>
  <c r="G104" i="31"/>
  <c r="O104" i="31" s="1"/>
  <c r="I104" i="23"/>
  <c r="R104" i="23" s="1"/>
  <c r="G104" i="20"/>
  <c r="O104" i="20" s="1"/>
  <c r="I104" i="34"/>
  <c r="R104" i="34" s="1"/>
  <c r="I104" i="28"/>
  <c r="R104" i="28" s="1"/>
  <c r="I107" i="23"/>
  <c r="R107" i="23" s="1"/>
  <c r="G107" i="20"/>
  <c r="O107" i="20" s="1"/>
  <c r="G107" i="31"/>
  <c r="O107" i="31" s="1"/>
  <c r="I107" i="34"/>
  <c r="R107" i="34" s="1"/>
  <c r="G107" i="29"/>
  <c r="O107" i="29" s="1"/>
  <c r="I107" i="17"/>
  <c r="R107" i="17" s="1"/>
  <c r="G102" i="19"/>
  <c r="O102" i="19" s="1"/>
  <c r="I102" i="34"/>
  <c r="R102" i="34" s="1"/>
  <c r="G102" i="31"/>
  <c r="O102" i="31" s="1"/>
  <c r="G102" i="20"/>
  <c r="O102" i="20" s="1"/>
  <c r="I102" i="28"/>
  <c r="R102" i="28" s="1"/>
  <c r="G102" i="29"/>
  <c r="O102" i="29" s="1"/>
  <c r="I102" i="23"/>
  <c r="R102" i="23" s="1"/>
  <c r="I105" i="17"/>
  <c r="R105" i="17" s="1"/>
  <c r="I105" i="34"/>
  <c r="R105" i="34" s="1"/>
  <c r="I105" i="23"/>
  <c r="R105" i="23" s="1"/>
  <c r="G105" i="31"/>
  <c r="O105" i="31" s="1"/>
  <c r="I105" i="28"/>
  <c r="R105" i="28" s="1"/>
  <c r="G105" i="29"/>
  <c r="O105" i="29" s="1"/>
  <c r="G105" i="20"/>
  <c r="O105" i="20" s="1"/>
  <c r="H101" i="17"/>
  <c r="Q101" i="17" s="1"/>
  <c r="H109" i="17"/>
  <c r="Q109" i="17" s="1"/>
  <c r="G121" i="31" l="1"/>
  <c r="O121" i="31" s="1"/>
  <c r="G121" i="29"/>
  <c r="O121" i="29" s="1"/>
  <c r="I121" i="28"/>
  <c r="R121" i="28" s="1"/>
  <c r="I121" i="34"/>
  <c r="R121" i="34" s="1"/>
  <c r="I121" i="23"/>
  <c r="R121" i="23" s="1"/>
  <c r="U121" i="23" s="1"/>
  <c r="G121" i="20"/>
  <c r="O121" i="20" s="1"/>
  <c r="G121" i="19"/>
  <c r="O121" i="19" s="1"/>
  <c r="S121" i="19" s="1"/>
  <c r="I121" i="17"/>
  <c r="R121" i="17" s="1"/>
  <c r="U121" i="17" s="1"/>
  <c r="U109" i="23"/>
  <c r="A105" i="14"/>
  <c r="A117" i="14" l="1"/>
  <c r="C3" i="51" l="1"/>
  <c r="F21" i="51"/>
  <c r="G21" i="51" s="1"/>
  <c r="H21" i="51" s="1"/>
  <c r="I21" i="51" s="1"/>
  <c r="J21" i="51" s="1"/>
  <c r="K21" i="51" s="1"/>
  <c r="L21" i="51" s="1"/>
  <c r="M21" i="51" s="1"/>
  <c r="O21" i="51" s="1"/>
  <c r="P21" i="51" s="1"/>
  <c r="Q21" i="51" s="1"/>
  <c r="R21" i="51" s="1"/>
  <c r="S21" i="51" s="1"/>
  <c r="T21" i="51" s="1"/>
  <c r="U21" i="51" s="1"/>
  <c r="V21" i="51" s="1"/>
  <c r="W21" i="51" s="1"/>
  <c r="X21" i="51" s="1"/>
  <c r="E6" i="51"/>
  <c r="K26" i="51" s="1"/>
  <c r="L26" i="51" s="1"/>
  <c r="M26" i="51" s="1"/>
  <c r="O26" i="51" s="1"/>
  <c r="P26" i="51" s="1"/>
  <c r="Q26" i="51" s="1"/>
  <c r="R26" i="51" s="1"/>
  <c r="S26" i="51" s="1"/>
  <c r="T26" i="51" s="1"/>
  <c r="U26" i="51" s="1"/>
  <c r="V26" i="51" s="1"/>
  <c r="W26" i="51" s="1"/>
  <c r="X26" i="51" s="1"/>
  <c r="B79" i="51"/>
  <c r="B93" i="51"/>
  <c r="W80" i="51"/>
  <c r="E175" i="51" s="1"/>
  <c r="E185" i="51" s="1"/>
  <c r="E194" i="51" s="1"/>
  <c r="W81" i="51"/>
  <c r="E176" i="51" s="1"/>
  <c r="E186" i="51" s="1"/>
  <c r="E195" i="51" s="1"/>
  <c r="W82" i="51"/>
  <c r="E177" i="51" s="1"/>
  <c r="E187" i="51" s="1"/>
  <c r="E196" i="51" s="1"/>
  <c r="W83" i="51"/>
  <c r="E178" i="51" s="1"/>
  <c r="E188" i="51" s="1"/>
  <c r="E197" i="51" s="1"/>
  <c r="W84" i="51"/>
  <c r="E179" i="51" s="1"/>
  <c r="E189" i="51" s="1"/>
  <c r="E198" i="51" s="1"/>
  <c r="W85" i="51"/>
  <c r="E180" i="51" s="1"/>
  <c r="E190" i="51" s="1"/>
  <c r="E199" i="51" s="1"/>
  <c r="X99" i="51"/>
  <c r="G88" i="51"/>
  <c r="H88" i="51" s="1"/>
  <c r="I88" i="51" s="1"/>
  <c r="J88" i="51" s="1"/>
  <c r="K88" i="51" s="1"/>
  <c r="L88" i="51" s="1"/>
  <c r="M88" i="51" s="1"/>
  <c r="N88" i="51" s="1"/>
  <c r="O88" i="51" s="1"/>
  <c r="P88" i="51" s="1"/>
  <c r="Q88" i="51" s="1"/>
  <c r="R88" i="51" s="1"/>
  <c r="S88" i="51" s="1"/>
  <c r="T88" i="51" s="1"/>
  <c r="D89" i="51"/>
  <c r="D90" i="51"/>
  <c r="D91" i="51"/>
  <c r="W94" i="51"/>
  <c r="W95" i="51"/>
  <c r="W96" i="51"/>
  <c r="X96" i="51"/>
  <c r="Y96" i="51"/>
  <c r="Z96" i="51"/>
  <c r="W97" i="51"/>
  <c r="X97" i="51"/>
  <c r="Y97" i="51"/>
  <c r="Z97" i="51"/>
  <c r="W98" i="51"/>
  <c r="X98" i="51"/>
  <c r="Y98" i="51"/>
  <c r="Z98" i="51"/>
  <c r="W99" i="51"/>
  <c r="Y99" i="51"/>
  <c r="Z99" i="51"/>
  <c r="G102" i="51"/>
  <c r="H102" i="51" s="1"/>
  <c r="I102" i="51" s="1"/>
  <c r="J102" i="51" s="1"/>
  <c r="K102" i="51" s="1"/>
  <c r="L102" i="51" s="1"/>
  <c r="M102" i="51" s="1"/>
  <c r="N102" i="51" s="1"/>
  <c r="O102" i="51" s="1"/>
  <c r="P102" i="51" s="1"/>
  <c r="Q102" i="51" s="1"/>
  <c r="R102" i="51" s="1"/>
  <c r="S102" i="51" s="1"/>
  <c r="T102" i="51" s="1"/>
  <c r="D103" i="51"/>
  <c r="D104" i="51"/>
  <c r="D105" i="51"/>
  <c r="F174" i="51"/>
  <c r="I174" i="51" s="1"/>
  <c r="L174" i="51" s="1"/>
  <c r="O174" i="51" s="1"/>
  <c r="R174" i="51" s="1"/>
  <c r="U174" i="51" s="1"/>
  <c r="X174" i="51" s="1"/>
  <c r="AA174" i="51" s="1"/>
  <c r="AD174" i="51" s="1"/>
  <c r="G174" i="51"/>
  <c r="J174" i="51" s="1"/>
  <c r="M174" i="51" s="1"/>
  <c r="P174" i="51" s="1"/>
  <c r="S174" i="51" s="1"/>
  <c r="V174" i="51" s="1"/>
  <c r="Y174" i="51" s="1"/>
  <c r="AB174" i="51" s="1"/>
  <c r="AE174" i="51" s="1"/>
  <c r="H174" i="51"/>
  <c r="K174" i="51" s="1"/>
  <c r="N174" i="51" s="1"/>
  <c r="Q174" i="51" s="1"/>
  <c r="T174" i="51" s="1"/>
  <c r="W174" i="51" s="1"/>
  <c r="Z174" i="51" s="1"/>
  <c r="AC174" i="51" s="1"/>
  <c r="AF174" i="51" s="1"/>
  <c r="F177" i="51"/>
  <c r="G177" i="51"/>
  <c r="H177" i="51"/>
  <c r="F178" i="51"/>
  <c r="G178" i="51"/>
  <c r="H178" i="51"/>
  <c r="F179" i="51"/>
  <c r="G179" i="51"/>
  <c r="H179" i="51"/>
  <c r="G180" i="51"/>
  <c r="H180" i="51"/>
  <c r="E200" i="51"/>
  <c r="C4" i="51" l="1"/>
  <c r="E4" i="51" s="1"/>
  <c r="E3" i="51"/>
  <c r="K58" i="51"/>
  <c r="L58" i="51" s="1"/>
  <c r="M58" i="51" s="1"/>
  <c r="O58" i="51" s="1"/>
  <c r="P58" i="51" s="1"/>
  <c r="Q58" i="51" s="1"/>
  <c r="R58" i="51" s="1"/>
  <c r="S58" i="51" s="1"/>
  <c r="T58" i="51" s="1"/>
  <c r="U58" i="51" s="1"/>
  <c r="V58" i="51" s="1"/>
  <c r="W58" i="51" s="1"/>
  <c r="X58" i="51" s="1"/>
  <c r="F180" i="51"/>
  <c r="F53" i="51"/>
  <c r="G53" i="51" s="1"/>
  <c r="H53" i="51" s="1"/>
  <c r="I53" i="51" s="1"/>
  <c r="J53" i="51" s="1"/>
  <c r="K53" i="51" s="1"/>
  <c r="L53" i="51" s="1"/>
  <c r="M53" i="51" s="1"/>
  <c r="O53" i="51" s="1"/>
  <c r="P53" i="51" s="1"/>
  <c r="Q53" i="51" s="1"/>
  <c r="R53" i="51" l="1"/>
  <c r="S53" i="51" s="1"/>
  <c r="F16" i="51"/>
  <c r="G16" i="51" s="1"/>
  <c r="H16" i="51" s="1"/>
  <c r="I16" i="51" s="1"/>
  <c r="J16" i="51" s="1"/>
  <c r="K16" i="51" s="1"/>
  <c r="L16" i="51" s="1"/>
  <c r="M16" i="51" s="1"/>
  <c r="O16" i="51" s="1"/>
  <c r="P16" i="51" s="1"/>
  <c r="Q16" i="51" s="1"/>
  <c r="R16" i="51" s="1"/>
  <c r="S16" i="51" s="1"/>
  <c r="T16" i="51" s="1"/>
  <c r="U16" i="51" s="1"/>
  <c r="V16" i="51" s="1"/>
  <c r="W16" i="51" s="1"/>
  <c r="X16" i="51" s="1"/>
  <c r="F48" i="51"/>
  <c r="G48" i="51" s="1"/>
  <c r="H48" i="51" s="1"/>
  <c r="I48" i="51" s="1"/>
  <c r="J48" i="51" s="1"/>
  <c r="K48" i="51" s="1"/>
  <c r="L48" i="51" s="1"/>
  <c r="M48" i="51" s="1"/>
  <c r="O48" i="51" s="1"/>
  <c r="P48" i="51" s="1"/>
  <c r="Q48" i="51" s="1"/>
  <c r="R48" i="51" s="1"/>
  <c r="S48" i="51" s="1"/>
  <c r="T48" i="51" s="1"/>
  <c r="U48" i="51" s="1"/>
  <c r="V48" i="51" s="1"/>
  <c r="W48" i="51" s="1"/>
  <c r="X48" i="51" s="1"/>
  <c r="T53" i="51" l="1"/>
  <c r="U53" i="51" s="1"/>
  <c r="V53" i="51" s="1"/>
  <c r="W53" i="51" s="1"/>
  <c r="X53" i="51" s="1"/>
  <c r="AI59" i="7"/>
  <c r="B181" i="44"/>
  <c r="B201" i="44" s="1"/>
  <c r="B187" i="44"/>
  <c r="B207" i="44" s="1"/>
  <c r="B171" i="44"/>
  <c r="B191" i="44" s="1"/>
  <c r="R2" i="44"/>
  <c r="R56" i="44" s="1"/>
  <c r="Q2" i="44"/>
  <c r="Q56" i="44" s="1"/>
  <c r="P2" i="44"/>
  <c r="P56" i="44" s="1"/>
  <c r="O2" i="44"/>
  <c r="O56" i="44" s="1"/>
  <c r="N2" i="44"/>
  <c r="N56" i="44" s="1"/>
  <c r="M2" i="44"/>
  <c r="M56" i="44" s="1"/>
  <c r="L2" i="44"/>
  <c r="L56" i="44" s="1"/>
  <c r="K2" i="44"/>
  <c r="K56" i="44" s="1"/>
  <c r="J2" i="44"/>
  <c r="J56" i="44" s="1"/>
  <c r="I2" i="44"/>
  <c r="I56" i="44" s="1"/>
  <c r="H2" i="44"/>
  <c r="H56" i="44" s="1"/>
  <c r="G2" i="44"/>
  <c r="G56" i="44" s="1"/>
  <c r="F2" i="44"/>
  <c r="F56" i="44" s="1"/>
  <c r="E2" i="44"/>
  <c r="E56" i="44" s="1"/>
  <c r="D2" i="44"/>
  <c r="D56" i="44" s="1"/>
  <c r="C2" i="44"/>
  <c r="C56" i="44" s="1"/>
  <c r="F2" i="42"/>
  <c r="E16" i="42"/>
  <c r="F16" i="42" s="1"/>
  <c r="G16" i="42" s="1"/>
  <c r="H16" i="42" s="1"/>
  <c r="I16" i="42" s="1"/>
  <c r="J16" i="42" s="1"/>
  <c r="K16" i="42" s="1"/>
  <c r="L16" i="42" s="1"/>
  <c r="M16" i="42" s="1"/>
  <c r="N16" i="42" s="1"/>
  <c r="O16" i="42" s="1"/>
  <c r="O31" i="42" s="1"/>
  <c r="F19" i="42"/>
  <c r="D16" i="42"/>
  <c r="D31" i="42" s="1"/>
  <c r="O47" i="12"/>
  <c r="O21" i="12"/>
  <c r="F9" i="42" l="1"/>
  <c r="E11" i="42"/>
  <c r="M117" i="44"/>
  <c r="M171" i="44" s="1"/>
  <c r="M191" i="44" s="1"/>
  <c r="D117" i="44"/>
  <c r="D171" i="44" s="1"/>
  <c r="D191" i="44" s="1"/>
  <c r="O117" i="44"/>
  <c r="N117" i="44"/>
  <c r="E117" i="44"/>
  <c r="E171" i="44" s="1"/>
  <c r="E191" i="44" s="1"/>
  <c r="G117" i="44"/>
  <c r="G171" i="44" s="1"/>
  <c r="G191" i="44" s="1"/>
  <c r="H117" i="44"/>
  <c r="H171" i="44" s="1"/>
  <c r="H191" i="44" s="1"/>
  <c r="P117" i="44"/>
  <c r="L117" i="44"/>
  <c r="L171" i="44" s="1"/>
  <c r="L191" i="44" s="1"/>
  <c r="J117" i="44"/>
  <c r="J171" i="44" s="1"/>
  <c r="J191" i="44" s="1"/>
  <c r="I117" i="44"/>
  <c r="I171" i="44" s="1"/>
  <c r="I191" i="44" s="1"/>
  <c r="F117" i="44"/>
  <c r="F171" i="44" s="1"/>
  <c r="F191" i="44" s="1"/>
  <c r="C117" i="44"/>
  <c r="C171" i="44" s="1"/>
  <c r="C191" i="44" s="1"/>
  <c r="R117" i="44"/>
  <c r="Q117" i="44"/>
  <c r="G31" i="42"/>
  <c r="D25" i="42"/>
  <c r="N31" i="42"/>
  <c r="D26" i="42"/>
  <c r="D21" i="42"/>
  <c r="M31" i="42"/>
  <c r="D20" i="42"/>
  <c r="F18" i="42"/>
  <c r="D19" i="42"/>
  <c r="L31" i="42"/>
  <c r="F20" i="42"/>
  <c r="K31" i="42"/>
  <c r="K20" i="42"/>
  <c r="J31" i="42"/>
  <c r="I31" i="42"/>
  <c r="F21" i="42"/>
  <c r="G2" i="42"/>
  <c r="H31" i="42"/>
  <c r="K21" i="42"/>
  <c r="F31" i="42"/>
  <c r="K117" i="44"/>
  <c r="K171" i="44" s="1"/>
  <c r="K191" i="44" s="1"/>
  <c r="F29" i="42"/>
  <c r="O23" i="12" l="1"/>
  <c r="G18" i="42"/>
  <c r="F26" i="42"/>
  <c r="G9" i="42"/>
  <c r="Q31" i="42" a="1"/>
  <c r="Q31" i="42" s="1"/>
  <c r="H9" i="42"/>
  <c r="F25" i="42"/>
  <c r="F27" i="42" s="1"/>
  <c r="F12" i="42"/>
  <c r="Q171" i="44"/>
  <c r="Q191" i="44" s="1"/>
  <c r="R171" i="44"/>
  <c r="R191" i="44" s="1"/>
  <c r="O171" i="44"/>
  <c r="O191" i="44" s="1"/>
  <c r="P171" i="44"/>
  <c r="P191" i="44" s="1"/>
  <c r="F11" i="42"/>
  <c r="K19" i="42"/>
  <c r="N171" i="44"/>
  <c r="N191" i="44" s="1"/>
  <c r="Q23" i="12"/>
  <c r="R23" i="12"/>
  <c r="U23" i="12"/>
  <c r="T23" i="12"/>
  <c r="S23" i="12"/>
  <c r="G99" i="35"/>
  <c r="O99" i="35" s="1"/>
  <c r="K99" i="34"/>
  <c r="T99" i="34" s="1"/>
  <c r="H99" i="31"/>
  <c r="P99" i="31" s="1"/>
  <c r="I99" i="30"/>
  <c r="P99" i="30" s="1"/>
  <c r="I99" i="18"/>
  <c r="P99" i="18" s="1"/>
  <c r="Q99" i="18" s="1"/>
  <c r="K99" i="23"/>
  <c r="T99" i="23" s="1"/>
  <c r="U99" i="23" s="1"/>
  <c r="J99" i="28"/>
  <c r="S99" i="28" s="1"/>
  <c r="G99" i="36"/>
  <c r="N99" i="36" s="1"/>
  <c r="E99" i="37"/>
  <c r="J99" i="37" s="1"/>
  <c r="E99" i="26"/>
  <c r="J99" i="26" s="1"/>
  <c r="H99" i="20"/>
  <c r="P99" i="20" s="1"/>
  <c r="I99" i="29"/>
  <c r="Q99" i="29" s="1"/>
  <c r="G99" i="25"/>
  <c r="N99" i="25" s="1"/>
  <c r="Q99" i="25" s="1"/>
  <c r="G99" i="24"/>
  <c r="O99" i="24" s="1"/>
  <c r="S99" i="24" s="1"/>
  <c r="I99" i="19"/>
  <c r="Q99" i="19" s="1"/>
  <c r="S99" i="19" s="1"/>
  <c r="J99" i="17"/>
  <c r="S99" i="17" s="1"/>
  <c r="U99" i="17" s="1"/>
  <c r="P23" i="12"/>
  <c r="H2" i="42"/>
  <c r="G10" i="42"/>
  <c r="G25" i="42"/>
  <c r="L20" i="42"/>
  <c r="K29" i="42"/>
  <c r="L21" i="42"/>
  <c r="Q22" i="12" l="1"/>
  <c r="U22" i="12"/>
  <c r="Q21" i="12"/>
  <c r="T21" i="12"/>
  <c r="U21" i="12"/>
  <c r="R21" i="12"/>
  <c r="R22" i="12"/>
  <c r="T22" i="12"/>
  <c r="P22" i="12"/>
  <c r="S22" i="12"/>
  <c r="S21" i="12"/>
  <c r="P21" i="12"/>
  <c r="R47" i="12"/>
  <c r="T47" i="12"/>
  <c r="S47" i="12"/>
  <c r="Q47" i="12"/>
  <c r="O22" i="12"/>
  <c r="U47" i="12"/>
  <c r="P47" i="12"/>
  <c r="I9" i="42"/>
  <c r="H18" i="42"/>
  <c r="G26" i="42"/>
  <c r="G12" i="42"/>
  <c r="L19" i="42"/>
  <c r="G11" i="42"/>
  <c r="G19" i="42"/>
  <c r="G21" i="42"/>
  <c r="G20" i="42"/>
  <c r="M21" i="42"/>
  <c r="H10" i="42"/>
  <c r="G29" i="42"/>
  <c r="L29" i="42"/>
  <c r="I2" i="42"/>
  <c r="J9" i="42" l="1"/>
  <c r="I18" i="42"/>
  <c r="G27" i="42"/>
  <c r="M19" i="42"/>
  <c r="H12" i="42"/>
  <c r="H11" i="42"/>
  <c r="H26" i="42"/>
  <c r="H25" i="42"/>
  <c r="H20" i="42"/>
  <c r="H21" i="42"/>
  <c r="I25" i="42"/>
  <c r="H29" i="42"/>
  <c r="M29" i="42"/>
  <c r="I10" i="42"/>
  <c r="I26" i="42" s="1"/>
  <c r="J2" i="42"/>
  <c r="B112" i="41"/>
  <c r="B111" i="41"/>
  <c r="B110" i="41"/>
  <c r="B100" i="41"/>
  <c r="B99" i="41"/>
  <c r="K72" i="41"/>
  <c r="K81" i="41" s="1"/>
  <c r="L72" i="41"/>
  <c r="L81" i="41" s="1"/>
  <c r="M72" i="41"/>
  <c r="M81" i="41" s="1"/>
  <c r="N72" i="41"/>
  <c r="N81" i="41" s="1"/>
  <c r="O72" i="41"/>
  <c r="O81" i="41" s="1"/>
  <c r="P72" i="41"/>
  <c r="P81" i="41" s="1"/>
  <c r="B77" i="41"/>
  <c r="J77" i="41" s="1"/>
  <c r="C72" i="41"/>
  <c r="C81" i="41" s="1"/>
  <c r="D72" i="41"/>
  <c r="D81" i="41" s="1"/>
  <c r="E72" i="41"/>
  <c r="E81" i="41" s="1"/>
  <c r="F72" i="41"/>
  <c r="F81" i="41" s="1"/>
  <c r="G72" i="41"/>
  <c r="G81" i="41" s="1"/>
  <c r="H72" i="41"/>
  <c r="H81" i="41" s="1"/>
  <c r="B56" i="8"/>
  <c r="B55" i="8"/>
  <c r="B28" i="8"/>
  <c r="B27" i="8"/>
  <c r="G27" i="41"/>
  <c r="H27" i="41"/>
  <c r="C27" i="41"/>
  <c r="D27" i="41"/>
  <c r="E27" i="41"/>
  <c r="F27" i="41"/>
  <c r="B34" i="41"/>
  <c r="J34" i="41" s="1"/>
  <c r="J48" i="41" s="1"/>
  <c r="B35" i="41"/>
  <c r="J35" i="41" s="1"/>
  <c r="J49" i="41" s="1"/>
  <c r="B101" i="41"/>
  <c r="B36" i="41"/>
  <c r="J36" i="41" s="1"/>
  <c r="J50" i="41" s="1"/>
  <c r="CT5" i="39"/>
  <c r="C18" i="12"/>
  <c r="C25" i="12" s="1"/>
  <c r="C5" i="12"/>
  <c r="C6" i="12"/>
  <c r="C7" i="12"/>
  <c r="C8" i="12"/>
  <c r="C9" i="12"/>
  <c r="C4" i="12"/>
  <c r="Y94" i="10"/>
  <c r="Z94" i="10"/>
  <c r="Y95" i="10"/>
  <c r="Z95" i="10"/>
  <c r="Y96" i="10"/>
  <c r="Z96" i="10"/>
  <c r="Y97" i="10"/>
  <c r="Z97" i="10"/>
  <c r="X95" i="10"/>
  <c r="X96" i="10"/>
  <c r="X97" i="10"/>
  <c r="X94" i="10"/>
  <c r="U49" i="12"/>
  <c r="T49" i="12"/>
  <c r="S49" i="12"/>
  <c r="R49" i="12"/>
  <c r="Q49" i="12"/>
  <c r="P49" i="12"/>
  <c r="O49" i="12"/>
  <c r="N49" i="12"/>
  <c r="D49" i="12"/>
  <c r="N44" i="12"/>
  <c r="L5" i="39"/>
  <c r="I110" i="37"/>
  <c r="I111" i="37"/>
  <c r="I112" i="37"/>
  <c r="I113" i="37"/>
  <c r="I114" i="37"/>
  <c r="I115" i="37"/>
  <c r="I116" i="37"/>
  <c r="I117" i="37"/>
  <c r="I118" i="37"/>
  <c r="I119" i="37"/>
  <c r="I120" i="37"/>
  <c r="I121" i="37"/>
  <c r="I122" i="37"/>
  <c r="I123" i="37"/>
  <c r="I124" i="37"/>
  <c r="I125" i="37"/>
  <c r="I126" i="37"/>
  <c r="I127" i="37"/>
  <c r="I128" i="37"/>
  <c r="I129" i="37"/>
  <c r="I130" i="37"/>
  <c r="I131" i="37"/>
  <c r="I132" i="37"/>
  <c r="I133" i="37"/>
  <c r="I134" i="37"/>
  <c r="I135" i="37"/>
  <c r="I136" i="37"/>
  <c r="I137" i="37"/>
  <c r="I138" i="37"/>
  <c r="I139" i="37"/>
  <c r="I140" i="37"/>
  <c r="I141" i="37"/>
  <c r="I142" i="37"/>
  <c r="I143" i="37"/>
  <c r="I144" i="37"/>
  <c r="I145" i="37"/>
  <c r="I146" i="37"/>
  <c r="I147" i="37"/>
  <c r="I148" i="37"/>
  <c r="I149" i="37"/>
  <c r="I150" i="37"/>
  <c r="I151" i="37"/>
  <c r="I152" i="37"/>
  <c r="I153" i="37"/>
  <c r="I154" i="37"/>
  <c r="I155" i="37"/>
  <c r="I156" i="37"/>
  <c r="I157" i="37"/>
  <c r="I158" i="37"/>
  <c r="I159" i="37"/>
  <c r="I160" i="37"/>
  <c r="I161" i="37"/>
  <c r="I162" i="37"/>
  <c r="I163" i="37"/>
  <c r="I164" i="37"/>
  <c r="I165" i="37"/>
  <c r="I166" i="37"/>
  <c r="I167" i="37"/>
  <c r="I168" i="37"/>
  <c r="I169" i="37"/>
  <c r="I170" i="37"/>
  <c r="I171" i="37"/>
  <c r="I172" i="37"/>
  <c r="I173" i="37"/>
  <c r="I174" i="37"/>
  <c r="I175" i="37"/>
  <c r="I176" i="37"/>
  <c r="I177" i="37"/>
  <c r="I178" i="37"/>
  <c r="I179" i="37"/>
  <c r="I180" i="37"/>
  <c r="I181" i="37"/>
  <c r="I182" i="37"/>
  <c r="I183" i="37"/>
  <c r="I184" i="37"/>
  <c r="I185" i="37"/>
  <c r="I186" i="37"/>
  <c r="I187" i="37"/>
  <c r="I188" i="37"/>
  <c r="I189" i="37"/>
  <c r="I190" i="37"/>
  <c r="I191" i="37"/>
  <c r="I192" i="37"/>
  <c r="I193" i="37"/>
  <c r="I110" i="36"/>
  <c r="P110" i="36" s="1"/>
  <c r="K110" i="36"/>
  <c r="O110" i="36"/>
  <c r="I111" i="36"/>
  <c r="P111" i="36" s="1"/>
  <c r="K111" i="36"/>
  <c r="O111" i="36"/>
  <c r="I112" i="36"/>
  <c r="P112" i="36" s="1"/>
  <c r="K112" i="36"/>
  <c r="O112" i="36"/>
  <c r="I113" i="36"/>
  <c r="P113" i="36" s="1"/>
  <c r="K113" i="36"/>
  <c r="O113" i="36"/>
  <c r="I114" i="36"/>
  <c r="P114" i="36" s="1"/>
  <c r="K114" i="36"/>
  <c r="O114" i="36"/>
  <c r="I115" i="36"/>
  <c r="I127" i="36" s="1"/>
  <c r="K115" i="36"/>
  <c r="O115" i="36"/>
  <c r="I116" i="36"/>
  <c r="P116" i="36" s="1"/>
  <c r="K116" i="36"/>
  <c r="O116" i="36"/>
  <c r="I117" i="36"/>
  <c r="I129" i="36" s="1"/>
  <c r="K117" i="36"/>
  <c r="O117" i="36"/>
  <c r="I118" i="36"/>
  <c r="P118" i="36" s="1"/>
  <c r="K118" i="36"/>
  <c r="O118" i="36"/>
  <c r="I119" i="36"/>
  <c r="P119" i="36" s="1"/>
  <c r="K119" i="36"/>
  <c r="O119" i="36"/>
  <c r="I120" i="36"/>
  <c r="P120" i="36" s="1"/>
  <c r="K120" i="36"/>
  <c r="O120" i="36"/>
  <c r="I121" i="36"/>
  <c r="I133" i="36" s="1"/>
  <c r="K121" i="36"/>
  <c r="O121" i="36"/>
  <c r="K122" i="36"/>
  <c r="O122" i="36"/>
  <c r="K123" i="36"/>
  <c r="O123" i="36"/>
  <c r="K124" i="36"/>
  <c r="O124" i="36"/>
  <c r="K125" i="36"/>
  <c r="O125" i="36"/>
  <c r="K126" i="36"/>
  <c r="O126" i="36"/>
  <c r="K127" i="36"/>
  <c r="O127" i="36"/>
  <c r="K128" i="36"/>
  <c r="O128" i="36"/>
  <c r="K129" i="36"/>
  <c r="O129" i="36"/>
  <c r="K130" i="36"/>
  <c r="O130" i="36"/>
  <c r="K131" i="36"/>
  <c r="O131" i="36"/>
  <c r="K132" i="36"/>
  <c r="O132" i="36"/>
  <c r="K133" i="36"/>
  <c r="O133" i="36"/>
  <c r="K134" i="36"/>
  <c r="O134" i="36"/>
  <c r="K135" i="36"/>
  <c r="O135" i="36"/>
  <c r="K136" i="36"/>
  <c r="O136" i="36"/>
  <c r="K137" i="36"/>
  <c r="O137" i="36"/>
  <c r="K138" i="36"/>
  <c r="O138" i="36"/>
  <c r="K139" i="36"/>
  <c r="O139" i="36"/>
  <c r="K140" i="36"/>
  <c r="O140" i="36"/>
  <c r="K141" i="36"/>
  <c r="O141" i="36"/>
  <c r="K142" i="36"/>
  <c r="O142" i="36"/>
  <c r="K143" i="36"/>
  <c r="O143" i="36"/>
  <c r="K144" i="36"/>
  <c r="O144" i="36"/>
  <c r="K145" i="36"/>
  <c r="O145" i="36"/>
  <c r="K146" i="36"/>
  <c r="O146" i="36"/>
  <c r="K147" i="36"/>
  <c r="O147" i="36"/>
  <c r="K148" i="36"/>
  <c r="O148" i="36"/>
  <c r="K149" i="36"/>
  <c r="O149" i="36"/>
  <c r="K150" i="36"/>
  <c r="O150" i="36"/>
  <c r="K151" i="36"/>
  <c r="O151" i="36"/>
  <c r="K152" i="36"/>
  <c r="O152" i="36"/>
  <c r="K153" i="36"/>
  <c r="O153" i="36"/>
  <c r="K154" i="36"/>
  <c r="O154" i="36"/>
  <c r="K155" i="36"/>
  <c r="O155" i="36"/>
  <c r="K156" i="36"/>
  <c r="O156" i="36"/>
  <c r="K157" i="36"/>
  <c r="O157" i="36"/>
  <c r="K158" i="36"/>
  <c r="O158" i="36"/>
  <c r="K159" i="36"/>
  <c r="O159" i="36"/>
  <c r="K160" i="36"/>
  <c r="O160" i="36"/>
  <c r="K161" i="36"/>
  <c r="O161" i="36"/>
  <c r="K162" i="36"/>
  <c r="O162" i="36"/>
  <c r="K163" i="36"/>
  <c r="O163" i="36"/>
  <c r="K164" i="36"/>
  <c r="O164" i="36"/>
  <c r="K165" i="36"/>
  <c r="O165" i="36"/>
  <c r="K166" i="36"/>
  <c r="O166" i="36"/>
  <c r="K167" i="36"/>
  <c r="O167" i="36"/>
  <c r="K168" i="36"/>
  <c r="O168" i="36"/>
  <c r="K169" i="36"/>
  <c r="O169" i="36"/>
  <c r="K170" i="36"/>
  <c r="O170" i="36"/>
  <c r="K171" i="36"/>
  <c r="O171" i="36"/>
  <c r="K172" i="36"/>
  <c r="O172" i="36"/>
  <c r="K173" i="36"/>
  <c r="O173" i="36"/>
  <c r="K174" i="36"/>
  <c r="O174" i="36"/>
  <c r="K175" i="36"/>
  <c r="O175" i="36"/>
  <c r="K176" i="36"/>
  <c r="O176" i="36"/>
  <c r="K177" i="36"/>
  <c r="O177" i="36"/>
  <c r="K178" i="36"/>
  <c r="O178" i="36"/>
  <c r="K179" i="36"/>
  <c r="O179" i="36"/>
  <c r="K180" i="36"/>
  <c r="O180" i="36"/>
  <c r="K181" i="36"/>
  <c r="O181" i="36"/>
  <c r="K182" i="36"/>
  <c r="O182" i="36"/>
  <c r="K183" i="36"/>
  <c r="O183" i="36"/>
  <c r="K184" i="36"/>
  <c r="O184" i="36"/>
  <c r="K185" i="36"/>
  <c r="O185" i="36"/>
  <c r="K186" i="36"/>
  <c r="O186" i="36"/>
  <c r="K187" i="36"/>
  <c r="O187" i="36"/>
  <c r="K188" i="36"/>
  <c r="O188" i="36"/>
  <c r="K189" i="36"/>
  <c r="O189" i="36"/>
  <c r="K190" i="36"/>
  <c r="O190" i="36"/>
  <c r="K191" i="36"/>
  <c r="O191" i="36"/>
  <c r="K192" i="36"/>
  <c r="O192" i="36"/>
  <c r="K193" i="36"/>
  <c r="O193" i="36"/>
  <c r="L110" i="35"/>
  <c r="Q110" i="35"/>
  <c r="L111" i="35"/>
  <c r="Q111" i="35"/>
  <c r="L112" i="35"/>
  <c r="Q112" i="35"/>
  <c r="L113" i="35"/>
  <c r="Q113" i="35"/>
  <c r="L114" i="35"/>
  <c r="Q114" i="35"/>
  <c r="L115" i="35"/>
  <c r="Q115" i="35"/>
  <c r="L116" i="35"/>
  <c r="Q116" i="35"/>
  <c r="L117" i="35"/>
  <c r="Q117" i="35"/>
  <c r="L118" i="35"/>
  <c r="Q118" i="35"/>
  <c r="L119" i="35"/>
  <c r="Q119" i="35"/>
  <c r="L120" i="35"/>
  <c r="Q120" i="35"/>
  <c r="L121" i="35"/>
  <c r="Q121" i="35"/>
  <c r="L122" i="35"/>
  <c r="Q122" i="35"/>
  <c r="L123" i="35"/>
  <c r="Q123" i="35"/>
  <c r="L124" i="35"/>
  <c r="Q124" i="35"/>
  <c r="L125" i="35"/>
  <c r="Q125" i="35"/>
  <c r="L126" i="35"/>
  <c r="Q126" i="35"/>
  <c r="L127" i="35"/>
  <c r="Q127" i="35"/>
  <c r="L128" i="35"/>
  <c r="Q128" i="35"/>
  <c r="L129" i="35"/>
  <c r="Q129" i="35"/>
  <c r="L130" i="35"/>
  <c r="Q130" i="35"/>
  <c r="L131" i="35"/>
  <c r="Q131" i="35"/>
  <c r="L132" i="35"/>
  <c r="Q132" i="35"/>
  <c r="L133" i="35"/>
  <c r="Q133" i="35"/>
  <c r="L134" i="35"/>
  <c r="Q134" i="35"/>
  <c r="L135" i="35"/>
  <c r="Q135" i="35"/>
  <c r="L136" i="35"/>
  <c r="Q136" i="35"/>
  <c r="L137" i="35"/>
  <c r="Q137" i="35"/>
  <c r="L138" i="35"/>
  <c r="Q138" i="35"/>
  <c r="L139" i="35"/>
  <c r="Q139" i="35"/>
  <c r="L140" i="35"/>
  <c r="Q140" i="35"/>
  <c r="L141" i="35"/>
  <c r="Q141" i="35"/>
  <c r="L142" i="35"/>
  <c r="Q142" i="35"/>
  <c r="L143" i="35"/>
  <c r="Q143" i="35"/>
  <c r="L144" i="35"/>
  <c r="Q144" i="35"/>
  <c r="L145" i="35"/>
  <c r="Q145" i="35"/>
  <c r="L146" i="35"/>
  <c r="Q146" i="35"/>
  <c r="L147" i="35"/>
  <c r="Q147" i="35"/>
  <c r="L148" i="35"/>
  <c r="Q148" i="35"/>
  <c r="L149" i="35"/>
  <c r="Q149" i="35"/>
  <c r="L150" i="35"/>
  <c r="Q150" i="35"/>
  <c r="L151" i="35"/>
  <c r="Q151" i="35"/>
  <c r="L152" i="35"/>
  <c r="Q152" i="35"/>
  <c r="L153" i="35"/>
  <c r="Q153" i="35"/>
  <c r="L154" i="35"/>
  <c r="Q154" i="35"/>
  <c r="L155" i="35"/>
  <c r="Q155" i="35"/>
  <c r="L156" i="35"/>
  <c r="Q156" i="35"/>
  <c r="L157" i="35"/>
  <c r="Q157" i="35"/>
  <c r="L158" i="35"/>
  <c r="Q158" i="35"/>
  <c r="L159" i="35"/>
  <c r="Q159" i="35"/>
  <c r="L160" i="35"/>
  <c r="Q160" i="35"/>
  <c r="L161" i="35"/>
  <c r="Q161" i="35"/>
  <c r="L162" i="35"/>
  <c r="Q162" i="35"/>
  <c r="L163" i="35"/>
  <c r="Q163" i="35"/>
  <c r="L164" i="35"/>
  <c r="Q164" i="35"/>
  <c r="L165" i="35"/>
  <c r="Q165" i="35"/>
  <c r="L166" i="35"/>
  <c r="Q166" i="35"/>
  <c r="L167" i="35"/>
  <c r="Q167" i="35"/>
  <c r="L168" i="35"/>
  <c r="Q168" i="35"/>
  <c r="L169" i="35"/>
  <c r="Q169" i="35"/>
  <c r="L170" i="35"/>
  <c r="Q170" i="35"/>
  <c r="L171" i="35"/>
  <c r="Q171" i="35"/>
  <c r="L172" i="35"/>
  <c r="Q172" i="35"/>
  <c r="L173" i="35"/>
  <c r="Q173" i="35"/>
  <c r="L174" i="35"/>
  <c r="Q174" i="35"/>
  <c r="L175" i="35"/>
  <c r="Q175" i="35"/>
  <c r="L176" i="35"/>
  <c r="Q176" i="35"/>
  <c r="L177" i="35"/>
  <c r="Q177" i="35"/>
  <c r="L178" i="35"/>
  <c r="Q178" i="35"/>
  <c r="L179" i="35"/>
  <c r="Q179" i="35"/>
  <c r="L180" i="35"/>
  <c r="Q180" i="35"/>
  <c r="L181" i="35"/>
  <c r="Q181" i="35"/>
  <c r="L182" i="35"/>
  <c r="Q182" i="35"/>
  <c r="L183" i="35"/>
  <c r="Q183" i="35"/>
  <c r="L184" i="35"/>
  <c r="Q184" i="35"/>
  <c r="L185" i="35"/>
  <c r="Q185" i="35"/>
  <c r="L186" i="35"/>
  <c r="Q186" i="35"/>
  <c r="L187" i="35"/>
  <c r="Q187" i="35"/>
  <c r="L188" i="35"/>
  <c r="Q188" i="35"/>
  <c r="L189" i="35"/>
  <c r="Q189" i="35"/>
  <c r="L190" i="35"/>
  <c r="Q190" i="35"/>
  <c r="L191" i="35"/>
  <c r="Q191" i="35"/>
  <c r="L192" i="35"/>
  <c r="Q192" i="35"/>
  <c r="L193" i="35"/>
  <c r="Q193" i="35"/>
  <c r="J111" i="35"/>
  <c r="J123" i="35" s="1"/>
  <c r="J135" i="35" s="1"/>
  <c r="J147" i="35" s="1"/>
  <c r="J159" i="35" s="1"/>
  <c r="J171" i="35" s="1"/>
  <c r="J183" i="35" s="1"/>
  <c r="R183" i="35" s="1"/>
  <c r="J112" i="35"/>
  <c r="J124" i="35" s="1"/>
  <c r="J136" i="35" s="1"/>
  <c r="J148" i="35" s="1"/>
  <c r="J160" i="35" s="1"/>
  <c r="J172" i="35" s="1"/>
  <c r="J184" i="35" s="1"/>
  <c r="R184" i="35" s="1"/>
  <c r="J115" i="35"/>
  <c r="J127" i="35" s="1"/>
  <c r="J139" i="35" s="1"/>
  <c r="J151" i="35" s="1"/>
  <c r="J163" i="35" s="1"/>
  <c r="J175" i="35" s="1"/>
  <c r="J187" i="35" s="1"/>
  <c r="R187" i="35" s="1"/>
  <c r="J116" i="35"/>
  <c r="J128" i="35" s="1"/>
  <c r="J140" i="35" s="1"/>
  <c r="J152" i="35" s="1"/>
  <c r="J164" i="35" s="1"/>
  <c r="J176" i="35" s="1"/>
  <c r="J188" i="35" s="1"/>
  <c r="R188" i="35" s="1"/>
  <c r="J118" i="35"/>
  <c r="J130" i="35" s="1"/>
  <c r="J142" i="35" s="1"/>
  <c r="J154" i="35" s="1"/>
  <c r="J166" i="35" s="1"/>
  <c r="J178" i="35" s="1"/>
  <c r="J190" i="35" s="1"/>
  <c r="R190" i="35" s="1"/>
  <c r="J119" i="35"/>
  <c r="J131" i="35" s="1"/>
  <c r="J143" i="35" s="1"/>
  <c r="J155" i="35" s="1"/>
  <c r="J167" i="35" s="1"/>
  <c r="J179" i="35" s="1"/>
  <c r="J191" i="35" s="1"/>
  <c r="R191" i="35" s="1"/>
  <c r="J110" i="35"/>
  <c r="J122" i="35" s="1"/>
  <c r="J113" i="35"/>
  <c r="J125" i="35" s="1"/>
  <c r="J137" i="35" s="1"/>
  <c r="J149" i="35" s="1"/>
  <c r="J161" i="35" s="1"/>
  <c r="J173" i="35" s="1"/>
  <c r="J185" i="35" s="1"/>
  <c r="R185" i="35" s="1"/>
  <c r="J114" i="35"/>
  <c r="J126" i="35" s="1"/>
  <c r="J138" i="35" s="1"/>
  <c r="J150" i="35" s="1"/>
  <c r="J162" i="35" s="1"/>
  <c r="J174" i="35" s="1"/>
  <c r="J186" i="35" s="1"/>
  <c r="R186" i="35" s="1"/>
  <c r="J117" i="35"/>
  <c r="J129" i="35" s="1"/>
  <c r="J120" i="35"/>
  <c r="J132" i="35" s="1"/>
  <c r="J144" i="35" s="1"/>
  <c r="J156" i="35" s="1"/>
  <c r="J168" i="35" s="1"/>
  <c r="J180" i="35" s="1"/>
  <c r="J192" i="35" s="1"/>
  <c r="R192" i="35" s="1"/>
  <c r="J121" i="35"/>
  <c r="J133" i="35" s="1"/>
  <c r="M122" i="34"/>
  <c r="P122" i="34"/>
  <c r="Q122" i="34"/>
  <c r="M123" i="34"/>
  <c r="P123" i="34"/>
  <c r="Q123" i="34"/>
  <c r="M124" i="34"/>
  <c r="P124" i="34"/>
  <c r="Q124" i="34"/>
  <c r="M125" i="34"/>
  <c r="P125" i="34"/>
  <c r="Q125" i="34"/>
  <c r="M126" i="34"/>
  <c r="P126" i="34"/>
  <c r="Q126" i="34"/>
  <c r="M127" i="34"/>
  <c r="P127" i="34"/>
  <c r="Q127" i="34"/>
  <c r="M128" i="34"/>
  <c r="P128" i="34"/>
  <c r="Q128" i="34"/>
  <c r="M129" i="34"/>
  <c r="P129" i="34"/>
  <c r="Q129" i="34"/>
  <c r="M130" i="34"/>
  <c r="P130" i="34"/>
  <c r="Q130" i="34"/>
  <c r="M131" i="34"/>
  <c r="P131" i="34"/>
  <c r="Q131" i="34"/>
  <c r="M132" i="34"/>
  <c r="P132" i="34"/>
  <c r="Q132" i="34"/>
  <c r="M133" i="34"/>
  <c r="P133" i="34"/>
  <c r="Q133" i="34"/>
  <c r="M134" i="34"/>
  <c r="P134" i="34"/>
  <c r="Q134" i="34"/>
  <c r="M135" i="34"/>
  <c r="P135" i="34"/>
  <c r="Q135" i="34"/>
  <c r="M136" i="34"/>
  <c r="P136" i="34"/>
  <c r="Q136" i="34"/>
  <c r="M137" i="34"/>
  <c r="P137" i="34"/>
  <c r="Q137" i="34"/>
  <c r="M138" i="34"/>
  <c r="P138" i="34"/>
  <c r="Q138" i="34"/>
  <c r="M139" i="34"/>
  <c r="P139" i="34"/>
  <c r="Q139" i="34"/>
  <c r="M140" i="34"/>
  <c r="P140" i="34"/>
  <c r="Q140" i="34"/>
  <c r="M141" i="34"/>
  <c r="P141" i="34"/>
  <c r="Q141" i="34"/>
  <c r="M142" i="34"/>
  <c r="P142" i="34"/>
  <c r="Q142" i="34"/>
  <c r="M143" i="34"/>
  <c r="P143" i="34"/>
  <c r="Q143" i="34"/>
  <c r="M144" i="34"/>
  <c r="P144" i="34"/>
  <c r="Q144" i="34"/>
  <c r="M145" i="34"/>
  <c r="P145" i="34"/>
  <c r="Q145" i="34"/>
  <c r="M146" i="34"/>
  <c r="P146" i="34"/>
  <c r="Q146" i="34"/>
  <c r="M147" i="34"/>
  <c r="P147" i="34"/>
  <c r="Q147" i="34"/>
  <c r="M148" i="34"/>
  <c r="P148" i="34"/>
  <c r="Q148" i="34"/>
  <c r="M149" i="34"/>
  <c r="P149" i="34"/>
  <c r="Q149" i="34"/>
  <c r="M150" i="34"/>
  <c r="P150" i="34"/>
  <c r="Q150" i="34"/>
  <c r="M151" i="34"/>
  <c r="P151" i="34"/>
  <c r="Q151" i="34"/>
  <c r="M152" i="34"/>
  <c r="P152" i="34"/>
  <c r="Q152" i="34"/>
  <c r="M153" i="34"/>
  <c r="P153" i="34"/>
  <c r="Q153" i="34"/>
  <c r="M154" i="34"/>
  <c r="P154" i="34"/>
  <c r="Q154" i="34"/>
  <c r="M155" i="34"/>
  <c r="P155" i="34"/>
  <c r="Q155" i="34"/>
  <c r="M156" i="34"/>
  <c r="P156" i="34"/>
  <c r="Q156" i="34"/>
  <c r="M157" i="34"/>
  <c r="P157" i="34"/>
  <c r="Q157" i="34"/>
  <c r="M158" i="34"/>
  <c r="P158" i="34"/>
  <c r="Q158" i="34"/>
  <c r="M159" i="34"/>
  <c r="P159" i="34"/>
  <c r="Q159" i="34"/>
  <c r="M160" i="34"/>
  <c r="P160" i="34"/>
  <c r="Q160" i="34"/>
  <c r="M161" i="34"/>
  <c r="P161" i="34"/>
  <c r="Q161" i="34"/>
  <c r="M162" i="34"/>
  <c r="P162" i="34"/>
  <c r="Q162" i="34"/>
  <c r="M163" i="34"/>
  <c r="P163" i="34"/>
  <c r="Q163" i="34"/>
  <c r="M164" i="34"/>
  <c r="P164" i="34"/>
  <c r="Q164" i="34"/>
  <c r="M165" i="34"/>
  <c r="P165" i="34"/>
  <c r="Q165" i="34"/>
  <c r="M166" i="34"/>
  <c r="P166" i="34"/>
  <c r="Q166" i="34"/>
  <c r="M167" i="34"/>
  <c r="P167" i="34"/>
  <c r="Q167" i="34"/>
  <c r="M168" i="34"/>
  <c r="P168" i="34"/>
  <c r="Q168" i="34"/>
  <c r="M169" i="34"/>
  <c r="P169" i="34"/>
  <c r="Q169" i="34"/>
  <c r="M170" i="34"/>
  <c r="P170" i="34"/>
  <c r="Q170" i="34"/>
  <c r="M171" i="34"/>
  <c r="P171" i="34"/>
  <c r="Q171" i="34"/>
  <c r="M172" i="34"/>
  <c r="P172" i="34"/>
  <c r="Q172" i="34"/>
  <c r="M173" i="34"/>
  <c r="P173" i="34"/>
  <c r="Q173" i="34"/>
  <c r="M174" i="34"/>
  <c r="P174" i="34"/>
  <c r="Q174" i="34"/>
  <c r="M175" i="34"/>
  <c r="P175" i="34"/>
  <c r="Q175" i="34"/>
  <c r="M176" i="34"/>
  <c r="P176" i="34"/>
  <c r="Q176" i="34"/>
  <c r="M177" i="34"/>
  <c r="P177" i="34"/>
  <c r="Q177" i="34"/>
  <c r="M178" i="34"/>
  <c r="P178" i="34"/>
  <c r="Q178" i="34"/>
  <c r="M179" i="34"/>
  <c r="P179" i="34"/>
  <c r="Q179" i="34"/>
  <c r="M180" i="34"/>
  <c r="P180" i="34"/>
  <c r="Q180" i="34"/>
  <c r="M181" i="34"/>
  <c r="P181" i="34"/>
  <c r="Q181" i="34"/>
  <c r="M182" i="34"/>
  <c r="P182" i="34"/>
  <c r="Q182" i="34"/>
  <c r="M183" i="34"/>
  <c r="P183" i="34"/>
  <c r="Q183" i="34"/>
  <c r="M184" i="34"/>
  <c r="P184" i="34"/>
  <c r="Q184" i="34"/>
  <c r="M185" i="34"/>
  <c r="P185" i="34"/>
  <c r="Q185" i="34"/>
  <c r="M186" i="34"/>
  <c r="P186" i="34"/>
  <c r="Q186" i="34"/>
  <c r="M187" i="34"/>
  <c r="P187" i="34"/>
  <c r="Q187" i="34"/>
  <c r="M188" i="34"/>
  <c r="P188" i="34"/>
  <c r="Q188" i="34"/>
  <c r="M189" i="34"/>
  <c r="P189" i="34"/>
  <c r="Q189" i="34"/>
  <c r="M190" i="34"/>
  <c r="P190" i="34"/>
  <c r="Q190" i="34"/>
  <c r="M191" i="34"/>
  <c r="P191" i="34"/>
  <c r="Q191" i="34"/>
  <c r="M192" i="34"/>
  <c r="P192" i="34"/>
  <c r="Q192" i="34"/>
  <c r="M193" i="34"/>
  <c r="P193" i="34"/>
  <c r="Q193" i="34"/>
  <c r="K135" i="34"/>
  <c r="K171" i="34" s="1"/>
  <c r="T171" i="34" s="1"/>
  <c r="I125" i="34"/>
  <c r="I137" i="34" s="1"/>
  <c r="I149" i="34" s="1"/>
  <c r="I161" i="34" s="1"/>
  <c r="I173" i="34" s="1"/>
  <c r="I185" i="34" s="1"/>
  <c r="R185" i="34" s="1"/>
  <c r="J122" i="34"/>
  <c r="J123" i="34" s="1"/>
  <c r="J124" i="34" s="1"/>
  <c r="J125" i="34" s="1"/>
  <c r="J126" i="34" s="1"/>
  <c r="J127" i="34" s="1"/>
  <c r="J128" i="34" s="1"/>
  <c r="J129" i="34" s="1"/>
  <c r="J130" i="34" s="1"/>
  <c r="J131" i="34" s="1"/>
  <c r="J132" i="34" s="1"/>
  <c r="J133" i="34" s="1"/>
  <c r="J134" i="34" s="1"/>
  <c r="J135" i="34" s="1"/>
  <c r="J136" i="34" s="1"/>
  <c r="J137" i="34" s="1"/>
  <c r="J138" i="34" s="1"/>
  <c r="J139" i="34" s="1"/>
  <c r="J140" i="34" s="1"/>
  <c r="J141" i="34" s="1"/>
  <c r="J142" i="34" s="1"/>
  <c r="J143" i="34" s="1"/>
  <c r="J144" i="34" s="1"/>
  <c r="J145" i="34" s="1"/>
  <c r="J146" i="34" s="1"/>
  <c r="J147" i="34" s="1"/>
  <c r="J148" i="34" s="1"/>
  <c r="J149" i="34" s="1"/>
  <c r="J150" i="34" s="1"/>
  <c r="J151" i="34" s="1"/>
  <c r="J152" i="34" s="1"/>
  <c r="J153" i="34" s="1"/>
  <c r="J154" i="34" s="1"/>
  <c r="J155" i="34" s="1"/>
  <c r="J156" i="34" s="1"/>
  <c r="J157" i="34" s="1"/>
  <c r="J158" i="34" s="1"/>
  <c r="J159" i="34" s="1"/>
  <c r="J160" i="34" s="1"/>
  <c r="J161" i="34" s="1"/>
  <c r="J162" i="34" s="1"/>
  <c r="J163" i="34" s="1"/>
  <c r="J164" i="34" s="1"/>
  <c r="J165" i="34" s="1"/>
  <c r="J166" i="34" s="1"/>
  <c r="J167" i="34" s="1"/>
  <c r="J168" i="34" s="1"/>
  <c r="J169" i="34" s="1"/>
  <c r="J170" i="34" s="1"/>
  <c r="J171" i="34" s="1"/>
  <c r="J172" i="34" s="1"/>
  <c r="J173" i="34" s="1"/>
  <c r="J174" i="34" s="1"/>
  <c r="J175" i="34" s="1"/>
  <c r="J176" i="34" s="1"/>
  <c r="J177" i="34" s="1"/>
  <c r="J178" i="34" s="1"/>
  <c r="J179" i="34" s="1"/>
  <c r="J180" i="34" s="1"/>
  <c r="J181" i="34" s="1"/>
  <c r="J182" i="34" s="1"/>
  <c r="J183" i="34" s="1"/>
  <c r="J184" i="34" s="1"/>
  <c r="J185" i="34" s="1"/>
  <c r="J186" i="34" s="1"/>
  <c r="J187" i="34" s="1"/>
  <c r="J188" i="34" s="1"/>
  <c r="J189" i="34" s="1"/>
  <c r="J190" i="34" s="1"/>
  <c r="J191" i="34" s="1"/>
  <c r="J192" i="34" s="1"/>
  <c r="J193" i="34" s="1"/>
  <c r="S193" i="34" s="1"/>
  <c r="I127" i="34"/>
  <c r="I139" i="34" s="1"/>
  <c r="I151" i="34" s="1"/>
  <c r="I163" i="34" s="1"/>
  <c r="I175" i="34" s="1"/>
  <c r="I187" i="34" s="1"/>
  <c r="R187" i="34" s="1"/>
  <c r="I128" i="34"/>
  <c r="I140" i="34" s="1"/>
  <c r="I152" i="34" s="1"/>
  <c r="I164" i="34" s="1"/>
  <c r="I176" i="34" s="1"/>
  <c r="I188" i="34" s="1"/>
  <c r="R188" i="34" s="1"/>
  <c r="I130" i="34"/>
  <c r="I142" i="34" s="1"/>
  <c r="I154" i="34" s="1"/>
  <c r="I166" i="34" s="1"/>
  <c r="I178" i="34" s="1"/>
  <c r="I190" i="34" s="1"/>
  <c r="R190" i="34" s="1"/>
  <c r="I131" i="34"/>
  <c r="I143" i="34" s="1"/>
  <c r="I155" i="34" s="1"/>
  <c r="I167" i="34" s="1"/>
  <c r="I179" i="34" s="1"/>
  <c r="I191" i="34" s="1"/>
  <c r="R191" i="34" s="1"/>
  <c r="I133" i="34"/>
  <c r="I145" i="34" s="1"/>
  <c r="I157" i="34" s="1"/>
  <c r="I169" i="34" s="1"/>
  <c r="I181" i="34" s="1"/>
  <c r="I193" i="34" s="1"/>
  <c r="R193" i="34" s="1"/>
  <c r="I124" i="34"/>
  <c r="I136" i="34" s="1"/>
  <c r="I148" i="34" s="1"/>
  <c r="I160" i="34" s="1"/>
  <c r="I172" i="34" s="1"/>
  <c r="I184" i="34" s="1"/>
  <c r="R184" i="34" s="1"/>
  <c r="I129" i="34"/>
  <c r="I141" i="34" s="1"/>
  <c r="I153" i="34" s="1"/>
  <c r="I165" i="34" s="1"/>
  <c r="I177" i="34" s="1"/>
  <c r="I189" i="34" s="1"/>
  <c r="R189" i="34" s="1"/>
  <c r="I132" i="34"/>
  <c r="I144" i="34" s="1"/>
  <c r="I156" i="34" s="1"/>
  <c r="I168" i="34" s="1"/>
  <c r="I180" i="34" s="1"/>
  <c r="I192" i="34" s="1"/>
  <c r="R192" i="34" s="1"/>
  <c r="J122" i="33"/>
  <c r="K122" i="33"/>
  <c r="N122" i="33"/>
  <c r="J123" i="33"/>
  <c r="K123" i="33"/>
  <c r="N123" i="33"/>
  <c r="J124" i="33"/>
  <c r="K124" i="33"/>
  <c r="N124" i="33"/>
  <c r="J125" i="33"/>
  <c r="K125" i="33"/>
  <c r="N125" i="33"/>
  <c r="J126" i="33"/>
  <c r="K126" i="33"/>
  <c r="N126" i="33"/>
  <c r="J127" i="33"/>
  <c r="K127" i="33"/>
  <c r="N127" i="33"/>
  <c r="J128" i="33"/>
  <c r="K128" i="33"/>
  <c r="N128" i="33"/>
  <c r="J129" i="33"/>
  <c r="K129" i="33"/>
  <c r="N129" i="33"/>
  <c r="J130" i="33"/>
  <c r="K130" i="33"/>
  <c r="N130" i="33"/>
  <c r="J131" i="33"/>
  <c r="K131" i="33"/>
  <c r="N131" i="33"/>
  <c r="J132" i="33"/>
  <c r="K132" i="33"/>
  <c r="N132" i="33"/>
  <c r="J133" i="33"/>
  <c r="K133" i="33"/>
  <c r="N133" i="33"/>
  <c r="J134" i="33"/>
  <c r="K134" i="33"/>
  <c r="N134" i="33"/>
  <c r="J135" i="33"/>
  <c r="K135" i="33"/>
  <c r="N135" i="33"/>
  <c r="J136" i="33"/>
  <c r="K136" i="33"/>
  <c r="N136" i="33"/>
  <c r="J137" i="33"/>
  <c r="K137" i="33"/>
  <c r="N137" i="33"/>
  <c r="J138" i="33"/>
  <c r="K138" i="33"/>
  <c r="N138" i="33"/>
  <c r="J139" i="33"/>
  <c r="K139" i="33"/>
  <c r="N139" i="33"/>
  <c r="J140" i="33"/>
  <c r="K140" i="33"/>
  <c r="N140" i="33"/>
  <c r="J141" i="33"/>
  <c r="K141" i="33"/>
  <c r="N141" i="33"/>
  <c r="J142" i="33"/>
  <c r="K142" i="33"/>
  <c r="N142" i="33"/>
  <c r="J143" i="33"/>
  <c r="K143" i="33"/>
  <c r="N143" i="33"/>
  <c r="J144" i="33"/>
  <c r="K144" i="33"/>
  <c r="N144" i="33"/>
  <c r="J145" i="33"/>
  <c r="K145" i="33"/>
  <c r="N145" i="33"/>
  <c r="J146" i="33"/>
  <c r="K146" i="33"/>
  <c r="N146" i="33"/>
  <c r="J147" i="33"/>
  <c r="K147" i="33"/>
  <c r="N147" i="33"/>
  <c r="J148" i="33"/>
  <c r="K148" i="33"/>
  <c r="N148" i="33"/>
  <c r="J149" i="33"/>
  <c r="K149" i="33"/>
  <c r="N149" i="33"/>
  <c r="J150" i="33"/>
  <c r="K150" i="33"/>
  <c r="N150" i="33"/>
  <c r="J151" i="33"/>
  <c r="K151" i="33"/>
  <c r="N151" i="33"/>
  <c r="J152" i="33"/>
  <c r="K152" i="33"/>
  <c r="N152" i="33"/>
  <c r="J153" i="33"/>
  <c r="K153" i="33"/>
  <c r="N153" i="33"/>
  <c r="J154" i="33"/>
  <c r="K154" i="33"/>
  <c r="N154" i="33"/>
  <c r="J155" i="33"/>
  <c r="K155" i="33"/>
  <c r="N155" i="33"/>
  <c r="J156" i="33"/>
  <c r="K156" i="33"/>
  <c r="N156" i="33"/>
  <c r="J157" i="33"/>
  <c r="K157" i="33"/>
  <c r="N157" i="33"/>
  <c r="J158" i="33"/>
  <c r="K158" i="33"/>
  <c r="N158" i="33"/>
  <c r="J159" i="33"/>
  <c r="K159" i="33"/>
  <c r="N159" i="33"/>
  <c r="J160" i="33"/>
  <c r="K160" i="33"/>
  <c r="N160" i="33"/>
  <c r="J161" i="33"/>
  <c r="K161" i="33"/>
  <c r="N161" i="33"/>
  <c r="J162" i="33"/>
  <c r="K162" i="33"/>
  <c r="N162" i="33"/>
  <c r="J163" i="33"/>
  <c r="K163" i="33"/>
  <c r="N163" i="33"/>
  <c r="J164" i="33"/>
  <c r="K164" i="33"/>
  <c r="N164" i="33"/>
  <c r="J165" i="33"/>
  <c r="K165" i="33"/>
  <c r="N165" i="33"/>
  <c r="J166" i="33"/>
  <c r="K166" i="33"/>
  <c r="N166" i="33"/>
  <c r="J167" i="33"/>
  <c r="K167" i="33"/>
  <c r="N167" i="33"/>
  <c r="J168" i="33"/>
  <c r="K168" i="33"/>
  <c r="N168" i="33"/>
  <c r="J169" i="33"/>
  <c r="K169" i="33"/>
  <c r="N169" i="33"/>
  <c r="J170" i="33"/>
  <c r="K170" i="33"/>
  <c r="N170" i="33"/>
  <c r="J171" i="33"/>
  <c r="K171" i="33"/>
  <c r="N171" i="33"/>
  <c r="J172" i="33"/>
  <c r="K172" i="33"/>
  <c r="N172" i="33"/>
  <c r="J173" i="33"/>
  <c r="K173" i="33"/>
  <c r="N173" i="33"/>
  <c r="J174" i="33"/>
  <c r="K174" i="33"/>
  <c r="N174" i="33"/>
  <c r="J175" i="33"/>
  <c r="K175" i="33"/>
  <c r="N175" i="33"/>
  <c r="J176" i="33"/>
  <c r="K176" i="33"/>
  <c r="N176" i="33"/>
  <c r="J177" i="33"/>
  <c r="K177" i="33"/>
  <c r="N177" i="33"/>
  <c r="J178" i="33"/>
  <c r="K178" i="33"/>
  <c r="N178" i="33"/>
  <c r="J179" i="33"/>
  <c r="K179" i="33"/>
  <c r="N179" i="33"/>
  <c r="J180" i="33"/>
  <c r="K180" i="33"/>
  <c r="N180" i="33"/>
  <c r="J181" i="33"/>
  <c r="K181" i="33"/>
  <c r="N181" i="33"/>
  <c r="J182" i="33"/>
  <c r="K182" i="33"/>
  <c r="N182" i="33"/>
  <c r="J183" i="33"/>
  <c r="K183" i="33"/>
  <c r="N183" i="33"/>
  <c r="J184" i="33"/>
  <c r="K184" i="33"/>
  <c r="N184" i="33"/>
  <c r="J185" i="33"/>
  <c r="K185" i="33"/>
  <c r="N185" i="33"/>
  <c r="J186" i="33"/>
  <c r="K186" i="33"/>
  <c r="N186" i="33"/>
  <c r="J187" i="33"/>
  <c r="K187" i="33"/>
  <c r="N187" i="33"/>
  <c r="J188" i="33"/>
  <c r="K188" i="33"/>
  <c r="N188" i="33"/>
  <c r="J189" i="33"/>
  <c r="K189" i="33"/>
  <c r="N189" i="33"/>
  <c r="J190" i="33"/>
  <c r="K190" i="33"/>
  <c r="N190" i="33"/>
  <c r="J191" i="33"/>
  <c r="K191" i="33"/>
  <c r="N191" i="33"/>
  <c r="J192" i="33"/>
  <c r="K192" i="33"/>
  <c r="N192" i="33"/>
  <c r="J193" i="33"/>
  <c r="K193" i="33"/>
  <c r="N193" i="33"/>
  <c r="G123" i="33"/>
  <c r="G135" i="33" s="1"/>
  <c r="G147" i="33" s="1"/>
  <c r="G159" i="33" s="1"/>
  <c r="G171" i="33" s="1"/>
  <c r="G183" i="33" s="1"/>
  <c r="M183" i="33" s="1"/>
  <c r="G129" i="33"/>
  <c r="G141" i="33" s="1"/>
  <c r="G153" i="33" s="1"/>
  <c r="G165" i="33" s="1"/>
  <c r="G177" i="33" s="1"/>
  <c r="G189" i="33" s="1"/>
  <c r="M189" i="33" s="1"/>
  <c r="G132" i="33"/>
  <c r="G144" i="33" s="1"/>
  <c r="G156" i="33" s="1"/>
  <c r="G168" i="33" s="1"/>
  <c r="G180" i="33" s="1"/>
  <c r="G192" i="33" s="1"/>
  <c r="M192" i="33" s="1"/>
  <c r="G133" i="33"/>
  <c r="G145" i="33" s="1"/>
  <c r="G157" i="33" s="1"/>
  <c r="G169" i="33" s="1"/>
  <c r="G181" i="33" s="1"/>
  <c r="G193" i="33" s="1"/>
  <c r="M193" i="33" s="1"/>
  <c r="G122" i="33"/>
  <c r="G134" i="33" s="1"/>
  <c r="G146" i="33" s="1"/>
  <c r="G158" i="33" s="1"/>
  <c r="G170" i="33" s="1"/>
  <c r="G182" i="33" s="1"/>
  <c r="M182" i="33" s="1"/>
  <c r="G124" i="33"/>
  <c r="G136" i="33" s="1"/>
  <c r="G148" i="33" s="1"/>
  <c r="G160" i="33" s="1"/>
  <c r="G172" i="33" s="1"/>
  <c r="G184" i="33" s="1"/>
  <c r="M184" i="33" s="1"/>
  <c r="G126" i="33"/>
  <c r="G138" i="33" s="1"/>
  <c r="G150" i="33" s="1"/>
  <c r="G162" i="33" s="1"/>
  <c r="G174" i="33" s="1"/>
  <c r="G186" i="33" s="1"/>
  <c r="M186" i="33" s="1"/>
  <c r="G127" i="33"/>
  <c r="G139" i="33" s="1"/>
  <c r="G151" i="33" s="1"/>
  <c r="G163" i="33" s="1"/>
  <c r="G175" i="33" s="1"/>
  <c r="G187" i="33" s="1"/>
  <c r="M187" i="33" s="1"/>
  <c r="G130" i="33"/>
  <c r="H122" i="32"/>
  <c r="J122" i="32"/>
  <c r="H123" i="32"/>
  <c r="J123" i="32"/>
  <c r="H124" i="32"/>
  <c r="J124" i="32"/>
  <c r="H125" i="32"/>
  <c r="J125" i="32"/>
  <c r="H126" i="32"/>
  <c r="J126" i="32"/>
  <c r="H127" i="32"/>
  <c r="J127" i="32"/>
  <c r="H128" i="32"/>
  <c r="J128" i="32"/>
  <c r="H129" i="32"/>
  <c r="J129" i="32"/>
  <c r="H130" i="32"/>
  <c r="J130" i="32"/>
  <c r="H131" i="32"/>
  <c r="J131" i="32"/>
  <c r="H132" i="32"/>
  <c r="J132" i="32"/>
  <c r="H133" i="32"/>
  <c r="J133" i="32"/>
  <c r="H134" i="32"/>
  <c r="J134" i="32"/>
  <c r="H135" i="32"/>
  <c r="J135" i="32"/>
  <c r="H136" i="32"/>
  <c r="J136" i="32"/>
  <c r="H137" i="32"/>
  <c r="J137" i="32"/>
  <c r="H138" i="32"/>
  <c r="J138" i="32"/>
  <c r="H139" i="32"/>
  <c r="J139" i="32"/>
  <c r="H140" i="32"/>
  <c r="J140" i="32"/>
  <c r="H141" i="32"/>
  <c r="J141" i="32"/>
  <c r="H142" i="32"/>
  <c r="J142" i="32"/>
  <c r="H143" i="32"/>
  <c r="J143" i="32"/>
  <c r="H144" i="32"/>
  <c r="J144" i="32"/>
  <c r="H145" i="32"/>
  <c r="J145" i="32"/>
  <c r="H146" i="32"/>
  <c r="J146" i="32"/>
  <c r="H147" i="32"/>
  <c r="J147" i="32"/>
  <c r="H148" i="32"/>
  <c r="J148" i="32"/>
  <c r="H149" i="32"/>
  <c r="J149" i="32"/>
  <c r="H150" i="32"/>
  <c r="J150" i="32"/>
  <c r="H151" i="32"/>
  <c r="J151" i="32"/>
  <c r="H152" i="32"/>
  <c r="J152" i="32"/>
  <c r="H153" i="32"/>
  <c r="J153" i="32"/>
  <c r="H154" i="32"/>
  <c r="J154" i="32"/>
  <c r="H155" i="32"/>
  <c r="J155" i="32"/>
  <c r="H156" i="32"/>
  <c r="J156" i="32"/>
  <c r="H157" i="32"/>
  <c r="J157" i="32"/>
  <c r="H158" i="32"/>
  <c r="J158" i="32"/>
  <c r="H159" i="32"/>
  <c r="J159" i="32"/>
  <c r="H160" i="32"/>
  <c r="J160" i="32"/>
  <c r="H161" i="32"/>
  <c r="J161" i="32"/>
  <c r="H162" i="32"/>
  <c r="J162" i="32"/>
  <c r="H163" i="32"/>
  <c r="J163" i="32"/>
  <c r="H164" i="32"/>
  <c r="J164" i="32"/>
  <c r="H165" i="32"/>
  <c r="J165" i="32"/>
  <c r="H166" i="32"/>
  <c r="J166" i="32"/>
  <c r="H167" i="32"/>
  <c r="J167" i="32"/>
  <c r="H168" i="32"/>
  <c r="J168" i="32"/>
  <c r="H169" i="32"/>
  <c r="J169" i="32"/>
  <c r="H170" i="32"/>
  <c r="J170" i="32"/>
  <c r="H171" i="32"/>
  <c r="J171" i="32"/>
  <c r="H172" i="32"/>
  <c r="J172" i="32"/>
  <c r="H173" i="32"/>
  <c r="J173" i="32"/>
  <c r="H174" i="32"/>
  <c r="J174" i="32"/>
  <c r="H175" i="32"/>
  <c r="J175" i="32"/>
  <c r="H176" i="32"/>
  <c r="J176" i="32"/>
  <c r="H177" i="32"/>
  <c r="J177" i="32"/>
  <c r="H178" i="32"/>
  <c r="J178" i="32"/>
  <c r="H179" i="32"/>
  <c r="J179" i="32"/>
  <c r="H180" i="32"/>
  <c r="J180" i="32"/>
  <c r="H181" i="32"/>
  <c r="J181" i="32"/>
  <c r="H182" i="32"/>
  <c r="J182" i="32"/>
  <c r="H183" i="32"/>
  <c r="J183" i="32"/>
  <c r="H184" i="32"/>
  <c r="J184" i="32"/>
  <c r="H185" i="32"/>
  <c r="J185" i="32"/>
  <c r="H186" i="32"/>
  <c r="J186" i="32"/>
  <c r="H187" i="32"/>
  <c r="J187" i="32"/>
  <c r="H188" i="32"/>
  <c r="J188" i="32"/>
  <c r="H189" i="32"/>
  <c r="J189" i="32"/>
  <c r="H190" i="32"/>
  <c r="J190" i="32"/>
  <c r="H191" i="32"/>
  <c r="J191" i="32"/>
  <c r="H192" i="32"/>
  <c r="J192" i="32"/>
  <c r="H193" i="32"/>
  <c r="J193" i="32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G124" i="31"/>
  <c r="G136" i="31" s="1"/>
  <c r="G148" i="31" s="1"/>
  <c r="G160" i="31" s="1"/>
  <c r="G172" i="31" s="1"/>
  <c r="G184" i="31" s="1"/>
  <c r="O184" i="31" s="1"/>
  <c r="G125" i="31"/>
  <c r="G137" i="31" s="1"/>
  <c r="G149" i="31" s="1"/>
  <c r="G161" i="31" s="1"/>
  <c r="G173" i="31" s="1"/>
  <c r="G185" i="31" s="1"/>
  <c r="O185" i="31" s="1"/>
  <c r="G127" i="31"/>
  <c r="G139" i="31" s="1"/>
  <c r="G151" i="31" s="1"/>
  <c r="G163" i="31" s="1"/>
  <c r="G175" i="31" s="1"/>
  <c r="G187" i="31" s="1"/>
  <c r="O187" i="31" s="1"/>
  <c r="G130" i="31"/>
  <c r="G142" i="31" s="1"/>
  <c r="G154" i="31" s="1"/>
  <c r="G166" i="31" s="1"/>
  <c r="G178" i="31" s="1"/>
  <c r="G190" i="31" s="1"/>
  <c r="O190" i="31" s="1"/>
  <c r="G132" i="31"/>
  <c r="G144" i="31" s="1"/>
  <c r="G156" i="31" s="1"/>
  <c r="G168" i="31" s="1"/>
  <c r="G180" i="31" s="1"/>
  <c r="G192" i="31" s="1"/>
  <c r="O192" i="31" s="1"/>
  <c r="G133" i="31"/>
  <c r="G145" i="31" s="1"/>
  <c r="G157" i="31" s="1"/>
  <c r="G169" i="31" s="1"/>
  <c r="G181" i="31" s="1"/>
  <c r="G193" i="31" s="1"/>
  <c r="O193" i="31" s="1"/>
  <c r="G123" i="31"/>
  <c r="G135" i="31" s="1"/>
  <c r="G147" i="31" s="1"/>
  <c r="G159" i="31" s="1"/>
  <c r="G171" i="31" s="1"/>
  <c r="G183" i="31" s="1"/>
  <c r="O183" i="31" s="1"/>
  <c r="G126" i="31"/>
  <c r="G138" i="31" s="1"/>
  <c r="G150" i="31" s="1"/>
  <c r="G162" i="31" s="1"/>
  <c r="G174" i="31" s="1"/>
  <c r="G186" i="31" s="1"/>
  <c r="O186" i="31" s="1"/>
  <c r="G128" i="31"/>
  <c r="G140" i="31" s="1"/>
  <c r="G152" i="31" s="1"/>
  <c r="G164" i="31" s="1"/>
  <c r="G176" i="31" s="1"/>
  <c r="G188" i="31" s="1"/>
  <c r="O188" i="31" s="1"/>
  <c r="G129" i="31"/>
  <c r="G141" i="31" s="1"/>
  <c r="G153" i="31" s="1"/>
  <c r="G165" i="31" s="1"/>
  <c r="G177" i="31" s="1"/>
  <c r="G189" i="31" s="1"/>
  <c r="O189" i="31" s="1"/>
  <c r="G131" i="31"/>
  <c r="G143" i="31" s="1"/>
  <c r="G155" i="31" s="1"/>
  <c r="G167" i="31" s="1"/>
  <c r="G179" i="31" s="1"/>
  <c r="G191" i="31" s="1"/>
  <c r="O191" i="31" s="1"/>
  <c r="K122" i="30"/>
  <c r="N122" i="30"/>
  <c r="K123" i="30"/>
  <c r="N123" i="30"/>
  <c r="K124" i="30"/>
  <c r="N124" i="30"/>
  <c r="K125" i="30"/>
  <c r="N125" i="30"/>
  <c r="K126" i="30"/>
  <c r="N126" i="30"/>
  <c r="K127" i="30"/>
  <c r="N127" i="30"/>
  <c r="K128" i="30"/>
  <c r="N128" i="30"/>
  <c r="K129" i="30"/>
  <c r="N129" i="30"/>
  <c r="K130" i="30"/>
  <c r="N130" i="30"/>
  <c r="K131" i="30"/>
  <c r="N131" i="30"/>
  <c r="K132" i="30"/>
  <c r="N132" i="30"/>
  <c r="K133" i="30"/>
  <c r="N133" i="30"/>
  <c r="K134" i="30"/>
  <c r="N134" i="30"/>
  <c r="K135" i="30"/>
  <c r="N135" i="30"/>
  <c r="K136" i="30"/>
  <c r="N136" i="30"/>
  <c r="K137" i="30"/>
  <c r="N137" i="30"/>
  <c r="K138" i="30"/>
  <c r="N138" i="30"/>
  <c r="K139" i="30"/>
  <c r="N139" i="30"/>
  <c r="K140" i="30"/>
  <c r="N140" i="30"/>
  <c r="K141" i="30"/>
  <c r="N141" i="30"/>
  <c r="K142" i="30"/>
  <c r="N142" i="30"/>
  <c r="K143" i="30"/>
  <c r="N143" i="30"/>
  <c r="K144" i="30"/>
  <c r="N144" i="30"/>
  <c r="K145" i="30"/>
  <c r="N145" i="30"/>
  <c r="K146" i="30"/>
  <c r="N146" i="30"/>
  <c r="K147" i="30"/>
  <c r="N147" i="30"/>
  <c r="K148" i="30"/>
  <c r="N148" i="30"/>
  <c r="K149" i="30"/>
  <c r="N149" i="30"/>
  <c r="K150" i="30"/>
  <c r="N150" i="30"/>
  <c r="K151" i="30"/>
  <c r="N151" i="30"/>
  <c r="K152" i="30"/>
  <c r="N152" i="30"/>
  <c r="K153" i="30"/>
  <c r="N153" i="30"/>
  <c r="K154" i="30"/>
  <c r="N154" i="30"/>
  <c r="K155" i="30"/>
  <c r="N155" i="30"/>
  <c r="K156" i="30"/>
  <c r="N156" i="30"/>
  <c r="K157" i="30"/>
  <c r="N157" i="30"/>
  <c r="K158" i="30"/>
  <c r="N158" i="30"/>
  <c r="K159" i="30"/>
  <c r="N159" i="30"/>
  <c r="K160" i="30"/>
  <c r="N160" i="30"/>
  <c r="K161" i="30"/>
  <c r="N161" i="30"/>
  <c r="K162" i="30"/>
  <c r="N162" i="30"/>
  <c r="K163" i="30"/>
  <c r="N163" i="30"/>
  <c r="K164" i="30"/>
  <c r="N164" i="30"/>
  <c r="K165" i="30"/>
  <c r="N165" i="30"/>
  <c r="K166" i="30"/>
  <c r="N166" i="30"/>
  <c r="K167" i="30"/>
  <c r="N167" i="30"/>
  <c r="K168" i="30"/>
  <c r="N168" i="30"/>
  <c r="K169" i="30"/>
  <c r="N169" i="30"/>
  <c r="K170" i="30"/>
  <c r="N170" i="30"/>
  <c r="K171" i="30"/>
  <c r="N171" i="30"/>
  <c r="K172" i="30"/>
  <c r="N172" i="30"/>
  <c r="K173" i="30"/>
  <c r="N173" i="30"/>
  <c r="K174" i="30"/>
  <c r="N174" i="30"/>
  <c r="K175" i="30"/>
  <c r="N175" i="30"/>
  <c r="K176" i="30"/>
  <c r="N176" i="30"/>
  <c r="K177" i="30"/>
  <c r="N177" i="30"/>
  <c r="K178" i="30"/>
  <c r="N178" i="30"/>
  <c r="K179" i="30"/>
  <c r="N179" i="30"/>
  <c r="K180" i="30"/>
  <c r="N180" i="30"/>
  <c r="K181" i="30"/>
  <c r="N181" i="30"/>
  <c r="K182" i="30"/>
  <c r="N182" i="30"/>
  <c r="K183" i="30"/>
  <c r="N183" i="30"/>
  <c r="K184" i="30"/>
  <c r="N184" i="30"/>
  <c r="K185" i="30"/>
  <c r="N185" i="30"/>
  <c r="K186" i="30"/>
  <c r="N186" i="30"/>
  <c r="K187" i="30"/>
  <c r="N187" i="30"/>
  <c r="K188" i="30"/>
  <c r="N188" i="30"/>
  <c r="K189" i="30"/>
  <c r="N189" i="30"/>
  <c r="K190" i="30"/>
  <c r="N190" i="30"/>
  <c r="K191" i="30"/>
  <c r="N191" i="30"/>
  <c r="K192" i="30"/>
  <c r="N192" i="30"/>
  <c r="K193" i="30"/>
  <c r="N193" i="30"/>
  <c r="B219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172" i="6"/>
  <c r="B173" i="6"/>
  <c r="B174" i="6"/>
  <c r="B175" i="6"/>
  <c r="B176" i="6"/>
  <c r="B177" i="6"/>
  <c r="B178" i="6"/>
  <c r="B179" i="6"/>
  <c r="B180" i="6"/>
  <c r="B181" i="6"/>
  <c r="B182" i="6"/>
  <c r="B228" i="6"/>
  <c r="B229" i="6" s="1"/>
  <c r="L122" i="29"/>
  <c r="R122" i="29"/>
  <c r="L123" i="29"/>
  <c r="R123" i="29"/>
  <c r="L124" i="29"/>
  <c r="R124" i="29"/>
  <c r="L125" i="29"/>
  <c r="R125" i="29"/>
  <c r="L126" i="29"/>
  <c r="R126" i="29"/>
  <c r="L127" i="29"/>
  <c r="R127" i="29"/>
  <c r="L128" i="29"/>
  <c r="R128" i="29"/>
  <c r="L129" i="29"/>
  <c r="R129" i="29"/>
  <c r="L130" i="29"/>
  <c r="R130" i="29"/>
  <c r="L131" i="29"/>
  <c r="R131" i="29"/>
  <c r="L132" i="29"/>
  <c r="R132" i="29"/>
  <c r="L133" i="29"/>
  <c r="R133" i="29"/>
  <c r="L134" i="29"/>
  <c r="R134" i="29"/>
  <c r="L135" i="29"/>
  <c r="R135" i="29"/>
  <c r="L136" i="29"/>
  <c r="R136" i="29"/>
  <c r="L137" i="29"/>
  <c r="R137" i="29"/>
  <c r="L138" i="29"/>
  <c r="R138" i="29"/>
  <c r="L139" i="29"/>
  <c r="R139" i="29"/>
  <c r="L140" i="29"/>
  <c r="R140" i="29"/>
  <c r="L141" i="29"/>
  <c r="R141" i="29"/>
  <c r="L142" i="29"/>
  <c r="R142" i="29"/>
  <c r="L143" i="29"/>
  <c r="R143" i="29"/>
  <c r="L144" i="29"/>
  <c r="R144" i="29"/>
  <c r="L145" i="29"/>
  <c r="R145" i="29"/>
  <c r="L146" i="29"/>
  <c r="R146" i="29"/>
  <c r="L147" i="29"/>
  <c r="R147" i="29"/>
  <c r="L148" i="29"/>
  <c r="R148" i="29"/>
  <c r="L149" i="29"/>
  <c r="R149" i="29"/>
  <c r="L150" i="29"/>
  <c r="R150" i="29"/>
  <c r="L151" i="29"/>
  <c r="R151" i="29"/>
  <c r="L152" i="29"/>
  <c r="R152" i="29"/>
  <c r="L153" i="29"/>
  <c r="R153" i="29"/>
  <c r="L154" i="29"/>
  <c r="R154" i="29"/>
  <c r="L155" i="29"/>
  <c r="R155" i="29"/>
  <c r="L156" i="29"/>
  <c r="R156" i="29"/>
  <c r="L157" i="29"/>
  <c r="R157" i="29"/>
  <c r="L158" i="29"/>
  <c r="R158" i="29"/>
  <c r="L159" i="29"/>
  <c r="R159" i="29"/>
  <c r="L160" i="29"/>
  <c r="R160" i="29"/>
  <c r="L161" i="29"/>
  <c r="R161" i="29"/>
  <c r="L162" i="29"/>
  <c r="R162" i="29"/>
  <c r="L163" i="29"/>
  <c r="R163" i="29"/>
  <c r="L164" i="29"/>
  <c r="R164" i="29"/>
  <c r="L165" i="29"/>
  <c r="R165" i="29"/>
  <c r="L166" i="29"/>
  <c r="R166" i="29"/>
  <c r="L167" i="29"/>
  <c r="R167" i="29"/>
  <c r="L168" i="29"/>
  <c r="R168" i="29"/>
  <c r="L169" i="29"/>
  <c r="R169" i="29"/>
  <c r="L170" i="29"/>
  <c r="R170" i="29"/>
  <c r="L171" i="29"/>
  <c r="R171" i="29"/>
  <c r="L172" i="29"/>
  <c r="R172" i="29"/>
  <c r="L173" i="29"/>
  <c r="R173" i="29"/>
  <c r="L174" i="29"/>
  <c r="R174" i="29"/>
  <c r="L175" i="29"/>
  <c r="R175" i="29"/>
  <c r="L176" i="29"/>
  <c r="R176" i="29"/>
  <c r="L177" i="29"/>
  <c r="R177" i="29"/>
  <c r="L178" i="29"/>
  <c r="R178" i="29"/>
  <c r="L179" i="29"/>
  <c r="R179" i="29"/>
  <c r="L180" i="29"/>
  <c r="R180" i="29"/>
  <c r="L181" i="29"/>
  <c r="R181" i="29"/>
  <c r="L182" i="29"/>
  <c r="R182" i="29"/>
  <c r="L183" i="29"/>
  <c r="R183" i="29"/>
  <c r="L184" i="29"/>
  <c r="R184" i="29"/>
  <c r="L185" i="29"/>
  <c r="R185" i="29"/>
  <c r="L186" i="29"/>
  <c r="R186" i="29"/>
  <c r="L187" i="29"/>
  <c r="R187" i="29"/>
  <c r="L188" i="29"/>
  <c r="R188" i="29"/>
  <c r="L189" i="29"/>
  <c r="R189" i="29"/>
  <c r="L190" i="29"/>
  <c r="R190" i="29"/>
  <c r="L191" i="29"/>
  <c r="R191" i="29"/>
  <c r="L192" i="29"/>
  <c r="R192" i="29"/>
  <c r="L193" i="29"/>
  <c r="R193" i="29"/>
  <c r="H122" i="29"/>
  <c r="H123" i="29" s="1"/>
  <c r="H124" i="29" s="1"/>
  <c r="H125" i="29" s="1"/>
  <c r="H126" i="29" s="1"/>
  <c r="H127" i="29" s="1"/>
  <c r="H128" i="29" s="1"/>
  <c r="H129" i="29" s="1"/>
  <c r="H130" i="29" s="1"/>
  <c r="H131" i="29" s="1"/>
  <c r="H132" i="29" s="1"/>
  <c r="H133" i="29" s="1"/>
  <c r="H134" i="29" s="1"/>
  <c r="H135" i="29" s="1"/>
  <c r="H136" i="29" s="1"/>
  <c r="H137" i="29" s="1"/>
  <c r="H138" i="29" s="1"/>
  <c r="H139" i="29" s="1"/>
  <c r="H140" i="29" s="1"/>
  <c r="H141" i="29" s="1"/>
  <c r="H142" i="29" s="1"/>
  <c r="H143" i="29" s="1"/>
  <c r="H144" i="29" s="1"/>
  <c r="H145" i="29" s="1"/>
  <c r="H146" i="29" s="1"/>
  <c r="H147" i="29" s="1"/>
  <c r="H148" i="29" s="1"/>
  <c r="H149" i="29" s="1"/>
  <c r="H150" i="29" s="1"/>
  <c r="H151" i="29" s="1"/>
  <c r="H152" i="29" s="1"/>
  <c r="H153" i="29" s="1"/>
  <c r="H154" i="29" s="1"/>
  <c r="H155" i="29" s="1"/>
  <c r="H156" i="29" s="1"/>
  <c r="H157" i="29" s="1"/>
  <c r="H158" i="29" s="1"/>
  <c r="H159" i="29" s="1"/>
  <c r="H160" i="29" s="1"/>
  <c r="H161" i="29" s="1"/>
  <c r="H162" i="29" s="1"/>
  <c r="H163" i="29" s="1"/>
  <c r="H164" i="29" s="1"/>
  <c r="H165" i="29" s="1"/>
  <c r="H166" i="29" s="1"/>
  <c r="H167" i="29" s="1"/>
  <c r="H168" i="29" s="1"/>
  <c r="H169" i="29" s="1"/>
  <c r="H170" i="29" s="1"/>
  <c r="H171" i="29" s="1"/>
  <c r="H172" i="29" s="1"/>
  <c r="H173" i="29" s="1"/>
  <c r="H174" i="29" s="1"/>
  <c r="H175" i="29" s="1"/>
  <c r="H176" i="29" s="1"/>
  <c r="H177" i="29" s="1"/>
  <c r="H178" i="29" s="1"/>
  <c r="H179" i="29" s="1"/>
  <c r="H180" i="29" s="1"/>
  <c r="H181" i="29" s="1"/>
  <c r="H182" i="29" s="1"/>
  <c r="H183" i="29" s="1"/>
  <c r="H184" i="29" s="1"/>
  <c r="H185" i="29" s="1"/>
  <c r="H186" i="29" s="1"/>
  <c r="H187" i="29" s="1"/>
  <c r="H188" i="29" s="1"/>
  <c r="H189" i="29" s="1"/>
  <c r="H190" i="29" s="1"/>
  <c r="H191" i="29" s="1"/>
  <c r="H192" i="29" s="1"/>
  <c r="H193" i="29" s="1"/>
  <c r="P193" i="29" s="1"/>
  <c r="G127" i="29"/>
  <c r="G139" i="29" s="1"/>
  <c r="G151" i="29" s="1"/>
  <c r="G163" i="29" s="1"/>
  <c r="G175" i="29" s="1"/>
  <c r="G187" i="29" s="1"/>
  <c r="O187" i="29" s="1"/>
  <c r="G129" i="29"/>
  <c r="G141" i="29" s="1"/>
  <c r="G153" i="29" s="1"/>
  <c r="G165" i="29" s="1"/>
  <c r="G177" i="29" s="1"/>
  <c r="G189" i="29" s="1"/>
  <c r="O189" i="29" s="1"/>
  <c r="G130" i="29"/>
  <c r="G142" i="29" s="1"/>
  <c r="G154" i="29" s="1"/>
  <c r="G166" i="29" s="1"/>
  <c r="G178" i="29" s="1"/>
  <c r="G190" i="29" s="1"/>
  <c r="O190" i="29" s="1"/>
  <c r="G123" i="29"/>
  <c r="G135" i="29" s="1"/>
  <c r="G147" i="29" s="1"/>
  <c r="G159" i="29" s="1"/>
  <c r="G171" i="29" s="1"/>
  <c r="G183" i="29" s="1"/>
  <c r="O183" i="29" s="1"/>
  <c r="G124" i="29"/>
  <c r="G136" i="29" s="1"/>
  <c r="G148" i="29" s="1"/>
  <c r="G160" i="29" s="1"/>
  <c r="G172" i="29" s="1"/>
  <c r="G184" i="29" s="1"/>
  <c r="O184" i="29" s="1"/>
  <c r="G126" i="29"/>
  <c r="G138" i="29" s="1"/>
  <c r="G150" i="29" s="1"/>
  <c r="G162" i="29" s="1"/>
  <c r="G174" i="29" s="1"/>
  <c r="G186" i="29" s="1"/>
  <c r="O186" i="29" s="1"/>
  <c r="G131" i="29"/>
  <c r="G143" i="29" s="1"/>
  <c r="G155" i="29" s="1"/>
  <c r="G167" i="29" s="1"/>
  <c r="G179" i="29" s="1"/>
  <c r="G191" i="29" s="1"/>
  <c r="O191" i="29" s="1"/>
  <c r="G133" i="29"/>
  <c r="G145" i="29" s="1"/>
  <c r="G157" i="29" s="1"/>
  <c r="G169" i="29" s="1"/>
  <c r="G181" i="29" s="1"/>
  <c r="G193" i="29" s="1"/>
  <c r="O193" i="29" s="1"/>
  <c r="M122" i="28"/>
  <c r="P122" i="28"/>
  <c r="Q122" i="28"/>
  <c r="M123" i="28"/>
  <c r="P123" i="28"/>
  <c r="Q123" i="28"/>
  <c r="M124" i="28"/>
  <c r="P124" i="28"/>
  <c r="Q124" i="28"/>
  <c r="M125" i="28"/>
  <c r="P125" i="28"/>
  <c r="Q125" i="28"/>
  <c r="M126" i="28"/>
  <c r="P126" i="28"/>
  <c r="Q126" i="28"/>
  <c r="M127" i="28"/>
  <c r="P127" i="28"/>
  <c r="Q127" i="28"/>
  <c r="M128" i="28"/>
  <c r="P128" i="28"/>
  <c r="Q128" i="28"/>
  <c r="M129" i="28"/>
  <c r="P129" i="28"/>
  <c r="Q129" i="28"/>
  <c r="M130" i="28"/>
  <c r="P130" i="28"/>
  <c r="Q130" i="28"/>
  <c r="M131" i="28"/>
  <c r="P131" i="28"/>
  <c r="Q131" i="28"/>
  <c r="M132" i="28"/>
  <c r="P132" i="28"/>
  <c r="Q132" i="28"/>
  <c r="M133" i="28"/>
  <c r="P133" i="28"/>
  <c r="Q133" i="28"/>
  <c r="M134" i="28"/>
  <c r="P134" i="28"/>
  <c r="Q134" i="28"/>
  <c r="M135" i="28"/>
  <c r="P135" i="28"/>
  <c r="Q135" i="28"/>
  <c r="M136" i="28"/>
  <c r="P136" i="28"/>
  <c r="Q136" i="28"/>
  <c r="M137" i="28"/>
  <c r="P137" i="28"/>
  <c r="Q137" i="28"/>
  <c r="M138" i="28"/>
  <c r="P138" i="28"/>
  <c r="Q138" i="28"/>
  <c r="M139" i="28"/>
  <c r="P139" i="28"/>
  <c r="Q139" i="28"/>
  <c r="M140" i="28"/>
  <c r="P140" i="28"/>
  <c r="Q140" i="28"/>
  <c r="M141" i="28"/>
  <c r="P141" i="28"/>
  <c r="Q141" i="28"/>
  <c r="M142" i="28"/>
  <c r="P142" i="28"/>
  <c r="Q142" i="28"/>
  <c r="M143" i="28"/>
  <c r="P143" i="28"/>
  <c r="Q143" i="28"/>
  <c r="M144" i="28"/>
  <c r="P144" i="28"/>
  <c r="Q144" i="28"/>
  <c r="M145" i="28"/>
  <c r="P145" i="28"/>
  <c r="Q145" i="28"/>
  <c r="M146" i="28"/>
  <c r="P146" i="28"/>
  <c r="Q146" i="28"/>
  <c r="M147" i="28"/>
  <c r="P147" i="28"/>
  <c r="Q147" i="28"/>
  <c r="M148" i="28"/>
  <c r="P148" i="28"/>
  <c r="Q148" i="28"/>
  <c r="M149" i="28"/>
  <c r="P149" i="28"/>
  <c r="Q149" i="28"/>
  <c r="M150" i="28"/>
  <c r="P150" i="28"/>
  <c r="Q150" i="28"/>
  <c r="M151" i="28"/>
  <c r="P151" i="28"/>
  <c r="Q151" i="28"/>
  <c r="M152" i="28"/>
  <c r="P152" i="28"/>
  <c r="Q152" i="28"/>
  <c r="M153" i="28"/>
  <c r="P153" i="28"/>
  <c r="Q153" i="28"/>
  <c r="M154" i="28"/>
  <c r="P154" i="28"/>
  <c r="Q154" i="28"/>
  <c r="M155" i="28"/>
  <c r="P155" i="28"/>
  <c r="Q155" i="28"/>
  <c r="M156" i="28"/>
  <c r="P156" i="28"/>
  <c r="Q156" i="28"/>
  <c r="M157" i="28"/>
  <c r="P157" i="28"/>
  <c r="Q157" i="28"/>
  <c r="M158" i="28"/>
  <c r="P158" i="28"/>
  <c r="Q158" i="28"/>
  <c r="M159" i="28"/>
  <c r="P159" i="28"/>
  <c r="Q159" i="28"/>
  <c r="M160" i="28"/>
  <c r="P160" i="28"/>
  <c r="Q160" i="28"/>
  <c r="M161" i="28"/>
  <c r="P161" i="28"/>
  <c r="Q161" i="28"/>
  <c r="M162" i="28"/>
  <c r="P162" i="28"/>
  <c r="Q162" i="28"/>
  <c r="M163" i="28"/>
  <c r="P163" i="28"/>
  <c r="Q163" i="28"/>
  <c r="M164" i="28"/>
  <c r="P164" i="28"/>
  <c r="Q164" i="28"/>
  <c r="M165" i="28"/>
  <c r="P165" i="28"/>
  <c r="Q165" i="28"/>
  <c r="M166" i="28"/>
  <c r="P166" i="28"/>
  <c r="Q166" i="28"/>
  <c r="M167" i="28"/>
  <c r="P167" i="28"/>
  <c r="Q167" i="28"/>
  <c r="M168" i="28"/>
  <c r="P168" i="28"/>
  <c r="Q168" i="28"/>
  <c r="M169" i="28"/>
  <c r="P169" i="28"/>
  <c r="Q169" i="28"/>
  <c r="M170" i="28"/>
  <c r="P170" i="28"/>
  <c r="Q170" i="28"/>
  <c r="M171" i="28"/>
  <c r="P171" i="28"/>
  <c r="Q171" i="28"/>
  <c r="M172" i="28"/>
  <c r="P172" i="28"/>
  <c r="Q172" i="28"/>
  <c r="M173" i="28"/>
  <c r="P173" i="28"/>
  <c r="Q173" i="28"/>
  <c r="M174" i="28"/>
  <c r="P174" i="28"/>
  <c r="Q174" i="28"/>
  <c r="M175" i="28"/>
  <c r="P175" i="28"/>
  <c r="Q175" i="28"/>
  <c r="M176" i="28"/>
  <c r="P176" i="28"/>
  <c r="Q176" i="28"/>
  <c r="M177" i="28"/>
  <c r="P177" i="28"/>
  <c r="Q177" i="28"/>
  <c r="M178" i="28"/>
  <c r="P178" i="28"/>
  <c r="Q178" i="28"/>
  <c r="M179" i="28"/>
  <c r="P179" i="28"/>
  <c r="Q179" i="28"/>
  <c r="M180" i="28"/>
  <c r="P180" i="28"/>
  <c r="Q180" i="28"/>
  <c r="M181" i="28"/>
  <c r="P181" i="28"/>
  <c r="Q181" i="28"/>
  <c r="M182" i="28"/>
  <c r="P182" i="28"/>
  <c r="Q182" i="28"/>
  <c r="M183" i="28"/>
  <c r="P183" i="28"/>
  <c r="Q183" i="28"/>
  <c r="M184" i="28"/>
  <c r="P184" i="28"/>
  <c r="Q184" i="28"/>
  <c r="M185" i="28"/>
  <c r="P185" i="28"/>
  <c r="Q185" i="28"/>
  <c r="M186" i="28"/>
  <c r="P186" i="28"/>
  <c r="Q186" i="28"/>
  <c r="M187" i="28"/>
  <c r="P187" i="28"/>
  <c r="Q187" i="28"/>
  <c r="M188" i="28"/>
  <c r="P188" i="28"/>
  <c r="Q188" i="28"/>
  <c r="M189" i="28"/>
  <c r="P189" i="28"/>
  <c r="Q189" i="28"/>
  <c r="M190" i="28"/>
  <c r="P190" i="28"/>
  <c r="Q190" i="28"/>
  <c r="M191" i="28"/>
  <c r="P191" i="28"/>
  <c r="Q191" i="28"/>
  <c r="M192" i="28"/>
  <c r="P192" i="28"/>
  <c r="Q192" i="28"/>
  <c r="M193" i="28"/>
  <c r="P193" i="28"/>
  <c r="Q193" i="28"/>
  <c r="I128" i="28"/>
  <c r="I140" i="28" s="1"/>
  <c r="I152" i="28" s="1"/>
  <c r="I164" i="28" s="1"/>
  <c r="I176" i="28" s="1"/>
  <c r="I188" i="28" s="1"/>
  <c r="R188" i="28" s="1"/>
  <c r="I97" i="37"/>
  <c r="I96" i="37"/>
  <c r="I95" i="37"/>
  <c r="I94" i="37"/>
  <c r="I93" i="37"/>
  <c r="I92" i="37"/>
  <c r="I91" i="37"/>
  <c r="I90" i="37"/>
  <c r="I89" i="37"/>
  <c r="I88" i="37"/>
  <c r="I87" i="37"/>
  <c r="I86" i="37"/>
  <c r="I85" i="37"/>
  <c r="E85" i="37"/>
  <c r="I84" i="37"/>
  <c r="E84" i="37"/>
  <c r="I83" i="37"/>
  <c r="E83" i="37"/>
  <c r="J83" i="37" s="1"/>
  <c r="I82" i="37"/>
  <c r="E82" i="37"/>
  <c r="J82" i="37" s="1"/>
  <c r="I81" i="37"/>
  <c r="E81" i="37"/>
  <c r="J81" i="37" s="1"/>
  <c r="I80" i="37"/>
  <c r="E80" i="37"/>
  <c r="J80" i="37" s="1"/>
  <c r="I79" i="37"/>
  <c r="E79" i="37"/>
  <c r="I78" i="37"/>
  <c r="E78" i="37"/>
  <c r="E114" i="37" s="1"/>
  <c r="E150" i="37" s="1"/>
  <c r="E186" i="37" s="1"/>
  <c r="J186" i="37" s="1"/>
  <c r="I77" i="37"/>
  <c r="E77" i="37"/>
  <c r="J77" i="37" s="1"/>
  <c r="I76" i="37"/>
  <c r="E76" i="37"/>
  <c r="I75" i="37"/>
  <c r="E75" i="37"/>
  <c r="J75" i="37" s="1"/>
  <c r="I74" i="37"/>
  <c r="I73" i="37"/>
  <c r="I72" i="37"/>
  <c r="I71" i="37"/>
  <c r="I70" i="37"/>
  <c r="I69" i="37"/>
  <c r="I68" i="37"/>
  <c r="I67" i="37"/>
  <c r="I66" i="37"/>
  <c r="I65" i="37"/>
  <c r="I64" i="37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E51" i="37"/>
  <c r="J51" i="37" s="1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E37" i="37"/>
  <c r="J37" i="37" s="1"/>
  <c r="I36" i="37"/>
  <c r="E36" i="37"/>
  <c r="J36" i="37" s="1"/>
  <c r="I35" i="37"/>
  <c r="E35" i="37"/>
  <c r="J35" i="37" s="1"/>
  <c r="I34" i="37"/>
  <c r="E34" i="37"/>
  <c r="J34" i="37" s="1"/>
  <c r="I33" i="37"/>
  <c r="E33" i="37"/>
  <c r="J33" i="37" s="1"/>
  <c r="I32" i="37"/>
  <c r="E32" i="37"/>
  <c r="J32" i="37" s="1"/>
  <c r="I31" i="37"/>
  <c r="E31" i="37"/>
  <c r="J31" i="37" s="1"/>
  <c r="I30" i="37"/>
  <c r="E30" i="37"/>
  <c r="J30" i="37" s="1"/>
  <c r="I29" i="37"/>
  <c r="E29" i="37"/>
  <c r="J29" i="37" s="1"/>
  <c r="I28" i="37"/>
  <c r="E28" i="37"/>
  <c r="J28" i="37" s="1"/>
  <c r="I27" i="37"/>
  <c r="E27" i="37"/>
  <c r="J27" i="37" s="1"/>
  <c r="I26" i="37"/>
  <c r="E26" i="37"/>
  <c r="J26" i="37" s="1"/>
  <c r="I25" i="37"/>
  <c r="I24" i="37"/>
  <c r="I23" i="37"/>
  <c r="I22" i="37"/>
  <c r="I21" i="37"/>
  <c r="I20" i="37"/>
  <c r="I19" i="37"/>
  <c r="I18" i="37"/>
  <c r="I17" i="37"/>
  <c r="I16" i="37"/>
  <c r="I15" i="37"/>
  <c r="I14" i="37"/>
  <c r="I13" i="37"/>
  <c r="I12" i="37"/>
  <c r="I11" i="37"/>
  <c r="I10" i="37"/>
  <c r="I9" i="37"/>
  <c r="I8" i="37"/>
  <c r="I7" i="37"/>
  <c r="I6" i="37"/>
  <c r="I5" i="37"/>
  <c r="I4" i="37"/>
  <c r="I3" i="37"/>
  <c r="E3" i="37"/>
  <c r="J3" i="37" s="1"/>
  <c r="I2" i="37"/>
  <c r="I1" i="37"/>
  <c r="E1" i="37"/>
  <c r="J1" i="37" s="1"/>
  <c r="K96" i="36"/>
  <c r="I96" i="36"/>
  <c r="P96" i="36" s="1"/>
  <c r="H96" i="36"/>
  <c r="O96" i="36" s="1"/>
  <c r="K95" i="36"/>
  <c r="I95" i="36"/>
  <c r="P95" i="36" s="1"/>
  <c r="H95" i="36"/>
  <c r="O95" i="36" s="1"/>
  <c r="K94" i="36"/>
  <c r="I94" i="36"/>
  <c r="P94" i="36" s="1"/>
  <c r="H94" i="36"/>
  <c r="O94" i="36" s="1"/>
  <c r="K93" i="36"/>
  <c r="I93" i="36"/>
  <c r="P93" i="36" s="1"/>
  <c r="H93" i="36"/>
  <c r="O93" i="36" s="1"/>
  <c r="K92" i="36"/>
  <c r="I92" i="36"/>
  <c r="P92" i="36" s="1"/>
  <c r="H92" i="36"/>
  <c r="O92" i="36" s="1"/>
  <c r="K91" i="36"/>
  <c r="I91" i="36"/>
  <c r="P91" i="36" s="1"/>
  <c r="H91" i="36"/>
  <c r="O91" i="36" s="1"/>
  <c r="K90" i="36"/>
  <c r="I90" i="36"/>
  <c r="P90" i="36" s="1"/>
  <c r="H90" i="36"/>
  <c r="O90" i="36" s="1"/>
  <c r="K89" i="36"/>
  <c r="I89" i="36"/>
  <c r="P89" i="36" s="1"/>
  <c r="H89" i="36"/>
  <c r="O89" i="36" s="1"/>
  <c r="K88" i="36"/>
  <c r="I88" i="36"/>
  <c r="P88" i="36" s="1"/>
  <c r="H88" i="36"/>
  <c r="O88" i="36" s="1"/>
  <c r="K87" i="36"/>
  <c r="I87" i="36"/>
  <c r="P87" i="36" s="1"/>
  <c r="H87" i="36"/>
  <c r="O87" i="36" s="1"/>
  <c r="K86" i="36"/>
  <c r="I86" i="36"/>
  <c r="P86" i="36" s="1"/>
  <c r="H86" i="36"/>
  <c r="O86" i="36" s="1"/>
  <c r="K85" i="36"/>
  <c r="I85" i="36"/>
  <c r="P85" i="36" s="1"/>
  <c r="H85" i="36"/>
  <c r="O85" i="36" s="1"/>
  <c r="G85" i="36"/>
  <c r="K84" i="36"/>
  <c r="I84" i="36"/>
  <c r="P84" i="36" s="1"/>
  <c r="H84" i="36"/>
  <c r="O84" i="36" s="1"/>
  <c r="G84" i="36"/>
  <c r="K83" i="36"/>
  <c r="I83" i="36"/>
  <c r="P83" i="36" s="1"/>
  <c r="H83" i="36"/>
  <c r="O83" i="36" s="1"/>
  <c r="G83" i="36"/>
  <c r="K82" i="36"/>
  <c r="I82" i="36"/>
  <c r="P82" i="36" s="1"/>
  <c r="H82" i="36"/>
  <c r="O82" i="36" s="1"/>
  <c r="G82" i="36"/>
  <c r="N82" i="36" s="1"/>
  <c r="K81" i="36"/>
  <c r="I81" i="36"/>
  <c r="P81" i="36" s="1"/>
  <c r="H81" i="36"/>
  <c r="O81" i="36" s="1"/>
  <c r="G81" i="36"/>
  <c r="N81" i="36" s="1"/>
  <c r="K80" i="36"/>
  <c r="I80" i="36"/>
  <c r="P80" i="36" s="1"/>
  <c r="H80" i="36"/>
  <c r="O80" i="36" s="1"/>
  <c r="G80" i="36"/>
  <c r="N80" i="36" s="1"/>
  <c r="K79" i="36"/>
  <c r="I79" i="36"/>
  <c r="P79" i="36" s="1"/>
  <c r="H79" i="36"/>
  <c r="O79" i="36" s="1"/>
  <c r="G79" i="36"/>
  <c r="N79" i="36" s="1"/>
  <c r="K78" i="36"/>
  <c r="I78" i="36"/>
  <c r="P78" i="36" s="1"/>
  <c r="H78" i="36"/>
  <c r="O78" i="36" s="1"/>
  <c r="G78" i="36"/>
  <c r="K77" i="36"/>
  <c r="I77" i="36"/>
  <c r="P77" i="36" s="1"/>
  <c r="H77" i="36"/>
  <c r="O77" i="36" s="1"/>
  <c r="G77" i="36"/>
  <c r="N77" i="36" s="1"/>
  <c r="K76" i="36"/>
  <c r="I76" i="36"/>
  <c r="P76" i="36" s="1"/>
  <c r="H76" i="36"/>
  <c r="O76" i="36" s="1"/>
  <c r="G76" i="36"/>
  <c r="N76" i="36" s="1"/>
  <c r="K75" i="36"/>
  <c r="I75" i="36"/>
  <c r="P75" i="36" s="1"/>
  <c r="H75" i="36"/>
  <c r="O75" i="36" s="1"/>
  <c r="G75" i="36"/>
  <c r="K74" i="36"/>
  <c r="I74" i="36"/>
  <c r="P74" i="36" s="1"/>
  <c r="H74" i="36"/>
  <c r="O74" i="36" s="1"/>
  <c r="K73" i="36"/>
  <c r="I73" i="36"/>
  <c r="P73" i="36" s="1"/>
  <c r="H73" i="36"/>
  <c r="O73" i="36" s="1"/>
  <c r="K72" i="36"/>
  <c r="I72" i="36"/>
  <c r="P72" i="36" s="1"/>
  <c r="H72" i="36"/>
  <c r="O72" i="36" s="1"/>
  <c r="K71" i="36"/>
  <c r="I71" i="36"/>
  <c r="P71" i="36" s="1"/>
  <c r="H71" i="36"/>
  <c r="O71" i="36" s="1"/>
  <c r="K70" i="36"/>
  <c r="I70" i="36"/>
  <c r="P70" i="36" s="1"/>
  <c r="H70" i="36"/>
  <c r="O70" i="36" s="1"/>
  <c r="K69" i="36"/>
  <c r="I69" i="36"/>
  <c r="P69" i="36" s="1"/>
  <c r="H69" i="36"/>
  <c r="O69" i="36" s="1"/>
  <c r="K68" i="36"/>
  <c r="I68" i="36"/>
  <c r="P68" i="36" s="1"/>
  <c r="H68" i="36"/>
  <c r="O68" i="36" s="1"/>
  <c r="K67" i="36"/>
  <c r="I67" i="36"/>
  <c r="P67" i="36" s="1"/>
  <c r="H67" i="36"/>
  <c r="O67" i="36" s="1"/>
  <c r="K66" i="36"/>
  <c r="I66" i="36"/>
  <c r="P66" i="36" s="1"/>
  <c r="H66" i="36"/>
  <c r="O66" i="36" s="1"/>
  <c r="K65" i="36"/>
  <c r="I65" i="36"/>
  <c r="P65" i="36" s="1"/>
  <c r="H65" i="36"/>
  <c r="O65" i="36" s="1"/>
  <c r="K64" i="36"/>
  <c r="I64" i="36"/>
  <c r="P64" i="36" s="1"/>
  <c r="H64" i="36"/>
  <c r="O64" i="36" s="1"/>
  <c r="K63" i="36"/>
  <c r="I63" i="36"/>
  <c r="P63" i="36" s="1"/>
  <c r="H63" i="36"/>
  <c r="O63" i="36" s="1"/>
  <c r="K62" i="36"/>
  <c r="I62" i="36"/>
  <c r="P62" i="36" s="1"/>
  <c r="H62" i="36"/>
  <c r="O62" i="36" s="1"/>
  <c r="K61" i="36"/>
  <c r="I61" i="36"/>
  <c r="P61" i="36" s="1"/>
  <c r="H61" i="36"/>
  <c r="O61" i="36" s="1"/>
  <c r="K60" i="36"/>
  <c r="I60" i="36"/>
  <c r="P60" i="36" s="1"/>
  <c r="H60" i="36"/>
  <c r="O60" i="36" s="1"/>
  <c r="K59" i="36"/>
  <c r="I59" i="36"/>
  <c r="P59" i="36" s="1"/>
  <c r="H59" i="36"/>
  <c r="O59" i="36" s="1"/>
  <c r="K58" i="36"/>
  <c r="I58" i="36"/>
  <c r="P58" i="36" s="1"/>
  <c r="H58" i="36"/>
  <c r="O58" i="36" s="1"/>
  <c r="K57" i="36"/>
  <c r="I57" i="36"/>
  <c r="P57" i="36" s="1"/>
  <c r="H57" i="36"/>
  <c r="O57" i="36" s="1"/>
  <c r="K56" i="36"/>
  <c r="I56" i="36"/>
  <c r="P56" i="36" s="1"/>
  <c r="H56" i="36"/>
  <c r="O56" i="36" s="1"/>
  <c r="K55" i="36"/>
  <c r="I55" i="36"/>
  <c r="P55" i="36" s="1"/>
  <c r="H55" i="36"/>
  <c r="O55" i="36" s="1"/>
  <c r="K54" i="36"/>
  <c r="I54" i="36"/>
  <c r="P54" i="36" s="1"/>
  <c r="H54" i="36"/>
  <c r="O54" i="36" s="1"/>
  <c r="K53" i="36"/>
  <c r="I53" i="36"/>
  <c r="P53" i="36" s="1"/>
  <c r="H53" i="36"/>
  <c r="O53" i="36" s="1"/>
  <c r="K52" i="36"/>
  <c r="I52" i="36"/>
  <c r="P52" i="36" s="1"/>
  <c r="H52" i="36"/>
  <c r="O52" i="36" s="1"/>
  <c r="K51" i="36"/>
  <c r="I51" i="36"/>
  <c r="P51" i="36" s="1"/>
  <c r="H51" i="36"/>
  <c r="O51" i="36" s="1"/>
  <c r="G51" i="36"/>
  <c r="N51" i="36" s="1"/>
  <c r="K50" i="36"/>
  <c r="I50" i="36"/>
  <c r="P50" i="36" s="1"/>
  <c r="H50" i="36"/>
  <c r="O50" i="36" s="1"/>
  <c r="K49" i="36"/>
  <c r="I49" i="36"/>
  <c r="P49" i="36" s="1"/>
  <c r="H49" i="36"/>
  <c r="O49" i="36" s="1"/>
  <c r="K48" i="36"/>
  <c r="I48" i="36"/>
  <c r="P48" i="36" s="1"/>
  <c r="H48" i="36"/>
  <c r="O48" i="36" s="1"/>
  <c r="K47" i="36"/>
  <c r="I47" i="36"/>
  <c r="P47" i="36" s="1"/>
  <c r="H47" i="36"/>
  <c r="O47" i="36" s="1"/>
  <c r="K46" i="36"/>
  <c r="I46" i="36"/>
  <c r="P46" i="36" s="1"/>
  <c r="H46" i="36"/>
  <c r="O46" i="36" s="1"/>
  <c r="K45" i="36"/>
  <c r="I45" i="36"/>
  <c r="P45" i="36" s="1"/>
  <c r="H45" i="36"/>
  <c r="O45" i="36" s="1"/>
  <c r="K44" i="36"/>
  <c r="I44" i="36"/>
  <c r="P44" i="36" s="1"/>
  <c r="H44" i="36"/>
  <c r="O44" i="36" s="1"/>
  <c r="K43" i="36"/>
  <c r="I43" i="36"/>
  <c r="P43" i="36" s="1"/>
  <c r="H43" i="36"/>
  <c r="O43" i="36" s="1"/>
  <c r="K42" i="36"/>
  <c r="I42" i="36"/>
  <c r="P42" i="36" s="1"/>
  <c r="H42" i="36"/>
  <c r="O42" i="36" s="1"/>
  <c r="K41" i="36"/>
  <c r="I41" i="36"/>
  <c r="P41" i="36" s="1"/>
  <c r="H41" i="36"/>
  <c r="O41" i="36" s="1"/>
  <c r="K40" i="36"/>
  <c r="I40" i="36"/>
  <c r="P40" i="36" s="1"/>
  <c r="H40" i="36"/>
  <c r="O40" i="36" s="1"/>
  <c r="K39" i="36"/>
  <c r="I39" i="36"/>
  <c r="P39" i="36" s="1"/>
  <c r="H39" i="36"/>
  <c r="O39" i="36" s="1"/>
  <c r="K38" i="36"/>
  <c r="I38" i="36"/>
  <c r="P38" i="36" s="1"/>
  <c r="H38" i="36"/>
  <c r="O38" i="36" s="1"/>
  <c r="K37" i="36"/>
  <c r="I37" i="36"/>
  <c r="P37" i="36" s="1"/>
  <c r="H37" i="36"/>
  <c r="O37" i="36" s="1"/>
  <c r="G37" i="36"/>
  <c r="N37" i="36" s="1"/>
  <c r="K36" i="36"/>
  <c r="I36" i="36"/>
  <c r="P36" i="36" s="1"/>
  <c r="H36" i="36"/>
  <c r="O36" i="36" s="1"/>
  <c r="G36" i="36"/>
  <c r="N36" i="36" s="1"/>
  <c r="K35" i="36"/>
  <c r="I35" i="36"/>
  <c r="P35" i="36" s="1"/>
  <c r="H35" i="36"/>
  <c r="O35" i="36" s="1"/>
  <c r="G35" i="36"/>
  <c r="N35" i="36" s="1"/>
  <c r="K34" i="36"/>
  <c r="I34" i="36"/>
  <c r="P34" i="36" s="1"/>
  <c r="H34" i="36"/>
  <c r="O34" i="36" s="1"/>
  <c r="G34" i="36"/>
  <c r="N34" i="36" s="1"/>
  <c r="K33" i="36"/>
  <c r="I33" i="36"/>
  <c r="P33" i="36" s="1"/>
  <c r="H33" i="36"/>
  <c r="O33" i="36" s="1"/>
  <c r="G33" i="36"/>
  <c r="N33" i="36" s="1"/>
  <c r="K32" i="36"/>
  <c r="I32" i="36"/>
  <c r="P32" i="36" s="1"/>
  <c r="H32" i="36"/>
  <c r="O32" i="36" s="1"/>
  <c r="G32" i="36"/>
  <c r="N32" i="36" s="1"/>
  <c r="K31" i="36"/>
  <c r="I31" i="36"/>
  <c r="P31" i="36" s="1"/>
  <c r="H31" i="36"/>
  <c r="O31" i="36" s="1"/>
  <c r="G31" i="36"/>
  <c r="N31" i="36" s="1"/>
  <c r="K30" i="36"/>
  <c r="I30" i="36"/>
  <c r="P30" i="36" s="1"/>
  <c r="H30" i="36"/>
  <c r="O30" i="36" s="1"/>
  <c r="G30" i="36"/>
  <c r="N30" i="36" s="1"/>
  <c r="K29" i="36"/>
  <c r="I29" i="36"/>
  <c r="P29" i="36" s="1"/>
  <c r="H29" i="36"/>
  <c r="O29" i="36" s="1"/>
  <c r="G29" i="36"/>
  <c r="N29" i="36" s="1"/>
  <c r="K28" i="36"/>
  <c r="I28" i="36"/>
  <c r="P28" i="36" s="1"/>
  <c r="H28" i="36"/>
  <c r="O28" i="36" s="1"/>
  <c r="G28" i="36"/>
  <c r="N28" i="36" s="1"/>
  <c r="K27" i="36"/>
  <c r="I27" i="36"/>
  <c r="P27" i="36" s="1"/>
  <c r="H27" i="36"/>
  <c r="O27" i="36" s="1"/>
  <c r="G27" i="36"/>
  <c r="N27" i="36" s="1"/>
  <c r="K26" i="36"/>
  <c r="I26" i="36"/>
  <c r="P26" i="36" s="1"/>
  <c r="H26" i="36"/>
  <c r="O26" i="36" s="1"/>
  <c r="G26" i="36"/>
  <c r="N26" i="36" s="1"/>
  <c r="K25" i="36"/>
  <c r="I25" i="36"/>
  <c r="P25" i="36" s="1"/>
  <c r="H25" i="36"/>
  <c r="O25" i="36" s="1"/>
  <c r="K24" i="36"/>
  <c r="I24" i="36"/>
  <c r="P24" i="36" s="1"/>
  <c r="H24" i="36"/>
  <c r="O24" i="36" s="1"/>
  <c r="K23" i="36"/>
  <c r="I23" i="36"/>
  <c r="P23" i="36" s="1"/>
  <c r="H23" i="36"/>
  <c r="O23" i="36" s="1"/>
  <c r="K22" i="36"/>
  <c r="I22" i="36"/>
  <c r="P22" i="36" s="1"/>
  <c r="H22" i="36"/>
  <c r="O22" i="36" s="1"/>
  <c r="K21" i="36"/>
  <c r="I21" i="36"/>
  <c r="P21" i="36" s="1"/>
  <c r="H21" i="36"/>
  <c r="O21" i="36" s="1"/>
  <c r="K20" i="36"/>
  <c r="I20" i="36"/>
  <c r="P20" i="36" s="1"/>
  <c r="H20" i="36"/>
  <c r="O20" i="36" s="1"/>
  <c r="K19" i="36"/>
  <c r="I19" i="36"/>
  <c r="P19" i="36" s="1"/>
  <c r="H19" i="36"/>
  <c r="O19" i="36" s="1"/>
  <c r="K18" i="36"/>
  <c r="I18" i="36"/>
  <c r="P18" i="36" s="1"/>
  <c r="H18" i="36"/>
  <c r="O18" i="36" s="1"/>
  <c r="K17" i="36"/>
  <c r="I17" i="36"/>
  <c r="P17" i="36" s="1"/>
  <c r="H17" i="36"/>
  <c r="O17" i="36" s="1"/>
  <c r="K16" i="36"/>
  <c r="I16" i="36"/>
  <c r="P16" i="36" s="1"/>
  <c r="H16" i="36"/>
  <c r="O16" i="36" s="1"/>
  <c r="K15" i="36"/>
  <c r="I15" i="36"/>
  <c r="P15" i="36" s="1"/>
  <c r="H15" i="36"/>
  <c r="O15" i="36" s="1"/>
  <c r="K14" i="36"/>
  <c r="I14" i="36"/>
  <c r="P14" i="36" s="1"/>
  <c r="H14" i="36"/>
  <c r="O14" i="36" s="1"/>
  <c r="K13" i="36"/>
  <c r="I13" i="36"/>
  <c r="P13" i="36" s="1"/>
  <c r="H13" i="36"/>
  <c r="O13" i="36" s="1"/>
  <c r="K12" i="36"/>
  <c r="I12" i="36"/>
  <c r="P12" i="36" s="1"/>
  <c r="H12" i="36"/>
  <c r="O12" i="36" s="1"/>
  <c r="K11" i="36"/>
  <c r="I11" i="36"/>
  <c r="P11" i="36" s="1"/>
  <c r="H11" i="36"/>
  <c r="O11" i="36" s="1"/>
  <c r="K10" i="36"/>
  <c r="I10" i="36"/>
  <c r="P10" i="36" s="1"/>
  <c r="H10" i="36"/>
  <c r="O10" i="36" s="1"/>
  <c r="K9" i="36"/>
  <c r="I9" i="36"/>
  <c r="P9" i="36" s="1"/>
  <c r="H9" i="36"/>
  <c r="O9" i="36" s="1"/>
  <c r="K8" i="36"/>
  <c r="I8" i="36"/>
  <c r="P8" i="36" s="1"/>
  <c r="H8" i="36"/>
  <c r="O8" i="36" s="1"/>
  <c r="K7" i="36"/>
  <c r="I7" i="36"/>
  <c r="P7" i="36" s="1"/>
  <c r="H7" i="36"/>
  <c r="O7" i="36" s="1"/>
  <c r="K6" i="36"/>
  <c r="I6" i="36"/>
  <c r="P6" i="36" s="1"/>
  <c r="H6" i="36"/>
  <c r="O6" i="36" s="1"/>
  <c r="K5" i="36"/>
  <c r="I5" i="36"/>
  <c r="P5" i="36" s="1"/>
  <c r="H5" i="36"/>
  <c r="O5" i="36" s="1"/>
  <c r="K4" i="36"/>
  <c r="I4" i="36"/>
  <c r="P4" i="36" s="1"/>
  <c r="H4" i="36"/>
  <c r="O4" i="36" s="1"/>
  <c r="K3" i="36"/>
  <c r="I3" i="36"/>
  <c r="P3" i="36" s="1"/>
  <c r="H3" i="36"/>
  <c r="O3" i="36" s="1"/>
  <c r="G3" i="36"/>
  <c r="N3" i="36" s="1"/>
  <c r="K2" i="36"/>
  <c r="I2" i="36"/>
  <c r="P2" i="36" s="1"/>
  <c r="H2" i="36"/>
  <c r="O2" i="36" s="1"/>
  <c r="K1" i="36"/>
  <c r="I1" i="36"/>
  <c r="P1" i="36" s="1"/>
  <c r="H1" i="36"/>
  <c r="O1" i="36" s="1"/>
  <c r="G1" i="36"/>
  <c r="N1" i="36" s="1"/>
  <c r="L95" i="35"/>
  <c r="J95" i="35"/>
  <c r="R95" i="35" s="1"/>
  <c r="I95" i="35"/>
  <c r="Q95" i="35" s="1"/>
  <c r="L94" i="35"/>
  <c r="J94" i="35"/>
  <c r="R94" i="35" s="1"/>
  <c r="I94" i="35"/>
  <c r="Q94" i="35" s="1"/>
  <c r="L93" i="35"/>
  <c r="J93" i="35"/>
  <c r="R93" i="35" s="1"/>
  <c r="I93" i="35"/>
  <c r="Q93" i="35" s="1"/>
  <c r="L92" i="35"/>
  <c r="J92" i="35"/>
  <c r="R92" i="35" s="1"/>
  <c r="I92" i="35"/>
  <c r="Q92" i="35" s="1"/>
  <c r="L91" i="35"/>
  <c r="J91" i="35"/>
  <c r="R91" i="35" s="1"/>
  <c r="I91" i="35"/>
  <c r="Q91" i="35" s="1"/>
  <c r="L90" i="35"/>
  <c r="J90" i="35"/>
  <c r="R90" i="35" s="1"/>
  <c r="I90" i="35"/>
  <c r="Q90" i="35" s="1"/>
  <c r="L89" i="35"/>
  <c r="J89" i="35"/>
  <c r="R89" i="35" s="1"/>
  <c r="I89" i="35"/>
  <c r="Q89" i="35" s="1"/>
  <c r="L88" i="35"/>
  <c r="J88" i="35"/>
  <c r="R88" i="35" s="1"/>
  <c r="I88" i="35"/>
  <c r="Q88" i="35" s="1"/>
  <c r="L87" i="35"/>
  <c r="J87" i="35"/>
  <c r="R87" i="35" s="1"/>
  <c r="I87" i="35"/>
  <c r="Q87" i="35" s="1"/>
  <c r="L86" i="35"/>
  <c r="J86" i="35"/>
  <c r="R86" i="35" s="1"/>
  <c r="I86" i="35"/>
  <c r="Q86" i="35" s="1"/>
  <c r="L85" i="35"/>
  <c r="J85" i="35"/>
  <c r="R85" i="35" s="1"/>
  <c r="I85" i="35"/>
  <c r="Q85" i="35" s="1"/>
  <c r="G85" i="35"/>
  <c r="O85" i="35" s="1"/>
  <c r="L84" i="35"/>
  <c r="J84" i="35"/>
  <c r="R84" i="35" s="1"/>
  <c r="I84" i="35"/>
  <c r="Q84" i="35" s="1"/>
  <c r="G84" i="35"/>
  <c r="O84" i="35" s="1"/>
  <c r="L83" i="35"/>
  <c r="J83" i="35"/>
  <c r="R83" i="35" s="1"/>
  <c r="I83" i="35"/>
  <c r="Q83" i="35" s="1"/>
  <c r="G83" i="35"/>
  <c r="O83" i="35" s="1"/>
  <c r="L82" i="35"/>
  <c r="J82" i="35"/>
  <c r="R82" i="35" s="1"/>
  <c r="I82" i="35"/>
  <c r="Q82" i="35" s="1"/>
  <c r="G82" i="35"/>
  <c r="G118" i="35" s="1"/>
  <c r="L81" i="35"/>
  <c r="J81" i="35"/>
  <c r="R81" i="35" s="1"/>
  <c r="I81" i="35"/>
  <c r="Q81" i="35" s="1"/>
  <c r="G81" i="35"/>
  <c r="L80" i="35"/>
  <c r="J80" i="35"/>
  <c r="R80" i="35" s="1"/>
  <c r="I80" i="35"/>
  <c r="Q80" i="35" s="1"/>
  <c r="G80" i="35"/>
  <c r="L79" i="35"/>
  <c r="J79" i="35"/>
  <c r="R79" i="35" s="1"/>
  <c r="I79" i="35"/>
  <c r="Q79" i="35" s="1"/>
  <c r="G79" i="35"/>
  <c r="L78" i="35"/>
  <c r="J78" i="35"/>
  <c r="R78" i="35" s="1"/>
  <c r="I78" i="35"/>
  <c r="Q78" i="35" s="1"/>
  <c r="G78" i="35"/>
  <c r="L77" i="35"/>
  <c r="J77" i="35"/>
  <c r="R77" i="35" s="1"/>
  <c r="I77" i="35"/>
  <c r="Q77" i="35" s="1"/>
  <c r="G77" i="35"/>
  <c r="L76" i="35"/>
  <c r="J76" i="35"/>
  <c r="R76" i="35" s="1"/>
  <c r="I76" i="35"/>
  <c r="Q76" i="35" s="1"/>
  <c r="G76" i="35"/>
  <c r="L75" i="35"/>
  <c r="J75" i="35"/>
  <c r="R75" i="35" s="1"/>
  <c r="I75" i="35"/>
  <c r="Q75" i="35" s="1"/>
  <c r="G75" i="35"/>
  <c r="O75" i="35" s="1"/>
  <c r="L74" i="35"/>
  <c r="J74" i="35"/>
  <c r="R74" i="35" s="1"/>
  <c r="I74" i="35"/>
  <c r="Q74" i="35" s="1"/>
  <c r="L73" i="35"/>
  <c r="J73" i="35"/>
  <c r="R73" i="35" s="1"/>
  <c r="I73" i="35"/>
  <c r="Q73" i="35" s="1"/>
  <c r="L72" i="35"/>
  <c r="J72" i="35"/>
  <c r="R72" i="35" s="1"/>
  <c r="I72" i="35"/>
  <c r="Q72" i="35" s="1"/>
  <c r="L71" i="35"/>
  <c r="J71" i="35"/>
  <c r="R71" i="35" s="1"/>
  <c r="I71" i="35"/>
  <c r="Q71" i="35" s="1"/>
  <c r="L70" i="35"/>
  <c r="J70" i="35"/>
  <c r="R70" i="35" s="1"/>
  <c r="I70" i="35"/>
  <c r="Q70" i="35" s="1"/>
  <c r="L69" i="35"/>
  <c r="J69" i="35"/>
  <c r="R69" i="35" s="1"/>
  <c r="I69" i="35"/>
  <c r="Q69" i="35" s="1"/>
  <c r="L68" i="35"/>
  <c r="J68" i="35"/>
  <c r="R68" i="35" s="1"/>
  <c r="I68" i="35"/>
  <c r="Q68" i="35" s="1"/>
  <c r="L67" i="35"/>
  <c r="J67" i="35"/>
  <c r="R67" i="35" s="1"/>
  <c r="I67" i="35"/>
  <c r="Q67" i="35" s="1"/>
  <c r="L66" i="35"/>
  <c r="J66" i="35"/>
  <c r="R66" i="35" s="1"/>
  <c r="I66" i="35"/>
  <c r="Q66" i="35" s="1"/>
  <c r="L65" i="35"/>
  <c r="J65" i="35"/>
  <c r="R65" i="35" s="1"/>
  <c r="I65" i="35"/>
  <c r="Q65" i="35" s="1"/>
  <c r="L64" i="35"/>
  <c r="J64" i="35"/>
  <c r="R64" i="35" s="1"/>
  <c r="I64" i="35"/>
  <c r="Q64" i="35" s="1"/>
  <c r="L63" i="35"/>
  <c r="J63" i="35"/>
  <c r="R63" i="35" s="1"/>
  <c r="I63" i="35"/>
  <c r="Q63" i="35" s="1"/>
  <c r="L62" i="35"/>
  <c r="J62" i="35"/>
  <c r="R62" i="35" s="1"/>
  <c r="I62" i="35"/>
  <c r="Q62" i="35" s="1"/>
  <c r="L61" i="35"/>
  <c r="J61" i="35"/>
  <c r="R61" i="35" s="1"/>
  <c r="I61" i="35"/>
  <c r="Q61" i="35" s="1"/>
  <c r="L60" i="35"/>
  <c r="J60" i="35"/>
  <c r="R60" i="35" s="1"/>
  <c r="I60" i="35"/>
  <c r="Q60" i="35" s="1"/>
  <c r="L59" i="35"/>
  <c r="J59" i="35"/>
  <c r="R59" i="35" s="1"/>
  <c r="I59" i="35"/>
  <c r="Q59" i="35" s="1"/>
  <c r="L58" i="35"/>
  <c r="J58" i="35"/>
  <c r="R58" i="35" s="1"/>
  <c r="I58" i="35"/>
  <c r="Q58" i="35" s="1"/>
  <c r="L57" i="35"/>
  <c r="J57" i="35"/>
  <c r="R57" i="35" s="1"/>
  <c r="I57" i="35"/>
  <c r="Q57" i="35" s="1"/>
  <c r="L56" i="35"/>
  <c r="J56" i="35"/>
  <c r="R56" i="35" s="1"/>
  <c r="I56" i="35"/>
  <c r="Q56" i="35" s="1"/>
  <c r="L55" i="35"/>
  <c r="J55" i="35"/>
  <c r="R55" i="35" s="1"/>
  <c r="I55" i="35"/>
  <c r="Q55" i="35" s="1"/>
  <c r="L54" i="35"/>
  <c r="J54" i="35"/>
  <c r="R54" i="35" s="1"/>
  <c r="I54" i="35"/>
  <c r="Q54" i="35" s="1"/>
  <c r="L53" i="35"/>
  <c r="J53" i="35"/>
  <c r="R53" i="35" s="1"/>
  <c r="I53" i="35"/>
  <c r="Q53" i="35" s="1"/>
  <c r="L52" i="35"/>
  <c r="J52" i="35"/>
  <c r="R52" i="35" s="1"/>
  <c r="I52" i="35"/>
  <c r="Q52" i="35" s="1"/>
  <c r="L51" i="35"/>
  <c r="J51" i="35"/>
  <c r="R51" i="35" s="1"/>
  <c r="I51" i="35"/>
  <c r="Q51" i="35" s="1"/>
  <c r="G51" i="35"/>
  <c r="O51" i="35" s="1"/>
  <c r="L50" i="35"/>
  <c r="J50" i="35"/>
  <c r="R50" i="35" s="1"/>
  <c r="I50" i="35"/>
  <c r="Q50" i="35" s="1"/>
  <c r="L49" i="35"/>
  <c r="J49" i="35"/>
  <c r="R49" i="35" s="1"/>
  <c r="I49" i="35"/>
  <c r="Q49" i="35" s="1"/>
  <c r="L48" i="35"/>
  <c r="J48" i="35"/>
  <c r="R48" i="35" s="1"/>
  <c r="I48" i="35"/>
  <c r="Q48" i="35" s="1"/>
  <c r="L47" i="35"/>
  <c r="J47" i="35"/>
  <c r="R47" i="35" s="1"/>
  <c r="I47" i="35"/>
  <c r="Q47" i="35" s="1"/>
  <c r="L46" i="35"/>
  <c r="J46" i="35"/>
  <c r="R46" i="35" s="1"/>
  <c r="I46" i="35"/>
  <c r="Q46" i="35" s="1"/>
  <c r="L45" i="35"/>
  <c r="J45" i="35"/>
  <c r="R45" i="35" s="1"/>
  <c r="I45" i="35"/>
  <c r="Q45" i="35" s="1"/>
  <c r="L44" i="35"/>
  <c r="J44" i="35"/>
  <c r="R44" i="35" s="1"/>
  <c r="I44" i="35"/>
  <c r="Q44" i="35" s="1"/>
  <c r="L43" i="35"/>
  <c r="J43" i="35"/>
  <c r="R43" i="35" s="1"/>
  <c r="I43" i="35"/>
  <c r="Q43" i="35" s="1"/>
  <c r="L42" i="35"/>
  <c r="J42" i="35"/>
  <c r="R42" i="35" s="1"/>
  <c r="I42" i="35"/>
  <c r="Q42" i="35" s="1"/>
  <c r="L41" i="35"/>
  <c r="J41" i="35"/>
  <c r="R41" i="35" s="1"/>
  <c r="I41" i="35"/>
  <c r="Q41" i="35" s="1"/>
  <c r="L40" i="35"/>
  <c r="J40" i="35"/>
  <c r="R40" i="35" s="1"/>
  <c r="I40" i="35"/>
  <c r="Q40" i="35" s="1"/>
  <c r="L39" i="35"/>
  <c r="J39" i="35"/>
  <c r="R39" i="35" s="1"/>
  <c r="I39" i="35"/>
  <c r="Q39" i="35" s="1"/>
  <c r="L38" i="35"/>
  <c r="J38" i="35"/>
  <c r="R38" i="35" s="1"/>
  <c r="I38" i="35"/>
  <c r="Q38" i="35" s="1"/>
  <c r="L37" i="35"/>
  <c r="J37" i="35"/>
  <c r="R37" i="35" s="1"/>
  <c r="I37" i="35"/>
  <c r="Q37" i="35" s="1"/>
  <c r="G37" i="35"/>
  <c r="O37" i="35" s="1"/>
  <c r="L36" i="35"/>
  <c r="J36" i="35"/>
  <c r="R36" i="35" s="1"/>
  <c r="I36" i="35"/>
  <c r="Q36" i="35" s="1"/>
  <c r="G36" i="35"/>
  <c r="O36" i="35" s="1"/>
  <c r="L35" i="35"/>
  <c r="J35" i="35"/>
  <c r="R35" i="35" s="1"/>
  <c r="I35" i="35"/>
  <c r="Q35" i="35" s="1"/>
  <c r="G35" i="35"/>
  <c r="O35" i="35" s="1"/>
  <c r="L34" i="35"/>
  <c r="J34" i="35"/>
  <c r="R34" i="35" s="1"/>
  <c r="I34" i="35"/>
  <c r="Q34" i="35" s="1"/>
  <c r="G34" i="35"/>
  <c r="O34" i="35" s="1"/>
  <c r="L33" i="35"/>
  <c r="J33" i="35"/>
  <c r="R33" i="35" s="1"/>
  <c r="I33" i="35"/>
  <c r="Q33" i="35" s="1"/>
  <c r="G33" i="35"/>
  <c r="O33" i="35" s="1"/>
  <c r="L32" i="35"/>
  <c r="J32" i="35"/>
  <c r="R32" i="35" s="1"/>
  <c r="I32" i="35"/>
  <c r="Q32" i="35" s="1"/>
  <c r="G32" i="35"/>
  <c r="O32" i="35" s="1"/>
  <c r="L31" i="35"/>
  <c r="J31" i="35"/>
  <c r="R31" i="35" s="1"/>
  <c r="I31" i="35"/>
  <c r="Q31" i="35" s="1"/>
  <c r="G31" i="35"/>
  <c r="O31" i="35" s="1"/>
  <c r="L30" i="35"/>
  <c r="J30" i="35"/>
  <c r="R30" i="35" s="1"/>
  <c r="I30" i="35"/>
  <c r="Q30" i="35" s="1"/>
  <c r="G30" i="35"/>
  <c r="O30" i="35" s="1"/>
  <c r="L29" i="35"/>
  <c r="J29" i="35"/>
  <c r="R29" i="35" s="1"/>
  <c r="I29" i="35"/>
  <c r="Q29" i="35" s="1"/>
  <c r="G29" i="35"/>
  <c r="O29" i="35" s="1"/>
  <c r="L28" i="35"/>
  <c r="J28" i="35"/>
  <c r="R28" i="35" s="1"/>
  <c r="I28" i="35"/>
  <c r="Q28" i="35" s="1"/>
  <c r="G28" i="35"/>
  <c r="O28" i="35" s="1"/>
  <c r="L27" i="35"/>
  <c r="J27" i="35"/>
  <c r="R27" i="35" s="1"/>
  <c r="I27" i="35"/>
  <c r="Q27" i="35" s="1"/>
  <c r="G27" i="35"/>
  <c r="O27" i="35" s="1"/>
  <c r="L26" i="35"/>
  <c r="J26" i="35"/>
  <c r="R26" i="35" s="1"/>
  <c r="I26" i="35"/>
  <c r="Q26" i="35" s="1"/>
  <c r="G26" i="35"/>
  <c r="O26" i="35" s="1"/>
  <c r="L25" i="35"/>
  <c r="J25" i="35"/>
  <c r="R25" i="35" s="1"/>
  <c r="I25" i="35"/>
  <c r="Q25" i="35" s="1"/>
  <c r="L24" i="35"/>
  <c r="J24" i="35"/>
  <c r="R24" i="35" s="1"/>
  <c r="I24" i="35"/>
  <c r="Q24" i="35" s="1"/>
  <c r="L23" i="35"/>
  <c r="J23" i="35"/>
  <c r="R23" i="35" s="1"/>
  <c r="I23" i="35"/>
  <c r="Q23" i="35" s="1"/>
  <c r="L22" i="35"/>
  <c r="J22" i="35"/>
  <c r="R22" i="35" s="1"/>
  <c r="I22" i="35"/>
  <c r="Q22" i="35" s="1"/>
  <c r="L21" i="35"/>
  <c r="J21" i="35"/>
  <c r="R21" i="35" s="1"/>
  <c r="I21" i="35"/>
  <c r="Q21" i="35" s="1"/>
  <c r="L20" i="35"/>
  <c r="J20" i="35"/>
  <c r="R20" i="35" s="1"/>
  <c r="I20" i="35"/>
  <c r="Q20" i="35" s="1"/>
  <c r="L19" i="35"/>
  <c r="J19" i="35"/>
  <c r="R19" i="35" s="1"/>
  <c r="I19" i="35"/>
  <c r="Q19" i="35" s="1"/>
  <c r="L18" i="35"/>
  <c r="J18" i="35"/>
  <c r="R18" i="35" s="1"/>
  <c r="I18" i="35"/>
  <c r="Q18" i="35" s="1"/>
  <c r="L17" i="35"/>
  <c r="J17" i="35"/>
  <c r="R17" i="35" s="1"/>
  <c r="I17" i="35"/>
  <c r="Q17" i="35" s="1"/>
  <c r="L16" i="35"/>
  <c r="J16" i="35"/>
  <c r="R16" i="35" s="1"/>
  <c r="I16" i="35"/>
  <c r="Q16" i="35" s="1"/>
  <c r="L15" i="35"/>
  <c r="J15" i="35"/>
  <c r="R15" i="35" s="1"/>
  <c r="I15" i="35"/>
  <c r="Q15" i="35" s="1"/>
  <c r="L14" i="35"/>
  <c r="J14" i="35"/>
  <c r="R14" i="35" s="1"/>
  <c r="I14" i="35"/>
  <c r="Q14" i="35" s="1"/>
  <c r="L13" i="35"/>
  <c r="J13" i="35"/>
  <c r="R13" i="35" s="1"/>
  <c r="I13" i="35"/>
  <c r="Q13" i="35" s="1"/>
  <c r="L12" i="35"/>
  <c r="J12" i="35"/>
  <c r="R12" i="35" s="1"/>
  <c r="I12" i="35"/>
  <c r="Q12" i="35" s="1"/>
  <c r="L11" i="35"/>
  <c r="J11" i="35"/>
  <c r="R11" i="35" s="1"/>
  <c r="I11" i="35"/>
  <c r="Q11" i="35" s="1"/>
  <c r="L10" i="35"/>
  <c r="J10" i="35"/>
  <c r="R10" i="35" s="1"/>
  <c r="I10" i="35"/>
  <c r="Q10" i="35" s="1"/>
  <c r="L9" i="35"/>
  <c r="J9" i="35"/>
  <c r="R9" i="35" s="1"/>
  <c r="I9" i="35"/>
  <c r="Q9" i="35" s="1"/>
  <c r="L8" i="35"/>
  <c r="J8" i="35"/>
  <c r="R8" i="35" s="1"/>
  <c r="I8" i="35"/>
  <c r="Q8" i="35" s="1"/>
  <c r="L7" i="35"/>
  <c r="J7" i="35"/>
  <c r="R7" i="35" s="1"/>
  <c r="I7" i="35"/>
  <c r="Q7" i="35" s="1"/>
  <c r="L6" i="35"/>
  <c r="J6" i="35"/>
  <c r="R6" i="35" s="1"/>
  <c r="I6" i="35"/>
  <c r="Q6" i="35" s="1"/>
  <c r="L5" i="35"/>
  <c r="J5" i="35"/>
  <c r="R5" i="35" s="1"/>
  <c r="I5" i="35"/>
  <c r="Q5" i="35" s="1"/>
  <c r="L4" i="35"/>
  <c r="J4" i="35"/>
  <c r="R4" i="35" s="1"/>
  <c r="I4" i="35"/>
  <c r="Q4" i="35" s="1"/>
  <c r="L3" i="35"/>
  <c r="J3" i="35"/>
  <c r="R3" i="35" s="1"/>
  <c r="I3" i="35"/>
  <c r="Q3" i="35" s="1"/>
  <c r="G3" i="35"/>
  <c r="O3" i="35" s="1"/>
  <c r="L2" i="35"/>
  <c r="J2" i="35"/>
  <c r="R2" i="35" s="1"/>
  <c r="I2" i="35"/>
  <c r="Q2" i="35" s="1"/>
  <c r="L1" i="35"/>
  <c r="J1" i="35"/>
  <c r="R1" i="35" s="1"/>
  <c r="I1" i="35"/>
  <c r="Q1" i="35" s="1"/>
  <c r="H1" i="35"/>
  <c r="P1" i="35" s="1"/>
  <c r="G1" i="35"/>
  <c r="O1" i="35" s="1"/>
  <c r="M97" i="34"/>
  <c r="S97" i="34"/>
  <c r="I97" i="34"/>
  <c r="R97" i="34" s="1"/>
  <c r="M96" i="34"/>
  <c r="S96" i="34"/>
  <c r="I96" i="34"/>
  <c r="R96" i="34" s="1"/>
  <c r="M95" i="34"/>
  <c r="S95" i="34"/>
  <c r="I95" i="34"/>
  <c r="R95" i="34" s="1"/>
  <c r="M94" i="34"/>
  <c r="S94" i="34"/>
  <c r="I94" i="34"/>
  <c r="R94" i="34" s="1"/>
  <c r="M93" i="34"/>
  <c r="S93" i="34"/>
  <c r="I93" i="34"/>
  <c r="R93" i="34" s="1"/>
  <c r="M92" i="34"/>
  <c r="S92" i="34"/>
  <c r="I92" i="34"/>
  <c r="R92" i="34" s="1"/>
  <c r="M91" i="34"/>
  <c r="S91" i="34"/>
  <c r="I91" i="34"/>
  <c r="R91" i="34" s="1"/>
  <c r="M90" i="34"/>
  <c r="S90" i="34"/>
  <c r="I90" i="34"/>
  <c r="R90" i="34" s="1"/>
  <c r="M89" i="34"/>
  <c r="S89" i="34"/>
  <c r="I89" i="34"/>
  <c r="R89" i="34" s="1"/>
  <c r="M88" i="34"/>
  <c r="S88" i="34"/>
  <c r="I88" i="34"/>
  <c r="R88" i="34" s="1"/>
  <c r="M87" i="34"/>
  <c r="S87" i="34"/>
  <c r="I87" i="34"/>
  <c r="R87" i="34" s="1"/>
  <c r="M86" i="34"/>
  <c r="S86" i="34"/>
  <c r="I86" i="34"/>
  <c r="R86" i="34" s="1"/>
  <c r="M85" i="34"/>
  <c r="K85" i="34"/>
  <c r="K157" i="34" s="1"/>
  <c r="K193" i="34" s="1"/>
  <c r="T193" i="34" s="1"/>
  <c r="S85" i="34"/>
  <c r="I85" i="34"/>
  <c r="R85" i="34" s="1"/>
  <c r="M84" i="34"/>
  <c r="K84" i="34"/>
  <c r="T84" i="34" s="1"/>
  <c r="S84" i="34"/>
  <c r="I84" i="34"/>
  <c r="R84" i="34" s="1"/>
  <c r="M83" i="34"/>
  <c r="K83" i="34"/>
  <c r="T83" i="34" s="1"/>
  <c r="S83" i="34"/>
  <c r="I83" i="34"/>
  <c r="R83" i="34" s="1"/>
  <c r="M82" i="34"/>
  <c r="K82" i="34"/>
  <c r="S82" i="34"/>
  <c r="I82" i="34"/>
  <c r="R82" i="34" s="1"/>
  <c r="M81" i="34"/>
  <c r="K81" i="34"/>
  <c r="T81" i="34" s="1"/>
  <c r="S81" i="34"/>
  <c r="I81" i="34"/>
  <c r="R81" i="34" s="1"/>
  <c r="M80" i="34"/>
  <c r="K80" i="34"/>
  <c r="T80" i="34" s="1"/>
  <c r="S80" i="34"/>
  <c r="I80" i="34"/>
  <c r="R80" i="34" s="1"/>
  <c r="M79" i="34"/>
  <c r="K79" i="34"/>
  <c r="T79" i="34" s="1"/>
  <c r="S79" i="34"/>
  <c r="I79" i="34"/>
  <c r="R79" i="34" s="1"/>
  <c r="M78" i="34"/>
  <c r="K78" i="34"/>
  <c r="S78" i="34"/>
  <c r="I78" i="34"/>
  <c r="R78" i="34" s="1"/>
  <c r="M77" i="34"/>
  <c r="K77" i="34"/>
  <c r="K149" i="34" s="1"/>
  <c r="S77" i="34"/>
  <c r="I77" i="34"/>
  <c r="R77" i="34" s="1"/>
  <c r="M76" i="34"/>
  <c r="K76" i="34"/>
  <c r="T76" i="34" s="1"/>
  <c r="S76" i="34"/>
  <c r="I76" i="34"/>
  <c r="R76" i="34" s="1"/>
  <c r="M75" i="34"/>
  <c r="K75" i="34"/>
  <c r="S75" i="34"/>
  <c r="I75" i="34"/>
  <c r="R75" i="34" s="1"/>
  <c r="M74" i="34"/>
  <c r="S74" i="34"/>
  <c r="I74" i="34"/>
  <c r="R74" i="34" s="1"/>
  <c r="M73" i="34"/>
  <c r="S73" i="34"/>
  <c r="I73" i="34"/>
  <c r="R73" i="34" s="1"/>
  <c r="M72" i="34"/>
  <c r="S72" i="34"/>
  <c r="I72" i="34"/>
  <c r="R72" i="34" s="1"/>
  <c r="M71" i="34"/>
  <c r="S71" i="34"/>
  <c r="I71" i="34"/>
  <c r="R71" i="34" s="1"/>
  <c r="M70" i="34"/>
  <c r="S70" i="34"/>
  <c r="I70" i="34"/>
  <c r="R70" i="34" s="1"/>
  <c r="M69" i="34"/>
  <c r="S69" i="34"/>
  <c r="I69" i="34"/>
  <c r="R69" i="34" s="1"/>
  <c r="M68" i="34"/>
  <c r="S68" i="34"/>
  <c r="I68" i="34"/>
  <c r="R68" i="34" s="1"/>
  <c r="M67" i="34"/>
  <c r="S67" i="34"/>
  <c r="I67" i="34"/>
  <c r="R67" i="34" s="1"/>
  <c r="M66" i="34"/>
  <c r="S66" i="34"/>
  <c r="I66" i="34"/>
  <c r="R66" i="34" s="1"/>
  <c r="M65" i="34"/>
  <c r="S65" i="34"/>
  <c r="I65" i="34"/>
  <c r="R65" i="34" s="1"/>
  <c r="M64" i="34"/>
  <c r="S64" i="34"/>
  <c r="I64" i="34"/>
  <c r="R64" i="34" s="1"/>
  <c r="M63" i="34"/>
  <c r="S63" i="34"/>
  <c r="I63" i="34"/>
  <c r="R63" i="34" s="1"/>
  <c r="M62" i="34"/>
  <c r="S62" i="34"/>
  <c r="I62" i="34"/>
  <c r="R62" i="34" s="1"/>
  <c r="M61" i="34"/>
  <c r="S61" i="34"/>
  <c r="I61" i="34"/>
  <c r="R61" i="34" s="1"/>
  <c r="M60" i="34"/>
  <c r="S60" i="34"/>
  <c r="I60" i="34"/>
  <c r="R60" i="34" s="1"/>
  <c r="M59" i="34"/>
  <c r="S59" i="34"/>
  <c r="I59" i="34"/>
  <c r="R59" i="34" s="1"/>
  <c r="M58" i="34"/>
  <c r="S58" i="34"/>
  <c r="I58" i="34"/>
  <c r="R58" i="34" s="1"/>
  <c r="M57" i="34"/>
  <c r="S57" i="34"/>
  <c r="I57" i="34"/>
  <c r="R57" i="34" s="1"/>
  <c r="M56" i="34"/>
  <c r="S56" i="34"/>
  <c r="I56" i="34"/>
  <c r="R56" i="34" s="1"/>
  <c r="M55" i="34"/>
  <c r="S55" i="34"/>
  <c r="I55" i="34"/>
  <c r="R55" i="34" s="1"/>
  <c r="M54" i="34"/>
  <c r="S54" i="34"/>
  <c r="I54" i="34"/>
  <c r="R54" i="34" s="1"/>
  <c r="M53" i="34"/>
  <c r="S53" i="34"/>
  <c r="I53" i="34"/>
  <c r="R53" i="34" s="1"/>
  <c r="M52" i="34"/>
  <c r="S52" i="34"/>
  <c r="I52" i="34"/>
  <c r="R52" i="34" s="1"/>
  <c r="M51" i="34"/>
  <c r="K51" i="34"/>
  <c r="T51" i="34" s="1"/>
  <c r="S51" i="34"/>
  <c r="I51" i="34"/>
  <c r="R51" i="34" s="1"/>
  <c r="M50" i="34"/>
  <c r="S50" i="34"/>
  <c r="I50" i="34"/>
  <c r="R50" i="34" s="1"/>
  <c r="M49" i="34"/>
  <c r="S49" i="34"/>
  <c r="I49" i="34"/>
  <c r="R49" i="34" s="1"/>
  <c r="M48" i="34"/>
  <c r="S48" i="34"/>
  <c r="I48" i="34"/>
  <c r="R48" i="34" s="1"/>
  <c r="M47" i="34"/>
  <c r="S47" i="34"/>
  <c r="I47" i="34"/>
  <c r="R47" i="34" s="1"/>
  <c r="M46" i="34"/>
  <c r="S46" i="34"/>
  <c r="I46" i="34"/>
  <c r="R46" i="34" s="1"/>
  <c r="M45" i="34"/>
  <c r="S45" i="34"/>
  <c r="I45" i="34"/>
  <c r="R45" i="34" s="1"/>
  <c r="M44" i="34"/>
  <c r="S44" i="34"/>
  <c r="I44" i="34"/>
  <c r="R44" i="34" s="1"/>
  <c r="M43" i="34"/>
  <c r="S43" i="34"/>
  <c r="I43" i="34"/>
  <c r="R43" i="34" s="1"/>
  <c r="M42" i="34"/>
  <c r="S42" i="34"/>
  <c r="I42" i="34"/>
  <c r="R42" i="34" s="1"/>
  <c r="M41" i="34"/>
  <c r="S41" i="34"/>
  <c r="I41" i="34"/>
  <c r="R41" i="34" s="1"/>
  <c r="M40" i="34"/>
  <c r="S40" i="34"/>
  <c r="I40" i="34"/>
  <c r="R40" i="34" s="1"/>
  <c r="M39" i="34"/>
  <c r="S39" i="34"/>
  <c r="I39" i="34"/>
  <c r="R39" i="34" s="1"/>
  <c r="M38" i="34"/>
  <c r="S38" i="34"/>
  <c r="I38" i="34"/>
  <c r="R38" i="34" s="1"/>
  <c r="M37" i="34"/>
  <c r="K37" i="34"/>
  <c r="T37" i="34" s="1"/>
  <c r="S37" i="34"/>
  <c r="I37" i="34"/>
  <c r="R37" i="34" s="1"/>
  <c r="M36" i="34"/>
  <c r="K36" i="34"/>
  <c r="T36" i="34" s="1"/>
  <c r="S36" i="34"/>
  <c r="I36" i="34"/>
  <c r="R36" i="34" s="1"/>
  <c r="M35" i="34"/>
  <c r="K35" i="34"/>
  <c r="T35" i="34" s="1"/>
  <c r="S35" i="34"/>
  <c r="I35" i="34"/>
  <c r="R35" i="34" s="1"/>
  <c r="M34" i="34"/>
  <c r="K34" i="34"/>
  <c r="T34" i="34" s="1"/>
  <c r="S34" i="34"/>
  <c r="I34" i="34"/>
  <c r="R34" i="34" s="1"/>
  <c r="M33" i="34"/>
  <c r="K33" i="34"/>
  <c r="T33" i="34" s="1"/>
  <c r="S33" i="34"/>
  <c r="I33" i="34"/>
  <c r="R33" i="34" s="1"/>
  <c r="M32" i="34"/>
  <c r="K32" i="34"/>
  <c r="T32" i="34" s="1"/>
  <c r="S32" i="34"/>
  <c r="I32" i="34"/>
  <c r="R32" i="34" s="1"/>
  <c r="M31" i="34"/>
  <c r="K31" i="34"/>
  <c r="T31" i="34" s="1"/>
  <c r="S31" i="34"/>
  <c r="I31" i="34"/>
  <c r="R31" i="34" s="1"/>
  <c r="M30" i="34"/>
  <c r="K30" i="34"/>
  <c r="T30" i="34" s="1"/>
  <c r="S30" i="34"/>
  <c r="I30" i="34"/>
  <c r="R30" i="34" s="1"/>
  <c r="M29" i="34"/>
  <c r="K29" i="34"/>
  <c r="T29" i="34" s="1"/>
  <c r="S29" i="34"/>
  <c r="I29" i="34"/>
  <c r="R29" i="34" s="1"/>
  <c r="M28" i="34"/>
  <c r="K28" i="34"/>
  <c r="T28" i="34" s="1"/>
  <c r="S28" i="34"/>
  <c r="I28" i="34"/>
  <c r="R28" i="34" s="1"/>
  <c r="M27" i="34"/>
  <c r="K27" i="34"/>
  <c r="T27" i="34" s="1"/>
  <c r="S27" i="34"/>
  <c r="I27" i="34"/>
  <c r="R27" i="34" s="1"/>
  <c r="M26" i="34"/>
  <c r="K26" i="34"/>
  <c r="T26" i="34" s="1"/>
  <c r="S26" i="34"/>
  <c r="I26" i="34"/>
  <c r="R26" i="34" s="1"/>
  <c r="M25" i="34"/>
  <c r="S25" i="34"/>
  <c r="I25" i="34"/>
  <c r="R25" i="34" s="1"/>
  <c r="M24" i="34"/>
  <c r="S24" i="34"/>
  <c r="I24" i="34"/>
  <c r="R24" i="34" s="1"/>
  <c r="M23" i="34"/>
  <c r="S23" i="34"/>
  <c r="I23" i="34"/>
  <c r="R23" i="34" s="1"/>
  <c r="M22" i="34"/>
  <c r="S22" i="34"/>
  <c r="I22" i="34"/>
  <c r="R22" i="34" s="1"/>
  <c r="M21" i="34"/>
  <c r="S21" i="34"/>
  <c r="I21" i="34"/>
  <c r="R21" i="34" s="1"/>
  <c r="M20" i="34"/>
  <c r="S20" i="34"/>
  <c r="I20" i="34"/>
  <c r="R20" i="34" s="1"/>
  <c r="M19" i="34"/>
  <c r="S19" i="34"/>
  <c r="I19" i="34"/>
  <c r="R19" i="34" s="1"/>
  <c r="M18" i="34"/>
  <c r="S18" i="34"/>
  <c r="I18" i="34"/>
  <c r="R18" i="34" s="1"/>
  <c r="M17" i="34"/>
  <c r="S17" i="34"/>
  <c r="I17" i="34"/>
  <c r="R17" i="34" s="1"/>
  <c r="M16" i="34"/>
  <c r="S16" i="34"/>
  <c r="I16" i="34"/>
  <c r="R16" i="34" s="1"/>
  <c r="M15" i="34"/>
  <c r="S15" i="34"/>
  <c r="I15" i="34"/>
  <c r="R15" i="34" s="1"/>
  <c r="M14" i="34"/>
  <c r="S14" i="34"/>
  <c r="I14" i="34"/>
  <c r="R14" i="34" s="1"/>
  <c r="M13" i="34"/>
  <c r="S13" i="34"/>
  <c r="I13" i="34"/>
  <c r="R13" i="34" s="1"/>
  <c r="M12" i="34"/>
  <c r="S12" i="34"/>
  <c r="I12" i="34"/>
  <c r="R12" i="34" s="1"/>
  <c r="M11" i="34"/>
  <c r="S11" i="34"/>
  <c r="I11" i="34"/>
  <c r="R11" i="34" s="1"/>
  <c r="M10" i="34"/>
  <c r="S10" i="34"/>
  <c r="I10" i="34"/>
  <c r="R10" i="34" s="1"/>
  <c r="M9" i="34"/>
  <c r="S9" i="34"/>
  <c r="I9" i="34"/>
  <c r="R9" i="34" s="1"/>
  <c r="M8" i="34"/>
  <c r="S8" i="34"/>
  <c r="I8" i="34"/>
  <c r="R8" i="34" s="1"/>
  <c r="M7" i="34"/>
  <c r="S7" i="34"/>
  <c r="I7" i="34"/>
  <c r="R7" i="34" s="1"/>
  <c r="M6" i="34"/>
  <c r="S6" i="34"/>
  <c r="I6" i="34"/>
  <c r="R6" i="34" s="1"/>
  <c r="M5" i="34"/>
  <c r="S5" i="34"/>
  <c r="I5" i="34"/>
  <c r="R5" i="34" s="1"/>
  <c r="M4" i="34"/>
  <c r="S4" i="34"/>
  <c r="I4" i="34"/>
  <c r="R4" i="34" s="1"/>
  <c r="M3" i="34"/>
  <c r="K3" i="34"/>
  <c r="T3" i="34" s="1"/>
  <c r="S3" i="34"/>
  <c r="I3" i="34"/>
  <c r="R3" i="34" s="1"/>
  <c r="M2" i="34"/>
  <c r="S2" i="34"/>
  <c r="I2" i="34"/>
  <c r="R2" i="34" s="1"/>
  <c r="M1" i="34"/>
  <c r="K1" i="34"/>
  <c r="T1" i="34" s="1"/>
  <c r="S1" i="34"/>
  <c r="I1" i="34"/>
  <c r="R1" i="34" s="1"/>
  <c r="J97" i="33"/>
  <c r="H97" i="33"/>
  <c r="N97" i="33" s="1"/>
  <c r="G97" i="33"/>
  <c r="M97" i="33" s="1"/>
  <c r="E97" i="33"/>
  <c r="K97" i="33" s="1"/>
  <c r="J96" i="33"/>
  <c r="H96" i="33"/>
  <c r="N96" i="33" s="1"/>
  <c r="G96" i="33"/>
  <c r="M96" i="33" s="1"/>
  <c r="E96" i="33"/>
  <c r="K96" i="33" s="1"/>
  <c r="J95" i="33"/>
  <c r="H95" i="33"/>
  <c r="N95" i="33" s="1"/>
  <c r="G95" i="33"/>
  <c r="M95" i="33" s="1"/>
  <c r="E95" i="33"/>
  <c r="K95" i="33" s="1"/>
  <c r="J94" i="33"/>
  <c r="H94" i="33"/>
  <c r="N94" i="33" s="1"/>
  <c r="G94" i="33"/>
  <c r="M94" i="33" s="1"/>
  <c r="E94" i="33"/>
  <c r="K94" i="33" s="1"/>
  <c r="J93" i="33"/>
  <c r="H93" i="33"/>
  <c r="N93" i="33" s="1"/>
  <c r="G93" i="33"/>
  <c r="M93" i="33" s="1"/>
  <c r="E93" i="33"/>
  <c r="K93" i="33" s="1"/>
  <c r="J92" i="33"/>
  <c r="H92" i="33"/>
  <c r="N92" i="33" s="1"/>
  <c r="G92" i="33"/>
  <c r="M92" i="33" s="1"/>
  <c r="E92" i="33"/>
  <c r="K92" i="33" s="1"/>
  <c r="J91" i="33"/>
  <c r="H91" i="33"/>
  <c r="N91" i="33" s="1"/>
  <c r="G91" i="33"/>
  <c r="M91" i="33" s="1"/>
  <c r="E91" i="33"/>
  <c r="K91" i="33" s="1"/>
  <c r="J90" i="33"/>
  <c r="H90" i="33"/>
  <c r="N90" i="33" s="1"/>
  <c r="G90" i="33"/>
  <c r="M90" i="33" s="1"/>
  <c r="E90" i="33"/>
  <c r="K90" i="33" s="1"/>
  <c r="J89" i="33"/>
  <c r="H89" i="33"/>
  <c r="N89" i="33" s="1"/>
  <c r="G89" i="33"/>
  <c r="M89" i="33" s="1"/>
  <c r="E89" i="33"/>
  <c r="K89" i="33" s="1"/>
  <c r="J88" i="33"/>
  <c r="H88" i="33"/>
  <c r="N88" i="33" s="1"/>
  <c r="G88" i="33"/>
  <c r="M88" i="33" s="1"/>
  <c r="E88" i="33"/>
  <c r="K88" i="33" s="1"/>
  <c r="J87" i="33"/>
  <c r="H87" i="33"/>
  <c r="N87" i="33" s="1"/>
  <c r="G87" i="33"/>
  <c r="M87" i="33" s="1"/>
  <c r="E87" i="33"/>
  <c r="K87" i="33" s="1"/>
  <c r="J86" i="33"/>
  <c r="H86" i="33"/>
  <c r="N86" i="33" s="1"/>
  <c r="G86" i="33"/>
  <c r="M86" i="33" s="1"/>
  <c r="E86" i="33"/>
  <c r="K86" i="33" s="1"/>
  <c r="J85" i="33"/>
  <c r="H85" i="33"/>
  <c r="N85" i="33" s="1"/>
  <c r="G85" i="33"/>
  <c r="M85" i="33" s="1"/>
  <c r="E85" i="33"/>
  <c r="K85" i="33" s="1"/>
  <c r="J84" i="33"/>
  <c r="H84" i="33"/>
  <c r="N84" i="33" s="1"/>
  <c r="G84" i="33"/>
  <c r="M84" i="33" s="1"/>
  <c r="E84" i="33"/>
  <c r="K84" i="33" s="1"/>
  <c r="J83" i="33"/>
  <c r="H83" i="33"/>
  <c r="N83" i="33" s="1"/>
  <c r="G83" i="33"/>
  <c r="M83" i="33" s="1"/>
  <c r="E83" i="33"/>
  <c r="K83" i="33" s="1"/>
  <c r="J82" i="33"/>
  <c r="H82" i="33"/>
  <c r="N82" i="33" s="1"/>
  <c r="G82" i="33"/>
  <c r="M82" i="33" s="1"/>
  <c r="E82" i="33"/>
  <c r="K82" i="33" s="1"/>
  <c r="J81" i="33"/>
  <c r="H81" i="33"/>
  <c r="N81" i="33" s="1"/>
  <c r="G81" i="33"/>
  <c r="M81" i="33" s="1"/>
  <c r="E81" i="33"/>
  <c r="K81" i="33" s="1"/>
  <c r="J80" i="33"/>
  <c r="H80" i="33"/>
  <c r="N80" i="33" s="1"/>
  <c r="G80" i="33"/>
  <c r="M80" i="33" s="1"/>
  <c r="E80" i="33"/>
  <c r="K80" i="33" s="1"/>
  <c r="J79" i="33"/>
  <c r="H79" i="33"/>
  <c r="N79" i="33" s="1"/>
  <c r="G79" i="33"/>
  <c r="M79" i="33" s="1"/>
  <c r="E79" i="33"/>
  <c r="K79" i="33" s="1"/>
  <c r="J78" i="33"/>
  <c r="H78" i="33"/>
  <c r="N78" i="33" s="1"/>
  <c r="G78" i="33"/>
  <c r="M78" i="33" s="1"/>
  <c r="E78" i="33"/>
  <c r="K78" i="33" s="1"/>
  <c r="J77" i="33"/>
  <c r="H77" i="33"/>
  <c r="N77" i="33" s="1"/>
  <c r="G77" i="33"/>
  <c r="M77" i="33" s="1"/>
  <c r="E77" i="33"/>
  <c r="K77" i="33" s="1"/>
  <c r="J76" i="33"/>
  <c r="H76" i="33"/>
  <c r="N76" i="33" s="1"/>
  <c r="G76" i="33"/>
  <c r="M76" i="33" s="1"/>
  <c r="E76" i="33"/>
  <c r="K76" i="33" s="1"/>
  <c r="J75" i="33"/>
  <c r="H75" i="33"/>
  <c r="N75" i="33" s="1"/>
  <c r="G75" i="33"/>
  <c r="M75" i="33" s="1"/>
  <c r="E75" i="33"/>
  <c r="K75" i="33" s="1"/>
  <c r="J74" i="33"/>
  <c r="H74" i="33"/>
  <c r="N74" i="33" s="1"/>
  <c r="G74" i="33"/>
  <c r="M74" i="33" s="1"/>
  <c r="E74" i="33"/>
  <c r="K74" i="33" s="1"/>
  <c r="J73" i="33"/>
  <c r="H73" i="33"/>
  <c r="N73" i="33" s="1"/>
  <c r="G73" i="33"/>
  <c r="M73" i="33" s="1"/>
  <c r="E73" i="33"/>
  <c r="K73" i="33" s="1"/>
  <c r="J72" i="33"/>
  <c r="H72" i="33"/>
  <c r="N72" i="33" s="1"/>
  <c r="G72" i="33"/>
  <c r="M72" i="33" s="1"/>
  <c r="E72" i="33"/>
  <c r="K72" i="33" s="1"/>
  <c r="J71" i="33"/>
  <c r="H71" i="33"/>
  <c r="N71" i="33" s="1"/>
  <c r="G71" i="33"/>
  <c r="M71" i="33" s="1"/>
  <c r="E71" i="33"/>
  <c r="K71" i="33" s="1"/>
  <c r="J70" i="33"/>
  <c r="H70" i="33"/>
  <c r="N70" i="33" s="1"/>
  <c r="G70" i="33"/>
  <c r="M70" i="33" s="1"/>
  <c r="E70" i="33"/>
  <c r="K70" i="33" s="1"/>
  <c r="J69" i="33"/>
  <c r="H69" i="33"/>
  <c r="N69" i="33" s="1"/>
  <c r="G69" i="33"/>
  <c r="M69" i="33" s="1"/>
  <c r="E69" i="33"/>
  <c r="K69" i="33" s="1"/>
  <c r="J68" i="33"/>
  <c r="H68" i="33"/>
  <c r="N68" i="33" s="1"/>
  <c r="G68" i="33"/>
  <c r="M68" i="33" s="1"/>
  <c r="E68" i="33"/>
  <c r="K68" i="33" s="1"/>
  <c r="J67" i="33"/>
  <c r="H67" i="33"/>
  <c r="N67" i="33" s="1"/>
  <c r="G67" i="33"/>
  <c r="M67" i="33" s="1"/>
  <c r="E67" i="33"/>
  <c r="K67" i="33" s="1"/>
  <c r="J66" i="33"/>
  <c r="H66" i="33"/>
  <c r="N66" i="33" s="1"/>
  <c r="G66" i="33"/>
  <c r="M66" i="33" s="1"/>
  <c r="E66" i="33"/>
  <c r="K66" i="33" s="1"/>
  <c r="J65" i="33"/>
  <c r="H65" i="33"/>
  <c r="N65" i="33" s="1"/>
  <c r="G65" i="33"/>
  <c r="M65" i="33" s="1"/>
  <c r="E65" i="33"/>
  <c r="K65" i="33" s="1"/>
  <c r="J64" i="33"/>
  <c r="H64" i="33"/>
  <c r="N64" i="33" s="1"/>
  <c r="G64" i="33"/>
  <c r="M64" i="33" s="1"/>
  <c r="E64" i="33"/>
  <c r="K64" i="33" s="1"/>
  <c r="J63" i="33"/>
  <c r="H63" i="33"/>
  <c r="N63" i="33" s="1"/>
  <c r="G63" i="33"/>
  <c r="M63" i="33" s="1"/>
  <c r="E63" i="33"/>
  <c r="K63" i="33" s="1"/>
  <c r="J62" i="33"/>
  <c r="H62" i="33"/>
  <c r="N62" i="33" s="1"/>
  <c r="G62" i="33"/>
  <c r="M62" i="33" s="1"/>
  <c r="E62" i="33"/>
  <c r="K62" i="33" s="1"/>
  <c r="J61" i="33"/>
  <c r="H61" i="33"/>
  <c r="N61" i="33" s="1"/>
  <c r="G61" i="33"/>
  <c r="M61" i="33" s="1"/>
  <c r="E61" i="33"/>
  <c r="K61" i="33" s="1"/>
  <c r="J60" i="33"/>
  <c r="H60" i="33"/>
  <c r="N60" i="33" s="1"/>
  <c r="G60" i="33"/>
  <c r="M60" i="33" s="1"/>
  <c r="E60" i="33"/>
  <c r="K60" i="33" s="1"/>
  <c r="J59" i="33"/>
  <c r="H59" i="33"/>
  <c r="N59" i="33" s="1"/>
  <c r="G59" i="33"/>
  <c r="M59" i="33" s="1"/>
  <c r="E59" i="33"/>
  <c r="K59" i="33" s="1"/>
  <c r="J58" i="33"/>
  <c r="H58" i="33"/>
  <c r="N58" i="33" s="1"/>
  <c r="G58" i="33"/>
  <c r="M58" i="33" s="1"/>
  <c r="E58" i="33"/>
  <c r="K58" i="33" s="1"/>
  <c r="J57" i="33"/>
  <c r="H57" i="33"/>
  <c r="N57" i="33" s="1"/>
  <c r="G57" i="33"/>
  <c r="M57" i="33" s="1"/>
  <c r="E57" i="33"/>
  <c r="K57" i="33" s="1"/>
  <c r="J56" i="33"/>
  <c r="H56" i="33"/>
  <c r="N56" i="33" s="1"/>
  <c r="G56" i="33"/>
  <c r="M56" i="33" s="1"/>
  <c r="E56" i="33"/>
  <c r="K56" i="33" s="1"/>
  <c r="J55" i="33"/>
  <c r="H55" i="33"/>
  <c r="N55" i="33" s="1"/>
  <c r="G55" i="33"/>
  <c r="M55" i="33" s="1"/>
  <c r="E55" i="33"/>
  <c r="K55" i="33" s="1"/>
  <c r="J54" i="33"/>
  <c r="H54" i="33"/>
  <c r="N54" i="33" s="1"/>
  <c r="G54" i="33"/>
  <c r="M54" i="33" s="1"/>
  <c r="E54" i="33"/>
  <c r="K54" i="33" s="1"/>
  <c r="J53" i="33"/>
  <c r="H53" i="33"/>
  <c r="N53" i="33" s="1"/>
  <c r="G53" i="33"/>
  <c r="M53" i="33" s="1"/>
  <c r="E53" i="33"/>
  <c r="K53" i="33" s="1"/>
  <c r="J52" i="33"/>
  <c r="H52" i="33"/>
  <c r="N52" i="33" s="1"/>
  <c r="G52" i="33"/>
  <c r="M52" i="33" s="1"/>
  <c r="E52" i="33"/>
  <c r="K52" i="33" s="1"/>
  <c r="J51" i="33"/>
  <c r="H51" i="33"/>
  <c r="N51" i="33" s="1"/>
  <c r="G51" i="33"/>
  <c r="M51" i="33" s="1"/>
  <c r="E51" i="33"/>
  <c r="K51" i="33" s="1"/>
  <c r="J50" i="33"/>
  <c r="H50" i="33"/>
  <c r="N50" i="33" s="1"/>
  <c r="G50" i="33"/>
  <c r="M50" i="33" s="1"/>
  <c r="E50" i="33"/>
  <c r="K50" i="33" s="1"/>
  <c r="J49" i="33"/>
  <c r="H49" i="33"/>
  <c r="N49" i="33" s="1"/>
  <c r="G49" i="33"/>
  <c r="M49" i="33" s="1"/>
  <c r="E49" i="33"/>
  <c r="K49" i="33" s="1"/>
  <c r="J48" i="33"/>
  <c r="H48" i="33"/>
  <c r="N48" i="33" s="1"/>
  <c r="G48" i="33"/>
  <c r="M48" i="33" s="1"/>
  <c r="E48" i="33"/>
  <c r="K48" i="33" s="1"/>
  <c r="J47" i="33"/>
  <c r="H47" i="33"/>
  <c r="N47" i="33" s="1"/>
  <c r="G47" i="33"/>
  <c r="M47" i="33" s="1"/>
  <c r="E47" i="33"/>
  <c r="K47" i="33" s="1"/>
  <c r="J46" i="33"/>
  <c r="H46" i="33"/>
  <c r="N46" i="33" s="1"/>
  <c r="G46" i="33"/>
  <c r="M46" i="33" s="1"/>
  <c r="E46" i="33"/>
  <c r="K46" i="33" s="1"/>
  <c r="J45" i="33"/>
  <c r="H45" i="33"/>
  <c r="N45" i="33" s="1"/>
  <c r="G45" i="33"/>
  <c r="M45" i="33" s="1"/>
  <c r="E45" i="33"/>
  <c r="K45" i="33" s="1"/>
  <c r="J44" i="33"/>
  <c r="H44" i="33"/>
  <c r="N44" i="33" s="1"/>
  <c r="G44" i="33"/>
  <c r="M44" i="33" s="1"/>
  <c r="E44" i="33"/>
  <c r="K44" i="33" s="1"/>
  <c r="J43" i="33"/>
  <c r="H43" i="33"/>
  <c r="N43" i="33" s="1"/>
  <c r="G43" i="33"/>
  <c r="M43" i="33" s="1"/>
  <c r="E43" i="33"/>
  <c r="K43" i="33" s="1"/>
  <c r="J42" i="33"/>
  <c r="H42" i="33"/>
  <c r="N42" i="33" s="1"/>
  <c r="G42" i="33"/>
  <c r="M42" i="33" s="1"/>
  <c r="E42" i="33"/>
  <c r="K42" i="33" s="1"/>
  <c r="J41" i="33"/>
  <c r="H41" i="33"/>
  <c r="N41" i="33" s="1"/>
  <c r="G41" i="33"/>
  <c r="M41" i="33" s="1"/>
  <c r="E41" i="33"/>
  <c r="K41" i="33" s="1"/>
  <c r="J40" i="33"/>
  <c r="H40" i="33"/>
  <c r="N40" i="33" s="1"/>
  <c r="G40" i="33"/>
  <c r="M40" i="33" s="1"/>
  <c r="E40" i="33"/>
  <c r="K40" i="33" s="1"/>
  <c r="J39" i="33"/>
  <c r="H39" i="33"/>
  <c r="N39" i="33" s="1"/>
  <c r="G39" i="33"/>
  <c r="M39" i="33" s="1"/>
  <c r="E39" i="33"/>
  <c r="K39" i="33" s="1"/>
  <c r="J38" i="33"/>
  <c r="H38" i="33"/>
  <c r="N38" i="33" s="1"/>
  <c r="G38" i="33"/>
  <c r="M38" i="33" s="1"/>
  <c r="E38" i="33"/>
  <c r="K38" i="33" s="1"/>
  <c r="J37" i="33"/>
  <c r="H37" i="33"/>
  <c r="N37" i="33" s="1"/>
  <c r="G37" i="33"/>
  <c r="M37" i="33" s="1"/>
  <c r="E37" i="33"/>
  <c r="K37" i="33" s="1"/>
  <c r="J36" i="33"/>
  <c r="H36" i="33"/>
  <c r="N36" i="33" s="1"/>
  <c r="G36" i="33"/>
  <c r="M36" i="33" s="1"/>
  <c r="E36" i="33"/>
  <c r="K36" i="33" s="1"/>
  <c r="J35" i="33"/>
  <c r="H35" i="33"/>
  <c r="N35" i="33" s="1"/>
  <c r="G35" i="33"/>
  <c r="M35" i="33" s="1"/>
  <c r="E35" i="33"/>
  <c r="K35" i="33" s="1"/>
  <c r="J34" i="33"/>
  <c r="H34" i="33"/>
  <c r="N34" i="33" s="1"/>
  <c r="G34" i="33"/>
  <c r="M34" i="33" s="1"/>
  <c r="E34" i="33"/>
  <c r="K34" i="33" s="1"/>
  <c r="J33" i="33"/>
  <c r="H33" i="33"/>
  <c r="N33" i="33" s="1"/>
  <c r="G33" i="33"/>
  <c r="M33" i="33" s="1"/>
  <c r="E33" i="33"/>
  <c r="K33" i="33" s="1"/>
  <c r="J32" i="33"/>
  <c r="H32" i="33"/>
  <c r="N32" i="33" s="1"/>
  <c r="G32" i="33"/>
  <c r="M32" i="33" s="1"/>
  <c r="E32" i="33"/>
  <c r="K32" i="33" s="1"/>
  <c r="J31" i="33"/>
  <c r="H31" i="33"/>
  <c r="N31" i="33" s="1"/>
  <c r="G31" i="33"/>
  <c r="M31" i="33" s="1"/>
  <c r="E31" i="33"/>
  <c r="K31" i="33" s="1"/>
  <c r="J30" i="33"/>
  <c r="H30" i="33"/>
  <c r="N30" i="33" s="1"/>
  <c r="G30" i="33"/>
  <c r="M30" i="33" s="1"/>
  <c r="E30" i="33"/>
  <c r="K30" i="33" s="1"/>
  <c r="J29" i="33"/>
  <c r="H29" i="33"/>
  <c r="N29" i="33" s="1"/>
  <c r="G29" i="33"/>
  <c r="M29" i="33" s="1"/>
  <c r="E29" i="33"/>
  <c r="K29" i="33" s="1"/>
  <c r="J28" i="33"/>
  <c r="H28" i="33"/>
  <c r="N28" i="33" s="1"/>
  <c r="G28" i="33"/>
  <c r="M28" i="33" s="1"/>
  <c r="E28" i="33"/>
  <c r="K28" i="33" s="1"/>
  <c r="J27" i="33"/>
  <c r="H27" i="33"/>
  <c r="N27" i="33" s="1"/>
  <c r="G27" i="33"/>
  <c r="M27" i="33" s="1"/>
  <c r="E27" i="33"/>
  <c r="K27" i="33" s="1"/>
  <c r="J26" i="33"/>
  <c r="H26" i="33"/>
  <c r="N26" i="33" s="1"/>
  <c r="G26" i="33"/>
  <c r="M26" i="33" s="1"/>
  <c r="E26" i="33"/>
  <c r="K26" i="33" s="1"/>
  <c r="J25" i="33"/>
  <c r="H25" i="33"/>
  <c r="N25" i="33" s="1"/>
  <c r="G25" i="33"/>
  <c r="M25" i="33" s="1"/>
  <c r="E25" i="33"/>
  <c r="K25" i="33" s="1"/>
  <c r="J24" i="33"/>
  <c r="H24" i="33"/>
  <c r="N24" i="33" s="1"/>
  <c r="G24" i="33"/>
  <c r="M24" i="33" s="1"/>
  <c r="E24" i="33"/>
  <c r="K24" i="33" s="1"/>
  <c r="J23" i="33"/>
  <c r="H23" i="33"/>
  <c r="N23" i="33" s="1"/>
  <c r="G23" i="33"/>
  <c r="M23" i="33" s="1"/>
  <c r="E23" i="33"/>
  <c r="K23" i="33" s="1"/>
  <c r="J22" i="33"/>
  <c r="H22" i="33"/>
  <c r="N22" i="33" s="1"/>
  <c r="G22" i="33"/>
  <c r="M22" i="33" s="1"/>
  <c r="E22" i="33"/>
  <c r="K22" i="33" s="1"/>
  <c r="J21" i="33"/>
  <c r="H21" i="33"/>
  <c r="N21" i="33" s="1"/>
  <c r="G21" i="33"/>
  <c r="M21" i="33" s="1"/>
  <c r="E21" i="33"/>
  <c r="K21" i="33" s="1"/>
  <c r="J20" i="33"/>
  <c r="H20" i="33"/>
  <c r="N20" i="33" s="1"/>
  <c r="G20" i="33"/>
  <c r="M20" i="33" s="1"/>
  <c r="E20" i="33"/>
  <c r="K20" i="33" s="1"/>
  <c r="J19" i="33"/>
  <c r="H19" i="33"/>
  <c r="N19" i="33" s="1"/>
  <c r="G19" i="33"/>
  <c r="M19" i="33" s="1"/>
  <c r="E19" i="33"/>
  <c r="K19" i="33" s="1"/>
  <c r="J18" i="33"/>
  <c r="H18" i="33"/>
  <c r="N18" i="33" s="1"/>
  <c r="G18" i="33"/>
  <c r="M18" i="33" s="1"/>
  <c r="E18" i="33"/>
  <c r="K18" i="33" s="1"/>
  <c r="J17" i="33"/>
  <c r="H17" i="33"/>
  <c r="N17" i="33" s="1"/>
  <c r="G17" i="33"/>
  <c r="M17" i="33" s="1"/>
  <c r="E17" i="33"/>
  <c r="K17" i="33" s="1"/>
  <c r="J16" i="33"/>
  <c r="H16" i="33"/>
  <c r="N16" i="33" s="1"/>
  <c r="G16" i="33"/>
  <c r="M16" i="33" s="1"/>
  <c r="E16" i="33"/>
  <c r="K16" i="33" s="1"/>
  <c r="J15" i="33"/>
  <c r="H15" i="33"/>
  <c r="N15" i="33" s="1"/>
  <c r="G15" i="33"/>
  <c r="M15" i="33" s="1"/>
  <c r="E15" i="33"/>
  <c r="K15" i="33" s="1"/>
  <c r="J14" i="33"/>
  <c r="H14" i="33"/>
  <c r="N14" i="33" s="1"/>
  <c r="G14" i="33"/>
  <c r="M14" i="33" s="1"/>
  <c r="E14" i="33"/>
  <c r="K14" i="33" s="1"/>
  <c r="J13" i="33"/>
  <c r="H13" i="33"/>
  <c r="N13" i="33" s="1"/>
  <c r="G13" i="33"/>
  <c r="M13" i="33" s="1"/>
  <c r="E13" i="33"/>
  <c r="K13" i="33" s="1"/>
  <c r="J12" i="33"/>
  <c r="H12" i="33"/>
  <c r="N12" i="33" s="1"/>
  <c r="G12" i="33"/>
  <c r="M12" i="33" s="1"/>
  <c r="E12" i="33"/>
  <c r="K12" i="33" s="1"/>
  <c r="J11" i="33"/>
  <c r="H11" i="33"/>
  <c r="N11" i="33" s="1"/>
  <c r="G11" i="33"/>
  <c r="M11" i="33" s="1"/>
  <c r="E11" i="33"/>
  <c r="K11" i="33" s="1"/>
  <c r="J10" i="33"/>
  <c r="H10" i="33"/>
  <c r="N10" i="33" s="1"/>
  <c r="G10" i="33"/>
  <c r="M10" i="33" s="1"/>
  <c r="E10" i="33"/>
  <c r="K10" i="33" s="1"/>
  <c r="J9" i="33"/>
  <c r="H9" i="33"/>
  <c r="N9" i="33" s="1"/>
  <c r="G9" i="33"/>
  <c r="M9" i="33" s="1"/>
  <c r="E9" i="33"/>
  <c r="K9" i="33" s="1"/>
  <c r="J8" i="33"/>
  <c r="H8" i="33"/>
  <c r="N8" i="33" s="1"/>
  <c r="G8" i="33"/>
  <c r="M8" i="33" s="1"/>
  <c r="E8" i="33"/>
  <c r="K8" i="33" s="1"/>
  <c r="J7" i="33"/>
  <c r="H7" i="33"/>
  <c r="N7" i="33" s="1"/>
  <c r="G7" i="33"/>
  <c r="M7" i="33" s="1"/>
  <c r="E7" i="33"/>
  <c r="K7" i="33" s="1"/>
  <c r="J6" i="33"/>
  <c r="H6" i="33"/>
  <c r="N6" i="33" s="1"/>
  <c r="G6" i="33"/>
  <c r="M6" i="33" s="1"/>
  <c r="E6" i="33"/>
  <c r="K6" i="33" s="1"/>
  <c r="J5" i="33"/>
  <c r="H5" i="33"/>
  <c r="N5" i="33" s="1"/>
  <c r="G5" i="33"/>
  <c r="M5" i="33" s="1"/>
  <c r="E5" i="33"/>
  <c r="K5" i="33" s="1"/>
  <c r="J4" i="33"/>
  <c r="H4" i="33"/>
  <c r="N4" i="33" s="1"/>
  <c r="G4" i="33"/>
  <c r="M4" i="33" s="1"/>
  <c r="E4" i="33"/>
  <c r="K4" i="33" s="1"/>
  <c r="J3" i="33"/>
  <c r="H3" i="33"/>
  <c r="N3" i="33" s="1"/>
  <c r="G3" i="33"/>
  <c r="M3" i="33" s="1"/>
  <c r="E3" i="33"/>
  <c r="K3" i="33" s="1"/>
  <c r="J2" i="33"/>
  <c r="H2" i="33"/>
  <c r="N2" i="33" s="1"/>
  <c r="G2" i="33"/>
  <c r="M2" i="33" s="1"/>
  <c r="E2" i="33"/>
  <c r="K2" i="33" s="1"/>
  <c r="J1" i="33"/>
  <c r="H1" i="33"/>
  <c r="N1" i="33" s="1"/>
  <c r="G1" i="33"/>
  <c r="M1" i="33" s="1"/>
  <c r="F1" i="33"/>
  <c r="L1" i="33" s="1"/>
  <c r="E1" i="33"/>
  <c r="K1" i="33" s="1"/>
  <c r="H95" i="32"/>
  <c r="F95" i="32"/>
  <c r="J95" i="32" s="1"/>
  <c r="H94" i="32"/>
  <c r="F94" i="32"/>
  <c r="J94" i="32" s="1"/>
  <c r="H93" i="32"/>
  <c r="F93" i="32"/>
  <c r="J93" i="32" s="1"/>
  <c r="H92" i="32"/>
  <c r="F92" i="32"/>
  <c r="J92" i="32" s="1"/>
  <c r="H91" i="32"/>
  <c r="F91" i="32"/>
  <c r="J91" i="32" s="1"/>
  <c r="H90" i="32"/>
  <c r="F90" i="32"/>
  <c r="J90" i="32" s="1"/>
  <c r="H89" i="32"/>
  <c r="F89" i="32"/>
  <c r="J89" i="32" s="1"/>
  <c r="H88" i="32"/>
  <c r="F88" i="32"/>
  <c r="J88" i="32" s="1"/>
  <c r="H87" i="32"/>
  <c r="F87" i="32"/>
  <c r="J87" i="32" s="1"/>
  <c r="H86" i="32"/>
  <c r="F86" i="32"/>
  <c r="J86" i="32" s="1"/>
  <c r="H85" i="32"/>
  <c r="F85" i="32"/>
  <c r="J85" i="32" s="1"/>
  <c r="H84" i="32"/>
  <c r="F84" i="32"/>
  <c r="J84" i="32" s="1"/>
  <c r="H83" i="32"/>
  <c r="F83" i="32"/>
  <c r="J83" i="32" s="1"/>
  <c r="H82" i="32"/>
  <c r="F82" i="32"/>
  <c r="J82" i="32" s="1"/>
  <c r="H81" i="32"/>
  <c r="F81" i="32"/>
  <c r="J81" i="32" s="1"/>
  <c r="H80" i="32"/>
  <c r="F80" i="32"/>
  <c r="J80" i="32" s="1"/>
  <c r="H79" i="32"/>
  <c r="F79" i="32"/>
  <c r="J79" i="32" s="1"/>
  <c r="H78" i="32"/>
  <c r="F78" i="32"/>
  <c r="J78" i="32" s="1"/>
  <c r="H77" i="32"/>
  <c r="F77" i="32"/>
  <c r="J77" i="32" s="1"/>
  <c r="H76" i="32"/>
  <c r="F76" i="32"/>
  <c r="J76" i="32" s="1"/>
  <c r="H75" i="32"/>
  <c r="F75" i="32"/>
  <c r="J75" i="32" s="1"/>
  <c r="H74" i="32"/>
  <c r="F74" i="32"/>
  <c r="J74" i="32" s="1"/>
  <c r="H73" i="32"/>
  <c r="F73" i="32"/>
  <c r="J73" i="32" s="1"/>
  <c r="H72" i="32"/>
  <c r="F72" i="32"/>
  <c r="J72" i="32" s="1"/>
  <c r="H71" i="32"/>
  <c r="F71" i="32"/>
  <c r="J71" i="32" s="1"/>
  <c r="H70" i="32"/>
  <c r="F70" i="32"/>
  <c r="J70" i="32" s="1"/>
  <c r="H69" i="32"/>
  <c r="F69" i="32"/>
  <c r="J69" i="32" s="1"/>
  <c r="H68" i="32"/>
  <c r="F68" i="32"/>
  <c r="J68" i="32" s="1"/>
  <c r="H67" i="32"/>
  <c r="F67" i="32"/>
  <c r="J67" i="32" s="1"/>
  <c r="H66" i="32"/>
  <c r="F66" i="32"/>
  <c r="J66" i="32" s="1"/>
  <c r="H65" i="32"/>
  <c r="F65" i="32"/>
  <c r="J65" i="32" s="1"/>
  <c r="H64" i="32"/>
  <c r="F64" i="32"/>
  <c r="J64" i="32" s="1"/>
  <c r="H63" i="32"/>
  <c r="F63" i="32"/>
  <c r="J63" i="32" s="1"/>
  <c r="H62" i="32"/>
  <c r="F62" i="32"/>
  <c r="J62" i="32" s="1"/>
  <c r="H61" i="32"/>
  <c r="F61" i="32"/>
  <c r="J61" i="32" s="1"/>
  <c r="H60" i="32"/>
  <c r="F60" i="32"/>
  <c r="J60" i="32" s="1"/>
  <c r="H59" i="32"/>
  <c r="F59" i="32"/>
  <c r="J59" i="32" s="1"/>
  <c r="H58" i="32"/>
  <c r="F58" i="32"/>
  <c r="J58" i="32" s="1"/>
  <c r="H57" i="32"/>
  <c r="F57" i="32"/>
  <c r="J57" i="32" s="1"/>
  <c r="H56" i="32"/>
  <c r="F56" i="32"/>
  <c r="J56" i="32" s="1"/>
  <c r="H55" i="32"/>
  <c r="F55" i="32"/>
  <c r="J55" i="32" s="1"/>
  <c r="H54" i="32"/>
  <c r="F54" i="32"/>
  <c r="J54" i="32" s="1"/>
  <c r="H53" i="32"/>
  <c r="F53" i="32"/>
  <c r="J53" i="32" s="1"/>
  <c r="H52" i="32"/>
  <c r="F52" i="32"/>
  <c r="J52" i="32" s="1"/>
  <c r="H51" i="32"/>
  <c r="F51" i="32"/>
  <c r="J51" i="32" s="1"/>
  <c r="H50" i="32"/>
  <c r="F50" i="32"/>
  <c r="J50" i="32" s="1"/>
  <c r="H49" i="32"/>
  <c r="F49" i="32"/>
  <c r="J49" i="32" s="1"/>
  <c r="H48" i="32"/>
  <c r="F48" i="32"/>
  <c r="J48" i="32" s="1"/>
  <c r="H47" i="32"/>
  <c r="F47" i="32"/>
  <c r="J47" i="32" s="1"/>
  <c r="H46" i="32"/>
  <c r="F46" i="32"/>
  <c r="J46" i="32" s="1"/>
  <c r="H45" i="32"/>
  <c r="F45" i="32"/>
  <c r="J45" i="32" s="1"/>
  <c r="H44" i="32"/>
  <c r="F44" i="32"/>
  <c r="J44" i="32" s="1"/>
  <c r="H43" i="32"/>
  <c r="F43" i="32"/>
  <c r="J43" i="32" s="1"/>
  <c r="H42" i="32"/>
  <c r="F42" i="32"/>
  <c r="J42" i="32" s="1"/>
  <c r="H41" i="32"/>
  <c r="F41" i="32"/>
  <c r="J41" i="32" s="1"/>
  <c r="H40" i="32"/>
  <c r="F40" i="32"/>
  <c r="J40" i="32" s="1"/>
  <c r="H39" i="32"/>
  <c r="F39" i="32"/>
  <c r="J39" i="32" s="1"/>
  <c r="H38" i="32"/>
  <c r="F38" i="32"/>
  <c r="J38" i="32" s="1"/>
  <c r="H37" i="32"/>
  <c r="F37" i="32"/>
  <c r="J37" i="32" s="1"/>
  <c r="H36" i="32"/>
  <c r="F36" i="32"/>
  <c r="J36" i="32" s="1"/>
  <c r="H35" i="32"/>
  <c r="F35" i="32"/>
  <c r="J35" i="32" s="1"/>
  <c r="H34" i="32"/>
  <c r="F34" i="32"/>
  <c r="J34" i="32" s="1"/>
  <c r="H33" i="32"/>
  <c r="F33" i="32"/>
  <c r="J33" i="32" s="1"/>
  <c r="H32" i="32"/>
  <c r="F32" i="32"/>
  <c r="J32" i="32" s="1"/>
  <c r="H31" i="32"/>
  <c r="F31" i="32"/>
  <c r="J31" i="32" s="1"/>
  <c r="H30" i="32"/>
  <c r="F30" i="32"/>
  <c r="J30" i="32" s="1"/>
  <c r="H29" i="32"/>
  <c r="F29" i="32"/>
  <c r="J29" i="32" s="1"/>
  <c r="H28" i="32"/>
  <c r="F28" i="32"/>
  <c r="J28" i="32" s="1"/>
  <c r="H27" i="32"/>
  <c r="F27" i="32"/>
  <c r="J27" i="32" s="1"/>
  <c r="H26" i="32"/>
  <c r="F26" i="32"/>
  <c r="J26" i="32" s="1"/>
  <c r="H25" i="32"/>
  <c r="F25" i="32"/>
  <c r="J25" i="32" s="1"/>
  <c r="H24" i="32"/>
  <c r="F24" i="32"/>
  <c r="J24" i="32" s="1"/>
  <c r="H23" i="32"/>
  <c r="F23" i="32"/>
  <c r="J23" i="32" s="1"/>
  <c r="H22" i="32"/>
  <c r="F22" i="32"/>
  <c r="J22" i="32" s="1"/>
  <c r="H21" i="32"/>
  <c r="F21" i="32"/>
  <c r="J21" i="32" s="1"/>
  <c r="H20" i="32"/>
  <c r="F20" i="32"/>
  <c r="J20" i="32" s="1"/>
  <c r="H19" i="32"/>
  <c r="F19" i="32"/>
  <c r="J19" i="32" s="1"/>
  <c r="H18" i="32"/>
  <c r="F18" i="32"/>
  <c r="J18" i="32" s="1"/>
  <c r="H17" i="32"/>
  <c r="F17" i="32"/>
  <c r="J17" i="32" s="1"/>
  <c r="H16" i="32"/>
  <c r="F16" i="32"/>
  <c r="J16" i="32" s="1"/>
  <c r="H15" i="32"/>
  <c r="F15" i="32"/>
  <c r="J15" i="32" s="1"/>
  <c r="H14" i="32"/>
  <c r="F14" i="32"/>
  <c r="J14" i="32" s="1"/>
  <c r="H13" i="32"/>
  <c r="F13" i="32"/>
  <c r="J13" i="32" s="1"/>
  <c r="H12" i="32"/>
  <c r="F12" i="32"/>
  <c r="J12" i="32" s="1"/>
  <c r="H11" i="32"/>
  <c r="F11" i="32"/>
  <c r="J11" i="32" s="1"/>
  <c r="H10" i="32"/>
  <c r="F10" i="32"/>
  <c r="J10" i="32" s="1"/>
  <c r="H9" i="32"/>
  <c r="F9" i="32"/>
  <c r="J9" i="32" s="1"/>
  <c r="H8" i="32"/>
  <c r="F8" i="32"/>
  <c r="J8" i="32" s="1"/>
  <c r="H7" i="32"/>
  <c r="F7" i="32"/>
  <c r="J7" i="32" s="1"/>
  <c r="H6" i="32"/>
  <c r="F6" i="32"/>
  <c r="J6" i="32" s="1"/>
  <c r="H5" i="32"/>
  <c r="F5" i="32"/>
  <c r="J5" i="32" s="1"/>
  <c r="H4" i="32"/>
  <c r="F4" i="32"/>
  <c r="J4" i="32" s="1"/>
  <c r="H3" i="32"/>
  <c r="F3" i="32"/>
  <c r="J3" i="32" s="1"/>
  <c r="H2" i="32"/>
  <c r="F2" i="32"/>
  <c r="J2" i="32" s="1"/>
  <c r="H1" i="32"/>
  <c r="F1" i="32"/>
  <c r="J1" i="32" s="1"/>
  <c r="E1" i="32"/>
  <c r="I1" i="32" s="1"/>
  <c r="L97" i="31"/>
  <c r="G97" i="31"/>
  <c r="O97" i="31" s="1"/>
  <c r="L96" i="31"/>
  <c r="G96" i="31"/>
  <c r="O96" i="31" s="1"/>
  <c r="L95" i="31"/>
  <c r="G95" i="31"/>
  <c r="O95" i="31" s="1"/>
  <c r="L94" i="31"/>
  <c r="G94" i="31"/>
  <c r="O94" i="31" s="1"/>
  <c r="L93" i="31"/>
  <c r="G93" i="31"/>
  <c r="O93" i="31" s="1"/>
  <c r="L92" i="31"/>
  <c r="G92" i="31"/>
  <c r="O92" i="31" s="1"/>
  <c r="L91" i="31"/>
  <c r="G91" i="31"/>
  <c r="O91" i="31" s="1"/>
  <c r="L90" i="31"/>
  <c r="G90" i="31"/>
  <c r="O90" i="31" s="1"/>
  <c r="L89" i="31"/>
  <c r="G89" i="31"/>
  <c r="O89" i="31" s="1"/>
  <c r="L88" i="31"/>
  <c r="G88" i="31"/>
  <c r="O88" i="31" s="1"/>
  <c r="L87" i="31"/>
  <c r="G87" i="31"/>
  <c r="O87" i="31" s="1"/>
  <c r="L86" i="31"/>
  <c r="G86" i="31"/>
  <c r="O86" i="31" s="1"/>
  <c r="L85" i="31"/>
  <c r="H85" i="31"/>
  <c r="G85" i="31"/>
  <c r="O85" i="31" s="1"/>
  <c r="L84" i="31"/>
  <c r="H84" i="31"/>
  <c r="P84" i="31" s="1"/>
  <c r="G84" i="31"/>
  <c r="O84" i="31" s="1"/>
  <c r="L83" i="31"/>
  <c r="H83" i="31"/>
  <c r="P83" i="31" s="1"/>
  <c r="G83" i="31"/>
  <c r="O83" i="31" s="1"/>
  <c r="L82" i="31"/>
  <c r="H82" i="31"/>
  <c r="G82" i="31"/>
  <c r="O82" i="31" s="1"/>
  <c r="L81" i="31"/>
  <c r="H81" i="31"/>
  <c r="G81" i="31"/>
  <c r="O81" i="31" s="1"/>
  <c r="L80" i="31"/>
  <c r="H80" i="31"/>
  <c r="G80" i="31"/>
  <c r="O80" i="31" s="1"/>
  <c r="L79" i="31"/>
  <c r="H79" i="31"/>
  <c r="P79" i="31" s="1"/>
  <c r="G79" i="31"/>
  <c r="O79" i="31" s="1"/>
  <c r="L78" i="31"/>
  <c r="H78" i="31"/>
  <c r="P78" i="31" s="1"/>
  <c r="G78" i="31"/>
  <c r="O78" i="31" s="1"/>
  <c r="L77" i="31"/>
  <c r="H77" i="31"/>
  <c r="P77" i="31" s="1"/>
  <c r="G77" i="31"/>
  <c r="O77" i="31" s="1"/>
  <c r="L76" i="31"/>
  <c r="H76" i="31"/>
  <c r="G76" i="31"/>
  <c r="O76" i="31" s="1"/>
  <c r="L75" i="31"/>
  <c r="H75" i="31"/>
  <c r="P75" i="31" s="1"/>
  <c r="G75" i="31"/>
  <c r="O75" i="31" s="1"/>
  <c r="L74" i="31"/>
  <c r="G74" i="31"/>
  <c r="O74" i="31" s="1"/>
  <c r="L73" i="31"/>
  <c r="G73" i="31"/>
  <c r="O73" i="31" s="1"/>
  <c r="L72" i="31"/>
  <c r="G72" i="31"/>
  <c r="O72" i="31" s="1"/>
  <c r="L71" i="31"/>
  <c r="G71" i="31"/>
  <c r="O71" i="31" s="1"/>
  <c r="L70" i="31"/>
  <c r="G70" i="31"/>
  <c r="O70" i="31" s="1"/>
  <c r="L69" i="31"/>
  <c r="G69" i="31"/>
  <c r="O69" i="31" s="1"/>
  <c r="L68" i="31"/>
  <c r="G68" i="31"/>
  <c r="O68" i="31" s="1"/>
  <c r="L67" i="31"/>
  <c r="G67" i="31"/>
  <c r="O67" i="31" s="1"/>
  <c r="L66" i="31"/>
  <c r="G66" i="31"/>
  <c r="O66" i="31" s="1"/>
  <c r="L65" i="31"/>
  <c r="G65" i="31"/>
  <c r="O65" i="31" s="1"/>
  <c r="L64" i="31"/>
  <c r="G64" i="31"/>
  <c r="O64" i="31" s="1"/>
  <c r="L63" i="31"/>
  <c r="G63" i="31"/>
  <c r="O63" i="31" s="1"/>
  <c r="L62" i="31"/>
  <c r="G62" i="31"/>
  <c r="O62" i="31" s="1"/>
  <c r="L61" i="31"/>
  <c r="G61" i="31"/>
  <c r="O61" i="31" s="1"/>
  <c r="L60" i="31"/>
  <c r="G60" i="31"/>
  <c r="O60" i="31" s="1"/>
  <c r="L59" i="31"/>
  <c r="G59" i="31"/>
  <c r="O59" i="31" s="1"/>
  <c r="L58" i="31"/>
  <c r="G58" i="31"/>
  <c r="O58" i="31" s="1"/>
  <c r="L57" i="31"/>
  <c r="G57" i="31"/>
  <c r="O57" i="31" s="1"/>
  <c r="L56" i="31"/>
  <c r="G56" i="31"/>
  <c r="O56" i="31" s="1"/>
  <c r="L55" i="31"/>
  <c r="G55" i="31"/>
  <c r="O55" i="31" s="1"/>
  <c r="L54" i="31"/>
  <c r="G54" i="31"/>
  <c r="O54" i="31" s="1"/>
  <c r="L53" i="31"/>
  <c r="G53" i="31"/>
  <c r="O53" i="31" s="1"/>
  <c r="L52" i="31"/>
  <c r="G52" i="31"/>
  <c r="O52" i="31" s="1"/>
  <c r="L51" i="31"/>
  <c r="H51" i="31"/>
  <c r="P51" i="31" s="1"/>
  <c r="G51" i="31"/>
  <c r="O51" i="31" s="1"/>
  <c r="L50" i="31"/>
  <c r="G50" i="31"/>
  <c r="O50" i="31" s="1"/>
  <c r="L49" i="31"/>
  <c r="G49" i="31"/>
  <c r="O49" i="31" s="1"/>
  <c r="L48" i="31"/>
  <c r="G48" i="31"/>
  <c r="O48" i="31" s="1"/>
  <c r="L47" i="31"/>
  <c r="G47" i="31"/>
  <c r="O47" i="31" s="1"/>
  <c r="L46" i="31"/>
  <c r="G46" i="31"/>
  <c r="O46" i="31" s="1"/>
  <c r="L45" i="31"/>
  <c r="G45" i="31"/>
  <c r="O45" i="31" s="1"/>
  <c r="L44" i="31"/>
  <c r="G44" i="31"/>
  <c r="O44" i="31" s="1"/>
  <c r="L43" i="31"/>
  <c r="G43" i="31"/>
  <c r="O43" i="31" s="1"/>
  <c r="L42" i="31"/>
  <c r="G42" i="31"/>
  <c r="O42" i="31" s="1"/>
  <c r="L41" i="31"/>
  <c r="G41" i="31"/>
  <c r="O41" i="31" s="1"/>
  <c r="L40" i="31"/>
  <c r="G40" i="31"/>
  <c r="O40" i="31" s="1"/>
  <c r="L39" i="31"/>
  <c r="G39" i="31"/>
  <c r="O39" i="31" s="1"/>
  <c r="L38" i="31"/>
  <c r="G38" i="31"/>
  <c r="O38" i="31" s="1"/>
  <c r="L37" i="31"/>
  <c r="H37" i="31"/>
  <c r="P37" i="31" s="1"/>
  <c r="G37" i="31"/>
  <c r="O37" i="31" s="1"/>
  <c r="L36" i="31"/>
  <c r="H36" i="31"/>
  <c r="P36" i="31" s="1"/>
  <c r="G36" i="31"/>
  <c r="O36" i="31" s="1"/>
  <c r="L35" i="31"/>
  <c r="H35" i="31"/>
  <c r="P35" i="31" s="1"/>
  <c r="G35" i="31"/>
  <c r="O35" i="31" s="1"/>
  <c r="L34" i="31"/>
  <c r="H34" i="31"/>
  <c r="P34" i="31" s="1"/>
  <c r="G34" i="31"/>
  <c r="O34" i="31" s="1"/>
  <c r="L33" i="31"/>
  <c r="H33" i="31"/>
  <c r="P33" i="31" s="1"/>
  <c r="G33" i="31"/>
  <c r="O33" i="31" s="1"/>
  <c r="L32" i="31"/>
  <c r="H32" i="31"/>
  <c r="P32" i="31" s="1"/>
  <c r="G32" i="31"/>
  <c r="O32" i="31" s="1"/>
  <c r="L31" i="31"/>
  <c r="H31" i="31"/>
  <c r="P31" i="31" s="1"/>
  <c r="G31" i="31"/>
  <c r="O31" i="31" s="1"/>
  <c r="L30" i="31"/>
  <c r="H30" i="31"/>
  <c r="P30" i="31" s="1"/>
  <c r="G30" i="31"/>
  <c r="O30" i="31" s="1"/>
  <c r="L29" i="31"/>
  <c r="H29" i="31"/>
  <c r="P29" i="31" s="1"/>
  <c r="G29" i="31"/>
  <c r="O29" i="31" s="1"/>
  <c r="L28" i="31"/>
  <c r="H28" i="31"/>
  <c r="P28" i="31" s="1"/>
  <c r="G28" i="31"/>
  <c r="O28" i="31" s="1"/>
  <c r="L27" i="31"/>
  <c r="H27" i="31"/>
  <c r="P27" i="31" s="1"/>
  <c r="G27" i="31"/>
  <c r="O27" i="31" s="1"/>
  <c r="L26" i="31"/>
  <c r="H26" i="31"/>
  <c r="P26" i="31" s="1"/>
  <c r="G26" i="31"/>
  <c r="O26" i="31" s="1"/>
  <c r="L25" i="31"/>
  <c r="G25" i="31"/>
  <c r="O25" i="31" s="1"/>
  <c r="L24" i="31"/>
  <c r="G24" i="31"/>
  <c r="O24" i="31" s="1"/>
  <c r="L23" i="31"/>
  <c r="G23" i="31"/>
  <c r="O23" i="31" s="1"/>
  <c r="L22" i="31"/>
  <c r="G22" i="31"/>
  <c r="O22" i="31" s="1"/>
  <c r="L21" i="31"/>
  <c r="G21" i="31"/>
  <c r="O21" i="31" s="1"/>
  <c r="L20" i="31"/>
  <c r="G20" i="31"/>
  <c r="O20" i="31" s="1"/>
  <c r="L19" i="31"/>
  <c r="G19" i="31"/>
  <c r="O19" i="31" s="1"/>
  <c r="L18" i="31"/>
  <c r="G18" i="31"/>
  <c r="O18" i="31" s="1"/>
  <c r="L17" i="31"/>
  <c r="G17" i="31"/>
  <c r="O17" i="31" s="1"/>
  <c r="L16" i="31"/>
  <c r="G16" i="31"/>
  <c r="O16" i="31" s="1"/>
  <c r="L15" i="31"/>
  <c r="G15" i="31"/>
  <c r="O15" i="31" s="1"/>
  <c r="L14" i="31"/>
  <c r="G14" i="31"/>
  <c r="O14" i="31" s="1"/>
  <c r="L13" i="31"/>
  <c r="G13" i="31"/>
  <c r="O13" i="31" s="1"/>
  <c r="L12" i="31"/>
  <c r="G12" i="31"/>
  <c r="O12" i="31" s="1"/>
  <c r="L11" i="31"/>
  <c r="G11" i="31"/>
  <c r="O11" i="31" s="1"/>
  <c r="L10" i="31"/>
  <c r="G10" i="31"/>
  <c r="O10" i="31" s="1"/>
  <c r="L9" i="31"/>
  <c r="G9" i="31"/>
  <c r="O9" i="31" s="1"/>
  <c r="L8" i="31"/>
  <c r="G8" i="31"/>
  <c r="O8" i="31" s="1"/>
  <c r="L7" i="31"/>
  <c r="G7" i="31"/>
  <c r="O7" i="31" s="1"/>
  <c r="L6" i="31"/>
  <c r="G6" i="31"/>
  <c r="O6" i="31" s="1"/>
  <c r="L5" i="31"/>
  <c r="G5" i="31"/>
  <c r="O5" i="31" s="1"/>
  <c r="L4" i="31"/>
  <c r="G4" i="31"/>
  <c r="O4" i="31" s="1"/>
  <c r="L3" i="31"/>
  <c r="H3" i="31"/>
  <c r="P3" i="31" s="1"/>
  <c r="G3" i="31"/>
  <c r="O3" i="31" s="1"/>
  <c r="L2" i="31"/>
  <c r="G2" i="31"/>
  <c r="O2" i="31" s="1"/>
  <c r="L1" i="31"/>
  <c r="Q1" i="31"/>
  <c r="H1" i="31"/>
  <c r="P1" i="31" s="1"/>
  <c r="G1" i="31"/>
  <c r="O1" i="31" s="1"/>
  <c r="K96" i="30"/>
  <c r="G96" i="30"/>
  <c r="N96" i="30" s="1"/>
  <c r="K95" i="30"/>
  <c r="G95" i="30"/>
  <c r="N95" i="30" s="1"/>
  <c r="K94" i="30"/>
  <c r="G94" i="30"/>
  <c r="N94" i="30" s="1"/>
  <c r="K93" i="30"/>
  <c r="G93" i="30"/>
  <c r="N93" i="30" s="1"/>
  <c r="K92" i="30"/>
  <c r="G92" i="30"/>
  <c r="N92" i="30" s="1"/>
  <c r="K91" i="30"/>
  <c r="G91" i="30"/>
  <c r="N91" i="30" s="1"/>
  <c r="K90" i="30"/>
  <c r="G90" i="30"/>
  <c r="N90" i="30" s="1"/>
  <c r="K89" i="30"/>
  <c r="G89" i="30"/>
  <c r="N89" i="30" s="1"/>
  <c r="K88" i="30"/>
  <c r="G88" i="30"/>
  <c r="N88" i="30" s="1"/>
  <c r="K87" i="30"/>
  <c r="G87" i="30"/>
  <c r="N87" i="30" s="1"/>
  <c r="K86" i="30"/>
  <c r="G86" i="30"/>
  <c r="N86" i="30" s="1"/>
  <c r="K85" i="30"/>
  <c r="I85" i="30"/>
  <c r="G85" i="30"/>
  <c r="N85" i="30" s="1"/>
  <c r="K84" i="30"/>
  <c r="I84" i="30"/>
  <c r="G84" i="30"/>
  <c r="N84" i="30" s="1"/>
  <c r="K83" i="30"/>
  <c r="I83" i="30"/>
  <c r="P83" i="30" s="1"/>
  <c r="G83" i="30"/>
  <c r="N83" i="30" s="1"/>
  <c r="K82" i="30"/>
  <c r="I82" i="30"/>
  <c r="P82" i="30" s="1"/>
  <c r="G82" i="30"/>
  <c r="N82" i="30" s="1"/>
  <c r="K81" i="30"/>
  <c r="I81" i="30"/>
  <c r="G81" i="30"/>
  <c r="N81" i="30" s="1"/>
  <c r="K80" i="30"/>
  <c r="I80" i="30"/>
  <c r="P80" i="30" s="1"/>
  <c r="G80" i="30"/>
  <c r="N80" i="30" s="1"/>
  <c r="K79" i="30"/>
  <c r="I79" i="30"/>
  <c r="G79" i="30"/>
  <c r="N79" i="30" s="1"/>
  <c r="K78" i="30"/>
  <c r="I78" i="30"/>
  <c r="P78" i="30" s="1"/>
  <c r="G78" i="30"/>
  <c r="N78" i="30" s="1"/>
  <c r="K77" i="30"/>
  <c r="I77" i="30"/>
  <c r="G77" i="30"/>
  <c r="N77" i="30" s="1"/>
  <c r="K76" i="30"/>
  <c r="I76" i="30"/>
  <c r="P76" i="30" s="1"/>
  <c r="G76" i="30"/>
  <c r="N76" i="30" s="1"/>
  <c r="K75" i="30"/>
  <c r="I75" i="30"/>
  <c r="G75" i="30"/>
  <c r="N75" i="30" s="1"/>
  <c r="K74" i="30"/>
  <c r="G74" i="30"/>
  <c r="N74" i="30" s="1"/>
  <c r="K73" i="30"/>
  <c r="G73" i="30"/>
  <c r="N73" i="30" s="1"/>
  <c r="K72" i="30"/>
  <c r="G72" i="30"/>
  <c r="N72" i="30" s="1"/>
  <c r="K71" i="30"/>
  <c r="G71" i="30"/>
  <c r="N71" i="30" s="1"/>
  <c r="K70" i="30"/>
  <c r="G70" i="30"/>
  <c r="N70" i="30" s="1"/>
  <c r="K69" i="30"/>
  <c r="G69" i="30"/>
  <c r="N69" i="30" s="1"/>
  <c r="K68" i="30"/>
  <c r="G68" i="30"/>
  <c r="N68" i="30" s="1"/>
  <c r="K67" i="30"/>
  <c r="G67" i="30"/>
  <c r="N67" i="30" s="1"/>
  <c r="K66" i="30"/>
  <c r="G66" i="30"/>
  <c r="N66" i="30" s="1"/>
  <c r="K65" i="30"/>
  <c r="G65" i="30"/>
  <c r="N65" i="30" s="1"/>
  <c r="K64" i="30"/>
  <c r="G64" i="30"/>
  <c r="N64" i="30" s="1"/>
  <c r="K63" i="30"/>
  <c r="G63" i="30"/>
  <c r="N63" i="30" s="1"/>
  <c r="K62" i="30"/>
  <c r="G62" i="30"/>
  <c r="N62" i="30" s="1"/>
  <c r="K61" i="30"/>
  <c r="G61" i="30"/>
  <c r="N61" i="30" s="1"/>
  <c r="K60" i="30"/>
  <c r="G60" i="30"/>
  <c r="N60" i="30" s="1"/>
  <c r="K59" i="30"/>
  <c r="G59" i="30"/>
  <c r="N59" i="30" s="1"/>
  <c r="K58" i="30"/>
  <c r="G58" i="30"/>
  <c r="N58" i="30" s="1"/>
  <c r="K57" i="30"/>
  <c r="G57" i="30"/>
  <c r="N57" i="30" s="1"/>
  <c r="K56" i="30"/>
  <c r="G56" i="30"/>
  <c r="N56" i="30" s="1"/>
  <c r="K55" i="30"/>
  <c r="G55" i="30"/>
  <c r="N55" i="30" s="1"/>
  <c r="K54" i="30"/>
  <c r="G54" i="30"/>
  <c r="N54" i="30" s="1"/>
  <c r="K53" i="30"/>
  <c r="G53" i="30"/>
  <c r="N53" i="30" s="1"/>
  <c r="K52" i="30"/>
  <c r="G52" i="30"/>
  <c r="N52" i="30" s="1"/>
  <c r="K51" i="30"/>
  <c r="I51" i="30"/>
  <c r="P51" i="30" s="1"/>
  <c r="G51" i="30"/>
  <c r="N51" i="30" s="1"/>
  <c r="K50" i="30"/>
  <c r="G50" i="30"/>
  <c r="N50" i="30" s="1"/>
  <c r="K49" i="30"/>
  <c r="G49" i="30"/>
  <c r="N49" i="30" s="1"/>
  <c r="K48" i="30"/>
  <c r="G48" i="30"/>
  <c r="N48" i="30" s="1"/>
  <c r="K47" i="30"/>
  <c r="G47" i="30"/>
  <c r="N47" i="30" s="1"/>
  <c r="K46" i="30"/>
  <c r="G46" i="30"/>
  <c r="N46" i="30" s="1"/>
  <c r="K45" i="30"/>
  <c r="G45" i="30"/>
  <c r="N45" i="30" s="1"/>
  <c r="K44" i="30"/>
  <c r="G44" i="30"/>
  <c r="N44" i="30" s="1"/>
  <c r="K43" i="30"/>
  <c r="G43" i="30"/>
  <c r="N43" i="30" s="1"/>
  <c r="K42" i="30"/>
  <c r="G42" i="30"/>
  <c r="N42" i="30" s="1"/>
  <c r="K41" i="30"/>
  <c r="G41" i="30"/>
  <c r="N41" i="30" s="1"/>
  <c r="K40" i="30"/>
  <c r="G40" i="30"/>
  <c r="N40" i="30" s="1"/>
  <c r="K39" i="30"/>
  <c r="G39" i="30"/>
  <c r="N39" i="30" s="1"/>
  <c r="K38" i="30"/>
  <c r="G38" i="30"/>
  <c r="N38" i="30" s="1"/>
  <c r="K37" i="30"/>
  <c r="I37" i="30"/>
  <c r="P37" i="30" s="1"/>
  <c r="G37" i="30"/>
  <c r="N37" i="30" s="1"/>
  <c r="K36" i="30"/>
  <c r="I36" i="30"/>
  <c r="P36" i="30" s="1"/>
  <c r="G36" i="30"/>
  <c r="N36" i="30" s="1"/>
  <c r="K35" i="30"/>
  <c r="I35" i="30"/>
  <c r="P35" i="30" s="1"/>
  <c r="G35" i="30"/>
  <c r="N35" i="30" s="1"/>
  <c r="K34" i="30"/>
  <c r="I34" i="30"/>
  <c r="P34" i="30" s="1"/>
  <c r="G34" i="30"/>
  <c r="N34" i="30" s="1"/>
  <c r="K33" i="30"/>
  <c r="I33" i="30"/>
  <c r="P33" i="30" s="1"/>
  <c r="G33" i="30"/>
  <c r="N33" i="30" s="1"/>
  <c r="K32" i="30"/>
  <c r="I32" i="30"/>
  <c r="P32" i="30" s="1"/>
  <c r="G32" i="30"/>
  <c r="N32" i="30" s="1"/>
  <c r="K31" i="30"/>
  <c r="I31" i="30"/>
  <c r="P31" i="30" s="1"/>
  <c r="G31" i="30"/>
  <c r="N31" i="30" s="1"/>
  <c r="K30" i="30"/>
  <c r="I30" i="30"/>
  <c r="P30" i="30" s="1"/>
  <c r="G30" i="30"/>
  <c r="N30" i="30" s="1"/>
  <c r="K29" i="30"/>
  <c r="I29" i="30"/>
  <c r="P29" i="30" s="1"/>
  <c r="G29" i="30"/>
  <c r="N29" i="30" s="1"/>
  <c r="K28" i="30"/>
  <c r="I28" i="30"/>
  <c r="P28" i="30" s="1"/>
  <c r="G28" i="30"/>
  <c r="N28" i="30" s="1"/>
  <c r="K27" i="30"/>
  <c r="I27" i="30"/>
  <c r="P27" i="30" s="1"/>
  <c r="G27" i="30"/>
  <c r="N27" i="30" s="1"/>
  <c r="K26" i="30"/>
  <c r="I26" i="30"/>
  <c r="P26" i="30" s="1"/>
  <c r="G26" i="30"/>
  <c r="N26" i="30" s="1"/>
  <c r="K25" i="30"/>
  <c r="G25" i="30"/>
  <c r="N25" i="30" s="1"/>
  <c r="K24" i="30"/>
  <c r="G24" i="30"/>
  <c r="N24" i="30" s="1"/>
  <c r="K23" i="30"/>
  <c r="G23" i="30"/>
  <c r="N23" i="30" s="1"/>
  <c r="K22" i="30"/>
  <c r="G22" i="30"/>
  <c r="N22" i="30" s="1"/>
  <c r="K21" i="30"/>
  <c r="G21" i="30"/>
  <c r="N21" i="30" s="1"/>
  <c r="K20" i="30"/>
  <c r="G20" i="30"/>
  <c r="N20" i="30" s="1"/>
  <c r="K19" i="30"/>
  <c r="G19" i="30"/>
  <c r="N19" i="30" s="1"/>
  <c r="K18" i="30"/>
  <c r="G18" i="30"/>
  <c r="N18" i="30" s="1"/>
  <c r="K17" i="30"/>
  <c r="G17" i="30"/>
  <c r="N17" i="30" s="1"/>
  <c r="K16" i="30"/>
  <c r="G16" i="30"/>
  <c r="N16" i="30" s="1"/>
  <c r="K15" i="30"/>
  <c r="G15" i="30"/>
  <c r="N15" i="30" s="1"/>
  <c r="K14" i="30"/>
  <c r="G14" i="30"/>
  <c r="N14" i="30" s="1"/>
  <c r="K13" i="30"/>
  <c r="G13" i="30"/>
  <c r="N13" i="30" s="1"/>
  <c r="K12" i="30"/>
  <c r="G12" i="30"/>
  <c r="N12" i="30" s="1"/>
  <c r="K11" i="30"/>
  <c r="G11" i="30"/>
  <c r="N11" i="30" s="1"/>
  <c r="K10" i="30"/>
  <c r="G10" i="30"/>
  <c r="N10" i="30" s="1"/>
  <c r="K9" i="30"/>
  <c r="G9" i="30"/>
  <c r="N9" i="30" s="1"/>
  <c r="K8" i="30"/>
  <c r="G8" i="30"/>
  <c r="N8" i="30" s="1"/>
  <c r="K7" i="30"/>
  <c r="G7" i="30"/>
  <c r="N7" i="30" s="1"/>
  <c r="K6" i="30"/>
  <c r="G6" i="30"/>
  <c r="N6" i="30" s="1"/>
  <c r="K5" i="30"/>
  <c r="G5" i="30"/>
  <c r="N5" i="30" s="1"/>
  <c r="K4" i="30"/>
  <c r="G4" i="30"/>
  <c r="N4" i="30" s="1"/>
  <c r="K3" i="30"/>
  <c r="I3" i="30"/>
  <c r="P3" i="30" s="1"/>
  <c r="G3" i="30"/>
  <c r="N3" i="30" s="1"/>
  <c r="K2" i="30"/>
  <c r="G2" i="30"/>
  <c r="N2" i="30" s="1"/>
  <c r="K1" i="30"/>
  <c r="I1" i="30"/>
  <c r="P1" i="30" s="1"/>
  <c r="H1" i="30"/>
  <c r="O1" i="30" s="1"/>
  <c r="G1" i="30"/>
  <c r="N1" i="30" s="1"/>
  <c r="L97" i="29"/>
  <c r="P97" i="29"/>
  <c r="G97" i="29"/>
  <c r="O97" i="29" s="1"/>
  <c r="L96" i="29"/>
  <c r="P96" i="29"/>
  <c r="G96" i="29"/>
  <c r="O96" i="29" s="1"/>
  <c r="L95" i="29"/>
  <c r="P95" i="29"/>
  <c r="G95" i="29"/>
  <c r="O95" i="29" s="1"/>
  <c r="L94" i="29"/>
  <c r="P94" i="29"/>
  <c r="G94" i="29"/>
  <c r="O94" i="29" s="1"/>
  <c r="L93" i="29"/>
  <c r="P93" i="29"/>
  <c r="G93" i="29"/>
  <c r="O93" i="29" s="1"/>
  <c r="L92" i="29"/>
  <c r="P92" i="29"/>
  <c r="G92" i="29"/>
  <c r="O92" i="29" s="1"/>
  <c r="L91" i="29"/>
  <c r="P91" i="29"/>
  <c r="G91" i="29"/>
  <c r="O91" i="29" s="1"/>
  <c r="L90" i="29"/>
  <c r="P90" i="29"/>
  <c r="G90" i="29"/>
  <c r="O90" i="29" s="1"/>
  <c r="L89" i="29"/>
  <c r="P89" i="29"/>
  <c r="G89" i="29"/>
  <c r="O89" i="29" s="1"/>
  <c r="L88" i="29"/>
  <c r="P88" i="29"/>
  <c r="G88" i="29"/>
  <c r="O88" i="29" s="1"/>
  <c r="L87" i="29"/>
  <c r="P87" i="29"/>
  <c r="G87" i="29"/>
  <c r="O87" i="29" s="1"/>
  <c r="L86" i="29"/>
  <c r="P86" i="29"/>
  <c r="G86" i="29"/>
  <c r="O86" i="29" s="1"/>
  <c r="L85" i="29"/>
  <c r="I85" i="29"/>
  <c r="P85" i="29"/>
  <c r="G85" i="29"/>
  <c r="O85" i="29" s="1"/>
  <c r="L84" i="29"/>
  <c r="I84" i="29"/>
  <c r="Q84" i="29" s="1"/>
  <c r="P84" i="29"/>
  <c r="G84" i="29"/>
  <c r="O84" i="29" s="1"/>
  <c r="L83" i="29"/>
  <c r="I83" i="29"/>
  <c r="Q83" i="29" s="1"/>
  <c r="P83" i="29"/>
  <c r="G83" i="29"/>
  <c r="O83" i="29" s="1"/>
  <c r="L82" i="29"/>
  <c r="I82" i="29"/>
  <c r="P82" i="29"/>
  <c r="G82" i="29"/>
  <c r="O82" i="29" s="1"/>
  <c r="L81" i="29"/>
  <c r="I81" i="29"/>
  <c r="I153" i="29" s="1"/>
  <c r="I189" i="29" s="1"/>
  <c r="Q189" i="29" s="1"/>
  <c r="P81" i="29"/>
  <c r="G81" i="29"/>
  <c r="O81" i="29" s="1"/>
  <c r="L80" i="29"/>
  <c r="I80" i="29"/>
  <c r="P80" i="29"/>
  <c r="G80" i="29"/>
  <c r="O80" i="29" s="1"/>
  <c r="L79" i="29"/>
  <c r="I79" i="29"/>
  <c r="Q79" i="29" s="1"/>
  <c r="P79" i="29"/>
  <c r="G79" i="29"/>
  <c r="O79" i="29" s="1"/>
  <c r="L78" i="29"/>
  <c r="I78" i="29"/>
  <c r="P78" i="29"/>
  <c r="G78" i="29"/>
  <c r="O78" i="29" s="1"/>
  <c r="L77" i="29"/>
  <c r="I77" i="29"/>
  <c r="Q77" i="29" s="1"/>
  <c r="P77" i="29"/>
  <c r="G77" i="29"/>
  <c r="O77" i="29" s="1"/>
  <c r="L76" i="29"/>
  <c r="I76" i="29"/>
  <c r="P76" i="29"/>
  <c r="G76" i="29"/>
  <c r="O76" i="29" s="1"/>
  <c r="L75" i="29"/>
  <c r="I75" i="29"/>
  <c r="P75" i="29"/>
  <c r="G75" i="29"/>
  <c r="O75" i="29" s="1"/>
  <c r="L74" i="29"/>
  <c r="P74" i="29"/>
  <c r="G74" i="29"/>
  <c r="O74" i="29" s="1"/>
  <c r="L73" i="29"/>
  <c r="P73" i="29"/>
  <c r="G73" i="29"/>
  <c r="O73" i="29" s="1"/>
  <c r="L72" i="29"/>
  <c r="P72" i="29"/>
  <c r="G72" i="29"/>
  <c r="O72" i="29" s="1"/>
  <c r="L71" i="29"/>
  <c r="P71" i="29"/>
  <c r="G71" i="29"/>
  <c r="O71" i="29" s="1"/>
  <c r="L70" i="29"/>
  <c r="P70" i="29"/>
  <c r="G70" i="29"/>
  <c r="O70" i="29" s="1"/>
  <c r="L69" i="29"/>
  <c r="P69" i="29"/>
  <c r="G69" i="29"/>
  <c r="O69" i="29" s="1"/>
  <c r="L68" i="29"/>
  <c r="P68" i="29"/>
  <c r="G68" i="29"/>
  <c r="O68" i="29" s="1"/>
  <c r="L67" i="29"/>
  <c r="P67" i="29"/>
  <c r="G67" i="29"/>
  <c r="O67" i="29" s="1"/>
  <c r="L66" i="29"/>
  <c r="P66" i="29"/>
  <c r="G66" i="29"/>
  <c r="O66" i="29" s="1"/>
  <c r="L65" i="29"/>
  <c r="P65" i="29"/>
  <c r="G65" i="29"/>
  <c r="O65" i="29" s="1"/>
  <c r="L64" i="29"/>
  <c r="P64" i="29"/>
  <c r="G64" i="29"/>
  <c r="O64" i="29" s="1"/>
  <c r="L63" i="29"/>
  <c r="P63" i="29"/>
  <c r="G63" i="29"/>
  <c r="O63" i="29" s="1"/>
  <c r="L62" i="29"/>
  <c r="P62" i="29"/>
  <c r="G62" i="29"/>
  <c r="O62" i="29" s="1"/>
  <c r="L61" i="29"/>
  <c r="P61" i="29"/>
  <c r="G61" i="29"/>
  <c r="O61" i="29" s="1"/>
  <c r="L60" i="29"/>
  <c r="P60" i="29"/>
  <c r="G60" i="29"/>
  <c r="O60" i="29" s="1"/>
  <c r="L59" i="29"/>
  <c r="P59" i="29"/>
  <c r="G59" i="29"/>
  <c r="O59" i="29" s="1"/>
  <c r="L58" i="29"/>
  <c r="P58" i="29"/>
  <c r="G58" i="29"/>
  <c r="O58" i="29" s="1"/>
  <c r="L57" i="29"/>
  <c r="P57" i="29"/>
  <c r="G57" i="29"/>
  <c r="O57" i="29" s="1"/>
  <c r="L56" i="29"/>
  <c r="P56" i="29"/>
  <c r="G56" i="29"/>
  <c r="O56" i="29" s="1"/>
  <c r="L55" i="29"/>
  <c r="P55" i="29"/>
  <c r="G55" i="29"/>
  <c r="O55" i="29" s="1"/>
  <c r="L54" i="29"/>
  <c r="P54" i="29"/>
  <c r="G54" i="29"/>
  <c r="O54" i="29" s="1"/>
  <c r="L53" i="29"/>
  <c r="P53" i="29"/>
  <c r="G53" i="29"/>
  <c r="O53" i="29" s="1"/>
  <c r="L52" i="29"/>
  <c r="P52" i="29"/>
  <c r="G52" i="29"/>
  <c r="O52" i="29" s="1"/>
  <c r="L51" i="29"/>
  <c r="I51" i="29"/>
  <c r="Q51" i="29" s="1"/>
  <c r="P51" i="29"/>
  <c r="G51" i="29"/>
  <c r="O51" i="29" s="1"/>
  <c r="L50" i="29"/>
  <c r="P50" i="29"/>
  <c r="G50" i="29"/>
  <c r="O50" i="29" s="1"/>
  <c r="L49" i="29"/>
  <c r="P49" i="29"/>
  <c r="G49" i="29"/>
  <c r="O49" i="29" s="1"/>
  <c r="L48" i="29"/>
  <c r="P48" i="29"/>
  <c r="G48" i="29"/>
  <c r="O48" i="29" s="1"/>
  <c r="L47" i="29"/>
  <c r="P47" i="29"/>
  <c r="G47" i="29"/>
  <c r="O47" i="29" s="1"/>
  <c r="L46" i="29"/>
  <c r="P46" i="29"/>
  <c r="G46" i="29"/>
  <c r="O46" i="29" s="1"/>
  <c r="L45" i="29"/>
  <c r="P45" i="29"/>
  <c r="G45" i="29"/>
  <c r="O45" i="29" s="1"/>
  <c r="L44" i="29"/>
  <c r="P44" i="29"/>
  <c r="G44" i="29"/>
  <c r="O44" i="29" s="1"/>
  <c r="L43" i="29"/>
  <c r="P43" i="29"/>
  <c r="G43" i="29"/>
  <c r="O43" i="29" s="1"/>
  <c r="L42" i="29"/>
  <c r="P42" i="29"/>
  <c r="G42" i="29"/>
  <c r="O42" i="29" s="1"/>
  <c r="L41" i="29"/>
  <c r="P41" i="29"/>
  <c r="G41" i="29"/>
  <c r="O41" i="29" s="1"/>
  <c r="L40" i="29"/>
  <c r="P40" i="29"/>
  <c r="G40" i="29"/>
  <c r="O40" i="29" s="1"/>
  <c r="L39" i="29"/>
  <c r="P39" i="29"/>
  <c r="G39" i="29"/>
  <c r="O39" i="29" s="1"/>
  <c r="L38" i="29"/>
  <c r="P38" i="29"/>
  <c r="G38" i="29"/>
  <c r="O38" i="29" s="1"/>
  <c r="L37" i="29"/>
  <c r="I37" i="29"/>
  <c r="Q37" i="29" s="1"/>
  <c r="P37" i="29"/>
  <c r="G37" i="29"/>
  <c r="O37" i="29" s="1"/>
  <c r="L36" i="29"/>
  <c r="I36" i="29"/>
  <c r="Q36" i="29" s="1"/>
  <c r="P36" i="29"/>
  <c r="G36" i="29"/>
  <c r="O36" i="29" s="1"/>
  <c r="L35" i="29"/>
  <c r="I35" i="29"/>
  <c r="Q35" i="29" s="1"/>
  <c r="P35" i="29"/>
  <c r="G35" i="29"/>
  <c r="O35" i="29" s="1"/>
  <c r="L34" i="29"/>
  <c r="I34" i="29"/>
  <c r="Q34" i="29" s="1"/>
  <c r="P34" i="29"/>
  <c r="G34" i="29"/>
  <c r="O34" i="29" s="1"/>
  <c r="L33" i="29"/>
  <c r="I33" i="29"/>
  <c r="Q33" i="29" s="1"/>
  <c r="P33" i="29"/>
  <c r="G33" i="29"/>
  <c r="O33" i="29" s="1"/>
  <c r="L32" i="29"/>
  <c r="I32" i="29"/>
  <c r="Q32" i="29" s="1"/>
  <c r="P32" i="29"/>
  <c r="G32" i="29"/>
  <c r="O32" i="29" s="1"/>
  <c r="L31" i="29"/>
  <c r="I31" i="29"/>
  <c r="Q31" i="29" s="1"/>
  <c r="P31" i="29"/>
  <c r="G31" i="29"/>
  <c r="O31" i="29" s="1"/>
  <c r="L30" i="29"/>
  <c r="I30" i="29"/>
  <c r="Q30" i="29" s="1"/>
  <c r="P30" i="29"/>
  <c r="G30" i="29"/>
  <c r="O30" i="29" s="1"/>
  <c r="L29" i="29"/>
  <c r="I29" i="29"/>
  <c r="Q29" i="29" s="1"/>
  <c r="P29" i="29"/>
  <c r="G29" i="29"/>
  <c r="O29" i="29" s="1"/>
  <c r="L28" i="29"/>
  <c r="I28" i="29"/>
  <c r="Q28" i="29" s="1"/>
  <c r="P28" i="29"/>
  <c r="G28" i="29"/>
  <c r="O28" i="29" s="1"/>
  <c r="L27" i="29"/>
  <c r="I27" i="29"/>
  <c r="Q27" i="29" s="1"/>
  <c r="P27" i="29"/>
  <c r="G27" i="29"/>
  <c r="O27" i="29" s="1"/>
  <c r="L26" i="29"/>
  <c r="I26" i="29"/>
  <c r="Q26" i="29" s="1"/>
  <c r="P26" i="29"/>
  <c r="G26" i="29"/>
  <c r="O26" i="29" s="1"/>
  <c r="L25" i="29"/>
  <c r="P25" i="29"/>
  <c r="G25" i="29"/>
  <c r="O25" i="29" s="1"/>
  <c r="L24" i="29"/>
  <c r="P24" i="29"/>
  <c r="G24" i="29"/>
  <c r="O24" i="29" s="1"/>
  <c r="L23" i="29"/>
  <c r="P23" i="29"/>
  <c r="G23" i="29"/>
  <c r="O23" i="29" s="1"/>
  <c r="L22" i="29"/>
  <c r="P22" i="29"/>
  <c r="G22" i="29"/>
  <c r="O22" i="29" s="1"/>
  <c r="L21" i="29"/>
  <c r="P21" i="29"/>
  <c r="G21" i="29"/>
  <c r="O21" i="29" s="1"/>
  <c r="L20" i="29"/>
  <c r="P20" i="29"/>
  <c r="G20" i="29"/>
  <c r="O20" i="29" s="1"/>
  <c r="L19" i="29"/>
  <c r="P19" i="29"/>
  <c r="G19" i="29"/>
  <c r="O19" i="29" s="1"/>
  <c r="L18" i="29"/>
  <c r="P18" i="29"/>
  <c r="G18" i="29"/>
  <c r="O18" i="29" s="1"/>
  <c r="L17" i="29"/>
  <c r="P17" i="29"/>
  <c r="G17" i="29"/>
  <c r="O17" i="29" s="1"/>
  <c r="L16" i="29"/>
  <c r="P16" i="29"/>
  <c r="G16" i="29"/>
  <c r="O16" i="29" s="1"/>
  <c r="L15" i="29"/>
  <c r="P15" i="29"/>
  <c r="G15" i="29"/>
  <c r="O15" i="29" s="1"/>
  <c r="L14" i="29"/>
  <c r="P14" i="29"/>
  <c r="G14" i="29"/>
  <c r="O14" i="29" s="1"/>
  <c r="L13" i="29"/>
  <c r="P13" i="29"/>
  <c r="G13" i="29"/>
  <c r="O13" i="29" s="1"/>
  <c r="L12" i="29"/>
  <c r="P12" i="29"/>
  <c r="G12" i="29"/>
  <c r="O12" i="29" s="1"/>
  <c r="L11" i="29"/>
  <c r="P11" i="29"/>
  <c r="G11" i="29"/>
  <c r="O11" i="29" s="1"/>
  <c r="L10" i="29"/>
  <c r="P10" i="29"/>
  <c r="G10" i="29"/>
  <c r="O10" i="29" s="1"/>
  <c r="L9" i="29"/>
  <c r="P9" i="29"/>
  <c r="G9" i="29"/>
  <c r="O9" i="29" s="1"/>
  <c r="L8" i="29"/>
  <c r="P8" i="29"/>
  <c r="G8" i="29"/>
  <c r="O8" i="29" s="1"/>
  <c r="L7" i="29"/>
  <c r="P7" i="29"/>
  <c r="G7" i="29"/>
  <c r="O7" i="29" s="1"/>
  <c r="L6" i="29"/>
  <c r="P6" i="29"/>
  <c r="G6" i="29"/>
  <c r="O6" i="29" s="1"/>
  <c r="L5" i="29"/>
  <c r="P5" i="29"/>
  <c r="G5" i="29"/>
  <c r="O5" i="29" s="1"/>
  <c r="L4" i="29"/>
  <c r="P4" i="29"/>
  <c r="G4" i="29"/>
  <c r="O4" i="29" s="1"/>
  <c r="L3" i="29"/>
  <c r="I3" i="29"/>
  <c r="Q3" i="29" s="1"/>
  <c r="P3" i="29"/>
  <c r="G3" i="29"/>
  <c r="O3" i="29" s="1"/>
  <c r="L2" i="29"/>
  <c r="P2" i="29"/>
  <c r="G2" i="29"/>
  <c r="O2" i="29" s="1"/>
  <c r="L1" i="29"/>
  <c r="R1" i="29"/>
  <c r="I1" i="29"/>
  <c r="Q1" i="29" s="1"/>
  <c r="P1" i="29"/>
  <c r="G1" i="29"/>
  <c r="O1" i="29" s="1"/>
  <c r="M97" i="28"/>
  <c r="T97" i="28"/>
  <c r="I97" i="28"/>
  <c r="R97" i="28" s="1"/>
  <c r="M96" i="28"/>
  <c r="T96" i="28"/>
  <c r="I96" i="28"/>
  <c r="R96" i="28" s="1"/>
  <c r="M95" i="28"/>
  <c r="T95" i="28"/>
  <c r="I95" i="28"/>
  <c r="R95" i="28" s="1"/>
  <c r="M94" i="28"/>
  <c r="T94" i="28"/>
  <c r="I94" i="28"/>
  <c r="R94" i="28" s="1"/>
  <c r="M93" i="28"/>
  <c r="T93" i="28"/>
  <c r="I93" i="28"/>
  <c r="R93" i="28" s="1"/>
  <c r="M92" i="28"/>
  <c r="T92" i="28"/>
  <c r="I92" i="28"/>
  <c r="R92" i="28" s="1"/>
  <c r="M91" i="28"/>
  <c r="T91" i="28"/>
  <c r="I91" i="28"/>
  <c r="R91" i="28" s="1"/>
  <c r="M90" i="28"/>
  <c r="T90" i="28"/>
  <c r="I90" i="28"/>
  <c r="R90" i="28" s="1"/>
  <c r="M89" i="28"/>
  <c r="T89" i="28"/>
  <c r="I89" i="28"/>
  <c r="R89" i="28" s="1"/>
  <c r="M88" i="28"/>
  <c r="T88" i="28"/>
  <c r="I88" i="28"/>
  <c r="R88" i="28" s="1"/>
  <c r="M87" i="28"/>
  <c r="T87" i="28"/>
  <c r="I87" i="28"/>
  <c r="M86" i="28"/>
  <c r="T86" i="28"/>
  <c r="I86" i="28"/>
  <c r="R86" i="28" s="1"/>
  <c r="M85" i="28"/>
  <c r="T85" i="28"/>
  <c r="J85" i="28"/>
  <c r="I85" i="28"/>
  <c r="R85" i="28" s="1"/>
  <c r="M84" i="28"/>
  <c r="T84" i="28"/>
  <c r="J84" i="28"/>
  <c r="I84" i="28"/>
  <c r="R84" i="28" s="1"/>
  <c r="M83" i="28"/>
  <c r="T83" i="28"/>
  <c r="J83" i="28"/>
  <c r="I83" i="28"/>
  <c r="R83" i="28" s="1"/>
  <c r="M82" i="28"/>
  <c r="T82" i="28"/>
  <c r="J82" i="28"/>
  <c r="J130" i="28" s="1"/>
  <c r="J178" i="28" s="1"/>
  <c r="I82" i="28"/>
  <c r="R82" i="28" s="1"/>
  <c r="M81" i="28"/>
  <c r="T81" i="28"/>
  <c r="J81" i="28"/>
  <c r="I81" i="28"/>
  <c r="R81" i="28" s="1"/>
  <c r="M80" i="28"/>
  <c r="T80" i="28"/>
  <c r="J80" i="28"/>
  <c r="J128" i="28" s="1"/>
  <c r="J176" i="28" s="1"/>
  <c r="I80" i="28"/>
  <c r="R80" i="28" s="1"/>
  <c r="M79" i="28"/>
  <c r="T79" i="28"/>
  <c r="J79" i="28"/>
  <c r="J127" i="28" s="1"/>
  <c r="J175" i="28" s="1"/>
  <c r="I79" i="28"/>
  <c r="R79" i="28" s="1"/>
  <c r="M78" i="28"/>
  <c r="T78" i="28"/>
  <c r="J78" i="28"/>
  <c r="I78" i="28"/>
  <c r="R78" i="28" s="1"/>
  <c r="M77" i="28"/>
  <c r="T77" i="28"/>
  <c r="J77" i="28"/>
  <c r="I77" i="28"/>
  <c r="R77" i="28" s="1"/>
  <c r="M76" i="28"/>
  <c r="T76" i="28"/>
  <c r="J76" i="28"/>
  <c r="J124" i="28" s="1"/>
  <c r="I76" i="28"/>
  <c r="R76" i="28" s="1"/>
  <c r="M75" i="28"/>
  <c r="T75" i="28"/>
  <c r="J75" i="28"/>
  <c r="J123" i="28" s="1"/>
  <c r="J171" i="28" s="1"/>
  <c r="I75" i="28"/>
  <c r="R75" i="28" s="1"/>
  <c r="M74" i="28"/>
  <c r="T74" i="28"/>
  <c r="I74" i="28"/>
  <c r="R74" i="28" s="1"/>
  <c r="M73" i="28"/>
  <c r="T73" i="28"/>
  <c r="I73" i="28"/>
  <c r="R73" i="28" s="1"/>
  <c r="M72" i="28"/>
  <c r="T72" i="28"/>
  <c r="I72" i="28"/>
  <c r="R72" i="28" s="1"/>
  <c r="M71" i="28"/>
  <c r="T71" i="28"/>
  <c r="I71" i="28"/>
  <c r="R71" i="28" s="1"/>
  <c r="M70" i="28"/>
  <c r="T70" i="28"/>
  <c r="I70" i="28"/>
  <c r="R70" i="28" s="1"/>
  <c r="M69" i="28"/>
  <c r="T69" i="28"/>
  <c r="I69" i="28"/>
  <c r="R69" i="28" s="1"/>
  <c r="M68" i="28"/>
  <c r="T68" i="28"/>
  <c r="I68" i="28"/>
  <c r="R68" i="28" s="1"/>
  <c r="M67" i="28"/>
  <c r="T67" i="28"/>
  <c r="I67" i="28"/>
  <c r="R67" i="28" s="1"/>
  <c r="M66" i="28"/>
  <c r="T66" i="28"/>
  <c r="I66" i="28"/>
  <c r="R66" i="28" s="1"/>
  <c r="M65" i="28"/>
  <c r="T65" i="28"/>
  <c r="I65" i="28"/>
  <c r="R65" i="28" s="1"/>
  <c r="M64" i="28"/>
  <c r="T64" i="28"/>
  <c r="I64" i="28"/>
  <c r="R64" i="28" s="1"/>
  <c r="M63" i="28"/>
  <c r="T63" i="28"/>
  <c r="I63" i="28"/>
  <c r="R63" i="28" s="1"/>
  <c r="M62" i="28"/>
  <c r="T62" i="28"/>
  <c r="I62" i="28"/>
  <c r="R62" i="28" s="1"/>
  <c r="M61" i="28"/>
  <c r="T61" i="28"/>
  <c r="I61" i="28"/>
  <c r="R61" i="28" s="1"/>
  <c r="M60" i="28"/>
  <c r="T60" i="28"/>
  <c r="I60" i="28"/>
  <c r="R60" i="28" s="1"/>
  <c r="M59" i="28"/>
  <c r="T59" i="28"/>
  <c r="I59" i="28"/>
  <c r="R59" i="28" s="1"/>
  <c r="M58" i="28"/>
  <c r="T58" i="28"/>
  <c r="I58" i="28"/>
  <c r="R58" i="28" s="1"/>
  <c r="M57" i="28"/>
  <c r="T57" i="28"/>
  <c r="I57" i="28"/>
  <c r="R57" i="28" s="1"/>
  <c r="M56" i="28"/>
  <c r="T56" i="28"/>
  <c r="I56" i="28"/>
  <c r="R56" i="28" s="1"/>
  <c r="M55" i="28"/>
  <c r="T55" i="28"/>
  <c r="I55" i="28"/>
  <c r="R55" i="28" s="1"/>
  <c r="M54" i="28"/>
  <c r="T54" i="28"/>
  <c r="I54" i="28"/>
  <c r="R54" i="28" s="1"/>
  <c r="M53" i="28"/>
  <c r="T53" i="28"/>
  <c r="I53" i="28"/>
  <c r="R53" i="28" s="1"/>
  <c r="M52" i="28"/>
  <c r="T52" i="28"/>
  <c r="I52" i="28"/>
  <c r="R52" i="28" s="1"/>
  <c r="M51" i="28"/>
  <c r="T51" i="28"/>
  <c r="J51" i="28"/>
  <c r="I51" i="28"/>
  <c r="R51" i="28" s="1"/>
  <c r="M50" i="28"/>
  <c r="T50" i="28"/>
  <c r="I50" i="28"/>
  <c r="R50" i="28" s="1"/>
  <c r="M49" i="28"/>
  <c r="T49" i="28"/>
  <c r="I49" i="28"/>
  <c r="R49" i="28" s="1"/>
  <c r="M48" i="28"/>
  <c r="T48" i="28"/>
  <c r="I48" i="28"/>
  <c r="R48" i="28" s="1"/>
  <c r="M47" i="28"/>
  <c r="T47" i="28"/>
  <c r="I47" i="28"/>
  <c r="R47" i="28" s="1"/>
  <c r="M46" i="28"/>
  <c r="T46" i="28"/>
  <c r="I46" i="28"/>
  <c r="R46" i="28" s="1"/>
  <c r="M45" i="28"/>
  <c r="T45" i="28"/>
  <c r="I45" i="28"/>
  <c r="R45" i="28" s="1"/>
  <c r="M44" i="28"/>
  <c r="T44" i="28"/>
  <c r="I44" i="28"/>
  <c r="R44" i="28" s="1"/>
  <c r="M43" i="28"/>
  <c r="T43" i="28"/>
  <c r="I43" i="28"/>
  <c r="R43" i="28" s="1"/>
  <c r="M42" i="28"/>
  <c r="T42" i="28"/>
  <c r="I42" i="28"/>
  <c r="R42" i="28" s="1"/>
  <c r="M41" i="28"/>
  <c r="T41" i="28"/>
  <c r="I41" i="28"/>
  <c r="R41" i="28" s="1"/>
  <c r="M40" i="28"/>
  <c r="T40" i="28"/>
  <c r="I40" i="28"/>
  <c r="R40" i="28" s="1"/>
  <c r="M39" i="28"/>
  <c r="T39" i="28"/>
  <c r="I39" i="28"/>
  <c r="R39" i="28" s="1"/>
  <c r="M38" i="28"/>
  <c r="T38" i="28"/>
  <c r="I38" i="28"/>
  <c r="R38" i="28" s="1"/>
  <c r="M37" i="28"/>
  <c r="T37" i="28"/>
  <c r="J37" i="28"/>
  <c r="S37" i="28" s="1"/>
  <c r="I37" i="28"/>
  <c r="R37" i="28" s="1"/>
  <c r="M36" i="28"/>
  <c r="T36" i="28"/>
  <c r="J36" i="28"/>
  <c r="S36" i="28" s="1"/>
  <c r="I36" i="28"/>
  <c r="R36" i="28" s="1"/>
  <c r="M35" i="28"/>
  <c r="T35" i="28"/>
  <c r="J35" i="28"/>
  <c r="S35" i="28" s="1"/>
  <c r="I35" i="28"/>
  <c r="R35" i="28" s="1"/>
  <c r="M34" i="28"/>
  <c r="T34" i="28"/>
  <c r="J34" i="28"/>
  <c r="S34" i="28" s="1"/>
  <c r="I34" i="28"/>
  <c r="R34" i="28" s="1"/>
  <c r="M33" i="28"/>
  <c r="T33" i="28"/>
  <c r="J33" i="28"/>
  <c r="S33" i="28" s="1"/>
  <c r="I33" i="28"/>
  <c r="R33" i="28" s="1"/>
  <c r="M32" i="28"/>
  <c r="T32" i="28"/>
  <c r="J32" i="28"/>
  <c r="S32" i="28" s="1"/>
  <c r="I32" i="28"/>
  <c r="R32" i="28" s="1"/>
  <c r="M31" i="28"/>
  <c r="T31" i="28"/>
  <c r="J31" i="28"/>
  <c r="S31" i="28" s="1"/>
  <c r="I31" i="28"/>
  <c r="R31" i="28" s="1"/>
  <c r="M30" i="28"/>
  <c r="T30" i="28"/>
  <c r="J30" i="28"/>
  <c r="S30" i="28" s="1"/>
  <c r="I30" i="28"/>
  <c r="R30" i="28" s="1"/>
  <c r="M29" i="28"/>
  <c r="T29" i="28"/>
  <c r="J29" i="28"/>
  <c r="S29" i="28" s="1"/>
  <c r="I29" i="28"/>
  <c r="R29" i="28" s="1"/>
  <c r="M28" i="28"/>
  <c r="T28" i="28"/>
  <c r="J28" i="28"/>
  <c r="S28" i="28" s="1"/>
  <c r="I28" i="28"/>
  <c r="R28" i="28" s="1"/>
  <c r="M27" i="28"/>
  <c r="T27" i="28"/>
  <c r="J27" i="28"/>
  <c r="S27" i="28" s="1"/>
  <c r="I27" i="28"/>
  <c r="R27" i="28" s="1"/>
  <c r="M26" i="28"/>
  <c r="T26" i="28"/>
  <c r="J26" i="28"/>
  <c r="S26" i="28" s="1"/>
  <c r="I26" i="28"/>
  <c r="R26" i="28" s="1"/>
  <c r="M25" i="28"/>
  <c r="T25" i="28"/>
  <c r="I25" i="28"/>
  <c r="R25" i="28" s="1"/>
  <c r="M24" i="28"/>
  <c r="T24" i="28"/>
  <c r="I24" i="28"/>
  <c r="R24" i="28" s="1"/>
  <c r="M23" i="28"/>
  <c r="T23" i="28"/>
  <c r="I23" i="28"/>
  <c r="R23" i="28" s="1"/>
  <c r="M22" i="28"/>
  <c r="T22" i="28"/>
  <c r="I22" i="28"/>
  <c r="R22" i="28" s="1"/>
  <c r="M21" i="28"/>
  <c r="T21" i="28"/>
  <c r="I21" i="28"/>
  <c r="R21" i="28" s="1"/>
  <c r="M20" i="28"/>
  <c r="T20" i="28"/>
  <c r="I20" i="28"/>
  <c r="R20" i="28" s="1"/>
  <c r="M19" i="28"/>
  <c r="T19" i="28"/>
  <c r="I19" i="28"/>
  <c r="R19" i="28" s="1"/>
  <c r="M18" i="28"/>
  <c r="T18" i="28"/>
  <c r="I18" i="28"/>
  <c r="R18" i="28" s="1"/>
  <c r="M17" i="28"/>
  <c r="T17" i="28"/>
  <c r="I17" i="28"/>
  <c r="R17" i="28" s="1"/>
  <c r="M16" i="28"/>
  <c r="T16" i="28"/>
  <c r="I16" i="28"/>
  <c r="R16" i="28" s="1"/>
  <c r="M15" i="28"/>
  <c r="T15" i="28"/>
  <c r="I15" i="28"/>
  <c r="R15" i="28" s="1"/>
  <c r="M14" i="28"/>
  <c r="T14" i="28"/>
  <c r="I14" i="28"/>
  <c r="R14" i="28" s="1"/>
  <c r="M13" i="28"/>
  <c r="T13" i="28"/>
  <c r="I13" i="28"/>
  <c r="R13" i="28" s="1"/>
  <c r="M12" i="28"/>
  <c r="T12" i="28"/>
  <c r="I12" i="28"/>
  <c r="R12" i="28" s="1"/>
  <c r="M11" i="28"/>
  <c r="T11" i="28"/>
  <c r="I11" i="28"/>
  <c r="R11" i="28" s="1"/>
  <c r="M10" i="28"/>
  <c r="T10" i="28"/>
  <c r="I10" i="28"/>
  <c r="R10" i="28" s="1"/>
  <c r="M9" i="28"/>
  <c r="T9" i="28"/>
  <c r="I9" i="28"/>
  <c r="R9" i="28" s="1"/>
  <c r="M8" i="28"/>
  <c r="T8" i="28"/>
  <c r="I8" i="28"/>
  <c r="R8" i="28" s="1"/>
  <c r="M7" i="28"/>
  <c r="T7" i="28"/>
  <c r="I7" i="28"/>
  <c r="R7" i="28" s="1"/>
  <c r="M6" i="28"/>
  <c r="T6" i="28"/>
  <c r="I6" i="28"/>
  <c r="R6" i="28" s="1"/>
  <c r="M5" i="28"/>
  <c r="T5" i="28"/>
  <c r="I5" i="28"/>
  <c r="R5" i="28" s="1"/>
  <c r="M4" i="28"/>
  <c r="T4" i="28"/>
  <c r="I4" i="28"/>
  <c r="R4" i="28" s="1"/>
  <c r="M3" i="28"/>
  <c r="T3" i="28"/>
  <c r="J3" i="28"/>
  <c r="S3" i="28" s="1"/>
  <c r="I3" i="28"/>
  <c r="R3" i="28" s="1"/>
  <c r="M2" i="28"/>
  <c r="T2" i="28"/>
  <c r="I2" i="28"/>
  <c r="R2" i="28" s="1"/>
  <c r="M1" i="28"/>
  <c r="T1" i="28"/>
  <c r="J1" i="28"/>
  <c r="S1" i="28" s="1"/>
  <c r="I1" i="28"/>
  <c r="R1" i="28" s="1"/>
  <c r="H97" i="22"/>
  <c r="N97" i="22" s="1"/>
  <c r="H96" i="22"/>
  <c r="N96" i="22" s="1"/>
  <c r="H95" i="22"/>
  <c r="N95" i="22" s="1"/>
  <c r="H94" i="22"/>
  <c r="N94" i="22" s="1"/>
  <c r="H93" i="22"/>
  <c r="N93" i="22" s="1"/>
  <c r="H92" i="22"/>
  <c r="N92" i="22" s="1"/>
  <c r="H91" i="22"/>
  <c r="N91" i="22" s="1"/>
  <c r="H90" i="22"/>
  <c r="N90" i="22" s="1"/>
  <c r="H89" i="22"/>
  <c r="N89" i="22" s="1"/>
  <c r="H88" i="22"/>
  <c r="N88" i="22" s="1"/>
  <c r="H87" i="22"/>
  <c r="N87" i="22" s="1"/>
  <c r="H86" i="22"/>
  <c r="N86" i="22" s="1"/>
  <c r="H85" i="22"/>
  <c r="N85" i="22" s="1"/>
  <c r="H84" i="22"/>
  <c r="N84" i="22" s="1"/>
  <c r="H83" i="22"/>
  <c r="N83" i="22" s="1"/>
  <c r="H82" i="22"/>
  <c r="N82" i="22" s="1"/>
  <c r="H81" i="22"/>
  <c r="N81" i="22" s="1"/>
  <c r="H80" i="22"/>
  <c r="N80" i="22" s="1"/>
  <c r="H79" i="22"/>
  <c r="N79" i="22" s="1"/>
  <c r="H78" i="22"/>
  <c r="N78" i="22" s="1"/>
  <c r="H77" i="22"/>
  <c r="N77" i="22" s="1"/>
  <c r="H76" i="22"/>
  <c r="N76" i="22" s="1"/>
  <c r="H75" i="22"/>
  <c r="N75" i="22" s="1"/>
  <c r="H74" i="22"/>
  <c r="N74" i="22" s="1"/>
  <c r="H73" i="22"/>
  <c r="N73" i="22" s="1"/>
  <c r="H72" i="22"/>
  <c r="N72" i="22" s="1"/>
  <c r="H71" i="22"/>
  <c r="N71" i="22" s="1"/>
  <c r="H70" i="22"/>
  <c r="N70" i="22" s="1"/>
  <c r="H69" i="22"/>
  <c r="N69" i="22" s="1"/>
  <c r="H68" i="22"/>
  <c r="N68" i="22" s="1"/>
  <c r="H67" i="22"/>
  <c r="N67" i="22" s="1"/>
  <c r="H66" i="22"/>
  <c r="N66" i="22" s="1"/>
  <c r="H65" i="22"/>
  <c r="N65" i="22" s="1"/>
  <c r="H64" i="22"/>
  <c r="N64" i="22" s="1"/>
  <c r="H63" i="22"/>
  <c r="N63" i="22" s="1"/>
  <c r="H62" i="22"/>
  <c r="N62" i="22" s="1"/>
  <c r="H61" i="22"/>
  <c r="N61" i="22" s="1"/>
  <c r="H60" i="22"/>
  <c r="N60" i="22" s="1"/>
  <c r="H59" i="22"/>
  <c r="N59" i="22" s="1"/>
  <c r="H58" i="22"/>
  <c r="N58" i="22" s="1"/>
  <c r="H57" i="22"/>
  <c r="N57" i="22" s="1"/>
  <c r="H56" i="22"/>
  <c r="N56" i="22" s="1"/>
  <c r="H55" i="22"/>
  <c r="N55" i="22" s="1"/>
  <c r="H54" i="22"/>
  <c r="N54" i="22" s="1"/>
  <c r="H53" i="22"/>
  <c r="N53" i="22" s="1"/>
  <c r="H52" i="22"/>
  <c r="N52" i="22" s="1"/>
  <c r="H51" i="22"/>
  <c r="N51" i="22" s="1"/>
  <c r="H50" i="22"/>
  <c r="N50" i="22" s="1"/>
  <c r="H49" i="22"/>
  <c r="N49" i="22" s="1"/>
  <c r="H48" i="22"/>
  <c r="N48" i="22" s="1"/>
  <c r="H47" i="22"/>
  <c r="N47" i="22" s="1"/>
  <c r="H46" i="22"/>
  <c r="N46" i="22" s="1"/>
  <c r="H45" i="22"/>
  <c r="N45" i="22" s="1"/>
  <c r="H44" i="22"/>
  <c r="N44" i="22" s="1"/>
  <c r="H43" i="22"/>
  <c r="N43" i="22" s="1"/>
  <c r="H42" i="22"/>
  <c r="N42" i="22" s="1"/>
  <c r="H41" i="22"/>
  <c r="N41" i="22" s="1"/>
  <c r="H40" i="22"/>
  <c r="N40" i="22" s="1"/>
  <c r="H39" i="22"/>
  <c r="N39" i="22" s="1"/>
  <c r="H38" i="22"/>
  <c r="N38" i="22" s="1"/>
  <c r="H37" i="22"/>
  <c r="N37" i="22" s="1"/>
  <c r="H36" i="22"/>
  <c r="N36" i="22" s="1"/>
  <c r="H35" i="22"/>
  <c r="N35" i="22" s="1"/>
  <c r="H34" i="22"/>
  <c r="N34" i="22" s="1"/>
  <c r="H33" i="22"/>
  <c r="N33" i="22" s="1"/>
  <c r="H32" i="22"/>
  <c r="N32" i="22" s="1"/>
  <c r="H31" i="22"/>
  <c r="N31" i="22" s="1"/>
  <c r="H30" i="22"/>
  <c r="N30" i="22" s="1"/>
  <c r="H29" i="22"/>
  <c r="N29" i="22" s="1"/>
  <c r="H28" i="22"/>
  <c r="N28" i="22" s="1"/>
  <c r="H27" i="22"/>
  <c r="N27" i="22" s="1"/>
  <c r="H26" i="22"/>
  <c r="N26" i="22" s="1"/>
  <c r="H25" i="22"/>
  <c r="N25" i="22" s="1"/>
  <c r="H24" i="22"/>
  <c r="N24" i="22" s="1"/>
  <c r="H23" i="22"/>
  <c r="N23" i="22" s="1"/>
  <c r="H22" i="22"/>
  <c r="N22" i="22" s="1"/>
  <c r="H21" i="22"/>
  <c r="N21" i="22" s="1"/>
  <c r="H20" i="22"/>
  <c r="N20" i="22" s="1"/>
  <c r="H19" i="22"/>
  <c r="N19" i="22" s="1"/>
  <c r="H18" i="22"/>
  <c r="N18" i="22" s="1"/>
  <c r="H17" i="22"/>
  <c r="N17" i="22" s="1"/>
  <c r="H16" i="22"/>
  <c r="N16" i="22" s="1"/>
  <c r="H15" i="22"/>
  <c r="N15" i="22" s="1"/>
  <c r="H14" i="22"/>
  <c r="N14" i="22" s="1"/>
  <c r="H13" i="22"/>
  <c r="N13" i="22" s="1"/>
  <c r="H12" i="22"/>
  <c r="N12" i="22" s="1"/>
  <c r="H11" i="22"/>
  <c r="N11" i="22" s="1"/>
  <c r="H10" i="22"/>
  <c r="N10" i="22" s="1"/>
  <c r="H9" i="22"/>
  <c r="N9" i="22" s="1"/>
  <c r="H8" i="22"/>
  <c r="N8" i="22" s="1"/>
  <c r="H7" i="22"/>
  <c r="N7" i="22" s="1"/>
  <c r="H6" i="22"/>
  <c r="N6" i="22" s="1"/>
  <c r="H5" i="22"/>
  <c r="N5" i="22" s="1"/>
  <c r="H4" i="22"/>
  <c r="N4" i="22" s="1"/>
  <c r="H3" i="22"/>
  <c r="N3" i="22" s="1"/>
  <c r="H2" i="22"/>
  <c r="N2" i="22" s="1"/>
  <c r="H1" i="22"/>
  <c r="N1" i="22" s="1"/>
  <c r="G2" i="22"/>
  <c r="M2" i="22" s="1"/>
  <c r="G3" i="22"/>
  <c r="M3" i="22" s="1"/>
  <c r="G4" i="22"/>
  <c r="M4" i="22" s="1"/>
  <c r="G5" i="22"/>
  <c r="M5" i="22" s="1"/>
  <c r="G6" i="22"/>
  <c r="M6" i="22" s="1"/>
  <c r="G7" i="22"/>
  <c r="M7" i="22" s="1"/>
  <c r="G8" i="22"/>
  <c r="M8" i="22" s="1"/>
  <c r="G9" i="22"/>
  <c r="M9" i="22" s="1"/>
  <c r="G10" i="22"/>
  <c r="M10" i="22" s="1"/>
  <c r="G11" i="22"/>
  <c r="M11" i="22" s="1"/>
  <c r="G12" i="22"/>
  <c r="M12" i="22" s="1"/>
  <c r="G13" i="22"/>
  <c r="M13" i="22" s="1"/>
  <c r="G14" i="22"/>
  <c r="M14" i="22" s="1"/>
  <c r="G15" i="22"/>
  <c r="M15" i="22" s="1"/>
  <c r="G16" i="22"/>
  <c r="M16" i="22" s="1"/>
  <c r="G17" i="22"/>
  <c r="M17" i="22" s="1"/>
  <c r="G18" i="22"/>
  <c r="M18" i="22" s="1"/>
  <c r="G19" i="22"/>
  <c r="M19" i="22" s="1"/>
  <c r="G20" i="22"/>
  <c r="M20" i="22" s="1"/>
  <c r="G21" i="22"/>
  <c r="M21" i="22" s="1"/>
  <c r="G22" i="22"/>
  <c r="M22" i="22" s="1"/>
  <c r="G23" i="22"/>
  <c r="M23" i="22" s="1"/>
  <c r="G24" i="22"/>
  <c r="M24" i="22" s="1"/>
  <c r="G25" i="22"/>
  <c r="M25" i="22" s="1"/>
  <c r="G26" i="22"/>
  <c r="M26" i="22" s="1"/>
  <c r="G27" i="22"/>
  <c r="M27" i="22" s="1"/>
  <c r="G28" i="22"/>
  <c r="M28" i="22" s="1"/>
  <c r="G29" i="22"/>
  <c r="M29" i="22" s="1"/>
  <c r="G30" i="22"/>
  <c r="M30" i="22" s="1"/>
  <c r="G31" i="22"/>
  <c r="M31" i="22" s="1"/>
  <c r="G32" i="22"/>
  <c r="M32" i="22" s="1"/>
  <c r="G33" i="22"/>
  <c r="M33" i="22" s="1"/>
  <c r="G34" i="22"/>
  <c r="M34" i="22" s="1"/>
  <c r="G35" i="22"/>
  <c r="M35" i="22" s="1"/>
  <c r="G36" i="22"/>
  <c r="M36" i="22" s="1"/>
  <c r="G37" i="22"/>
  <c r="M37" i="22" s="1"/>
  <c r="G38" i="22"/>
  <c r="M38" i="22" s="1"/>
  <c r="G39" i="22"/>
  <c r="M39" i="22" s="1"/>
  <c r="G40" i="22"/>
  <c r="M40" i="22" s="1"/>
  <c r="G41" i="22"/>
  <c r="M41" i="22" s="1"/>
  <c r="G42" i="22"/>
  <c r="M42" i="22" s="1"/>
  <c r="G43" i="22"/>
  <c r="M43" i="22" s="1"/>
  <c r="G44" i="22"/>
  <c r="M44" i="22" s="1"/>
  <c r="G45" i="22"/>
  <c r="M45" i="22" s="1"/>
  <c r="G46" i="22"/>
  <c r="M46" i="22" s="1"/>
  <c r="G47" i="22"/>
  <c r="M47" i="22" s="1"/>
  <c r="G48" i="22"/>
  <c r="M48" i="22" s="1"/>
  <c r="G49" i="22"/>
  <c r="M49" i="22" s="1"/>
  <c r="G50" i="22"/>
  <c r="M50" i="22" s="1"/>
  <c r="G51" i="22"/>
  <c r="M51" i="22" s="1"/>
  <c r="G52" i="22"/>
  <c r="M52" i="22" s="1"/>
  <c r="G53" i="22"/>
  <c r="M53" i="22" s="1"/>
  <c r="G54" i="22"/>
  <c r="M54" i="22" s="1"/>
  <c r="G55" i="22"/>
  <c r="M55" i="22" s="1"/>
  <c r="G56" i="22"/>
  <c r="M56" i="22" s="1"/>
  <c r="G57" i="22"/>
  <c r="M57" i="22" s="1"/>
  <c r="G58" i="22"/>
  <c r="M58" i="22" s="1"/>
  <c r="G59" i="22"/>
  <c r="M59" i="22" s="1"/>
  <c r="G60" i="22"/>
  <c r="M60" i="22" s="1"/>
  <c r="G61" i="22"/>
  <c r="M61" i="22" s="1"/>
  <c r="G62" i="22"/>
  <c r="M62" i="22" s="1"/>
  <c r="G63" i="22"/>
  <c r="M63" i="22" s="1"/>
  <c r="G64" i="22"/>
  <c r="M64" i="22" s="1"/>
  <c r="G65" i="22"/>
  <c r="M65" i="22" s="1"/>
  <c r="G66" i="22"/>
  <c r="M66" i="22" s="1"/>
  <c r="G67" i="22"/>
  <c r="M67" i="22" s="1"/>
  <c r="G68" i="22"/>
  <c r="M68" i="22" s="1"/>
  <c r="G69" i="22"/>
  <c r="M69" i="22" s="1"/>
  <c r="G70" i="22"/>
  <c r="M70" i="22" s="1"/>
  <c r="G71" i="22"/>
  <c r="M71" i="22" s="1"/>
  <c r="G72" i="22"/>
  <c r="M72" i="22" s="1"/>
  <c r="G73" i="22"/>
  <c r="M73" i="22" s="1"/>
  <c r="G74" i="22"/>
  <c r="M74" i="22" s="1"/>
  <c r="G75" i="22"/>
  <c r="M75" i="22" s="1"/>
  <c r="G76" i="22"/>
  <c r="M76" i="22" s="1"/>
  <c r="G77" i="22"/>
  <c r="M77" i="22" s="1"/>
  <c r="G78" i="22"/>
  <c r="M78" i="22" s="1"/>
  <c r="G79" i="22"/>
  <c r="M79" i="22" s="1"/>
  <c r="G80" i="22"/>
  <c r="M80" i="22" s="1"/>
  <c r="G81" i="22"/>
  <c r="M81" i="22" s="1"/>
  <c r="G82" i="22"/>
  <c r="M82" i="22" s="1"/>
  <c r="G83" i="22"/>
  <c r="M83" i="22" s="1"/>
  <c r="G84" i="22"/>
  <c r="M84" i="22" s="1"/>
  <c r="G85" i="22"/>
  <c r="M85" i="22" s="1"/>
  <c r="G86" i="22"/>
  <c r="M86" i="22" s="1"/>
  <c r="G87" i="22"/>
  <c r="M87" i="22" s="1"/>
  <c r="G88" i="22"/>
  <c r="M88" i="22" s="1"/>
  <c r="G89" i="22"/>
  <c r="M89" i="22" s="1"/>
  <c r="G90" i="22"/>
  <c r="M90" i="22" s="1"/>
  <c r="G91" i="22"/>
  <c r="M91" i="22" s="1"/>
  <c r="G92" i="22"/>
  <c r="M92" i="22" s="1"/>
  <c r="G93" i="22"/>
  <c r="M93" i="22" s="1"/>
  <c r="G94" i="22"/>
  <c r="M94" i="22" s="1"/>
  <c r="G95" i="22"/>
  <c r="M95" i="22" s="1"/>
  <c r="G96" i="22"/>
  <c r="M96" i="22" s="1"/>
  <c r="G97" i="22"/>
  <c r="M97" i="22" s="1"/>
  <c r="G1" i="22"/>
  <c r="M1" i="22" s="1"/>
  <c r="F1" i="22"/>
  <c r="L1" i="22" s="1"/>
  <c r="E2" i="22"/>
  <c r="K2" i="22" s="1"/>
  <c r="E3" i="22"/>
  <c r="K3" i="22" s="1"/>
  <c r="E4" i="22"/>
  <c r="K4" i="22" s="1"/>
  <c r="E5" i="22"/>
  <c r="K5" i="22" s="1"/>
  <c r="E6" i="22"/>
  <c r="K6" i="22" s="1"/>
  <c r="E7" i="22"/>
  <c r="K7" i="22" s="1"/>
  <c r="E8" i="22"/>
  <c r="K8" i="22" s="1"/>
  <c r="E9" i="22"/>
  <c r="K9" i="22" s="1"/>
  <c r="E10" i="22"/>
  <c r="K10" i="22" s="1"/>
  <c r="E11" i="22"/>
  <c r="K11" i="22" s="1"/>
  <c r="E12" i="22"/>
  <c r="K12" i="22" s="1"/>
  <c r="E13" i="22"/>
  <c r="K13" i="22" s="1"/>
  <c r="E14" i="22"/>
  <c r="K14" i="22" s="1"/>
  <c r="E15" i="22"/>
  <c r="E16" i="22"/>
  <c r="K16" i="22" s="1"/>
  <c r="E17" i="22"/>
  <c r="K17" i="22" s="1"/>
  <c r="E18" i="22"/>
  <c r="K18" i="22" s="1"/>
  <c r="E19" i="22"/>
  <c r="K19" i="22" s="1"/>
  <c r="E20" i="22"/>
  <c r="K20" i="22" s="1"/>
  <c r="E21" i="22"/>
  <c r="K21" i="22" s="1"/>
  <c r="E22" i="22"/>
  <c r="K22" i="22" s="1"/>
  <c r="E23" i="22"/>
  <c r="K23" i="22" s="1"/>
  <c r="E24" i="22"/>
  <c r="K24" i="22" s="1"/>
  <c r="E25" i="22"/>
  <c r="K25" i="22" s="1"/>
  <c r="E26" i="22"/>
  <c r="K26" i="22" s="1"/>
  <c r="E27" i="22"/>
  <c r="K27" i="22" s="1"/>
  <c r="E28" i="22"/>
  <c r="K28" i="22" s="1"/>
  <c r="E29" i="22"/>
  <c r="K29" i="22" s="1"/>
  <c r="E30" i="22"/>
  <c r="K30" i="22" s="1"/>
  <c r="E31" i="22"/>
  <c r="K31" i="22" s="1"/>
  <c r="E32" i="22"/>
  <c r="K32" i="22" s="1"/>
  <c r="E33" i="22"/>
  <c r="K33" i="22" s="1"/>
  <c r="E34" i="22"/>
  <c r="K34" i="22" s="1"/>
  <c r="E35" i="22"/>
  <c r="K35" i="22" s="1"/>
  <c r="E36" i="22"/>
  <c r="K36" i="22" s="1"/>
  <c r="E37" i="22"/>
  <c r="K37" i="22" s="1"/>
  <c r="E38" i="22"/>
  <c r="K38" i="22" s="1"/>
  <c r="E39" i="22"/>
  <c r="K39" i="22" s="1"/>
  <c r="E40" i="22"/>
  <c r="K40" i="22" s="1"/>
  <c r="E41" i="22"/>
  <c r="K41" i="22" s="1"/>
  <c r="E42" i="22"/>
  <c r="K42" i="22" s="1"/>
  <c r="E43" i="22"/>
  <c r="K43" i="22" s="1"/>
  <c r="E44" i="22"/>
  <c r="K44" i="22" s="1"/>
  <c r="E45" i="22"/>
  <c r="K45" i="22" s="1"/>
  <c r="E46" i="22"/>
  <c r="K46" i="22" s="1"/>
  <c r="E47" i="22"/>
  <c r="K47" i="22" s="1"/>
  <c r="E48" i="22"/>
  <c r="K48" i="22" s="1"/>
  <c r="E49" i="22"/>
  <c r="K49" i="22" s="1"/>
  <c r="E50" i="22"/>
  <c r="K50" i="22" s="1"/>
  <c r="E51" i="22"/>
  <c r="K51" i="22" s="1"/>
  <c r="E52" i="22"/>
  <c r="K52" i="22" s="1"/>
  <c r="E53" i="22"/>
  <c r="K53" i="22" s="1"/>
  <c r="E54" i="22"/>
  <c r="K54" i="22" s="1"/>
  <c r="E55" i="22"/>
  <c r="K55" i="22" s="1"/>
  <c r="E56" i="22"/>
  <c r="K56" i="22" s="1"/>
  <c r="E57" i="22"/>
  <c r="K57" i="22" s="1"/>
  <c r="E58" i="22"/>
  <c r="K58" i="22" s="1"/>
  <c r="E59" i="22"/>
  <c r="K59" i="22" s="1"/>
  <c r="E60" i="22"/>
  <c r="K60" i="22" s="1"/>
  <c r="E61" i="22"/>
  <c r="K61" i="22" s="1"/>
  <c r="E62" i="22"/>
  <c r="K62" i="22" s="1"/>
  <c r="E63" i="22"/>
  <c r="K63" i="22" s="1"/>
  <c r="E64" i="22"/>
  <c r="K64" i="22" s="1"/>
  <c r="E65" i="22"/>
  <c r="K65" i="22" s="1"/>
  <c r="E66" i="22"/>
  <c r="K66" i="22" s="1"/>
  <c r="E67" i="22"/>
  <c r="K67" i="22" s="1"/>
  <c r="E68" i="22"/>
  <c r="K68" i="22" s="1"/>
  <c r="E69" i="22"/>
  <c r="K69" i="22" s="1"/>
  <c r="E70" i="22"/>
  <c r="K70" i="22" s="1"/>
  <c r="E71" i="22"/>
  <c r="K71" i="22" s="1"/>
  <c r="E72" i="22"/>
  <c r="K72" i="22" s="1"/>
  <c r="E73" i="22"/>
  <c r="K73" i="22" s="1"/>
  <c r="E74" i="22"/>
  <c r="K74" i="22" s="1"/>
  <c r="E75" i="22"/>
  <c r="K75" i="22" s="1"/>
  <c r="E76" i="22"/>
  <c r="K76" i="22" s="1"/>
  <c r="E77" i="22"/>
  <c r="K77" i="22" s="1"/>
  <c r="E78" i="22"/>
  <c r="K78" i="22" s="1"/>
  <c r="E79" i="22"/>
  <c r="K79" i="22" s="1"/>
  <c r="E80" i="22"/>
  <c r="K80" i="22" s="1"/>
  <c r="E81" i="22"/>
  <c r="K81" i="22" s="1"/>
  <c r="E82" i="22"/>
  <c r="K82" i="22" s="1"/>
  <c r="E83" i="22"/>
  <c r="K83" i="22" s="1"/>
  <c r="E84" i="22"/>
  <c r="K84" i="22" s="1"/>
  <c r="E85" i="22"/>
  <c r="K85" i="22" s="1"/>
  <c r="E86" i="22"/>
  <c r="K86" i="22" s="1"/>
  <c r="E87" i="22"/>
  <c r="K87" i="22" s="1"/>
  <c r="E88" i="22"/>
  <c r="K88" i="22" s="1"/>
  <c r="E89" i="22"/>
  <c r="K89" i="22" s="1"/>
  <c r="E90" i="22"/>
  <c r="K90" i="22" s="1"/>
  <c r="E91" i="22"/>
  <c r="K91" i="22" s="1"/>
  <c r="E92" i="22"/>
  <c r="K92" i="22" s="1"/>
  <c r="E93" i="22"/>
  <c r="K93" i="22" s="1"/>
  <c r="E94" i="22"/>
  <c r="K94" i="22" s="1"/>
  <c r="E95" i="22"/>
  <c r="K95" i="22" s="1"/>
  <c r="E96" i="22"/>
  <c r="K96" i="22" s="1"/>
  <c r="E97" i="22"/>
  <c r="K97" i="22" s="1"/>
  <c r="E1" i="22"/>
  <c r="K1" i="22" s="1"/>
  <c r="U6" i="27"/>
  <c r="E3" i="26"/>
  <c r="J3" i="26" s="1"/>
  <c r="E26" i="26"/>
  <c r="J26" i="26" s="1"/>
  <c r="E27" i="26"/>
  <c r="J27" i="26" s="1"/>
  <c r="E28" i="26"/>
  <c r="J28" i="26" s="1"/>
  <c r="E29" i="26"/>
  <c r="J29" i="26" s="1"/>
  <c r="E30" i="26"/>
  <c r="J30" i="26" s="1"/>
  <c r="E31" i="26"/>
  <c r="J31" i="26" s="1"/>
  <c r="E32" i="26"/>
  <c r="J32" i="26" s="1"/>
  <c r="E33" i="26"/>
  <c r="J33" i="26" s="1"/>
  <c r="E34" i="26"/>
  <c r="J34" i="26" s="1"/>
  <c r="E35" i="26"/>
  <c r="J35" i="26" s="1"/>
  <c r="E36" i="26"/>
  <c r="J36" i="26" s="1"/>
  <c r="E37" i="26"/>
  <c r="J37" i="26" s="1"/>
  <c r="E51" i="26"/>
  <c r="J51" i="26" s="1"/>
  <c r="E75" i="26"/>
  <c r="J75" i="26" s="1"/>
  <c r="E76" i="26"/>
  <c r="J76" i="26" s="1"/>
  <c r="E77" i="26"/>
  <c r="J77" i="26" s="1"/>
  <c r="E78" i="26"/>
  <c r="J78" i="26" s="1"/>
  <c r="E79" i="26"/>
  <c r="J79" i="26" s="1"/>
  <c r="E80" i="26"/>
  <c r="J80" i="26" s="1"/>
  <c r="E81" i="26"/>
  <c r="J81" i="26" s="1"/>
  <c r="E82" i="26"/>
  <c r="J82" i="26" s="1"/>
  <c r="E83" i="26"/>
  <c r="J83" i="26" s="1"/>
  <c r="E84" i="26"/>
  <c r="J84" i="26" s="1"/>
  <c r="E85" i="26"/>
  <c r="J85" i="26" s="1"/>
  <c r="E1" i="26"/>
  <c r="J1" i="26" s="1"/>
  <c r="K2" i="25"/>
  <c r="K3" i="25"/>
  <c r="K4" i="25"/>
  <c r="K5" i="25"/>
  <c r="K6" i="25"/>
  <c r="K7" i="25"/>
  <c r="K8" i="25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K33" i="25"/>
  <c r="K34" i="25"/>
  <c r="K35" i="25"/>
  <c r="K36" i="25"/>
  <c r="K37" i="25"/>
  <c r="K38" i="25"/>
  <c r="K39" i="25"/>
  <c r="K40" i="25"/>
  <c r="K41" i="25"/>
  <c r="K42" i="25"/>
  <c r="K43" i="25"/>
  <c r="K44" i="25"/>
  <c r="K45" i="25"/>
  <c r="K46" i="25"/>
  <c r="K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3" i="25"/>
  <c r="K64" i="25"/>
  <c r="K65" i="25"/>
  <c r="K66" i="25"/>
  <c r="K67" i="25"/>
  <c r="K68" i="25"/>
  <c r="K69" i="25"/>
  <c r="K70" i="25"/>
  <c r="K71" i="25"/>
  <c r="K72" i="25"/>
  <c r="K73" i="25"/>
  <c r="K74" i="25"/>
  <c r="K75" i="25"/>
  <c r="K76" i="25"/>
  <c r="K77" i="25"/>
  <c r="K78" i="25"/>
  <c r="K79" i="25"/>
  <c r="K80" i="25"/>
  <c r="K81" i="25"/>
  <c r="K82" i="25"/>
  <c r="K83" i="25"/>
  <c r="K84" i="25"/>
  <c r="K85" i="25"/>
  <c r="K86" i="25"/>
  <c r="K87" i="25"/>
  <c r="K88" i="25"/>
  <c r="K89" i="25"/>
  <c r="K90" i="25"/>
  <c r="K91" i="25"/>
  <c r="K92" i="25"/>
  <c r="K93" i="25"/>
  <c r="K94" i="25"/>
  <c r="K95" i="25"/>
  <c r="K96" i="25"/>
  <c r="K97" i="25"/>
  <c r="I2" i="25"/>
  <c r="P2" i="25" s="1"/>
  <c r="I3" i="25"/>
  <c r="P3" i="25" s="1"/>
  <c r="I4" i="25"/>
  <c r="P4" i="25" s="1"/>
  <c r="I5" i="25"/>
  <c r="P5" i="25" s="1"/>
  <c r="I6" i="25"/>
  <c r="P6" i="25" s="1"/>
  <c r="I7" i="25"/>
  <c r="P7" i="25" s="1"/>
  <c r="I8" i="25"/>
  <c r="P8" i="25" s="1"/>
  <c r="I9" i="25"/>
  <c r="P9" i="25" s="1"/>
  <c r="I10" i="25"/>
  <c r="P10" i="25" s="1"/>
  <c r="I11" i="25"/>
  <c r="P11" i="25" s="1"/>
  <c r="I12" i="25"/>
  <c r="P12" i="25" s="1"/>
  <c r="I13" i="25"/>
  <c r="P13" i="25" s="1"/>
  <c r="I14" i="25"/>
  <c r="P14" i="25" s="1"/>
  <c r="I15" i="25"/>
  <c r="P15" i="25" s="1"/>
  <c r="I16" i="25"/>
  <c r="P16" i="25" s="1"/>
  <c r="I17" i="25"/>
  <c r="P17" i="25" s="1"/>
  <c r="I18" i="25"/>
  <c r="P18" i="25" s="1"/>
  <c r="I19" i="25"/>
  <c r="P19" i="25" s="1"/>
  <c r="I20" i="25"/>
  <c r="P20" i="25" s="1"/>
  <c r="I21" i="25"/>
  <c r="P21" i="25" s="1"/>
  <c r="I22" i="25"/>
  <c r="P22" i="25" s="1"/>
  <c r="I23" i="25"/>
  <c r="P23" i="25" s="1"/>
  <c r="I24" i="25"/>
  <c r="P24" i="25" s="1"/>
  <c r="I25" i="25"/>
  <c r="P25" i="25" s="1"/>
  <c r="I26" i="25"/>
  <c r="P26" i="25" s="1"/>
  <c r="I27" i="25"/>
  <c r="P27" i="25" s="1"/>
  <c r="I28" i="25"/>
  <c r="P28" i="25" s="1"/>
  <c r="I29" i="25"/>
  <c r="P29" i="25" s="1"/>
  <c r="I30" i="25"/>
  <c r="P30" i="25" s="1"/>
  <c r="I31" i="25"/>
  <c r="P31" i="25" s="1"/>
  <c r="I32" i="25"/>
  <c r="P32" i="25" s="1"/>
  <c r="I33" i="25"/>
  <c r="P33" i="25" s="1"/>
  <c r="I34" i="25"/>
  <c r="P34" i="25" s="1"/>
  <c r="I35" i="25"/>
  <c r="P35" i="25" s="1"/>
  <c r="I36" i="25"/>
  <c r="P36" i="25" s="1"/>
  <c r="I37" i="25"/>
  <c r="P37" i="25" s="1"/>
  <c r="I38" i="25"/>
  <c r="P38" i="25" s="1"/>
  <c r="I39" i="25"/>
  <c r="P39" i="25" s="1"/>
  <c r="I40" i="25"/>
  <c r="P40" i="25" s="1"/>
  <c r="I41" i="25"/>
  <c r="P41" i="25" s="1"/>
  <c r="I42" i="25"/>
  <c r="P42" i="25" s="1"/>
  <c r="I43" i="25"/>
  <c r="P43" i="25" s="1"/>
  <c r="I44" i="25"/>
  <c r="P44" i="25" s="1"/>
  <c r="I45" i="25"/>
  <c r="P45" i="25" s="1"/>
  <c r="I46" i="25"/>
  <c r="P46" i="25" s="1"/>
  <c r="I47" i="25"/>
  <c r="P47" i="25" s="1"/>
  <c r="I48" i="25"/>
  <c r="P48" i="25" s="1"/>
  <c r="I49" i="25"/>
  <c r="P49" i="25" s="1"/>
  <c r="I50" i="25"/>
  <c r="P50" i="25" s="1"/>
  <c r="I51" i="25"/>
  <c r="P51" i="25" s="1"/>
  <c r="I52" i="25"/>
  <c r="P52" i="25" s="1"/>
  <c r="I53" i="25"/>
  <c r="P53" i="25" s="1"/>
  <c r="I54" i="25"/>
  <c r="P54" i="25" s="1"/>
  <c r="I55" i="25"/>
  <c r="P55" i="25" s="1"/>
  <c r="I56" i="25"/>
  <c r="P56" i="25" s="1"/>
  <c r="I57" i="25"/>
  <c r="P57" i="25" s="1"/>
  <c r="I58" i="25"/>
  <c r="P58" i="25" s="1"/>
  <c r="I59" i="25"/>
  <c r="P59" i="25" s="1"/>
  <c r="I60" i="25"/>
  <c r="P60" i="25" s="1"/>
  <c r="I61" i="25"/>
  <c r="P61" i="25" s="1"/>
  <c r="I62" i="25"/>
  <c r="P62" i="25" s="1"/>
  <c r="I63" i="25"/>
  <c r="P63" i="25" s="1"/>
  <c r="I64" i="25"/>
  <c r="P64" i="25" s="1"/>
  <c r="I65" i="25"/>
  <c r="P65" i="25" s="1"/>
  <c r="I66" i="25"/>
  <c r="P66" i="25" s="1"/>
  <c r="I67" i="25"/>
  <c r="P67" i="25" s="1"/>
  <c r="I68" i="25"/>
  <c r="P68" i="25" s="1"/>
  <c r="I69" i="25"/>
  <c r="P69" i="25" s="1"/>
  <c r="I70" i="25"/>
  <c r="P70" i="25" s="1"/>
  <c r="I71" i="25"/>
  <c r="P71" i="25" s="1"/>
  <c r="I72" i="25"/>
  <c r="P72" i="25" s="1"/>
  <c r="I73" i="25"/>
  <c r="P73" i="25" s="1"/>
  <c r="I74" i="25"/>
  <c r="P74" i="25" s="1"/>
  <c r="I75" i="25"/>
  <c r="P75" i="25" s="1"/>
  <c r="I76" i="25"/>
  <c r="P76" i="25" s="1"/>
  <c r="I77" i="25"/>
  <c r="P77" i="25" s="1"/>
  <c r="I78" i="25"/>
  <c r="P78" i="25" s="1"/>
  <c r="I79" i="25"/>
  <c r="P79" i="25" s="1"/>
  <c r="I80" i="25"/>
  <c r="P80" i="25" s="1"/>
  <c r="I81" i="25"/>
  <c r="P81" i="25" s="1"/>
  <c r="I82" i="25"/>
  <c r="P82" i="25" s="1"/>
  <c r="I83" i="25"/>
  <c r="P83" i="25" s="1"/>
  <c r="I84" i="25"/>
  <c r="P84" i="25" s="1"/>
  <c r="I85" i="25"/>
  <c r="P85" i="25" s="1"/>
  <c r="I86" i="25"/>
  <c r="P86" i="25" s="1"/>
  <c r="I87" i="25"/>
  <c r="P87" i="25" s="1"/>
  <c r="I88" i="25"/>
  <c r="P88" i="25" s="1"/>
  <c r="I89" i="25"/>
  <c r="P89" i="25" s="1"/>
  <c r="I90" i="25"/>
  <c r="P90" i="25" s="1"/>
  <c r="I91" i="25"/>
  <c r="P91" i="25" s="1"/>
  <c r="I92" i="25"/>
  <c r="P92" i="25" s="1"/>
  <c r="I93" i="25"/>
  <c r="P93" i="25" s="1"/>
  <c r="I94" i="25"/>
  <c r="P94" i="25" s="1"/>
  <c r="I95" i="25"/>
  <c r="P95" i="25" s="1"/>
  <c r="I96" i="25"/>
  <c r="P96" i="25" s="1"/>
  <c r="I97" i="25"/>
  <c r="P97" i="25" s="1"/>
  <c r="I1" i="25"/>
  <c r="P1" i="25" s="1"/>
  <c r="H2" i="25"/>
  <c r="O2" i="25" s="1"/>
  <c r="H3" i="25"/>
  <c r="O3" i="25" s="1"/>
  <c r="H4" i="25"/>
  <c r="O4" i="25" s="1"/>
  <c r="H5" i="25"/>
  <c r="O5" i="25" s="1"/>
  <c r="H6" i="25"/>
  <c r="O6" i="25" s="1"/>
  <c r="H7" i="25"/>
  <c r="O7" i="25" s="1"/>
  <c r="H8" i="25"/>
  <c r="O8" i="25" s="1"/>
  <c r="H9" i="25"/>
  <c r="O9" i="25" s="1"/>
  <c r="H10" i="25"/>
  <c r="O10" i="25" s="1"/>
  <c r="H11" i="25"/>
  <c r="O11" i="25" s="1"/>
  <c r="H12" i="25"/>
  <c r="O12" i="25" s="1"/>
  <c r="H13" i="25"/>
  <c r="O13" i="25" s="1"/>
  <c r="H14" i="25"/>
  <c r="O14" i="25" s="1"/>
  <c r="H15" i="25"/>
  <c r="O15" i="25" s="1"/>
  <c r="H16" i="25"/>
  <c r="O16" i="25" s="1"/>
  <c r="H17" i="25"/>
  <c r="O17" i="25" s="1"/>
  <c r="H18" i="25"/>
  <c r="O18" i="25" s="1"/>
  <c r="H19" i="25"/>
  <c r="O19" i="25" s="1"/>
  <c r="H20" i="25"/>
  <c r="O20" i="25" s="1"/>
  <c r="H21" i="25"/>
  <c r="O21" i="25" s="1"/>
  <c r="H22" i="25"/>
  <c r="O22" i="25" s="1"/>
  <c r="H23" i="25"/>
  <c r="O23" i="25" s="1"/>
  <c r="H24" i="25"/>
  <c r="O24" i="25" s="1"/>
  <c r="H25" i="25"/>
  <c r="O25" i="25" s="1"/>
  <c r="H26" i="25"/>
  <c r="O26" i="25" s="1"/>
  <c r="H27" i="25"/>
  <c r="O27" i="25" s="1"/>
  <c r="H28" i="25"/>
  <c r="O28" i="25" s="1"/>
  <c r="H29" i="25"/>
  <c r="O29" i="25" s="1"/>
  <c r="H30" i="25"/>
  <c r="O30" i="25" s="1"/>
  <c r="H31" i="25"/>
  <c r="O31" i="25" s="1"/>
  <c r="H32" i="25"/>
  <c r="O32" i="25" s="1"/>
  <c r="H33" i="25"/>
  <c r="O33" i="25" s="1"/>
  <c r="H34" i="25"/>
  <c r="O34" i="25" s="1"/>
  <c r="H35" i="25"/>
  <c r="O35" i="25" s="1"/>
  <c r="H36" i="25"/>
  <c r="O36" i="25" s="1"/>
  <c r="H37" i="25"/>
  <c r="O37" i="25" s="1"/>
  <c r="H38" i="25"/>
  <c r="O38" i="25" s="1"/>
  <c r="H39" i="25"/>
  <c r="O39" i="25" s="1"/>
  <c r="H40" i="25"/>
  <c r="O40" i="25" s="1"/>
  <c r="H41" i="25"/>
  <c r="O41" i="25" s="1"/>
  <c r="H42" i="25"/>
  <c r="O42" i="25" s="1"/>
  <c r="H43" i="25"/>
  <c r="O43" i="25" s="1"/>
  <c r="H44" i="25"/>
  <c r="O44" i="25" s="1"/>
  <c r="H45" i="25"/>
  <c r="O45" i="25" s="1"/>
  <c r="H46" i="25"/>
  <c r="O46" i="25" s="1"/>
  <c r="H47" i="25"/>
  <c r="O47" i="25" s="1"/>
  <c r="H48" i="25"/>
  <c r="O48" i="25" s="1"/>
  <c r="H49" i="25"/>
  <c r="O49" i="25" s="1"/>
  <c r="H50" i="25"/>
  <c r="O50" i="25" s="1"/>
  <c r="H51" i="25"/>
  <c r="O51" i="25" s="1"/>
  <c r="H52" i="25"/>
  <c r="O52" i="25" s="1"/>
  <c r="H53" i="25"/>
  <c r="O53" i="25" s="1"/>
  <c r="H54" i="25"/>
  <c r="O54" i="25" s="1"/>
  <c r="H55" i="25"/>
  <c r="O55" i="25" s="1"/>
  <c r="H56" i="25"/>
  <c r="O56" i="25" s="1"/>
  <c r="H57" i="25"/>
  <c r="O57" i="25" s="1"/>
  <c r="H58" i="25"/>
  <c r="O58" i="25" s="1"/>
  <c r="H59" i="25"/>
  <c r="O59" i="25" s="1"/>
  <c r="H60" i="25"/>
  <c r="O60" i="25" s="1"/>
  <c r="H61" i="25"/>
  <c r="O61" i="25" s="1"/>
  <c r="H62" i="25"/>
  <c r="O62" i="25" s="1"/>
  <c r="H63" i="25"/>
  <c r="O63" i="25" s="1"/>
  <c r="H64" i="25"/>
  <c r="O64" i="25" s="1"/>
  <c r="H65" i="25"/>
  <c r="O65" i="25" s="1"/>
  <c r="H66" i="25"/>
  <c r="O66" i="25" s="1"/>
  <c r="H67" i="25"/>
  <c r="O67" i="25" s="1"/>
  <c r="H68" i="25"/>
  <c r="O68" i="25" s="1"/>
  <c r="H69" i="25"/>
  <c r="O69" i="25" s="1"/>
  <c r="H70" i="25"/>
  <c r="O70" i="25" s="1"/>
  <c r="H71" i="25"/>
  <c r="O71" i="25" s="1"/>
  <c r="H72" i="25"/>
  <c r="O72" i="25" s="1"/>
  <c r="H73" i="25"/>
  <c r="O73" i="25" s="1"/>
  <c r="H74" i="25"/>
  <c r="O74" i="25" s="1"/>
  <c r="H75" i="25"/>
  <c r="O75" i="25" s="1"/>
  <c r="H76" i="25"/>
  <c r="O76" i="25" s="1"/>
  <c r="H77" i="25"/>
  <c r="O77" i="25" s="1"/>
  <c r="H78" i="25"/>
  <c r="O78" i="25" s="1"/>
  <c r="H79" i="25"/>
  <c r="O79" i="25" s="1"/>
  <c r="H80" i="25"/>
  <c r="O80" i="25" s="1"/>
  <c r="H81" i="25"/>
  <c r="O81" i="25" s="1"/>
  <c r="H82" i="25"/>
  <c r="O82" i="25" s="1"/>
  <c r="H83" i="25"/>
  <c r="O83" i="25" s="1"/>
  <c r="H84" i="25"/>
  <c r="O84" i="25" s="1"/>
  <c r="H85" i="25"/>
  <c r="O85" i="25" s="1"/>
  <c r="H86" i="25"/>
  <c r="O86" i="25" s="1"/>
  <c r="H87" i="25"/>
  <c r="O87" i="25" s="1"/>
  <c r="H88" i="25"/>
  <c r="O88" i="25" s="1"/>
  <c r="H89" i="25"/>
  <c r="O89" i="25" s="1"/>
  <c r="H90" i="25"/>
  <c r="O90" i="25" s="1"/>
  <c r="H91" i="25"/>
  <c r="O91" i="25" s="1"/>
  <c r="H92" i="25"/>
  <c r="O92" i="25" s="1"/>
  <c r="H93" i="25"/>
  <c r="O93" i="25" s="1"/>
  <c r="H94" i="25"/>
  <c r="O94" i="25" s="1"/>
  <c r="H95" i="25"/>
  <c r="O95" i="25" s="1"/>
  <c r="H96" i="25"/>
  <c r="O96" i="25" s="1"/>
  <c r="H97" i="25"/>
  <c r="O97" i="25" s="1"/>
  <c r="H1" i="25"/>
  <c r="O1" i="25" s="1"/>
  <c r="L2" i="24"/>
  <c r="L3" i="24"/>
  <c r="L4" i="24"/>
  <c r="L5" i="24"/>
  <c r="L6" i="24"/>
  <c r="L7" i="24"/>
  <c r="L8" i="24"/>
  <c r="L9" i="24"/>
  <c r="L10" i="24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3" i="24"/>
  <c r="L74" i="24"/>
  <c r="L75" i="24"/>
  <c r="L76" i="24"/>
  <c r="L77" i="24"/>
  <c r="L78" i="24"/>
  <c r="L79" i="24"/>
  <c r="L80" i="24"/>
  <c r="L81" i="24"/>
  <c r="L82" i="24"/>
  <c r="L83" i="24"/>
  <c r="L84" i="24"/>
  <c r="L85" i="24"/>
  <c r="L86" i="24"/>
  <c r="L87" i="24"/>
  <c r="L88" i="24"/>
  <c r="L89" i="24"/>
  <c r="L90" i="24"/>
  <c r="L91" i="24"/>
  <c r="L92" i="24"/>
  <c r="L93" i="24"/>
  <c r="L94" i="24"/>
  <c r="L95" i="24"/>
  <c r="L96" i="24"/>
  <c r="L97" i="24"/>
  <c r="J2" i="24"/>
  <c r="R2" i="24" s="1"/>
  <c r="J3" i="24"/>
  <c r="R3" i="24" s="1"/>
  <c r="J4" i="24"/>
  <c r="R4" i="24" s="1"/>
  <c r="J5" i="24"/>
  <c r="R5" i="24" s="1"/>
  <c r="J6" i="24"/>
  <c r="R6" i="24" s="1"/>
  <c r="J7" i="24"/>
  <c r="R7" i="24" s="1"/>
  <c r="J8" i="24"/>
  <c r="R8" i="24" s="1"/>
  <c r="J9" i="24"/>
  <c r="R9" i="24" s="1"/>
  <c r="J10" i="24"/>
  <c r="R10" i="24" s="1"/>
  <c r="J11" i="24"/>
  <c r="R11" i="24" s="1"/>
  <c r="J12" i="24"/>
  <c r="R12" i="24" s="1"/>
  <c r="J13" i="24"/>
  <c r="R13" i="24" s="1"/>
  <c r="J14" i="24"/>
  <c r="R14" i="24" s="1"/>
  <c r="J15" i="24"/>
  <c r="R15" i="24" s="1"/>
  <c r="J16" i="24"/>
  <c r="R16" i="24" s="1"/>
  <c r="J17" i="24"/>
  <c r="R17" i="24" s="1"/>
  <c r="J18" i="24"/>
  <c r="R18" i="24" s="1"/>
  <c r="J19" i="24"/>
  <c r="R19" i="24" s="1"/>
  <c r="J20" i="24"/>
  <c r="R20" i="24" s="1"/>
  <c r="J21" i="24"/>
  <c r="R21" i="24" s="1"/>
  <c r="J22" i="24"/>
  <c r="R22" i="24" s="1"/>
  <c r="J23" i="24"/>
  <c r="R23" i="24" s="1"/>
  <c r="J24" i="24"/>
  <c r="R24" i="24" s="1"/>
  <c r="J25" i="24"/>
  <c r="R25" i="24" s="1"/>
  <c r="J26" i="24"/>
  <c r="R26" i="24" s="1"/>
  <c r="J27" i="24"/>
  <c r="R27" i="24" s="1"/>
  <c r="J28" i="24"/>
  <c r="R28" i="24" s="1"/>
  <c r="J29" i="24"/>
  <c r="R29" i="24" s="1"/>
  <c r="J30" i="24"/>
  <c r="R30" i="24" s="1"/>
  <c r="J31" i="24"/>
  <c r="R31" i="24" s="1"/>
  <c r="J32" i="24"/>
  <c r="R32" i="24" s="1"/>
  <c r="J33" i="24"/>
  <c r="R33" i="24" s="1"/>
  <c r="J34" i="24"/>
  <c r="R34" i="24" s="1"/>
  <c r="J35" i="24"/>
  <c r="R35" i="24" s="1"/>
  <c r="J36" i="24"/>
  <c r="R36" i="24" s="1"/>
  <c r="J37" i="24"/>
  <c r="R37" i="24" s="1"/>
  <c r="J38" i="24"/>
  <c r="R38" i="24" s="1"/>
  <c r="J39" i="24"/>
  <c r="R39" i="24" s="1"/>
  <c r="J40" i="24"/>
  <c r="R40" i="24" s="1"/>
  <c r="J41" i="24"/>
  <c r="R41" i="24" s="1"/>
  <c r="J42" i="24"/>
  <c r="R42" i="24" s="1"/>
  <c r="J43" i="24"/>
  <c r="R43" i="24" s="1"/>
  <c r="J44" i="24"/>
  <c r="R44" i="24" s="1"/>
  <c r="J45" i="24"/>
  <c r="R45" i="24" s="1"/>
  <c r="J46" i="24"/>
  <c r="R46" i="24" s="1"/>
  <c r="J47" i="24"/>
  <c r="R47" i="24" s="1"/>
  <c r="J48" i="24"/>
  <c r="R48" i="24" s="1"/>
  <c r="J49" i="24"/>
  <c r="R49" i="24" s="1"/>
  <c r="J50" i="24"/>
  <c r="R50" i="24" s="1"/>
  <c r="J51" i="24"/>
  <c r="R51" i="24" s="1"/>
  <c r="J52" i="24"/>
  <c r="R52" i="24" s="1"/>
  <c r="J53" i="24"/>
  <c r="R53" i="24" s="1"/>
  <c r="J54" i="24"/>
  <c r="R54" i="24" s="1"/>
  <c r="J55" i="24"/>
  <c r="R55" i="24" s="1"/>
  <c r="J56" i="24"/>
  <c r="R56" i="24" s="1"/>
  <c r="J57" i="24"/>
  <c r="R57" i="24" s="1"/>
  <c r="J58" i="24"/>
  <c r="R58" i="24" s="1"/>
  <c r="J59" i="24"/>
  <c r="R59" i="24" s="1"/>
  <c r="J60" i="24"/>
  <c r="R60" i="24" s="1"/>
  <c r="J61" i="24"/>
  <c r="R61" i="24" s="1"/>
  <c r="J62" i="24"/>
  <c r="R62" i="24" s="1"/>
  <c r="J63" i="24"/>
  <c r="R63" i="24" s="1"/>
  <c r="J64" i="24"/>
  <c r="R64" i="24" s="1"/>
  <c r="J65" i="24"/>
  <c r="R65" i="24" s="1"/>
  <c r="J66" i="24"/>
  <c r="R66" i="24" s="1"/>
  <c r="J67" i="24"/>
  <c r="R67" i="24" s="1"/>
  <c r="J68" i="24"/>
  <c r="R68" i="24" s="1"/>
  <c r="J69" i="24"/>
  <c r="R69" i="24" s="1"/>
  <c r="J70" i="24"/>
  <c r="R70" i="24" s="1"/>
  <c r="J71" i="24"/>
  <c r="R71" i="24" s="1"/>
  <c r="J72" i="24"/>
  <c r="R72" i="24" s="1"/>
  <c r="J73" i="24"/>
  <c r="R73" i="24" s="1"/>
  <c r="J74" i="24"/>
  <c r="R74" i="24" s="1"/>
  <c r="J75" i="24"/>
  <c r="R75" i="24" s="1"/>
  <c r="J76" i="24"/>
  <c r="R76" i="24" s="1"/>
  <c r="J77" i="24"/>
  <c r="R77" i="24" s="1"/>
  <c r="J78" i="24"/>
  <c r="R78" i="24" s="1"/>
  <c r="J79" i="24"/>
  <c r="R79" i="24" s="1"/>
  <c r="J80" i="24"/>
  <c r="R80" i="24" s="1"/>
  <c r="J81" i="24"/>
  <c r="R81" i="24" s="1"/>
  <c r="J82" i="24"/>
  <c r="R82" i="24" s="1"/>
  <c r="J83" i="24"/>
  <c r="R83" i="24" s="1"/>
  <c r="J84" i="24"/>
  <c r="R84" i="24" s="1"/>
  <c r="J85" i="24"/>
  <c r="R85" i="24" s="1"/>
  <c r="J86" i="24"/>
  <c r="R86" i="24" s="1"/>
  <c r="J87" i="24"/>
  <c r="R87" i="24" s="1"/>
  <c r="J88" i="24"/>
  <c r="R88" i="24" s="1"/>
  <c r="J89" i="24"/>
  <c r="R89" i="24" s="1"/>
  <c r="J90" i="24"/>
  <c r="R90" i="24" s="1"/>
  <c r="J91" i="24"/>
  <c r="R91" i="24" s="1"/>
  <c r="J92" i="24"/>
  <c r="R92" i="24" s="1"/>
  <c r="J93" i="24"/>
  <c r="R93" i="24" s="1"/>
  <c r="J94" i="24"/>
  <c r="R94" i="24" s="1"/>
  <c r="J95" i="24"/>
  <c r="R95" i="24" s="1"/>
  <c r="J96" i="24"/>
  <c r="R96" i="24" s="1"/>
  <c r="J97" i="24"/>
  <c r="R97" i="24" s="1"/>
  <c r="J1" i="24"/>
  <c r="R1" i="24" s="1"/>
  <c r="H1" i="24"/>
  <c r="P1" i="24" s="1"/>
  <c r="M2" i="23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44" i="23"/>
  <c r="M45" i="23"/>
  <c r="M46" i="23"/>
  <c r="M47" i="23"/>
  <c r="M48" i="23"/>
  <c r="M49" i="23"/>
  <c r="M50" i="23"/>
  <c r="M51" i="23"/>
  <c r="M52" i="23"/>
  <c r="M53" i="23"/>
  <c r="M54" i="23"/>
  <c r="M55" i="23"/>
  <c r="M56" i="23"/>
  <c r="M57" i="23"/>
  <c r="M58" i="23"/>
  <c r="M59" i="23"/>
  <c r="M60" i="23"/>
  <c r="M61" i="23"/>
  <c r="M62" i="23"/>
  <c r="M63" i="23"/>
  <c r="M64" i="23"/>
  <c r="M65" i="23"/>
  <c r="M66" i="23"/>
  <c r="M67" i="23"/>
  <c r="M68" i="23"/>
  <c r="M69" i="23"/>
  <c r="M70" i="23"/>
  <c r="M71" i="23"/>
  <c r="M72" i="23"/>
  <c r="M73" i="23"/>
  <c r="M74" i="23"/>
  <c r="M75" i="23"/>
  <c r="M76" i="23"/>
  <c r="M77" i="23"/>
  <c r="M78" i="23"/>
  <c r="M79" i="23"/>
  <c r="M80" i="23"/>
  <c r="M81" i="23"/>
  <c r="M82" i="23"/>
  <c r="M83" i="23"/>
  <c r="M84" i="23"/>
  <c r="M85" i="23"/>
  <c r="M86" i="23"/>
  <c r="M87" i="23"/>
  <c r="M88" i="23"/>
  <c r="M89" i="23"/>
  <c r="M90" i="23"/>
  <c r="M91" i="23"/>
  <c r="M92" i="23"/>
  <c r="M93" i="23"/>
  <c r="M94" i="23"/>
  <c r="M95" i="23"/>
  <c r="M96" i="23"/>
  <c r="M97" i="23"/>
  <c r="I97" i="26"/>
  <c r="I96" i="26"/>
  <c r="I95" i="26"/>
  <c r="I94" i="26"/>
  <c r="I93" i="26"/>
  <c r="I92" i="26"/>
  <c r="I91" i="26"/>
  <c r="I90" i="26"/>
  <c r="I89" i="26"/>
  <c r="I88" i="26"/>
  <c r="I87" i="26"/>
  <c r="I86" i="26"/>
  <c r="I85" i="26"/>
  <c r="I84" i="26"/>
  <c r="I83" i="26"/>
  <c r="I82" i="26"/>
  <c r="I81" i="26"/>
  <c r="I80" i="26"/>
  <c r="I79" i="26"/>
  <c r="I78" i="26"/>
  <c r="I77" i="26"/>
  <c r="I76" i="26"/>
  <c r="I75" i="26"/>
  <c r="I74" i="26"/>
  <c r="I73" i="26"/>
  <c r="I72" i="26"/>
  <c r="I71" i="26"/>
  <c r="I70" i="26"/>
  <c r="I69" i="26"/>
  <c r="I68" i="26"/>
  <c r="I67" i="26"/>
  <c r="I66" i="26"/>
  <c r="I65" i="26"/>
  <c r="I64" i="26"/>
  <c r="I63" i="26"/>
  <c r="I62" i="26"/>
  <c r="I61" i="26"/>
  <c r="I60" i="26"/>
  <c r="I59" i="26"/>
  <c r="I58" i="26"/>
  <c r="I57" i="26"/>
  <c r="I56" i="26"/>
  <c r="I55" i="26"/>
  <c r="I54" i="26"/>
  <c r="I53" i="26"/>
  <c r="I52" i="26"/>
  <c r="I51" i="26"/>
  <c r="I50" i="26"/>
  <c r="I49" i="26"/>
  <c r="I48" i="26"/>
  <c r="I47" i="26"/>
  <c r="I46" i="26"/>
  <c r="I45" i="26"/>
  <c r="I44" i="26"/>
  <c r="I43" i="26"/>
  <c r="I42" i="26"/>
  <c r="I41" i="26"/>
  <c r="I40" i="26"/>
  <c r="I39" i="26"/>
  <c r="I38" i="26"/>
  <c r="I37" i="26"/>
  <c r="I36" i="26"/>
  <c r="I35" i="26"/>
  <c r="I34" i="26"/>
  <c r="I33" i="26"/>
  <c r="I32" i="26"/>
  <c r="I31" i="26"/>
  <c r="I30" i="26"/>
  <c r="I29" i="26"/>
  <c r="I28" i="26"/>
  <c r="I27" i="26"/>
  <c r="I26" i="26"/>
  <c r="I25" i="26"/>
  <c r="I24" i="26"/>
  <c r="I23" i="26"/>
  <c r="I22" i="26"/>
  <c r="I21" i="26"/>
  <c r="I20" i="26"/>
  <c r="I19" i="26"/>
  <c r="I18" i="26"/>
  <c r="I17" i="26"/>
  <c r="I16" i="26"/>
  <c r="I15" i="26"/>
  <c r="I14" i="26"/>
  <c r="I13" i="26"/>
  <c r="I12" i="26"/>
  <c r="I11" i="26"/>
  <c r="I10" i="26"/>
  <c r="I9" i="26"/>
  <c r="I8" i="26"/>
  <c r="I7" i="26"/>
  <c r="I6" i="26"/>
  <c r="I5" i="26"/>
  <c r="I4" i="26"/>
  <c r="I3" i="26"/>
  <c r="I2" i="26"/>
  <c r="I1" i="26"/>
  <c r="G85" i="25"/>
  <c r="N85" i="25" s="1"/>
  <c r="G84" i="25"/>
  <c r="N84" i="25" s="1"/>
  <c r="G83" i="25"/>
  <c r="N83" i="25" s="1"/>
  <c r="G82" i="25"/>
  <c r="N82" i="25" s="1"/>
  <c r="G81" i="25"/>
  <c r="N81" i="25" s="1"/>
  <c r="G80" i="25"/>
  <c r="N80" i="25" s="1"/>
  <c r="G79" i="25"/>
  <c r="N79" i="25" s="1"/>
  <c r="G78" i="25"/>
  <c r="N78" i="25" s="1"/>
  <c r="G77" i="25"/>
  <c r="N77" i="25" s="1"/>
  <c r="G76" i="25"/>
  <c r="N76" i="25" s="1"/>
  <c r="G75" i="25"/>
  <c r="N75" i="25" s="1"/>
  <c r="G51" i="25"/>
  <c r="N51" i="25" s="1"/>
  <c r="G37" i="25"/>
  <c r="N37" i="25" s="1"/>
  <c r="G36" i="25"/>
  <c r="N36" i="25" s="1"/>
  <c r="G35" i="25"/>
  <c r="N35" i="25" s="1"/>
  <c r="G34" i="25"/>
  <c r="N34" i="25" s="1"/>
  <c r="G33" i="25"/>
  <c r="N33" i="25" s="1"/>
  <c r="G32" i="25"/>
  <c r="N32" i="25" s="1"/>
  <c r="G31" i="25"/>
  <c r="N31" i="25" s="1"/>
  <c r="G30" i="25"/>
  <c r="N30" i="25" s="1"/>
  <c r="G29" i="25"/>
  <c r="N29" i="25" s="1"/>
  <c r="G28" i="25"/>
  <c r="N28" i="25" s="1"/>
  <c r="G27" i="25"/>
  <c r="N27" i="25" s="1"/>
  <c r="G26" i="25"/>
  <c r="N26" i="25" s="1"/>
  <c r="G3" i="25"/>
  <c r="N3" i="25" s="1"/>
  <c r="K1" i="25"/>
  <c r="G1" i="25"/>
  <c r="N1" i="25" s="1"/>
  <c r="I97" i="24"/>
  <c r="Q97" i="24" s="1"/>
  <c r="I96" i="24"/>
  <c r="Q96" i="24" s="1"/>
  <c r="I95" i="24"/>
  <c r="Q95" i="24" s="1"/>
  <c r="I94" i="24"/>
  <c r="Q94" i="24" s="1"/>
  <c r="I93" i="24"/>
  <c r="Q93" i="24" s="1"/>
  <c r="I92" i="24"/>
  <c r="Q92" i="24" s="1"/>
  <c r="I91" i="24"/>
  <c r="Q91" i="24" s="1"/>
  <c r="I90" i="24"/>
  <c r="Q90" i="24" s="1"/>
  <c r="I89" i="24"/>
  <c r="Q89" i="24" s="1"/>
  <c r="I88" i="24"/>
  <c r="Q88" i="24" s="1"/>
  <c r="I87" i="24"/>
  <c r="Q87" i="24" s="1"/>
  <c r="I86" i="24"/>
  <c r="Q86" i="24" s="1"/>
  <c r="G85" i="24"/>
  <c r="O85" i="24" s="1"/>
  <c r="I85" i="24"/>
  <c r="Q85" i="24" s="1"/>
  <c r="G84" i="24"/>
  <c r="O84" i="24" s="1"/>
  <c r="I84" i="24"/>
  <c r="Q84" i="24" s="1"/>
  <c r="G83" i="24"/>
  <c r="O83" i="24" s="1"/>
  <c r="I83" i="24"/>
  <c r="Q83" i="24" s="1"/>
  <c r="G82" i="24"/>
  <c r="O82" i="24" s="1"/>
  <c r="I82" i="24"/>
  <c r="Q82" i="24" s="1"/>
  <c r="G81" i="24"/>
  <c r="O81" i="24" s="1"/>
  <c r="I81" i="24"/>
  <c r="Q81" i="24" s="1"/>
  <c r="G80" i="24"/>
  <c r="O80" i="24" s="1"/>
  <c r="I80" i="24"/>
  <c r="Q80" i="24" s="1"/>
  <c r="G79" i="24"/>
  <c r="O79" i="24" s="1"/>
  <c r="I79" i="24"/>
  <c r="Q79" i="24" s="1"/>
  <c r="G78" i="24"/>
  <c r="O78" i="24" s="1"/>
  <c r="I78" i="24"/>
  <c r="Q78" i="24" s="1"/>
  <c r="G77" i="24"/>
  <c r="O77" i="24" s="1"/>
  <c r="I77" i="24"/>
  <c r="Q77" i="24" s="1"/>
  <c r="G76" i="24"/>
  <c r="O76" i="24" s="1"/>
  <c r="I76" i="24"/>
  <c r="Q76" i="24" s="1"/>
  <c r="G75" i="24"/>
  <c r="O75" i="24" s="1"/>
  <c r="I75" i="24"/>
  <c r="Q75" i="24" s="1"/>
  <c r="I74" i="24"/>
  <c r="Q74" i="24" s="1"/>
  <c r="I73" i="24"/>
  <c r="Q73" i="24" s="1"/>
  <c r="I72" i="24"/>
  <c r="Q72" i="24" s="1"/>
  <c r="I71" i="24"/>
  <c r="Q71" i="24" s="1"/>
  <c r="I70" i="24"/>
  <c r="Q70" i="24" s="1"/>
  <c r="I69" i="24"/>
  <c r="Q69" i="24" s="1"/>
  <c r="I68" i="24"/>
  <c r="Q68" i="24" s="1"/>
  <c r="I67" i="24"/>
  <c r="Q67" i="24" s="1"/>
  <c r="I66" i="24"/>
  <c r="Q66" i="24" s="1"/>
  <c r="I65" i="24"/>
  <c r="Q65" i="24" s="1"/>
  <c r="I64" i="24"/>
  <c r="Q64" i="24" s="1"/>
  <c r="I63" i="24"/>
  <c r="Q63" i="24" s="1"/>
  <c r="I62" i="24"/>
  <c r="Q62" i="24" s="1"/>
  <c r="I61" i="24"/>
  <c r="Q61" i="24" s="1"/>
  <c r="I60" i="24"/>
  <c r="Q60" i="24" s="1"/>
  <c r="I59" i="24"/>
  <c r="Q59" i="24" s="1"/>
  <c r="I58" i="24"/>
  <c r="Q58" i="24" s="1"/>
  <c r="I57" i="24"/>
  <c r="Q57" i="24" s="1"/>
  <c r="I56" i="24"/>
  <c r="Q56" i="24" s="1"/>
  <c r="I55" i="24"/>
  <c r="Q55" i="24" s="1"/>
  <c r="I54" i="24"/>
  <c r="Q54" i="24" s="1"/>
  <c r="I53" i="24"/>
  <c r="Q53" i="24" s="1"/>
  <c r="I52" i="24"/>
  <c r="Q52" i="24" s="1"/>
  <c r="G51" i="24"/>
  <c r="O51" i="24" s="1"/>
  <c r="I51" i="24"/>
  <c r="Q51" i="24" s="1"/>
  <c r="I50" i="24"/>
  <c r="Q50" i="24" s="1"/>
  <c r="I49" i="24"/>
  <c r="Q49" i="24" s="1"/>
  <c r="I48" i="24"/>
  <c r="Q48" i="24" s="1"/>
  <c r="I47" i="24"/>
  <c r="Q47" i="24" s="1"/>
  <c r="I46" i="24"/>
  <c r="Q46" i="24" s="1"/>
  <c r="I45" i="24"/>
  <c r="Q45" i="24" s="1"/>
  <c r="I44" i="24"/>
  <c r="Q44" i="24" s="1"/>
  <c r="I43" i="24"/>
  <c r="Q43" i="24" s="1"/>
  <c r="I42" i="24"/>
  <c r="Q42" i="24" s="1"/>
  <c r="I41" i="24"/>
  <c r="Q41" i="24" s="1"/>
  <c r="I40" i="24"/>
  <c r="Q40" i="24" s="1"/>
  <c r="I39" i="24"/>
  <c r="Q39" i="24" s="1"/>
  <c r="I38" i="24"/>
  <c r="Q38" i="24" s="1"/>
  <c r="G37" i="24"/>
  <c r="O37" i="24" s="1"/>
  <c r="I37" i="24"/>
  <c r="Q37" i="24" s="1"/>
  <c r="G36" i="24"/>
  <c r="O36" i="24" s="1"/>
  <c r="I36" i="24"/>
  <c r="Q36" i="24" s="1"/>
  <c r="G35" i="24"/>
  <c r="O35" i="24" s="1"/>
  <c r="I35" i="24"/>
  <c r="Q35" i="24" s="1"/>
  <c r="G34" i="24"/>
  <c r="O34" i="24" s="1"/>
  <c r="I34" i="24"/>
  <c r="Q34" i="24" s="1"/>
  <c r="G33" i="24"/>
  <c r="O33" i="24" s="1"/>
  <c r="I33" i="24"/>
  <c r="Q33" i="24" s="1"/>
  <c r="G32" i="24"/>
  <c r="O32" i="24" s="1"/>
  <c r="I32" i="24"/>
  <c r="Q32" i="24" s="1"/>
  <c r="G31" i="24"/>
  <c r="O31" i="24" s="1"/>
  <c r="I31" i="24"/>
  <c r="Q31" i="24" s="1"/>
  <c r="G30" i="24"/>
  <c r="O30" i="24" s="1"/>
  <c r="I30" i="24"/>
  <c r="Q30" i="24" s="1"/>
  <c r="G29" i="24"/>
  <c r="O29" i="24" s="1"/>
  <c r="I29" i="24"/>
  <c r="Q29" i="24" s="1"/>
  <c r="G28" i="24"/>
  <c r="O28" i="24" s="1"/>
  <c r="I28" i="24"/>
  <c r="Q28" i="24" s="1"/>
  <c r="G27" i="24"/>
  <c r="O27" i="24" s="1"/>
  <c r="I27" i="24"/>
  <c r="Q27" i="24" s="1"/>
  <c r="G26" i="24"/>
  <c r="O26" i="24" s="1"/>
  <c r="I26" i="24"/>
  <c r="Q26" i="24" s="1"/>
  <c r="I25" i="24"/>
  <c r="Q25" i="24" s="1"/>
  <c r="I24" i="24"/>
  <c r="Q24" i="24" s="1"/>
  <c r="I23" i="24"/>
  <c r="Q23" i="24" s="1"/>
  <c r="I22" i="24"/>
  <c r="Q22" i="24" s="1"/>
  <c r="I21" i="24"/>
  <c r="Q21" i="24" s="1"/>
  <c r="I20" i="24"/>
  <c r="Q20" i="24" s="1"/>
  <c r="I19" i="24"/>
  <c r="Q19" i="24" s="1"/>
  <c r="I18" i="24"/>
  <c r="Q18" i="24" s="1"/>
  <c r="I17" i="24"/>
  <c r="Q17" i="24" s="1"/>
  <c r="I16" i="24"/>
  <c r="Q16" i="24" s="1"/>
  <c r="I15" i="24"/>
  <c r="Q15" i="24" s="1"/>
  <c r="I14" i="24"/>
  <c r="Q14" i="24" s="1"/>
  <c r="I13" i="24"/>
  <c r="Q13" i="24" s="1"/>
  <c r="I12" i="24"/>
  <c r="Q12" i="24" s="1"/>
  <c r="I11" i="24"/>
  <c r="Q11" i="24" s="1"/>
  <c r="I10" i="24"/>
  <c r="Q10" i="24" s="1"/>
  <c r="I9" i="24"/>
  <c r="Q9" i="24" s="1"/>
  <c r="I8" i="24"/>
  <c r="Q8" i="24" s="1"/>
  <c r="I7" i="24"/>
  <c r="Q7" i="24" s="1"/>
  <c r="I6" i="24"/>
  <c r="Q6" i="24" s="1"/>
  <c r="I5" i="24"/>
  <c r="Q5" i="24" s="1"/>
  <c r="I4" i="24"/>
  <c r="Q4" i="24" s="1"/>
  <c r="G3" i="24"/>
  <c r="O3" i="24" s="1"/>
  <c r="I3" i="24"/>
  <c r="Q3" i="24" s="1"/>
  <c r="I2" i="24"/>
  <c r="Q2" i="24" s="1"/>
  <c r="L1" i="24"/>
  <c r="G1" i="24"/>
  <c r="O1" i="24" s="1"/>
  <c r="I1" i="24"/>
  <c r="Q1" i="24" s="1"/>
  <c r="S97" i="23"/>
  <c r="I97" i="23"/>
  <c r="R97" i="23" s="1"/>
  <c r="S96" i="23"/>
  <c r="I96" i="23"/>
  <c r="R96" i="23" s="1"/>
  <c r="S95" i="23"/>
  <c r="I95" i="23"/>
  <c r="R95" i="23" s="1"/>
  <c r="S94" i="23"/>
  <c r="I94" i="23"/>
  <c r="R94" i="23" s="1"/>
  <c r="S93" i="23"/>
  <c r="I93" i="23"/>
  <c r="R93" i="23" s="1"/>
  <c r="S92" i="23"/>
  <c r="I92" i="23"/>
  <c r="R92" i="23" s="1"/>
  <c r="S91" i="23"/>
  <c r="I91" i="23"/>
  <c r="R91" i="23" s="1"/>
  <c r="S90" i="23"/>
  <c r="I90" i="23"/>
  <c r="R90" i="23" s="1"/>
  <c r="S89" i="23"/>
  <c r="I89" i="23"/>
  <c r="R89" i="23" s="1"/>
  <c r="S88" i="23"/>
  <c r="I88" i="23"/>
  <c r="R88" i="23" s="1"/>
  <c r="S87" i="23"/>
  <c r="I87" i="23"/>
  <c r="R87" i="23" s="1"/>
  <c r="S86" i="23"/>
  <c r="I86" i="23"/>
  <c r="R86" i="23" s="1"/>
  <c r="S85" i="23"/>
  <c r="K85" i="23"/>
  <c r="T85" i="23" s="1"/>
  <c r="I85" i="23"/>
  <c r="R85" i="23" s="1"/>
  <c r="S84" i="23"/>
  <c r="K84" i="23"/>
  <c r="T84" i="23" s="1"/>
  <c r="I84" i="23"/>
  <c r="R84" i="23" s="1"/>
  <c r="S83" i="23"/>
  <c r="K83" i="23"/>
  <c r="T83" i="23" s="1"/>
  <c r="I83" i="23"/>
  <c r="R83" i="23" s="1"/>
  <c r="S82" i="23"/>
  <c r="K82" i="23"/>
  <c r="T82" i="23" s="1"/>
  <c r="I82" i="23"/>
  <c r="R82" i="23" s="1"/>
  <c r="S81" i="23"/>
  <c r="K81" i="23"/>
  <c r="T81" i="23" s="1"/>
  <c r="I81" i="23"/>
  <c r="R81" i="23" s="1"/>
  <c r="S80" i="23"/>
  <c r="K80" i="23"/>
  <c r="T80" i="23" s="1"/>
  <c r="I80" i="23"/>
  <c r="R80" i="23" s="1"/>
  <c r="S79" i="23"/>
  <c r="K79" i="23"/>
  <c r="T79" i="23" s="1"/>
  <c r="I79" i="23"/>
  <c r="R79" i="23" s="1"/>
  <c r="S78" i="23"/>
  <c r="K78" i="23"/>
  <c r="T78" i="23" s="1"/>
  <c r="I78" i="23"/>
  <c r="R78" i="23" s="1"/>
  <c r="S77" i="23"/>
  <c r="K77" i="23"/>
  <c r="T77" i="23" s="1"/>
  <c r="I77" i="23"/>
  <c r="R77" i="23" s="1"/>
  <c r="S76" i="23"/>
  <c r="K76" i="23"/>
  <c r="T76" i="23" s="1"/>
  <c r="I76" i="23"/>
  <c r="R76" i="23" s="1"/>
  <c r="S75" i="23"/>
  <c r="K75" i="23"/>
  <c r="T75" i="23" s="1"/>
  <c r="I75" i="23"/>
  <c r="R75" i="23" s="1"/>
  <c r="S74" i="23"/>
  <c r="I74" i="23"/>
  <c r="R74" i="23" s="1"/>
  <c r="S73" i="23"/>
  <c r="I73" i="23"/>
  <c r="R73" i="23" s="1"/>
  <c r="S72" i="23"/>
  <c r="I72" i="23"/>
  <c r="R72" i="23" s="1"/>
  <c r="S71" i="23"/>
  <c r="I71" i="23"/>
  <c r="R71" i="23" s="1"/>
  <c r="S70" i="23"/>
  <c r="I70" i="23"/>
  <c r="R70" i="23" s="1"/>
  <c r="S69" i="23"/>
  <c r="I69" i="23"/>
  <c r="R69" i="23" s="1"/>
  <c r="S68" i="23"/>
  <c r="I68" i="23"/>
  <c r="R68" i="23" s="1"/>
  <c r="S67" i="23"/>
  <c r="I67" i="23"/>
  <c r="R67" i="23" s="1"/>
  <c r="S66" i="23"/>
  <c r="I66" i="23"/>
  <c r="R66" i="23" s="1"/>
  <c r="S65" i="23"/>
  <c r="I65" i="23"/>
  <c r="R65" i="23" s="1"/>
  <c r="S64" i="23"/>
  <c r="I64" i="23"/>
  <c r="R64" i="23" s="1"/>
  <c r="S63" i="23"/>
  <c r="I63" i="23"/>
  <c r="R63" i="23" s="1"/>
  <c r="S62" i="23"/>
  <c r="I62" i="23"/>
  <c r="R62" i="23" s="1"/>
  <c r="S61" i="23"/>
  <c r="I61" i="23"/>
  <c r="R61" i="23" s="1"/>
  <c r="S60" i="23"/>
  <c r="I60" i="23"/>
  <c r="R60" i="23" s="1"/>
  <c r="S59" i="23"/>
  <c r="I59" i="23"/>
  <c r="R59" i="23" s="1"/>
  <c r="S58" i="23"/>
  <c r="I58" i="23"/>
  <c r="R58" i="23" s="1"/>
  <c r="S57" i="23"/>
  <c r="I57" i="23"/>
  <c r="R57" i="23" s="1"/>
  <c r="S56" i="23"/>
  <c r="I56" i="23"/>
  <c r="R56" i="23" s="1"/>
  <c r="S55" i="23"/>
  <c r="I55" i="23"/>
  <c r="R55" i="23" s="1"/>
  <c r="S54" i="23"/>
  <c r="I54" i="23"/>
  <c r="R54" i="23" s="1"/>
  <c r="S53" i="23"/>
  <c r="I53" i="23"/>
  <c r="R53" i="23" s="1"/>
  <c r="S52" i="23"/>
  <c r="I52" i="23"/>
  <c r="R52" i="23" s="1"/>
  <c r="S51" i="23"/>
  <c r="K51" i="23"/>
  <c r="T51" i="23" s="1"/>
  <c r="I51" i="23"/>
  <c r="R51" i="23" s="1"/>
  <c r="S50" i="23"/>
  <c r="I50" i="23"/>
  <c r="R50" i="23" s="1"/>
  <c r="S49" i="23"/>
  <c r="I49" i="23"/>
  <c r="R49" i="23" s="1"/>
  <c r="S48" i="23"/>
  <c r="I48" i="23"/>
  <c r="R48" i="23" s="1"/>
  <c r="S47" i="23"/>
  <c r="I47" i="23"/>
  <c r="R47" i="23" s="1"/>
  <c r="S46" i="23"/>
  <c r="I46" i="23"/>
  <c r="R46" i="23" s="1"/>
  <c r="S45" i="23"/>
  <c r="I45" i="23"/>
  <c r="R45" i="23" s="1"/>
  <c r="S44" i="23"/>
  <c r="I44" i="23"/>
  <c r="R44" i="23" s="1"/>
  <c r="S43" i="23"/>
  <c r="I43" i="23"/>
  <c r="R43" i="23" s="1"/>
  <c r="S42" i="23"/>
  <c r="I42" i="23"/>
  <c r="R42" i="23" s="1"/>
  <c r="S41" i="23"/>
  <c r="I41" i="23"/>
  <c r="R41" i="23" s="1"/>
  <c r="S40" i="23"/>
  <c r="I40" i="23"/>
  <c r="R40" i="23" s="1"/>
  <c r="S39" i="23"/>
  <c r="I39" i="23"/>
  <c r="R39" i="23" s="1"/>
  <c r="S38" i="23"/>
  <c r="I38" i="23"/>
  <c r="R38" i="23" s="1"/>
  <c r="S37" i="23"/>
  <c r="K37" i="23"/>
  <c r="T37" i="23" s="1"/>
  <c r="I37" i="23"/>
  <c r="R37" i="23" s="1"/>
  <c r="S36" i="23"/>
  <c r="K36" i="23"/>
  <c r="T36" i="23" s="1"/>
  <c r="I36" i="23"/>
  <c r="R36" i="23" s="1"/>
  <c r="S35" i="23"/>
  <c r="K35" i="23"/>
  <c r="T35" i="23" s="1"/>
  <c r="I35" i="23"/>
  <c r="R35" i="23" s="1"/>
  <c r="S34" i="23"/>
  <c r="K34" i="23"/>
  <c r="T34" i="23" s="1"/>
  <c r="I34" i="23"/>
  <c r="R34" i="23" s="1"/>
  <c r="S33" i="23"/>
  <c r="K33" i="23"/>
  <c r="T33" i="23" s="1"/>
  <c r="I33" i="23"/>
  <c r="R33" i="23" s="1"/>
  <c r="S32" i="23"/>
  <c r="K32" i="23"/>
  <c r="T32" i="23" s="1"/>
  <c r="I32" i="23"/>
  <c r="R32" i="23" s="1"/>
  <c r="S31" i="23"/>
  <c r="K31" i="23"/>
  <c r="T31" i="23" s="1"/>
  <c r="I31" i="23"/>
  <c r="R31" i="23" s="1"/>
  <c r="S30" i="23"/>
  <c r="K30" i="23"/>
  <c r="T30" i="23" s="1"/>
  <c r="I30" i="23"/>
  <c r="R30" i="23" s="1"/>
  <c r="S29" i="23"/>
  <c r="K29" i="23"/>
  <c r="T29" i="23" s="1"/>
  <c r="I29" i="23"/>
  <c r="R29" i="23" s="1"/>
  <c r="S28" i="23"/>
  <c r="K28" i="23"/>
  <c r="T28" i="23" s="1"/>
  <c r="I28" i="23"/>
  <c r="R28" i="23" s="1"/>
  <c r="S27" i="23"/>
  <c r="K27" i="23"/>
  <c r="T27" i="23" s="1"/>
  <c r="I27" i="23"/>
  <c r="R27" i="23" s="1"/>
  <c r="S26" i="23"/>
  <c r="K26" i="23"/>
  <c r="T26" i="23" s="1"/>
  <c r="I26" i="23"/>
  <c r="R26" i="23" s="1"/>
  <c r="S25" i="23"/>
  <c r="I25" i="23"/>
  <c r="R25" i="23" s="1"/>
  <c r="S24" i="23"/>
  <c r="I24" i="23"/>
  <c r="R24" i="23" s="1"/>
  <c r="S23" i="23"/>
  <c r="I23" i="23"/>
  <c r="R23" i="23" s="1"/>
  <c r="S22" i="23"/>
  <c r="I22" i="23"/>
  <c r="R22" i="23" s="1"/>
  <c r="S21" i="23"/>
  <c r="I21" i="23"/>
  <c r="R21" i="23" s="1"/>
  <c r="S20" i="23"/>
  <c r="I20" i="23"/>
  <c r="R20" i="23" s="1"/>
  <c r="S19" i="23"/>
  <c r="I19" i="23"/>
  <c r="R19" i="23" s="1"/>
  <c r="S18" i="23"/>
  <c r="I18" i="23"/>
  <c r="R18" i="23" s="1"/>
  <c r="S17" i="23"/>
  <c r="I17" i="23"/>
  <c r="R17" i="23" s="1"/>
  <c r="S16" i="23"/>
  <c r="I16" i="23"/>
  <c r="R16" i="23" s="1"/>
  <c r="S15" i="23"/>
  <c r="I15" i="23"/>
  <c r="R15" i="23" s="1"/>
  <c r="S14" i="23"/>
  <c r="I14" i="23"/>
  <c r="R14" i="23" s="1"/>
  <c r="S13" i="23"/>
  <c r="I13" i="23"/>
  <c r="R13" i="23" s="1"/>
  <c r="S12" i="23"/>
  <c r="I12" i="23"/>
  <c r="R12" i="23" s="1"/>
  <c r="S11" i="23"/>
  <c r="I11" i="23"/>
  <c r="R11" i="23" s="1"/>
  <c r="S10" i="23"/>
  <c r="I10" i="23"/>
  <c r="R10" i="23" s="1"/>
  <c r="S9" i="23"/>
  <c r="I9" i="23"/>
  <c r="R9" i="23" s="1"/>
  <c r="S8" i="23"/>
  <c r="I8" i="23"/>
  <c r="R8" i="23" s="1"/>
  <c r="S7" i="23"/>
  <c r="I7" i="23"/>
  <c r="R7" i="23" s="1"/>
  <c r="S6" i="23"/>
  <c r="I6" i="23"/>
  <c r="R6" i="23" s="1"/>
  <c r="S5" i="23"/>
  <c r="I5" i="23"/>
  <c r="R5" i="23" s="1"/>
  <c r="S4" i="23"/>
  <c r="I4" i="23"/>
  <c r="R4" i="23" s="1"/>
  <c r="S3" i="23"/>
  <c r="K3" i="23"/>
  <c r="T3" i="23" s="1"/>
  <c r="I3" i="23"/>
  <c r="R3" i="23" s="1"/>
  <c r="S2" i="23"/>
  <c r="I2" i="23"/>
  <c r="R2" i="23" s="1"/>
  <c r="M1" i="23"/>
  <c r="S1" i="23"/>
  <c r="K1" i="23"/>
  <c r="T1" i="23" s="1"/>
  <c r="I1" i="23"/>
  <c r="R1" i="23" s="1"/>
  <c r="K15" i="22"/>
  <c r="J97" i="22"/>
  <c r="J96" i="22"/>
  <c r="J95" i="22"/>
  <c r="J94" i="22"/>
  <c r="J93" i="22"/>
  <c r="J92" i="22"/>
  <c r="J91" i="22"/>
  <c r="J90" i="22"/>
  <c r="J89" i="22"/>
  <c r="J88" i="22"/>
  <c r="J87" i="22"/>
  <c r="J86" i="22"/>
  <c r="J85" i="22"/>
  <c r="J84" i="22"/>
  <c r="J83" i="22"/>
  <c r="J82" i="22"/>
  <c r="J81" i="22"/>
  <c r="J80" i="22"/>
  <c r="J79" i="22"/>
  <c r="J78" i="22"/>
  <c r="J77" i="22"/>
  <c r="J76" i="22"/>
  <c r="J75" i="22"/>
  <c r="J74" i="22"/>
  <c r="J73" i="22"/>
  <c r="J72" i="22"/>
  <c r="J71" i="22"/>
  <c r="J70" i="22"/>
  <c r="J69" i="22"/>
  <c r="J68" i="22"/>
  <c r="J67" i="22"/>
  <c r="J66" i="22"/>
  <c r="J65" i="22"/>
  <c r="J64" i="22"/>
  <c r="J63" i="22"/>
  <c r="J62" i="22"/>
  <c r="J61" i="22"/>
  <c r="J60" i="22"/>
  <c r="J59" i="22"/>
  <c r="J58" i="22"/>
  <c r="J57" i="22"/>
  <c r="J56" i="22"/>
  <c r="J55" i="22"/>
  <c r="J54" i="22"/>
  <c r="J53" i="22"/>
  <c r="J52" i="22"/>
  <c r="J51" i="22"/>
  <c r="J50" i="22"/>
  <c r="J49" i="22"/>
  <c r="J48" i="22"/>
  <c r="J47" i="22"/>
  <c r="J46" i="22"/>
  <c r="J45" i="22"/>
  <c r="J44" i="22"/>
  <c r="J43" i="22"/>
  <c r="J42" i="22"/>
  <c r="J41" i="22"/>
  <c r="J40" i="22"/>
  <c r="J39" i="22"/>
  <c r="J38" i="22"/>
  <c r="J37" i="22"/>
  <c r="J36" i="22"/>
  <c r="J35" i="22"/>
  <c r="J34" i="22"/>
  <c r="J33" i="22"/>
  <c r="J32" i="22"/>
  <c r="J31" i="22"/>
  <c r="J30" i="22"/>
  <c r="J29" i="22"/>
  <c r="J28" i="22"/>
  <c r="J27" i="22"/>
  <c r="J26" i="22"/>
  <c r="J25" i="22"/>
  <c r="J24" i="22"/>
  <c r="J23" i="22"/>
  <c r="J22" i="22"/>
  <c r="J21" i="22"/>
  <c r="J20" i="22"/>
  <c r="J19" i="22"/>
  <c r="J18" i="22"/>
  <c r="J17" i="22"/>
  <c r="J16" i="22"/>
  <c r="J15" i="22"/>
  <c r="J14" i="22"/>
  <c r="J13" i="22"/>
  <c r="J12" i="22"/>
  <c r="J11" i="22"/>
  <c r="J10" i="22"/>
  <c r="J9" i="22"/>
  <c r="J8" i="22"/>
  <c r="J7" i="22"/>
  <c r="J6" i="22"/>
  <c r="J5" i="22"/>
  <c r="J4" i="22"/>
  <c r="J3" i="22"/>
  <c r="J2" i="22"/>
  <c r="J1" i="22"/>
  <c r="F2" i="21"/>
  <c r="J2" i="21" s="1"/>
  <c r="F3" i="21"/>
  <c r="J3" i="21" s="1"/>
  <c r="F4" i="21"/>
  <c r="J4" i="21" s="1"/>
  <c r="F5" i="21"/>
  <c r="J5" i="21" s="1"/>
  <c r="F6" i="21"/>
  <c r="J6" i="21" s="1"/>
  <c r="F7" i="21"/>
  <c r="J7" i="21" s="1"/>
  <c r="F8" i="21"/>
  <c r="J8" i="21" s="1"/>
  <c r="F9" i="21"/>
  <c r="J9" i="21" s="1"/>
  <c r="F10" i="21"/>
  <c r="J10" i="21" s="1"/>
  <c r="F11" i="21"/>
  <c r="J11" i="21" s="1"/>
  <c r="F12" i="21"/>
  <c r="J12" i="21" s="1"/>
  <c r="F13" i="21"/>
  <c r="J13" i="21" s="1"/>
  <c r="F14" i="21"/>
  <c r="J14" i="21" s="1"/>
  <c r="F15" i="21"/>
  <c r="J15" i="21" s="1"/>
  <c r="F16" i="21"/>
  <c r="J16" i="21" s="1"/>
  <c r="F17" i="21"/>
  <c r="J17" i="21" s="1"/>
  <c r="F18" i="21"/>
  <c r="J18" i="21" s="1"/>
  <c r="F19" i="21"/>
  <c r="J19" i="21" s="1"/>
  <c r="F20" i="21"/>
  <c r="J20" i="21" s="1"/>
  <c r="F21" i="21"/>
  <c r="J21" i="21" s="1"/>
  <c r="F22" i="21"/>
  <c r="J22" i="21" s="1"/>
  <c r="F23" i="21"/>
  <c r="J23" i="21" s="1"/>
  <c r="F24" i="21"/>
  <c r="J24" i="21" s="1"/>
  <c r="F25" i="21"/>
  <c r="J25" i="21" s="1"/>
  <c r="F26" i="21"/>
  <c r="J26" i="21" s="1"/>
  <c r="F27" i="21"/>
  <c r="J27" i="21" s="1"/>
  <c r="F28" i="21"/>
  <c r="J28" i="21" s="1"/>
  <c r="F29" i="21"/>
  <c r="J29" i="21" s="1"/>
  <c r="F30" i="21"/>
  <c r="J30" i="21" s="1"/>
  <c r="F31" i="21"/>
  <c r="J31" i="21" s="1"/>
  <c r="F32" i="21"/>
  <c r="J32" i="21" s="1"/>
  <c r="F33" i="21"/>
  <c r="J33" i="21" s="1"/>
  <c r="F34" i="21"/>
  <c r="J34" i="21" s="1"/>
  <c r="F35" i="21"/>
  <c r="J35" i="21" s="1"/>
  <c r="F36" i="21"/>
  <c r="J36" i="21" s="1"/>
  <c r="F37" i="21"/>
  <c r="J37" i="21" s="1"/>
  <c r="F38" i="21"/>
  <c r="J38" i="21" s="1"/>
  <c r="F39" i="21"/>
  <c r="J39" i="21" s="1"/>
  <c r="F40" i="21"/>
  <c r="J40" i="21" s="1"/>
  <c r="F41" i="21"/>
  <c r="J41" i="21" s="1"/>
  <c r="F42" i="21"/>
  <c r="J42" i="21" s="1"/>
  <c r="F43" i="21"/>
  <c r="J43" i="21" s="1"/>
  <c r="F44" i="21"/>
  <c r="J44" i="21" s="1"/>
  <c r="F45" i="21"/>
  <c r="J45" i="21" s="1"/>
  <c r="F46" i="21"/>
  <c r="J46" i="21" s="1"/>
  <c r="F47" i="21"/>
  <c r="J47" i="21" s="1"/>
  <c r="F48" i="21"/>
  <c r="J48" i="21" s="1"/>
  <c r="F49" i="21"/>
  <c r="J49" i="21" s="1"/>
  <c r="F50" i="21"/>
  <c r="J50" i="21" s="1"/>
  <c r="F51" i="21"/>
  <c r="J51" i="21" s="1"/>
  <c r="F52" i="21"/>
  <c r="J52" i="21" s="1"/>
  <c r="F53" i="21"/>
  <c r="J53" i="21" s="1"/>
  <c r="F54" i="21"/>
  <c r="J54" i="21" s="1"/>
  <c r="F55" i="21"/>
  <c r="J55" i="21" s="1"/>
  <c r="F56" i="21"/>
  <c r="J56" i="21" s="1"/>
  <c r="F57" i="21"/>
  <c r="J57" i="21" s="1"/>
  <c r="F58" i="21"/>
  <c r="J58" i="21" s="1"/>
  <c r="F59" i="21"/>
  <c r="J59" i="21" s="1"/>
  <c r="F60" i="21"/>
  <c r="J60" i="21" s="1"/>
  <c r="F61" i="21"/>
  <c r="J61" i="21" s="1"/>
  <c r="F62" i="21"/>
  <c r="J62" i="21" s="1"/>
  <c r="F63" i="21"/>
  <c r="J63" i="21" s="1"/>
  <c r="F64" i="21"/>
  <c r="J64" i="21" s="1"/>
  <c r="F65" i="21"/>
  <c r="J65" i="21" s="1"/>
  <c r="F66" i="21"/>
  <c r="J66" i="21" s="1"/>
  <c r="F67" i="21"/>
  <c r="J67" i="21" s="1"/>
  <c r="F68" i="21"/>
  <c r="J68" i="21" s="1"/>
  <c r="F69" i="21"/>
  <c r="J69" i="21" s="1"/>
  <c r="F70" i="21"/>
  <c r="J70" i="21" s="1"/>
  <c r="F71" i="21"/>
  <c r="J71" i="21" s="1"/>
  <c r="F72" i="21"/>
  <c r="J72" i="21" s="1"/>
  <c r="F73" i="21"/>
  <c r="J73" i="21" s="1"/>
  <c r="F74" i="21"/>
  <c r="J74" i="21" s="1"/>
  <c r="F75" i="21"/>
  <c r="J75" i="21" s="1"/>
  <c r="F76" i="21"/>
  <c r="J76" i="21" s="1"/>
  <c r="F77" i="21"/>
  <c r="J77" i="21" s="1"/>
  <c r="F78" i="21"/>
  <c r="J78" i="21" s="1"/>
  <c r="F79" i="21"/>
  <c r="J79" i="21" s="1"/>
  <c r="F80" i="21"/>
  <c r="J80" i="21" s="1"/>
  <c r="F81" i="21"/>
  <c r="J81" i="21" s="1"/>
  <c r="F82" i="21"/>
  <c r="J82" i="21" s="1"/>
  <c r="F83" i="21"/>
  <c r="J83" i="21" s="1"/>
  <c r="F84" i="21"/>
  <c r="J84" i="21" s="1"/>
  <c r="F85" i="21"/>
  <c r="J85" i="21" s="1"/>
  <c r="F86" i="21"/>
  <c r="J86" i="21" s="1"/>
  <c r="F87" i="21"/>
  <c r="J87" i="21" s="1"/>
  <c r="F88" i="21"/>
  <c r="J88" i="21" s="1"/>
  <c r="F89" i="21"/>
  <c r="J89" i="21" s="1"/>
  <c r="F90" i="21"/>
  <c r="J90" i="21" s="1"/>
  <c r="F91" i="21"/>
  <c r="J91" i="21" s="1"/>
  <c r="F92" i="21"/>
  <c r="J92" i="21" s="1"/>
  <c r="F93" i="21"/>
  <c r="J93" i="21" s="1"/>
  <c r="F94" i="21"/>
  <c r="J94" i="21" s="1"/>
  <c r="F95" i="21"/>
  <c r="J95" i="21" s="1"/>
  <c r="F96" i="21"/>
  <c r="J96" i="21" s="1"/>
  <c r="F97" i="21"/>
  <c r="J97" i="21" s="1"/>
  <c r="F1" i="21"/>
  <c r="J1" i="21" s="1"/>
  <c r="E1" i="21"/>
  <c r="I1" i="21" s="1"/>
  <c r="H97" i="21"/>
  <c r="H96" i="21"/>
  <c r="H95" i="21"/>
  <c r="H94" i="21"/>
  <c r="H93" i="21"/>
  <c r="H92" i="21"/>
  <c r="H91" i="21"/>
  <c r="H90" i="21"/>
  <c r="H89" i="21"/>
  <c r="H88" i="21"/>
  <c r="H87" i="21"/>
  <c r="H86" i="21"/>
  <c r="H85" i="21"/>
  <c r="H84" i="21"/>
  <c r="H83" i="21"/>
  <c r="H82" i="21"/>
  <c r="H81" i="21"/>
  <c r="H80" i="21"/>
  <c r="H79" i="21"/>
  <c r="H78" i="21"/>
  <c r="H77" i="21"/>
  <c r="H76" i="21"/>
  <c r="H75" i="21"/>
  <c r="H74" i="21"/>
  <c r="H73" i="21"/>
  <c r="H72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9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H21" i="21"/>
  <c r="H20" i="21"/>
  <c r="H19" i="21"/>
  <c r="H18" i="21"/>
  <c r="H17" i="21"/>
  <c r="H16" i="21"/>
  <c r="H15" i="21"/>
  <c r="H14" i="21"/>
  <c r="H13" i="21"/>
  <c r="H12" i="21"/>
  <c r="H11" i="21"/>
  <c r="H10" i="21"/>
  <c r="H9" i="21"/>
  <c r="H8" i="21"/>
  <c r="H7" i="21"/>
  <c r="H6" i="21"/>
  <c r="H5" i="21"/>
  <c r="H4" i="21"/>
  <c r="H3" i="21"/>
  <c r="H2" i="21"/>
  <c r="H1" i="21"/>
  <c r="Q1" i="20"/>
  <c r="H3" i="20"/>
  <c r="P3" i="20" s="1"/>
  <c r="H26" i="20"/>
  <c r="P26" i="20" s="1"/>
  <c r="H27" i="20"/>
  <c r="P27" i="20" s="1"/>
  <c r="H28" i="20"/>
  <c r="P28" i="20" s="1"/>
  <c r="H29" i="20"/>
  <c r="P29" i="20" s="1"/>
  <c r="H30" i="20"/>
  <c r="P30" i="20" s="1"/>
  <c r="H31" i="20"/>
  <c r="P31" i="20" s="1"/>
  <c r="H32" i="20"/>
  <c r="P32" i="20" s="1"/>
  <c r="H33" i="20"/>
  <c r="P33" i="20" s="1"/>
  <c r="H34" i="20"/>
  <c r="P34" i="20" s="1"/>
  <c r="H35" i="20"/>
  <c r="P35" i="20" s="1"/>
  <c r="H36" i="20"/>
  <c r="P36" i="20" s="1"/>
  <c r="H37" i="20"/>
  <c r="P37" i="20" s="1"/>
  <c r="H51" i="20"/>
  <c r="P51" i="20" s="1"/>
  <c r="H75" i="20"/>
  <c r="P75" i="20" s="1"/>
  <c r="H76" i="20"/>
  <c r="P76" i="20" s="1"/>
  <c r="H77" i="20"/>
  <c r="P77" i="20" s="1"/>
  <c r="H78" i="20"/>
  <c r="P78" i="20" s="1"/>
  <c r="H79" i="20"/>
  <c r="P79" i="20" s="1"/>
  <c r="H80" i="20"/>
  <c r="P80" i="20" s="1"/>
  <c r="H81" i="20"/>
  <c r="P81" i="20" s="1"/>
  <c r="H82" i="20"/>
  <c r="P82" i="20" s="1"/>
  <c r="H83" i="20"/>
  <c r="P83" i="20" s="1"/>
  <c r="H84" i="20"/>
  <c r="P84" i="20" s="1"/>
  <c r="H85" i="20"/>
  <c r="P85" i="20" s="1"/>
  <c r="H1" i="20"/>
  <c r="P1" i="20" s="1"/>
  <c r="G2" i="20"/>
  <c r="O2" i="20" s="1"/>
  <c r="G3" i="20"/>
  <c r="O3" i="20" s="1"/>
  <c r="G4" i="20"/>
  <c r="O4" i="20" s="1"/>
  <c r="G5" i="20"/>
  <c r="O5" i="20" s="1"/>
  <c r="G6" i="20"/>
  <c r="O6" i="20" s="1"/>
  <c r="G7" i="20"/>
  <c r="O7" i="20" s="1"/>
  <c r="G8" i="20"/>
  <c r="O8" i="20" s="1"/>
  <c r="G9" i="20"/>
  <c r="O9" i="20" s="1"/>
  <c r="G10" i="20"/>
  <c r="O10" i="20" s="1"/>
  <c r="G11" i="20"/>
  <c r="O11" i="20" s="1"/>
  <c r="G12" i="20"/>
  <c r="O12" i="20" s="1"/>
  <c r="G13" i="20"/>
  <c r="O13" i="20" s="1"/>
  <c r="G14" i="20"/>
  <c r="O14" i="20" s="1"/>
  <c r="G15" i="20"/>
  <c r="O15" i="20" s="1"/>
  <c r="G16" i="20"/>
  <c r="O16" i="20" s="1"/>
  <c r="G17" i="20"/>
  <c r="O17" i="20" s="1"/>
  <c r="G18" i="20"/>
  <c r="O18" i="20" s="1"/>
  <c r="G19" i="20"/>
  <c r="O19" i="20" s="1"/>
  <c r="G20" i="20"/>
  <c r="O20" i="20" s="1"/>
  <c r="G21" i="20"/>
  <c r="O21" i="20" s="1"/>
  <c r="G22" i="20"/>
  <c r="O22" i="20" s="1"/>
  <c r="G23" i="20"/>
  <c r="O23" i="20" s="1"/>
  <c r="G24" i="20"/>
  <c r="O24" i="20" s="1"/>
  <c r="G25" i="20"/>
  <c r="O25" i="20" s="1"/>
  <c r="G26" i="20"/>
  <c r="O26" i="20" s="1"/>
  <c r="G27" i="20"/>
  <c r="O27" i="20" s="1"/>
  <c r="G28" i="20"/>
  <c r="O28" i="20" s="1"/>
  <c r="G29" i="20"/>
  <c r="O29" i="20" s="1"/>
  <c r="G30" i="20"/>
  <c r="O30" i="20" s="1"/>
  <c r="G31" i="20"/>
  <c r="O31" i="20" s="1"/>
  <c r="G32" i="20"/>
  <c r="O32" i="20" s="1"/>
  <c r="G33" i="20"/>
  <c r="O33" i="20" s="1"/>
  <c r="G34" i="20"/>
  <c r="O34" i="20" s="1"/>
  <c r="G35" i="20"/>
  <c r="O35" i="20" s="1"/>
  <c r="G36" i="20"/>
  <c r="O36" i="20" s="1"/>
  <c r="G37" i="20"/>
  <c r="O37" i="20" s="1"/>
  <c r="G38" i="20"/>
  <c r="O38" i="20" s="1"/>
  <c r="G39" i="20"/>
  <c r="O39" i="20" s="1"/>
  <c r="G40" i="20"/>
  <c r="O40" i="20" s="1"/>
  <c r="G41" i="20"/>
  <c r="O41" i="20" s="1"/>
  <c r="G42" i="20"/>
  <c r="O42" i="20" s="1"/>
  <c r="G43" i="20"/>
  <c r="O43" i="20" s="1"/>
  <c r="G44" i="20"/>
  <c r="O44" i="20" s="1"/>
  <c r="G45" i="20"/>
  <c r="O45" i="20" s="1"/>
  <c r="G46" i="20"/>
  <c r="O46" i="20" s="1"/>
  <c r="G47" i="20"/>
  <c r="O47" i="20" s="1"/>
  <c r="G48" i="20"/>
  <c r="O48" i="20" s="1"/>
  <c r="G49" i="20"/>
  <c r="O49" i="20" s="1"/>
  <c r="G50" i="20"/>
  <c r="O50" i="20" s="1"/>
  <c r="G51" i="20"/>
  <c r="O51" i="20" s="1"/>
  <c r="G52" i="20"/>
  <c r="O52" i="20" s="1"/>
  <c r="G53" i="20"/>
  <c r="O53" i="20" s="1"/>
  <c r="G54" i="20"/>
  <c r="O54" i="20" s="1"/>
  <c r="G55" i="20"/>
  <c r="O55" i="20" s="1"/>
  <c r="G56" i="20"/>
  <c r="O56" i="20" s="1"/>
  <c r="G57" i="20"/>
  <c r="O57" i="20" s="1"/>
  <c r="G58" i="20"/>
  <c r="O58" i="20" s="1"/>
  <c r="G59" i="20"/>
  <c r="O59" i="20" s="1"/>
  <c r="G60" i="20"/>
  <c r="O60" i="20" s="1"/>
  <c r="G61" i="20"/>
  <c r="O61" i="20" s="1"/>
  <c r="G62" i="20"/>
  <c r="O62" i="20" s="1"/>
  <c r="G63" i="20"/>
  <c r="O63" i="20" s="1"/>
  <c r="G64" i="20"/>
  <c r="O64" i="20" s="1"/>
  <c r="G65" i="20"/>
  <c r="O65" i="20" s="1"/>
  <c r="G66" i="20"/>
  <c r="O66" i="20" s="1"/>
  <c r="G67" i="20"/>
  <c r="O67" i="20" s="1"/>
  <c r="G68" i="20"/>
  <c r="O68" i="20" s="1"/>
  <c r="G69" i="20"/>
  <c r="O69" i="20" s="1"/>
  <c r="G70" i="20"/>
  <c r="O70" i="20" s="1"/>
  <c r="G71" i="20"/>
  <c r="O71" i="20" s="1"/>
  <c r="G72" i="20"/>
  <c r="O72" i="20" s="1"/>
  <c r="G73" i="20"/>
  <c r="O73" i="20" s="1"/>
  <c r="G74" i="20"/>
  <c r="O74" i="20" s="1"/>
  <c r="G75" i="20"/>
  <c r="O75" i="20" s="1"/>
  <c r="G76" i="20"/>
  <c r="O76" i="20" s="1"/>
  <c r="G77" i="20"/>
  <c r="O77" i="20" s="1"/>
  <c r="G78" i="20"/>
  <c r="O78" i="20" s="1"/>
  <c r="G79" i="20"/>
  <c r="O79" i="20" s="1"/>
  <c r="G80" i="20"/>
  <c r="O80" i="20" s="1"/>
  <c r="G81" i="20"/>
  <c r="O81" i="20" s="1"/>
  <c r="G82" i="20"/>
  <c r="O82" i="20" s="1"/>
  <c r="G83" i="20"/>
  <c r="O83" i="20" s="1"/>
  <c r="G84" i="20"/>
  <c r="O84" i="20" s="1"/>
  <c r="G85" i="20"/>
  <c r="O85" i="20" s="1"/>
  <c r="G86" i="20"/>
  <c r="O86" i="20" s="1"/>
  <c r="G87" i="20"/>
  <c r="O87" i="20" s="1"/>
  <c r="G88" i="20"/>
  <c r="O88" i="20" s="1"/>
  <c r="G89" i="20"/>
  <c r="O89" i="20" s="1"/>
  <c r="G90" i="20"/>
  <c r="O90" i="20" s="1"/>
  <c r="G91" i="20"/>
  <c r="O91" i="20" s="1"/>
  <c r="G92" i="20"/>
  <c r="O92" i="20" s="1"/>
  <c r="G93" i="20"/>
  <c r="O93" i="20" s="1"/>
  <c r="G94" i="20"/>
  <c r="O94" i="20" s="1"/>
  <c r="G95" i="20"/>
  <c r="O95" i="20" s="1"/>
  <c r="G96" i="20"/>
  <c r="O96" i="20" s="1"/>
  <c r="G97" i="20"/>
  <c r="O97" i="20" s="1"/>
  <c r="G1" i="20"/>
  <c r="O1" i="20" s="1"/>
  <c r="L97" i="20"/>
  <c r="L96" i="20"/>
  <c r="L95" i="20"/>
  <c r="L94" i="20"/>
  <c r="L93" i="20"/>
  <c r="L92" i="20"/>
  <c r="L91" i="20"/>
  <c r="L90" i="20"/>
  <c r="L89" i="20"/>
  <c r="L88" i="20"/>
  <c r="L87" i="20"/>
  <c r="L86" i="20"/>
  <c r="L85" i="20"/>
  <c r="L84" i="20"/>
  <c r="L83" i="20"/>
  <c r="L82" i="20"/>
  <c r="L81" i="20"/>
  <c r="L80" i="20"/>
  <c r="L79" i="20"/>
  <c r="L78" i="20"/>
  <c r="L77" i="20"/>
  <c r="L76" i="20"/>
  <c r="L75" i="20"/>
  <c r="L74" i="20"/>
  <c r="L73" i="20"/>
  <c r="L72" i="20"/>
  <c r="L71" i="20"/>
  <c r="L70" i="20"/>
  <c r="L69" i="20"/>
  <c r="L68" i="20"/>
  <c r="L67" i="20"/>
  <c r="L66" i="20"/>
  <c r="L65" i="20"/>
  <c r="L64" i="20"/>
  <c r="L63" i="20"/>
  <c r="L62" i="20"/>
  <c r="L61" i="20"/>
  <c r="L60" i="20"/>
  <c r="L59" i="20"/>
  <c r="L58" i="20"/>
  <c r="L57" i="20"/>
  <c r="L56" i="20"/>
  <c r="L55" i="20"/>
  <c r="L54" i="20"/>
  <c r="L53" i="20"/>
  <c r="L52" i="20"/>
  <c r="L51" i="20"/>
  <c r="L50" i="20"/>
  <c r="L49" i="20"/>
  <c r="L48" i="20"/>
  <c r="L47" i="20"/>
  <c r="L46" i="20"/>
  <c r="L45" i="20"/>
  <c r="L44" i="20"/>
  <c r="L43" i="20"/>
  <c r="L42" i="20"/>
  <c r="L41" i="20"/>
  <c r="L40" i="20"/>
  <c r="L39" i="20"/>
  <c r="L38" i="20"/>
  <c r="L37" i="20"/>
  <c r="L36" i="20"/>
  <c r="L35" i="20"/>
  <c r="L34" i="20"/>
  <c r="L33" i="20"/>
  <c r="L32" i="20"/>
  <c r="L31" i="20"/>
  <c r="L30" i="20"/>
  <c r="L29" i="20"/>
  <c r="L28" i="20"/>
  <c r="L27" i="20"/>
  <c r="L26" i="20"/>
  <c r="L25" i="20"/>
  <c r="L24" i="20"/>
  <c r="L23" i="20"/>
  <c r="L22" i="20"/>
  <c r="L21" i="20"/>
  <c r="L20" i="20"/>
  <c r="L19" i="20"/>
  <c r="L18" i="20"/>
  <c r="L17" i="20"/>
  <c r="L16" i="20"/>
  <c r="L15" i="20"/>
  <c r="L14" i="20"/>
  <c r="L13" i="20"/>
  <c r="L12" i="20"/>
  <c r="L11" i="20"/>
  <c r="L10" i="20"/>
  <c r="L9" i="20"/>
  <c r="L8" i="20"/>
  <c r="L7" i="20"/>
  <c r="L6" i="20"/>
  <c r="L5" i="20"/>
  <c r="L4" i="20"/>
  <c r="L3" i="20"/>
  <c r="L2" i="20"/>
  <c r="L1" i="20"/>
  <c r="K2" i="18"/>
  <c r="K3" i="18"/>
  <c r="K4" i="18"/>
  <c r="K5" i="18"/>
  <c r="K6" i="18"/>
  <c r="K7" i="18"/>
  <c r="K8" i="18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4" i="18"/>
  <c r="K95" i="18"/>
  <c r="K96" i="18"/>
  <c r="K97" i="18"/>
  <c r="H1" i="18"/>
  <c r="O1" i="18" s="1"/>
  <c r="G2" i="18"/>
  <c r="N2" i="18" s="1"/>
  <c r="G3" i="18"/>
  <c r="N3" i="18" s="1"/>
  <c r="G4" i="18"/>
  <c r="N4" i="18" s="1"/>
  <c r="G5" i="18"/>
  <c r="N5" i="18" s="1"/>
  <c r="G6" i="18"/>
  <c r="N6" i="18" s="1"/>
  <c r="G7" i="18"/>
  <c r="N7" i="18" s="1"/>
  <c r="G8" i="18"/>
  <c r="N8" i="18" s="1"/>
  <c r="G9" i="18"/>
  <c r="N9" i="18" s="1"/>
  <c r="G10" i="18"/>
  <c r="N10" i="18" s="1"/>
  <c r="G11" i="18"/>
  <c r="N11" i="18" s="1"/>
  <c r="G12" i="18"/>
  <c r="N12" i="18" s="1"/>
  <c r="G13" i="18"/>
  <c r="N13" i="18" s="1"/>
  <c r="G14" i="18"/>
  <c r="N14" i="18" s="1"/>
  <c r="G15" i="18"/>
  <c r="N15" i="18" s="1"/>
  <c r="G16" i="18"/>
  <c r="N16" i="18" s="1"/>
  <c r="G17" i="18"/>
  <c r="N17" i="18" s="1"/>
  <c r="G18" i="18"/>
  <c r="N18" i="18" s="1"/>
  <c r="G19" i="18"/>
  <c r="N19" i="18" s="1"/>
  <c r="G20" i="18"/>
  <c r="N20" i="18" s="1"/>
  <c r="G21" i="18"/>
  <c r="N21" i="18" s="1"/>
  <c r="G22" i="18"/>
  <c r="N22" i="18" s="1"/>
  <c r="G23" i="18"/>
  <c r="N23" i="18" s="1"/>
  <c r="G24" i="18"/>
  <c r="N24" i="18" s="1"/>
  <c r="G25" i="18"/>
  <c r="N25" i="18" s="1"/>
  <c r="G26" i="18"/>
  <c r="N26" i="18" s="1"/>
  <c r="G27" i="18"/>
  <c r="N27" i="18" s="1"/>
  <c r="G28" i="18"/>
  <c r="N28" i="18" s="1"/>
  <c r="G29" i="18"/>
  <c r="N29" i="18" s="1"/>
  <c r="G30" i="18"/>
  <c r="N30" i="18" s="1"/>
  <c r="G31" i="18"/>
  <c r="N31" i="18" s="1"/>
  <c r="G32" i="18"/>
  <c r="N32" i="18" s="1"/>
  <c r="G33" i="18"/>
  <c r="N33" i="18" s="1"/>
  <c r="G34" i="18"/>
  <c r="N34" i="18" s="1"/>
  <c r="G35" i="18"/>
  <c r="N35" i="18" s="1"/>
  <c r="G36" i="18"/>
  <c r="N36" i="18" s="1"/>
  <c r="G37" i="18"/>
  <c r="N37" i="18" s="1"/>
  <c r="G38" i="18"/>
  <c r="N38" i="18" s="1"/>
  <c r="G39" i="18"/>
  <c r="N39" i="18" s="1"/>
  <c r="G40" i="18"/>
  <c r="N40" i="18" s="1"/>
  <c r="G41" i="18"/>
  <c r="N41" i="18" s="1"/>
  <c r="G42" i="18"/>
  <c r="N42" i="18" s="1"/>
  <c r="G43" i="18"/>
  <c r="N43" i="18" s="1"/>
  <c r="G44" i="18"/>
  <c r="N44" i="18" s="1"/>
  <c r="G45" i="18"/>
  <c r="N45" i="18" s="1"/>
  <c r="G46" i="18"/>
  <c r="N46" i="18" s="1"/>
  <c r="G47" i="18"/>
  <c r="N47" i="18" s="1"/>
  <c r="G48" i="18"/>
  <c r="N48" i="18" s="1"/>
  <c r="G49" i="18"/>
  <c r="N49" i="18" s="1"/>
  <c r="G50" i="18"/>
  <c r="N50" i="18" s="1"/>
  <c r="G51" i="18"/>
  <c r="N51" i="18" s="1"/>
  <c r="G52" i="18"/>
  <c r="N52" i="18" s="1"/>
  <c r="G53" i="18"/>
  <c r="N53" i="18" s="1"/>
  <c r="G54" i="18"/>
  <c r="N54" i="18" s="1"/>
  <c r="G55" i="18"/>
  <c r="N55" i="18" s="1"/>
  <c r="G56" i="18"/>
  <c r="N56" i="18" s="1"/>
  <c r="G57" i="18"/>
  <c r="N57" i="18" s="1"/>
  <c r="G58" i="18"/>
  <c r="N58" i="18" s="1"/>
  <c r="G59" i="18"/>
  <c r="N59" i="18" s="1"/>
  <c r="G60" i="18"/>
  <c r="N60" i="18" s="1"/>
  <c r="G61" i="18"/>
  <c r="N61" i="18" s="1"/>
  <c r="G62" i="18"/>
  <c r="N62" i="18" s="1"/>
  <c r="G63" i="18"/>
  <c r="N63" i="18" s="1"/>
  <c r="G64" i="18"/>
  <c r="N64" i="18" s="1"/>
  <c r="G65" i="18"/>
  <c r="N65" i="18" s="1"/>
  <c r="G66" i="18"/>
  <c r="N66" i="18" s="1"/>
  <c r="G67" i="18"/>
  <c r="N67" i="18" s="1"/>
  <c r="G68" i="18"/>
  <c r="N68" i="18" s="1"/>
  <c r="G69" i="18"/>
  <c r="N69" i="18" s="1"/>
  <c r="G70" i="18"/>
  <c r="N70" i="18" s="1"/>
  <c r="G71" i="18"/>
  <c r="N71" i="18" s="1"/>
  <c r="G72" i="18"/>
  <c r="N72" i="18" s="1"/>
  <c r="G73" i="18"/>
  <c r="N73" i="18" s="1"/>
  <c r="G74" i="18"/>
  <c r="N74" i="18" s="1"/>
  <c r="G75" i="18"/>
  <c r="N75" i="18" s="1"/>
  <c r="G76" i="18"/>
  <c r="N76" i="18" s="1"/>
  <c r="G77" i="18"/>
  <c r="N77" i="18" s="1"/>
  <c r="G78" i="18"/>
  <c r="N78" i="18" s="1"/>
  <c r="G79" i="18"/>
  <c r="N79" i="18" s="1"/>
  <c r="G80" i="18"/>
  <c r="N80" i="18" s="1"/>
  <c r="G81" i="18"/>
  <c r="N81" i="18" s="1"/>
  <c r="G82" i="18"/>
  <c r="N82" i="18" s="1"/>
  <c r="G83" i="18"/>
  <c r="N83" i="18" s="1"/>
  <c r="G84" i="18"/>
  <c r="N84" i="18" s="1"/>
  <c r="G85" i="18"/>
  <c r="N85" i="18" s="1"/>
  <c r="G86" i="18"/>
  <c r="N86" i="18" s="1"/>
  <c r="G87" i="18"/>
  <c r="N87" i="18" s="1"/>
  <c r="G88" i="18"/>
  <c r="N88" i="18" s="1"/>
  <c r="G89" i="18"/>
  <c r="N89" i="18" s="1"/>
  <c r="G90" i="18"/>
  <c r="N90" i="18" s="1"/>
  <c r="G91" i="18"/>
  <c r="N91" i="18" s="1"/>
  <c r="G92" i="18"/>
  <c r="N92" i="18" s="1"/>
  <c r="G93" i="18"/>
  <c r="N93" i="18" s="1"/>
  <c r="G94" i="18"/>
  <c r="N94" i="18" s="1"/>
  <c r="G95" i="18"/>
  <c r="N95" i="18" s="1"/>
  <c r="G96" i="18"/>
  <c r="N96" i="18" s="1"/>
  <c r="G97" i="18"/>
  <c r="N97" i="18" s="1"/>
  <c r="G1" i="18"/>
  <c r="N1" i="18" s="1"/>
  <c r="L2" i="19"/>
  <c r="L3" i="19"/>
  <c r="L4" i="19"/>
  <c r="L5" i="19"/>
  <c r="L6" i="19"/>
  <c r="L7" i="19"/>
  <c r="L8" i="19"/>
  <c r="L9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39" i="19"/>
  <c r="L40" i="19"/>
  <c r="L41" i="19"/>
  <c r="L42" i="19"/>
  <c r="L43" i="19"/>
  <c r="L44" i="19"/>
  <c r="L45" i="19"/>
  <c r="L46" i="19"/>
  <c r="L47" i="19"/>
  <c r="L48" i="19"/>
  <c r="L49" i="19"/>
  <c r="L50" i="19"/>
  <c r="L51" i="19"/>
  <c r="L52" i="19"/>
  <c r="L53" i="19"/>
  <c r="L54" i="19"/>
  <c r="L55" i="19"/>
  <c r="L56" i="19"/>
  <c r="L57" i="19"/>
  <c r="L58" i="19"/>
  <c r="L59" i="19"/>
  <c r="L60" i="19"/>
  <c r="L61" i="19"/>
  <c r="L62" i="19"/>
  <c r="L63" i="19"/>
  <c r="L64" i="19"/>
  <c r="L65" i="19"/>
  <c r="L66" i="19"/>
  <c r="L67" i="19"/>
  <c r="L68" i="19"/>
  <c r="L69" i="19"/>
  <c r="L70" i="19"/>
  <c r="L71" i="19"/>
  <c r="L72" i="19"/>
  <c r="L73" i="19"/>
  <c r="L74" i="19"/>
  <c r="L75" i="19"/>
  <c r="L76" i="19"/>
  <c r="L77" i="19"/>
  <c r="L78" i="19"/>
  <c r="L79" i="19"/>
  <c r="L80" i="19"/>
  <c r="L81" i="19"/>
  <c r="L82" i="19"/>
  <c r="L83" i="19"/>
  <c r="L84" i="19"/>
  <c r="L85" i="19"/>
  <c r="L86" i="19"/>
  <c r="L87" i="19"/>
  <c r="L88" i="19"/>
  <c r="L89" i="19"/>
  <c r="L90" i="19"/>
  <c r="L91" i="19"/>
  <c r="L92" i="19"/>
  <c r="L93" i="19"/>
  <c r="L94" i="19"/>
  <c r="L95" i="19"/>
  <c r="L96" i="19"/>
  <c r="L97" i="19"/>
  <c r="R1" i="19"/>
  <c r="P97" i="19"/>
  <c r="G97" i="19"/>
  <c r="O97" i="19" s="1"/>
  <c r="P96" i="19"/>
  <c r="G96" i="19"/>
  <c r="O96" i="19" s="1"/>
  <c r="P95" i="19"/>
  <c r="G95" i="19"/>
  <c r="O95" i="19" s="1"/>
  <c r="P94" i="19"/>
  <c r="G94" i="19"/>
  <c r="O94" i="19" s="1"/>
  <c r="P93" i="19"/>
  <c r="G93" i="19"/>
  <c r="O93" i="19" s="1"/>
  <c r="P92" i="19"/>
  <c r="G92" i="19"/>
  <c r="O92" i="19" s="1"/>
  <c r="P91" i="19"/>
  <c r="G91" i="19"/>
  <c r="O91" i="19" s="1"/>
  <c r="P90" i="19"/>
  <c r="G90" i="19"/>
  <c r="O90" i="19" s="1"/>
  <c r="P89" i="19"/>
  <c r="G89" i="19"/>
  <c r="O89" i="19" s="1"/>
  <c r="P88" i="19"/>
  <c r="G88" i="19"/>
  <c r="O88" i="19" s="1"/>
  <c r="P87" i="19"/>
  <c r="G87" i="19"/>
  <c r="O87" i="19" s="1"/>
  <c r="P86" i="19"/>
  <c r="G86" i="19"/>
  <c r="O86" i="19" s="1"/>
  <c r="P85" i="19"/>
  <c r="I85" i="19"/>
  <c r="Q85" i="19" s="1"/>
  <c r="G85" i="19"/>
  <c r="O85" i="19" s="1"/>
  <c r="P84" i="19"/>
  <c r="I84" i="19"/>
  <c r="Q84" i="19" s="1"/>
  <c r="G84" i="19"/>
  <c r="O84" i="19" s="1"/>
  <c r="P83" i="19"/>
  <c r="I83" i="19"/>
  <c r="Q83" i="19" s="1"/>
  <c r="G83" i="19"/>
  <c r="O83" i="19" s="1"/>
  <c r="P82" i="19"/>
  <c r="I82" i="19"/>
  <c r="Q82" i="19" s="1"/>
  <c r="G82" i="19"/>
  <c r="O82" i="19" s="1"/>
  <c r="P81" i="19"/>
  <c r="I81" i="19"/>
  <c r="Q81" i="19" s="1"/>
  <c r="G81" i="19"/>
  <c r="O81" i="19" s="1"/>
  <c r="P80" i="19"/>
  <c r="I80" i="19"/>
  <c r="Q80" i="19" s="1"/>
  <c r="G80" i="19"/>
  <c r="O80" i="19" s="1"/>
  <c r="P79" i="19"/>
  <c r="I79" i="19"/>
  <c r="Q79" i="19" s="1"/>
  <c r="G79" i="19"/>
  <c r="O79" i="19" s="1"/>
  <c r="P78" i="19"/>
  <c r="I78" i="19"/>
  <c r="Q78" i="19" s="1"/>
  <c r="G78" i="19"/>
  <c r="O78" i="19" s="1"/>
  <c r="P77" i="19"/>
  <c r="I77" i="19"/>
  <c r="Q77" i="19" s="1"/>
  <c r="G77" i="19"/>
  <c r="O77" i="19" s="1"/>
  <c r="P76" i="19"/>
  <c r="I76" i="19"/>
  <c r="Q76" i="19" s="1"/>
  <c r="G76" i="19"/>
  <c r="O76" i="19" s="1"/>
  <c r="P75" i="19"/>
  <c r="I75" i="19"/>
  <c r="Q75" i="19" s="1"/>
  <c r="G75" i="19"/>
  <c r="O75" i="19" s="1"/>
  <c r="P74" i="19"/>
  <c r="G74" i="19"/>
  <c r="O74" i="19" s="1"/>
  <c r="P73" i="19"/>
  <c r="G73" i="19"/>
  <c r="O73" i="19" s="1"/>
  <c r="P72" i="19"/>
  <c r="G72" i="19"/>
  <c r="O72" i="19" s="1"/>
  <c r="P71" i="19"/>
  <c r="G71" i="19"/>
  <c r="O71" i="19" s="1"/>
  <c r="P70" i="19"/>
  <c r="G70" i="19"/>
  <c r="O70" i="19" s="1"/>
  <c r="P69" i="19"/>
  <c r="G69" i="19"/>
  <c r="O69" i="19" s="1"/>
  <c r="P68" i="19"/>
  <c r="G68" i="19"/>
  <c r="O68" i="19" s="1"/>
  <c r="P67" i="19"/>
  <c r="G67" i="19"/>
  <c r="O67" i="19" s="1"/>
  <c r="P66" i="19"/>
  <c r="G66" i="19"/>
  <c r="O66" i="19" s="1"/>
  <c r="P65" i="19"/>
  <c r="G65" i="19"/>
  <c r="O65" i="19" s="1"/>
  <c r="P64" i="19"/>
  <c r="G64" i="19"/>
  <c r="O64" i="19" s="1"/>
  <c r="P63" i="19"/>
  <c r="G63" i="19"/>
  <c r="O63" i="19" s="1"/>
  <c r="P62" i="19"/>
  <c r="G62" i="19"/>
  <c r="O62" i="19" s="1"/>
  <c r="P61" i="19"/>
  <c r="G61" i="19"/>
  <c r="O61" i="19" s="1"/>
  <c r="P60" i="19"/>
  <c r="G60" i="19"/>
  <c r="O60" i="19" s="1"/>
  <c r="P59" i="19"/>
  <c r="G59" i="19"/>
  <c r="O59" i="19" s="1"/>
  <c r="P58" i="19"/>
  <c r="G58" i="19"/>
  <c r="O58" i="19" s="1"/>
  <c r="P57" i="19"/>
  <c r="G57" i="19"/>
  <c r="O57" i="19" s="1"/>
  <c r="P56" i="19"/>
  <c r="G56" i="19"/>
  <c r="O56" i="19" s="1"/>
  <c r="P55" i="19"/>
  <c r="G55" i="19"/>
  <c r="O55" i="19" s="1"/>
  <c r="P54" i="19"/>
  <c r="G54" i="19"/>
  <c r="O54" i="19" s="1"/>
  <c r="P53" i="19"/>
  <c r="G53" i="19"/>
  <c r="O53" i="19" s="1"/>
  <c r="P52" i="19"/>
  <c r="G52" i="19"/>
  <c r="O52" i="19" s="1"/>
  <c r="P51" i="19"/>
  <c r="I51" i="19"/>
  <c r="Q51" i="19" s="1"/>
  <c r="G51" i="19"/>
  <c r="O51" i="19" s="1"/>
  <c r="P50" i="19"/>
  <c r="G50" i="19"/>
  <c r="O50" i="19" s="1"/>
  <c r="P49" i="19"/>
  <c r="G49" i="19"/>
  <c r="O49" i="19" s="1"/>
  <c r="P48" i="19"/>
  <c r="G48" i="19"/>
  <c r="O48" i="19" s="1"/>
  <c r="P47" i="19"/>
  <c r="G47" i="19"/>
  <c r="O47" i="19" s="1"/>
  <c r="P46" i="19"/>
  <c r="G46" i="19"/>
  <c r="O46" i="19" s="1"/>
  <c r="P45" i="19"/>
  <c r="G45" i="19"/>
  <c r="O45" i="19" s="1"/>
  <c r="P44" i="19"/>
  <c r="G44" i="19"/>
  <c r="O44" i="19" s="1"/>
  <c r="P43" i="19"/>
  <c r="G43" i="19"/>
  <c r="O43" i="19" s="1"/>
  <c r="P42" i="19"/>
  <c r="G42" i="19"/>
  <c r="O42" i="19" s="1"/>
  <c r="P41" i="19"/>
  <c r="G41" i="19"/>
  <c r="O41" i="19" s="1"/>
  <c r="P40" i="19"/>
  <c r="G40" i="19"/>
  <c r="O40" i="19" s="1"/>
  <c r="P39" i="19"/>
  <c r="G39" i="19"/>
  <c r="O39" i="19" s="1"/>
  <c r="P38" i="19"/>
  <c r="G38" i="19"/>
  <c r="O38" i="19" s="1"/>
  <c r="P37" i="19"/>
  <c r="I37" i="19"/>
  <c r="Q37" i="19" s="1"/>
  <c r="G37" i="19"/>
  <c r="O37" i="19" s="1"/>
  <c r="P36" i="19"/>
  <c r="I36" i="19"/>
  <c r="Q36" i="19" s="1"/>
  <c r="G36" i="19"/>
  <c r="O36" i="19" s="1"/>
  <c r="P35" i="19"/>
  <c r="I35" i="19"/>
  <c r="Q35" i="19" s="1"/>
  <c r="G35" i="19"/>
  <c r="O35" i="19" s="1"/>
  <c r="P34" i="19"/>
  <c r="I34" i="19"/>
  <c r="Q34" i="19" s="1"/>
  <c r="G34" i="19"/>
  <c r="O34" i="19" s="1"/>
  <c r="P33" i="19"/>
  <c r="I33" i="19"/>
  <c r="Q33" i="19" s="1"/>
  <c r="G33" i="19"/>
  <c r="O33" i="19" s="1"/>
  <c r="P32" i="19"/>
  <c r="I32" i="19"/>
  <c r="Q32" i="19" s="1"/>
  <c r="G32" i="19"/>
  <c r="O32" i="19" s="1"/>
  <c r="P31" i="19"/>
  <c r="I31" i="19"/>
  <c r="Q31" i="19" s="1"/>
  <c r="G31" i="19"/>
  <c r="O31" i="19" s="1"/>
  <c r="P30" i="19"/>
  <c r="I30" i="19"/>
  <c r="Q30" i="19" s="1"/>
  <c r="G30" i="19"/>
  <c r="O30" i="19" s="1"/>
  <c r="P29" i="19"/>
  <c r="I29" i="19"/>
  <c r="Q29" i="19" s="1"/>
  <c r="G29" i="19"/>
  <c r="O29" i="19" s="1"/>
  <c r="P28" i="19"/>
  <c r="I28" i="19"/>
  <c r="Q28" i="19" s="1"/>
  <c r="G28" i="19"/>
  <c r="O28" i="19" s="1"/>
  <c r="P27" i="19"/>
  <c r="I27" i="19"/>
  <c r="Q27" i="19" s="1"/>
  <c r="G27" i="19"/>
  <c r="O27" i="19" s="1"/>
  <c r="P26" i="19"/>
  <c r="I26" i="19"/>
  <c r="Q26" i="19" s="1"/>
  <c r="G26" i="19"/>
  <c r="O26" i="19" s="1"/>
  <c r="P25" i="19"/>
  <c r="G25" i="19"/>
  <c r="O25" i="19" s="1"/>
  <c r="P24" i="19"/>
  <c r="G24" i="19"/>
  <c r="O24" i="19" s="1"/>
  <c r="P23" i="19"/>
  <c r="G23" i="19"/>
  <c r="O23" i="19" s="1"/>
  <c r="P22" i="19"/>
  <c r="G22" i="19"/>
  <c r="O22" i="19" s="1"/>
  <c r="P21" i="19"/>
  <c r="G21" i="19"/>
  <c r="O21" i="19" s="1"/>
  <c r="P20" i="19"/>
  <c r="G20" i="19"/>
  <c r="O20" i="19" s="1"/>
  <c r="P19" i="19"/>
  <c r="G19" i="19"/>
  <c r="O19" i="19" s="1"/>
  <c r="P18" i="19"/>
  <c r="G18" i="19"/>
  <c r="O18" i="19" s="1"/>
  <c r="P17" i="19"/>
  <c r="G17" i="19"/>
  <c r="O17" i="19" s="1"/>
  <c r="P16" i="19"/>
  <c r="G16" i="19"/>
  <c r="O16" i="19" s="1"/>
  <c r="P15" i="19"/>
  <c r="G15" i="19"/>
  <c r="O15" i="19" s="1"/>
  <c r="P14" i="19"/>
  <c r="G14" i="19"/>
  <c r="O14" i="19" s="1"/>
  <c r="P13" i="19"/>
  <c r="G13" i="19"/>
  <c r="O13" i="19" s="1"/>
  <c r="P12" i="19"/>
  <c r="G12" i="19"/>
  <c r="O12" i="19" s="1"/>
  <c r="P11" i="19"/>
  <c r="G11" i="19"/>
  <c r="O11" i="19" s="1"/>
  <c r="P10" i="19"/>
  <c r="G10" i="19"/>
  <c r="O10" i="19" s="1"/>
  <c r="P9" i="19"/>
  <c r="G9" i="19"/>
  <c r="O9" i="19" s="1"/>
  <c r="P8" i="19"/>
  <c r="G8" i="19"/>
  <c r="O8" i="19" s="1"/>
  <c r="P7" i="19"/>
  <c r="G7" i="19"/>
  <c r="O7" i="19" s="1"/>
  <c r="P6" i="19"/>
  <c r="G6" i="19"/>
  <c r="O6" i="19" s="1"/>
  <c r="P5" i="19"/>
  <c r="G5" i="19"/>
  <c r="O5" i="19" s="1"/>
  <c r="P4" i="19"/>
  <c r="G4" i="19"/>
  <c r="O4" i="19" s="1"/>
  <c r="P3" i="19"/>
  <c r="I3" i="19"/>
  <c r="Q3" i="19" s="1"/>
  <c r="G3" i="19"/>
  <c r="O3" i="19" s="1"/>
  <c r="P2" i="19"/>
  <c r="G2" i="19"/>
  <c r="O2" i="19" s="1"/>
  <c r="L1" i="19"/>
  <c r="P1" i="19"/>
  <c r="I1" i="19"/>
  <c r="Q1" i="19" s="1"/>
  <c r="G1" i="19"/>
  <c r="O1" i="19" s="1"/>
  <c r="I85" i="18"/>
  <c r="P85" i="18" s="1"/>
  <c r="I84" i="18"/>
  <c r="P84" i="18" s="1"/>
  <c r="I83" i="18"/>
  <c r="P83" i="18" s="1"/>
  <c r="I82" i="18"/>
  <c r="P82" i="18" s="1"/>
  <c r="I81" i="18"/>
  <c r="P81" i="18" s="1"/>
  <c r="I80" i="18"/>
  <c r="P80" i="18" s="1"/>
  <c r="I79" i="18"/>
  <c r="P79" i="18" s="1"/>
  <c r="I78" i="18"/>
  <c r="P78" i="18" s="1"/>
  <c r="I77" i="18"/>
  <c r="P77" i="18" s="1"/>
  <c r="I76" i="18"/>
  <c r="P76" i="18" s="1"/>
  <c r="I75" i="18"/>
  <c r="P75" i="18" s="1"/>
  <c r="I51" i="18"/>
  <c r="P51" i="18" s="1"/>
  <c r="I37" i="18"/>
  <c r="P37" i="18" s="1"/>
  <c r="I36" i="18"/>
  <c r="P36" i="18" s="1"/>
  <c r="I35" i="18"/>
  <c r="P35" i="18" s="1"/>
  <c r="I34" i="18"/>
  <c r="P34" i="18" s="1"/>
  <c r="I33" i="18"/>
  <c r="P33" i="18" s="1"/>
  <c r="I32" i="18"/>
  <c r="P32" i="18" s="1"/>
  <c r="I31" i="18"/>
  <c r="P31" i="18" s="1"/>
  <c r="I30" i="18"/>
  <c r="P30" i="18" s="1"/>
  <c r="I29" i="18"/>
  <c r="P29" i="18" s="1"/>
  <c r="I28" i="18"/>
  <c r="P28" i="18" s="1"/>
  <c r="I27" i="18"/>
  <c r="P27" i="18" s="1"/>
  <c r="I26" i="18"/>
  <c r="P26" i="18" s="1"/>
  <c r="I3" i="18"/>
  <c r="P3" i="18" s="1"/>
  <c r="K1" i="18"/>
  <c r="I1" i="18"/>
  <c r="P1" i="18" s="1"/>
  <c r="M2" i="17"/>
  <c r="M3" i="17"/>
  <c r="M4" i="17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1" i="17"/>
  <c r="T2" i="17"/>
  <c r="T3" i="17"/>
  <c r="T4" i="17"/>
  <c r="T5" i="17"/>
  <c r="T6" i="17"/>
  <c r="T7" i="17"/>
  <c r="T8" i="17"/>
  <c r="T9" i="17"/>
  <c r="T10" i="17"/>
  <c r="T11" i="17"/>
  <c r="T12" i="17"/>
  <c r="T13" i="17"/>
  <c r="T14" i="17"/>
  <c r="T15" i="17"/>
  <c r="T16" i="17"/>
  <c r="T17" i="17"/>
  <c r="T18" i="17"/>
  <c r="T19" i="17"/>
  <c r="T20" i="17"/>
  <c r="T21" i="17"/>
  <c r="T22" i="17"/>
  <c r="T23" i="17"/>
  <c r="T24" i="17"/>
  <c r="T25" i="17"/>
  <c r="T26" i="17"/>
  <c r="T27" i="17"/>
  <c r="T28" i="17"/>
  <c r="T29" i="17"/>
  <c r="T30" i="17"/>
  <c r="T31" i="17"/>
  <c r="T32" i="17"/>
  <c r="T33" i="17"/>
  <c r="T34" i="17"/>
  <c r="T35" i="17"/>
  <c r="T36" i="17"/>
  <c r="T37" i="17"/>
  <c r="T38" i="17"/>
  <c r="T39" i="17"/>
  <c r="T40" i="17"/>
  <c r="T41" i="17"/>
  <c r="T42" i="17"/>
  <c r="T43" i="17"/>
  <c r="T44" i="17"/>
  <c r="T45" i="17"/>
  <c r="T46" i="17"/>
  <c r="T47" i="17"/>
  <c r="T48" i="17"/>
  <c r="T49" i="17"/>
  <c r="T50" i="17"/>
  <c r="T51" i="17"/>
  <c r="T52" i="17"/>
  <c r="T53" i="17"/>
  <c r="T54" i="17"/>
  <c r="T55" i="17"/>
  <c r="T56" i="17"/>
  <c r="T57" i="17"/>
  <c r="T58" i="17"/>
  <c r="T59" i="17"/>
  <c r="T60" i="17"/>
  <c r="T61" i="17"/>
  <c r="T62" i="17"/>
  <c r="T63" i="17"/>
  <c r="T64" i="17"/>
  <c r="T65" i="17"/>
  <c r="T66" i="17"/>
  <c r="T67" i="17"/>
  <c r="T68" i="17"/>
  <c r="T69" i="17"/>
  <c r="T70" i="17"/>
  <c r="T71" i="17"/>
  <c r="T72" i="17"/>
  <c r="T73" i="17"/>
  <c r="T74" i="17"/>
  <c r="T75" i="17"/>
  <c r="T76" i="17"/>
  <c r="T77" i="17"/>
  <c r="T78" i="17"/>
  <c r="T79" i="17"/>
  <c r="T80" i="17"/>
  <c r="T81" i="17"/>
  <c r="T82" i="17"/>
  <c r="T83" i="17"/>
  <c r="T84" i="17"/>
  <c r="T85" i="17"/>
  <c r="T86" i="17"/>
  <c r="T87" i="17"/>
  <c r="T88" i="17"/>
  <c r="T89" i="17"/>
  <c r="T90" i="17"/>
  <c r="T91" i="17"/>
  <c r="T92" i="17"/>
  <c r="T93" i="17"/>
  <c r="T94" i="17"/>
  <c r="T95" i="17"/>
  <c r="T96" i="17"/>
  <c r="T97" i="17"/>
  <c r="J3" i="17"/>
  <c r="S3" i="17" s="1"/>
  <c r="J26" i="17"/>
  <c r="S26" i="17" s="1"/>
  <c r="J27" i="17"/>
  <c r="S27" i="17" s="1"/>
  <c r="J28" i="17"/>
  <c r="S28" i="17" s="1"/>
  <c r="J29" i="17"/>
  <c r="S29" i="17" s="1"/>
  <c r="J30" i="17"/>
  <c r="S30" i="17" s="1"/>
  <c r="J31" i="17"/>
  <c r="S31" i="17" s="1"/>
  <c r="J32" i="17"/>
  <c r="S32" i="17" s="1"/>
  <c r="J33" i="17"/>
  <c r="S33" i="17" s="1"/>
  <c r="J34" i="17"/>
  <c r="S34" i="17" s="1"/>
  <c r="J35" i="17"/>
  <c r="S35" i="17" s="1"/>
  <c r="J36" i="17"/>
  <c r="S36" i="17" s="1"/>
  <c r="J37" i="17"/>
  <c r="S37" i="17" s="1"/>
  <c r="J51" i="17"/>
  <c r="S51" i="17" s="1"/>
  <c r="J75" i="17"/>
  <c r="S75" i="17" s="1"/>
  <c r="J76" i="17"/>
  <c r="S76" i="17" s="1"/>
  <c r="J77" i="17"/>
  <c r="S77" i="17" s="1"/>
  <c r="J78" i="17"/>
  <c r="S78" i="17" s="1"/>
  <c r="J79" i="17"/>
  <c r="S79" i="17" s="1"/>
  <c r="J80" i="17"/>
  <c r="S80" i="17" s="1"/>
  <c r="J81" i="17"/>
  <c r="S81" i="17" s="1"/>
  <c r="J82" i="17"/>
  <c r="S82" i="17" s="1"/>
  <c r="J83" i="17"/>
  <c r="S83" i="17" s="1"/>
  <c r="J84" i="17"/>
  <c r="S84" i="17" s="1"/>
  <c r="J85" i="17"/>
  <c r="S85" i="17" s="1"/>
  <c r="J1" i="17"/>
  <c r="S1" i="17" s="1"/>
  <c r="T1" i="17"/>
  <c r="I2" i="17"/>
  <c r="R2" i="17" s="1"/>
  <c r="I3" i="17"/>
  <c r="R3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1" i="17"/>
  <c r="R1" i="17" s="1"/>
  <c r="H41" i="41" l="1"/>
  <c r="P27" i="41"/>
  <c r="P41" i="41" s="1"/>
  <c r="G41" i="41"/>
  <c r="O27" i="41"/>
  <c r="O41" i="41" s="1"/>
  <c r="C41" i="41"/>
  <c r="K27" i="41"/>
  <c r="K41" i="41" s="1"/>
  <c r="F41" i="41"/>
  <c r="N27" i="41"/>
  <c r="N41" i="41" s="1"/>
  <c r="E41" i="41"/>
  <c r="M27" i="41"/>
  <c r="M41" i="41" s="1"/>
  <c r="D41" i="41"/>
  <c r="L27" i="41"/>
  <c r="L41" i="41" s="1"/>
  <c r="B3" i="41"/>
  <c r="B93" i="41" s="1"/>
  <c r="B3" i="44" s="1"/>
  <c r="B3" i="73"/>
  <c r="B8" i="41"/>
  <c r="B33" i="41" s="1"/>
  <c r="B47" i="41" s="1"/>
  <c r="B58" i="41" s="1"/>
  <c r="B84" i="41" s="1"/>
  <c r="B8" i="73"/>
  <c r="B7" i="41"/>
  <c r="B32" i="41" s="1"/>
  <c r="J32" i="41" s="1"/>
  <c r="J46" i="41" s="1"/>
  <c r="B7" i="73"/>
  <c r="B6" i="41"/>
  <c r="B31" i="41" s="1"/>
  <c r="J31" i="41" s="1"/>
  <c r="J45" i="41" s="1"/>
  <c r="B6" i="73"/>
  <c r="C13" i="12"/>
  <c r="C20" i="12" s="1"/>
  <c r="C27" i="12" s="1"/>
  <c r="B5" i="73"/>
  <c r="C12" i="12"/>
  <c r="C19" i="12" s="1"/>
  <c r="C26" i="12" s="1"/>
  <c r="B4" i="73"/>
  <c r="B11" i="44"/>
  <c r="B27" i="44" s="1"/>
  <c r="B37" i="44" s="1"/>
  <c r="B125" i="41"/>
  <c r="B9" i="44"/>
  <c r="B124" i="44" s="1"/>
  <c r="B161" i="44" s="1"/>
  <c r="B123" i="41"/>
  <c r="B10" i="44"/>
  <c r="B125" i="44" s="1"/>
  <c r="B124" i="41"/>
  <c r="B61" i="44"/>
  <c r="B74" i="44" s="1"/>
  <c r="B82" i="44" s="1"/>
  <c r="B134" i="41"/>
  <c r="B62" i="44"/>
  <c r="B68" i="44" s="1"/>
  <c r="B135" i="41"/>
  <c r="B63" i="44"/>
  <c r="B76" i="44" s="1"/>
  <c r="B84" i="44" s="1"/>
  <c r="B136" i="41"/>
  <c r="K9" i="42"/>
  <c r="J18" i="42"/>
  <c r="H27" i="42"/>
  <c r="I12" i="42"/>
  <c r="I11" i="42"/>
  <c r="Q78" i="29"/>
  <c r="R147" i="35"/>
  <c r="O82" i="35"/>
  <c r="G128" i="29"/>
  <c r="G140" i="29" s="1"/>
  <c r="G152" i="29" s="1"/>
  <c r="G164" i="29" s="1"/>
  <c r="G176" i="29" s="1"/>
  <c r="G188" i="29" s="1"/>
  <c r="O188" i="29" s="1"/>
  <c r="M156" i="33"/>
  <c r="I128" i="36"/>
  <c r="B240" i="6"/>
  <c r="I132" i="36"/>
  <c r="R151" i="35"/>
  <c r="P121" i="36"/>
  <c r="I123" i="34"/>
  <c r="I135" i="34" s="1"/>
  <c r="I147" i="34" s="1"/>
  <c r="I159" i="34" s="1"/>
  <c r="I171" i="34" s="1"/>
  <c r="I183" i="34" s="1"/>
  <c r="R183" i="34" s="1"/>
  <c r="I126" i="36"/>
  <c r="P82" i="31"/>
  <c r="Q85" i="29"/>
  <c r="I124" i="36"/>
  <c r="O123" i="29"/>
  <c r="T77" i="34"/>
  <c r="B5" i="41"/>
  <c r="B30" i="41" s="1"/>
  <c r="J30" i="41" s="1"/>
  <c r="J44" i="41" s="1"/>
  <c r="T85" i="34"/>
  <c r="M132" i="33"/>
  <c r="R121" i="35"/>
  <c r="I123" i="36"/>
  <c r="R133" i="35"/>
  <c r="J145" i="35"/>
  <c r="J157" i="35" s="1"/>
  <c r="J169" i="35" s="1"/>
  <c r="J181" i="35" s="1"/>
  <c r="J193" i="35" s="1"/>
  <c r="R193" i="35" s="1"/>
  <c r="P129" i="36"/>
  <c r="I141" i="36"/>
  <c r="P133" i="36"/>
  <c r="I145" i="36"/>
  <c r="B241" i="6"/>
  <c r="B230" i="6"/>
  <c r="B231" i="6" s="1"/>
  <c r="B243" i="6" s="1"/>
  <c r="I150" i="29"/>
  <c r="Q150" i="29" s="1"/>
  <c r="P145" i="29"/>
  <c r="G128" i="33"/>
  <c r="M174" i="33"/>
  <c r="M160" i="33"/>
  <c r="M136" i="33"/>
  <c r="I131" i="36"/>
  <c r="I143" i="36" s="1"/>
  <c r="I155" i="36" s="1"/>
  <c r="P117" i="36"/>
  <c r="J114" i="37"/>
  <c r="S79" i="28"/>
  <c r="I126" i="34"/>
  <c r="T157" i="34"/>
  <c r="R166" i="35"/>
  <c r="I122" i="36"/>
  <c r="I155" i="29"/>
  <c r="Q155" i="29" s="1"/>
  <c r="P138" i="29"/>
  <c r="H147" i="31"/>
  <c r="R131" i="34"/>
  <c r="P150" i="29"/>
  <c r="P192" i="29"/>
  <c r="P180" i="29"/>
  <c r="P168" i="29"/>
  <c r="M159" i="33"/>
  <c r="M135" i="33"/>
  <c r="R176" i="34"/>
  <c r="R151" i="34"/>
  <c r="S76" i="28"/>
  <c r="I151" i="29"/>
  <c r="P137" i="29"/>
  <c r="M168" i="33"/>
  <c r="T135" i="34"/>
  <c r="I130" i="36"/>
  <c r="P81" i="30"/>
  <c r="P149" i="29"/>
  <c r="M144" i="33"/>
  <c r="I122" i="34"/>
  <c r="I134" i="34" s="1"/>
  <c r="I146" i="34" s="1"/>
  <c r="I158" i="34" s="1"/>
  <c r="I170" i="34" s="1"/>
  <c r="I182" i="34" s="1"/>
  <c r="R182" i="34" s="1"/>
  <c r="I125" i="36"/>
  <c r="O179" i="29"/>
  <c r="O167" i="29"/>
  <c r="O154" i="29"/>
  <c r="P142" i="29"/>
  <c r="M172" i="33"/>
  <c r="K156" i="34"/>
  <c r="G121" i="35"/>
  <c r="G157" i="35" s="1"/>
  <c r="G118" i="36"/>
  <c r="N118" i="36" s="1"/>
  <c r="M148" i="33"/>
  <c r="R175" i="34"/>
  <c r="G117" i="36"/>
  <c r="G153" i="36" s="1"/>
  <c r="E119" i="37"/>
  <c r="E155" i="37" s="1"/>
  <c r="E191" i="37" s="1"/>
  <c r="J191" i="37" s="1"/>
  <c r="Q75" i="29"/>
  <c r="P184" i="29"/>
  <c r="P172" i="29"/>
  <c r="I155" i="30"/>
  <c r="G122" i="31"/>
  <c r="G134" i="31" s="1"/>
  <c r="G146" i="31" s="1"/>
  <c r="G158" i="31" s="1"/>
  <c r="G170" i="31" s="1"/>
  <c r="G182" i="31" s="1"/>
  <c r="O182" i="31" s="1"/>
  <c r="M162" i="33"/>
  <c r="G111" i="35"/>
  <c r="G147" i="35" s="1"/>
  <c r="O147" i="35" s="1"/>
  <c r="G115" i="36"/>
  <c r="E117" i="37"/>
  <c r="J117" i="37" s="1"/>
  <c r="Q81" i="29"/>
  <c r="O178" i="29"/>
  <c r="O172" i="29"/>
  <c r="Q153" i="29"/>
  <c r="P141" i="29"/>
  <c r="P129" i="29"/>
  <c r="G113" i="36"/>
  <c r="N113" i="36" s="1"/>
  <c r="E116" i="37"/>
  <c r="J116" i="37" s="1"/>
  <c r="P166" i="29"/>
  <c r="P153" i="29"/>
  <c r="O141" i="29"/>
  <c r="M180" i="33"/>
  <c r="M171" i="33"/>
  <c r="M123" i="33"/>
  <c r="R169" i="34"/>
  <c r="G112" i="36"/>
  <c r="G148" i="36" s="1"/>
  <c r="G184" i="36" s="1"/>
  <c r="N184" i="36" s="1"/>
  <c r="E113" i="37"/>
  <c r="O153" i="29"/>
  <c r="P134" i="29"/>
  <c r="I150" i="30"/>
  <c r="I186" i="30" s="1"/>
  <c r="P186" i="30" s="1"/>
  <c r="M175" i="33"/>
  <c r="M147" i="33"/>
  <c r="R131" i="35"/>
  <c r="P80" i="31"/>
  <c r="G122" i="29"/>
  <c r="P146" i="29"/>
  <c r="I148" i="30"/>
  <c r="P188" i="29"/>
  <c r="P176" i="29"/>
  <c r="O165" i="29"/>
  <c r="P133" i="29"/>
  <c r="G131" i="33"/>
  <c r="G143" i="33" s="1"/>
  <c r="G155" i="33" s="1"/>
  <c r="G167" i="33" s="1"/>
  <c r="G179" i="33" s="1"/>
  <c r="G191" i="33" s="1"/>
  <c r="M191" i="33" s="1"/>
  <c r="I19" i="42"/>
  <c r="J19" i="42"/>
  <c r="I21" i="42"/>
  <c r="J21" i="42"/>
  <c r="I20" i="42"/>
  <c r="J20" i="42"/>
  <c r="J10" i="42"/>
  <c r="I29" i="42"/>
  <c r="J29" i="42"/>
  <c r="K2" i="42"/>
  <c r="I139" i="36"/>
  <c r="P127" i="36"/>
  <c r="P115" i="36"/>
  <c r="J134" i="35"/>
  <c r="R122" i="35"/>
  <c r="J141" i="35"/>
  <c r="R129" i="35"/>
  <c r="R180" i="35"/>
  <c r="R164" i="35"/>
  <c r="R154" i="35"/>
  <c r="R138" i="35"/>
  <c r="R112" i="35"/>
  <c r="R159" i="35"/>
  <c r="R143" i="35"/>
  <c r="R127" i="35"/>
  <c r="R117" i="35"/>
  <c r="R174" i="35"/>
  <c r="R148" i="35"/>
  <c r="R132" i="35"/>
  <c r="R179" i="35"/>
  <c r="R163" i="35"/>
  <c r="R137" i="35"/>
  <c r="R111" i="35"/>
  <c r="R168" i="35"/>
  <c r="R142" i="35"/>
  <c r="R126" i="35"/>
  <c r="R116" i="35"/>
  <c r="R173" i="35"/>
  <c r="R178" i="35"/>
  <c r="R162" i="35"/>
  <c r="R152" i="35"/>
  <c r="R136" i="35"/>
  <c r="R110" i="35"/>
  <c r="R167" i="35"/>
  <c r="R157" i="35"/>
  <c r="R115" i="35"/>
  <c r="R172" i="35"/>
  <c r="R130" i="35"/>
  <c r="R125" i="35"/>
  <c r="R120" i="35"/>
  <c r="R135" i="35"/>
  <c r="R161" i="35"/>
  <c r="R156" i="35"/>
  <c r="R140" i="35"/>
  <c r="R114" i="35"/>
  <c r="R171" i="35"/>
  <c r="R124" i="35"/>
  <c r="R119" i="35"/>
  <c r="R176" i="35"/>
  <c r="R150" i="35"/>
  <c r="R160" i="35"/>
  <c r="R155" i="35"/>
  <c r="R139" i="35"/>
  <c r="R113" i="35"/>
  <c r="R144" i="35"/>
  <c r="R128" i="35"/>
  <c r="R118" i="35"/>
  <c r="R175" i="35"/>
  <c r="R149" i="35"/>
  <c r="R123" i="35"/>
  <c r="S177" i="34"/>
  <c r="S152" i="34"/>
  <c r="R149" i="34"/>
  <c r="S130" i="34"/>
  <c r="R127" i="34"/>
  <c r="S124" i="34"/>
  <c r="S180" i="34"/>
  <c r="R177" i="34"/>
  <c r="S161" i="34"/>
  <c r="S158" i="34"/>
  <c r="S155" i="34"/>
  <c r="R152" i="34"/>
  <c r="S139" i="34"/>
  <c r="S136" i="34"/>
  <c r="S133" i="34"/>
  <c r="R130" i="34"/>
  <c r="R124" i="34"/>
  <c r="S183" i="34"/>
  <c r="R180" i="34"/>
  <c r="S164" i="34"/>
  <c r="R161" i="34"/>
  <c r="R155" i="34"/>
  <c r="S142" i="34"/>
  <c r="R139" i="34"/>
  <c r="R136" i="34"/>
  <c r="R133" i="34"/>
  <c r="S189" i="34"/>
  <c r="S186" i="34"/>
  <c r="S167" i="34"/>
  <c r="R164" i="34"/>
  <c r="S145" i="34"/>
  <c r="R142" i="34"/>
  <c r="S192" i="34"/>
  <c r="S170" i="34"/>
  <c r="R167" i="34"/>
  <c r="S148" i="34"/>
  <c r="R145" i="34"/>
  <c r="S176" i="34"/>
  <c r="S173" i="34"/>
  <c r="S151" i="34"/>
  <c r="R148" i="34"/>
  <c r="S129" i="34"/>
  <c r="S126" i="34"/>
  <c r="S123" i="34"/>
  <c r="S179" i="34"/>
  <c r="R173" i="34"/>
  <c r="S154" i="34"/>
  <c r="S138" i="34"/>
  <c r="S132" i="34"/>
  <c r="R129" i="34"/>
  <c r="S182" i="34"/>
  <c r="R179" i="34"/>
  <c r="S163" i="34"/>
  <c r="S160" i="34"/>
  <c r="S157" i="34"/>
  <c r="R154" i="34"/>
  <c r="S141" i="34"/>
  <c r="S135" i="34"/>
  <c r="R132" i="34"/>
  <c r="S185" i="34"/>
  <c r="S166" i="34"/>
  <c r="R163" i="34"/>
  <c r="R160" i="34"/>
  <c r="R157" i="34"/>
  <c r="S144" i="34"/>
  <c r="R141" i="34"/>
  <c r="S191" i="34"/>
  <c r="S188" i="34"/>
  <c r="S169" i="34"/>
  <c r="R166" i="34"/>
  <c r="S147" i="34"/>
  <c r="R144" i="34"/>
  <c r="S175" i="34"/>
  <c r="S172" i="34"/>
  <c r="S150" i="34"/>
  <c r="S128" i="34"/>
  <c r="S125" i="34"/>
  <c r="S122" i="34"/>
  <c r="S178" i="34"/>
  <c r="R172" i="34"/>
  <c r="S153" i="34"/>
  <c r="S131" i="34"/>
  <c r="R128" i="34"/>
  <c r="R125" i="34"/>
  <c r="R122" i="34"/>
  <c r="S181" i="34"/>
  <c r="R178" i="34"/>
  <c r="S162" i="34"/>
  <c r="S159" i="34"/>
  <c r="S156" i="34"/>
  <c r="R153" i="34"/>
  <c r="S140" i="34"/>
  <c r="S137" i="34"/>
  <c r="S134" i="34"/>
  <c r="S184" i="34"/>
  <c r="R181" i="34"/>
  <c r="S165" i="34"/>
  <c r="R156" i="34"/>
  <c r="S143" i="34"/>
  <c r="R140" i="34"/>
  <c r="R137" i="34"/>
  <c r="S190" i="34"/>
  <c r="S187" i="34"/>
  <c r="S168" i="34"/>
  <c r="R165" i="34"/>
  <c r="S146" i="34"/>
  <c r="R143" i="34"/>
  <c r="S174" i="34"/>
  <c r="S171" i="34"/>
  <c r="R168" i="34"/>
  <c r="S149" i="34"/>
  <c r="S127" i="34"/>
  <c r="G142" i="33"/>
  <c r="M130" i="33"/>
  <c r="G125" i="33"/>
  <c r="M124" i="33"/>
  <c r="M163" i="33"/>
  <c r="M151" i="33"/>
  <c r="M139" i="33"/>
  <c r="M127" i="33"/>
  <c r="M170" i="33"/>
  <c r="M158" i="33"/>
  <c r="M150" i="33"/>
  <c r="M146" i="33"/>
  <c r="M138" i="33"/>
  <c r="M134" i="33"/>
  <c r="M126" i="33"/>
  <c r="M122" i="33"/>
  <c r="M181" i="33"/>
  <c r="M177" i="33"/>
  <c r="M169" i="33"/>
  <c r="M165" i="33"/>
  <c r="M157" i="33"/>
  <c r="M153" i="33"/>
  <c r="M145" i="33"/>
  <c r="M141" i="33"/>
  <c r="M133" i="33"/>
  <c r="M129" i="33"/>
  <c r="O175" i="31"/>
  <c r="O138" i="31"/>
  <c r="O131" i="31"/>
  <c r="O167" i="31"/>
  <c r="O160" i="31"/>
  <c r="O152" i="31"/>
  <c r="O124" i="31"/>
  <c r="O181" i="31"/>
  <c r="O174" i="31"/>
  <c r="O144" i="31"/>
  <c r="O137" i="31"/>
  <c r="O130" i="31"/>
  <c r="O166" i="31"/>
  <c r="O159" i="31"/>
  <c r="O151" i="31"/>
  <c r="O123" i="31"/>
  <c r="O173" i="31"/>
  <c r="O143" i="31"/>
  <c r="O129" i="31"/>
  <c r="O180" i="31"/>
  <c r="O165" i="31"/>
  <c r="O158" i="31"/>
  <c r="O150" i="31"/>
  <c r="O136" i="31"/>
  <c r="O142" i="31"/>
  <c r="O179" i="31"/>
  <c r="O172" i="31"/>
  <c r="O164" i="31"/>
  <c r="O157" i="31"/>
  <c r="O149" i="31"/>
  <c r="O135" i="31"/>
  <c r="O128" i="31"/>
  <c r="O178" i="31"/>
  <c r="O171" i="31"/>
  <c r="O163" i="31"/>
  <c r="O156" i="31"/>
  <c r="O148" i="31"/>
  <c r="O141" i="31"/>
  <c r="O127" i="31"/>
  <c r="O162" i="31"/>
  <c r="O155" i="31"/>
  <c r="O147" i="31"/>
  <c r="O140" i="31"/>
  <c r="O177" i="31"/>
  <c r="O133" i="31"/>
  <c r="O126" i="31"/>
  <c r="O169" i="31"/>
  <c r="O154" i="31"/>
  <c r="O139" i="31"/>
  <c r="O176" i="31"/>
  <c r="O161" i="31"/>
  <c r="O132" i="31"/>
  <c r="O125" i="31"/>
  <c r="O168" i="31"/>
  <c r="O153" i="31"/>
  <c r="O145" i="31"/>
  <c r="O174" i="29"/>
  <c r="O166" i="29"/>
  <c r="P162" i="29"/>
  <c r="P158" i="29"/>
  <c r="P154" i="29"/>
  <c r="P127" i="29"/>
  <c r="P123" i="29"/>
  <c r="O162" i="29"/>
  <c r="O127" i="29"/>
  <c r="P189" i="29"/>
  <c r="P185" i="29"/>
  <c r="P181" i="29"/>
  <c r="P177" i="29"/>
  <c r="P173" i="29"/>
  <c r="P169" i="29"/>
  <c r="O150" i="29"/>
  <c r="O142" i="29"/>
  <c r="O138" i="29"/>
  <c r="P130" i="29"/>
  <c r="O181" i="29"/>
  <c r="O177" i="29"/>
  <c r="O169" i="29"/>
  <c r="O130" i="29"/>
  <c r="P165" i="29"/>
  <c r="P161" i="29"/>
  <c r="P157" i="29"/>
  <c r="P126" i="29"/>
  <c r="P122" i="29"/>
  <c r="G132" i="29"/>
  <c r="O157" i="29"/>
  <c r="O126" i="29"/>
  <c r="O145" i="29"/>
  <c r="O133" i="29"/>
  <c r="P164" i="29"/>
  <c r="P160" i="29"/>
  <c r="P156" i="29"/>
  <c r="O129" i="29"/>
  <c r="P125" i="29"/>
  <c r="O160" i="29"/>
  <c r="P152" i="29"/>
  <c r="P148" i="29"/>
  <c r="P144" i="29"/>
  <c r="P140" i="29"/>
  <c r="P136" i="29"/>
  <c r="P132" i="29"/>
  <c r="P191" i="29"/>
  <c r="P187" i="29"/>
  <c r="P183" i="29"/>
  <c r="P179" i="29"/>
  <c r="P175" i="29"/>
  <c r="P171" i="29"/>
  <c r="P167" i="29"/>
  <c r="O148" i="29"/>
  <c r="O140" i="29"/>
  <c r="O136" i="29"/>
  <c r="O175" i="29"/>
  <c r="O171" i="29"/>
  <c r="P128" i="29"/>
  <c r="G125" i="29"/>
  <c r="P163" i="29"/>
  <c r="P159" i="29"/>
  <c r="P155" i="29"/>
  <c r="P124" i="29"/>
  <c r="O163" i="29"/>
  <c r="O159" i="29"/>
  <c r="O155" i="29"/>
  <c r="P151" i="29"/>
  <c r="P147" i="29"/>
  <c r="P143" i="29"/>
  <c r="P139" i="29"/>
  <c r="P135" i="29"/>
  <c r="P131" i="29"/>
  <c r="O124" i="29"/>
  <c r="P190" i="29"/>
  <c r="P186" i="29"/>
  <c r="P182" i="29"/>
  <c r="P178" i="29"/>
  <c r="P174" i="29"/>
  <c r="P170" i="29"/>
  <c r="O151" i="29"/>
  <c r="O147" i="29"/>
  <c r="O143" i="29"/>
  <c r="O139" i="29"/>
  <c r="O135" i="29"/>
  <c r="O131" i="29"/>
  <c r="B4" i="41"/>
  <c r="B29" i="41" s="1"/>
  <c r="B43" i="41" s="1"/>
  <c r="O76" i="35"/>
  <c r="G112" i="35"/>
  <c r="E115" i="37"/>
  <c r="J79" i="37"/>
  <c r="J76" i="37"/>
  <c r="E112" i="37"/>
  <c r="S78" i="28"/>
  <c r="J126" i="28"/>
  <c r="J174" i="28" s="1"/>
  <c r="T78" i="34"/>
  <c r="O79" i="35"/>
  <c r="G115" i="35"/>
  <c r="G114" i="35"/>
  <c r="O78" i="35"/>
  <c r="K155" i="34"/>
  <c r="S81" i="28"/>
  <c r="J129" i="28"/>
  <c r="J177" i="28" s="1"/>
  <c r="P76" i="31"/>
  <c r="T75" i="34"/>
  <c r="E118" i="37"/>
  <c r="N78" i="36"/>
  <c r="G114" i="36"/>
  <c r="P79" i="30"/>
  <c r="P84" i="30"/>
  <c r="S85" i="28"/>
  <c r="J133" i="28"/>
  <c r="J181" i="28" s="1"/>
  <c r="P77" i="30"/>
  <c r="H152" i="31"/>
  <c r="T82" i="34"/>
  <c r="P85" i="31"/>
  <c r="G116" i="36"/>
  <c r="N83" i="36"/>
  <c r="G119" i="36"/>
  <c r="T149" i="34"/>
  <c r="K185" i="34"/>
  <c r="T185" i="34" s="1"/>
  <c r="I153" i="30"/>
  <c r="Q80" i="29"/>
  <c r="O80" i="35"/>
  <c r="G116" i="35"/>
  <c r="N75" i="36"/>
  <c r="G111" i="36"/>
  <c r="J85" i="37"/>
  <c r="E121" i="37"/>
  <c r="I157" i="29"/>
  <c r="Q76" i="29"/>
  <c r="J84" i="37"/>
  <c r="E120" i="37"/>
  <c r="H154" i="31"/>
  <c r="P85" i="30"/>
  <c r="O81" i="35"/>
  <c r="G117" i="35"/>
  <c r="J78" i="37"/>
  <c r="I186" i="29"/>
  <c r="Q186" i="29" s="1"/>
  <c r="J150" i="37"/>
  <c r="E111" i="37"/>
  <c r="S83" i="28"/>
  <c r="J131" i="28"/>
  <c r="J179" i="28" s="1"/>
  <c r="G183" i="35"/>
  <c r="O183" i="35" s="1"/>
  <c r="E135" i="37"/>
  <c r="Q82" i="29"/>
  <c r="I135" i="29"/>
  <c r="P81" i="31"/>
  <c r="I147" i="29"/>
  <c r="G154" i="35"/>
  <c r="O118" i="35"/>
  <c r="J172" i="28"/>
  <c r="S124" i="28"/>
  <c r="P75" i="30"/>
  <c r="N85" i="36"/>
  <c r="G121" i="36"/>
  <c r="S77" i="28"/>
  <c r="J125" i="28"/>
  <c r="J173" i="28" s="1"/>
  <c r="O77" i="35"/>
  <c r="G113" i="35"/>
  <c r="G119" i="35"/>
  <c r="N84" i="36"/>
  <c r="G120" i="36"/>
  <c r="S84" i="28"/>
  <c r="J132" i="28"/>
  <c r="J180" i="28" s="1"/>
  <c r="S51" i="28"/>
  <c r="J147" i="28"/>
  <c r="G120" i="35"/>
  <c r="B98" i="41"/>
  <c r="B97" i="41"/>
  <c r="B50" i="41"/>
  <c r="B49" i="41"/>
  <c r="B48" i="41"/>
  <c r="AX6" i="40"/>
  <c r="AX7" i="40" s="1"/>
  <c r="R6" i="40"/>
  <c r="J6" i="40"/>
  <c r="CJ7" i="39"/>
  <c r="DZ5" i="39"/>
  <c r="DD5" i="39"/>
  <c r="L7" i="39"/>
  <c r="B7" i="39"/>
  <c r="V5" i="39"/>
  <c r="AF5" i="39" s="1"/>
  <c r="B232" i="6"/>
  <c r="S128" i="28"/>
  <c r="S127" i="28"/>
  <c r="I129" i="28"/>
  <c r="S80" i="28"/>
  <c r="R164" i="28"/>
  <c r="R140" i="28"/>
  <c r="S75" i="28"/>
  <c r="S123" i="28"/>
  <c r="S82" i="28"/>
  <c r="R176" i="28"/>
  <c r="R152" i="28"/>
  <c r="R128" i="28"/>
  <c r="S176" i="28"/>
  <c r="R87" i="28"/>
  <c r="U7" i="27"/>
  <c r="U8" i="27" s="1"/>
  <c r="H6" i="27"/>
  <c r="H7" i="27" s="1"/>
  <c r="AX6" i="27"/>
  <c r="BE6" i="27"/>
  <c r="AN4" i="27"/>
  <c r="AK6" i="27"/>
  <c r="AF4" i="27"/>
  <c r="AC6" i="27"/>
  <c r="X4" i="27"/>
  <c r="B6" i="27"/>
  <c r="B7" i="27" s="1"/>
  <c r="B46" i="41" l="1"/>
  <c r="B57" i="41" s="1"/>
  <c r="B28" i="41"/>
  <c r="B19" i="44"/>
  <c r="B29" i="44" s="1"/>
  <c r="B118" i="44"/>
  <c r="B117" i="41"/>
  <c r="B16" i="44"/>
  <c r="B25" i="44"/>
  <c r="B35" i="44" s="1"/>
  <c r="B26" i="44"/>
  <c r="B36" i="44" s="1"/>
  <c r="B17" i="44"/>
  <c r="B126" i="44"/>
  <c r="B141" i="44"/>
  <c r="B152" i="44" s="1"/>
  <c r="B162" i="44"/>
  <c r="B131" i="44"/>
  <c r="B166" i="44" s="1"/>
  <c r="B178" i="44"/>
  <c r="B198" i="44" s="1"/>
  <c r="B140" i="44"/>
  <c r="B151" i="44" s="1"/>
  <c r="R159" i="34"/>
  <c r="R135" i="34"/>
  <c r="R123" i="34"/>
  <c r="R171" i="34"/>
  <c r="AP6" i="40"/>
  <c r="AP7" i="40" s="1"/>
  <c r="AP8" i="40" s="1"/>
  <c r="AG6" i="40"/>
  <c r="R147" i="34"/>
  <c r="B242" i="6"/>
  <c r="B45" i="41"/>
  <c r="B56" i="41" s="1"/>
  <c r="B82" i="41" s="1"/>
  <c r="J82" i="41" s="1"/>
  <c r="B94" i="73"/>
  <c r="B118" i="73" s="1"/>
  <c r="B29" i="73"/>
  <c r="B43" i="73" s="1"/>
  <c r="B96" i="41"/>
  <c r="B6" i="44" s="1"/>
  <c r="B121" i="44" s="1"/>
  <c r="B158" i="44" s="1"/>
  <c r="B30" i="73"/>
  <c r="B95" i="73"/>
  <c r="B119" i="73" s="1"/>
  <c r="B96" i="73"/>
  <c r="B120" i="73" s="1"/>
  <c r="B31" i="73"/>
  <c r="B32" i="73"/>
  <c r="B97" i="73"/>
  <c r="B121" i="73" s="1"/>
  <c r="B33" i="73"/>
  <c r="B47" i="73" s="1"/>
  <c r="B58" i="73" s="1"/>
  <c r="B84" i="73" s="1"/>
  <c r="B98" i="73"/>
  <c r="B122" i="73" s="1"/>
  <c r="B28" i="73"/>
  <c r="B93" i="73"/>
  <c r="B117" i="73" s="1"/>
  <c r="B67" i="44"/>
  <c r="B75" i="44"/>
  <c r="B83" i="44" s="1"/>
  <c r="B132" i="44"/>
  <c r="B167" i="44" s="1"/>
  <c r="B179" i="44"/>
  <c r="B199" i="44" s="1"/>
  <c r="R145" i="35"/>
  <c r="R169" i="35"/>
  <c r="R181" i="35"/>
  <c r="B8" i="44"/>
  <c r="B123" i="44" s="1"/>
  <c r="B122" i="41"/>
  <c r="B7" i="44"/>
  <c r="B122" i="44" s="1"/>
  <c r="B159" i="44" s="1"/>
  <c r="B121" i="41"/>
  <c r="J155" i="37"/>
  <c r="G154" i="36"/>
  <c r="R146" i="34"/>
  <c r="O121" i="35"/>
  <c r="H150" i="31"/>
  <c r="G149" i="36"/>
  <c r="N149" i="36" s="1"/>
  <c r="E152" i="37"/>
  <c r="J152" i="37" s="1"/>
  <c r="N29" i="42"/>
  <c r="Q29" i="42" s="1" a="1"/>
  <c r="Q29" i="42" s="1"/>
  <c r="O14" i="42" s="1"/>
  <c r="O29" i="42" s="1"/>
  <c r="I27" i="42"/>
  <c r="J26" i="42"/>
  <c r="L9" i="42"/>
  <c r="K18" i="42"/>
  <c r="H151" i="31"/>
  <c r="P151" i="31" s="1"/>
  <c r="P150" i="30"/>
  <c r="I191" i="29"/>
  <c r="Q191" i="29" s="1"/>
  <c r="O152" i="29"/>
  <c r="O164" i="29"/>
  <c r="O128" i="29"/>
  <c r="N117" i="36"/>
  <c r="N112" i="36"/>
  <c r="N148" i="36"/>
  <c r="O111" i="35"/>
  <c r="P131" i="36"/>
  <c r="R170" i="34"/>
  <c r="P143" i="36"/>
  <c r="J119" i="37"/>
  <c r="O170" i="31"/>
  <c r="O146" i="31"/>
  <c r="O134" i="31"/>
  <c r="B95" i="41"/>
  <c r="B44" i="41"/>
  <c r="J12" i="42"/>
  <c r="O122" i="31"/>
  <c r="J25" i="42"/>
  <c r="J11" i="42"/>
  <c r="I156" i="29"/>
  <c r="I192" i="29" s="1"/>
  <c r="Q192" i="29" s="1"/>
  <c r="I152" i="30"/>
  <c r="I188" i="30" s="1"/>
  <c r="P188" i="30" s="1"/>
  <c r="R134" i="34"/>
  <c r="R158" i="34"/>
  <c r="M143" i="33"/>
  <c r="E153" i="37"/>
  <c r="J153" i="37" s="1"/>
  <c r="M131" i="33"/>
  <c r="M155" i="33"/>
  <c r="M167" i="33"/>
  <c r="O176" i="29"/>
  <c r="P132" i="36"/>
  <c r="I144" i="36"/>
  <c r="P128" i="36"/>
  <c r="I140" i="36"/>
  <c r="P124" i="36"/>
  <c r="I136" i="36"/>
  <c r="I138" i="36"/>
  <c r="P126" i="36"/>
  <c r="M179" i="33"/>
  <c r="I135" i="36"/>
  <c r="P123" i="36"/>
  <c r="G140" i="33"/>
  <c r="M128" i="33"/>
  <c r="K152" i="34"/>
  <c r="P122" i="36"/>
  <c r="I134" i="36"/>
  <c r="B142" i="44"/>
  <c r="B153" i="44" s="1"/>
  <c r="B180" i="44"/>
  <c r="B200" i="44" s="1"/>
  <c r="K148" i="34"/>
  <c r="G151" i="36"/>
  <c r="N115" i="36"/>
  <c r="I138" i="34"/>
  <c r="R126" i="34"/>
  <c r="I149" i="29"/>
  <c r="H149" i="31"/>
  <c r="I157" i="36"/>
  <c r="P145" i="36"/>
  <c r="P125" i="36"/>
  <c r="I137" i="36"/>
  <c r="K151" i="34"/>
  <c r="P141" i="36"/>
  <c r="I153" i="36"/>
  <c r="J113" i="37"/>
  <c r="E149" i="37"/>
  <c r="K153" i="34"/>
  <c r="I142" i="36"/>
  <c r="P130" i="36"/>
  <c r="G134" i="29"/>
  <c r="O122" i="29"/>
  <c r="H155" i="31"/>
  <c r="L2" i="42"/>
  <c r="K10" i="42"/>
  <c r="I151" i="36"/>
  <c r="P139" i="36"/>
  <c r="I167" i="36"/>
  <c r="P155" i="36"/>
  <c r="J153" i="35"/>
  <c r="R141" i="35"/>
  <c r="J146" i="35"/>
  <c r="R134" i="35"/>
  <c r="G137" i="33"/>
  <c r="M125" i="33"/>
  <c r="G154" i="33"/>
  <c r="M142" i="33"/>
  <c r="O125" i="29"/>
  <c r="G137" i="29"/>
  <c r="O132" i="29"/>
  <c r="G144" i="29"/>
  <c r="B94" i="41"/>
  <c r="I154" i="30"/>
  <c r="I147" i="30"/>
  <c r="I183" i="29"/>
  <c r="Q183" i="29" s="1"/>
  <c r="Q147" i="29"/>
  <c r="I193" i="29"/>
  <c r="Q193" i="29" s="1"/>
  <c r="Q157" i="29"/>
  <c r="G193" i="35"/>
  <c r="O193" i="35" s="1"/>
  <c r="O157" i="35"/>
  <c r="O120" i="35"/>
  <c r="G156" i="35"/>
  <c r="O113" i="35"/>
  <c r="G149" i="35"/>
  <c r="I157" i="30"/>
  <c r="E188" i="37"/>
  <c r="J188" i="37" s="1"/>
  <c r="I191" i="30"/>
  <c r="P191" i="30" s="1"/>
  <c r="P155" i="30"/>
  <c r="H157" i="31"/>
  <c r="I149" i="30"/>
  <c r="H135" i="31"/>
  <c r="G155" i="36"/>
  <c r="N119" i="36"/>
  <c r="J115" i="37"/>
  <c r="E151" i="37"/>
  <c r="I154" i="29"/>
  <c r="G147" i="36"/>
  <c r="N111" i="36"/>
  <c r="I189" i="30"/>
  <c r="P189" i="30" s="1"/>
  <c r="P153" i="30"/>
  <c r="G189" i="36"/>
  <c r="N189" i="36" s="1"/>
  <c r="N153" i="36"/>
  <c r="K191" i="34"/>
  <c r="T191" i="34" s="1"/>
  <c r="T155" i="34"/>
  <c r="K192" i="34"/>
  <c r="T192" i="34" s="1"/>
  <c r="T156" i="34"/>
  <c r="G156" i="36"/>
  <c r="N120" i="36"/>
  <c r="K147" i="34"/>
  <c r="H156" i="31"/>
  <c r="I171" i="29"/>
  <c r="Q171" i="29" s="1"/>
  <c r="Q135" i="29"/>
  <c r="O116" i="35"/>
  <c r="G152" i="35"/>
  <c r="H186" i="31"/>
  <c r="P186" i="31" s="1"/>
  <c r="P150" i="31"/>
  <c r="H183" i="31"/>
  <c r="P183" i="31" s="1"/>
  <c r="P147" i="31"/>
  <c r="H190" i="31"/>
  <c r="P190" i="31" s="1"/>
  <c r="P154" i="31"/>
  <c r="G152" i="36"/>
  <c r="N116" i="36"/>
  <c r="K154" i="34"/>
  <c r="S126" i="28"/>
  <c r="G157" i="36"/>
  <c r="N121" i="36"/>
  <c r="E171" i="37"/>
  <c r="J171" i="37" s="1"/>
  <c r="J135" i="37"/>
  <c r="G153" i="35"/>
  <c r="O117" i="35"/>
  <c r="J120" i="37"/>
  <c r="E156" i="37"/>
  <c r="H188" i="31"/>
  <c r="P188" i="31" s="1"/>
  <c r="P152" i="31"/>
  <c r="G148" i="35"/>
  <c r="O112" i="35"/>
  <c r="H153" i="31"/>
  <c r="I148" i="29"/>
  <c r="N114" i="36"/>
  <c r="G150" i="36"/>
  <c r="E148" i="37"/>
  <c r="J112" i="37"/>
  <c r="I184" i="30"/>
  <c r="P184" i="30" s="1"/>
  <c r="P148" i="30"/>
  <c r="I135" i="30"/>
  <c r="E157" i="37"/>
  <c r="J121" i="37"/>
  <c r="S125" i="28"/>
  <c r="I152" i="29"/>
  <c r="I156" i="30"/>
  <c r="J118" i="37"/>
  <c r="E154" i="37"/>
  <c r="O115" i="35"/>
  <c r="G151" i="35"/>
  <c r="G155" i="35"/>
  <c r="O119" i="35"/>
  <c r="I187" i="29"/>
  <c r="Q187" i="29" s="1"/>
  <c r="Q151" i="29"/>
  <c r="G190" i="35"/>
  <c r="O190" i="35" s="1"/>
  <c r="O154" i="35"/>
  <c r="E147" i="37"/>
  <c r="J111" i="37"/>
  <c r="G190" i="36"/>
  <c r="N190" i="36" s="1"/>
  <c r="N154" i="36"/>
  <c r="I151" i="30"/>
  <c r="G150" i="35"/>
  <c r="O114" i="35"/>
  <c r="K150" i="34"/>
  <c r="H148" i="31"/>
  <c r="G135" i="35"/>
  <c r="B134" i="44"/>
  <c r="B172" i="44"/>
  <c r="B192" i="44" s="1"/>
  <c r="B59" i="41"/>
  <c r="B67" i="41" s="1"/>
  <c r="B75" i="41" s="1"/>
  <c r="B60" i="41"/>
  <c r="B68" i="41" s="1"/>
  <c r="B76" i="41" s="1"/>
  <c r="J76" i="41" s="1"/>
  <c r="B66" i="41"/>
  <c r="B74" i="41" s="1"/>
  <c r="J74" i="41" s="1"/>
  <c r="B83" i="41"/>
  <c r="J83" i="41" s="1"/>
  <c r="J28" i="41"/>
  <c r="J42" i="41" s="1"/>
  <c r="B42" i="41"/>
  <c r="AX8" i="40"/>
  <c r="AX9" i="40" s="1"/>
  <c r="BM6" i="40"/>
  <c r="AG7" i="40"/>
  <c r="R7" i="40"/>
  <c r="J7" i="40"/>
  <c r="Z6" i="40"/>
  <c r="B6" i="40"/>
  <c r="CJ8" i="39"/>
  <c r="DO5" i="39"/>
  <c r="EG5" i="39"/>
  <c r="EN5" i="39"/>
  <c r="EN7" i="39" s="1"/>
  <c r="EN8" i="39" s="1"/>
  <c r="EN9" i="39" s="1"/>
  <c r="EN10" i="39" s="1"/>
  <c r="EN11" i="39" s="1"/>
  <c r="EN12" i="39" s="1"/>
  <c r="AQ5" i="39"/>
  <c r="BB5" i="39" s="1"/>
  <c r="BM5" i="39"/>
  <c r="B8" i="39"/>
  <c r="L8" i="39"/>
  <c r="B233" i="6"/>
  <c r="B244" i="6"/>
  <c r="S132" i="28"/>
  <c r="I123" i="28"/>
  <c r="S129" i="28"/>
  <c r="I122" i="28"/>
  <c r="I133" i="28"/>
  <c r="S133" i="28"/>
  <c r="S130" i="28"/>
  <c r="I141" i="28"/>
  <c r="R129" i="28"/>
  <c r="S147" i="28"/>
  <c r="S131" i="28"/>
  <c r="S171" i="28"/>
  <c r="I126" i="28"/>
  <c r="S179" i="28"/>
  <c r="N6" i="27"/>
  <c r="BE7" i="27"/>
  <c r="BM6" i="27"/>
  <c r="AX7" i="27"/>
  <c r="AR6" i="27"/>
  <c r="AK7" i="27"/>
  <c r="AC7" i="27"/>
  <c r="U9" i="27"/>
  <c r="H8" i="27"/>
  <c r="B8" i="27"/>
  <c r="B120" i="41" l="1"/>
  <c r="B65" i="41"/>
  <c r="B73" i="41" s="1"/>
  <c r="J73" i="41" s="1"/>
  <c r="B185" i="44"/>
  <c r="B205" i="44" s="1"/>
  <c r="B130" i="44"/>
  <c r="B165" i="44" s="1"/>
  <c r="B160" i="44"/>
  <c r="B186" i="44"/>
  <c r="B206" i="44" s="1"/>
  <c r="H187" i="31"/>
  <c r="P187" i="31" s="1"/>
  <c r="B24" i="44"/>
  <c r="B34" i="44" s="1"/>
  <c r="B177" i="44"/>
  <c r="B197" i="44" s="1"/>
  <c r="J28" i="73"/>
  <c r="J42" i="73" s="1"/>
  <c r="B42" i="73"/>
  <c r="B46" i="73"/>
  <c r="B57" i="73" s="1"/>
  <c r="J32" i="73"/>
  <c r="J46" i="73" s="1"/>
  <c r="B45" i="73"/>
  <c r="B56" i="73" s="1"/>
  <c r="J31" i="73"/>
  <c r="J45" i="73" s="1"/>
  <c r="B44" i="73"/>
  <c r="J30" i="73"/>
  <c r="J44" i="73" s="1"/>
  <c r="B15" i="44"/>
  <c r="B139" i="44"/>
  <c r="B150" i="44" s="1"/>
  <c r="G185" i="36"/>
  <c r="N185" i="36" s="1"/>
  <c r="B175" i="44"/>
  <c r="B195" i="44" s="1"/>
  <c r="B128" i="44"/>
  <c r="B137" i="44"/>
  <c r="B148" i="44" s="1"/>
  <c r="B13" i="44"/>
  <c r="B22" i="44"/>
  <c r="B32" i="44" s="1"/>
  <c r="B14" i="44"/>
  <c r="B23" i="44"/>
  <c r="B33" i="44" s="1"/>
  <c r="B129" i="44"/>
  <c r="B176" i="44"/>
  <c r="B196" i="44" s="1"/>
  <c r="B138" i="44"/>
  <c r="B145" i="44"/>
  <c r="B4" i="44"/>
  <c r="B20" i="44" s="1"/>
  <c r="B30" i="44" s="1"/>
  <c r="B118" i="41"/>
  <c r="B5" i="44"/>
  <c r="B120" i="44" s="1"/>
  <c r="B119" i="41"/>
  <c r="M9" i="42"/>
  <c r="K26" i="42"/>
  <c r="L18" i="42"/>
  <c r="J27" i="42"/>
  <c r="P152" i="30"/>
  <c r="Q156" i="29"/>
  <c r="N19" i="42"/>
  <c r="K12" i="42"/>
  <c r="K25" i="42"/>
  <c r="K11" i="42"/>
  <c r="E189" i="37"/>
  <c r="J189" i="37" s="1"/>
  <c r="P140" i="36"/>
  <c r="I152" i="36"/>
  <c r="P144" i="36"/>
  <c r="I156" i="36"/>
  <c r="P135" i="36"/>
  <c r="I147" i="36"/>
  <c r="I150" i="36"/>
  <c r="P138" i="36"/>
  <c r="P136" i="36"/>
  <c r="I148" i="36"/>
  <c r="G187" i="36"/>
  <c r="N187" i="36" s="1"/>
  <c r="N151" i="36"/>
  <c r="P153" i="36"/>
  <c r="I165" i="36"/>
  <c r="K187" i="34"/>
  <c r="T187" i="34" s="1"/>
  <c r="T151" i="34"/>
  <c r="K184" i="34"/>
  <c r="T184" i="34" s="1"/>
  <c r="T148" i="34"/>
  <c r="P137" i="36"/>
  <c r="I149" i="36"/>
  <c r="EN13" i="39"/>
  <c r="EN14" i="39" s="1"/>
  <c r="EN15" i="39" s="1"/>
  <c r="EO15" i="39" s="1"/>
  <c r="L22" i="41" s="1"/>
  <c r="L63" i="44" s="1"/>
  <c r="H191" i="31"/>
  <c r="P191" i="31" s="1"/>
  <c r="P155" i="31"/>
  <c r="B184" i="44"/>
  <c r="B204" i="44" s="1"/>
  <c r="I169" i="36"/>
  <c r="P157" i="36"/>
  <c r="P134" i="36"/>
  <c r="I146" i="36"/>
  <c r="G146" i="29"/>
  <c r="O134" i="29"/>
  <c r="H185" i="31"/>
  <c r="P185" i="31" s="1"/>
  <c r="P149" i="31"/>
  <c r="K188" i="34"/>
  <c r="T188" i="34" s="1"/>
  <c r="T152" i="34"/>
  <c r="P142" i="36"/>
  <c r="I154" i="36"/>
  <c r="I185" i="29"/>
  <c r="Q185" i="29" s="1"/>
  <c r="Q149" i="29"/>
  <c r="K189" i="34"/>
  <c r="T189" i="34" s="1"/>
  <c r="T153" i="34"/>
  <c r="I150" i="34"/>
  <c r="R138" i="34"/>
  <c r="J149" i="37"/>
  <c r="E185" i="37"/>
  <c r="J185" i="37" s="1"/>
  <c r="G152" i="33"/>
  <c r="M140" i="33"/>
  <c r="L10" i="42"/>
  <c r="M2" i="42"/>
  <c r="I179" i="36"/>
  <c r="P167" i="36"/>
  <c r="I163" i="36"/>
  <c r="P151" i="36"/>
  <c r="J158" i="35"/>
  <c r="R146" i="35"/>
  <c r="J165" i="35"/>
  <c r="R153" i="35"/>
  <c r="G166" i="33"/>
  <c r="M154" i="33"/>
  <c r="G149" i="33"/>
  <c r="M137" i="33"/>
  <c r="G156" i="29"/>
  <c r="O144" i="29"/>
  <c r="G149" i="29"/>
  <c r="O137" i="29"/>
  <c r="G186" i="35"/>
  <c r="O186" i="35" s="1"/>
  <c r="O150" i="35"/>
  <c r="H189" i="31"/>
  <c r="P189" i="31" s="1"/>
  <c r="P153" i="31"/>
  <c r="H171" i="31"/>
  <c r="P171" i="31" s="1"/>
  <c r="P135" i="31"/>
  <c r="I188" i="29"/>
  <c r="Q188" i="29" s="1"/>
  <c r="Q152" i="29"/>
  <c r="G184" i="35"/>
  <c r="O184" i="35" s="1"/>
  <c r="O148" i="35"/>
  <c r="T147" i="34"/>
  <c r="K183" i="34"/>
  <c r="T183" i="34" s="1"/>
  <c r="G183" i="36"/>
  <c r="N183" i="36" s="1"/>
  <c r="N147" i="36"/>
  <c r="G191" i="35"/>
  <c r="O191" i="35" s="1"/>
  <c r="O155" i="35"/>
  <c r="G193" i="36"/>
  <c r="N193" i="36" s="1"/>
  <c r="N157" i="36"/>
  <c r="G185" i="35"/>
  <c r="O185" i="35" s="1"/>
  <c r="O149" i="35"/>
  <c r="I187" i="30"/>
  <c r="P187" i="30" s="1"/>
  <c r="P151" i="30"/>
  <c r="O152" i="35"/>
  <c r="G188" i="35"/>
  <c r="O188" i="35" s="1"/>
  <c r="I185" i="30"/>
  <c r="P185" i="30" s="1"/>
  <c r="P149" i="30"/>
  <c r="G192" i="35"/>
  <c r="O192" i="35" s="1"/>
  <c r="O156" i="35"/>
  <c r="O151" i="35"/>
  <c r="G187" i="35"/>
  <c r="O187" i="35" s="1"/>
  <c r="E184" i="37"/>
  <c r="J184" i="37" s="1"/>
  <c r="J148" i="37"/>
  <c r="I190" i="29"/>
  <c r="Q190" i="29" s="1"/>
  <c r="Q154" i="29"/>
  <c r="H193" i="31"/>
  <c r="P193" i="31" s="1"/>
  <c r="P157" i="31"/>
  <c r="I171" i="30"/>
  <c r="P171" i="30" s="1"/>
  <c r="P135" i="30"/>
  <c r="G186" i="36"/>
  <c r="N186" i="36" s="1"/>
  <c r="N150" i="36"/>
  <c r="E192" i="37"/>
  <c r="J192" i="37" s="1"/>
  <c r="J156" i="37"/>
  <c r="G192" i="36"/>
  <c r="N192" i="36" s="1"/>
  <c r="N156" i="36"/>
  <c r="G191" i="36"/>
  <c r="N191" i="36" s="1"/>
  <c r="N155" i="36"/>
  <c r="I183" i="30"/>
  <c r="P183" i="30" s="1"/>
  <c r="P147" i="30"/>
  <c r="E183" i="37"/>
  <c r="J183" i="37" s="1"/>
  <c r="J147" i="37"/>
  <c r="K190" i="34"/>
  <c r="T190" i="34" s="1"/>
  <c r="T154" i="34"/>
  <c r="G171" i="35"/>
  <c r="O171" i="35" s="1"/>
  <c r="O135" i="35"/>
  <c r="E190" i="37"/>
  <c r="J190" i="37" s="1"/>
  <c r="J154" i="37"/>
  <c r="I190" i="30"/>
  <c r="P190" i="30" s="1"/>
  <c r="P154" i="30"/>
  <c r="K186" i="34"/>
  <c r="T186" i="34" s="1"/>
  <c r="T150" i="34"/>
  <c r="E193" i="37"/>
  <c r="J193" i="37" s="1"/>
  <c r="J157" i="37"/>
  <c r="E187" i="37"/>
  <c r="J187" i="37" s="1"/>
  <c r="J151" i="37"/>
  <c r="G188" i="36"/>
  <c r="N188" i="36" s="1"/>
  <c r="N152" i="36"/>
  <c r="H184" i="31"/>
  <c r="P184" i="31" s="1"/>
  <c r="P148" i="31"/>
  <c r="I192" i="30"/>
  <c r="P192" i="30" s="1"/>
  <c r="P156" i="30"/>
  <c r="I184" i="29"/>
  <c r="Q184" i="29" s="1"/>
  <c r="Q148" i="29"/>
  <c r="G189" i="35"/>
  <c r="O189" i="35" s="1"/>
  <c r="O153" i="35"/>
  <c r="H192" i="31"/>
  <c r="P192" i="31" s="1"/>
  <c r="P156" i="31"/>
  <c r="I193" i="30"/>
  <c r="P193" i="30" s="1"/>
  <c r="P157" i="30"/>
  <c r="B86" i="41"/>
  <c r="J86" i="41" s="1"/>
  <c r="B85" i="41"/>
  <c r="J85" i="41" s="1"/>
  <c r="BF6" i="40"/>
  <c r="AX10" i="40"/>
  <c r="BM7" i="40"/>
  <c r="AP9" i="40"/>
  <c r="AG8" i="40"/>
  <c r="R8" i="40"/>
  <c r="J8" i="40"/>
  <c r="Z7" i="40"/>
  <c r="B7" i="40"/>
  <c r="CT7" i="39"/>
  <c r="CJ9" i="39"/>
  <c r="BT5" i="39"/>
  <c r="AF7" i="39"/>
  <c r="CA5" i="39"/>
  <c r="L9" i="39"/>
  <c r="B9" i="39"/>
  <c r="B234" i="6"/>
  <c r="B245" i="6"/>
  <c r="I153" i="28"/>
  <c r="R141" i="28"/>
  <c r="S175" i="28"/>
  <c r="I130" i="28"/>
  <c r="I125" i="28"/>
  <c r="I145" i="28"/>
  <c r="R133" i="28"/>
  <c r="S180" i="28"/>
  <c r="I131" i="28"/>
  <c r="S177" i="28"/>
  <c r="I135" i="28"/>
  <c r="R123" i="28"/>
  <c r="S178" i="28"/>
  <c r="I132" i="28"/>
  <c r="S174" i="28"/>
  <c r="I134" i="28"/>
  <c r="R122" i="28"/>
  <c r="I124" i="28"/>
  <c r="I138" i="28"/>
  <c r="R126" i="28"/>
  <c r="S172" i="28"/>
  <c r="I127" i="28"/>
  <c r="S173" i="28"/>
  <c r="S181" i="28"/>
  <c r="N7" i="27"/>
  <c r="AR7" i="27"/>
  <c r="AX8" i="27"/>
  <c r="BM7" i="27"/>
  <c r="BE8" i="27"/>
  <c r="AK8" i="27"/>
  <c r="AC8" i="27"/>
  <c r="U10" i="27"/>
  <c r="H9" i="27"/>
  <c r="B9" i="27"/>
  <c r="B183" i="44" l="1"/>
  <c r="B203" i="44" s="1"/>
  <c r="B164" i="44"/>
  <c r="B182" i="44"/>
  <c r="B202" i="44" s="1"/>
  <c r="B163" i="44"/>
  <c r="O19" i="42"/>
  <c r="B82" i="73"/>
  <c r="J82" i="73" s="1"/>
  <c r="B65" i="73"/>
  <c r="B73" i="73" s="1"/>
  <c r="J73" i="73" s="1"/>
  <c r="B83" i="73"/>
  <c r="J83" i="73" s="1"/>
  <c r="B66" i="73"/>
  <c r="B74" i="73" s="1"/>
  <c r="J74" i="73" s="1"/>
  <c r="B149" i="44"/>
  <c r="B119" i="44"/>
  <c r="B135" i="44" s="1"/>
  <c r="B21" i="44"/>
  <c r="B31" i="44" s="1"/>
  <c r="B174" i="44"/>
  <c r="B194" i="44" s="1"/>
  <c r="B136" i="44"/>
  <c r="B147" i="44" s="1"/>
  <c r="K27" i="42"/>
  <c r="N9" i="42"/>
  <c r="L26" i="42"/>
  <c r="M18" i="42"/>
  <c r="L25" i="42"/>
  <c r="L12" i="42"/>
  <c r="I168" i="36"/>
  <c r="P156" i="36"/>
  <c r="P152" i="36"/>
  <c r="I164" i="36"/>
  <c r="P148" i="36"/>
  <c r="I160" i="36"/>
  <c r="I162" i="36"/>
  <c r="P150" i="36"/>
  <c r="I159" i="36"/>
  <c r="P147" i="36"/>
  <c r="P154" i="36"/>
  <c r="I166" i="36"/>
  <c r="EN16" i="39"/>
  <c r="EN17" i="39" s="1"/>
  <c r="EN18" i="39" s="1"/>
  <c r="EN19" i="39" s="1"/>
  <c r="EN20" i="39" s="1"/>
  <c r="EN21" i="39" s="1"/>
  <c r="I161" i="36"/>
  <c r="P149" i="36"/>
  <c r="G164" i="33"/>
  <c r="M152" i="33"/>
  <c r="G158" i="29"/>
  <c r="O146" i="29"/>
  <c r="I162" i="34"/>
  <c r="R150" i="34"/>
  <c r="I158" i="36"/>
  <c r="P146" i="36"/>
  <c r="P165" i="36"/>
  <c r="I177" i="36"/>
  <c r="I181" i="36"/>
  <c r="P169" i="36"/>
  <c r="L11" i="42"/>
  <c r="N2" i="42"/>
  <c r="M10" i="42"/>
  <c r="I175" i="36"/>
  <c r="P163" i="36"/>
  <c r="I191" i="36"/>
  <c r="P191" i="36" s="1"/>
  <c r="P179" i="36"/>
  <c r="J177" i="35"/>
  <c r="R165" i="35"/>
  <c r="J170" i="35"/>
  <c r="R158" i="35"/>
  <c r="G161" i="33"/>
  <c r="M149" i="33"/>
  <c r="G178" i="33"/>
  <c r="M166" i="33"/>
  <c r="G161" i="29"/>
  <c r="O149" i="29"/>
  <c r="G168" i="29"/>
  <c r="O156" i="29"/>
  <c r="BF7" i="40"/>
  <c r="AP10" i="40"/>
  <c r="BM8" i="40"/>
  <c r="AX11" i="40"/>
  <c r="AG9" i="40"/>
  <c r="R9" i="40"/>
  <c r="J9" i="40"/>
  <c r="Z8" i="40"/>
  <c r="B8" i="40"/>
  <c r="DD7" i="39"/>
  <c r="CT8" i="39"/>
  <c r="DZ7" i="39"/>
  <c r="CJ10" i="39"/>
  <c r="AF8" i="39"/>
  <c r="V7" i="39"/>
  <c r="L10" i="39"/>
  <c r="B10" i="39"/>
  <c r="B246" i="6"/>
  <c r="B235" i="6"/>
  <c r="I142" i="28"/>
  <c r="R130" i="28"/>
  <c r="I165" i="28"/>
  <c r="R153" i="28"/>
  <c r="I150" i="28"/>
  <c r="R138" i="28"/>
  <c r="I146" i="28"/>
  <c r="R134" i="28"/>
  <c r="I143" i="28"/>
  <c r="R131" i="28"/>
  <c r="I157" i="28"/>
  <c r="R145" i="28"/>
  <c r="I137" i="28"/>
  <c r="R125" i="28"/>
  <c r="I139" i="28"/>
  <c r="R127" i="28"/>
  <c r="I144" i="28"/>
  <c r="R132" i="28"/>
  <c r="I147" i="28"/>
  <c r="R135" i="28"/>
  <c r="I136" i="28"/>
  <c r="R124" i="28"/>
  <c r="N8" i="27"/>
  <c r="BE9" i="27"/>
  <c r="BM8" i="27"/>
  <c r="AX9" i="27"/>
  <c r="AR8" i="27"/>
  <c r="AK9" i="27"/>
  <c r="AC9" i="27"/>
  <c r="U11" i="27"/>
  <c r="H10" i="27"/>
  <c r="B10" i="27"/>
  <c r="B173" i="44" l="1"/>
  <c r="B193" i="44" s="1"/>
  <c r="B146" i="44"/>
  <c r="O9" i="42"/>
  <c r="L27" i="42"/>
  <c r="N18" i="42"/>
  <c r="M26" i="42"/>
  <c r="M12" i="42"/>
  <c r="M25" i="42"/>
  <c r="P164" i="36"/>
  <c r="I176" i="36"/>
  <c r="P168" i="36"/>
  <c r="I180" i="36"/>
  <c r="P159" i="36"/>
  <c r="I171" i="36"/>
  <c r="I174" i="36"/>
  <c r="P162" i="36"/>
  <c r="I172" i="36"/>
  <c r="P160" i="36"/>
  <c r="P177" i="36"/>
  <c r="I189" i="36"/>
  <c r="P189" i="36" s="1"/>
  <c r="I170" i="36"/>
  <c r="P158" i="36"/>
  <c r="I174" i="34"/>
  <c r="R162" i="34"/>
  <c r="G170" i="29"/>
  <c r="O158" i="29"/>
  <c r="G176" i="33"/>
  <c r="M164" i="33"/>
  <c r="I173" i="36"/>
  <c r="P161" i="36"/>
  <c r="P166" i="36"/>
  <c r="I178" i="36"/>
  <c r="P181" i="36"/>
  <c r="I193" i="36"/>
  <c r="P193" i="36" s="1"/>
  <c r="N10" i="42"/>
  <c r="O2" i="42"/>
  <c r="M11" i="42"/>
  <c r="P175" i="36"/>
  <c r="I187" i="36"/>
  <c r="P187" i="36" s="1"/>
  <c r="J182" i="35"/>
  <c r="R182" i="35" s="1"/>
  <c r="R170" i="35"/>
  <c r="J189" i="35"/>
  <c r="R189" i="35" s="1"/>
  <c r="R177" i="35"/>
  <c r="G190" i="33"/>
  <c r="M190" i="33" s="1"/>
  <c r="M178" i="33"/>
  <c r="G173" i="33"/>
  <c r="M161" i="33"/>
  <c r="G180" i="29"/>
  <c r="O168" i="29"/>
  <c r="G173" i="29"/>
  <c r="O161" i="29"/>
  <c r="BF8" i="40"/>
  <c r="AX12" i="40"/>
  <c r="AX13" i="40" s="1"/>
  <c r="AX14" i="40" s="1"/>
  <c r="BM9" i="40"/>
  <c r="AP11" i="40"/>
  <c r="AG10" i="40"/>
  <c r="R10" i="40"/>
  <c r="J10" i="40"/>
  <c r="Z9" i="40"/>
  <c r="B9" i="40"/>
  <c r="DZ8" i="39"/>
  <c r="CJ11" i="39"/>
  <c r="DO7" i="39"/>
  <c r="CT9" i="39"/>
  <c r="EG7" i="39"/>
  <c r="DD8" i="39"/>
  <c r="BB7" i="39"/>
  <c r="AQ7" i="39"/>
  <c r="AF9" i="39"/>
  <c r="V8" i="39"/>
  <c r="BM7" i="39"/>
  <c r="CA6" i="39"/>
  <c r="L11" i="39"/>
  <c r="B11" i="39"/>
  <c r="B247" i="6"/>
  <c r="B236" i="6"/>
  <c r="I151" i="28"/>
  <c r="R139" i="28"/>
  <c r="I149" i="28"/>
  <c r="R137" i="28"/>
  <c r="I169" i="28"/>
  <c r="R157" i="28"/>
  <c r="I155" i="28"/>
  <c r="R143" i="28"/>
  <c r="I158" i="28"/>
  <c r="R146" i="28"/>
  <c r="I148" i="28"/>
  <c r="R136" i="28"/>
  <c r="I162" i="28"/>
  <c r="R150" i="28"/>
  <c r="I159" i="28"/>
  <c r="R147" i="28"/>
  <c r="I177" i="28"/>
  <c r="R165" i="28"/>
  <c r="I156" i="28"/>
  <c r="R144" i="28"/>
  <c r="I154" i="28"/>
  <c r="R142" i="28"/>
  <c r="N9" i="27"/>
  <c r="AR9" i="27"/>
  <c r="AX10" i="27"/>
  <c r="BM9" i="27"/>
  <c r="BE10" i="27"/>
  <c r="AK10" i="27"/>
  <c r="AC10" i="27"/>
  <c r="U12" i="27"/>
  <c r="U13" i="27" s="1"/>
  <c r="U14" i="27" s="1"/>
  <c r="H11" i="27"/>
  <c r="B11" i="27"/>
  <c r="M27" i="42" l="1"/>
  <c r="N26" i="42"/>
  <c r="Q26" i="42" s="1" a="1"/>
  <c r="Q26" i="42" s="1"/>
  <c r="N25" i="42"/>
  <c r="Q25" i="42" s="1" a="1"/>
  <c r="Q25" i="42" s="1"/>
  <c r="P180" i="36"/>
  <c r="I192" i="36"/>
  <c r="P192" i="36" s="1"/>
  <c r="P176" i="36"/>
  <c r="I188" i="36"/>
  <c r="P188" i="36" s="1"/>
  <c r="P172" i="36"/>
  <c r="I184" i="36"/>
  <c r="P184" i="36" s="1"/>
  <c r="I186" i="36"/>
  <c r="P186" i="36" s="1"/>
  <c r="P174" i="36"/>
  <c r="I183" i="36"/>
  <c r="P183" i="36" s="1"/>
  <c r="P171" i="36"/>
  <c r="P178" i="36"/>
  <c r="I190" i="36"/>
  <c r="P190" i="36" s="1"/>
  <c r="I185" i="36"/>
  <c r="P185" i="36" s="1"/>
  <c r="P173" i="36"/>
  <c r="G188" i="33"/>
  <c r="M188" i="33" s="1"/>
  <c r="M176" i="33"/>
  <c r="G182" i="29"/>
  <c r="O182" i="29" s="1"/>
  <c r="O170" i="29"/>
  <c r="I186" i="34"/>
  <c r="R186" i="34" s="1"/>
  <c r="R174" i="34"/>
  <c r="I182" i="36"/>
  <c r="P182" i="36" s="1"/>
  <c r="P170" i="36"/>
  <c r="O18" i="42"/>
  <c r="O10" i="42"/>
  <c r="G185" i="33"/>
  <c r="M185" i="33" s="1"/>
  <c r="M173" i="33"/>
  <c r="G185" i="29"/>
  <c r="O185" i="29" s="1"/>
  <c r="O173" i="29"/>
  <c r="G192" i="29"/>
  <c r="O192" i="29" s="1"/>
  <c r="O180" i="29"/>
  <c r="BF9" i="40"/>
  <c r="BM10" i="40"/>
  <c r="AP12" i="40"/>
  <c r="AG11" i="40"/>
  <c r="R11" i="40"/>
  <c r="J11" i="40"/>
  <c r="Z10" i="40"/>
  <c r="B10" i="40"/>
  <c r="CJ12" i="39"/>
  <c r="CJ13" i="39" s="1"/>
  <c r="CJ14" i="39" s="1"/>
  <c r="CJ15" i="39" s="1"/>
  <c r="CK15" i="39" s="1"/>
  <c r="L16" i="41" s="1"/>
  <c r="L57" i="44" s="1"/>
  <c r="DZ9" i="39"/>
  <c r="DO8" i="39"/>
  <c r="EG8" i="39"/>
  <c r="CT10" i="39"/>
  <c r="DD9" i="39"/>
  <c r="BB8" i="39"/>
  <c r="AQ8" i="39"/>
  <c r="AF10" i="39"/>
  <c r="CA7" i="39"/>
  <c r="BM8" i="39"/>
  <c r="V9" i="39"/>
  <c r="L12" i="39"/>
  <c r="L13" i="39" s="1"/>
  <c r="B12" i="39"/>
  <c r="B13" i="39" s="1"/>
  <c r="B14" i="39" s="1"/>
  <c r="B15" i="39" s="1"/>
  <c r="C15" i="39" s="1"/>
  <c r="L3" i="41" s="1"/>
  <c r="L3" i="44" s="1"/>
  <c r="B248" i="6"/>
  <c r="B237" i="6"/>
  <c r="I174" i="28"/>
  <c r="R162" i="28"/>
  <c r="I160" i="28"/>
  <c r="R148" i="28"/>
  <c r="I170" i="28"/>
  <c r="R158" i="28"/>
  <c r="I166" i="28"/>
  <c r="R154" i="28"/>
  <c r="I167" i="28"/>
  <c r="R155" i="28"/>
  <c r="I168" i="28"/>
  <c r="R156" i="28"/>
  <c r="I181" i="28"/>
  <c r="R169" i="28"/>
  <c r="I189" i="28"/>
  <c r="R189" i="28" s="1"/>
  <c r="R177" i="28"/>
  <c r="I161" i="28"/>
  <c r="R149" i="28"/>
  <c r="I171" i="28"/>
  <c r="R159" i="28"/>
  <c r="I163" i="28"/>
  <c r="R151" i="28"/>
  <c r="N10" i="27"/>
  <c r="BM10" i="27"/>
  <c r="BE11" i="27"/>
  <c r="AX11" i="27"/>
  <c r="AR10" i="27"/>
  <c r="AK11" i="27"/>
  <c r="AC11" i="27"/>
  <c r="H12" i="27"/>
  <c r="H13" i="27" s="1"/>
  <c r="H14" i="27" s="1"/>
  <c r="B12" i="27"/>
  <c r="B13" i="27" s="1"/>
  <c r="B14" i="27" s="1"/>
  <c r="B249" i="6" l="1"/>
  <c r="B238" i="6"/>
  <c r="AP13" i="40"/>
  <c r="O25" i="42"/>
  <c r="L14" i="39"/>
  <c r="L15" i="39" s="1"/>
  <c r="M15" i="39" s="1"/>
  <c r="L4" i="41" s="1"/>
  <c r="L4" i="44" s="1"/>
  <c r="O26" i="42"/>
  <c r="BF10" i="40"/>
  <c r="BM11" i="40"/>
  <c r="AG12" i="40"/>
  <c r="R12" i="40"/>
  <c r="R13" i="40" s="1"/>
  <c r="R14" i="40" s="1"/>
  <c r="J12" i="40"/>
  <c r="J13" i="40" s="1"/>
  <c r="J14" i="40" s="1"/>
  <c r="Z11" i="40"/>
  <c r="B11" i="40"/>
  <c r="CT11" i="39"/>
  <c r="DO9" i="39"/>
  <c r="DD10" i="39"/>
  <c r="DZ10" i="39"/>
  <c r="EG9" i="39"/>
  <c r="BB9" i="39"/>
  <c r="AQ9" i="39"/>
  <c r="AF11" i="39"/>
  <c r="CA8" i="39"/>
  <c r="BM9" i="39"/>
  <c r="V10" i="39"/>
  <c r="I193" i="28"/>
  <c r="R193" i="28" s="1"/>
  <c r="R181" i="28"/>
  <c r="I180" i="28"/>
  <c r="R168" i="28"/>
  <c r="I179" i="28"/>
  <c r="R167" i="28"/>
  <c r="I178" i="28"/>
  <c r="R166" i="28"/>
  <c r="I175" i="28"/>
  <c r="R163" i="28"/>
  <c r="I183" i="28"/>
  <c r="R183" i="28" s="1"/>
  <c r="R171" i="28"/>
  <c r="I182" i="28"/>
  <c r="R182" i="28" s="1"/>
  <c r="R170" i="28"/>
  <c r="I173" i="28"/>
  <c r="R161" i="28"/>
  <c r="I172" i="28"/>
  <c r="R160" i="28"/>
  <c r="I186" i="28"/>
  <c r="R186" i="28" s="1"/>
  <c r="R174" i="28"/>
  <c r="N11" i="27"/>
  <c r="AX12" i="27"/>
  <c r="AX13" i="27" s="1"/>
  <c r="AX14" i="27" s="1"/>
  <c r="BE12" i="27"/>
  <c r="BE13" i="27" s="1"/>
  <c r="BE14" i="27" s="1"/>
  <c r="AR11" i="27"/>
  <c r="BM11" i="27"/>
  <c r="AK12" i="27"/>
  <c r="AK13" i="27" s="1"/>
  <c r="AK14" i="27" s="1"/>
  <c r="AC12" i="27"/>
  <c r="AC13" i="27" s="1"/>
  <c r="AC14" i="27" s="1"/>
  <c r="B250" i="6" l="1"/>
  <c r="AP14" i="40"/>
  <c r="L14" i="40"/>
  <c r="T14" i="40"/>
  <c r="AG13" i="40"/>
  <c r="BF11" i="40"/>
  <c r="BM12" i="40"/>
  <c r="BM13" i="40" s="1"/>
  <c r="BM14" i="40" s="1"/>
  <c r="Z12" i="40"/>
  <c r="Z13" i="40" s="1"/>
  <c r="Z14" i="40" s="1"/>
  <c r="B12" i="40"/>
  <c r="B13" i="40" s="1"/>
  <c r="B14" i="40" s="1"/>
  <c r="D14" i="40" s="1"/>
  <c r="EG10" i="39"/>
  <c r="EH10" i="39" s="1"/>
  <c r="DD11" i="39"/>
  <c r="DO10" i="39"/>
  <c r="CT12" i="39"/>
  <c r="CT13" i="39" s="1"/>
  <c r="CT14" i="39" s="1"/>
  <c r="CT15" i="39" s="1"/>
  <c r="CU15" i="39" s="1"/>
  <c r="L17" i="41" s="1"/>
  <c r="L58" i="44" s="1"/>
  <c r="DZ11" i="39"/>
  <c r="BB10" i="39"/>
  <c r="AQ10" i="39"/>
  <c r="AF12" i="39"/>
  <c r="AF13" i="39" s="1"/>
  <c r="AF14" i="39" s="1"/>
  <c r="AF15" i="39" s="1"/>
  <c r="AG15" i="39" s="1"/>
  <c r="L6" i="41" s="1"/>
  <c r="L6" i="44" s="1"/>
  <c r="V11" i="39"/>
  <c r="BM10" i="39"/>
  <c r="CA9" i="39"/>
  <c r="I187" i="28"/>
  <c r="R187" i="28" s="1"/>
  <c r="R175" i="28"/>
  <c r="I190" i="28"/>
  <c r="R190" i="28" s="1"/>
  <c r="R178" i="28"/>
  <c r="I191" i="28"/>
  <c r="R191" i="28" s="1"/>
  <c r="R179" i="28"/>
  <c r="I184" i="28"/>
  <c r="R184" i="28" s="1"/>
  <c r="R172" i="28"/>
  <c r="I192" i="28"/>
  <c r="R192" i="28" s="1"/>
  <c r="R180" i="28"/>
  <c r="I185" i="28"/>
  <c r="R185" i="28" s="1"/>
  <c r="R173" i="28"/>
  <c r="N12" i="27"/>
  <c r="N13" i="27" s="1"/>
  <c r="N14" i="27" s="1"/>
  <c r="AR12" i="27"/>
  <c r="AR13" i="27" s="1"/>
  <c r="AR14" i="27" s="1"/>
  <c r="BM12" i="27"/>
  <c r="BM13" i="27" s="1"/>
  <c r="BM14" i="27" s="1"/>
  <c r="BN9" i="40" l="1"/>
  <c r="G21" i="41"/>
  <c r="L56" i="41"/>
  <c r="L57" i="41"/>
  <c r="L58" i="41"/>
  <c r="C14" i="40"/>
  <c r="G14" i="40" s="1"/>
  <c r="AG14" i="40"/>
  <c r="AB14" i="40"/>
  <c r="AR14" i="40"/>
  <c r="AZ14" i="40"/>
  <c r="BF12" i="40"/>
  <c r="DO11" i="39"/>
  <c r="EG11" i="39"/>
  <c r="EH11" i="39" s="1"/>
  <c r="H21" i="41" s="1"/>
  <c r="DZ12" i="39"/>
  <c r="DZ13" i="39" s="1"/>
  <c r="DZ14" i="39" s="1"/>
  <c r="DZ15" i="39" s="1"/>
  <c r="EA15" i="39" s="1"/>
  <c r="L20" i="41" s="1"/>
  <c r="L61" i="44" s="1"/>
  <c r="DD12" i="39"/>
  <c r="DD13" i="39" s="1"/>
  <c r="DD14" i="39" s="1"/>
  <c r="DD15" i="39" s="1"/>
  <c r="DE15" i="39" s="1"/>
  <c r="L18" i="41" s="1"/>
  <c r="L59" i="44" s="1"/>
  <c r="BB11" i="39"/>
  <c r="AQ11" i="39"/>
  <c r="CA10" i="39"/>
  <c r="BM11" i="39"/>
  <c r="V12" i="39"/>
  <c r="V13" i="39" s="1"/>
  <c r="V14" i="39" s="1"/>
  <c r="V15" i="39" s="1"/>
  <c r="W15" i="39" s="1"/>
  <c r="L5" i="41" s="1"/>
  <c r="L5" i="44" s="1"/>
  <c r="L15" i="44" l="1"/>
  <c r="L14" i="44"/>
  <c r="L13" i="44"/>
  <c r="L59" i="41"/>
  <c r="L16" i="44" s="1"/>
  <c r="L65" i="41"/>
  <c r="L66" i="41"/>
  <c r="E14" i="40"/>
  <c r="AQ14" i="40"/>
  <c r="AS14" i="40" s="1"/>
  <c r="BG14" i="40"/>
  <c r="BF13" i="40"/>
  <c r="BF14" i="40" s="1"/>
  <c r="AI14" i="40"/>
  <c r="AI27" i="40" s="1"/>
  <c r="CJ16" i="39"/>
  <c r="DO12" i="39"/>
  <c r="DO13" i="39" s="1"/>
  <c r="DO14" i="39" s="1"/>
  <c r="DO15" i="39" s="1"/>
  <c r="DP15" i="39" s="1"/>
  <c r="L19" i="41" s="1"/>
  <c r="L60" i="44" s="1"/>
  <c r="EG12" i="39"/>
  <c r="EG13" i="39" s="1"/>
  <c r="EG14" i="39" s="1"/>
  <c r="EG15" i="39" s="1"/>
  <c r="EH15" i="39" s="1"/>
  <c r="L21" i="41" s="1"/>
  <c r="L62" i="44" s="1"/>
  <c r="BB12" i="39"/>
  <c r="BB13" i="39" s="1"/>
  <c r="BB14" i="39" s="1"/>
  <c r="BB15" i="39" s="1"/>
  <c r="BC15" i="39" s="1"/>
  <c r="L8" i="41" s="1"/>
  <c r="L8" i="44" s="1"/>
  <c r="AQ12" i="39"/>
  <c r="AQ13" i="39" s="1"/>
  <c r="AQ14" i="39" s="1"/>
  <c r="AQ15" i="39" s="1"/>
  <c r="AR15" i="39" s="1"/>
  <c r="L7" i="41" s="1"/>
  <c r="L7" i="44" s="1"/>
  <c r="BM12" i="39"/>
  <c r="BM13" i="39" s="1"/>
  <c r="BM14" i="39" s="1"/>
  <c r="BM15" i="39" s="1"/>
  <c r="BN15" i="39" s="1"/>
  <c r="L9" i="41" s="1"/>
  <c r="L9" i="44" s="1"/>
  <c r="CA11" i="39"/>
  <c r="B16" i="39"/>
  <c r="L16" i="39"/>
  <c r="A110" i="37"/>
  <c r="L64" i="44" l="1"/>
  <c r="L66" i="44"/>
  <c r="L65" i="44"/>
  <c r="L60" i="41"/>
  <c r="L17" i="44" s="1"/>
  <c r="AU14" i="40"/>
  <c r="AA14" i="40"/>
  <c r="S14" i="40"/>
  <c r="K14" i="40"/>
  <c r="BN14" i="40"/>
  <c r="L23" i="41"/>
  <c r="AY14" i="40"/>
  <c r="BH14" i="40"/>
  <c r="BO14" i="40"/>
  <c r="BO27" i="40" s="1"/>
  <c r="CJ17" i="39"/>
  <c r="DZ16" i="39"/>
  <c r="DZ17" i="39" s="1"/>
  <c r="DZ18" i="39" s="1"/>
  <c r="DZ19" i="39" s="1"/>
  <c r="DZ20" i="39" s="1"/>
  <c r="DZ21" i="39" s="1"/>
  <c r="CA12" i="39"/>
  <c r="CA13" i="39" s="1"/>
  <c r="CA14" i="39" s="1"/>
  <c r="CA15" i="39" s="1"/>
  <c r="V16" i="39"/>
  <c r="V17" i="39" s="1"/>
  <c r="B17" i="39"/>
  <c r="L17" i="39"/>
  <c r="A111" i="37"/>
  <c r="C110" i="37"/>
  <c r="B110" i="37"/>
  <c r="A110" i="31"/>
  <c r="L61" i="41" l="1"/>
  <c r="L68" i="41"/>
  <c r="L68" i="44" s="1"/>
  <c r="L67" i="41"/>
  <c r="L67" i="44" s="1"/>
  <c r="AE14" i="40"/>
  <c r="AC14" i="40"/>
  <c r="U14" i="40"/>
  <c r="W14" i="40"/>
  <c r="M14" i="40"/>
  <c r="O14" i="40"/>
  <c r="BA14" i="40"/>
  <c r="BC14" i="40"/>
  <c r="BR14" i="40"/>
  <c r="BP14" i="40"/>
  <c r="BK14" i="40"/>
  <c r="BI14" i="40"/>
  <c r="EG16" i="39"/>
  <c r="EG17" i="39" s="1"/>
  <c r="EG18" i="39" s="1"/>
  <c r="EG19" i="39" s="1"/>
  <c r="EG20" i="39" s="1"/>
  <c r="EG21" i="39" s="1"/>
  <c r="CJ18" i="39"/>
  <c r="CT16" i="39"/>
  <c r="AF16" i="39"/>
  <c r="V18" i="39"/>
  <c r="B18" i="39"/>
  <c r="L18" i="39"/>
  <c r="A112" i="37"/>
  <c r="C111" i="37"/>
  <c r="B111" i="37"/>
  <c r="A110" i="36"/>
  <c r="A110" i="35"/>
  <c r="A111" i="31"/>
  <c r="C110" i="31"/>
  <c r="B110" i="31"/>
  <c r="L69" i="44" l="1"/>
  <c r="L69" i="41"/>
  <c r="CJ19" i="39"/>
  <c r="DD16" i="39"/>
  <c r="CT17" i="39"/>
  <c r="AF17" i="39"/>
  <c r="L19" i="39"/>
  <c r="B19" i="39"/>
  <c r="V19" i="39"/>
  <c r="A113" i="37"/>
  <c r="C112" i="37"/>
  <c r="B112" i="37"/>
  <c r="A111" i="36"/>
  <c r="C110" i="36"/>
  <c r="B110" i="36"/>
  <c r="A111" i="35"/>
  <c r="C110" i="35"/>
  <c r="B110" i="35"/>
  <c r="A112" i="31"/>
  <c r="C111" i="31"/>
  <c r="B111" i="31"/>
  <c r="CT18" i="39" l="1"/>
  <c r="CJ20" i="39"/>
  <c r="DD17" i="39"/>
  <c r="DO16" i="39"/>
  <c r="BB16" i="39"/>
  <c r="AQ16" i="39"/>
  <c r="AF18" i="39"/>
  <c r="BM16" i="39"/>
  <c r="B20" i="39"/>
  <c r="B21" i="39" s="1"/>
  <c r="V20" i="39"/>
  <c r="V21" i="39" s="1"/>
  <c r="L20" i="39"/>
  <c r="L21" i="39" s="1"/>
  <c r="C113" i="37"/>
  <c r="B113" i="37"/>
  <c r="A114" i="37"/>
  <c r="A112" i="36"/>
  <c r="C111" i="36"/>
  <c r="B111" i="36"/>
  <c r="A112" i="35"/>
  <c r="C111" i="35"/>
  <c r="B111" i="35"/>
  <c r="A113" i="31"/>
  <c r="C112" i="31"/>
  <c r="B112" i="31"/>
  <c r="DO17" i="39" l="1"/>
  <c r="DD18" i="39"/>
  <c r="CT19" i="39"/>
  <c r="CJ21" i="39"/>
  <c r="BB17" i="39"/>
  <c r="AQ17" i="39"/>
  <c r="AF19" i="39"/>
  <c r="BM17" i="39"/>
  <c r="CA16" i="39"/>
  <c r="A115" i="37"/>
  <c r="C114" i="37"/>
  <c r="B114" i="37"/>
  <c r="A113" i="36"/>
  <c r="C112" i="36"/>
  <c r="B112" i="36"/>
  <c r="A113" i="35"/>
  <c r="C112" i="35"/>
  <c r="B112" i="35"/>
  <c r="C113" i="31"/>
  <c r="B113" i="31"/>
  <c r="A114" i="31"/>
  <c r="CT20" i="39" l="1"/>
  <c r="DO18" i="39"/>
  <c r="DD19" i="39"/>
  <c r="BB18" i="39"/>
  <c r="AQ18" i="39"/>
  <c r="AF20" i="39"/>
  <c r="CA17" i="39"/>
  <c r="BM18" i="39"/>
  <c r="BM19" i="39" s="1"/>
  <c r="BM20" i="39" s="1"/>
  <c r="BM21" i="39" s="1"/>
  <c r="A116" i="37"/>
  <c r="C115" i="37"/>
  <c r="B115" i="37"/>
  <c r="C113" i="36"/>
  <c r="B113" i="36"/>
  <c r="A114" i="36"/>
  <c r="C113" i="35"/>
  <c r="B113" i="35"/>
  <c r="A114" i="35"/>
  <c r="C114" i="31"/>
  <c r="A115" i="31"/>
  <c r="B114" i="31"/>
  <c r="DD20" i="39" l="1"/>
  <c r="CT21" i="39"/>
  <c r="DO19" i="39"/>
  <c r="BB19" i="39"/>
  <c r="AQ19" i="39"/>
  <c r="AF21" i="39"/>
  <c r="CA18" i="39"/>
  <c r="CA19" i="39" s="1"/>
  <c r="CA20" i="39" s="1"/>
  <c r="CA21" i="39" s="1"/>
  <c r="A117" i="37"/>
  <c r="C116" i="37"/>
  <c r="B116" i="37"/>
  <c r="B114" i="36"/>
  <c r="A115" i="36"/>
  <c r="C114" i="36"/>
  <c r="B114" i="35"/>
  <c r="A115" i="35"/>
  <c r="C114" i="35"/>
  <c r="B115" i="31"/>
  <c r="A116" i="31"/>
  <c r="C115" i="31"/>
  <c r="DO20" i="39" l="1"/>
  <c r="DD21" i="39"/>
  <c r="BB20" i="39"/>
  <c r="AQ20" i="39"/>
  <c r="A118" i="37"/>
  <c r="C117" i="37"/>
  <c r="B117" i="37"/>
  <c r="A116" i="36"/>
  <c r="C115" i="36"/>
  <c r="B115" i="36"/>
  <c r="A116" i="35"/>
  <c r="C115" i="35"/>
  <c r="B115" i="35"/>
  <c r="A117" i="31"/>
  <c r="C116" i="31"/>
  <c r="B116" i="31"/>
  <c r="DO21" i="39" l="1"/>
  <c r="BB21" i="39"/>
  <c r="AQ21" i="39"/>
  <c r="A119" i="37"/>
  <c r="C118" i="37"/>
  <c r="B118" i="37"/>
  <c r="A117" i="36"/>
  <c r="C116" i="36"/>
  <c r="B116" i="36"/>
  <c r="A117" i="35"/>
  <c r="C116" i="35"/>
  <c r="B116" i="35"/>
  <c r="A118" i="31"/>
  <c r="C117" i="31"/>
  <c r="B117" i="31"/>
  <c r="A120" i="37" l="1"/>
  <c r="C119" i="37"/>
  <c r="B119" i="37"/>
  <c r="A118" i="36"/>
  <c r="C117" i="36"/>
  <c r="B117" i="36"/>
  <c r="A118" i="35"/>
  <c r="C117" i="35"/>
  <c r="B117" i="35"/>
  <c r="A119" i="31"/>
  <c r="C118" i="31"/>
  <c r="B118" i="31"/>
  <c r="A121" i="37" l="1"/>
  <c r="C120" i="37"/>
  <c r="B120" i="37"/>
  <c r="A119" i="36"/>
  <c r="C118" i="36"/>
  <c r="B118" i="36"/>
  <c r="A119" i="35"/>
  <c r="C118" i="35"/>
  <c r="B118" i="35"/>
  <c r="A120" i="31"/>
  <c r="C119" i="31"/>
  <c r="B119" i="31"/>
  <c r="A122" i="37" l="1"/>
  <c r="C121" i="37"/>
  <c r="B121" i="37"/>
  <c r="C119" i="36"/>
  <c r="B119" i="36"/>
  <c r="A120" i="36"/>
  <c r="C119" i="35"/>
  <c r="B119" i="35"/>
  <c r="A120" i="35"/>
  <c r="A122" i="32"/>
  <c r="C120" i="31"/>
  <c r="B120" i="31"/>
  <c r="A121" i="31"/>
  <c r="A123" i="37" l="1"/>
  <c r="C122" i="37"/>
  <c r="B122" i="37"/>
  <c r="A121" i="36"/>
  <c r="C120" i="36"/>
  <c r="B120" i="36"/>
  <c r="A121" i="35"/>
  <c r="C120" i="35"/>
  <c r="B120" i="35"/>
  <c r="A123" i="32"/>
  <c r="C122" i="32"/>
  <c r="B122" i="32"/>
  <c r="A122" i="31"/>
  <c r="C121" i="31"/>
  <c r="B121" i="31"/>
  <c r="A122" i="28"/>
  <c r="A124" i="37" l="1"/>
  <c r="C123" i="37"/>
  <c r="B123" i="37"/>
  <c r="A122" i="36"/>
  <c r="C121" i="36"/>
  <c r="B121" i="36"/>
  <c r="A122" i="35"/>
  <c r="C121" i="35"/>
  <c r="B121" i="35"/>
  <c r="A122" i="34"/>
  <c r="A122" i="33"/>
  <c r="A124" i="32"/>
  <c r="C123" i="32"/>
  <c r="B123" i="32"/>
  <c r="A123" i="31"/>
  <c r="C122" i="31"/>
  <c r="B122" i="31"/>
  <c r="A122" i="30"/>
  <c r="B122" i="28"/>
  <c r="C122" i="28"/>
  <c r="A123" i="28"/>
  <c r="B124" i="37" l="1"/>
  <c r="A125" i="37"/>
  <c r="C124" i="37"/>
  <c r="A123" i="36"/>
  <c r="C122" i="36"/>
  <c r="B122" i="36"/>
  <c r="A123" i="35"/>
  <c r="C122" i="35"/>
  <c r="B122" i="35"/>
  <c r="A123" i="34"/>
  <c r="C122" i="34"/>
  <c r="B122" i="34"/>
  <c r="A123" i="33"/>
  <c r="C122" i="33"/>
  <c r="B122" i="33"/>
  <c r="B124" i="32"/>
  <c r="A125" i="32"/>
  <c r="C124" i="32"/>
  <c r="A124" i="31"/>
  <c r="C123" i="31"/>
  <c r="B123" i="31"/>
  <c r="A123" i="30"/>
  <c r="C122" i="30"/>
  <c r="B122" i="30"/>
  <c r="B123" i="28"/>
  <c r="C123" i="28"/>
  <c r="A124" i="28"/>
  <c r="T122" i="28" l="1"/>
  <c r="C125" i="37"/>
  <c r="B125" i="37"/>
  <c r="A126" i="37"/>
  <c r="A124" i="36"/>
  <c r="C123" i="36"/>
  <c r="B123" i="36"/>
  <c r="A124" i="35"/>
  <c r="C123" i="35"/>
  <c r="B123" i="35"/>
  <c r="A124" i="34"/>
  <c r="C123" i="34"/>
  <c r="B123" i="34"/>
  <c r="A124" i="33"/>
  <c r="C123" i="33"/>
  <c r="B123" i="33"/>
  <c r="C125" i="32"/>
  <c r="B125" i="32"/>
  <c r="A126" i="32"/>
  <c r="B124" i="31"/>
  <c r="A125" i="31"/>
  <c r="C124" i="31"/>
  <c r="A124" i="30"/>
  <c r="C123" i="30"/>
  <c r="B123" i="30"/>
  <c r="C124" i="28"/>
  <c r="B124" i="28"/>
  <c r="A125" i="28"/>
  <c r="T123" i="28" l="1"/>
  <c r="A127" i="37"/>
  <c r="C126" i="37"/>
  <c r="B126" i="37"/>
  <c r="B124" i="36"/>
  <c r="A125" i="36"/>
  <c r="C124" i="36"/>
  <c r="B124" i="35"/>
  <c r="A125" i="35"/>
  <c r="C124" i="35"/>
  <c r="B124" i="34"/>
  <c r="A125" i="34"/>
  <c r="C124" i="34"/>
  <c r="B124" i="33"/>
  <c r="A125" i="33"/>
  <c r="C124" i="33"/>
  <c r="A127" i="32"/>
  <c r="C126" i="32"/>
  <c r="B126" i="32"/>
  <c r="B125" i="31"/>
  <c r="A126" i="31"/>
  <c r="C125" i="31"/>
  <c r="B124" i="30"/>
  <c r="A125" i="30"/>
  <c r="C124" i="30"/>
  <c r="C125" i="28"/>
  <c r="A126" i="28"/>
  <c r="B125" i="28"/>
  <c r="T124" i="28" l="1"/>
  <c r="A128" i="37"/>
  <c r="C127" i="37"/>
  <c r="B127" i="37"/>
  <c r="A126" i="36"/>
  <c r="C125" i="36"/>
  <c r="B125" i="36"/>
  <c r="A126" i="35"/>
  <c r="C125" i="35"/>
  <c r="B125" i="35"/>
  <c r="A126" i="34"/>
  <c r="C125" i="34"/>
  <c r="B125" i="34"/>
  <c r="A126" i="33"/>
  <c r="C125" i="33"/>
  <c r="B125" i="33"/>
  <c r="A128" i="32"/>
  <c r="C127" i="32"/>
  <c r="B127" i="32"/>
  <c r="A127" i="31"/>
  <c r="C126" i="31"/>
  <c r="B126" i="31"/>
  <c r="B125" i="30"/>
  <c r="A126" i="30"/>
  <c r="C125" i="30"/>
  <c r="B126" i="28"/>
  <c r="C126" i="28"/>
  <c r="A127" i="28"/>
  <c r="T125" i="28" l="1"/>
  <c r="A129" i="37"/>
  <c r="C128" i="37"/>
  <c r="B128" i="37"/>
  <c r="A127" i="36"/>
  <c r="C126" i="36"/>
  <c r="B126" i="36"/>
  <c r="A127" i="35"/>
  <c r="C126" i="35"/>
  <c r="B126" i="35"/>
  <c r="A127" i="34"/>
  <c r="C126" i="34"/>
  <c r="B126" i="34"/>
  <c r="A127" i="33"/>
  <c r="C126" i="33"/>
  <c r="B126" i="33"/>
  <c r="A129" i="32"/>
  <c r="C128" i="32"/>
  <c r="B128" i="32"/>
  <c r="A128" i="31"/>
  <c r="C127" i="31"/>
  <c r="B127" i="31"/>
  <c r="A127" i="30"/>
  <c r="C126" i="30"/>
  <c r="B126" i="30"/>
  <c r="B127" i="28"/>
  <c r="C127" i="28"/>
  <c r="A128" i="28"/>
  <c r="T126" i="28" l="1"/>
  <c r="C129" i="37"/>
  <c r="B129" i="37"/>
  <c r="A130" i="37"/>
  <c r="A128" i="36"/>
  <c r="C127" i="36"/>
  <c r="B127" i="36"/>
  <c r="A128" i="35"/>
  <c r="C127" i="35"/>
  <c r="B127" i="35"/>
  <c r="A128" i="34"/>
  <c r="C127" i="34"/>
  <c r="B127" i="34"/>
  <c r="A128" i="33"/>
  <c r="C127" i="33"/>
  <c r="B127" i="33"/>
  <c r="C129" i="32"/>
  <c r="B129" i="32"/>
  <c r="A130" i="32"/>
  <c r="A129" i="31"/>
  <c r="C128" i="31"/>
  <c r="B128" i="31"/>
  <c r="A128" i="30"/>
  <c r="C127" i="30"/>
  <c r="B127" i="30"/>
  <c r="B128" i="28"/>
  <c r="C128" i="28"/>
  <c r="A129" i="28"/>
  <c r="T127" i="28" l="1"/>
  <c r="A131" i="37"/>
  <c r="C130" i="37"/>
  <c r="B130" i="37"/>
  <c r="A129" i="36"/>
  <c r="C128" i="36"/>
  <c r="B128" i="36"/>
  <c r="A129" i="35"/>
  <c r="C128" i="35"/>
  <c r="B128" i="35"/>
  <c r="A129" i="34"/>
  <c r="C128" i="34"/>
  <c r="B128" i="34"/>
  <c r="A129" i="33"/>
  <c r="C128" i="33"/>
  <c r="B128" i="33"/>
  <c r="A131" i="32"/>
  <c r="C130" i="32"/>
  <c r="B130" i="32"/>
  <c r="C129" i="31"/>
  <c r="B129" i="31"/>
  <c r="A130" i="31"/>
  <c r="A129" i="30"/>
  <c r="C128" i="30"/>
  <c r="B128" i="30"/>
  <c r="A130" i="28"/>
  <c r="B129" i="28"/>
  <c r="C129" i="28"/>
  <c r="T128" i="28" l="1"/>
  <c r="A132" i="37"/>
  <c r="C131" i="37"/>
  <c r="B131" i="37"/>
  <c r="C129" i="36"/>
  <c r="B129" i="36"/>
  <c r="A130" i="36"/>
  <c r="C129" i="35"/>
  <c r="B129" i="35"/>
  <c r="A130" i="35"/>
  <c r="C129" i="34"/>
  <c r="B129" i="34"/>
  <c r="A130" i="34"/>
  <c r="C129" i="33"/>
  <c r="B129" i="33"/>
  <c r="A130" i="33"/>
  <c r="A132" i="32"/>
  <c r="C131" i="32"/>
  <c r="B131" i="32"/>
  <c r="A131" i="31"/>
  <c r="C130" i="31"/>
  <c r="B130" i="31"/>
  <c r="C129" i="30"/>
  <c r="B129" i="30"/>
  <c r="A130" i="30"/>
  <c r="A131" i="28"/>
  <c r="B130" i="28"/>
  <c r="C130" i="28"/>
  <c r="T129" i="28" l="1"/>
  <c r="A133" i="37"/>
  <c r="C132" i="37"/>
  <c r="B132" i="37"/>
  <c r="B130" i="36"/>
  <c r="A131" i="36"/>
  <c r="C130" i="36"/>
  <c r="B130" i="35"/>
  <c r="A131" i="35"/>
  <c r="C130" i="35"/>
  <c r="B130" i="34"/>
  <c r="A131" i="34"/>
  <c r="C130" i="34"/>
  <c r="B130" i="33"/>
  <c r="A131" i="33"/>
  <c r="C130" i="33"/>
  <c r="A133" i="32"/>
  <c r="C132" i="32"/>
  <c r="B132" i="32"/>
  <c r="A132" i="31"/>
  <c r="C131" i="31"/>
  <c r="B131" i="31"/>
  <c r="C130" i="30"/>
  <c r="A131" i="30"/>
  <c r="B130" i="30"/>
  <c r="B131" i="28"/>
  <c r="C131" i="28"/>
  <c r="A132" i="28"/>
  <c r="T130" i="28" l="1"/>
  <c r="A134" i="37"/>
  <c r="C133" i="37"/>
  <c r="B133" i="37"/>
  <c r="A132" i="36"/>
  <c r="C131" i="36"/>
  <c r="B131" i="36"/>
  <c r="A132" i="35"/>
  <c r="C131" i="35"/>
  <c r="B131" i="35"/>
  <c r="A132" i="34"/>
  <c r="C131" i="34"/>
  <c r="B131" i="34"/>
  <c r="A132" i="33"/>
  <c r="C131" i="33"/>
  <c r="B131" i="33"/>
  <c r="A134" i="32"/>
  <c r="C133" i="32"/>
  <c r="B133" i="32"/>
  <c r="A133" i="31"/>
  <c r="C132" i="31"/>
  <c r="B132" i="31"/>
  <c r="A132" i="30"/>
  <c r="C131" i="30"/>
  <c r="B131" i="30"/>
  <c r="B132" i="28"/>
  <c r="C132" i="28"/>
  <c r="A133" i="28"/>
  <c r="T131" i="28" l="1"/>
  <c r="A135" i="37"/>
  <c r="C134" i="37"/>
  <c r="B134" i="37"/>
  <c r="A133" i="36"/>
  <c r="C132" i="36"/>
  <c r="B132" i="36"/>
  <c r="A133" i="35"/>
  <c r="C132" i="35"/>
  <c r="B132" i="35"/>
  <c r="A133" i="34"/>
  <c r="C132" i="34"/>
  <c r="B132" i="34"/>
  <c r="A133" i="33"/>
  <c r="C132" i="33"/>
  <c r="B132" i="33"/>
  <c r="A135" i="32"/>
  <c r="C134" i="32"/>
  <c r="B134" i="32"/>
  <c r="A134" i="31"/>
  <c r="C133" i="31"/>
  <c r="B133" i="31"/>
  <c r="A133" i="30"/>
  <c r="C132" i="30"/>
  <c r="B132" i="30"/>
  <c r="B133" i="28"/>
  <c r="C133" i="28"/>
  <c r="A134" i="28"/>
  <c r="T132" i="28" l="1"/>
  <c r="A136" i="37"/>
  <c r="C135" i="37"/>
  <c r="B135" i="37"/>
  <c r="A134" i="36"/>
  <c r="C133" i="36"/>
  <c r="B133" i="36"/>
  <c r="A134" i="35"/>
  <c r="C133" i="35"/>
  <c r="B133" i="35"/>
  <c r="A134" i="34"/>
  <c r="C133" i="34"/>
  <c r="B133" i="34"/>
  <c r="A134" i="33"/>
  <c r="C133" i="33"/>
  <c r="B133" i="33"/>
  <c r="A136" i="32"/>
  <c r="C135" i="32"/>
  <c r="B135" i="32"/>
  <c r="A135" i="31"/>
  <c r="C134" i="31"/>
  <c r="B134" i="31"/>
  <c r="A134" i="30"/>
  <c r="C133" i="30"/>
  <c r="B133" i="30"/>
  <c r="B134" i="28"/>
  <c r="C134" i="28"/>
  <c r="A135" i="28"/>
  <c r="T133" i="28" l="1"/>
  <c r="B136" i="37"/>
  <c r="A137" i="37"/>
  <c r="C136" i="37"/>
  <c r="A135" i="36"/>
  <c r="C134" i="36"/>
  <c r="B134" i="36"/>
  <c r="A135" i="35"/>
  <c r="C134" i="35"/>
  <c r="B134" i="35"/>
  <c r="A135" i="34"/>
  <c r="C134" i="34"/>
  <c r="B134" i="34"/>
  <c r="A135" i="33"/>
  <c r="C134" i="33"/>
  <c r="B134" i="33"/>
  <c r="B136" i="32"/>
  <c r="A137" i="32"/>
  <c r="C136" i="32"/>
  <c r="A136" i="31"/>
  <c r="C135" i="31"/>
  <c r="B135" i="31"/>
  <c r="A135" i="30"/>
  <c r="C134" i="30"/>
  <c r="B134" i="30"/>
  <c r="B135" i="28"/>
  <c r="C135" i="28"/>
  <c r="A136" i="28"/>
  <c r="T134" i="28" l="1"/>
  <c r="A138" i="37"/>
  <c r="C137" i="37"/>
  <c r="B137" i="37"/>
  <c r="C135" i="36"/>
  <c r="B135" i="36"/>
  <c r="A136" i="36"/>
  <c r="C135" i="35"/>
  <c r="B135" i="35"/>
  <c r="A136" i="35"/>
  <c r="C135" i="34"/>
  <c r="B135" i="34"/>
  <c r="A136" i="34"/>
  <c r="C135" i="33"/>
  <c r="B135" i="33"/>
  <c r="A136" i="33"/>
  <c r="A138" i="32"/>
  <c r="C137" i="32"/>
  <c r="B137" i="32"/>
  <c r="C136" i="31"/>
  <c r="A137" i="31"/>
  <c r="B136" i="31"/>
  <c r="A136" i="30"/>
  <c r="C135" i="30"/>
  <c r="B135" i="30"/>
  <c r="B136" i="28"/>
  <c r="C136" i="28"/>
  <c r="A137" i="28"/>
  <c r="T135" i="28" l="1"/>
  <c r="A139" i="37"/>
  <c r="C138" i="37"/>
  <c r="B138" i="37"/>
  <c r="A137" i="36"/>
  <c r="C136" i="36"/>
  <c r="B136" i="36"/>
  <c r="A137" i="35"/>
  <c r="C136" i="35"/>
  <c r="B136" i="35"/>
  <c r="A137" i="34"/>
  <c r="C136" i="34"/>
  <c r="B136" i="34"/>
  <c r="A137" i="33"/>
  <c r="C136" i="33"/>
  <c r="B136" i="33"/>
  <c r="A139" i="32"/>
  <c r="C138" i="32"/>
  <c r="B138" i="32"/>
  <c r="A138" i="31"/>
  <c r="C137" i="31"/>
  <c r="B137" i="31"/>
  <c r="A137" i="30"/>
  <c r="C136" i="30"/>
  <c r="B136" i="30"/>
  <c r="B137" i="28"/>
  <c r="C137" i="28"/>
  <c r="A138" i="28"/>
  <c r="T136" i="28" l="1"/>
  <c r="A140" i="37"/>
  <c r="C139" i="37"/>
  <c r="B139" i="37"/>
  <c r="A138" i="36"/>
  <c r="C137" i="36"/>
  <c r="B137" i="36"/>
  <c r="A138" i="35"/>
  <c r="C137" i="35"/>
  <c r="B137" i="35"/>
  <c r="A138" i="34"/>
  <c r="C137" i="34"/>
  <c r="B137" i="34"/>
  <c r="A138" i="33"/>
  <c r="C137" i="33"/>
  <c r="B137" i="33"/>
  <c r="A140" i="32"/>
  <c r="C139" i="32"/>
  <c r="B139" i="32"/>
  <c r="A139" i="31"/>
  <c r="C138" i="31"/>
  <c r="B138" i="31"/>
  <c r="A138" i="30"/>
  <c r="C137" i="30"/>
  <c r="B137" i="30"/>
  <c r="B138" i="28"/>
  <c r="C138" i="28"/>
  <c r="A139" i="28"/>
  <c r="T137" i="28" l="1"/>
  <c r="B140" i="37"/>
  <c r="A141" i="37"/>
  <c r="C140" i="37"/>
  <c r="A139" i="36"/>
  <c r="C138" i="36"/>
  <c r="B138" i="36"/>
  <c r="A139" i="35"/>
  <c r="C138" i="35"/>
  <c r="B138" i="35"/>
  <c r="A139" i="34"/>
  <c r="C138" i="34"/>
  <c r="B138" i="34"/>
  <c r="A139" i="33"/>
  <c r="C138" i="33"/>
  <c r="B138" i="33"/>
  <c r="B140" i="32"/>
  <c r="A141" i="32"/>
  <c r="C140" i="32"/>
  <c r="A140" i="31"/>
  <c r="C139" i="31"/>
  <c r="B139" i="31"/>
  <c r="A139" i="30"/>
  <c r="C138" i="30"/>
  <c r="B138" i="30"/>
  <c r="B139" i="28"/>
  <c r="C139" i="28"/>
  <c r="A140" i="28"/>
  <c r="T138" i="28" l="1"/>
  <c r="B141" i="37"/>
  <c r="A142" i="37"/>
  <c r="C141" i="37"/>
  <c r="A140" i="36"/>
  <c r="C139" i="36"/>
  <c r="B139" i="36"/>
  <c r="A140" i="35"/>
  <c r="C139" i="35"/>
  <c r="B139" i="35"/>
  <c r="A140" i="34"/>
  <c r="C139" i="34"/>
  <c r="B139" i="34"/>
  <c r="A140" i="33"/>
  <c r="C139" i="33"/>
  <c r="B139" i="33"/>
  <c r="B141" i="32"/>
  <c r="A142" i="32"/>
  <c r="C141" i="32"/>
  <c r="B140" i="31"/>
  <c r="A141" i="31"/>
  <c r="C140" i="31"/>
  <c r="A140" i="30"/>
  <c r="C139" i="30"/>
  <c r="B139" i="30"/>
  <c r="C140" i="28"/>
  <c r="B140" i="28"/>
  <c r="A141" i="28"/>
  <c r="T139" i="28" l="1"/>
  <c r="A143" i="37"/>
  <c r="C142" i="37"/>
  <c r="B142" i="37"/>
  <c r="B140" i="36"/>
  <c r="A141" i="36"/>
  <c r="C140" i="36"/>
  <c r="B140" i="35"/>
  <c r="A141" i="35"/>
  <c r="C140" i="35"/>
  <c r="B140" i="34"/>
  <c r="A141" i="34"/>
  <c r="C140" i="34"/>
  <c r="B140" i="33"/>
  <c r="A141" i="33"/>
  <c r="C140" i="33"/>
  <c r="A143" i="32"/>
  <c r="C142" i="32"/>
  <c r="B142" i="32"/>
  <c r="B141" i="31"/>
  <c r="C141" i="31"/>
  <c r="A142" i="31"/>
  <c r="B140" i="30"/>
  <c r="A141" i="30"/>
  <c r="C140" i="30"/>
  <c r="C141" i="28"/>
  <c r="A142" i="28"/>
  <c r="B141" i="28"/>
  <c r="T140" i="28" l="1"/>
  <c r="A144" i="37"/>
  <c r="C143" i="37"/>
  <c r="B143" i="37"/>
  <c r="A142" i="36"/>
  <c r="C141" i="36"/>
  <c r="B141" i="36"/>
  <c r="A142" i="35"/>
  <c r="C141" i="35"/>
  <c r="B141" i="35"/>
  <c r="A142" i="34"/>
  <c r="C141" i="34"/>
  <c r="B141" i="34"/>
  <c r="A142" i="33"/>
  <c r="C141" i="33"/>
  <c r="B141" i="33"/>
  <c r="A144" i="32"/>
  <c r="C143" i="32"/>
  <c r="B143" i="32"/>
  <c r="A143" i="31"/>
  <c r="C142" i="31"/>
  <c r="B142" i="31"/>
  <c r="B141" i="30"/>
  <c r="A142" i="30"/>
  <c r="C141" i="30"/>
  <c r="B142" i="28"/>
  <c r="C142" i="28"/>
  <c r="A143" i="28"/>
  <c r="T141" i="28" l="1"/>
  <c r="A145" i="37"/>
  <c r="C144" i="37"/>
  <c r="B144" i="37"/>
  <c r="A143" i="36"/>
  <c r="C142" i="36"/>
  <c r="B142" i="36"/>
  <c r="A143" i="35"/>
  <c r="C142" i="35"/>
  <c r="B142" i="35"/>
  <c r="A143" i="34"/>
  <c r="C142" i="34"/>
  <c r="B142" i="34"/>
  <c r="A143" i="33"/>
  <c r="C142" i="33"/>
  <c r="B142" i="33"/>
  <c r="A145" i="32"/>
  <c r="C144" i="32"/>
  <c r="B144" i="32"/>
  <c r="A144" i="31"/>
  <c r="C143" i="31"/>
  <c r="B143" i="31"/>
  <c r="A143" i="30"/>
  <c r="C142" i="30"/>
  <c r="B142" i="30"/>
  <c r="B143" i="28"/>
  <c r="C143" i="28"/>
  <c r="A144" i="28"/>
  <c r="T142" i="28" l="1"/>
  <c r="C145" i="37"/>
  <c r="B145" i="37"/>
  <c r="A146" i="37"/>
  <c r="A144" i="36"/>
  <c r="C143" i="36"/>
  <c r="B143" i="36"/>
  <c r="A144" i="35"/>
  <c r="C143" i="35"/>
  <c r="B143" i="35"/>
  <c r="A144" i="34"/>
  <c r="C143" i="34"/>
  <c r="B143" i="34"/>
  <c r="A144" i="33"/>
  <c r="C143" i="33"/>
  <c r="B143" i="33"/>
  <c r="C145" i="32"/>
  <c r="B145" i="32"/>
  <c r="A146" i="32"/>
  <c r="A145" i="31"/>
  <c r="C144" i="31"/>
  <c r="B144" i="31"/>
  <c r="A144" i="30"/>
  <c r="C143" i="30"/>
  <c r="B143" i="30"/>
  <c r="B144" i="28"/>
  <c r="C144" i="28"/>
  <c r="A145" i="28"/>
  <c r="T143" i="28" l="1"/>
  <c r="A147" i="37"/>
  <c r="C146" i="37"/>
  <c r="B146" i="37"/>
  <c r="A145" i="36"/>
  <c r="C144" i="36"/>
  <c r="B144" i="36"/>
  <c r="A145" i="35"/>
  <c r="C144" i="35"/>
  <c r="B144" i="35"/>
  <c r="A145" i="34"/>
  <c r="C144" i="34"/>
  <c r="B144" i="34"/>
  <c r="A145" i="33"/>
  <c r="C144" i="33"/>
  <c r="B144" i="33"/>
  <c r="A147" i="32"/>
  <c r="C146" i="32"/>
  <c r="B146" i="32"/>
  <c r="C145" i="31"/>
  <c r="B145" i="31"/>
  <c r="A146" i="31"/>
  <c r="A145" i="30"/>
  <c r="C144" i="30"/>
  <c r="B144" i="30"/>
  <c r="A146" i="28"/>
  <c r="B145" i="28"/>
  <c r="C145" i="28"/>
  <c r="T144" i="28" l="1"/>
  <c r="A148" i="37"/>
  <c r="C147" i="37"/>
  <c r="B147" i="37"/>
  <c r="C145" i="36"/>
  <c r="B145" i="36"/>
  <c r="A146" i="36"/>
  <c r="C145" i="35"/>
  <c r="B145" i="35"/>
  <c r="A146" i="35"/>
  <c r="C145" i="34"/>
  <c r="B145" i="34"/>
  <c r="A146" i="34"/>
  <c r="C145" i="33"/>
  <c r="B145" i="33"/>
  <c r="A146" i="33"/>
  <c r="A148" i="32"/>
  <c r="C147" i="32"/>
  <c r="B147" i="32"/>
  <c r="C146" i="31"/>
  <c r="A147" i="31"/>
  <c r="B146" i="31"/>
  <c r="C145" i="30"/>
  <c r="B145" i="30"/>
  <c r="A146" i="30"/>
  <c r="A147" i="28"/>
  <c r="B146" i="28"/>
  <c r="C146" i="28"/>
  <c r="T145" i="28" l="1"/>
  <c r="A149" i="37"/>
  <c r="C148" i="37"/>
  <c r="B148" i="37"/>
  <c r="B146" i="36"/>
  <c r="A147" i="36"/>
  <c r="C146" i="36"/>
  <c r="B146" i="35"/>
  <c r="A147" i="35"/>
  <c r="C146" i="35"/>
  <c r="B146" i="34"/>
  <c r="A147" i="34"/>
  <c r="C146" i="34"/>
  <c r="B146" i="33"/>
  <c r="A147" i="33"/>
  <c r="C146" i="33"/>
  <c r="A149" i="32"/>
  <c r="C148" i="32"/>
  <c r="B148" i="32"/>
  <c r="A148" i="31"/>
  <c r="C147" i="31"/>
  <c r="B147" i="31"/>
  <c r="C146" i="30"/>
  <c r="A147" i="30"/>
  <c r="B146" i="30"/>
  <c r="B147" i="28"/>
  <c r="C147" i="28"/>
  <c r="A148" i="28"/>
  <c r="T146" i="28" l="1"/>
  <c r="A150" i="37"/>
  <c r="C149" i="37"/>
  <c r="B149" i="37"/>
  <c r="A148" i="36"/>
  <c r="C147" i="36"/>
  <c r="B147" i="36"/>
  <c r="A148" i="35"/>
  <c r="C147" i="35"/>
  <c r="B147" i="35"/>
  <c r="A148" i="34"/>
  <c r="C147" i="34"/>
  <c r="B147" i="34"/>
  <c r="A148" i="33"/>
  <c r="C147" i="33"/>
  <c r="B147" i="33"/>
  <c r="A150" i="32"/>
  <c r="C149" i="32"/>
  <c r="B149" i="32"/>
  <c r="A149" i="31"/>
  <c r="C148" i="31"/>
  <c r="B148" i="31"/>
  <c r="A148" i="30"/>
  <c r="C147" i="30"/>
  <c r="B147" i="30"/>
  <c r="B148" i="28"/>
  <c r="C148" i="28"/>
  <c r="A149" i="28"/>
  <c r="T147" i="28" l="1"/>
  <c r="A151" i="37"/>
  <c r="C150" i="37"/>
  <c r="B150" i="37"/>
  <c r="A149" i="36"/>
  <c r="C148" i="36"/>
  <c r="B148" i="36"/>
  <c r="A149" i="35"/>
  <c r="C148" i="35"/>
  <c r="B148" i="35"/>
  <c r="A149" i="34"/>
  <c r="C148" i="34"/>
  <c r="B148" i="34"/>
  <c r="A149" i="33"/>
  <c r="C148" i="33"/>
  <c r="B148" i="33"/>
  <c r="A151" i="32"/>
  <c r="C150" i="32"/>
  <c r="B150" i="32"/>
  <c r="A150" i="31"/>
  <c r="C149" i="31"/>
  <c r="B149" i="31"/>
  <c r="A149" i="30"/>
  <c r="C148" i="30"/>
  <c r="B148" i="30"/>
  <c r="B149" i="28"/>
  <c r="C149" i="28"/>
  <c r="A150" i="28"/>
  <c r="T148" i="28" l="1"/>
  <c r="A152" i="37"/>
  <c r="C151" i="37"/>
  <c r="B151" i="37"/>
  <c r="A150" i="36"/>
  <c r="C149" i="36"/>
  <c r="B149" i="36"/>
  <c r="A150" i="35"/>
  <c r="C149" i="35"/>
  <c r="B149" i="35"/>
  <c r="A150" i="34"/>
  <c r="C149" i="34"/>
  <c r="B149" i="34"/>
  <c r="A150" i="33"/>
  <c r="C149" i="33"/>
  <c r="B149" i="33"/>
  <c r="A152" i="32"/>
  <c r="C151" i="32"/>
  <c r="B151" i="32"/>
  <c r="A151" i="31"/>
  <c r="C150" i="31"/>
  <c r="B150" i="31"/>
  <c r="A150" i="30"/>
  <c r="C149" i="30"/>
  <c r="B149" i="30"/>
  <c r="B150" i="28"/>
  <c r="C150" i="28"/>
  <c r="A151" i="28"/>
  <c r="T149" i="28" l="1"/>
  <c r="B152" i="37"/>
  <c r="A153" i="37"/>
  <c r="C152" i="37"/>
  <c r="A151" i="36"/>
  <c r="C150" i="36"/>
  <c r="B150" i="36"/>
  <c r="A151" i="35"/>
  <c r="C150" i="35"/>
  <c r="B150" i="35"/>
  <c r="A151" i="34"/>
  <c r="C150" i="34"/>
  <c r="B150" i="34"/>
  <c r="A151" i="33"/>
  <c r="C150" i="33"/>
  <c r="B150" i="33"/>
  <c r="B152" i="32"/>
  <c r="A153" i="32"/>
  <c r="C152" i="32"/>
  <c r="A152" i="31"/>
  <c r="C151" i="31"/>
  <c r="B151" i="31"/>
  <c r="A151" i="30"/>
  <c r="C150" i="30"/>
  <c r="B150" i="30"/>
  <c r="B151" i="28"/>
  <c r="C151" i="28"/>
  <c r="A152" i="28"/>
  <c r="T150" i="28" l="1"/>
  <c r="A154" i="37"/>
  <c r="C153" i="37"/>
  <c r="B153" i="37"/>
  <c r="C151" i="36"/>
  <c r="B151" i="36"/>
  <c r="A152" i="36"/>
  <c r="C151" i="35"/>
  <c r="B151" i="35"/>
  <c r="A152" i="35"/>
  <c r="C151" i="34"/>
  <c r="B151" i="34"/>
  <c r="A152" i="34"/>
  <c r="C151" i="33"/>
  <c r="B151" i="33"/>
  <c r="A152" i="33"/>
  <c r="A154" i="32"/>
  <c r="C153" i="32"/>
  <c r="B153" i="32"/>
  <c r="C152" i="31"/>
  <c r="B152" i="31"/>
  <c r="A153" i="31"/>
  <c r="A152" i="30"/>
  <c r="C151" i="30"/>
  <c r="B151" i="30"/>
  <c r="B152" i="28"/>
  <c r="C152" i="28"/>
  <c r="A153" i="28"/>
  <c r="T151" i="28" l="1"/>
  <c r="A155" i="37"/>
  <c r="C154" i="37"/>
  <c r="B154" i="37"/>
  <c r="A153" i="36"/>
  <c r="C152" i="36"/>
  <c r="B152" i="36"/>
  <c r="A153" i="35"/>
  <c r="C152" i="35"/>
  <c r="B152" i="35"/>
  <c r="A153" i="34"/>
  <c r="C152" i="34"/>
  <c r="B152" i="34"/>
  <c r="A153" i="33"/>
  <c r="C152" i="33"/>
  <c r="B152" i="33"/>
  <c r="A155" i="32"/>
  <c r="C154" i="32"/>
  <c r="B154" i="32"/>
  <c r="A154" i="31"/>
  <c r="C153" i="31"/>
  <c r="B153" i="31"/>
  <c r="A153" i="30"/>
  <c r="C152" i="30"/>
  <c r="B152" i="30"/>
  <c r="B153" i="28"/>
  <c r="C153" i="28"/>
  <c r="A154" i="28"/>
  <c r="T152" i="28" l="1"/>
  <c r="A156" i="37"/>
  <c r="C155" i="37"/>
  <c r="B155" i="37"/>
  <c r="A154" i="36"/>
  <c r="C153" i="36"/>
  <c r="B153" i="36"/>
  <c r="A154" i="35"/>
  <c r="C153" i="35"/>
  <c r="B153" i="35"/>
  <c r="A154" i="34"/>
  <c r="C153" i="34"/>
  <c r="B153" i="34"/>
  <c r="A154" i="33"/>
  <c r="C153" i="33"/>
  <c r="B153" i="33"/>
  <c r="A156" i="32"/>
  <c r="C155" i="32"/>
  <c r="B155" i="32"/>
  <c r="A155" i="31"/>
  <c r="C154" i="31"/>
  <c r="B154" i="31"/>
  <c r="A154" i="30"/>
  <c r="C153" i="30"/>
  <c r="B153" i="30"/>
  <c r="B154" i="28"/>
  <c r="C154" i="28"/>
  <c r="A155" i="28"/>
  <c r="T153" i="28" l="1"/>
  <c r="B156" i="37"/>
  <c r="A157" i="37"/>
  <c r="C156" i="37"/>
  <c r="A155" i="36"/>
  <c r="C154" i="36"/>
  <c r="B154" i="36"/>
  <c r="A155" i="35"/>
  <c r="C154" i="35"/>
  <c r="B154" i="35"/>
  <c r="A155" i="34"/>
  <c r="C154" i="34"/>
  <c r="B154" i="34"/>
  <c r="A155" i="33"/>
  <c r="C154" i="33"/>
  <c r="B154" i="33"/>
  <c r="B156" i="32"/>
  <c r="A157" i="32"/>
  <c r="C156" i="32"/>
  <c r="A156" i="31"/>
  <c r="C155" i="31"/>
  <c r="B155" i="31"/>
  <c r="A155" i="30"/>
  <c r="C154" i="30"/>
  <c r="B154" i="30"/>
  <c r="B155" i="28"/>
  <c r="C155" i="28"/>
  <c r="A156" i="28"/>
  <c r="T154" i="28" l="1"/>
  <c r="C157" i="37"/>
  <c r="B157" i="37"/>
  <c r="A158" i="37"/>
  <c r="A156" i="36"/>
  <c r="C155" i="36"/>
  <c r="B155" i="36"/>
  <c r="A156" i="35"/>
  <c r="C155" i="35"/>
  <c r="B155" i="35"/>
  <c r="A156" i="34"/>
  <c r="C155" i="34"/>
  <c r="B155" i="34"/>
  <c r="A156" i="33"/>
  <c r="C155" i="33"/>
  <c r="B155" i="33"/>
  <c r="C157" i="32"/>
  <c r="B157" i="32"/>
  <c r="A158" i="32"/>
  <c r="B156" i="31"/>
  <c r="A157" i="31"/>
  <c r="C156" i="31"/>
  <c r="A156" i="30"/>
  <c r="C155" i="30"/>
  <c r="B155" i="30"/>
  <c r="C156" i="28"/>
  <c r="B156" i="28"/>
  <c r="A157" i="28"/>
  <c r="T155" i="28" l="1"/>
  <c r="A159" i="37"/>
  <c r="C158" i="37"/>
  <c r="B158" i="37"/>
  <c r="B156" i="36"/>
  <c r="A157" i="36"/>
  <c r="C156" i="36"/>
  <c r="B156" i="35"/>
  <c r="A157" i="35"/>
  <c r="C156" i="35"/>
  <c r="B156" i="34"/>
  <c r="A157" i="34"/>
  <c r="C156" i="34"/>
  <c r="B156" i="33"/>
  <c r="A157" i="33"/>
  <c r="C156" i="33"/>
  <c r="A159" i="32"/>
  <c r="C158" i="32"/>
  <c r="B158" i="32"/>
  <c r="B157" i="31"/>
  <c r="A158" i="31"/>
  <c r="C157" i="31"/>
  <c r="B156" i="30"/>
  <c r="A157" i="30"/>
  <c r="C156" i="30"/>
  <c r="C157" i="28"/>
  <c r="A158" i="28"/>
  <c r="B157" i="28"/>
  <c r="A159" i="28" l="1"/>
  <c r="T156" i="28"/>
  <c r="A160" i="37"/>
  <c r="C159" i="37"/>
  <c r="B159" i="37"/>
  <c r="A158" i="36"/>
  <c r="C157" i="36"/>
  <c r="B157" i="36"/>
  <c r="A158" i="35"/>
  <c r="C157" i="35"/>
  <c r="B157" i="35"/>
  <c r="A158" i="34"/>
  <c r="C157" i="34"/>
  <c r="B157" i="34"/>
  <c r="A158" i="33"/>
  <c r="C157" i="33"/>
  <c r="B157" i="33"/>
  <c r="A160" i="32"/>
  <c r="C159" i="32"/>
  <c r="B159" i="32"/>
  <c r="A159" i="31"/>
  <c r="C158" i="31"/>
  <c r="B158" i="31"/>
  <c r="B157" i="30"/>
  <c r="A158" i="30"/>
  <c r="C157" i="30"/>
  <c r="B158" i="28"/>
  <c r="C158" i="28"/>
  <c r="A160" i="28" l="1"/>
  <c r="C159" i="28"/>
  <c r="B159" i="28"/>
  <c r="T157" i="28"/>
  <c r="B160" i="28"/>
  <c r="A161" i="28"/>
  <c r="C160" i="28"/>
  <c r="A161" i="37"/>
  <c r="C160" i="37"/>
  <c r="B160" i="37"/>
  <c r="A159" i="36"/>
  <c r="C158" i="36"/>
  <c r="B158" i="36"/>
  <c r="A159" i="35"/>
  <c r="C158" i="35"/>
  <c r="B158" i="35"/>
  <c r="A159" i="34"/>
  <c r="C158" i="34"/>
  <c r="B158" i="34"/>
  <c r="A159" i="33"/>
  <c r="C158" i="33"/>
  <c r="B158" i="33"/>
  <c r="A161" i="32"/>
  <c r="C160" i="32"/>
  <c r="B160" i="32"/>
  <c r="A160" i="31"/>
  <c r="C159" i="31"/>
  <c r="B159" i="31"/>
  <c r="A159" i="30"/>
  <c r="C158" i="30"/>
  <c r="B158" i="30"/>
  <c r="C161" i="28" l="1"/>
  <c r="B161" i="28"/>
  <c r="A162" i="28"/>
  <c r="T158" i="28"/>
  <c r="C161" i="37"/>
  <c r="B161" i="37"/>
  <c r="A162" i="37"/>
  <c r="A160" i="36"/>
  <c r="C159" i="36"/>
  <c r="B159" i="36"/>
  <c r="A160" i="35"/>
  <c r="C159" i="35"/>
  <c r="B159" i="35"/>
  <c r="A160" i="34"/>
  <c r="C159" i="34"/>
  <c r="B159" i="34"/>
  <c r="A160" i="33"/>
  <c r="C159" i="33"/>
  <c r="B159" i="33"/>
  <c r="C161" i="32"/>
  <c r="B161" i="32"/>
  <c r="A162" i="32"/>
  <c r="A161" i="31"/>
  <c r="C160" i="31"/>
  <c r="B160" i="31"/>
  <c r="A160" i="30"/>
  <c r="C159" i="30"/>
  <c r="B159" i="30"/>
  <c r="T159" i="28" l="1"/>
  <c r="A163" i="28"/>
  <c r="B162" i="28"/>
  <c r="C162" i="28"/>
  <c r="A163" i="37"/>
  <c r="C162" i="37"/>
  <c r="B162" i="37"/>
  <c r="A161" i="36"/>
  <c r="C160" i="36"/>
  <c r="B160" i="36"/>
  <c r="A161" i="35"/>
  <c r="C160" i="35"/>
  <c r="B160" i="35"/>
  <c r="A161" i="34"/>
  <c r="C160" i="34"/>
  <c r="B160" i="34"/>
  <c r="A161" i="33"/>
  <c r="C160" i="33"/>
  <c r="B160" i="33"/>
  <c r="C162" i="32"/>
  <c r="A163" i="32"/>
  <c r="B162" i="32"/>
  <c r="C161" i="31"/>
  <c r="B161" i="31"/>
  <c r="A162" i="31"/>
  <c r="A161" i="30"/>
  <c r="C160" i="30"/>
  <c r="B160" i="30"/>
  <c r="A164" i="28" l="1"/>
  <c r="B163" i="28"/>
  <c r="C163" i="28"/>
  <c r="T160" i="28"/>
  <c r="A164" i="37"/>
  <c r="C163" i="37"/>
  <c r="B163" i="37"/>
  <c r="C161" i="36"/>
  <c r="B161" i="36"/>
  <c r="A162" i="36"/>
  <c r="C161" i="35"/>
  <c r="B161" i="35"/>
  <c r="A162" i="35"/>
  <c r="C161" i="34"/>
  <c r="B161" i="34"/>
  <c r="A162" i="34"/>
  <c r="C161" i="33"/>
  <c r="B161" i="33"/>
  <c r="A162" i="33"/>
  <c r="A164" i="32"/>
  <c r="C163" i="32"/>
  <c r="B163" i="32"/>
  <c r="A163" i="31"/>
  <c r="C162" i="31"/>
  <c r="B162" i="31"/>
  <c r="C161" i="30"/>
  <c r="B161" i="30"/>
  <c r="A162" i="30"/>
  <c r="T161" i="28" l="1"/>
  <c r="B164" i="28"/>
  <c r="C164" i="28"/>
  <c r="A165" i="28"/>
  <c r="A165" i="37"/>
  <c r="C164" i="37"/>
  <c r="B164" i="37"/>
  <c r="B162" i="36"/>
  <c r="A163" i="36"/>
  <c r="C162" i="36"/>
  <c r="B162" i="35"/>
  <c r="A163" i="35"/>
  <c r="C162" i="35"/>
  <c r="B162" i="34"/>
  <c r="A163" i="34"/>
  <c r="C162" i="34"/>
  <c r="B162" i="33"/>
  <c r="A163" i="33"/>
  <c r="C162" i="33"/>
  <c r="A165" i="32"/>
  <c r="C164" i="32"/>
  <c r="B164" i="32"/>
  <c r="B163" i="31"/>
  <c r="A164" i="31"/>
  <c r="C163" i="31"/>
  <c r="C162" i="30"/>
  <c r="A163" i="30"/>
  <c r="B162" i="30"/>
  <c r="B165" i="28" l="1"/>
  <c r="C165" i="28"/>
  <c r="A166" i="28"/>
  <c r="T162" i="28"/>
  <c r="A166" i="37"/>
  <c r="C165" i="37"/>
  <c r="B165" i="37"/>
  <c r="A164" i="36"/>
  <c r="C163" i="36"/>
  <c r="B163" i="36"/>
  <c r="A164" i="35"/>
  <c r="C163" i="35"/>
  <c r="B163" i="35"/>
  <c r="A164" i="34"/>
  <c r="C163" i="34"/>
  <c r="B163" i="34"/>
  <c r="A164" i="33"/>
  <c r="C163" i="33"/>
  <c r="B163" i="33"/>
  <c r="A166" i="32"/>
  <c r="C165" i="32"/>
  <c r="B165" i="32"/>
  <c r="A165" i="31"/>
  <c r="C164" i="31"/>
  <c r="B164" i="31"/>
  <c r="A164" i="30"/>
  <c r="C163" i="30"/>
  <c r="B163" i="30"/>
  <c r="T163" i="28" l="1"/>
  <c r="B166" i="28"/>
  <c r="C166" i="28"/>
  <c r="A167" i="28"/>
  <c r="A167" i="37"/>
  <c r="C166" i="37"/>
  <c r="B166" i="37"/>
  <c r="A165" i="36"/>
  <c r="C164" i="36"/>
  <c r="B164" i="36"/>
  <c r="A165" i="35"/>
  <c r="C164" i="35"/>
  <c r="B164" i="35"/>
  <c r="A165" i="34"/>
  <c r="C164" i="34"/>
  <c r="B164" i="34"/>
  <c r="A165" i="33"/>
  <c r="C164" i="33"/>
  <c r="B164" i="33"/>
  <c r="A167" i="32"/>
  <c r="C166" i="32"/>
  <c r="B166" i="32"/>
  <c r="A166" i="31"/>
  <c r="C165" i="31"/>
  <c r="B165" i="31"/>
  <c r="A165" i="30"/>
  <c r="C164" i="30"/>
  <c r="B164" i="30"/>
  <c r="C167" i="28" l="1"/>
  <c r="A168" i="28"/>
  <c r="B167" i="28"/>
  <c r="T164" i="28"/>
  <c r="A168" i="37"/>
  <c r="C167" i="37"/>
  <c r="B167" i="37"/>
  <c r="A166" i="36"/>
  <c r="C165" i="36"/>
  <c r="B165" i="36"/>
  <c r="A166" i="35"/>
  <c r="C165" i="35"/>
  <c r="B165" i="35"/>
  <c r="A166" i="34"/>
  <c r="C165" i="34"/>
  <c r="B165" i="34"/>
  <c r="A166" i="33"/>
  <c r="C165" i="33"/>
  <c r="B165" i="33"/>
  <c r="A168" i="32"/>
  <c r="C167" i="32"/>
  <c r="B167" i="32"/>
  <c r="A167" i="31"/>
  <c r="C166" i="31"/>
  <c r="B166" i="31"/>
  <c r="A166" i="30"/>
  <c r="C165" i="30"/>
  <c r="B165" i="30"/>
  <c r="T165" i="28" l="1"/>
  <c r="B168" i="28"/>
  <c r="C168" i="28"/>
  <c r="A169" i="28"/>
  <c r="B168" i="37"/>
  <c r="A169" i="37"/>
  <c r="C168" i="37"/>
  <c r="A167" i="36"/>
  <c r="C166" i="36"/>
  <c r="B166" i="36"/>
  <c r="A167" i="35"/>
  <c r="C166" i="35"/>
  <c r="B166" i="35"/>
  <c r="A167" i="34"/>
  <c r="C166" i="34"/>
  <c r="B166" i="34"/>
  <c r="A167" i="33"/>
  <c r="C166" i="33"/>
  <c r="B166" i="33"/>
  <c r="B168" i="32"/>
  <c r="A169" i="32"/>
  <c r="C168" i="32"/>
  <c r="A168" i="31"/>
  <c r="C167" i="31"/>
  <c r="B167" i="31"/>
  <c r="A167" i="30"/>
  <c r="C166" i="30"/>
  <c r="B166" i="30"/>
  <c r="C169" i="28" l="1"/>
  <c r="B169" i="28"/>
  <c r="A170" i="28"/>
  <c r="T166" i="28"/>
  <c r="A170" i="37"/>
  <c r="C169" i="37"/>
  <c r="B169" i="37"/>
  <c r="C167" i="36"/>
  <c r="B167" i="36"/>
  <c r="A168" i="36"/>
  <c r="B167" i="35"/>
  <c r="C167" i="35"/>
  <c r="A168" i="35"/>
  <c r="B167" i="34"/>
  <c r="C167" i="34"/>
  <c r="A168" i="34"/>
  <c r="C167" i="33"/>
  <c r="B167" i="33"/>
  <c r="A168" i="33"/>
  <c r="A170" i="32"/>
  <c r="C169" i="32"/>
  <c r="B169" i="32"/>
  <c r="C168" i="31"/>
  <c r="B168" i="31"/>
  <c r="A169" i="31"/>
  <c r="A168" i="30"/>
  <c r="C167" i="30"/>
  <c r="B167" i="30"/>
  <c r="T167" i="28" l="1"/>
  <c r="B170" i="28"/>
  <c r="C170" i="28"/>
  <c r="A171" i="28"/>
  <c r="A171" i="37"/>
  <c r="C170" i="37"/>
  <c r="B170" i="37"/>
  <c r="A169" i="36"/>
  <c r="C168" i="36"/>
  <c r="B168" i="36"/>
  <c r="A169" i="35"/>
  <c r="C168" i="35"/>
  <c r="B168" i="35"/>
  <c r="A169" i="34"/>
  <c r="C168" i="34"/>
  <c r="B168" i="34"/>
  <c r="A169" i="33"/>
  <c r="C168" i="33"/>
  <c r="B168" i="33"/>
  <c r="A171" i="32"/>
  <c r="C170" i="32"/>
  <c r="B170" i="32"/>
  <c r="A170" i="31"/>
  <c r="C169" i="31"/>
  <c r="B169" i="31"/>
  <c r="A169" i="30"/>
  <c r="C168" i="30"/>
  <c r="B168" i="30"/>
  <c r="C171" i="28" l="1"/>
  <c r="A172" i="28"/>
  <c r="B171" i="28"/>
  <c r="T168" i="28"/>
  <c r="A172" i="37"/>
  <c r="C171" i="37"/>
  <c r="B171" i="37"/>
  <c r="A170" i="36"/>
  <c r="C169" i="36"/>
  <c r="B169" i="36"/>
  <c r="A170" i="35"/>
  <c r="C169" i="35"/>
  <c r="B169" i="35"/>
  <c r="A170" i="34"/>
  <c r="C169" i="34"/>
  <c r="B169" i="34"/>
  <c r="A170" i="33"/>
  <c r="C169" i="33"/>
  <c r="B169" i="33"/>
  <c r="A172" i="32"/>
  <c r="C171" i="32"/>
  <c r="B171" i="32"/>
  <c r="A171" i="31"/>
  <c r="C170" i="31"/>
  <c r="B170" i="31"/>
  <c r="A170" i="30"/>
  <c r="C169" i="30"/>
  <c r="B169" i="30"/>
  <c r="T169" i="28" l="1"/>
  <c r="B172" i="28"/>
  <c r="A173" i="28"/>
  <c r="C172" i="28"/>
  <c r="B172" i="37"/>
  <c r="A173" i="37"/>
  <c r="C172" i="37"/>
  <c r="A171" i="36"/>
  <c r="C170" i="36"/>
  <c r="B170" i="36"/>
  <c r="A171" i="35"/>
  <c r="C170" i="35"/>
  <c r="B170" i="35"/>
  <c r="A171" i="34"/>
  <c r="C170" i="34"/>
  <c r="B170" i="34"/>
  <c r="A171" i="33"/>
  <c r="C170" i="33"/>
  <c r="B170" i="33"/>
  <c r="B172" i="32"/>
  <c r="A173" i="32"/>
  <c r="C172" i="32"/>
  <c r="A172" i="31"/>
  <c r="C171" i="31"/>
  <c r="B171" i="31"/>
  <c r="A171" i="30"/>
  <c r="C170" i="30"/>
  <c r="B170" i="30"/>
  <c r="C173" i="28" l="1"/>
  <c r="B173" i="28"/>
  <c r="A174" i="28"/>
  <c r="T170" i="28"/>
  <c r="C173" i="37"/>
  <c r="B173" i="37"/>
  <c r="A174" i="37"/>
  <c r="A172" i="36"/>
  <c r="C171" i="36"/>
  <c r="B171" i="36"/>
  <c r="A172" i="35"/>
  <c r="C171" i="35"/>
  <c r="B171" i="35"/>
  <c r="A172" i="34"/>
  <c r="C171" i="34"/>
  <c r="B171" i="34"/>
  <c r="A172" i="33"/>
  <c r="C171" i="33"/>
  <c r="B171" i="33"/>
  <c r="C173" i="32"/>
  <c r="B173" i="32"/>
  <c r="A174" i="32"/>
  <c r="B172" i="31"/>
  <c r="A173" i="31"/>
  <c r="C172" i="31"/>
  <c r="A172" i="30"/>
  <c r="C171" i="30"/>
  <c r="B171" i="30"/>
  <c r="T171" i="28" l="1"/>
  <c r="C174" i="28"/>
  <c r="B174" i="28"/>
  <c r="A175" i="28"/>
  <c r="A175" i="37"/>
  <c r="C174" i="37"/>
  <c r="B174" i="37"/>
  <c r="B172" i="36"/>
  <c r="C172" i="36"/>
  <c r="A173" i="36"/>
  <c r="B172" i="35"/>
  <c r="A173" i="35"/>
  <c r="C172" i="35"/>
  <c r="B172" i="34"/>
  <c r="A173" i="34"/>
  <c r="C172" i="34"/>
  <c r="B172" i="33"/>
  <c r="A173" i="33"/>
  <c r="C172" i="33"/>
  <c r="A175" i="32"/>
  <c r="C174" i="32"/>
  <c r="B174" i="32"/>
  <c r="A174" i="31"/>
  <c r="B173" i="31"/>
  <c r="C173" i="31"/>
  <c r="B172" i="30"/>
  <c r="A173" i="30"/>
  <c r="C172" i="30"/>
  <c r="B175" i="28" l="1"/>
  <c r="A176" i="28"/>
  <c r="C175" i="28"/>
  <c r="T172" i="28"/>
  <c r="A176" i="37"/>
  <c r="C175" i="37"/>
  <c r="B175" i="37"/>
  <c r="A174" i="36"/>
  <c r="C173" i="36"/>
  <c r="B173" i="36"/>
  <c r="A174" i="35"/>
  <c r="C173" i="35"/>
  <c r="B173" i="35"/>
  <c r="A174" i="34"/>
  <c r="C173" i="34"/>
  <c r="B173" i="34"/>
  <c r="A174" i="33"/>
  <c r="C173" i="33"/>
  <c r="B173" i="33"/>
  <c r="A176" i="32"/>
  <c r="C175" i="32"/>
  <c r="B175" i="32"/>
  <c r="A175" i="31"/>
  <c r="C174" i="31"/>
  <c r="B174" i="31"/>
  <c r="B173" i="30"/>
  <c r="A174" i="30"/>
  <c r="C173" i="30"/>
  <c r="T173" i="28" l="1"/>
  <c r="C176" i="28"/>
  <c r="B176" i="28"/>
  <c r="A177" i="28"/>
  <c r="A177" i="37"/>
  <c r="C176" i="37"/>
  <c r="B176" i="37"/>
  <c r="A175" i="36"/>
  <c r="C174" i="36"/>
  <c r="B174" i="36"/>
  <c r="A175" i="35"/>
  <c r="C174" i="35"/>
  <c r="B174" i="35"/>
  <c r="A175" i="34"/>
  <c r="C174" i="34"/>
  <c r="B174" i="34"/>
  <c r="A175" i="33"/>
  <c r="C174" i="33"/>
  <c r="B174" i="33"/>
  <c r="A177" i="32"/>
  <c r="C176" i="32"/>
  <c r="B176" i="32"/>
  <c r="A176" i="31"/>
  <c r="C175" i="31"/>
  <c r="B175" i="31"/>
  <c r="A175" i="30"/>
  <c r="C174" i="30"/>
  <c r="B174" i="30"/>
  <c r="C177" i="28" l="1"/>
  <c r="B177" i="28"/>
  <c r="A178" i="28"/>
  <c r="T174" i="28"/>
  <c r="C177" i="37"/>
  <c r="B177" i="37"/>
  <c r="A178" i="37"/>
  <c r="A176" i="36"/>
  <c r="C175" i="36"/>
  <c r="B175" i="36"/>
  <c r="A176" i="35"/>
  <c r="C175" i="35"/>
  <c r="B175" i="35"/>
  <c r="A176" i="34"/>
  <c r="C175" i="34"/>
  <c r="B175" i="34"/>
  <c r="A176" i="33"/>
  <c r="C175" i="33"/>
  <c r="B175" i="33"/>
  <c r="C177" i="32"/>
  <c r="B177" i="32"/>
  <c r="A178" i="32"/>
  <c r="A177" i="31"/>
  <c r="C176" i="31"/>
  <c r="B176" i="31"/>
  <c r="A176" i="30"/>
  <c r="C175" i="30"/>
  <c r="B175" i="30"/>
  <c r="T175" i="28" l="1"/>
  <c r="C178" i="28"/>
  <c r="B178" i="28"/>
  <c r="A179" i="28"/>
  <c r="A179" i="37"/>
  <c r="C178" i="37"/>
  <c r="B178" i="37"/>
  <c r="A177" i="36"/>
  <c r="C176" i="36"/>
  <c r="B176" i="36"/>
  <c r="A177" i="35"/>
  <c r="C176" i="35"/>
  <c r="B176" i="35"/>
  <c r="A177" i="34"/>
  <c r="C176" i="34"/>
  <c r="B176" i="34"/>
  <c r="A177" i="33"/>
  <c r="C176" i="33"/>
  <c r="B176" i="33"/>
  <c r="A179" i="32"/>
  <c r="C178" i="32"/>
  <c r="B178" i="32"/>
  <c r="C177" i="31"/>
  <c r="B177" i="31"/>
  <c r="A178" i="31"/>
  <c r="A177" i="30"/>
  <c r="C176" i="30"/>
  <c r="B176" i="30"/>
  <c r="A180" i="28" l="1"/>
  <c r="C179" i="28"/>
  <c r="B179" i="28"/>
  <c r="T176" i="28"/>
  <c r="A180" i="37"/>
  <c r="C179" i="37"/>
  <c r="B179" i="37"/>
  <c r="C177" i="36"/>
  <c r="B177" i="36"/>
  <c r="A178" i="36"/>
  <c r="C177" i="35"/>
  <c r="B177" i="35"/>
  <c r="A178" i="35"/>
  <c r="C177" i="34"/>
  <c r="B177" i="34"/>
  <c r="A178" i="34"/>
  <c r="C177" i="33"/>
  <c r="B177" i="33"/>
  <c r="A178" i="33"/>
  <c r="A180" i="32"/>
  <c r="C179" i="32"/>
  <c r="B179" i="32"/>
  <c r="C178" i="31"/>
  <c r="A179" i="31"/>
  <c r="B178" i="31"/>
  <c r="C177" i="30"/>
  <c r="B177" i="30"/>
  <c r="A178" i="30"/>
  <c r="T177" i="28" l="1"/>
  <c r="B180" i="28"/>
  <c r="A181" i="28"/>
  <c r="C180" i="28"/>
  <c r="A181" i="37"/>
  <c r="C180" i="37"/>
  <c r="B180" i="37"/>
  <c r="A179" i="36"/>
  <c r="C178" i="36"/>
  <c r="B178" i="36"/>
  <c r="B178" i="35"/>
  <c r="A179" i="35"/>
  <c r="C178" i="35"/>
  <c r="A179" i="34"/>
  <c r="C178" i="34"/>
  <c r="B178" i="34"/>
  <c r="A179" i="33"/>
  <c r="B178" i="33"/>
  <c r="C178" i="33"/>
  <c r="A181" i="32"/>
  <c r="C180" i="32"/>
  <c r="B180" i="32"/>
  <c r="B179" i="31"/>
  <c r="A180" i="31"/>
  <c r="C179" i="31"/>
  <c r="C178" i="30"/>
  <c r="A179" i="30"/>
  <c r="B178" i="30"/>
  <c r="B181" i="28" l="1"/>
  <c r="C181" i="28"/>
  <c r="A182" i="28"/>
  <c r="T178" i="28"/>
  <c r="A182" i="37"/>
  <c r="C181" i="37"/>
  <c r="B181" i="37"/>
  <c r="A180" i="36"/>
  <c r="C179" i="36"/>
  <c r="B179" i="36"/>
  <c r="A180" i="35"/>
  <c r="C179" i="35"/>
  <c r="B179" i="35"/>
  <c r="A180" i="34"/>
  <c r="C179" i="34"/>
  <c r="B179" i="34"/>
  <c r="A180" i="33"/>
  <c r="C179" i="33"/>
  <c r="B179" i="33"/>
  <c r="A182" i="32"/>
  <c r="C181" i="32"/>
  <c r="B181" i="32"/>
  <c r="A181" i="31"/>
  <c r="C180" i="31"/>
  <c r="B180" i="31"/>
  <c r="A180" i="30"/>
  <c r="C179" i="30"/>
  <c r="B179" i="30"/>
  <c r="T179" i="28" l="1"/>
  <c r="C182" i="28"/>
  <c r="A183" i="28"/>
  <c r="B182" i="28"/>
  <c r="A183" i="37"/>
  <c r="C182" i="37"/>
  <c r="B182" i="37"/>
  <c r="A181" i="36"/>
  <c r="C180" i="36"/>
  <c r="B180" i="36"/>
  <c r="A181" i="35"/>
  <c r="C180" i="35"/>
  <c r="B180" i="35"/>
  <c r="A181" i="34"/>
  <c r="C180" i="34"/>
  <c r="B180" i="34"/>
  <c r="A181" i="33"/>
  <c r="C180" i="33"/>
  <c r="B180" i="33"/>
  <c r="A183" i="32"/>
  <c r="C182" i="32"/>
  <c r="B182" i="32"/>
  <c r="A182" i="31"/>
  <c r="C181" i="31"/>
  <c r="B181" i="31"/>
  <c r="A181" i="30"/>
  <c r="C180" i="30"/>
  <c r="B180" i="30"/>
  <c r="C183" i="28" l="1"/>
  <c r="B183" i="28"/>
  <c r="A184" i="28"/>
  <c r="T180" i="28"/>
  <c r="A184" i="37"/>
  <c r="C183" i="37"/>
  <c r="B183" i="37"/>
  <c r="A182" i="36"/>
  <c r="C181" i="36"/>
  <c r="B181" i="36"/>
  <c r="A182" i="35"/>
  <c r="C181" i="35"/>
  <c r="B181" i="35"/>
  <c r="A182" i="34"/>
  <c r="C181" i="34"/>
  <c r="B181" i="34"/>
  <c r="A182" i="33"/>
  <c r="C181" i="33"/>
  <c r="B181" i="33"/>
  <c r="A184" i="32"/>
  <c r="C183" i="32"/>
  <c r="B183" i="32"/>
  <c r="A183" i="31"/>
  <c r="C182" i="31"/>
  <c r="B182" i="31"/>
  <c r="A182" i="30"/>
  <c r="C181" i="30"/>
  <c r="B181" i="30"/>
  <c r="T181" i="28" l="1"/>
  <c r="A185" i="28"/>
  <c r="B184" i="28"/>
  <c r="C184" i="28"/>
  <c r="A185" i="37"/>
  <c r="B184" i="37"/>
  <c r="C184" i="37"/>
  <c r="A183" i="36"/>
  <c r="C182" i="36"/>
  <c r="B182" i="36"/>
  <c r="A183" i="35"/>
  <c r="C182" i="35"/>
  <c r="B182" i="35"/>
  <c r="A183" i="34"/>
  <c r="C182" i="34"/>
  <c r="B182" i="34"/>
  <c r="A183" i="33"/>
  <c r="C182" i="33"/>
  <c r="B182" i="33"/>
  <c r="A185" i="32"/>
  <c r="C184" i="32"/>
  <c r="B184" i="32"/>
  <c r="A184" i="31"/>
  <c r="C183" i="31"/>
  <c r="B183" i="31"/>
  <c r="A183" i="30"/>
  <c r="C182" i="30"/>
  <c r="B182" i="30"/>
  <c r="C185" i="28" l="1"/>
  <c r="A186" i="28"/>
  <c r="B185" i="28"/>
  <c r="T182" i="28"/>
  <c r="A186" i="37"/>
  <c r="C185" i="37"/>
  <c r="B185" i="37"/>
  <c r="C183" i="36"/>
  <c r="B183" i="36"/>
  <c r="A184" i="36"/>
  <c r="B183" i="35"/>
  <c r="A184" i="35"/>
  <c r="C183" i="35"/>
  <c r="B183" i="34"/>
  <c r="C183" i="34"/>
  <c r="A184" i="34"/>
  <c r="C183" i="33"/>
  <c r="A184" i="33"/>
  <c r="B183" i="33"/>
  <c r="A186" i="32"/>
  <c r="C185" i="32"/>
  <c r="B185" i="32"/>
  <c r="C184" i="31"/>
  <c r="B184" i="31"/>
  <c r="A185" i="31"/>
  <c r="A184" i="30"/>
  <c r="C183" i="30"/>
  <c r="B183" i="30"/>
  <c r="T183" i="28" l="1"/>
  <c r="C186" i="28"/>
  <c r="B186" i="28"/>
  <c r="A187" i="28"/>
  <c r="A187" i="37"/>
  <c r="C186" i="37"/>
  <c r="B186" i="37"/>
  <c r="A185" i="36"/>
  <c r="C184" i="36"/>
  <c r="B184" i="36"/>
  <c r="A185" i="35"/>
  <c r="C184" i="35"/>
  <c r="B184" i="35"/>
  <c r="A185" i="34"/>
  <c r="C184" i="34"/>
  <c r="B184" i="34"/>
  <c r="A185" i="33"/>
  <c r="C184" i="33"/>
  <c r="B184" i="33"/>
  <c r="A187" i="32"/>
  <c r="C186" i="32"/>
  <c r="B186" i="32"/>
  <c r="A186" i="31"/>
  <c r="C185" i="31"/>
  <c r="B185" i="31"/>
  <c r="A185" i="30"/>
  <c r="C184" i="30"/>
  <c r="B184" i="30"/>
  <c r="B187" i="28" l="1"/>
  <c r="C187" i="28"/>
  <c r="A188" i="28"/>
  <c r="T184" i="28"/>
  <c r="A188" i="37"/>
  <c r="C187" i="37"/>
  <c r="B187" i="37"/>
  <c r="A186" i="36"/>
  <c r="C185" i="36"/>
  <c r="B185" i="36"/>
  <c r="A186" i="35"/>
  <c r="C185" i="35"/>
  <c r="B185" i="35"/>
  <c r="A186" i="34"/>
  <c r="C185" i="34"/>
  <c r="B185" i="34"/>
  <c r="A186" i="33"/>
  <c r="C185" i="33"/>
  <c r="B185" i="33"/>
  <c r="A188" i="32"/>
  <c r="C187" i="32"/>
  <c r="B187" i="32"/>
  <c r="A187" i="31"/>
  <c r="C186" i="31"/>
  <c r="B186" i="31"/>
  <c r="A186" i="30"/>
  <c r="C185" i="30"/>
  <c r="B185" i="30"/>
  <c r="T185" i="28" l="1"/>
  <c r="B188" i="28"/>
  <c r="C188" i="28"/>
  <c r="A189" i="28"/>
  <c r="B188" i="37"/>
  <c r="A189" i="37"/>
  <c r="C188" i="37"/>
  <c r="A187" i="36"/>
  <c r="C186" i="36"/>
  <c r="B186" i="36"/>
  <c r="A187" i="35"/>
  <c r="C186" i="35"/>
  <c r="B186" i="35"/>
  <c r="A187" i="34"/>
  <c r="C186" i="34"/>
  <c r="B186" i="34"/>
  <c r="A187" i="33"/>
  <c r="C186" i="33"/>
  <c r="B186" i="33"/>
  <c r="B188" i="32"/>
  <c r="A189" i="32"/>
  <c r="C188" i="32"/>
  <c r="A188" i="31"/>
  <c r="C187" i="31"/>
  <c r="B187" i="31"/>
  <c r="A187" i="30"/>
  <c r="C186" i="30"/>
  <c r="B186" i="30"/>
  <c r="B189" i="28" l="1"/>
  <c r="C189" i="28"/>
  <c r="A190" i="28"/>
  <c r="T186" i="28"/>
  <c r="B189" i="37"/>
  <c r="A190" i="37"/>
  <c r="C189" i="37"/>
  <c r="A188" i="36"/>
  <c r="C187" i="36"/>
  <c r="B187" i="36"/>
  <c r="A188" i="35"/>
  <c r="C187" i="35"/>
  <c r="B187" i="35"/>
  <c r="A188" i="34"/>
  <c r="C187" i="34"/>
  <c r="B187" i="34"/>
  <c r="A188" i="33"/>
  <c r="C187" i="33"/>
  <c r="B187" i="33"/>
  <c r="C189" i="32"/>
  <c r="B189" i="32"/>
  <c r="A190" i="32"/>
  <c r="B188" i="31"/>
  <c r="A189" i="31"/>
  <c r="C188" i="31"/>
  <c r="A188" i="30"/>
  <c r="C187" i="30"/>
  <c r="B187" i="30"/>
  <c r="T187" i="28" l="1"/>
  <c r="A191" i="28"/>
  <c r="B190" i="28"/>
  <c r="C190" i="28"/>
  <c r="A191" i="37"/>
  <c r="C190" i="37"/>
  <c r="B190" i="37"/>
  <c r="B188" i="36"/>
  <c r="A189" i="36"/>
  <c r="C188" i="36"/>
  <c r="B188" i="35"/>
  <c r="C188" i="35"/>
  <c r="A189" i="35"/>
  <c r="B188" i="34"/>
  <c r="C188" i="34"/>
  <c r="A189" i="34"/>
  <c r="B188" i="33"/>
  <c r="C188" i="33"/>
  <c r="A189" i="33"/>
  <c r="A191" i="32"/>
  <c r="C190" i="32"/>
  <c r="B190" i="32"/>
  <c r="C189" i="31"/>
  <c r="A190" i="31"/>
  <c r="B189" i="31"/>
  <c r="B188" i="30"/>
  <c r="A189" i="30"/>
  <c r="C188" i="30"/>
  <c r="B191" i="28" l="1"/>
  <c r="C191" i="28"/>
  <c r="A192" i="28"/>
  <c r="T188" i="28"/>
  <c r="A192" i="37"/>
  <c r="C191" i="37"/>
  <c r="B191" i="37"/>
  <c r="A190" i="36"/>
  <c r="C189" i="36"/>
  <c r="B189" i="36"/>
  <c r="A190" i="35"/>
  <c r="C189" i="35"/>
  <c r="B189" i="35"/>
  <c r="A190" i="34"/>
  <c r="C189" i="34"/>
  <c r="B189" i="34"/>
  <c r="A190" i="33"/>
  <c r="C189" i="33"/>
  <c r="B189" i="33"/>
  <c r="A192" i="32"/>
  <c r="C191" i="32"/>
  <c r="B191" i="32"/>
  <c r="A191" i="31"/>
  <c r="C190" i="31"/>
  <c r="B190" i="31"/>
  <c r="A190" i="30"/>
  <c r="C189" i="30"/>
  <c r="B189" i="30"/>
  <c r="T189" i="28" l="1"/>
  <c r="A193" i="28"/>
  <c r="B192" i="28"/>
  <c r="C192" i="28"/>
  <c r="A193" i="37"/>
  <c r="C192" i="37"/>
  <c r="B192" i="37"/>
  <c r="A191" i="36"/>
  <c r="C190" i="36"/>
  <c r="B190" i="36"/>
  <c r="A191" i="35"/>
  <c r="C190" i="35"/>
  <c r="B190" i="35"/>
  <c r="A191" i="34"/>
  <c r="C190" i="34"/>
  <c r="B190" i="34"/>
  <c r="A191" i="33"/>
  <c r="C190" i="33"/>
  <c r="B190" i="33"/>
  <c r="A193" i="32"/>
  <c r="C192" i="32"/>
  <c r="B192" i="32"/>
  <c r="A192" i="31"/>
  <c r="C191" i="31"/>
  <c r="B191" i="31"/>
  <c r="A191" i="30"/>
  <c r="C190" i="30"/>
  <c r="B190" i="30"/>
  <c r="B193" i="28" l="1"/>
  <c r="C193" i="28"/>
  <c r="T190" i="28"/>
  <c r="C193" i="37"/>
  <c r="B193" i="37"/>
  <c r="A192" i="36"/>
  <c r="C191" i="36"/>
  <c r="B191" i="36"/>
  <c r="A192" i="35"/>
  <c r="C191" i="35"/>
  <c r="B191" i="35"/>
  <c r="A192" i="34"/>
  <c r="C191" i="34"/>
  <c r="B191" i="34"/>
  <c r="A192" i="33"/>
  <c r="C191" i="33"/>
  <c r="B191" i="33"/>
  <c r="C193" i="32"/>
  <c r="B193" i="32"/>
  <c r="A193" i="31"/>
  <c r="C192" i="31"/>
  <c r="B192" i="31"/>
  <c r="A192" i="30"/>
  <c r="C191" i="30"/>
  <c r="B191" i="30"/>
  <c r="T191" i="28" l="1"/>
  <c r="A193" i="36"/>
  <c r="C192" i="36"/>
  <c r="B192" i="36"/>
  <c r="A193" i="35"/>
  <c r="C192" i="35"/>
  <c r="B192" i="35"/>
  <c r="A193" i="34"/>
  <c r="C192" i="34"/>
  <c r="B192" i="34"/>
  <c r="A193" i="33"/>
  <c r="C192" i="33"/>
  <c r="B192" i="33"/>
  <c r="C193" i="31"/>
  <c r="B193" i="31"/>
  <c r="A193" i="30"/>
  <c r="C192" i="30"/>
  <c r="B192" i="30"/>
  <c r="T193" i="28" l="1"/>
  <c r="T192" i="28"/>
  <c r="C193" i="36"/>
  <c r="B193" i="36"/>
  <c r="C193" i="35"/>
  <c r="B193" i="35"/>
  <c r="C193" i="34"/>
  <c r="B193" i="34"/>
  <c r="C193" i="33"/>
  <c r="B193" i="33"/>
  <c r="C193" i="30"/>
  <c r="B193" i="30"/>
  <c r="Y44" i="8" l="1"/>
  <c r="Y43" i="8"/>
  <c r="Y42" i="8"/>
  <c r="Y41" i="8"/>
  <c r="Y40" i="8"/>
  <c r="Y39" i="8"/>
  <c r="Y38" i="8"/>
  <c r="V44" i="8"/>
  <c r="V43" i="8"/>
  <c r="V42" i="8"/>
  <c r="V41" i="8"/>
  <c r="V40" i="8"/>
  <c r="V39" i="8"/>
  <c r="V38" i="8"/>
  <c r="S44" i="8"/>
  <c r="S43" i="8"/>
  <c r="S42" i="8"/>
  <c r="S41" i="8"/>
  <c r="S40" i="8"/>
  <c r="S39" i="8"/>
  <c r="S38" i="8"/>
  <c r="P44" i="8"/>
  <c r="P43" i="8"/>
  <c r="P42" i="8"/>
  <c r="P41" i="8"/>
  <c r="P40" i="8"/>
  <c r="P39" i="8"/>
  <c r="P38" i="8"/>
  <c r="M44" i="8"/>
  <c r="M43" i="8"/>
  <c r="M42" i="8"/>
  <c r="M41" i="8"/>
  <c r="M40" i="8"/>
  <c r="M39" i="8"/>
  <c r="M38" i="8"/>
  <c r="J44" i="8"/>
  <c r="J43" i="8"/>
  <c r="J42" i="8"/>
  <c r="J41" i="8"/>
  <c r="J40" i="8"/>
  <c r="J39" i="8"/>
  <c r="J38" i="8"/>
  <c r="G44" i="8"/>
  <c r="G43" i="8"/>
  <c r="G42" i="8"/>
  <c r="G41" i="8"/>
  <c r="G40" i="8"/>
  <c r="G39" i="8"/>
  <c r="G38" i="8"/>
  <c r="P36" i="41"/>
  <c r="O36" i="41"/>
  <c r="N36" i="41"/>
  <c r="M36" i="41"/>
  <c r="L36" i="41"/>
  <c r="K36" i="41"/>
  <c r="C36" i="41"/>
  <c r="D36" i="41"/>
  <c r="E36" i="41"/>
  <c r="F36" i="41"/>
  <c r="G36" i="41"/>
  <c r="H36" i="41"/>
  <c r="D24" i="7"/>
  <c r="E24" i="7" s="1"/>
  <c r="F24" i="7" s="1"/>
  <c r="G24" i="7" s="1"/>
  <c r="Y15" i="8"/>
  <c r="Y14" i="8"/>
  <c r="Y13" i="8"/>
  <c r="Y12" i="8"/>
  <c r="Y11" i="8"/>
  <c r="Y10" i="8"/>
  <c r="Y9" i="8"/>
  <c r="Y8" i="8"/>
  <c r="Y7" i="8"/>
  <c r="V15" i="8"/>
  <c r="V14" i="8"/>
  <c r="V13" i="8"/>
  <c r="V12" i="8"/>
  <c r="V11" i="8"/>
  <c r="V10" i="8"/>
  <c r="V9" i="8"/>
  <c r="V8" i="8"/>
  <c r="V7" i="8"/>
  <c r="S15" i="8"/>
  <c r="S14" i="8"/>
  <c r="S13" i="8"/>
  <c r="S12" i="8"/>
  <c r="S11" i="8"/>
  <c r="S10" i="8"/>
  <c r="S9" i="8"/>
  <c r="S8" i="8"/>
  <c r="S7" i="8"/>
  <c r="P15" i="8"/>
  <c r="P14" i="8"/>
  <c r="P13" i="8"/>
  <c r="P12" i="8"/>
  <c r="P11" i="8"/>
  <c r="P10" i="8"/>
  <c r="P9" i="8"/>
  <c r="P8" i="8"/>
  <c r="P7" i="8"/>
  <c r="M15" i="8"/>
  <c r="M14" i="8"/>
  <c r="M13" i="8"/>
  <c r="M12" i="8"/>
  <c r="M11" i="8"/>
  <c r="M10" i="8"/>
  <c r="M9" i="8"/>
  <c r="M8" i="8"/>
  <c r="M7" i="8"/>
  <c r="J15" i="8"/>
  <c r="J14" i="8"/>
  <c r="J13" i="8"/>
  <c r="J12" i="8"/>
  <c r="J11" i="8"/>
  <c r="J10" i="8"/>
  <c r="J9" i="8"/>
  <c r="J8" i="8"/>
  <c r="J7" i="8"/>
  <c r="G15" i="8"/>
  <c r="G14" i="8"/>
  <c r="G13" i="8"/>
  <c r="G12" i="8"/>
  <c r="G11" i="8"/>
  <c r="G10" i="8"/>
  <c r="G9" i="8"/>
  <c r="G8" i="8"/>
  <c r="G7" i="8"/>
  <c r="B11" i="8"/>
  <c r="B12" i="8"/>
  <c r="B26" i="8" s="1"/>
  <c r="B10" i="8"/>
  <c r="N34" i="41" l="1"/>
  <c r="X55" i="8"/>
  <c r="H34" i="41"/>
  <c r="AH27" i="8"/>
  <c r="O34" i="41"/>
  <c r="AC55" i="8"/>
  <c r="G34" i="41"/>
  <c r="AC27" i="8"/>
  <c r="P34" i="41"/>
  <c r="AH55" i="8"/>
  <c r="F34" i="41"/>
  <c r="X27" i="8"/>
  <c r="E34" i="41"/>
  <c r="S27" i="8"/>
  <c r="D34" i="41"/>
  <c r="N27" i="8"/>
  <c r="D56" i="8"/>
  <c r="C34" i="41"/>
  <c r="I27" i="8"/>
  <c r="K35" i="41"/>
  <c r="I56" i="8"/>
  <c r="D27" i="8"/>
  <c r="L35" i="41"/>
  <c r="N56" i="8"/>
  <c r="M35" i="41"/>
  <c r="S56" i="8"/>
  <c r="H35" i="41"/>
  <c r="AH28" i="8"/>
  <c r="N35" i="41"/>
  <c r="X56" i="8"/>
  <c r="G35" i="41"/>
  <c r="AC28" i="8"/>
  <c r="O35" i="41"/>
  <c r="AC56" i="8"/>
  <c r="F35" i="41"/>
  <c r="X28" i="8"/>
  <c r="P35" i="41"/>
  <c r="AH56" i="8"/>
  <c r="E35" i="41"/>
  <c r="S28" i="8"/>
  <c r="D55" i="8"/>
  <c r="D35" i="41"/>
  <c r="N28" i="8"/>
  <c r="K34" i="41"/>
  <c r="I55" i="8"/>
  <c r="C35" i="41"/>
  <c r="I28" i="8"/>
  <c r="L34" i="41"/>
  <c r="N55" i="8"/>
  <c r="D28" i="8"/>
  <c r="M34" i="41"/>
  <c r="S55" i="8"/>
  <c r="B40" i="8"/>
  <c r="B53" i="8" s="1"/>
  <c r="B24" i="8"/>
  <c r="B41" i="8"/>
  <c r="B54" i="8" s="1"/>
  <c r="B25" i="8"/>
  <c r="H119" i="7" l="1"/>
  <c r="H113" i="7"/>
  <c r="H107" i="7"/>
  <c r="E47" i="7"/>
  <c r="I47" i="7" s="1"/>
  <c r="O16" i="7" s="1"/>
  <c r="C47" i="7"/>
  <c r="E43" i="7"/>
  <c r="E44" i="7" s="1"/>
  <c r="C43" i="7"/>
  <c r="C44" i="7" s="1"/>
  <c r="BU25" i="14"/>
  <c r="BU26" i="14" s="1"/>
  <c r="BQ25" i="14"/>
  <c r="BQ26" i="14" s="1"/>
  <c r="BM25" i="14"/>
  <c r="BM26" i="14" s="1"/>
  <c r="BG25" i="14"/>
  <c r="BA25" i="14"/>
  <c r="AW25" i="14"/>
  <c r="AW26" i="14" s="1"/>
  <c r="AS25" i="14"/>
  <c r="AS5" i="14"/>
  <c r="AS6" i="14" s="1"/>
  <c r="AS7" i="14" s="1"/>
  <c r="AS8" i="14" s="1"/>
  <c r="AS9" i="14" s="1"/>
  <c r="AS10" i="14" s="1"/>
  <c r="AS11" i="14" s="1"/>
  <c r="AS12" i="14" s="1"/>
  <c r="AS13" i="14" s="1"/>
  <c r="T94" i="11"/>
  <c r="T96" i="11"/>
  <c r="E95" i="11"/>
  <c r="W7" i="11"/>
  <c r="EH23" i="3"/>
  <c r="EH3" i="3"/>
  <c r="DT23" i="3"/>
  <c r="DT3" i="3"/>
  <c r="DF23" i="3"/>
  <c r="DF3" i="3"/>
  <c r="CR23" i="3"/>
  <c r="CR3" i="3"/>
  <c r="CD23" i="3"/>
  <c r="CD3" i="3"/>
  <c r="EG22" i="3"/>
  <c r="EN45" i="3" s="1"/>
  <c r="EG2" i="3"/>
  <c r="EM45" i="3" s="1"/>
  <c r="DS22" i="3"/>
  <c r="DZ45" i="3" s="1"/>
  <c r="DS2" i="3"/>
  <c r="DY45" i="3" s="1"/>
  <c r="DE22" i="3"/>
  <c r="DL45" i="3" s="1"/>
  <c r="DE2" i="3"/>
  <c r="DK45" i="3" s="1"/>
  <c r="CQ22" i="3"/>
  <c r="CX45" i="3" s="1"/>
  <c r="CQ2" i="3"/>
  <c r="CW45" i="3" s="1"/>
  <c r="CC22" i="3"/>
  <c r="CJ45" i="3" s="1"/>
  <c r="CC2" i="3"/>
  <c r="CI45" i="3" s="1"/>
  <c r="EI1" i="3"/>
  <c r="EJ1" i="3" s="1"/>
  <c r="DU1" i="3"/>
  <c r="DU3" i="3" s="1"/>
  <c r="DG1" i="3"/>
  <c r="DG3" i="3" s="1"/>
  <c r="CS1" i="3"/>
  <c r="CS23" i="3" s="1"/>
  <c r="CE1" i="3"/>
  <c r="CE3" i="3" s="1"/>
  <c r="BP23" i="3"/>
  <c r="BP3" i="3"/>
  <c r="BO23" i="3"/>
  <c r="BO24" i="3" s="1"/>
  <c r="BO25" i="3" s="1"/>
  <c r="BO26" i="3" s="1"/>
  <c r="BO27" i="3" s="1"/>
  <c r="BO28" i="3" s="1"/>
  <c r="BO29" i="3" s="1"/>
  <c r="BO30" i="3" s="1"/>
  <c r="BO31" i="3" s="1"/>
  <c r="BO22" i="3"/>
  <c r="BV45" i="3" s="1"/>
  <c r="BO2" i="3"/>
  <c r="BU45" i="3" s="1"/>
  <c r="BO3" i="3"/>
  <c r="BO4" i="3" s="1"/>
  <c r="BO5" i="3" s="1"/>
  <c r="BO6" i="3" s="1"/>
  <c r="BO7" i="3" s="1"/>
  <c r="BO8" i="3" s="1"/>
  <c r="BO9" i="3" s="1"/>
  <c r="BO10" i="3" s="1"/>
  <c r="BO11" i="3" s="1"/>
  <c r="BO12" i="3" s="1"/>
  <c r="BQ1" i="3"/>
  <c r="BB23" i="3"/>
  <c r="BB3" i="3"/>
  <c r="BA22" i="3"/>
  <c r="BH45" i="3" s="1"/>
  <c r="BA2" i="3"/>
  <c r="BG45" i="3" s="1"/>
  <c r="BA4" i="3"/>
  <c r="BA5" i="3" s="1"/>
  <c r="BA6" i="3" s="1"/>
  <c r="BA7" i="3" s="1"/>
  <c r="BA8" i="3" s="1"/>
  <c r="BA9" i="3" s="1"/>
  <c r="BA10" i="3" s="1"/>
  <c r="BA11" i="3" s="1"/>
  <c r="BA12" i="3" s="1"/>
  <c r="EH12" i="3" s="1"/>
  <c r="BA24" i="3"/>
  <c r="BA25" i="3" s="1"/>
  <c r="BA26" i="3" s="1"/>
  <c r="BA27" i="3" s="1"/>
  <c r="BA28" i="3" s="1"/>
  <c r="BA29" i="3" s="1"/>
  <c r="BA30" i="3" s="1"/>
  <c r="BA31" i="3" s="1"/>
  <c r="BC1" i="3"/>
  <c r="BC3" i="3" s="1"/>
  <c r="B25" i="14"/>
  <c r="B26" i="14" s="1"/>
  <c r="B27" i="14" s="1"/>
  <c r="B28" i="14" s="1"/>
  <c r="B29" i="14" s="1"/>
  <c r="F25" i="14"/>
  <c r="F26" i="14" s="1"/>
  <c r="F27" i="14" s="1"/>
  <c r="F28" i="14" s="1"/>
  <c r="F29" i="14" s="1"/>
  <c r="J25" i="14"/>
  <c r="J26" i="14" s="1"/>
  <c r="J27" i="14" s="1"/>
  <c r="J28" i="14" s="1"/>
  <c r="J29" i="14" s="1"/>
  <c r="N25" i="14"/>
  <c r="N26" i="14" s="1"/>
  <c r="N27" i="14" s="1"/>
  <c r="N28" i="14" s="1"/>
  <c r="N29" i="14" s="1"/>
  <c r="T25" i="14"/>
  <c r="Z25" i="14"/>
  <c r="AF25" i="14"/>
  <c r="AF26" i="14" s="1"/>
  <c r="AF27" i="14" s="1"/>
  <c r="AF28" i="14" s="1"/>
  <c r="AF29" i="14" s="1"/>
  <c r="AJ25" i="14"/>
  <c r="AJ26" i="14" s="1"/>
  <c r="AJ27" i="14" s="1"/>
  <c r="AJ28" i="14" s="1"/>
  <c r="AJ29" i="14" s="1"/>
  <c r="AN25" i="14"/>
  <c r="AN26" i="14" s="1"/>
  <c r="AN27" i="14" s="1"/>
  <c r="AN28" i="14" s="1"/>
  <c r="AN29" i="14" s="1"/>
  <c r="U24" i="12"/>
  <c r="T24" i="12"/>
  <c r="S24" i="12"/>
  <c r="R24" i="12"/>
  <c r="Q24" i="12"/>
  <c r="P24" i="12"/>
  <c r="O24" i="12"/>
  <c r="N24" i="12"/>
  <c r="D24" i="12"/>
  <c r="C14" i="12"/>
  <c r="C21" i="12" s="1"/>
  <c r="C28" i="12" s="1"/>
  <c r="C15" i="12"/>
  <c r="C22" i="12" s="1"/>
  <c r="C29" i="12" s="1"/>
  <c r="Z99" i="10"/>
  <c r="Y99" i="10"/>
  <c r="W97" i="10"/>
  <c r="W96" i="10"/>
  <c r="W95" i="10"/>
  <c r="W94" i="10"/>
  <c r="D105" i="10"/>
  <c r="D104" i="10"/>
  <c r="D103" i="10"/>
  <c r="G102" i="10"/>
  <c r="H102" i="10" s="1"/>
  <c r="I102" i="10" s="1"/>
  <c r="J102" i="10" s="1"/>
  <c r="K102" i="10" s="1"/>
  <c r="L102" i="10" s="1"/>
  <c r="M102" i="10" s="1"/>
  <c r="N102" i="10" s="1"/>
  <c r="O102" i="10" s="1"/>
  <c r="P102" i="10" s="1"/>
  <c r="Q102" i="10" s="1"/>
  <c r="R102" i="10" s="1"/>
  <c r="S102" i="10" s="1"/>
  <c r="T102" i="10" s="1"/>
  <c r="F175" i="10"/>
  <c r="G175" i="10"/>
  <c r="H175" i="10"/>
  <c r="X85" i="10"/>
  <c r="Y85" i="10"/>
  <c r="Z85" i="10"/>
  <c r="W81" i="10"/>
  <c r="W82" i="10"/>
  <c r="W83" i="10"/>
  <c r="E175" i="10" s="1"/>
  <c r="E184" i="10" s="1"/>
  <c r="E192" i="10" s="1"/>
  <c r="C38" i="12" s="1"/>
  <c r="B19" i="73" s="1"/>
  <c r="B109" i="73" s="1"/>
  <c r="B133" i="73" s="1"/>
  <c r="W80" i="10"/>
  <c r="D90" i="10"/>
  <c r="D91" i="10"/>
  <c r="D89" i="10"/>
  <c r="C3" i="10"/>
  <c r="AJ16" i="7" l="1"/>
  <c r="AK16" i="7"/>
  <c r="AL16" i="7"/>
  <c r="AI16" i="7"/>
  <c r="D92" i="7" s="1"/>
  <c r="AM16" i="7"/>
  <c r="AN16" i="7"/>
  <c r="AH16" i="7"/>
  <c r="C92" i="7" s="1"/>
  <c r="AO16" i="7"/>
  <c r="BA26" i="14"/>
  <c r="BG26" i="14"/>
  <c r="BG27" i="14" s="1"/>
  <c r="Z26" i="14"/>
  <c r="T26" i="14"/>
  <c r="CC3" i="3"/>
  <c r="CC4" i="3" s="1"/>
  <c r="CC5" i="3" s="1"/>
  <c r="CC6" i="3" s="1"/>
  <c r="CC7" i="3" s="1"/>
  <c r="CC8" i="3" s="1"/>
  <c r="CC9" i="3" s="1"/>
  <c r="CC10" i="3" s="1"/>
  <c r="CC11" i="3" s="1"/>
  <c r="CC12" i="3" s="1"/>
  <c r="BC5" i="3"/>
  <c r="DG23" i="3"/>
  <c r="BC23" i="3"/>
  <c r="BQ4" i="3"/>
  <c r="BC27" i="3"/>
  <c r="EH4" i="3"/>
  <c r="CE7" i="3"/>
  <c r="DU9" i="3"/>
  <c r="CD6" i="3"/>
  <c r="DU5" i="3"/>
  <c r="CE23" i="3"/>
  <c r="BB5" i="3"/>
  <c r="BP12" i="3"/>
  <c r="DG12" i="3"/>
  <c r="BC12" i="3"/>
  <c r="BC4" i="3"/>
  <c r="BP9" i="3"/>
  <c r="DG11" i="3"/>
  <c r="BB12" i="3"/>
  <c r="BB4" i="3"/>
  <c r="BP8" i="3"/>
  <c r="DF11" i="3"/>
  <c r="BP5" i="3"/>
  <c r="DG8" i="3"/>
  <c r="BP4" i="3"/>
  <c r="DG7" i="3"/>
  <c r="DF7" i="3"/>
  <c r="CF1" i="3"/>
  <c r="CF23" i="3" s="1"/>
  <c r="EI12" i="3"/>
  <c r="DG4" i="3"/>
  <c r="BB9" i="3"/>
  <c r="CC23" i="3"/>
  <c r="CC24" i="3" s="1"/>
  <c r="CC25" i="3" s="1"/>
  <c r="CC26" i="3" s="1"/>
  <c r="CC27" i="3" s="1"/>
  <c r="CC28" i="3" s="1"/>
  <c r="CC29" i="3" s="1"/>
  <c r="CC30" i="3" s="1"/>
  <c r="CC31" i="3" s="1"/>
  <c r="CC32" i="3" s="1"/>
  <c r="CC33" i="3" s="1"/>
  <c r="CC36" i="3" s="1"/>
  <c r="CC37" i="3" s="1"/>
  <c r="CC38" i="3" s="1"/>
  <c r="CC39" i="3" s="1"/>
  <c r="CC40" i="3" s="1"/>
  <c r="EI9" i="3"/>
  <c r="CS12" i="3"/>
  <c r="EI8" i="3"/>
  <c r="CS8" i="3"/>
  <c r="BC8" i="3"/>
  <c r="BD1" i="3"/>
  <c r="BE1" i="3" s="1"/>
  <c r="BE11" i="3" s="1"/>
  <c r="BB8" i="3"/>
  <c r="BC30" i="3"/>
  <c r="EH8" i="3"/>
  <c r="CS4" i="3"/>
  <c r="EI5" i="3"/>
  <c r="CE11" i="3"/>
  <c r="BC9" i="3"/>
  <c r="EI4" i="3"/>
  <c r="CD10" i="3"/>
  <c r="EJ3" i="3"/>
  <c r="EK1" i="3"/>
  <c r="EK10" i="3" s="1"/>
  <c r="EJ23" i="3"/>
  <c r="BA32" i="3"/>
  <c r="CD28" i="3"/>
  <c r="CD24" i="3"/>
  <c r="EI3" i="3"/>
  <c r="EH9" i="3"/>
  <c r="EH5" i="3"/>
  <c r="DU10" i="3"/>
  <c r="DU6" i="3"/>
  <c r="DF12" i="3"/>
  <c r="DF8" i="3"/>
  <c r="DF4" i="3"/>
  <c r="CS9" i="3"/>
  <c r="CS5" i="3"/>
  <c r="CD11" i="3"/>
  <c r="CD7" i="3"/>
  <c r="EJ31" i="3"/>
  <c r="EJ27" i="3"/>
  <c r="DU28" i="3"/>
  <c r="DU24" i="3"/>
  <c r="DT10" i="3"/>
  <c r="DT6" i="3"/>
  <c r="CS31" i="3"/>
  <c r="CS27" i="3"/>
  <c r="CS3" i="3"/>
  <c r="CR9" i="3"/>
  <c r="CR5" i="3"/>
  <c r="CF29" i="3"/>
  <c r="BQ29" i="3"/>
  <c r="EJ10" i="3"/>
  <c r="EJ6" i="3"/>
  <c r="EI31" i="3"/>
  <c r="EI27" i="3"/>
  <c r="DU23" i="3"/>
  <c r="DT28" i="3"/>
  <c r="DT24" i="3"/>
  <c r="DG30" i="3"/>
  <c r="DG26" i="3"/>
  <c r="CR31" i="3"/>
  <c r="CR27" i="3"/>
  <c r="CE29" i="3"/>
  <c r="CE25" i="3"/>
  <c r="BQ25" i="3"/>
  <c r="EI10" i="3"/>
  <c r="EI6" i="3"/>
  <c r="EH31" i="3"/>
  <c r="EH27" i="3"/>
  <c r="DG9" i="3"/>
  <c r="DG5" i="3"/>
  <c r="DF30" i="3"/>
  <c r="DF26" i="3"/>
  <c r="CE12" i="3"/>
  <c r="CE8" i="3"/>
  <c r="CE4" i="3"/>
  <c r="CD29" i="3"/>
  <c r="CD25" i="3"/>
  <c r="DF29" i="3"/>
  <c r="EH10" i="3"/>
  <c r="EH6" i="3"/>
  <c r="EK28" i="3"/>
  <c r="EK24" i="3"/>
  <c r="DU11" i="3"/>
  <c r="DU7" i="3"/>
  <c r="DF9" i="3"/>
  <c r="DF5" i="3"/>
  <c r="CS10" i="3"/>
  <c r="CS6" i="3"/>
  <c r="CD12" i="3"/>
  <c r="CD8" i="3"/>
  <c r="CD4" i="3"/>
  <c r="EK11" i="3"/>
  <c r="EK7" i="3"/>
  <c r="EJ28" i="3"/>
  <c r="EJ24" i="3"/>
  <c r="DU29" i="3"/>
  <c r="DU25" i="3"/>
  <c r="DT11" i="3"/>
  <c r="DT7" i="3"/>
  <c r="CS28" i="3"/>
  <c r="CS24" i="3"/>
  <c r="CR10" i="3"/>
  <c r="CR6" i="3"/>
  <c r="CF30" i="3"/>
  <c r="CF26" i="3"/>
  <c r="BP10" i="3"/>
  <c r="BP6" i="3"/>
  <c r="EJ11" i="3"/>
  <c r="EJ7" i="3"/>
  <c r="EI28" i="3"/>
  <c r="EI24" i="3"/>
  <c r="DT29" i="3"/>
  <c r="DT25" i="3"/>
  <c r="DG31" i="3"/>
  <c r="DG27" i="3"/>
  <c r="CR28" i="3"/>
  <c r="CR24" i="3"/>
  <c r="CF9" i="3"/>
  <c r="CF5" i="3"/>
  <c r="CE30" i="3"/>
  <c r="CE26" i="3"/>
  <c r="CC13" i="3"/>
  <c r="CC16" i="3" s="1"/>
  <c r="CC17" i="3" s="1"/>
  <c r="CC18" i="3" s="1"/>
  <c r="CC19" i="3" s="1"/>
  <c r="CC20" i="3" s="1"/>
  <c r="EI11" i="3"/>
  <c r="EI7" i="3"/>
  <c r="EI23" i="3"/>
  <c r="EH28" i="3"/>
  <c r="EH24" i="3"/>
  <c r="DG10" i="3"/>
  <c r="DG6" i="3"/>
  <c r="DF31" i="3"/>
  <c r="DF27" i="3"/>
  <c r="CF3" i="3"/>
  <c r="CE9" i="3"/>
  <c r="CE5" i="3"/>
  <c r="CD30" i="3"/>
  <c r="CD26" i="3"/>
  <c r="BD27" i="3"/>
  <c r="DF25" i="3"/>
  <c r="BC31" i="3"/>
  <c r="BB26" i="3"/>
  <c r="BC25" i="3"/>
  <c r="BQ10" i="3"/>
  <c r="BP31" i="3"/>
  <c r="BP27" i="3"/>
  <c r="BB25" i="3"/>
  <c r="BC11" i="3"/>
  <c r="BC7" i="3"/>
  <c r="BB24" i="3"/>
  <c r="BB11" i="3"/>
  <c r="BB7" i="3"/>
  <c r="BQ28" i="3"/>
  <c r="BQ24" i="3"/>
  <c r="EH11" i="3"/>
  <c r="EH7" i="3"/>
  <c r="EK29" i="3"/>
  <c r="EK25" i="3"/>
  <c r="DU12" i="3"/>
  <c r="DU8" i="3"/>
  <c r="DU4" i="3"/>
  <c r="DF10" i="3"/>
  <c r="DF6" i="3"/>
  <c r="CS11" i="3"/>
  <c r="CS7" i="3"/>
  <c r="CD9" i="3"/>
  <c r="CD5" i="3"/>
  <c r="EH26" i="3"/>
  <c r="BB31" i="3"/>
  <c r="BC24" i="3"/>
  <c r="BQ30" i="3"/>
  <c r="BQ26" i="3"/>
  <c r="BB30" i="3"/>
  <c r="BQ9" i="3"/>
  <c r="BQ5" i="3"/>
  <c r="BP30" i="3"/>
  <c r="BP26" i="3"/>
  <c r="BB29" i="3"/>
  <c r="BO32" i="3"/>
  <c r="BO33" i="3" s="1"/>
  <c r="BO36" i="3" s="1"/>
  <c r="BO37" i="3" s="1"/>
  <c r="BO38" i="3" s="1"/>
  <c r="BO39" i="3" s="1"/>
  <c r="BO40" i="3" s="1"/>
  <c r="BQ3" i="3"/>
  <c r="CQ3" i="3"/>
  <c r="BC29" i="3"/>
  <c r="BQ11" i="3"/>
  <c r="BQ7" i="3"/>
  <c r="BQ23" i="3"/>
  <c r="BP28" i="3"/>
  <c r="BP24" i="3"/>
  <c r="EK12" i="3"/>
  <c r="EK8" i="3"/>
  <c r="EK4" i="3"/>
  <c r="EJ29" i="3"/>
  <c r="EJ25" i="3"/>
  <c r="DU30" i="3"/>
  <c r="DU26" i="3"/>
  <c r="DT12" i="3"/>
  <c r="DT8" i="3"/>
  <c r="DT4" i="3"/>
  <c r="CS29" i="3"/>
  <c r="CS25" i="3"/>
  <c r="CR11" i="3"/>
  <c r="CR7" i="3"/>
  <c r="CF31" i="3"/>
  <c r="CF27" i="3"/>
  <c r="BO13" i="3"/>
  <c r="BO16" i="3" s="1"/>
  <c r="BO17" i="3" s="1"/>
  <c r="BO18" i="3" s="1"/>
  <c r="BO19" i="3" s="1"/>
  <c r="BO20" i="3" s="1"/>
  <c r="EH30" i="3"/>
  <c r="BA13" i="3"/>
  <c r="BC10" i="3"/>
  <c r="BC6" i="3"/>
  <c r="BB28" i="3"/>
  <c r="BB10" i="3"/>
  <c r="BB6" i="3"/>
  <c r="BB27" i="3"/>
  <c r="BC28" i="3"/>
  <c r="BQ31" i="3"/>
  <c r="BQ27" i="3"/>
  <c r="BQ6" i="3"/>
  <c r="BC26" i="3"/>
  <c r="BD23" i="3"/>
  <c r="BP11" i="3"/>
  <c r="BP7" i="3"/>
  <c r="EJ12" i="3"/>
  <c r="EJ8" i="3"/>
  <c r="EJ4" i="3"/>
  <c r="EI29" i="3"/>
  <c r="EI25" i="3"/>
  <c r="DT30" i="3"/>
  <c r="DT26" i="3"/>
  <c r="DG28" i="3"/>
  <c r="DG24" i="3"/>
  <c r="CR29" i="3"/>
  <c r="CR25" i="3"/>
  <c r="CF10" i="3"/>
  <c r="CF6" i="3"/>
  <c r="CE31" i="3"/>
  <c r="CE27" i="3"/>
  <c r="EH29" i="3"/>
  <c r="EH25" i="3"/>
  <c r="DF28" i="3"/>
  <c r="DF24" i="3"/>
  <c r="CE10" i="3"/>
  <c r="CE6" i="3"/>
  <c r="CD31" i="3"/>
  <c r="CD27" i="3"/>
  <c r="BR1" i="3"/>
  <c r="BR30" i="3" s="1"/>
  <c r="BQ12" i="3"/>
  <c r="BQ8" i="3"/>
  <c r="BP29" i="3"/>
  <c r="BP25" i="3"/>
  <c r="EK9" i="3"/>
  <c r="EK5" i="3"/>
  <c r="EJ30" i="3"/>
  <c r="EJ26" i="3"/>
  <c r="DU31" i="3"/>
  <c r="DU27" i="3"/>
  <c r="DT9" i="3"/>
  <c r="DT5" i="3"/>
  <c r="CS30" i="3"/>
  <c r="CS26" i="3"/>
  <c r="CR12" i="3"/>
  <c r="CR8" i="3"/>
  <c r="CR4" i="3"/>
  <c r="CF28" i="3"/>
  <c r="CF24" i="3"/>
  <c r="C43" i="12"/>
  <c r="C48" i="12" s="1"/>
  <c r="C53" i="12" s="1"/>
  <c r="B19" i="41"/>
  <c r="B109" i="41" s="1"/>
  <c r="EJ9" i="3"/>
  <c r="EJ5" i="3"/>
  <c r="EI30" i="3"/>
  <c r="EI26" i="3"/>
  <c r="DT31" i="3"/>
  <c r="DT27" i="3"/>
  <c r="DG29" i="3"/>
  <c r="DG25" i="3"/>
  <c r="CR30" i="3"/>
  <c r="CR26" i="3"/>
  <c r="CF11" i="3"/>
  <c r="CF7" i="3"/>
  <c r="CE28" i="3"/>
  <c r="CE24" i="3"/>
  <c r="A47" i="14"/>
  <c r="A46" i="14"/>
  <c r="C16" i="12"/>
  <c r="C23" i="12" s="1"/>
  <c r="C30" i="12" s="1"/>
  <c r="BM27" i="14"/>
  <c r="AW27" i="14"/>
  <c r="AW5" i="14"/>
  <c r="AW6" i="14" s="1"/>
  <c r="AW7" i="14" s="1"/>
  <c r="AW8" i="14" s="1"/>
  <c r="AW9" i="14" s="1"/>
  <c r="AW10" i="14" s="1"/>
  <c r="AW11" i="14" s="1"/>
  <c r="AW12" i="14" s="1"/>
  <c r="AW13" i="14" s="1"/>
  <c r="BU27" i="14"/>
  <c r="BQ27" i="14"/>
  <c r="AS26" i="14"/>
  <c r="BA27" i="14"/>
  <c r="DV1" i="3"/>
  <c r="DV26" i="3" s="1"/>
  <c r="DH1" i="3"/>
  <c r="DH25" i="3" s="1"/>
  <c r="CT1" i="3"/>
  <c r="CT27" i="3" s="1"/>
  <c r="CG1" i="3"/>
  <c r="CG30" i="3" s="1"/>
  <c r="AN5" i="14"/>
  <c r="AN6" i="14" s="1"/>
  <c r="AN7" i="14" s="1"/>
  <c r="AN8" i="14" s="1"/>
  <c r="AN9" i="14" s="1"/>
  <c r="AN10" i="14" s="1"/>
  <c r="AN11" i="14" s="1"/>
  <c r="AN12" i="14" s="1"/>
  <c r="AN13" i="14" s="1"/>
  <c r="T5" i="14"/>
  <c r="T6" i="14" s="1"/>
  <c r="T7" i="14" s="1"/>
  <c r="T8" i="14" s="1"/>
  <c r="T9" i="14" s="1"/>
  <c r="T10" i="14" s="1"/>
  <c r="T11" i="14" s="1"/>
  <c r="T12" i="14" s="1"/>
  <c r="T13" i="14" s="1"/>
  <c r="J5" i="14"/>
  <c r="J6" i="14" s="1"/>
  <c r="J7" i="14" s="1"/>
  <c r="J8" i="14" s="1"/>
  <c r="J9" i="14" s="1"/>
  <c r="J10" i="14" s="1"/>
  <c r="J11" i="14" s="1"/>
  <c r="J12" i="14" s="1"/>
  <c r="J13" i="14" s="1"/>
  <c r="F5" i="14"/>
  <c r="F6" i="14" s="1"/>
  <c r="F7" i="14" s="1"/>
  <c r="F8" i="14" s="1"/>
  <c r="F9" i="14" s="1"/>
  <c r="F10" i="14" s="1"/>
  <c r="F11" i="14" s="1"/>
  <c r="F12" i="14" s="1"/>
  <c r="F13" i="14" s="1"/>
  <c r="X99" i="10"/>
  <c r="AP16" i="7" l="1"/>
  <c r="AO34" i="7"/>
  <c r="AN34" i="7"/>
  <c r="H92" i="7"/>
  <c r="AM34" i="7"/>
  <c r="G92" i="7"/>
  <c r="AL34" i="7"/>
  <c r="F92" i="7"/>
  <c r="AK34" i="7"/>
  <c r="E92" i="7"/>
  <c r="J92" i="7" s="1"/>
  <c r="AJ34" i="7"/>
  <c r="B60" i="44"/>
  <c r="B66" i="44" s="1"/>
  <c r="B133" i="41"/>
  <c r="A59" i="14"/>
  <c r="Z27" i="14"/>
  <c r="T27" i="14"/>
  <c r="A58" i="14"/>
  <c r="CF8" i="3"/>
  <c r="CF15" i="3" s="1"/>
  <c r="EK27" i="3"/>
  <c r="CF12" i="3"/>
  <c r="BE4" i="3"/>
  <c r="BE8" i="3"/>
  <c r="BE25" i="3"/>
  <c r="BD28" i="3"/>
  <c r="BE31" i="3"/>
  <c r="BE23" i="3"/>
  <c r="BD26" i="3"/>
  <c r="BE6" i="3"/>
  <c r="BD4" i="3"/>
  <c r="BD6" i="3"/>
  <c r="BD8" i="3"/>
  <c r="BD10" i="3"/>
  <c r="BE27" i="3"/>
  <c r="BE5" i="3"/>
  <c r="BD7" i="3"/>
  <c r="BE9" i="3"/>
  <c r="BD11" i="3"/>
  <c r="BD25" i="3"/>
  <c r="BD9" i="3"/>
  <c r="BE29" i="3"/>
  <c r="BE24" i="3"/>
  <c r="BE3" i="3"/>
  <c r="BE12" i="3"/>
  <c r="BE10" i="3"/>
  <c r="BE28" i="3"/>
  <c r="BD30" i="3"/>
  <c r="BD12" i="3"/>
  <c r="BD31" i="3"/>
  <c r="BE26" i="3"/>
  <c r="BE7" i="3"/>
  <c r="BD5" i="3"/>
  <c r="BD29" i="3"/>
  <c r="CF4" i="3"/>
  <c r="CF25" i="3"/>
  <c r="EK31" i="3"/>
  <c r="EK6" i="3"/>
  <c r="EK15" i="3" s="1"/>
  <c r="DH4" i="3"/>
  <c r="DH10" i="3"/>
  <c r="CG28" i="3"/>
  <c r="BR11" i="3"/>
  <c r="BD24" i="3"/>
  <c r="BD3" i="3"/>
  <c r="CQ23" i="3"/>
  <c r="DE23" i="3" s="1"/>
  <c r="BF1" i="3"/>
  <c r="BF13" i="3" s="1"/>
  <c r="BE30" i="3"/>
  <c r="BS1" i="3"/>
  <c r="BS28" i="3" s="1"/>
  <c r="CG26" i="3"/>
  <c r="DH30" i="3"/>
  <c r="DH24" i="3"/>
  <c r="DV4" i="3"/>
  <c r="CG10" i="3"/>
  <c r="CG5" i="3"/>
  <c r="CT6" i="3"/>
  <c r="CT24" i="3"/>
  <c r="CG23" i="3"/>
  <c r="CG3" i="3"/>
  <c r="DV31" i="3"/>
  <c r="DV5" i="3"/>
  <c r="DV9" i="3"/>
  <c r="DV6" i="3"/>
  <c r="DV10" i="3"/>
  <c r="DV3" i="3"/>
  <c r="DV27" i="3"/>
  <c r="DV23" i="3"/>
  <c r="DH28" i="3"/>
  <c r="DV8" i="3"/>
  <c r="BR26" i="3"/>
  <c r="DV24" i="3"/>
  <c r="DH7" i="3"/>
  <c r="CG9" i="3"/>
  <c r="CT10" i="3"/>
  <c r="DH5" i="3"/>
  <c r="A48" i="14"/>
  <c r="CG24" i="3"/>
  <c r="CQ4" i="3"/>
  <c r="CQ5" i="3" s="1"/>
  <c r="CQ6" i="3" s="1"/>
  <c r="CQ7" i="3" s="1"/>
  <c r="CQ8" i="3" s="1"/>
  <c r="CQ9" i="3" s="1"/>
  <c r="CQ10" i="3" s="1"/>
  <c r="CQ11" i="3" s="1"/>
  <c r="CQ12" i="3" s="1"/>
  <c r="DE3" i="3"/>
  <c r="DV30" i="3"/>
  <c r="CT28" i="3"/>
  <c r="CG27" i="3"/>
  <c r="DV12" i="3"/>
  <c r="DH27" i="3"/>
  <c r="CG25" i="3"/>
  <c r="DV28" i="3"/>
  <c r="BC32" i="3"/>
  <c r="BQ32" i="3"/>
  <c r="CR32" i="3"/>
  <c r="DU32" i="3"/>
  <c r="BR32" i="3"/>
  <c r="EH32" i="3"/>
  <c r="EI32" i="3"/>
  <c r="BB32" i="3"/>
  <c r="CE32" i="3"/>
  <c r="DF32" i="3"/>
  <c r="EJ32" i="3"/>
  <c r="BD32" i="3"/>
  <c r="CG32" i="3"/>
  <c r="DH32" i="3"/>
  <c r="BP32" i="3"/>
  <c r="EK32" i="3"/>
  <c r="DG32" i="3"/>
  <c r="CD32" i="3"/>
  <c r="BE32" i="3"/>
  <c r="CS32" i="3"/>
  <c r="DT32" i="3"/>
  <c r="DV32" i="3"/>
  <c r="CT32" i="3"/>
  <c r="CF32" i="3"/>
  <c r="BA33" i="3"/>
  <c r="DH11" i="3"/>
  <c r="CT25" i="3"/>
  <c r="DH9" i="3"/>
  <c r="CG4" i="3"/>
  <c r="BR4" i="3"/>
  <c r="BR25" i="3"/>
  <c r="BR29" i="3"/>
  <c r="BR3" i="3"/>
  <c r="BR5" i="3"/>
  <c r="BR9" i="3"/>
  <c r="BR23" i="3"/>
  <c r="BR8" i="3"/>
  <c r="BR12" i="3"/>
  <c r="CT7" i="3"/>
  <c r="CG7" i="3"/>
  <c r="BR6" i="3"/>
  <c r="CG31" i="3"/>
  <c r="DH31" i="3"/>
  <c r="CG29" i="3"/>
  <c r="CT29" i="3"/>
  <c r="CG8" i="3"/>
  <c r="DH8" i="3"/>
  <c r="BB13" i="3"/>
  <c r="DG13" i="3"/>
  <c r="DG15" i="3" s="1"/>
  <c r="BC13" i="3"/>
  <c r="BC15" i="3" s="1"/>
  <c r="DH13" i="3"/>
  <c r="BD13" i="3"/>
  <c r="BE13" i="3"/>
  <c r="CR13" i="3"/>
  <c r="CR15" i="3" s="1"/>
  <c r="CS13" i="3"/>
  <c r="CS15" i="3" s="1"/>
  <c r="BA16" i="3"/>
  <c r="BA17" i="3" s="1"/>
  <c r="BA18" i="3" s="1"/>
  <c r="BA19" i="3" s="1"/>
  <c r="BA20" i="3" s="1"/>
  <c r="CT13" i="3"/>
  <c r="CD13" i="3"/>
  <c r="CE13" i="3"/>
  <c r="EH13" i="3"/>
  <c r="EJ13" i="3"/>
  <c r="EJ15" i="3" s="1"/>
  <c r="CF13" i="3"/>
  <c r="EI13" i="3"/>
  <c r="BQ13" i="3"/>
  <c r="BQ15" i="3" s="1"/>
  <c r="DT13" i="3"/>
  <c r="EK13" i="3"/>
  <c r="BR13" i="3"/>
  <c r="DU13" i="3"/>
  <c r="DV13" i="3"/>
  <c r="DF13" i="3"/>
  <c r="CG13" i="3"/>
  <c r="BP13" i="3"/>
  <c r="CT11" i="3"/>
  <c r="BR24" i="3"/>
  <c r="DV25" i="3"/>
  <c r="DV7" i="3"/>
  <c r="DH23" i="3"/>
  <c r="DH3" i="3"/>
  <c r="CG11" i="3"/>
  <c r="BR10" i="3"/>
  <c r="BR27" i="3"/>
  <c r="BR7" i="3"/>
  <c r="DH6" i="3"/>
  <c r="DH26" i="3"/>
  <c r="CT4" i="3"/>
  <c r="CT8" i="3"/>
  <c r="CT12" i="3"/>
  <c r="CT30" i="3"/>
  <c r="CT5" i="3"/>
  <c r="CT9" i="3"/>
  <c r="CT23" i="3"/>
  <c r="CT3" i="3"/>
  <c r="CT26" i="3"/>
  <c r="CG12" i="3"/>
  <c r="EK3" i="3"/>
  <c r="EL1" i="3"/>
  <c r="EL13" i="3" s="1"/>
  <c r="EK26" i="3"/>
  <c r="EK23" i="3"/>
  <c r="EK30" i="3"/>
  <c r="DH12" i="3"/>
  <c r="DH29" i="3"/>
  <c r="BR31" i="3"/>
  <c r="CG6" i="3"/>
  <c r="BR28" i="3"/>
  <c r="DV29" i="3"/>
  <c r="DV11" i="3"/>
  <c r="CT31" i="3"/>
  <c r="BQ28" i="14"/>
  <c r="BU28" i="14"/>
  <c r="AS27" i="14"/>
  <c r="BG28" i="14"/>
  <c r="BA5" i="14"/>
  <c r="BA6" i="14" s="1"/>
  <c r="BA7" i="14" s="1"/>
  <c r="BA8" i="14" s="1"/>
  <c r="BA9" i="14" s="1"/>
  <c r="BA10" i="14" s="1"/>
  <c r="BA11" i="14" s="1"/>
  <c r="BA12" i="14" s="1"/>
  <c r="BA13" i="14" s="1"/>
  <c r="BM28" i="14"/>
  <c r="AW28" i="14"/>
  <c r="AS14" i="14"/>
  <c r="AS15" i="14" s="1"/>
  <c r="AS16" i="14" s="1"/>
  <c r="AS17" i="14" s="1"/>
  <c r="AS18" i="14" s="1"/>
  <c r="AS19" i="14" s="1"/>
  <c r="AS23" i="14"/>
  <c r="BA28" i="14"/>
  <c r="DW1" i="3"/>
  <c r="DW13" i="3" s="1"/>
  <c r="DI1" i="3"/>
  <c r="DI32" i="3" s="1"/>
  <c r="CU1" i="3"/>
  <c r="CH1" i="3"/>
  <c r="CH32" i="3" s="1"/>
  <c r="AJ5" i="14"/>
  <c r="AJ6" i="14" s="1"/>
  <c r="AJ7" i="14" s="1"/>
  <c r="AJ8" i="14" s="1"/>
  <c r="AJ9" i="14" s="1"/>
  <c r="AJ10" i="14" s="1"/>
  <c r="AJ11" i="14" s="1"/>
  <c r="AJ12" i="14" s="1"/>
  <c r="AJ13" i="14" s="1"/>
  <c r="Z5" i="14"/>
  <c r="Z6" i="14" s="1"/>
  <c r="Z7" i="14" s="1"/>
  <c r="Z8" i="14" s="1"/>
  <c r="Z9" i="14" s="1"/>
  <c r="Z10" i="14" s="1"/>
  <c r="Z11" i="14" s="1"/>
  <c r="Z12" i="14" s="1"/>
  <c r="Z13" i="14" s="1"/>
  <c r="AH89" i="7" l="1"/>
  <c r="AI89" i="7"/>
  <c r="AJ89" i="7"/>
  <c r="AG89" i="7"/>
  <c r="AQ16" i="7"/>
  <c r="AP34" i="7"/>
  <c r="CS35" i="3"/>
  <c r="BD15" i="3"/>
  <c r="BE15" i="3"/>
  <c r="CD16" i="3"/>
  <c r="CD15" i="3"/>
  <c r="CT15" i="3"/>
  <c r="BP16" i="3"/>
  <c r="BU46" i="3" s="1"/>
  <c r="E2" i="34" s="1"/>
  <c r="CS16" i="3"/>
  <c r="CW47" i="3" s="1"/>
  <c r="E3" i="36" s="1"/>
  <c r="DV15" i="3"/>
  <c r="CR16" i="3"/>
  <c r="BP15" i="3"/>
  <c r="DH15" i="3"/>
  <c r="DF15" i="3"/>
  <c r="DF16" i="3" s="1"/>
  <c r="EJ16" i="3"/>
  <c r="DU15" i="3"/>
  <c r="DU16" i="3" s="1"/>
  <c r="CE15" i="3"/>
  <c r="CE16" i="3" s="1"/>
  <c r="EH15" i="3"/>
  <c r="EH16" i="3" s="1"/>
  <c r="EI16" i="3"/>
  <c r="EI17" i="3" s="1"/>
  <c r="EI18" i="3" s="1"/>
  <c r="EI19" i="3" s="1"/>
  <c r="EI20" i="3" s="1"/>
  <c r="BC16" i="3"/>
  <c r="BG47" i="3" s="1"/>
  <c r="BR15" i="3"/>
  <c r="DT16" i="3"/>
  <c r="DT17" i="3" s="1"/>
  <c r="DT18" i="3" s="1"/>
  <c r="DT19" i="3" s="1"/>
  <c r="DT20" i="3" s="1"/>
  <c r="DG16" i="3"/>
  <c r="DK47" i="3" s="1"/>
  <c r="BK62" i="3" s="1"/>
  <c r="CG15" i="3"/>
  <c r="DT15" i="3"/>
  <c r="BQ16" i="3"/>
  <c r="BB16" i="3"/>
  <c r="EI15" i="3"/>
  <c r="B73" i="44"/>
  <c r="B81" i="44" s="1"/>
  <c r="A71" i="14"/>
  <c r="A83" i="14" s="1"/>
  <c r="A60" i="14"/>
  <c r="Z28" i="14"/>
  <c r="T23" i="14"/>
  <c r="A70" i="14"/>
  <c r="T28" i="14"/>
  <c r="CQ24" i="3"/>
  <c r="CQ25" i="3" s="1"/>
  <c r="CQ26" i="3" s="1"/>
  <c r="CQ27" i="3" s="1"/>
  <c r="CQ28" i="3" s="1"/>
  <c r="CQ29" i="3" s="1"/>
  <c r="CQ30" i="3" s="1"/>
  <c r="CQ31" i="3" s="1"/>
  <c r="EK16" i="3"/>
  <c r="CF16" i="3"/>
  <c r="CI48" i="3" s="1"/>
  <c r="BO63" i="3" s="1"/>
  <c r="EM47" i="3"/>
  <c r="BG62" i="3" s="1"/>
  <c r="BS13" i="3"/>
  <c r="BE16" i="3"/>
  <c r="BE17" i="3" s="1"/>
  <c r="BE18" i="3" s="1"/>
  <c r="BE19" i="3" s="1"/>
  <c r="BE20" i="3" s="1"/>
  <c r="BS31" i="3"/>
  <c r="BS30" i="3"/>
  <c r="BD16" i="3"/>
  <c r="BG48" i="3" s="1"/>
  <c r="BS26" i="3"/>
  <c r="BF32" i="3"/>
  <c r="BS24" i="3"/>
  <c r="BS11" i="3"/>
  <c r="BT1" i="3"/>
  <c r="BT13" i="3" s="1"/>
  <c r="BS10" i="3"/>
  <c r="BS7" i="3"/>
  <c r="BS23" i="3"/>
  <c r="BS8" i="3"/>
  <c r="BS4" i="3"/>
  <c r="BC17" i="3"/>
  <c r="BC18" i="3" s="1"/>
  <c r="BC19" i="3" s="1"/>
  <c r="BC20" i="3" s="1"/>
  <c r="DG17" i="3"/>
  <c r="DG18" i="3" s="1"/>
  <c r="DG19" i="3" s="1"/>
  <c r="DG20" i="3" s="1"/>
  <c r="BS27" i="3"/>
  <c r="BS5" i="3"/>
  <c r="BS32" i="3"/>
  <c r="BS29" i="3"/>
  <c r="BS3" i="3"/>
  <c r="BS9" i="3"/>
  <c r="F23" i="14"/>
  <c r="BS25" i="3"/>
  <c r="BS6" i="3"/>
  <c r="BG1" i="3"/>
  <c r="BG33" i="3" s="1"/>
  <c r="BF27" i="3"/>
  <c r="BF5" i="3"/>
  <c r="BF31" i="3"/>
  <c r="BF8" i="3"/>
  <c r="BF11" i="3"/>
  <c r="BF28" i="3"/>
  <c r="BF7" i="3"/>
  <c r="BF24" i="3"/>
  <c r="BF4" i="3"/>
  <c r="BF25" i="3"/>
  <c r="BF35" i="3" s="1"/>
  <c r="BF9" i="3"/>
  <c r="BF10" i="3"/>
  <c r="BF29" i="3"/>
  <c r="BF26" i="3"/>
  <c r="BF23" i="3"/>
  <c r="BF3" i="3"/>
  <c r="BF30" i="3"/>
  <c r="BF12" i="3"/>
  <c r="BF6" i="3"/>
  <c r="DH16" i="3"/>
  <c r="BS12" i="3"/>
  <c r="AN23" i="14"/>
  <c r="CD17" i="3"/>
  <c r="CD18" i="3" s="1"/>
  <c r="CD19" i="3" s="1"/>
  <c r="CD20" i="3" s="1"/>
  <c r="CI46" i="3"/>
  <c r="BO61" i="3" s="1"/>
  <c r="CS17" i="3"/>
  <c r="CS18" i="3" s="1"/>
  <c r="CS19" i="3" s="1"/>
  <c r="CS20" i="3" s="1"/>
  <c r="BS61" i="3"/>
  <c r="BB17" i="3"/>
  <c r="BB18" i="3" s="1"/>
  <c r="BB19" i="3" s="1"/>
  <c r="BB20" i="3" s="1"/>
  <c r="DE4" i="3"/>
  <c r="DE5" i="3" s="1"/>
  <c r="DE6" i="3" s="1"/>
  <c r="DE7" i="3" s="1"/>
  <c r="DE8" i="3" s="1"/>
  <c r="DE9" i="3" s="1"/>
  <c r="DE10" i="3" s="1"/>
  <c r="DE11" i="3" s="1"/>
  <c r="DE12" i="3" s="1"/>
  <c r="DS3" i="3"/>
  <c r="CH13" i="3"/>
  <c r="CE33" i="3"/>
  <c r="CH33" i="3"/>
  <c r="DV33" i="3"/>
  <c r="DH33" i="3"/>
  <c r="BR33" i="3"/>
  <c r="BR35" i="3" s="1"/>
  <c r="EK33" i="3"/>
  <c r="CT33" i="3"/>
  <c r="CF33" i="3"/>
  <c r="BD33" i="3"/>
  <c r="BD35" i="3" s="1"/>
  <c r="EH33" i="3"/>
  <c r="EH35" i="3" s="1"/>
  <c r="DT33" i="3"/>
  <c r="DT35" i="3" s="1"/>
  <c r="BF33" i="3"/>
  <c r="CD33" i="3"/>
  <c r="CD35" i="3" s="1"/>
  <c r="BP33" i="3"/>
  <c r="BB33" i="3"/>
  <c r="BB35" i="3" s="1"/>
  <c r="EL33" i="3"/>
  <c r="CG33" i="3"/>
  <c r="BS33" i="3"/>
  <c r="CU33" i="3"/>
  <c r="EI33" i="3"/>
  <c r="EI35" i="3" s="1"/>
  <c r="DF33" i="3"/>
  <c r="CR33" i="3"/>
  <c r="BE33" i="3"/>
  <c r="DU33" i="3"/>
  <c r="DI33" i="3"/>
  <c r="DW33" i="3"/>
  <c r="BA36" i="3"/>
  <c r="BA37" i="3" s="1"/>
  <c r="BA38" i="3" s="1"/>
  <c r="BA39" i="3" s="1"/>
  <c r="BA40" i="3" s="1"/>
  <c r="EJ33" i="3"/>
  <c r="CS33" i="3"/>
  <c r="DG33" i="3"/>
  <c r="DG35" i="3" s="1"/>
  <c r="BQ33" i="3"/>
  <c r="BC33" i="3"/>
  <c r="BC35" i="3" s="1"/>
  <c r="CQ13" i="3"/>
  <c r="CQ16" i="3" s="1"/>
  <c r="CQ17" i="3" s="1"/>
  <c r="CQ18" i="3" s="1"/>
  <c r="CQ19" i="3" s="1"/>
  <c r="CQ20" i="3" s="1"/>
  <c r="EL3" i="3"/>
  <c r="EL5" i="3"/>
  <c r="EL9" i="3"/>
  <c r="EL23" i="3"/>
  <c r="EL25" i="3"/>
  <c r="EL4" i="3"/>
  <c r="EL11" i="3"/>
  <c r="EL26" i="3"/>
  <c r="EM1" i="3"/>
  <c r="EM33" i="3" s="1"/>
  <c r="EL28" i="3"/>
  <c r="EL7" i="3"/>
  <c r="EL30" i="3"/>
  <c r="EL24" i="3"/>
  <c r="EL27" i="3"/>
  <c r="EL10" i="3"/>
  <c r="EL12" i="3"/>
  <c r="EL31" i="3"/>
  <c r="EL29" i="3"/>
  <c r="EL6" i="3"/>
  <c r="EL8" i="3"/>
  <c r="DE24" i="3"/>
  <c r="DE25" i="3" s="1"/>
  <c r="DE26" i="3" s="1"/>
  <c r="DE27" i="3" s="1"/>
  <c r="DE28" i="3" s="1"/>
  <c r="DE29" i="3" s="1"/>
  <c r="DE30" i="3" s="1"/>
  <c r="DE31" i="3" s="1"/>
  <c r="DS23" i="3"/>
  <c r="CG16" i="3"/>
  <c r="CI49" i="3" s="1"/>
  <c r="BO64" i="3" s="1"/>
  <c r="DI13" i="3"/>
  <c r="CT16" i="3"/>
  <c r="CQ32" i="3"/>
  <c r="CQ33" i="3" s="1"/>
  <c r="CQ36" i="3" s="1"/>
  <c r="CQ37" i="3" s="1"/>
  <c r="CQ38" i="3" s="1"/>
  <c r="CQ39" i="3" s="1"/>
  <c r="CQ40" i="3" s="1"/>
  <c r="J23" i="14"/>
  <c r="DW3" i="3"/>
  <c r="DW23" i="3"/>
  <c r="DW24" i="3"/>
  <c r="DW7" i="3"/>
  <c r="DW9" i="3"/>
  <c r="DW31" i="3"/>
  <c r="DW30" i="3"/>
  <c r="DW5" i="3"/>
  <c r="DW12" i="3"/>
  <c r="DW26" i="3"/>
  <c r="DW27" i="3"/>
  <c r="DW8" i="3"/>
  <c r="DW28" i="3"/>
  <c r="DW10" i="3"/>
  <c r="DW11" i="3"/>
  <c r="DW29" i="3"/>
  <c r="DW4" i="3"/>
  <c r="DW25" i="3"/>
  <c r="DW6" i="3"/>
  <c r="EL32" i="3"/>
  <c r="CU23" i="3"/>
  <c r="CU3" i="3"/>
  <c r="CU11" i="3"/>
  <c r="CU25" i="3"/>
  <c r="CU30" i="3"/>
  <c r="CU26" i="3"/>
  <c r="CU28" i="3"/>
  <c r="CU7" i="3"/>
  <c r="CU9" i="3"/>
  <c r="CU24" i="3"/>
  <c r="CU27" i="3"/>
  <c r="CU5" i="3"/>
  <c r="CU10" i="3"/>
  <c r="CU12" i="3"/>
  <c r="CU31" i="3"/>
  <c r="CU6" i="3"/>
  <c r="CU8" i="3"/>
  <c r="CU4" i="3"/>
  <c r="CU29" i="3"/>
  <c r="DV16" i="3"/>
  <c r="BT24" i="3"/>
  <c r="BT27" i="3"/>
  <c r="CW46" i="3"/>
  <c r="E2" i="36" s="1"/>
  <c r="CR17" i="3"/>
  <c r="CR18" i="3" s="1"/>
  <c r="CR19" i="3" s="1"/>
  <c r="CR20" i="3" s="1"/>
  <c r="BR16" i="3"/>
  <c r="BU48" i="3" s="1"/>
  <c r="CH23" i="3"/>
  <c r="CH7" i="3"/>
  <c r="CH11" i="3"/>
  <c r="CH3" i="3"/>
  <c r="CH31" i="3"/>
  <c r="CH10" i="3"/>
  <c r="CH29" i="3"/>
  <c r="CH4" i="3"/>
  <c r="CH24" i="3"/>
  <c r="CH27" i="3"/>
  <c r="CH6" i="3"/>
  <c r="CH28" i="3"/>
  <c r="CH25" i="3"/>
  <c r="CH9" i="3"/>
  <c r="CH30" i="3"/>
  <c r="CH5" i="3"/>
  <c r="CH8" i="3"/>
  <c r="CH26" i="3"/>
  <c r="CH12" i="3"/>
  <c r="BT32" i="3"/>
  <c r="CU32" i="3"/>
  <c r="CU13" i="3"/>
  <c r="DI23" i="3"/>
  <c r="DI29" i="3"/>
  <c r="DI25" i="3"/>
  <c r="DI3" i="3"/>
  <c r="DI10" i="3"/>
  <c r="DI31" i="3"/>
  <c r="DI24" i="3"/>
  <c r="DI6" i="3"/>
  <c r="DI11" i="3"/>
  <c r="DI27" i="3"/>
  <c r="DI7" i="3"/>
  <c r="DI12" i="3"/>
  <c r="DI9" i="3"/>
  <c r="DI8" i="3"/>
  <c r="DI30" i="3"/>
  <c r="DI5" i="3"/>
  <c r="DI15" i="3" s="1"/>
  <c r="DI4" i="3"/>
  <c r="DI26" i="3"/>
  <c r="DI28" i="3"/>
  <c r="DW32" i="3"/>
  <c r="BQ17" i="3"/>
  <c r="BQ18" i="3" s="1"/>
  <c r="BQ19" i="3" s="1"/>
  <c r="BQ20" i="3" s="1"/>
  <c r="BU47" i="3"/>
  <c r="E3" i="34" s="1"/>
  <c r="T14" i="14"/>
  <c r="T15" i="14" s="1"/>
  <c r="T16" i="14" s="1"/>
  <c r="T17" i="14" s="1"/>
  <c r="BQ5" i="14"/>
  <c r="BQ6" i="14" s="1"/>
  <c r="BQ7" i="14" s="1"/>
  <c r="BQ8" i="14" s="1"/>
  <c r="BQ9" i="14" s="1"/>
  <c r="BQ10" i="14" s="1"/>
  <c r="BQ11" i="14" s="1"/>
  <c r="BQ12" i="14" s="1"/>
  <c r="BQ13" i="14" s="1"/>
  <c r="BM5" i="14"/>
  <c r="BM6" i="14" s="1"/>
  <c r="BM7" i="14" s="1"/>
  <c r="BM8" i="14" s="1"/>
  <c r="BM9" i="14" s="1"/>
  <c r="BM10" i="14" s="1"/>
  <c r="BM11" i="14" s="1"/>
  <c r="BM12" i="14" s="1"/>
  <c r="BM13" i="14" s="1"/>
  <c r="BQ29" i="14"/>
  <c r="BU29" i="14"/>
  <c r="BG29" i="14"/>
  <c r="BA29" i="14"/>
  <c r="AW23" i="14"/>
  <c r="AW14" i="14"/>
  <c r="AW15" i="14" s="1"/>
  <c r="AW16" i="14" s="1"/>
  <c r="AW17" i="14" s="1"/>
  <c r="AW18" i="14" s="1"/>
  <c r="AW19" i="14" s="1"/>
  <c r="AW29" i="14"/>
  <c r="AS28" i="14"/>
  <c r="BM29" i="14"/>
  <c r="EJ17" i="3"/>
  <c r="EJ18" i="3" s="1"/>
  <c r="EJ19" i="3" s="1"/>
  <c r="EJ20" i="3" s="1"/>
  <c r="EM48" i="3"/>
  <c r="BG63" i="3" s="1"/>
  <c r="EM49" i="3"/>
  <c r="BG64" i="3" s="1"/>
  <c r="EK17" i="3"/>
  <c r="EK18" i="3" s="1"/>
  <c r="EK19" i="3" s="1"/>
  <c r="EK20" i="3" s="1"/>
  <c r="DX1" i="3"/>
  <c r="DJ1" i="3"/>
  <c r="DJ33" i="3" s="1"/>
  <c r="CV1" i="3"/>
  <c r="CI1" i="3"/>
  <c r="N5" i="14"/>
  <c r="E3" i="31" l="1"/>
  <c r="E3" i="35"/>
  <c r="E15" i="35" s="1"/>
  <c r="E27" i="35" s="1"/>
  <c r="E39" i="35" s="1"/>
  <c r="E51" i="35" s="1"/>
  <c r="E63" i="35" s="1"/>
  <c r="E75" i="35" s="1"/>
  <c r="E87" i="35" s="1"/>
  <c r="E99" i="35" s="1"/>
  <c r="E111" i="35" s="1"/>
  <c r="E123" i="35" s="1"/>
  <c r="E135" i="35" s="1"/>
  <c r="E147" i="35" s="1"/>
  <c r="E159" i="35" s="1"/>
  <c r="E171" i="35" s="1"/>
  <c r="E183" i="35" s="1"/>
  <c r="E4" i="31"/>
  <c r="E4" i="35"/>
  <c r="E4" i="29"/>
  <c r="E4" i="34"/>
  <c r="BS62" i="3"/>
  <c r="E3" i="30"/>
  <c r="BS63" i="3"/>
  <c r="E4" i="30"/>
  <c r="BQ62" i="3"/>
  <c r="E3" i="29"/>
  <c r="E2" i="29"/>
  <c r="AR16" i="7"/>
  <c r="AR34" i="7" s="1"/>
  <c r="AQ34" i="7"/>
  <c r="AM89" i="7"/>
  <c r="E3" i="28"/>
  <c r="N3" i="28" s="1"/>
  <c r="DU17" i="3"/>
  <c r="DU18" i="3" s="1"/>
  <c r="DU19" i="3" s="1"/>
  <c r="DU20" i="3" s="1"/>
  <c r="DY47" i="3"/>
  <c r="BI62" i="3" s="1"/>
  <c r="CE17" i="3"/>
  <c r="CE18" i="3" s="1"/>
  <c r="CE19" i="3" s="1"/>
  <c r="CE20" i="3" s="1"/>
  <c r="CI47" i="3"/>
  <c r="BO62" i="3" s="1"/>
  <c r="DF17" i="3"/>
  <c r="DF18" i="3" s="1"/>
  <c r="DF19" i="3" s="1"/>
  <c r="DF20" i="3" s="1"/>
  <c r="DK46" i="3"/>
  <c r="BK61" i="3" s="1"/>
  <c r="EH17" i="3"/>
  <c r="EH18" i="3" s="1"/>
  <c r="EH19" i="3" s="1"/>
  <c r="EH20" i="3" s="1"/>
  <c r="EM46" i="3"/>
  <c r="BG61" i="3" s="1"/>
  <c r="DI35" i="3"/>
  <c r="CF36" i="3"/>
  <c r="BS15" i="3"/>
  <c r="BS16" i="3" s="1"/>
  <c r="BS17" i="3" s="1"/>
  <c r="BS18" i="3" s="1"/>
  <c r="BS19" i="3" s="1"/>
  <c r="BS20" i="3" s="1"/>
  <c r="DW15" i="3"/>
  <c r="EL35" i="3"/>
  <c r="CR36" i="3"/>
  <c r="CR37" i="3" s="1"/>
  <c r="CR38" i="3" s="1"/>
  <c r="CR39" i="3" s="1"/>
  <c r="CR40" i="3" s="1"/>
  <c r="BR36" i="3"/>
  <c r="CF35" i="3"/>
  <c r="CR35" i="3"/>
  <c r="EI36" i="3"/>
  <c r="DH36" i="3"/>
  <c r="DF35" i="3"/>
  <c r="DF36" i="3" s="1"/>
  <c r="DY46" i="3"/>
  <c r="BI61" i="3" s="1"/>
  <c r="EL15" i="3"/>
  <c r="DV36" i="3"/>
  <c r="BP17" i="3"/>
  <c r="BP18" i="3" s="1"/>
  <c r="EK35" i="3"/>
  <c r="EK36" i="3" s="1"/>
  <c r="CU15" i="3"/>
  <c r="CU16" i="3" s="1"/>
  <c r="BD36" i="3"/>
  <c r="CE35" i="3"/>
  <c r="CE36" i="3" s="1"/>
  <c r="BF15" i="3"/>
  <c r="DW35" i="3"/>
  <c r="BC36" i="3"/>
  <c r="BE35" i="3"/>
  <c r="BE36" i="3" s="1"/>
  <c r="CT35" i="3"/>
  <c r="CT36" i="3" s="1"/>
  <c r="CH15" i="3"/>
  <c r="BB36" i="3"/>
  <c r="DG36" i="3"/>
  <c r="BP36" i="3"/>
  <c r="BP37" i="3" s="1"/>
  <c r="DV35" i="3"/>
  <c r="DH35" i="3"/>
  <c r="CS36" i="3"/>
  <c r="CD36" i="3"/>
  <c r="BS35" i="3"/>
  <c r="CG35" i="3"/>
  <c r="CG36" i="3" s="1"/>
  <c r="CH35" i="3"/>
  <c r="EJ36" i="3"/>
  <c r="EJ35" i="3"/>
  <c r="DT36" i="3"/>
  <c r="BP35" i="3"/>
  <c r="CU35" i="3"/>
  <c r="EH36" i="3"/>
  <c r="BQ35" i="3"/>
  <c r="DU35" i="3"/>
  <c r="DU36" i="3" s="1"/>
  <c r="CF17" i="3"/>
  <c r="CF18" i="3" s="1"/>
  <c r="CF19" i="3" s="1"/>
  <c r="CF20" i="3" s="1"/>
  <c r="BQ61" i="3"/>
  <c r="BM61" i="3"/>
  <c r="BM62" i="3"/>
  <c r="BQ63" i="3"/>
  <c r="R4" i="11"/>
  <c r="R3" i="11"/>
  <c r="R5" i="11"/>
  <c r="A72" i="14"/>
  <c r="Z29" i="14"/>
  <c r="T29" i="14"/>
  <c r="A82" i="14"/>
  <c r="A49" i="14"/>
  <c r="A95" i="14"/>
  <c r="F14" i="14"/>
  <c r="F15" i="14" s="1"/>
  <c r="BG49" i="3"/>
  <c r="BD17" i="3"/>
  <c r="BD18" i="3" s="1"/>
  <c r="BD19" i="3" s="1"/>
  <c r="BD20" i="3" s="1"/>
  <c r="AJ23" i="14"/>
  <c r="CG17" i="3"/>
  <c r="CG18" i="3" s="1"/>
  <c r="CG19" i="3" s="1"/>
  <c r="CG20" i="3" s="1"/>
  <c r="BT11" i="3"/>
  <c r="BT8" i="3"/>
  <c r="BT29" i="3"/>
  <c r="BT23" i="3"/>
  <c r="AN14" i="14"/>
  <c r="AN15" i="14" s="1"/>
  <c r="AN16" i="14" s="1"/>
  <c r="AN17" i="14" s="1"/>
  <c r="AN18" i="14" s="1"/>
  <c r="AN19" i="14" s="1"/>
  <c r="BR17" i="3"/>
  <c r="BR18" i="3" s="1"/>
  <c r="BR19" i="3" s="1"/>
  <c r="BR20" i="3" s="1"/>
  <c r="BT6" i="3"/>
  <c r="BT12" i="3"/>
  <c r="BT10" i="3"/>
  <c r="BT28" i="3"/>
  <c r="BT3" i="3"/>
  <c r="BT33" i="3"/>
  <c r="BT9" i="3"/>
  <c r="BT26" i="3"/>
  <c r="BT5" i="3"/>
  <c r="E4" i="28"/>
  <c r="BT7" i="3"/>
  <c r="BT4" i="3"/>
  <c r="BT31" i="3"/>
  <c r="BT30" i="3"/>
  <c r="BU1" i="3"/>
  <c r="BU5" i="3" s="1"/>
  <c r="BT25" i="3"/>
  <c r="BS36" i="3"/>
  <c r="BV49" i="3" s="1"/>
  <c r="BR64" i="3" s="1"/>
  <c r="EL16" i="3"/>
  <c r="EM50" i="3" s="1"/>
  <c r="BG65" i="3" s="1"/>
  <c r="BF16" i="3"/>
  <c r="BF17" i="3" s="1"/>
  <c r="BF18" i="3" s="1"/>
  <c r="BF19" i="3" s="1"/>
  <c r="BF20" i="3" s="1"/>
  <c r="BF36" i="3"/>
  <c r="BF37" i="3" s="1"/>
  <c r="BF38" i="3" s="1"/>
  <c r="BF39" i="3" s="1"/>
  <c r="BF40" i="3" s="1"/>
  <c r="DW16" i="3"/>
  <c r="BH1" i="3"/>
  <c r="BG9" i="3"/>
  <c r="BG24" i="3"/>
  <c r="BG3" i="3"/>
  <c r="BG27" i="3"/>
  <c r="BG10" i="3"/>
  <c r="BG5" i="3"/>
  <c r="BG6" i="3"/>
  <c r="BG31" i="3"/>
  <c r="BG8" i="3"/>
  <c r="BG28" i="3"/>
  <c r="BG25" i="3"/>
  <c r="BG4" i="3"/>
  <c r="BG11" i="3"/>
  <c r="BG29" i="3"/>
  <c r="BG12" i="3"/>
  <c r="BG26" i="3"/>
  <c r="BG23" i="3"/>
  <c r="BG30" i="3"/>
  <c r="BG7" i="3"/>
  <c r="BG32" i="3"/>
  <c r="BG13" i="3"/>
  <c r="CF37" i="3"/>
  <c r="CF38" i="3" s="1"/>
  <c r="CF39" i="3" s="1"/>
  <c r="CF40" i="3" s="1"/>
  <c r="CJ48" i="3"/>
  <c r="DI36" i="3"/>
  <c r="BC37" i="3"/>
  <c r="BC38" i="3" s="1"/>
  <c r="BC39" i="3" s="1"/>
  <c r="BC40" i="3" s="1"/>
  <c r="BH47" i="3"/>
  <c r="BT62" i="3" s="1"/>
  <c r="EL36" i="3"/>
  <c r="CH36" i="3"/>
  <c r="CH37" i="3" s="1"/>
  <c r="CH38" i="3" s="1"/>
  <c r="CH39" i="3" s="1"/>
  <c r="CH40" i="3" s="1"/>
  <c r="BB37" i="3"/>
  <c r="BB38" i="3" s="1"/>
  <c r="BB39" i="3" s="1"/>
  <c r="BB40" i="3" s="1"/>
  <c r="BH46" i="3"/>
  <c r="BT61" i="3" s="1"/>
  <c r="DT37" i="3"/>
  <c r="DT38" i="3" s="1"/>
  <c r="DT39" i="3" s="1"/>
  <c r="DT40" i="3" s="1"/>
  <c r="DZ46" i="3"/>
  <c r="BJ61" i="3" s="1"/>
  <c r="BV48" i="3"/>
  <c r="BR63" i="3" s="1"/>
  <c r="BR37" i="3"/>
  <c r="BR38" i="3" s="1"/>
  <c r="BR39" i="3" s="1"/>
  <c r="BR40" i="3" s="1"/>
  <c r="DG37" i="3"/>
  <c r="DG38" i="3" s="1"/>
  <c r="DG39" i="3" s="1"/>
  <c r="DG40" i="3" s="1"/>
  <c r="DL47" i="3"/>
  <c r="CX46" i="3"/>
  <c r="F2" i="34" s="1"/>
  <c r="BV46" i="3"/>
  <c r="BR61" i="3" s="1"/>
  <c r="EN46" i="3"/>
  <c r="BH61" i="3" s="1"/>
  <c r="EH37" i="3"/>
  <c r="EH38" i="3" s="1"/>
  <c r="EH39" i="3" s="1"/>
  <c r="EH40" i="3" s="1"/>
  <c r="DJ8" i="3"/>
  <c r="DJ23" i="3"/>
  <c r="DJ4" i="3"/>
  <c r="DJ12" i="3"/>
  <c r="DJ3" i="3"/>
  <c r="DJ27" i="3"/>
  <c r="DJ9" i="3"/>
  <c r="DJ11" i="3"/>
  <c r="DJ5" i="3"/>
  <c r="DJ28" i="3"/>
  <c r="DJ6" i="3"/>
  <c r="DJ7" i="3"/>
  <c r="DJ30" i="3"/>
  <c r="DJ26" i="3"/>
  <c r="DJ24" i="3"/>
  <c r="DJ29" i="3"/>
  <c r="DJ31" i="3"/>
  <c r="DJ10" i="3"/>
  <c r="DJ25" i="3"/>
  <c r="DJ13" i="3"/>
  <c r="DJ32" i="3"/>
  <c r="DX3" i="3"/>
  <c r="DX23" i="3"/>
  <c r="DX5" i="3"/>
  <c r="DX30" i="3"/>
  <c r="DX11" i="3"/>
  <c r="DX10" i="3"/>
  <c r="DX26" i="3"/>
  <c r="DX7" i="3"/>
  <c r="DX6" i="3"/>
  <c r="DX28" i="3"/>
  <c r="DX12" i="3"/>
  <c r="DX24" i="3"/>
  <c r="DX29" i="3"/>
  <c r="DX8" i="3"/>
  <c r="DX31" i="3"/>
  <c r="DX25" i="3"/>
  <c r="DX4" i="3"/>
  <c r="DX9" i="3"/>
  <c r="DX27" i="3"/>
  <c r="DX13" i="3"/>
  <c r="DX32" i="3"/>
  <c r="CX47" i="3"/>
  <c r="CS37" i="3"/>
  <c r="CS38" i="3" s="1"/>
  <c r="CS39" i="3" s="1"/>
  <c r="CS40" i="3" s="1"/>
  <c r="CJ46" i="3"/>
  <c r="F2" i="28" s="1"/>
  <c r="CD37" i="3"/>
  <c r="CD38" i="3" s="1"/>
  <c r="CD39" i="3" s="1"/>
  <c r="CD40" i="3" s="1"/>
  <c r="DX33" i="3"/>
  <c r="EM5" i="3"/>
  <c r="EM9" i="3"/>
  <c r="EM6" i="3"/>
  <c r="EM3" i="3"/>
  <c r="EM23" i="3"/>
  <c r="EM10" i="3"/>
  <c r="EM7" i="3"/>
  <c r="EM27" i="3"/>
  <c r="EM28" i="3"/>
  <c r="EM12" i="3"/>
  <c r="EM30" i="3"/>
  <c r="EM24" i="3"/>
  <c r="EM8" i="3"/>
  <c r="EM26" i="3"/>
  <c r="EM4" i="3"/>
  <c r="EM29" i="3"/>
  <c r="EM11" i="3"/>
  <c r="EM31" i="3"/>
  <c r="EM25" i="3"/>
  <c r="EN1" i="3"/>
  <c r="EM32" i="3"/>
  <c r="EM13" i="3"/>
  <c r="EN48" i="3"/>
  <c r="BH63" i="3" s="1"/>
  <c r="EJ37" i="3"/>
  <c r="EJ38" i="3" s="1"/>
  <c r="EJ39" i="3" s="1"/>
  <c r="EJ40" i="3" s="1"/>
  <c r="CH16" i="3"/>
  <c r="DI16" i="3"/>
  <c r="EN47" i="3"/>
  <c r="BH62" i="3" s="1"/>
  <c r="EI37" i="3"/>
  <c r="EI38" i="3" s="1"/>
  <c r="EI39" i="3" s="1"/>
  <c r="EI40" i="3" s="1"/>
  <c r="EG3" i="3"/>
  <c r="EG4" i="3" s="1"/>
  <c r="EG5" i="3" s="1"/>
  <c r="EG6" i="3" s="1"/>
  <c r="EG7" i="3" s="1"/>
  <c r="EG8" i="3" s="1"/>
  <c r="EG9" i="3" s="1"/>
  <c r="EG10" i="3" s="1"/>
  <c r="EG11" i="3" s="1"/>
  <c r="EG12" i="3" s="1"/>
  <c r="DS4" i="3"/>
  <c r="DS5" i="3" s="1"/>
  <c r="DS6" i="3" s="1"/>
  <c r="DS7" i="3" s="1"/>
  <c r="DS8" i="3" s="1"/>
  <c r="DS9" i="3" s="1"/>
  <c r="DS10" i="3" s="1"/>
  <c r="DS11" i="3" s="1"/>
  <c r="DS12" i="3" s="1"/>
  <c r="DE13" i="3"/>
  <c r="DE16" i="3" s="1"/>
  <c r="DE17" i="3" s="1"/>
  <c r="DE18" i="3" s="1"/>
  <c r="DE19" i="3" s="1"/>
  <c r="DE20" i="3" s="1"/>
  <c r="DS24" i="3"/>
  <c r="DS25" i="3" s="1"/>
  <c r="DS26" i="3" s="1"/>
  <c r="DS27" i="3" s="1"/>
  <c r="DS28" i="3" s="1"/>
  <c r="DS29" i="3" s="1"/>
  <c r="DS30" i="3" s="1"/>
  <c r="DS31" i="3" s="1"/>
  <c r="EG23" i="3"/>
  <c r="EG24" i="3" s="1"/>
  <c r="EG25" i="3" s="1"/>
  <c r="EG26" i="3" s="1"/>
  <c r="EG27" i="3" s="1"/>
  <c r="EG28" i="3" s="1"/>
  <c r="EG29" i="3" s="1"/>
  <c r="EG30" i="3" s="1"/>
  <c r="EG31" i="3" s="1"/>
  <c r="DE32" i="3"/>
  <c r="DE33" i="3" s="1"/>
  <c r="DE36" i="3" s="1"/>
  <c r="DE37" i="3" s="1"/>
  <c r="DE38" i="3" s="1"/>
  <c r="DE39" i="3" s="1"/>
  <c r="DE40" i="3" s="1"/>
  <c r="BU28" i="3"/>
  <c r="DW36" i="3"/>
  <c r="CV3" i="3"/>
  <c r="CV23" i="3"/>
  <c r="CV27" i="3"/>
  <c r="CV11" i="3"/>
  <c r="CV30" i="3"/>
  <c r="CV28" i="3"/>
  <c r="CV7" i="3"/>
  <c r="CV12" i="3"/>
  <c r="CV5" i="3"/>
  <c r="CV24" i="3"/>
  <c r="CV26" i="3"/>
  <c r="CV8" i="3"/>
  <c r="CV29" i="3"/>
  <c r="CV4" i="3"/>
  <c r="CV10" i="3"/>
  <c r="CV9" i="3"/>
  <c r="CV31" i="3"/>
  <c r="CV25" i="3"/>
  <c r="CV6" i="3"/>
  <c r="CV13" i="3"/>
  <c r="CV32" i="3"/>
  <c r="BD37" i="3"/>
  <c r="BD38" i="3" s="1"/>
  <c r="BD39" i="3" s="1"/>
  <c r="BD40" i="3" s="1"/>
  <c r="BH48" i="3"/>
  <c r="BT63" i="3" s="1"/>
  <c r="CI23" i="3"/>
  <c r="CI8" i="3"/>
  <c r="CI3" i="3"/>
  <c r="CI12" i="3"/>
  <c r="CI4" i="3"/>
  <c r="CI27" i="3"/>
  <c r="CI9" i="3"/>
  <c r="CI29" i="3"/>
  <c r="CI25" i="3"/>
  <c r="CI35" i="3" s="1"/>
  <c r="CI5" i="3"/>
  <c r="CI30" i="3"/>
  <c r="CI11" i="3"/>
  <c r="CI26" i="3"/>
  <c r="CI28" i="3"/>
  <c r="CI7" i="3"/>
  <c r="CI10" i="3"/>
  <c r="CI24" i="3"/>
  <c r="CI31" i="3"/>
  <c r="CI6" i="3"/>
  <c r="CI13" i="3"/>
  <c r="CI32" i="3"/>
  <c r="J14" i="14"/>
  <c r="J15" i="14" s="1"/>
  <c r="J16" i="14" s="1"/>
  <c r="J17" i="14" s="1"/>
  <c r="CU36" i="3"/>
  <c r="CI33" i="3"/>
  <c r="CV33" i="3"/>
  <c r="BA14" i="14"/>
  <c r="BA15" i="14" s="1"/>
  <c r="BA16" i="14" s="1"/>
  <c r="BA17" i="14" s="1"/>
  <c r="BA18" i="14" s="1"/>
  <c r="BA19" i="14" s="1"/>
  <c r="BA23" i="14"/>
  <c r="AS29" i="14"/>
  <c r="DY1" i="3"/>
  <c r="DY48" i="3"/>
  <c r="BI63" i="3" s="1"/>
  <c r="DV17" i="3"/>
  <c r="DV18" i="3" s="1"/>
  <c r="DV19" i="3" s="1"/>
  <c r="DV20" i="3" s="1"/>
  <c r="DZ48" i="3"/>
  <c r="BJ63" i="3" s="1"/>
  <c r="DV37" i="3"/>
  <c r="DV38" i="3" s="1"/>
  <c r="DV39" i="3" s="1"/>
  <c r="DV40" i="3" s="1"/>
  <c r="DH37" i="3"/>
  <c r="DH38" i="3" s="1"/>
  <c r="DH39" i="3" s="1"/>
  <c r="DH40" i="3" s="1"/>
  <c r="DL48" i="3"/>
  <c r="F4" i="36" s="1"/>
  <c r="DK1" i="3"/>
  <c r="DK48" i="3"/>
  <c r="BK63" i="3" s="1"/>
  <c r="DH17" i="3"/>
  <c r="DH18" i="3" s="1"/>
  <c r="DH19" i="3" s="1"/>
  <c r="DH20" i="3" s="1"/>
  <c r="CT17" i="3"/>
  <c r="CT18" i="3" s="1"/>
  <c r="CT19" i="3" s="1"/>
  <c r="CT20" i="3" s="1"/>
  <c r="CW48" i="3"/>
  <c r="E4" i="36" s="1"/>
  <c r="CW1" i="3"/>
  <c r="CJ1" i="3"/>
  <c r="F16" i="14"/>
  <c r="F17" i="14" s="1"/>
  <c r="T18" i="14"/>
  <c r="T19" i="14" s="1"/>
  <c r="N6" i="14"/>
  <c r="AF5" i="14"/>
  <c r="F3" i="35" l="1"/>
  <c r="F3" i="36"/>
  <c r="F4" i="31"/>
  <c r="F4" i="35"/>
  <c r="E5" i="31"/>
  <c r="E5" i="35"/>
  <c r="F3" i="30"/>
  <c r="F3" i="34"/>
  <c r="BL62" i="3"/>
  <c r="F3" i="31"/>
  <c r="BS64" i="3"/>
  <c r="E5" i="30"/>
  <c r="F2" i="29"/>
  <c r="F2" i="30"/>
  <c r="BN62" i="3"/>
  <c r="F3" i="29"/>
  <c r="BN61" i="3"/>
  <c r="E16" i="28"/>
  <c r="N4" i="28"/>
  <c r="E15" i="28"/>
  <c r="E15" i="31"/>
  <c r="E27" i="31" s="1"/>
  <c r="E39" i="31" s="1"/>
  <c r="E51" i="31" s="1"/>
  <c r="E63" i="31" s="1"/>
  <c r="E75" i="31" s="1"/>
  <c r="E87" i="31" s="1"/>
  <c r="E99" i="31" s="1"/>
  <c r="E111" i="31" s="1"/>
  <c r="M111" i="31" s="1"/>
  <c r="E15" i="30"/>
  <c r="E27" i="30" s="1"/>
  <c r="E39" i="30" s="1"/>
  <c r="E51" i="30" s="1"/>
  <c r="E63" i="30" s="1"/>
  <c r="E75" i="30" s="1"/>
  <c r="E87" i="30" s="1"/>
  <c r="E99" i="30" s="1"/>
  <c r="CG37" i="3"/>
  <c r="CG38" i="3" s="1"/>
  <c r="CG39" i="3" s="1"/>
  <c r="CG40" i="3" s="1"/>
  <c r="CJ49" i="3"/>
  <c r="BP64" i="3" s="1"/>
  <c r="CJ47" i="3"/>
  <c r="F3" i="28" s="1"/>
  <c r="O3" i="28" s="1"/>
  <c r="CE37" i="3"/>
  <c r="CE38" i="3" s="1"/>
  <c r="CE39" i="3" s="1"/>
  <c r="CE40" i="3" s="1"/>
  <c r="DZ47" i="3"/>
  <c r="BJ62" i="3" s="1"/>
  <c r="DU37" i="3"/>
  <c r="DU38" i="3" s="1"/>
  <c r="DU39" i="3" s="1"/>
  <c r="DU40" i="3" s="1"/>
  <c r="CT37" i="3"/>
  <c r="CT38" i="3" s="1"/>
  <c r="CT39" i="3" s="1"/>
  <c r="CT40" i="3" s="1"/>
  <c r="CX48" i="3"/>
  <c r="BE37" i="3"/>
  <c r="BE38" i="3" s="1"/>
  <c r="BE39" i="3" s="1"/>
  <c r="BE40" i="3" s="1"/>
  <c r="BH49" i="3"/>
  <c r="BT64" i="3" s="1"/>
  <c r="EK37" i="3"/>
  <c r="EK38" i="3" s="1"/>
  <c r="EK39" i="3" s="1"/>
  <c r="EK40" i="3" s="1"/>
  <c r="EN49" i="3"/>
  <c r="BH64" i="3" s="1"/>
  <c r="DF37" i="3"/>
  <c r="DF38" i="3" s="1"/>
  <c r="DF39" i="3" s="1"/>
  <c r="DF40" i="3" s="1"/>
  <c r="DL46" i="3"/>
  <c r="DJ15" i="3"/>
  <c r="DX15" i="3"/>
  <c r="BG35" i="3"/>
  <c r="BT35" i="3"/>
  <c r="BQ36" i="3"/>
  <c r="EM35" i="3"/>
  <c r="DX35" i="3"/>
  <c r="CV15" i="3"/>
  <c r="EM15" i="3"/>
  <c r="DJ35" i="3"/>
  <c r="BG15" i="3"/>
  <c r="CV35" i="3"/>
  <c r="CI15" i="3"/>
  <c r="BT15" i="3"/>
  <c r="BP38" i="3"/>
  <c r="BP19" i="3"/>
  <c r="AJ14" i="14"/>
  <c r="AJ15" i="14" s="1"/>
  <c r="E14" i="36"/>
  <c r="E26" i="36" s="1"/>
  <c r="E38" i="36" s="1"/>
  <c r="E50" i="36" s="1"/>
  <c r="E62" i="36" s="1"/>
  <c r="E74" i="36" s="1"/>
  <c r="E86" i="36" s="1"/>
  <c r="E98" i="36" s="1"/>
  <c r="E110" i="36" s="1"/>
  <c r="E122" i="36" s="1"/>
  <c r="E134" i="36" s="1"/>
  <c r="E146" i="36" s="1"/>
  <c r="E158" i="36" s="1"/>
  <c r="E170" i="36" s="1"/>
  <c r="E182" i="36" s="1"/>
  <c r="E15" i="36"/>
  <c r="E27" i="36" s="1"/>
  <c r="E39" i="36" s="1"/>
  <c r="E51" i="36" s="1"/>
  <c r="E63" i="36" s="1"/>
  <c r="E75" i="36" s="1"/>
  <c r="E87" i="36" s="1"/>
  <c r="E99" i="36" s="1"/>
  <c r="E111" i="36" s="1"/>
  <c r="E123" i="36" s="1"/>
  <c r="E135" i="36" s="1"/>
  <c r="E147" i="36" s="1"/>
  <c r="E159" i="36" s="1"/>
  <c r="E171" i="36" s="1"/>
  <c r="E183" i="36" s="1"/>
  <c r="E14" i="35"/>
  <c r="E26" i="35" s="1"/>
  <c r="E38" i="35" s="1"/>
  <c r="E50" i="35" s="1"/>
  <c r="E62" i="35" s="1"/>
  <c r="E74" i="35" s="1"/>
  <c r="E86" i="35" s="1"/>
  <c r="E98" i="35" s="1"/>
  <c r="E110" i="35" s="1"/>
  <c r="E122" i="35" s="1"/>
  <c r="E134" i="35" s="1"/>
  <c r="E146" i="35" s="1"/>
  <c r="E158" i="35" s="1"/>
  <c r="E170" i="35" s="1"/>
  <c r="E182" i="35" s="1"/>
  <c r="E16" i="35"/>
  <c r="E28" i="35" s="1"/>
  <c r="E40" i="35" s="1"/>
  <c r="E52" i="35" s="1"/>
  <c r="E64" i="35" s="1"/>
  <c r="E76" i="35" s="1"/>
  <c r="E88" i="35" s="1"/>
  <c r="E100" i="35" s="1"/>
  <c r="E112" i="35" s="1"/>
  <c r="E124" i="35" s="1"/>
  <c r="E136" i="35" s="1"/>
  <c r="E148" i="35" s="1"/>
  <c r="E160" i="35" s="1"/>
  <c r="E172" i="35" s="1"/>
  <c r="E184" i="35" s="1"/>
  <c r="E15" i="34"/>
  <c r="E27" i="34" s="1"/>
  <c r="E39" i="34" s="1"/>
  <c r="E51" i="34" s="1"/>
  <c r="E63" i="34" s="1"/>
  <c r="E75" i="34" s="1"/>
  <c r="E87" i="34" s="1"/>
  <c r="E99" i="34" s="1"/>
  <c r="E16" i="34"/>
  <c r="E28" i="34" s="1"/>
  <c r="E40" i="34" s="1"/>
  <c r="E52" i="34" s="1"/>
  <c r="E64" i="34" s="1"/>
  <c r="E76" i="34" s="1"/>
  <c r="E88" i="34" s="1"/>
  <c r="E100" i="34" s="1"/>
  <c r="E14" i="34"/>
  <c r="E26" i="34" s="1"/>
  <c r="E38" i="34" s="1"/>
  <c r="E50" i="34" s="1"/>
  <c r="E62" i="34" s="1"/>
  <c r="E74" i="34" s="1"/>
  <c r="E86" i="34" s="1"/>
  <c r="E98" i="34" s="1"/>
  <c r="E14" i="31"/>
  <c r="E26" i="31" s="1"/>
  <c r="E38" i="31" s="1"/>
  <c r="E50" i="31" s="1"/>
  <c r="E62" i="31" s="1"/>
  <c r="E74" i="31" s="1"/>
  <c r="E86" i="31" s="1"/>
  <c r="E98" i="31" s="1"/>
  <c r="E16" i="31"/>
  <c r="E28" i="31" s="1"/>
  <c r="E40" i="31" s="1"/>
  <c r="E52" i="31" s="1"/>
  <c r="E64" i="31" s="1"/>
  <c r="E76" i="31" s="1"/>
  <c r="E88" i="31" s="1"/>
  <c r="E100" i="31" s="1"/>
  <c r="E14" i="30"/>
  <c r="E26" i="30" s="1"/>
  <c r="E38" i="30" s="1"/>
  <c r="E50" i="30" s="1"/>
  <c r="E62" i="30" s="1"/>
  <c r="E74" i="30" s="1"/>
  <c r="E86" i="30" s="1"/>
  <c r="E98" i="30" s="1"/>
  <c r="E16" i="30"/>
  <c r="E28" i="30" s="1"/>
  <c r="E40" i="30" s="1"/>
  <c r="E52" i="30" s="1"/>
  <c r="E64" i="30" s="1"/>
  <c r="E76" i="30" s="1"/>
  <c r="E88" i="30" s="1"/>
  <c r="E100" i="30" s="1"/>
  <c r="E16" i="29"/>
  <c r="E28" i="29" s="1"/>
  <c r="E40" i="29" s="1"/>
  <c r="E52" i="29" s="1"/>
  <c r="E64" i="29" s="1"/>
  <c r="E76" i="29" s="1"/>
  <c r="E88" i="29" s="1"/>
  <c r="E100" i="29" s="1"/>
  <c r="E14" i="29"/>
  <c r="E26" i="29" s="1"/>
  <c r="E38" i="29" s="1"/>
  <c r="E50" i="29" s="1"/>
  <c r="E62" i="29" s="1"/>
  <c r="E74" i="29" s="1"/>
  <c r="E86" i="29" s="1"/>
  <c r="E98" i="29" s="1"/>
  <c r="E15" i="29"/>
  <c r="E27" i="29" s="1"/>
  <c r="E39" i="29" s="1"/>
  <c r="E51" i="29" s="1"/>
  <c r="E63" i="29" s="1"/>
  <c r="E75" i="29" s="1"/>
  <c r="E87" i="29" s="1"/>
  <c r="E99" i="29" s="1"/>
  <c r="E14" i="28"/>
  <c r="F4" i="28"/>
  <c r="BP63" i="3"/>
  <c r="BL63" i="3"/>
  <c r="BM63" i="3"/>
  <c r="BP61" i="3"/>
  <c r="A84" i="14"/>
  <c r="Z23" i="14"/>
  <c r="A61" i="14"/>
  <c r="A94" i="14"/>
  <c r="A107" i="14"/>
  <c r="A50" i="14"/>
  <c r="E5" i="28"/>
  <c r="N5" i="28" s="1"/>
  <c r="BU49" i="3"/>
  <c r="E5" i="34" s="1"/>
  <c r="BS37" i="3"/>
  <c r="BS38" i="3" s="1"/>
  <c r="BS39" i="3" s="1"/>
  <c r="BS40" i="3" s="1"/>
  <c r="CJ50" i="3"/>
  <c r="EL17" i="3"/>
  <c r="EL18" i="3" s="1"/>
  <c r="EL19" i="3" s="1"/>
  <c r="EL20" i="3" s="1"/>
  <c r="BT16" i="3"/>
  <c r="BT17" i="3" s="1"/>
  <c r="BT18" i="3" s="1"/>
  <c r="BT19" i="3" s="1"/>
  <c r="BT20" i="3" s="1"/>
  <c r="BV1" i="3"/>
  <c r="BU12" i="3"/>
  <c r="BU31" i="3"/>
  <c r="BU7" i="3"/>
  <c r="BU25" i="3"/>
  <c r="BU11" i="3"/>
  <c r="BU29" i="3"/>
  <c r="BU4" i="3"/>
  <c r="BU26" i="3"/>
  <c r="BU33" i="3"/>
  <c r="BU3" i="3"/>
  <c r="BU30" i="3"/>
  <c r="BU13" i="3"/>
  <c r="BU23" i="3"/>
  <c r="BU32" i="3"/>
  <c r="BU10" i="3"/>
  <c r="BU8" i="3"/>
  <c r="BU6" i="3"/>
  <c r="BU15" i="3" s="1"/>
  <c r="BU27" i="3"/>
  <c r="BU9" i="3"/>
  <c r="BU24" i="3"/>
  <c r="BH50" i="3"/>
  <c r="BT65" i="3" s="1"/>
  <c r="BT36" i="3"/>
  <c r="BV50" i="3" s="1"/>
  <c r="BR65" i="3" s="1"/>
  <c r="Z14" i="14"/>
  <c r="BG50" i="3"/>
  <c r="EM36" i="3"/>
  <c r="EM37" i="3" s="1"/>
  <c r="EM38" i="3" s="1"/>
  <c r="EM39" i="3" s="1"/>
  <c r="EM40" i="3" s="1"/>
  <c r="CV36" i="3"/>
  <c r="BG16" i="3"/>
  <c r="BG36" i="3"/>
  <c r="BI1" i="3"/>
  <c r="BH24" i="3"/>
  <c r="BH3" i="3"/>
  <c r="BH12" i="3"/>
  <c r="BH10" i="3"/>
  <c r="BH6" i="3"/>
  <c r="BH8" i="3"/>
  <c r="BH25" i="3"/>
  <c r="BH31" i="3"/>
  <c r="BH4" i="3"/>
  <c r="BH30" i="3"/>
  <c r="BH9" i="3"/>
  <c r="BH28" i="3"/>
  <c r="BH29" i="3"/>
  <c r="BH5" i="3"/>
  <c r="BH26" i="3"/>
  <c r="BH11" i="3"/>
  <c r="BH23" i="3"/>
  <c r="BH7" i="3"/>
  <c r="BH27" i="3"/>
  <c r="BH13" i="3"/>
  <c r="BH32" i="3"/>
  <c r="BH33" i="3"/>
  <c r="CI36" i="3"/>
  <c r="EM16" i="3"/>
  <c r="DJ16" i="3"/>
  <c r="CV16" i="3"/>
  <c r="DS13" i="3"/>
  <c r="DS16" i="3" s="1"/>
  <c r="DS17" i="3" s="1"/>
  <c r="DS18" i="3" s="1"/>
  <c r="DS19" i="3" s="1"/>
  <c r="DS20" i="3" s="1"/>
  <c r="DY23" i="3"/>
  <c r="DY3" i="3"/>
  <c r="DY10" i="3"/>
  <c r="DY6" i="3"/>
  <c r="DY7" i="3"/>
  <c r="DY9" i="3"/>
  <c r="DY24" i="3"/>
  <c r="DY30" i="3"/>
  <c r="DY5" i="3"/>
  <c r="DY15" i="3" s="1"/>
  <c r="DY12" i="3"/>
  <c r="DY26" i="3"/>
  <c r="DY31" i="3"/>
  <c r="DY8" i="3"/>
  <c r="DY27" i="3"/>
  <c r="DY4" i="3"/>
  <c r="DY28" i="3"/>
  <c r="DY25" i="3"/>
  <c r="DY29" i="3"/>
  <c r="DY11" i="3"/>
  <c r="DY32" i="3"/>
  <c r="DY13" i="3"/>
  <c r="DY33" i="3"/>
  <c r="EG13" i="3"/>
  <c r="EG16" i="3" s="1"/>
  <c r="EG17" i="3" s="1"/>
  <c r="EG18" i="3" s="1"/>
  <c r="EG19" i="3" s="1"/>
  <c r="EG20" i="3" s="1"/>
  <c r="DX36" i="3"/>
  <c r="BV3" i="3"/>
  <c r="BV26" i="3"/>
  <c r="BV30" i="3"/>
  <c r="BV23" i="3"/>
  <c r="BV6" i="3"/>
  <c r="BV10" i="3"/>
  <c r="BV9" i="3"/>
  <c r="BV5" i="3"/>
  <c r="BV8" i="3"/>
  <c r="BV28" i="3"/>
  <c r="BV11" i="3"/>
  <c r="BV25" i="3"/>
  <c r="BV7" i="3"/>
  <c r="BV24" i="3"/>
  <c r="BV4" i="3"/>
  <c r="BV31" i="3"/>
  <c r="BV27" i="3"/>
  <c r="BV12" i="3"/>
  <c r="BV29" i="3"/>
  <c r="BV13" i="3"/>
  <c r="BV32" i="3"/>
  <c r="BV33" i="3"/>
  <c r="CI16" i="3"/>
  <c r="DJ36" i="3"/>
  <c r="EG32" i="3"/>
  <c r="EG33" i="3" s="1"/>
  <c r="EG36" i="3" s="1"/>
  <c r="EG37" i="3" s="1"/>
  <c r="EG38" i="3" s="1"/>
  <c r="EG39" i="3" s="1"/>
  <c r="EG40" i="3" s="1"/>
  <c r="DS32" i="3"/>
  <c r="DS33" i="3" s="1"/>
  <c r="DS36" i="3" s="1"/>
  <c r="DS37" i="3" s="1"/>
  <c r="DS38" i="3" s="1"/>
  <c r="DS39" i="3" s="1"/>
  <c r="DS40" i="3" s="1"/>
  <c r="CJ23" i="3"/>
  <c r="CJ3" i="3"/>
  <c r="CJ9" i="3"/>
  <c r="CJ27" i="3"/>
  <c r="CJ11" i="3"/>
  <c r="CJ7" i="3"/>
  <c r="CJ5" i="3"/>
  <c r="CJ28" i="3"/>
  <c r="CJ24" i="3"/>
  <c r="CJ10" i="3"/>
  <c r="CJ30" i="3"/>
  <c r="CJ29" i="3"/>
  <c r="CJ12" i="3"/>
  <c r="CJ6" i="3"/>
  <c r="CJ26" i="3"/>
  <c r="CJ25" i="3"/>
  <c r="CJ8" i="3"/>
  <c r="CJ31" i="3"/>
  <c r="CJ4" i="3"/>
  <c r="CJ32" i="3"/>
  <c r="CJ13" i="3"/>
  <c r="CJ33" i="3"/>
  <c r="DK4" i="3"/>
  <c r="DK8" i="3"/>
  <c r="DK12" i="3"/>
  <c r="DK9" i="3"/>
  <c r="DK23" i="3"/>
  <c r="DK5" i="3"/>
  <c r="DK3" i="3"/>
  <c r="DK11" i="3"/>
  <c r="DK25" i="3"/>
  <c r="DK7" i="3"/>
  <c r="DK28" i="3"/>
  <c r="DK10" i="3"/>
  <c r="DK30" i="3"/>
  <c r="DK24" i="3"/>
  <c r="DK6" i="3"/>
  <c r="DK31" i="3"/>
  <c r="DK26" i="3"/>
  <c r="DK27" i="3"/>
  <c r="DK29" i="3"/>
  <c r="DK32" i="3"/>
  <c r="DK13" i="3"/>
  <c r="DK33" i="3"/>
  <c r="DX16" i="3"/>
  <c r="EN3" i="3"/>
  <c r="EN23" i="3"/>
  <c r="EN30" i="3"/>
  <c r="EN25" i="3"/>
  <c r="EN5" i="3"/>
  <c r="EN12" i="3"/>
  <c r="EN26" i="3"/>
  <c r="EN31" i="3"/>
  <c r="EN8" i="3"/>
  <c r="EN28" i="3"/>
  <c r="EN27" i="3"/>
  <c r="EN10" i="3"/>
  <c r="EN4" i="3"/>
  <c r="EN24" i="3"/>
  <c r="EN6" i="3"/>
  <c r="EN11" i="3"/>
  <c r="EN29" i="3"/>
  <c r="EN7" i="3"/>
  <c r="EN9" i="3"/>
  <c r="EN32" i="3"/>
  <c r="EN13" i="3"/>
  <c r="EO1" i="3"/>
  <c r="EN33" i="3"/>
  <c r="EL37" i="3"/>
  <c r="EL38" i="3" s="1"/>
  <c r="EL39" i="3" s="1"/>
  <c r="EL40" i="3" s="1"/>
  <c r="EN50" i="3"/>
  <c r="BH65" i="3" s="1"/>
  <c r="CW3" i="3"/>
  <c r="CW5" i="3"/>
  <c r="CW9" i="3"/>
  <c r="CW23" i="3"/>
  <c r="CW30" i="3"/>
  <c r="CW7" i="3"/>
  <c r="CW26" i="3"/>
  <c r="CW31" i="3"/>
  <c r="CW28" i="3"/>
  <c r="CW10" i="3"/>
  <c r="CW27" i="3"/>
  <c r="CW12" i="3"/>
  <c r="CW24" i="3"/>
  <c r="CW25" i="3"/>
  <c r="CW6" i="3"/>
  <c r="CW8" i="3"/>
  <c r="CW29" i="3"/>
  <c r="CW11" i="3"/>
  <c r="CW4" i="3"/>
  <c r="CW32" i="3"/>
  <c r="CW13" i="3"/>
  <c r="CW33" i="3"/>
  <c r="M3" i="35"/>
  <c r="BG5" i="14"/>
  <c r="BQ14" i="14"/>
  <c r="BQ15" i="14" s="1"/>
  <c r="BQ16" i="14" s="1"/>
  <c r="BQ17" i="14" s="1"/>
  <c r="BQ18" i="14" s="1"/>
  <c r="BQ19" i="14" s="1"/>
  <c r="BQ23" i="14"/>
  <c r="BM14" i="14"/>
  <c r="BM15" i="14" s="1"/>
  <c r="BM16" i="14" s="1"/>
  <c r="BM17" i="14" s="1"/>
  <c r="BM18" i="14" s="1"/>
  <c r="BM19" i="14" s="1"/>
  <c r="BM23" i="14"/>
  <c r="DZ49" i="3"/>
  <c r="BJ64" i="3" s="1"/>
  <c r="DW37" i="3"/>
  <c r="DW38" i="3" s="1"/>
  <c r="DW39" i="3" s="1"/>
  <c r="DW40" i="3" s="1"/>
  <c r="DY49" i="3"/>
  <c r="BI64" i="3" s="1"/>
  <c r="DW17" i="3"/>
  <c r="DW18" i="3" s="1"/>
  <c r="DW19" i="3" s="1"/>
  <c r="DW20" i="3" s="1"/>
  <c r="DZ1" i="3"/>
  <c r="DL1" i="3"/>
  <c r="DL49" i="3"/>
  <c r="F5" i="36" s="1"/>
  <c r="DI37" i="3"/>
  <c r="DI38" i="3" s="1"/>
  <c r="DI39" i="3" s="1"/>
  <c r="DI40" i="3" s="1"/>
  <c r="DK49" i="3"/>
  <c r="BK64" i="3" s="1"/>
  <c r="DI17" i="3"/>
  <c r="DI18" i="3" s="1"/>
  <c r="DI19" i="3" s="1"/>
  <c r="DI20" i="3" s="1"/>
  <c r="CX49" i="3"/>
  <c r="F5" i="34" s="1"/>
  <c r="CU37" i="3"/>
  <c r="CU38" i="3" s="1"/>
  <c r="CU39" i="3" s="1"/>
  <c r="CU40" i="3" s="1"/>
  <c r="CX1" i="3"/>
  <c r="CU17" i="3"/>
  <c r="CU18" i="3" s="1"/>
  <c r="CU19" i="3" s="1"/>
  <c r="CU20" i="3" s="1"/>
  <c r="CW49" i="3"/>
  <c r="E5" i="36" s="1"/>
  <c r="CK1" i="3"/>
  <c r="CH17" i="3"/>
  <c r="CH18" i="3" s="1"/>
  <c r="CH19" i="3" s="1"/>
  <c r="CH20" i="3" s="1"/>
  <c r="CI50" i="3"/>
  <c r="BO65" i="3" s="1"/>
  <c r="BW1" i="3"/>
  <c r="N7" i="14"/>
  <c r="AF6" i="14"/>
  <c r="J18" i="14"/>
  <c r="J19" i="14" s="1"/>
  <c r="AJ16" i="14"/>
  <c r="AJ17" i="14" s="1"/>
  <c r="F18" i="14"/>
  <c r="F19" i="14" s="1"/>
  <c r="B5" i="14"/>
  <c r="F2" i="35" l="1"/>
  <c r="F14" i="35" s="1"/>
  <c r="F26" i="35" s="1"/>
  <c r="F38" i="35" s="1"/>
  <c r="F50" i="35" s="1"/>
  <c r="F62" i="35" s="1"/>
  <c r="F74" i="35" s="1"/>
  <c r="F86" i="35" s="1"/>
  <c r="F98" i="35" s="1"/>
  <c r="F110" i="35" s="1"/>
  <c r="F122" i="35" s="1"/>
  <c r="F134" i="35" s="1"/>
  <c r="F146" i="35" s="1"/>
  <c r="F158" i="35" s="1"/>
  <c r="F170" i="35" s="1"/>
  <c r="F182" i="35" s="1"/>
  <c r="F2" i="36"/>
  <c r="F14" i="36" s="1"/>
  <c r="F26" i="36" s="1"/>
  <c r="F38" i="36" s="1"/>
  <c r="F50" i="36" s="1"/>
  <c r="F62" i="36" s="1"/>
  <c r="F74" i="36" s="1"/>
  <c r="F86" i="36" s="1"/>
  <c r="F98" i="36" s="1"/>
  <c r="F110" i="36" s="1"/>
  <c r="F122" i="36" s="1"/>
  <c r="F134" i="36" s="1"/>
  <c r="F146" i="36" s="1"/>
  <c r="F158" i="36" s="1"/>
  <c r="F170" i="36" s="1"/>
  <c r="F182" i="36" s="1"/>
  <c r="E6" i="31"/>
  <c r="E6" i="35"/>
  <c r="F5" i="31"/>
  <c r="F5" i="35"/>
  <c r="F4" i="30"/>
  <c r="F16" i="30" s="1"/>
  <c r="F28" i="30" s="1"/>
  <c r="F40" i="30" s="1"/>
  <c r="F52" i="30" s="1"/>
  <c r="F64" i="30" s="1"/>
  <c r="F76" i="30" s="1"/>
  <c r="F88" i="30" s="1"/>
  <c r="F100" i="30" s="1"/>
  <c r="F4" i="34"/>
  <c r="BL61" i="3"/>
  <c r="F2" i="31"/>
  <c r="F14" i="31" s="1"/>
  <c r="F26" i="31" s="1"/>
  <c r="F38" i="31" s="1"/>
  <c r="F50" i="31" s="1"/>
  <c r="F62" i="31" s="1"/>
  <c r="F74" i="31" s="1"/>
  <c r="F86" i="31" s="1"/>
  <c r="F98" i="31" s="1"/>
  <c r="F5" i="29"/>
  <c r="F5" i="30"/>
  <c r="BS65" i="3"/>
  <c r="E6" i="30"/>
  <c r="F4" i="29"/>
  <c r="F16" i="29" s="1"/>
  <c r="F28" i="29" s="1"/>
  <c r="F40" i="29" s="1"/>
  <c r="F52" i="29" s="1"/>
  <c r="F64" i="29" s="1"/>
  <c r="F76" i="29" s="1"/>
  <c r="F88" i="29" s="1"/>
  <c r="F100" i="29" s="1"/>
  <c r="BQ64" i="3"/>
  <c r="E5" i="29"/>
  <c r="E26" i="28"/>
  <c r="N14" i="28"/>
  <c r="E27" i="28"/>
  <c r="N15" i="28"/>
  <c r="F16" i="28"/>
  <c r="O4" i="28"/>
  <c r="E28" i="28"/>
  <c r="N16" i="28"/>
  <c r="F15" i="28"/>
  <c r="E17" i="28"/>
  <c r="M3" i="31"/>
  <c r="L3" i="30"/>
  <c r="E110" i="34"/>
  <c r="N110" i="34" s="1"/>
  <c r="E112" i="34"/>
  <c r="N112" i="34" s="1"/>
  <c r="E111" i="34"/>
  <c r="N111" i="34" s="1"/>
  <c r="E112" i="31"/>
  <c r="M112" i="31" s="1"/>
  <c r="E110" i="31"/>
  <c r="M110" i="31" s="1"/>
  <c r="E123" i="31"/>
  <c r="E135" i="31" s="1"/>
  <c r="E147" i="31" s="1"/>
  <c r="E159" i="31" s="1"/>
  <c r="E171" i="31" s="1"/>
  <c r="E183" i="31" s="1"/>
  <c r="E112" i="30"/>
  <c r="L112" i="30" s="1"/>
  <c r="E110" i="30"/>
  <c r="L110" i="30" s="1"/>
  <c r="E111" i="30"/>
  <c r="L111" i="30" s="1"/>
  <c r="E111" i="29"/>
  <c r="M111" i="29" s="1"/>
  <c r="E110" i="29"/>
  <c r="M110" i="29" s="1"/>
  <c r="E112" i="29"/>
  <c r="M112" i="29" s="1"/>
  <c r="F5" i="28"/>
  <c r="O5" i="28" s="1"/>
  <c r="BN63" i="3"/>
  <c r="BP62" i="3"/>
  <c r="CW35" i="3"/>
  <c r="DK15" i="3"/>
  <c r="DY35" i="3"/>
  <c r="BV15" i="3"/>
  <c r="EN15" i="3"/>
  <c r="EN35" i="3"/>
  <c r="CJ15" i="3"/>
  <c r="BH35" i="3"/>
  <c r="BU35" i="3"/>
  <c r="BV47" i="3"/>
  <c r="BR62" i="3" s="1"/>
  <c r="BQ37" i="3"/>
  <c r="BQ38" i="3" s="1"/>
  <c r="BQ39" i="3" s="1"/>
  <c r="BQ40" i="3" s="1"/>
  <c r="CJ35" i="3"/>
  <c r="DK35" i="3"/>
  <c r="BV35" i="3"/>
  <c r="CW15" i="3"/>
  <c r="BH15" i="3"/>
  <c r="BU50" i="3"/>
  <c r="E6" i="34" s="1"/>
  <c r="BP39" i="3"/>
  <c r="BP20" i="3"/>
  <c r="N3" i="34"/>
  <c r="F15" i="36"/>
  <c r="F27" i="36" s="1"/>
  <c r="F39" i="36" s="1"/>
  <c r="F51" i="36" s="1"/>
  <c r="F63" i="36" s="1"/>
  <c r="F75" i="36" s="1"/>
  <c r="F87" i="36" s="1"/>
  <c r="F99" i="36" s="1"/>
  <c r="F111" i="36" s="1"/>
  <c r="F123" i="36" s="1"/>
  <c r="F135" i="36" s="1"/>
  <c r="F147" i="36" s="1"/>
  <c r="F159" i="36" s="1"/>
  <c r="F171" i="36" s="1"/>
  <c r="F183" i="36" s="1"/>
  <c r="F16" i="36"/>
  <c r="F28" i="36" s="1"/>
  <c r="F40" i="36" s="1"/>
  <c r="F52" i="36" s="1"/>
  <c r="F64" i="36" s="1"/>
  <c r="F76" i="36" s="1"/>
  <c r="F88" i="36" s="1"/>
  <c r="F100" i="36" s="1"/>
  <c r="F112" i="36" s="1"/>
  <c r="F124" i="36" s="1"/>
  <c r="F136" i="36" s="1"/>
  <c r="F148" i="36" s="1"/>
  <c r="F160" i="36" s="1"/>
  <c r="F172" i="36" s="1"/>
  <c r="F184" i="36" s="1"/>
  <c r="E16" i="36"/>
  <c r="E28" i="36" s="1"/>
  <c r="E40" i="36" s="1"/>
  <c r="E52" i="36" s="1"/>
  <c r="E64" i="36" s="1"/>
  <c r="E76" i="36" s="1"/>
  <c r="E88" i="36" s="1"/>
  <c r="E100" i="36" s="1"/>
  <c r="E112" i="36" s="1"/>
  <c r="E124" i="36" s="1"/>
  <c r="E136" i="36" s="1"/>
  <c r="E148" i="36" s="1"/>
  <c r="E160" i="36" s="1"/>
  <c r="E172" i="36" s="1"/>
  <c r="E184" i="36" s="1"/>
  <c r="F16" i="35"/>
  <c r="F28" i="35" s="1"/>
  <c r="F40" i="35" s="1"/>
  <c r="F52" i="35" s="1"/>
  <c r="F64" i="35" s="1"/>
  <c r="F76" i="35" s="1"/>
  <c r="F88" i="35" s="1"/>
  <c r="F100" i="35" s="1"/>
  <c r="F112" i="35" s="1"/>
  <c r="F124" i="35" s="1"/>
  <c r="F136" i="35" s="1"/>
  <c r="F148" i="35" s="1"/>
  <c r="F160" i="35" s="1"/>
  <c r="F172" i="35" s="1"/>
  <c r="F184" i="35" s="1"/>
  <c r="E17" i="35"/>
  <c r="E29" i="35" s="1"/>
  <c r="E41" i="35" s="1"/>
  <c r="E53" i="35" s="1"/>
  <c r="E65" i="35" s="1"/>
  <c r="E77" i="35" s="1"/>
  <c r="E89" i="35" s="1"/>
  <c r="E101" i="35" s="1"/>
  <c r="E113" i="35" s="1"/>
  <c r="E125" i="35" s="1"/>
  <c r="E137" i="35" s="1"/>
  <c r="E149" i="35" s="1"/>
  <c r="E161" i="35" s="1"/>
  <c r="E173" i="35" s="1"/>
  <c r="E185" i="35" s="1"/>
  <c r="F15" i="35"/>
  <c r="F27" i="35" s="1"/>
  <c r="F39" i="35" s="1"/>
  <c r="F51" i="35" s="1"/>
  <c r="F63" i="35" s="1"/>
  <c r="F75" i="35" s="1"/>
  <c r="F87" i="35" s="1"/>
  <c r="F99" i="35" s="1"/>
  <c r="F111" i="35" s="1"/>
  <c r="F123" i="35" s="1"/>
  <c r="F135" i="35" s="1"/>
  <c r="F147" i="35" s="1"/>
  <c r="F159" i="35" s="1"/>
  <c r="F171" i="35" s="1"/>
  <c r="F183" i="35" s="1"/>
  <c r="F14" i="34"/>
  <c r="F26" i="34" s="1"/>
  <c r="F38" i="34" s="1"/>
  <c r="F50" i="34" s="1"/>
  <c r="F62" i="34" s="1"/>
  <c r="F74" i="34" s="1"/>
  <c r="F86" i="34" s="1"/>
  <c r="F98" i="34" s="1"/>
  <c r="F15" i="34"/>
  <c r="F27" i="34" s="1"/>
  <c r="F39" i="34" s="1"/>
  <c r="F51" i="34" s="1"/>
  <c r="F63" i="34" s="1"/>
  <c r="F75" i="34" s="1"/>
  <c r="F87" i="34" s="1"/>
  <c r="F99" i="34" s="1"/>
  <c r="E17" i="31"/>
  <c r="E29" i="31" s="1"/>
  <c r="E41" i="31" s="1"/>
  <c r="E53" i="31" s="1"/>
  <c r="E65" i="31" s="1"/>
  <c r="E77" i="31" s="1"/>
  <c r="E89" i="31" s="1"/>
  <c r="E101" i="31" s="1"/>
  <c r="F16" i="31"/>
  <c r="F28" i="31" s="1"/>
  <c r="F40" i="31" s="1"/>
  <c r="F52" i="31" s="1"/>
  <c r="F64" i="31" s="1"/>
  <c r="F76" i="31" s="1"/>
  <c r="F88" i="31" s="1"/>
  <c r="F100" i="31" s="1"/>
  <c r="F15" i="31"/>
  <c r="F27" i="31" s="1"/>
  <c r="F39" i="31" s="1"/>
  <c r="F51" i="31" s="1"/>
  <c r="F63" i="31" s="1"/>
  <c r="F75" i="31" s="1"/>
  <c r="F87" i="31" s="1"/>
  <c r="F99" i="31" s="1"/>
  <c r="N2" i="28"/>
  <c r="F15" i="30"/>
  <c r="F27" i="30" s="1"/>
  <c r="F39" i="30" s="1"/>
  <c r="F51" i="30" s="1"/>
  <c r="F63" i="30" s="1"/>
  <c r="F75" i="30" s="1"/>
  <c r="F87" i="30" s="1"/>
  <c r="F99" i="30" s="1"/>
  <c r="F14" i="30"/>
  <c r="F26" i="30" s="1"/>
  <c r="F38" i="30" s="1"/>
  <c r="F50" i="30" s="1"/>
  <c r="F62" i="30" s="1"/>
  <c r="F74" i="30" s="1"/>
  <c r="F86" i="30" s="1"/>
  <c r="F98" i="30" s="1"/>
  <c r="E17" i="30"/>
  <c r="E29" i="30" s="1"/>
  <c r="E41" i="30" s="1"/>
  <c r="E53" i="30" s="1"/>
  <c r="E65" i="30" s="1"/>
  <c r="E77" i="30" s="1"/>
  <c r="E89" i="30" s="1"/>
  <c r="E101" i="30" s="1"/>
  <c r="F14" i="29"/>
  <c r="F26" i="29" s="1"/>
  <c r="F38" i="29" s="1"/>
  <c r="F50" i="29" s="1"/>
  <c r="F62" i="29" s="1"/>
  <c r="F74" i="29" s="1"/>
  <c r="F86" i="29" s="1"/>
  <c r="F98" i="29" s="1"/>
  <c r="F15" i="29"/>
  <c r="F27" i="29" s="1"/>
  <c r="F39" i="29" s="1"/>
  <c r="F51" i="29" s="1"/>
  <c r="F63" i="29" s="1"/>
  <c r="F75" i="29" s="1"/>
  <c r="F87" i="29" s="1"/>
  <c r="F99" i="29" s="1"/>
  <c r="F14" i="28"/>
  <c r="L15" i="36"/>
  <c r="BN64" i="3"/>
  <c r="BL64" i="3"/>
  <c r="F6" i="28"/>
  <c r="O6" i="28" s="1"/>
  <c r="BP65" i="3"/>
  <c r="BM64" i="3"/>
  <c r="N15" i="34"/>
  <c r="M3" i="29"/>
  <c r="R6" i="11"/>
  <c r="A96" i="14"/>
  <c r="Z15" i="14"/>
  <c r="Z16" i="14" s="1"/>
  <c r="Z17" i="14" s="1"/>
  <c r="Z18" i="14" s="1"/>
  <c r="Z19" i="14" s="1"/>
  <c r="A119" i="14"/>
  <c r="A106" i="14"/>
  <c r="A108" i="14"/>
  <c r="A51" i="14"/>
  <c r="A73" i="14"/>
  <c r="A62" i="14"/>
  <c r="BT37" i="3"/>
  <c r="BT38" i="3" s="1"/>
  <c r="BT39" i="3" s="1"/>
  <c r="BT40" i="3" s="1"/>
  <c r="BU16" i="3"/>
  <c r="EN51" i="3"/>
  <c r="BH66" i="3" s="1"/>
  <c r="E6" i="28"/>
  <c r="BU36" i="3"/>
  <c r="BV51" i="3" s="1"/>
  <c r="BR66" i="3" s="1"/>
  <c r="BJ1" i="3"/>
  <c r="BI9" i="3"/>
  <c r="BI24" i="3"/>
  <c r="BI6" i="3"/>
  <c r="BI12" i="3"/>
  <c r="BI23" i="3"/>
  <c r="BI31" i="3"/>
  <c r="BI25" i="3"/>
  <c r="BI5" i="3"/>
  <c r="BI15" i="3" s="1"/>
  <c r="BI3" i="3"/>
  <c r="BI28" i="3"/>
  <c r="BI30" i="3"/>
  <c r="BI4" i="3"/>
  <c r="BI27" i="3"/>
  <c r="BI11" i="3"/>
  <c r="BI8" i="3"/>
  <c r="BI26" i="3"/>
  <c r="BI29" i="3"/>
  <c r="BI7" i="3"/>
  <c r="BI10" i="3"/>
  <c r="BI13" i="3"/>
  <c r="BI32" i="3"/>
  <c r="BI33" i="3"/>
  <c r="CJ36" i="3"/>
  <c r="BH51" i="3"/>
  <c r="BT66" i="3" s="1"/>
  <c r="BG37" i="3"/>
  <c r="BG38" i="3" s="1"/>
  <c r="BG39" i="3" s="1"/>
  <c r="BG40" i="3" s="1"/>
  <c r="BG17" i="3"/>
  <c r="BG18" i="3" s="1"/>
  <c r="BG19" i="3" s="1"/>
  <c r="BG20" i="3" s="1"/>
  <c r="BG51" i="3"/>
  <c r="BH36" i="3"/>
  <c r="BH16" i="3"/>
  <c r="EO3" i="3"/>
  <c r="EO27" i="3"/>
  <c r="EO31" i="3"/>
  <c r="EO23" i="3"/>
  <c r="EO10" i="3"/>
  <c r="EO28" i="3"/>
  <c r="EO7" i="3"/>
  <c r="EO30" i="3"/>
  <c r="EO6" i="3"/>
  <c r="EO12" i="3"/>
  <c r="EO24" i="3"/>
  <c r="EO26" i="3"/>
  <c r="EO8" i="3"/>
  <c r="EO29" i="3"/>
  <c r="EO4" i="3"/>
  <c r="EO9" i="3"/>
  <c r="EO25" i="3"/>
  <c r="EO5" i="3"/>
  <c r="EO15" i="3" s="1"/>
  <c r="EO11" i="3"/>
  <c r="EO13" i="3"/>
  <c r="EO32" i="3"/>
  <c r="EO33" i="3"/>
  <c r="EP1" i="3"/>
  <c r="EN16" i="3"/>
  <c r="CJ16" i="3"/>
  <c r="CJ17" i="3" s="1"/>
  <c r="CJ18" i="3" s="1"/>
  <c r="CJ19" i="3" s="1"/>
  <c r="CJ20" i="3" s="1"/>
  <c r="DY16" i="3"/>
  <c r="BW5" i="3"/>
  <c r="BW15" i="3" s="1"/>
  <c r="BW9" i="3"/>
  <c r="BW23" i="3"/>
  <c r="BW3" i="3"/>
  <c r="BW6" i="3"/>
  <c r="BW10" i="3"/>
  <c r="BW25" i="3"/>
  <c r="BW24" i="3"/>
  <c r="BW31" i="3"/>
  <c r="BW27" i="3"/>
  <c r="BW7" i="3"/>
  <c r="BW12" i="3"/>
  <c r="BW30" i="3"/>
  <c r="BW8" i="3"/>
  <c r="BW26" i="3"/>
  <c r="BW29" i="3"/>
  <c r="BW4" i="3"/>
  <c r="BW28" i="3"/>
  <c r="BW11" i="3"/>
  <c r="BW13" i="3"/>
  <c r="BW32" i="3"/>
  <c r="BW33" i="3"/>
  <c r="EM17" i="3"/>
  <c r="EM18" i="3" s="1"/>
  <c r="EM19" i="3" s="1"/>
  <c r="EM20" i="3" s="1"/>
  <c r="EM51" i="3"/>
  <c r="BG66" i="3" s="1"/>
  <c r="BV16" i="3"/>
  <c r="DK36" i="3"/>
  <c r="DL51" i="3" s="1"/>
  <c r="F7" i="36" s="1"/>
  <c r="BV36" i="3"/>
  <c r="BV52" i="3" s="1"/>
  <c r="BR67" i="3" s="1"/>
  <c r="CW36" i="3"/>
  <c r="DY36" i="3"/>
  <c r="DY37" i="3" s="1"/>
  <c r="DY38" i="3" s="1"/>
  <c r="DY39" i="3" s="1"/>
  <c r="DY40" i="3" s="1"/>
  <c r="CK23" i="3"/>
  <c r="CK3" i="3"/>
  <c r="CK12" i="3"/>
  <c r="CK9" i="3"/>
  <c r="CK8" i="3"/>
  <c r="CK30" i="3"/>
  <c r="CK29" i="3"/>
  <c r="CK5" i="3"/>
  <c r="CK26" i="3"/>
  <c r="CK28" i="3"/>
  <c r="CK4" i="3"/>
  <c r="CK25" i="3"/>
  <c r="CK10" i="3"/>
  <c r="CK24" i="3"/>
  <c r="CK31" i="3"/>
  <c r="CK6" i="3"/>
  <c r="CK11" i="3"/>
  <c r="CK27" i="3"/>
  <c r="CK7" i="3"/>
  <c r="CK13" i="3"/>
  <c r="CK32" i="3"/>
  <c r="CK33" i="3"/>
  <c r="DL3" i="3"/>
  <c r="DL23" i="3"/>
  <c r="DL27" i="3"/>
  <c r="DL7" i="3"/>
  <c r="DL26" i="3"/>
  <c r="DL9" i="3"/>
  <c r="DL5" i="3"/>
  <c r="DL10" i="3"/>
  <c r="DL12" i="3"/>
  <c r="DL28" i="3"/>
  <c r="DL6" i="3"/>
  <c r="DL8" i="3"/>
  <c r="DL24" i="3"/>
  <c r="DL29" i="3"/>
  <c r="DL4" i="3"/>
  <c r="DL25" i="3"/>
  <c r="DL31" i="3"/>
  <c r="DL11" i="3"/>
  <c r="DL30" i="3"/>
  <c r="DL32" i="3"/>
  <c r="DL13" i="3"/>
  <c r="DL33" i="3"/>
  <c r="DZ23" i="3"/>
  <c r="DZ6" i="3"/>
  <c r="DZ10" i="3"/>
  <c r="DZ7" i="3"/>
  <c r="DZ3" i="3"/>
  <c r="DZ11" i="3"/>
  <c r="DZ24" i="3"/>
  <c r="DZ28" i="3"/>
  <c r="DZ8" i="3"/>
  <c r="DZ26" i="3"/>
  <c r="DZ12" i="3"/>
  <c r="DZ4" i="3"/>
  <c r="DZ29" i="3"/>
  <c r="DZ31" i="3"/>
  <c r="DZ25" i="3"/>
  <c r="DZ35" i="3" s="1"/>
  <c r="DZ9" i="3"/>
  <c r="DZ27" i="3"/>
  <c r="DZ5" i="3"/>
  <c r="DZ30" i="3"/>
  <c r="DZ32" i="3"/>
  <c r="DZ13" i="3"/>
  <c r="DZ33" i="3"/>
  <c r="CW16" i="3"/>
  <c r="CX5" i="3"/>
  <c r="CX9" i="3"/>
  <c r="CX27" i="3"/>
  <c r="CX3" i="3"/>
  <c r="CX31" i="3"/>
  <c r="CX23" i="3"/>
  <c r="CX6" i="3"/>
  <c r="CX10" i="3"/>
  <c r="CX28" i="3"/>
  <c r="CX12" i="3"/>
  <c r="CX30" i="3"/>
  <c r="CX24" i="3"/>
  <c r="CX8" i="3"/>
  <c r="CX26" i="3"/>
  <c r="CX29" i="3"/>
  <c r="CX4" i="3"/>
  <c r="CX11" i="3"/>
  <c r="CX25" i="3"/>
  <c r="CX7" i="3"/>
  <c r="CX32" i="3"/>
  <c r="CX13" i="3"/>
  <c r="CX33" i="3"/>
  <c r="EN36" i="3"/>
  <c r="DK16" i="3"/>
  <c r="BU17" i="3"/>
  <c r="BU18" i="3" s="1"/>
  <c r="BU19" i="3" s="1"/>
  <c r="BU20" i="3" s="1"/>
  <c r="BU51" i="3"/>
  <c r="M15" i="35"/>
  <c r="M15" i="31"/>
  <c r="L15" i="30"/>
  <c r="A53" i="14"/>
  <c r="BU5" i="14"/>
  <c r="BG6" i="14"/>
  <c r="EA1" i="3"/>
  <c r="DX17" i="3"/>
  <c r="DX18" i="3" s="1"/>
  <c r="DX19" i="3" s="1"/>
  <c r="DX20" i="3" s="1"/>
  <c r="DY50" i="3"/>
  <c r="BI65" i="3" s="1"/>
  <c r="DX37" i="3"/>
  <c r="DX38" i="3" s="1"/>
  <c r="DX39" i="3" s="1"/>
  <c r="DX40" i="3" s="1"/>
  <c r="DZ50" i="3"/>
  <c r="BJ65" i="3" s="1"/>
  <c r="DJ37" i="3"/>
  <c r="DJ38" i="3" s="1"/>
  <c r="DJ39" i="3" s="1"/>
  <c r="DJ40" i="3" s="1"/>
  <c r="DL50" i="3"/>
  <c r="F6" i="36" s="1"/>
  <c r="DM1" i="3"/>
  <c r="DJ17" i="3"/>
  <c r="DJ18" i="3" s="1"/>
  <c r="DJ19" i="3" s="1"/>
  <c r="DJ20" i="3" s="1"/>
  <c r="DK50" i="3"/>
  <c r="BK65" i="3" s="1"/>
  <c r="CV37" i="3"/>
  <c r="CV38" i="3" s="1"/>
  <c r="CV39" i="3" s="1"/>
  <c r="CV40" i="3" s="1"/>
  <c r="CX50" i="3"/>
  <c r="F6" i="34" s="1"/>
  <c r="CY1" i="3"/>
  <c r="CW50" i="3"/>
  <c r="E6" i="36" s="1"/>
  <c r="CV17" i="3"/>
  <c r="CV18" i="3" s="1"/>
  <c r="CV19" i="3" s="1"/>
  <c r="CV20" i="3" s="1"/>
  <c r="CL1" i="3"/>
  <c r="CI37" i="3"/>
  <c r="CI38" i="3" s="1"/>
  <c r="CI39" i="3" s="1"/>
  <c r="CI40" i="3" s="1"/>
  <c r="CJ51" i="3"/>
  <c r="CI17" i="3"/>
  <c r="CI18" i="3" s="1"/>
  <c r="CI19" i="3" s="1"/>
  <c r="CI20" i="3" s="1"/>
  <c r="CI51" i="3"/>
  <c r="BO66" i="3" s="1"/>
  <c r="BX1" i="3"/>
  <c r="AJ18" i="14"/>
  <c r="AJ19" i="14" s="1"/>
  <c r="N8" i="14"/>
  <c r="AF7" i="14"/>
  <c r="B6" i="14"/>
  <c r="E7" i="31" l="1"/>
  <c r="E7" i="35"/>
  <c r="F7" i="31"/>
  <c r="F7" i="35"/>
  <c r="F6" i="31"/>
  <c r="F6" i="35"/>
  <c r="E7" i="29"/>
  <c r="E7" i="34"/>
  <c r="F6" i="29"/>
  <c r="F6" i="30"/>
  <c r="BS66" i="3"/>
  <c r="E7" i="30"/>
  <c r="E6" i="29"/>
  <c r="E18" i="29" s="1"/>
  <c r="E30" i="29" s="1"/>
  <c r="E42" i="29" s="1"/>
  <c r="E54" i="29" s="1"/>
  <c r="E66" i="29" s="1"/>
  <c r="E78" i="29" s="1"/>
  <c r="E90" i="29" s="1"/>
  <c r="E102" i="29" s="1"/>
  <c r="E29" i="28"/>
  <c r="N17" i="28"/>
  <c r="F27" i="28"/>
  <c r="O15" i="28"/>
  <c r="E40" i="28"/>
  <c r="N28" i="28"/>
  <c r="F28" i="28"/>
  <c r="O16" i="28"/>
  <c r="E18" i="28"/>
  <c r="N6" i="28"/>
  <c r="E39" i="28"/>
  <c r="N27" i="28"/>
  <c r="F26" i="28"/>
  <c r="O14" i="28"/>
  <c r="E38" i="28"/>
  <c r="N26" i="28"/>
  <c r="F17" i="28"/>
  <c r="F18" i="28"/>
  <c r="F111" i="34"/>
  <c r="O111" i="34" s="1"/>
  <c r="U111" i="34" s="1"/>
  <c r="E123" i="34"/>
  <c r="E135" i="34" s="1"/>
  <c r="E147" i="34" s="1"/>
  <c r="E159" i="34" s="1"/>
  <c r="E171" i="34" s="1"/>
  <c r="E183" i="34" s="1"/>
  <c r="E124" i="34"/>
  <c r="E136" i="34" s="1"/>
  <c r="E148" i="34" s="1"/>
  <c r="E160" i="34" s="1"/>
  <c r="E172" i="34" s="1"/>
  <c r="E184" i="34" s="1"/>
  <c r="F110" i="34"/>
  <c r="O110" i="34" s="1"/>
  <c r="U110" i="34" s="1"/>
  <c r="E122" i="34"/>
  <c r="E134" i="34" s="1"/>
  <c r="E146" i="34" s="1"/>
  <c r="E158" i="34" s="1"/>
  <c r="E170" i="34" s="1"/>
  <c r="E182" i="34" s="1"/>
  <c r="E123" i="30"/>
  <c r="E135" i="30" s="1"/>
  <c r="E147" i="30" s="1"/>
  <c r="E159" i="30" s="1"/>
  <c r="E171" i="30" s="1"/>
  <c r="E183" i="30" s="1"/>
  <c r="F111" i="31"/>
  <c r="N111" i="31" s="1"/>
  <c r="F112" i="31"/>
  <c r="N112" i="31" s="1"/>
  <c r="E113" i="31"/>
  <c r="M113" i="31" s="1"/>
  <c r="F110" i="31"/>
  <c r="N110" i="31" s="1"/>
  <c r="E122" i="31"/>
  <c r="E134" i="31" s="1"/>
  <c r="E146" i="31" s="1"/>
  <c r="E158" i="31" s="1"/>
  <c r="E170" i="31" s="1"/>
  <c r="E182" i="31" s="1"/>
  <c r="E124" i="31"/>
  <c r="E136" i="31" s="1"/>
  <c r="E148" i="31" s="1"/>
  <c r="E160" i="31" s="1"/>
  <c r="E172" i="31" s="1"/>
  <c r="E184" i="31" s="1"/>
  <c r="F110" i="30"/>
  <c r="M110" i="30" s="1"/>
  <c r="Q110" i="30" s="1"/>
  <c r="F111" i="30"/>
  <c r="M111" i="30" s="1"/>
  <c r="Q111" i="30" s="1"/>
  <c r="E113" i="30"/>
  <c r="L113" i="30" s="1"/>
  <c r="E122" i="30"/>
  <c r="E134" i="30" s="1"/>
  <c r="E146" i="30" s="1"/>
  <c r="E158" i="30" s="1"/>
  <c r="E170" i="30" s="1"/>
  <c r="E182" i="30" s="1"/>
  <c r="F112" i="30"/>
  <c r="M112" i="30" s="1"/>
  <c r="Q112" i="30" s="1"/>
  <c r="E124" i="30"/>
  <c r="E136" i="30" s="1"/>
  <c r="E148" i="30" s="1"/>
  <c r="E160" i="30" s="1"/>
  <c r="E172" i="30" s="1"/>
  <c r="E184" i="30" s="1"/>
  <c r="F112" i="29"/>
  <c r="N112" i="29" s="1"/>
  <c r="S112" i="29" s="1"/>
  <c r="E124" i="29"/>
  <c r="E136" i="29" s="1"/>
  <c r="E148" i="29" s="1"/>
  <c r="E160" i="29" s="1"/>
  <c r="E172" i="29" s="1"/>
  <c r="E184" i="29" s="1"/>
  <c r="F111" i="29"/>
  <c r="N111" i="29" s="1"/>
  <c r="S111" i="29" s="1"/>
  <c r="E122" i="29"/>
  <c r="E134" i="29" s="1"/>
  <c r="E146" i="29" s="1"/>
  <c r="E158" i="29" s="1"/>
  <c r="E170" i="29" s="1"/>
  <c r="E182" i="29" s="1"/>
  <c r="F110" i="29"/>
  <c r="N110" i="29" s="1"/>
  <c r="S110" i="29" s="1"/>
  <c r="E123" i="29"/>
  <c r="E135" i="29" s="1"/>
  <c r="E147" i="29" s="1"/>
  <c r="E159" i="29" s="1"/>
  <c r="E171" i="29" s="1"/>
  <c r="E183" i="29" s="1"/>
  <c r="F16" i="34"/>
  <c r="F28" i="34" s="1"/>
  <c r="F40" i="34" s="1"/>
  <c r="F52" i="34" s="1"/>
  <c r="F64" i="34" s="1"/>
  <c r="F76" i="34" s="1"/>
  <c r="F88" i="34" s="1"/>
  <c r="F100" i="34" s="1"/>
  <c r="R7" i="11"/>
  <c r="BQ65" i="3"/>
  <c r="BW35" i="3"/>
  <c r="EO35" i="3"/>
  <c r="CK15" i="3"/>
  <c r="DL35" i="3"/>
  <c r="CX35" i="3"/>
  <c r="BI35" i="3"/>
  <c r="CX15" i="3"/>
  <c r="CX16" i="3" s="1"/>
  <c r="DZ15" i="3"/>
  <c r="DL15" i="3"/>
  <c r="DL16" i="3" s="1"/>
  <c r="CK35" i="3"/>
  <c r="BU37" i="3"/>
  <c r="BU38" i="3" s="1"/>
  <c r="BU39" i="3" s="1"/>
  <c r="BU40" i="3" s="1"/>
  <c r="BP40" i="3"/>
  <c r="E17" i="36"/>
  <c r="E29" i="36" s="1"/>
  <c r="E41" i="36" s="1"/>
  <c r="E53" i="36" s="1"/>
  <c r="E65" i="36" s="1"/>
  <c r="E77" i="36" s="1"/>
  <c r="E89" i="36" s="1"/>
  <c r="E101" i="36" s="1"/>
  <c r="E113" i="36" s="1"/>
  <c r="E125" i="36" s="1"/>
  <c r="E137" i="36" s="1"/>
  <c r="E149" i="36" s="1"/>
  <c r="E161" i="36" s="1"/>
  <c r="E173" i="36" s="1"/>
  <c r="E185" i="36" s="1"/>
  <c r="F17" i="36"/>
  <c r="F29" i="36" s="1"/>
  <c r="F41" i="36" s="1"/>
  <c r="F53" i="36" s="1"/>
  <c r="F65" i="36" s="1"/>
  <c r="F77" i="36" s="1"/>
  <c r="F89" i="36" s="1"/>
  <c r="F101" i="36" s="1"/>
  <c r="F113" i="36" s="1"/>
  <c r="F125" i="36" s="1"/>
  <c r="F137" i="36" s="1"/>
  <c r="F149" i="36" s="1"/>
  <c r="F161" i="36" s="1"/>
  <c r="F173" i="36" s="1"/>
  <c r="F185" i="36" s="1"/>
  <c r="E18" i="35"/>
  <c r="E30" i="35" s="1"/>
  <c r="E42" i="35" s="1"/>
  <c r="E54" i="35" s="1"/>
  <c r="E66" i="35" s="1"/>
  <c r="E78" i="35" s="1"/>
  <c r="E90" i="35" s="1"/>
  <c r="E102" i="35" s="1"/>
  <c r="E114" i="35" s="1"/>
  <c r="E126" i="35" s="1"/>
  <c r="E138" i="35" s="1"/>
  <c r="E150" i="35" s="1"/>
  <c r="E162" i="35" s="1"/>
  <c r="E174" i="35" s="1"/>
  <c r="E186" i="35" s="1"/>
  <c r="F17" i="35"/>
  <c r="F29" i="35" s="1"/>
  <c r="F41" i="35" s="1"/>
  <c r="F53" i="35" s="1"/>
  <c r="F65" i="35" s="1"/>
  <c r="F77" i="35" s="1"/>
  <c r="F89" i="35" s="1"/>
  <c r="F101" i="35" s="1"/>
  <c r="F113" i="35" s="1"/>
  <c r="F125" i="35" s="1"/>
  <c r="F137" i="35" s="1"/>
  <c r="F149" i="35" s="1"/>
  <c r="F161" i="35" s="1"/>
  <c r="F173" i="35" s="1"/>
  <c r="F185" i="35" s="1"/>
  <c r="E17" i="34"/>
  <c r="E29" i="34" s="1"/>
  <c r="E41" i="34" s="1"/>
  <c r="E53" i="34" s="1"/>
  <c r="E65" i="34" s="1"/>
  <c r="E77" i="34" s="1"/>
  <c r="E89" i="34" s="1"/>
  <c r="E101" i="34" s="1"/>
  <c r="E18" i="34"/>
  <c r="E30" i="34" s="1"/>
  <c r="E42" i="34" s="1"/>
  <c r="E54" i="34" s="1"/>
  <c r="E66" i="34" s="1"/>
  <c r="E78" i="34" s="1"/>
  <c r="E90" i="34" s="1"/>
  <c r="E102" i="34" s="1"/>
  <c r="F17" i="34"/>
  <c r="F29" i="34" s="1"/>
  <c r="F41" i="34" s="1"/>
  <c r="F53" i="34" s="1"/>
  <c r="F65" i="34" s="1"/>
  <c r="F77" i="34" s="1"/>
  <c r="F89" i="34" s="1"/>
  <c r="F101" i="34" s="1"/>
  <c r="F17" i="31"/>
  <c r="F29" i="31" s="1"/>
  <c r="F41" i="31" s="1"/>
  <c r="F53" i="31" s="1"/>
  <c r="F65" i="31" s="1"/>
  <c r="F77" i="31" s="1"/>
  <c r="F89" i="31" s="1"/>
  <c r="F101" i="31" s="1"/>
  <c r="E18" i="31"/>
  <c r="E30" i="31" s="1"/>
  <c r="E42" i="31" s="1"/>
  <c r="E54" i="31" s="1"/>
  <c r="E66" i="31" s="1"/>
  <c r="E78" i="31" s="1"/>
  <c r="E90" i="31" s="1"/>
  <c r="E102" i="31" s="1"/>
  <c r="F17" i="30"/>
  <c r="F29" i="30" s="1"/>
  <c r="F41" i="30" s="1"/>
  <c r="F53" i="30" s="1"/>
  <c r="F65" i="30" s="1"/>
  <c r="F77" i="30" s="1"/>
  <c r="F89" i="30" s="1"/>
  <c r="F101" i="30" s="1"/>
  <c r="E18" i="30"/>
  <c r="E30" i="30" s="1"/>
  <c r="E42" i="30" s="1"/>
  <c r="E54" i="30" s="1"/>
  <c r="E66" i="30" s="1"/>
  <c r="E78" i="30" s="1"/>
  <c r="E90" i="30" s="1"/>
  <c r="E102" i="30" s="1"/>
  <c r="F17" i="29"/>
  <c r="F29" i="29" s="1"/>
  <c r="F41" i="29" s="1"/>
  <c r="F53" i="29" s="1"/>
  <c r="F65" i="29" s="1"/>
  <c r="F77" i="29" s="1"/>
  <c r="F89" i="29" s="1"/>
  <c r="F101" i="29" s="1"/>
  <c r="E17" i="29"/>
  <c r="E29" i="29" s="1"/>
  <c r="E41" i="29" s="1"/>
  <c r="E53" i="29" s="1"/>
  <c r="E65" i="29" s="1"/>
  <c r="E77" i="29" s="1"/>
  <c r="E89" i="29" s="1"/>
  <c r="E101" i="29" s="1"/>
  <c r="L3" i="36"/>
  <c r="L27" i="36"/>
  <c r="BN65" i="3"/>
  <c r="BL65" i="3"/>
  <c r="F7" i="28"/>
  <c r="O7" i="28" s="1"/>
  <c r="BP66" i="3"/>
  <c r="BL66" i="3"/>
  <c r="BQ66" i="3"/>
  <c r="BM65" i="3"/>
  <c r="M27" i="29"/>
  <c r="R8" i="11"/>
  <c r="A63" i="14"/>
  <c r="A52" i="14"/>
  <c r="A74" i="14"/>
  <c r="A120" i="14"/>
  <c r="A118" i="14"/>
  <c r="A65" i="14"/>
  <c r="A85" i="14"/>
  <c r="DK37" i="3"/>
  <c r="DK38" i="3" s="1"/>
  <c r="DK39" i="3" s="1"/>
  <c r="DK40" i="3" s="1"/>
  <c r="DZ51" i="3"/>
  <c r="BJ66" i="3" s="1"/>
  <c r="CI52" i="3"/>
  <c r="BO67" i="3" s="1"/>
  <c r="N4" i="34"/>
  <c r="L4" i="36"/>
  <c r="M4" i="31"/>
  <c r="M4" i="29"/>
  <c r="L4" i="30"/>
  <c r="M4" i="35"/>
  <c r="BI16" i="3"/>
  <c r="BI17" i="3" s="1"/>
  <c r="BI18" i="3" s="1"/>
  <c r="BI19" i="3" s="1"/>
  <c r="BI20" i="3" s="1"/>
  <c r="M5" i="31"/>
  <c r="BI36" i="3"/>
  <c r="BH17" i="3"/>
  <c r="BH18" i="3" s="1"/>
  <c r="BH19" i="3" s="1"/>
  <c r="BH20" i="3" s="1"/>
  <c r="BG52" i="3"/>
  <c r="DL36" i="3"/>
  <c r="BH37" i="3"/>
  <c r="BH38" i="3" s="1"/>
  <c r="BH39" i="3" s="1"/>
  <c r="BH40" i="3" s="1"/>
  <c r="BH52" i="3"/>
  <c r="BT67" i="3" s="1"/>
  <c r="M5" i="35"/>
  <c r="BK1" i="3"/>
  <c r="BJ31" i="3"/>
  <c r="BJ10" i="3"/>
  <c r="BJ8" i="3"/>
  <c r="BJ9" i="3"/>
  <c r="BJ12" i="3"/>
  <c r="BJ28" i="3"/>
  <c r="BJ5" i="3"/>
  <c r="BJ29" i="3"/>
  <c r="BJ11" i="3"/>
  <c r="BJ4" i="3"/>
  <c r="BJ26" i="3"/>
  <c r="BJ30" i="3"/>
  <c r="BJ27" i="3"/>
  <c r="BJ25" i="3"/>
  <c r="BJ24" i="3"/>
  <c r="BJ23" i="3"/>
  <c r="BJ7" i="3"/>
  <c r="BJ3" i="3"/>
  <c r="BJ6" i="3"/>
  <c r="BJ13" i="3"/>
  <c r="BJ32" i="3"/>
  <c r="BJ33" i="3"/>
  <c r="E7" i="28"/>
  <c r="L5" i="30"/>
  <c r="EN37" i="3"/>
  <c r="EN38" i="3" s="1"/>
  <c r="EN39" i="3" s="1"/>
  <c r="EN40" i="3" s="1"/>
  <c r="EN52" i="3"/>
  <c r="BH67" i="3" s="1"/>
  <c r="EA3" i="3"/>
  <c r="EA23" i="3"/>
  <c r="EA8" i="3"/>
  <c r="EA10" i="3"/>
  <c r="EA6" i="3"/>
  <c r="EA31" i="3"/>
  <c r="EA4" i="3"/>
  <c r="EA29" i="3"/>
  <c r="EA27" i="3"/>
  <c r="EA28" i="3"/>
  <c r="EA9" i="3"/>
  <c r="EA24" i="3"/>
  <c r="EA30" i="3"/>
  <c r="EA11" i="3"/>
  <c r="EA5" i="3"/>
  <c r="EA25" i="3"/>
  <c r="EA26" i="3"/>
  <c r="EA7" i="3"/>
  <c r="EA12" i="3"/>
  <c r="EA32" i="3"/>
  <c r="EA13" i="3"/>
  <c r="EA33" i="3"/>
  <c r="CX36" i="3"/>
  <c r="CK16" i="3"/>
  <c r="DZ36" i="3"/>
  <c r="M2" i="35"/>
  <c r="EO36" i="3"/>
  <c r="BX6" i="3"/>
  <c r="BX10" i="3"/>
  <c r="BX3" i="3"/>
  <c r="BX7" i="3"/>
  <c r="BX11" i="3"/>
  <c r="BX23" i="3"/>
  <c r="BX25" i="3"/>
  <c r="BX28" i="3"/>
  <c r="BX30" i="3"/>
  <c r="BX9" i="3"/>
  <c r="BX12" i="3"/>
  <c r="BX24" i="3"/>
  <c r="BX26" i="3"/>
  <c r="BX5" i="3"/>
  <c r="BX8" i="3"/>
  <c r="BX31" i="3"/>
  <c r="BX4" i="3"/>
  <c r="BX27" i="3"/>
  <c r="BX29" i="3"/>
  <c r="BX13" i="3"/>
  <c r="BX32" i="3"/>
  <c r="BX33" i="3"/>
  <c r="M2" i="31"/>
  <c r="DM3" i="3"/>
  <c r="DM30" i="3"/>
  <c r="DM23" i="3"/>
  <c r="DM26" i="3"/>
  <c r="DM25" i="3"/>
  <c r="DM7" i="3"/>
  <c r="DM12" i="3"/>
  <c r="DM28" i="3"/>
  <c r="DM8" i="3"/>
  <c r="DM24" i="3"/>
  <c r="DM4" i="3"/>
  <c r="DM10" i="3"/>
  <c r="DM9" i="3"/>
  <c r="DM31" i="3"/>
  <c r="DM11" i="3"/>
  <c r="DM6" i="3"/>
  <c r="DM5" i="3"/>
  <c r="DM15" i="3" s="1"/>
  <c r="DM27" i="3"/>
  <c r="DM29" i="3"/>
  <c r="DM13" i="3"/>
  <c r="DM32" i="3"/>
  <c r="DM33" i="3"/>
  <c r="EN17" i="3"/>
  <c r="EN18" i="3" s="1"/>
  <c r="EN19" i="3" s="1"/>
  <c r="EN20" i="3" s="1"/>
  <c r="EM52" i="3"/>
  <c r="BG67" i="3" s="1"/>
  <c r="CL4" i="3"/>
  <c r="CL8" i="3"/>
  <c r="CL12" i="3"/>
  <c r="CL23" i="3"/>
  <c r="CL3" i="3"/>
  <c r="CL30" i="3"/>
  <c r="CL11" i="3"/>
  <c r="CL5" i="3"/>
  <c r="CL25" i="3"/>
  <c r="CL35" i="3" s="1"/>
  <c r="CL28" i="3"/>
  <c r="CL7" i="3"/>
  <c r="CL26" i="3"/>
  <c r="CL10" i="3"/>
  <c r="CL24" i="3"/>
  <c r="CL31" i="3"/>
  <c r="CL6" i="3"/>
  <c r="CL27" i="3"/>
  <c r="CL9" i="3"/>
  <c r="CL29" i="3"/>
  <c r="CL32" i="3"/>
  <c r="CL13" i="3"/>
  <c r="CL33" i="3"/>
  <c r="CK36" i="3"/>
  <c r="M2" i="29"/>
  <c r="EP3" i="3"/>
  <c r="EP6" i="3"/>
  <c r="EP10" i="3"/>
  <c r="EP23" i="3"/>
  <c r="EP5" i="3"/>
  <c r="EP12" i="3"/>
  <c r="EP27" i="3"/>
  <c r="EP29" i="3"/>
  <c r="EP8" i="3"/>
  <c r="EP25" i="3"/>
  <c r="EP4" i="3"/>
  <c r="EP11" i="3"/>
  <c r="EP26" i="3"/>
  <c r="EP30" i="3"/>
  <c r="EP7" i="3"/>
  <c r="EP9" i="3"/>
  <c r="EP28" i="3"/>
  <c r="EP24" i="3"/>
  <c r="EP31" i="3"/>
  <c r="EP13" i="3"/>
  <c r="EP32" i="3"/>
  <c r="EP33" i="3"/>
  <c r="EQ1" i="3"/>
  <c r="N2" i="34"/>
  <c r="L2" i="36"/>
  <c r="L2" i="30"/>
  <c r="BW36" i="3"/>
  <c r="BV53" i="3" s="1"/>
  <c r="BR68" i="3" s="1"/>
  <c r="EO16" i="3"/>
  <c r="BW16" i="3"/>
  <c r="CY3" i="3"/>
  <c r="CY23" i="3"/>
  <c r="CY12" i="3"/>
  <c r="CY26" i="3"/>
  <c r="CY31" i="3"/>
  <c r="CY29" i="3"/>
  <c r="CY8" i="3"/>
  <c r="CY27" i="3"/>
  <c r="CY10" i="3"/>
  <c r="CY25" i="3"/>
  <c r="CY4" i="3"/>
  <c r="CY6" i="3"/>
  <c r="CY11" i="3"/>
  <c r="CY7" i="3"/>
  <c r="CY9" i="3"/>
  <c r="CY24" i="3"/>
  <c r="CY28" i="3"/>
  <c r="CY30" i="3"/>
  <c r="CY5" i="3"/>
  <c r="CY15" i="3" s="1"/>
  <c r="CY13" i="3"/>
  <c r="CY32" i="3"/>
  <c r="CY33" i="3"/>
  <c r="DZ16" i="3"/>
  <c r="O2" i="28"/>
  <c r="BV17" i="3"/>
  <c r="BV18" i="3" s="1"/>
  <c r="BV19" i="3" s="1"/>
  <c r="BV20" i="3" s="1"/>
  <c r="BU52" i="3"/>
  <c r="M4" i="36"/>
  <c r="M27" i="35"/>
  <c r="M27" i="31"/>
  <c r="L27" i="30"/>
  <c r="BG7" i="14"/>
  <c r="BU6" i="14"/>
  <c r="DY17" i="3"/>
  <c r="DY18" i="3" s="1"/>
  <c r="DY19" i="3" s="1"/>
  <c r="DY20" i="3" s="1"/>
  <c r="DY51" i="3"/>
  <c r="BI66" i="3" s="1"/>
  <c r="EB1" i="3"/>
  <c r="DK51" i="3"/>
  <c r="BK66" i="3" s="1"/>
  <c r="DK17" i="3"/>
  <c r="DK18" i="3" s="1"/>
  <c r="DK19" i="3" s="1"/>
  <c r="DK20" i="3" s="1"/>
  <c r="DN1" i="3"/>
  <c r="CW37" i="3"/>
  <c r="CW38" i="3" s="1"/>
  <c r="CW39" i="3" s="1"/>
  <c r="CW40" i="3" s="1"/>
  <c r="CX51" i="3"/>
  <c r="F7" i="34" s="1"/>
  <c r="CZ1" i="3"/>
  <c r="CW17" i="3"/>
  <c r="CW18" i="3" s="1"/>
  <c r="CW19" i="3" s="1"/>
  <c r="CW20" i="3" s="1"/>
  <c r="CW51" i="3"/>
  <c r="E7" i="36" s="1"/>
  <c r="CM1" i="3"/>
  <c r="CJ52" i="3"/>
  <c r="CJ37" i="3"/>
  <c r="CJ38" i="3" s="1"/>
  <c r="CJ39" i="3" s="1"/>
  <c r="CJ40" i="3" s="1"/>
  <c r="BV37" i="3"/>
  <c r="BV38" i="3" s="1"/>
  <c r="BV39" i="3" s="1"/>
  <c r="BV40" i="3" s="1"/>
  <c r="BY1" i="3"/>
  <c r="N9" i="14"/>
  <c r="AF8" i="14"/>
  <c r="B7" i="14"/>
  <c r="E8" i="31" l="1"/>
  <c r="E8" i="35"/>
  <c r="E8" i="29"/>
  <c r="E8" i="34"/>
  <c r="BS67" i="3"/>
  <c r="E8" i="30"/>
  <c r="F7" i="29"/>
  <c r="F7" i="30"/>
  <c r="E50" i="28"/>
  <c r="N38" i="28"/>
  <c r="F38" i="28"/>
  <c r="O26" i="28"/>
  <c r="E51" i="28"/>
  <c r="N39" i="28"/>
  <c r="E19" i="28"/>
  <c r="N7" i="28"/>
  <c r="E30" i="28"/>
  <c r="N18" i="28"/>
  <c r="F40" i="28"/>
  <c r="O28" i="28"/>
  <c r="E52" i="28"/>
  <c r="N40" i="28"/>
  <c r="F30" i="28"/>
  <c r="O18" i="28"/>
  <c r="F39" i="28"/>
  <c r="O27" i="28"/>
  <c r="F29" i="28"/>
  <c r="O17" i="28"/>
  <c r="E41" i="28"/>
  <c r="N29" i="28"/>
  <c r="F19" i="28"/>
  <c r="F112" i="34"/>
  <c r="O112" i="34" s="1"/>
  <c r="F122" i="34"/>
  <c r="F134" i="34" s="1"/>
  <c r="F146" i="34" s="1"/>
  <c r="F158" i="34" s="1"/>
  <c r="F170" i="34" s="1"/>
  <c r="F182" i="34" s="1"/>
  <c r="E114" i="34"/>
  <c r="N114" i="34" s="1"/>
  <c r="F113" i="34"/>
  <c r="O113" i="34" s="1"/>
  <c r="E113" i="34"/>
  <c r="N113" i="34" s="1"/>
  <c r="F123" i="34"/>
  <c r="F135" i="34" s="1"/>
  <c r="F147" i="34" s="1"/>
  <c r="F159" i="34" s="1"/>
  <c r="F171" i="34" s="1"/>
  <c r="F183" i="34" s="1"/>
  <c r="F122" i="31"/>
  <c r="F134" i="31" s="1"/>
  <c r="F146" i="31" s="1"/>
  <c r="F158" i="31" s="1"/>
  <c r="F170" i="31" s="1"/>
  <c r="F182" i="31" s="1"/>
  <c r="E125" i="31"/>
  <c r="E137" i="31" s="1"/>
  <c r="E149" i="31" s="1"/>
  <c r="E161" i="31" s="1"/>
  <c r="E173" i="31" s="1"/>
  <c r="E185" i="31" s="1"/>
  <c r="E114" i="31"/>
  <c r="M114" i="31" s="1"/>
  <c r="F124" i="30"/>
  <c r="F136" i="30" s="1"/>
  <c r="F148" i="30" s="1"/>
  <c r="F160" i="30" s="1"/>
  <c r="F172" i="30" s="1"/>
  <c r="F184" i="30" s="1"/>
  <c r="F124" i="31"/>
  <c r="F136" i="31" s="1"/>
  <c r="F148" i="31" s="1"/>
  <c r="F160" i="31" s="1"/>
  <c r="F172" i="31" s="1"/>
  <c r="F184" i="31" s="1"/>
  <c r="F113" i="31"/>
  <c r="N113" i="31" s="1"/>
  <c r="F123" i="31"/>
  <c r="F135" i="31" s="1"/>
  <c r="F147" i="31" s="1"/>
  <c r="F159" i="31" s="1"/>
  <c r="F171" i="31" s="1"/>
  <c r="F183" i="31" s="1"/>
  <c r="F113" i="30"/>
  <c r="M113" i="30" s="1"/>
  <c r="Q113" i="30" s="1"/>
  <c r="E125" i="30"/>
  <c r="E137" i="30" s="1"/>
  <c r="E149" i="30" s="1"/>
  <c r="E161" i="30" s="1"/>
  <c r="E173" i="30" s="1"/>
  <c r="E185" i="30" s="1"/>
  <c r="F122" i="29"/>
  <c r="F134" i="29" s="1"/>
  <c r="F146" i="29" s="1"/>
  <c r="F158" i="29" s="1"/>
  <c r="F170" i="29" s="1"/>
  <c r="F182" i="29" s="1"/>
  <c r="F123" i="30"/>
  <c r="F135" i="30" s="1"/>
  <c r="F147" i="30" s="1"/>
  <c r="F159" i="30" s="1"/>
  <c r="F171" i="30" s="1"/>
  <c r="F183" i="30" s="1"/>
  <c r="E114" i="30"/>
  <c r="L114" i="30" s="1"/>
  <c r="F122" i="30"/>
  <c r="F134" i="30" s="1"/>
  <c r="F146" i="30" s="1"/>
  <c r="F158" i="30" s="1"/>
  <c r="F170" i="30" s="1"/>
  <c r="F182" i="30" s="1"/>
  <c r="E113" i="29"/>
  <c r="M113" i="29" s="1"/>
  <c r="F113" i="29"/>
  <c r="N113" i="29" s="1"/>
  <c r="E114" i="29"/>
  <c r="M114" i="29" s="1"/>
  <c r="F123" i="29"/>
  <c r="F135" i="29" s="1"/>
  <c r="F147" i="29" s="1"/>
  <c r="F159" i="29" s="1"/>
  <c r="F171" i="29" s="1"/>
  <c r="F183" i="29" s="1"/>
  <c r="F124" i="29"/>
  <c r="F136" i="29" s="1"/>
  <c r="F148" i="29" s="1"/>
  <c r="F160" i="29" s="1"/>
  <c r="F172" i="29" s="1"/>
  <c r="F184" i="29" s="1"/>
  <c r="O4" i="34"/>
  <c r="CY35" i="3"/>
  <c r="BX15" i="3"/>
  <c r="BJ15" i="3"/>
  <c r="EP15" i="3"/>
  <c r="DM35" i="3"/>
  <c r="CL15" i="3"/>
  <c r="BX35" i="3"/>
  <c r="EA35" i="3"/>
  <c r="BJ35" i="3"/>
  <c r="EA15" i="3"/>
  <c r="EP35" i="3"/>
  <c r="L5" i="36"/>
  <c r="F19" i="36"/>
  <c r="F31" i="36" s="1"/>
  <c r="F43" i="36" s="1"/>
  <c r="F55" i="36" s="1"/>
  <c r="F67" i="36" s="1"/>
  <c r="F79" i="36" s="1"/>
  <c r="F91" i="36" s="1"/>
  <c r="F103" i="36" s="1"/>
  <c r="F115" i="36" s="1"/>
  <c r="F127" i="36" s="1"/>
  <c r="F139" i="36" s="1"/>
  <c r="F151" i="36" s="1"/>
  <c r="F163" i="36" s="1"/>
  <c r="F175" i="36" s="1"/>
  <c r="F187" i="36" s="1"/>
  <c r="E18" i="36"/>
  <c r="E30" i="36" s="1"/>
  <c r="E42" i="36" s="1"/>
  <c r="E54" i="36" s="1"/>
  <c r="E66" i="36" s="1"/>
  <c r="E78" i="36" s="1"/>
  <c r="E90" i="36" s="1"/>
  <c r="E102" i="36" s="1"/>
  <c r="E114" i="36" s="1"/>
  <c r="E126" i="36" s="1"/>
  <c r="E138" i="36" s="1"/>
  <c r="E150" i="36" s="1"/>
  <c r="E162" i="36" s="1"/>
  <c r="E174" i="36" s="1"/>
  <c r="E186" i="36" s="1"/>
  <c r="F18" i="36"/>
  <c r="F30" i="36" s="1"/>
  <c r="F42" i="36" s="1"/>
  <c r="F54" i="36" s="1"/>
  <c r="F66" i="36" s="1"/>
  <c r="F78" i="36" s="1"/>
  <c r="F90" i="36" s="1"/>
  <c r="F102" i="36" s="1"/>
  <c r="F114" i="36" s="1"/>
  <c r="F126" i="36" s="1"/>
  <c r="F138" i="36" s="1"/>
  <c r="F150" i="36" s="1"/>
  <c r="F162" i="36" s="1"/>
  <c r="F174" i="36" s="1"/>
  <c r="F186" i="36" s="1"/>
  <c r="F18" i="35"/>
  <c r="F30" i="35" s="1"/>
  <c r="F42" i="35" s="1"/>
  <c r="F54" i="35" s="1"/>
  <c r="F66" i="35" s="1"/>
  <c r="F78" i="35" s="1"/>
  <c r="F90" i="35" s="1"/>
  <c r="F102" i="35" s="1"/>
  <c r="F114" i="35" s="1"/>
  <c r="F126" i="35" s="1"/>
  <c r="F138" i="35" s="1"/>
  <c r="F150" i="35" s="1"/>
  <c r="F162" i="35" s="1"/>
  <c r="F174" i="35" s="1"/>
  <c r="F186" i="35" s="1"/>
  <c r="F19" i="35"/>
  <c r="F31" i="35" s="1"/>
  <c r="F43" i="35" s="1"/>
  <c r="F55" i="35" s="1"/>
  <c r="F67" i="35" s="1"/>
  <c r="F79" i="35" s="1"/>
  <c r="F91" i="35" s="1"/>
  <c r="F103" i="35" s="1"/>
  <c r="F115" i="35" s="1"/>
  <c r="F127" i="35" s="1"/>
  <c r="F139" i="35" s="1"/>
  <c r="F151" i="35" s="1"/>
  <c r="F163" i="35" s="1"/>
  <c r="F175" i="35" s="1"/>
  <c r="F187" i="35" s="1"/>
  <c r="E19" i="35"/>
  <c r="E31" i="35" s="1"/>
  <c r="E43" i="35" s="1"/>
  <c r="E55" i="35" s="1"/>
  <c r="E67" i="35" s="1"/>
  <c r="E79" i="35" s="1"/>
  <c r="E91" i="35" s="1"/>
  <c r="E103" i="35" s="1"/>
  <c r="E115" i="35" s="1"/>
  <c r="E127" i="35" s="1"/>
  <c r="E139" i="35" s="1"/>
  <c r="E151" i="35" s="1"/>
  <c r="E163" i="35" s="1"/>
  <c r="E175" i="35" s="1"/>
  <c r="E187" i="35" s="1"/>
  <c r="F18" i="34"/>
  <c r="F30" i="34" s="1"/>
  <c r="F42" i="34" s="1"/>
  <c r="F54" i="34" s="1"/>
  <c r="F66" i="34" s="1"/>
  <c r="F78" i="34" s="1"/>
  <c r="F90" i="34" s="1"/>
  <c r="F102" i="34" s="1"/>
  <c r="E19" i="34"/>
  <c r="E31" i="34" s="1"/>
  <c r="E43" i="34" s="1"/>
  <c r="E55" i="34" s="1"/>
  <c r="E67" i="34" s="1"/>
  <c r="E79" i="34" s="1"/>
  <c r="E91" i="34" s="1"/>
  <c r="E103" i="34" s="1"/>
  <c r="F18" i="31"/>
  <c r="F30" i="31" s="1"/>
  <c r="F42" i="31" s="1"/>
  <c r="F54" i="31" s="1"/>
  <c r="F66" i="31" s="1"/>
  <c r="F78" i="31" s="1"/>
  <c r="F90" i="31" s="1"/>
  <c r="F102" i="31" s="1"/>
  <c r="E19" i="31"/>
  <c r="E31" i="31" s="1"/>
  <c r="E43" i="31" s="1"/>
  <c r="E55" i="31" s="1"/>
  <c r="E67" i="31" s="1"/>
  <c r="E79" i="31" s="1"/>
  <c r="E91" i="31" s="1"/>
  <c r="E103" i="31" s="1"/>
  <c r="F19" i="31"/>
  <c r="F31" i="31" s="1"/>
  <c r="F43" i="31" s="1"/>
  <c r="F55" i="31" s="1"/>
  <c r="F67" i="31" s="1"/>
  <c r="F79" i="31" s="1"/>
  <c r="F91" i="31" s="1"/>
  <c r="F103" i="31" s="1"/>
  <c r="E19" i="30"/>
  <c r="E31" i="30" s="1"/>
  <c r="E43" i="30" s="1"/>
  <c r="E55" i="30" s="1"/>
  <c r="E67" i="30" s="1"/>
  <c r="E79" i="30" s="1"/>
  <c r="E91" i="30" s="1"/>
  <c r="E103" i="30" s="1"/>
  <c r="F18" i="30"/>
  <c r="F30" i="30" s="1"/>
  <c r="F42" i="30" s="1"/>
  <c r="F54" i="30" s="1"/>
  <c r="F66" i="30" s="1"/>
  <c r="F78" i="30" s="1"/>
  <c r="F90" i="30" s="1"/>
  <c r="F102" i="30" s="1"/>
  <c r="F18" i="29"/>
  <c r="F30" i="29" s="1"/>
  <c r="F42" i="29" s="1"/>
  <c r="F54" i="29" s="1"/>
  <c r="F66" i="29" s="1"/>
  <c r="F78" i="29" s="1"/>
  <c r="F90" i="29" s="1"/>
  <c r="F102" i="29" s="1"/>
  <c r="E19" i="29"/>
  <c r="E31" i="29" s="1"/>
  <c r="E43" i="29" s="1"/>
  <c r="E55" i="29" s="1"/>
  <c r="E67" i="29" s="1"/>
  <c r="E79" i="29" s="1"/>
  <c r="E91" i="29" s="1"/>
  <c r="E103" i="29" s="1"/>
  <c r="M5" i="29"/>
  <c r="L39" i="36"/>
  <c r="BM66" i="3"/>
  <c r="BN66" i="3"/>
  <c r="BQ67" i="3"/>
  <c r="F8" i="28"/>
  <c r="O8" i="28" s="1"/>
  <c r="BP67" i="3"/>
  <c r="N27" i="34"/>
  <c r="M15" i="29"/>
  <c r="M17" i="29"/>
  <c r="N5" i="34"/>
  <c r="R9" i="11"/>
  <c r="A86" i="14"/>
  <c r="A64" i="14"/>
  <c r="A75" i="14"/>
  <c r="A97" i="14"/>
  <c r="A77" i="14"/>
  <c r="A54" i="14"/>
  <c r="M16" i="35"/>
  <c r="M16" i="29"/>
  <c r="BG53" i="3"/>
  <c r="M16" i="31"/>
  <c r="L16" i="30"/>
  <c r="L16" i="36"/>
  <c r="N16" i="34"/>
  <c r="L17" i="30"/>
  <c r="BI37" i="3"/>
  <c r="BI38" i="3" s="1"/>
  <c r="BI39" i="3" s="1"/>
  <c r="BI40" i="3" s="1"/>
  <c r="BH53" i="3"/>
  <c r="BT68" i="3" s="1"/>
  <c r="EP16" i="3"/>
  <c r="M17" i="35"/>
  <c r="M6" i="29"/>
  <c r="M6" i="31"/>
  <c r="M6" i="35"/>
  <c r="BJ16" i="3"/>
  <c r="M17" i="31"/>
  <c r="N17" i="34"/>
  <c r="BL1" i="3"/>
  <c r="BK28" i="3"/>
  <c r="BK31" i="3"/>
  <c r="BK9" i="3"/>
  <c r="BK29" i="3"/>
  <c r="BK10" i="3"/>
  <c r="BK5" i="3"/>
  <c r="BK26" i="3"/>
  <c r="BK25" i="3"/>
  <c r="BK30" i="3"/>
  <c r="BK8" i="3"/>
  <c r="BK27" i="3"/>
  <c r="BK24" i="3"/>
  <c r="BK6" i="3"/>
  <c r="BK7" i="3"/>
  <c r="BK4" i="3"/>
  <c r="BK11" i="3"/>
  <c r="BK12" i="3"/>
  <c r="BK3" i="3"/>
  <c r="BK23" i="3"/>
  <c r="BK13" i="3"/>
  <c r="BK32" i="3"/>
  <c r="BK33" i="3"/>
  <c r="BJ36" i="3"/>
  <c r="L6" i="30"/>
  <c r="E8" i="28"/>
  <c r="EO37" i="3"/>
  <c r="EO38" i="3" s="1"/>
  <c r="EO39" i="3" s="1"/>
  <c r="EO40" i="3" s="1"/>
  <c r="EN53" i="3"/>
  <c r="BH68" i="3" s="1"/>
  <c r="N3" i="29"/>
  <c r="N3" i="35"/>
  <c r="BY6" i="3"/>
  <c r="BY10" i="3"/>
  <c r="BY3" i="3"/>
  <c r="BY23" i="3"/>
  <c r="BY7" i="3"/>
  <c r="BY11" i="3"/>
  <c r="BY27" i="3"/>
  <c r="BY31" i="3"/>
  <c r="BY5" i="3"/>
  <c r="BY30" i="3"/>
  <c r="BY12" i="3"/>
  <c r="BY26" i="3"/>
  <c r="BY29" i="3"/>
  <c r="BY8" i="3"/>
  <c r="BY4" i="3"/>
  <c r="BY25" i="3"/>
  <c r="BY28" i="3"/>
  <c r="BY9" i="3"/>
  <c r="BY24" i="3"/>
  <c r="BY13" i="3"/>
  <c r="BY32" i="3"/>
  <c r="BY33" i="3"/>
  <c r="N2" i="35"/>
  <c r="EM53" i="3"/>
  <c r="BG68" i="3" s="1"/>
  <c r="EO17" i="3"/>
  <c r="EO18" i="3" s="1"/>
  <c r="EO19" i="3" s="1"/>
  <c r="EO20" i="3" s="1"/>
  <c r="M14" i="35"/>
  <c r="CL16" i="3"/>
  <c r="CI54" i="3" s="1"/>
  <c r="BO69" i="3" s="1"/>
  <c r="DN3" i="3"/>
  <c r="DN9" i="3"/>
  <c r="DN23" i="3"/>
  <c r="DN5" i="3"/>
  <c r="DN27" i="3"/>
  <c r="DN24" i="3"/>
  <c r="DN10" i="3"/>
  <c r="DN31" i="3"/>
  <c r="DN12" i="3"/>
  <c r="DN6" i="3"/>
  <c r="DN29" i="3"/>
  <c r="DN8" i="3"/>
  <c r="DN25" i="3"/>
  <c r="DN30" i="3"/>
  <c r="DN11" i="3"/>
  <c r="DN4" i="3"/>
  <c r="DN26" i="3"/>
  <c r="DN28" i="3"/>
  <c r="DN7" i="3"/>
  <c r="DN13" i="3"/>
  <c r="DN32" i="3"/>
  <c r="DN33" i="3"/>
  <c r="EQ6" i="3"/>
  <c r="EQ10" i="3"/>
  <c r="EQ11" i="3"/>
  <c r="EQ3" i="3"/>
  <c r="EQ23" i="3"/>
  <c r="EQ7" i="3"/>
  <c r="EQ29" i="3"/>
  <c r="EQ4" i="3"/>
  <c r="EQ24" i="3"/>
  <c r="EQ31" i="3"/>
  <c r="EQ25" i="3"/>
  <c r="EQ8" i="3"/>
  <c r="EQ9" i="3"/>
  <c r="EQ27" i="3"/>
  <c r="EQ5" i="3"/>
  <c r="EQ30" i="3"/>
  <c r="EQ12" i="3"/>
  <c r="EQ26" i="3"/>
  <c r="EQ28" i="3"/>
  <c r="EQ32" i="3"/>
  <c r="EQ13" i="3"/>
  <c r="EQ33" i="3"/>
  <c r="ER1" i="3"/>
  <c r="BX36" i="3"/>
  <c r="BV54" i="3" s="1"/>
  <c r="BR69" i="3" s="1"/>
  <c r="M3" i="30"/>
  <c r="CY36" i="3"/>
  <c r="EP36" i="3"/>
  <c r="L14" i="30"/>
  <c r="CY16" i="3"/>
  <c r="M14" i="31"/>
  <c r="CM9" i="3"/>
  <c r="CM23" i="3"/>
  <c r="CM3" i="3"/>
  <c r="CM5" i="3"/>
  <c r="CM10" i="3"/>
  <c r="CM30" i="3"/>
  <c r="CM24" i="3"/>
  <c r="CM6" i="3"/>
  <c r="CM26" i="3"/>
  <c r="CM31" i="3"/>
  <c r="CM12" i="3"/>
  <c r="CM27" i="3"/>
  <c r="CM29" i="3"/>
  <c r="CM8" i="3"/>
  <c r="CM11" i="3"/>
  <c r="CM25" i="3"/>
  <c r="CM35" i="3" s="1"/>
  <c r="CM4" i="3"/>
  <c r="CM7" i="3"/>
  <c r="CM28" i="3"/>
  <c r="CM32" i="3"/>
  <c r="CM13" i="3"/>
  <c r="CM33" i="3"/>
  <c r="M2" i="36"/>
  <c r="DM16" i="3"/>
  <c r="DM17" i="3" s="1"/>
  <c r="DM18" i="3" s="1"/>
  <c r="DM19" i="3" s="1"/>
  <c r="DM20" i="3" s="1"/>
  <c r="N2" i="31"/>
  <c r="L14" i="36"/>
  <c r="N2" i="29"/>
  <c r="M3" i="36"/>
  <c r="Q3" i="36" s="1"/>
  <c r="T3" i="36" s="1"/>
  <c r="M2" i="30"/>
  <c r="BX16" i="3"/>
  <c r="O2" i="34"/>
  <c r="EB23" i="3"/>
  <c r="EB3" i="3"/>
  <c r="EB31" i="3"/>
  <c r="EB6" i="3"/>
  <c r="EB12" i="3"/>
  <c r="EB11" i="3"/>
  <c r="EB24" i="3"/>
  <c r="EB27" i="3"/>
  <c r="EB7" i="3"/>
  <c r="EB29" i="3"/>
  <c r="EB8" i="3"/>
  <c r="EB4" i="3"/>
  <c r="EB25" i="3"/>
  <c r="EB35" i="3" s="1"/>
  <c r="EB30" i="3"/>
  <c r="EB9" i="3"/>
  <c r="EB26" i="3"/>
  <c r="EB5" i="3"/>
  <c r="EB10" i="3"/>
  <c r="EB28" i="3"/>
  <c r="EB32" i="3"/>
  <c r="EB13" i="3"/>
  <c r="EB33" i="3"/>
  <c r="N14" i="34"/>
  <c r="EA36" i="3"/>
  <c r="N3" i="31"/>
  <c r="DM36" i="3"/>
  <c r="O3" i="34"/>
  <c r="CZ3" i="3"/>
  <c r="CZ23" i="3"/>
  <c r="CZ28" i="3"/>
  <c r="CZ12" i="3"/>
  <c r="CZ29" i="3"/>
  <c r="CZ24" i="3"/>
  <c r="CZ31" i="3"/>
  <c r="CZ8" i="3"/>
  <c r="CZ25" i="3"/>
  <c r="CZ27" i="3"/>
  <c r="CZ4" i="3"/>
  <c r="CZ9" i="3"/>
  <c r="CZ30" i="3"/>
  <c r="CZ5" i="3"/>
  <c r="CZ11" i="3"/>
  <c r="CZ10" i="3"/>
  <c r="CZ26" i="3"/>
  <c r="CZ7" i="3"/>
  <c r="CZ6" i="3"/>
  <c r="CZ32" i="3"/>
  <c r="CZ13" i="3"/>
  <c r="CZ33" i="3"/>
  <c r="M14" i="29"/>
  <c r="BW17" i="3"/>
  <c r="BW18" i="3" s="1"/>
  <c r="BU53" i="3"/>
  <c r="M5" i="36"/>
  <c r="M16" i="36"/>
  <c r="N4" i="35"/>
  <c r="M39" i="35"/>
  <c r="O5" i="34"/>
  <c r="O16" i="34"/>
  <c r="N39" i="34"/>
  <c r="M39" i="31"/>
  <c r="N4" i="31"/>
  <c r="L39" i="30"/>
  <c r="M4" i="30"/>
  <c r="N4" i="29"/>
  <c r="A55" i="14"/>
  <c r="BG8" i="14"/>
  <c r="BU7" i="14"/>
  <c r="EA16" i="3"/>
  <c r="DZ37" i="3"/>
  <c r="DZ38" i="3" s="1"/>
  <c r="DZ39" i="3" s="1"/>
  <c r="DZ40" i="3" s="1"/>
  <c r="DZ52" i="3"/>
  <c r="BJ67" i="3" s="1"/>
  <c r="DZ17" i="3"/>
  <c r="DZ18" i="3" s="1"/>
  <c r="DZ19" i="3" s="1"/>
  <c r="DZ20" i="3" s="1"/>
  <c r="DY52" i="3"/>
  <c r="BI67" i="3" s="1"/>
  <c r="EC1" i="3"/>
  <c r="DO1" i="3"/>
  <c r="DL17" i="3"/>
  <c r="DL18" i="3" s="1"/>
  <c r="DL19" i="3" s="1"/>
  <c r="DL20" i="3" s="1"/>
  <c r="DK52" i="3"/>
  <c r="BK67" i="3" s="1"/>
  <c r="DL37" i="3"/>
  <c r="DL38" i="3" s="1"/>
  <c r="DL39" i="3" s="1"/>
  <c r="DL40" i="3" s="1"/>
  <c r="DL52" i="3"/>
  <c r="F8" i="36" s="1"/>
  <c r="CX17" i="3"/>
  <c r="CX18" i="3" s="1"/>
  <c r="CX19" i="3" s="1"/>
  <c r="CX20" i="3" s="1"/>
  <c r="CW52" i="3"/>
  <c r="E8" i="36" s="1"/>
  <c r="DA1" i="3"/>
  <c r="CX37" i="3"/>
  <c r="CX38" i="3" s="1"/>
  <c r="CX39" i="3" s="1"/>
  <c r="CX40" i="3" s="1"/>
  <c r="CX52" i="3"/>
  <c r="F8" i="34" s="1"/>
  <c r="CN1" i="3"/>
  <c r="CK17" i="3"/>
  <c r="CK18" i="3" s="1"/>
  <c r="CK19" i="3" s="1"/>
  <c r="CK20" i="3" s="1"/>
  <c r="CI53" i="3"/>
  <c r="BO68" i="3" s="1"/>
  <c r="CL36" i="3"/>
  <c r="CK37" i="3"/>
  <c r="CK38" i="3" s="1"/>
  <c r="CK39" i="3" s="1"/>
  <c r="CK40" i="3" s="1"/>
  <c r="CJ53" i="3"/>
  <c r="BW37" i="3"/>
  <c r="BW38" i="3" s="1"/>
  <c r="BW39" i="3" s="1"/>
  <c r="BW40" i="3" s="1"/>
  <c r="BZ1" i="3"/>
  <c r="N10" i="14"/>
  <c r="AF9" i="14"/>
  <c r="B8" i="14"/>
  <c r="F8" i="31" l="1"/>
  <c r="F8" i="35"/>
  <c r="E9" i="31"/>
  <c r="E9" i="35"/>
  <c r="E9" i="29"/>
  <c r="E9" i="34"/>
  <c r="BS68" i="3"/>
  <c r="E9" i="30"/>
  <c r="F8" i="29"/>
  <c r="F8" i="30"/>
  <c r="F42" i="28"/>
  <c r="O30" i="28"/>
  <c r="E64" i="28"/>
  <c r="N52" i="28"/>
  <c r="F52" i="28"/>
  <c r="O40" i="28"/>
  <c r="E42" i="28"/>
  <c r="N30" i="28"/>
  <c r="F31" i="28"/>
  <c r="O19" i="28"/>
  <c r="E20" i="28"/>
  <c r="N8" i="28"/>
  <c r="E31" i="28"/>
  <c r="N19" i="28"/>
  <c r="E53" i="28"/>
  <c r="N41" i="28"/>
  <c r="E63" i="28"/>
  <c r="N51" i="28"/>
  <c r="F41" i="28"/>
  <c r="O29" i="28"/>
  <c r="F50" i="28"/>
  <c r="O38" i="28"/>
  <c r="F51" i="28"/>
  <c r="O39" i="28"/>
  <c r="E62" i="28"/>
  <c r="N50" i="28"/>
  <c r="F20" i="28"/>
  <c r="U112" i="34"/>
  <c r="F114" i="34"/>
  <c r="O114" i="34" s="1"/>
  <c r="U114" i="34" s="1"/>
  <c r="U113" i="34"/>
  <c r="E125" i="34"/>
  <c r="E137" i="34" s="1"/>
  <c r="E149" i="34" s="1"/>
  <c r="E161" i="34" s="1"/>
  <c r="E173" i="34" s="1"/>
  <c r="E185" i="34" s="1"/>
  <c r="F125" i="34"/>
  <c r="F137" i="34" s="1"/>
  <c r="F149" i="34" s="1"/>
  <c r="F161" i="34" s="1"/>
  <c r="F173" i="34" s="1"/>
  <c r="F185" i="34" s="1"/>
  <c r="E126" i="34"/>
  <c r="E138" i="34" s="1"/>
  <c r="E150" i="34" s="1"/>
  <c r="E162" i="34" s="1"/>
  <c r="E174" i="34" s="1"/>
  <c r="E186" i="34" s="1"/>
  <c r="E115" i="34"/>
  <c r="N115" i="34" s="1"/>
  <c r="F124" i="34"/>
  <c r="F136" i="34" s="1"/>
  <c r="F148" i="34" s="1"/>
  <c r="F160" i="34" s="1"/>
  <c r="F172" i="34" s="1"/>
  <c r="F184" i="34" s="1"/>
  <c r="F114" i="31"/>
  <c r="N114" i="31" s="1"/>
  <c r="F125" i="31"/>
  <c r="F137" i="31" s="1"/>
  <c r="F149" i="31" s="1"/>
  <c r="F161" i="31" s="1"/>
  <c r="F173" i="31" s="1"/>
  <c r="F185" i="31" s="1"/>
  <c r="F125" i="29"/>
  <c r="F137" i="29" s="1"/>
  <c r="F149" i="29" s="1"/>
  <c r="F161" i="29" s="1"/>
  <c r="F173" i="29" s="1"/>
  <c r="F185" i="29" s="1"/>
  <c r="E125" i="29"/>
  <c r="E137" i="29" s="1"/>
  <c r="E149" i="29" s="1"/>
  <c r="E161" i="29" s="1"/>
  <c r="E173" i="29" s="1"/>
  <c r="E185" i="29" s="1"/>
  <c r="E126" i="31"/>
  <c r="E138" i="31" s="1"/>
  <c r="E150" i="31" s="1"/>
  <c r="E162" i="31" s="1"/>
  <c r="E174" i="31" s="1"/>
  <c r="E186" i="31" s="1"/>
  <c r="F115" i="31"/>
  <c r="N115" i="31" s="1"/>
  <c r="E115" i="31"/>
  <c r="M115" i="31" s="1"/>
  <c r="E115" i="30"/>
  <c r="L115" i="30" s="1"/>
  <c r="E126" i="30"/>
  <c r="E138" i="30" s="1"/>
  <c r="E150" i="30" s="1"/>
  <c r="E162" i="30" s="1"/>
  <c r="E174" i="30" s="1"/>
  <c r="E186" i="30" s="1"/>
  <c r="E126" i="29"/>
  <c r="E138" i="29" s="1"/>
  <c r="E150" i="29" s="1"/>
  <c r="E162" i="29" s="1"/>
  <c r="E174" i="29" s="1"/>
  <c r="E186" i="29" s="1"/>
  <c r="F114" i="30"/>
  <c r="M114" i="30" s="1"/>
  <c r="Q114" i="30" s="1"/>
  <c r="F125" i="30"/>
  <c r="F137" i="30" s="1"/>
  <c r="F149" i="30" s="1"/>
  <c r="F161" i="30" s="1"/>
  <c r="F173" i="30" s="1"/>
  <c r="F185" i="30" s="1"/>
  <c r="E115" i="29"/>
  <c r="M115" i="29" s="1"/>
  <c r="F114" i="29"/>
  <c r="N114" i="29" s="1"/>
  <c r="S114" i="29" s="1"/>
  <c r="S113" i="29"/>
  <c r="EQ15" i="3"/>
  <c r="BY35" i="3"/>
  <c r="DN15" i="3"/>
  <c r="EQ35" i="3"/>
  <c r="CZ15" i="3"/>
  <c r="BY15" i="3"/>
  <c r="DN35" i="3"/>
  <c r="BK35" i="3"/>
  <c r="BK15" i="3"/>
  <c r="CM15" i="3"/>
  <c r="CZ35" i="3"/>
  <c r="EB15" i="3"/>
  <c r="BX37" i="3"/>
  <c r="BX38" i="3" s="1"/>
  <c r="BX39" i="3" s="1"/>
  <c r="BX40" i="3" s="1"/>
  <c r="BW19" i="3"/>
  <c r="L6" i="36"/>
  <c r="E19" i="36"/>
  <c r="E31" i="36" s="1"/>
  <c r="E43" i="36" s="1"/>
  <c r="E55" i="36" s="1"/>
  <c r="E67" i="36" s="1"/>
  <c r="E79" i="36" s="1"/>
  <c r="E91" i="36" s="1"/>
  <c r="E103" i="36" s="1"/>
  <c r="E115" i="36" s="1"/>
  <c r="E127" i="36" s="1"/>
  <c r="E139" i="36" s="1"/>
  <c r="E151" i="36" s="1"/>
  <c r="E163" i="36" s="1"/>
  <c r="E175" i="36" s="1"/>
  <c r="E187" i="36" s="1"/>
  <c r="E20" i="35"/>
  <c r="E32" i="35" s="1"/>
  <c r="E44" i="35" s="1"/>
  <c r="E56" i="35" s="1"/>
  <c r="E68" i="35" s="1"/>
  <c r="E80" i="35" s="1"/>
  <c r="E92" i="35" s="1"/>
  <c r="E104" i="35" s="1"/>
  <c r="E116" i="35" s="1"/>
  <c r="E128" i="35" s="1"/>
  <c r="E140" i="35" s="1"/>
  <c r="E152" i="35" s="1"/>
  <c r="E164" i="35" s="1"/>
  <c r="E176" i="35" s="1"/>
  <c r="E188" i="35" s="1"/>
  <c r="E20" i="34"/>
  <c r="E32" i="34" s="1"/>
  <c r="E44" i="34" s="1"/>
  <c r="E56" i="34" s="1"/>
  <c r="E68" i="34" s="1"/>
  <c r="E80" i="34" s="1"/>
  <c r="E92" i="34" s="1"/>
  <c r="E104" i="34" s="1"/>
  <c r="F19" i="34"/>
  <c r="F31" i="34" s="1"/>
  <c r="F43" i="34" s="1"/>
  <c r="F55" i="34" s="1"/>
  <c r="F67" i="34" s="1"/>
  <c r="F79" i="34" s="1"/>
  <c r="F91" i="34" s="1"/>
  <c r="F103" i="34" s="1"/>
  <c r="E20" i="31"/>
  <c r="E32" i="31" s="1"/>
  <c r="E44" i="31" s="1"/>
  <c r="E56" i="31" s="1"/>
  <c r="E68" i="31" s="1"/>
  <c r="E80" i="31" s="1"/>
  <c r="E92" i="31" s="1"/>
  <c r="E104" i="31" s="1"/>
  <c r="F19" i="30"/>
  <c r="F31" i="30" s="1"/>
  <c r="F43" i="30" s="1"/>
  <c r="F55" i="30" s="1"/>
  <c r="F67" i="30" s="1"/>
  <c r="F79" i="30" s="1"/>
  <c r="F91" i="30" s="1"/>
  <c r="F103" i="30" s="1"/>
  <c r="E20" i="30"/>
  <c r="E32" i="30" s="1"/>
  <c r="E44" i="30" s="1"/>
  <c r="E56" i="30" s="1"/>
  <c r="E68" i="30" s="1"/>
  <c r="E80" i="30" s="1"/>
  <c r="E92" i="30" s="1"/>
  <c r="E104" i="30" s="1"/>
  <c r="E20" i="29"/>
  <c r="E32" i="29" s="1"/>
  <c r="E44" i="29" s="1"/>
  <c r="E56" i="29" s="1"/>
  <c r="E68" i="29" s="1"/>
  <c r="E80" i="29" s="1"/>
  <c r="E92" i="29" s="1"/>
  <c r="E104" i="29" s="1"/>
  <c r="F19" i="29"/>
  <c r="F31" i="29" s="1"/>
  <c r="F43" i="29" s="1"/>
  <c r="F55" i="29" s="1"/>
  <c r="F67" i="29" s="1"/>
  <c r="F79" i="29" s="1"/>
  <c r="F91" i="29" s="1"/>
  <c r="F103" i="29" s="1"/>
  <c r="L63" i="36"/>
  <c r="L17" i="36"/>
  <c r="L18" i="36"/>
  <c r="BN67" i="3"/>
  <c r="BQ68" i="3"/>
  <c r="BM67" i="3"/>
  <c r="BL67" i="3"/>
  <c r="F9" i="28"/>
  <c r="O9" i="28" s="1"/>
  <c r="BP68" i="3"/>
  <c r="M39" i="29"/>
  <c r="E9" i="28"/>
  <c r="R10" i="11"/>
  <c r="A89" i="14"/>
  <c r="A109" i="14"/>
  <c r="A87" i="14"/>
  <c r="A67" i="14"/>
  <c r="A76" i="14"/>
  <c r="A66" i="14"/>
  <c r="A98" i="14"/>
  <c r="N6" i="34"/>
  <c r="DK53" i="3"/>
  <c r="BK68" i="3" s="1"/>
  <c r="N28" i="34"/>
  <c r="M28" i="31"/>
  <c r="L28" i="36"/>
  <c r="L28" i="30"/>
  <c r="M28" i="29"/>
  <c r="CL17" i="3"/>
  <c r="CL18" i="3" s="1"/>
  <c r="CL19" i="3" s="1"/>
  <c r="CL20" i="3" s="1"/>
  <c r="M28" i="35"/>
  <c r="L18" i="30"/>
  <c r="M18" i="31"/>
  <c r="BH54" i="3"/>
  <c r="BT69" i="3" s="1"/>
  <c r="BJ37" i="3"/>
  <c r="BJ38" i="3" s="1"/>
  <c r="BJ39" i="3" s="1"/>
  <c r="BJ40" i="3" s="1"/>
  <c r="M29" i="31"/>
  <c r="N18" i="34"/>
  <c r="M29" i="35"/>
  <c r="L29" i="36"/>
  <c r="BG54" i="3"/>
  <c r="BJ17" i="3"/>
  <c r="BJ18" i="3" s="1"/>
  <c r="BJ19" i="3" s="1"/>
  <c r="BJ20" i="3" s="1"/>
  <c r="BK36" i="3"/>
  <c r="M18" i="35"/>
  <c r="EP17" i="3"/>
  <c r="EP18" i="3" s="1"/>
  <c r="EP19" i="3" s="1"/>
  <c r="EP20" i="3" s="1"/>
  <c r="EM54" i="3"/>
  <c r="BG69" i="3" s="1"/>
  <c r="BK16" i="3"/>
  <c r="M18" i="29"/>
  <c r="BM1" i="3"/>
  <c r="BL25" i="3"/>
  <c r="BL4" i="3"/>
  <c r="BL30" i="3"/>
  <c r="BL29" i="3"/>
  <c r="BL9" i="3"/>
  <c r="BL26" i="3"/>
  <c r="BL5" i="3"/>
  <c r="BL10" i="3"/>
  <c r="BL23" i="3"/>
  <c r="BL6" i="3"/>
  <c r="BL27" i="3"/>
  <c r="BL12" i="3"/>
  <c r="BL28" i="3"/>
  <c r="BL24" i="3"/>
  <c r="BL31" i="3"/>
  <c r="BL11" i="3"/>
  <c r="BL7" i="3"/>
  <c r="BL8" i="3"/>
  <c r="BL3" i="3"/>
  <c r="BL32" i="3"/>
  <c r="BL13" i="3"/>
  <c r="BL33" i="3"/>
  <c r="L29" i="30"/>
  <c r="N29" i="34"/>
  <c r="O15" i="34"/>
  <c r="EP37" i="3"/>
  <c r="EP38" i="3" s="1"/>
  <c r="EP39" i="3" s="1"/>
  <c r="EP40" i="3" s="1"/>
  <c r="EN54" i="3"/>
  <c r="BH69" i="3" s="1"/>
  <c r="M14" i="36"/>
  <c r="BZ6" i="3"/>
  <c r="BZ27" i="3"/>
  <c r="BZ31" i="3"/>
  <c r="BZ3" i="3"/>
  <c r="BZ23" i="3"/>
  <c r="BZ7" i="3"/>
  <c r="BZ11" i="3"/>
  <c r="BZ10" i="3"/>
  <c r="BZ9" i="3"/>
  <c r="BZ26" i="3"/>
  <c r="BZ5" i="3"/>
  <c r="BZ15" i="3" s="1"/>
  <c r="BZ8" i="3"/>
  <c r="BZ4" i="3"/>
  <c r="BZ28" i="3"/>
  <c r="BZ24" i="3"/>
  <c r="BZ29" i="3"/>
  <c r="BZ25" i="3"/>
  <c r="BZ12" i="3"/>
  <c r="BZ30" i="3"/>
  <c r="BZ13" i="3"/>
  <c r="BZ32" i="3"/>
  <c r="BZ33" i="3"/>
  <c r="CM36" i="3"/>
  <c r="M15" i="30"/>
  <c r="CZ16" i="3"/>
  <c r="O14" i="34"/>
  <c r="BY16" i="3"/>
  <c r="N15" i="35"/>
  <c r="M26" i="29"/>
  <c r="N14" i="31"/>
  <c r="DN16" i="3"/>
  <c r="EQ16" i="3"/>
  <c r="M26" i="35"/>
  <c r="N15" i="31"/>
  <c r="EB16" i="3"/>
  <c r="M14" i="30"/>
  <c r="CM16" i="3"/>
  <c r="ER23" i="3"/>
  <c r="ER3" i="3"/>
  <c r="ER4" i="3"/>
  <c r="ER31" i="3"/>
  <c r="ER6" i="3"/>
  <c r="ER27" i="3"/>
  <c r="ER9" i="3"/>
  <c r="ER29" i="3"/>
  <c r="ER28" i="3"/>
  <c r="ER11" i="3"/>
  <c r="ER5" i="3"/>
  <c r="ER25" i="3"/>
  <c r="ER12" i="3"/>
  <c r="ER24" i="3"/>
  <c r="ER7" i="3"/>
  <c r="ER30" i="3"/>
  <c r="ER8" i="3"/>
  <c r="ER26" i="3"/>
  <c r="ER10" i="3"/>
  <c r="ER13" i="3"/>
  <c r="ER32" i="3"/>
  <c r="ER33" i="3"/>
  <c r="ES1" i="3"/>
  <c r="DO5" i="3"/>
  <c r="DO9" i="3"/>
  <c r="DO10" i="3"/>
  <c r="DO6" i="3"/>
  <c r="DO3" i="3"/>
  <c r="DO23" i="3"/>
  <c r="DO24" i="3"/>
  <c r="DO26" i="3"/>
  <c r="DO12" i="3"/>
  <c r="DO8" i="3"/>
  <c r="DO29" i="3"/>
  <c r="DO4" i="3"/>
  <c r="DO11" i="3"/>
  <c r="DO31" i="3"/>
  <c r="DO25" i="3"/>
  <c r="DO35" i="3" s="1"/>
  <c r="DO7" i="3"/>
  <c r="DO27" i="3"/>
  <c r="DO28" i="3"/>
  <c r="DO30" i="3"/>
  <c r="DO32" i="3"/>
  <c r="DO13" i="3"/>
  <c r="DO33" i="3"/>
  <c r="CZ36" i="3"/>
  <c r="EQ36" i="3"/>
  <c r="N15" i="29"/>
  <c r="CN3" i="3"/>
  <c r="CN23" i="3"/>
  <c r="CN28" i="3"/>
  <c r="CN12" i="3"/>
  <c r="CN6" i="3"/>
  <c r="CN24" i="3"/>
  <c r="CN29" i="3"/>
  <c r="CN8" i="3"/>
  <c r="CN25" i="3"/>
  <c r="CN4" i="3"/>
  <c r="CN11" i="3"/>
  <c r="CN31" i="3"/>
  <c r="CN30" i="3"/>
  <c r="CN7" i="3"/>
  <c r="CN26" i="3"/>
  <c r="CN9" i="3"/>
  <c r="CN5" i="3"/>
  <c r="CN10" i="3"/>
  <c r="CN27" i="3"/>
  <c r="CN13" i="3"/>
  <c r="CN32" i="3"/>
  <c r="CN33" i="3"/>
  <c r="EC23" i="3"/>
  <c r="EC7" i="3"/>
  <c r="EC11" i="3"/>
  <c r="EC3" i="3"/>
  <c r="EC31" i="3"/>
  <c r="EC4" i="3"/>
  <c r="EC6" i="3"/>
  <c r="EC27" i="3"/>
  <c r="EC9" i="3"/>
  <c r="EC28" i="3"/>
  <c r="EC5" i="3"/>
  <c r="EC24" i="3"/>
  <c r="EC8" i="3"/>
  <c r="EC30" i="3"/>
  <c r="EC25" i="3"/>
  <c r="EC12" i="3"/>
  <c r="EC29" i="3"/>
  <c r="EC10" i="3"/>
  <c r="EC26" i="3"/>
  <c r="EC32" i="3"/>
  <c r="EC13" i="3"/>
  <c r="EC33" i="3"/>
  <c r="N26" i="34"/>
  <c r="M15" i="36"/>
  <c r="M26" i="31"/>
  <c r="N14" i="35"/>
  <c r="N14" i="29"/>
  <c r="BY36" i="3"/>
  <c r="BV55" i="3" s="1"/>
  <c r="BR70" i="3" s="1"/>
  <c r="EB36" i="3"/>
  <c r="L26" i="36"/>
  <c r="L26" i="30"/>
  <c r="DA23" i="3"/>
  <c r="DA6" i="3"/>
  <c r="DA10" i="3"/>
  <c r="DA3" i="3"/>
  <c r="DA8" i="3"/>
  <c r="DA31" i="3"/>
  <c r="DA27" i="3"/>
  <c r="DA4" i="3"/>
  <c r="DA29" i="3"/>
  <c r="DA11" i="3"/>
  <c r="DA28" i="3"/>
  <c r="DA25" i="3"/>
  <c r="DA7" i="3"/>
  <c r="DA24" i="3"/>
  <c r="DA9" i="3"/>
  <c r="DA30" i="3"/>
  <c r="DA12" i="3"/>
  <c r="DA5" i="3"/>
  <c r="DA26" i="3"/>
  <c r="DA13" i="3"/>
  <c r="DA32" i="3"/>
  <c r="DA33" i="3"/>
  <c r="DN36" i="3"/>
  <c r="BX17" i="3"/>
  <c r="BX18" i="3" s="1"/>
  <c r="BX19" i="3" s="1"/>
  <c r="BX20" i="3" s="1"/>
  <c r="BU54" i="3"/>
  <c r="M28" i="36"/>
  <c r="M17" i="36"/>
  <c r="M7" i="36"/>
  <c r="M6" i="36"/>
  <c r="N16" i="35"/>
  <c r="N5" i="35"/>
  <c r="M51" i="35"/>
  <c r="O6" i="34"/>
  <c r="N51" i="34"/>
  <c r="O17" i="34"/>
  <c r="O28" i="34"/>
  <c r="M51" i="31"/>
  <c r="N5" i="31"/>
  <c r="N16" i="31"/>
  <c r="M16" i="30"/>
  <c r="L51" i="30"/>
  <c r="M5" i="30"/>
  <c r="N16" i="29"/>
  <c r="M51" i="29"/>
  <c r="N5" i="29"/>
  <c r="A56" i="14"/>
  <c r="BU8" i="14"/>
  <c r="BG9" i="14"/>
  <c r="ED1" i="3"/>
  <c r="EA17" i="3"/>
  <c r="EA18" i="3" s="1"/>
  <c r="EA19" i="3" s="1"/>
  <c r="EA20" i="3" s="1"/>
  <c r="DY53" i="3"/>
  <c r="BI68" i="3" s="1"/>
  <c r="EA37" i="3"/>
  <c r="EA38" i="3" s="1"/>
  <c r="EA39" i="3" s="1"/>
  <c r="EA40" i="3" s="1"/>
  <c r="DZ53" i="3"/>
  <c r="BJ68" i="3" s="1"/>
  <c r="DM37" i="3"/>
  <c r="DM38" i="3" s="1"/>
  <c r="DM39" i="3" s="1"/>
  <c r="DM40" i="3" s="1"/>
  <c r="DL53" i="3"/>
  <c r="F9" i="36" s="1"/>
  <c r="DP1" i="3"/>
  <c r="DB1" i="3"/>
  <c r="CY17" i="3"/>
  <c r="CY18" i="3" s="1"/>
  <c r="CY19" i="3" s="1"/>
  <c r="CY20" i="3" s="1"/>
  <c r="CW53" i="3"/>
  <c r="E9" i="36" s="1"/>
  <c r="CY37" i="3"/>
  <c r="CY38" i="3" s="1"/>
  <c r="CY39" i="3" s="1"/>
  <c r="CY40" i="3" s="1"/>
  <c r="CX53" i="3"/>
  <c r="F9" i="34" s="1"/>
  <c r="CL37" i="3"/>
  <c r="CL38" i="3" s="1"/>
  <c r="CL39" i="3" s="1"/>
  <c r="CL40" i="3" s="1"/>
  <c r="CJ54" i="3"/>
  <c r="CO1" i="3"/>
  <c r="CA1" i="3"/>
  <c r="N11" i="14"/>
  <c r="N12" i="14" s="1"/>
  <c r="AF10" i="14"/>
  <c r="B9" i="14"/>
  <c r="E10" i="31" l="1"/>
  <c r="E10" i="35"/>
  <c r="F9" i="31"/>
  <c r="F9" i="35"/>
  <c r="E10" i="29"/>
  <c r="E10" i="34"/>
  <c r="BS69" i="3"/>
  <c r="E10" i="30"/>
  <c r="F9" i="29"/>
  <c r="F9" i="30"/>
  <c r="AF12" i="14"/>
  <c r="N13" i="14"/>
  <c r="AF13" i="14" s="1"/>
  <c r="E65" i="28"/>
  <c r="N53" i="28"/>
  <c r="E43" i="28"/>
  <c r="N31" i="28"/>
  <c r="F32" i="28"/>
  <c r="O20" i="28"/>
  <c r="E32" i="28"/>
  <c r="N20" i="28"/>
  <c r="E74" i="28"/>
  <c r="N62" i="28"/>
  <c r="F43" i="28"/>
  <c r="O31" i="28"/>
  <c r="E21" i="28"/>
  <c r="N9" i="28"/>
  <c r="F63" i="28"/>
  <c r="O51" i="28"/>
  <c r="E54" i="28"/>
  <c r="N42" i="28"/>
  <c r="F62" i="28"/>
  <c r="O50" i="28"/>
  <c r="F64" i="28"/>
  <c r="O52" i="28"/>
  <c r="F53" i="28"/>
  <c r="O41" i="28"/>
  <c r="E76" i="28"/>
  <c r="N64" i="28"/>
  <c r="E75" i="28"/>
  <c r="N63" i="28"/>
  <c r="F54" i="28"/>
  <c r="O42" i="28"/>
  <c r="F21" i="28"/>
  <c r="E127" i="34"/>
  <c r="E139" i="34" s="1"/>
  <c r="E151" i="34" s="1"/>
  <c r="E163" i="34" s="1"/>
  <c r="E175" i="34" s="1"/>
  <c r="E187" i="34" s="1"/>
  <c r="F115" i="34"/>
  <c r="O115" i="34" s="1"/>
  <c r="U115" i="34" s="1"/>
  <c r="E116" i="34"/>
  <c r="N116" i="34" s="1"/>
  <c r="F126" i="34"/>
  <c r="F138" i="34" s="1"/>
  <c r="F150" i="34" s="1"/>
  <c r="F162" i="34" s="1"/>
  <c r="F174" i="34" s="1"/>
  <c r="F186" i="34" s="1"/>
  <c r="E127" i="31"/>
  <c r="E139" i="31" s="1"/>
  <c r="E151" i="31" s="1"/>
  <c r="E163" i="31" s="1"/>
  <c r="E175" i="31" s="1"/>
  <c r="E187" i="31" s="1"/>
  <c r="F127" i="31"/>
  <c r="F139" i="31" s="1"/>
  <c r="F151" i="31" s="1"/>
  <c r="F163" i="31" s="1"/>
  <c r="F175" i="31" s="1"/>
  <c r="F187" i="31" s="1"/>
  <c r="E116" i="31"/>
  <c r="M116" i="31" s="1"/>
  <c r="F126" i="31"/>
  <c r="F138" i="31" s="1"/>
  <c r="F150" i="31" s="1"/>
  <c r="F162" i="31" s="1"/>
  <c r="F174" i="31" s="1"/>
  <c r="F186" i="31" s="1"/>
  <c r="E116" i="30"/>
  <c r="L116" i="30" s="1"/>
  <c r="F115" i="30"/>
  <c r="M115" i="30" s="1"/>
  <c r="Q115" i="30" s="1"/>
  <c r="F126" i="30"/>
  <c r="F138" i="30" s="1"/>
  <c r="F150" i="30" s="1"/>
  <c r="F162" i="30" s="1"/>
  <c r="F174" i="30" s="1"/>
  <c r="F186" i="30" s="1"/>
  <c r="E127" i="30"/>
  <c r="E139" i="30" s="1"/>
  <c r="E151" i="30" s="1"/>
  <c r="E163" i="30" s="1"/>
  <c r="E175" i="30" s="1"/>
  <c r="E187" i="30" s="1"/>
  <c r="F115" i="29"/>
  <c r="N115" i="29" s="1"/>
  <c r="S115" i="29" s="1"/>
  <c r="E116" i="29"/>
  <c r="M116" i="29" s="1"/>
  <c r="F126" i="29"/>
  <c r="F138" i="29" s="1"/>
  <c r="F150" i="29" s="1"/>
  <c r="F162" i="29" s="1"/>
  <c r="F174" i="29" s="1"/>
  <c r="F186" i="29" s="1"/>
  <c r="E127" i="29"/>
  <c r="E139" i="29" s="1"/>
  <c r="E151" i="29" s="1"/>
  <c r="E163" i="29" s="1"/>
  <c r="E175" i="29" s="1"/>
  <c r="E187" i="29" s="1"/>
  <c r="BL35" i="3"/>
  <c r="ER35" i="3"/>
  <c r="ER15" i="3"/>
  <c r="BZ35" i="3"/>
  <c r="CN35" i="3"/>
  <c r="DA15" i="3"/>
  <c r="DO15" i="3"/>
  <c r="EC35" i="3"/>
  <c r="BL15" i="3"/>
  <c r="EC15" i="3"/>
  <c r="DA35" i="3"/>
  <c r="CN15" i="3"/>
  <c r="BW20" i="3"/>
  <c r="E20" i="36"/>
  <c r="E32" i="36" s="1"/>
  <c r="E44" i="36" s="1"/>
  <c r="E56" i="36" s="1"/>
  <c r="E68" i="36" s="1"/>
  <c r="E80" i="36" s="1"/>
  <c r="E92" i="36" s="1"/>
  <c r="E104" i="36" s="1"/>
  <c r="E116" i="36" s="1"/>
  <c r="E128" i="36" s="1"/>
  <c r="E140" i="36" s="1"/>
  <c r="E152" i="36" s="1"/>
  <c r="E164" i="36" s="1"/>
  <c r="E176" i="36" s="1"/>
  <c r="E188" i="36" s="1"/>
  <c r="F20" i="36"/>
  <c r="F32" i="36" s="1"/>
  <c r="F44" i="36" s="1"/>
  <c r="F56" i="36" s="1"/>
  <c r="F68" i="36" s="1"/>
  <c r="F80" i="36" s="1"/>
  <c r="F92" i="36" s="1"/>
  <c r="F104" i="36" s="1"/>
  <c r="F116" i="36" s="1"/>
  <c r="F128" i="36" s="1"/>
  <c r="F140" i="36" s="1"/>
  <c r="F152" i="36" s="1"/>
  <c r="F164" i="36" s="1"/>
  <c r="F176" i="36" s="1"/>
  <c r="F188" i="36" s="1"/>
  <c r="F20" i="35"/>
  <c r="F32" i="35" s="1"/>
  <c r="F44" i="35" s="1"/>
  <c r="F56" i="35" s="1"/>
  <c r="F68" i="35" s="1"/>
  <c r="F80" i="35" s="1"/>
  <c r="F92" i="35" s="1"/>
  <c r="F104" i="35" s="1"/>
  <c r="F116" i="35" s="1"/>
  <c r="F128" i="35" s="1"/>
  <c r="F140" i="35" s="1"/>
  <c r="F152" i="35" s="1"/>
  <c r="F164" i="35" s="1"/>
  <c r="F176" i="35" s="1"/>
  <c r="F188" i="35" s="1"/>
  <c r="E21" i="35"/>
  <c r="E33" i="35" s="1"/>
  <c r="E45" i="35" s="1"/>
  <c r="E57" i="35" s="1"/>
  <c r="E69" i="35" s="1"/>
  <c r="E81" i="35" s="1"/>
  <c r="E93" i="35" s="1"/>
  <c r="E105" i="35" s="1"/>
  <c r="E117" i="35" s="1"/>
  <c r="E129" i="35" s="1"/>
  <c r="E141" i="35" s="1"/>
  <c r="E153" i="35" s="1"/>
  <c r="E165" i="35" s="1"/>
  <c r="E177" i="35" s="1"/>
  <c r="E189" i="35" s="1"/>
  <c r="E21" i="34"/>
  <c r="E33" i="34" s="1"/>
  <c r="E45" i="34" s="1"/>
  <c r="E57" i="34" s="1"/>
  <c r="E69" i="34" s="1"/>
  <c r="E81" i="34" s="1"/>
  <c r="E93" i="34" s="1"/>
  <c r="E105" i="34" s="1"/>
  <c r="F20" i="34"/>
  <c r="F32" i="34" s="1"/>
  <c r="F44" i="34" s="1"/>
  <c r="F56" i="34" s="1"/>
  <c r="F68" i="34" s="1"/>
  <c r="F80" i="34" s="1"/>
  <c r="F92" i="34" s="1"/>
  <c r="F104" i="34" s="1"/>
  <c r="F20" i="31"/>
  <c r="F32" i="31" s="1"/>
  <c r="F44" i="31" s="1"/>
  <c r="F56" i="31" s="1"/>
  <c r="F68" i="31" s="1"/>
  <c r="F80" i="31" s="1"/>
  <c r="F92" i="31" s="1"/>
  <c r="F104" i="31" s="1"/>
  <c r="E21" i="31"/>
  <c r="E33" i="31" s="1"/>
  <c r="E45" i="31" s="1"/>
  <c r="E57" i="31" s="1"/>
  <c r="E69" i="31" s="1"/>
  <c r="E81" i="31" s="1"/>
  <c r="E93" i="31" s="1"/>
  <c r="E105" i="31" s="1"/>
  <c r="F20" i="30"/>
  <c r="F32" i="30" s="1"/>
  <c r="F44" i="30" s="1"/>
  <c r="F56" i="30" s="1"/>
  <c r="F68" i="30" s="1"/>
  <c r="F80" i="30" s="1"/>
  <c r="F92" i="30" s="1"/>
  <c r="F104" i="30" s="1"/>
  <c r="E21" i="30"/>
  <c r="E33" i="30" s="1"/>
  <c r="E45" i="30" s="1"/>
  <c r="E57" i="30" s="1"/>
  <c r="E69" i="30" s="1"/>
  <c r="E81" i="30" s="1"/>
  <c r="E93" i="30" s="1"/>
  <c r="E105" i="30" s="1"/>
  <c r="F20" i="29"/>
  <c r="F32" i="29" s="1"/>
  <c r="F44" i="29" s="1"/>
  <c r="F56" i="29" s="1"/>
  <c r="F68" i="29" s="1"/>
  <c r="F80" i="29" s="1"/>
  <c r="F92" i="29" s="1"/>
  <c r="F104" i="29" s="1"/>
  <c r="E21" i="29"/>
  <c r="E33" i="29" s="1"/>
  <c r="E45" i="29" s="1"/>
  <c r="E57" i="29" s="1"/>
  <c r="E69" i="29" s="1"/>
  <c r="E81" i="29" s="1"/>
  <c r="E93" i="29" s="1"/>
  <c r="E105" i="29" s="1"/>
  <c r="L99" i="36"/>
  <c r="L51" i="36"/>
  <c r="BL68" i="3"/>
  <c r="BQ69" i="3"/>
  <c r="F10" i="28"/>
  <c r="O10" i="28" s="1"/>
  <c r="BP69" i="3"/>
  <c r="BN68" i="3"/>
  <c r="BM68" i="3"/>
  <c r="M29" i="29"/>
  <c r="R11" i="11"/>
  <c r="A88" i="14"/>
  <c r="A79" i="14"/>
  <c r="A68" i="14"/>
  <c r="A99" i="14"/>
  <c r="A110" i="14"/>
  <c r="A121" i="14"/>
  <c r="A78" i="14"/>
  <c r="A101" i="14"/>
  <c r="Q28" i="36"/>
  <c r="L40" i="30"/>
  <c r="M40" i="35"/>
  <c r="M40" i="29"/>
  <c r="M40" i="31"/>
  <c r="L40" i="36"/>
  <c r="N40" i="34"/>
  <c r="EC16" i="3"/>
  <c r="EC17" i="3" s="1"/>
  <c r="EC18" i="3" s="1"/>
  <c r="EC19" i="3" s="1"/>
  <c r="EC20" i="3" s="1"/>
  <c r="BH55" i="3"/>
  <c r="BT70" i="3" s="1"/>
  <c r="BK37" i="3"/>
  <c r="BK38" i="3" s="1"/>
  <c r="BK39" i="3" s="1"/>
  <c r="BK40" i="3" s="1"/>
  <c r="N30" i="34"/>
  <c r="N41" i="34"/>
  <c r="M7" i="29"/>
  <c r="L7" i="30"/>
  <c r="M41" i="31"/>
  <c r="M7" i="31"/>
  <c r="L41" i="30"/>
  <c r="E10" i="28"/>
  <c r="L7" i="36"/>
  <c r="ER16" i="3"/>
  <c r="BK17" i="3"/>
  <c r="BK18" i="3" s="1"/>
  <c r="BK19" i="3" s="1"/>
  <c r="BK20" i="3" s="1"/>
  <c r="BG55" i="3"/>
  <c r="L41" i="36"/>
  <c r="BL36" i="3"/>
  <c r="M41" i="35"/>
  <c r="BL16" i="3"/>
  <c r="M7" i="35"/>
  <c r="N7" i="34"/>
  <c r="M41" i="29"/>
  <c r="BZ36" i="3"/>
  <c r="BV56" i="3" s="1"/>
  <c r="BR71" i="3" s="1"/>
  <c r="M30" i="35"/>
  <c r="M30" i="31"/>
  <c r="M30" i="29"/>
  <c r="BM7" i="3"/>
  <c r="BM25" i="3"/>
  <c r="BM3" i="3"/>
  <c r="BM10" i="3"/>
  <c r="BM6" i="3"/>
  <c r="BM9" i="3"/>
  <c r="BM26" i="3"/>
  <c r="BM5" i="3"/>
  <c r="BM23" i="3"/>
  <c r="BM31" i="3"/>
  <c r="BM30" i="3"/>
  <c r="BM12" i="3"/>
  <c r="BM29" i="3"/>
  <c r="BM27" i="3"/>
  <c r="BM11" i="3"/>
  <c r="BM8" i="3"/>
  <c r="BM28" i="3"/>
  <c r="BM24" i="3"/>
  <c r="BM4" i="3"/>
  <c r="BM13" i="3"/>
  <c r="BM32" i="3"/>
  <c r="BM33" i="3"/>
  <c r="L30" i="30"/>
  <c r="N27" i="29"/>
  <c r="M38" i="35"/>
  <c r="N27" i="35"/>
  <c r="EM55" i="3"/>
  <c r="BG70" i="3" s="1"/>
  <c r="EQ17" i="3"/>
  <c r="EQ18" i="3" s="1"/>
  <c r="EQ19" i="3" s="1"/>
  <c r="EQ20" i="3" s="1"/>
  <c r="ED7" i="3"/>
  <c r="ED11" i="3"/>
  <c r="ED23" i="3"/>
  <c r="ED4" i="3"/>
  <c r="ED8" i="3"/>
  <c r="ED25" i="3"/>
  <c r="ED3" i="3"/>
  <c r="ED12" i="3"/>
  <c r="ED29" i="3"/>
  <c r="ED9" i="3"/>
  <c r="ED27" i="3"/>
  <c r="ED5" i="3"/>
  <c r="ED30" i="3"/>
  <c r="ED26" i="3"/>
  <c r="ED10" i="3"/>
  <c r="ED28" i="3"/>
  <c r="ED6" i="3"/>
  <c r="ED24" i="3"/>
  <c r="ED31" i="3"/>
  <c r="ED13" i="3"/>
  <c r="ED32" i="3"/>
  <c r="ED33" i="3"/>
  <c r="DB23" i="3"/>
  <c r="DB6" i="3"/>
  <c r="DB10" i="3"/>
  <c r="DB24" i="3"/>
  <c r="DB3" i="3"/>
  <c r="DB28" i="3"/>
  <c r="DB11" i="3"/>
  <c r="DB7" i="3"/>
  <c r="DB29" i="3"/>
  <c r="DB31" i="3"/>
  <c r="DB25" i="3"/>
  <c r="DB35" i="3" s="1"/>
  <c r="DB9" i="3"/>
  <c r="DB27" i="3"/>
  <c r="DB30" i="3"/>
  <c r="DB5" i="3"/>
  <c r="DB15" i="3" s="1"/>
  <c r="DB12" i="3"/>
  <c r="DB26" i="3"/>
  <c r="DB8" i="3"/>
  <c r="DB4" i="3"/>
  <c r="DB32" i="3"/>
  <c r="DB13" i="3"/>
  <c r="DB33" i="3"/>
  <c r="DA36" i="3"/>
  <c r="N26" i="29"/>
  <c r="O26" i="34"/>
  <c r="DA16" i="3"/>
  <c r="EQ37" i="3"/>
  <c r="EQ38" i="3" s="1"/>
  <c r="EQ39" i="3" s="1"/>
  <c r="EQ40" i="3" s="1"/>
  <c r="EN55" i="3"/>
  <c r="BH70" i="3" s="1"/>
  <c r="M26" i="30"/>
  <c r="CA6" i="3"/>
  <c r="CB6" i="3" s="1"/>
  <c r="CA10" i="3"/>
  <c r="CB10" i="3" s="1"/>
  <c r="CA23" i="3"/>
  <c r="CB23" i="3" s="1"/>
  <c r="CA3" i="3"/>
  <c r="CB3" i="3" s="1"/>
  <c r="CA11" i="3"/>
  <c r="CB11" i="3" s="1"/>
  <c r="CA7" i="3"/>
  <c r="CB7" i="3" s="1"/>
  <c r="CA28" i="3"/>
  <c r="CB28" i="3" s="1"/>
  <c r="CA24" i="3"/>
  <c r="CB24" i="3" s="1"/>
  <c r="CA4" i="3"/>
  <c r="CB4" i="3" s="1"/>
  <c r="CA31" i="3"/>
  <c r="CB31" i="3" s="1"/>
  <c r="CA12" i="3"/>
  <c r="CB12" i="3" s="1"/>
  <c r="CA9" i="3"/>
  <c r="CB9" i="3" s="1"/>
  <c r="CA27" i="3"/>
  <c r="CB27" i="3" s="1"/>
  <c r="CA30" i="3"/>
  <c r="CB30" i="3" s="1"/>
  <c r="CA5" i="3"/>
  <c r="CA29" i="3"/>
  <c r="CB29" i="3" s="1"/>
  <c r="CA8" i="3"/>
  <c r="CB8" i="3" s="1"/>
  <c r="CA26" i="3"/>
  <c r="CB26" i="3" s="1"/>
  <c r="CA25" i="3"/>
  <c r="CA32" i="3"/>
  <c r="CB32" i="3" s="1"/>
  <c r="CA13" i="3"/>
  <c r="CB13" i="3" s="1"/>
  <c r="CA33" i="3"/>
  <c r="CB33" i="3" s="1"/>
  <c r="DP3" i="3"/>
  <c r="DP23" i="3"/>
  <c r="DP28" i="3"/>
  <c r="DP8" i="3"/>
  <c r="DP10" i="3"/>
  <c r="DP27" i="3"/>
  <c r="DP24" i="3"/>
  <c r="DP4" i="3"/>
  <c r="DP6" i="3"/>
  <c r="DP11" i="3"/>
  <c r="DP29" i="3"/>
  <c r="DP7" i="3"/>
  <c r="DP9" i="3"/>
  <c r="DP25" i="3"/>
  <c r="DP30" i="3"/>
  <c r="DP5" i="3"/>
  <c r="DP15" i="3" s="1"/>
  <c r="DP26" i="3"/>
  <c r="DP12" i="3"/>
  <c r="DP31" i="3"/>
  <c r="DP32" i="3"/>
  <c r="DP13" i="3"/>
  <c r="DP33" i="3"/>
  <c r="N26" i="35"/>
  <c r="ER36" i="3"/>
  <c r="M26" i="36"/>
  <c r="Q26" i="36" s="1"/>
  <c r="DO36" i="3"/>
  <c r="M38" i="31"/>
  <c r="CN36" i="3"/>
  <c r="DO16" i="3"/>
  <c r="N27" i="31"/>
  <c r="M27" i="30"/>
  <c r="BZ16" i="3"/>
  <c r="CO3" i="3"/>
  <c r="CO23" i="3"/>
  <c r="CO24" i="3"/>
  <c r="CO4" i="3"/>
  <c r="CO10" i="3"/>
  <c r="CO31" i="3"/>
  <c r="CO9" i="3"/>
  <c r="CO30" i="3"/>
  <c r="CO12" i="3"/>
  <c r="CO6" i="3"/>
  <c r="CO27" i="3"/>
  <c r="CO29" i="3"/>
  <c r="CO5" i="3"/>
  <c r="CO26" i="3"/>
  <c r="CO11" i="3"/>
  <c r="CO25" i="3"/>
  <c r="CO7" i="3"/>
  <c r="CO28" i="3"/>
  <c r="CO8" i="3"/>
  <c r="CO32" i="3"/>
  <c r="CO13" i="3"/>
  <c r="CO33" i="3"/>
  <c r="N26" i="31"/>
  <c r="L38" i="30"/>
  <c r="O27" i="34"/>
  <c r="L38" i="36"/>
  <c r="M27" i="36"/>
  <c r="Q27" i="36" s="1"/>
  <c r="EC36" i="3"/>
  <c r="ES23" i="3"/>
  <c r="ES3" i="3"/>
  <c r="ES28" i="3"/>
  <c r="ES24" i="3"/>
  <c r="ES29" i="3"/>
  <c r="ES8" i="3"/>
  <c r="ES31" i="3"/>
  <c r="ES7" i="3"/>
  <c r="ES25" i="3"/>
  <c r="ES4" i="3"/>
  <c r="ES27" i="3"/>
  <c r="ES9" i="3"/>
  <c r="ES30" i="3"/>
  <c r="ES5" i="3"/>
  <c r="ES15" i="3" s="1"/>
  <c r="ES10" i="3"/>
  <c r="ES26" i="3"/>
  <c r="ES6" i="3"/>
  <c r="ES12" i="3"/>
  <c r="ES11" i="3"/>
  <c r="ES13" i="3"/>
  <c r="ES32" i="3"/>
  <c r="ES33" i="3"/>
  <c r="N38" i="34"/>
  <c r="M38" i="29"/>
  <c r="BY17" i="3"/>
  <c r="BY18" i="3" s="1"/>
  <c r="BY19" i="3" s="1"/>
  <c r="BY20" i="3" s="1"/>
  <c r="BU55" i="3"/>
  <c r="M40" i="36"/>
  <c r="M29" i="36"/>
  <c r="Q29" i="36" s="1"/>
  <c r="M18" i="36"/>
  <c r="M19" i="36"/>
  <c r="N6" i="35"/>
  <c r="M63" i="35"/>
  <c r="N28" i="35"/>
  <c r="N7" i="35"/>
  <c r="N17" i="35"/>
  <c r="O18" i="34"/>
  <c r="O40" i="34"/>
  <c r="O29" i="34"/>
  <c r="O7" i="34"/>
  <c r="N63" i="34"/>
  <c r="N7" i="31"/>
  <c r="N28" i="31"/>
  <c r="M63" i="31"/>
  <c r="N6" i="31"/>
  <c r="N17" i="31"/>
  <c r="M17" i="30"/>
  <c r="M6" i="30"/>
  <c r="L63" i="30"/>
  <c r="M28" i="30"/>
  <c r="M63" i="29"/>
  <c r="N28" i="29"/>
  <c r="N17" i="29"/>
  <c r="N6" i="29"/>
  <c r="BG10" i="14"/>
  <c r="BG11" i="14" s="1"/>
  <c r="BU9" i="14"/>
  <c r="DY55" i="3"/>
  <c r="BI70" i="3" s="1"/>
  <c r="EB37" i="3"/>
  <c r="EB38" i="3" s="1"/>
  <c r="EB39" i="3" s="1"/>
  <c r="EB40" i="3" s="1"/>
  <c r="DZ54" i="3"/>
  <c r="BJ69" i="3" s="1"/>
  <c r="EE1" i="3"/>
  <c r="DY54" i="3"/>
  <c r="BI69" i="3" s="1"/>
  <c r="EB17" i="3"/>
  <c r="EB18" i="3" s="1"/>
  <c r="EB19" i="3" s="1"/>
  <c r="EB20" i="3" s="1"/>
  <c r="DQ1" i="3"/>
  <c r="DK54" i="3"/>
  <c r="BK69" i="3" s="1"/>
  <c r="DN17" i="3"/>
  <c r="DN18" i="3" s="1"/>
  <c r="DN19" i="3" s="1"/>
  <c r="DN20" i="3" s="1"/>
  <c r="DN37" i="3"/>
  <c r="DN38" i="3" s="1"/>
  <c r="DN39" i="3" s="1"/>
  <c r="DN40" i="3" s="1"/>
  <c r="DL54" i="3"/>
  <c r="F10" i="36" s="1"/>
  <c r="DC1" i="3"/>
  <c r="CW54" i="3"/>
  <c r="E10" i="36" s="1"/>
  <c r="CZ17" i="3"/>
  <c r="CZ18" i="3" s="1"/>
  <c r="CZ19" i="3" s="1"/>
  <c r="CZ20" i="3" s="1"/>
  <c r="CZ37" i="3"/>
  <c r="CZ38" i="3" s="1"/>
  <c r="CZ39" i="3" s="1"/>
  <c r="CZ40" i="3" s="1"/>
  <c r="CX54" i="3"/>
  <c r="F10" i="34" s="1"/>
  <c r="CN16" i="3"/>
  <c r="CJ55" i="3"/>
  <c r="CM37" i="3"/>
  <c r="CM38" i="3" s="1"/>
  <c r="CM39" i="3" s="1"/>
  <c r="CM40" i="3" s="1"/>
  <c r="CI55" i="3"/>
  <c r="BO70" i="3" s="1"/>
  <c r="CM17" i="3"/>
  <c r="CM18" i="3" s="1"/>
  <c r="CM19" i="3" s="1"/>
  <c r="CM20" i="3" s="1"/>
  <c r="BY37" i="3"/>
  <c r="BY38" i="3" s="1"/>
  <c r="AF11" i="14"/>
  <c r="B10" i="14"/>
  <c r="E11" i="31" l="1"/>
  <c r="E11" i="35"/>
  <c r="F10" i="31"/>
  <c r="F10" i="35"/>
  <c r="E11" i="29"/>
  <c r="E11" i="34"/>
  <c r="F10" i="29"/>
  <c r="F10" i="30"/>
  <c r="BS70" i="3"/>
  <c r="E11" i="30"/>
  <c r="F33" i="28"/>
  <c r="O21" i="28"/>
  <c r="F75" i="28"/>
  <c r="O63" i="28"/>
  <c r="F66" i="28"/>
  <c r="O54" i="28"/>
  <c r="E33" i="28"/>
  <c r="N21" i="28"/>
  <c r="E87" i="28"/>
  <c r="N75" i="28"/>
  <c r="F55" i="28"/>
  <c r="O43" i="28"/>
  <c r="E88" i="28"/>
  <c r="N76" i="28"/>
  <c r="E86" i="28"/>
  <c r="N74" i="28"/>
  <c r="F65" i="28"/>
  <c r="O53" i="28"/>
  <c r="E44" i="28"/>
  <c r="N32" i="28"/>
  <c r="F76" i="28"/>
  <c r="O64" i="28"/>
  <c r="F44" i="28"/>
  <c r="O32" i="28"/>
  <c r="F74" i="28"/>
  <c r="O62" i="28"/>
  <c r="E55" i="28"/>
  <c r="N43" i="28"/>
  <c r="E22" i="28"/>
  <c r="N10" i="28"/>
  <c r="E66" i="28"/>
  <c r="N54" i="28"/>
  <c r="E77" i="28"/>
  <c r="N65" i="28"/>
  <c r="F22" i="28"/>
  <c r="F116" i="34"/>
  <c r="O116" i="34" s="1"/>
  <c r="U116" i="34" s="1"/>
  <c r="E117" i="34"/>
  <c r="N117" i="34" s="1"/>
  <c r="E128" i="34"/>
  <c r="E140" i="34" s="1"/>
  <c r="E152" i="34" s="1"/>
  <c r="E164" i="34" s="1"/>
  <c r="E176" i="34" s="1"/>
  <c r="E188" i="34" s="1"/>
  <c r="F127" i="34"/>
  <c r="F139" i="34" s="1"/>
  <c r="F151" i="34" s="1"/>
  <c r="F163" i="34" s="1"/>
  <c r="F175" i="34" s="1"/>
  <c r="F187" i="34" s="1"/>
  <c r="E117" i="31"/>
  <c r="M117" i="31" s="1"/>
  <c r="F116" i="31"/>
  <c r="N116" i="31" s="1"/>
  <c r="E128" i="31"/>
  <c r="E140" i="31" s="1"/>
  <c r="E152" i="31" s="1"/>
  <c r="E164" i="31" s="1"/>
  <c r="E176" i="31" s="1"/>
  <c r="E188" i="31" s="1"/>
  <c r="E117" i="30"/>
  <c r="L117" i="30" s="1"/>
  <c r="F116" i="30"/>
  <c r="M116" i="30" s="1"/>
  <c r="E128" i="29"/>
  <c r="E140" i="29" s="1"/>
  <c r="E152" i="29" s="1"/>
  <c r="E164" i="29" s="1"/>
  <c r="E176" i="29" s="1"/>
  <c r="E188" i="29" s="1"/>
  <c r="F127" i="30"/>
  <c r="F139" i="30" s="1"/>
  <c r="F151" i="30" s="1"/>
  <c r="F163" i="30" s="1"/>
  <c r="F175" i="30" s="1"/>
  <c r="F187" i="30" s="1"/>
  <c r="E128" i="30"/>
  <c r="E140" i="30" s="1"/>
  <c r="E152" i="30" s="1"/>
  <c r="E164" i="30" s="1"/>
  <c r="E176" i="30" s="1"/>
  <c r="E188" i="30" s="1"/>
  <c r="E117" i="29"/>
  <c r="M117" i="29" s="1"/>
  <c r="F116" i="29"/>
  <c r="N116" i="29" s="1"/>
  <c r="S116" i="29" s="1"/>
  <c r="F127" i="29"/>
  <c r="F139" i="29" s="1"/>
  <c r="F151" i="29" s="1"/>
  <c r="F163" i="29" s="1"/>
  <c r="F175" i="29" s="1"/>
  <c r="F187" i="29" s="1"/>
  <c r="ED15" i="3"/>
  <c r="CO35" i="3"/>
  <c r="BM15" i="3"/>
  <c r="BM16" i="3" s="1"/>
  <c r="DP35" i="3"/>
  <c r="CO15" i="3"/>
  <c r="CA35" i="3"/>
  <c r="CB35" i="3" s="1"/>
  <c r="CB25" i="3"/>
  <c r="ED35" i="3"/>
  <c r="BM35" i="3"/>
  <c r="CA15" i="3"/>
  <c r="CB15" i="3" s="1"/>
  <c r="CB5" i="3"/>
  <c r="ES35" i="3"/>
  <c r="BY39" i="3"/>
  <c r="F21" i="36"/>
  <c r="F33" i="36" s="1"/>
  <c r="F45" i="36" s="1"/>
  <c r="F57" i="36" s="1"/>
  <c r="F69" i="36" s="1"/>
  <c r="F81" i="36" s="1"/>
  <c r="F93" i="36" s="1"/>
  <c r="F105" i="36" s="1"/>
  <c r="F117" i="36" s="1"/>
  <c r="F129" i="36" s="1"/>
  <c r="F141" i="36" s="1"/>
  <c r="F153" i="36" s="1"/>
  <c r="F165" i="36" s="1"/>
  <c r="F177" i="36" s="1"/>
  <c r="F189" i="36" s="1"/>
  <c r="E21" i="36"/>
  <c r="E33" i="36" s="1"/>
  <c r="E45" i="36" s="1"/>
  <c r="E57" i="36" s="1"/>
  <c r="E69" i="36" s="1"/>
  <c r="E81" i="36" s="1"/>
  <c r="E93" i="36" s="1"/>
  <c r="E105" i="36" s="1"/>
  <c r="E117" i="36" s="1"/>
  <c r="E129" i="36" s="1"/>
  <c r="E141" i="36" s="1"/>
  <c r="E153" i="36" s="1"/>
  <c r="E165" i="36" s="1"/>
  <c r="E177" i="36" s="1"/>
  <c r="E189" i="36" s="1"/>
  <c r="E22" i="35"/>
  <c r="E34" i="35" s="1"/>
  <c r="E46" i="35" s="1"/>
  <c r="E58" i="35" s="1"/>
  <c r="E70" i="35" s="1"/>
  <c r="E82" i="35" s="1"/>
  <c r="E94" i="35" s="1"/>
  <c r="E106" i="35" s="1"/>
  <c r="E118" i="35" s="1"/>
  <c r="E130" i="35" s="1"/>
  <c r="E142" i="35" s="1"/>
  <c r="E154" i="35" s="1"/>
  <c r="E166" i="35" s="1"/>
  <c r="E178" i="35" s="1"/>
  <c r="E190" i="35" s="1"/>
  <c r="F21" i="35"/>
  <c r="F33" i="35" s="1"/>
  <c r="F45" i="35" s="1"/>
  <c r="F57" i="35" s="1"/>
  <c r="F69" i="35" s="1"/>
  <c r="F81" i="35" s="1"/>
  <c r="F93" i="35" s="1"/>
  <c r="F105" i="35" s="1"/>
  <c r="F117" i="35" s="1"/>
  <c r="F129" i="35" s="1"/>
  <c r="F141" i="35" s="1"/>
  <c r="F153" i="35" s="1"/>
  <c r="F165" i="35" s="1"/>
  <c r="F177" i="35" s="1"/>
  <c r="F189" i="35" s="1"/>
  <c r="E22" i="34"/>
  <c r="E34" i="34" s="1"/>
  <c r="E46" i="34" s="1"/>
  <c r="E58" i="34" s="1"/>
  <c r="E70" i="34" s="1"/>
  <c r="E82" i="34" s="1"/>
  <c r="E94" i="34" s="1"/>
  <c r="E106" i="34" s="1"/>
  <c r="F21" i="34"/>
  <c r="F33" i="34" s="1"/>
  <c r="F45" i="34" s="1"/>
  <c r="F57" i="34" s="1"/>
  <c r="F69" i="34" s="1"/>
  <c r="F81" i="34" s="1"/>
  <c r="F93" i="34" s="1"/>
  <c r="F105" i="34" s="1"/>
  <c r="E22" i="31"/>
  <c r="E34" i="31" s="1"/>
  <c r="E46" i="31" s="1"/>
  <c r="E58" i="31" s="1"/>
  <c r="E70" i="31" s="1"/>
  <c r="E82" i="31" s="1"/>
  <c r="E94" i="31" s="1"/>
  <c r="E106" i="31" s="1"/>
  <c r="F21" i="31"/>
  <c r="F33" i="31" s="1"/>
  <c r="F45" i="31" s="1"/>
  <c r="F57" i="31" s="1"/>
  <c r="F69" i="31" s="1"/>
  <c r="F81" i="31" s="1"/>
  <c r="F93" i="31" s="1"/>
  <c r="F105" i="31" s="1"/>
  <c r="F21" i="30"/>
  <c r="F33" i="30" s="1"/>
  <c r="F45" i="30" s="1"/>
  <c r="F57" i="30" s="1"/>
  <c r="F69" i="30" s="1"/>
  <c r="F81" i="30" s="1"/>
  <c r="F93" i="30" s="1"/>
  <c r="F105" i="30" s="1"/>
  <c r="E22" i="30"/>
  <c r="E34" i="30" s="1"/>
  <c r="E46" i="30" s="1"/>
  <c r="E58" i="30" s="1"/>
  <c r="E70" i="30" s="1"/>
  <c r="E82" i="30" s="1"/>
  <c r="E94" i="30" s="1"/>
  <c r="E106" i="30" s="1"/>
  <c r="F21" i="29"/>
  <c r="F33" i="29" s="1"/>
  <c r="F45" i="29" s="1"/>
  <c r="F57" i="29" s="1"/>
  <c r="F69" i="29" s="1"/>
  <c r="F81" i="29" s="1"/>
  <c r="F93" i="29" s="1"/>
  <c r="F105" i="29" s="1"/>
  <c r="E22" i="29"/>
  <c r="E34" i="29" s="1"/>
  <c r="E46" i="29" s="1"/>
  <c r="E58" i="29" s="1"/>
  <c r="E70" i="29" s="1"/>
  <c r="E82" i="29" s="1"/>
  <c r="E94" i="29" s="1"/>
  <c r="E106" i="29" s="1"/>
  <c r="L75" i="36"/>
  <c r="L30" i="36"/>
  <c r="BM69" i="3"/>
  <c r="BN69" i="3"/>
  <c r="BL69" i="3"/>
  <c r="F11" i="28"/>
  <c r="O11" i="28" s="1"/>
  <c r="BP70" i="3"/>
  <c r="BQ70" i="3"/>
  <c r="R12" i="11"/>
  <c r="A122" i="14"/>
  <c r="A111" i="14"/>
  <c r="A80" i="14"/>
  <c r="A91" i="14"/>
  <c r="A113" i="14"/>
  <c r="A100" i="14"/>
  <c r="A90" i="14"/>
  <c r="M9" i="29"/>
  <c r="BZ37" i="3"/>
  <c r="BZ38" i="3" s="1"/>
  <c r="BZ39" i="3" s="1"/>
  <c r="BZ40" i="3" s="1"/>
  <c r="N52" i="34"/>
  <c r="L52" i="36"/>
  <c r="M52" i="31"/>
  <c r="M52" i="29"/>
  <c r="M52" i="35"/>
  <c r="L52" i="30"/>
  <c r="BM36" i="3"/>
  <c r="BM37" i="3" s="1"/>
  <c r="BM38" i="3" s="1"/>
  <c r="BM39" i="3" s="1"/>
  <c r="BM40" i="3" s="1"/>
  <c r="M9" i="31"/>
  <c r="M19" i="29"/>
  <c r="M42" i="31"/>
  <c r="M19" i="35"/>
  <c r="L53" i="30"/>
  <c r="M42" i="35"/>
  <c r="L53" i="36"/>
  <c r="N9" i="34"/>
  <c r="N53" i="34"/>
  <c r="L42" i="30"/>
  <c r="L8" i="36"/>
  <c r="BG56" i="3"/>
  <c r="BL17" i="3"/>
  <c r="BL18" i="3" s="1"/>
  <c r="BL19" i="3" s="1"/>
  <c r="BL20" i="3" s="1"/>
  <c r="E11" i="28"/>
  <c r="N42" i="34"/>
  <c r="M53" i="35"/>
  <c r="M19" i="31"/>
  <c r="EM56" i="3"/>
  <c r="BG71" i="3" s="1"/>
  <c r="ER17" i="3"/>
  <c r="ER18" i="3" s="1"/>
  <c r="ER19" i="3" s="1"/>
  <c r="ER20" i="3" s="1"/>
  <c r="M53" i="31"/>
  <c r="BL37" i="3"/>
  <c r="BL38" i="3" s="1"/>
  <c r="BL39" i="3" s="1"/>
  <c r="BL40" i="3" s="1"/>
  <c r="BH56" i="3"/>
  <c r="BT71" i="3" s="1"/>
  <c r="DB16" i="3"/>
  <c r="CW56" i="3" s="1"/>
  <c r="E12" i="36" s="1"/>
  <c r="L19" i="36"/>
  <c r="L19" i="30"/>
  <c r="M53" i="29"/>
  <c r="M8" i="29"/>
  <c r="L8" i="30"/>
  <c r="L42" i="36"/>
  <c r="M8" i="31"/>
  <c r="N19" i="34"/>
  <c r="N8" i="34"/>
  <c r="M8" i="35"/>
  <c r="M42" i="29"/>
  <c r="M9" i="35"/>
  <c r="M38" i="30"/>
  <c r="N38" i="35"/>
  <c r="M50" i="29"/>
  <c r="M39" i="30"/>
  <c r="DP36" i="3"/>
  <c r="EE23" i="3"/>
  <c r="EE3" i="3"/>
  <c r="EE9" i="3"/>
  <c r="EE11" i="3"/>
  <c r="EE5" i="3"/>
  <c r="EE15" i="3" s="1"/>
  <c r="EE7" i="3"/>
  <c r="EE28" i="3"/>
  <c r="EE29" i="3"/>
  <c r="EE10" i="3"/>
  <c r="EE24" i="3"/>
  <c r="EE25" i="3"/>
  <c r="EE31" i="3"/>
  <c r="EE12" i="3"/>
  <c r="EE6" i="3"/>
  <c r="EE27" i="3"/>
  <c r="EE8" i="3"/>
  <c r="EE30" i="3"/>
  <c r="EE4" i="3"/>
  <c r="EE26" i="3"/>
  <c r="EE13" i="3"/>
  <c r="EE32" i="3"/>
  <c r="EE33" i="3"/>
  <c r="DP16" i="3"/>
  <c r="DK56" i="3" s="1"/>
  <c r="BK71" i="3" s="1"/>
  <c r="N50" i="34"/>
  <c r="L50" i="30"/>
  <c r="ES16" i="3"/>
  <c r="M39" i="36"/>
  <c r="N39" i="31"/>
  <c r="CA16" i="3"/>
  <c r="CB16" i="3" s="1"/>
  <c r="L50" i="36"/>
  <c r="O38" i="34"/>
  <c r="DC3" i="3"/>
  <c r="DC23" i="3"/>
  <c r="DC29" i="3"/>
  <c r="DC30" i="3"/>
  <c r="DC9" i="3"/>
  <c r="DC28" i="3"/>
  <c r="DC11" i="3"/>
  <c r="DC7" i="3"/>
  <c r="DC26" i="3"/>
  <c r="DC5" i="3"/>
  <c r="DC24" i="3"/>
  <c r="DC12" i="3"/>
  <c r="DC8" i="3"/>
  <c r="DC10" i="3"/>
  <c r="DC31" i="3"/>
  <c r="DC4" i="3"/>
  <c r="DC6" i="3"/>
  <c r="DC25" i="3"/>
  <c r="DC27" i="3"/>
  <c r="DC13" i="3"/>
  <c r="DC32" i="3"/>
  <c r="DC33" i="3"/>
  <c r="M50" i="31"/>
  <c r="N38" i="29"/>
  <c r="ES36" i="3"/>
  <c r="O39" i="34"/>
  <c r="N39" i="35"/>
  <c r="N38" i="31"/>
  <c r="M50" i="35"/>
  <c r="CO16" i="3"/>
  <c r="N39" i="29"/>
  <c r="ED36" i="3"/>
  <c r="ED37" i="3" s="1"/>
  <c r="ED38" i="3" s="1"/>
  <c r="ED39" i="3" s="1"/>
  <c r="ED40" i="3" s="1"/>
  <c r="DQ27" i="3"/>
  <c r="DQ3" i="3"/>
  <c r="DQ23" i="3"/>
  <c r="DQ31" i="3"/>
  <c r="DQ8" i="3"/>
  <c r="DQ29" i="3"/>
  <c r="DQ4" i="3"/>
  <c r="DQ9" i="3"/>
  <c r="DQ25" i="3"/>
  <c r="DQ5" i="3"/>
  <c r="DQ11" i="3"/>
  <c r="DQ10" i="3"/>
  <c r="DQ6" i="3"/>
  <c r="DQ7" i="3"/>
  <c r="DQ26" i="3"/>
  <c r="DQ28" i="3"/>
  <c r="DQ30" i="3"/>
  <c r="DQ24" i="3"/>
  <c r="DQ12" i="3"/>
  <c r="DQ13" i="3"/>
  <c r="DQ32" i="3"/>
  <c r="DQ33" i="3"/>
  <c r="CO36" i="3"/>
  <c r="CJ57" i="3" s="1"/>
  <c r="M38" i="36"/>
  <c r="ER37" i="3"/>
  <c r="ER38" i="3" s="1"/>
  <c r="ER39" i="3" s="1"/>
  <c r="ER40" i="3" s="1"/>
  <c r="EN56" i="3"/>
  <c r="BH71" i="3" s="1"/>
  <c r="DB36" i="3"/>
  <c r="CX56" i="3" s="1"/>
  <c r="F12" i="34" s="1"/>
  <c r="ED16" i="3"/>
  <c r="BU11" i="14"/>
  <c r="BG12" i="14"/>
  <c r="BZ17" i="3"/>
  <c r="BZ18" i="3" s="1"/>
  <c r="BZ19" i="3" s="1"/>
  <c r="BZ20" i="3" s="1"/>
  <c r="BU56" i="3"/>
  <c r="M41" i="36"/>
  <c r="M30" i="36"/>
  <c r="M31" i="36"/>
  <c r="L87" i="36"/>
  <c r="M52" i="36"/>
  <c r="M8" i="36"/>
  <c r="N18" i="35"/>
  <c r="N40" i="35"/>
  <c r="N19" i="35"/>
  <c r="N29" i="35"/>
  <c r="M75" i="35"/>
  <c r="M99" i="35"/>
  <c r="N99" i="34"/>
  <c r="N75" i="34"/>
  <c r="O41" i="34"/>
  <c r="O52" i="34"/>
  <c r="O30" i="34"/>
  <c r="O19" i="34"/>
  <c r="O8" i="34"/>
  <c r="N29" i="31"/>
  <c r="M99" i="31"/>
  <c r="M75" i="31"/>
  <c r="N40" i="31"/>
  <c r="N19" i="31"/>
  <c r="N18" i="31"/>
  <c r="M40" i="30"/>
  <c r="M7" i="30"/>
  <c r="M18" i="30"/>
  <c r="M29" i="30"/>
  <c r="L75" i="30"/>
  <c r="L99" i="30"/>
  <c r="N18" i="29"/>
  <c r="M99" i="29"/>
  <c r="M75" i="29"/>
  <c r="N29" i="29"/>
  <c r="N40" i="29"/>
  <c r="N7" i="29"/>
  <c r="BU10" i="14"/>
  <c r="EC37" i="3"/>
  <c r="EC38" i="3" s="1"/>
  <c r="EC39" i="3" s="1"/>
  <c r="EC40" i="3" s="1"/>
  <c r="DZ55" i="3"/>
  <c r="BJ70" i="3" s="1"/>
  <c r="DK55" i="3"/>
  <c r="BK70" i="3" s="1"/>
  <c r="DO17" i="3"/>
  <c r="DO18" i="3" s="1"/>
  <c r="DO19" i="3" s="1"/>
  <c r="DO20" i="3" s="1"/>
  <c r="DO37" i="3"/>
  <c r="DO38" i="3" s="1"/>
  <c r="DO39" i="3" s="1"/>
  <c r="DO40" i="3" s="1"/>
  <c r="DL55" i="3"/>
  <c r="F11" i="36" s="1"/>
  <c r="CX55" i="3"/>
  <c r="F11" i="34" s="1"/>
  <c r="DA37" i="3"/>
  <c r="DA38" i="3" s="1"/>
  <c r="DA39" i="3" s="1"/>
  <c r="DA40" i="3" s="1"/>
  <c r="CW55" i="3"/>
  <c r="E11" i="36" s="1"/>
  <c r="DA17" i="3"/>
  <c r="DA18" i="3" s="1"/>
  <c r="DA19" i="3" s="1"/>
  <c r="DA20" i="3" s="1"/>
  <c r="CI56" i="3"/>
  <c r="BO71" i="3" s="1"/>
  <c r="CN17" i="3"/>
  <c r="CN18" i="3" s="1"/>
  <c r="CN19" i="3" s="1"/>
  <c r="CN20" i="3" s="1"/>
  <c r="CJ56" i="3"/>
  <c r="CN37" i="3"/>
  <c r="CN38" i="3" s="1"/>
  <c r="CN39" i="3" s="1"/>
  <c r="CN40" i="3" s="1"/>
  <c r="CA36" i="3"/>
  <c r="B11" i="14"/>
  <c r="B12" i="14" s="1"/>
  <c r="F11" i="31" l="1"/>
  <c r="F11" i="35"/>
  <c r="E12" i="31"/>
  <c r="E12" i="35"/>
  <c r="E12" i="29"/>
  <c r="E12" i="34"/>
  <c r="F11" i="29"/>
  <c r="F11" i="30"/>
  <c r="F12" i="29"/>
  <c r="F12" i="30"/>
  <c r="BS71" i="3"/>
  <c r="E12" i="30"/>
  <c r="BU12" i="14"/>
  <c r="BG13" i="14"/>
  <c r="BU13" i="14" s="1"/>
  <c r="B13" i="14"/>
  <c r="U12" i="14"/>
  <c r="AO12" i="14"/>
  <c r="E78" i="28"/>
  <c r="N66" i="28"/>
  <c r="E98" i="28"/>
  <c r="N86" i="28"/>
  <c r="E34" i="28"/>
  <c r="N22" i="28"/>
  <c r="E100" i="28"/>
  <c r="N88" i="28"/>
  <c r="E67" i="28"/>
  <c r="N55" i="28"/>
  <c r="F67" i="28"/>
  <c r="O55" i="28"/>
  <c r="E23" i="28"/>
  <c r="N11" i="28"/>
  <c r="F86" i="28"/>
  <c r="O74" i="28"/>
  <c r="E99" i="28"/>
  <c r="N87" i="28"/>
  <c r="F56" i="28"/>
  <c r="O44" i="28"/>
  <c r="E45" i="28"/>
  <c r="N33" i="28"/>
  <c r="F88" i="28"/>
  <c r="O76" i="28"/>
  <c r="F78" i="28"/>
  <c r="O66" i="28"/>
  <c r="F34" i="28"/>
  <c r="O22" i="28"/>
  <c r="E56" i="28"/>
  <c r="N44" i="28"/>
  <c r="F87" i="28"/>
  <c r="O75" i="28"/>
  <c r="E89" i="28"/>
  <c r="N77" i="28"/>
  <c r="F77" i="28"/>
  <c r="O65" i="28"/>
  <c r="F45" i="28"/>
  <c r="O33" i="28"/>
  <c r="F23" i="28"/>
  <c r="E118" i="34"/>
  <c r="N118" i="34" s="1"/>
  <c r="E129" i="34"/>
  <c r="E141" i="34" s="1"/>
  <c r="E153" i="34" s="1"/>
  <c r="E165" i="34" s="1"/>
  <c r="E177" i="34" s="1"/>
  <c r="E189" i="34" s="1"/>
  <c r="F128" i="34"/>
  <c r="F140" i="34" s="1"/>
  <c r="F152" i="34" s="1"/>
  <c r="F164" i="34" s="1"/>
  <c r="F176" i="34" s="1"/>
  <c r="F188" i="34" s="1"/>
  <c r="F117" i="34"/>
  <c r="O117" i="34" s="1"/>
  <c r="U117" i="34" s="1"/>
  <c r="F117" i="31"/>
  <c r="N117" i="31" s="1"/>
  <c r="E118" i="31"/>
  <c r="M118" i="31" s="1"/>
  <c r="F128" i="31"/>
  <c r="F140" i="31" s="1"/>
  <c r="F152" i="31" s="1"/>
  <c r="F164" i="31" s="1"/>
  <c r="F176" i="31" s="1"/>
  <c r="F188" i="31" s="1"/>
  <c r="E129" i="31"/>
  <c r="E141" i="31" s="1"/>
  <c r="E153" i="31" s="1"/>
  <c r="E165" i="31" s="1"/>
  <c r="E177" i="31" s="1"/>
  <c r="E189" i="31" s="1"/>
  <c r="E118" i="30"/>
  <c r="L118" i="30" s="1"/>
  <c r="F117" i="30"/>
  <c r="M117" i="30" s="1"/>
  <c r="F128" i="30"/>
  <c r="F140" i="30" s="1"/>
  <c r="F152" i="30" s="1"/>
  <c r="F164" i="30" s="1"/>
  <c r="F176" i="30" s="1"/>
  <c r="F188" i="30" s="1"/>
  <c r="E129" i="30"/>
  <c r="E141" i="30" s="1"/>
  <c r="E153" i="30" s="1"/>
  <c r="E165" i="30" s="1"/>
  <c r="E177" i="30" s="1"/>
  <c r="E189" i="30" s="1"/>
  <c r="E118" i="29"/>
  <c r="M118" i="29" s="1"/>
  <c r="F117" i="29"/>
  <c r="N117" i="29" s="1"/>
  <c r="S117" i="29" s="1"/>
  <c r="F128" i="29"/>
  <c r="F140" i="29" s="1"/>
  <c r="F152" i="29" s="1"/>
  <c r="F164" i="29" s="1"/>
  <c r="F176" i="29" s="1"/>
  <c r="F188" i="29" s="1"/>
  <c r="E129" i="29"/>
  <c r="E141" i="29" s="1"/>
  <c r="E153" i="29" s="1"/>
  <c r="E165" i="29" s="1"/>
  <c r="E177" i="29" s="1"/>
  <c r="E189" i="29" s="1"/>
  <c r="DC35" i="3"/>
  <c r="DQ15" i="3"/>
  <c r="DQ35" i="3"/>
  <c r="DC15" i="3"/>
  <c r="EE35" i="3"/>
  <c r="EE36" i="3" s="1"/>
  <c r="BV57" i="3"/>
  <c r="BR72" i="3" s="1"/>
  <c r="CB36" i="3"/>
  <c r="BY40" i="3"/>
  <c r="E22" i="36"/>
  <c r="E34" i="36" s="1"/>
  <c r="E46" i="36" s="1"/>
  <c r="E58" i="36" s="1"/>
  <c r="E70" i="36" s="1"/>
  <c r="E82" i="36" s="1"/>
  <c r="E94" i="36" s="1"/>
  <c r="E106" i="36" s="1"/>
  <c r="E118" i="36" s="1"/>
  <c r="E130" i="36" s="1"/>
  <c r="E142" i="36" s="1"/>
  <c r="E154" i="36" s="1"/>
  <c r="E166" i="36" s="1"/>
  <c r="E178" i="36" s="1"/>
  <c r="E190" i="36" s="1"/>
  <c r="F22" i="36"/>
  <c r="F34" i="36" s="1"/>
  <c r="F46" i="36" s="1"/>
  <c r="F58" i="36" s="1"/>
  <c r="F70" i="36" s="1"/>
  <c r="F82" i="36" s="1"/>
  <c r="F94" i="36" s="1"/>
  <c r="F106" i="36" s="1"/>
  <c r="F118" i="36" s="1"/>
  <c r="F130" i="36" s="1"/>
  <c r="F142" i="36" s="1"/>
  <c r="F154" i="36" s="1"/>
  <c r="F166" i="36" s="1"/>
  <c r="F178" i="36" s="1"/>
  <c r="F190" i="36" s="1"/>
  <c r="E23" i="35"/>
  <c r="E35" i="35" s="1"/>
  <c r="E47" i="35" s="1"/>
  <c r="E59" i="35" s="1"/>
  <c r="E71" i="35" s="1"/>
  <c r="E83" i="35" s="1"/>
  <c r="E95" i="35" s="1"/>
  <c r="E107" i="35" s="1"/>
  <c r="E119" i="35" s="1"/>
  <c r="E131" i="35" s="1"/>
  <c r="E143" i="35" s="1"/>
  <c r="E155" i="35" s="1"/>
  <c r="E167" i="35" s="1"/>
  <c r="E179" i="35" s="1"/>
  <c r="E191" i="35" s="1"/>
  <c r="F22" i="35"/>
  <c r="F34" i="35" s="1"/>
  <c r="F46" i="35" s="1"/>
  <c r="F58" i="35" s="1"/>
  <c r="F70" i="35" s="1"/>
  <c r="F82" i="35" s="1"/>
  <c r="F94" i="35" s="1"/>
  <c r="F106" i="35" s="1"/>
  <c r="F118" i="35" s="1"/>
  <c r="F130" i="35" s="1"/>
  <c r="F142" i="35" s="1"/>
  <c r="F154" i="35" s="1"/>
  <c r="F166" i="35" s="1"/>
  <c r="F178" i="35" s="1"/>
  <c r="F190" i="35" s="1"/>
  <c r="E23" i="34"/>
  <c r="E35" i="34" s="1"/>
  <c r="E47" i="34" s="1"/>
  <c r="E59" i="34" s="1"/>
  <c r="E71" i="34" s="1"/>
  <c r="E83" i="34" s="1"/>
  <c r="E95" i="34" s="1"/>
  <c r="E107" i="34" s="1"/>
  <c r="F22" i="34"/>
  <c r="F34" i="34" s="1"/>
  <c r="F46" i="34" s="1"/>
  <c r="F58" i="34" s="1"/>
  <c r="F70" i="34" s="1"/>
  <c r="F82" i="34" s="1"/>
  <c r="F94" i="34" s="1"/>
  <c r="F106" i="34" s="1"/>
  <c r="E23" i="31"/>
  <c r="E35" i="31" s="1"/>
  <c r="E47" i="31" s="1"/>
  <c r="E59" i="31" s="1"/>
  <c r="E71" i="31" s="1"/>
  <c r="E83" i="31" s="1"/>
  <c r="E95" i="31" s="1"/>
  <c r="E107" i="31" s="1"/>
  <c r="F22" i="31"/>
  <c r="F34" i="31" s="1"/>
  <c r="F46" i="31" s="1"/>
  <c r="F58" i="31" s="1"/>
  <c r="F70" i="31" s="1"/>
  <c r="F82" i="31" s="1"/>
  <c r="F94" i="31" s="1"/>
  <c r="F106" i="31" s="1"/>
  <c r="E23" i="30"/>
  <c r="E35" i="30" s="1"/>
  <c r="E47" i="30" s="1"/>
  <c r="E59" i="30" s="1"/>
  <c r="E71" i="30" s="1"/>
  <c r="E83" i="30" s="1"/>
  <c r="E95" i="30" s="1"/>
  <c r="E107" i="30" s="1"/>
  <c r="F22" i="30"/>
  <c r="F34" i="30" s="1"/>
  <c r="F46" i="30" s="1"/>
  <c r="F58" i="30" s="1"/>
  <c r="F70" i="30" s="1"/>
  <c r="F82" i="30" s="1"/>
  <c r="F94" i="30" s="1"/>
  <c r="F106" i="30" s="1"/>
  <c r="E23" i="29"/>
  <c r="E35" i="29" s="1"/>
  <c r="E47" i="29" s="1"/>
  <c r="E59" i="29" s="1"/>
  <c r="E71" i="29" s="1"/>
  <c r="E83" i="29" s="1"/>
  <c r="E95" i="29" s="1"/>
  <c r="E107" i="29" s="1"/>
  <c r="F22" i="29"/>
  <c r="F34" i="29" s="1"/>
  <c r="F46" i="29" s="1"/>
  <c r="F58" i="29" s="1"/>
  <c r="F70" i="29" s="1"/>
  <c r="F82" i="29" s="1"/>
  <c r="F94" i="29" s="1"/>
  <c r="F106" i="29" s="1"/>
  <c r="Q30" i="36"/>
  <c r="L9" i="36"/>
  <c r="F13" i="28"/>
  <c r="O13" i="28" s="1"/>
  <c r="BP72" i="3"/>
  <c r="BM71" i="3"/>
  <c r="BQ71" i="3"/>
  <c r="F12" i="28"/>
  <c r="BP71" i="3"/>
  <c r="BL70" i="3"/>
  <c r="BM70" i="3"/>
  <c r="BN70" i="3"/>
  <c r="BN71" i="3"/>
  <c r="R13" i="11"/>
  <c r="A102" i="14"/>
  <c r="A112" i="14"/>
  <c r="A125" i="14"/>
  <c r="A103" i="14"/>
  <c r="A92" i="14"/>
  <c r="A123" i="14"/>
  <c r="N23" i="14"/>
  <c r="M21" i="29"/>
  <c r="L9" i="30"/>
  <c r="DB17" i="3"/>
  <c r="DB18" i="3" s="1"/>
  <c r="DB19" i="3" s="1"/>
  <c r="DB20" i="3" s="1"/>
  <c r="DP17" i="3"/>
  <c r="DP18" i="3" s="1"/>
  <c r="DP19" i="3" s="1"/>
  <c r="DP20" i="3" s="1"/>
  <c r="CO37" i="3"/>
  <c r="CO38" i="3" s="1"/>
  <c r="CO39" i="3" s="1"/>
  <c r="CO40" i="3" s="1"/>
  <c r="AF23" i="14"/>
  <c r="DB37" i="3"/>
  <c r="DB38" i="3" s="1"/>
  <c r="DB39" i="3" s="1"/>
  <c r="DB40" i="3" s="1"/>
  <c r="L64" i="30"/>
  <c r="M64" i="35"/>
  <c r="BH57" i="3"/>
  <c r="BT72" i="3" s="1"/>
  <c r="M64" i="29"/>
  <c r="M64" i="31"/>
  <c r="L64" i="36"/>
  <c r="N64" i="34"/>
  <c r="DZ56" i="3"/>
  <c r="BJ71" i="3" s="1"/>
  <c r="M54" i="35"/>
  <c r="M54" i="29"/>
  <c r="E12" i="28"/>
  <c r="L54" i="36"/>
  <c r="M31" i="31"/>
  <c r="L31" i="30"/>
  <c r="L21" i="30"/>
  <c r="L65" i="30"/>
  <c r="M20" i="35"/>
  <c r="M65" i="35"/>
  <c r="L20" i="30"/>
  <c r="L20" i="36"/>
  <c r="M31" i="35"/>
  <c r="L31" i="36"/>
  <c r="Q31" i="36" s="1"/>
  <c r="L54" i="30"/>
  <c r="M54" i="31"/>
  <c r="N54" i="34"/>
  <c r="M31" i="29"/>
  <c r="N65" i="34"/>
  <c r="N20" i="34"/>
  <c r="M20" i="29"/>
  <c r="BG57" i="3"/>
  <c r="BM17" i="3"/>
  <c r="BM18" i="3" s="1"/>
  <c r="BM19" i="3" s="1"/>
  <c r="BM20" i="3" s="1"/>
  <c r="DQ36" i="3"/>
  <c r="M65" i="31"/>
  <c r="N21" i="34"/>
  <c r="M21" i="35"/>
  <c r="N31" i="34"/>
  <c r="M21" i="31"/>
  <c r="L65" i="36"/>
  <c r="L21" i="36"/>
  <c r="M20" i="31"/>
  <c r="M65" i="29"/>
  <c r="M62" i="31"/>
  <c r="O50" i="34"/>
  <c r="L62" i="30"/>
  <c r="L62" i="36"/>
  <c r="M51" i="30"/>
  <c r="N50" i="31"/>
  <c r="N62" i="34"/>
  <c r="N51" i="29"/>
  <c r="N51" i="35"/>
  <c r="M62" i="29"/>
  <c r="DC36" i="3"/>
  <c r="O51" i="34"/>
  <c r="N50" i="35"/>
  <c r="M50" i="36"/>
  <c r="DC16" i="3"/>
  <c r="EN57" i="3"/>
  <c r="BH72" i="3" s="1"/>
  <c r="ES37" i="3"/>
  <c r="ES38" i="3" s="1"/>
  <c r="ES39" i="3" s="1"/>
  <c r="ES40" i="3" s="1"/>
  <c r="N51" i="31"/>
  <c r="DQ16" i="3"/>
  <c r="M62" i="35"/>
  <c r="M50" i="30"/>
  <c r="M51" i="36"/>
  <c r="Q51" i="36" s="1"/>
  <c r="EE16" i="3"/>
  <c r="N50" i="29"/>
  <c r="EM57" i="3"/>
  <c r="BG72" i="3" s="1"/>
  <c r="ES17" i="3"/>
  <c r="ES18" i="3" s="1"/>
  <c r="ES19" i="3" s="1"/>
  <c r="ES20" i="3" s="1"/>
  <c r="CA17" i="3"/>
  <c r="BU57" i="3"/>
  <c r="M20" i="36"/>
  <c r="M9" i="36"/>
  <c r="M42" i="36"/>
  <c r="M43" i="36"/>
  <c r="M53" i="36"/>
  <c r="M64" i="36"/>
  <c r="N41" i="35"/>
  <c r="N30" i="35"/>
  <c r="N52" i="35"/>
  <c r="M87" i="35"/>
  <c r="N31" i="35"/>
  <c r="N8" i="35"/>
  <c r="O53" i="34"/>
  <c r="N87" i="34"/>
  <c r="O64" i="34"/>
  <c r="O9" i="34"/>
  <c r="O31" i="34"/>
  <c r="O20" i="34"/>
  <c r="O42" i="34"/>
  <c r="N31" i="31"/>
  <c r="N52" i="31"/>
  <c r="N8" i="31"/>
  <c r="M87" i="31"/>
  <c r="N30" i="31"/>
  <c r="N41" i="31"/>
  <c r="M41" i="30"/>
  <c r="L87" i="30"/>
  <c r="M30" i="30"/>
  <c r="M19" i="30"/>
  <c r="M8" i="30"/>
  <c r="M52" i="30"/>
  <c r="N8" i="29"/>
  <c r="N30" i="29"/>
  <c r="N52" i="29"/>
  <c r="M87" i="29"/>
  <c r="N41" i="29"/>
  <c r="N19" i="29"/>
  <c r="DY56" i="3"/>
  <c r="BI71" i="3" s="1"/>
  <c r="ED17" i="3"/>
  <c r="ED18" i="3" s="1"/>
  <c r="ED19" i="3" s="1"/>
  <c r="ED20" i="3" s="1"/>
  <c r="DP37" i="3"/>
  <c r="DP38" i="3" s="1"/>
  <c r="DP39" i="3" s="1"/>
  <c r="DP40" i="3" s="1"/>
  <c r="DL56" i="3"/>
  <c r="F12" i="36" s="1"/>
  <c r="CI57" i="3"/>
  <c r="BO72" i="3" s="1"/>
  <c r="CO17" i="3"/>
  <c r="CO18" i="3" s="1"/>
  <c r="CO19" i="3" s="1"/>
  <c r="CO20" i="3" s="1"/>
  <c r="CA37" i="3"/>
  <c r="N14" i="14"/>
  <c r="F12" i="31" l="1"/>
  <c r="F12" i="35"/>
  <c r="E13" i="31"/>
  <c r="E13" i="35"/>
  <c r="E13" i="29"/>
  <c r="E13" i="34"/>
  <c r="BS72" i="3"/>
  <c r="E13" i="30"/>
  <c r="N15" i="14"/>
  <c r="U13" i="14"/>
  <c r="BR13" i="14"/>
  <c r="BV13" i="14"/>
  <c r="AK13" i="14"/>
  <c r="BB13" i="14"/>
  <c r="AG13" i="14"/>
  <c r="K13" i="14"/>
  <c r="G13" i="14"/>
  <c r="BN13" i="14"/>
  <c r="O13" i="14"/>
  <c r="C13" i="14"/>
  <c r="AX13" i="14"/>
  <c r="BH13" i="14"/>
  <c r="AO13" i="14"/>
  <c r="AT13" i="14"/>
  <c r="AA13" i="14"/>
  <c r="F99" i="28"/>
  <c r="O87" i="28"/>
  <c r="F98" i="28"/>
  <c r="O86" i="28"/>
  <c r="E68" i="28"/>
  <c r="N56" i="28"/>
  <c r="E35" i="28"/>
  <c r="N23" i="28"/>
  <c r="E24" i="28"/>
  <c r="N12" i="28"/>
  <c r="F46" i="28"/>
  <c r="O34" i="28"/>
  <c r="F79" i="28"/>
  <c r="O67" i="28"/>
  <c r="F90" i="28"/>
  <c r="O78" i="28"/>
  <c r="E79" i="28"/>
  <c r="N67" i="28"/>
  <c r="F35" i="28"/>
  <c r="O23" i="28"/>
  <c r="F100" i="28"/>
  <c r="O88" i="28"/>
  <c r="E112" i="28"/>
  <c r="N100" i="28"/>
  <c r="F57" i="28"/>
  <c r="O45" i="28"/>
  <c r="E57" i="28"/>
  <c r="N45" i="28"/>
  <c r="E46" i="28"/>
  <c r="N34" i="28"/>
  <c r="F24" i="28"/>
  <c r="O12" i="28"/>
  <c r="F89" i="28"/>
  <c r="O77" i="28"/>
  <c r="F68" i="28"/>
  <c r="O56" i="28"/>
  <c r="E110" i="28"/>
  <c r="N98" i="28"/>
  <c r="E101" i="28"/>
  <c r="N89" i="28"/>
  <c r="E111" i="28"/>
  <c r="N99" i="28"/>
  <c r="E90" i="28"/>
  <c r="N78" i="28"/>
  <c r="F25" i="28"/>
  <c r="AF14" i="14"/>
  <c r="AF15" i="14" s="1"/>
  <c r="F118" i="34"/>
  <c r="O118" i="34" s="1"/>
  <c r="E119" i="34"/>
  <c r="N119" i="34" s="1"/>
  <c r="F129" i="34"/>
  <c r="F141" i="34" s="1"/>
  <c r="F153" i="34" s="1"/>
  <c r="F165" i="34" s="1"/>
  <c r="F177" i="34" s="1"/>
  <c r="F189" i="34" s="1"/>
  <c r="E130" i="34"/>
  <c r="E142" i="34" s="1"/>
  <c r="E154" i="34" s="1"/>
  <c r="E166" i="34" s="1"/>
  <c r="E178" i="34" s="1"/>
  <c r="E190" i="34" s="1"/>
  <c r="F118" i="31"/>
  <c r="N118" i="31" s="1"/>
  <c r="E119" i="31"/>
  <c r="M119" i="31" s="1"/>
  <c r="E130" i="31"/>
  <c r="E142" i="31" s="1"/>
  <c r="E154" i="31" s="1"/>
  <c r="E166" i="31" s="1"/>
  <c r="E178" i="31" s="1"/>
  <c r="E190" i="31" s="1"/>
  <c r="F129" i="31"/>
  <c r="F141" i="31" s="1"/>
  <c r="F153" i="31" s="1"/>
  <c r="F165" i="31" s="1"/>
  <c r="F177" i="31" s="1"/>
  <c r="F189" i="31" s="1"/>
  <c r="F118" i="30"/>
  <c r="M118" i="30" s="1"/>
  <c r="E119" i="30"/>
  <c r="L119" i="30" s="1"/>
  <c r="F129" i="30"/>
  <c r="F141" i="30" s="1"/>
  <c r="F153" i="30" s="1"/>
  <c r="F165" i="30" s="1"/>
  <c r="F177" i="30" s="1"/>
  <c r="F189" i="30" s="1"/>
  <c r="E130" i="30"/>
  <c r="E142" i="30" s="1"/>
  <c r="E154" i="30" s="1"/>
  <c r="E166" i="30" s="1"/>
  <c r="E178" i="30" s="1"/>
  <c r="E190" i="30" s="1"/>
  <c r="F118" i="29"/>
  <c r="N118" i="29" s="1"/>
  <c r="S118" i="29" s="1"/>
  <c r="E119" i="29"/>
  <c r="M119" i="29" s="1"/>
  <c r="F129" i="29"/>
  <c r="F141" i="29" s="1"/>
  <c r="F153" i="29" s="1"/>
  <c r="F165" i="29" s="1"/>
  <c r="F177" i="29" s="1"/>
  <c r="F189" i="29" s="1"/>
  <c r="E130" i="29"/>
  <c r="E142" i="29" s="1"/>
  <c r="E154" i="29" s="1"/>
  <c r="E166" i="29" s="1"/>
  <c r="E178" i="29" s="1"/>
  <c r="E190" i="29" s="1"/>
  <c r="CA38" i="3"/>
  <c r="CB37" i="3"/>
  <c r="CA18" i="3"/>
  <c r="CB17" i="3"/>
  <c r="E24" i="36"/>
  <c r="E36" i="36" s="1"/>
  <c r="E48" i="36" s="1"/>
  <c r="E60" i="36" s="1"/>
  <c r="E72" i="36" s="1"/>
  <c r="E84" i="36" s="1"/>
  <c r="E96" i="36" s="1"/>
  <c r="E108" i="36" s="1"/>
  <c r="E120" i="36" s="1"/>
  <c r="E132" i="36" s="1"/>
  <c r="E144" i="36" s="1"/>
  <c r="E156" i="36" s="1"/>
  <c r="E168" i="36" s="1"/>
  <c r="E180" i="36" s="1"/>
  <c r="E192" i="36" s="1"/>
  <c r="E23" i="36"/>
  <c r="E35" i="36" s="1"/>
  <c r="E47" i="36" s="1"/>
  <c r="E59" i="36" s="1"/>
  <c r="E71" i="36" s="1"/>
  <c r="E83" i="36" s="1"/>
  <c r="E95" i="36" s="1"/>
  <c r="E107" i="36" s="1"/>
  <c r="E119" i="36" s="1"/>
  <c r="E131" i="36" s="1"/>
  <c r="E143" i="36" s="1"/>
  <c r="E155" i="36" s="1"/>
  <c r="E167" i="36" s="1"/>
  <c r="E179" i="36" s="1"/>
  <c r="E191" i="36" s="1"/>
  <c r="F23" i="36"/>
  <c r="F35" i="36" s="1"/>
  <c r="F47" i="36" s="1"/>
  <c r="F59" i="36" s="1"/>
  <c r="F71" i="36" s="1"/>
  <c r="F83" i="36" s="1"/>
  <c r="F95" i="36" s="1"/>
  <c r="F107" i="36" s="1"/>
  <c r="F119" i="36" s="1"/>
  <c r="F131" i="36" s="1"/>
  <c r="F143" i="36" s="1"/>
  <c r="F155" i="36" s="1"/>
  <c r="F167" i="36" s="1"/>
  <c r="F179" i="36" s="1"/>
  <c r="F191" i="36" s="1"/>
  <c r="E24" i="35"/>
  <c r="E36" i="35" s="1"/>
  <c r="E48" i="35" s="1"/>
  <c r="E60" i="35" s="1"/>
  <c r="E72" i="35" s="1"/>
  <c r="E84" i="35" s="1"/>
  <c r="E96" i="35" s="1"/>
  <c r="E108" i="35" s="1"/>
  <c r="E120" i="35" s="1"/>
  <c r="E132" i="35" s="1"/>
  <c r="E144" i="35" s="1"/>
  <c r="E156" i="35" s="1"/>
  <c r="E168" i="35" s="1"/>
  <c r="E180" i="35" s="1"/>
  <c r="E192" i="35" s="1"/>
  <c r="F23" i="35"/>
  <c r="F35" i="35" s="1"/>
  <c r="F47" i="35" s="1"/>
  <c r="F59" i="35" s="1"/>
  <c r="F71" i="35" s="1"/>
  <c r="F83" i="35" s="1"/>
  <c r="F95" i="35" s="1"/>
  <c r="F107" i="35" s="1"/>
  <c r="F119" i="35" s="1"/>
  <c r="F131" i="35" s="1"/>
  <c r="F143" i="35" s="1"/>
  <c r="F155" i="35" s="1"/>
  <c r="F167" i="35" s="1"/>
  <c r="F179" i="35" s="1"/>
  <c r="F191" i="35" s="1"/>
  <c r="E24" i="34"/>
  <c r="E36" i="34" s="1"/>
  <c r="E48" i="34" s="1"/>
  <c r="E60" i="34" s="1"/>
  <c r="E72" i="34" s="1"/>
  <c r="E84" i="34" s="1"/>
  <c r="E96" i="34" s="1"/>
  <c r="E108" i="34" s="1"/>
  <c r="F24" i="34"/>
  <c r="F36" i="34" s="1"/>
  <c r="F48" i="34" s="1"/>
  <c r="F60" i="34" s="1"/>
  <c r="F72" i="34" s="1"/>
  <c r="F84" i="34" s="1"/>
  <c r="F96" i="34" s="1"/>
  <c r="F108" i="34" s="1"/>
  <c r="F23" i="34"/>
  <c r="F35" i="34" s="1"/>
  <c r="F47" i="34" s="1"/>
  <c r="F59" i="34" s="1"/>
  <c r="F71" i="34" s="1"/>
  <c r="F83" i="34" s="1"/>
  <c r="F95" i="34" s="1"/>
  <c r="F107" i="34" s="1"/>
  <c r="E24" i="31"/>
  <c r="E36" i="31" s="1"/>
  <c r="E48" i="31" s="1"/>
  <c r="E60" i="31" s="1"/>
  <c r="E72" i="31" s="1"/>
  <c r="E84" i="31" s="1"/>
  <c r="E96" i="31" s="1"/>
  <c r="E108" i="31" s="1"/>
  <c r="F23" i="31"/>
  <c r="F35" i="31" s="1"/>
  <c r="F47" i="31" s="1"/>
  <c r="F59" i="31" s="1"/>
  <c r="F71" i="31" s="1"/>
  <c r="F83" i="31" s="1"/>
  <c r="F95" i="31" s="1"/>
  <c r="F107" i="31" s="1"/>
  <c r="F23" i="30"/>
  <c r="F35" i="30" s="1"/>
  <c r="F47" i="30" s="1"/>
  <c r="F59" i="30" s="1"/>
  <c r="F71" i="30" s="1"/>
  <c r="F83" i="30" s="1"/>
  <c r="F95" i="30" s="1"/>
  <c r="F107" i="30" s="1"/>
  <c r="F24" i="30"/>
  <c r="F36" i="30" s="1"/>
  <c r="F48" i="30" s="1"/>
  <c r="F60" i="30" s="1"/>
  <c r="F72" i="30" s="1"/>
  <c r="F84" i="30" s="1"/>
  <c r="F96" i="30" s="1"/>
  <c r="F108" i="30" s="1"/>
  <c r="E24" i="30"/>
  <c r="E36" i="30" s="1"/>
  <c r="E48" i="30" s="1"/>
  <c r="E60" i="30" s="1"/>
  <c r="E72" i="30" s="1"/>
  <c r="E84" i="30" s="1"/>
  <c r="E96" i="30" s="1"/>
  <c r="E108" i="30" s="1"/>
  <c r="E24" i="29"/>
  <c r="E36" i="29" s="1"/>
  <c r="E48" i="29" s="1"/>
  <c r="E60" i="29" s="1"/>
  <c r="E72" i="29" s="1"/>
  <c r="E84" i="29" s="1"/>
  <c r="E96" i="29" s="1"/>
  <c r="E108" i="29" s="1"/>
  <c r="F23" i="29"/>
  <c r="F35" i="29" s="1"/>
  <c r="F47" i="29" s="1"/>
  <c r="F59" i="29" s="1"/>
  <c r="F71" i="29" s="1"/>
  <c r="F83" i="29" s="1"/>
  <c r="F95" i="29" s="1"/>
  <c r="F107" i="29" s="1"/>
  <c r="F24" i="29"/>
  <c r="F36" i="29" s="1"/>
  <c r="F48" i="29" s="1"/>
  <c r="F60" i="29" s="1"/>
  <c r="F72" i="29" s="1"/>
  <c r="F84" i="29" s="1"/>
  <c r="F96" i="29" s="1"/>
  <c r="F108" i="29" s="1"/>
  <c r="BL71" i="3"/>
  <c r="BQ72" i="3"/>
  <c r="R14" i="11"/>
  <c r="A104" i="14"/>
  <c r="A115" i="14"/>
  <c r="A124" i="14"/>
  <c r="A114" i="14"/>
  <c r="M33" i="29"/>
  <c r="N76" i="34"/>
  <c r="L76" i="36"/>
  <c r="M76" i="31"/>
  <c r="M76" i="29"/>
  <c r="M76" i="35"/>
  <c r="L76" i="30"/>
  <c r="N43" i="34"/>
  <c r="L66" i="36"/>
  <c r="E13" i="28"/>
  <c r="M66" i="31"/>
  <c r="M77" i="35"/>
  <c r="M33" i="35"/>
  <c r="M32" i="29"/>
  <c r="M32" i="35"/>
  <c r="L77" i="36"/>
  <c r="N33" i="34"/>
  <c r="N32" i="34"/>
  <c r="L66" i="30"/>
  <c r="L77" i="30"/>
  <c r="L43" i="36"/>
  <c r="M77" i="29"/>
  <c r="N77" i="34"/>
  <c r="L33" i="30"/>
  <c r="L10" i="30"/>
  <c r="M77" i="31"/>
  <c r="M43" i="35"/>
  <c r="N10" i="34"/>
  <c r="L43" i="30"/>
  <c r="M66" i="29"/>
  <c r="M32" i="31"/>
  <c r="L10" i="36"/>
  <c r="M43" i="29"/>
  <c r="L32" i="36"/>
  <c r="M66" i="35"/>
  <c r="L33" i="36"/>
  <c r="M33" i="31"/>
  <c r="M10" i="31"/>
  <c r="L32" i="30"/>
  <c r="M43" i="31"/>
  <c r="N66" i="34"/>
  <c r="M10" i="29"/>
  <c r="M10" i="35"/>
  <c r="M63" i="36"/>
  <c r="N74" i="34"/>
  <c r="O62" i="34"/>
  <c r="M62" i="36"/>
  <c r="N62" i="35"/>
  <c r="M74" i="31"/>
  <c r="M62" i="30"/>
  <c r="M74" i="29"/>
  <c r="N63" i="35"/>
  <c r="N62" i="31"/>
  <c r="M74" i="35"/>
  <c r="O63" i="34"/>
  <c r="M63" i="30"/>
  <c r="N62" i="29"/>
  <c r="N63" i="31"/>
  <c r="N63" i="29"/>
  <c r="L74" i="36"/>
  <c r="L74" i="30"/>
  <c r="L111" i="36"/>
  <c r="M55" i="36"/>
  <c r="M54" i="36"/>
  <c r="M76" i="36"/>
  <c r="M100" i="36"/>
  <c r="M65" i="36"/>
  <c r="M21" i="36"/>
  <c r="M32" i="36"/>
  <c r="N43" i="35"/>
  <c r="N9" i="35"/>
  <c r="N42" i="35"/>
  <c r="N53" i="35"/>
  <c r="N64" i="35"/>
  <c r="N20" i="35"/>
  <c r="O21" i="34"/>
  <c r="O65" i="34"/>
  <c r="O54" i="34"/>
  <c r="O32" i="34"/>
  <c r="O100" i="34"/>
  <c r="O76" i="34"/>
  <c r="O43" i="34"/>
  <c r="N20" i="31"/>
  <c r="N9" i="31"/>
  <c r="N64" i="31"/>
  <c r="N43" i="31"/>
  <c r="N42" i="31"/>
  <c r="N53" i="31"/>
  <c r="M31" i="30"/>
  <c r="M64" i="30"/>
  <c r="M9" i="30"/>
  <c r="M42" i="30"/>
  <c r="M53" i="30"/>
  <c r="M20" i="30"/>
  <c r="N9" i="29"/>
  <c r="N42" i="29"/>
  <c r="N31" i="29"/>
  <c r="N20" i="29"/>
  <c r="N53" i="29"/>
  <c r="N64" i="29"/>
  <c r="DY57" i="3"/>
  <c r="BI72" i="3" s="1"/>
  <c r="EE17" i="3"/>
  <c r="EE18" i="3" s="1"/>
  <c r="EE19" i="3" s="1"/>
  <c r="EE20" i="3" s="1"/>
  <c r="DZ57" i="3"/>
  <c r="BJ72" i="3" s="1"/>
  <c r="EE37" i="3"/>
  <c r="EE38" i="3" s="1"/>
  <c r="EE39" i="3" s="1"/>
  <c r="EE40" i="3" s="1"/>
  <c r="DK57" i="3"/>
  <c r="BK72" i="3" s="1"/>
  <c r="DQ17" i="3"/>
  <c r="DQ18" i="3" s="1"/>
  <c r="DQ19" i="3" s="1"/>
  <c r="DQ20" i="3" s="1"/>
  <c r="DL57" i="3"/>
  <c r="F13" i="36" s="1"/>
  <c r="DQ37" i="3"/>
  <c r="DQ38" i="3" s="1"/>
  <c r="DQ39" i="3" s="1"/>
  <c r="DQ40" i="3" s="1"/>
  <c r="CW57" i="3"/>
  <c r="E13" i="36" s="1"/>
  <c r="DC17" i="3"/>
  <c r="DC18" i="3" s="1"/>
  <c r="DC19" i="3" s="1"/>
  <c r="DC20" i="3" s="1"/>
  <c r="CX57" i="3"/>
  <c r="F13" i="34" s="1"/>
  <c r="DC37" i="3"/>
  <c r="DC38" i="3" s="1"/>
  <c r="DC39" i="3" s="1"/>
  <c r="DC40" i="3" s="1"/>
  <c r="AF16" i="14"/>
  <c r="AF17" i="14" s="1"/>
  <c r="N16" i="14"/>
  <c r="N17" i="14" s="1"/>
  <c r="B23" i="14"/>
  <c r="F13" i="31" l="1"/>
  <c r="F13" i="35"/>
  <c r="F13" i="29"/>
  <c r="F13" i="30"/>
  <c r="L113" i="41"/>
  <c r="AP13" i="14"/>
  <c r="L102" i="41"/>
  <c r="U14" i="14"/>
  <c r="V13" i="14"/>
  <c r="F36" i="28"/>
  <c r="O24" i="28"/>
  <c r="F102" i="28"/>
  <c r="O90" i="28"/>
  <c r="F37" i="28"/>
  <c r="O25" i="28"/>
  <c r="E58" i="28"/>
  <c r="N46" i="28"/>
  <c r="F91" i="28"/>
  <c r="O79" i="28"/>
  <c r="E25" i="28"/>
  <c r="N13" i="28"/>
  <c r="E102" i="28"/>
  <c r="N90" i="28"/>
  <c r="E69" i="28"/>
  <c r="N57" i="28"/>
  <c r="F58" i="28"/>
  <c r="O46" i="28"/>
  <c r="E123" i="28"/>
  <c r="N111" i="28"/>
  <c r="F69" i="28"/>
  <c r="O57" i="28"/>
  <c r="E36" i="28"/>
  <c r="N24" i="28"/>
  <c r="E113" i="28"/>
  <c r="N101" i="28"/>
  <c r="E124" i="28"/>
  <c r="N112" i="28"/>
  <c r="E47" i="28"/>
  <c r="N35" i="28"/>
  <c r="E122" i="28"/>
  <c r="N110" i="28"/>
  <c r="F112" i="28"/>
  <c r="O100" i="28"/>
  <c r="E80" i="28"/>
  <c r="N68" i="28"/>
  <c r="F80" i="28"/>
  <c r="O68" i="28"/>
  <c r="F47" i="28"/>
  <c r="O35" i="28"/>
  <c r="F110" i="28"/>
  <c r="O98" i="28"/>
  <c r="F101" i="28"/>
  <c r="O89" i="28"/>
  <c r="E91" i="28"/>
  <c r="N79" i="28"/>
  <c r="F111" i="28"/>
  <c r="O99" i="28"/>
  <c r="U118" i="34"/>
  <c r="F119" i="34"/>
  <c r="O119" i="34" s="1"/>
  <c r="U119" i="34" s="1"/>
  <c r="F120" i="34"/>
  <c r="O120" i="34" s="1"/>
  <c r="E120" i="34"/>
  <c r="N120" i="34" s="1"/>
  <c r="E131" i="34"/>
  <c r="E143" i="34" s="1"/>
  <c r="E155" i="34" s="1"/>
  <c r="E167" i="34" s="1"/>
  <c r="E179" i="34" s="1"/>
  <c r="E191" i="34" s="1"/>
  <c r="F130" i="34"/>
  <c r="F142" i="34" s="1"/>
  <c r="F154" i="34" s="1"/>
  <c r="F166" i="34" s="1"/>
  <c r="F178" i="34" s="1"/>
  <c r="F190" i="34" s="1"/>
  <c r="F119" i="31"/>
  <c r="N119" i="31" s="1"/>
  <c r="E120" i="31"/>
  <c r="M120" i="31" s="1"/>
  <c r="E131" i="31"/>
  <c r="E143" i="31" s="1"/>
  <c r="E155" i="31" s="1"/>
  <c r="E167" i="31" s="1"/>
  <c r="E179" i="31" s="1"/>
  <c r="E191" i="31" s="1"/>
  <c r="F130" i="31"/>
  <c r="F142" i="31" s="1"/>
  <c r="F154" i="31" s="1"/>
  <c r="F166" i="31" s="1"/>
  <c r="F178" i="31" s="1"/>
  <c r="F190" i="31" s="1"/>
  <c r="E120" i="30"/>
  <c r="L120" i="30" s="1"/>
  <c r="F120" i="30"/>
  <c r="M120" i="30" s="1"/>
  <c r="F119" i="30"/>
  <c r="M119" i="30" s="1"/>
  <c r="E131" i="30"/>
  <c r="E143" i="30" s="1"/>
  <c r="E155" i="30" s="1"/>
  <c r="E167" i="30" s="1"/>
  <c r="E179" i="30" s="1"/>
  <c r="E191" i="30" s="1"/>
  <c r="F130" i="30"/>
  <c r="F142" i="30" s="1"/>
  <c r="F154" i="30" s="1"/>
  <c r="F166" i="30" s="1"/>
  <c r="F178" i="30" s="1"/>
  <c r="F190" i="30" s="1"/>
  <c r="F120" i="29"/>
  <c r="N120" i="29" s="1"/>
  <c r="F119" i="29"/>
  <c r="N119" i="29" s="1"/>
  <c r="S119" i="29" s="1"/>
  <c r="E120" i="29"/>
  <c r="M120" i="29" s="1"/>
  <c r="E131" i="29"/>
  <c r="E143" i="29" s="1"/>
  <c r="E155" i="29" s="1"/>
  <c r="E167" i="29" s="1"/>
  <c r="E179" i="29" s="1"/>
  <c r="E191" i="29" s="1"/>
  <c r="F130" i="29"/>
  <c r="F142" i="29" s="1"/>
  <c r="F154" i="29" s="1"/>
  <c r="F166" i="29" s="1"/>
  <c r="F178" i="29" s="1"/>
  <c r="F190" i="29" s="1"/>
  <c r="CA39" i="3"/>
  <c r="CB38" i="3"/>
  <c r="CA19" i="3"/>
  <c r="CB18" i="3"/>
  <c r="F24" i="36"/>
  <c r="F36" i="36" s="1"/>
  <c r="F48" i="36" s="1"/>
  <c r="F60" i="36" s="1"/>
  <c r="F72" i="36" s="1"/>
  <c r="F84" i="36" s="1"/>
  <c r="F96" i="36" s="1"/>
  <c r="F108" i="36" s="1"/>
  <c r="F120" i="36" s="1"/>
  <c r="F132" i="36" s="1"/>
  <c r="F144" i="36" s="1"/>
  <c r="F156" i="36" s="1"/>
  <c r="F168" i="36" s="1"/>
  <c r="F180" i="36" s="1"/>
  <c r="F192" i="36" s="1"/>
  <c r="F24" i="35"/>
  <c r="F36" i="35" s="1"/>
  <c r="F48" i="35" s="1"/>
  <c r="F60" i="35" s="1"/>
  <c r="F72" i="35" s="1"/>
  <c r="F84" i="35" s="1"/>
  <c r="F96" i="35" s="1"/>
  <c r="F108" i="35" s="1"/>
  <c r="F120" i="35" s="1"/>
  <c r="F132" i="35" s="1"/>
  <c r="F144" i="35" s="1"/>
  <c r="F156" i="35" s="1"/>
  <c r="F168" i="35" s="1"/>
  <c r="F180" i="35" s="1"/>
  <c r="F192" i="35" s="1"/>
  <c r="E25" i="35"/>
  <c r="E37" i="35" s="1"/>
  <c r="E49" i="35" s="1"/>
  <c r="E61" i="35" s="1"/>
  <c r="E73" i="35" s="1"/>
  <c r="E85" i="35" s="1"/>
  <c r="E97" i="35" s="1"/>
  <c r="E109" i="35" s="1"/>
  <c r="E121" i="35" s="1"/>
  <c r="E133" i="35" s="1"/>
  <c r="E145" i="35" s="1"/>
  <c r="E157" i="35" s="1"/>
  <c r="E169" i="35" s="1"/>
  <c r="E181" i="35" s="1"/>
  <c r="E193" i="35" s="1"/>
  <c r="E25" i="34"/>
  <c r="E37" i="34" s="1"/>
  <c r="E49" i="34" s="1"/>
  <c r="E61" i="34" s="1"/>
  <c r="E73" i="34" s="1"/>
  <c r="E85" i="34" s="1"/>
  <c r="E97" i="34" s="1"/>
  <c r="E109" i="34" s="1"/>
  <c r="E25" i="31"/>
  <c r="E37" i="31" s="1"/>
  <c r="E49" i="31" s="1"/>
  <c r="E61" i="31" s="1"/>
  <c r="E73" i="31" s="1"/>
  <c r="E85" i="31" s="1"/>
  <c r="E97" i="31" s="1"/>
  <c r="E109" i="31" s="1"/>
  <c r="F24" i="31"/>
  <c r="F36" i="31" s="1"/>
  <c r="F48" i="31" s="1"/>
  <c r="F60" i="31" s="1"/>
  <c r="F72" i="31" s="1"/>
  <c r="F84" i="31" s="1"/>
  <c r="F96" i="31" s="1"/>
  <c r="F108" i="31" s="1"/>
  <c r="E25" i="30"/>
  <c r="E37" i="30" s="1"/>
  <c r="E49" i="30" s="1"/>
  <c r="E61" i="30" s="1"/>
  <c r="E73" i="30" s="1"/>
  <c r="E85" i="30" s="1"/>
  <c r="E97" i="30" s="1"/>
  <c r="E109" i="30" s="1"/>
  <c r="E25" i="29"/>
  <c r="E37" i="29" s="1"/>
  <c r="E49" i="29" s="1"/>
  <c r="E61" i="29" s="1"/>
  <c r="E73" i="29" s="1"/>
  <c r="E85" i="29" s="1"/>
  <c r="E97" i="29" s="1"/>
  <c r="E109" i="29" s="1"/>
  <c r="O10" i="34"/>
  <c r="M10" i="36"/>
  <c r="BN72" i="3"/>
  <c r="BL72" i="3"/>
  <c r="BM72" i="3"/>
  <c r="A126" i="14"/>
  <c r="A127" i="14"/>
  <c r="A116" i="14"/>
  <c r="Q76" i="36"/>
  <c r="L88" i="30"/>
  <c r="M88" i="35"/>
  <c r="M88" i="29"/>
  <c r="M88" i="31"/>
  <c r="L88" i="36"/>
  <c r="N88" i="34"/>
  <c r="Q32" i="36"/>
  <c r="M44" i="31"/>
  <c r="L89" i="36"/>
  <c r="N11" i="34"/>
  <c r="M78" i="29"/>
  <c r="M89" i="35"/>
  <c r="M45" i="31"/>
  <c r="L11" i="36"/>
  <c r="L45" i="36"/>
  <c r="L45" i="30"/>
  <c r="M22" i="29"/>
  <c r="L55" i="30"/>
  <c r="M78" i="31"/>
  <c r="M78" i="35"/>
  <c r="N78" i="34"/>
  <c r="N22" i="34"/>
  <c r="N89" i="34"/>
  <c r="M44" i="35"/>
  <c r="M11" i="35"/>
  <c r="L44" i="36"/>
  <c r="M89" i="29"/>
  <c r="L89" i="30"/>
  <c r="M55" i="35"/>
  <c r="L78" i="30"/>
  <c r="N44" i="34"/>
  <c r="M44" i="29"/>
  <c r="L78" i="36"/>
  <c r="M11" i="31"/>
  <c r="M55" i="31"/>
  <c r="M55" i="29"/>
  <c r="M11" i="29"/>
  <c r="L55" i="36"/>
  <c r="L22" i="36"/>
  <c r="L11" i="30"/>
  <c r="M45" i="35"/>
  <c r="L44" i="30"/>
  <c r="M89" i="31"/>
  <c r="N45" i="34"/>
  <c r="M22" i="35"/>
  <c r="M22" i="31"/>
  <c r="L22" i="30"/>
  <c r="N55" i="34"/>
  <c r="L86" i="36"/>
  <c r="N75" i="29"/>
  <c r="M74" i="36"/>
  <c r="N74" i="31"/>
  <c r="N75" i="35"/>
  <c r="N75" i="31"/>
  <c r="M86" i="29"/>
  <c r="N74" i="29"/>
  <c r="M74" i="30"/>
  <c r="O74" i="34"/>
  <c r="L86" i="30"/>
  <c r="O75" i="34"/>
  <c r="N86" i="34"/>
  <c r="M86" i="31"/>
  <c r="M86" i="35"/>
  <c r="M75" i="36"/>
  <c r="Q75" i="36" s="1"/>
  <c r="N74" i="35"/>
  <c r="M75" i="30"/>
  <c r="L123" i="36"/>
  <c r="M111" i="35"/>
  <c r="M33" i="36"/>
  <c r="Q33" i="36" s="1"/>
  <c r="M101" i="36"/>
  <c r="M77" i="36"/>
  <c r="Q77" i="36" s="1"/>
  <c r="M22" i="36"/>
  <c r="M88" i="36"/>
  <c r="M66" i="36"/>
  <c r="M44" i="36"/>
  <c r="M67" i="36"/>
  <c r="N10" i="35"/>
  <c r="N54" i="35"/>
  <c r="N32" i="35"/>
  <c r="N100" i="35"/>
  <c r="N76" i="35"/>
  <c r="N21" i="35"/>
  <c r="N65" i="35"/>
  <c r="N55" i="35"/>
  <c r="O12" i="34"/>
  <c r="O66" i="34"/>
  <c r="O55" i="34"/>
  <c r="O101" i="34"/>
  <c r="O77" i="34"/>
  <c r="O88" i="34"/>
  <c r="O33" i="34"/>
  <c r="O44" i="34"/>
  <c r="O11" i="34"/>
  <c r="O22" i="34"/>
  <c r="N55" i="31"/>
  <c r="N65" i="31"/>
  <c r="N100" i="31"/>
  <c r="N76" i="31"/>
  <c r="N54" i="31"/>
  <c r="N21" i="31"/>
  <c r="N32" i="31"/>
  <c r="N10" i="31"/>
  <c r="M54" i="30"/>
  <c r="M32" i="30"/>
  <c r="M21" i="30"/>
  <c r="M100" i="30"/>
  <c r="M76" i="30"/>
  <c r="M10" i="30"/>
  <c r="M65" i="30"/>
  <c r="M43" i="30"/>
  <c r="N54" i="29"/>
  <c r="N100" i="29"/>
  <c r="N76" i="29"/>
  <c r="N65" i="29"/>
  <c r="N10" i="29"/>
  <c r="N21" i="29"/>
  <c r="N32" i="29"/>
  <c r="N43" i="29"/>
  <c r="BU23" i="14"/>
  <c r="BU14" i="14"/>
  <c r="BU15" i="14" s="1"/>
  <c r="BU16" i="14" s="1"/>
  <c r="BU17" i="14" s="1"/>
  <c r="BU18" i="14" s="1"/>
  <c r="BU19" i="14" s="1"/>
  <c r="BG14" i="14"/>
  <c r="BG15" i="14" s="1"/>
  <c r="BG16" i="14" s="1"/>
  <c r="BG17" i="14" s="1"/>
  <c r="BG18" i="14" s="1"/>
  <c r="BG19" i="14" s="1"/>
  <c r="BG23" i="14"/>
  <c r="N18" i="14"/>
  <c r="N19" i="14" s="1"/>
  <c r="AF18" i="14"/>
  <c r="AF19" i="14" s="1"/>
  <c r="B14" i="14"/>
  <c r="B15" i="14" s="1"/>
  <c r="Q57" i="14" l="1"/>
  <c r="Q58" i="14" s="1"/>
  <c r="Q59" i="14" s="1"/>
  <c r="Q60" i="14" s="1"/>
  <c r="Q61" i="14" s="1"/>
  <c r="Q62" i="14" s="1"/>
  <c r="Q63" i="14" s="1"/>
  <c r="Q64" i="14" s="1"/>
  <c r="Q65" i="14" s="1"/>
  <c r="Q66" i="14" s="1"/>
  <c r="Q67" i="14" s="1"/>
  <c r="Q68" i="14" s="1"/>
  <c r="Q69" i="14" s="1"/>
  <c r="Q70" i="14" s="1"/>
  <c r="Q71" i="14" s="1"/>
  <c r="Q72" i="14" s="1"/>
  <c r="Q73" i="14" s="1"/>
  <c r="Q74" i="14" s="1"/>
  <c r="Q75" i="14" s="1"/>
  <c r="Q76" i="14" s="1"/>
  <c r="Q77" i="14" s="1"/>
  <c r="Q78" i="14" s="1"/>
  <c r="Q79" i="14" s="1"/>
  <c r="Q80" i="14" s="1"/>
  <c r="Q81" i="14" s="1"/>
  <c r="Q82" i="14" s="1"/>
  <c r="Q83" i="14" s="1"/>
  <c r="Q84" i="14" s="1"/>
  <c r="Q85" i="14" s="1"/>
  <c r="Q86" i="14" s="1"/>
  <c r="Q87" i="14" s="1"/>
  <c r="Q88" i="14" s="1"/>
  <c r="Q89" i="14" s="1"/>
  <c r="Q90" i="14" s="1"/>
  <c r="Q91" i="14" s="1"/>
  <c r="Q92" i="14" s="1"/>
  <c r="Q93" i="14" s="1"/>
  <c r="Q94" i="14" s="1"/>
  <c r="Q95" i="14" s="1"/>
  <c r="Q96" i="14" s="1"/>
  <c r="Q97" i="14" s="1"/>
  <c r="Q98" i="14" s="1"/>
  <c r="Q99" i="14" s="1"/>
  <c r="Q100" i="14" s="1"/>
  <c r="Q101" i="14" s="1"/>
  <c r="Q102" i="14" s="1"/>
  <c r="Q103" i="14" s="1"/>
  <c r="Q104" i="14" s="1"/>
  <c r="Q105" i="14" s="1"/>
  <c r="Q106" i="14" s="1"/>
  <c r="Q107" i="14" s="1"/>
  <c r="Q108" i="14" s="1"/>
  <c r="Q109" i="14" s="1"/>
  <c r="Q110" i="14" s="1"/>
  <c r="Q111" i="14" s="1"/>
  <c r="Q112" i="14" s="1"/>
  <c r="Q113" i="14" s="1"/>
  <c r="Q114" i="14" s="1"/>
  <c r="Q115" i="14" s="1"/>
  <c r="Q116" i="14" s="1"/>
  <c r="Q117" i="14" s="1"/>
  <c r="Q118" i="14" s="1"/>
  <c r="Q119" i="14" s="1"/>
  <c r="Q120" i="14" s="1"/>
  <c r="Q121" i="14" s="1"/>
  <c r="Q122" i="14" s="1"/>
  <c r="Q123" i="14" s="1"/>
  <c r="Q124" i="14" s="1"/>
  <c r="Q125" i="14" s="1"/>
  <c r="Q126" i="14" s="1"/>
  <c r="Q127" i="14" s="1"/>
  <c r="Q128" i="14" s="1"/>
  <c r="F123" i="28"/>
  <c r="O111" i="28"/>
  <c r="U111" i="28" s="1"/>
  <c r="E134" i="28"/>
  <c r="N122" i="28"/>
  <c r="E81" i="28"/>
  <c r="N69" i="28"/>
  <c r="E103" i="28"/>
  <c r="N91" i="28"/>
  <c r="E59" i="28"/>
  <c r="N47" i="28"/>
  <c r="E114" i="28"/>
  <c r="N102" i="28"/>
  <c r="F113" i="28"/>
  <c r="O101" i="28"/>
  <c r="E136" i="28"/>
  <c r="N124" i="28"/>
  <c r="E37" i="28"/>
  <c r="N25" i="28"/>
  <c r="F122" i="28"/>
  <c r="O110" i="28"/>
  <c r="U110" i="28" s="1"/>
  <c r="E125" i="28"/>
  <c r="N113" i="28"/>
  <c r="F103" i="28"/>
  <c r="O91" i="28"/>
  <c r="F59" i="28"/>
  <c r="O47" i="28"/>
  <c r="E48" i="28"/>
  <c r="N36" i="28"/>
  <c r="E70" i="28"/>
  <c r="N58" i="28"/>
  <c r="F92" i="28"/>
  <c r="O80" i="28"/>
  <c r="F81" i="28"/>
  <c r="O69" i="28"/>
  <c r="F49" i="28"/>
  <c r="O37" i="28"/>
  <c r="E92" i="28"/>
  <c r="N80" i="28"/>
  <c r="E135" i="28"/>
  <c r="N123" i="28"/>
  <c r="F114" i="28"/>
  <c r="O102" i="28"/>
  <c r="F124" i="28"/>
  <c r="O112" i="28"/>
  <c r="U112" i="28" s="1"/>
  <c r="F70" i="28"/>
  <c r="O58" i="28"/>
  <c r="F48" i="28"/>
  <c r="O36" i="28"/>
  <c r="U120" i="34"/>
  <c r="E121" i="34"/>
  <c r="N121" i="34" s="1"/>
  <c r="E132" i="34"/>
  <c r="E144" i="34" s="1"/>
  <c r="E156" i="34" s="1"/>
  <c r="E168" i="34" s="1"/>
  <c r="E180" i="34" s="1"/>
  <c r="E192" i="34" s="1"/>
  <c r="F132" i="34"/>
  <c r="F144" i="34" s="1"/>
  <c r="F156" i="34" s="1"/>
  <c r="F168" i="34" s="1"/>
  <c r="F180" i="34" s="1"/>
  <c r="F192" i="34" s="1"/>
  <c r="F131" i="34"/>
  <c r="F143" i="34" s="1"/>
  <c r="F155" i="34" s="1"/>
  <c r="F167" i="34" s="1"/>
  <c r="F179" i="34" s="1"/>
  <c r="F191" i="34" s="1"/>
  <c r="E132" i="29"/>
  <c r="E144" i="29" s="1"/>
  <c r="E156" i="29" s="1"/>
  <c r="E168" i="29" s="1"/>
  <c r="E180" i="29" s="1"/>
  <c r="E192" i="29" s="1"/>
  <c r="F120" i="31"/>
  <c r="N120" i="31" s="1"/>
  <c r="E121" i="31"/>
  <c r="M121" i="31" s="1"/>
  <c r="S120" i="29"/>
  <c r="E132" i="31"/>
  <c r="E144" i="31" s="1"/>
  <c r="E156" i="31" s="1"/>
  <c r="E168" i="31" s="1"/>
  <c r="E180" i="31" s="1"/>
  <c r="E192" i="31" s="1"/>
  <c r="F131" i="31"/>
  <c r="F143" i="31" s="1"/>
  <c r="F155" i="31" s="1"/>
  <c r="F167" i="31" s="1"/>
  <c r="F179" i="31" s="1"/>
  <c r="F191" i="31" s="1"/>
  <c r="E121" i="30"/>
  <c r="L121" i="30" s="1"/>
  <c r="F131" i="30"/>
  <c r="F143" i="30" s="1"/>
  <c r="F155" i="30" s="1"/>
  <c r="F167" i="30" s="1"/>
  <c r="F179" i="30" s="1"/>
  <c r="F191" i="30" s="1"/>
  <c r="F132" i="30"/>
  <c r="F144" i="30" s="1"/>
  <c r="F156" i="30" s="1"/>
  <c r="F168" i="30" s="1"/>
  <c r="F180" i="30" s="1"/>
  <c r="F192" i="30" s="1"/>
  <c r="E132" i="30"/>
  <c r="E144" i="30" s="1"/>
  <c r="E156" i="30" s="1"/>
  <c r="E168" i="30" s="1"/>
  <c r="E180" i="30" s="1"/>
  <c r="E192" i="30" s="1"/>
  <c r="E121" i="29"/>
  <c r="M121" i="29" s="1"/>
  <c r="F131" i="29"/>
  <c r="F143" i="29" s="1"/>
  <c r="F155" i="29" s="1"/>
  <c r="F167" i="29" s="1"/>
  <c r="F179" i="29" s="1"/>
  <c r="F191" i="29" s="1"/>
  <c r="F132" i="29"/>
  <c r="F144" i="29" s="1"/>
  <c r="F156" i="29" s="1"/>
  <c r="F168" i="29" s="1"/>
  <c r="F180" i="29" s="1"/>
  <c r="F192" i="29" s="1"/>
  <c r="CA40" i="3"/>
  <c r="CB40" i="3" s="1"/>
  <c r="CB39" i="3"/>
  <c r="CA20" i="3"/>
  <c r="CB20" i="3" s="1"/>
  <c r="CB19" i="3"/>
  <c r="E25" i="36"/>
  <c r="E37" i="36" s="1"/>
  <c r="E49" i="36" s="1"/>
  <c r="E61" i="36" s="1"/>
  <c r="E73" i="36" s="1"/>
  <c r="E85" i="36" s="1"/>
  <c r="E97" i="36" s="1"/>
  <c r="E109" i="36" s="1"/>
  <c r="E121" i="36" s="1"/>
  <c r="E133" i="36" s="1"/>
  <c r="E145" i="36" s="1"/>
  <c r="E157" i="36" s="1"/>
  <c r="E169" i="36" s="1"/>
  <c r="E181" i="36" s="1"/>
  <c r="E193" i="36" s="1"/>
  <c r="F25" i="36"/>
  <c r="F37" i="36" s="1"/>
  <c r="F49" i="36" s="1"/>
  <c r="F61" i="36" s="1"/>
  <c r="F73" i="36" s="1"/>
  <c r="F85" i="36" s="1"/>
  <c r="F97" i="36" s="1"/>
  <c r="F109" i="36" s="1"/>
  <c r="F121" i="36" s="1"/>
  <c r="F133" i="36" s="1"/>
  <c r="F145" i="36" s="1"/>
  <c r="F157" i="36" s="1"/>
  <c r="F169" i="36" s="1"/>
  <c r="F181" i="36" s="1"/>
  <c r="F193" i="36" s="1"/>
  <c r="F25" i="35"/>
  <c r="F37" i="35" s="1"/>
  <c r="F49" i="35" s="1"/>
  <c r="F61" i="35" s="1"/>
  <c r="F73" i="35" s="1"/>
  <c r="F85" i="35" s="1"/>
  <c r="F97" i="35" s="1"/>
  <c r="F109" i="35" s="1"/>
  <c r="F121" i="35" s="1"/>
  <c r="F133" i="35" s="1"/>
  <c r="F145" i="35" s="1"/>
  <c r="F157" i="35" s="1"/>
  <c r="F169" i="35" s="1"/>
  <c r="F181" i="35" s="1"/>
  <c r="F193" i="35" s="1"/>
  <c r="F25" i="34"/>
  <c r="F37" i="34" s="1"/>
  <c r="F49" i="34" s="1"/>
  <c r="F61" i="34" s="1"/>
  <c r="F73" i="34" s="1"/>
  <c r="F85" i="34" s="1"/>
  <c r="F97" i="34" s="1"/>
  <c r="F109" i="34" s="1"/>
  <c r="F25" i="31"/>
  <c r="F37" i="31" s="1"/>
  <c r="F49" i="31" s="1"/>
  <c r="F61" i="31" s="1"/>
  <c r="F73" i="31" s="1"/>
  <c r="F85" i="31" s="1"/>
  <c r="F97" i="31" s="1"/>
  <c r="F109" i="31" s="1"/>
  <c r="F25" i="30"/>
  <c r="F37" i="30" s="1"/>
  <c r="F49" i="30" s="1"/>
  <c r="F61" i="30" s="1"/>
  <c r="F73" i="30" s="1"/>
  <c r="F85" i="30" s="1"/>
  <c r="F97" i="30" s="1"/>
  <c r="F109" i="30" s="1"/>
  <c r="F25" i="29"/>
  <c r="F37" i="29" s="1"/>
  <c r="F49" i="29" s="1"/>
  <c r="F61" i="29" s="1"/>
  <c r="F73" i="29" s="1"/>
  <c r="F85" i="29" s="1"/>
  <c r="F97" i="29" s="1"/>
  <c r="F109" i="29" s="1"/>
  <c r="M11" i="36"/>
  <c r="A128" i="14"/>
  <c r="M45" i="29"/>
  <c r="N100" i="34"/>
  <c r="L100" i="36"/>
  <c r="M100" i="31"/>
  <c r="M100" i="29"/>
  <c r="M100" i="35"/>
  <c r="L100" i="30"/>
  <c r="L12" i="30"/>
  <c r="M57" i="35"/>
  <c r="L90" i="36"/>
  <c r="L56" i="36"/>
  <c r="L67" i="30"/>
  <c r="M101" i="35"/>
  <c r="N67" i="34"/>
  <c r="L23" i="30"/>
  <c r="N101" i="34"/>
  <c r="M34" i="29"/>
  <c r="L34" i="30"/>
  <c r="L34" i="36"/>
  <c r="N34" i="34"/>
  <c r="M12" i="31"/>
  <c r="M90" i="29"/>
  <c r="M56" i="29"/>
  <c r="M34" i="31"/>
  <c r="L67" i="36"/>
  <c r="N90" i="34"/>
  <c r="N23" i="34"/>
  <c r="N56" i="34"/>
  <c r="L57" i="30"/>
  <c r="M34" i="35"/>
  <c r="M23" i="29"/>
  <c r="M57" i="29"/>
  <c r="L12" i="36"/>
  <c r="L57" i="36"/>
  <c r="L90" i="30"/>
  <c r="N57" i="34"/>
  <c r="M67" i="29"/>
  <c r="M23" i="35"/>
  <c r="M90" i="35"/>
  <c r="L23" i="36"/>
  <c r="L101" i="36"/>
  <c r="M67" i="31"/>
  <c r="M12" i="29"/>
  <c r="M12" i="35"/>
  <c r="M101" i="31"/>
  <c r="N12" i="34"/>
  <c r="L101" i="30"/>
  <c r="M90" i="31"/>
  <c r="L56" i="30"/>
  <c r="M23" i="31"/>
  <c r="M67" i="35"/>
  <c r="M101" i="29"/>
  <c r="M56" i="35"/>
  <c r="M57" i="31"/>
  <c r="M56" i="31"/>
  <c r="M86" i="30"/>
  <c r="N98" i="34"/>
  <c r="M87" i="36"/>
  <c r="O87" i="34"/>
  <c r="M86" i="36"/>
  <c r="M98" i="35"/>
  <c r="N86" i="29"/>
  <c r="N87" i="29"/>
  <c r="N87" i="35"/>
  <c r="M98" i="29"/>
  <c r="M87" i="30"/>
  <c r="M98" i="31"/>
  <c r="L98" i="30"/>
  <c r="N87" i="31"/>
  <c r="N86" i="31"/>
  <c r="N86" i="35"/>
  <c r="L98" i="36"/>
  <c r="O86" i="34"/>
  <c r="L135" i="36"/>
  <c r="M123" i="35"/>
  <c r="N123" i="34"/>
  <c r="M123" i="31"/>
  <c r="L123" i="30"/>
  <c r="M123" i="29"/>
  <c r="M78" i="36"/>
  <c r="Q78" i="36" s="1"/>
  <c r="M102" i="36"/>
  <c r="M23" i="36"/>
  <c r="M12" i="36"/>
  <c r="M34" i="36"/>
  <c r="M89" i="36"/>
  <c r="M45" i="36"/>
  <c r="M79" i="36"/>
  <c r="M103" i="36"/>
  <c r="M56" i="36"/>
  <c r="N101" i="35"/>
  <c r="N77" i="35"/>
  <c r="N33" i="35"/>
  <c r="N88" i="35"/>
  <c r="N44" i="35"/>
  <c r="N11" i="35"/>
  <c r="N66" i="35"/>
  <c r="N22" i="35"/>
  <c r="N67" i="35"/>
  <c r="O56" i="34"/>
  <c r="O45" i="34"/>
  <c r="O89" i="34"/>
  <c r="O67" i="34"/>
  <c r="O78" i="34"/>
  <c r="O102" i="34"/>
  <c r="O34" i="34"/>
  <c r="O24" i="34"/>
  <c r="O23" i="34"/>
  <c r="N44" i="31"/>
  <c r="N33" i="31"/>
  <c r="N66" i="31"/>
  <c r="N88" i="31"/>
  <c r="N11" i="31"/>
  <c r="N101" i="31"/>
  <c r="N77" i="31"/>
  <c r="N22" i="31"/>
  <c r="N67" i="31"/>
  <c r="M55" i="30"/>
  <c r="M101" i="30"/>
  <c r="M77" i="30"/>
  <c r="M22" i="30"/>
  <c r="M88" i="30"/>
  <c r="M33" i="30"/>
  <c r="M11" i="30"/>
  <c r="M44" i="30"/>
  <c r="M12" i="30"/>
  <c r="M66" i="30"/>
  <c r="N44" i="29"/>
  <c r="N33" i="29"/>
  <c r="N11" i="29"/>
  <c r="N22" i="29"/>
  <c r="N101" i="29"/>
  <c r="N77" i="29"/>
  <c r="N12" i="29"/>
  <c r="N88" i="29"/>
  <c r="N66" i="29"/>
  <c r="N55" i="29"/>
  <c r="B16" i="14"/>
  <c r="B17" i="14" s="1"/>
  <c r="F126" i="28" l="1"/>
  <c r="O114" i="28"/>
  <c r="E60" i="28"/>
  <c r="N48" i="28"/>
  <c r="E147" i="28"/>
  <c r="N135" i="28"/>
  <c r="F71" i="28"/>
  <c r="O59" i="28"/>
  <c r="E126" i="28"/>
  <c r="N114" i="28"/>
  <c r="E104" i="28"/>
  <c r="N92" i="28"/>
  <c r="F115" i="28"/>
  <c r="O103" i="28"/>
  <c r="E71" i="28"/>
  <c r="N59" i="28"/>
  <c r="E137" i="28"/>
  <c r="N125" i="28"/>
  <c r="E115" i="28"/>
  <c r="N103" i="28"/>
  <c r="F61" i="28"/>
  <c r="O49" i="28"/>
  <c r="F134" i="28"/>
  <c r="O122" i="28"/>
  <c r="E93" i="28"/>
  <c r="N81" i="28"/>
  <c r="F60" i="28"/>
  <c r="O48" i="28"/>
  <c r="F93" i="28"/>
  <c r="O81" i="28"/>
  <c r="E49" i="28"/>
  <c r="N37" i="28"/>
  <c r="E146" i="28"/>
  <c r="N134" i="28"/>
  <c r="F82" i="28"/>
  <c r="O70" i="28"/>
  <c r="F104" i="28"/>
  <c r="O92" i="28"/>
  <c r="E148" i="28"/>
  <c r="N136" i="28"/>
  <c r="F135" i="28"/>
  <c r="O123" i="28"/>
  <c r="F136" i="28"/>
  <c r="O124" i="28"/>
  <c r="E82" i="28"/>
  <c r="N70" i="28"/>
  <c r="F125" i="28"/>
  <c r="O113" i="28"/>
  <c r="U113" i="28" s="1"/>
  <c r="F121" i="34"/>
  <c r="O121" i="34" s="1"/>
  <c r="U121" i="34" s="1"/>
  <c r="E133" i="34"/>
  <c r="E145" i="34" s="1"/>
  <c r="E157" i="34" s="1"/>
  <c r="E169" i="34" s="1"/>
  <c r="E181" i="34" s="1"/>
  <c r="E193" i="34" s="1"/>
  <c r="F121" i="31"/>
  <c r="N121" i="31" s="1"/>
  <c r="E133" i="31"/>
  <c r="E145" i="31" s="1"/>
  <c r="E157" i="31" s="1"/>
  <c r="E169" i="31" s="1"/>
  <c r="E181" i="31" s="1"/>
  <c r="E193" i="31" s="1"/>
  <c r="F132" i="31"/>
  <c r="F144" i="31" s="1"/>
  <c r="F156" i="31" s="1"/>
  <c r="F168" i="31" s="1"/>
  <c r="F180" i="31" s="1"/>
  <c r="F192" i="31" s="1"/>
  <c r="F121" i="30"/>
  <c r="M121" i="30" s="1"/>
  <c r="E133" i="30"/>
  <c r="E145" i="30" s="1"/>
  <c r="E157" i="30" s="1"/>
  <c r="E169" i="30" s="1"/>
  <c r="E181" i="30" s="1"/>
  <c r="E193" i="30" s="1"/>
  <c r="F121" i="29"/>
  <c r="N121" i="29" s="1"/>
  <c r="S121" i="29" s="1"/>
  <c r="E133" i="29"/>
  <c r="E145" i="29" s="1"/>
  <c r="E157" i="29" s="1"/>
  <c r="E169" i="29" s="1"/>
  <c r="E181" i="29" s="1"/>
  <c r="E193" i="29" s="1"/>
  <c r="W57" i="14"/>
  <c r="Q34" i="36"/>
  <c r="M112" i="35"/>
  <c r="L112" i="36"/>
  <c r="L68" i="30"/>
  <c r="M79" i="31"/>
  <c r="N79" i="34"/>
  <c r="L102" i="30"/>
  <c r="L13" i="30"/>
  <c r="M46" i="31"/>
  <c r="L46" i="30"/>
  <c r="M68" i="31"/>
  <c r="L113" i="36"/>
  <c r="L69" i="30"/>
  <c r="M113" i="35"/>
  <c r="M102" i="31"/>
  <c r="M46" i="29"/>
  <c r="L35" i="36"/>
  <c r="M69" i="31"/>
  <c r="L69" i="36"/>
  <c r="M68" i="29"/>
  <c r="L79" i="30"/>
  <c r="L24" i="36"/>
  <c r="L68" i="36"/>
  <c r="N24" i="34"/>
  <c r="M102" i="35"/>
  <c r="M102" i="29"/>
  <c r="M68" i="35"/>
  <c r="L35" i="30"/>
  <c r="M35" i="35"/>
  <c r="M69" i="29"/>
  <c r="N68" i="34"/>
  <c r="M24" i="31"/>
  <c r="M24" i="35"/>
  <c r="N35" i="34"/>
  <c r="N46" i="34"/>
  <c r="M79" i="29"/>
  <c r="M35" i="29"/>
  <c r="L102" i="36"/>
  <c r="M79" i="35"/>
  <c r="M24" i="29"/>
  <c r="M13" i="31"/>
  <c r="M69" i="35"/>
  <c r="N69" i="34"/>
  <c r="M46" i="35"/>
  <c r="N102" i="34"/>
  <c r="M13" i="35"/>
  <c r="M35" i="31"/>
  <c r="L13" i="36"/>
  <c r="N13" i="34"/>
  <c r="M13" i="29"/>
  <c r="L79" i="36"/>
  <c r="Q79" i="36" s="1"/>
  <c r="L46" i="36"/>
  <c r="L24" i="30"/>
  <c r="L110" i="36"/>
  <c r="N98" i="31"/>
  <c r="M110" i="35"/>
  <c r="U99" i="28"/>
  <c r="M99" i="30"/>
  <c r="N98" i="35"/>
  <c r="M98" i="36"/>
  <c r="N99" i="29"/>
  <c r="M98" i="30"/>
  <c r="N99" i="31"/>
  <c r="O99" i="34"/>
  <c r="O98" i="34"/>
  <c r="N99" i="35"/>
  <c r="N98" i="29"/>
  <c r="M99" i="36"/>
  <c r="M112" i="36"/>
  <c r="L147" i="36"/>
  <c r="M135" i="35"/>
  <c r="N135" i="34"/>
  <c r="M135" i="31"/>
  <c r="L135" i="30"/>
  <c r="M135" i="29"/>
  <c r="M91" i="36"/>
  <c r="M57" i="36"/>
  <c r="M46" i="36"/>
  <c r="M24" i="36"/>
  <c r="M35" i="36"/>
  <c r="M90" i="36"/>
  <c r="M13" i="36"/>
  <c r="M68" i="36"/>
  <c r="N34" i="35"/>
  <c r="N78" i="35"/>
  <c r="N102" i="35"/>
  <c r="N23" i="35"/>
  <c r="N56" i="35"/>
  <c r="N12" i="35"/>
  <c r="N45" i="35"/>
  <c r="N79" i="35"/>
  <c r="N103" i="35"/>
  <c r="N89" i="35"/>
  <c r="O13" i="34"/>
  <c r="O36" i="34"/>
  <c r="O46" i="34"/>
  <c r="O90" i="34"/>
  <c r="O79" i="34"/>
  <c r="O103" i="34"/>
  <c r="O57" i="34"/>
  <c r="O35" i="34"/>
  <c r="O68" i="34"/>
  <c r="N89" i="31"/>
  <c r="N23" i="31"/>
  <c r="N12" i="31"/>
  <c r="N78" i="31"/>
  <c r="N102" i="31"/>
  <c r="N79" i="31"/>
  <c r="N103" i="31"/>
  <c r="N45" i="31"/>
  <c r="N34" i="31"/>
  <c r="N56" i="31"/>
  <c r="M56" i="30"/>
  <c r="M23" i="30"/>
  <c r="M45" i="30"/>
  <c r="M34" i="30"/>
  <c r="M89" i="30"/>
  <c r="M78" i="30"/>
  <c r="M102" i="30"/>
  <c r="M67" i="30"/>
  <c r="M24" i="30"/>
  <c r="N23" i="29"/>
  <c r="N67" i="29"/>
  <c r="N45" i="29"/>
  <c r="N89" i="29"/>
  <c r="N34" i="29"/>
  <c r="N78" i="29"/>
  <c r="N102" i="29"/>
  <c r="N56" i="29"/>
  <c r="N24" i="29"/>
  <c r="B18" i="14"/>
  <c r="B19" i="14" s="1"/>
  <c r="E94" i="28" l="1"/>
  <c r="N82" i="28"/>
  <c r="F105" i="28"/>
  <c r="O93" i="28"/>
  <c r="E83" i="28"/>
  <c r="N71" i="28"/>
  <c r="F148" i="28"/>
  <c r="O136" i="28"/>
  <c r="F72" i="28"/>
  <c r="O60" i="28"/>
  <c r="F127" i="28"/>
  <c r="O115" i="28"/>
  <c r="F147" i="28"/>
  <c r="O135" i="28"/>
  <c r="E105" i="28"/>
  <c r="N93" i="28"/>
  <c r="E116" i="28"/>
  <c r="N104" i="28"/>
  <c r="U114" i="28"/>
  <c r="E160" i="28"/>
  <c r="N148" i="28"/>
  <c r="F146" i="28"/>
  <c r="O134" i="28"/>
  <c r="E138" i="28"/>
  <c r="N126" i="28"/>
  <c r="F116" i="28"/>
  <c r="O104" i="28"/>
  <c r="F73" i="28"/>
  <c r="O61" i="28"/>
  <c r="F83" i="28"/>
  <c r="O71" i="28"/>
  <c r="F94" i="28"/>
  <c r="O82" i="28"/>
  <c r="E127" i="28"/>
  <c r="N115" i="28"/>
  <c r="E159" i="28"/>
  <c r="N147" i="28"/>
  <c r="E158" i="28"/>
  <c r="N146" i="28"/>
  <c r="E149" i="28"/>
  <c r="N137" i="28"/>
  <c r="E72" i="28"/>
  <c r="N60" i="28"/>
  <c r="F137" i="28"/>
  <c r="O125" i="28"/>
  <c r="E61" i="28"/>
  <c r="N49" i="28"/>
  <c r="F138" i="28"/>
  <c r="O126" i="28"/>
  <c r="Q27" i="14"/>
  <c r="Q99" i="30"/>
  <c r="S99" i="35"/>
  <c r="F133" i="34"/>
  <c r="F145" i="34" s="1"/>
  <c r="F157" i="34" s="1"/>
  <c r="F169" i="34" s="1"/>
  <c r="F181" i="34" s="1"/>
  <c r="F193" i="34" s="1"/>
  <c r="F133" i="31"/>
  <c r="F145" i="31" s="1"/>
  <c r="F157" i="31" s="1"/>
  <c r="F169" i="31" s="1"/>
  <c r="F181" i="31" s="1"/>
  <c r="F193" i="31" s="1"/>
  <c r="F133" i="30"/>
  <c r="F145" i="30" s="1"/>
  <c r="F157" i="30" s="1"/>
  <c r="F169" i="30" s="1"/>
  <c r="F181" i="30" s="1"/>
  <c r="F193" i="30" s="1"/>
  <c r="F133" i="29"/>
  <c r="F145" i="29" s="1"/>
  <c r="F157" i="29" s="1"/>
  <c r="F169" i="29" s="1"/>
  <c r="F181" i="29" s="1"/>
  <c r="F193" i="29" s="1"/>
  <c r="BD57" i="14"/>
  <c r="W58" i="14"/>
  <c r="Q35" i="36"/>
  <c r="N124" i="34"/>
  <c r="L124" i="36"/>
  <c r="M124" i="31"/>
  <c r="M124" i="29"/>
  <c r="M124" i="35"/>
  <c r="L124" i="30"/>
  <c r="M47" i="31"/>
  <c r="M91" i="35"/>
  <c r="M125" i="29"/>
  <c r="L125" i="30"/>
  <c r="M25" i="35"/>
  <c r="L114" i="36"/>
  <c r="M80" i="35"/>
  <c r="M80" i="31"/>
  <c r="L36" i="30"/>
  <c r="L58" i="30"/>
  <c r="L58" i="36"/>
  <c r="M36" i="31"/>
  <c r="L91" i="30"/>
  <c r="M58" i="29"/>
  <c r="N80" i="34"/>
  <c r="M58" i="31"/>
  <c r="L91" i="36"/>
  <c r="M58" i="35"/>
  <c r="M47" i="29"/>
  <c r="M80" i="29"/>
  <c r="M114" i="35"/>
  <c r="M81" i="29"/>
  <c r="L81" i="36"/>
  <c r="L25" i="30"/>
  <c r="M25" i="29"/>
  <c r="N81" i="34"/>
  <c r="M91" i="29"/>
  <c r="N36" i="34"/>
  <c r="N58" i="34"/>
  <c r="M47" i="35"/>
  <c r="M81" i="31"/>
  <c r="M125" i="35"/>
  <c r="N25" i="34"/>
  <c r="M81" i="35"/>
  <c r="N91" i="34"/>
  <c r="N47" i="34"/>
  <c r="L80" i="36"/>
  <c r="N125" i="34"/>
  <c r="M25" i="31"/>
  <c r="L47" i="30"/>
  <c r="M91" i="31"/>
  <c r="M36" i="29"/>
  <c r="M36" i="35"/>
  <c r="L81" i="30"/>
  <c r="L25" i="36"/>
  <c r="L36" i="36"/>
  <c r="M125" i="31"/>
  <c r="L47" i="36"/>
  <c r="L125" i="36"/>
  <c r="L80" i="30"/>
  <c r="M111" i="36"/>
  <c r="M122" i="35"/>
  <c r="Q99" i="36"/>
  <c r="N111" i="35"/>
  <c r="M122" i="31"/>
  <c r="L122" i="30"/>
  <c r="U99" i="34"/>
  <c r="S99" i="29"/>
  <c r="L122" i="36"/>
  <c r="M110" i="36"/>
  <c r="M122" i="29"/>
  <c r="N122" i="34"/>
  <c r="N110" i="35"/>
  <c r="Q112" i="36"/>
  <c r="M113" i="36"/>
  <c r="L159" i="36"/>
  <c r="M124" i="36"/>
  <c r="M147" i="35"/>
  <c r="N112" i="35"/>
  <c r="N147" i="34"/>
  <c r="O124" i="34"/>
  <c r="M147" i="31"/>
  <c r="L147" i="30"/>
  <c r="M147" i="29"/>
  <c r="M104" i="36"/>
  <c r="M80" i="36"/>
  <c r="M25" i="36"/>
  <c r="M47" i="36"/>
  <c r="M36" i="36"/>
  <c r="M58" i="36"/>
  <c r="M69" i="36"/>
  <c r="N91" i="35"/>
  <c r="N57" i="35"/>
  <c r="N24" i="35"/>
  <c r="N13" i="35"/>
  <c r="N68" i="35"/>
  <c r="N35" i="35"/>
  <c r="N90" i="35"/>
  <c r="N46" i="35"/>
  <c r="O47" i="34"/>
  <c r="O69" i="34"/>
  <c r="O91" i="34"/>
  <c r="O58" i="34"/>
  <c r="O80" i="34"/>
  <c r="O104" i="34"/>
  <c r="O48" i="34"/>
  <c r="O25" i="34"/>
  <c r="N46" i="31"/>
  <c r="N57" i="31"/>
  <c r="N91" i="31"/>
  <c r="N90" i="31"/>
  <c r="N24" i="31"/>
  <c r="N13" i="31"/>
  <c r="N35" i="31"/>
  <c r="N68" i="31"/>
  <c r="M79" i="30"/>
  <c r="M103" i="30"/>
  <c r="M90" i="30"/>
  <c r="M57" i="30"/>
  <c r="M46" i="30"/>
  <c r="M13" i="30"/>
  <c r="M35" i="30"/>
  <c r="M68" i="30"/>
  <c r="M36" i="30"/>
  <c r="N90" i="29"/>
  <c r="N46" i="29"/>
  <c r="N68" i="29"/>
  <c r="N57" i="29"/>
  <c r="N79" i="29"/>
  <c r="N103" i="29"/>
  <c r="N35" i="29"/>
  <c r="N36" i="29"/>
  <c r="N13" i="29"/>
  <c r="E73" i="28" l="1"/>
  <c r="N61" i="28"/>
  <c r="E117" i="28"/>
  <c r="N105" i="28"/>
  <c r="F95" i="28"/>
  <c r="O83" i="28"/>
  <c r="F149" i="28"/>
  <c r="O137" i="28"/>
  <c r="F85" i="28"/>
  <c r="O73" i="28"/>
  <c r="F159" i="28"/>
  <c r="O147" i="28"/>
  <c r="E84" i="28"/>
  <c r="N72" i="28"/>
  <c r="F128" i="28"/>
  <c r="O116" i="28"/>
  <c r="F139" i="28"/>
  <c r="O127" i="28"/>
  <c r="E161" i="28"/>
  <c r="N149" i="28"/>
  <c r="E150" i="28"/>
  <c r="N138" i="28"/>
  <c r="F84" i="28"/>
  <c r="O72" i="28"/>
  <c r="E170" i="28"/>
  <c r="N158" i="28"/>
  <c r="F158" i="28"/>
  <c r="O146" i="28"/>
  <c r="F160" i="28"/>
  <c r="O148" i="28"/>
  <c r="E171" i="28"/>
  <c r="N159" i="28"/>
  <c r="E172" i="28"/>
  <c r="N160" i="28"/>
  <c r="E95" i="28"/>
  <c r="N83" i="28"/>
  <c r="U115" i="28"/>
  <c r="E139" i="28"/>
  <c r="N127" i="28"/>
  <c r="F117" i="28"/>
  <c r="O105" i="28"/>
  <c r="F150" i="28"/>
  <c r="O138" i="28"/>
  <c r="F106" i="28"/>
  <c r="O94" i="28"/>
  <c r="E128" i="28"/>
  <c r="N116" i="28"/>
  <c r="E106" i="28"/>
  <c r="N94" i="28"/>
  <c r="Q29" i="14"/>
  <c r="BD58" i="14"/>
  <c r="W59" i="14"/>
  <c r="Q80" i="36"/>
  <c r="L136" i="30"/>
  <c r="M136" i="35"/>
  <c r="M136" i="29"/>
  <c r="M136" i="31"/>
  <c r="L136" i="36"/>
  <c r="N136" i="34"/>
  <c r="Q36" i="36"/>
  <c r="M37" i="29"/>
  <c r="M70" i="35"/>
  <c r="M137" i="35"/>
  <c r="L103" i="30"/>
  <c r="L92" i="30"/>
  <c r="M93" i="31"/>
  <c r="L37" i="30"/>
  <c r="M92" i="35"/>
  <c r="M48" i="35"/>
  <c r="N137" i="34"/>
  <c r="L103" i="36"/>
  <c r="M48" i="29"/>
  <c r="M59" i="35"/>
  <c r="L137" i="36"/>
  <c r="M48" i="31"/>
  <c r="L126" i="36"/>
  <c r="M70" i="31"/>
  <c r="L59" i="36"/>
  <c r="M103" i="31"/>
  <c r="N70" i="34"/>
  <c r="M93" i="29"/>
  <c r="N126" i="34"/>
  <c r="M37" i="35"/>
  <c r="M137" i="31"/>
  <c r="N59" i="34"/>
  <c r="M126" i="29"/>
  <c r="L137" i="30"/>
  <c r="L92" i="36"/>
  <c r="L126" i="30"/>
  <c r="M126" i="31"/>
  <c r="L70" i="36"/>
  <c r="L93" i="36"/>
  <c r="L59" i="30"/>
  <c r="N48" i="34"/>
  <c r="N92" i="34"/>
  <c r="L48" i="36"/>
  <c r="N103" i="34"/>
  <c r="M126" i="35"/>
  <c r="L70" i="30"/>
  <c r="M137" i="29"/>
  <c r="M37" i="31"/>
  <c r="L48" i="30"/>
  <c r="L37" i="36"/>
  <c r="M93" i="35"/>
  <c r="M103" i="29"/>
  <c r="M92" i="29"/>
  <c r="M103" i="35"/>
  <c r="L93" i="30"/>
  <c r="N37" i="34"/>
  <c r="N93" i="34"/>
  <c r="M59" i="29"/>
  <c r="M70" i="29"/>
  <c r="M59" i="31"/>
  <c r="M92" i="31"/>
  <c r="N122" i="29"/>
  <c r="M122" i="36"/>
  <c r="O122" i="34"/>
  <c r="L134" i="30"/>
  <c r="M122" i="30"/>
  <c r="N122" i="31"/>
  <c r="U124" i="28"/>
  <c r="U123" i="28"/>
  <c r="M134" i="35"/>
  <c r="L134" i="36"/>
  <c r="M134" i="31"/>
  <c r="N123" i="31"/>
  <c r="N123" i="35"/>
  <c r="N134" i="34"/>
  <c r="N123" i="29"/>
  <c r="N122" i="35"/>
  <c r="Q111" i="36"/>
  <c r="M134" i="29"/>
  <c r="O123" i="34"/>
  <c r="M123" i="36"/>
  <c r="M123" i="30"/>
  <c r="Q113" i="36"/>
  <c r="U125" i="28"/>
  <c r="M136" i="36"/>
  <c r="M115" i="36"/>
  <c r="L183" i="36"/>
  <c r="L171" i="36"/>
  <c r="M114" i="36"/>
  <c r="M125" i="36"/>
  <c r="N113" i="35"/>
  <c r="N124" i="35"/>
  <c r="M159" i="35"/>
  <c r="O136" i="34"/>
  <c r="O125" i="34"/>
  <c r="N159" i="34"/>
  <c r="N124" i="31"/>
  <c r="M159" i="31"/>
  <c r="M124" i="30"/>
  <c r="L159" i="30"/>
  <c r="N124" i="29"/>
  <c r="M159" i="29"/>
  <c r="M81" i="36"/>
  <c r="Q81" i="36" s="1"/>
  <c r="M105" i="36"/>
  <c r="M70" i="36"/>
  <c r="M48" i="36"/>
  <c r="M59" i="36"/>
  <c r="M37" i="36"/>
  <c r="M92" i="36"/>
  <c r="N58" i="35"/>
  <c r="N47" i="35"/>
  <c r="N80" i="35"/>
  <c r="N104" i="35"/>
  <c r="N25" i="35"/>
  <c r="N36" i="35"/>
  <c r="N69" i="35"/>
  <c r="O37" i="34"/>
  <c r="O60" i="34"/>
  <c r="O92" i="34"/>
  <c r="O70" i="34"/>
  <c r="O81" i="34"/>
  <c r="O105" i="34"/>
  <c r="O59" i="34"/>
  <c r="N47" i="31"/>
  <c r="N25" i="31"/>
  <c r="N36" i="31"/>
  <c r="N69" i="31"/>
  <c r="N104" i="31"/>
  <c r="N80" i="31"/>
  <c r="N58" i="31"/>
  <c r="M48" i="30"/>
  <c r="M47" i="30"/>
  <c r="M25" i="30"/>
  <c r="M58" i="30"/>
  <c r="M69" i="30"/>
  <c r="M91" i="30"/>
  <c r="M104" i="30"/>
  <c r="M80" i="30"/>
  <c r="N47" i="29"/>
  <c r="N69" i="29"/>
  <c r="N91" i="29"/>
  <c r="N48" i="29"/>
  <c r="N80" i="29"/>
  <c r="N104" i="29"/>
  <c r="N58" i="29"/>
  <c r="N25" i="29"/>
  <c r="U116" i="28" l="1"/>
  <c r="E140" i="28"/>
  <c r="N128" i="28"/>
  <c r="E183" i="28"/>
  <c r="N183" i="28" s="1"/>
  <c r="N171" i="28"/>
  <c r="F140" i="28"/>
  <c r="O128" i="28"/>
  <c r="F118" i="28"/>
  <c r="O106" i="28"/>
  <c r="F172" i="28"/>
  <c r="O160" i="28"/>
  <c r="E96" i="28"/>
  <c r="N84" i="28"/>
  <c r="F162" i="28"/>
  <c r="O150" i="28"/>
  <c r="F170" i="28"/>
  <c r="O158" i="28"/>
  <c r="F171" i="28"/>
  <c r="O159" i="28"/>
  <c r="F129" i="28"/>
  <c r="O117" i="28"/>
  <c r="E182" i="28"/>
  <c r="N182" i="28" s="1"/>
  <c r="N170" i="28"/>
  <c r="F97" i="28"/>
  <c r="O85" i="28"/>
  <c r="F161" i="28"/>
  <c r="O149" i="28"/>
  <c r="E162" i="28"/>
  <c r="N150" i="28"/>
  <c r="F107" i="28"/>
  <c r="O95" i="28"/>
  <c r="E107" i="28"/>
  <c r="N95" i="28"/>
  <c r="E173" i="28"/>
  <c r="N161" i="28"/>
  <c r="E129" i="28"/>
  <c r="N117" i="28"/>
  <c r="E151" i="28"/>
  <c r="N139" i="28"/>
  <c r="F96" i="28"/>
  <c r="O84" i="28"/>
  <c r="E118" i="28"/>
  <c r="N106" i="28"/>
  <c r="E184" i="28"/>
  <c r="N184" i="28" s="1"/>
  <c r="N172" i="28"/>
  <c r="F151" i="28"/>
  <c r="O139" i="28"/>
  <c r="E85" i="28"/>
  <c r="N73" i="28"/>
  <c r="BD59" i="14"/>
  <c r="AC57" i="14"/>
  <c r="W60" i="14"/>
  <c r="U126" i="28"/>
  <c r="Q37" i="36"/>
  <c r="N148" i="34"/>
  <c r="L148" i="36"/>
  <c r="M148" i="31"/>
  <c r="M148" i="29"/>
  <c r="M148" i="35"/>
  <c r="L148" i="30"/>
  <c r="L105" i="30"/>
  <c r="M49" i="31"/>
  <c r="L71" i="30"/>
  <c r="M115" i="35"/>
  <c r="M138" i="29"/>
  <c r="M60" i="29"/>
  <c r="L104" i="30"/>
  <c r="M104" i="31"/>
  <c r="M149" i="29"/>
  <c r="L105" i="36"/>
  <c r="N71" i="34"/>
  <c r="L71" i="36"/>
  <c r="M104" i="29"/>
  <c r="L82" i="36"/>
  <c r="L115" i="36"/>
  <c r="M71" i="31"/>
  <c r="L82" i="30"/>
  <c r="M149" i="31"/>
  <c r="M82" i="31"/>
  <c r="M149" i="35"/>
  <c r="M49" i="35"/>
  <c r="N149" i="34"/>
  <c r="M82" i="29"/>
  <c r="M138" i="35"/>
  <c r="M138" i="31"/>
  <c r="M105" i="35"/>
  <c r="M60" i="35"/>
  <c r="L138" i="30"/>
  <c r="N138" i="34"/>
  <c r="L138" i="36"/>
  <c r="M71" i="29"/>
  <c r="L49" i="36"/>
  <c r="L60" i="36"/>
  <c r="M60" i="31"/>
  <c r="M104" i="35"/>
  <c r="M82" i="35"/>
  <c r="N105" i="34"/>
  <c r="M49" i="29"/>
  <c r="L60" i="30"/>
  <c r="N104" i="34"/>
  <c r="L104" i="36"/>
  <c r="M105" i="29"/>
  <c r="L149" i="36"/>
  <c r="L49" i="30"/>
  <c r="N49" i="34"/>
  <c r="N60" i="34"/>
  <c r="M71" i="35"/>
  <c r="L149" i="30"/>
  <c r="N82" i="34"/>
  <c r="M105" i="31"/>
  <c r="M135" i="30"/>
  <c r="N135" i="35"/>
  <c r="M134" i="36"/>
  <c r="N134" i="31"/>
  <c r="N134" i="29"/>
  <c r="N134" i="35"/>
  <c r="M146" i="35"/>
  <c r="M135" i="36"/>
  <c r="N135" i="31"/>
  <c r="M134" i="30"/>
  <c r="L146" i="30"/>
  <c r="O135" i="34"/>
  <c r="N135" i="29"/>
  <c r="M146" i="31"/>
  <c r="M146" i="29"/>
  <c r="L146" i="36"/>
  <c r="O134" i="34"/>
  <c r="N146" i="34"/>
  <c r="Q114" i="36"/>
  <c r="M137" i="36"/>
  <c r="M126" i="36"/>
  <c r="M127" i="36"/>
  <c r="M148" i="36"/>
  <c r="N114" i="35"/>
  <c r="N136" i="35"/>
  <c r="M183" i="35"/>
  <c r="M171" i="35"/>
  <c r="N125" i="35"/>
  <c r="N115" i="35"/>
  <c r="N183" i="34"/>
  <c r="N171" i="34"/>
  <c r="O126" i="34"/>
  <c r="O137" i="34"/>
  <c r="O148" i="34"/>
  <c r="N125" i="31"/>
  <c r="M183" i="31"/>
  <c r="M171" i="31"/>
  <c r="N136" i="31"/>
  <c r="L183" i="30"/>
  <c r="L171" i="30"/>
  <c r="M125" i="30"/>
  <c r="M136" i="30"/>
  <c r="N136" i="29"/>
  <c r="N125" i="29"/>
  <c r="M183" i="29"/>
  <c r="M171" i="29"/>
  <c r="M49" i="36"/>
  <c r="M71" i="36"/>
  <c r="M60" i="36"/>
  <c r="M106" i="36"/>
  <c r="M82" i="36"/>
  <c r="M93" i="36"/>
  <c r="N105" i="35"/>
  <c r="N81" i="35"/>
  <c r="N48" i="35"/>
  <c r="N37" i="35"/>
  <c r="N92" i="35"/>
  <c r="N59" i="35"/>
  <c r="N70" i="35"/>
  <c r="O71" i="34"/>
  <c r="O93" i="34"/>
  <c r="O106" i="34"/>
  <c r="O82" i="34"/>
  <c r="O72" i="34"/>
  <c r="O49" i="34"/>
  <c r="N92" i="31"/>
  <c r="N105" i="31"/>
  <c r="N81" i="31"/>
  <c r="N48" i="31"/>
  <c r="N37" i="31"/>
  <c r="N70" i="31"/>
  <c r="N59" i="31"/>
  <c r="M92" i="30"/>
  <c r="M37" i="30"/>
  <c r="M70" i="30"/>
  <c r="M59" i="30"/>
  <c r="M81" i="30"/>
  <c r="M105" i="30"/>
  <c r="M60" i="30"/>
  <c r="N70" i="29"/>
  <c r="N37" i="29"/>
  <c r="N92" i="29"/>
  <c r="N81" i="29"/>
  <c r="N105" i="29"/>
  <c r="N60" i="29"/>
  <c r="N59" i="29"/>
  <c r="F163" i="28" l="1"/>
  <c r="O151" i="28"/>
  <c r="F119" i="28"/>
  <c r="O107" i="28"/>
  <c r="F174" i="28"/>
  <c r="O162" i="28"/>
  <c r="E174" i="28"/>
  <c r="N162" i="28"/>
  <c r="E108" i="28"/>
  <c r="N96" i="28"/>
  <c r="U106" i="28"/>
  <c r="E130" i="28"/>
  <c r="N118" i="28"/>
  <c r="F173" i="28"/>
  <c r="O161" i="28"/>
  <c r="F184" i="28"/>
  <c r="O184" i="28" s="1"/>
  <c r="O172" i="28"/>
  <c r="F108" i="28"/>
  <c r="O96" i="28"/>
  <c r="F109" i="28"/>
  <c r="O97" i="28"/>
  <c r="F130" i="28"/>
  <c r="O118" i="28"/>
  <c r="E163" i="28"/>
  <c r="N151" i="28"/>
  <c r="F152" i="28"/>
  <c r="O140" i="28"/>
  <c r="E141" i="28"/>
  <c r="N129" i="28"/>
  <c r="F141" i="28"/>
  <c r="O129" i="28"/>
  <c r="E185" i="28"/>
  <c r="N185" i="28" s="1"/>
  <c r="N173" i="28"/>
  <c r="F183" i="28"/>
  <c r="O183" i="28" s="1"/>
  <c r="O171" i="28"/>
  <c r="E152" i="28"/>
  <c r="N140" i="28"/>
  <c r="U117" i="28"/>
  <c r="E97" i="28"/>
  <c r="N85" i="28"/>
  <c r="E119" i="28"/>
  <c r="N107" i="28"/>
  <c r="F182" i="28"/>
  <c r="O182" i="28" s="1"/>
  <c r="O170" i="28"/>
  <c r="BD60" i="14"/>
  <c r="AC58" i="14"/>
  <c r="W61" i="14"/>
  <c r="Q82" i="36"/>
  <c r="Q115" i="36"/>
  <c r="L160" i="30"/>
  <c r="M160" i="35"/>
  <c r="M160" i="29"/>
  <c r="M160" i="31"/>
  <c r="L160" i="36"/>
  <c r="N160" i="34"/>
  <c r="N61" i="34"/>
  <c r="M94" i="31"/>
  <c r="M83" i="29"/>
  <c r="M94" i="35"/>
  <c r="L83" i="36"/>
  <c r="L61" i="30"/>
  <c r="L150" i="36"/>
  <c r="M161" i="31"/>
  <c r="M72" i="29"/>
  <c r="M116" i="35"/>
  <c r="M150" i="29"/>
  <c r="L161" i="36"/>
  <c r="N150" i="34"/>
  <c r="M150" i="31"/>
  <c r="L94" i="30"/>
  <c r="N83" i="34"/>
  <c r="L117" i="36"/>
  <c r="N94" i="34"/>
  <c r="M72" i="31"/>
  <c r="L150" i="30"/>
  <c r="M150" i="35"/>
  <c r="M127" i="29"/>
  <c r="M127" i="35"/>
  <c r="L116" i="36"/>
  <c r="M127" i="31"/>
  <c r="L161" i="30"/>
  <c r="M94" i="29"/>
  <c r="M83" i="31"/>
  <c r="M161" i="29"/>
  <c r="M72" i="35"/>
  <c r="N161" i="34"/>
  <c r="L127" i="36"/>
  <c r="L127" i="30"/>
  <c r="L83" i="30"/>
  <c r="M83" i="35"/>
  <c r="L72" i="30"/>
  <c r="L72" i="36"/>
  <c r="N127" i="34"/>
  <c r="M61" i="35"/>
  <c r="L94" i="36"/>
  <c r="M61" i="31"/>
  <c r="M61" i="29"/>
  <c r="L61" i="36"/>
  <c r="M117" i="35"/>
  <c r="M161" i="35"/>
  <c r="N72" i="34"/>
  <c r="S135" i="29"/>
  <c r="M158" i="35"/>
  <c r="N147" i="29"/>
  <c r="U135" i="34"/>
  <c r="N146" i="35"/>
  <c r="N147" i="35"/>
  <c r="O147" i="34"/>
  <c r="M146" i="30"/>
  <c r="O146" i="34"/>
  <c r="N147" i="31"/>
  <c r="M158" i="29"/>
  <c r="N146" i="29"/>
  <c r="M147" i="30"/>
  <c r="L158" i="30"/>
  <c r="M147" i="36"/>
  <c r="L158" i="36"/>
  <c r="N146" i="31"/>
  <c r="U147" i="28"/>
  <c r="M146" i="36"/>
  <c r="N158" i="34"/>
  <c r="M158" i="31"/>
  <c r="Q148" i="36"/>
  <c r="U148" i="34"/>
  <c r="M160" i="36"/>
  <c r="M138" i="36"/>
  <c r="M139" i="36"/>
  <c r="M149" i="36"/>
  <c r="M116" i="36"/>
  <c r="N127" i="35"/>
  <c r="N148" i="35"/>
  <c r="N137" i="35"/>
  <c r="N126" i="35"/>
  <c r="O127" i="34"/>
  <c r="O138" i="34"/>
  <c r="O160" i="34"/>
  <c r="O149" i="34"/>
  <c r="N127" i="31"/>
  <c r="N137" i="31"/>
  <c r="N126" i="31"/>
  <c r="N148" i="31"/>
  <c r="M148" i="30"/>
  <c r="M137" i="30"/>
  <c r="M126" i="30"/>
  <c r="N148" i="29"/>
  <c r="N137" i="29"/>
  <c r="N126" i="29"/>
  <c r="M94" i="36"/>
  <c r="M72" i="36"/>
  <c r="M107" i="36"/>
  <c r="M83" i="36"/>
  <c r="M61" i="36"/>
  <c r="N82" i="35"/>
  <c r="N106" i="35"/>
  <c r="N71" i="35"/>
  <c r="N49" i="35"/>
  <c r="N60" i="35"/>
  <c r="N93" i="35"/>
  <c r="O61" i="34"/>
  <c r="O108" i="34"/>
  <c r="O84" i="34"/>
  <c r="O94" i="34"/>
  <c r="O107" i="34"/>
  <c r="O83" i="34"/>
  <c r="N71" i="31"/>
  <c r="N106" i="31"/>
  <c r="N82" i="31"/>
  <c r="N60" i="31"/>
  <c r="N93" i="31"/>
  <c r="N49" i="31"/>
  <c r="M72" i="30"/>
  <c r="M49" i="30"/>
  <c r="M93" i="30"/>
  <c r="M71" i="30"/>
  <c r="M82" i="30"/>
  <c r="M106" i="30"/>
  <c r="N71" i="29"/>
  <c r="N49" i="29"/>
  <c r="N72" i="29"/>
  <c r="N106" i="29"/>
  <c r="N82" i="29"/>
  <c r="N93" i="29"/>
  <c r="F153" i="28" l="1"/>
  <c r="O141" i="28"/>
  <c r="F185" i="28"/>
  <c r="O185" i="28" s="1"/>
  <c r="O173" i="28"/>
  <c r="U118" i="28"/>
  <c r="E153" i="28"/>
  <c r="N141" i="28"/>
  <c r="E142" i="28"/>
  <c r="N130" i="28"/>
  <c r="U107" i="28"/>
  <c r="E131" i="28"/>
  <c r="N119" i="28"/>
  <c r="F164" i="28"/>
  <c r="O152" i="28"/>
  <c r="E109" i="28"/>
  <c r="N97" i="28"/>
  <c r="E175" i="28"/>
  <c r="N163" i="28"/>
  <c r="E120" i="28"/>
  <c r="N108" i="28"/>
  <c r="F142" i="28"/>
  <c r="O130" i="28"/>
  <c r="E186" i="28"/>
  <c r="N186" i="28" s="1"/>
  <c r="N174" i="28"/>
  <c r="E164" i="28"/>
  <c r="N152" i="28"/>
  <c r="F121" i="28"/>
  <c r="O109" i="28"/>
  <c r="F186" i="28"/>
  <c r="O186" i="28" s="1"/>
  <c r="O174" i="28"/>
  <c r="F120" i="28"/>
  <c r="O108" i="28"/>
  <c r="F131" i="28"/>
  <c r="O119" i="28"/>
  <c r="F175" i="28"/>
  <c r="O163" i="28"/>
  <c r="U127" i="28"/>
  <c r="BD61" i="14"/>
  <c r="AC59" i="14"/>
  <c r="W62" i="14"/>
  <c r="Q83" i="36"/>
  <c r="N184" i="34"/>
  <c r="N172" i="34"/>
  <c r="L184" i="36"/>
  <c r="L172" i="36"/>
  <c r="M184" i="31"/>
  <c r="M172" i="31"/>
  <c r="M172" i="29"/>
  <c r="M184" i="29"/>
  <c r="M184" i="35"/>
  <c r="M172" i="35"/>
  <c r="L184" i="30"/>
  <c r="L172" i="30"/>
  <c r="M73" i="29"/>
  <c r="M95" i="35"/>
  <c r="N84" i="34"/>
  <c r="L128" i="36"/>
  <c r="M129" i="29"/>
  <c r="M129" i="31"/>
  <c r="M106" i="35"/>
  <c r="L95" i="30"/>
  <c r="M173" i="29"/>
  <c r="M185" i="29"/>
  <c r="M73" i="31"/>
  <c r="M139" i="35"/>
  <c r="N95" i="34"/>
  <c r="M84" i="29"/>
  <c r="L129" i="30"/>
  <c r="M139" i="29"/>
  <c r="M95" i="29"/>
  <c r="L139" i="30"/>
  <c r="M95" i="31"/>
  <c r="L106" i="30"/>
  <c r="M185" i="31"/>
  <c r="M173" i="31"/>
  <c r="M128" i="31"/>
  <c r="L139" i="36"/>
  <c r="L106" i="36"/>
  <c r="M106" i="29"/>
  <c r="M162" i="35"/>
  <c r="M162" i="31"/>
  <c r="L162" i="36"/>
  <c r="L128" i="30"/>
  <c r="M128" i="29"/>
  <c r="L162" i="30"/>
  <c r="M73" i="35"/>
  <c r="N185" i="34"/>
  <c r="N173" i="34"/>
  <c r="N162" i="34"/>
  <c r="L73" i="30"/>
  <c r="M185" i="35"/>
  <c r="M173" i="35"/>
  <c r="N139" i="34"/>
  <c r="M84" i="35"/>
  <c r="M129" i="35"/>
  <c r="L185" i="30"/>
  <c r="L173" i="30"/>
  <c r="M84" i="31"/>
  <c r="L185" i="36"/>
  <c r="L173" i="36"/>
  <c r="M106" i="31"/>
  <c r="L84" i="36"/>
  <c r="L73" i="36"/>
  <c r="M139" i="31"/>
  <c r="N106" i="34"/>
  <c r="M162" i="29"/>
  <c r="L95" i="36"/>
  <c r="N129" i="34"/>
  <c r="L84" i="30"/>
  <c r="N128" i="34"/>
  <c r="N73" i="34"/>
  <c r="L129" i="36"/>
  <c r="M128" i="35"/>
  <c r="N170" i="34"/>
  <c r="N182" i="34"/>
  <c r="O158" i="34"/>
  <c r="N158" i="29"/>
  <c r="N158" i="31"/>
  <c r="S147" i="29"/>
  <c r="M158" i="36"/>
  <c r="M182" i="29"/>
  <c r="M170" i="29"/>
  <c r="N159" i="29"/>
  <c r="L182" i="36"/>
  <c r="L170" i="36"/>
  <c r="M158" i="30"/>
  <c r="Q147" i="36"/>
  <c r="M159" i="36"/>
  <c r="U147" i="34"/>
  <c r="N159" i="31"/>
  <c r="O159" i="34"/>
  <c r="M182" i="35"/>
  <c r="M170" i="35"/>
  <c r="L182" i="30"/>
  <c r="L170" i="30"/>
  <c r="N159" i="35"/>
  <c r="M182" i="31"/>
  <c r="M170" i="31"/>
  <c r="M159" i="30"/>
  <c r="N158" i="35"/>
  <c r="Q116" i="36"/>
  <c r="Q149" i="36"/>
  <c r="U149" i="34"/>
  <c r="S148" i="29"/>
  <c r="M128" i="36"/>
  <c r="M161" i="36"/>
  <c r="M151" i="36"/>
  <c r="M150" i="36"/>
  <c r="M184" i="36"/>
  <c r="M172" i="36"/>
  <c r="M117" i="36"/>
  <c r="N149" i="35"/>
  <c r="N160" i="35"/>
  <c r="N138" i="35"/>
  <c r="N139" i="35"/>
  <c r="N116" i="35"/>
  <c r="O161" i="34"/>
  <c r="O128" i="34"/>
  <c r="O184" i="34"/>
  <c r="O172" i="34"/>
  <c r="O150" i="34"/>
  <c r="O139" i="34"/>
  <c r="N160" i="31"/>
  <c r="N139" i="31"/>
  <c r="N138" i="31"/>
  <c r="N149" i="31"/>
  <c r="M138" i="30"/>
  <c r="M160" i="30"/>
  <c r="M127" i="30"/>
  <c r="M149" i="30"/>
  <c r="N149" i="29"/>
  <c r="N160" i="29"/>
  <c r="N138" i="29"/>
  <c r="N127" i="29"/>
  <c r="M73" i="36"/>
  <c r="M95" i="36"/>
  <c r="M108" i="36"/>
  <c r="M84" i="36"/>
  <c r="N72" i="35"/>
  <c r="N61" i="35"/>
  <c r="N94" i="35"/>
  <c r="N107" i="35"/>
  <c r="N83" i="35"/>
  <c r="O95" i="34"/>
  <c r="O96" i="34"/>
  <c r="O73" i="34"/>
  <c r="N61" i="31"/>
  <c r="N107" i="31"/>
  <c r="N83" i="31"/>
  <c r="N72" i="31"/>
  <c r="N94" i="31"/>
  <c r="M107" i="30"/>
  <c r="M83" i="30"/>
  <c r="M94" i="30"/>
  <c r="M84" i="30"/>
  <c r="M108" i="30"/>
  <c r="M61" i="30"/>
  <c r="N61" i="29"/>
  <c r="N107" i="29"/>
  <c r="N83" i="29"/>
  <c r="N94" i="29"/>
  <c r="N108" i="29"/>
  <c r="N84" i="29"/>
  <c r="F176" i="28" l="1"/>
  <c r="O164" i="28"/>
  <c r="U119" i="28"/>
  <c r="F133" i="28"/>
  <c r="O121" i="28"/>
  <c r="E143" i="28"/>
  <c r="N131" i="28"/>
  <c r="E176" i="28"/>
  <c r="N164" i="28"/>
  <c r="E154" i="28"/>
  <c r="N142" i="28"/>
  <c r="F154" i="28"/>
  <c r="O142" i="28"/>
  <c r="E165" i="28"/>
  <c r="N153" i="28"/>
  <c r="U108" i="28"/>
  <c r="E132" i="28"/>
  <c r="N120" i="28"/>
  <c r="F187" i="28"/>
  <c r="O187" i="28" s="1"/>
  <c r="O175" i="28"/>
  <c r="F143" i="28"/>
  <c r="O131" i="28"/>
  <c r="E187" i="28"/>
  <c r="N187" i="28" s="1"/>
  <c r="N175" i="28"/>
  <c r="F132" i="28"/>
  <c r="O120" i="28"/>
  <c r="E121" i="28"/>
  <c r="N109" i="28"/>
  <c r="F165" i="28"/>
  <c r="O153" i="28"/>
  <c r="BD62" i="14"/>
  <c r="AC60" i="14"/>
  <c r="W63" i="14"/>
  <c r="Q84" i="36"/>
  <c r="N141" i="34"/>
  <c r="M140" i="29"/>
  <c r="M118" i="35"/>
  <c r="M140" i="31"/>
  <c r="L141" i="30"/>
  <c r="L107" i="36"/>
  <c r="M140" i="35"/>
  <c r="M174" i="29"/>
  <c r="M186" i="29"/>
  <c r="L140" i="30"/>
  <c r="M141" i="31"/>
  <c r="L85" i="30"/>
  <c r="L186" i="36"/>
  <c r="L174" i="36"/>
  <c r="N186" i="34"/>
  <c r="N174" i="34"/>
  <c r="M96" i="29"/>
  <c r="M141" i="29"/>
  <c r="U128" i="28"/>
  <c r="L141" i="36"/>
  <c r="M96" i="31"/>
  <c r="M186" i="31"/>
  <c r="M174" i="31"/>
  <c r="M107" i="31"/>
  <c r="N107" i="34"/>
  <c r="L140" i="36"/>
  <c r="M151" i="31"/>
  <c r="M186" i="35"/>
  <c r="M174" i="35"/>
  <c r="L151" i="30"/>
  <c r="M151" i="35"/>
  <c r="N85" i="34"/>
  <c r="M141" i="35"/>
  <c r="M85" i="31"/>
  <c r="L85" i="36"/>
  <c r="N96" i="34"/>
  <c r="N140" i="34"/>
  <c r="L118" i="36"/>
  <c r="M96" i="35"/>
  <c r="M85" i="35"/>
  <c r="L96" i="36"/>
  <c r="M107" i="29"/>
  <c r="M107" i="35"/>
  <c r="L96" i="30"/>
  <c r="N151" i="34"/>
  <c r="L186" i="30"/>
  <c r="L174" i="30"/>
  <c r="L151" i="36"/>
  <c r="M151" i="29"/>
  <c r="L107" i="30"/>
  <c r="M85" i="29"/>
  <c r="M182" i="30"/>
  <c r="M170" i="30"/>
  <c r="U172" i="28"/>
  <c r="M183" i="30"/>
  <c r="M171" i="30"/>
  <c r="N170" i="29"/>
  <c r="N182" i="29"/>
  <c r="N183" i="29"/>
  <c r="N171" i="29"/>
  <c r="M183" i="36"/>
  <c r="M171" i="36"/>
  <c r="N170" i="31"/>
  <c r="N182" i="31"/>
  <c r="O182" i="34"/>
  <c r="O170" i="34"/>
  <c r="U171" i="28"/>
  <c r="N182" i="35"/>
  <c r="N170" i="35"/>
  <c r="N183" i="35"/>
  <c r="N171" i="35"/>
  <c r="O183" i="34"/>
  <c r="O171" i="34"/>
  <c r="M182" i="36"/>
  <c r="M170" i="36"/>
  <c r="N171" i="31"/>
  <c r="N183" i="31"/>
  <c r="M109" i="36"/>
  <c r="M97" i="36"/>
  <c r="N96" i="35"/>
  <c r="N108" i="35"/>
  <c r="Q150" i="36"/>
  <c r="Q184" i="36"/>
  <c r="Q117" i="36"/>
  <c r="U184" i="34"/>
  <c r="U150" i="34"/>
  <c r="S149" i="29"/>
  <c r="U173" i="28"/>
  <c r="U129" i="28"/>
  <c r="M129" i="36"/>
  <c r="M118" i="36"/>
  <c r="M162" i="36"/>
  <c r="M163" i="36"/>
  <c r="M185" i="36"/>
  <c r="M173" i="36"/>
  <c r="M140" i="36"/>
  <c r="N128" i="35"/>
  <c r="N151" i="35"/>
  <c r="N150" i="35"/>
  <c r="N117" i="35"/>
  <c r="N184" i="35"/>
  <c r="N172" i="35"/>
  <c r="N161" i="35"/>
  <c r="O151" i="34"/>
  <c r="O162" i="34"/>
  <c r="O129" i="34"/>
  <c r="O140" i="34"/>
  <c r="O185" i="34"/>
  <c r="O173" i="34"/>
  <c r="N161" i="31"/>
  <c r="N150" i="31"/>
  <c r="N151" i="31"/>
  <c r="N184" i="31"/>
  <c r="N172" i="31"/>
  <c r="N128" i="31"/>
  <c r="M128" i="30"/>
  <c r="M161" i="30"/>
  <c r="M139" i="30"/>
  <c r="M184" i="30"/>
  <c r="M172" i="30"/>
  <c r="M150" i="30"/>
  <c r="N139" i="29"/>
  <c r="N150" i="29"/>
  <c r="N128" i="29"/>
  <c r="N184" i="29"/>
  <c r="N172" i="29"/>
  <c r="N161" i="29"/>
  <c r="M96" i="36"/>
  <c r="M85" i="36"/>
  <c r="N95" i="35"/>
  <c r="N84" i="35"/>
  <c r="N73" i="35"/>
  <c r="O109" i="34"/>
  <c r="O85" i="34"/>
  <c r="N108" i="31"/>
  <c r="N84" i="31"/>
  <c r="N95" i="31"/>
  <c r="N73" i="31"/>
  <c r="M96" i="30"/>
  <c r="M73" i="30"/>
  <c r="M95" i="30"/>
  <c r="N96" i="29"/>
  <c r="N95" i="29"/>
  <c r="N73" i="29"/>
  <c r="F177" i="28" l="1"/>
  <c r="O165" i="28"/>
  <c r="E177" i="28"/>
  <c r="N165" i="28"/>
  <c r="U109" i="28"/>
  <c r="E133" i="28"/>
  <c r="N121" i="28"/>
  <c r="F166" i="28"/>
  <c r="O154" i="28"/>
  <c r="F144" i="28"/>
  <c r="O132" i="28"/>
  <c r="E166" i="28"/>
  <c r="N154" i="28"/>
  <c r="E188" i="28"/>
  <c r="N188" i="28" s="1"/>
  <c r="N176" i="28"/>
  <c r="F155" i="28"/>
  <c r="O143" i="28"/>
  <c r="E155" i="28"/>
  <c r="N143" i="28"/>
  <c r="F145" i="28"/>
  <c r="O133" i="28"/>
  <c r="U120" i="28"/>
  <c r="E144" i="28"/>
  <c r="N132" i="28"/>
  <c r="F188" i="28"/>
  <c r="O188" i="28" s="1"/>
  <c r="O176" i="28"/>
  <c r="BD63" i="14"/>
  <c r="AC61" i="14"/>
  <c r="W64" i="14"/>
  <c r="Q85" i="36"/>
  <c r="Q151" i="36"/>
  <c r="U174" i="28"/>
  <c r="M163" i="35"/>
  <c r="L163" i="30"/>
  <c r="M97" i="31"/>
  <c r="M108" i="31"/>
  <c r="M163" i="29"/>
  <c r="L108" i="36"/>
  <c r="L97" i="30"/>
  <c r="L153" i="30"/>
  <c r="L153" i="36"/>
  <c r="L163" i="36"/>
  <c r="M97" i="35"/>
  <c r="M163" i="31"/>
  <c r="M153" i="31"/>
  <c r="M152" i="31"/>
  <c r="M108" i="35"/>
  <c r="M130" i="29"/>
  <c r="M153" i="29"/>
  <c r="L152" i="36"/>
  <c r="M130" i="31"/>
  <c r="M108" i="29"/>
  <c r="L152" i="30"/>
  <c r="N163" i="34"/>
  <c r="N152" i="34"/>
  <c r="N97" i="34"/>
  <c r="M130" i="35"/>
  <c r="N130" i="34"/>
  <c r="L108" i="30"/>
  <c r="N108" i="34"/>
  <c r="M152" i="35"/>
  <c r="M152" i="29"/>
  <c r="M153" i="35"/>
  <c r="M97" i="29"/>
  <c r="M119" i="35"/>
  <c r="L119" i="36"/>
  <c r="L130" i="36"/>
  <c r="L97" i="36"/>
  <c r="L130" i="30"/>
  <c r="N153" i="34"/>
  <c r="Q183" i="36"/>
  <c r="S171" i="29"/>
  <c r="S183" i="29"/>
  <c r="U171" i="34"/>
  <c r="U183" i="34"/>
  <c r="N109" i="35"/>
  <c r="N97" i="35"/>
  <c r="M109" i="30"/>
  <c r="M97" i="30"/>
  <c r="Q185" i="36"/>
  <c r="Q118" i="36"/>
  <c r="U185" i="34"/>
  <c r="U151" i="34"/>
  <c r="S184" i="29"/>
  <c r="S150" i="29"/>
  <c r="M152" i="36"/>
  <c r="M187" i="36"/>
  <c r="M175" i="36"/>
  <c r="M186" i="36"/>
  <c r="M174" i="36"/>
  <c r="M130" i="36"/>
  <c r="M141" i="36"/>
  <c r="M119" i="36"/>
  <c r="N185" i="35"/>
  <c r="N173" i="35"/>
  <c r="N129" i="35"/>
  <c r="N162" i="35"/>
  <c r="N118" i="35"/>
  <c r="N163" i="35"/>
  <c r="N140" i="35"/>
  <c r="O130" i="34"/>
  <c r="O152" i="34"/>
  <c r="O141" i="34"/>
  <c r="O186" i="34"/>
  <c r="O174" i="34"/>
  <c r="O163" i="34"/>
  <c r="N129" i="31"/>
  <c r="N140" i="31"/>
  <c r="N163" i="31"/>
  <c r="N162" i="31"/>
  <c r="N185" i="31"/>
  <c r="N173" i="31"/>
  <c r="M162" i="30"/>
  <c r="M151" i="30"/>
  <c r="M185" i="30"/>
  <c r="M173" i="30"/>
  <c r="M140" i="30"/>
  <c r="M129" i="30"/>
  <c r="N185" i="29"/>
  <c r="N173" i="29"/>
  <c r="N129" i="29"/>
  <c r="N140" i="29"/>
  <c r="N162" i="29"/>
  <c r="N151" i="29"/>
  <c r="N85" i="35"/>
  <c r="O97" i="34"/>
  <c r="N109" i="31"/>
  <c r="N85" i="31"/>
  <c r="N96" i="31"/>
  <c r="M85" i="30"/>
  <c r="N109" i="29"/>
  <c r="N85" i="29"/>
  <c r="E178" i="28" l="1"/>
  <c r="N166" i="28"/>
  <c r="F156" i="28"/>
  <c r="O144" i="28"/>
  <c r="E156" i="28"/>
  <c r="N144" i="28"/>
  <c r="F178" i="28"/>
  <c r="O166" i="28"/>
  <c r="U121" i="28"/>
  <c r="E145" i="28"/>
  <c r="N133" i="28"/>
  <c r="F157" i="28"/>
  <c r="O145" i="28"/>
  <c r="E167" i="28"/>
  <c r="N155" i="28"/>
  <c r="E189" i="28"/>
  <c r="N189" i="28" s="1"/>
  <c r="N177" i="28"/>
  <c r="F167" i="28"/>
  <c r="O155" i="28"/>
  <c r="F189" i="28"/>
  <c r="O189" i="28" s="1"/>
  <c r="O177" i="28"/>
  <c r="BD64" i="14"/>
  <c r="AC62" i="14"/>
  <c r="W65" i="14"/>
  <c r="U130" i="28"/>
  <c r="L142" i="30"/>
  <c r="M164" i="35"/>
  <c r="N109" i="34"/>
  <c r="L164" i="36"/>
  <c r="M175" i="31"/>
  <c r="M187" i="31"/>
  <c r="M187" i="29"/>
  <c r="M175" i="29"/>
  <c r="M109" i="35"/>
  <c r="L109" i="36"/>
  <c r="N164" i="34"/>
  <c r="L142" i="36"/>
  <c r="N187" i="34"/>
  <c r="N175" i="34"/>
  <c r="M165" i="29"/>
  <c r="L187" i="36"/>
  <c r="L175" i="36"/>
  <c r="M109" i="31"/>
  <c r="L131" i="36"/>
  <c r="L165" i="36"/>
  <c r="L187" i="30"/>
  <c r="L175" i="30"/>
  <c r="M142" i="29"/>
  <c r="M131" i="35"/>
  <c r="L164" i="30"/>
  <c r="N142" i="34"/>
  <c r="M120" i="35"/>
  <c r="L165" i="30"/>
  <c r="M109" i="29"/>
  <c r="M187" i="35"/>
  <c r="M175" i="35"/>
  <c r="M165" i="35"/>
  <c r="M142" i="35"/>
  <c r="N131" i="34"/>
  <c r="M164" i="31"/>
  <c r="L109" i="30"/>
  <c r="M131" i="29"/>
  <c r="N165" i="34"/>
  <c r="L120" i="36"/>
  <c r="M164" i="29"/>
  <c r="M131" i="31"/>
  <c r="M142" i="31"/>
  <c r="M165" i="31"/>
  <c r="L131" i="30"/>
  <c r="Q186" i="36"/>
  <c r="Q152" i="36"/>
  <c r="Q119" i="36"/>
  <c r="U186" i="34"/>
  <c r="U152" i="34"/>
  <c r="S185" i="29"/>
  <c r="S151" i="29"/>
  <c r="M131" i="36"/>
  <c r="M153" i="36"/>
  <c r="M142" i="36"/>
  <c r="M120" i="36"/>
  <c r="M164" i="36"/>
  <c r="N152" i="35"/>
  <c r="N187" i="35"/>
  <c r="N175" i="35"/>
  <c r="N130" i="35"/>
  <c r="N186" i="35"/>
  <c r="N174" i="35"/>
  <c r="N141" i="35"/>
  <c r="N119" i="35"/>
  <c r="O131" i="34"/>
  <c r="O187" i="34"/>
  <c r="O175" i="34"/>
  <c r="O153" i="34"/>
  <c r="O164" i="34"/>
  <c r="O142" i="34"/>
  <c r="O132" i="34"/>
  <c r="N130" i="31"/>
  <c r="N186" i="31"/>
  <c r="N174" i="31"/>
  <c r="N187" i="31"/>
  <c r="N175" i="31"/>
  <c r="N152" i="31"/>
  <c r="N141" i="31"/>
  <c r="M152" i="30"/>
  <c r="M141" i="30"/>
  <c r="M130" i="30"/>
  <c r="M163" i="30"/>
  <c r="M186" i="30"/>
  <c r="M174" i="30"/>
  <c r="N186" i="29"/>
  <c r="N174" i="29"/>
  <c r="N163" i="29"/>
  <c r="N152" i="29"/>
  <c r="N141" i="29"/>
  <c r="N130" i="29"/>
  <c r="N97" i="31"/>
  <c r="N97" i="29"/>
  <c r="E179" i="28" l="1"/>
  <c r="N167" i="28"/>
  <c r="F169" i="28"/>
  <c r="O157" i="28"/>
  <c r="E157" i="28"/>
  <c r="N145" i="28"/>
  <c r="F190" i="28"/>
  <c r="O190" i="28" s="1"/>
  <c r="O178" i="28"/>
  <c r="E168" i="28"/>
  <c r="N156" i="28"/>
  <c r="F179" i="28"/>
  <c r="O167" i="28"/>
  <c r="F168" i="28"/>
  <c r="O156" i="28"/>
  <c r="E190" i="28"/>
  <c r="N190" i="28" s="1"/>
  <c r="N178" i="28"/>
  <c r="BD65" i="14"/>
  <c r="AC63" i="14"/>
  <c r="W66" i="14"/>
  <c r="Q187" i="36"/>
  <c r="U131" i="28"/>
  <c r="U175" i="28"/>
  <c r="M154" i="31"/>
  <c r="M189" i="29"/>
  <c r="M177" i="29"/>
  <c r="M121" i="35"/>
  <c r="N143" i="34"/>
  <c r="N154" i="34"/>
  <c r="L189" i="36"/>
  <c r="L177" i="36"/>
  <c r="M143" i="31"/>
  <c r="M154" i="35"/>
  <c r="M188" i="29"/>
  <c r="M176" i="29"/>
  <c r="M189" i="35"/>
  <c r="M177" i="35"/>
  <c r="L154" i="36"/>
  <c r="L132" i="36"/>
  <c r="L188" i="30"/>
  <c r="L176" i="30"/>
  <c r="L143" i="36"/>
  <c r="N189" i="34"/>
  <c r="N177" i="34"/>
  <c r="M143" i="35"/>
  <c r="N188" i="34"/>
  <c r="N176" i="34"/>
  <c r="L188" i="36"/>
  <c r="L176" i="36"/>
  <c r="M143" i="29"/>
  <c r="L132" i="30"/>
  <c r="L121" i="36"/>
  <c r="L189" i="30"/>
  <c r="L177" i="30"/>
  <c r="L143" i="30"/>
  <c r="M132" i="35"/>
  <c r="M176" i="35"/>
  <c r="M188" i="35"/>
  <c r="N132" i="34"/>
  <c r="M154" i="29"/>
  <c r="M189" i="31"/>
  <c r="M177" i="31"/>
  <c r="M176" i="31"/>
  <c r="M188" i="31"/>
  <c r="M132" i="29"/>
  <c r="M132" i="31"/>
  <c r="L154" i="30"/>
  <c r="Q120" i="36"/>
  <c r="Q153" i="36"/>
  <c r="U153" i="34"/>
  <c r="U187" i="34"/>
  <c r="S152" i="29"/>
  <c r="S186" i="29"/>
  <c r="M188" i="36"/>
  <c r="M176" i="36"/>
  <c r="M121" i="36"/>
  <c r="M132" i="36"/>
  <c r="M154" i="36"/>
  <c r="M165" i="36"/>
  <c r="M143" i="36"/>
  <c r="N120" i="35"/>
  <c r="N131" i="35"/>
  <c r="N153" i="35"/>
  <c r="N142" i="35"/>
  <c r="N164" i="35"/>
  <c r="O144" i="34"/>
  <c r="O154" i="34"/>
  <c r="O188" i="34"/>
  <c r="O176" i="34"/>
  <c r="O165" i="34"/>
  <c r="O143" i="34"/>
  <c r="N153" i="31"/>
  <c r="N164" i="31"/>
  <c r="N131" i="31"/>
  <c r="N142" i="31"/>
  <c r="M132" i="30"/>
  <c r="M187" i="30"/>
  <c r="M175" i="30"/>
  <c r="M142" i="30"/>
  <c r="M153" i="30"/>
  <c r="M164" i="30"/>
  <c r="M131" i="30"/>
  <c r="N142" i="29"/>
  <c r="N153" i="29"/>
  <c r="N164" i="29"/>
  <c r="N187" i="29"/>
  <c r="N175" i="29"/>
  <c r="N131" i="29"/>
  <c r="N132" i="29"/>
  <c r="F180" i="28" l="1"/>
  <c r="O168" i="28"/>
  <c r="F191" i="28"/>
  <c r="O191" i="28" s="1"/>
  <c r="O179" i="28"/>
  <c r="E180" i="28"/>
  <c r="N168" i="28"/>
  <c r="E169" i="28"/>
  <c r="N157" i="28"/>
  <c r="F181" i="28"/>
  <c r="O169" i="28"/>
  <c r="E191" i="28"/>
  <c r="N191" i="28" s="1"/>
  <c r="N179" i="28"/>
  <c r="U176" i="28"/>
  <c r="BD66" i="14"/>
  <c r="AC64" i="14"/>
  <c r="W67" i="14"/>
  <c r="U132" i="28"/>
  <c r="L166" i="36"/>
  <c r="M155" i="31"/>
  <c r="L133" i="36"/>
  <c r="L144" i="30"/>
  <c r="M155" i="35"/>
  <c r="M166" i="29"/>
  <c r="L133" i="30"/>
  <c r="N144" i="34"/>
  <c r="N166" i="34"/>
  <c r="M133" i="29"/>
  <c r="M133" i="31"/>
  <c r="N155" i="34"/>
  <c r="M144" i="35"/>
  <c r="M155" i="29"/>
  <c r="M133" i="35"/>
  <c r="L166" i="30"/>
  <c r="L155" i="36"/>
  <c r="M144" i="31"/>
  <c r="L155" i="30"/>
  <c r="N133" i="34"/>
  <c r="M144" i="29"/>
  <c r="L144" i="36"/>
  <c r="M166" i="35"/>
  <c r="M166" i="31"/>
  <c r="Q154" i="36"/>
  <c r="Q121" i="36"/>
  <c r="Q188" i="36"/>
  <c r="U154" i="34"/>
  <c r="U188" i="34"/>
  <c r="S187" i="29"/>
  <c r="S153" i="29"/>
  <c r="U177" i="28"/>
  <c r="M155" i="36"/>
  <c r="M189" i="36"/>
  <c r="M177" i="36"/>
  <c r="M166" i="36"/>
  <c r="M144" i="36"/>
  <c r="M133" i="36"/>
  <c r="N188" i="35"/>
  <c r="N176" i="35"/>
  <c r="N121" i="35"/>
  <c r="N154" i="35"/>
  <c r="N165" i="35"/>
  <c r="N143" i="35"/>
  <c r="N132" i="35"/>
  <c r="O155" i="34"/>
  <c r="O189" i="34"/>
  <c r="O177" i="34"/>
  <c r="O166" i="34"/>
  <c r="O133" i="34"/>
  <c r="O156" i="34"/>
  <c r="N143" i="31"/>
  <c r="N132" i="31"/>
  <c r="N188" i="31"/>
  <c r="N176" i="31"/>
  <c r="N154" i="31"/>
  <c r="N165" i="31"/>
  <c r="M143" i="30"/>
  <c r="M165" i="30"/>
  <c r="M188" i="30"/>
  <c r="M176" i="30"/>
  <c r="M154" i="30"/>
  <c r="M144" i="30"/>
  <c r="N188" i="29"/>
  <c r="N176" i="29"/>
  <c r="N144" i="29"/>
  <c r="N165" i="29"/>
  <c r="N143" i="29"/>
  <c r="N154" i="29"/>
  <c r="F193" i="28" l="1"/>
  <c r="O193" i="28" s="1"/>
  <c r="O181" i="28"/>
  <c r="E181" i="28"/>
  <c r="N169" i="28"/>
  <c r="E192" i="28"/>
  <c r="N192" i="28" s="1"/>
  <c r="N180" i="28"/>
  <c r="F192" i="28"/>
  <c r="O192" i="28" s="1"/>
  <c r="O180" i="28"/>
  <c r="BD67" i="14"/>
  <c r="BJ57" i="14"/>
  <c r="AC65" i="14"/>
  <c r="W68" i="14"/>
  <c r="N145" i="34"/>
  <c r="M190" i="29"/>
  <c r="M178" i="29"/>
  <c r="L167" i="30"/>
  <c r="N167" i="34"/>
  <c r="U133" i="28"/>
  <c r="M145" i="31"/>
  <c r="M156" i="31"/>
  <c r="M167" i="35"/>
  <c r="L167" i="36"/>
  <c r="L156" i="30"/>
  <c r="M145" i="29"/>
  <c r="L145" i="36"/>
  <c r="M145" i="35"/>
  <c r="N190" i="34"/>
  <c r="N178" i="34"/>
  <c r="M167" i="31"/>
  <c r="L190" i="30"/>
  <c r="L178" i="30"/>
  <c r="M190" i="31"/>
  <c r="M178" i="31"/>
  <c r="L156" i="36"/>
  <c r="M167" i="29"/>
  <c r="N156" i="34"/>
  <c r="M156" i="35"/>
  <c r="M190" i="35"/>
  <c r="M178" i="35"/>
  <c r="M156" i="29"/>
  <c r="L145" i="30"/>
  <c r="L178" i="36"/>
  <c r="L190" i="36"/>
  <c r="Q189" i="36"/>
  <c r="Q155" i="36"/>
  <c r="U189" i="34"/>
  <c r="U155" i="34"/>
  <c r="S188" i="29"/>
  <c r="S154" i="29"/>
  <c r="M145" i="36"/>
  <c r="M156" i="36"/>
  <c r="M190" i="36"/>
  <c r="M178" i="36"/>
  <c r="M167" i="36"/>
  <c r="N144" i="35"/>
  <c r="N155" i="35"/>
  <c r="N189" i="35"/>
  <c r="N177" i="35"/>
  <c r="N166" i="35"/>
  <c r="N133" i="35"/>
  <c r="O168" i="34"/>
  <c r="O145" i="34"/>
  <c r="O190" i="34"/>
  <c r="O178" i="34"/>
  <c r="O167" i="34"/>
  <c r="N189" i="31"/>
  <c r="N177" i="31"/>
  <c r="N166" i="31"/>
  <c r="N133" i="31"/>
  <c r="N144" i="31"/>
  <c r="N155" i="31"/>
  <c r="M189" i="30"/>
  <c r="M177" i="30"/>
  <c r="M133" i="30"/>
  <c r="M156" i="30"/>
  <c r="M166" i="30"/>
  <c r="M155" i="30"/>
  <c r="N133" i="29"/>
  <c r="N189" i="29"/>
  <c r="N177" i="29"/>
  <c r="N155" i="29"/>
  <c r="N156" i="29"/>
  <c r="N166" i="29"/>
  <c r="E193" i="28" l="1"/>
  <c r="N193" i="28" s="1"/>
  <c r="N181" i="28"/>
  <c r="U156" i="34"/>
  <c r="BJ58" i="14"/>
  <c r="BJ59" i="14" s="1"/>
  <c r="BJ60" i="14" s="1"/>
  <c r="BJ61" i="14" s="1"/>
  <c r="BJ62" i="14" s="1"/>
  <c r="BJ63" i="14" s="1"/>
  <c r="BJ64" i="14" s="1"/>
  <c r="BJ65" i="14" s="1"/>
  <c r="BJ66" i="14" s="1"/>
  <c r="BJ67" i="14" s="1"/>
  <c r="BJ68" i="14" s="1"/>
  <c r="BJ69" i="14" s="1"/>
  <c r="BD68" i="14"/>
  <c r="AC66" i="14"/>
  <c r="W69" i="14"/>
  <c r="U178" i="28"/>
  <c r="N168" i="34"/>
  <c r="L157" i="36"/>
  <c r="M157" i="31"/>
  <c r="M191" i="29"/>
  <c r="M179" i="29"/>
  <c r="M157" i="29"/>
  <c r="L168" i="36"/>
  <c r="L168" i="30"/>
  <c r="N191" i="34"/>
  <c r="N179" i="34"/>
  <c r="L157" i="30"/>
  <c r="L191" i="36"/>
  <c r="L179" i="36"/>
  <c r="L191" i="30"/>
  <c r="L179" i="30"/>
  <c r="M168" i="29"/>
  <c r="M191" i="31"/>
  <c r="M179" i="31"/>
  <c r="M191" i="35"/>
  <c r="M179" i="35"/>
  <c r="M168" i="35"/>
  <c r="M157" i="35"/>
  <c r="M168" i="31"/>
  <c r="N157" i="34"/>
  <c r="Q190" i="36"/>
  <c r="Q156" i="36"/>
  <c r="U190" i="34"/>
  <c r="S156" i="29"/>
  <c r="S155" i="29"/>
  <c r="S189" i="29"/>
  <c r="M191" i="36"/>
  <c r="M179" i="36"/>
  <c r="M168" i="36"/>
  <c r="M157" i="36"/>
  <c r="N145" i="35"/>
  <c r="N190" i="35"/>
  <c r="N178" i="35"/>
  <c r="N167" i="35"/>
  <c r="N156" i="35"/>
  <c r="O191" i="34"/>
  <c r="O179" i="34"/>
  <c r="O157" i="34"/>
  <c r="O192" i="34"/>
  <c r="O180" i="34"/>
  <c r="N167" i="31"/>
  <c r="N156" i="31"/>
  <c r="N145" i="31"/>
  <c r="N190" i="31"/>
  <c r="N178" i="31"/>
  <c r="M167" i="30"/>
  <c r="M190" i="30"/>
  <c r="M178" i="30"/>
  <c r="M168" i="30"/>
  <c r="M145" i="30"/>
  <c r="N190" i="29"/>
  <c r="N178" i="29"/>
  <c r="N168" i="29"/>
  <c r="N167" i="29"/>
  <c r="N145" i="29"/>
  <c r="U179" i="28" l="1"/>
  <c r="BD69" i="14"/>
  <c r="BJ24" i="14"/>
  <c r="BJ70" i="14"/>
  <c r="BJ71" i="14" s="1"/>
  <c r="BJ72" i="14" s="1"/>
  <c r="BJ73" i="14" s="1"/>
  <c r="BJ74" i="14" s="1"/>
  <c r="BJ75" i="14" s="1"/>
  <c r="BJ76" i="14" s="1"/>
  <c r="BJ77" i="14" s="1"/>
  <c r="BJ78" i="14" s="1"/>
  <c r="BJ79" i="14" s="1"/>
  <c r="BJ80" i="14" s="1"/>
  <c r="BJ81" i="14" s="1"/>
  <c r="AC67" i="14"/>
  <c r="W70" i="14"/>
  <c r="L180" i="30"/>
  <c r="L192" i="30"/>
  <c r="L192" i="36"/>
  <c r="L180" i="36"/>
  <c r="M169" i="29"/>
  <c r="M192" i="31"/>
  <c r="M180" i="31"/>
  <c r="N169" i="34"/>
  <c r="M169" i="31"/>
  <c r="M192" i="35"/>
  <c r="M180" i="35"/>
  <c r="L169" i="36"/>
  <c r="M169" i="35"/>
  <c r="L169" i="30"/>
  <c r="M192" i="29"/>
  <c r="M180" i="29"/>
  <c r="N192" i="34"/>
  <c r="N180" i="34"/>
  <c r="Q157" i="36"/>
  <c r="Q191" i="36"/>
  <c r="U157" i="34"/>
  <c r="U191" i="34"/>
  <c r="S190" i="29"/>
  <c r="M192" i="36"/>
  <c r="M180" i="36"/>
  <c r="M169" i="36"/>
  <c r="N168" i="35"/>
  <c r="N191" i="35"/>
  <c r="N179" i="35"/>
  <c r="N157" i="35"/>
  <c r="O169" i="34"/>
  <c r="N157" i="31"/>
  <c r="N168" i="31"/>
  <c r="N191" i="31"/>
  <c r="N179" i="31"/>
  <c r="M192" i="30"/>
  <c r="M180" i="30"/>
  <c r="M157" i="30"/>
  <c r="M191" i="30"/>
  <c r="M179" i="30"/>
  <c r="N192" i="29"/>
  <c r="N180" i="29"/>
  <c r="N157" i="29"/>
  <c r="N191" i="29"/>
  <c r="N179" i="29"/>
  <c r="U192" i="34" l="1"/>
  <c r="U180" i="28"/>
  <c r="BJ25" i="14"/>
  <c r="BJ82" i="14"/>
  <c r="BJ83" i="14" s="1"/>
  <c r="BJ84" i="14" s="1"/>
  <c r="BJ85" i="14" s="1"/>
  <c r="BJ86" i="14" s="1"/>
  <c r="BJ87" i="14" s="1"/>
  <c r="BJ88" i="14" s="1"/>
  <c r="BJ89" i="14" s="1"/>
  <c r="BJ90" i="14" s="1"/>
  <c r="BJ91" i="14" s="1"/>
  <c r="BJ92" i="14" s="1"/>
  <c r="BJ93" i="14" s="1"/>
  <c r="BD70" i="14"/>
  <c r="AC68" i="14"/>
  <c r="W71" i="14"/>
  <c r="M193" i="31"/>
  <c r="M181" i="31"/>
  <c r="N181" i="34"/>
  <c r="N193" i="34"/>
  <c r="L193" i="30"/>
  <c r="L181" i="30"/>
  <c r="L193" i="36"/>
  <c r="L181" i="36"/>
  <c r="M193" i="29"/>
  <c r="M181" i="29"/>
  <c r="M193" i="35"/>
  <c r="M181" i="35"/>
  <c r="Q192" i="36"/>
  <c r="S192" i="29"/>
  <c r="S191" i="29"/>
  <c r="S157" i="29"/>
  <c r="M193" i="36"/>
  <c r="M181" i="36"/>
  <c r="N169" i="35"/>
  <c r="N192" i="35"/>
  <c r="N180" i="35"/>
  <c r="O193" i="34"/>
  <c r="O181" i="34"/>
  <c r="N192" i="31"/>
  <c r="N180" i="31"/>
  <c r="N169" i="31"/>
  <c r="M169" i="30"/>
  <c r="N169" i="29"/>
  <c r="BD71" i="14" l="1"/>
  <c r="BJ26" i="14"/>
  <c r="BJ94" i="14"/>
  <c r="BJ95" i="14" s="1"/>
  <c r="BJ96" i="14" s="1"/>
  <c r="BJ97" i="14" s="1"/>
  <c r="BJ98" i="14" s="1"/>
  <c r="BJ99" i="14" s="1"/>
  <c r="BJ100" i="14" s="1"/>
  <c r="BJ101" i="14" s="1"/>
  <c r="BJ102" i="14" s="1"/>
  <c r="BJ103" i="14" s="1"/>
  <c r="BJ104" i="14" s="1"/>
  <c r="BJ105" i="14" s="1"/>
  <c r="AC69" i="14"/>
  <c r="W72" i="14"/>
  <c r="U181" i="28"/>
  <c r="Q193" i="36"/>
  <c r="U193" i="34"/>
  <c r="N193" i="35"/>
  <c r="N181" i="35"/>
  <c r="N193" i="31"/>
  <c r="N181" i="31"/>
  <c r="M193" i="30"/>
  <c r="M181" i="30"/>
  <c r="N193" i="29"/>
  <c r="N181" i="29"/>
  <c r="BJ27" i="14" l="1"/>
  <c r="BJ106" i="14"/>
  <c r="BJ107" i="14" s="1"/>
  <c r="BJ108" i="14" s="1"/>
  <c r="BJ109" i="14" s="1"/>
  <c r="BJ110" i="14" s="1"/>
  <c r="BJ111" i="14" s="1"/>
  <c r="BJ112" i="14" s="1"/>
  <c r="BJ113" i="14" s="1"/>
  <c r="BJ114" i="14" s="1"/>
  <c r="BJ115" i="14" s="1"/>
  <c r="BJ116" i="14" s="1"/>
  <c r="BJ117" i="14" s="1"/>
  <c r="BD72" i="14"/>
  <c r="AC70" i="14"/>
  <c r="W73" i="14"/>
  <c r="S193" i="29"/>
  <c r="BJ118" i="14" l="1"/>
  <c r="BJ119" i="14" s="1"/>
  <c r="BJ120" i="14" s="1"/>
  <c r="BJ121" i="14" s="1"/>
  <c r="BJ122" i="14" s="1"/>
  <c r="BJ123" i="14" s="1"/>
  <c r="BJ124" i="14" s="1"/>
  <c r="BJ125" i="14" s="1"/>
  <c r="BJ126" i="14" s="1"/>
  <c r="BJ127" i="14" s="1"/>
  <c r="BJ128" i="14" s="1"/>
  <c r="BD73" i="14"/>
  <c r="BJ28" i="14"/>
  <c r="AC71" i="14"/>
  <c r="W74" i="14"/>
  <c r="E3" i="10"/>
  <c r="F48" i="10" s="1"/>
  <c r="G48" i="10" s="1"/>
  <c r="B93" i="10"/>
  <c r="B79" i="10"/>
  <c r="E96" i="11"/>
  <c r="E94" i="11"/>
  <c r="F55" i="11"/>
  <c r="X15" i="11"/>
  <c r="V15" i="11"/>
  <c r="Y14" i="11"/>
  <c r="W14" i="11"/>
  <c r="Y13" i="11"/>
  <c r="W13" i="11"/>
  <c r="Y12" i="11"/>
  <c r="W12" i="11"/>
  <c r="Y11" i="11"/>
  <c r="W11" i="11"/>
  <c r="Y10" i="11"/>
  <c r="W10" i="11"/>
  <c r="Y9" i="11"/>
  <c r="W9" i="11"/>
  <c r="Y8" i="11"/>
  <c r="W8" i="11"/>
  <c r="Y7" i="11"/>
  <c r="Y6" i="11"/>
  <c r="W6" i="11"/>
  <c r="Y5" i="11"/>
  <c r="W5" i="11"/>
  <c r="D5" i="11"/>
  <c r="Y4" i="11"/>
  <c r="W4" i="11"/>
  <c r="E4" i="11"/>
  <c r="Y3" i="11"/>
  <c r="W3" i="11"/>
  <c r="E3" i="11"/>
  <c r="E194" i="10"/>
  <c r="H174" i="10"/>
  <c r="G174" i="10"/>
  <c r="F174" i="10"/>
  <c r="E174" i="10"/>
  <c r="E183" i="10" s="1"/>
  <c r="E191" i="10" s="1"/>
  <c r="C37" i="12" s="1"/>
  <c r="B18" i="73" s="1"/>
  <c r="B108" i="73" s="1"/>
  <c r="B132" i="73" s="1"/>
  <c r="H173" i="10"/>
  <c r="G173" i="10"/>
  <c r="F173" i="10"/>
  <c r="E173" i="10"/>
  <c r="E182" i="10" s="1"/>
  <c r="E190" i="10" s="1"/>
  <c r="C36" i="12" s="1"/>
  <c r="H172" i="10"/>
  <c r="G172" i="10"/>
  <c r="F172" i="10"/>
  <c r="E172" i="10"/>
  <c r="E181" i="10" s="1"/>
  <c r="E189" i="10" s="1"/>
  <c r="C35" i="12" s="1"/>
  <c r="H171" i="10"/>
  <c r="K171" i="10" s="1"/>
  <c r="N171" i="10" s="1"/>
  <c r="Q171" i="10" s="1"/>
  <c r="T171" i="10" s="1"/>
  <c r="W171" i="10" s="1"/>
  <c r="Z171" i="10" s="1"/>
  <c r="AC171" i="10" s="1"/>
  <c r="AF171" i="10" s="1"/>
  <c r="G171" i="10"/>
  <c r="J171" i="10" s="1"/>
  <c r="M171" i="10" s="1"/>
  <c r="P171" i="10" s="1"/>
  <c r="S171" i="10" s="1"/>
  <c r="V171" i="10" s="1"/>
  <c r="Y171" i="10" s="1"/>
  <c r="AB171" i="10" s="1"/>
  <c r="AE171" i="10" s="1"/>
  <c r="F171" i="10"/>
  <c r="I171" i="10" s="1"/>
  <c r="L171" i="10" s="1"/>
  <c r="O171" i="10" s="1"/>
  <c r="R171" i="10" s="1"/>
  <c r="U171" i="10" s="1"/>
  <c r="X171" i="10" s="1"/>
  <c r="AA171" i="10" s="1"/>
  <c r="AD171" i="10" s="1"/>
  <c r="G88" i="10"/>
  <c r="H88" i="10" s="1"/>
  <c r="I88" i="10" s="1"/>
  <c r="J88" i="10" s="1"/>
  <c r="K88" i="10" s="1"/>
  <c r="L88" i="10" s="1"/>
  <c r="M88" i="10" s="1"/>
  <c r="N88" i="10" s="1"/>
  <c r="O88" i="10" s="1"/>
  <c r="P88" i="10" s="1"/>
  <c r="Q88" i="10" s="1"/>
  <c r="R88" i="10" s="1"/>
  <c r="S88" i="10" s="1"/>
  <c r="T88" i="10" s="1"/>
  <c r="E6" i="10"/>
  <c r="K58" i="10" s="1"/>
  <c r="E5" i="10"/>
  <c r="B17" i="41" l="1"/>
  <c r="B107" i="41" s="1"/>
  <c r="B17" i="73"/>
  <c r="B107" i="73" s="1"/>
  <c r="B131" i="73" s="1"/>
  <c r="B16" i="41"/>
  <c r="B106" i="41" s="1"/>
  <c r="B130" i="41" s="1"/>
  <c r="B16" i="73"/>
  <c r="B106" i="73" s="1"/>
  <c r="B130" i="73" s="1"/>
  <c r="L58" i="10"/>
  <c r="K59" i="10"/>
  <c r="K60" i="10"/>
  <c r="B58" i="44"/>
  <c r="B71" i="44" s="1"/>
  <c r="B79" i="44" s="1"/>
  <c r="B131" i="41"/>
  <c r="H48" i="10"/>
  <c r="G49" i="10"/>
  <c r="G50" i="10"/>
  <c r="F49" i="10"/>
  <c r="F50" i="10"/>
  <c r="F21" i="10"/>
  <c r="F23" i="10" s="1"/>
  <c r="F53" i="10"/>
  <c r="G53" i="10" s="1"/>
  <c r="F16" i="10"/>
  <c r="G16" i="10" s="1"/>
  <c r="H16" i="10" s="1"/>
  <c r="I16" i="10" s="1"/>
  <c r="J16" i="10" s="1"/>
  <c r="K16" i="10" s="1"/>
  <c r="L16" i="10" s="1"/>
  <c r="M16" i="10" s="1"/>
  <c r="O16" i="10" s="1"/>
  <c r="P16" i="10" s="1"/>
  <c r="Q16" i="10" s="1"/>
  <c r="R16" i="10" s="1"/>
  <c r="S16" i="10" s="1"/>
  <c r="T16" i="10" s="1"/>
  <c r="U16" i="10" s="1"/>
  <c r="V16" i="10" s="1"/>
  <c r="W16" i="10" s="1"/>
  <c r="X16" i="10" s="1"/>
  <c r="F22" i="10"/>
  <c r="BD74" i="14"/>
  <c r="BJ29" i="14"/>
  <c r="AC72" i="14"/>
  <c r="W75" i="14"/>
  <c r="W22" i="11"/>
  <c r="H34" i="11"/>
  <c r="G55" i="11"/>
  <c r="H22" i="11"/>
  <c r="H64" i="10"/>
  <c r="C42" i="12"/>
  <c r="C47" i="12" s="1"/>
  <c r="C52" i="12" s="1"/>
  <c r="B18" i="41"/>
  <c r="B108" i="41" s="1"/>
  <c r="M64" i="10"/>
  <c r="Y15" i="11"/>
  <c r="K26" i="10"/>
  <c r="L26" i="10" s="1"/>
  <c r="M26" i="10" s="1"/>
  <c r="O26" i="10" s="1"/>
  <c r="P26" i="10" s="1"/>
  <c r="Q26" i="10" s="1"/>
  <c r="R26" i="10" s="1"/>
  <c r="S26" i="10" s="1"/>
  <c r="T26" i="10" s="1"/>
  <c r="U26" i="10" s="1"/>
  <c r="V26" i="10" s="1"/>
  <c r="W26" i="10" s="1"/>
  <c r="X26" i="10" s="1"/>
  <c r="C4" i="10"/>
  <c r="E4" i="10" s="1"/>
  <c r="E5" i="11"/>
  <c r="W15" i="11"/>
  <c r="D6" i="11" s="1"/>
  <c r="D9" i="11" s="1"/>
  <c r="J27" i="11" s="1"/>
  <c r="B57" i="44" l="1"/>
  <c r="B70" i="44" s="1"/>
  <c r="B78" i="44" s="1"/>
  <c r="H53" i="10"/>
  <c r="G54" i="10"/>
  <c r="G55" i="10"/>
  <c r="G21" i="10"/>
  <c r="H21" i="10" s="1"/>
  <c r="I21" i="10" s="1"/>
  <c r="J21" i="10" s="1"/>
  <c r="K21" i="10" s="1"/>
  <c r="L21" i="10" s="1"/>
  <c r="M21" i="10" s="1"/>
  <c r="O21" i="10" s="1"/>
  <c r="P21" i="10" s="1"/>
  <c r="Q21" i="10" s="1"/>
  <c r="R21" i="10" s="1"/>
  <c r="S21" i="10" s="1"/>
  <c r="T21" i="10" s="1"/>
  <c r="U21" i="10" s="1"/>
  <c r="V21" i="10" s="1"/>
  <c r="W21" i="10" s="1"/>
  <c r="X21" i="10" s="1"/>
  <c r="B59" i="44"/>
  <c r="B65" i="44" s="1"/>
  <c r="B132" i="41"/>
  <c r="H49" i="10"/>
  <c r="I48" i="10"/>
  <c r="H50" i="10"/>
  <c r="L59" i="10"/>
  <c r="M58" i="10"/>
  <c r="L60" i="10"/>
  <c r="F54" i="10"/>
  <c r="F55" i="10"/>
  <c r="F17" i="10"/>
  <c r="F18" i="10"/>
  <c r="BD75" i="14"/>
  <c r="AC73" i="14"/>
  <c r="W76" i="14"/>
  <c r="R27" i="11"/>
  <c r="S27" i="11"/>
  <c r="T27" i="11"/>
  <c r="H33" i="11"/>
  <c r="H45" i="11"/>
  <c r="I34" i="11"/>
  <c r="X22" i="11"/>
  <c r="C38" i="11"/>
  <c r="E38" i="11"/>
  <c r="D38" i="11"/>
  <c r="C27" i="11"/>
  <c r="E27" i="11"/>
  <c r="D27" i="11"/>
  <c r="J38" i="11"/>
  <c r="F27" i="11"/>
  <c r="I22" i="11"/>
  <c r="J34" i="11"/>
  <c r="M32" i="51"/>
  <c r="F35" i="10"/>
  <c r="L32" i="51"/>
  <c r="H32" i="51"/>
  <c r="K67" i="10"/>
  <c r="F67" i="10"/>
  <c r="I67" i="10"/>
  <c r="K64" i="10"/>
  <c r="J67" i="51"/>
  <c r="I64" i="10"/>
  <c r="I62" i="10" s="1"/>
  <c r="H67" i="10"/>
  <c r="J67" i="10"/>
  <c r="G67" i="10"/>
  <c r="G64" i="10"/>
  <c r="G62" i="10" s="1"/>
  <c r="M67" i="10"/>
  <c r="I74" i="51"/>
  <c r="F64" i="10"/>
  <c r="F62" i="10" s="1"/>
  <c r="H74" i="10"/>
  <c r="G74" i="51"/>
  <c r="G67" i="51"/>
  <c r="L67" i="51"/>
  <c r="L74" i="51"/>
  <c r="K35" i="51"/>
  <c r="I35" i="51"/>
  <c r="M35" i="10"/>
  <c r="J74" i="10"/>
  <c r="J74" i="51"/>
  <c r="L74" i="10"/>
  <c r="G35" i="51"/>
  <c r="L35" i="51"/>
  <c r="G74" i="10"/>
  <c r="L64" i="10"/>
  <c r="L62" i="10" s="1"/>
  <c r="H67" i="51"/>
  <c r="F74" i="51"/>
  <c r="F67" i="51"/>
  <c r="M67" i="51"/>
  <c r="L67" i="10"/>
  <c r="I74" i="10"/>
  <c r="H74" i="51"/>
  <c r="J35" i="51"/>
  <c r="K74" i="51"/>
  <c r="M62" i="10"/>
  <c r="E6" i="11"/>
  <c r="E9" i="11" s="1"/>
  <c r="F74" i="10"/>
  <c r="H35" i="51"/>
  <c r="I67" i="51"/>
  <c r="M74" i="10"/>
  <c r="K74" i="10"/>
  <c r="J64" i="10"/>
  <c r="K67" i="51"/>
  <c r="F35" i="51"/>
  <c r="W27" i="11"/>
  <c r="V27" i="11"/>
  <c r="X27" i="11"/>
  <c r="Y27" i="11"/>
  <c r="Z27" i="11"/>
  <c r="AA27" i="11"/>
  <c r="AB27" i="11"/>
  <c r="AC27" i="11"/>
  <c r="AD27" i="11"/>
  <c r="U27" i="11"/>
  <c r="I38" i="11"/>
  <c r="H38" i="11"/>
  <c r="G38" i="11"/>
  <c r="F38" i="11"/>
  <c r="O38" i="11"/>
  <c r="K38" i="11"/>
  <c r="N38" i="11"/>
  <c r="M38" i="11"/>
  <c r="L38" i="11"/>
  <c r="L27" i="11"/>
  <c r="M27" i="11"/>
  <c r="N27" i="11"/>
  <c r="O27" i="11"/>
  <c r="K27" i="11"/>
  <c r="H62" i="10"/>
  <c r="I27" i="11"/>
  <c r="H27" i="11"/>
  <c r="G27" i="11"/>
  <c r="O62" i="10" l="1"/>
  <c r="M60" i="10"/>
  <c r="M59" i="10"/>
  <c r="O58" i="10"/>
  <c r="P58" i="10" s="1"/>
  <c r="Q58" i="10" s="1"/>
  <c r="R58" i="10" s="1"/>
  <c r="S58" i="10" s="1"/>
  <c r="T58" i="10" s="1"/>
  <c r="U58" i="10" s="1"/>
  <c r="V58" i="10" s="1"/>
  <c r="W58" i="10" s="1"/>
  <c r="X58" i="10" s="1"/>
  <c r="J48" i="10"/>
  <c r="I49" i="10"/>
  <c r="I50" i="10"/>
  <c r="B72" i="44"/>
  <c r="B80" i="44" s="1"/>
  <c r="H54" i="10"/>
  <c r="I53" i="10"/>
  <c r="H55" i="10"/>
  <c r="H44" i="11"/>
  <c r="H55" i="11" s="1"/>
  <c r="W45" i="11"/>
  <c r="W44" i="11" s="1"/>
  <c r="W55" i="11" s="1"/>
  <c r="J33" i="11"/>
  <c r="J45" i="11"/>
  <c r="Y45" i="11" s="1"/>
  <c r="Y44" i="11" s="1"/>
  <c r="Y55" i="11" s="1"/>
  <c r="O67" i="10"/>
  <c r="BD76" i="14"/>
  <c r="AC74" i="14"/>
  <c r="W77" i="14"/>
  <c r="I33" i="11"/>
  <c r="I45" i="11"/>
  <c r="Y22" i="11"/>
  <c r="O75" i="10"/>
  <c r="F44" i="51"/>
  <c r="G44" i="51" s="1"/>
  <c r="H44" i="51" s="1"/>
  <c r="I44" i="51" s="1"/>
  <c r="J44" i="51" s="1"/>
  <c r="K44" i="51" s="1"/>
  <c r="L44" i="51" s="1"/>
  <c r="M44" i="51" s="1"/>
  <c r="N44" i="51" s="1"/>
  <c r="N71" i="51" s="1"/>
  <c r="K34" i="11"/>
  <c r="J22" i="11"/>
  <c r="K62" i="10"/>
  <c r="P62" i="10" s="1"/>
  <c r="Q62" i="10" s="1"/>
  <c r="R62" i="10" s="1"/>
  <c r="S62" i="10" s="1"/>
  <c r="T62" i="10" s="1"/>
  <c r="U62" i="10" s="1"/>
  <c r="V62" i="10" s="1"/>
  <c r="W62" i="10" s="1"/>
  <c r="X62" i="10" s="1"/>
  <c r="J62" i="10"/>
  <c r="J32" i="51"/>
  <c r="J30" i="51" s="1"/>
  <c r="M71" i="10"/>
  <c r="O71" i="10" s="1"/>
  <c r="P71" i="10" s="1"/>
  <c r="K32" i="51"/>
  <c r="I32" i="51"/>
  <c r="I30" i="51" s="1"/>
  <c r="F12" i="51"/>
  <c r="G12" i="51" s="1"/>
  <c r="H12" i="51" s="1"/>
  <c r="I12" i="51" s="1"/>
  <c r="J12" i="51" s="1"/>
  <c r="K12" i="51" s="1"/>
  <c r="L12" i="51" s="1"/>
  <c r="M12" i="51" s="1"/>
  <c r="N12" i="51" s="1"/>
  <c r="F32" i="51"/>
  <c r="G32" i="51"/>
  <c r="G71" i="10"/>
  <c r="G54" i="51"/>
  <c r="G17" i="51"/>
  <c r="G22" i="51"/>
  <c r="H22" i="51"/>
  <c r="J22" i="51"/>
  <c r="H30" i="51"/>
  <c r="M30" i="51"/>
  <c r="O75" i="51"/>
  <c r="L62" i="51"/>
  <c r="O62" i="51" s="1"/>
  <c r="F49" i="11"/>
  <c r="U49" i="11"/>
  <c r="L30" i="51"/>
  <c r="O30" i="51" s="1"/>
  <c r="F62" i="51"/>
  <c r="H62" i="51"/>
  <c r="I62" i="51"/>
  <c r="G62" i="51"/>
  <c r="J62" i="51"/>
  <c r="T35" i="10"/>
  <c r="U35" i="10"/>
  <c r="V35" i="10"/>
  <c r="W35" i="10"/>
  <c r="X35" i="10"/>
  <c r="K71" i="10"/>
  <c r="H71" i="10"/>
  <c r="J71" i="10"/>
  <c r="L71" i="10"/>
  <c r="G35" i="10"/>
  <c r="F30" i="51" l="1"/>
  <c r="J53" i="10"/>
  <c r="I54" i="10"/>
  <c r="I55" i="10"/>
  <c r="J49" i="10"/>
  <c r="K48" i="10"/>
  <c r="J50" i="10"/>
  <c r="J44" i="11"/>
  <c r="J55" i="11" s="1"/>
  <c r="I44" i="11"/>
  <c r="I55" i="11" s="1"/>
  <c r="X45" i="11"/>
  <c r="X44" i="11" s="1"/>
  <c r="X55" i="11" s="1"/>
  <c r="K33" i="11"/>
  <c r="K45" i="11"/>
  <c r="Z45" i="11" s="1"/>
  <c r="Z44" i="11" s="1"/>
  <c r="Z55" i="11" s="1"/>
  <c r="P67" i="10"/>
  <c r="O35" i="10"/>
  <c r="P75" i="10"/>
  <c r="BD77" i="14"/>
  <c r="AC75" i="14"/>
  <c r="W78" i="14"/>
  <c r="V49" i="11"/>
  <c r="W49" i="11" s="1"/>
  <c r="X49" i="11" s="1"/>
  <c r="Y49" i="11" s="1"/>
  <c r="Z49" i="11" s="1"/>
  <c r="AA49" i="11" s="1"/>
  <c r="AB49" i="11" s="1"/>
  <c r="AC49" i="11" s="1"/>
  <c r="AD49" i="11" s="1"/>
  <c r="T49" i="11"/>
  <c r="S49" i="11" s="1"/>
  <c r="R49" i="11" s="1"/>
  <c r="Z22" i="11"/>
  <c r="G49" i="11"/>
  <c r="H49" i="11" s="1"/>
  <c r="I49" i="11" s="1"/>
  <c r="J49" i="11" s="1"/>
  <c r="K49" i="11" s="1"/>
  <c r="L49" i="11" s="1"/>
  <c r="M49" i="11" s="1"/>
  <c r="N49" i="11" s="1"/>
  <c r="O49" i="11" s="1"/>
  <c r="E49" i="11"/>
  <c r="L34" i="11"/>
  <c r="K22" i="11"/>
  <c r="M54" i="51"/>
  <c r="G30" i="51"/>
  <c r="M57" i="51"/>
  <c r="M59" i="51"/>
  <c r="K30" i="51"/>
  <c r="K22" i="51"/>
  <c r="L27" i="51"/>
  <c r="M49" i="51"/>
  <c r="K17" i="51"/>
  <c r="L59" i="51"/>
  <c r="L57" i="51"/>
  <c r="J49" i="51"/>
  <c r="L17" i="51"/>
  <c r="I71" i="10"/>
  <c r="F49" i="51"/>
  <c r="F47" i="51"/>
  <c r="F69" i="51" s="1"/>
  <c r="K57" i="51"/>
  <c r="K59" i="51"/>
  <c r="J57" i="51"/>
  <c r="J59" i="51"/>
  <c r="I49" i="51"/>
  <c r="G27" i="51"/>
  <c r="H49" i="51"/>
  <c r="H27" i="51"/>
  <c r="J27" i="51"/>
  <c r="I22" i="51"/>
  <c r="F52" i="51"/>
  <c r="F70" i="51" s="1"/>
  <c r="F54" i="51"/>
  <c r="K27" i="51"/>
  <c r="I27" i="51"/>
  <c r="H54" i="51"/>
  <c r="L54" i="51"/>
  <c r="H17" i="51"/>
  <c r="H57" i="51"/>
  <c r="H59" i="51"/>
  <c r="F59" i="51"/>
  <c r="F57" i="51"/>
  <c r="F27" i="51"/>
  <c r="F25" i="51"/>
  <c r="I57" i="51"/>
  <c r="I59" i="51"/>
  <c r="L22" i="51"/>
  <c r="K49" i="51"/>
  <c r="I54" i="51"/>
  <c r="F15" i="51"/>
  <c r="F17" i="51"/>
  <c r="J17" i="51"/>
  <c r="G49" i="51"/>
  <c r="L49" i="51"/>
  <c r="K54" i="51"/>
  <c r="F22" i="51"/>
  <c r="F20" i="51"/>
  <c r="J54" i="51"/>
  <c r="I17" i="51"/>
  <c r="G57" i="51"/>
  <c r="G59" i="51"/>
  <c r="P75" i="51"/>
  <c r="Q71" i="10"/>
  <c r="F59" i="10"/>
  <c r="H35" i="10"/>
  <c r="K44" i="11" l="1"/>
  <c r="F38" i="51"/>
  <c r="F39" i="51"/>
  <c r="K49" i="10"/>
  <c r="L48" i="10"/>
  <c r="K50" i="10"/>
  <c r="K53" i="10"/>
  <c r="J54" i="10"/>
  <c r="J55" i="10"/>
  <c r="F37" i="51"/>
  <c r="L33" i="11"/>
  <c r="L45" i="11"/>
  <c r="AA45" i="11" s="1"/>
  <c r="AA44" i="11" s="1"/>
  <c r="AA55" i="11" s="1"/>
  <c r="Q75" i="10"/>
  <c r="M60" i="51"/>
  <c r="M71" i="51"/>
  <c r="L60" i="51"/>
  <c r="L71" i="51"/>
  <c r="F60" i="51"/>
  <c r="F71" i="51"/>
  <c r="I60" i="51"/>
  <c r="I71" i="51"/>
  <c r="J60" i="51"/>
  <c r="J71" i="51"/>
  <c r="G60" i="51"/>
  <c r="G71" i="51"/>
  <c r="H60" i="51"/>
  <c r="H71" i="51"/>
  <c r="K60" i="51"/>
  <c r="K71" i="51"/>
  <c r="BD78" i="14"/>
  <c r="AC76" i="14"/>
  <c r="W79" i="14"/>
  <c r="AA22" i="11"/>
  <c r="D49" i="11"/>
  <c r="F127" i="51"/>
  <c r="F128" i="51"/>
  <c r="F129" i="51"/>
  <c r="F130" i="51"/>
  <c r="K55" i="11"/>
  <c r="M34" i="11"/>
  <c r="L22" i="11"/>
  <c r="F23" i="51"/>
  <c r="G20" i="51"/>
  <c r="G38" i="51" s="1"/>
  <c r="F18" i="51"/>
  <c r="G15" i="51"/>
  <c r="G37" i="51" s="1"/>
  <c r="M22" i="51"/>
  <c r="M17" i="51"/>
  <c r="F55" i="51"/>
  <c r="G52" i="51"/>
  <c r="G70" i="51" s="1"/>
  <c r="M27" i="51"/>
  <c r="F50" i="51"/>
  <c r="G47" i="51"/>
  <c r="G69" i="51" s="1"/>
  <c r="Q75" i="51"/>
  <c r="F28" i="51"/>
  <c r="G25" i="51"/>
  <c r="G39" i="51" s="1"/>
  <c r="R71" i="10"/>
  <c r="F60" i="10"/>
  <c r="G69" i="10"/>
  <c r="I35" i="10"/>
  <c r="F99" i="51" l="1"/>
  <c r="F105" i="51" s="1"/>
  <c r="L44" i="11"/>
  <c r="Q67" i="10"/>
  <c r="P35" i="51"/>
  <c r="F85" i="51"/>
  <c r="R75" i="10"/>
  <c r="L53" i="10"/>
  <c r="K54" i="10"/>
  <c r="K55" i="10"/>
  <c r="M48" i="10"/>
  <c r="L49" i="10"/>
  <c r="L50" i="10"/>
  <c r="M33" i="11"/>
  <c r="M45" i="11"/>
  <c r="AB45" i="11" s="1"/>
  <c r="AB44" i="11" s="1"/>
  <c r="AB55" i="11" s="1"/>
  <c r="P30" i="51"/>
  <c r="O71" i="51"/>
  <c r="P71" i="51" s="1"/>
  <c r="Q71" i="51" s="1"/>
  <c r="R71" i="51" s="1"/>
  <c r="S71" i="51" s="1"/>
  <c r="T71" i="51" s="1"/>
  <c r="U71" i="51" s="1"/>
  <c r="V71" i="51" s="1"/>
  <c r="W71" i="51" s="1"/>
  <c r="X71" i="51" s="1"/>
  <c r="BD79" i="14"/>
  <c r="AC77" i="14"/>
  <c r="W80" i="14"/>
  <c r="AB22" i="11"/>
  <c r="C49" i="11"/>
  <c r="G130" i="51"/>
  <c r="G127" i="51"/>
  <c r="G129" i="51"/>
  <c r="G128" i="51"/>
  <c r="G18" i="51"/>
  <c r="L55" i="11"/>
  <c r="N34" i="11"/>
  <c r="M22" i="11"/>
  <c r="S75" i="10"/>
  <c r="R75" i="51"/>
  <c r="P62" i="51"/>
  <c r="G55" i="51"/>
  <c r="H52" i="51"/>
  <c r="H70" i="51" s="1"/>
  <c r="H25" i="51"/>
  <c r="H39" i="51" s="1"/>
  <c r="G28" i="51"/>
  <c r="F84" i="51"/>
  <c r="F90" i="51" s="1"/>
  <c r="F83" i="51"/>
  <c r="F89" i="51" s="1"/>
  <c r="F82" i="51"/>
  <c r="G23" i="51"/>
  <c r="H20" i="51"/>
  <c r="H38" i="51" s="1"/>
  <c r="F97" i="51"/>
  <c r="F103" i="51" s="1"/>
  <c r="F98" i="51"/>
  <c r="F104" i="51" s="1"/>
  <c r="F96" i="51"/>
  <c r="H15" i="51"/>
  <c r="H37" i="51" s="1"/>
  <c r="H47" i="51"/>
  <c r="H69" i="51" s="1"/>
  <c r="G50" i="51"/>
  <c r="S71" i="10"/>
  <c r="H69" i="10"/>
  <c r="G70" i="10"/>
  <c r="J35" i="10"/>
  <c r="S67" i="10" l="1"/>
  <c r="R67" i="10"/>
  <c r="Q67" i="51"/>
  <c r="Q35" i="51"/>
  <c r="Q30" i="51"/>
  <c r="M49" i="10"/>
  <c r="M50" i="10"/>
  <c r="O48" i="10"/>
  <c r="P48" i="10" s="1"/>
  <c r="Q48" i="10" s="1"/>
  <c r="R48" i="10" s="1"/>
  <c r="S48" i="10" s="1"/>
  <c r="T48" i="10" s="1"/>
  <c r="U48" i="10" s="1"/>
  <c r="V48" i="10" s="1"/>
  <c r="W48" i="10" s="1"/>
  <c r="X48" i="10" s="1"/>
  <c r="T75" i="10"/>
  <c r="U75" i="10" s="1"/>
  <c r="M53" i="10"/>
  <c r="L54" i="10"/>
  <c r="L55" i="10"/>
  <c r="N33" i="11"/>
  <c r="N45" i="11"/>
  <c r="AC45" i="11" s="1"/>
  <c r="AC44" i="11" s="1"/>
  <c r="AC55" i="11" s="1"/>
  <c r="M44" i="11"/>
  <c r="M55" i="11" s="1"/>
  <c r="O56" i="51"/>
  <c r="BD80" i="14"/>
  <c r="AC78" i="14"/>
  <c r="W81" i="14"/>
  <c r="AD22" i="11"/>
  <c r="AC22" i="11"/>
  <c r="H130" i="51"/>
  <c r="H128" i="51"/>
  <c r="H129" i="51"/>
  <c r="H127" i="51"/>
  <c r="F111" i="51"/>
  <c r="F112" i="51"/>
  <c r="F113" i="51"/>
  <c r="F114" i="51"/>
  <c r="F134" i="51"/>
  <c r="F133" i="51"/>
  <c r="F91" i="51"/>
  <c r="F135" i="51" s="1"/>
  <c r="N22" i="11"/>
  <c r="N7" i="12"/>
  <c r="H23" i="51"/>
  <c r="I20" i="51"/>
  <c r="I38" i="51" s="1"/>
  <c r="G96" i="51"/>
  <c r="G98" i="51"/>
  <c r="G104" i="51" s="1"/>
  <c r="O8" i="12" s="1"/>
  <c r="O29" i="12" s="1"/>
  <c r="G97" i="51"/>
  <c r="G103" i="51" s="1"/>
  <c r="O7" i="12" s="1"/>
  <c r="G99" i="51"/>
  <c r="G105" i="51" s="1"/>
  <c r="O9" i="12" s="1"/>
  <c r="Q62" i="51"/>
  <c r="P56" i="51"/>
  <c r="G84" i="51"/>
  <c r="S75" i="51"/>
  <c r="I15" i="51"/>
  <c r="I37" i="51" s="1"/>
  <c r="H18" i="51"/>
  <c r="I25" i="51"/>
  <c r="I39" i="51" s="1"/>
  <c r="H28" i="51"/>
  <c r="I47" i="51"/>
  <c r="I69" i="51" s="1"/>
  <c r="H50" i="51"/>
  <c r="H55" i="51"/>
  <c r="I52" i="51"/>
  <c r="I70" i="51" s="1"/>
  <c r="G82" i="51"/>
  <c r="G85" i="51"/>
  <c r="G83" i="51"/>
  <c r="N9" i="12"/>
  <c r="N8" i="12"/>
  <c r="N29" i="12" s="1"/>
  <c r="F98" i="10"/>
  <c r="F105" i="10" s="1"/>
  <c r="F97" i="10"/>
  <c r="F104" i="10" s="1"/>
  <c r="F95" i="10"/>
  <c r="F94" i="10"/>
  <c r="F96" i="10"/>
  <c r="F103" i="10" s="1"/>
  <c r="T71" i="10"/>
  <c r="G97" i="10"/>
  <c r="G104" i="10" s="1"/>
  <c r="H70" i="10"/>
  <c r="I69" i="10"/>
  <c r="K35" i="10"/>
  <c r="N44" i="11" l="1"/>
  <c r="R67" i="51"/>
  <c r="R35" i="51"/>
  <c r="R30" i="51"/>
  <c r="M54" i="10"/>
  <c r="M55" i="10"/>
  <c r="O53" i="10"/>
  <c r="P53" i="10" s="1"/>
  <c r="Q53" i="10" s="1"/>
  <c r="R53" i="10" s="1"/>
  <c r="S53" i="10" s="1"/>
  <c r="T53" i="10" s="1"/>
  <c r="U53" i="10" s="1"/>
  <c r="V53" i="10" s="1"/>
  <c r="W53" i="10" s="1"/>
  <c r="X53" i="10" s="1"/>
  <c r="O59" i="51"/>
  <c r="BD81" i="14"/>
  <c r="F122" i="51"/>
  <c r="F121" i="51"/>
  <c r="F119" i="51"/>
  <c r="F120" i="51"/>
  <c r="AC79" i="14"/>
  <c r="W82" i="14"/>
  <c r="O22" i="11"/>
  <c r="O34" i="11"/>
  <c r="I128" i="51"/>
  <c r="I127" i="51"/>
  <c r="I129" i="51"/>
  <c r="I130" i="51"/>
  <c r="F140" i="51"/>
  <c r="F139" i="51"/>
  <c r="F138" i="51"/>
  <c r="G111" i="51"/>
  <c r="G89" i="51"/>
  <c r="G133" i="51" s="1"/>
  <c r="G138" i="51" s="1"/>
  <c r="G112" i="51"/>
  <c r="G120" i="51" s="1"/>
  <c r="G90" i="51"/>
  <c r="G134" i="51" s="1"/>
  <c r="G113" i="51"/>
  <c r="G91" i="51"/>
  <c r="G135" i="51" s="1"/>
  <c r="G140" i="51" s="1"/>
  <c r="G114" i="51"/>
  <c r="G122" i="51" s="1"/>
  <c r="N55" i="11"/>
  <c r="I28" i="51"/>
  <c r="J25" i="51"/>
  <c r="J39" i="51" s="1"/>
  <c r="H83" i="51"/>
  <c r="H85" i="51"/>
  <c r="H82" i="51"/>
  <c r="H84" i="51"/>
  <c r="J20" i="51"/>
  <c r="J38" i="51" s="1"/>
  <c r="I23" i="51"/>
  <c r="N37" i="12"/>
  <c r="N52" i="12" s="1"/>
  <c r="O38" i="12"/>
  <c r="O53" i="12" s="1"/>
  <c r="N38" i="12"/>
  <c r="N53" i="12" s="1"/>
  <c r="J15" i="51"/>
  <c r="J37" i="51" s="1"/>
  <c r="I18" i="51"/>
  <c r="P59" i="51"/>
  <c r="J52" i="51"/>
  <c r="J70" i="51" s="1"/>
  <c r="I55" i="51"/>
  <c r="T75" i="51"/>
  <c r="H99" i="51"/>
  <c r="H105" i="51" s="1"/>
  <c r="H96" i="51"/>
  <c r="H98" i="51"/>
  <c r="H104" i="51" s="1"/>
  <c r="H97" i="51"/>
  <c r="H103" i="51" s="1"/>
  <c r="J47" i="51"/>
  <c r="J69" i="51" s="1"/>
  <c r="I50" i="51"/>
  <c r="R62" i="51"/>
  <c r="Q56" i="51"/>
  <c r="F99" i="10"/>
  <c r="G95" i="10"/>
  <c r="G96" i="10"/>
  <c r="G103" i="10" s="1"/>
  <c r="G98" i="10"/>
  <c r="G105" i="10" s="1"/>
  <c r="G94" i="10"/>
  <c r="U71" i="10"/>
  <c r="J69" i="10"/>
  <c r="I70" i="10"/>
  <c r="H98" i="10"/>
  <c r="H105" i="10" s="1"/>
  <c r="L35" i="10"/>
  <c r="V75" i="10"/>
  <c r="S35" i="51" l="1"/>
  <c r="S67" i="51"/>
  <c r="S30" i="51"/>
  <c r="O57" i="51"/>
  <c r="P57" i="51" s="1"/>
  <c r="Q57" i="51" s="1"/>
  <c r="O33" i="11"/>
  <c r="O45" i="11"/>
  <c r="AD45" i="11" s="1"/>
  <c r="AD44" i="11" s="1"/>
  <c r="AD55" i="11" s="1"/>
  <c r="BD82" i="14"/>
  <c r="G121" i="51"/>
  <c r="G119" i="51"/>
  <c r="AC80" i="14"/>
  <c r="W83" i="14"/>
  <c r="J129" i="51"/>
  <c r="J130" i="51"/>
  <c r="J128" i="51"/>
  <c r="J127" i="51"/>
  <c r="G139" i="51"/>
  <c r="H111" i="51"/>
  <c r="H119" i="51" s="1"/>
  <c r="H113" i="51"/>
  <c r="H114" i="51"/>
  <c r="H112" i="51"/>
  <c r="H120" i="51" s="1"/>
  <c r="H89" i="51"/>
  <c r="H133" i="51" s="1"/>
  <c r="H91" i="51"/>
  <c r="H135" i="51" s="1"/>
  <c r="H90" i="51"/>
  <c r="H134" i="51" s="1"/>
  <c r="K15" i="51"/>
  <c r="K37" i="51" s="1"/>
  <c r="J18" i="51"/>
  <c r="G99" i="10"/>
  <c r="J23" i="51"/>
  <c r="K20" i="51"/>
  <c r="K38" i="51" s="1"/>
  <c r="K52" i="51"/>
  <c r="K70" i="51" s="1"/>
  <c r="J55" i="51"/>
  <c r="K25" i="51"/>
  <c r="K39" i="51" s="1"/>
  <c r="J28" i="51"/>
  <c r="Q59" i="51"/>
  <c r="I83" i="51"/>
  <c r="P7" i="12"/>
  <c r="S62" i="51"/>
  <c r="R56" i="51"/>
  <c r="I99" i="51"/>
  <c r="I105" i="51" s="1"/>
  <c r="Q9" i="12" s="1"/>
  <c r="I96" i="51"/>
  <c r="I97" i="51"/>
  <c r="I103" i="51" s="1"/>
  <c r="Q7" i="12" s="1"/>
  <c r="I98" i="51"/>
  <c r="I104" i="51" s="1"/>
  <c r="Q8" i="12" s="1"/>
  <c r="Q29" i="12" s="1"/>
  <c r="N39" i="12"/>
  <c r="P8" i="12"/>
  <c r="P29" i="12" s="1"/>
  <c r="U75" i="51"/>
  <c r="O37" i="12"/>
  <c r="K47" i="51"/>
  <c r="K69" i="51" s="1"/>
  <c r="J50" i="51"/>
  <c r="P9" i="12"/>
  <c r="I85" i="51"/>
  <c r="I84" i="51"/>
  <c r="I82" i="51"/>
  <c r="H97" i="10"/>
  <c r="H104" i="10" s="1"/>
  <c r="H94" i="10"/>
  <c r="H95" i="10"/>
  <c r="H96" i="10"/>
  <c r="H103" i="10" s="1"/>
  <c r="P37" i="12" s="1"/>
  <c r="V71" i="10"/>
  <c r="J70" i="10"/>
  <c r="I98" i="10"/>
  <c r="I105" i="10" s="1"/>
  <c r="K69" i="10"/>
  <c r="W75" i="10"/>
  <c r="O44" i="11" l="1"/>
  <c r="O55" i="11" s="1"/>
  <c r="O60" i="51"/>
  <c r="T30" i="51"/>
  <c r="R57" i="51"/>
  <c r="BD83" i="14"/>
  <c r="H122" i="51"/>
  <c r="H121" i="51"/>
  <c r="AC81" i="14"/>
  <c r="W84" i="14"/>
  <c r="I111" i="51"/>
  <c r="K129" i="51"/>
  <c r="K128" i="51"/>
  <c r="K130" i="51"/>
  <c r="K127" i="51"/>
  <c r="H138" i="51"/>
  <c r="H140" i="51"/>
  <c r="H139" i="51"/>
  <c r="I113" i="51"/>
  <c r="I91" i="51"/>
  <c r="I135" i="51" s="1"/>
  <c r="I140" i="51" s="1"/>
  <c r="I114" i="51"/>
  <c r="I89" i="51"/>
  <c r="I133" i="51" s="1"/>
  <c r="I112" i="51"/>
  <c r="I90" i="51"/>
  <c r="I134" i="51" s="1"/>
  <c r="P38" i="12"/>
  <c r="P53" i="12" s="1"/>
  <c r="R59" i="51"/>
  <c r="V75" i="51"/>
  <c r="P60" i="51"/>
  <c r="T62" i="51"/>
  <c r="S56" i="51"/>
  <c r="J82" i="51"/>
  <c r="J83" i="51"/>
  <c r="J84" i="51"/>
  <c r="J85" i="51"/>
  <c r="N54" i="12"/>
  <c r="L15" i="51"/>
  <c r="K18" i="51"/>
  <c r="L47" i="51"/>
  <c r="L69" i="51" s="1"/>
  <c r="K50" i="51"/>
  <c r="J96" i="51"/>
  <c r="J97" i="51"/>
  <c r="J103" i="51" s="1"/>
  <c r="J98" i="51"/>
  <c r="J104" i="51" s="1"/>
  <c r="J99" i="51"/>
  <c r="J105" i="51" s="1"/>
  <c r="R9" i="12" s="1"/>
  <c r="L20" i="51"/>
  <c r="K23" i="51"/>
  <c r="L52" i="51"/>
  <c r="L70" i="51" s="1"/>
  <c r="K55" i="51"/>
  <c r="O39" i="12"/>
  <c r="L25" i="51"/>
  <c r="F169" i="51" s="1"/>
  <c r="K28" i="51"/>
  <c r="H99" i="10"/>
  <c r="I94" i="10"/>
  <c r="I96" i="10"/>
  <c r="I103" i="10" s="1"/>
  <c r="I95" i="10"/>
  <c r="I97" i="10"/>
  <c r="I104" i="10" s="1"/>
  <c r="Q38" i="12" s="1"/>
  <c r="Q53" i="12" s="1"/>
  <c r="T56" i="10"/>
  <c r="W71" i="10"/>
  <c r="L69" i="10"/>
  <c r="K70" i="10"/>
  <c r="J98" i="10"/>
  <c r="J105" i="10" s="1"/>
  <c r="X75" i="10"/>
  <c r="K99" i="51" l="1"/>
  <c r="K105" i="51" s="1"/>
  <c r="S9" i="12" s="1"/>
  <c r="L37" i="51"/>
  <c r="F161" i="51"/>
  <c r="L38" i="51"/>
  <c r="F165" i="51"/>
  <c r="L39" i="51"/>
  <c r="U30" i="51"/>
  <c r="V30" i="51" s="1"/>
  <c r="W30" i="51" s="1"/>
  <c r="X30" i="51" s="1"/>
  <c r="S57" i="51"/>
  <c r="BD84" i="14"/>
  <c r="I122" i="51"/>
  <c r="I121" i="51"/>
  <c r="I119" i="51"/>
  <c r="I120" i="51"/>
  <c r="AC82" i="14"/>
  <c r="W85" i="14"/>
  <c r="L130" i="51"/>
  <c r="L128" i="51"/>
  <c r="L129" i="51"/>
  <c r="L127" i="51"/>
  <c r="J114" i="51"/>
  <c r="J113" i="51"/>
  <c r="I139" i="51"/>
  <c r="I138" i="51"/>
  <c r="J112" i="51"/>
  <c r="J111" i="51"/>
  <c r="J89" i="51"/>
  <c r="J133" i="51" s="1"/>
  <c r="J91" i="51"/>
  <c r="J135" i="51" s="1"/>
  <c r="J90" i="51"/>
  <c r="J134" i="51" s="1"/>
  <c r="K85" i="51"/>
  <c r="P39" i="12"/>
  <c r="Q37" i="12"/>
  <c r="M20" i="51"/>
  <c r="N20" i="51" s="1"/>
  <c r="L23" i="51"/>
  <c r="S59" i="51"/>
  <c r="R7" i="12"/>
  <c r="W75" i="51"/>
  <c r="U62" i="51"/>
  <c r="T56" i="51"/>
  <c r="Q60" i="51"/>
  <c r="L50" i="51"/>
  <c r="M47" i="51"/>
  <c r="M52" i="51"/>
  <c r="L55" i="51"/>
  <c r="M15" i="51"/>
  <c r="N15" i="51" s="1"/>
  <c r="L18" i="51"/>
  <c r="R8" i="12"/>
  <c r="R29" i="12" s="1"/>
  <c r="M25" i="51"/>
  <c r="N25" i="51" s="1"/>
  <c r="L28" i="51"/>
  <c r="F170" i="51" s="1"/>
  <c r="K98" i="51"/>
  <c r="K104" i="51" s="1"/>
  <c r="K96" i="51"/>
  <c r="K97" i="51"/>
  <c r="K103" i="51" s="1"/>
  <c r="S7" i="12" s="1"/>
  <c r="K82" i="51"/>
  <c r="K83" i="51"/>
  <c r="K84" i="51"/>
  <c r="J95" i="10"/>
  <c r="J94" i="10"/>
  <c r="I99" i="10"/>
  <c r="J97" i="10"/>
  <c r="J104" i="10" s="1"/>
  <c r="J96" i="10"/>
  <c r="J103" i="10" s="1"/>
  <c r="T59" i="10"/>
  <c r="U56" i="10"/>
  <c r="U59" i="10" s="1"/>
  <c r="X71" i="10"/>
  <c r="K94" i="10"/>
  <c r="L70" i="10"/>
  <c r="M69" i="10"/>
  <c r="M70" i="51" l="1"/>
  <c r="N52" i="51"/>
  <c r="M69" i="51"/>
  <c r="N47" i="51"/>
  <c r="N23" i="51"/>
  <c r="N38" i="51"/>
  <c r="N28" i="51"/>
  <c r="N39" i="51"/>
  <c r="N18" i="51"/>
  <c r="N37" i="51"/>
  <c r="G161" i="51"/>
  <c r="F162" i="51"/>
  <c r="M39" i="51"/>
  <c r="G169" i="51"/>
  <c r="F166" i="51"/>
  <c r="G165" i="51"/>
  <c r="M37" i="51"/>
  <c r="M128" i="51"/>
  <c r="M38" i="51"/>
  <c r="T57" i="51"/>
  <c r="BD85" i="14"/>
  <c r="J122" i="51"/>
  <c r="J121" i="51"/>
  <c r="J119" i="51"/>
  <c r="J120" i="51"/>
  <c r="AC83" i="14"/>
  <c r="W86" i="14"/>
  <c r="M130" i="51"/>
  <c r="M127" i="51"/>
  <c r="M129" i="51"/>
  <c r="J139" i="51"/>
  <c r="J140" i="51"/>
  <c r="J138" i="51"/>
  <c r="K111" i="51"/>
  <c r="K119" i="51" s="1"/>
  <c r="K112" i="51"/>
  <c r="K120" i="51" s="1"/>
  <c r="K91" i="51"/>
  <c r="K135" i="51" s="1"/>
  <c r="K114" i="51"/>
  <c r="K122" i="51" s="1"/>
  <c r="K90" i="51"/>
  <c r="K134" i="51" s="1"/>
  <c r="K113" i="51"/>
  <c r="K121" i="51" s="1"/>
  <c r="K89" i="51"/>
  <c r="K133" i="51" s="1"/>
  <c r="K138" i="51" s="1"/>
  <c r="L85" i="51"/>
  <c r="L84" i="51"/>
  <c r="L83" i="51"/>
  <c r="L82" i="51"/>
  <c r="M18" i="51"/>
  <c r="M55" i="51"/>
  <c r="X75" i="51"/>
  <c r="M50" i="51"/>
  <c r="S8" i="12"/>
  <c r="S29" i="12" s="1"/>
  <c r="R60" i="51"/>
  <c r="M23" i="51"/>
  <c r="Q39" i="12"/>
  <c r="L99" i="51"/>
  <c r="L105" i="51" s="1"/>
  <c r="T9" i="12" s="1"/>
  <c r="L98" i="51"/>
  <c r="L104" i="51" s="1"/>
  <c r="T8" i="12" s="1"/>
  <c r="T29" i="12" s="1"/>
  <c r="L96" i="51"/>
  <c r="L97" i="51"/>
  <c r="L103" i="51" s="1"/>
  <c r="T7" i="12" s="1"/>
  <c r="R37" i="12"/>
  <c r="T59" i="51"/>
  <c r="M28" i="51"/>
  <c r="G170" i="51" s="1"/>
  <c r="R38" i="12"/>
  <c r="R53" i="12" s="1"/>
  <c r="V62" i="51"/>
  <c r="U56" i="51"/>
  <c r="U59" i="51" s="1"/>
  <c r="K95" i="10"/>
  <c r="K98" i="10"/>
  <c r="K105" i="10" s="1"/>
  <c r="K97" i="10"/>
  <c r="K104" i="10" s="1"/>
  <c r="S38" i="12" s="1"/>
  <c r="S53" i="12" s="1"/>
  <c r="J99" i="10"/>
  <c r="K96" i="10"/>
  <c r="K103" i="10" s="1"/>
  <c r="S37" i="12" s="1"/>
  <c r="V56" i="10"/>
  <c r="V59" i="10" s="1"/>
  <c r="L94" i="10"/>
  <c r="N50" i="51" l="1"/>
  <c r="N69" i="51"/>
  <c r="N55" i="51"/>
  <c r="N70" i="51"/>
  <c r="O70" i="51" s="1"/>
  <c r="G166" i="51"/>
  <c r="G167" i="51" s="1"/>
  <c r="H160" i="51"/>
  <c r="G162" i="51"/>
  <c r="G171" i="51"/>
  <c r="M70" i="10"/>
  <c r="O69" i="10"/>
  <c r="O69" i="51"/>
  <c r="O39" i="51"/>
  <c r="O37" i="51"/>
  <c r="O14" i="51" s="1"/>
  <c r="U57" i="51"/>
  <c r="BD86" i="14"/>
  <c r="AC84" i="14"/>
  <c r="W87" i="14"/>
  <c r="K140" i="51"/>
  <c r="K139" i="51"/>
  <c r="L111" i="51"/>
  <c r="L119" i="51" s="1"/>
  <c r="L114" i="51"/>
  <c r="L122" i="51" s="1"/>
  <c r="L89" i="51"/>
  <c r="L133" i="51" s="1"/>
  <c r="L112" i="51"/>
  <c r="L120" i="51" s="1"/>
  <c r="L113" i="51"/>
  <c r="L121" i="51" s="1"/>
  <c r="L90" i="51"/>
  <c r="L134" i="51" s="1"/>
  <c r="L91" i="51"/>
  <c r="L135" i="51" s="1"/>
  <c r="L95" i="10"/>
  <c r="S39" i="12"/>
  <c r="W62" i="51"/>
  <c r="V56" i="51"/>
  <c r="V59" i="51" s="1"/>
  <c r="S60" i="51"/>
  <c r="R39" i="12"/>
  <c r="M82" i="51"/>
  <c r="M85" i="51"/>
  <c r="M84" i="51"/>
  <c r="M99" i="51"/>
  <c r="M105" i="51" s="1"/>
  <c r="U9" i="12" s="1"/>
  <c r="M98" i="51"/>
  <c r="M104" i="51" s="1"/>
  <c r="U8" i="12" s="1"/>
  <c r="U29" i="12" s="1"/>
  <c r="M96" i="51"/>
  <c r="M97" i="51"/>
  <c r="M103" i="51" s="1"/>
  <c r="M83" i="51"/>
  <c r="K99" i="10"/>
  <c r="L96" i="10"/>
  <c r="L103" i="10" s="1"/>
  <c r="T37" i="12" s="1"/>
  <c r="L98" i="10"/>
  <c r="L105" i="10" s="1"/>
  <c r="L97" i="10"/>
  <c r="L104" i="10" s="1"/>
  <c r="W56" i="10"/>
  <c r="W59" i="10" s="1"/>
  <c r="M94" i="10"/>
  <c r="H168" i="51" l="1"/>
  <c r="G163" i="51"/>
  <c r="K181" i="51"/>
  <c r="K179" i="51" s="1"/>
  <c r="U7" i="12"/>
  <c r="P69" i="10"/>
  <c r="Q69" i="10" s="1"/>
  <c r="R69" i="10" s="1"/>
  <c r="S69" i="10" s="1"/>
  <c r="T69" i="10" s="1"/>
  <c r="P70" i="51"/>
  <c r="O51" i="51"/>
  <c r="P69" i="51"/>
  <c r="O46" i="51"/>
  <c r="O38" i="51"/>
  <c r="P37" i="51"/>
  <c r="P14" i="51" s="1"/>
  <c r="H169" i="51"/>
  <c r="P39" i="51"/>
  <c r="O24" i="51"/>
  <c r="V57" i="51"/>
  <c r="BD87" i="14"/>
  <c r="AC85" i="14"/>
  <c r="W88" i="14"/>
  <c r="L139" i="51"/>
  <c r="L138" i="51"/>
  <c r="L140" i="51"/>
  <c r="M111" i="51"/>
  <c r="M119" i="51" s="1"/>
  <c r="M89" i="51"/>
  <c r="M133" i="51" s="1"/>
  <c r="M112" i="51"/>
  <c r="M120" i="51" s="1"/>
  <c r="M90" i="51"/>
  <c r="M134" i="51" s="1"/>
  <c r="M113" i="51"/>
  <c r="M121" i="51" s="1"/>
  <c r="M114" i="51"/>
  <c r="M122" i="51" s="1"/>
  <c r="M91" i="51"/>
  <c r="M135" i="51" s="1"/>
  <c r="X62" i="51"/>
  <c r="W56" i="51"/>
  <c r="W59" i="51" s="1"/>
  <c r="T38" i="12"/>
  <c r="T53" i="12" s="1"/>
  <c r="T60" i="51"/>
  <c r="M96" i="10"/>
  <c r="M103" i="10" s="1"/>
  <c r="U37" i="12" s="1"/>
  <c r="M98" i="10"/>
  <c r="M105" i="10" s="1"/>
  <c r="M97" i="10"/>
  <c r="M104" i="10" s="1"/>
  <c r="U38" i="12" s="1"/>
  <c r="U53" i="12" s="1"/>
  <c r="M95" i="10"/>
  <c r="L99" i="10"/>
  <c r="X56" i="10"/>
  <c r="X59" i="10" s="1"/>
  <c r="H161" i="51" l="1"/>
  <c r="H164" i="51"/>
  <c r="I168" i="51"/>
  <c r="I160" i="51"/>
  <c r="I181" i="51"/>
  <c r="K178" i="51"/>
  <c r="K177" i="51"/>
  <c r="K180" i="51"/>
  <c r="J181" i="51"/>
  <c r="O70" i="10"/>
  <c r="T46" i="10"/>
  <c r="U69" i="10"/>
  <c r="O49" i="51"/>
  <c r="O43" i="51"/>
  <c r="O44" i="51" s="1"/>
  <c r="Q69" i="51"/>
  <c r="P46" i="51"/>
  <c r="O47" i="51"/>
  <c r="O52" i="51"/>
  <c r="O55" i="51" s="1"/>
  <c r="O54" i="51"/>
  <c r="Q70" i="51"/>
  <c r="Q51" i="51" s="1"/>
  <c r="P51" i="51"/>
  <c r="O17" i="51"/>
  <c r="O27" i="51"/>
  <c r="H170" i="51"/>
  <c r="O25" i="51"/>
  <c r="I169" i="51" s="1"/>
  <c r="Q37" i="51"/>
  <c r="Q14" i="51" s="1"/>
  <c r="O15" i="51"/>
  <c r="Q39" i="51"/>
  <c r="P24" i="51"/>
  <c r="P38" i="51"/>
  <c r="O19" i="51"/>
  <c r="O11" i="51" s="1"/>
  <c r="W57" i="51"/>
  <c r="BD88" i="14"/>
  <c r="AJ101" i="2"/>
  <c r="AJ98" i="2"/>
  <c r="AJ109" i="2"/>
  <c r="P109" i="22" s="1"/>
  <c r="AJ103" i="2"/>
  <c r="AJ100" i="2"/>
  <c r="AJ107" i="2"/>
  <c r="AJ105" i="2"/>
  <c r="AJ106" i="2"/>
  <c r="AJ99" i="2"/>
  <c r="AJ104" i="2"/>
  <c r="AJ102" i="2"/>
  <c r="AJ108" i="2"/>
  <c r="AE108" i="2"/>
  <c r="AE103" i="2"/>
  <c r="AE98" i="2"/>
  <c r="AE100" i="2"/>
  <c r="AE106" i="2"/>
  <c r="AE107" i="2"/>
  <c r="AE109" i="2"/>
  <c r="AE102" i="2"/>
  <c r="AE99" i="2"/>
  <c r="AE104" i="2"/>
  <c r="AE105" i="2"/>
  <c r="AE101" i="2"/>
  <c r="S104" i="2"/>
  <c r="S100" i="2"/>
  <c r="S105" i="2"/>
  <c r="S106" i="2"/>
  <c r="S98" i="2"/>
  <c r="S109" i="2"/>
  <c r="S108" i="2"/>
  <c r="S102" i="2"/>
  <c r="S103" i="2"/>
  <c r="S101" i="2"/>
  <c r="S107" i="2"/>
  <c r="S99" i="2"/>
  <c r="Y99" i="2"/>
  <c r="Y108" i="2"/>
  <c r="Y101" i="2"/>
  <c r="Y106" i="2"/>
  <c r="Y100" i="2"/>
  <c r="Y103" i="2"/>
  <c r="Y98" i="2"/>
  <c r="Y105" i="2"/>
  <c r="Y109" i="2"/>
  <c r="Y107" i="2"/>
  <c r="Y104" i="2"/>
  <c r="Y102" i="2"/>
  <c r="AC86" i="14"/>
  <c r="W89" i="14"/>
  <c r="M138" i="51"/>
  <c r="M139" i="51"/>
  <c r="M140" i="51"/>
  <c r="T39" i="12"/>
  <c r="M99" i="10"/>
  <c r="U60" i="51"/>
  <c r="U39" i="12"/>
  <c r="X56" i="51"/>
  <c r="X59" i="51" s="1"/>
  <c r="I164" i="51" l="1"/>
  <c r="J168" i="51"/>
  <c r="N129" i="51"/>
  <c r="H165" i="51"/>
  <c r="H162" i="51"/>
  <c r="I161" i="51"/>
  <c r="H171" i="51"/>
  <c r="J160" i="51"/>
  <c r="M154" i="51"/>
  <c r="P54" i="51"/>
  <c r="Q54" i="51"/>
  <c r="J178" i="51"/>
  <c r="J180" i="51"/>
  <c r="J179" i="51"/>
  <c r="J177" i="51"/>
  <c r="I177" i="51"/>
  <c r="I180" i="51"/>
  <c r="I179" i="51"/>
  <c r="I178" i="51"/>
  <c r="N128" i="51"/>
  <c r="U46" i="10"/>
  <c r="V69" i="10"/>
  <c r="T49" i="10"/>
  <c r="P70" i="10"/>
  <c r="Q70" i="10" s="1"/>
  <c r="R70" i="10" s="1"/>
  <c r="S70" i="10" s="1"/>
  <c r="T70" i="10" s="1"/>
  <c r="R70" i="51"/>
  <c r="P52" i="51"/>
  <c r="P47" i="51"/>
  <c r="O50" i="51"/>
  <c r="N97" i="51"/>
  <c r="N103" i="51" s="1"/>
  <c r="N99" i="51"/>
  <c r="N105" i="51" s="1"/>
  <c r="N96" i="51"/>
  <c r="N98" i="51"/>
  <c r="N104" i="51" s="1"/>
  <c r="P49" i="51"/>
  <c r="P43" i="51"/>
  <c r="P44" i="51" s="1"/>
  <c r="R69" i="51"/>
  <c r="Q46" i="51"/>
  <c r="P15" i="51"/>
  <c r="O18" i="51"/>
  <c r="P17" i="51"/>
  <c r="O22" i="51"/>
  <c r="R37" i="51"/>
  <c r="R14" i="51" s="1"/>
  <c r="Q38" i="51"/>
  <c r="P19" i="51"/>
  <c r="O20" i="51"/>
  <c r="I165" i="51" s="1"/>
  <c r="H166" i="51"/>
  <c r="P25" i="51"/>
  <c r="J169" i="51" s="1"/>
  <c r="O28" i="51"/>
  <c r="I170" i="51" s="1"/>
  <c r="P27" i="51"/>
  <c r="R39" i="51"/>
  <c r="Q24" i="51"/>
  <c r="N127" i="51"/>
  <c r="N130" i="51"/>
  <c r="X57" i="51"/>
  <c r="BD89" i="14"/>
  <c r="P108" i="22"/>
  <c r="P108" i="33"/>
  <c r="P102" i="22"/>
  <c r="P102" i="33"/>
  <c r="P104" i="33"/>
  <c r="P104" i="22"/>
  <c r="P99" i="22"/>
  <c r="P99" i="33"/>
  <c r="P106" i="22"/>
  <c r="P106" i="33"/>
  <c r="P105" i="33"/>
  <c r="P105" i="22"/>
  <c r="P107" i="33"/>
  <c r="P107" i="22"/>
  <c r="P100" i="33"/>
  <c r="P100" i="22"/>
  <c r="P103" i="22"/>
  <c r="P103" i="33"/>
  <c r="P109" i="33"/>
  <c r="P98" i="22"/>
  <c r="P98" i="33"/>
  <c r="P101" i="22"/>
  <c r="P101" i="33"/>
  <c r="L105" i="32"/>
  <c r="L105" i="21"/>
  <c r="L104" i="32"/>
  <c r="L104" i="21"/>
  <c r="L101" i="21"/>
  <c r="L101" i="32"/>
  <c r="L99" i="32"/>
  <c r="L99" i="21"/>
  <c r="L102" i="21"/>
  <c r="L102" i="32"/>
  <c r="L109" i="32"/>
  <c r="L109" i="21"/>
  <c r="L107" i="32"/>
  <c r="L107" i="21"/>
  <c r="L106" i="21"/>
  <c r="L106" i="32"/>
  <c r="L100" i="21"/>
  <c r="L100" i="32"/>
  <c r="L98" i="21"/>
  <c r="L98" i="32"/>
  <c r="L103" i="32"/>
  <c r="L103" i="21"/>
  <c r="L108" i="21"/>
  <c r="L108" i="32"/>
  <c r="R103" i="30"/>
  <c r="R106" i="30"/>
  <c r="R99" i="30"/>
  <c r="R109" i="30"/>
  <c r="R105" i="30"/>
  <c r="R107" i="30"/>
  <c r="R102" i="30"/>
  <c r="R100" i="30"/>
  <c r="R101" i="30"/>
  <c r="R108" i="30"/>
  <c r="R98" i="30"/>
  <c r="R104" i="30"/>
  <c r="T105" i="31"/>
  <c r="T107" i="31"/>
  <c r="T104" i="31"/>
  <c r="T103" i="31"/>
  <c r="T109" i="31"/>
  <c r="T100" i="31"/>
  <c r="T108" i="31"/>
  <c r="T102" i="31"/>
  <c r="T98" i="31"/>
  <c r="T106" i="31"/>
  <c r="T101" i="31"/>
  <c r="T99" i="31"/>
  <c r="AC87" i="14"/>
  <c r="W90" i="14"/>
  <c r="V60" i="51"/>
  <c r="O12" i="51" l="1"/>
  <c r="I162" i="51"/>
  <c r="I163" i="51" s="1"/>
  <c r="J161" i="51"/>
  <c r="F190" i="51"/>
  <c r="F199" i="51" s="1"/>
  <c r="D9" i="12" s="1"/>
  <c r="D30" i="12" s="1"/>
  <c r="K168" i="51"/>
  <c r="F188" i="51"/>
  <c r="F197" i="51" s="1"/>
  <c r="D7" i="12" s="1"/>
  <c r="J164" i="51"/>
  <c r="K160" i="51"/>
  <c r="H167" i="51"/>
  <c r="H163" i="51"/>
  <c r="I171" i="51"/>
  <c r="F187" i="51"/>
  <c r="F196" i="51" s="1"/>
  <c r="D6" i="12" s="1"/>
  <c r="F189" i="51"/>
  <c r="F198" i="51" s="1"/>
  <c r="D8" i="12" s="1"/>
  <c r="D29" i="12" s="1"/>
  <c r="O129" i="51"/>
  <c r="O23" i="51"/>
  <c r="I166" i="51" s="1"/>
  <c r="P11" i="51"/>
  <c r="Q52" i="51"/>
  <c r="P55" i="51"/>
  <c r="N181" i="51"/>
  <c r="N180" i="51" s="1"/>
  <c r="O130" i="51"/>
  <c r="O127" i="51"/>
  <c r="U70" i="10"/>
  <c r="T51" i="10"/>
  <c r="V46" i="10"/>
  <c r="W69" i="10"/>
  <c r="U49" i="10"/>
  <c r="O97" i="51"/>
  <c r="O103" i="51" s="1"/>
  <c r="O98" i="51"/>
  <c r="O104" i="51" s="1"/>
  <c r="O99" i="51"/>
  <c r="O105" i="51" s="1"/>
  <c r="O96" i="51"/>
  <c r="Q47" i="51"/>
  <c r="P50" i="51"/>
  <c r="Q43" i="51"/>
  <c r="Q44" i="51" s="1"/>
  <c r="Q49" i="51"/>
  <c r="S70" i="51"/>
  <c r="R51" i="51"/>
  <c r="N83" i="51"/>
  <c r="N89" i="51" s="1"/>
  <c r="N133" i="51" s="1"/>
  <c r="N138" i="51" s="1"/>
  <c r="S69" i="51"/>
  <c r="R46" i="51"/>
  <c r="N82" i="51"/>
  <c r="N111" i="51" s="1"/>
  <c r="N119" i="51" s="1"/>
  <c r="R38" i="51"/>
  <c r="Q19" i="51"/>
  <c r="Q17" i="51"/>
  <c r="S37" i="51"/>
  <c r="S14" i="51" s="1"/>
  <c r="Q27" i="51"/>
  <c r="S39" i="51"/>
  <c r="R24" i="51"/>
  <c r="Q25" i="51"/>
  <c r="K169" i="51" s="1"/>
  <c r="P28" i="51"/>
  <c r="J170" i="51" s="1"/>
  <c r="P20" i="51"/>
  <c r="J165" i="51" s="1"/>
  <c r="N84" i="51"/>
  <c r="O128" i="51"/>
  <c r="N85" i="51"/>
  <c r="P22" i="51"/>
  <c r="Q15" i="51"/>
  <c r="P18" i="51"/>
  <c r="BD90" i="14"/>
  <c r="AC88" i="14"/>
  <c r="W91" i="14"/>
  <c r="W60" i="51"/>
  <c r="X60" i="51"/>
  <c r="J162" i="51" l="1"/>
  <c r="J163" i="51" s="1"/>
  <c r="K161" i="51"/>
  <c r="S118" i="2"/>
  <c r="R118" i="30" s="1"/>
  <c r="S119" i="2"/>
  <c r="R119" i="30" s="1"/>
  <c r="S111" i="2"/>
  <c r="R111" i="30" s="1"/>
  <c r="S120" i="2"/>
  <c r="R120" i="30" s="1"/>
  <c r="S121" i="2"/>
  <c r="R121" i="30" s="1"/>
  <c r="S110" i="2"/>
  <c r="R110" i="30" s="1"/>
  <c r="S114" i="2"/>
  <c r="R114" i="30" s="1"/>
  <c r="S115" i="2"/>
  <c r="R115" i="30" s="1"/>
  <c r="S116" i="2"/>
  <c r="R116" i="30" s="1"/>
  <c r="S117" i="2"/>
  <c r="R117" i="30" s="1"/>
  <c r="S112" i="2"/>
  <c r="R112" i="30" s="1"/>
  <c r="S113" i="2"/>
  <c r="R113" i="30" s="1"/>
  <c r="P12" i="51"/>
  <c r="L168" i="51"/>
  <c r="K164" i="51"/>
  <c r="L160" i="51"/>
  <c r="J171" i="51"/>
  <c r="I167" i="51"/>
  <c r="N154" i="51"/>
  <c r="N155" i="51" s="1"/>
  <c r="N177" i="51"/>
  <c r="N179" i="51"/>
  <c r="Q11" i="51"/>
  <c r="R54" i="51"/>
  <c r="N178" i="51"/>
  <c r="L181" i="51"/>
  <c r="R52" i="51"/>
  <c r="Q55" i="51"/>
  <c r="P129" i="51"/>
  <c r="P23" i="51"/>
  <c r="J166" i="51" s="1"/>
  <c r="Q181" i="51"/>
  <c r="Q177" i="51" s="1"/>
  <c r="W46" i="10"/>
  <c r="X69" i="10"/>
  <c r="X46" i="10" s="1"/>
  <c r="T54" i="10"/>
  <c r="T43" i="10"/>
  <c r="V70" i="10"/>
  <c r="U51" i="10"/>
  <c r="V49" i="10"/>
  <c r="N112" i="51"/>
  <c r="N120" i="51" s="1"/>
  <c r="P96" i="51"/>
  <c r="P97" i="51"/>
  <c r="P103" i="51" s="1"/>
  <c r="P98" i="51"/>
  <c r="P104" i="51" s="1"/>
  <c r="P99" i="51"/>
  <c r="P105" i="51" s="1"/>
  <c r="R47" i="51"/>
  <c r="Q50" i="51"/>
  <c r="P128" i="51"/>
  <c r="R49" i="51"/>
  <c r="R43" i="51"/>
  <c r="R44" i="51" s="1"/>
  <c r="P127" i="51"/>
  <c r="O83" i="51"/>
  <c r="O89" i="51" s="1"/>
  <c r="O133" i="51" s="1"/>
  <c r="O138" i="51" s="1"/>
  <c r="T69" i="51"/>
  <c r="S46" i="51"/>
  <c r="M160" i="51" s="1"/>
  <c r="O82" i="51"/>
  <c r="O111" i="51" s="1"/>
  <c r="O119" i="51" s="1"/>
  <c r="R131" i="30" s="1"/>
  <c r="O84" i="51"/>
  <c r="O90" i="51" s="1"/>
  <c r="O134" i="51" s="1"/>
  <c r="P130" i="51"/>
  <c r="O85" i="51"/>
  <c r="O91" i="51" s="1"/>
  <c r="O135" i="51" s="1"/>
  <c r="T70" i="51"/>
  <c r="S51" i="51"/>
  <c r="R17" i="51"/>
  <c r="T37" i="51"/>
  <c r="T14" i="51" s="1"/>
  <c r="R15" i="51"/>
  <c r="Q18" i="51"/>
  <c r="N91" i="51"/>
  <c r="N135" i="51" s="1"/>
  <c r="N114" i="51"/>
  <c r="N122" i="51" s="1"/>
  <c r="N113" i="51"/>
  <c r="N121" i="51" s="1"/>
  <c r="N90" i="51"/>
  <c r="N134" i="51" s="1"/>
  <c r="R25" i="51"/>
  <c r="L169" i="51" s="1"/>
  <c r="Q28" i="51"/>
  <c r="K170" i="51" s="1"/>
  <c r="Q22" i="51"/>
  <c r="S38" i="51"/>
  <c r="R19" i="51"/>
  <c r="Q20" i="51"/>
  <c r="R27" i="51"/>
  <c r="T39" i="51"/>
  <c r="S24" i="51"/>
  <c r="BD91" i="14"/>
  <c r="AC89" i="14"/>
  <c r="W92" i="14"/>
  <c r="AE117" i="2" l="1"/>
  <c r="AE118" i="2"/>
  <c r="AE111" i="2"/>
  <c r="AE119" i="2"/>
  <c r="AE120" i="2"/>
  <c r="AE110" i="2"/>
  <c r="AE115" i="2"/>
  <c r="AE112" i="2"/>
  <c r="AE114" i="2"/>
  <c r="AE113" i="2"/>
  <c r="AE121" i="2"/>
  <c r="AE116" i="2"/>
  <c r="AJ110" i="2"/>
  <c r="AJ120" i="2"/>
  <c r="AJ116" i="2"/>
  <c r="AJ121" i="2"/>
  <c r="AJ111" i="2"/>
  <c r="AJ112" i="2"/>
  <c r="AJ113" i="2"/>
  <c r="AJ114" i="2"/>
  <c r="AJ115" i="2"/>
  <c r="AJ118" i="2"/>
  <c r="AJ119" i="2"/>
  <c r="AJ117" i="2"/>
  <c r="K162" i="51"/>
  <c r="K163" i="51" s="1"/>
  <c r="Y112" i="2"/>
  <c r="T112" i="31" s="1"/>
  <c r="Y118" i="2"/>
  <c r="T118" i="31" s="1"/>
  <c r="Y113" i="2"/>
  <c r="T113" i="31" s="1"/>
  <c r="Y114" i="2"/>
  <c r="T114" i="31" s="1"/>
  <c r="Y115" i="2"/>
  <c r="T115" i="31" s="1"/>
  <c r="Y116" i="2"/>
  <c r="T116" i="31" s="1"/>
  <c r="Y117" i="2"/>
  <c r="T117" i="31" s="1"/>
  <c r="Y119" i="2"/>
  <c r="T119" i="31" s="1"/>
  <c r="Y120" i="2"/>
  <c r="T120" i="31" s="1"/>
  <c r="Y121" i="2"/>
  <c r="T121" i="31" s="1"/>
  <c r="Y110" i="2"/>
  <c r="T110" i="31" s="1"/>
  <c r="Y111" i="2"/>
  <c r="T111" i="31" s="1"/>
  <c r="Q12" i="51"/>
  <c r="L161" i="51"/>
  <c r="M168" i="51"/>
  <c r="L164" i="51"/>
  <c r="J167" i="51"/>
  <c r="K171" i="51"/>
  <c r="Q23" i="51"/>
  <c r="K166" i="51" s="1"/>
  <c r="K165" i="51"/>
  <c r="Q180" i="51"/>
  <c r="Q178" i="51"/>
  <c r="Q179" i="51"/>
  <c r="O154" i="51"/>
  <c r="O155" i="51" s="1"/>
  <c r="S52" i="51"/>
  <c r="S55" i="51" s="1"/>
  <c r="R55" i="51"/>
  <c r="M181" i="51"/>
  <c r="S54" i="51"/>
  <c r="P181" i="51"/>
  <c r="L178" i="51"/>
  <c r="L180" i="51"/>
  <c r="L177" i="51"/>
  <c r="L179" i="51"/>
  <c r="R11" i="51"/>
  <c r="O181" i="51"/>
  <c r="T181" i="51"/>
  <c r="T177" i="51" s="1"/>
  <c r="U54" i="10"/>
  <c r="U43" i="10"/>
  <c r="X49" i="10"/>
  <c r="V51" i="10"/>
  <c r="W70" i="10"/>
  <c r="W49" i="10"/>
  <c r="O112" i="51"/>
  <c r="O120" i="51" s="1"/>
  <c r="T126" i="31" s="1"/>
  <c r="R124" i="30"/>
  <c r="P82" i="51"/>
  <c r="P111" i="51" s="1"/>
  <c r="P119" i="51" s="1"/>
  <c r="R140" i="30" s="1"/>
  <c r="R126" i="30"/>
  <c r="R127" i="30"/>
  <c r="R128" i="30"/>
  <c r="O113" i="51"/>
  <c r="O121" i="51" s="1"/>
  <c r="R132" i="30"/>
  <c r="P84" i="51"/>
  <c r="P90" i="51" s="1"/>
  <c r="P134" i="51" s="1"/>
  <c r="P139" i="51" s="1"/>
  <c r="P83" i="51"/>
  <c r="P112" i="51" s="1"/>
  <c r="Q98" i="51"/>
  <c r="Q104" i="51" s="1"/>
  <c r="Q99" i="51"/>
  <c r="Q105" i="51" s="1"/>
  <c r="Q96" i="51"/>
  <c r="Q97" i="51"/>
  <c r="Q103" i="51" s="1"/>
  <c r="S47" i="51"/>
  <c r="R50" i="51"/>
  <c r="O114" i="51"/>
  <c r="O122" i="51" s="1"/>
  <c r="P131" i="33" s="1"/>
  <c r="U70" i="51"/>
  <c r="T51" i="51"/>
  <c r="S43" i="51"/>
  <c r="S44" i="51" s="1"/>
  <c r="S49" i="51"/>
  <c r="U69" i="51"/>
  <c r="T46" i="51"/>
  <c r="R123" i="30"/>
  <c r="R129" i="30"/>
  <c r="R122" i="30"/>
  <c r="R133" i="30"/>
  <c r="R125" i="30"/>
  <c r="P85" i="51"/>
  <c r="P114" i="51" s="1"/>
  <c r="R130" i="30"/>
  <c r="R20" i="51"/>
  <c r="L165" i="51" s="1"/>
  <c r="N140" i="51"/>
  <c r="O140" i="51"/>
  <c r="T38" i="51"/>
  <c r="S19" i="51"/>
  <c r="Q130" i="51"/>
  <c r="R22" i="51"/>
  <c r="Q127" i="51"/>
  <c r="Q129" i="51"/>
  <c r="Q128" i="51"/>
  <c r="S15" i="51"/>
  <c r="R18" i="51"/>
  <c r="S25" i="51"/>
  <c r="M169" i="51" s="1"/>
  <c r="R28" i="51"/>
  <c r="L170" i="51" s="1"/>
  <c r="S27" i="51"/>
  <c r="N139" i="51"/>
  <c r="O139" i="51"/>
  <c r="S17" i="51"/>
  <c r="U39" i="51"/>
  <c r="T24" i="51"/>
  <c r="U37" i="51"/>
  <c r="U14" i="51" s="1"/>
  <c r="BD92" i="14"/>
  <c r="AC90" i="14"/>
  <c r="W93" i="14"/>
  <c r="T178" i="51" l="1"/>
  <c r="R12" i="51"/>
  <c r="L162" i="51"/>
  <c r="P116" i="22"/>
  <c r="P116" i="33"/>
  <c r="P120" i="22"/>
  <c r="P120" i="33"/>
  <c r="P110" i="22"/>
  <c r="P110" i="33"/>
  <c r="L116" i="32"/>
  <c r="L116" i="21"/>
  <c r="L121" i="21"/>
  <c r="L121" i="32"/>
  <c r="L113" i="21"/>
  <c r="L113" i="32"/>
  <c r="P117" i="33"/>
  <c r="P117" i="22"/>
  <c r="L114" i="32"/>
  <c r="L114" i="21"/>
  <c r="P119" i="33"/>
  <c r="P119" i="22"/>
  <c r="L112" i="21"/>
  <c r="L112" i="32"/>
  <c r="L115" i="21"/>
  <c r="L115" i="32"/>
  <c r="P115" i="33"/>
  <c r="P115" i="22"/>
  <c r="L110" i="21"/>
  <c r="L110" i="32"/>
  <c r="L120" i="21"/>
  <c r="L120" i="32"/>
  <c r="P114" i="33"/>
  <c r="P114" i="22"/>
  <c r="L119" i="21"/>
  <c r="L119" i="32"/>
  <c r="P112" i="22"/>
  <c r="P112" i="33"/>
  <c r="L111" i="32"/>
  <c r="L111" i="21"/>
  <c r="P111" i="33"/>
  <c r="P111" i="22"/>
  <c r="L118" i="21"/>
  <c r="L118" i="32"/>
  <c r="P118" i="33"/>
  <c r="P118" i="22"/>
  <c r="P113" i="22"/>
  <c r="P113" i="33"/>
  <c r="R136" i="30"/>
  <c r="T180" i="51"/>
  <c r="P121" i="22"/>
  <c r="P121" i="33"/>
  <c r="L117" i="21"/>
  <c r="L117" i="32"/>
  <c r="R134" i="30"/>
  <c r="M161" i="51"/>
  <c r="M164" i="51"/>
  <c r="N168" i="51"/>
  <c r="R145" i="30"/>
  <c r="L163" i="51"/>
  <c r="K167" i="51"/>
  <c r="N160" i="51"/>
  <c r="L171" i="51"/>
  <c r="T179" i="51"/>
  <c r="T130" i="31"/>
  <c r="T131" i="31"/>
  <c r="T132" i="31"/>
  <c r="T128" i="31"/>
  <c r="P179" i="51"/>
  <c r="P177" i="51"/>
  <c r="P180" i="51"/>
  <c r="P178" i="51"/>
  <c r="S11" i="51"/>
  <c r="R181" i="51"/>
  <c r="R129" i="51"/>
  <c r="R23" i="51"/>
  <c r="S181" i="51"/>
  <c r="O179" i="51"/>
  <c r="O180" i="51"/>
  <c r="O178" i="51"/>
  <c r="O177" i="51"/>
  <c r="M178" i="51"/>
  <c r="G188" i="51" s="1"/>
  <c r="G197" i="51" s="1"/>
  <c r="E7" i="12" s="1"/>
  <c r="M180" i="51"/>
  <c r="G190" i="51" s="1"/>
  <c r="G199" i="51" s="1"/>
  <c r="E9" i="12" s="1"/>
  <c r="M179" i="51"/>
  <c r="G189" i="51" s="1"/>
  <c r="G198" i="51" s="1"/>
  <c r="E8" i="12" s="1"/>
  <c r="M177" i="51"/>
  <c r="G187" i="51" s="1"/>
  <c r="G196" i="51" s="1"/>
  <c r="E6" i="12" s="1"/>
  <c r="W181" i="51"/>
  <c r="W178" i="51" s="1"/>
  <c r="R142" i="30"/>
  <c r="R138" i="30"/>
  <c r="R139" i="30"/>
  <c r="R137" i="30"/>
  <c r="R135" i="30"/>
  <c r="R144" i="30"/>
  <c r="R143" i="30"/>
  <c r="T129" i="31"/>
  <c r="Q83" i="51"/>
  <c r="Q112" i="51" s="1"/>
  <c r="Q120" i="51" s="1"/>
  <c r="T125" i="31"/>
  <c r="T124" i="31"/>
  <c r="T127" i="31"/>
  <c r="T123" i="31"/>
  <c r="T133" i="31"/>
  <c r="P120" i="51"/>
  <c r="T137" i="31" s="1"/>
  <c r="T122" i="31"/>
  <c r="R141" i="30"/>
  <c r="W51" i="10"/>
  <c r="X70" i="10"/>
  <c r="X51" i="10" s="1"/>
  <c r="V54" i="10"/>
  <c r="V43" i="10"/>
  <c r="P91" i="51"/>
  <c r="P135" i="51" s="1"/>
  <c r="P140" i="51" s="1"/>
  <c r="P126" i="33"/>
  <c r="P125" i="33"/>
  <c r="P124" i="33"/>
  <c r="P122" i="33"/>
  <c r="P123" i="33"/>
  <c r="P133" i="33"/>
  <c r="P132" i="33"/>
  <c r="P130" i="33"/>
  <c r="P89" i="51"/>
  <c r="P128" i="33"/>
  <c r="P129" i="33"/>
  <c r="P113" i="51"/>
  <c r="P121" i="51" s="1"/>
  <c r="L137" i="32" s="1"/>
  <c r="Q85" i="51"/>
  <c r="Q91" i="51" s="1"/>
  <c r="Q135" i="51" s="1"/>
  <c r="R128" i="51"/>
  <c r="P127" i="33"/>
  <c r="Q84" i="51"/>
  <c r="Q113" i="51" s="1"/>
  <c r="Q82" i="51"/>
  <c r="Q111" i="51" s="1"/>
  <c r="Q119" i="51" s="1"/>
  <c r="R155" i="30" s="1"/>
  <c r="R127" i="51"/>
  <c r="P122" i="51"/>
  <c r="P142" i="33" s="1"/>
  <c r="V70" i="51"/>
  <c r="U51" i="51"/>
  <c r="U54" i="51" s="1"/>
  <c r="R130" i="51"/>
  <c r="T52" i="51"/>
  <c r="R98" i="51"/>
  <c r="R104" i="51" s="1"/>
  <c r="R96" i="51"/>
  <c r="R97" i="51"/>
  <c r="R103" i="51" s="1"/>
  <c r="R99" i="51"/>
  <c r="R105" i="51" s="1"/>
  <c r="T49" i="51"/>
  <c r="T43" i="51"/>
  <c r="T44" i="51" s="1"/>
  <c r="T47" i="51"/>
  <c r="S50" i="51"/>
  <c r="V69" i="51"/>
  <c r="U46" i="51"/>
  <c r="T54" i="51"/>
  <c r="T15" i="51"/>
  <c r="S18" i="51"/>
  <c r="T25" i="51"/>
  <c r="N169" i="51" s="1"/>
  <c r="S28" i="51"/>
  <c r="M170" i="51" s="1"/>
  <c r="L131" i="32"/>
  <c r="L132" i="32"/>
  <c r="L133" i="32"/>
  <c r="L122" i="32"/>
  <c r="L123" i="32"/>
  <c r="L124" i="32"/>
  <c r="L125" i="32"/>
  <c r="L126" i="32"/>
  <c r="L127" i="32"/>
  <c r="L128" i="32"/>
  <c r="L129" i="32"/>
  <c r="L130" i="32"/>
  <c r="T27" i="51"/>
  <c r="V39" i="51"/>
  <c r="U24" i="51"/>
  <c r="U27" i="51" s="1"/>
  <c r="S22" i="51"/>
  <c r="T17" i="51"/>
  <c r="U38" i="51"/>
  <c r="T19" i="51"/>
  <c r="V37" i="51"/>
  <c r="V14" i="51" s="1"/>
  <c r="S20" i="51"/>
  <c r="M165" i="51" s="1"/>
  <c r="BD93" i="14"/>
  <c r="AC91" i="14"/>
  <c r="W94" i="14"/>
  <c r="S12" i="51" l="1"/>
  <c r="N164" i="51"/>
  <c r="M162" i="51"/>
  <c r="M163" i="51" s="1"/>
  <c r="N161" i="51"/>
  <c r="L166" i="51"/>
  <c r="M171" i="51"/>
  <c r="W179" i="51"/>
  <c r="W177" i="51"/>
  <c r="W180" i="51"/>
  <c r="H188" i="51"/>
  <c r="H197" i="51" s="1"/>
  <c r="F7" i="12" s="1"/>
  <c r="H189" i="51"/>
  <c r="H198" i="51" s="1"/>
  <c r="F8" i="12" s="1"/>
  <c r="H190" i="51"/>
  <c r="H199" i="51" s="1"/>
  <c r="F9" i="12" s="1"/>
  <c r="R177" i="51"/>
  <c r="R180" i="51"/>
  <c r="R179" i="51"/>
  <c r="R178" i="51"/>
  <c r="V181" i="51"/>
  <c r="H187" i="51"/>
  <c r="H196" i="51" s="1"/>
  <c r="F6" i="12" s="1"/>
  <c r="S128" i="51"/>
  <c r="S23" i="51"/>
  <c r="M166" i="51" s="1"/>
  <c r="Q89" i="51"/>
  <c r="Q133" i="51" s="1"/>
  <c r="S179" i="51"/>
  <c r="S180" i="51"/>
  <c r="S177" i="51"/>
  <c r="S178" i="51"/>
  <c r="T11" i="51"/>
  <c r="U181" i="51"/>
  <c r="Z181" i="51"/>
  <c r="Z178" i="51" s="1"/>
  <c r="T142" i="31"/>
  <c r="T134" i="31"/>
  <c r="T144" i="31"/>
  <c r="T135" i="31"/>
  <c r="T145" i="31"/>
  <c r="P133" i="51"/>
  <c r="P138" i="51" s="1"/>
  <c r="T143" i="31"/>
  <c r="T136" i="31"/>
  <c r="T141" i="31"/>
  <c r="T140" i="31"/>
  <c r="Q140" i="51"/>
  <c r="T139" i="31"/>
  <c r="T138" i="31"/>
  <c r="X54" i="10"/>
  <c r="X43" i="10"/>
  <c r="W54" i="10"/>
  <c r="W43" i="10"/>
  <c r="L143" i="32"/>
  <c r="L144" i="32"/>
  <c r="L140" i="32"/>
  <c r="L142" i="32"/>
  <c r="L134" i="32"/>
  <c r="L135" i="32"/>
  <c r="Q121" i="51"/>
  <c r="L149" i="32" s="1"/>
  <c r="Q90" i="51"/>
  <c r="Q134" i="51" s="1"/>
  <c r="Q139" i="51" s="1"/>
  <c r="L139" i="32"/>
  <c r="Q114" i="51"/>
  <c r="Q122" i="51" s="1"/>
  <c r="P152" i="33" s="1"/>
  <c r="L141" i="32"/>
  <c r="P136" i="33"/>
  <c r="L138" i="32"/>
  <c r="L136" i="32"/>
  <c r="L145" i="32"/>
  <c r="P144" i="33"/>
  <c r="P138" i="33"/>
  <c r="P139" i="33"/>
  <c r="P134" i="33"/>
  <c r="P145" i="33"/>
  <c r="P143" i="33"/>
  <c r="P141" i="33"/>
  <c r="P140" i="33"/>
  <c r="P137" i="33"/>
  <c r="P135" i="33"/>
  <c r="R154" i="30"/>
  <c r="R153" i="30"/>
  <c r="R156" i="30"/>
  <c r="R157" i="30"/>
  <c r="R147" i="30"/>
  <c r="R146" i="30"/>
  <c r="R149" i="30"/>
  <c r="R150" i="30"/>
  <c r="R152" i="30"/>
  <c r="R148" i="30"/>
  <c r="R151" i="30"/>
  <c r="U52" i="51"/>
  <c r="T55" i="51"/>
  <c r="U43" i="51"/>
  <c r="U44" i="51" s="1"/>
  <c r="U49" i="51"/>
  <c r="W69" i="51"/>
  <c r="V46" i="51"/>
  <c r="S96" i="51"/>
  <c r="S98" i="51"/>
  <c r="S104" i="51" s="1"/>
  <c r="S97" i="51"/>
  <c r="S103" i="51" s="1"/>
  <c r="S99" i="51"/>
  <c r="S105" i="51" s="1"/>
  <c r="W70" i="51"/>
  <c r="V51" i="51"/>
  <c r="V54" i="51" s="1"/>
  <c r="U47" i="51"/>
  <c r="T50" i="51"/>
  <c r="W39" i="51"/>
  <c r="V24" i="51"/>
  <c r="V27" i="51" s="1"/>
  <c r="U25" i="51"/>
  <c r="T28" i="51"/>
  <c r="N170" i="51" s="1"/>
  <c r="U17" i="51"/>
  <c r="S127" i="51"/>
  <c r="W37" i="51"/>
  <c r="W14" i="51" s="1"/>
  <c r="S130" i="51"/>
  <c r="T20" i="51"/>
  <c r="N165" i="51" s="1"/>
  <c r="V38" i="51"/>
  <c r="U19" i="51"/>
  <c r="U22" i="51" s="1"/>
  <c r="S129" i="51"/>
  <c r="U15" i="51"/>
  <c r="T18" i="51"/>
  <c r="R82" i="51"/>
  <c r="R111" i="51" s="1"/>
  <c r="R119" i="51" s="1"/>
  <c r="R85" i="51"/>
  <c r="R84" i="51"/>
  <c r="R83" i="51"/>
  <c r="T152" i="31"/>
  <c r="T155" i="31"/>
  <c r="T147" i="31"/>
  <c r="T157" i="31"/>
  <c r="T153" i="31"/>
  <c r="T146" i="31"/>
  <c r="T148" i="31"/>
  <c r="T149" i="31"/>
  <c r="T154" i="31"/>
  <c r="T150" i="31"/>
  <c r="T156" i="31"/>
  <c r="T151" i="31"/>
  <c r="T22" i="51"/>
  <c r="BD94" i="14"/>
  <c r="AC92" i="14"/>
  <c r="W95" i="14"/>
  <c r="T12" i="51" l="1"/>
  <c r="Z179" i="51"/>
  <c r="N162" i="51"/>
  <c r="N163" i="51" s="1"/>
  <c r="M167" i="51"/>
  <c r="L167" i="51"/>
  <c r="N171" i="51"/>
  <c r="L147" i="32"/>
  <c r="L148" i="32"/>
  <c r="L146" i="32"/>
  <c r="Z180" i="51"/>
  <c r="L150" i="32"/>
  <c r="P154" i="51"/>
  <c r="P155" i="51" s="1"/>
  <c r="T127" i="51"/>
  <c r="T23" i="51"/>
  <c r="X181" i="51"/>
  <c r="V177" i="51"/>
  <c r="V179" i="51"/>
  <c r="V178" i="51"/>
  <c r="V180" i="51"/>
  <c r="I188" i="51"/>
  <c r="I197" i="51" s="1"/>
  <c r="G7" i="12" s="1"/>
  <c r="Z177" i="51"/>
  <c r="U180" i="51"/>
  <c r="U178" i="51"/>
  <c r="U177" i="51"/>
  <c r="U179" i="51"/>
  <c r="I189" i="51"/>
  <c r="I198" i="51" s="1"/>
  <c r="G8" i="12" s="1"/>
  <c r="Q138" i="51"/>
  <c r="I190" i="51"/>
  <c r="I199" i="51" s="1"/>
  <c r="G9" i="12" s="1"/>
  <c r="I187" i="51"/>
  <c r="I196" i="51" s="1"/>
  <c r="G6" i="12" s="1"/>
  <c r="AC181" i="51"/>
  <c r="AC179" i="51" s="1"/>
  <c r="L157" i="32"/>
  <c r="L156" i="32"/>
  <c r="L155" i="32"/>
  <c r="L154" i="32"/>
  <c r="L153" i="32"/>
  <c r="L152" i="32"/>
  <c r="L151" i="32"/>
  <c r="P157" i="33"/>
  <c r="P155" i="33"/>
  <c r="P153" i="33"/>
  <c r="P154" i="33"/>
  <c r="P151" i="33"/>
  <c r="P150" i="33"/>
  <c r="P149" i="33"/>
  <c r="P148" i="33"/>
  <c r="P146" i="33"/>
  <c r="P156" i="33"/>
  <c r="P147" i="33"/>
  <c r="U11" i="51"/>
  <c r="T129" i="51"/>
  <c r="V43" i="51"/>
  <c r="V44" i="51" s="1"/>
  <c r="V49" i="51"/>
  <c r="X69" i="51"/>
  <c r="X46" i="51" s="1"/>
  <c r="W46" i="51"/>
  <c r="T96" i="51"/>
  <c r="T97" i="51"/>
  <c r="T103" i="51" s="1"/>
  <c r="T99" i="51"/>
  <c r="T105" i="51" s="1"/>
  <c r="T98" i="51"/>
  <c r="T104" i="51" s="1"/>
  <c r="V52" i="51"/>
  <c r="U55" i="51"/>
  <c r="V47" i="51"/>
  <c r="U50" i="51"/>
  <c r="X70" i="51"/>
  <c r="X51" i="51" s="1"/>
  <c r="X54" i="51" s="1"/>
  <c r="W51" i="51"/>
  <c r="W54" i="51" s="1"/>
  <c r="R91" i="51"/>
  <c r="R135" i="51" s="1"/>
  <c r="R140" i="51" s="1"/>
  <c r="R114" i="51"/>
  <c r="R122" i="51" s="1"/>
  <c r="W38" i="51"/>
  <c r="V19" i="51"/>
  <c r="V22" i="51" s="1"/>
  <c r="V25" i="51"/>
  <c r="U28" i="51"/>
  <c r="R164" i="30"/>
  <c r="R160" i="30"/>
  <c r="R165" i="30"/>
  <c r="R167" i="30"/>
  <c r="R158" i="30"/>
  <c r="R168" i="30"/>
  <c r="R169" i="30"/>
  <c r="R161" i="30"/>
  <c r="R162" i="30"/>
  <c r="R163" i="30"/>
  <c r="R159" i="30"/>
  <c r="R166" i="30"/>
  <c r="U20" i="51"/>
  <c r="U23" i="51" s="1"/>
  <c r="T130" i="51"/>
  <c r="T128" i="51"/>
  <c r="V15" i="51"/>
  <c r="U18" i="51"/>
  <c r="S83" i="51"/>
  <c r="V17" i="51"/>
  <c r="S84" i="51"/>
  <c r="X37" i="51"/>
  <c r="X14" i="51" s="1"/>
  <c r="S85" i="51"/>
  <c r="R112" i="51"/>
  <c r="R120" i="51" s="1"/>
  <c r="R89" i="51"/>
  <c r="S82" i="51"/>
  <c r="S111" i="51" s="1"/>
  <c r="S119" i="51" s="1"/>
  <c r="R180" i="30" s="1"/>
  <c r="X39" i="51"/>
  <c r="X24" i="51" s="1"/>
  <c r="X27" i="51" s="1"/>
  <c r="W24" i="51"/>
  <c r="W27" i="51" s="1"/>
  <c r="R113" i="51"/>
  <c r="R121" i="51" s="1"/>
  <c r="R90" i="51"/>
  <c r="R134" i="51" s="1"/>
  <c r="R139" i="51" s="1"/>
  <c r="BD95" i="14"/>
  <c r="AC93" i="14"/>
  <c r="W96" i="14"/>
  <c r="U12" i="51" l="1"/>
  <c r="Y181" i="51"/>
  <c r="Y178" i="51" s="1"/>
  <c r="N166" i="51"/>
  <c r="Q154" i="51"/>
  <c r="Q155" i="51" s="1"/>
  <c r="J190" i="51"/>
  <c r="J199" i="51" s="1"/>
  <c r="H9" i="12" s="1"/>
  <c r="AC178" i="51"/>
  <c r="J188" i="51"/>
  <c r="J197" i="51" s="1"/>
  <c r="H7" i="12" s="1"/>
  <c r="AA181" i="51"/>
  <c r="X177" i="51"/>
  <c r="X179" i="51"/>
  <c r="X180" i="51"/>
  <c r="X178" i="51"/>
  <c r="AC177" i="51"/>
  <c r="J189" i="51"/>
  <c r="J198" i="51" s="1"/>
  <c r="H8" i="12" s="1"/>
  <c r="AC180" i="51"/>
  <c r="J187" i="51"/>
  <c r="J196" i="51" s="1"/>
  <c r="H6" i="12" s="1"/>
  <c r="AB181" i="51"/>
  <c r="AF181" i="51"/>
  <c r="AF179" i="51" s="1"/>
  <c r="R133" i="51"/>
  <c r="R138" i="51" s="1"/>
  <c r="R178" i="30"/>
  <c r="T83" i="51"/>
  <c r="T112" i="51" s="1"/>
  <c r="T82" i="51"/>
  <c r="T111" i="51" s="1"/>
  <c r="T119" i="51" s="1"/>
  <c r="R189" i="30" s="1"/>
  <c r="R171" i="30"/>
  <c r="R170" i="30"/>
  <c r="R181" i="30"/>
  <c r="V11" i="51"/>
  <c r="W52" i="51"/>
  <c r="V55" i="51"/>
  <c r="W47" i="51"/>
  <c r="V50" i="51"/>
  <c r="W49" i="51"/>
  <c r="W43" i="51"/>
  <c r="W44" i="51" s="1"/>
  <c r="X49" i="51"/>
  <c r="X43" i="51"/>
  <c r="T85" i="51"/>
  <c r="T114" i="51" s="1"/>
  <c r="R174" i="30"/>
  <c r="T165" i="31"/>
  <c r="T169" i="31"/>
  <c r="T159" i="31"/>
  <c r="T162" i="31"/>
  <c r="T163" i="31"/>
  <c r="T168" i="31"/>
  <c r="T160" i="31"/>
  <c r="T161" i="31"/>
  <c r="T164" i="31"/>
  <c r="T167" i="31"/>
  <c r="T166" i="31"/>
  <c r="T158" i="31"/>
  <c r="R179" i="30"/>
  <c r="L168" i="32"/>
  <c r="L158" i="32"/>
  <c r="L159" i="32"/>
  <c r="L162" i="32"/>
  <c r="L169" i="32"/>
  <c r="L161" i="32"/>
  <c r="L163" i="32"/>
  <c r="L164" i="32"/>
  <c r="L165" i="32"/>
  <c r="L166" i="32"/>
  <c r="L167" i="32"/>
  <c r="L160" i="32"/>
  <c r="P158" i="33"/>
  <c r="P159" i="33"/>
  <c r="P163" i="33"/>
  <c r="P160" i="33"/>
  <c r="P161" i="33"/>
  <c r="P162" i="33"/>
  <c r="P167" i="33"/>
  <c r="P168" i="33"/>
  <c r="P169" i="33"/>
  <c r="P164" i="33"/>
  <c r="P165" i="33"/>
  <c r="P166" i="33"/>
  <c r="R172" i="30"/>
  <c r="R175" i="30"/>
  <c r="R173" i="30"/>
  <c r="R177" i="30"/>
  <c r="R176" i="30"/>
  <c r="S114" i="51"/>
  <c r="S122" i="51" s="1"/>
  <c r="S91" i="51"/>
  <c r="S135" i="51" s="1"/>
  <c r="S140" i="51" s="1"/>
  <c r="W17" i="51"/>
  <c r="X17" i="51"/>
  <c r="V20" i="51"/>
  <c r="V23" i="51" s="1"/>
  <c r="S90" i="51"/>
  <c r="S134" i="51" s="1"/>
  <c r="S139" i="51" s="1"/>
  <c r="S113" i="51"/>
  <c r="S121" i="51" s="1"/>
  <c r="W25" i="51"/>
  <c r="V28" i="51"/>
  <c r="S112" i="51"/>
  <c r="S120" i="51" s="1"/>
  <c r="S89" i="51"/>
  <c r="X38" i="51"/>
  <c r="X19" i="51" s="1"/>
  <c r="X22" i="51" s="1"/>
  <c r="W19" i="51"/>
  <c r="W22" i="51" s="1"/>
  <c r="W15" i="51"/>
  <c r="V18" i="51"/>
  <c r="T84" i="51"/>
  <c r="BD96" i="14"/>
  <c r="AC94" i="14"/>
  <c r="W97" i="14"/>
  <c r="V12" i="51" l="1"/>
  <c r="Y180" i="51"/>
  <c r="K190" i="51" s="1"/>
  <c r="K199" i="51" s="1"/>
  <c r="I9" i="12" s="1"/>
  <c r="Y179" i="51"/>
  <c r="K189" i="51" s="1"/>
  <c r="K198" i="51" s="1"/>
  <c r="I8" i="12" s="1"/>
  <c r="Y177" i="51"/>
  <c r="K187" i="51" s="1"/>
  <c r="K196" i="51" s="1"/>
  <c r="I6" i="12" s="1"/>
  <c r="N167" i="51"/>
  <c r="AF178" i="51"/>
  <c r="AF180" i="51"/>
  <c r="R154" i="51"/>
  <c r="R155" i="51" s="1"/>
  <c r="T89" i="51"/>
  <c r="T133" i="51" s="1"/>
  <c r="AF177" i="51"/>
  <c r="K188" i="51"/>
  <c r="K197" i="51" s="1"/>
  <c r="I7" i="12" s="1"/>
  <c r="AA180" i="51"/>
  <c r="AA178" i="51"/>
  <c r="AA177" i="51"/>
  <c r="AA179" i="51"/>
  <c r="AD181" i="51"/>
  <c r="AB177" i="51"/>
  <c r="AB178" i="51"/>
  <c r="AB180" i="51"/>
  <c r="AB179" i="51"/>
  <c r="S133" i="51"/>
  <c r="S138" i="51" s="1"/>
  <c r="R183" i="30"/>
  <c r="R192" i="30"/>
  <c r="R182" i="30"/>
  <c r="R191" i="30"/>
  <c r="R190" i="30"/>
  <c r="R193" i="30"/>
  <c r="R187" i="30"/>
  <c r="T91" i="51"/>
  <c r="T135" i="51" s="1"/>
  <c r="T140" i="51" s="1"/>
  <c r="R184" i="30"/>
  <c r="R186" i="30"/>
  <c r="R185" i="30"/>
  <c r="R188" i="30"/>
  <c r="X44" i="51"/>
  <c r="W11" i="51"/>
  <c r="W12" i="51" s="1"/>
  <c r="X47" i="51"/>
  <c r="X50" i="51" s="1"/>
  <c r="W50" i="51"/>
  <c r="X11" i="51"/>
  <c r="X52" i="51"/>
  <c r="X55" i="51" s="1"/>
  <c r="W55" i="51"/>
  <c r="T122" i="51"/>
  <c r="P191" i="33" s="1"/>
  <c r="T120" i="51"/>
  <c r="T187" i="31" s="1"/>
  <c r="T172" i="31"/>
  <c r="T173" i="31"/>
  <c r="T176" i="31"/>
  <c r="T179" i="31"/>
  <c r="T174" i="31"/>
  <c r="T178" i="31"/>
  <c r="T175" i="31"/>
  <c r="T177" i="31"/>
  <c r="T180" i="31"/>
  <c r="T181" i="31"/>
  <c r="T170" i="31"/>
  <c r="T171" i="31"/>
  <c r="P172" i="33"/>
  <c r="P180" i="33"/>
  <c r="P173" i="33"/>
  <c r="P179" i="33"/>
  <c r="P174" i="33"/>
  <c r="P175" i="33"/>
  <c r="P176" i="33"/>
  <c r="P171" i="33"/>
  <c r="P177" i="33"/>
  <c r="P181" i="33"/>
  <c r="P178" i="33"/>
  <c r="P170" i="33"/>
  <c r="X25" i="51"/>
  <c r="X28" i="51" s="1"/>
  <c r="W28" i="51"/>
  <c r="W20" i="51"/>
  <c r="W23" i="51" s="1"/>
  <c r="X15" i="51"/>
  <c r="X18" i="51" s="1"/>
  <c r="W18" i="51"/>
  <c r="L172" i="32"/>
  <c r="L177" i="32"/>
  <c r="L174" i="32"/>
  <c r="L176" i="32"/>
  <c r="L179" i="32"/>
  <c r="L180" i="32"/>
  <c r="L181" i="32"/>
  <c r="L173" i="32"/>
  <c r="L170" i="32"/>
  <c r="L171" i="32"/>
  <c r="L175" i="32"/>
  <c r="L178" i="32"/>
  <c r="T90" i="51"/>
  <c r="T134" i="51" s="1"/>
  <c r="T139" i="51" s="1"/>
  <c r="T113" i="51"/>
  <c r="T121" i="51" s="1"/>
  <c r="BD97" i="14"/>
  <c r="AC95" i="14"/>
  <c r="W98" i="14"/>
  <c r="AE181" i="51" l="1"/>
  <c r="S154" i="51"/>
  <c r="S155" i="51" s="1"/>
  <c r="T138" i="51"/>
  <c r="AD179" i="51"/>
  <c r="AD177" i="51"/>
  <c r="AD180" i="51"/>
  <c r="AD178" i="51"/>
  <c r="L189" i="51"/>
  <c r="L198" i="51" s="1"/>
  <c r="J8" i="12" s="1"/>
  <c r="L190" i="51"/>
  <c r="L199" i="51" s="1"/>
  <c r="J9" i="12" s="1"/>
  <c r="L188" i="51"/>
  <c r="L197" i="51" s="1"/>
  <c r="J7" i="12" s="1"/>
  <c r="L187" i="51"/>
  <c r="L196" i="51" s="1"/>
  <c r="J6" i="12" s="1"/>
  <c r="X12" i="51"/>
  <c r="T191" i="31"/>
  <c r="T184" i="31"/>
  <c r="T185" i="31"/>
  <c r="T188" i="31"/>
  <c r="T186" i="31"/>
  <c r="T189" i="31"/>
  <c r="T192" i="31"/>
  <c r="T190" i="31"/>
  <c r="P188" i="33"/>
  <c r="P184" i="33"/>
  <c r="P183" i="33"/>
  <c r="P192" i="33"/>
  <c r="T183" i="31"/>
  <c r="P190" i="33"/>
  <c r="P182" i="33"/>
  <c r="P189" i="33"/>
  <c r="P187" i="33"/>
  <c r="P186" i="33"/>
  <c r="P193" i="33"/>
  <c r="P185" i="33"/>
  <c r="T182" i="31"/>
  <c r="T193" i="31"/>
  <c r="L183" i="32"/>
  <c r="L193" i="32"/>
  <c r="L184" i="32"/>
  <c r="L187" i="32"/>
  <c r="L185" i="32"/>
  <c r="L186" i="32"/>
  <c r="L188" i="32"/>
  <c r="L189" i="32"/>
  <c r="L190" i="32"/>
  <c r="L191" i="32"/>
  <c r="L192" i="32"/>
  <c r="L182" i="32"/>
  <c r="X20" i="51"/>
  <c r="X23" i="51" s="1"/>
  <c r="BD98" i="14"/>
  <c r="AC96" i="14"/>
  <c r="W99" i="14"/>
  <c r="AE179" i="51" l="1"/>
  <c r="M189" i="51" s="1"/>
  <c r="M198" i="51" s="1"/>
  <c r="K8" i="12" s="1"/>
  <c r="AE177" i="51"/>
  <c r="M187" i="51" s="1"/>
  <c r="M196" i="51" s="1"/>
  <c r="K6" i="12" s="1"/>
  <c r="AE178" i="51"/>
  <c r="M188" i="51" s="1"/>
  <c r="M197" i="51" s="1"/>
  <c r="K7" i="12" s="1"/>
  <c r="AE180" i="51"/>
  <c r="M190" i="51" s="1"/>
  <c r="M199" i="51" s="1"/>
  <c r="K9" i="12" s="1"/>
  <c r="T154" i="51"/>
  <c r="T155" i="51" s="1"/>
  <c r="BD99" i="14"/>
  <c r="AC97" i="14"/>
  <c r="W100" i="14"/>
  <c r="BD100" i="14" l="1"/>
  <c r="AC98" i="14"/>
  <c r="W101" i="14"/>
  <c r="BD101" i="14" l="1"/>
  <c r="AC99" i="14"/>
  <c r="W102" i="14"/>
  <c r="BD102" i="14" l="1"/>
  <c r="AC100" i="14"/>
  <c r="W103" i="14"/>
  <c r="BD103" i="14" l="1"/>
  <c r="AC101" i="14"/>
  <c r="W104" i="14"/>
  <c r="BD104" i="14" l="1"/>
  <c r="AC102" i="14"/>
  <c r="W105" i="14"/>
  <c r="BD105" i="14" l="1"/>
  <c r="AC103" i="14"/>
  <c r="W106" i="14"/>
  <c r="BD106" i="14" l="1"/>
  <c r="AC104" i="14"/>
  <c r="W107" i="14"/>
  <c r="BD107" i="14" l="1"/>
  <c r="AC105" i="14"/>
  <c r="W108" i="14"/>
  <c r="BD108" i="14" l="1"/>
  <c r="AC106" i="14"/>
  <c r="W109" i="14"/>
  <c r="BD109" i="14" l="1"/>
  <c r="AC107" i="14"/>
  <c r="W110" i="14"/>
  <c r="BD110" i="14" l="1"/>
  <c r="AC108" i="14"/>
  <c r="W111" i="14"/>
  <c r="BD111" i="14" l="1"/>
  <c r="AC109" i="14"/>
  <c r="W112" i="14"/>
  <c r="BD112" i="14" l="1"/>
  <c r="AC110" i="14"/>
  <c r="W113" i="14"/>
  <c r="BD113" i="14" l="1"/>
  <c r="AC111" i="14"/>
  <c r="W114" i="14"/>
  <c r="BD114" i="14" l="1"/>
  <c r="AC112" i="14"/>
  <c r="W115" i="14"/>
  <c r="BD115" i="14" l="1"/>
  <c r="AC113" i="14"/>
  <c r="W116" i="14"/>
  <c r="BD116" i="14" l="1"/>
  <c r="AC114" i="14"/>
  <c r="W117" i="14"/>
  <c r="BD117" i="14" l="1"/>
  <c r="AC115" i="14"/>
  <c r="W118" i="14"/>
  <c r="BD118" i="14" l="1"/>
  <c r="AC116" i="14"/>
  <c r="W119" i="14"/>
  <c r="BD119" i="14" l="1"/>
  <c r="AC117" i="14"/>
  <c r="W120" i="14"/>
  <c r="BD120" i="14" l="1"/>
  <c r="AC118" i="14"/>
  <c r="W121" i="14"/>
  <c r="BD121" i="14" l="1"/>
  <c r="AC119" i="14"/>
  <c r="W122" i="14"/>
  <c r="BD122" i="14" l="1"/>
  <c r="AC120" i="14"/>
  <c r="W123" i="14"/>
  <c r="BD123" i="14" l="1"/>
  <c r="AC121" i="14"/>
  <c r="W124" i="14"/>
  <c r="BD124" i="14" l="1"/>
  <c r="AC122" i="14"/>
  <c r="W125" i="14"/>
  <c r="BD125" i="14" l="1"/>
  <c r="AC123" i="14"/>
  <c r="W126" i="14"/>
  <c r="BD126" i="14" l="1"/>
  <c r="AC124" i="14"/>
  <c r="W127" i="14"/>
  <c r="BD127" i="14" l="1"/>
  <c r="AC125" i="14"/>
  <c r="W128" i="14"/>
  <c r="BD128" i="14" l="1"/>
  <c r="AC126" i="14"/>
  <c r="W24" i="14"/>
  <c r="W25" i="14"/>
  <c r="W26" i="14"/>
  <c r="W27" i="14"/>
  <c r="W28" i="14"/>
  <c r="W29" i="14"/>
  <c r="BD24" i="14" l="1"/>
  <c r="BD25" i="14"/>
  <c r="BD26" i="14"/>
  <c r="BD27" i="14"/>
  <c r="BD28" i="14"/>
  <c r="BD29" i="14"/>
  <c r="AC127" i="14"/>
  <c r="AC128" i="14" l="1"/>
  <c r="AC24" i="14" l="1"/>
  <c r="AC25" i="14"/>
  <c r="AC26" i="14"/>
  <c r="AC27" i="14"/>
  <c r="AC28" i="14"/>
  <c r="AC29" i="14"/>
  <c r="Q24" i="14" l="1"/>
  <c r="Q25" i="14"/>
  <c r="Q26" i="14"/>
  <c r="Q28" i="14"/>
  <c r="K32" i="10" l="1"/>
  <c r="K30" i="10" s="1"/>
  <c r="I32" i="10"/>
  <c r="I30" i="10" s="1"/>
  <c r="H32" i="10"/>
  <c r="H30" i="10" s="1"/>
  <c r="G32" i="10"/>
  <c r="G30" i="10" s="1"/>
  <c r="F157" i="10"/>
  <c r="L32" i="10"/>
  <c r="L30" i="10" s="1"/>
  <c r="J32" i="10"/>
  <c r="J30" i="10" s="1"/>
  <c r="F32" i="10"/>
  <c r="G12" i="10"/>
  <c r="H12" i="10" s="1"/>
  <c r="I12" i="10" s="1"/>
  <c r="J12" i="10" s="1"/>
  <c r="K12" i="10" s="1"/>
  <c r="L12" i="10" s="1"/>
  <c r="F30" i="10" l="1"/>
  <c r="M32" i="10"/>
  <c r="M12" i="10"/>
  <c r="N12" i="10" s="1"/>
  <c r="L17" i="10"/>
  <c r="I27" i="10"/>
  <c r="L27" i="10"/>
  <c r="L22" i="10"/>
  <c r="I22" i="10"/>
  <c r="K27" i="10"/>
  <c r="G22" i="10"/>
  <c r="K17" i="10"/>
  <c r="F27" i="10"/>
  <c r="F77" i="10" s="1"/>
  <c r="G27" i="10"/>
  <c r="I17" i="10"/>
  <c r="I77" i="10" s="1"/>
  <c r="K22" i="10"/>
  <c r="J22" i="10"/>
  <c r="G17" i="10"/>
  <c r="J27" i="10"/>
  <c r="H17" i="10"/>
  <c r="H22" i="10"/>
  <c r="H27" i="10"/>
  <c r="J17" i="10"/>
  <c r="K77" i="10" l="1"/>
  <c r="L77" i="10"/>
  <c r="J77" i="10"/>
  <c r="H77" i="10"/>
  <c r="G77" i="10"/>
  <c r="F127" i="10"/>
  <c r="F125" i="10"/>
  <c r="F126" i="10"/>
  <c r="F128" i="10"/>
  <c r="M30" i="10"/>
  <c r="O30" i="10" s="1"/>
  <c r="G157" i="10"/>
  <c r="M27" i="10"/>
  <c r="M17" i="10"/>
  <c r="M22" i="10"/>
  <c r="G20" i="10"/>
  <c r="G38" i="10" s="1"/>
  <c r="F28" i="10"/>
  <c r="G25" i="10"/>
  <c r="G39" i="10" s="1"/>
  <c r="G15" i="10"/>
  <c r="G37" i="10" s="1"/>
  <c r="F80" i="10" l="1"/>
  <c r="F109" i="10" s="1"/>
  <c r="F78" i="10"/>
  <c r="M77" i="10"/>
  <c r="P30" i="10"/>
  <c r="Q30" i="10" s="1"/>
  <c r="R30" i="10" s="1"/>
  <c r="S30" i="10" s="1"/>
  <c r="T30" i="10" s="1"/>
  <c r="U30" i="10" s="1"/>
  <c r="V30" i="10" s="1"/>
  <c r="W30" i="10" s="1"/>
  <c r="X30" i="10" s="1"/>
  <c r="G126" i="10"/>
  <c r="G125" i="10"/>
  <c r="G127" i="10"/>
  <c r="G128" i="10"/>
  <c r="F83" i="10"/>
  <c r="F81" i="10"/>
  <c r="F110" i="10" s="1"/>
  <c r="F84" i="10"/>
  <c r="F91" i="10" s="1"/>
  <c r="F135" i="10" s="1"/>
  <c r="F82" i="10"/>
  <c r="G18" i="10"/>
  <c r="H15" i="10"/>
  <c r="H37" i="10" s="1"/>
  <c r="H25" i="10"/>
  <c r="H39" i="10" s="1"/>
  <c r="G28" i="10"/>
  <c r="H20" i="10"/>
  <c r="H38" i="10" s="1"/>
  <c r="G23" i="10"/>
  <c r="G78" i="10" l="1"/>
  <c r="G81" i="10"/>
  <c r="G110" i="10" s="1"/>
  <c r="G118" i="10" s="1"/>
  <c r="G82" i="10"/>
  <c r="G111" i="10" s="1"/>
  <c r="G83" i="10"/>
  <c r="G112" i="10" s="1"/>
  <c r="G80" i="10"/>
  <c r="G109" i="10" s="1"/>
  <c r="F90" i="10"/>
  <c r="F134" i="10" s="1"/>
  <c r="F112" i="10"/>
  <c r="F118" i="10"/>
  <c r="F117" i="10"/>
  <c r="F140" i="10"/>
  <c r="H125" i="10"/>
  <c r="H126" i="10"/>
  <c r="H127" i="10"/>
  <c r="H128" i="10"/>
  <c r="F89" i="10"/>
  <c r="F133" i="10" s="1"/>
  <c r="F111" i="10"/>
  <c r="F85" i="10"/>
  <c r="G91" i="10"/>
  <c r="G135" i="10" s="1"/>
  <c r="H23" i="10"/>
  <c r="I20" i="10"/>
  <c r="I38" i="10" s="1"/>
  <c r="H28" i="10"/>
  <c r="I25" i="10"/>
  <c r="I39" i="10" s="1"/>
  <c r="I15" i="10"/>
  <c r="I37" i="10" s="1"/>
  <c r="H18" i="10"/>
  <c r="G89" i="10" l="1"/>
  <c r="G133" i="10" s="1"/>
  <c r="H78" i="10"/>
  <c r="G90" i="10"/>
  <c r="G134" i="10" s="1"/>
  <c r="G139" i="10" s="1"/>
  <c r="H83" i="10"/>
  <c r="H112" i="10" s="1"/>
  <c r="H80" i="10"/>
  <c r="H109" i="10" s="1"/>
  <c r="H81" i="10"/>
  <c r="H110" i="10" s="1"/>
  <c r="H82" i="10"/>
  <c r="H111" i="10" s="1"/>
  <c r="G117" i="10"/>
  <c r="I126" i="10"/>
  <c r="I127" i="10"/>
  <c r="I128" i="10"/>
  <c r="I125" i="10"/>
  <c r="G140" i="10"/>
  <c r="G120" i="10"/>
  <c r="F120" i="10"/>
  <c r="F138" i="10"/>
  <c r="G138" i="10"/>
  <c r="F119" i="10"/>
  <c r="G119" i="10"/>
  <c r="F139" i="10"/>
  <c r="H84" i="10"/>
  <c r="H91" i="10" s="1"/>
  <c r="H135" i="10" s="1"/>
  <c r="G85" i="10"/>
  <c r="I18" i="10"/>
  <c r="J15" i="10"/>
  <c r="J37" i="10" s="1"/>
  <c r="I28" i="10"/>
  <c r="J25" i="10"/>
  <c r="J39" i="10" s="1"/>
  <c r="J20" i="10"/>
  <c r="J38" i="10" s="1"/>
  <c r="I23" i="10"/>
  <c r="I78" i="10" l="1"/>
  <c r="I82" i="10"/>
  <c r="I111" i="10" s="1"/>
  <c r="I119" i="10" s="1"/>
  <c r="I80" i="10"/>
  <c r="I109" i="10" s="1"/>
  <c r="I117" i="10" s="1"/>
  <c r="I83" i="10"/>
  <c r="I112" i="10" s="1"/>
  <c r="I120" i="10" s="1"/>
  <c r="I81" i="10"/>
  <c r="I110" i="10" s="1"/>
  <c r="I118" i="10" s="1"/>
  <c r="H140" i="10"/>
  <c r="H119" i="10"/>
  <c r="H120" i="10"/>
  <c r="H118" i="10"/>
  <c r="J127" i="10"/>
  <c r="J128" i="10"/>
  <c r="J125" i="10"/>
  <c r="J126" i="10"/>
  <c r="H89" i="10"/>
  <c r="H133" i="10" s="1"/>
  <c r="H90" i="10"/>
  <c r="H134" i="10" s="1"/>
  <c r="H117" i="10"/>
  <c r="I84" i="10"/>
  <c r="I91" i="10" s="1"/>
  <c r="I135" i="10" s="1"/>
  <c r="H85" i="10"/>
  <c r="K20" i="10"/>
  <c r="K38" i="10" s="1"/>
  <c r="J23" i="10"/>
  <c r="K25" i="10"/>
  <c r="K39" i="10" s="1"/>
  <c r="J28" i="10"/>
  <c r="K15" i="10"/>
  <c r="K37" i="10" s="1"/>
  <c r="J18" i="10"/>
  <c r="J78" i="10" l="1"/>
  <c r="I90" i="10"/>
  <c r="I134" i="10" s="1"/>
  <c r="I89" i="10"/>
  <c r="I133" i="10" s="1"/>
  <c r="J82" i="10"/>
  <c r="J111" i="10" s="1"/>
  <c r="J80" i="10"/>
  <c r="J109" i="10" s="1"/>
  <c r="J83" i="10"/>
  <c r="J112" i="10" s="1"/>
  <c r="J81" i="10"/>
  <c r="J110" i="10" s="1"/>
  <c r="I139" i="10"/>
  <c r="H139" i="10"/>
  <c r="I140" i="10"/>
  <c r="H138" i="10"/>
  <c r="I138" i="10"/>
  <c r="K128" i="10"/>
  <c r="K125" i="10"/>
  <c r="K126" i="10"/>
  <c r="K127" i="10"/>
  <c r="J84" i="10"/>
  <c r="J91" i="10" s="1"/>
  <c r="J135" i="10" s="1"/>
  <c r="I85" i="10"/>
  <c r="L15" i="10"/>
  <c r="L37" i="10" s="1"/>
  <c r="K18" i="10"/>
  <c r="L25" i="10"/>
  <c r="K28" i="10"/>
  <c r="L20" i="10"/>
  <c r="F162" i="10" s="1"/>
  <c r="K23" i="10"/>
  <c r="K78" i="10" l="1"/>
  <c r="L38" i="10"/>
  <c r="F166" i="10"/>
  <c r="L39" i="10"/>
  <c r="K82" i="10"/>
  <c r="K111" i="10" s="1"/>
  <c r="K80" i="10"/>
  <c r="K109" i="10" s="1"/>
  <c r="K83" i="10"/>
  <c r="K90" i="10" s="1"/>
  <c r="K134" i="10" s="1"/>
  <c r="K81" i="10"/>
  <c r="K110" i="10" s="1"/>
  <c r="K118" i="10" s="1"/>
  <c r="J120" i="10"/>
  <c r="F158" i="10"/>
  <c r="L125" i="10"/>
  <c r="L128" i="10"/>
  <c r="L126" i="10"/>
  <c r="L127" i="10"/>
  <c r="J119" i="10"/>
  <c r="J140" i="10"/>
  <c r="J117" i="10"/>
  <c r="J118" i="10"/>
  <c r="J89" i="10"/>
  <c r="J133" i="10" s="1"/>
  <c r="J90" i="10"/>
  <c r="J134" i="10" s="1"/>
  <c r="K84" i="10"/>
  <c r="K91" i="10" s="1"/>
  <c r="K135" i="10" s="1"/>
  <c r="K140" i="10" s="1"/>
  <c r="J85" i="10"/>
  <c r="M20" i="10"/>
  <c r="N20" i="10" s="1"/>
  <c r="L23" i="10"/>
  <c r="F163" i="10" s="1"/>
  <c r="M25" i="10"/>
  <c r="N25" i="10" s="1"/>
  <c r="L28" i="10"/>
  <c r="F167" i="10" s="1"/>
  <c r="M15" i="10"/>
  <c r="N15" i="10" s="1"/>
  <c r="L18" i="10"/>
  <c r="N18" i="10" l="1"/>
  <c r="N37" i="10"/>
  <c r="N23" i="10"/>
  <c r="N38" i="10"/>
  <c r="N28" i="10"/>
  <c r="N39" i="10"/>
  <c r="K89" i="10"/>
  <c r="K133" i="10" s="1"/>
  <c r="K138" i="10" s="1"/>
  <c r="L78" i="10"/>
  <c r="F159" i="10"/>
  <c r="M37" i="10"/>
  <c r="G166" i="10"/>
  <c r="M39" i="10"/>
  <c r="G162" i="10"/>
  <c r="M38" i="10"/>
  <c r="K112" i="10"/>
  <c r="K120" i="10" s="1"/>
  <c r="L82" i="10"/>
  <c r="L80" i="10"/>
  <c r="L109" i="10" s="1"/>
  <c r="L83" i="10"/>
  <c r="L81" i="10"/>
  <c r="L110" i="10" s="1"/>
  <c r="K117" i="10"/>
  <c r="J138" i="10"/>
  <c r="K119" i="10"/>
  <c r="K139" i="10"/>
  <c r="J139" i="10"/>
  <c r="M125" i="10"/>
  <c r="M126" i="10"/>
  <c r="M127" i="10"/>
  <c r="M128" i="10"/>
  <c r="L84" i="10"/>
  <c r="L91" i="10" s="1"/>
  <c r="L135" i="10" s="1"/>
  <c r="G158" i="10"/>
  <c r="M18" i="10"/>
  <c r="K85" i="10"/>
  <c r="M28" i="10"/>
  <c r="G167" i="10" s="1"/>
  <c r="M23" i="10"/>
  <c r="G163" i="10" s="1"/>
  <c r="G164" i="10" l="1"/>
  <c r="M78" i="10"/>
  <c r="G159" i="10"/>
  <c r="M82" i="10"/>
  <c r="M111" i="10" s="1"/>
  <c r="M80" i="10"/>
  <c r="M109" i="10" s="1"/>
  <c r="M83" i="10"/>
  <c r="M81" i="10"/>
  <c r="M110" i="10" s="1"/>
  <c r="M118" i="10" s="1"/>
  <c r="L118" i="10"/>
  <c r="L89" i="10"/>
  <c r="L133" i="10" s="1"/>
  <c r="L111" i="10"/>
  <c r="L140" i="10"/>
  <c r="L117" i="10"/>
  <c r="L90" i="10"/>
  <c r="L134" i="10" s="1"/>
  <c r="L112" i="10"/>
  <c r="M84" i="10"/>
  <c r="M91" i="10" s="1"/>
  <c r="M135" i="10" s="1"/>
  <c r="L85" i="10"/>
  <c r="G168" i="10"/>
  <c r="G160" i="10" l="1"/>
  <c r="J177" i="10"/>
  <c r="J175" i="10" s="1"/>
  <c r="K177" i="10"/>
  <c r="K175" i="10" s="1"/>
  <c r="I177" i="10"/>
  <c r="I172" i="10" s="1"/>
  <c r="O39" i="10"/>
  <c r="O24" i="10" s="1"/>
  <c r="O38" i="10"/>
  <c r="O37" i="10"/>
  <c r="M117" i="10"/>
  <c r="BL106" i="2"/>
  <c r="BL101" i="2"/>
  <c r="BL107" i="2"/>
  <c r="BL98" i="2"/>
  <c r="BL104" i="2"/>
  <c r="BL99" i="2"/>
  <c r="BL105" i="2"/>
  <c r="BL109" i="2"/>
  <c r="BL103" i="2"/>
  <c r="BL108" i="2"/>
  <c r="BL100" i="2"/>
  <c r="BL102" i="2"/>
  <c r="M90" i="10"/>
  <c r="M134" i="10" s="1"/>
  <c r="M139" i="10" s="1"/>
  <c r="M112" i="10"/>
  <c r="M120" i="10" s="1"/>
  <c r="L119" i="10"/>
  <c r="M140" i="10"/>
  <c r="M119" i="10"/>
  <c r="L120" i="10"/>
  <c r="L138" i="10"/>
  <c r="L139" i="10"/>
  <c r="N30" i="12"/>
  <c r="M85" i="10"/>
  <c r="M89" i="10"/>
  <c r="J173" i="10" l="1"/>
  <c r="BF109" i="2"/>
  <c r="V109" i="34" s="1"/>
  <c r="J174" i="10"/>
  <c r="J172" i="10"/>
  <c r="F181" i="10" s="1"/>
  <c r="I174" i="10"/>
  <c r="K174" i="10"/>
  <c r="K172" i="10"/>
  <c r="I173" i="10"/>
  <c r="K173" i="10"/>
  <c r="F182" i="10" s="1"/>
  <c r="I175" i="10"/>
  <c r="F184" i="10" s="1"/>
  <c r="P37" i="10"/>
  <c r="Q37" i="10" s="1"/>
  <c r="R37" i="10" s="1"/>
  <c r="S37" i="10" s="1"/>
  <c r="T37" i="10" s="1"/>
  <c r="O14" i="10"/>
  <c r="P38" i="10"/>
  <c r="Q38" i="10" s="1"/>
  <c r="R38" i="10" s="1"/>
  <c r="S38" i="10" s="1"/>
  <c r="T38" i="10" s="1"/>
  <c r="O19" i="10"/>
  <c r="P39" i="10"/>
  <c r="Q39" i="10" s="1"/>
  <c r="R39" i="10" s="1"/>
  <c r="S39" i="10" s="1"/>
  <c r="T39" i="10" s="1"/>
  <c r="BF98" i="2"/>
  <c r="V98" i="34" s="1"/>
  <c r="BF107" i="2"/>
  <c r="BF100" i="2"/>
  <c r="BF99" i="2"/>
  <c r="BF108" i="2"/>
  <c r="BF102" i="2"/>
  <c r="BF105" i="2"/>
  <c r="BF101" i="2"/>
  <c r="BF103" i="2"/>
  <c r="BF106" i="2"/>
  <c r="BF104" i="2"/>
  <c r="T104" i="35"/>
  <c r="T109" i="35"/>
  <c r="T98" i="35"/>
  <c r="T101" i="35"/>
  <c r="T106" i="35"/>
  <c r="T103" i="35"/>
  <c r="T107" i="35"/>
  <c r="T105" i="35"/>
  <c r="T102" i="35"/>
  <c r="T108" i="35"/>
  <c r="T99" i="35"/>
  <c r="T100" i="35"/>
  <c r="BX106" i="2"/>
  <c r="BX99" i="2"/>
  <c r="BX109" i="2"/>
  <c r="BX105" i="2"/>
  <c r="BX98" i="2"/>
  <c r="BX102" i="2"/>
  <c r="BX108" i="2"/>
  <c r="BX101" i="2"/>
  <c r="BX104" i="2"/>
  <c r="BX103" i="2"/>
  <c r="BX100" i="2"/>
  <c r="BX107" i="2"/>
  <c r="BR102" i="2"/>
  <c r="BR98" i="2"/>
  <c r="BR101" i="2"/>
  <c r="BR100" i="2"/>
  <c r="BR105" i="2"/>
  <c r="BR106" i="2"/>
  <c r="BR104" i="2"/>
  <c r="BR107" i="2"/>
  <c r="BR99" i="2"/>
  <c r="BR109" i="2"/>
  <c r="BR108" i="2"/>
  <c r="BR103" i="2"/>
  <c r="N10" i="12"/>
  <c r="M133" i="10"/>
  <c r="F183" i="10"/>
  <c r="O30" i="12"/>
  <c r="V101" i="34" l="1"/>
  <c r="V107" i="34"/>
  <c r="V106" i="34"/>
  <c r="V103" i="34"/>
  <c r="V99" i="34"/>
  <c r="V100" i="34"/>
  <c r="V102" i="34"/>
  <c r="U39" i="10"/>
  <c r="T24" i="10"/>
  <c r="N165" i="10" s="1"/>
  <c r="O25" i="10"/>
  <c r="O20" i="10"/>
  <c r="U38" i="10"/>
  <c r="T19" i="10"/>
  <c r="N161" i="10" s="1"/>
  <c r="O15" i="10"/>
  <c r="O22" i="10"/>
  <c r="T14" i="10"/>
  <c r="U37" i="10"/>
  <c r="O17" i="10"/>
  <c r="O11" i="10"/>
  <c r="O27" i="10"/>
  <c r="V108" i="34"/>
  <c r="V104" i="34"/>
  <c r="V105" i="34"/>
  <c r="R108" i="36"/>
  <c r="R107" i="36"/>
  <c r="R102" i="36"/>
  <c r="R109" i="36"/>
  <c r="R99" i="36"/>
  <c r="R104" i="36"/>
  <c r="R106" i="36"/>
  <c r="R105" i="36"/>
  <c r="R101" i="36"/>
  <c r="R103" i="36"/>
  <c r="R100" i="36"/>
  <c r="R98" i="36"/>
  <c r="N101" i="37"/>
  <c r="N101" i="26"/>
  <c r="N108" i="26"/>
  <c r="N108" i="37"/>
  <c r="N102" i="37"/>
  <c r="N102" i="26"/>
  <c r="N98" i="37"/>
  <c r="N98" i="26"/>
  <c r="N105" i="26"/>
  <c r="N105" i="37"/>
  <c r="N109" i="26"/>
  <c r="N109" i="37"/>
  <c r="N99" i="26"/>
  <c r="N99" i="37"/>
  <c r="N106" i="26"/>
  <c r="N106" i="37"/>
  <c r="N107" i="37"/>
  <c r="N107" i="26"/>
  <c r="N103" i="37"/>
  <c r="N103" i="26"/>
  <c r="N100" i="37"/>
  <c r="N100" i="26"/>
  <c r="N104" i="26"/>
  <c r="N104" i="37"/>
  <c r="M138" i="10"/>
  <c r="O10" i="12"/>
  <c r="F190" i="10"/>
  <c r="D36" i="12" s="1"/>
  <c r="F192" i="10"/>
  <c r="D38" i="12" s="1"/>
  <c r="F191" i="10"/>
  <c r="D37" i="12" s="1"/>
  <c r="F189" i="10"/>
  <c r="D35" i="12" s="1"/>
  <c r="P30" i="12"/>
  <c r="F186" i="10"/>
  <c r="O12" i="10" l="1"/>
  <c r="N81" i="10"/>
  <c r="N82" i="10"/>
  <c r="N80" i="10"/>
  <c r="N83" i="10"/>
  <c r="O18" i="10"/>
  <c r="T22" i="10"/>
  <c r="U14" i="10"/>
  <c r="V37" i="10"/>
  <c r="O28" i="10"/>
  <c r="T17" i="10"/>
  <c r="T11" i="10"/>
  <c r="N157" i="10"/>
  <c r="V38" i="10"/>
  <c r="U19" i="10"/>
  <c r="U22" i="10" s="1"/>
  <c r="O23" i="10"/>
  <c r="T27" i="10"/>
  <c r="V39" i="10"/>
  <c r="U24" i="10"/>
  <c r="U27" i="10" s="1"/>
  <c r="P10" i="12"/>
  <c r="D53" i="12"/>
  <c r="D39" i="12"/>
  <c r="Q10" i="12"/>
  <c r="Q30" i="12"/>
  <c r="F194" i="10"/>
  <c r="T77" i="10" l="1"/>
  <c r="U11" i="10"/>
  <c r="U17" i="10"/>
  <c r="U77" i="10" s="1"/>
  <c r="W38" i="10"/>
  <c r="V19" i="10"/>
  <c r="V22" i="10" s="1"/>
  <c r="N90" i="10"/>
  <c r="W39" i="10"/>
  <c r="V24" i="10"/>
  <c r="V27" i="10" s="1"/>
  <c r="N89" i="10"/>
  <c r="V14" i="10"/>
  <c r="W37" i="10"/>
  <c r="O82" i="10"/>
  <c r="O81" i="10"/>
  <c r="O83" i="10"/>
  <c r="O80" i="10"/>
  <c r="R30" i="12"/>
  <c r="R10" i="12"/>
  <c r="V17" i="10" l="1"/>
  <c r="V77" i="10" s="1"/>
  <c r="V11" i="10"/>
  <c r="O90" i="10"/>
  <c r="X39" i="10"/>
  <c r="X24" i="10" s="1"/>
  <c r="X27" i="10" s="1"/>
  <c r="W24" i="10"/>
  <c r="W27" i="10" s="1"/>
  <c r="O89" i="10"/>
  <c r="X38" i="10"/>
  <c r="X19" i="10" s="1"/>
  <c r="X22" i="10" s="1"/>
  <c r="W19" i="10"/>
  <c r="W22" i="10" s="1"/>
  <c r="W14" i="10"/>
  <c r="X37" i="10"/>
  <c r="X14" i="10" s="1"/>
  <c r="S30" i="12"/>
  <c r="S10" i="12"/>
  <c r="W11" i="10" l="1"/>
  <c r="W17" i="10"/>
  <c r="W77" i="10" s="1"/>
  <c r="X17" i="10"/>
  <c r="X77" i="10" s="1"/>
  <c r="X11" i="10"/>
  <c r="T10" i="12"/>
  <c r="T30" i="12"/>
  <c r="U10" i="12" l="1"/>
  <c r="U30" i="12"/>
  <c r="W3" i="5" l="1"/>
  <c r="X3" i="5"/>
  <c r="T56" i="7"/>
  <c r="T76" i="7" s="1"/>
  <c r="AI3" i="5"/>
  <c r="B173" i="5"/>
  <c r="AH31" i="7"/>
  <c r="AH33" i="7"/>
  <c r="AH35" i="7"/>
  <c r="AH76" i="7"/>
  <c r="AG76" i="7"/>
  <c r="AM60" i="7"/>
  <c r="AK56" i="7"/>
  <c r="AK76" i="7" s="1"/>
  <c r="AJ56" i="7"/>
  <c r="AJ76" i="7" s="1"/>
  <c r="AI56" i="7"/>
  <c r="AI76" i="7" s="1"/>
  <c r="AG50" i="7"/>
  <c r="AG49" i="7"/>
  <c r="AG48" i="7"/>
  <c r="AG47" i="7"/>
  <c r="AG46" i="7"/>
  <c r="AG35" i="7"/>
  <c r="AG34" i="7"/>
  <c r="AG33" i="7"/>
  <c r="AG32" i="7"/>
  <c r="AG31" i="7"/>
  <c r="AG26" i="7"/>
  <c r="AG25" i="7"/>
  <c r="AG24" i="7"/>
  <c r="AG23" i="7"/>
  <c r="AG22" i="7"/>
  <c r="W62" i="7"/>
  <c r="X62" i="7"/>
  <c r="U62" i="7"/>
  <c r="S50" i="7"/>
  <c r="S51" i="7"/>
  <c r="X56" i="7"/>
  <c r="X76" i="7" s="1"/>
  <c r="W56" i="7"/>
  <c r="W76" i="7" s="1"/>
  <c r="V56" i="7"/>
  <c r="V76" i="7" s="1"/>
  <c r="P77" i="7"/>
  <c r="P59" i="7" s="1"/>
  <c r="U76" i="7"/>
  <c r="S76" i="7"/>
  <c r="Z60" i="7"/>
  <c r="S49" i="7"/>
  <c r="S48" i="7"/>
  <c r="S46" i="7"/>
  <c r="I44" i="7"/>
  <c r="N16" i="7" s="1"/>
  <c r="S35" i="7"/>
  <c r="S34" i="7"/>
  <c r="S33" i="7"/>
  <c r="S32" i="7"/>
  <c r="S31" i="7"/>
  <c r="G27" i="7"/>
  <c r="F27" i="7"/>
  <c r="E27" i="7"/>
  <c r="D27" i="7"/>
  <c r="C27" i="7"/>
  <c r="S26" i="7"/>
  <c r="I26" i="7"/>
  <c r="S25" i="7"/>
  <c r="I25" i="7"/>
  <c r="S24" i="7"/>
  <c r="S23" i="7"/>
  <c r="S22" i="7"/>
  <c r="F18" i="7"/>
  <c r="E18" i="7"/>
  <c r="D18" i="7"/>
  <c r="C18" i="7"/>
  <c r="W17" i="7"/>
  <c r="V17" i="7"/>
  <c r="U17" i="7"/>
  <c r="T17" i="7"/>
  <c r="T35" i="7" s="1"/>
  <c r="W15" i="7"/>
  <c r="E69" i="7" s="1"/>
  <c r="V15" i="7"/>
  <c r="D69" i="7" s="1"/>
  <c r="U15" i="7"/>
  <c r="T15" i="7"/>
  <c r="T33" i="7" s="1"/>
  <c r="W13" i="7"/>
  <c r="E67" i="7" s="1"/>
  <c r="V13" i="7"/>
  <c r="D67" i="7" s="1"/>
  <c r="U13" i="7"/>
  <c r="T13" i="7"/>
  <c r="T31" i="7" s="1"/>
  <c r="X13" i="7"/>
  <c r="P5" i="7"/>
  <c r="P6" i="7" s="1"/>
  <c r="P7" i="7" s="1"/>
  <c r="P8" i="7" s="1"/>
  <c r="P9" i="7" s="1"/>
  <c r="P10" i="7" s="1"/>
  <c r="P14" i="7" s="1"/>
  <c r="AJ3" i="5"/>
  <c r="Y3" i="5"/>
  <c r="Z3" i="5"/>
  <c r="AA3" i="5"/>
  <c r="AB3" i="5"/>
  <c r="AC3" i="5"/>
  <c r="AD3" i="5"/>
  <c r="AE3" i="5"/>
  <c r="AF3" i="5"/>
  <c r="AG3" i="5"/>
  <c r="AH3" i="5"/>
  <c r="B123" i="5"/>
  <c r="B135" i="5" s="1"/>
  <c r="B122" i="5"/>
  <c r="B134" i="5" s="1"/>
  <c r="Z16" i="7" l="1"/>
  <c r="AB16" i="7"/>
  <c r="AA16" i="7"/>
  <c r="AC16" i="7"/>
  <c r="AD16" i="7"/>
  <c r="Z61" i="7"/>
  <c r="AH61" i="7"/>
  <c r="AH62" i="7" s="1"/>
  <c r="V62" i="7"/>
  <c r="B146" i="5"/>
  <c r="B156" i="5" s="1"/>
  <c r="B145" i="5"/>
  <c r="AI31" i="7"/>
  <c r="AI33" i="7"/>
  <c r="AI34" i="7"/>
  <c r="AI35" i="7"/>
  <c r="AH34" i="7"/>
  <c r="U31" i="7"/>
  <c r="X17" i="7"/>
  <c r="X35" i="7" s="1"/>
  <c r="V35" i="7"/>
  <c r="I27" i="7"/>
  <c r="U35" i="7"/>
  <c r="V31" i="7"/>
  <c r="W31" i="7"/>
  <c r="W35" i="7"/>
  <c r="D71" i="7"/>
  <c r="V33" i="7"/>
  <c r="U33" i="7"/>
  <c r="W33" i="7"/>
  <c r="U16" i="7"/>
  <c r="W16" i="7"/>
  <c r="V16" i="7"/>
  <c r="Y16" i="7"/>
  <c r="X16" i="7"/>
  <c r="T16" i="7"/>
  <c r="T34" i="7" s="1"/>
  <c r="F67" i="7"/>
  <c r="X31" i="7"/>
  <c r="Y17" i="7"/>
  <c r="Y15" i="7"/>
  <c r="G18" i="7"/>
  <c r="C69" i="7"/>
  <c r="C67" i="7"/>
  <c r="E71" i="7"/>
  <c r="X15" i="7"/>
  <c r="Z62" i="7" l="1"/>
  <c r="V63" i="7"/>
  <c r="W63" i="7"/>
  <c r="H70" i="7"/>
  <c r="Z34" i="7"/>
  <c r="Y13" i="7"/>
  <c r="Y31" i="7" s="1"/>
  <c r="V64" i="7"/>
  <c r="W64" i="7"/>
  <c r="X63" i="7"/>
  <c r="X64" i="7" s="1"/>
  <c r="F71" i="7"/>
  <c r="J15" i="7"/>
  <c r="Z33" i="7"/>
  <c r="J17" i="7"/>
  <c r="Z35" i="7"/>
  <c r="U34" i="7"/>
  <c r="H18" i="7"/>
  <c r="X33" i="7"/>
  <c r="F69" i="7"/>
  <c r="D70" i="7"/>
  <c r="V34" i="7"/>
  <c r="G69" i="7"/>
  <c r="Y33" i="7"/>
  <c r="Y35" i="7"/>
  <c r="G71" i="7"/>
  <c r="F70" i="7"/>
  <c r="X34" i="7"/>
  <c r="G70" i="7"/>
  <c r="Y34" i="7"/>
  <c r="E70" i="7"/>
  <c r="W34" i="7"/>
  <c r="AA17" i="7" l="1"/>
  <c r="AO17" i="7"/>
  <c r="AO15" i="7"/>
  <c r="AA15" i="7"/>
  <c r="Z64" i="7"/>
  <c r="K17" i="7"/>
  <c r="K15" i="7"/>
  <c r="K18" i="7"/>
  <c r="AA34" i="7"/>
  <c r="AB34" i="7"/>
  <c r="AA33" i="7"/>
  <c r="AA35" i="7"/>
  <c r="AC34" i="7"/>
  <c r="G67" i="7"/>
  <c r="Z63" i="7"/>
  <c r="H71" i="7"/>
  <c r="J71" i="7" s="1"/>
  <c r="H69" i="7"/>
  <c r="J69" i="7" s="1"/>
  <c r="Z31" i="7"/>
  <c r="J70" i="7"/>
  <c r="I18" i="7"/>
  <c r="L15" i="7" l="1"/>
  <c r="AB15" i="7"/>
  <c r="AO35" i="7"/>
  <c r="AP17" i="7"/>
  <c r="L17" i="7"/>
  <c r="AB17" i="7"/>
  <c r="AO33" i="7"/>
  <c r="AP15" i="7"/>
  <c r="U89" i="7"/>
  <c r="V89" i="7"/>
  <c r="W89" i="7"/>
  <c r="X89" i="7"/>
  <c r="S88" i="7"/>
  <c r="T88" i="7"/>
  <c r="U88" i="7"/>
  <c r="V88" i="7"/>
  <c r="W88" i="7"/>
  <c r="X88" i="7"/>
  <c r="S90" i="7"/>
  <c r="T90" i="7"/>
  <c r="U90" i="7"/>
  <c r="V90" i="7"/>
  <c r="W90" i="7"/>
  <c r="X90" i="7"/>
  <c r="L18" i="7"/>
  <c r="AB35" i="7"/>
  <c r="AA31" i="7"/>
  <c r="AD34" i="7"/>
  <c r="H67" i="7"/>
  <c r="J67" i="7" s="1"/>
  <c r="J18" i="7"/>
  <c r="AQ15" i="7" l="1"/>
  <c r="AP33" i="7"/>
  <c r="AQ17" i="7"/>
  <c r="AP35" i="7"/>
  <c r="M17" i="7"/>
  <c r="AD17" i="7" s="1"/>
  <c r="AC17" i="7"/>
  <c r="AC35" i="7" s="1"/>
  <c r="M15" i="7"/>
  <c r="AC15" i="7"/>
  <c r="W86" i="7"/>
  <c r="X86" i="7"/>
  <c r="U86" i="7"/>
  <c r="V86" i="7"/>
  <c r="S86" i="7"/>
  <c r="T86" i="7"/>
  <c r="AB33" i="7"/>
  <c r="AC33" i="7"/>
  <c r="Z90" i="7"/>
  <c r="Z88" i="7"/>
  <c r="AD15" i="7" l="1"/>
  <c r="M18" i="7"/>
  <c r="AR17" i="7"/>
  <c r="AR35" i="7" s="1"/>
  <c r="AQ35" i="7"/>
  <c r="AR15" i="7"/>
  <c r="AR33" i="7" s="1"/>
  <c r="AQ33" i="7"/>
  <c r="AD33" i="7"/>
  <c r="AB31" i="7"/>
  <c r="AC31" i="7"/>
  <c r="AD35" i="7"/>
  <c r="Z86" i="7"/>
  <c r="AD31" i="7" l="1"/>
  <c r="B118" i="5"/>
  <c r="B130" i="5" s="1"/>
  <c r="B119" i="5"/>
  <c r="B131" i="5" s="1"/>
  <c r="B120" i="5"/>
  <c r="B121" i="5"/>
  <c r="B155" i="5"/>
  <c r="DB2" i="2"/>
  <c r="DC2" i="2"/>
  <c r="DD2" i="2"/>
  <c r="DE2" i="2"/>
  <c r="DF2" i="2"/>
  <c r="DG2" i="2"/>
  <c r="DH2" i="2"/>
  <c r="DI2" i="2"/>
  <c r="DJ2" i="2"/>
  <c r="DK2" i="2"/>
  <c r="DB3" i="2"/>
  <c r="DC3" i="2"/>
  <c r="DD3" i="2"/>
  <c r="DE3" i="2"/>
  <c r="DF3" i="2"/>
  <c r="DG3" i="2"/>
  <c r="DH3" i="2"/>
  <c r="DI3" i="2"/>
  <c r="DJ3" i="2"/>
  <c r="DK3" i="2"/>
  <c r="DB4" i="2"/>
  <c r="DC4" i="2"/>
  <c r="DD4" i="2"/>
  <c r="DE4" i="2"/>
  <c r="DF4" i="2"/>
  <c r="DG4" i="2"/>
  <c r="DH4" i="2"/>
  <c r="DI4" i="2"/>
  <c r="DJ4" i="2"/>
  <c r="DK4" i="2"/>
  <c r="DB5" i="2"/>
  <c r="DC5" i="2"/>
  <c r="DD5" i="2"/>
  <c r="DE5" i="2"/>
  <c r="DF5" i="2"/>
  <c r="DG5" i="2"/>
  <c r="DH5" i="2"/>
  <c r="DI5" i="2"/>
  <c r="DJ5" i="2"/>
  <c r="DK5" i="2"/>
  <c r="DB6" i="2"/>
  <c r="DC6" i="2"/>
  <c r="DD6" i="2"/>
  <c r="DE6" i="2"/>
  <c r="DF6" i="2"/>
  <c r="DG6" i="2"/>
  <c r="DH6" i="2"/>
  <c r="DI6" i="2"/>
  <c r="DJ6" i="2"/>
  <c r="DK6" i="2"/>
  <c r="DB7" i="2"/>
  <c r="DC7" i="2"/>
  <c r="DD7" i="2"/>
  <c r="DE7" i="2"/>
  <c r="DF7" i="2"/>
  <c r="DG7" i="2"/>
  <c r="DH7" i="2"/>
  <c r="DI7" i="2"/>
  <c r="DJ7" i="2"/>
  <c r="DK7" i="2"/>
  <c r="DB8" i="2"/>
  <c r="DC8" i="2"/>
  <c r="DD8" i="2"/>
  <c r="DE8" i="2"/>
  <c r="DF8" i="2"/>
  <c r="DG8" i="2"/>
  <c r="DH8" i="2"/>
  <c r="DI8" i="2"/>
  <c r="DJ8" i="2"/>
  <c r="DK8" i="2"/>
  <c r="DB9" i="2"/>
  <c r="DC9" i="2"/>
  <c r="DD9" i="2"/>
  <c r="DE9" i="2"/>
  <c r="DF9" i="2"/>
  <c r="DG9" i="2"/>
  <c r="DH9" i="2"/>
  <c r="DI9" i="2"/>
  <c r="DJ9" i="2"/>
  <c r="DK9" i="2"/>
  <c r="DB10" i="2"/>
  <c r="DC10" i="2"/>
  <c r="DD10" i="2"/>
  <c r="DE10" i="2"/>
  <c r="DF10" i="2"/>
  <c r="DG10" i="2"/>
  <c r="DH10" i="2"/>
  <c r="DI10" i="2"/>
  <c r="DJ10" i="2"/>
  <c r="DK10" i="2"/>
  <c r="DB11" i="2"/>
  <c r="DC11" i="2"/>
  <c r="DD11" i="2"/>
  <c r="DE11" i="2"/>
  <c r="DF11" i="2"/>
  <c r="DG11" i="2"/>
  <c r="DH11" i="2"/>
  <c r="DI11" i="2"/>
  <c r="DJ11" i="2"/>
  <c r="DK11" i="2"/>
  <c r="DB12" i="2"/>
  <c r="DC12" i="2"/>
  <c r="DD12" i="2"/>
  <c r="DE12" i="2"/>
  <c r="DF12" i="2"/>
  <c r="DG12" i="2"/>
  <c r="DH12" i="2"/>
  <c r="DI12" i="2"/>
  <c r="DJ12" i="2"/>
  <c r="DK12" i="2"/>
  <c r="DB13" i="2"/>
  <c r="DC13" i="2"/>
  <c r="DD13" i="2"/>
  <c r="DE13" i="2"/>
  <c r="DF13" i="2"/>
  <c r="DG13" i="2"/>
  <c r="DH13" i="2"/>
  <c r="DI13" i="2"/>
  <c r="DJ13" i="2"/>
  <c r="DK13" i="2"/>
  <c r="DB14" i="2"/>
  <c r="DC14" i="2"/>
  <c r="DD14" i="2"/>
  <c r="DE14" i="2"/>
  <c r="DF14" i="2"/>
  <c r="DG14" i="2"/>
  <c r="DH14" i="2"/>
  <c r="DI14" i="2"/>
  <c r="DJ14" i="2"/>
  <c r="DK14" i="2"/>
  <c r="DB15" i="2"/>
  <c r="DC15" i="2"/>
  <c r="DD15" i="2"/>
  <c r="DE15" i="2"/>
  <c r="DF15" i="2"/>
  <c r="DG15" i="2"/>
  <c r="DH15" i="2"/>
  <c r="DI15" i="2"/>
  <c r="DJ15" i="2"/>
  <c r="DK15" i="2"/>
  <c r="DB16" i="2"/>
  <c r="DC16" i="2"/>
  <c r="DD16" i="2"/>
  <c r="DE16" i="2"/>
  <c r="DF16" i="2"/>
  <c r="DG16" i="2"/>
  <c r="DH16" i="2"/>
  <c r="DI16" i="2"/>
  <c r="DJ16" i="2"/>
  <c r="DK16" i="2"/>
  <c r="DB17" i="2"/>
  <c r="DC17" i="2"/>
  <c r="DD17" i="2"/>
  <c r="DE17" i="2"/>
  <c r="DF17" i="2"/>
  <c r="DG17" i="2"/>
  <c r="DH17" i="2"/>
  <c r="DI17" i="2"/>
  <c r="DJ17" i="2"/>
  <c r="DK17" i="2"/>
  <c r="DB18" i="2"/>
  <c r="DC18" i="2"/>
  <c r="DD18" i="2"/>
  <c r="DE18" i="2"/>
  <c r="DF18" i="2"/>
  <c r="DG18" i="2"/>
  <c r="DH18" i="2"/>
  <c r="DI18" i="2"/>
  <c r="DJ18" i="2"/>
  <c r="DK18" i="2"/>
  <c r="DB19" i="2"/>
  <c r="DC19" i="2"/>
  <c r="DD19" i="2"/>
  <c r="DE19" i="2"/>
  <c r="DF19" i="2"/>
  <c r="DG19" i="2"/>
  <c r="DH19" i="2"/>
  <c r="DI19" i="2"/>
  <c r="DJ19" i="2"/>
  <c r="DK19" i="2"/>
  <c r="DB20" i="2"/>
  <c r="DC20" i="2"/>
  <c r="DD20" i="2"/>
  <c r="DE20" i="2"/>
  <c r="DF20" i="2"/>
  <c r="DG20" i="2"/>
  <c r="DH20" i="2"/>
  <c r="DI20" i="2"/>
  <c r="DJ20" i="2"/>
  <c r="DK20" i="2"/>
  <c r="DB21" i="2"/>
  <c r="DC21" i="2"/>
  <c r="DD21" i="2"/>
  <c r="DE21" i="2"/>
  <c r="DF21" i="2"/>
  <c r="DG21" i="2"/>
  <c r="DH21" i="2"/>
  <c r="DI21" i="2"/>
  <c r="DJ21" i="2"/>
  <c r="DK21" i="2"/>
  <c r="DB22" i="2"/>
  <c r="DC22" i="2"/>
  <c r="DD22" i="2"/>
  <c r="DE22" i="2"/>
  <c r="DF22" i="2"/>
  <c r="DG22" i="2"/>
  <c r="DH22" i="2"/>
  <c r="DI22" i="2"/>
  <c r="DJ22" i="2"/>
  <c r="DK22" i="2"/>
  <c r="DB23" i="2"/>
  <c r="DC23" i="2"/>
  <c r="DD23" i="2"/>
  <c r="DE23" i="2"/>
  <c r="DF23" i="2"/>
  <c r="DG23" i="2"/>
  <c r="DH23" i="2"/>
  <c r="DI23" i="2"/>
  <c r="DJ23" i="2"/>
  <c r="DK23" i="2"/>
  <c r="DB24" i="2"/>
  <c r="DC24" i="2"/>
  <c r="DD24" i="2"/>
  <c r="DE24" i="2"/>
  <c r="DF24" i="2"/>
  <c r="DG24" i="2"/>
  <c r="DH24" i="2"/>
  <c r="DI24" i="2"/>
  <c r="DJ24" i="2"/>
  <c r="DK24" i="2"/>
  <c r="DB25" i="2"/>
  <c r="DC25" i="2"/>
  <c r="DD25" i="2"/>
  <c r="DE25" i="2"/>
  <c r="DF25" i="2"/>
  <c r="DG25" i="2"/>
  <c r="DH25" i="2"/>
  <c r="DI25" i="2"/>
  <c r="DJ25" i="2"/>
  <c r="DK25" i="2"/>
  <c r="DB26" i="2"/>
  <c r="DC26" i="2"/>
  <c r="DD26" i="2"/>
  <c r="DE26" i="2"/>
  <c r="DF26" i="2"/>
  <c r="DG26" i="2"/>
  <c r="DH26" i="2"/>
  <c r="DI26" i="2"/>
  <c r="DJ26" i="2"/>
  <c r="DK26" i="2"/>
  <c r="DB27" i="2"/>
  <c r="DC27" i="2"/>
  <c r="DD27" i="2"/>
  <c r="DE27" i="2"/>
  <c r="DF27" i="2"/>
  <c r="DG27" i="2"/>
  <c r="DH27" i="2"/>
  <c r="DI27" i="2"/>
  <c r="DJ27" i="2"/>
  <c r="DK27" i="2"/>
  <c r="DB28" i="2"/>
  <c r="DC28" i="2"/>
  <c r="DD28" i="2"/>
  <c r="DE28" i="2"/>
  <c r="DF28" i="2"/>
  <c r="DG28" i="2"/>
  <c r="DH28" i="2"/>
  <c r="DI28" i="2"/>
  <c r="DJ28" i="2"/>
  <c r="DK28" i="2"/>
  <c r="DB29" i="2"/>
  <c r="DC29" i="2"/>
  <c r="DD29" i="2"/>
  <c r="DE29" i="2"/>
  <c r="DF29" i="2"/>
  <c r="DG29" i="2"/>
  <c r="DH29" i="2"/>
  <c r="DI29" i="2"/>
  <c r="DJ29" i="2"/>
  <c r="DK29" i="2"/>
  <c r="DB30" i="2"/>
  <c r="DC30" i="2"/>
  <c r="DD30" i="2"/>
  <c r="DE30" i="2"/>
  <c r="DF30" i="2"/>
  <c r="DG30" i="2"/>
  <c r="DH30" i="2"/>
  <c r="DI30" i="2"/>
  <c r="DJ30" i="2"/>
  <c r="DK30" i="2"/>
  <c r="DB31" i="2"/>
  <c r="DC31" i="2"/>
  <c r="DD31" i="2"/>
  <c r="DE31" i="2"/>
  <c r="DF31" i="2"/>
  <c r="DG31" i="2"/>
  <c r="DH31" i="2"/>
  <c r="DI31" i="2"/>
  <c r="DJ31" i="2"/>
  <c r="DK31" i="2"/>
  <c r="DB32" i="2"/>
  <c r="DC32" i="2"/>
  <c r="DD32" i="2"/>
  <c r="DE32" i="2"/>
  <c r="DF32" i="2"/>
  <c r="DG32" i="2"/>
  <c r="DH32" i="2"/>
  <c r="DI32" i="2"/>
  <c r="DJ32" i="2"/>
  <c r="DK32" i="2"/>
  <c r="DB33" i="2"/>
  <c r="DC33" i="2"/>
  <c r="DD33" i="2"/>
  <c r="DE33" i="2"/>
  <c r="DF33" i="2"/>
  <c r="DG33" i="2"/>
  <c r="DH33" i="2"/>
  <c r="DI33" i="2"/>
  <c r="DJ33" i="2"/>
  <c r="DK33" i="2"/>
  <c r="DB34" i="2"/>
  <c r="DC34" i="2"/>
  <c r="DD34" i="2"/>
  <c r="DE34" i="2"/>
  <c r="DF34" i="2"/>
  <c r="DG34" i="2"/>
  <c r="DH34" i="2"/>
  <c r="DI34" i="2"/>
  <c r="DJ34" i="2"/>
  <c r="DK34" i="2"/>
  <c r="DB35" i="2"/>
  <c r="DC35" i="2"/>
  <c r="DD35" i="2"/>
  <c r="DE35" i="2"/>
  <c r="DF35" i="2"/>
  <c r="DG35" i="2"/>
  <c r="DH35" i="2"/>
  <c r="DI35" i="2"/>
  <c r="DJ35" i="2"/>
  <c r="DK35" i="2"/>
  <c r="DB36" i="2"/>
  <c r="DC36" i="2"/>
  <c r="DD36" i="2"/>
  <c r="DE36" i="2"/>
  <c r="DF36" i="2"/>
  <c r="DG36" i="2"/>
  <c r="DH36" i="2"/>
  <c r="DI36" i="2"/>
  <c r="DJ36" i="2"/>
  <c r="DK36" i="2"/>
  <c r="DB37" i="2"/>
  <c r="DC37" i="2"/>
  <c r="DD37" i="2"/>
  <c r="DE37" i="2"/>
  <c r="DF37" i="2"/>
  <c r="DG37" i="2"/>
  <c r="DH37" i="2"/>
  <c r="DI37" i="2"/>
  <c r="DJ37" i="2"/>
  <c r="DK37" i="2"/>
  <c r="DB38" i="2"/>
  <c r="DC38" i="2"/>
  <c r="DD38" i="2"/>
  <c r="DE38" i="2"/>
  <c r="DF38" i="2"/>
  <c r="DG38" i="2"/>
  <c r="DH38" i="2"/>
  <c r="DI38" i="2"/>
  <c r="DJ38" i="2"/>
  <c r="DK38" i="2"/>
  <c r="DB39" i="2"/>
  <c r="DC39" i="2"/>
  <c r="DD39" i="2"/>
  <c r="DE39" i="2"/>
  <c r="DF39" i="2"/>
  <c r="DG39" i="2"/>
  <c r="DH39" i="2"/>
  <c r="DI39" i="2"/>
  <c r="DJ39" i="2"/>
  <c r="DK39" i="2"/>
  <c r="DB40" i="2"/>
  <c r="DC40" i="2"/>
  <c r="DD40" i="2"/>
  <c r="DE40" i="2"/>
  <c r="DF40" i="2"/>
  <c r="DG40" i="2"/>
  <c r="DH40" i="2"/>
  <c r="DI40" i="2"/>
  <c r="DJ40" i="2"/>
  <c r="DK40" i="2"/>
  <c r="DB41" i="2"/>
  <c r="DC41" i="2"/>
  <c r="DD41" i="2"/>
  <c r="DE41" i="2"/>
  <c r="DF41" i="2"/>
  <c r="DG41" i="2"/>
  <c r="DH41" i="2"/>
  <c r="DI41" i="2"/>
  <c r="DJ41" i="2"/>
  <c r="DK41" i="2"/>
  <c r="DB42" i="2"/>
  <c r="DC42" i="2"/>
  <c r="DD42" i="2"/>
  <c r="DE42" i="2"/>
  <c r="DF42" i="2"/>
  <c r="DG42" i="2"/>
  <c r="DH42" i="2"/>
  <c r="DI42" i="2"/>
  <c r="DJ42" i="2"/>
  <c r="DK42" i="2"/>
  <c r="DB43" i="2"/>
  <c r="DC43" i="2"/>
  <c r="DD43" i="2"/>
  <c r="DE43" i="2"/>
  <c r="DF43" i="2"/>
  <c r="DG43" i="2"/>
  <c r="DH43" i="2"/>
  <c r="DI43" i="2"/>
  <c r="DJ43" i="2"/>
  <c r="DK43" i="2"/>
  <c r="DB44" i="2"/>
  <c r="DC44" i="2"/>
  <c r="DD44" i="2"/>
  <c r="DE44" i="2"/>
  <c r="DF44" i="2"/>
  <c r="DG44" i="2"/>
  <c r="DH44" i="2"/>
  <c r="DI44" i="2"/>
  <c r="DJ44" i="2"/>
  <c r="DK44" i="2"/>
  <c r="DB45" i="2"/>
  <c r="DC45" i="2"/>
  <c r="DD45" i="2"/>
  <c r="DE45" i="2"/>
  <c r="DF45" i="2"/>
  <c r="DG45" i="2"/>
  <c r="DH45" i="2"/>
  <c r="DI45" i="2"/>
  <c r="DJ45" i="2"/>
  <c r="DK45" i="2"/>
  <c r="DB46" i="2"/>
  <c r="DC46" i="2"/>
  <c r="DD46" i="2"/>
  <c r="DE46" i="2"/>
  <c r="DF46" i="2"/>
  <c r="DG46" i="2"/>
  <c r="DH46" i="2"/>
  <c r="DI46" i="2"/>
  <c r="DJ46" i="2"/>
  <c r="DK46" i="2"/>
  <c r="DB47" i="2"/>
  <c r="DC47" i="2"/>
  <c r="DD47" i="2"/>
  <c r="DE47" i="2"/>
  <c r="DF47" i="2"/>
  <c r="DG47" i="2"/>
  <c r="DH47" i="2"/>
  <c r="DI47" i="2"/>
  <c r="DJ47" i="2"/>
  <c r="DK47" i="2"/>
  <c r="DB48" i="2"/>
  <c r="DC48" i="2"/>
  <c r="DD48" i="2"/>
  <c r="DE48" i="2"/>
  <c r="DF48" i="2"/>
  <c r="DG48" i="2"/>
  <c r="DH48" i="2"/>
  <c r="DI48" i="2"/>
  <c r="DJ48" i="2"/>
  <c r="DK48" i="2"/>
  <c r="DB49" i="2"/>
  <c r="DC49" i="2"/>
  <c r="DD49" i="2"/>
  <c r="DE49" i="2"/>
  <c r="DF49" i="2"/>
  <c r="DG49" i="2"/>
  <c r="DH49" i="2"/>
  <c r="DI49" i="2"/>
  <c r="DJ49" i="2"/>
  <c r="DK49" i="2"/>
  <c r="DB50" i="2"/>
  <c r="DC50" i="2"/>
  <c r="DD50" i="2"/>
  <c r="DE50" i="2"/>
  <c r="DF50" i="2"/>
  <c r="DG50" i="2"/>
  <c r="DH50" i="2"/>
  <c r="DI50" i="2"/>
  <c r="DJ50" i="2"/>
  <c r="DK50" i="2"/>
  <c r="DB51" i="2"/>
  <c r="DC51" i="2"/>
  <c r="DD51" i="2"/>
  <c r="DE51" i="2"/>
  <c r="DF51" i="2"/>
  <c r="DG51" i="2"/>
  <c r="DH51" i="2"/>
  <c r="DI51" i="2"/>
  <c r="DJ51" i="2"/>
  <c r="DK51" i="2"/>
  <c r="DB52" i="2"/>
  <c r="DC52" i="2"/>
  <c r="DD52" i="2"/>
  <c r="DE52" i="2"/>
  <c r="DF52" i="2"/>
  <c r="DG52" i="2"/>
  <c r="DH52" i="2"/>
  <c r="DI52" i="2"/>
  <c r="DJ52" i="2"/>
  <c r="DK52" i="2"/>
  <c r="DB53" i="2"/>
  <c r="DC53" i="2"/>
  <c r="DD53" i="2"/>
  <c r="DE53" i="2"/>
  <c r="DF53" i="2"/>
  <c r="DG53" i="2"/>
  <c r="DH53" i="2"/>
  <c r="DI53" i="2"/>
  <c r="DJ53" i="2"/>
  <c r="DK53" i="2"/>
  <c r="DB54" i="2"/>
  <c r="DC54" i="2"/>
  <c r="DD54" i="2"/>
  <c r="DE54" i="2"/>
  <c r="DF54" i="2"/>
  <c r="DG54" i="2"/>
  <c r="DH54" i="2"/>
  <c r="DI54" i="2"/>
  <c r="DJ54" i="2"/>
  <c r="DK54" i="2"/>
  <c r="DB55" i="2"/>
  <c r="DC55" i="2"/>
  <c r="DD55" i="2"/>
  <c r="DE55" i="2"/>
  <c r="DF55" i="2"/>
  <c r="DG55" i="2"/>
  <c r="DH55" i="2"/>
  <c r="DI55" i="2"/>
  <c r="DJ55" i="2"/>
  <c r="DK55" i="2"/>
  <c r="DB56" i="2"/>
  <c r="DC56" i="2"/>
  <c r="DD56" i="2"/>
  <c r="DE56" i="2"/>
  <c r="DF56" i="2"/>
  <c r="DG56" i="2"/>
  <c r="DH56" i="2"/>
  <c r="DI56" i="2"/>
  <c r="DJ56" i="2"/>
  <c r="DK56" i="2"/>
  <c r="DB57" i="2"/>
  <c r="DC57" i="2"/>
  <c r="DD57" i="2"/>
  <c r="DE57" i="2"/>
  <c r="DF57" i="2"/>
  <c r="DG57" i="2"/>
  <c r="DH57" i="2"/>
  <c r="DI57" i="2"/>
  <c r="DJ57" i="2"/>
  <c r="DK57" i="2"/>
  <c r="DB58" i="2"/>
  <c r="DC58" i="2"/>
  <c r="DD58" i="2"/>
  <c r="DE58" i="2"/>
  <c r="DF58" i="2"/>
  <c r="DG58" i="2"/>
  <c r="DH58" i="2"/>
  <c r="DI58" i="2"/>
  <c r="DJ58" i="2"/>
  <c r="DK58" i="2"/>
  <c r="DB59" i="2"/>
  <c r="DC59" i="2"/>
  <c r="DD59" i="2"/>
  <c r="DE59" i="2"/>
  <c r="DF59" i="2"/>
  <c r="DG59" i="2"/>
  <c r="DH59" i="2"/>
  <c r="DI59" i="2"/>
  <c r="DJ59" i="2"/>
  <c r="DK59" i="2"/>
  <c r="DB60" i="2"/>
  <c r="DC60" i="2"/>
  <c r="DD60" i="2"/>
  <c r="DE60" i="2"/>
  <c r="DF60" i="2"/>
  <c r="DG60" i="2"/>
  <c r="DH60" i="2"/>
  <c r="DI60" i="2"/>
  <c r="DJ60" i="2"/>
  <c r="DK60" i="2"/>
  <c r="DB61" i="2"/>
  <c r="DC61" i="2"/>
  <c r="DD61" i="2"/>
  <c r="DE61" i="2"/>
  <c r="DF61" i="2"/>
  <c r="DG61" i="2"/>
  <c r="DH61" i="2"/>
  <c r="DI61" i="2"/>
  <c r="DJ61" i="2"/>
  <c r="DK61" i="2"/>
  <c r="DB62" i="2"/>
  <c r="DC62" i="2"/>
  <c r="DD62" i="2"/>
  <c r="DE62" i="2"/>
  <c r="DF62" i="2"/>
  <c r="DG62" i="2"/>
  <c r="DH62" i="2"/>
  <c r="DI62" i="2"/>
  <c r="DJ62" i="2"/>
  <c r="DK62" i="2"/>
  <c r="DB63" i="2"/>
  <c r="DC63" i="2"/>
  <c r="DD63" i="2"/>
  <c r="DE63" i="2"/>
  <c r="DF63" i="2"/>
  <c r="DG63" i="2"/>
  <c r="DH63" i="2"/>
  <c r="DI63" i="2"/>
  <c r="DJ63" i="2"/>
  <c r="DK63" i="2"/>
  <c r="DB64" i="2"/>
  <c r="DC64" i="2"/>
  <c r="DD64" i="2"/>
  <c r="DE64" i="2"/>
  <c r="DF64" i="2"/>
  <c r="DG64" i="2"/>
  <c r="DH64" i="2"/>
  <c r="DI64" i="2"/>
  <c r="DJ64" i="2"/>
  <c r="DK64" i="2"/>
  <c r="DB65" i="2"/>
  <c r="DC65" i="2"/>
  <c r="DD65" i="2"/>
  <c r="DE65" i="2"/>
  <c r="DF65" i="2"/>
  <c r="DG65" i="2"/>
  <c r="DH65" i="2"/>
  <c r="DI65" i="2"/>
  <c r="DJ65" i="2"/>
  <c r="DK65" i="2"/>
  <c r="DB66" i="2"/>
  <c r="DC66" i="2"/>
  <c r="DD66" i="2"/>
  <c r="DE66" i="2"/>
  <c r="DF66" i="2"/>
  <c r="DG66" i="2"/>
  <c r="DH66" i="2"/>
  <c r="DI66" i="2"/>
  <c r="DJ66" i="2"/>
  <c r="DK66" i="2"/>
  <c r="DB67" i="2"/>
  <c r="DC67" i="2"/>
  <c r="DD67" i="2"/>
  <c r="DE67" i="2"/>
  <c r="DF67" i="2"/>
  <c r="DG67" i="2"/>
  <c r="DH67" i="2"/>
  <c r="DI67" i="2"/>
  <c r="DJ67" i="2"/>
  <c r="DK67" i="2"/>
  <c r="DB68" i="2"/>
  <c r="DC68" i="2"/>
  <c r="DD68" i="2"/>
  <c r="DE68" i="2"/>
  <c r="DF68" i="2"/>
  <c r="DG68" i="2"/>
  <c r="DH68" i="2"/>
  <c r="DI68" i="2"/>
  <c r="DJ68" i="2"/>
  <c r="DK68" i="2"/>
  <c r="DB69" i="2"/>
  <c r="DC69" i="2"/>
  <c r="DD69" i="2"/>
  <c r="DE69" i="2"/>
  <c r="DF69" i="2"/>
  <c r="DG69" i="2"/>
  <c r="DH69" i="2"/>
  <c r="DI69" i="2"/>
  <c r="DJ69" i="2"/>
  <c r="DK69" i="2"/>
  <c r="DB70" i="2"/>
  <c r="DC70" i="2"/>
  <c r="DD70" i="2"/>
  <c r="DE70" i="2"/>
  <c r="DF70" i="2"/>
  <c r="DG70" i="2"/>
  <c r="DH70" i="2"/>
  <c r="DI70" i="2"/>
  <c r="DJ70" i="2"/>
  <c r="DK70" i="2"/>
  <c r="DB71" i="2"/>
  <c r="DC71" i="2"/>
  <c r="DD71" i="2"/>
  <c r="DE71" i="2"/>
  <c r="DF71" i="2"/>
  <c r="DG71" i="2"/>
  <c r="DH71" i="2"/>
  <c r="DI71" i="2"/>
  <c r="DJ71" i="2"/>
  <c r="DK71" i="2"/>
  <c r="DB72" i="2"/>
  <c r="DC72" i="2"/>
  <c r="DD72" i="2"/>
  <c r="DE72" i="2"/>
  <c r="DF72" i="2"/>
  <c r="DG72" i="2"/>
  <c r="DH72" i="2"/>
  <c r="DI72" i="2"/>
  <c r="DJ72" i="2"/>
  <c r="DK72" i="2"/>
  <c r="DB73" i="2"/>
  <c r="DC73" i="2"/>
  <c r="DD73" i="2"/>
  <c r="DE73" i="2"/>
  <c r="DF73" i="2"/>
  <c r="DG73" i="2"/>
  <c r="DH73" i="2"/>
  <c r="DI73" i="2"/>
  <c r="DJ73" i="2"/>
  <c r="DK73" i="2"/>
  <c r="DB74" i="2"/>
  <c r="DC74" i="2"/>
  <c r="DD74" i="2"/>
  <c r="DE74" i="2"/>
  <c r="DF74" i="2"/>
  <c r="DG74" i="2"/>
  <c r="DH74" i="2"/>
  <c r="DI74" i="2"/>
  <c r="DJ74" i="2"/>
  <c r="DK74" i="2"/>
  <c r="DB75" i="2"/>
  <c r="DC75" i="2"/>
  <c r="DD75" i="2"/>
  <c r="DE75" i="2"/>
  <c r="DF75" i="2"/>
  <c r="DG75" i="2"/>
  <c r="DH75" i="2"/>
  <c r="DI75" i="2"/>
  <c r="DJ75" i="2"/>
  <c r="DK75" i="2"/>
  <c r="DB76" i="2"/>
  <c r="DC76" i="2"/>
  <c r="DD76" i="2"/>
  <c r="DE76" i="2"/>
  <c r="DF76" i="2"/>
  <c r="DG76" i="2"/>
  <c r="DH76" i="2"/>
  <c r="DI76" i="2"/>
  <c r="DJ76" i="2"/>
  <c r="DK76" i="2"/>
  <c r="DB77" i="2"/>
  <c r="DC77" i="2"/>
  <c r="DD77" i="2"/>
  <c r="DE77" i="2"/>
  <c r="DF77" i="2"/>
  <c r="DG77" i="2"/>
  <c r="DH77" i="2"/>
  <c r="DI77" i="2"/>
  <c r="DJ77" i="2"/>
  <c r="DK77" i="2"/>
  <c r="DB78" i="2"/>
  <c r="DC78" i="2"/>
  <c r="DD78" i="2"/>
  <c r="DE78" i="2"/>
  <c r="DF78" i="2"/>
  <c r="DG78" i="2"/>
  <c r="DH78" i="2"/>
  <c r="DI78" i="2"/>
  <c r="DJ78" i="2"/>
  <c r="DK78" i="2"/>
  <c r="DB79" i="2"/>
  <c r="DC79" i="2"/>
  <c r="DD79" i="2"/>
  <c r="DE79" i="2"/>
  <c r="DF79" i="2"/>
  <c r="DG79" i="2"/>
  <c r="DH79" i="2"/>
  <c r="DI79" i="2"/>
  <c r="DJ79" i="2"/>
  <c r="DK79" i="2"/>
  <c r="DB80" i="2"/>
  <c r="DC80" i="2"/>
  <c r="DD80" i="2"/>
  <c r="DE80" i="2"/>
  <c r="DF80" i="2"/>
  <c r="DG80" i="2"/>
  <c r="DH80" i="2"/>
  <c r="DI80" i="2"/>
  <c r="DJ80" i="2"/>
  <c r="DK80" i="2"/>
  <c r="DB81" i="2"/>
  <c r="DC81" i="2"/>
  <c r="DD81" i="2"/>
  <c r="DE81" i="2"/>
  <c r="DF81" i="2"/>
  <c r="DG81" i="2"/>
  <c r="DH81" i="2"/>
  <c r="DI81" i="2"/>
  <c r="DJ81" i="2"/>
  <c r="DK81" i="2"/>
  <c r="DB82" i="2"/>
  <c r="DC82" i="2"/>
  <c r="DD82" i="2"/>
  <c r="DE82" i="2"/>
  <c r="DF82" i="2"/>
  <c r="DG82" i="2"/>
  <c r="DH82" i="2"/>
  <c r="DI82" i="2"/>
  <c r="DJ82" i="2"/>
  <c r="DK82" i="2"/>
  <c r="DB83" i="2"/>
  <c r="DC83" i="2"/>
  <c r="DD83" i="2"/>
  <c r="DE83" i="2"/>
  <c r="DF83" i="2"/>
  <c r="DG83" i="2"/>
  <c r="DH83" i="2"/>
  <c r="DI83" i="2"/>
  <c r="DJ83" i="2"/>
  <c r="DK83" i="2"/>
  <c r="DB84" i="2"/>
  <c r="DC84" i="2"/>
  <c r="DD84" i="2"/>
  <c r="DE84" i="2"/>
  <c r="DF84" i="2"/>
  <c r="DG84" i="2"/>
  <c r="DH84" i="2"/>
  <c r="DI84" i="2"/>
  <c r="DJ84" i="2"/>
  <c r="DK84" i="2"/>
  <c r="DB85" i="2"/>
  <c r="DC85" i="2"/>
  <c r="DD85" i="2"/>
  <c r="DE85" i="2"/>
  <c r="DF85" i="2"/>
  <c r="DG85" i="2"/>
  <c r="DH85" i="2"/>
  <c r="DI85" i="2"/>
  <c r="DJ85" i="2"/>
  <c r="DK85" i="2"/>
  <c r="DB86" i="2"/>
  <c r="DC86" i="2"/>
  <c r="DD86" i="2"/>
  <c r="DE86" i="2"/>
  <c r="DF86" i="2"/>
  <c r="DG86" i="2"/>
  <c r="DH86" i="2"/>
  <c r="DI86" i="2"/>
  <c r="DJ86" i="2"/>
  <c r="DK86" i="2"/>
  <c r="DB87" i="2"/>
  <c r="DC87" i="2"/>
  <c r="DD87" i="2"/>
  <c r="DE87" i="2"/>
  <c r="DF87" i="2"/>
  <c r="DG87" i="2"/>
  <c r="DH87" i="2"/>
  <c r="DI87" i="2"/>
  <c r="DJ87" i="2"/>
  <c r="DK87" i="2"/>
  <c r="DB88" i="2"/>
  <c r="DC88" i="2"/>
  <c r="DD88" i="2"/>
  <c r="DE88" i="2"/>
  <c r="DF88" i="2"/>
  <c r="DG88" i="2"/>
  <c r="DH88" i="2"/>
  <c r="DI88" i="2"/>
  <c r="DJ88" i="2"/>
  <c r="DK88" i="2"/>
  <c r="DB89" i="2"/>
  <c r="DC89" i="2"/>
  <c r="DD89" i="2"/>
  <c r="DE89" i="2"/>
  <c r="DF89" i="2"/>
  <c r="DG89" i="2"/>
  <c r="DH89" i="2"/>
  <c r="DI89" i="2"/>
  <c r="DJ89" i="2"/>
  <c r="DK89" i="2"/>
  <c r="DB90" i="2"/>
  <c r="DC90" i="2"/>
  <c r="DD90" i="2"/>
  <c r="DE90" i="2"/>
  <c r="DF90" i="2"/>
  <c r="DG90" i="2"/>
  <c r="DH90" i="2"/>
  <c r="DI90" i="2"/>
  <c r="DJ90" i="2"/>
  <c r="DK90" i="2"/>
  <c r="DB91" i="2"/>
  <c r="DC91" i="2"/>
  <c r="DD91" i="2"/>
  <c r="DE91" i="2"/>
  <c r="DF91" i="2"/>
  <c r="DG91" i="2"/>
  <c r="DH91" i="2"/>
  <c r="DI91" i="2"/>
  <c r="DJ91" i="2"/>
  <c r="DK91" i="2"/>
  <c r="DB92" i="2"/>
  <c r="DC92" i="2"/>
  <c r="DD92" i="2"/>
  <c r="DE92" i="2"/>
  <c r="DF92" i="2"/>
  <c r="DG92" i="2"/>
  <c r="DH92" i="2"/>
  <c r="DI92" i="2"/>
  <c r="DJ92" i="2"/>
  <c r="DK92" i="2"/>
  <c r="DB93" i="2"/>
  <c r="DC93" i="2"/>
  <c r="DD93" i="2"/>
  <c r="DE93" i="2"/>
  <c r="DF93" i="2"/>
  <c r="DG93" i="2"/>
  <c r="DH93" i="2"/>
  <c r="DI93" i="2"/>
  <c r="DJ93" i="2"/>
  <c r="DK93" i="2"/>
  <c r="DB94" i="2"/>
  <c r="DC94" i="2"/>
  <c r="DD94" i="2"/>
  <c r="DE94" i="2"/>
  <c r="DF94" i="2"/>
  <c r="DG94" i="2"/>
  <c r="DH94" i="2"/>
  <c r="DI94" i="2"/>
  <c r="DJ94" i="2"/>
  <c r="DK94" i="2"/>
  <c r="DB95" i="2"/>
  <c r="DC95" i="2"/>
  <c r="DD95" i="2"/>
  <c r="DE95" i="2"/>
  <c r="DF95" i="2"/>
  <c r="DG95" i="2"/>
  <c r="DH95" i="2"/>
  <c r="DI95" i="2"/>
  <c r="DJ95" i="2"/>
  <c r="DK95" i="2"/>
  <c r="DB96" i="2"/>
  <c r="DC96" i="2"/>
  <c r="DD96" i="2"/>
  <c r="DE96" i="2"/>
  <c r="DF96" i="2"/>
  <c r="DG96" i="2"/>
  <c r="DH96" i="2"/>
  <c r="DI96" i="2"/>
  <c r="DJ96" i="2"/>
  <c r="DK96" i="2"/>
  <c r="DB97" i="2"/>
  <c r="DC97" i="2"/>
  <c r="DD97" i="2"/>
  <c r="DE97" i="2"/>
  <c r="DF97" i="2"/>
  <c r="DG97" i="2"/>
  <c r="DH97" i="2"/>
  <c r="DI97" i="2"/>
  <c r="DJ97" i="2"/>
  <c r="DK97" i="2"/>
  <c r="CN2" i="2"/>
  <c r="CO2" i="2"/>
  <c r="CP2" i="2"/>
  <c r="CQ2" i="2"/>
  <c r="CR2" i="2"/>
  <c r="CS2" i="2"/>
  <c r="CT2" i="2"/>
  <c r="CU2" i="2"/>
  <c r="CV2" i="2"/>
  <c r="CW2" i="2"/>
  <c r="CX2" i="2"/>
  <c r="CY2" i="2"/>
  <c r="CZ2" i="2"/>
  <c r="DA2" i="2"/>
  <c r="CN3" i="2"/>
  <c r="CO3" i="2"/>
  <c r="CP3" i="2"/>
  <c r="CQ3" i="2"/>
  <c r="CR3" i="2"/>
  <c r="CS3" i="2"/>
  <c r="CT3" i="2"/>
  <c r="CU3" i="2"/>
  <c r="CV3" i="2"/>
  <c r="CW3" i="2"/>
  <c r="CX3" i="2"/>
  <c r="CY3" i="2"/>
  <c r="CZ3" i="2"/>
  <c r="DA3" i="2"/>
  <c r="CN4" i="2"/>
  <c r="CO4" i="2"/>
  <c r="CP4" i="2"/>
  <c r="CQ4" i="2"/>
  <c r="CR4" i="2"/>
  <c r="CS4" i="2"/>
  <c r="CT4" i="2"/>
  <c r="CU4" i="2"/>
  <c r="CV4" i="2"/>
  <c r="CW4" i="2"/>
  <c r="CX4" i="2"/>
  <c r="CY4" i="2"/>
  <c r="CZ4" i="2"/>
  <c r="DA4" i="2"/>
  <c r="CN5" i="2"/>
  <c r="CO5" i="2"/>
  <c r="CP5" i="2"/>
  <c r="CQ5" i="2"/>
  <c r="CR5" i="2"/>
  <c r="CS5" i="2"/>
  <c r="CT5" i="2"/>
  <c r="CU5" i="2"/>
  <c r="CV5" i="2"/>
  <c r="CW5" i="2"/>
  <c r="CX5" i="2"/>
  <c r="CY5" i="2"/>
  <c r="CZ5" i="2"/>
  <c r="DA5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A6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DA9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DA10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DA11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DA15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DA16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DA17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DA19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DA20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DA27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CN37" i="2"/>
  <c r="CO37" i="2"/>
  <c r="CP37" i="2"/>
  <c r="CQ37" i="2"/>
  <c r="CR37" i="2"/>
  <c r="CS37" i="2"/>
  <c r="CT37" i="2"/>
  <c r="CU37" i="2"/>
  <c r="CV37" i="2"/>
  <c r="CW37" i="2"/>
  <c r="CX37" i="2"/>
  <c r="CY37" i="2"/>
  <c r="CZ37" i="2"/>
  <c r="DA37" i="2"/>
  <c r="CN38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CN47" i="2"/>
  <c r="CO47" i="2"/>
  <c r="CP47" i="2"/>
  <c r="CQ47" i="2"/>
  <c r="CR47" i="2"/>
  <c r="CS47" i="2"/>
  <c r="CT47" i="2"/>
  <c r="CU47" i="2"/>
  <c r="CV47" i="2"/>
  <c r="CW47" i="2"/>
  <c r="CX47" i="2"/>
  <c r="CY47" i="2"/>
  <c r="CZ47" i="2"/>
  <c r="DA47" i="2"/>
  <c r="CN48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CN57" i="2"/>
  <c r="CO57" i="2"/>
  <c r="CP57" i="2"/>
  <c r="CQ57" i="2"/>
  <c r="CR57" i="2"/>
  <c r="CS57" i="2"/>
  <c r="CT57" i="2"/>
  <c r="CU57" i="2"/>
  <c r="CV57" i="2"/>
  <c r="CW57" i="2"/>
  <c r="CX57" i="2"/>
  <c r="CY57" i="2"/>
  <c r="CZ57" i="2"/>
  <c r="DA57" i="2"/>
  <c r="CN58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CN61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CN62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CN64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CN67" i="2"/>
  <c r="CO67" i="2"/>
  <c r="CP67" i="2"/>
  <c r="CQ67" i="2"/>
  <c r="CR67" i="2"/>
  <c r="CS67" i="2"/>
  <c r="CT67" i="2"/>
  <c r="CU67" i="2"/>
  <c r="CV67" i="2"/>
  <c r="CW67" i="2"/>
  <c r="CX67" i="2"/>
  <c r="CY67" i="2"/>
  <c r="CZ67" i="2"/>
  <c r="DA67" i="2"/>
  <c r="CN68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CN69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CN70" i="2"/>
  <c r="CO70" i="2"/>
  <c r="CP70" i="2"/>
  <c r="CQ70" i="2"/>
  <c r="CR70" i="2"/>
  <c r="CS70" i="2"/>
  <c r="CT70" i="2"/>
  <c r="CU70" i="2"/>
  <c r="CV70" i="2"/>
  <c r="CW70" i="2"/>
  <c r="CX70" i="2"/>
  <c r="CY70" i="2"/>
  <c r="CZ70" i="2"/>
  <c r="DA70" i="2"/>
  <c r="CN71" i="2"/>
  <c r="CO71" i="2"/>
  <c r="CP71" i="2"/>
  <c r="CQ71" i="2"/>
  <c r="CR71" i="2"/>
  <c r="CS71" i="2"/>
  <c r="CT71" i="2"/>
  <c r="CU71" i="2"/>
  <c r="CV71" i="2"/>
  <c r="CW71" i="2"/>
  <c r="CX71" i="2"/>
  <c r="CY71" i="2"/>
  <c r="CZ71" i="2"/>
  <c r="DA71" i="2"/>
  <c r="CN72" i="2"/>
  <c r="CO72" i="2"/>
  <c r="CP72" i="2"/>
  <c r="CQ72" i="2"/>
  <c r="CR72" i="2"/>
  <c r="CS72" i="2"/>
  <c r="CT72" i="2"/>
  <c r="CU72" i="2"/>
  <c r="CV72" i="2"/>
  <c r="CW72" i="2"/>
  <c r="CX72" i="2"/>
  <c r="CY72" i="2"/>
  <c r="CZ72" i="2"/>
  <c r="DA72" i="2"/>
  <c r="CN73" i="2"/>
  <c r="CO73" i="2"/>
  <c r="CP73" i="2"/>
  <c r="CQ73" i="2"/>
  <c r="CR73" i="2"/>
  <c r="CS73" i="2"/>
  <c r="CT73" i="2"/>
  <c r="CU73" i="2"/>
  <c r="CV73" i="2"/>
  <c r="CW73" i="2"/>
  <c r="CX73" i="2"/>
  <c r="CY73" i="2"/>
  <c r="CZ73" i="2"/>
  <c r="DA73" i="2"/>
  <c r="CN74" i="2"/>
  <c r="CO74" i="2"/>
  <c r="CP74" i="2"/>
  <c r="CQ74" i="2"/>
  <c r="CR74" i="2"/>
  <c r="CS74" i="2"/>
  <c r="CT74" i="2"/>
  <c r="CU74" i="2"/>
  <c r="CV74" i="2"/>
  <c r="CW74" i="2"/>
  <c r="CX74" i="2"/>
  <c r="CY74" i="2"/>
  <c r="CZ74" i="2"/>
  <c r="DA74" i="2"/>
  <c r="CN75" i="2"/>
  <c r="CO75" i="2"/>
  <c r="CP75" i="2"/>
  <c r="CQ75" i="2"/>
  <c r="CR75" i="2"/>
  <c r="CS75" i="2"/>
  <c r="CT75" i="2"/>
  <c r="CU75" i="2"/>
  <c r="CV75" i="2"/>
  <c r="CW75" i="2"/>
  <c r="CX75" i="2"/>
  <c r="CY75" i="2"/>
  <c r="CZ75" i="2"/>
  <c r="DA75" i="2"/>
  <c r="CN76" i="2"/>
  <c r="CO76" i="2"/>
  <c r="CP76" i="2"/>
  <c r="CQ76" i="2"/>
  <c r="CR76" i="2"/>
  <c r="CS76" i="2"/>
  <c r="CT76" i="2"/>
  <c r="CU76" i="2"/>
  <c r="CV76" i="2"/>
  <c r="CW76" i="2"/>
  <c r="CX76" i="2"/>
  <c r="CY76" i="2"/>
  <c r="CZ76" i="2"/>
  <c r="DA76" i="2"/>
  <c r="CN77" i="2"/>
  <c r="CO77" i="2"/>
  <c r="CP77" i="2"/>
  <c r="CQ77" i="2"/>
  <c r="CR77" i="2"/>
  <c r="CS77" i="2"/>
  <c r="CT77" i="2"/>
  <c r="CU77" i="2"/>
  <c r="CV77" i="2"/>
  <c r="CW77" i="2"/>
  <c r="CX77" i="2"/>
  <c r="CY77" i="2"/>
  <c r="CZ77" i="2"/>
  <c r="DA77" i="2"/>
  <c r="CN78" i="2"/>
  <c r="CO78" i="2"/>
  <c r="CP78" i="2"/>
  <c r="CQ78" i="2"/>
  <c r="CR78" i="2"/>
  <c r="CS78" i="2"/>
  <c r="CT78" i="2"/>
  <c r="CU78" i="2"/>
  <c r="CV78" i="2"/>
  <c r="CW78" i="2"/>
  <c r="CX78" i="2"/>
  <c r="CY78" i="2"/>
  <c r="CZ78" i="2"/>
  <c r="DA78" i="2"/>
  <c r="CN79" i="2"/>
  <c r="CO79" i="2"/>
  <c r="CP79" i="2"/>
  <c r="CQ79" i="2"/>
  <c r="CR79" i="2"/>
  <c r="CS79" i="2"/>
  <c r="CT79" i="2"/>
  <c r="CU79" i="2"/>
  <c r="CV79" i="2"/>
  <c r="CW79" i="2"/>
  <c r="CX79" i="2"/>
  <c r="CY79" i="2"/>
  <c r="CZ79" i="2"/>
  <c r="DA79" i="2"/>
  <c r="CN80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CN81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CN82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CN83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CN84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CN85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CN86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CN87" i="2"/>
  <c r="CO87" i="2"/>
  <c r="CP87" i="2"/>
  <c r="CQ87" i="2"/>
  <c r="CR87" i="2"/>
  <c r="CS87" i="2"/>
  <c r="CT87" i="2"/>
  <c r="CU87" i="2"/>
  <c r="CV87" i="2"/>
  <c r="CW87" i="2"/>
  <c r="CX87" i="2"/>
  <c r="CY87" i="2"/>
  <c r="CZ87" i="2"/>
  <c r="DA87" i="2"/>
  <c r="CN88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CN97" i="2"/>
  <c r="CO97" i="2"/>
  <c r="CP97" i="2"/>
  <c r="CQ97" i="2"/>
  <c r="CR97" i="2"/>
  <c r="CS97" i="2"/>
  <c r="CT97" i="2"/>
  <c r="CU97" i="2"/>
  <c r="CV97" i="2"/>
  <c r="CW97" i="2"/>
  <c r="CX97" i="2"/>
  <c r="CY97" i="2"/>
  <c r="CZ97" i="2"/>
  <c r="DA97" i="2"/>
  <c r="DB109" i="2"/>
  <c r="E97" i="23" l="1"/>
  <c r="E97" i="19"/>
  <c r="E91" i="25"/>
  <c r="E89" i="23"/>
  <c r="E89" i="19"/>
  <c r="E83" i="25"/>
  <c r="E81" i="23"/>
  <c r="E81" i="19"/>
  <c r="E75" i="25"/>
  <c r="E73" i="23"/>
  <c r="E73" i="19"/>
  <c r="E67" i="25"/>
  <c r="E65" i="23"/>
  <c r="N65" i="23" s="1"/>
  <c r="E65" i="19"/>
  <c r="E59" i="25"/>
  <c r="E57" i="23"/>
  <c r="E57" i="19"/>
  <c r="E51" i="25"/>
  <c r="E49" i="23"/>
  <c r="E49" i="19"/>
  <c r="E43" i="25"/>
  <c r="E41" i="23"/>
  <c r="E41" i="19"/>
  <c r="E35" i="25"/>
  <c r="E33" i="23"/>
  <c r="E33" i="19"/>
  <c r="E27" i="25"/>
  <c r="E25" i="23"/>
  <c r="E25" i="19"/>
  <c r="E19" i="25"/>
  <c r="E17" i="23"/>
  <c r="N17" i="23" s="1"/>
  <c r="E17" i="19"/>
  <c r="E11" i="25"/>
  <c r="E9" i="23"/>
  <c r="E9" i="19"/>
  <c r="E3" i="25"/>
  <c r="E92" i="25"/>
  <c r="E90" i="23"/>
  <c r="E90" i="19"/>
  <c r="E84" i="25"/>
  <c r="E82" i="23"/>
  <c r="E82" i="19"/>
  <c r="E76" i="25"/>
  <c r="E74" i="23"/>
  <c r="N74" i="23" s="1"/>
  <c r="E74" i="19"/>
  <c r="E68" i="25"/>
  <c r="E66" i="23"/>
  <c r="E66" i="19"/>
  <c r="E60" i="25"/>
  <c r="E58" i="23"/>
  <c r="E58" i="19"/>
  <c r="E52" i="25"/>
  <c r="E50" i="23"/>
  <c r="E50" i="19"/>
  <c r="E44" i="25"/>
  <c r="E42" i="23"/>
  <c r="E42" i="19"/>
  <c r="E36" i="25"/>
  <c r="E34" i="23"/>
  <c r="E34" i="19"/>
  <c r="E28" i="25"/>
  <c r="E26" i="23"/>
  <c r="E26" i="19"/>
  <c r="E20" i="25"/>
  <c r="E18" i="23"/>
  <c r="E18" i="19"/>
  <c r="E12" i="25"/>
  <c r="E10" i="23"/>
  <c r="E10" i="19"/>
  <c r="E4" i="25"/>
  <c r="E2" i="23"/>
  <c r="E2" i="19"/>
  <c r="E93" i="25"/>
  <c r="E91" i="23"/>
  <c r="E91" i="19"/>
  <c r="E85" i="25"/>
  <c r="E83" i="23"/>
  <c r="E83" i="19"/>
  <c r="E77" i="25"/>
  <c r="E75" i="23"/>
  <c r="E75" i="19"/>
  <c r="E69" i="25"/>
  <c r="E67" i="23"/>
  <c r="E67" i="19"/>
  <c r="E61" i="25"/>
  <c r="E59" i="23"/>
  <c r="E59" i="19"/>
  <c r="E53" i="25"/>
  <c r="E51" i="23"/>
  <c r="E51" i="19"/>
  <c r="E45" i="25"/>
  <c r="E43" i="23"/>
  <c r="E43" i="19"/>
  <c r="E37" i="25"/>
  <c r="E35" i="23"/>
  <c r="E35" i="19"/>
  <c r="E29" i="25"/>
  <c r="E27" i="23"/>
  <c r="E27" i="19"/>
  <c r="E21" i="25"/>
  <c r="E19" i="23"/>
  <c r="N19" i="23" s="1"/>
  <c r="E19" i="19"/>
  <c r="E13" i="25"/>
  <c r="E11" i="23"/>
  <c r="E11" i="19"/>
  <c r="E5" i="25"/>
  <c r="E3" i="23"/>
  <c r="N3" i="23" s="1"/>
  <c r="E3" i="19"/>
  <c r="E94" i="25"/>
  <c r="E92" i="23"/>
  <c r="E92" i="19"/>
  <c r="E86" i="25"/>
  <c r="E84" i="23"/>
  <c r="E84" i="19"/>
  <c r="E78" i="25"/>
  <c r="E76" i="23"/>
  <c r="N76" i="23" s="1"/>
  <c r="E76" i="19"/>
  <c r="E70" i="25"/>
  <c r="E68" i="23"/>
  <c r="E68" i="19"/>
  <c r="E62" i="25"/>
  <c r="E60" i="23"/>
  <c r="N60" i="23" s="1"/>
  <c r="E60" i="19"/>
  <c r="E54" i="25"/>
  <c r="E52" i="23"/>
  <c r="E52" i="19"/>
  <c r="E46" i="25"/>
  <c r="E44" i="23"/>
  <c r="E44" i="19"/>
  <c r="E38" i="25"/>
  <c r="E36" i="23"/>
  <c r="E36" i="19"/>
  <c r="E30" i="25"/>
  <c r="E28" i="23"/>
  <c r="E28" i="19"/>
  <c r="E22" i="25"/>
  <c r="E20" i="23"/>
  <c r="E20" i="19"/>
  <c r="E14" i="25"/>
  <c r="E12" i="23"/>
  <c r="E12" i="19"/>
  <c r="E6" i="25"/>
  <c r="E4" i="23"/>
  <c r="E4" i="19"/>
  <c r="E95" i="25"/>
  <c r="E93" i="23"/>
  <c r="E93" i="19"/>
  <c r="E87" i="25"/>
  <c r="E85" i="23"/>
  <c r="E85" i="19"/>
  <c r="E79" i="25"/>
  <c r="E77" i="23"/>
  <c r="N77" i="23" s="1"/>
  <c r="E77" i="19"/>
  <c r="E71" i="25"/>
  <c r="E69" i="23"/>
  <c r="E69" i="19"/>
  <c r="E63" i="25"/>
  <c r="E61" i="23"/>
  <c r="E61" i="19"/>
  <c r="E55" i="25"/>
  <c r="E53" i="23"/>
  <c r="E53" i="19"/>
  <c r="E47" i="25"/>
  <c r="E45" i="23"/>
  <c r="E45" i="19"/>
  <c r="E39" i="25"/>
  <c r="E37" i="23"/>
  <c r="E37" i="19"/>
  <c r="E31" i="25"/>
  <c r="E29" i="23"/>
  <c r="E29" i="19"/>
  <c r="E23" i="25"/>
  <c r="E21" i="23"/>
  <c r="E21" i="19"/>
  <c r="E15" i="25"/>
  <c r="E13" i="23"/>
  <c r="N13" i="23" s="1"/>
  <c r="E13" i="19"/>
  <c r="E7" i="25"/>
  <c r="E5" i="23"/>
  <c r="E5" i="19"/>
  <c r="E96" i="25"/>
  <c r="E94" i="23"/>
  <c r="N94" i="23" s="1"/>
  <c r="E94" i="19"/>
  <c r="E88" i="25"/>
  <c r="E86" i="23"/>
  <c r="E86" i="19"/>
  <c r="E80" i="25"/>
  <c r="E78" i="23"/>
  <c r="N78" i="23" s="1"/>
  <c r="E78" i="19"/>
  <c r="E72" i="25"/>
  <c r="E70" i="23"/>
  <c r="E70" i="19"/>
  <c r="E64" i="25"/>
  <c r="E62" i="23"/>
  <c r="E62" i="19"/>
  <c r="E56" i="25"/>
  <c r="E54" i="23"/>
  <c r="E54" i="19"/>
  <c r="E48" i="25"/>
  <c r="E46" i="23"/>
  <c r="E46" i="19"/>
  <c r="E40" i="25"/>
  <c r="E38" i="23"/>
  <c r="E38" i="19"/>
  <c r="E32" i="25"/>
  <c r="E30" i="23"/>
  <c r="E30" i="19"/>
  <c r="E24" i="25"/>
  <c r="E22" i="23"/>
  <c r="E22" i="19"/>
  <c r="E16" i="25"/>
  <c r="E14" i="23"/>
  <c r="E14" i="19"/>
  <c r="E8" i="25"/>
  <c r="E6" i="23"/>
  <c r="E6" i="19"/>
  <c r="E97" i="25"/>
  <c r="L97" i="25" s="1"/>
  <c r="E95" i="23"/>
  <c r="E95" i="19"/>
  <c r="E89" i="25"/>
  <c r="E87" i="23"/>
  <c r="E87" i="19"/>
  <c r="E81" i="25"/>
  <c r="L81" i="25" s="1"/>
  <c r="E79" i="23"/>
  <c r="E79" i="19"/>
  <c r="E73" i="25"/>
  <c r="L73" i="25" s="1"/>
  <c r="E71" i="23"/>
  <c r="E71" i="19"/>
  <c r="E65" i="25"/>
  <c r="E63" i="23"/>
  <c r="N63" i="23" s="1"/>
  <c r="E63" i="19"/>
  <c r="E57" i="25"/>
  <c r="E55" i="23"/>
  <c r="E55" i="19"/>
  <c r="E49" i="25"/>
  <c r="E47" i="23"/>
  <c r="E47" i="19"/>
  <c r="E41" i="25"/>
  <c r="E39" i="23"/>
  <c r="E39" i="19"/>
  <c r="E33" i="25"/>
  <c r="E31" i="23"/>
  <c r="E31" i="19"/>
  <c r="E25" i="25"/>
  <c r="L25" i="25" s="1"/>
  <c r="E23" i="23"/>
  <c r="E23" i="19"/>
  <c r="E17" i="25"/>
  <c r="E15" i="23"/>
  <c r="E15" i="19"/>
  <c r="E9" i="25"/>
  <c r="E7" i="23"/>
  <c r="E7" i="19"/>
  <c r="E96" i="23"/>
  <c r="E96" i="19"/>
  <c r="E90" i="25"/>
  <c r="L90" i="25" s="1"/>
  <c r="E88" i="23"/>
  <c r="N88" i="23" s="1"/>
  <c r="E88" i="19"/>
  <c r="E82" i="25"/>
  <c r="L82" i="25" s="1"/>
  <c r="E80" i="23"/>
  <c r="E80" i="19"/>
  <c r="E74" i="25"/>
  <c r="L74" i="25" s="1"/>
  <c r="E72" i="23"/>
  <c r="E72" i="19"/>
  <c r="E66" i="25"/>
  <c r="E64" i="23"/>
  <c r="E64" i="19"/>
  <c r="E58" i="25"/>
  <c r="E56" i="23"/>
  <c r="E56" i="19"/>
  <c r="E50" i="25"/>
  <c r="E48" i="23"/>
  <c r="E48" i="19"/>
  <c r="E42" i="25"/>
  <c r="E40" i="23"/>
  <c r="N40" i="23" s="1"/>
  <c r="E40" i="19"/>
  <c r="E34" i="25"/>
  <c r="L34" i="25" s="1"/>
  <c r="E32" i="23"/>
  <c r="E32" i="19"/>
  <c r="E26" i="25"/>
  <c r="L26" i="25" s="1"/>
  <c r="E24" i="23"/>
  <c r="E24" i="19"/>
  <c r="E18" i="25"/>
  <c r="E16" i="23"/>
  <c r="E16" i="19"/>
  <c r="E10" i="25"/>
  <c r="L10" i="25" s="1"/>
  <c r="E8" i="23"/>
  <c r="E8" i="19"/>
  <c r="E2" i="25"/>
  <c r="AC17" i="6"/>
  <c r="AC18" i="6" s="1"/>
  <c r="E97" i="17"/>
  <c r="N97" i="17" s="1"/>
  <c r="M97" i="19"/>
  <c r="E97" i="18"/>
  <c r="L97" i="18" s="1"/>
  <c r="N97" i="23"/>
  <c r="E97" i="24"/>
  <c r="M97" i="24" s="1"/>
  <c r="E97" i="20"/>
  <c r="M97" i="20" s="1"/>
  <c r="E1" i="24"/>
  <c r="M1" i="24" s="1"/>
  <c r="M1" i="19"/>
  <c r="L1" i="36"/>
  <c r="E1" i="31"/>
  <c r="M1" i="31" s="1"/>
  <c r="L1" i="25"/>
  <c r="N1" i="23"/>
  <c r="E1" i="18"/>
  <c r="L1" i="18" s="1"/>
  <c r="E1" i="28"/>
  <c r="N1" i="28" s="1"/>
  <c r="N1" i="34"/>
  <c r="M1" i="29"/>
  <c r="E1" i="35"/>
  <c r="M1" i="35" s="1"/>
  <c r="E1" i="30"/>
  <c r="L1" i="30" s="1"/>
  <c r="E1" i="20"/>
  <c r="M1" i="20" s="1"/>
  <c r="E1" i="17"/>
  <c r="N1" i="17" s="1"/>
  <c r="F94" i="20"/>
  <c r="N94" i="20" s="1"/>
  <c r="F94" i="24"/>
  <c r="N94" i="24" s="1"/>
  <c r="F94" i="25"/>
  <c r="M94" i="25" s="1"/>
  <c r="F93" i="18"/>
  <c r="M93" i="18" s="1"/>
  <c r="F93" i="23"/>
  <c r="O93" i="23" s="1"/>
  <c r="F93" i="19"/>
  <c r="N93" i="19" s="1"/>
  <c r="F92" i="17"/>
  <c r="O92" i="17" s="1"/>
  <c r="F86" i="24"/>
  <c r="N86" i="24" s="1"/>
  <c r="F86" i="25"/>
  <c r="M86" i="25" s="1"/>
  <c r="F86" i="20"/>
  <c r="N86" i="20" s="1"/>
  <c r="F85" i="19"/>
  <c r="N85" i="19" s="1"/>
  <c r="F85" i="18"/>
  <c r="M85" i="18" s="1"/>
  <c r="F85" i="23"/>
  <c r="O85" i="23" s="1"/>
  <c r="F84" i="17"/>
  <c r="O84" i="17" s="1"/>
  <c r="F78" i="20"/>
  <c r="N78" i="20" s="1"/>
  <c r="F78" i="24"/>
  <c r="N78" i="24" s="1"/>
  <c r="F78" i="25"/>
  <c r="M78" i="25" s="1"/>
  <c r="F77" i="18"/>
  <c r="M77" i="18" s="1"/>
  <c r="F77" i="23"/>
  <c r="O77" i="23" s="1"/>
  <c r="F77" i="19"/>
  <c r="N77" i="19" s="1"/>
  <c r="F76" i="17"/>
  <c r="O76" i="17" s="1"/>
  <c r="F70" i="24"/>
  <c r="N70" i="24" s="1"/>
  <c r="F70" i="25"/>
  <c r="M70" i="25" s="1"/>
  <c r="F70" i="20"/>
  <c r="N70" i="20" s="1"/>
  <c r="F69" i="19"/>
  <c r="N69" i="19" s="1"/>
  <c r="F69" i="18"/>
  <c r="M69" i="18" s="1"/>
  <c r="F69" i="23"/>
  <c r="O69" i="23" s="1"/>
  <c r="F68" i="17"/>
  <c r="O68" i="17" s="1"/>
  <c r="F62" i="20"/>
  <c r="N62" i="20" s="1"/>
  <c r="F62" i="24"/>
  <c r="N62" i="24" s="1"/>
  <c r="F62" i="25"/>
  <c r="M62" i="25" s="1"/>
  <c r="F61" i="18"/>
  <c r="M61" i="18" s="1"/>
  <c r="F61" i="23"/>
  <c r="O61" i="23" s="1"/>
  <c r="F61" i="19"/>
  <c r="N61" i="19" s="1"/>
  <c r="F60" i="17"/>
  <c r="O60" i="17" s="1"/>
  <c r="F54" i="24"/>
  <c r="N54" i="24" s="1"/>
  <c r="F54" i="25"/>
  <c r="M54" i="25" s="1"/>
  <c r="F54" i="20"/>
  <c r="N54" i="20" s="1"/>
  <c r="F53" i="19"/>
  <c r="N53" i="19" s="1"/>
  <c r="F53" i="18"/>
  <c r="M53" i="18" s="1"/>
  <c r="F53" i="23"/>
  <c r="O53" i="23" s="1"/>
  <c r="F52" i="17"/>
  <c r="O52" i="17" s="1"/>
  <c r="F46" i="20"/>
  <c r="N46" i="20" s="1"/>
  <c r="F46" i="24"/>
  <c r="N46" i="24" s="1"/>
  <c r="F46" i="25"/>
  <c r="M46" i="25" s="1"/>
  <c r="F45" i="18"/>
  <c r="M45" i="18" s="1"/>
  <c r="F45" i="23"/>
  <c r="O45" i="23" s="1"/>
  <c r="F45" i="19"/>
  <c r="N45" i="19" s="1"/>
  <c r="F44" i="17"/>
  <c r="O44" i="17" s="1"/>
  <c r="F38" i="24"/>
  <c r="N38" i="24" s="1"/>
  <c r="F38" i="25"/>
  <c r="M38" i="25" s="1"/>
  <c r="F38" i="20"/>
  <c r="N38" i="20" s="1"/>
  <c r="F37" i="19"/>
  <c r="N37" i="19" s="1"/>
  <c r="F37" i="18"/>
  <c r="M37" i="18" s="1"/>
  <c r="F37" i="23"/>
  <c r="O37" i="23" s="1"/>
  <c r="F36" i="17"/>
  <c r="O36" i="17" s="1"/>
  <c r="F30" i="20"/>
  <c r="N30" i="20" s="1"/>
  <c r="F30" i="24"/>
  <c r="N30" i="24" s="1"/>
  <c r="F30" i="25"/>
  <c r="M30" i="25" s="1"/>
  <c r="F29" i="18"/>
  <c r="M29" i="18" s="1"/>
  <c r="F29" i="23"/>
  <c r="O29" i="23" s="1"/>
  <c r="F29" i="19"/>
  <c r="N29" i="19" s="1"/>
  <c r="F28" i="17"/>
  <c r="O28" i="17" s="1"/>
  <c r="F22" i="24"/>
  <c r="N22" i="24" s="1"/>
  <c r="F22" i="25"/>
  <c r="M22" i="25" s="1"/>
  <c r="F22" i="20"/>
  <c r="N22" i="20" s="1"/>
  <c r="F21" i="19"/>
  <c r="N21" i="19" s="1"/>
  <c r="F21" i="18"/>
  <c r="M21" i="18" s="1"/>
  <c r="F21" i="23"/>
  <c r="O21" i="23" s="1"/>
  <c r="F20" i="17"/>
  <c r="O20" i="17" s="1"/>
  <c r="F14" i="20"/>
  <c r="N14" i="20" s="1"/>
  <c r="F14" i="24"/>
  <c r="N14" i="24" s="1"/>
  <c r="F14" i="25"/>
  <c r="M14" i="25" s="1"/>
  <c r="F13" i="18"/>
  <c r="M13" i="18" s="1"/>
  <c r="F13" i="23"/>
  <c r="O13" i="23" s="1"/>
  <c r="F13" i="19"/>
  <c r="N13" i="19" s="1"/>
  <c r="F12" i="17"/>
  <c r="O12" i="17" s="1"/>
  <c r="F6" i="24"/>
  <c r="N6" i="24" s="1"/>
  <c r="F6" i="25"/>
  <c r="M6" i="25" s="1"/>
  <c r="F6" i="20"/>
  <c r="N6" i="20" s="1"/>
  <c r="F5" i="19"/>
  <c r="N5" i="19" s="1"/>
  <c r="F5" i="18"/>
  <c r="M5" i="18" s="1"/>
  <c r="F5" i="23"/>
  <c r="O5" i="23" s="1"/>
  <c r="F4" i="17"/>
  <c r="O4" i="17" s="1"/>
  <c r="F81" i="18"/>
  <c r="M81" i="18" s="1"/>
  <c r="F81" i="23"/>
  <c r="O81" i="23" s="1"/>
  <c r="F81" i="19"/>
  <c r="N81" i="19" s="1"/>
  <c r="E81" i="17"/>
  <c r="N81" i="17" s="1"/>
  <c r="E81" i="20"/>
  <c r="M81" i="20" s="1"/>
  <c r="M81" i="19"/>
  <c r="E81" i="18"/>
  <c r="L81" i="18" s="1"/>
  <c r="N81" i="23"/>
  <c r="E81" i="24"/>
  <c r="M81" i="24" s="1"/>
  <c r="E73" i="24"/>
  <c r="M73" i="24" s="1"/>
  <c r="E73" i="17"/>
  <c r="N73" i="17" s="1"/>
  <c r="M73" i="19"/>
  <c r="E73" i="18"/>
  <c r="L73" i="18" s="1"/>
  <c r="N73" i="23"/>
  <c r="E73" i="20"/>
  <c r="M73" i="20" s="1"/>
  <c r="F1" i="36"/>
  <c r="M1" i="36" s="1"/>
  <c r="F1" i="31"/>
  <c r="N1" i="31" s="1"/>
  <c r="F1" i="25"/>
  <c r="M1" i="25" s="1"/>
  <c r="F1" i="35"/>
  <c r="N1" i="35" s="1"/>
  <c r="F1" i="20"/>
  <c r="N1" i="20" s="1"/>
  <c r="F1" i="24"/>
  <c r="N1" i="24" s="1"/>
  <c r="E90" i="18"/>
  <c r="L90" i="18" s="1"/>
  <c r="E90" i="20"/>
  <c r="M90" i="20" s="1"/>
  <c r="E90" i="17"/>
  <c r="N90" i="17" s="1"/>
  <c r="N90" i="23"/>
  <c r="E90" i="24"/>
  <c r="M90" i="24" s="1"/>
  <c r="M90" i="19"/>
  <c r="N82" i="23"/>
  <c r="E82" i="18"/>
  <c r="L82" i="18" s="1"/>
  <c r="E82" i="24"/>
  <c r="M82" i="24" s="1"/>
  <c r="E82" i="17"/>
  <c r="N82" i="17" s="1"/>
  <c r="E82" i="20"/>
  <c r="M82" i="20" s="1"/>
  <c r="M82" i="19"/>
  <c r="E74" i="18"/>
  <c r="L74" i="18" s="1"/>
  <c r="E74" i="17"/>
  <c r="N74" i="17" s="1"/>
  <c r="E74" i="20"/>
  <c r="M74" i="20" s="1"/>
  <c r="E74" i="24"/>
  <c r="M74" i="24" s="1"/>
  <c r="M74" i="19"/>
  <c r="N66" i="23"/>
  <c r="E66" i="18"/>
  <c r="L66" i="18" s="1"/>
  <c r="E66" i="20"/>
  <c r="M66" i="20" s="1"/>
  <c r="E66" i="24"/>
  <c r="M66" i="24" s="1"/>
  <c r="E66" i="17"/>
  <c r="N66" i="17" s="1"/>
  <c r="L66" i="25"/>
  <c r="M66" i="19"/>
  <c r="L58" i="25"/>
  <c r="E58" i="18"/>
  <c r="L58" i="18" s="1"/>
  <c r="E58" i="17"/>
  <c r="N58" i="17" s="1"/>
  <c r="N58" i="23"/>
  <c r="E58" i="24"/>
  <c r="M58" i="24" s="1"/>
  <c r="M58" i="19"/>
  <c r="E58" i="20"/>
  <c r="M58" i="20" s="1"/>
  <c r="N50" i="23"/>
  <c r="E50" i="18"/>
  <c r="L50" i="18" s="1"/>
  <c r="E50" i="24"/>
  <c r="M50" i="24" s="1"/>
  <c r="E50" i="20"/>
  <c r="M50" i="20" s="1"/>
  <c r="E50" i="17"/>
  <c r="N50" i="17" s="1"/>
  <c r="L50" i="25"/>
  <c r="M50" i="19"/>
  <c r="L42" i="25"/>
  <c r="E42" i="18"/>
  <c r="L42" i="18" s="1"/>
  <c r="E42" i="20"/>
  <c r="M42" i="20" s="1"/>
  <c r="E42" i="17"/>
  <c r="N42" i="17" s="1"/>
  <c r="N42" i="23"/>
  <c r="E42" i="24"/>
  <c r="M42" i="24" s="1"/>
  <c r="M42" i="19"/>
  <c r="N34" i="23"/>
  <c r="E34" i="18"/>
  <c r="L34" i="18" s="1"/>
  <c r="E34" i="24"/>
  <c r="M34" i="24" s="1"/>
  <c r="E34" i="17"/>
  <c r="N34" i="17" s="1"/>
  <c r="E34" i="20"/>
  <c r="M34" i="20" s="1"/>
  <c r="M34" i="19"/>
  <c r="E26" i="20"/>
  <c r="M26" i="20" s="1"/>
  <c r="E26" i="18"/>
  <c r="L26" i="18" s="1"/>
  <c r="E26" i="17"/>
  <c r="N26" i="17" s="1"/>
  <c r="N26" i="23"/>
  <c r="E26" i="24"/>
  <c r="M26" i="24" s="1"/>
  <c r="M26" i="19"/>
  <c r="N18" i="23"/>
  <c r="E18" i="18"/>
  <c r="L18" i="18" s="1"/>
  <c r="E18" i="24"/>
  <c r="M18" i="24" s="1"/>
  <c r="E18" i="17"/>
  <c r="N18" i="17" s="1"/>
  <c r="L18" i="25"/>
  <c r="E18" i="20"/>
  <c r="M18" i="20" s="1"/>
  <c r="M18" i="19"/>
  <c r="E10" i="18"/>
  <c r="L10" i="18" s="1"/>
  <c r="E10" i="17"/>
  <c r="N10" i="17" s="1"/>
  <c r="N10" i="23"/>
  <c r="E10" i="24"/>
  <c r="M10" i="24" s="1"/>
  <c r="E10" i="20"/>
  <c r="M10" i="20" s="1"/>
  <c r="M10" i="19"/>
  <c r="N2" i="23"/>
  <c r="E2" i="18"/>
  <c r="L2" i="18" s="1"/>
  <c r="E2" i="24"/>
  <c r="M2" i="24" s="1"/>
  <c r="E2" i="20"/>
  <c r="M2" i="20" s="1"/>
  <c r="E2" i="17"/>
  <c r="N2" i="17" s="1"/>
  <c r="L2" i="25"/>
  <c r="M2" i="19"/>
  <c r="F97" i="18"/>
  <c r="M97" i="18" s="1"/>
  <c r="F97" i="23"/>
  <c r="O97" i="23" s="1"/>
  <c r="F97" i="19"/>
  <c r="N97" i="19" s="1"/>
  <c r="E57" i="24"/>
  <c r="M57" i="24" s="1"/>
  <c r="E57" i="20"/>
  <c r="M57" i="20" s="1"/>
  <c r="E57" i="17"/>
  <c r="N57" i="17" s="1"/>
  <c r="M57" i="19"/>
  <c r="L57" i="25"/>
  <c r="E57" i="18"/>
  <c r="L57" i="18" s="1"/>
  <c r="N57" i="23"/>
  <c r="E49" i="17"/>
  <c r="N49" i="17" s="1"/>
  <c r="M49" i="19"/>
  <c r="E49" i="18"/>
  <c r="L49" i="18" s="1"/>
  <c r="N49" i="23"/>
  <c r="E49" i="24"/>
  <c r="M49" i="24" s="1"/>
  <c r="E49" i="20"/>
  <c r="M49" i="20" s="1"/>
  <c r="L49" i="25"/>
  <c r="E25" i="24"/>
  <c r="M25" i="24" s="1"/>
  <c r="E25" i="17"/>
  <c r="N25" i="17" s="1"/>
  <c r="M25" i="19"/>
  <c r="E25" i="20"/>
  <c r="M25" i="20" s="1"/>
  <c r="E25" i="18"/>
  <c r="L25" i="18" s="1"/>
  <c r="N25" i="23"/>
  <c r="F95" i="20"/>
  <c r="N95" i="20" s="1"/>
  <c r="F95" i="25"/>
  <c r="M95" i="25" s="1"/>
  <c r="F95" i="24"/>
  <c r="N95" i="24" s="1"/>
  <c r="F94" i="18"/>
  <c r="M94" i="18" s="1"/>
  <c r="F94" i="23"/>
  <c r="O94" i="23" s="1"/>
  <c r="F94" i="19"/>
  <c r="N94" i="19" s="1"/>
  <c r="F93" i="17"/>
  <c r="O93" i="17" s="1"/>
  <c r="F87" i="25"/>
  <c r="M87" i="25" s="1"/>
  <c r="F87" i="24"/>
  <c r="N87" i="24" s="1"/>
  <c r="F87" i="20"/>
  <c r="N87" i="20" s="1"/>
  <c r="F86" i="19"/>
  <c r="N86" i="19" s="1"/>
  <c r="F86" i="18"/>
  <c r="M86" i="18" s="1"/>
  <c r="F86" i="23"/>
  <c r="O86" i="23" s="1"/>
  <c r="F85" i="17"/>
  <c r="O85" i="17" s="1"/>
  <c r="F79" i="20"/>
  <c r="N79" i="20" s="1"/>
  <c r="F79" i="25"/>
  <c r="M79" i="25" s="1"/>
  <c r="F79" i="24"/>
  <c r="N79" i="24" s="1"/>
  <c r="F78" i="18"/>
  <c r="M78" i="18" s="1"/>
  <c r="F78" i="23"/>
  <c r="O78" i="23" s="1"/>
  <c r="F78" i="19"/>
  <c r="N78" i="19" s="1"/>
  <c r="F77" i="17"/>
  <c r="O77" i="17" s="1"/>
  <c r="F71" i="24"/>
  <c r="N71" i="24" s="1"/>
  <c r="F71" i="20"/>
  <c r="N71" i="20" s="1"/>
  <c r="F71" i="25"/>
  <c r="M71" i="25" s="1"/>
  <c r="F70" i="19"/>
  <c r="N70" i="19" s="1"/>
  <c r="F70" i="18"/>
  <c r="M70" i="18" s="1"/>
  <c r="F70" i="23"/>
  <c r="O70" i="23" s="1"/>
  <c r="F69" i="17"/>
  <c r="O69" i="17" s="1"/>
  <c r="F63" i="20"/>
  <c r="N63" i="20" s="1"/>
  <c r="F63" i="25"/>
  <c r="M63" i="25" s="1"/>
  <c r="F63" i="24"/>
  <c r="N63" i="24" s="1"/>
  <c r="F62" i="18"/>
  <c r="M62" i="18" s="1"/>
  <c r="F62" i="23"/>
  <c r="O62" i="23" s="1"/>
  <c r="F62" i="19"/>
  <c r="N62" i="19" s="1"/>
  <c r="F61" i="17"/>
  <c r="O61" i="17" s="1"/>
  <c r="F55" i="24"/>
  <c r="N55" i="24" s="1"/>
  <c r="F55" i="20"/>
  <c r="N55" i="20" s="1"/>
  <c r="F55" i="25"/>
  <c r="M55" i="25" s="1"/>
  <c r="F54" i="19"/>
  <c r="N54" i="19" s="1"/>
  <c r="F54" i="18"/>
  <c r="M54" i="18" s="1"/>
  <c r="F54" i="23"/>
  <c r="O54" i="23" s="1"/>
  <c r="F53" i="17"/>
  <c r="O53" i="17" s="1"/>
  <c r="F47" i="20"/>
  <c r="N47" i="20" s="1"/>
  <c r="F47" i="25"/>
  <c r="M47" i="25" s="1"/>
  <c r="F47" i="24"/>
  <c r="N47" i="24" s="1"/>
  <c r="F46" i="18"/>
  <c r="M46" i="18" s="1"/>
  <c r="F46" i="23"/>
  <c r="O46" i="23" s="1"/>
  <c r="F46" i="19"/>
  <c r="N46" i="19" s="1"/>
  <c r="F45" i="17"/>
  <c r="O45" i="17" s="1"/>
  <c r="F39" i="24"/>
  <c r="N39" i="24" s="1"/>
  <c r="F39" i="20"/>
  <c r="N39" i="20" s="1"/>
  <c r="F39" i="25"/>
  <c r="M39" i="25" s="1"/>
  <c r="F38" i="19"/>
  <c r="N38" i="19" s="1"/>
  <c r="F38" i="18"/>
  <c r="M38" i="18" s="1"/>
  <c r="F38" i="23"/>
  <c r="O38" i="23" s="1"/>
  <c r="F37" i="17"/>
  <c r="O37" i="17" s="1"/>
  <c r="F31" i="20"/>
  <c r="N31" i="20" s="1"/>
  <c r="F31" i="25"/>
  <c r="M31" i="25" s="1"/>
  <c r="F31" i="24"/>
  <c r="N31" i="24" s="1"/>
  <c r="F30" i="18"/>
  <c r="M30" i="18" s="1"/>
  <c r="F30" i="23"/>
  <c r="O30" i="23" s="1"/>
  <c r="F30" i="19"/>
  <c r="N30" i="19" s="1"/>
  <c r="F29" i="17"/>
  <c r="O29" i="17" s="1"/>
  <c r="F23" i="24"/>
  <c r="N23" i="24" s="1"/>
  <c r="F23" i="20"/>
  <c r="N23" i="20" s="1"/>
  <c r="F23" i="25"/>
  <c r="M23" i="25" s="1"/>
  <c r="F22" i="19"/>
  <c r="N22" i="19" s="1"/>
  <c r="F22" i="18"/>
  <c r="M22" i="18" s="1"/>
  <c r="F22" i="23"/>
  <c r="O22" i="23" s="1"/>
  <c r="F21" i="17"/>
  <c r="O21" i="17" s="1"/>
  <c r="F15" i="20"/>
  <c r="N15" i="20" s="1"/>
  <c r="F15" i="25"/>
  <c r="M15" i="25" s="1"/>
  <c r="F15" i="24"/>
  <c r="N15" i="24" s="1"/>
  <c r="F14" i="18"/>
  <c r="M14" i="18" s="1"/>
  <c r="F14" i="23"/>
  <c r="O14" i="23" s="1"/>
  <c r="F14" i="19"/>
  <c r="N14" i="19" s="1"/>
  <c r="F13" i="17"/>
  <c r="O13" i="17" s="1"/>
  <c r="F7" i="24"/>
  <c r="N7" i="24" s="1"/>
  <c r="F7" i="20"/>
  <c r="N7" i="20" s="1"/>
  <c r="F7" i="25"/>
  <c r="M7" i="25" s="1"/>
  <c r="F6" i="19"/>
  <c r="N6" i="19" s="1"/>
  <c r="F6" i="18"/>
  <c r="M6" i="18" s="1"/>
  <c r="F6" i="23"/>
  <c r="O6" i="23" s="1"/>
  <c r="F5" i="17"/>
  <c r="O5" i="17" s="1"/>
  <c r="F89" i="18"/>
  <c r="M89" i="18" s="1"/>
  <c r="F89" i="23"/>
  <c r="O89" i="23" s="1"/>
  <c r="F89" i="19"/>
  <c r="N89" i="19" s="1"/>
  <c r="F1" i="19"/>
  <c r="N1" i="19" s="1"/>
  <c r="F1" i="34"/>
  <c r="O1" i="34" s="1"/>
  <c r="F1" i="29"/>
  <c r="N1" i="29" s="1"/>
  <c r="F1" i="30"/>
  <c r="M1" i="30" s="1"/>
  <c r="F1" i="18"/>
  <c r="M1" i="18" s="1"/>
  <c r="F1" i="23"/>
  <c r="O1" i="23" s="1"/>
  <c r="E91" i="20"/>
  <c r="M91" i="20" s="1"/>
  <c r="N91" i="23"/>
  <c r="E91" i="24"/>
  <c r="M91" i="24" s="1"/>
  <c r="E91" i="17"/>
  <c r="N91" i="17" s="1"/>
  <c r="M91" i="19"/>
  <c r="L91" i="25"/>
  <c r="E91" i="18"/>
  <c r="L91" i="18" s="1"/>
  <c r="E83" i="24"/>
  <c r="M83" i="24" s="1"/>
  <c r="L83" i="25"/>
  <c r="E83" i="20"/>
  <c r="M83" i="20" s="1"/>
  <c r="E83" i="17"/>
  <c r="N83" i="17" s="1"/>
  <c r="M83" i="19"/>
  <c r="N83" i="23"/>
  <c r="E83" i="18"/>
  <c r="L83" i="18" s="1"/>
  <c r="N75" i="23"/>
  <c r="E75" i="20"/>
  <c r="M75" i="20" s="1"/>
  <c r="E75" i="24"/>
  <c r="M75" i="24" s="1"/>
  <c r="E75" i="17"/>
  <c r="N75" i="17" s="1"/>
  <c r="M75" i="19"/>
  <c r="L75" i="25"/>
  <c r="E75" i="18"/>
  <c r="L75" i="18" s="1"/>
  <c r="L67" i="25"/>
  <c r="M67" i="19"/>
  <c r="E67" i="17"/>
  <c r="N67" i="17" s="1"/>
  <c r="N67" i="23"/>
  <c r="E67" i="20"/>
  <c r="M67" i="20" s="1"/>
  <c r="E67" i="18"/>
  <c r="L67" i="18" s="1"/>
  <c r="E67" i="24"/>
  <c r="M67" i="24" s="1"/>
  <c r="N59" i="23"/>
  <c r="E59" i="24"/>
  <c r="M59" i="24" s="1"/>
  <c r="M59" i="19"/>
  <c r="E59" i="17"/>
  <c r="N59" i="17" s="1"/>
  <c r="E59" i="20"/>
  <c r="M59" i="20" s="1"/>
  <c r="L59" i="25"/>
  <c r="E59" i="18"/>
  <c r="L59" i="18" s="1"/>
  <c r="E51" i="20"/>
  <c r="M51" i="20" s="1"/>
  <c r="L51" i="25"/>
  <c r="M51" i="19"/>
  <c r="E51" i="17"/>
  <c r="N51" i="17" s="1"/>
  <c r="N51" i="23"/>
  <c r="E51" i="18"/>
  <c r="L51" i="18" s="1"/>
  <c r="E51" i="24"/>
  <c r="M51" i="24" s="1"/>
  <c r="E43" i="20"/>
  <c r="M43" i="20" s="1"/>
  <c r="N43" i="23"/>
  <c r="E43" i="24"/>
  <c r="M43" i="24" s="1"/>
  <c r="M43" i="19"/>
  <c r="E43" i="17"/>
  <c r="N43" i="17" s="1"/>
  <c r="L43" i="25"/>
  <c r="E43" i="18"/>
  <c r="L43" i="18" s="1"/>
  <c r="L35" i="25"/>
  <c r="E35" i="20"/>
  <c r="M35" i="20" s="1"/>
  <c r="M35" i="19"/>
  <c r="E35" i="17"/>
  <c r="N35" i="17" s="1"/>
  <c r="N35" i="23"/>
  <c r="E35" i="18"/>
  <c r="L35" i="18" s="1"/>
  <c r="E35" i="24"/>
  <c r="M35" i="24" s="1"/>
  <c r="N27" i="23"/>
  <c r="E27" i="24"/>
  <c r="M27" i="24" s="1"/>
  <c r="M27" i="19"/>
  <c r="E27" i="17"/>
  <c r="N27" i="17" s="1"/>
  <c r="E27" i="20"/>
  <c r="M27" i="20" s="1"/>
  <c r="L27" i="25"/>
  <c r="E27" i="18"/>
  <c r="L27" i="18" s="1"/>
  <c r="L19" i="25"/>
  <c r="E19" i="20"/>
  <c r="M19" i="20" s="1"/>
  <c r="M19" i="19"/>
  <c r="E19" i="17"/>
  <c r="N19" i="17" s="1"/>
  <c r="E19" i="18"/>
  <c r="L19" i="18" s="1"/>
  <c r="E19" i="24"/>
  <c r="M19" i="24" s="1"/>
  <c r="N11" i="23"/>
  <c r="E11" i="20"/>
  <c r="M11" i="20" s="1"/>
  <c r="E11" i="24"/>
  <c r="M11" i="24" s="1"/>
  <c r="M11" i="19"/>
  <c r="E11" i="17"/>
  <c r="N11" i="17" s="1"/>
  <c r="L11" i="25"/>
  <c r="E11" i="18"/>
  <c r="L11" i="18" s="1"/>
  <c r="E3" i="20"/>
  <c r="M3" i="20" s="1"/>
  <c r="L3" i="25"/>
  <c r="M3" i="19"/>
  <c r="E3" i="17"/>
  <c r="N3" i="17" s="1"/>
  <c r="E3" i="18"/>
  <c r="L3" i="18" s="1"/>
  <c r="E3" i="24"/>
  <c r="M3" i="24" s="1"/>
  <c r="F80" i="17"/>
  <c r="O80" i="17" s="1"/>
  <c r="N89" i="23"/>
  <c r="E89" i="24"/>
  <c r="M89" i="24" s="1"/>
  <c r="E89" i="17"/>
  <c r="N89" i="17" s="1"/>
  <c r="M89" i="19"/>
  <c r="L89" i="25"/>
  <c r="E89" i="18"/>
  <c r="L89" i="18" s="1"/>
  <c r="E89" i="20"/>
  <c r="M89" i="20" s="1"/>
  <c r="F96" i="25"/>
  <c r="M96" i="25" s="1"/>
  <c r="F96" i="20"/>
  <c r="N96" i="20" s="1"/>
  <c r="F96" i="24"/>
  <c r="N96" i="24" s="1"/>
  <c r="F95" i="18"/>
  <c r="M95" i="18" s="1"/>
  <c r="F95" i="23"/>
  <c r="O95" i="23" s="1"/>
  <c r="F95" i="19"/>
  <c r="N95" i="19" s="1"/>
  <c r="F94" i="17"/>
  <c r="O94" i="17" s="1"/>
  <c r="F88" i="24"/>
  <c r="N88" i="24" s="1"/>
  <c r="F88" i="25"/>
  <c r="M88" i="25" s="1"/>
  <c r="F88" i="20"/>
  <c r="N88" i="20" s="1"/>
  <c r="F87" i="19"/>
  <c r="N87" i="19" s="1"/>
  <c r="F87" i="18"/>
  <c r="M87" i="18" s="1"/>
  <c r="F87" i="23"/>
  <c r="O87" i="23" s="1"/>
  <c r="F86" i="17"/>
  <c r="O86" i="17" s="1"/>
  <c r="F80" i="25"/>
  <c r="M80" i="25" s="1"/>
  <c r="F80" i="20"/>
  <c r="N80" i="20" s="1"/>
  <c r="F80" i="24"/>
  <c r="N80" i="24" s="1"/>
  <c r="F79" i="18"/>
  <c r="M79" i="18" s="1"/>
  <c r="F79" i="23"/>
  <c r="O79" i="23" s="1"/>
  <c r="F79" i="19"/>
  <c r="N79" i="19" s="1"/>
  <c r="F78" i="17"/>
  <c r="O78" i="17" s="1"/>
  <c r="F72" i="24"/>
  <c r="N72" i="24" s="1"/>
  <c r="F72" i="25"/>
  <c r="M72" i="25" s="1"/>
  <c r="F72" i="20"/>
  <c r="N72" i="20" s="1"/>
  <c r="F71" i="19"/>
  <c r="N71" i="19" s="1"/>
  <c r="F71" i="18"/>
  <c r="M71" i="18" s="1"/>
  <c r="F71" i="23"/>
  <c r="O71" i="23" s="1"/>
  <c r="F70" i="17"/>
  <c r="O70" i="17" s="1"/>
  <c r="F64" i="25"/>
  <c r="M64" i="25" s="1"/>
  <c r="F64" i="20"/>
  <c r="N64" i="20" s="1"/>
  <c r="F64" i="24"/>
  <c r="N64" i="24" s="1"/>
  <c r="F63" i="18"/>
  <c r="M63" i="18" s="1"/>
  <c r="F63" i="23"/>
  <c r="O63" i="23" s="1"/>
  <c r="F63" i="19"/>
  <c r="N63" i="19" s="1"/>
  <c r="F62" i="17"/>
  <c r="O62" i="17" s="1"/>
  <c r="F56" i="24"/>
  <c r="N56" i="24" s="1"/>
  <c r="F56" i="25"/>
  <c r="M56" i="25" s="1"/>
  <c r="F56" i="20"/>
  <c r="N56" i="20" s="1"/>
  <c r="F55" i="19"/>
  <c r="N55" i="19" s="1"/>
  <c r="F55" i="18"/>
  <c r="M55" i="18" s="1"/>
  <c r="F55" i="23"/>
  <c r="O55" i="23" s="1"/>
  <c r="F54" i="17"/>
  <c r="O54" i="17" s="1"/>
  <c r="F48" i="25"/>
  <c r="M48" i="25" s="1"/>
  <c r="F48" i="20"/>
  <c r="N48" i="20" s="1"/>
  <c r="F48" i="24"/>
  <c r="N48" i="24" s="1"/>
  <c r="F47" i="18"/>
  <c r="M47" i="18" s="1"/>
  <c r="F47" i="23"/>
  <c r="O47" i="23" s="1"/>
  <c r="F47" i="19"/>
  <c r="N47" i="19" s="1"/>
  <c r="F46" i="17"/>
  <c r="O46" i="17" s="1"/>
  <c r="F40" i="24"/>
  <c r="N40" i="24" s="1"/>
  <c r="F40" i="25"/>
  <c r="M40" i="25" s="1"/>
  <c r="F40" i="20"/>
  <c r="N40" i="20" s="1"/>
  <c r="F39" i="19"/>
  <c r="N39" i="19" s="1"/>
  <c r="F39" i="18"/>
  <c r="M39" i="18" s="1"/>
  <c r="F39" i="23"/>
  <c r="O39" i="23" s="1"/>
  <c r="F38" i="17"/>
  <c r="O38" i="17" s="1"/>
  <c r="F32" i="25"/>
  <c r="M32" i="25" s="1"/>
  <c r="F32" i="20"/>
  <c r="N32" i="20" s="1"/>
  <c r="F32" i="24"/>
  <c r="N32" i="24" s="1"/>
  <c r="F31" i="18"/>
  <c r="M31" i="18" s="1"/>
  <c r="F31" i="23"/>
  <c r="O31" i="23" s="1"/>
  <c r="F31" i="19"/>
  <c r="N31" i="19" s="1"/>
  <c r="F30" i="17"/>
  <c r="O30" i="17" s="1"/>
  <c r="F24" i="24"/>
  <c r="N24" i="24" s="1"/>
  <c r="F24" i="25"/>
  <c r="M24" i="25" s="1"/>
  <c r="F24" i="20"/>
  <c r="N24" i="20" s="1"/>
  <c r="F23" i="19"/>
  <c r="N23" i="19" s="1"/>
  <c r="F23" i="18"/>
  <c r="M23" i="18" s="1"/>
  <c r="F23" i="23"/>
  <c r="O23" i="23" s="1"/>
  <c r="F22" i="17"/>
  <c r="O22" i="17" s="1"/>
  <c r="F16" i="25"/>
  <c r="M16" i="25" s="1"/>
  <c r="F16" i="20"/>
  <c r="N16" i="20" s="1"/>
  <c r="F16" i="24"/>
  <c r="N16" i="24" s="1"/>
  <c r="F15" i="18"/>
  <c r="M15" i="18" s="1"/>
  <c r="F15" i="23"/>
  <c r="O15" i="23" s="1"/>
  <c r="F15" i="19"/>
  <c r="N15" i="19" s="1"/>
  <c r="F14" i="17"/>
  <c r="O14" i="17" s="1"/>
  <c r="F8" i="24"/>
  <c r="N8" i="24" s="1"/>
  <c r="F8" i="25"/>
  <c r="M8" i="25" s="1"/>
  <c r="F8" i="20"/>
  <c r="N8" i="20" s="1"/>
  <c r="F7" i="19"/>
  <c r="N7" i="19" s="1"/>
  <c r="F7" i="18"/>
  <c r="M7" i="18" s="1"/>
  <c r="F7" i="23"/>
  <c r="O7" i="23" s="1"/>
  <c r="F6" i="17"/>
  <c r="O6" i="17" s="1"/>
  <c r="E33" i="20"/>
  <c r="M33" i="20" s="1"/>
  <c r="M33" i="19"/>
  <c r="E33" i="17"/>
  <c r="N33" i="17" s="1"/>
  <c r="E33" i="18"/>
  <c r="L33" i="18" s="1"/>
  <c r="N33" i="23"/>
  <c r="E33" i="24"/>
  <c r="M33" i="24" s="1"/>
  <c r="L33" i="25"/>
  <c r="E9" i="24"/>
  <c r="M9" i="24" s="1"/>
  <c r="E9" i="20"/>
  <c r="M9" i="20" s="1"/>
  <c r="M9" i="19"/>
  <c r="E9" i="17"/>
  <c r="N9" i="17" s="1"/>
  <c r="L9" i="25"/>
  <c r="E9" i="18"/>
  <c r="L9" i="18" s="1"/>
  <c r="N9" i="23"/>
  <c r="F1" i="28"/>
  <c r="O1" i="28" s="1"/>
  <c r="F1" i="17"/>
  <c r="O1" i="17" s="1"/>
  <c r="E92" i="24"/>
  <c r="M92" i="24" s="1"/>
  <c r="M92" i="19"/>
  <c r="L92" i="25"/>
  <c r="E92" i="17"/>
  <c r="N92" i="17" s="1"/>
  <c r="N92" i="23"/>
  <c r="E92" i="20"/>
  <c r="M92" i="20" s="1"/>
  <c r="E92" i="18"/>
  <c r="L92" i="18" s="1"/>
  <c r="L84" i="25"/>
  <c r="E84" i="20"/>
  <c r="M84" i="20" s="1"/>
  <c r="N84" i="23"/>
  <c r="M84" i="19"/>
  <c r="E84" i="17"/>
  <c r="N84" i="17" s="1"/>
  <c r="E84" i="24"/>
  <c r="M84" i="24" s="1"/>
  <c r="E84" i="18"/>
  <c r="L84" i="18" s="1"/>
  <c r="E76" i="24"/>
  <c r="M76" i="24" s="1"/>
  <c r="M76" i="19"/>
  <c r="L76" i="25"/>
  <c r="E76" i="17"/>
  <c r="N76" i="17" s="1"/>
  <c r="E76" i="18"/>
  <c r="L76" i="18" s="1"/>
  <c r="E76" i="20"/>
  <c r="M76" i="20" s="1"/>
  <c r="N68" i="23"/>
  <c r="M68" i="19"/>
  <c r="E68" i="20"/>
  <c r="M68" i="20" s="1"/>
  <c r="E68" i="24"/>
  <c r="M68" i="24" s="1"/>
  <c r="E68" i="18"/>
  <c r="L68" i="18" s="1"/>
  <c r="E68" i="17"/>
  <c r="N68" i="17" s="1"/>
  <c r="L68" i="25"/>
  <c r="E60" i="24"/>
  <c r="M60" i="24" s="1"/>
  <c r="M60" i="19"/>
  <c r="E60" i="20"/>
  <c r="M60" i="20" s="1"/>
  <c r="L60" i="25"/>
  <c r="E60" i="18"/>
  <c r="L60" i="18" s="1"/>
  <c r="E60" i="17"/>
  <c r="N60" i="17" s="1"/>
  <c r="N52" i="23"/>
  <c r="M52" i="19"/>
  <c r="E52" i="24"/>
  <c r="M52" i="24" s="1"/>
  <c r="E52" i="18"/>
  <c r="L52" i="18" s="1"/>
  <c r="E52" i="17"/>
  <c r="N52" i="17" s="1"/>
  <c r="E52" i="20"/>
  <c r="M52" i="20" s="1"/>
  <c r="L52" i="25"/>
  <c r="E44" i="24"/>
  <c r="M44" i="24" s="1"/>
  <c r="M44" i="19"/>
  <c r="L44" i="25"/>
  <c r="N44" i="23"/>
  <c r="E44" i="20"/>
  <c r="M44" i="20" s="1"/>
  <c r="E44" i="18"/>
  <c r="L44" i="18" s="1"/>
  <c r="E44" i="17"/>
  <c r="N44" i="17" s="1"/>
  <c r="E36" i="20"/>
  <c r="M36" i="20" s="1"/>
  <c r="N36" i="23"/>
  <c r="M36" i="19"/>
  <c r="E36" i="24"/>
  <c r="M36" i="24" s="1"/>
  <c r="E36" i="18"/>
  <c r="L36" i="18" s="1"/>
  <c r="E36" i="17"/>
  <c r="N36" i="17" s="1"/>
  <c r="L36" i="25"/>
  <c r="E28" i="24"/>
  <c r="M28" i="24" s="1"/>
  <c r="E28" i="20"/>
  <c r="M28" i="20" s="1"/>
  <c r="M28" i="19"/>
  <c r="L28" i="25"/>
  <c r="N28" i="23"/>
  <c r="E28" i="18"/>
  <c r="L28" i="18" s="1"/>
  <c r="E28" i="17"/>
  <c r="N28" i="17" s="1"/>
  <c r="E20" i="20"/>
  <c r="M20" i="20" s="1"/>
  <c r="N20" i="23"/>
  <c r="M20" i="19"/>
  <c r="E20" i="24"/>
  <c r="M20" i="24" s="1"/>
  <c r="E20" i="18"/>
  <c r="L20" i="18" s="1"/>
  <c r="E20" i="17"/>
  <c r="N20" i="17" s="1"/>
  <c r="L20" i="25"/>
  <c r="E12" i="24"/>
  <c r="M12" i="24" s="1"/>
  <c r="M12" i="19"/>
  <c r="L12" i="25"/>
  <c r="N12" i="23"/>
  <c r="E12" i="18"/>
  <c r="L12" i="18" s="1"/>
  <c r="E12" i="17"/>
  <c r="N12" i="17" s="1"/>
  <c r="E12" i="20"/>
  <c r="M12" i="20" s="1"/>
  <c r="N4" i="23"/>
  <c r="M4" i="19"/>
  <c r="E4" i="24"/>
  <c r="M4" i="24" s="1"/>
  <c r="E4" i="18"/>
  <c r="L4" i="18" s="1"/>
  <c r="E4" i="17"/>
  <c r="N4" i="17" s="1"/>
  <c r="E4" i="20"/>
  <c r="M4" i="20" s="1"/>
  <c r="L4" i="25"/>
  <c r="F96" i="17"/>
  <c r="O96" i="17" s="1"/>
  <c r="M65" i="19"/>
  <c r="E65" i="17"/>
  <c r="N65" i="17" s="1"/>
  <c r="E65" i="18"/>
  <c r="L65" i="18" s="1"/>
  <c r="E65" i="20"/>
  <c r="M65" i="20" s="1"/>
  <c r="E65" i="24"/>
  <c r="M65" i="24" s="1"/>
  <c r="L65" i="25"/>
  <c r="E41" i="24"/>
  <c r="M41" i="24" s="1"/>
  <c r="E41" i="17"/>
  <c r="N41" i="17" s="1"/>
  <c r="M41" i="19"/>
  <c r="L41" i="25"/>
  <c r="E41" i="18"/>
  <c r="L41" i="18" s="1"/>
  <c r="E41" i="20"/>
  <c r="M41" i="20" s="1"/>
  <c r="N41" i="23"/>
  <c r="E17" i="20"/>
  <c r="M17" i="20" s="1"/>
  <c r="M17" i="19"/>
  <c r="E17" i="17"/>
  <c r="N17" i="17" s="1"/>
  <c r="E17" i="18"/>
  <c r="L17" i="18" s="1"/>
  <c r="E17" i="24"/>
  <c r="M17" i="24" s="1"/>
  <c r="L17" i="25"/>
  <c r="F97" i="20"/>
  <c r="N97" i="20" s="1"/>
  <c r="F97" i="24"/>
  <c r="N97" i="24" s="1"/>
  <c r="F97" i="25"/>
  <c r="M97" i="25" s="1"/>
  <c r="F96" i="18"/>
  <c r="M96" i="18" s="1"/>
  <c r="F96" i="23"/>
  <c r="O96" i="23" s="1"/>
  <c r="F96" i="19"/>
  <c r="N96" i="19" s="1"/>
  <c r="F95" i="17"/>
  <c r="O95" i="17" s="1"/>
  <c r="F89" i="20"/>
  <c r="N89" i="20" s="1"/>
  <c r="F89" i="24"/>
  <c r="N89" i="24" s="1"/>
  <c r="F89" i="25"/>
  <c r="M89" i="25" s="1"/>
  <c r="F88" i="23"/>
  <c r="O88" i="23" s="1"/>
  <c r="F88" i="19"/>
  <c r="N88" i="19" s="1"/>
  <c r="F88" i="18"/>
  <c r="M88" i="18" s="1"/>
  <c r="F87" i="17"/>
  <c r="O87" i="17" s="1"/>
  <c r="F81" i="20"/>
  <c r="N81" i="20" s="1"/>
  <c r="F81" i="24"/>
  <c r="N81" i="24" s="1"/>
  <c r="F81" i="25"/>
  <c r="M81" i="25" s="1"/>
  <c r="F80" i="18"/>
  <c r="M80" i="18" s="1"/>
  <c r="F80" i="23"/>
  <c r="O80" i="23" s="1"/>
  <c r="F80" i="19"/>
  <c r="N80" i="19" s="1"/>
  <c r="F79" i="17"/>
  <c r="O79" i="17" s="1"/>
  <c r="F73" i="20"/>
  <c r="N73" i="20" s="1"/>
  <c r="F73" i="24"/>
  <c r="N73" i="24" s="1"/>
  <c r="F73" i="25"/>
  <c r="M73" i="25" s="1"/>
  <c r="F72" i="23"/>
  <c r="O72" i="23" s="1"/>
  <c r="F72" i="19"/>
  <c r="N72" i="19" s="1"/>
  <c r="F72" i="18"/>
  <c r="M72" i="18" s="1"/>
  <c r="F71" i="17"/>
  <c r="O71" i="17" s="1"/>
  <c r="F65" i="20"/>
  <c r="N65" i="20" s="1"/>
  <c r="F65" i="24"/>
  <c r="N65" i="24" s="1"/>
  <c r="F65" i="25"/>
  <c r="M65" i="25" s="1"/>
  <c r="F64" i="18"/>
  <c r="M64" i="18" s="1"/>
  <c r="F64" i="23"/>
  <c r="O64" i="23" s="1"/>
  <c r="F64" i="19"/>
  <c r="N64" i="19" s="1"/>
  <c r="F63" i="17"/>
  <c r="O63" i="17" s="1"/>
  <c r="F57" i="20"/>
  <c r="N57" i="20" s="1"/>
  <c r="F57" i="24"/>
  <c r="N57" i="24" s="1"/>
  <c r="F57" i="25"/>
  <c r="M57" i="25" s="1"/>
  <c r="F56" i="23"/>
  <c r="O56" i="23" s="1"/>
  <c r="F56" i="19"/>
  <c r="N56" i="19" s="1"/>
  <c r="F56" i="18"/>
  <c r="M56" i="18" s="1"/>
  <c r="F55" i="17"/>
  <c r="O55" i="17" s="1"/>
  <c r="F49" i="20"/>
  <c r="N49" i="20" s="1"/>
  <c r="F49" i="24"/>
  <c r="N49" i="24" s="1"/>
  <c r="F49" i="25"/>
  <c r="M49" i="25" s="1"/>
  <c r="F48" i="18"/>
  <c r="M48" i="18" s="1"/>
  <c r="F48" i="23"/>
  <c r="O48" i="23" s="1"/>
  <c r="F48" i="19"/>
  <c r="N48" i="19" s="1"/>
  <c r="F47" i="17"/>
  <c r="O47" i="17" s="1"/>
  <c r="F41" i="20"/>
  <c r="N41" i="20" s="1"/>
  <c r="F41" i="24"/>
  <c r="N41" i="24" s="1"/>
  <c r="F41" i="25"/>
  <c r="M41" i="25" s="1"/>
  <c r="F40" i="23"/>
  <c r="O40" i="23" s="1"/>
  <c r="F40" i="19"/>
  <c r="N40" i="19" s="1"/>
  <c r="F40" i="18"/>
  <c r="M40" i="18" s="1"/>
  <c r="F39" i="17"/>
  <c r="O39" i="17" s="1"/>
  <c r="F33" i="20"/>
  <c r="N33" i="20" s="1"/>
  <c r="F33" i="24"/>
  <c r="N33" i="24" s="1"/>
  <c r="F33" i="25"/>
  <c r="M33" i="25" s="1"/>
  <c r="F32" i="18"/>
  <c r="M32" i="18" s="1"/>
  <c r="F32" i="23"/>
  <c r="O32" i="23" s="1"/>
  <c r="F32" i="19"/>
  <c r="N32" i="19" s="1"/>
  <c r="F31" i="17"/>
  <c r="O31" i="17" s="1"/>
  <c r="F25" i="20"/>
  <c r="N25" i="20" s="1"/>
  <c r="F25" i="24"/>
  <c r="N25" i="24" s="1"/>
  <c r="F25" i="25"/>
  <c r="M25" i="25" s="1"/>
  <c r="F24" i="23"/>
  <c r="O24" i="23" s="1"/>
  <c r="F24" i="19"/>
  <c r="N24" i="19" s="1"/>
  <c r="F24" i="18"/>
  <c r="M24" i="18" s="1"/>
  <c r="F23" i="17"/>
  <c r="O23" i="17" s="1"/>
  <c r="F17" i="20"/>
  <c r="N17" i="20" s="1"/>
  <c r="F17" i="24"/>
  <c r="N17" i="24" s="1"/>
  <c r="F17" i="25"/>
  <c r="M17" i="25" s="1"/>
  <c r="F16" i="18"/>
  <c r="M16" i="18" s="1"/>
  <c r="F16" i="23"/>
  <c r="O16" i="23" s="1"/>
  <c r="F16" i="19"/>
  <c r="N16" i="19" s="1"/>
  <c r="F15" i="17"/>
  <c r="O15" i="17" s="1"/>
  <c r="F9" i="20"/>
  <c r="N9" i="20" s="1"/>
  <c r="F9" i="24"/>
  <c r="N9" i="24" s="1"/>
  <c r="F9" i="25"/>
  <c r="M9" i="25" s="1"/>
  <c r="F8" i="23"/>
  <c r="O8" i="23" s="1"/>
  <c r="F8" i="19"/>
  <c r="N8" i="19" s="1"/>
  <c r="F8" i="18"/>
  <c r="M8" i="18" s="1"/>
  <c r="F7" i="17"/>
  <c r="O7" i="17" s="1"/>
  <c r="L93" i="25"/>
  <c r="N93" i="23"/>
  <c r="E93" i="20"/>
  <c r="M93" i="20" s="1"/>
  <c r="E93" i="18"/>
  <c r="L93" i="18" s="1"/>
  <c r="E93" i="17"/>
  <c r="N93" i="17" s="1"/>
  <c r="M93" i="19"/>
  <c r="E93" i="24"/>
  <c r="M93" i="24" s="1"/>
  <c r="E85" i="24"/>
  <c r="M85" i="24" s="1"/>
  <c r="E85" i="18"/>
  <c r="L85" i="18" s="1"/>
  <c r="L85" i="25"/>
  <c r="N85" i="23"/>
  <c r="E85" i="17"/>
  <c r="N85" i="17" s="1"/>
  <c r="E85" i="20"/>
  <c r="M85" i="20" s="1"/>
  <c r="M85" i="19"/>
  <c r="L77" i="25"/>
  <c r="E77" i="18"/>
  <c r="L77" i="18" s="1"/>
  <c r="E77" i="20"/>
  <c r="M77" i="20" s="1"/>
  <c r="E77" i="17"/>
  <c r="N77" i="17" s="1"/>
  <c r="M77" i="19"/>
  <c r="E77" i="24"/>
  <c r="M77" i="24" s="1"/>
  <c r="E69" i="20"/>
  <c r="M69" i="20" s="1"/>
  <c r="E69" i="24"/>
  <c r="M69" i="24" s="1"/>
  <c r="E69" i="18"/>
  <c r="L69" i="18" s="1"/>
  <c r="L69" i="25"/>
  <c r="N69" i="23"/>
  <c r="M69" i="19"/>
  <c r="E69" i="17"/>
  <c r="N69" i="17" s="1"/>
  <c r="L61" i="25"/>
  <c r="N61" i="23"/>
  <c r="E61" i="18"/>
  <c r="L61" i="18" s="1"/>
  <c r="M61" i="19"/>
  <c r="E61" i="17"/>
  <c r="N61" i="17" s="1"/>
  <c r="E61" i="24"/>
  <c r="M61" i="24" s="1"/>
  <c r="E61" i="20"/>
  <c r="M61" i="20" s="1"/>
  <c r="E53" i="24"/>
  <c r="M53" i="24" s="1"/>
  <c r="E53" i="20"/>
  <c r="M53" i="20" s="1"/>
  <c r="E53" i="18"/>
  <c r="L53" i="18" s="1"/>
  <c r="L53" i="25"/>
  <c r="N53" i="23"/>
  <c r="M53" i="19"/>
  <c r="E53" i="17"/>
  <c r="N53" i="17" s="1"/>
  <c r="L45" i="25"/>
  <c r="E45" i="20"/>
  <c r="M45" i="20" s="1"/>
  <c r="N45" i="23"/>
  <c r="E45" i="18"/>
  <c r="L45" i="18" s="1"/>
  <c r="M45" i="19"/>
  <c r="E45" i="17"/>
  <c r="N45" i="17" s="1"/>
  <c r="E45" i="24"/>
  <c r="M45" i="24" s="1"/>
  <c r="E37" i="24"/>
  <c r="M37" i="24" s="1"/>
  <c r="E37" i="18"/>
  <c r="L37" i="18" s="1"/>
  <c r="L37" i="25"/>
  <c r="N37" i="23"/>
  <c r="E37" i="20"/>
  <c r="M37" i="20" s="1"/>
  <c r="M37" i="19"/>
  <c r="E37" i="17"/>
  <c r="N37" i="17" s="1"/>
  <c r="L29" i="25"/>
  <c r="N29" i="23"/>
  <c r="E29" i="18"/>
  <c r="L29" i="18" s="1"/>
  <c r="E29" i="20"/>
  <c r="M29" i="20" s="1"/>
  <c r="M29" i="19"/>
  <c r="E29" i="17"/>
  <c r="N29" i="17" s="1"/>
  <c r="E29" i="24"/>
  <c r="M29" i="24" s="1"/>
  <c r="E21" i="24"/>
  <c r="M21" i="24" s="1"/>
  <c r="E21" i="18"/>
  <c r="L21" i="18" s="1"/>
  <c r="L21" i="25"/>
  <c r="E21" i="20"/>
  <c r="M21" i="20" s="1"/>
  <c r="N21" i="23"/>
  <c r="M21" i="19"/>
  <c r="E21" i="17"/>
  <c r="N21" i="17" s="1"/>
  <c r="L13" i="25"/>
  <c r="E13" i="18"/>
  <c r="L13" i="18" s="1"/>
  <c r="E13" i="20"/>
  <c r="M13" i="20" s="1"/>
  <c r="M13" i="19"/>
  <c r="E13" i="17"/>
  <c r="N13" i="17" s="1"/>
  <c r="E13" i="24"/>
  <c r="M13" i="24" s="1"/>
  <c r="E5" i="24"/>
  <c r="M5" i="24" s="1"/>
  <c r="E5" i="20"/>
  <c r="M5" i="20" s="1"/>
  <c r="E5" i="18"/>
  <c r="L5" i="18" s="1"/>
  <c r="L5" i="25"/>
  <c r="N5" i="23"/>
  <c r="M5" i="19"/>
  <c r="E5" i="17"/>
  <c r="N5" i="17" s="1"/>
  <c r="F65" i="18"/>
  <c r="M65" i="18" s="1"/>
  <c r="F65" i="23"/>
  <c r="O65" i="23" s="1"/>
  <c r="F65" i="19"/>
  <c r="N65" i="19" s="1"/>
  <c r="F50" i="25"/>
  <c r="M50" i="25" s="1"/>
  <c r="F50" i="20"/>
  <c r="N50" i="20" s="1"/>
  <c r="F50" i="24"/>
  <c r="N50" i="24" s="1"/>
  <c r="F26" i="25"/>
  <c r="M26" i="25" s="1"/>
  <c r="F26" i="20"/>
  <c r="N26" i="20" s="1"/>
  <c r="F26" i="24"/>
  <c r="N26" i="24" s="1"/>
  <c r="E94" i="20"/>
  <c r="M94" i="20" s="1"/>
  <c r="E94" i="18"/>
  <c r="L94" i="18" s="1"/>
  <c r="M94" i="19"/>
  <c r="E94" i="24"/>
  <c r="M94" i="24" s="1"/>
  <c r="L94" i="25"/>
  <c r="E94" i="17"/>
  <c r="N94" i="17" s="1"/>
  <c r="E86" i="24"/>
  <c r="M86" i="24" s="1"/>
  <c r="E86" i="18"/>
  <c r="L86" i="18" s="1"/>
  <c r="N86" i="23"/>
  <c r="L86" i="25"/>
  <c r="M86" i="19"/>
  <c r="E86" i="20"/>
  <c r="M86" i="20" s="1"/>
  <c r="E86" i="17"/>
  <c r="N86" i="17" s="1"/>
  <c r="E78" i="20"/>
  <c r="M78" i="20" s="1"/>
  <c r="E78" i="18"/>
  <c r="L78" i="18" s="1"/>
  <c r="M78" i="19"/>
  <c r="E78" i="24"/>
  <c r="M78" i="24" s="1"/>
  <c r="L78" i="25"/>
  <c r="E78" i="17"/>
  <c r="N78" i="17" s="1"/>
  <c r="E70" i="24"/>
  <c r="M70" i="24" s="1"/>
  <c r="E70" i="18"/>
  <c r="L70" i="18" s="1"/>
  <c r="N70" i="23"/>
  <c r="L70" i="25"/>
  <c r="M70" i="19"/>
  <c r="E70" i="20"/>
  <c r="M70" i="20" s="1"/>
  <c r="E70" i="17"/>
  <c r="N70" i="17" s="1"/>
  <c r="E62" i="18"/>
  <c r="L62" i="18" s="1"/>
  <c r="M62" i="19"/>
  <c r="E62" i="24"/>
  <c r="M62" i="24" s="1"/>
  <c r="E62" i="20"/>
  <c r="M62" i="20" s="1"/>
  <c r="N62" i="23"/>
  <c r="L62" i="25"/>
  <c r="E62" i="17"/>
  <c r="N62" i="17" s="1"/>
  <c r="E54" i="24"/>
  <c r="M54" i="24" s="1"/>
  <c r="E54" i="20"/>
  <c r="M54" i="20" s="1"/>
  <c r="E54" i="18"/>
  <c r="L54" i="18" s="1"/>
  <c r="N54" i="23"/>
  <c r="L54" i="25"/>
  <c r="M54" i="19"/>
  <c r="E54" i="17"/>
  <c r="N54" i="17" s="1"/>
  <c r="E46" i="18"/>
  <c r="L46" i="18" s="1"/>
  <c r="M46" i="19"/>
  <c r="E46" i="24"/>
  <c r="M46" i="24" s="1"/>
  <c r="E46" i="20"/>
  <c r="M46" i="20" s="1"/>
  <c r="N46" i="23"/>
  <c r="L46" i="25"/>
  <c r="E46" i="17"/>
  <c r="N46" i="17" s="1"/>
  <c r="E38" i="24"/>
  <c r="M38" i="24" s="1"/>
  <c r="E38" i="18"/>
  <c r="L38" i="18" s="1"/>
  <c r="N38" i="23"/>
  <c r="L38" i="25"/>
  <c r="M38" i="19"/>
  <c r="E38" i="20"/>
  <c r="M38" i="20" s="1"/>
  <c r="E38" i="17"/>
  <c r="N38" i="17" s="1"/>
  <c r="E30" i="18"/>
  <c r="L30" i="18" s="1"/>
  <c r="E30" i="20"/>
  <c r="M30" i="20" s="1"/>
  <c r="M30" i="19"/>
  <c r="E30" i="24"/>
  <c r="M30" i="24" s="1"/>
  <c r="N30" i="23"/>
  <c r="L30" i="25"/>
  <c r="E30" i="17"/>
  <c r="N30" i="17" s="1"/>
  <c r="E22" i="24"/>
  <c r="M22" i="24" s="1"/>
  <c r="E22" i="18"/>
  <c r="L22" i="18" s="1"/>
  <c r="N22" i="23"/>
  <c r="L22" i="25"/>
  <c r="E22" i="20"/>
  <c r="M22" i="20" s="1"/>
  <c r="M22" i="19"/>
  <c r="E22" i="17"/>
  <c r="N22" i="17" s="1"/>
  <c r="E14" i="20"/>
  <c r="M14" i="20" s="1"/>
  <c r="E14" i="18"/>
  <c r="L14" i="18" s="1"/>
  <c r="M14" i="19"/>
  <c r="E14" i="24"/>
  <c r="M14" i="24" s="1"/>
  <c r="N14" i="23"/>
  <c r="L14" i="25"/>
  <c r="E14" i="17"/>
  <c r="N14" i="17" s="1"/>
  <c r="E6" i="24"/>
  <c r="M6" i="24" s="1"/>
  <c r="E6" i="20"/>
  <c r="M6" i="20" s="1"/>
  <c r="E6" i="18"/>
  <c r="L6" i="18" s="1"/>
  <c r="N6" i="23"/>
  <c r="L6" i="25"/>
  <c r="M6" i="19"/>
  <c r="E6" i="17"/>
  <c r="N6" i="17" s="1"/>
  <c r="F82" i="25"/>
  <c r="M82" i="25" s="1"/>
  <c r="F82" i="20"/>
  <c r="N82" i="20" s="1"/>
  <c r="F82" i="24"/>
  <c r="N82" i="24" s="1"/>
  <c r="F72" i="17"/>
  <c r="O72" i="17" s="1"/>
  <c r="F66" i="25"/>
  <c r="M66" i="25" s="1"/>
  <c r="F66" i="20"/>
  <c r="N66" i="20" s="1"/>
  <c r="F66" i="24"/>
  <c r="N66" i="24" s="1"/>
  <c r="F58" i="25"/>
  <c r="M58" i="25" s="1"/>
  <c r="F58" i="20"/>
  <c r="N58" i="20" s="1"/>
  <c r="F58" i="24"/>
  <c r="N58" i="24" s="1"/>
  <c r="F48" i="17"/>
  <c r="O48" i="17" s="1"/>
  <c r="F40" i="17"/>
  <c r="O40" i="17" s="1"/>
  <c r="F33" i="18"/>
  <c r="M33" i="18" s="1"/>
  <c r="F33" i="23"/>
  <c r="O33" i="23" s="1"/>
  <c r="F33" i="19"/>
  <c r="N33" i="19" s="1"/>
  <c r="F25" i="18"/>
  <c r="M25" i="18" s="1"/>
  <c r="F25" i="23"/>
  <c r="O25" i="23" s="1"/>
  <c r="F25" i="19"/>
  <c r="N25" i="19" s="1"/>
  <c r="F17" i="18"/>
  <c r="M17" i="18" s="1"/>
  <c r="F17" i="23"/>
  <c r="O17" i="23" s="1"/>
  <c r="F17" i="19"/>
  <c r="N17" i="19" s="1"/>
  <c r="F9" i="18"/>
  <c r="M9" i="18" s="1"/>
  <c r="F9" i="23"/>
  <c r="O9" i="23" s="1"/>
  <c r="F9" i="19"/>
  <c r="N9" i="19" s="1"/>
  <c r="F97" i="17"/>
  <c r="O97" i="17" s="1"/>
  <c r="F91" i="20"/>
  <c r="N91" i="20" s="1"/>
  <c r="F91" i="24"/>
  <c r="N91" i="24" s="1"/>
  <c r="F91" i="25"/>
  <c r="M91" i="25" s="1"/>
  <c r="F90" i="18"/>
  <c r="M90" i="18" s="1"/>
  <c r="F90" i="23"/>
  <c r="O90" i="23" s="1"/>
  <c r="F90" i="19"/>
  <c r="N90" i="19" s="1"/>
  <c r="F89" i="17"/>
  <c r="O89" i="17" s="1"/>
  <c r="F83" i="25"/>
  <c r="M83" i="25" s="1"/>
  <c r="F83" i="20"/>
  <c r="N83" i="20" s="1"/>
  <c r="F83" i="24"/>
  <c r="N83" i="24" s="1"/>
  <c r="F82" i="19"/>
  <c r="N82" i="19" s="1"/>
  <c r="F82" i="18"/>
  <c r="M82" i="18" s="1"/>
  <c r="F82" i="23"/>
  <c r="O82" i="23" s="1"/>
  <c r="F81" i="17"/>
  <c r="O81" i="17" s="1"/>
  <c r="F75" i="20"/>
  <c r="N75" i="20" s="1"/>
  <c r="F75" i="24"/>
  <c r="N75" i="24" s="1"/>
  <c r="F75" i="25"/>
  <c r="M75" i="25" s="1"/>
  <c r="F74" i="18"/>
  <c r="M74" i="18" s="1"/>
  <c r="F74" i="23"/>
  <c r="O74" i="23" s="1"/>
  <c r="F74" i="19"/>
  <c r="N74" i="19" s="1"/>
  <c r="F73" i="17"/>
  <c r="O73" i="17" s="1"/>
  <c r="F67" i="25"/>
  <c r="M67" i="25" s="1"/>
  <c r="F67" i="20"/>
  <c r="N67" i="20" s="1"/>
  <c r="F67" i="24"/>
  <c r="N67" i="24" s="1"/>
  <c r="F66" i="19"/>
  <c r="N66" i="19" s="1"/>
  <c r="F66" i="18"/>
  <c r="M66" i="18" s="1"/>
  <c r="F66" i="23"/>
  <c r="O66" i="23" s="1"/>
  <c r="F65" i="17"/>
  <c r="O65" i="17" s="1"/>
  <c r="F59" i="20"/>
  <c r="N59" i="20" s="1"/>
  <c r="F59" i="24"/>
  <c r="N59" i="24" s="1"/>
  <c r="F59" i="25"/>
  <c r="M59" i="25" s="1"/>
  <c r="F58" i="18"/>
  <c r="M58" i="18" s="1"/>
  <c r="F58" i="23"/>
  <c r="O58" i="23" s="1"/>
  <c r="F58" i="19"/>
  <c r="N58" i="19" s="1"/>
  <c r="F57" i="17"/>
  <c r="O57" i="17" s="1"/>
  <c r="F51" i="25"/>
  <c r="M51" i="25" s="1"/>
  <c r="F51" i="20"/>
  <c r="N51" i="20" s="1"/>
  <c r="F51" i="24"/>
  <c r="N51" i="24" s="1"/>
  <c r="F50" i="19"/>
  <c r="N50" i="19" s="1"/>
  <c r="F50" i="18"/>
  <c r="M50" i="18" s="1"/>
  <c r="F50" i="23"/>
  <c r="O50" i="23" s="1"/>
  <c r="F49" i="17"/>
  <c r="O49" i="17" s="1"/>
  <c r="F43" i="20"/>
  <c r="N43" i="20" s="1"/>
  <c r="F43" i="24"/>
  <c r="N43" i="24" s="1"/>
  <c r="F43" i="25"/>
  <c r="M43" i="25" s="1"/>
  <c r="F42" i="18"/>
  <c r="M42" i="18" s="1"/>
  <c r="F42" i="23"/>
  <c r="O42" i="23" s="1"/>
  <c r="F42" i="19"/>
  <c r="N42" i="19" s="1"/>
  <c r="F41" i="17"/>
  <c r="O41" i="17" s="1"/>
  <c r="F35" i="25"/>
  <c r="M35" i="25" s="1"/>
  <c r="F35" i="20"/>
  <c r="N35" i="20" s="1"/>
  <c r="F35" i="24"/>
  <c r="N35" i="24" s="1"/>
  <c r="F34" i="19"/>
  <c r="N34" i="19" s="1"/>
  <c r="F34" i="18"/>
  <c r="M34" i="18" s="1"/>
  <c r="F34" i="23"/>
  <c r="O34" i="23" s="1"/>
  <c r="F33" i="17"/>
  <c r="O33" i="17" s="1"/>
  <c r="F27" i="20"/>
  <c r="N27" i="20" s="1"/>
  <c r="F27" i="24"/>
  <c r="N27" i="24" s="1"/>
  <c r="F27" i="25"/>
  <c r="M27" i="25" s="1"/>
  <c r="F26" i="18"/>
  <c r="M26" i="18" s="1"/>
  <c r="F26" i="23"/>
  <c r="O26" i="23" s="1"/>
  <c r="F26" i="19"/>
  <c r="N26" i="19" s="1"/>
  <c r="F25" i="17"/>
  <c r="O25" i="17" s="1"/>
  <c r="F19" i="25"/>
  <c r="M19" i="25" s="1"/>
  <c r="F19" i="20"/>
  <c r="N19" i="20" s="1"/>
  <c r="F19" i="24"/>
  <c r="N19" i="24" s="1"/>
  <c r="F18" i="19"/>
  <c r="N18" i="19" s="1"/>
  <c r="F18" i="18"/>
  <c r="M18" i="18" s="1"/>
  <c r="F18" i="23"/>
  <c r="O18" i="23" s="1"/>
  <c r="F17" i="17"/>
  <c r="O17" i="17" s="1"/>
  <c r="F11" i="20"/>
  <c r="N11" i="20" s="1"/>
  <c r="F11" i="24"/>
  <c r="N11" i="24" s="1"/>
  <c r="F11" i="25"/>
  <c r="M11" i="25" s="1"/>
  <c r="F10" i="18"/>
  <c r="M10" i="18" s="1"/>
  <c r="F10" i="23"/>
  <c r="O10" i="23" s="1"/>
  <c r="F10" i="19"/>
  <c r="N10" i="19" s="1"/>
  <c r="F9" i="17"/>
  <c r="O9" i="17" s="1"/>
  <c r="F3" i="25"/>
  <c r="M3" i="25" s="1"/>
  <c r="F3" i="20"/>
  <c r="N3" i="20" s="1"/>
  <c r="F3" i="24"/>
  <c r="N3" i="24" s="1"/>
  <c r="F2" i="19"/>
  <c r="N2" i="19" s="1"/>
  <c r="F2" i="18"/>
  <c r="M2" i="18" s="1"/>
  <c r="F2" i="23"/>
  <c r="O2" i="23" s="1"/>
  <c r="F88" i="17"/>
  <c r="O88" i="17" s="1"/>
  <c r="F64" i="17"/>
  <c r="O64" i="17" s="1"/>
  <c r="F57" i="18"/>
  <c r="M57" i="18" s="1"/>
  <c r="F57" i="23"/>
  <c r="O57" i="23" s="1"/>
  <c r="F57" i="19"/>
  <c r="N57" i="19" s="1"/>
  <c r="F41" i="18"/>
  <c r="M41" i="18" s="1"/>
  <c r="F41" i="23"/>
  <c r="O41" i="23" s="1"/>
  <c r="F41" i="19"/>
  <c r="N41" i="19" s="1"/>
  <c r="F34" i="25"/>
  <c r="M34" i="25" s="1"/>
  <c r="F34" i="20"/>
  <c r="N34" i="20" s="1"/>
  <c r="F34" i="24"/>
  <c r="N34" i="24" s="1"/>
  <c r="F24" i="17"/>
  <c r="O24" i="17" s="1"/>
  <c r="F18" i="25"/>
  <c r="M18" i="25" s="1"/>
  <c r="F18" i="20"/>
  <c r="N18" i="20" s="1"/>
  <c r="F18" i="24"/>
  <c r="N18" i="24" s="1"/>
  <c r="E95" i="17"/>
  <c r="N95" i="17" s="1"/>
  <c r="M95" i="19"/>
  <c r="E95" i="24"/>
  <c r="M95" i="24" s="1"/>
  <c r="N95" i="23"/>
  <c r="L95" i="25"/>
  <c r="E95" i="20"/>
  <c r="M95" i="20" s="1"/>
  <c r="E95" i="18"/>
  <c r="L95" i="18" s="1"/>
  <c r="E87" i="17"/>
  <c r="N87" i="17" s="1"/>
  <c r="L87" i="25"/>
  <c r="M87" i="19"/>
  <c r="E87" i="20"/>
  <c r="M87" i="20" s="1"/>
  <c r="E87" i="24"/>
  <c r="M87" i="24" s="1"/>
  <c r="N87" i="23"/>
  <c r="E87" i="18"/>
  <c r="L87" i="18" s="1"/>
  <c r="E79" i="17"/>
  <c r="N79" i="17" s="1"/>
  <c r="M79" i="19"/>
  <c r="E79" i="24"/>
  <c r="M79" i="24" s="1"/>
  <c r="N79" i="23"/>
  <c r="L79" i="25"/>
  <c r="Q79" i="25" s="1"/>
  <c r="E79" i="20"/>
  <c r="M79" i="20" s="1"/>
  <c r="E79" i="18"/>
  <c r="L79" i="18" s="1"/>
  <c r="L71" i="25"/>
  <c r="M71" i="19"/>
  <c r="E71" i="17"/>
  <c r="N71" i="17" s="1"/>
  <c r="E71" i="20"/>
  <c r="M71" i="20" s="1"/>
  <c r="E71" i="24"/>
  <c r="M71" i="24" s="1"/>
  <c r="N71" i="23"/>
  <c r="E71" i="18"/>
  <c r="L71" i="18" s="1"/>
  <c r="M63" i="19"/>
  <c r="E63" i="17"/>
  <c r="N63" i="17" s="1"/>
  <c r="E63" i="24"/>
  <c r="M63" i="24" s="1"/>
  <c r="E63" i="20"/>
  <c r="M63" i="20" s="1"/>
  <c r="L63" i="25"/>
  <c r="E63" i="18"/>
  <c r="L63" i="18" s="1"/>
  <c r="L55" i="25"/>
  <c r="M55" i="19"/>
  <c r="E55" i="17"/>
  <c r="N55" i="17" s="1"/>
  <c r="E55" i="24"/>
  <c r="M55" i="24" s="1"/>
  <c r="N55" i="23"/>
  <c r="E55" i="20"/>
  <c r="M55" i="20" s="1"/>
  <c r="E55" i="18"/>
  <c r="L55" i="18" s="1"/>
  <c r="M47" i="19"/>
  <c r="E47" i="17"/>
  <c r="N47" i="17" s="1"/>
  <c r="E47" i="24"/>
  <c r="M47" i="24" s="1"/>
  <c r="N47" i="23"/>
  <c r="E47" i="20"/>
  <c r="M47" i="20" s="1"/>
  <c r="L47" i="25"/>
  <c r="E47" i="18"/>
  <c r="L47" i="18" s="1"/>
  <c r="L39" i="25"/>
  <c r="M39" i="19"/>
  <c r="E39" i="17"/>
  <c r="N39" i="17" s="1"/>
  <c r="E39" i="20"/>
  <c r="M39" i="20" s="1"/>
  <c r="E39" i="24"/>
  <c r="M39" i="24" s="1"/>
  <c r="N39" i="23"/>
  <c r="E39" i="18"/>
  <c r="L39" i="18" s="1"/>
  <c r="M31" i="19"/>
  <c r="E31" i="17"/>
  <c r="N31" i="17" s="1"/>
  <c r="E31" i="24"/>
  <c r="M31" i="24" s="1"/>
  <c r="N31" i="23"/>
  <c r="L31" i="25"/>
  <c r="Q31" i="25" s="1"/>
  <c r="E31" i="20"/>
  <c r="M31" i="20" s="1"/>
  <c r="E31" i="18"/>
  <c r="L31" i="18" s="1"/>
  <c r="L23" i="25"/>
  <c r="E23" i="20"/>
  <c r="M23" i="20" s="1"/>
  <c r="M23" i="19"/>
  <c r="E23" i="17"/>
  <c r="N23" i="17" s="1"/>
  <c r="E23" i="24"/>
  <c r="M23" i="24" s="1"/>
  <c r="N23" i="23"/>
  <c r="E23" i="18"/>
  <c r="L23" i="18" s="1"/>
  <c r="M15" i="19"/>
  <c r="E15" i="17"/>
  <c r="N15" i="17" s="1"/>
  <c r="E15" i="24"/>
  <c r="M15" i="24" s="1"/>
  <c r="N15" i="23"/>
  <c r="L15" i="25"/>
  <c r="E15" i="20"/>
  <c r="M15" i="20" s="1"/>
  <c r="E15" i="18"/>
  <c r="L15" i="18" s="1"/>
  <c r="L7" i="25"/>
  <c r="M7" i="19"/>
  <c r="E7" i="17"/>
  <c r="N7" i="17" s="1"/>
  <c r="E7" i="24"/>
  <c r="M7" i="24" s="1"/>
  <c r="E7" i="20"/>
  <c r="M7" i="20" s="1"/>
  <c r="N7" i="23"/>
  <c r="E7" i="18"/>
  <c r="L7" i="18" s="1"/>
  <c r="F56" i="17"/>
  <c r="O56" i="17" s="1"/>
  <c r="F42" i="25"/>
  <c r="M42" i="25" s="1"/>
  <c r="F42" i="20"/>
  <c r="N42" i="20" s="1"/>
  <c r="F42" i="24"/>
  <c r="N42" i="24" s="1"/>
  <c r="F32" i="17"/>
  <c r="O32" i="17" s="1"/>
  <c r="F8" i="17"/>
  <c r="O8" i="17" s="1"/>
  <c r="F92" i="20"/>
  <c r="N92" i="20" s="1"/>
  <c r="F92" i="24"/>
  <c r="N92" i="24" s="1"/>
  <c r="F92" i="25"/>
  <c r="M92" i="25" s="1"/>
  <c r="F91" i="18"/>
  <c r="M91" i="18" s="1"/>
  <c r="F91" i="23"/>
  <c r="O91" i="23" s="1"/>
  <c r="F91" i="19"/>
  <c r="N91" i="19" s="1"/>
  <c r="F90" i="17"/>
  <c r="O90" i="17" s="1"/>
  <c r="F84" i="20"/>
  <c r="N84" i="20" s="1"/>
  <c r="F84" i="24"/>
  <c r="N84" i="24" s="1"/>
  <c r="F84" i="25"/>
  <c r="M84" i="25" s="1"/>
  <c r="F83" i="19"/>
  <c r="N83" i="19" s="1"/>
  <c r="F83" i="18"/>
  <c r="M83" i="18" s="1"/>
  <c r="F83" i="23"/>
  <c r="O83" i="23" s="1"/>
  <c r="F82" i="17"/>
  <c r="O82" i="17" s="1"/>
  <c r="F76" i="20"/>
  <c r="N76" i="20" s="1"/>
  <c r="F76" i="24"/>
  <c r="N76" i="24" s="1"/>
  <c r="F76" i="25"/>
  <c r="M76" i="25" s="1"/>
  <c r="F75" i="18"/>
  <c r="M75" i="18" s="1"/>
  <c r="F75" i="23"/>
  <c r="O75" i="23" s="1"/>
  <c r="F75" i="19"/>
  <c r="N75" i="19" s="1"/>
  <c r="F74" i="17"/>
  <c r="O74" i="17" s="1"/>
  <c r="F68" i="20"/>
  <c r="N68" i="20" s="1"/>
  <c r="F68" i="25"/>
  <c r="M68" i="25" s="1"/>
  <c r="F68" i="24"/>
  <c r="N68" i="24" s="1"/>
  <c r="F67" i="19"/>
  <c r="N67" i="19" s="1"/>
  <c r="F67" i="18"/>
  <c r="M67" i="18" s="1"/>
  <c r="F67" i="23"/>
  <c r="O67" i="23" s="1"/>
  <c r="F66" i="17"/>
  <c r="O66" i="17" s="1"/>
  <c r="F60" i="20"/>
  <c r="N60" i="20" s="1"/>
  <c r="F60" i="25"/>
  <c r="M60" i="25" s="1"/>
  <c r="F60" i="24"/>
  <c r="N60" i="24" s="1"/>
  <c r="F59" i="18"/>
  <c r="M59" i="18" s="1"/>
  <c r="F59" i="23"/>
  <c r="O59" i="23" s="1"/>
  <c r="F59" i="19"/>
  <c r="N59" i="19" s="1"/>
  <c r="F58" i="17"/>
  <c r="O58" i="17" s="1"/>
  <c r="F52" i="20"/>
  <c r="N52" i="20" s="1"/>
  <c r="F52" i="25"/>
  <c r="M52" i="25" s="1"/>
  <c r="F52" i="24"/>
  <c r="N52" i="24" s="1"/>
  <c r="F51" i="19"/>
  <c r="N51" i="19" s="1"/>
  <c r="F51" i="18"/>
  <c r="M51" i="18" s="1"/>
  <c r="F51" i="23"/>
  <c r="O51" i="23" s="1"/>
  <c r="F50" i="17"/>
  <c r="O50" i="17" s="1"/>
  <c r="F44" i="20"/>
  <c r="N44" i="20" s="1"/>
  <c r="F44" i="25"/>
  <c r="M44" i="25" s="1"/>
  <c r="F44" i="24"/>
  <c r="N44" i="24" s="1"/>
  <c r="F43" i="18"/>
  <c r="M43" i="18" s="1"/>
  <c r="F43" i="23"/>
  <c r="O43" i="23" s="1"/>
  <c r="F43" i="19"/>
  <c r="N43" i="19" s="1"/>
  <c r="F42" i="17"/>
  <c r="O42" i="17" s="1"/>
  <c r="F36" i="20"/>
  <c r="N36" i="20" s="1"/>
  <c r="F36" i="25"/>
  <c r="M36" i="25" s="1"/>
  <c r="F36" i="24"/>
  <c r="N36" i="24" s="1"/>
  <c r="F35" i="19"/>
  <c r="N35" i="19" s="1"/>
  <c r="F35" i="18"/>
  <c r="M35" i="18" s="1"/>
  <c r="F35" i="23"/>
  <c r="O35" i="23" s="1"/>
  <c r="F34" i="17"/>
  <c r="O34" i="17" s="1"/>
  <c r="F28" i="20"/>
  <c r="N28" i="20" s="1"/>
  <c r="F28" i="25"/>
  <c r="M28" i="25" s="1"/>
  <c r="F28" i="24"/>
  <c r="N28" i="24" s="1"/>
  <c r="F27" i="18"/>
  <c r="M27" i="18" s="1"/>
  <c r="F27" i="23"/>
  <c r="O27" i="23" s="1"/>
  <c r="F27" i="19"/>
  <c r="N27" i="19" s="1"/>
  <c r="F26" i="17"/>
  <c r="O26" i="17" s="1"/>
  <c r="F20" i="20"/>
  <c r="N20" i="20" s="1"/>
  <c r="F20" i="25"/>
  <c r="M20" i="25" s="1"/>
  <c r="F20" i="24"/>
  <c r="N20" i="24" s="1"/>
  <c r="F19" i="19"/>
  <c r="N19" i="19" s="1"/>
  <c r="F19" i="18"/>
  <c r="M19" i="18" s="1"/>
  <c r="F19" i="23"/>
  <c r="O19" i="23" s="1"/>
  <c r="F18" i="17"/>
  <c r="O18" i="17" s="1"/>
  <c r="F12" i="20"/>
  <c r="N12" i="20" s="1"/>
  <c r="F12" i="25"/>
  <c r="M12" i="25" s="1"/>
  <c r="F12" i="24"/>
  <c r="N12" i="24" s="1"/>
  <c r="F11" i="18"/>
  <c r="M11" i="18" s="1"/>
  <c r="F11" i="23"/>
  <c r="O11" i="23" s="1"/>
  <c r="F11" i="19"/>
  <c r="N11" i="19" s="1"/>
  <c r="F10" i="17"/>
  <c r="O10" i="17" s="1"/>
  <c r="F4" i="20"/>
  <c r="N4" i="20" s="1"/>
  <c r="F4" i="25"/>
  <c r="M4" i="25" s="1"/>
  <c r="F4" i="24"/>
  <c r="N4" i="24" s="1"/>
  <c r="F3" i="19"/>
  <c r="N3" i="19" s="1"/>
  <c r="F3" i="18"/>
  <c r="M3" i="18" s="1"/>
  <c r="F3" i="23"/>
  <c r="O3" i="23" s="1"/>
  <c r="F2" i="17"/>
  <c r="O2" i="17" s="1"/>
  <c r="F90" i="25"/>
  <c r="M90" i="25" s="1"/>
  <c r="F90" i="20"/>
  <c r="N90" i="20" s="1"/>
  <c r="F90" i="24"/>
  <c r="N90" i="24" s="1"/>
  <c r="F74" i="25"/>
  <c r="M74" i="25" s="1"/>
  <c r="F74" i="20"/>
  <c r="N74" i="20" s="1"/>
  <c r="F74" i="24"/>
  <c r="N74" i="24" s="1"/>
  <c r="E96" i="17"/>
  <c r="N96" i="17" s="1"/>
  <c r="L96" i="25"/>
  <c r="E96" i="20"/>
  <c r="M96" i="20" s="1"/>
  <c r="M96" i="19"/>
  <c r="E96" i="18"/>
  <c r="L96" i="18" s="1"/>
  <c r="E96" i="24"/>
  <c r="M96" i="24" s="1"/>
  <c r="N96" i="23"/>
  <c r="E88" i="17"/>
  <c r="N88" i="17" s="1"/>
  <c r="E88" i="24"/>
  <c r="M88" i="24" s="1"/>
  <c r="M88" i="19"/>
  <c r="E88" i="18"/>
  <c r="L88" i="18" s="1"/>
  <c r="L88" i="25"/>
  <c r="E88" i="20"/>
  <c r="M88" i="20" s="1"/>
  <c r="E80" i="17"/>
  <c r="N80" i="17" s="1"/>
  <c r="L80" i="25"/>
  <c r="Q80" i="25" s="1"/>
  <c r="E80" i="20"/>
  <c r="M80" i="20" s="1"/>
  <c r="M80" i="19"/>
  <c r="E80" i="18"/>
  <c r="L80" i="18" s="1"/>
  <c r="E80" i="24"/>
  <c r="M80" i="24" s="1"/>
  <c r="N80" i="23"/>
  <c r="E72" i="17"/>
  <c r="N72" i="17" s="1"/>
  <c r="E72" i="20"/>
  <c r="M72" i="20" s="1"/>
  <c r="E72" i="24"/>
  <c r="M72" i="24" s="1"/>
  <c r="N72" i="23"/>
  <c r="M72" i="19"/>
  <c r="E72" i="18"/>
  <c r="L72" i="18" s="1"/>
  <c r="L72" i="25"/>
  <c r="E64" i="17"/>
  <c r="N64" i="17" s="1"/>
  <c r="L64" i="25"/>
  <c r="M64" i="19"/>
  <c r="E64" i="18"/>
  <c r="L64" i="18" s="1"/>
  <c r="E64" i="20"/>
  <c r="M64" i="20" s="1"/>
  <c r="E64" i="24"/>
  <c r="M64" i="24" s="1"/>
  <c r="N64" i="23"/>
  <c r="E56" i="17"/>
  <c r="N56" i="17" s="1"/>
  <c r="E56" i="24"/>
  <c r="M56" i="24" s="1"/>
  <c r="N56" i="23"/>
  <c r="E56" i="20"/>
  <c r="M56" i="20" s="1"/>
  <c r="M56" i="19"/>
  <c r="E56" i="18"/>
  <c r="L56" i="18" s="1"/>
  <c r="L56" i="25"/>
  <c r="E48" i="20"/>
  <c r="M48" i="20" s="1"/>
  <c r="E48" i="17"/>
  <c r="N48" i="17" s="1"/>
  <c r="L48" i="25"/>
  <c r="M48" i="19"/>
  <c r="E48" i="18"/>
  <c r="L48" i="18" s="1"/>
  <c r="E48" i="24"/>
  <c r="M48" i="24" s="1"/>
  <c r="N48" i="23"/>
  <c r="E40" i="17"/>
  <c r="N40" i="17" s="1"/>
  <c r="E40" i="24"/>
  <c r="M40" i="24" s="1"/>
  <c r="M40" i="19"/>
  <c r="E40" i="18"/>
  <c r="L40" i="18" s="1"/>
  <c r="L40" i="25"/>
  <c r="E40" i="20"/>
  <c r="M40" i="20" s="1"/>
  <c r="E32" i="17"/>
  <c r="N32" i="17" s="1"/>
  <c r="L32" i="25"/>
  <c r="E32" i="20"/>
  <c r="M32" i="20" s="1"/>
  <c r="M32" i="19"/>
  <c r="E32" i="18"/>
  <c r="L32" i="18" s="1"/>
  <c r="E32" i="24"/>
  <c r="M32" i="24" s="1"/>
  <c r="N32" i="23"/>
  <c r="E24" i="17"/>
  <c r="N24" i="17" s="1"/>
  <c r="E24" i="24"/>
  <c r="M24" i="24" s="1"/>
  <c r="N24" i="23"/>
  <c r="E24" i="20"/>
  <c r="M24" i="20" s="1"/>
  <c r="M24" i="19"/>
  <c r="E24" i="18"/>
  <c r="L24" i="18" s="1"/>
  <c r="L24" i="25"/>
  <c r="E16" i="17"/>
  <c r="N16" i="17" s="1"/>
  <c r="L16" i="25"/>
  <c r="E16" i="20"/>
  <c r="M16" i="20" s="1"/>
  <c r="M16" i="19"/>
  <c r="E16" i="18"/>
  <c r="L16" i="18" s="1"/>
  <c r="E16" i="24"/>
  <c r="M16" i="24" s="1"/>
  <c r="N16" i="23"/>
  <c r="E8" i="17"/>
  <c r="N8" i="17" s="1"/>
  <c r="E8" i="24"/>
  <c r="M8" i="24" s="1"/>
  <c r="N8" i="23"/>
  <c r="E8" i="20"/>
  <c r="M8" i="20" s="1"/>
  <c r="M8" i="19"/>
  <c r="E8" i="18"/>
  <c r="L8" i="18" s="1"/>
  <c r="L8" i="25"/>
  <c r="F73" i="18"/>
  <c r="M73" i="18" s="1"/>
  <c r="F73" i="23"/>
  <c r="O73" i="23" s="1"/>
  <c r="F73" i="19"/>
  <c r="N73" i="19" s="1"/>
  <c r="F49" i="18"/>
  <c r="M49" i="18" s="1"/>
  <c r="F49" i="23"/>
  <c r="O49" i="23" s="1"/>
  <c r="F49" i="19"/>
  <c r="N49" i="19" s="1"/>
  <c r="F16" i="17"/>
  <c r="O16" i="17" s="1"/>
  <c r="F10" i="25"/>
  <c r="M10" i="25" s="1"/>
  <c r="F10" i="20"/>
  <c r="N10" i="20" s="1"/>
  <c r="F10" i="24"/>
  <c r="N10" i="24" s="1"/>
  <c r="F2" i="25"/>
  <c r="M2" i="25" s="1"/>
  <c r="F2" i="20"/>
  <c r="N2" i="20" s="1"/>
  <c r="F2" i="24"/>
  <c r="N2" i="24" s="1"/>
  <c r="F93" i="25"/>
  <c r="M93" i="25" s="1"/>
  <c r="F93" i="20"/>
  <c r="N93" i="20" s="1"/>
  <c r="F93" i="24"/>
  <c r="N93" i="24" s="1"/>
  <c r="F92" i="18"/>
  <c r="M92" i="18" s="1"/>
  <c r="F92" i="23"/>
  <c r="O92" i="23" s="1"/>
  <c r="F92" i="19"/>
  <c r="N92" i="19" s="1"/>
  <c r="F91" i="17"/>
  <c r="O91" i="17" s="1"/>
  <c r="F85" i="24"/>
  <c r="N85" i="24" s="1"/>
  <c r="F85" i="25"/>
  <c r="M85" i="25" s="1"/>
  <c r="F85" i="20"/>
  <c r="N85" i="20" s="1"/>
  <c r="F84" i="19"/>
  <c r="N84" i="19" s="1"/>
  <c r="F84" i="18"/>
  <c r="M84" i="18" s="1"/>
  <c r="F84" i="23"/>
  <c r="O84" i="23" s="1"/>
  <c r="F83" i="17"/>
  <c r="O83" i="17" s="1"/>
  <c r="F77" i="25"/>
  <c r="M77" i="25" s="1"/>
  <c r="F77" i="20"/>
  <c r="N77" i="20" s="1"/>
  <c r="F77" i="24"/>
  <c r="N77" i="24" s="1"/>
  <c r="F76" i="18"/>
  <c r="M76" i="18" s="1"/>
  <c r="F76" i="23"/>
  <c r="O76" i="23" s="1"/>
  <c r="F76" i="19"/>
  <c r="N76" i="19" s="1"/>
  <c r="F75" i="17"/>
  <c r="O75" i="17" s="1"/>
  <c r="F69" i="24"/>
  <c r="N69" i="24" s="1"/>
  <c r="F69" i="25"/>
  <c r="M69" i="25" s="1"/>
  <c r="F69" i="20"/>
  <c r="N69" i="20" s="1"/>
  <c r="F68" i="19"/>
  <c r="N68" i="19" s="1"/>
  <c r="F68" i="18"/>
  <c r="M68" i="18" s="1"/>
  <c r="F68" i="23"/>
  <c r="O68" i="23" s="1"/>
  <c r="F67" i="17"/>
  <c r="O67" i="17" s="1"/>
  <c r="F61" i="25"/>
  <c r="M61" i="25" s="1"/>
  <c r="F61" i="20"/>
  <c r="N61" i="20" s="1"/>
  <c r="F61" i="24"/>
  <c r="N61" i="24" s="1"/>
  <c r="F60" i="18"/>
  <c r="M60" i="18" s="1"/>
  <c r="F60" i="23"/>
  <c r="O60" i="23" s="1"/>
  <c r="F60" i="19"/>
  <c r="N60" i="19" s="1"/>
  <c r="F59" i="17"/>
  <c r="O59" i="17" s="1"/>
  <c r="F53" i="24"/>
  <c r="N53" i="24" s="1"/>
  <c r="F53" i="25"/>
  <c r="M53" i="25" s="1"/>
  <c r="F53" i="20"/>
  <c r="N53" i="20" s="1"/>
  <c r="F52" i="19"/>
  <c r="N52" i="19" s="1"/>
  <c r="F52" i="18"/>
  <c r="M52" i="18" s="1"/>
  <c r="F52" i="23"/>
  <c r="O52" i="23" s="1"/>
  <c r="F51" i="17"/>
  <c r="O51" i="17" s="1"/>
  <c r="F45" i="25"/>
  <c r="M45" i="25" s="1"/>
  <c r="F45" i="20"/>
  <c r="N45" i="20" s="1"/>
  <c r="F45" i="24"/>
  <c r="N45" i="24" s="1"/>
  <c r="F44" i="18"/>
  <c r="M44" i="18" s="1"/>
  <c r="F44" i="23"/>
  <c r="O44" i="23" s="1"/>
  <c r="F44" i="19"/>
  <c r="N44" i="19" s="1"/>
  <c r="F43" i="17"/>
  <c r="O43" i="17" s="1"/>
  <c r="F37" i="24"/>
  <c r="N37" i="24" s="1"/>
  <c r="F37" i="25"/>
  <c r="M37" i="25" s="1"/>
  <c r="F37" i="20"/>
  <c r="N37" i="20" s="1"/>
  <c r="F36" i="19"/>
  <c r="N36" i="19" s="1"/>
  <c r="F36" i="18"/>
  <c r="M36" i="18" s="1"/>
  <c r="F36" i="23"/>
  <c r="O36" i="23" s="1"/>
  <c r="F35" i="17"/>
  <c r="O35" i="17" s="1"/>
  <c r="F29" i="25"/>
  <c r="M29" i="25" s="1"/>
  <c r="F29" i="20"/>
  <c r="N29" i="20" s="1"/>
  <c r="F29" i="24"/>
  <c r="N29" i="24" s="1"/>
  <c r="F28" i="18"/>
  <c r="M28" i="18" s="1"/>
  <c r="F28" i="23"/>
  <c r="O28" i="23" s="1"/>
  <c r="F28" i="19"/>
  <c r="N28" i="19" s="1"/>
  <c r="F27" i="17"/>
  <c r="O27" i="17" s="1"/>
  <c r="F21" i="24"/>
  <c r="N21" i="24" s="1"/>
  <c r="F21" i="25"/>
  <c r="M21" i="25" s="1"/>
  <c r="F21" i="20"/>
  <c r="N21" i="20" s="1"/>
  <c r="F20" i="19"/>
  <c r="N20" i="19" s="1"/>
  <c r="F20" i="18"/>
  <c r="M20" i="18" s="1"/>
  <c r="F20" i="23"/>
  <c r="O20" i="23" s="1"/>
  <c r="F19" i="17"/>
  <c r="O19" i="17" s="1"/>
  <c r="F13" i="25"/>
  <c r="M13" i="25" s="1"/>
  <c r="F13" i="20"/>
  <c r="N13" i="20" s="1"/>
  <c r="F13" i="24"/>
  <c r="N13" i="24" s="1"/>
  <c r="F12" i="18"/>
  <c r="M12" i="18" s="1"/>
  <c r="F12" i="23"/>
  <c r="O12" i="23" s="1"/>
  <c r="F12" i="19"/>
  <c r="N12" i="19" s="1"/>
  <c r="F11" i="17"/>
  <c r="O11" i="17" s="1"/>
  <c r="F5" i="24"/>
  <c r="N5" i="24" s="1"/>
  <c r="F5" i="25"/>
  <c r="M5" i="25" s="1"/>
  <c r="F5" i="20"/>
  <c r="N5" i="20" s="1"/>
  <c r="F4" i="19"/>
  <c r="N4" i="19" s="1"/>
  <c r="F4" i="18"/>
  <c r="M4" i="18" s="1"/>
  <c r="F4" i="23"/>
  <c r="O4" i="23" s="1"/>
  <c r="F3" i="17"/>
  <c r="O3" i="17" s="1"/>
  <c r="H96" i="35"/>
  <c r="P96" i="35" s="1"/>
  <c r="H97" i="35"/>
  <c r="P97" i="35" s="1"/>
  <c r="H97" i="30"/>
  <c r="O97" i="30" s="1"/>
  <c r="H109" i="30"/>
  <c r="O109" i="30" s="1"/>
  <c r="H109" i="18"/>
  <c r="O109" i="18" s="1"/>
  <c r="DK100" i="2"/>
  <c r="DE109" i="2"/>
  <c r="E161" i="6"/>
  <c r="E173" i="6" s="1"/>
  <c r="E185" i="6" s="1"/>
  <c r="E197" i="6" s="1"/>
  <c r="E209" i="6" s="1"/>
  <c r="DB121" i="2"/>
  <c r="DB119" i="2"/>
  <c r="DD116" i="2"/>
  <c r="H116" i="24" s="1"/>
  <c r="P116" i="24" s="1"/>
  <c r="S116" i="24" s="1"/>
  <c r="H151" i="6"/>
  <c r="H163" i="6" s="1"/>
  <c r="H175" i="6" s="1"/>
  <c r="H187" i="6" s="1"/>
  <c r="H199" i="6" s="1"/>
  <c r="H211" i="6" s="1"/>
  <c r="H86" i="35"/>
  <c r="P86" i="35" s="1"/>
  <c r="H86" i="24"/>
  <c r="P86" i="24" s="1"/>
  <c r="H84" i="30"/>
  <c r="O84" i="30" s="1"/>
  <c r="Q84" i="30" s="1"/>
  <c r="H84" i="18"/>
  <c r="O84" i="18" s="1"/>
  <c r="H70" i="35"/>
  <c r="P70" i="35" s="1"/>
  <c r="H70" i="24"/>
  <c r="P70" i="24" s="1"/>
  <c r="H68" i="30"/>
  <c r="O68" i="30" s="1"/>
  <c r="H68" i="18"/>
  <c r="O68" i="18" s="1"/>
  <c r="H54" i="35"/>
  <c r="P54" i="35" s="1"/>
  <c r="H54" i="24"/>
  <c r="P54" i="24" s="1"/>
  <c r="H52" i="30"/>
  <c r="O52" i="30" s="1"/>
  <c r="H52" i="18"/>
  <c r="O52" i="18" s="1"/>
  <c r="H38" i="35"/>
  <c r="P38" i="35" s="1"/>
  <c r="H38" i="24"/>
  <c r="P38" i="24" s="1"/>
  <c r="H36" i="30"/>
  <c r="O36" i="30" s="1"/>
  <c r="Q36" i="30" s="1"/>
  <c r="H36" i="18"/>
  <c r="O36" i="18" s="1"/>
  <c r="H22" i="35"/>
  <c r="P22" i="35" s="1"/>
  <c r="H22" i="24"/>
  <c r="P22" i="24" s="1"/>
  <c r="H20" i="30"/>
  <c r="O20" i="30" s="1"/>
  <c r="H20" i="18"/>
  <c r="O20" i="18" s="1"/>
  <c r="H6" i="35"/>
  <c r="P6" i="35" s="1"/>
  <c r="H6" i="24"/>
  <c r="P6" i="24" s="1"/>
  <c r="H4" i="30"/>
  <c r="O4" i="30" s="1"/>
  <c r="H4" i="18"/>
  <c r="O4" i="18" s="1"/>
  <c r="G151" i="6"/>
  <c r="G163" i="6" s="1"/>
  <c r="G175" i="6" s="1"/>
  <c r="G187" i="6" s="1"/>
  <c r="G199" i="6" s="1"/>
  <c r="G211" i="6" s="1"/>
  <c r="H87" i="35"/>
  <c r="P87" i="35" s="1"/>
  <c r="H87" i="24"/>
  <c r="P87" i="24" s="1"/>
  <c r="H85" i="30"/>
  <c r="O85" i="30" s="1"/>
  <c r="H85" i="18"/>
  <c r="O85" i="18" s="1"/>
  <c r="Q85" i="18" s="1"/>
  <c r="H71" i="35"/>
  <c r="P71" i="35" s="1"/>
  <c r="H71" i="24"/>
  <c r="P71" i="24" s="1"/>
  <c r="H69" i="30"/>
  <c r="O69" i="30" s="1"/>
  <c r="H69" i="18"/>
  <c r="O69" i="18" s="1"/>
  <c r="H55" i="35"/>
  <c r="P55" i="35" s="1"/>
  <c r="H55" i="24"/>
  <c r="P55" i="24" s="1"/>
  <c r="H53" i="30"/>
  <c r="O53" i="30" s="1"/>
  <c r="H53" i="18"/>
  <c r="O53" i="18" s="1"/>
  <c r="H39" i="35"/>
  <c r="P39" i="35" s="1"/>
  <c r="H39" i="24"/>
  <c r="P39" i="24" s="1"/>
  <c r="H37" i="30"/>
  <c r="O37" i="30" s="1"/>
  <c r="Q37" i="30" s="1"/>
  <c r="H37" i="18"/>
  <c r="O37" i="18" s="1"/>
  <c r="H23" i="35"/>
  <c r="P23" i="35" s="1"/>
  <c r="H23" i="24"/>
  <c r="P23" i="24" s="1"/>
  <c r="H21" i="30"/>
  <c r="O21" i="30" s="1"/>
  <c r="H21" i="18"/>
  <c r="O21" i="18" s="1"/>
  <c r="H7" i="35"/>
  <c r="P7" i="35" s="1"/>
  <c r="H7" i="24"/>
  <c r="P7" i="24" s="1"/>
  <c r="H5" i="30"/>
  <c r="O5" i="30" s="1"/>
  <c r="H5" i="18"/>
  <c r="O5" i="18" s="1"/>
  <c r="DB116" i="2"/>
  <c r="H88" i="35"/>
  <c r="P88" i="35" s="1"/>
  <c r="H88" i="24"/>
  <c r="P88" i="24" s="1"/>
  <c r="H86" i="30"/>
  <c r="O86" i="30" s="1"/>
  <c r="H86" i="18"/>
  <c r="O86" i="18" s="1"/>
  <c r="H72" i="24"/>
  <c r="P72" i="24" s="1"/>
  <c r="H72" i="35"/>
  <c r="P72" i="35" s="1"/>
  <c r="H70" i="30"/>
  <c r="O70" i="30" s="1"/>
  <c r="H70" i="18"/>
  <c r="O70" i="18" s="1"/>
  <c r="H56" i="35"/>
  <c r="P56" i="35" s="1"/>
  <c r="H56" i="24"/>
  <c r="P56" i="24" s="1"/>
  <c r="H54" i="30"/>
  <c r="O54" i="30" s="1"/>
  <c r="H54" i="18"/>
  <c r="O54" i="18" s="1"/>
  <c r="H40" i="24"/>
  <c r="P40" i="24" s="1"/>
  <c r="H40" i="35"/>
  <c r="P40" i="35" s="1"/>
  <c r="H38" i="30"/>
  <c r="O38" i="30" s="1"/>
  <c r="H38" i="18"/>
  <c r="O38" i="18" s="1"/>
  <c r="H24" i="35"/>
  <c r="P24" i="35" s="1"/>
  <c r="H24" i="24"/>
  <c r="P24" i="24" s="1"/>
  <c r="H22" i="30"/>
  <c r="O22" i="30" s="1"/>
  <c r="H22" i="18"/>
  <c r="O22" i="18" s="1"/>
  <c r="H8" i="35"/>
  <c r="P8" i="35" s="1"/>
  <c r="H8" i="24"/>
  <c r="P8" i="24" s="1"/>
  <c r="H6" i="30"/>
  <c r="O6" i="30" s="1"/>
  <c r="H6" i="18"/>
  <c r="O6" i="18" s="1"/>
  <c r="I153" i="6"/>
  <c r="I165" i="6" s="1"/>
  <c r="I177" i="6" s="1"/>
  <c r="I189" i="6" s="1"/>
  <c r="I201" i="6" s="1"/>
  <c r="I213" i="6" s="1"/>
  <c r="E151" i="6"/>
  <c r="E163" i="6" s="1"/>
  <c r="E175" i="6" s="1"/>
  <c r="E187" i="6" s="1"/>
  <c r="E199" i="6" s="1"/>
  <c r="E211" i="6" s="1"/>
  <c r="H89" i="35"/>
  <c r="P89" i="35" s="1"/>
  <c r="H89" i="24"/>
  <c r="P89" i="24" s="1"/>
  <c r="H87" i="30"/>
  <c r="O87" i="30" s="1"/>
  <c r="H87" i="18"/>
  <c r="O87" i="18" s="1"/>
  <c r="H73" i="35"/>
  <c r="P73" i="35" s="1"/>
  <c r="H73" i="24"/>
  <c r="P73" i="24" s="1"/>
  <c r="H71" i="30"/>
  <c r="O71" i="30" s="1"/>
  <c r="H71" i="18"/>
  <c r="O71" i="18" s="1"/>
  <c r="H57" i="35"/>
  <c r="P57" i="35" s="1"/>
  <c r="H57" i="24"/>
  <c r="P57" i="24" s="1"/>
  <c r="H55" i="30"/>
  <c r="O55" i="30" s="1"/>
  <c r="H55" i="18"/>
  <c r="O55" i="18" s="1"/>
  <c r="H41" i="35"/>
  <c r="P41" i="35" s="1"/>
  <c r="H41" i="24"/>
  <c r="P41" i="24" s="1"/>
  <c r="H39" i="30"/>
  <c r="O39" i="30" s="1"/>
  <c r="H39" i="18"/>
  <c r="O39" i="18" s="1"/>
  <c r="H25" i="35"/>
  <c r="P25" i="35" s="1"/>
  <c r="H25" i="24"/>
  <c r="P25" i="24" s="1"/>
  <c r="H23" i="30"/>
  <c r="O23" i="30" s="1"/>
  <c r="H23" i="18"/>
  <c r="O23" i="18" s="1"/>
  <c r="H9" i="35"/>
  <c r="P9" i="35" s="1"/>
  <c r="H9" i="24"/>
  <c r="P9" i="24" s="1"/>
  <c r="H7" i="30"/>
  <c r="O7" i="30" s="1"/>
  <c r="H7" i="18"/>
  <c r="O7" i="18" s="1"/>
  <c r="H153" i="6"/>
  <c r="H165" i="6" s="1"/>
  <c r="H177" i="6" s="1"/>
  <c r="H189" i="6" s="1"/>
  <c r="H201" i="6" s="1"/>
  <c r="H213" i="6" s="1"/>
  <c r="H90" i="35"/>
  <c r="P90" i="35" s="1"/>
  <c r="H90" i="24"/>
  <c r="P90" i="24" s="1"/>
  <c r="H88" i="30"/>
  <c r="O88" i="30" s="1"/>
  <c r="H88" i="18"/>
  <c r="O88" i="18" s="1"/>
  <c r="H74" i="35"/>
  <c r="P74" i="35" s="1"/>
  <c r="H74" i="24"/>
  <c r="P74" i="24" s="1"/>
  <c r="H72" i="30"/>
  <c r="O72" i="30" s="1"/>
  <c r="H72" i="18"/>
  <c r="O72" i="18" s="1"/>
  <c r="H58" i="35"/>
  <c r="P58" i="35" s="1"/>
  <c r="H58" i="24"/>
  <c r="P58" i="24" s="1"/>
  <c r="H56" i="30"/>
  <c r="O56" i="30" s="1"/>
  <c r="H56" i="18"/>
  <c r="O56" i="18" s="1"/>
  <c r="H42" i="35"/>
  <c r="P42" i="35" s="1"/>
  <c r="H42" i="24"/>
  <c r="P42" i="24" s="1"/>
  <c r="H40" i="30"/>
  <c r="O40" i="30" s="1"/>
  <c r="H40" i="18"/>
  <c r="O40" i="18" s="1"/>
  <c r="H26" i="35"/>
  <c r="P26" i="35" s="1"/>
  <c r="S26" i="35" s="1"/>
  <c r="H26" i="24"/>
  <c r="P26" i="24" s="1"/>
  <c r="H24" i="30"/>
  <c r="O24" i="30" s="1"/>
  <c r="H24" i="18"/>
  <c r="O24" i="18" s="1"/>
  <c r="H10" i="35"/>
  <c r="P10" i="35" s="1"/>
  <c r="H10" i="24"/>
  <c r="P10" i="24" s="1"/>
  <c r="H8" i="30"/>
  <c r="O8" i="30" s="1"/>
  <c r="H8" i="18"/>
  <c r="O8" i="18" s="1"/>
  <c r="G153" i="6"/>
  <c r="G165" i="6" s="1"/>
  <c r="G177" i="6" s="1"/>
  <c r="G189" i="6" s="1"/>
  <c r="G201" i="6" s="1"/>
  <c r="G213" i="6" s="1"/>
  <c r="I150" i="6"/>
  <c r="I162" i="6" s="1"/>
  <c r="I174" i="6" s="1"/>
  <c r="I186" i="6" s="1"/>
  <c r="I198" i="6" s="1"/>
  <c r="I210" i="6" s="1"/>
  <c r="H91" i="35"/>
  <c r="P91" i="35" s="1"/>
  <c r="H91" i="24"/>
  <c r="P91" i="24" s="1"/>
  <c r="H89" i="30"/>
  <c r="O89" i="30" s="1"/>
  <c r="H89" i="18"/>
  <c r="O89" i="18" s="1"/>
  <c r="H75" i="35"/>
  <c r="P75" i="35" s="1"/>
  <c r="S75" i="35" s="1"/>
  <c r="H75" i="24"/>
  <c r="P75" i="24" s="1"/>
  <c r="H73" i="30"/>
  <c r="O73" i="30" s="1"/>
  <c r="H73" i="18"/>
  <c r="O73" i="18" s="1"/>
  <c r="H59" i="35"/>
  <c r="P59" i="35" s="1"/>
  <c r="H59" i="24"/>
  <c r="P59" i="24" s="1"/>
  <c r="H57" i="30"/>
  <c r="O57" i="30" s="1"/>
  <c r="H57" i="18"/>
  <c r="O57" i="18" s="1"/>
  <c r="H43" i="35"/>
  <c r="P43" i="35" s="1"/>
  <c r="H43" i="24"/>
  <c r="P43" i="24" s="1"/>
  <c r="H41" i="30"/>
  <c r="O41" i="30" s="1"/>
  <c r="H41" i="18"/>
  <c r="O41" i="18" s="1"/>
  <c r="H27" i="35"/>
  <c r="P27" i="35" s="1"/>
  <c r="S27" i="35" s="1"/>
  <c r="H27" i="24"/>
  <c r="P27" i="24" s="1"/>
  <c r="S27" i="24" s="1"/>
  <c r="H25" i="30"/>
  <c r="O25" i="30" s="1"/>
  <c r="H25" i="18"/>
  <c r="O25" i="18" s="1"/>
  <c r="H11" i="35"/>
  <c r="P11" i="35" s="1"/>
  <c r="H11" i="24"/>
  <c r="P11" i="24" s="1"/>
  <c r="H9" i="30"/>
  <c r="O9" i="30" s="1"/>
  <c r="H9" i="18"/>
  <c r="O9" i="18" s="1"/>
  <c r="H150" i="6"/>
  <c r="H162" i="6" s="1"/>
  <c r="H174" i="6" s="1"/>
  <c r="H186" i="6" s="1"/>
  <c r="H198" i="6" s="1"/>
  <c r="H210" i="6" s="1"/>
  <c r="H92" i="35"/>
  <c r="P92" i="35" s="1"/>
  <c r="H92" i="24"/>
  <c r="P92" i="24" s="1"/>
  <c r="H90" i="30"/>
  <c r="O90" i="30" s="1"/>
  <c r="H90" i="18"/>
  <c r="O90" i="18" s="1"/>
  <c r="H76" i="35"/>
  <c r="P76" i="35" s="1"/>
  <c r="S76" i="35" s="1"/>
  <c r="H76" i="24"/>
  <c r="P76" i="24" s="1"/>
  <c r="H74" i="30"/>
  <c r="O74" i="30" s="1"/>
  <c r="H74" i="18"/>
  <c r="O74" i="18" s="1"/>
  <c r="H60" i="35"/>
  <c r="P60" i="35" s="1"/>
  <c r="H60" i="24"/>
  <c r="P60" i="24" s="1"/>
  <c r="H58" i="30"/>
  <c r="O58" i="30" s="1"/>
  <c r="H58" i="18"/>
  <c r="O58" i="18" s="1"/>
  <c r="H44" i="35"/>
  <c r="P44" i="35" s="1"/>
  <c r="H44" i="24"/>
  <c r="P44" i="24" s="1"/>
  <c r="H42" i="30"/>
  <c r="O42" i="30" s="1"/>
  <c r="H42" i="18"/>
  <c r="O42" i="18" s="1"/>
  <c r="H28" i="35"/>
  <c r="P28" i="35" s="1"/>
  <c r="S28" i="35" s="1"/>
  <c r="H28" i="24"/>
  <c r="P28" i="24" s="1"/>
  <c r="H26" i="30"/>
  <c r="O26" i="30" s="1"/>
  <c r="Q26" i="30" s="1"/>
  <c r="H26" i="18"/>
  <c r="O26" i="18" s="1"/>
  <c r="Q26" i="18" s="1"/>
  <c r="H12" i="35"/>
  <c r="P12" i="35" s="1"/>
  <c r="H12" i="24"/>
  <c r="P12" i="24" s="1"/>
  <c r="H10" i="30"/>
  <c r="O10" i="30" s="1"/>
  <c r="H10" i="18"/>
  <c r="O10" i="18" s="1"/>
  <c r="E153" i="6"/>
  <c r="E165" i="6" s="1"/>
  <c r="E177" i="6" s="1"/>
  <c r="E189" i="6" s="1"/>
  <c r="E201" i="6" s="1"/>
  <c r="E213" i="6" s="1"/>
  <c r="G150" i="6"/>
  <c r="G162" i="6" s="1"/>
  <c r="G174" i="6" s="1"/>
  <c r="G186" i="6" s="1"/>
  <c r="G198" i="6" s="1"/>
  <c r="G210" i="6" s="1"/>
  <c r="H93" i="35"/>
  <c r="P93" i="35" s="1"/>
  <c r="H93" i="24"/>
  <c r="P93" i="24" s="1"/>
  <c r="H91" i="30"/>
  <c r="O91" i="30" s="1"/>
  <c r="H91" i="18"/>
  <c r="O91" i="18" s="1"/>
  <c r="H77" i="35"/>
  <c r="P77" i="35" s="1"/>
  <c r="S77" i="35" s="1"/>
  <c r="H77" i="24"/>
  <c r="P77" i="24" s="1"/>
  <c r="H75" i="30"/>
  <c r="O75" i="30" s="1"/>
  <c r="Q75" i="30" s="1"/>
  <c r="H75" i="18"/>
  <c r="O75" i="18" s="1"/>
  <c r="H61" i="35"/>
  <c r="P61" i="35" s="1"/>
  <c r="H61" i="24"/>
  <c r="P61" i="24" s="1"/>
  <c r="H59" i="30"/>
  <c r="O59" i="30" s="1"/>
  <c r="H59" i="18"/>
  <c r="O59" i="18" s="1"/>
  <c r="H45" i="35"/>
  <c r="P45" i="35" s="1"/>
  <c r="H45" i="24"/>
  <c r="P45" i="24" s="1"/>
  <c r="H43" i="30"/>
  <c r="O43" i="30" s="1"/>
  <c r="H43" i="18"/>
  <c r="O43" i="18" s="1"/>
  <c r="H29" i="35"/>
  <c r="P29" i="35" s="1"/>
  <c r="S29" i="35" s="1"/>
  <c r="H29" i="24"/>
  <c r="P29" i="24" s="1"/>
  <c r="H27" i="30"/>
  <c r="O27" i="30" s="1"/>
  <c r="Q27" i="30" s="1"/>
  <c r="H27" i="18"/>
  <c r="O27" i="18" s="1"/>
  <c r="H13" i="35"/>
  <c r="P13" i="35" s="1"/>
  <c r="H13" i="24"/>
  <c r="P13" i="24" s="1"/>
  <c r="H11" i="30"/>
  <c r="O11" i="30" s="1"/>
  <c r="H11" i="18"/>
  <c r="O11" i="18" s="1"/>
  <c r="H94" i="35"/>
  <c r="P94" i="35" s="1"/>
  <c r="H94" i="24"/>
  <c r="P94" i="24" s="1"/>
  <c r="H92" i="30"/>
  <c r="O92" i="30" s="1"/>
  <c r="H92" i="18"/>
  <c r="O92" i="18" s="1"/>
  <c r="H78" i="35"/>
  <c r="P78" i="35" s="1"/>
  <c r="S78" i="35" s="1"/>
  <c r="H78" i="24"/>
  <c r="P78" i="24" s="1"/>
  <c r="H76" i="30"/>
  <c r="O76" i="30" s="1"/>
  <c r="Q76" i="30" s="1"/>
  <c r="H76" i="18"/>
  <c r="O76" i="18" s="1"/>
  <c r="H62" i="35"/>
  <c r="P62" i="35" s="1"/>
  <c r="H62" i="24"/>
  <c r="P62" i="24" s="1"/>
  <c r="H60" i="30"/>
  <c r="O60" i="30" s="1"/>
  <c r="H60" i="18"/>
  <c r="O60" i="18" s="1"/>
  <c r="H46" i="35"/>
  <c r="P46" i="35" s="1"/>
  <c r="H46" i="24"/>
  <c r="P46" i="24" s="1"/>
  <c r="H44" i="30"/>
  <c r="O44" i="30" s="1"/>
  <c r="H44" i="18"/>
  <c r="O44" i="18" s="1"/>
  <c r="H30" i="35"/>
  <c r="P30" i="35" s="1"/>
  <c r="S30" i="35" s="1"/>
  <c r="H30" i="24"/>
  <c r="P30" i="24" s="1"/>
  <c r="S30" i="24" s="1"/>
  <c r="H28" i="30"/>
  <c r="O28" i="30" s="1"/>
  <c r="Q28" i="30" s="1"/>
  <c r="H28" i="18"/>
  <c r="O28" i="18" s="1"/>
  <c r="H14" i="35"/>
  <c r="P14" i="35" s="1"/>
  <c r="H14" i="24"/>
  <c r="P14" i="24" s="1"/>
  <c r="H12" i="30"/>
  <c r="O12" i="30" s="1"/>
  <c r="H12" i="18"/>
  <c r="O12" i="18" s="1"/>
  <c r="I152" i="6"/>
  <c r="I164" i="6" s="1"/>
  <c r="I176" i="6" s="1"/>
  <c r="I188" i="6" s="1"/>
  <c r="I200" i="6" s="1"/>
  <c r="I212" i="6" s="1"/>
  <c r="E150" i="6"/>
  <c r="E162" i="6" s="1"/>
  <c r="E174" i="6" s="1"/>
  <c r="E186" i="6" s="1"/>
  <c r="E198" i="6" s="1"/>
  <c r="E210" i="6" s="1"/>
  <c r="H95" i="35"/>
  <c r="P95" i="35" s="1"/>
  <c r="H95" i="24"/>
  <c r="P95" i="24" s="1"/>
  <c r="H93" i="30"/>
  <c r="O93" i="30" s="1"/>
  <c r="H93" i="18"/>
  <c r="O93" i="18" s="1"/>
  <c r="H79" i="35"/>
  <c r="P79" i="35" s="1"/>
  <c r="S79" i="35" s="1"/>
  <c r="H79" i="24"/>
  <c r="P79" i="24" s="1"/>
  <c r="H77" i="30"/>
  <c r="O77" i="30" s="1"/>
  <c r="Q77" i="30" s="1"/>
  <c r="H77" i="18"/>
  <c r="O77" i="18" s="1"/>
  <c r="Q77" i="18" s="1"/>
  <c r="H63" i="35"/>
  <c r="P63" i="35" s="1"/>
  <c r="H63" i="24"/>
  <c r="P63" i="24" s="1"/>
  <c r="H61" i="30"/>
  <c r="O61" i="30" s="1"/>
  <c r="H61" i="18"/>
  <c r="O61" i="18" s="1"/>
  <c r="H47" i="35"/>
  <c r="P47" i="35" s="1"/>
  <c r="H47" i="24"/>
  <c r="P47" i="24" s="1"/>
  <c r="H45" i="30"/>
  <c r="O45" i="30" s="1"/>
  <c r="H45" i="18"/>
  <c r="O45" i="18" s="1"/>
  <c r="H31" i="35"/>
  <c r="P31" i="35" s="1"/>
  <c r="S31" i="35" s="1"/>
  <c r="H31" i="24"/>
  <c r="P31" i="24" s="1"/>
  <c r="H29" i="30"/>
  <c r="O29" i="30" s="1"/>
  <c r="Q29" i="30" s="1"/>
  <c r="H29" i="18"/>
  <c r="O29" i="18" s="1"/>
  <c r="H15" i="35"/>
  <c r="P15" i="35" s="1"/>
  <c r="H15" i="24"/>
  <c r="P15" i="24" s="1"/>
  <c r="H13" i="30"/>
  <c r="O13" i="30" s="1"/>
  <c r="H13" i="18"/>
  <c r="O13" i="18" s="1"/>
  <c r="DD109" i="2"/>
  <c r="I160" i="6"/>
  <c r="I172" i="6" s="1"/>
  <c r="I184" i="6" s="1"/>
  <c r="I196" i="6" s="1"/>
  <c r="I208" i="6" s="1"/>
  <c r="DB120" i="2"/>
  <c r="DD117" i="2"/>
  <c r="H117" i="24" s="1"/>
  <c r="P117" i="24" s="1"/>
  <c r="S117" i="24" s="1"/>
  <c r="H152" i="6"/>
  <c r="H164" i="6" s="1"/>
  <c r="H176" i="6" s="1"/>
  <c r="H188" i="6" s="1"/>
  <c r="H200" i="6" s="1"/>
  <c r="H212" i="6" s="1"/>
  <c r="H96" i="24"/>
  <c r="P96" i="24" s="1"/>
  <c r="H94" i="30"/>
  <c r="O94" i="30" s="1"/>
  <c r="H94" i="18"/>
  <c r="O94" i="18" s="1"/>
  <c r="H80" i="35"/>
  <c r="P80" i="35" s="1"/>
  <c r="S80" i="35" s="1"/>
  <c r="H80" i="24"/>
  <c r="P80" i="24" s="1"/>
  <c r="H78" i="30"/>
  <c r="O78" i="30" s="1"/>
  <c r="Q78" i="30" s="1"/>
  <c r="H78" i="18"/>
  <c r="O78" i="18" s="1"/>
  <c r="Q78" i="18" s="1"/>
  <c r="H64" i="35"/>
  <c r="P64" i="35" s="1"/>
  <c r="H64" i="24"/>
  <c r="P64" i="24" s="1"/>
  <c r="H62" i="30"/>
  <c r="O62" i="30" s="1"/>
  <c r="H62" i="18"/>
  <c r="O62" i="18" s="1"/>
  <c r="H48" i="35"/>
  <c r="P48" i="35" s="1"/>
  <c r="H48" i="24"/>
  <c r="P48" i="24" s="1"/>
  <c r="H46" i="30"/>
  <c r="O46" i="30" s="1"/>
  <c r="H46" i="18"/>
  <c r="O46" i="18" s="1"/>
  <c r="H32" i="35"/>
  <c r="P32" i="35" s="1"/>
  <c r="S32" i="35" s="1"/>
  <c r="H32" i="24"/>
  <c r="P32" i="24" s="1"/>
  <c r="H30" i="30"/>
  <c r="O30" i="30" s="1"/>
  <c r="Q30" i="30" s="1"/>
  <c r="H30" i="18"/>
  <c r="O30" i="18" s="1"/>
  <c r="H16" i="35"/>
  <c r="P16" i="35" s="1"/>
  <c r="H16" i="24"/>
  <c r="P16" i="24" s="1"/>
  <c r="H14" i="30"/>
  <c r="O14" i="30" s="1"/>
  <c r="H14" i="18"/>
  <c r="O14" i="18" s="1"/>
  <c r="H160" i="6"/>
  <c r="H172" i="6" s="1"/>
  <c r="H184" i="6" s="1"/>
  <c r="H196" i="6" s="1"/>
  <c r="H208" i="6" s="1"/>
  <c r="G152" i="6"/>
  <c r="G164" i="6" s="1"/>
  <c r="G176" i="6" s="1"/>
  <c r="G188" i="6" s="1"/>
  <c r="G200" i="6" s="1"/>
  <c r="G212" i="6" s="1"/>
  <c r="I161" i="6"/>
  <c r="I173" i="6" s="1"/>
  <c r="I185" i="6" s="1"/>
  <c r="I197" i="6" s="1"/>
  <c r="I209" i="6" s="1"/>
  <c r="H97" i="24"/>
  <c r="P97" i="24" s="1"/>
  <c r="H95" i="30"/>
  <c r="O95" i="30" s="1"/>
  <c r="H95" i="18"/>
  <c r="O95" i="18" s="1"/>
  <c r="H81" i="35"/>
  <c r="P81" i="35" s="1"/>
  <c r="S81" i="35" s="1"/>
  <c r="H81" i="24"/>
  <c r="P81" i="24" s="1"/>
  <c r="H79" i="30"/>
  <c r="O79" i="30" s="1"/>
  <c r="Q79" i="30" s="1"/>
  <c r="H79" i="18"/>
  <c r="O79" i="18" s="1"/>
  <c r="Q79" i="18" s="1"/>
  <c r="H65" i="35"/>
  <c r="P65" i="35" s="1"/>
  <c r="H65" i="24"/>
  <c r="P65" i="24" s="1"/>
  <c r="H63" i="30"/>
  <c r="O63" i="30" s="1"/>
  <c r="H63" i="18"/>
  <c r="O63" i="18" s="1"/>
  <c r="H49" i="35"/>
  <c r="P49" i="35" s="1"/>
  <c r="H49" i="24"/>
  <c r="P49" i="24" s="1"/>
  <c r="H47" i="30"/>
  <c r="O47" i="30" s="1"/>
  <c r="H47" i="18"/>
  <c r="O47" i="18" s="1"/>
  <c r="H33" i="35"/>
  <c r="P33" i="35" s="1"/>
  <c r="S33" i="35" s="1"/>
  <c r="H33" i="24"/>
  <c r="P33" i="24" s="1"/>
  <c r="H31" i="30"/>
  <c r="O31" i="30" s="1"/>
  <c r="Q31" i="30" s="1"/>
  <c r="H31" i="18"/>
  <c r="O31" i="18" s="1"/>
  <c r="H17" i="35"/>
  <c r="P17" i="35" s="1"/>
  <c r="H17" i="24"/>
  <c r="P17" i="24" s="1"/>
  <c r="H15" i="30"/>
  <c r="O15" i="30" s="1"/>
  <c r="H15" i="18"/>
  <c r="O15" i="18" s="1"/>
  <c r="G160" i="6"/>
  <c r="G172" i="6" s="1"/>
  <c r="G184" i="6" s="1"/>
  <c r="G196" i="6" s="1"/>
  <c r="G208" i="6" s="1"/>
  <c r="DB117" i="2"/>
  <c r="H161" i="6"/>
  <c r="H173" i="6" s="1"/>
  <c r="H185" i="6" s="1"/>
  <c r="H197" i="6" s="1"/>
  <c r="H209" i="6" s="1"/>
  <c r="H96" i="30"/>
  <c r="O96" i="30" s="1"/>
  <c r="H96" i="18"/>
  <c r="O96" i="18" s="1"/>
  <c r="H82" i="35"/>
  <c r="P82" i="35" s="1"/>
  <c r="S82" i="35" s="1"/>
  <c r="H82" i="24"/>
  <c r="P82" i="24" s="1"/>
  <c r="S82" i="24" s="1"/>
  <c r="H80" i="30"/>
  <c r="O80" i="30" s="1"/>
  <c r="Q80" i="30" s="1"/>
  <c r="H80" i="18"/>
  <c r="O80" i="18" s="1"/>
  <c r="H66" i="35"/>
  <c r="P66" i="35" s="1"/>
  <c r="H66" i="24"/>
  <c r="P66" i="24" s="1"/>
  <c r="H64" i="30"/>
  <c r="O64" i="30" s="1"/>
  <c r="H64" i="18"/>
  <c r="O64" i="18" s="1"/>
  <c r="H50" i="35"/>
  <c r="P50" i="35" s="1"/>
  <c r="H50" i="24"/>
  <c r="P50" i="24" s="1"/>
  <c r="H48" i="30"/>
  <c r="O48" i="30" s="1"/>
  <c r="H48" i="18"/>
  <c r="O48" i="18" s="1"/>
  <c r="H34" i="35"/>
  <c r="P34" i="35" s="1"/>
  <c r="S34" i="35" s="1"/>
  <c r="H34" i="24"/>
  <c r="P34" i="24" s="1"/>
  <c r="S34" i="24" s="1"/>
  <c r="H32" i="30"/>
  <c r="O32" i="30" s="1"/>
  <c r="Q32" i="30" s="1"/>
  <c r="H32" i="18"/>
  <c r="O32" i="18" s="1"/>
  <c r="H18" i="35"/>
  <c r="P18" i="35" s="1"/>
  <c r="H18" i="24"/>
  <c r="P18" i="24" s="1"/>
  <c r="H16" i="30"/>
  <c r="O16" i="30" s="1"/>
  <c r="H16" i="18"/>
  <c r="O16" i="18" s="1"/>
  <c r="H2" i="35"/>
  <c r="P2" i="35" s="1"/>
  <c r="H2" i="24"/>
  <c r="P2" i="24" s="1"/>
  <c r="E152" i="6"/>
  <c r="E164" i="6" s="1"/>
  <c r="E176" i="6" s="1"/>
  <c r="E188" i="6" s="1"/>
  <c r="E200" i="6" s="1"/>
  <c r="E212" i="6" s="1"/>
  <c r="G161" i="6"/>
  <c r="G173" i="6" s="1"/>
  <c r="G185" i="6" s="1"/>
  <c r="G197" i="6" s="1"/>
  <c r="G209" i="6" s="1"/>
  <c r="H97" i="18"/>
  <c r="O97" i="18" s="1"/>
  <c r="H83" i="35"/>
  <c r="P83" i="35" s="1"/>
  <c r="S83" i="35" s="1"/>
  <c r="H83" i="24"/>
  <c r="P83" i="24" s="1"/>
  <c r="H81" i="30"/>
  <c r="O81" i="30" s="1"/>
  <c r="Q81" i="30" s="1"/>
  <c r="H81" i="18"/>
  <c r="O81" i="18" s="1"/>
  <c r="H67" i="35"/>
  <c r="P67" i="35" s="1"/>
  <c r="H67" i="24"/>
  <c r="P67" i="24" s="1"/>
  <c r="H65" i="30"/>
  <c r="O65" i="30" s="1"/>
  <c r="H65" i="18"/>
  <c r="O65" i="18" s="1"/>
  <c r="H51" i="35"/>
  <c r="P51" i="35" s="1"/>
  <c r="S51" i="35" s="1"/>
  <c r="H51" i="24"/>
  <c r="P51" i="24" s="1"/>
  <c r="H49" i="30"/>
  <c r="O49" i="30" s="1"/>
  <c r="H49" i="18"/>
  <c r="O49" i="18" s="1"/>
  <c r="H35" i="35"/>
  <c r="P35" i="35" s="1"/>
  <c r="S35" i="35" s="1"/>
  <c r="H35" i="24"/>
  <c r="P35" i="24" s="1"/>
  <c r="H33" i="30"/>
  <c r="O33" i="30" s="1"/>
  <c r="Q33" i="30" s="1"/>
  <c r="H33" i="18"/>
  <c r="O33" i="18" s="1"/>
  <c r="H19" i="35"/>
  <c r="P19" i="35" s="1"/>
  <c r="H19" i="24"/>
  <c r="P19" i="24" s="1"/>
  <c r="H17" i="30"/>
  <c r="O17" i="30" s="1"/>
  <c r="H17" i="18"/>
  <c r="O17" i="18" s="1"/>
  <c r="H3" i="35"/>
  <c r="P3" i="35" s="1"/>
  <c r="S3" i="35" s="1"/>
  <c r="V3" i="35" s="1"/>
  <c r="H3" i="24"/>
  <c r="P3" i="24" s="1"/>
  <c r="S3" i="24" s="1"/>
  <c r="U3" i="24" s="1"/>
  <c r="E160" i="6"/>
  <c r="E172" i="6" s="1"/>
  <c r="E184" i="6" s="1"/>
  <c r="E196" i="6" s="1"/>
  <c r="E208" i="6" s="1"/>
  <c r="H84" i="35"/>
  <c r="P84" i="35" s="1"/>
  <c r="S84" i="35" s="1"/>
  <c r="H84" i="24"/>
  <c r="P84" i="24" s="1"/>
  <c r="H82" i="30"/>
  <c r="O82" i="30" s="1"/>
  <c r="Q82" i="30" s="1"/>
  <c r="H82" i="18"/>
  <c r="O82" i="18" s="1"/>
  <c r="Q82" i="18" s="1"/>
  <c r="H68" i="35"/>
  <c r="P68" i="35" s="1"/>
  <c r="H68" i="24"/>
  <c r="P68" i="24" s="1"/>
  <c r="H66" i="30"/>
  <c r="O66" i="30" s="1"/>
  <c r="H66" i="18"/>
  <c r="O66" i="18" s="1"/>
  <c r="H52" i="35"/>
  <c r="P52" i="35" s="1"/>
  <c r="H52" i="24"/>
  <c r="P52" i="24" s="1"/>
  <c r="H50" i="30"/>
  <c r="O50" i="30" s="1"/>
  <c r="H50" i="18"/>
  <c r="O50" i="18" s="1"/>
  <c r="H36" i="35"/>
  <c r="P36" i="35" s="1"/>
  <c r="S36" i="35" s="1"/>
  <c r="H36" i="24"/>
  <c r="P36" i="24" s="1"/>
  <c r="H34" i="30"/>
  <c r="O34" i="30" s="1"/>
  <c r="Q34" i="30" s="1"/>
  <c r="H34" i="18"/>
  <c r="O34" i="18" s="1"/>
  <c r="H20" i="35"/>
  <c r="P20" i="35" s="1"/>
  <c r="H20" i="24"/>
  <c r="P20" i="24" s="1"/>
  <c r="H18" i="30"/>
  <c r="O18" i="30" s="1"/>
  <c r="H18" i="18"/>
  <c r="O18" i="18" s="1"/>
  <c r="H4" i="35"/>
  <c r="P4" i="35" s="1"/>
  <c r="H4" i="24"/>
  <c r="P4" i="24" s="1"/>
  <c r="H2" i="30"/>
  <c r="O2" i="30" s="1"/>
  <c r="H2" i="18"/>
  <c r="O2" i="18" s="1"/>
  <c r="I151" i="6"/>
  <c r="I163" i="6" s="1"/>
  <c r="I175" i="6" s="1"/>
  <c r="I187" i="6" s="1"/>
  <c r="I199" i="6" s="1"/>
  <c r="I211" i="6" s="1"/>
  <c r="H85" i="35"/>
  <c r="P85" i="35" s="1"/>
  <c r="H85" i="24"/>
  <c r="P85" i="24" s="1"/>
  <c r="H83" i="30"/>
  <c r="O83" i="30" s="1"/>
  <c r="Q83" i="30" s="1"/>
  <c r="H83" i="18"/>
  <c r="O83" i="18" s="1"/>
  <c r="H69" i="35"/>
  <c r="P69" i="35" s="1"/>
  <c r="H69" i="24"/>
  <c r="P69" i="24" s="1"/>
  <c r="H67" i="30"/>
  <c r="O67" i="30" s="1"/>
  <c r="H67" i="18"/>
  <c r="O67" i="18" s="1"/>
  <c r="H53" i="35"/>
  <c r="P53" i="35" s="1"/>
  <c r="H53" i="24"/>
  <c r="P53" i="24" s="1"/>
  <c r="H51" i="30"/>
  <c r="O51" i="30" s="1"/>
  <c r="Q51" i="30" s="1"/>
  <c r="H51" i="18"/>
  <c r="O51" i="18" s="1"/>
  <c r="H37" i="35"/>
  <c r="P37" i="35" s="1"/>
  <c r="S37" i="35" s="1"/>
  <c r="H37" i="24"/>
  <c r="P37" i="24" s="1"/>
  <c r="H35" i="30"/>
  <c r="O35" i="30" s="1"/>
  <c r="Q35" i="30" s="1"/>
  <c r="H35" i="18"/>
  <c r="O35" i="18" s="1"/>
  <c r="H21" i="35"/>
  <c r="P21" i="35" s="1"/>
  <c r="H21" i="24"/>
  <c r="P21" i="24" s="1"/>
  <c r="H19" i="30"/>
  <c r="O19" i="30" s="1"/>
  <c r="H19" i="18"/>
  <c r="O19" i="18" s="1"/>
  <c r="H5" i="35"/>
  <c r="P5" i="35" s="1"/>
  <c r="H5" i="24"/>
  <c r="P5" i="24" s="1"/>
  <c r="H3" i="30"/>
  <c r="O3" i="30" s="1"/>
  <c r="Q3" i="30" s="1"/>
  <c r="T3" i="30" s="1"/>
  <c r="H3" i="18"/>
  <c r="O3" i="18" s="1"/>
  <c r="Q3" i="18" s="1"/>
  <c r="S3" i="18" s="1"/>
  <c r="FK92" i="2"/>
  <c r="EW92" i="2"/>
  <c r="FG82" i="2"/>
  <c r="ES82" i="2"/>
  <c r="FA71" i="2"/>
  <c r="EM71" i="2"/>
  <c r="FC56" i="2"/>
  <c r="EO56" i="2"/>
  <c r="EY45" i="2"/>
  <c r="FM45" i="2"/>
  <c r="FI35" i="2"/>
  <c r="EU35" i="2"/>
  <c r="FI27" i="2"/>
  <c r="EU27" i="2"/>
  <c r="FG18" i="2"/>
  <c r="ES18" i="2"/>
  <c r="FI11" i="2"/>
  <c r="EU11" i="2"/>
  <c r="FM5" i="2"/>
  <c r="EY5" i="2"/>
  <c r="FD97" i="2"/>
  <c r="EP97" i="2"/>
  <c r="FB96" i="2"/>
  <c r="EN96" i="2"/>
  <c r="FN94" i="2"/>
  <c r="EZ94" i="2"/>
  <c r="FL93" i="2"/>
  <c r="EX93" i="2"/>
  <c r="FJ92" i="2"/>
  <c r="EV92" i="2"/>
  <c r="FH91" i="2"/>
  <c r="ET91" i="2"/>
  <c r="FF90" i="2"/>
  <c r="ER90" i="2"/>
  <c r="FD89" i="2"/>
  <c r="EP89" i="2"/>
  <c r="FB88" i="2"/>
  <c r="EN88" i="2"/>
  <c r="FN86" i="2"/>
  <c r="EZ86" i="2"/>
  <c r="FL85" i="2"/>
  <c r="EX85" i="2"/>
  <c r="FJ84" i="2"/>
  <c r="EV84" i="2"/>
  <c r="FH83" i="2"/>
  <c r="ET83" i="2"/>
  <c r="FF82" i="2"/>
  <c r="ER82" i="2"/>
  <c r="FD81" i="2"/>
  <c r="EP81" i="2"/>
  <c r="FB80" i="2"/>
  <c r="EN80" i="2"/>
  <c r="FN78" i="2"/>
  <c r="EZ78" i="2"/>
  <c r="FL77" i="2"/>
  <c r="EX77" i="2"/>
  <c r="FJ76" i="2"/>
  <c r="EV76" i="2"/>
  <c r="FH75" i="2"/>
  <c r="ET75" i="2"/>
  <c r="FF74" i="2"/>
  <c r="ER74" i="2"/>
  <c r="FD73" i="2"/>
  <c r="EP73" i="2"/>
  <c r="EN72" i="2"/>
  <c r="FB72" i="2"/>
  <c r="FN70" i="2"/>
  <c r="EZ70" i="2"/>
  <c r="FL69" i="2"/>
  <c r="EX69" i="2"/>
  <c r="FJ68" i="2"/>
  <c r="EV68" i="2"/>
  <c r="FH67" i="2"/>
  <c r="ET67" i="2"/>
  <c r="FF66" i="2"/>
  <c r="ER66" i="2"/>
  <c r="FD65" i="2"/>
  <c r="EP65" i="2"/>
  <c r="FB64" i="2"/>
  <c r="EN64" i="2"/>
  <c r="FN62" i="2"/>
  <c r="EZ62" i="2"/>
  <c r="FL61" i="2"/>
  <c r="EX61" i="2"/>
  <c r="FJ60" i="2"/>
  <c r="EV60" i="2"/>
  <c r="FH59" i="2"/>
  <c r="ET59" i="2"/>
  <c r="FF58" i="2"/>
  <c r="ER58" i="2"/>
  <c r="FD57" i="2"/>
  <c r="EP57" i="2"/>
  <c r="FB56" i="2"/>
  <c r="EN56" i="2"/>
  <c r="FN54" i="2"/>
  <c r="EZ54" i="2"/>
  <c r="FL53" i="2"/>
  <c r="EX53" i="2"/>
  <c r="FJ52" i="2"/>
  <c r="EV52" i="2"/>
  <c r="FH51" i="2"/>
  <c r="ET51" i="2"/>
  <c r="FF50" i="2"/>
  <c r="ER50" i="2"/>
  <c r="EP49" i="2"/>
  <c r="FD49" i="2"/>
  <c r="EN48" i="2"/>
  <c r="FB48" i="2"/>
  <c r="FN46" i="2"/>
  <c r="EZ46" i="2"/>
  <c r="EX45" i="2"/>
  <c r="FL45" i="2"/>
  <c r="EV44" i="2"/>
  <c r="FJ44" i="2"/>
  <c r="FH43" i="2"/>
  <c r="ET43" i="2"/>
  <c r="FF42" i="2"/>
  <c r="ER42" i="2"/>
  <c r="FD41" i="2"/>
  <c r="EP41" i="2"/>
  <c r="FB40" i="2"/>
  <c r="EN40" i="2"/>
  <c r="FN38" i="2"/>
  <c r="EZ38" i="2"/>
  <c r="FL37" i="2"/>
  <c r="EX37" i="2"/>
  <c r="FJ36" i="2"/>
  <c r="EV36" i="2"/>
  <c r="FH35" i="2"/>
  <c r="ET35" i="2"/>
  <c r="FF34" i="2"/>
  <c r="ER34" i="2"/>
  <c r="EP33" i="2"/>
  <c r="FD33" i="2"/>
  <c r="FB32" i="2"/>
  <c r="EN32" i="2"/>
  <c r="FN30" i="2"/>
  <c r="EZ30" i="2"/>
  <c r="FL29" i="2"/>
  <c r="EX29" i="2"/>
  <c r="EV28" i="2"/>
  <c r="FJ28" i="2"/>
  <c r="FH27" i="2"/>
  <c r="ET27" i="2"/>
  <c r="FF26" i="2"/>
  <c r="ER26" i="2"/>
  <c r="FD25" i="2"/>
  <c r="EP25" i="2"/>
  <c r="FB24" i="2"/>
  <c r="EN24" i="2"/>
  <c r="FN22" i="2"/>
  <c r="EZ22" i="2"/>
  <c r="FL21" i="2"/>
  <c r="EX21" i="2"/>
  <c r="FJ20" i="2"/>
  <c r="EV20" i="2"/>
  <c r="FH19" i="2"/>
  <c r="ET19" i="2"/>
  <c r="FF18" i="2"/>
  <c r="ER18" i="2"/>
  <c r="FD17" i="2"/>
  <c r="EP17" i="2"/>
  <c r="EN16" i="2"/>
  <c r="FB16" i="2"/>
  <c r="EZ14" i="2"/>
  <c r="FN14" i="2"/>
  <c r="FL13" i="2"/>
  <c r="EX13" i="2"/>
  <c r="FJ12" i="2"/>
  <c r="EV12" i="2"/>
  <c r="FH11" i="2"/>
  <c r="ET11" i="2"/>
  <c r="FF10" i="2"/>
  <c r="ER10" i="2"/>
  <c r="FD9" i="2"/>
  <c r="EP9" i="2"/>
  <c r="FB8" i="2"/>
  <c r="EN8" i="2"/>
  <c r="EZ6" i="2"/>
  <c r="FN6" i="2"/>
  <c r="FL5" i="2"/>
  <c r="EX5" i="2"/>
  <c r="FJ4" i="2"/>
  <c r="EV4" i="2"/>
  <c r="FH3" i="2"/>
  <c r="ET3" i="2"/>
  <c r="FF2" i="2"/>
  <c r="ER2" i="2"/>
  <c r="FA87" i="2"/>
  <c r="EM87" i="2"/>
  <c r="EU75" i="2"/>
  <c r="FI75" i="2"/>
  <c r="FK60" i="2"/>
  <c r="EW60" i="2"/>
  <c r="FK52" i="2"/>
  <c r="EW52" i="2"/>
  <c r="FG42" i="2"/>
  <c r="ES42" i="2"/>
  <c r="FM29" i="2"/>
  <c r="EY29" i="2"/>
  <c r="EM23" i="2"/>
  <c r="FA23" i="2"/>
  <c r="FA15" i="2"/>
  <c r="EM15" i="2"/>
  <c r="FC8" i="2"/>
  <c r="EO8" i="2"/>
  <c r="FC97" i="2"/>
  <c r="EO97" i="2"/>
  <c r="FA96" i="2"/>
  <c r="EM96" i="2"/>
  <c r="EY94" i="2"/>
  <c r="FM94" i="2"/>
  <c r="FK93" i="2"/>
  <c r="EW93" i="2"/>
  <c r="EU92" i="2"/>
  <c r="FI92" i="2"/>
  <c r="ES91" i="2"/>
  <c r="FG91" i="2"/>
  <c r="EQ90" i="2"/>
  <c r="FE90" i="2"/>
  <c r="EO89" i="2"/>
  <c r="FC89" i="2"/>
  <c r="FA88" i="2"/>
  <c r="EM88" i="2"/>
  <c r="FM86" i="2"/>
  <c r="EY86" i="2"/>
  <c r="FK85" i="2"/>
  <c r="EW85" i="2"/>
  <c r="FI84" i="2"/>
  <c r="EU84" i="2"/>
  <c r="FG83" i="2"/>
  <c r="ES83" i="2"/>
  <c r="FE82" i="2"/>
  <c r="EQ82" i="2"/>
  <c r="FC81" i="2"/>
  <c r="EO81" i="2"/>
  <c r="FA80" i="2"/>
  <c r="EM80" i="2"/>
  <c r="EY78" i="2"/>
  <c r="FM78" i="2"/>
  <c r="FK77" i="2"/>
  <c r="EW77" i="2"/>
  <c r="EU76" i="2"/>
  <c r="FI76" i="2"/>
  <c r="ES75" i="2"/>
  <c r="FG75" i="2"/>
  <c r="FE74" i="2"/>
  <c r="EQ74" i="2"/>
  <c r="FC73" i="2"/>
  <c r="EO73" i="2"/>
  <c r="EM72" i="2"/>
  <c r="FA72" i="2"/>
  <c r="EY70" i="2"/>
  <c r="FM70" i="2"/>
  <c r="FK69" i="2"/>
  <c r="EW69" i="2"/>
  <c r="FI68" i="2"/>
  <c r="EU68" i="2"/>
  <c r="FG67" i="2"/>
  <c r="ES67" i="2"/>
  <c r="FE66" i="2"/>
  <c r="EQ66" i="2"/>
  <c r="FC65" i="2"/>
  <c r="EO65" i="2"/>
  <c r="FA64" i="2"/>
  <c r="EM64" i="2"/>
  <c r="EY62" i="2"/>
  <c r="FM62" i="2"/>
  <c r="FK61" i="2"/>
  <c r="EW61" i="2"/>
  <c r="EU60" i="2"/>
  <c r="FI60" i="2"/>
  <c r="ES59" i="2"/>
  <c r="FG59" i="2"/>
  <c r="FE58" i="2"/>
  <c r="EQ58" i="2"/>
  <c r="FC57" i="2"/>
  <c r="EO57" i="2"/>
  <c r="FA56" i="2"/>
  <c r="EM56" i="2"/>
  <c r="FM54" i="2"/>
  <c r="EY54" i="2"/>
  <c r="FK53" i="2"/>
  <c r="EW53" i="2"/>
  <c r="FI52" i="2"/>
  <c r="EU52" i="2"/>
  <c r="FG51" i="2"/>
  <c r="ES51" i="2"/>
  <c r="FE50" i="2"/>
  <c r="EQ50" i="2"/>
  <c r="FC49" i="2"/>
  <c r="EO49" i="2"/>
  <c r="FA48" i="2"/>
  <c r="EM48" i="2"/>
  <c r="FM46" i="2"/>
  <c r="EY46" i="2"/>
  <c r="FK45" i="2"/>
  <c r="EW45" i="2"/>
  <c r="EU44" i="2"/>
  <c r="FI44" i="2"/>
  <c r="FG43" i="2"/>
  <c r="ES43" i="2"/>
  <c r="FE42" i="2"/>
  <c r="EQ42" i="2"/>
  <c r="FC41" i="2"/>
  <c r="EO41" i="2"/>
  <c r="EM40" i="2"/>
  <c r="FA40" i="2"/>
  <c r="FM38" i="2"/>
  <c r="EY38" i="2"/>
  <c r="FK37" i="2"/>
  <c r="EW37" i="2"/>
  <c r="FI36" i="2"/>
  <c r="EU36" i="2"/>
  <c r="FG35" i="2"/>
  <c r="ES35" i="2"/>
  <c r="FE34" i="2"/>
  <c r="EQ34" i="2"/>
  <c r="EO33" i="2"/>
  <c r="FC33" i="2"/>
  <c r="FA32" i="2"/>
  <c r="EM32" i="2"/>
  <c r="FM30" i="2"/>
  <c r="EY30" i="2"/>
  <c r="FK29" i="2"/>
  <c r="EW29" i="2"/>
  <c r="FI28" i="2"/>
  <c r="EU28" i="2"/>
  <c r="FG27" i="2"/>
  <c r="ES27" i="2"/>
  <c r="FE26" i="2"/>
  <c r="EQ26" i="2"/>
  <c r="FC25" i="2"/>
  <c r="EO25" i="2"/>
  <c r="FA24" i="2"/>
  <c r="EM24" i="2"/>
  <c r="FM22" i="2"/>
  <c r="EY22" i="2"/>
  <c r="FK21" i="2"/>
  <c r="EW21" i="2"/>
  <c r="FI20" i="2"/>
  <c r="EU20" i="2"/>
  <c r="FG19" i="2"/>
  <c r="ES19" i="2"/>
  <c r="FE18" i="2"/>
  <c r="EQ18" i="2"/>
  <c r="FC17" i="2"/>
  <c r="EO17" i="2"/>
  <c r="FA16" i="2"/>
  <c r="EM16" i="2"/>
  <c r="EY14" i="2"/>
  <c r="FM14" i="2"/>
  <c r="FK13" i="2"/>
  <c r="EW13" i="2"/>
  <c r="FI12" i="2"/>
  <c r="EU12" i="2"/>
  <c r="FG11" i="2"/>
  <c r="ES11" i="2"/>
  <c r="FE10" i="2"/>
  <c r="EQ10" i="2"/>
  <c r="FC9" i="2"/>
  <c r="EO9" i="2"/>
  <c r="EM8" i="2"/>
  <c r="FA8" i="2"/>
  <c r="FM6" i="2"/>
  <c r="EY6" i="2"/>
  <c r="FK5" i="2"/>
  <c r="EW5" i="2"/>
  <c r="FI4" i="2"/>
  <c r="EU4" i="2"/>
  <c r="FG3" i="2"/>
  <c r="ES3" i="2"/>
  <c r="FE2" i="2"/>
  <c r="EQ2" i="2"/>
  <c r="FE89" i="2"/>
  <c r="EQ89" i="2"/>
  <c r="FE81" i="2"/>
  <c r="EQ81" i="2"/>
  <c r="FE73" i="2"/>
  <c r="EQ73" i="2"/>
  <c r="FG66" i="2"/>
  <c r="ES66" i="2"/>
  <c r="FC64" i="2"/>
  <c r="EO64" i="2"/>
  <c r="FG58" i="2"/>
  <c r="ES58" i="2"/>
  <c r="FA55" i="2"/>
  <c r="EM55" i="2"/>
  <c r="EQ49" i="2"/>
  <c r="FE49" i="2"/>
  <c r="FI43" i="2"/>
  <c r="EU43" i="2"/>
  <c r="FM37" i="2"/>
  <c r="EY37" i="2"/>
  <c r="FC32" i="2"/>
  <c r="EO32" i="2"/>
  <c r="FG26" i="2"/>
  <c r="ES26" i="2"/>
  <c r="FE17" i="2"/>
  <c r="EQ17" i="2"/>
  <c r="FE9" i="2"/>
  <c r="EQ9" i="2"/>
  <c r="FB97" i="2"/>
  <c r="EN97" i="2"/>
  <c r="FN95" i="2"/>
  <c r="EZ95" i="2"/>
  <c r="EX94" i="2"/>
  <c r="FL94" i="2"/>
  <c r="FJ93" i="2"/>
  <c r="EV93" i="2"/>
  <c r="ET92" i="2"/>
  <c r="FH92" i="2"/>
  <c r="ER91" i="2"/>
  <c r="FF91" i="2"/>
  <c r="EP90" i="2"/>
  <c r="FD90" i="2"/>
  <c r="EN89" i="2"/>
  <c r="FB89" i="2"/>
  <c r="FN87" i="2"/>
  <c r="EZ87" i="2"/>
  <c r="FL86" i="2"/>
  <c r="EX86" i="2"/>
  <c r="FJ85" i="2"/>
  <c r="EV85" i="2"/>
  <c r="FH84" i="2"/>
  <c r="ET84" i="2"/>
  <c r="FF83" i="2"/>
  <c r="ER83" i="2"/>
  <c r="FD82" i="2"/>
  <c r="EP82" i="2"/>
  <c r="FB81" i="2"/>
  <c r="EN81" i="2"/>
  <c r="EZ79" i="2"/>
  <c r="FN79" i="2"/>
  <c r="EX78" i="2"/>
  <c r="FL78" i="2"/>
  <c r="EV77" i="2"/>
  <c r="FJ77" i="2"/>
  <c r="FH76" i="2"/>
  <c r="ET76" i="2"/>
  <c r="ER75" i="2"/>
  <c r="FF75" i="2"/>
  <c r="EP74" i="2"/>
  <c r="FD74" i="2"/>
  <c r="FB73" i="2"/>
  <c r="EN73" i="2"/>
  <c r="FN71" i="2"/>
  <c r="EZ71" i="2"/>
  <c r="EX70" i="2"/>
  <c r="FL70" i="2"/>
  <c r="FJ69" i="2"/>
  <c r="EV69" i="2"/>
  <c r="FH68" i="2"/>
  <c r="ET68" i="2"/>
  <c r="FF67" i="2"/>
  <c r="ER67" i="2"/>
  <c r="FD66" i="2"/>
  <c r="EP66" i="2"/>
  <c r="FB65" i="2"/>
  <c r="EN65" i="2"/>
  <c r="EZ63" i="2"/>
  <c r="FN63" i="2"/>
  <c r="EX62" i="2"/>
  <c r="FL62" i="2"/>
  <c r="FJ61" i="2"/>
  <c r="EV61" i="2"/>
  <c r="FH60" i="2"/>
  <c r="ET60" i="2"/>
  <c r="ER59" i="2"/>
  <c r="FF59" i="2"/>
  <c r="FD58" i="2"/>
  <c r="EP58" i="2"/>
  <c r="FB57" i="2"/>
  <c r="EN57" i="2"/>
  <c r="EZ55" i="2"/>
  <c r="FN55" i="2"/>
  <c r="FL54" i="2"/>
  <c r="EX54" i="2"/>
  <c r="FJ53" i="2"/>
  <c r="EV53" i="2"/>
  <c r="ET52" i="2"/>
  <c r="FH52" i="2"/>
  <c r="FF51" i="2"/>
  <c r="ER51" i="2"/>
  <c r="FD50" i="2"/>
  <c r="EP50" i="2"/>
  <c r="FB49" i="2"/>
  <c r="EN49" i="2"/>
  <c r="FN47" i="2"/>
  <c r="EZ47" i="2"/>
  <c r="FL46" i="2"/>
  <c r="EX46" i="2"/>
  <c r="FJ45" i="2"/>
  <c r="EV45" i="2"/>
  <c r="ET44" i="2"/>
  <c r="FH44" i="2"/>
  <c r="FF43" i="2"/>
  <c r="ER43" i="2"/>
  <c r="FD42" i="2"/>
  <c r="EP42" i="2"/>
  <c r="FB41" i="2"/>
  <c r="EN41" i="2"/>
  <c r="FN39" i="2"/>
  <c r="EZ39" i="2"/>
  <c r="EX38" i="2"/>
  <c r="FL38" i="2"/>
  <c r="FJ37" i="2"/>
  <c r="EV37" i="2"/>
  <c r="FH36" i="2"/>
  <c r="ET36" i="2"/>
  <c r="FF35" i="2"/>
  <c r="ER35" i="2"/>
  <c r="FD34" i="2"/>
  <c r="EP34" i="2"/>
  <c r="FB33" i="2"/>
  <c r="EN33" i="2"/>
  <c r="FN31" i="2"/>
  <c r="EZ31" i="2"/>
  <c r="FL30" i="2"/>
  <c r="EX30" i="2"/>
  <c r="FJ29" i="2"/>
  <c r="EV29" i="2"/>
  <c r="FH28" i="2"/>
  <c r="ET28" i="2"/>
  <c r="ER27" i="2"/>
  <c r="FF27" i="2"/>
  <c r="EP26" i="2"/>
  <c r="FD26" i="2"/>
  <c r="FB25" i="2"/>
  <c r="EN25" i="2"/>
  <c r="FN23" i="2"/>
  <c r="EZ23" i="2"/>
  <c r="EX22" i="2"/>
  <c r="FL22" i="2"/>
  <c r="FJ21" i="2"/>
  <c r="EV21" i="2"/>
  <c r="FH20" i="2"/>
  <c r="ET20" i="2"/>
  <c r="FF19" i="2"/>
  <c r="ER19" i="2"/>
  <c r="FD18" i="2"/>
  <c r="EP18" i="2"/>
  <c r="FB17" i="2"/>
  <c r="EN17" i="2"/>
  <c r="FN15" i="2"/>
  <c r="EZ15" i="2"/>
  <c r="FL14" i="2"/>
  <c r="EX14" i="2"/>
  <c r="FJ13" i="2"/>
  <c r="EV13" i="2"/>
  <c r="FH12" i="2"/>
  <c r="ET12" i="2"/>
  <c r="FF11" i="2"/>
  <c r="ER11" i="2"/>
  <c r="FD10" i="2"/>
  <c r="EP10" i="2"/>
  <c r="FB9" i="2"/>
  <c r="EN9" i="2"/>
  <c r="EZ7" i="2"/>
  <c r="FN7" i="2"/>
  <c r="FL6" i="2"/>
  <c r="EX6" i="2"/>
  <c r="FJ5" i="2"/>
  <c r="EV5" i="2"/>
  <c r="FH4" i="2"/>
  <c r="ET4" i="2"/>
  <c r="ER3" i="2"/>
  <c r="FF3" i="2"/>
  <c r="EP2" i="2"/>
  <c r="FD2" i="2"/>
  <c r="FA95" i="2"/>
  <c r="EM95" i="2"/>
  <c r="FM85" i="2"/>
  <c r="EY85" i="2"/>
  <c r="FG74" i="2"/>
  <c r="ES74" i="2"/>
  <c r="FI59" i="2"/>
  <c r="EU59" i="2"/>
  <c r="EO48" i="2"/>
  <c r="FC48" i="2"/>
  <c r="EM39" i="2"/>
  <c r="FA39" i="2"/>
  <c r="FK28" i="2"/>
  <c r="EW28" i="2"/>
  <c r="FI19" i="2"/>
  <c r="EU19" i="2"/>
  <c r="FM13" i="2"/>
  <c r="EY13" i="2"/>
  <c r="FA7" i="2"/>
  <c r="EM7" i="2"/>
  <c r="FA97" i="2"/>
  <c r="EM97" i="2"/>
  <c r="FM95" i="2"/>
  <c r="EY95" i="2"/>
  <c r="FK94" i="2"/>
  <c r="EW94" i="2"/>
  <c r="EU93" i="2"/>
  <c r="FI93" i="2"/>
  <c r="ES92" i="2"/>
  <c r="FG92" i="2"/>
  <c r="EQ91" i="2"/>
  <c r="FE91" i="2"/>
  <c r="EO90" i="2"/>
  <c r="FC90" i="2"/>
  <c r="EM89" i="2"/>
  <c r="FA89" i="2"/>
  <c r="EY87" i="2"/>
  <c r="FM87" i="2"/>
  <c r="FK86" i="2"/>
  <c r="EW86" i="2"/>
  <c r="FI85" i="2"/>
  <c r="EU85" i="2"/>
  <c r="ES84" i="2"/>
  <c r="FG84" i="2"/>
  <c r="EQ83" i="2"/>
  <c r="FE83" i="2"/>
  <c r="FC82" i="2"/>
  <c r="EO82" i="2"/>
  <c r="FA81" i="2"/>
  <c r="EM81" i="2"/>
  <c r="FM79" i="2"/>
  <c r="EY79" i="2"/>
  <c r="EW78" i="2"/>
  <c r="FK78" i="2"/>
  <c r="EU77" i="2"/>
  <c r="FI77" i="2"/>
  <c r="FG76" i="2"/>
  <c r="ES76" i="2"/>
  <c r="FE75" i="2"/>
  <c r="EQ75" i="2"/>
  <c r="EO74" i="2"/>
  <c r="FC74" i="2"/>
  <c r="EM73" i="2"/>
  <c r="FA73" i="2"/>
  <c r="FM71" i="2"/>
  <c r="EY71" i="2"/>
  <c r="EW70" i="2"/>
  <c r="FK70" i="2"/>
  <c r="FI69" i="2"/>
  <c r="EU69" i="2"/>
  <c r="FG68" i="2"/>
  <c r="ES68" i="2"/>
  <c r="EQ67" i="2"/>
  <c r="FE67" i="2"/>
  <c r="FC66" i="2"/>
  <c r="EO66" i="2"/>
  <c r="FA65" i="2"/>
  <c r="EM65" i="2"/>
  <c r="FM63" i="2"/>
  <c r="EY63" i="2"/>
  <c r="EW62" i="2"/>
  <c r="FK62" i="2"/>
  <c r="FI61" i="2"/>
  <c r="EU61" i="2"/>
  <c r="FG60" i="2"/>
  <c r="ES60" i="2"/>
  <c r="EQ59" i="2"/>
  <c r="FE59" i="2"/>
  <c r="FC58" i="2"/>
  <c r="EO58" i="2"/>
  <c r="EM57" i="2"/>
  <c r="FA57" i="2"/>
  <c r="EY55" i="2"/>
  <c r="FM55" i="2"/>
  <c r="FK54" i="2"/>
  <c r="EW54" i="2"/>
  <c r="EU53" i="2"/>
  <c r="FI53" i="2"/>
  <c r="ES52" i="2"/>
  <c r="FG52" i="2"/>
  <c r="EQ51" i="2"/>
  <c r="FE51" i="2"/>
  <c r="FC50" i="2"/>
  <c r="EO50" i="2"/>
  <c r="EM49" i="2"/>
  <c r="FA49" i="2"/>
  <c r="EY47" i="2"/>
  <c r="FM47" i="2"/>
  <c r="EW46" i="2"/>
  <c r="FK46" i="2"/>
  <c r="FI45" i="2"/>
  <c r="EU45" i="2"/>
  <c r="ES44" i="2"/>
  <c r="FG44" i="2"/>
  <c r="EQ43" i="2"/>
  <c r="FE43" i="2"/>
  <c r="EO42" i="2"/>
  <c r="FC42" i="2"/>
  <c r="EM41" i="2"/>
  <c r="FA41" i="2"/>
  <c r="EY39" i="2"/>
  <c r="FM39" i="2"/>
  <c r="EW38" i="2"/>
  <c r="FK38" i="2"/>
  <c r="EU37" i="2"/>
  <c r="FI37" i="2"/>
  <c r="ES36" i="2"/>
  <c r="FG36" i="2"/>
  <c r="EQ35" i="2"/>
  <c r="FE35" i="2"/>
  <c r="FC34" i="2"/>
  <c r="EO34" i="2"/>
  <c r="EM33" i="2"/>
  <c r="FA33" i="2"/>
  <c r="EY31" i="2"/>
  <c r="FM31" i="2"/>
  <c r="FK30" i="2"/>
  <c r="EW30" i="2"/>
  <c r="EU29" i="2"/>
  <c r="FI29" i="2"/>
  <c r="FG28" i="2"/>
  <c r="ES28" i="2"/>
  <c r="EQ27" i="2"/>
  <c r="FE27" i="2"/>
  <c r="EO26" i="2"/>
  <c r="FC26" i="2"/>
  <c r="EM25" i="2"/>
  <c r="FA25" i="2"/>
  <c r="FM23" i="2"/>
  <c r="EY23" i="2"/>
  <c r="FK22" i="2"/>
  <c r="EW22" i="2"/>
  <c r="EU21" i="2"/>
  <c r="FI21" i="2"/>
  <c r="FG20" i="2"/>
  <c r="ES20" i="2"/>
  <c r="FE19" i="2"/>
  <c r="EQ19" i="2"/>
  <c r="FC18" i="2"/>
  <c r="EO18" i="2"/>
  <c r="EM17" i="2"/>
  <c r="FA17" i="2"/>
  <c r="EY15" i="2"/>
  <c r="FM15" i="2"/>
  <c r="EW14" i="2"/>
  <c r="FK14" i="2"/>
  <c r="EU13" i="2"/>
  <c r="FI13" i="2"/>
  <c r="ES12" i="2"/>
  <c r="FG12" i="2"/>
  <c r="EQ11" i="2"/>
  <c r="FE11" i="2"/>
  <c r="EO10" i="2"/>
  <c r="FC10" i="2"/>
  <c r="EM9" i="2"/>
  <c r="FA9" i="2"/>
  <c r="FM7" i="2"/>
  <c r="EY7" i="2"/>
  <c r="FK6" i="2"/>
  <c r="EW6" i="2"/>
  <c r="EU5" i="2"/>
  <c r="FI5" i="2"/>
  <c r="FG4" i="2"/>
  <c r="ES4" i="2"/>
  <c r="FE3" i="2"/>
  <c r="EQ3" i="2"/>
  <c r="EO2" i="2"/>
  <c r="FC2" i="2"/>
  <c r="EY93" i="2"/>
  <c r="FM93" i="2"/>
  <c r="FK84" i="2"/>
  <c r="EW84" i="2"/>
  <c r="FM69" i="2"/>
  <c r="EY69" i="2"/>
  <c r="FE57" i="2"/>
  <c r="EQ57" i="2"/>
  <c r="FA47" i="2"/>
  <c r="EM47" i="2"/>
  <c r="ES34" i="2"/>
  <c r="FG34" i="2"/>
  <c r="FC24" i="2"/>
  <c r="EO24" i="2"/>
  <c r="FK12" i="2"/>
  <c r="EW12" i="2"/>
  <c r="FI3" i="2"/>
  <c r="EU3" i="2"/>
  <c r="FN96" i="2"/>
  <c r="EZ96" i="2"/>
  <c r="FL95" i="2"/>
  <c r="EX95" i="2"/>
  <c r="FJ94" i="2"/>
  <c r="EV94" i="2"/>
  <c r="FH93" i="2"/>
  <c r="ET93" i="2"/>
  <c r="ER92" i="2"/>
  <c r="FF92" i="2"/>
  <c r="FD91" i="2"/>
  <c r="EP91" i="2"/>
  <c r="EN90" i="2"/>
  <c r="FB90" i="2"/>
  <c r="FN88" i="2"/>
  <c r="EZ88" i="2"/>
  <c r="FL87" i="2"/>
  <c r="EX87" i="2"/>
  <c r="FJ86" i="2"/>
  <c r="EV86" i="2"/>
  <c r="FH85" i="2"/>
  <c r="ET85" i="2"/>
  <c r="FF84" i="2"/>
  <c r="ER84" i="2"/>
  <c r="FD83" i="2"/>
  <c r="EP83" i="2"/>
  <c r="FB82" i="2"/>
  <c r="EN82" i="2"/>
  <c r="FN80" i="2"/>
  <c r="EZ80" i="2"/>
  <c r="FL79" i="2"/>
  <c r="EX79" i="2"/>
  <c r="FJ78" i="2"/>
  <c r="EV78" i="2"/>
  <c r="FH77" i="2"/>
  <c r="ET77" i="2"/>
  <c r="FF76" i="2"/>
  <c r="ER76" i="2"/>
  <c r="FD75" i="2"/>
  <c r="EP75" i="2"/>
  <c r="FB74" i="2"/>
  <c r="EN74" i="2"/>
  <c r="FN72" i="2"/>
  <c r="EZ72" i="2"/>
  <c r="FL71" i="2"/>
  <c r="EX71" i="2"/>
  <c r="FJ70" i="2"/>
  <c r="EV70" i="2"/>
  <c r="FH69" i="2"/>
  <c r="ET69" i="2"/>
  <c r="ER68" i="2"/>
  <c r="FF68" i="2"/>
  <c r="FD67" i="2"/>
  <c r="EP67" i="2"/>
  <c r="FB66" i="2"/>
  <c r="EN66" i="2"/>
  <c r="FN64" i="2"/>
  <c r="EZ64" i="2"/>
  <c r="FL63" i="2"/>
  <c r="EX63" i="2"/>
  <c r="FJ62" i="2"/>
  <c r="EV62" i="2"/>
  <c r="FH61" i="2"/>
  <c r="ET61" i="2"/>
  <c r="FF60" i="2"/>
  <c r="ER60" i="2"/>
  <c r="EP59" i="2"/>
  <c r="FD59" i="2"/>
  <c r="FB58" i="2"/>
  <c r="EN58" i="2"/>
  <c r="FN56" i="2"/>
  <c r="EZ56" i="2"/>
  <c r="FL55" i="2"/>
  <c r="EX55" i="2"/>
  <c r="FJ54" i="2"/>
  <c r="EV54" i="2"/>
  <c r="FH53" i="2"/>
  <c r="ET53" i="2"/>
  <c r="ER52" i="2"/>
  <c r="FF52" i="2"/>
  <c r="FD51" i="2"/>
  <c r="EP51" i="2"/>
  <c r="EN50" i="2"/>
  <c r="FB50" i="2"/>
  <c r="FN48" i="2"/>
  <c r="EZ48" i="2"/>
  <c r="FL47" i="2"/>
  <c r="EX47" i="2"/>
  <c r="EV46" i="2"/>
  <c r="FJ46" i="2"/>
  <c r="ET45" i="2"/>
  <c r="FH45" i="2"/>
  <c r="ER44" i="2"/>
  <c r="FF44" i="2"/>
  <c r="EP43" i="2"/>
  <c r="FD43" i="2"/>
  <c r="EN42" i="2"/>
  <c r="FB42" i="2"/>
  <c r="EZ40" i="2"/>
  <c r="FN40" i="2"/>
  <c r="FL39" i="2"/>
  <c r="EX39" i="2"/>
  <c r="EV38" i="2"/>
  <c r="FJ38" i="2"/>
  <c r="ET37" i="2"/>
  <c r="FH37" i="2"/>
  <c r="ER36" i="2"/>
  <c r="FF36" i="2"/>
  <c r="EP35" i="2"/>
  <c r="FD35" i="2"/>
  <c r="FB34" i="2"/>
  <c r="EN34" i="2"/>
  <c r="FN32" i="2"/>
  <c r="EZ32" i="2"/>
  <c r="FL31" i="2"/>
  <c r="EX31" i="2"/>
  <c r="FJ30" i="2"/>
  <c r="EV30" i="2"/>
  <c r="ET29" i="2"/>
  <c r="FH29" i="2"/>
  <c r="ER28" i="2"/>
  <c r="FF28" i="2"/>
  <c r="EP27" i="2"/>
  <c r="FD27" i="2"/>
  <c r="EN26" i="2"/>
  <c r="FB26" i="2"/>
  <c r="EZ24" i="2"/>
  <c r="FN24" i="2"/>
  <c r="FL23" i="2"/>
  <c r="EX23" i="2"/>
  <c r="FJ22" i="2"/>
  <c r="EV22" i="2"/>
  <c r="ET21" i="2"/>
  <c r="FH21" i="2"/>
  <c r="FF20" i="2"/>
  <c r="ER20" i="2"/>
  <c r="EP19" i="2"/>
  <c r="FD19" i="2"/>
  <c r="FB18" i="2"/>
  <c r="EN18" i="2"/>
  <c r="FN16" i="2"/>
  <c r="EZ16" i="2"/>
  <c r="FL15" i="2"/>
  <c r="EX15" i="2"/>
  <c r="EV14" i="2"/>
  <c r="FJ14" i="2"/>
  <c r="ET13" i="2"/>
  <c r="FH13" i="2"/>
  <c r="ER12" i="2"/>
  <c r="FF12" i="2"/>
  <c r="EP11" i="2"/>
  <c r="FD11" i="2"/>
  <c r="EN10" i="2"/>
  <c r="FB10" i="2"/>
  <c r="EZ8" i="2"/>
  <c r="FN8" i="2"/>
  <c r="FL7" i="2"/>
  <c r="EX7" i="2"/>
  <c r="FJ6" i="2"/>
  <c r="EV6" i="2"/>
  <c r="ET5" i="2"/>
  <c r="FH5" i="2"/>
  <c r="FF4" i="2"/>
  <c r="ER4" i="2"/>
  <c r="FD3" i="2"/>
  <c r="EP3" i="2"/>
  <c r="FB2" i="2"/>
  <c r="EN2" i="2"/>
  <c r="EQ97" i="2"/>
  <c r="FE97" i="2"/>
  <c r="FK68" i="2"/>
  <c r="EW68" i="2"/>
  <c r="FE25" i="2"/>
  <c r="EQ25" i="2"/>
  <c r="FM96" i="2"/>
  <c r="EY96" i="2"/>
  <c r="FK95" i="2"/>
  <c r="EW95" i="2"/>
  <c r="FI94" i="2"/>
  <c r="EU94" i="2"/>
  <c r="FG93" i="2"/>
  <c r="ES93" i="2"/>
  <c r="FE92" i="2"/>
  <c r="EQ92" i="2"/>
  <c r="FC91" i="2"/>
  <c r="EO91" i="2"/>
  <c r="FA90" i="2"/>
  <c r="EM90" i="2"/>
  <c r="FM88" i="2"/>
  <c r="EY88" i="2"/>
  <c r="FK87" i="2"/>
  <c r="EW87" i="2"/>
  <c r="FI86" i="2"/>
  <c r="EU86" i="2"/>
  <c r="FG85" i="2"/>
  <c r="ES85" i="2"/>
  <c r="FE84" i="2"/>
  <c r="EQ84" i="2"/>
  <c r="FC83" i="2"/>
  <c r="EO83" i="2"/>
  <c r="FA82" i="2"/>
  <c r="EM82" i="2"/>
  <c r="FM80" i="2"/>
  <c r="EY80" i="2"/>
  <c r="FK79" i="2"/>
  <c r="EW79" i="2"/>
  <c r="FI78" i="2"/>
  <c r="EU78" i="2"/>
  <c r="FG77" i="2"/>
  <c r="ES77" i="2"/>
  <c r="FE76" i="2"/>
  <c r="EQ76" i="2"/>
  <c r="FC75" i="2"/>
  <c r="EO75" i="2"/>
  <c r="FA74" i="2"/>
  <c r="EM74" i="2"/>
  <c r="FM72" i="2"/>
  <c r="EY72" i="2"/>
  <c r="FK71" i="2"/>
  <c r="EW71" i="2"/>
  <c r="FI70" i="2"/>
  <c r="EU70" i="2"/>
  <c r="FG69" i="2"/>
  <c r="ES69" i="2"/>
  <c r="FE68" i="2"/>
  <c r="EQ68" i="2"/>
  <c r="FC67" i="2"/>
  <c r="EO67" i="2"/>
  <c r="FA66" i="2"/>
  <c r="EM66" i="2"/>
  <c r="FM64" i="2"/>
  <c r="EY64" i="2"/>
  <c r="FK63" i="2"/>
  <c r="EW63" i="2"/>
  <c r="FI62" i="2"/>
  <c r="EU62" i="2"/>
  <c r="FG61" i="2"/>
  <c r="ES61" i="2"/>
  <c r="FE60" i="2"/>
  <c r="EQ60" i="2"/>
  <c r="EO59" i="2"/>
  <c r="FC59" i="2"/>
  <c r="FA58" i="2"/>
  <c r="EM58" i="2"/>
  <c r="FM56" i="2"/>
  <c r="EY56" i="2"/>
  <c r="EW55" i="2"/>
  <c r="FK55" i="2"/>
  <c r="FI54" i="2"/>
  <c r="EU54" i="2"/>
  <c r="FG53" i="2"/>
  <c r="ES53" i="2"/>
  <c r="FE52" i="2"/>
  <c r="EQ52" i="2"/>
  <c r="EO51" i="2"/>
  <c r="FC51" i="2"/>
  <c r="EM50" i="2"/>
  <c r="FA50" i="2"/>
  <c r="FM48" i="2"/>
  <c r="EY48" i="2"/>
  <c r="FK47" i="2"/>
  <c r="EW47" i="2"/>
  <c r="FI46" i="2"/>
  <c r="EU46" i="2"/>
  <c r="ES45" i="2"/>
  <c r="FG45" i="2"/>
  <c r="EQ44" i="2"/>
  <c r="FE44" i="2"/>
  <c r="EO43" i="2"/>
  <c r="FC43" i="2"/>
  <c r="EM42" i="2"/>
  <c r="FA42" i="2"/>
  <c r="EY40" i="2"/>
  <c r="FM40" i="2"/>
  <c r="EW39" i="2"/>
  <c r="FK39" i="2"/>
  <c r="FI38" i="2"/>
  <c r="EU38" i="2"/>
  <c r="ES37" i="2"/>
  <c r="FG37" i="2"/>
  <c r="EQ36" i="2"/>
  <c r="FE36" i="2"/>
  <c r="EO35" i="2"/>
  <c r="FC35" i="2"/>
  <c r="EM34" i="2"/>
  <c r="FA34" i="2"/>
  <c r="FM32" i="2"/>
  <c r="EY32" i="2"/>
  <c r="FK31" i="2"/>
  <c r="EW31" i="2"/>
  <c r="FI30" i="2"/>
  <c r="EU30" i="2"/>
  <c r="ES29" i="2"/>
  <c r="FG29" i="2"/>
  <c r="EQ28" i="2"/>
  <c r="FE28" i="2"/>
  <c r="EO27" i="2"/>
  <c r="FC27" i="2"/>
  <c r="EM26" i="2"/>
  <c r="FA26" i="2"/>
  <c r="EY24" i="2"/>
  <c r="FM24" i="2"/>
  <c r="EW23" i="2"/>
  <c r="FK23" i="2"/>
  <c r="FI22" i="2"/>
  <c r="EU22" i="2"/>
  <c r="FG21" i="2"/>
  <c r="ES21" i="2"/>
  <c r="EQ20" i="2"/>
  <c r="FE20" i="2"/>
  <c r="FC19" i="2"/>
  <c r="EO19" i="2"/>
  <c r="EM18" i="2"/>
  <c r="FA18" i="2"/>
  <c r="FM16" i="2"/>
  <c r="EY16" i="2"/>
  <c r="FK15" i="2"/>
  <c r="EW15" i="2"/>
  <c r="FI14" i="2"/>
  <c r="EU14" i="2"/>
  <c r="ES13" i="2"/>
  <c r="FG13" i="2"/>
  <c r="EQ12" i="2"/>
  <c r="FE12" i="2"/>
  <c r="EO11" i="2"/>
  <c r="FC11" i="2"/>
  <c r="EM10" i="2"/>
  <c r="FA10" i="2"/>
  <c r="EY8" i="2"/>
  <c r="FM8" i="2"/>
  <c r="FK7" i="2"/>
  <c r="EW7" i="2"/>
  <c r="FI6" i="2"/>
  <c r="EU6" i="2"/>
  <c r="ES5" i="2"/>
  <c r="FG5" i="2"/>
  <c r="FE4" i="2"/>
  <c r="EQ4" i="2"/>
  <c r="FC3" i="2"/>
  <c r="EO3" i="2"/>
  <c r="EM2" i="2"/>
  <c r="FA2" i="2"/>
  <c r="FK76" i="2"/>
  <c r="EW76" i="2"/>
  <c r="FC40" i="2"/>
  <c r="EO40" i="2"/>
  <c r="FN97" i="2"/>
  <c r="EZ97" i="2"/>
  <c r="FL96" i="2"/>
  <c r="EX96" i="2"/>
  <c r="FJ95" i="2"/>
  <c r="EV95" i="2"/>
  <c r="FH94" i="2"/>
  <c r="ET94" i="2"/>
  <c r="FF93" i="2"/>
  <c r="ER93" i="2"/>
  <c r="FD92" i="2"/>
  <c r="EP92" i="2"/>
  <c r="FB91" i="2"/>
  <c r="EN91" i="2"/>
  <c r="EZ89" i="2"/>
  <c r="FN89" i="2"/>
  <c r="FL88" i="2"/>
  <c r="EX88" i="2"/>
  <c r="FJ87" i="2"/>
  <c r="EV87" i="2"/>
  <c r="FH86" i="2"/>
  <c r="ET86" i="2"/>
  <c r="FF85" i="2"/>
  <c r="ER85" i="2"/>
  <c r="FD84" i="2"/>
  <c r="EP84" i="2"/>
  <c r="FB83" i="2"/>
  <c r="EN83" i="2"/>
  <c r="FN81" i="2"/>
  <c r="EZ81" i="2"/>
  <c r="FL80" i="2"/>
  <c r="EX80" i="2"/>
  <c r="FJ79" i="2"/>
  <c r="EV79" i="2"/>
  <c r="FH78" i="2"/>
  <c r="ET78" i="2"/>
  <c r="FF77" i="2"/>
  <c r="ER77" i="2"/>
  <c r="FD76" i="2"/>
  <c r="EP76" i="2"/>
  <c r="FB75" i="2"/>
  <c r="EN75" i="2"/>
  <c r="FN73" i="2"/>
  <c r="EZ73" i="2"/>
  <c r="FL72" i="2"/>
  <c r="EX72" i="2"/>
  <c r="EV71" i="2"/>
  <c r="FJ71" i="2"/>
  <c r="FH70" i="2"/>
  <c r="ET70" i="2"/>
  <c r="FF69" i="2"/>
  <c r="ER69" i="2"/>
  <c r="FD68" i="2"/>
  <c r="EP68" i="2"/>
  <c r="FB67" i="2"/>
  <c r="EN67" i="2"/>
  <c r="FN65" i="2"/>
  <c r="EZ65" i="2"/>
  <c r="FL64" i="2"/>
  <c r="EX64" i="2"/>
  <c r="FJ63" i="2"/>
  <c r="EV63" i="2"/>
  <c r="FH62" i="2"/>
  <c r="ET62" i="2"/>
  <c r="FF61" i="2"/>
  <c r="ER61" i="2"/>
  <c r="FD60" i="2"/>
  <c r="EP60" i="2"/>
  <c r="EN59" i="2"/>
  <c r="FB59" i="2"/>
  <c r="FN57" i="2"/>
  <c r="EZ57" i="2"/>
  <c r="FL56" i="2"/>
  <c r="EX56" i="2"/>
  <c r="FJ55" i="2"/>
  <c r="EV55" i="2"/>
  <c r="FH54" i="2"/>
  <c r="ET54" i="2"/>
  <c r="FF53" i="2"/>
  <c r="ER53" i="2"/>
  <c r="FD52" i="2"/>
  <c r="EP52" i="2"/>
  <c r="FB51" i="2"/>
  <c r="EN51" i="2"/>
  <c r="FN49" i="2"/>
  <c r="EZ49" i="2"/>
  <c r="FL48" i="2"/>
  <c r="EX48" i="2"/>
  <c r="FJ47" i="2"/>
  <c r="EV47" i="2"/>
  <c r="FH46" i="2"/>
  <c r="ET46" i="2"/>
  <c r="FF45" i="2"/>
  <c r="ER45" i="2"/>
  <c r="FD44" i="2"/>
  <c r="EP44" i="2"/>
  <c r="FB43" i="2"/>
  <c r="EN43" i="2"/>
  <c r="FN41" i="2"/>
  <c r="EZ41" i="2"/>
  <c r="FL40" i="2"/>
  <c r="EX40" i="2"/>
  <c r="FJ39" i="2"/>
  <c r="EV39" i="2"/>
  <c r="FH38" i="2"/>
  <c r="ET38" i="2"/>
  <c r="FF37" i="2"/>
  <c r="ER37" i="2"/>
  <c r="FD36" i="2"/>
  <c r="EP36" i="2"/>
  <c r="FB35" i="2"/>
  <c r="EN35" i="2"/>
  <c r="FN33" i="2"/>
  <c r="EZ33" i="2"/>
  <c r="FL32" i="2"/>
  <c r="EX32" i="2"/>
  <c r="FJ31" i="2"/>
  <c r="EV31" i="2"/>
  <c r="FH30" i="2"/>
  <c r="ET30" i="2"/>
  <c r="FF29" i="2"/>
  <c r="ER29" i="2"/>
  <c r="FD28" i="2"/>
  <c r="EP28" i="2"/>
  <c r="FB27" i="2"/>
  <c r="EN27" i="2"/>
  <c r="FN25" i="2"/>
  <c r="EZ25" i="2"/>
  <c r="EX24" i="2"/>
  <c r="FL24" i="2"/>
  <c r="FJ23" i="2"/>
  <c r="EV23" i="2"/>
  <c r="FH22" i="2"/>
  <c r="ET22" i="2"/>
  <c r="FF21" i="2"/>
  <c r="ER21" i="2"/>
  <c r="FD20" i="2"/>
  <c r="EP20" i="2"/>
  <c r="FB19" i="2"/>
  <c r="EN19" i="2"/>
  <c r="FN17" i="2"/>
  <c r="EZ17" i="2"/>
  <c r="FL16" i="2"/>
  <c r="EX16" i="2"/>
  <c r="FJ15" i="2"/>
  <c r="EV15" i="2"/>
  <c r="FH14" i="2"/>
  <c r="ET14" i="2"/>
  <c r="FF13" i="2"/>
  <c r="ER13" i="2"/>
  <c r="FD12" i="2"/>
  <c r="EP12" i="2"/>
  <c r="FB11" i="2"/>
  <c r="EN11" i="2"/>
  <c r="EZ9" i="2"/>
  <c r="FN9" i="2"/>
  <c r="FL8" i="2"/>
  <c r="EX8" i="2"/>
  <c r="FJ7" i="2"/>
  <c r="EV7" i="2"/>
  <c r="FH6" i="2"/>
  <c r="ET6" i="2"/>
  <c r="FF5" i="2"/>
  <c r="ER5" i="2"/>
  <c r="FD4" i="2"/>
  <c r="EP4" i="2"/>
  <c r="FB3" i="2"/>
  <c r="EN3" i="2"/>
  <c r="FI83" i="2"/>
  <c r="EU83" i="2"/>
  <c r="FK44" i="2"/>
  <c r="EW44" i="2"/>
  <c r="FM97" i="2"/>
  <c r="EY97" i="2"/>
  <c r="FK96" i="2"/>
  <c r="EW96" i="2"/>
  <c r="FI95" i="2"/>
  <c r="EU95" i="2"/>
  <c r="FG94" i="2"/>
  <c r="ES94" i="2"/>
  <c r="FE93" i="2"/>
  <c r="EQ93" i="2"/>
  <c r="FC92" i="2"/>
  <c r="EO92" i="2"/>
  <c r="EM91" i="2"/>
  <c r="FA91" i="2"/>
  <c r="EY89" i="2"/>
  <c r="FM89" i="2"/>
  <c r="FK88" i="2"/>
  <c r="EW88" i="2"/>
  <c r="FI87" i="2"/>
  <c r="EU87" i="2"/>
  <c r="FG86" i="2"/>
  <c r="ES86" i="2"/>
  <c r="FE85" i="2"/>
  <c r="EQ85" i="2"/>
  <c r="FC84" i="2"/>
  <c r="EO84" i="2"/>
  <c r="FA83" i="2"/>
  <c r="EM83" i="2"/>
  <c r="EY81" i="2"/>
  <c r="FM81" i="2"/>
  <c r="FK80" i="2"/>
  <c r="EW80" i="2"/>
  <c r="FI79" i="2"/>
  <c r="EU79" i="2"/>
  <c r="FG78" i="2"/>
  <c r="ES78" i="2"/>
  <c r="FE77" i="2"/>
  <c r="EQ77" i="2"/>
  <c r="FC76" i="2"/>
  <c r="EO76" i="2"/>
  <c r="FA75" i="2"/>
  <c r="EM75" i="2"/>
  <c r="FM73" i="2"/>
  <c r="EY73" i="2"/>
  <c r="FK72" i="2"/>
  <c r="EW72" i="2"/>
  <c r="FI71" i="2"/>
  <c r="EU71" i="2"/>
  <c r="FG70" i="2"/>
  <c r="ES70" i="2"/>
  <c r="FE69" i="2"/>
  <c r="EQ69" i="2"/>
  <c r="FC68" i="2"/>
  <c r="EO68" i="2"/>
  <c r="EM67" i="2"/>
  <c r="FA67" i="2"/>
  <c r="FM65" i="2"/>
  <c r="EY65" i="2"/>
  <c r="FK64" i="2"/>
  <c r="EW64" i="2"/>
  <c r="FI63" i="2"/>
  <c r="EU63" i="2"/>
  <c r="FG62" i="2"/>
  <c r="ES62" i="2"/>
  <c r="FE61" i="2"/>
  <c r="EQ61" i="2"/>
  <c r="FC60" i="2"/>
  <c r="EO60" i="2"/>
  <c r="FA59" i="2"/>
  <c r="EM59" i="2"/>
  <c r="FM57" i="2"/>
  <c r="EY57" i="2"/>
  <c r="FK56" i="2"/>
  <c r="EW56" i="2"/>
  <c r="FI55" i="2"/>
  <c r="EU55" i="2"/>
  <c r="FG54" i="2"/>
  <c r="ES54" i="2"/>
  <c r="FE53" i="2"/>
  <c r="EQ53" i="2"/>
  <c r="FC52" i="2"/>
  <c r="EO52" i="2"/>
  <c r="FA51" i="2"/>
  <c r="EM51" i="2"/>
  <c r="FM49" i="2"/>
  <c r="EY49" i="2"/>
  <c r="FK48" i="2"/>
  <c r="EW48" i="2"/>
  <c r="FI47" i="2"/>
  <c r="EU47" i="2"/>
  <c r="FG46" i="2"/>
  <c r="ES46" i="2"/>
  <c r="FE45" i="2"/>
  <c r="EQ45" i="2"/>
  <c r="FC44" i="2"/>
  <c r="EO44" i="2"/>
  <c r="EM43" i="2"/>
  <c r="FA43" i="2"/>
  <c r="FM41" i="2"/>
  <c r="EY41" i="2"/>
  <c r="FK40" i="2"/>
  <c r="EW40" i="2"/>
  <c r="FI39" i="2"/>
  <c r="EU39" i="2"/>
  <c r="FG38" i="2"/>
  <c r="ES38" i="2"/>
  <c r="FE37" i="2"/>
  <c r="EQ37" i="2"/>
  <c r="FC36" i="2"/>
  <c r="EO36" i="2"/>
  <c r="EM35" i="2"/>
  <c r="FA35" i="2"/>
  <c r="EY33" i="2"/>
  <c r="FM33" i="2"/>
  <c r="EW32" i="2"/>
  <c r="FK32" i="2"/>
  <c r="FI31" i="2"/>
  <c r="EU31" i="2"/>
  <c r="FG30" i="2"/>
  <c r="ES30" i="2"/>
  <c r="FE29" i="2"/>
  <c r="EQ29" i="2"/>
  <c r="FC28" i="2"/>
  <c r="EO28" i="2"/>
  <c r="EM27" i="2"/>
  <c r="FA27" i="2"/>
  <c r="FM25" i="2"/>
  <c r="EY25" i="2"/>
  <c r="FK24" i="2"/>
  <c r="EW24" i="2"/>
  <c r="EU23" i="2"/>
  <c r="FI23" i="2"/>
  <c r="FG22" i="2"/>
  <c r="ES22" i="2"/>
  <c r="FE21" i="2"/>
  <c r="EQ21" i="2"/>
  <c r="FC20" i="2"/>
  <c r="EO20" i="2"/>
  <c r="EM19" i="2"/>
  <c r="FA19" i="2"/>
  <c r="FM17" i="2"/>
  <c r="EY17" i="2"/>
  <c r="FK16" i="2"/>
  <c r="EW16" i="2"/>
  <c r="FI15" i="2"/>
  <c r="EU15" i="2"/>
  <c r="FG14" i="2"/>
  <c r="ES14" i="2"/>
  <c r="FE13" i="2"/>
  <c r="EQ13" i="2"/>
  <c r="FC12" i="2"/>
  <c r="EO12" i="2"/>
  <c r="FA11" i="2"/>
  <c r="EM11" i="2"/>
  <c r="FM9" i="2"/>
  <c r="EY9" i="2"/>
  <c r="FK8" i="2"/>
  <c r="EW8" i="2"/>
  <c r="FI7" i="2"/>
  <c r="EU7" i="2"/>
  <c r="FG6" i="2"/>
  <c r="ES6" i="2"/>
  <c r="FE5" i="2"/>
  <c r="EQ5" i="2"/>
  <c r="FC4" i="2"/>
  <c r="EO4" i="2"/>
  <c r="EM3" i="2"/>
  <c r="FA3" i="2"/>
  <c r="FI91" i="2"/>
  <c r="EU91" i="2"/>
  <c r="FA79" i="2"/>
  <c r="EM79" i="2"/>
  <c r="FE65" i="2"/>
  <c r="EQ65" i="2"/>
  <c r="FG50" i="2"/>
  <c r="ES50" i="2"/>
  <c r="EQ33" i="2"/>
  <c r="FE33" i="2"/>
  <c r="FC16" i="2"/>
  <c r="EO16" i="2"/>
  <c r="FG2" i="2"/>
  <c r="ES2" i="2"/>
  <c r="FL97" i="2"/>
  <c r="EX97" i="2"/>
  <c r="FJ96" i="2"/>
  <c r="EV96" i="2"/>
  <c r="FH95" i="2"/>
  <c r="ET95" i="2"/>
  <c r="FF94" i="2"/>
  <c r="ER94" i="2"/>
  <c r="FD93" i="2"/>
  <c r="EP93" i="2"/>
  <c r="FB92" i="2"/>
  <c r="EN92" i="2"/>
  <c r="FN90" i="2"/>
  <c r="EZ90" i="2"/>
  <c r="FL89" i="2"/>
  <c r="EX89" i="2"/>
  <c r="FJ88" i="2"/>
  <c r="EV88" i="2"/>
  <c r="ET87" i="2"/>
  <c r="FH87" i="2"/>
  <c r="FF86" i="2"/>
  <c r="ER86" i="2"/>
  <c r="FD85" i="2"/>
  <c r="EP85" i="2"/>
  <c r="FB84" i="2"/>
  <c r="EN84" i="2"/>
  <c r="FN82" i="2"/>
  <c r="EZ82" i="2"/>
  <c r="EX81" i="2"/>
  <c r="FL81" i="2"/>
  <c r="FJ80" i="2"/>
  <c r="EV80" i="2"/>
  <c r="FH79" i="2"/>
  <c r="ET79" i="2"/>
  <c r="FF78" i="2"/>
  <c r="ER78" i="2"/>
  <c r="FD77" i="2"/>
  <c r="EP77" i="2"/>
  <c r="FB76" i="2"/>
  <c r="EN76" i="2"/>
  <c r="FN74" i="2"/>
  <c r="EZ74" i="2"/>
  <c r="FL73" i="2"/>
  <c r="EX73" i="2"/>
  <c r="FJ72" i="2"/>
  <c r="EV72" i="2"/>
  <c r="FH71" i="2"/>
  <c r="ET71" i="2"/>
  <c r="FF70" i="2"/>
  <c r="ER70" i="2"/>
  <c r="FD69" i="2"/>
  <c r="EP69" i="2"/>
  <c r="FB68" i="2"/>
  <c r="EN68" i="2"/>
  <c r="FN66" i="2"/>
  <c r="EZ66" i="2"/>
  <c r="FL65" i="2"/>
  <c r="EX65" i="2"/>
  <c r="FJ64" i="2"/>
  <c r="EV64" i="2"/>
  <c r="FH63" i="2"/>
  <c r="ET63" i="2"/>
  <c r="FF62" i="2"/>
  <c r="ER62" i="2"/>
  <c r="FD61" i="2"/>
  <c r="EP61" i="2"/>
  <c r="FB60" i="2"/>
  <c r="EN60" i="2"/>
  <c r="FN58" i="2"/>
  <c r="EZ58" i="2"/>
  <c r="FL57" i="2"/>
  <c r="EX57" i="2"/>
  <c r="FJ56" i="2"/>
  <c r="EV56" i="2"/>
  <c r="FH55" i="2"/>
  <c r="ET55" i="2"/>
  <c r="FF54" i="2"/>
  <c r="ER54" i="2"/>
  <c r="FD53" i="2"/>
  <c r="EP53" i="2"/>
  <c r="FB52" i="2"/>
  <c r="EN52" i="2"/>
  <c r="FN50" i="2"/>
  <c r="EZ50" i="2"/>
  <c r="FL49" i="2"/>
  <c r="EX49" i="2"/>
  <c r="EV48" i="2"/>
  <c r="FJ48" i="2"/>
  <c r="FH47" i="2"/>
  <c r="ET47" i="2"/>
  <c r="FF46" i="2"/>
  <c r="ER46" i="2"/>
  <c r="FD45" i="2"/>
  <c r="EP45" i="2"/>
  <c r="FB44" i="2"/>
  <c r="EN44" i="2"/>
  <c r="EZ42" i="2"/>
  <c r="FN42" i="2"/>
  <c r="FL41" i="2"/>
  <c r="EX41" i="2"/>
  <c r="FJ40" i="2"/>
  <c r="EV40" i="2"/>
  <c r="ET39" i="2"/>
  <c r="FH39" i="2"/>
  <c r="FF38" i="2"/>
  <c r="ER38" i="2"/>
  <c r="EP37" i="2"/>
  <c r="FD37" i="2"/>
  <c r="FB36" i="2"/>
  <c r="EN36" i="2"/>
  <c r="FN34" i="2"/>
  <c r="EZ34" i="2"/>
  <c r="FL33" i="2"/>
  <c r="EX33" i="2"/>
  <c r="EV32" i="2"/>
  <c r="FJ32" i="2"/>
  <c r="FH31" i="2"/>
  <c r="ET31" i="2"/>
  <c r="FF30" i="2"/>
  <c r="ER30" i="2"/>
  <c r="FD29" i="2"/>
  <c r="EP29" i="2"/>
  <c r="FB28" i="2"/>
  <c r="EN28" i="2"/>
  <c r="EZ26" i="2"/>
  <c r="FN26" i="2"/>
  <c r="FL25" i="2"/>
  <c r="EX25" i="2"/>
  <c r="FJ24" i="2"/>
  <c r="EV24" i="2"/>
  <c r="ET23" i="2"/>
  <c r="FH23" i="2"/>
  <c r="FF22" i="2"/>
  <c r="ER22" i="2"/>
  <c r="FD21" i="2"/>
  <c r="EP21" i="2"/>
  <c r="FB20" i="2"/>
  <c r="EN20" i="2"/>
  <c r="FN18" i="2"/>
  <c r="EZ18" i="2"/>
  <c r="FL17" i="2"/>
  <c r="EX17" i="2"/>
  <c r="FJ16" i="2"/>
  <c r="EV16" i="2"/>
  <c r="FH15" i="2"/>
  <c r="ET15" i="2"/>
  <c r="FF14" i="2"/>
  <c r="ER14" i="2"/>
  <c r="FD13" i="2"/>
  <c r="EP13" i="2"/>
  <c r="FB12" i="2"/>
  <c r="EN12" i="2"/>
  <c r="FN10" i="2"/>
  <c r="EZ10" i="2"/>
  <c r="FL9" i="2"/>
  <c r="EX9" i="2"/>
  <c r="EV8" i="2"/>
  <c r="FJ8" i="2"/>
  <c r="FH7" i="2"/>
  <c r="ET7" i="2"/>
  <c r="FF6" i="2"/>
  <c r="ER6" i="2"/>
  <c r="FD5" i="2"/>
  <c r="EP5" i="2"/>
  <c r="FB4" i="2"/>
  <c r="EN4" i="2"/>
  <c r="FN2" i="2"/>
  <c r="EZ2" i="2"/>
  <c r="FK97" i="2"/>
  <c r="EW97" i="2"/>
  <c r="FI96" i="2"/>
  <c r="EU96" i="2"/>
  <c r="FG95" i="2"/>
  <c r="ES95" i="2"/>
  <c r="FE94" i="2"/>
  <c r="EQ94" i="2"/>
  <c r="FC93" i="2"/>
  <c r="EO93" i="2"/>
  <c r="FA92" i="2"/>
  <c r="EM92" i="2"/>
  <c r="FM90" i="2"/>
  <c r="EY90" i="2"/>
  <c r="FK89" i="2"/>
  <c r="EW89" i="2"/>
  <c r="FI88" i="2"/>
  <c r="EU88" i="2"/>
  <c r="FG87" i="2"/>
  <c r="ES87" i="2"/>
  <c r="FE86" i="2"/>
  <c r="EQ86" i="2"/>
  <c r="EO85" i="2"/>
  <c r="FC85" i="2"/>
  <c r="FA84" i="2"/>
  <c r="EM84" i="2"/>
  <c r="FM82" i="2"/>
  <c r="EY82" i="2"/>
  <c r="FK81" i="2"/>
  <c r="EW81" i="2"/>
  <c r="FI80" i="2"/>
  <c r="EU80" i="2"/>
  <c r="FG79" i="2"/>
  <c r="ES79" i="2"/>
  <c r="FE78" i="2"/>
  <c r="EQ78" i="2"/>
  <c r="FC77" i="2"/>
  <c r="EO77" i="2"/>
  <c r="FA76" i="2"/>
  <c r="EM76" i="2"/>
  <c r="FM74" i="2"/>
  <c r="EY74" i="2"/>
  <c r="FK73" i="2"/>
  <c r="EW73" i="2"/>
  <c r="FI72" i="2"/>
  <c r="EU72" i="2"/>
  <c r="FG71" i="2"/>
  <c r="ES71" i="2"/>
  <c r="FE70" i="2"/>
  <c r="EQ70" i="2"/>
  <c r="FC69" i="2"/>
  <c r="EO69" i="2"/>
  <c r="FA68" i="2"/>
  <c r="EM68" i="2"/>
  <c r="FM66" i="2"/>
  <c r="EY66" i="2"/>
  <c r="EW65" i="2"/>
  <c r="FK65" i="2"/>
  <c r="FI64" i="2"/>
  <c r="EU64" i="2"/>
  <c r="FG63" i="2"/>
  <c r="ES63" i="2"/>
  <c r="FE62" i="2"/>
  <c r="EQ62" i="2"/>
  <c r="FC61" i="2"/>
  <c r="EO61" i="2"/>
  <c r="EM60" i="2"/>
  <c r="FA60" i="2"/>
  <c r="FM58" i="2"/>
  <c r="EY58" i="2"/>
  <c r="FK57" i="2"/>
  <c r="EW57" i="2"/>
  <c r="FI56" i="2"/>
  <c r="EU56" i="2"/>
  <c r="FG55" i="2"/>
  <c r="ES55" i="2"/>
  <c r="FE54" i="2"/>
  <c r="EQ54" i="2"/>
  <c r="FC53" i="2"/>
  <c r="EO53" i="2"/>
  <c r="FA52" i="2"/>
  <c r="EM52" i="2"/>
  <c r="FM50" i="2"/>
  <c r="EY50" i="2"/>
  <c r="FK49" i="2"/>
  <c r="EW49" i="2"/>
  <c r="FI48" i="2"/>
  <c r="EU48" i="2"/>
  <c r="FG47" i="2"/>
  <c r="ES47" i="2"/>
  <c r="FE46" i="2"/>
  <c r="EQ46" i="2"/>
  <c r="FC45" i="2"/>
  <c r="EO45" i="2"/>
  <c r="FA44" i="2"/>
  <c r="EM44" i="2"/>
  <c r="FM42" i="2"/>
  <c r="EY42" i="2"/>
  <c r="FK41" i="2"/>
  <c r="EW41" i="2"/>
  <c r="FI40" i="2"/>
  <c r="EU40" i="2"/>
  <c r="ES39" i="2"/>
  <c r="FG39" i="2"/>
  <c r="FE38" i="2"/>
  <c r="EQ38" i="2"/>
  <c r="FC37" i="2"/>
  <c r="EO37" i="2"/>
  <c r="FA36" i="2"/>
  <c r="EM36" i="2"/>
  <c r="FM34" i="2"/>
  <c r="EY34" i="2"/>
  <c r="FK33" i="2"/>
  <c r="EW33" i="2"/>
  <c r="EU32" i="2"/>
  <c r="FI32" i="2"/>
  <c r="ES31" i="2"/>
  <c r="FG31" i="2"/>
  <c r="FE30" i="2"/>
  <c r="EQ30" i="2"/>
  <c r="FC29" i="2"/>
  <c r="EO29" i="2"/>
  <c r="FA28" i="2"/>
  <c r="EM28" i="2"/>
  <c r="FM26" i="2"/>
  <c r="EY26" i="2"/>
  <c r="FK25" i="2"/>
  <c r="EW25" i="2"/>
  <c r="FI24" i="2"/>
  <c r="EU24" i="2"/>
  <c r="ES23" i="2"/>
  <c r="FG23" i="2"/>
  <c r="FE22" i="2"/>
  <c r="EQ22" i="2"/>
  <c r="FC21" i="2"/>
  <c r="EO21" i="2"/>
  <c r="FA20" i="2"/>
  <c r="EM20" i="2"/>
  <c r="FM18" i="2"/>
  <c r="EY18" i="2"/>
  <c r="FK17" i="2"/>
  <c r="EW17" i="2"/>
  <c r="EU16" i="2"/>
  <c r="FI16" i="2"/>
  <c r="FG15" i="2"/>
  <c r="ES15" i="2"/>
  <c r="EQ14" i="2"/>
  <c r="FE14" i="2"/>
  <c r="FC13" i="2"/>
  <c r="EO13" i="2"/>
  <c r="EM12" i="2"/>
  <c r="FA12" i="2"/>
  <c r="FM10" i="2"/>
  <c r="EY10" i="2"/>
  <c r="FK9" i="2"/>
  <c r="EW9" i="2"/>
  <c r="EU8" i="2"/>
  <c r="FI8" i="2"/>
  <c r="FG7" i="2"/>
  <c r="ES7" i="2"/>
  <c r="FE6" i="2"/>
  <c r="EQ6" i="2"/>
  <c r="FC5" i="2"/>
  <c r="EO5" i="2"/>
  <c r="FA4" i="2"/>
  <c r="EM4" i="2"/>
  <c r="FM2" i="2"/>
  <c r="EY2" i="2"/>
  <c r="FG90" i="2"/>
  <c r="ES90" i="2"/>
  <c r="FM77" i="2"/>
  <c r="EY77" i="2"/>
  <c r="FA63" i="2"/>
  <c r="EM63" i="2"/>
  <c r="FI51" i="2"/>
  <c r="EU51" i="2"/>
  <c r="FK36" i="2"/>
  <c r="EW36" i="2"/>
  <c r="FK20" i="2"/>
  <c r="EW20" i="2"/>
  <c r="EW4" i="2"/>
  <c r="FK4" i="2"/>
  <c r="FJ97" i="2"/>
  <c r="EV97" i="2"/>
  <c r="ET96" i="2"/>
  <c r="FH96" i="2"/>
  <c r="FF95" i="2"/>
  <c r="ER95" i="2"/>
  <c r="FD94" i="2"/>
  <c r="EP94" i="2"/>
  <c r="FB93" i="2"/>
  <c r="EN93" i="2"/>
  <c r="FN91" i="2"/>
  <c r="EZ91" i="2"/>
  <c r="FL90" i="2"/>
  <c r="EX90" i="2"/>
  <c r="FJ89" i="2"/>
  <c r="EV89" i="2"/>
  <c r="FH88" i="2"/>
  <c r="ET88" i="2"/>
  <c r="FF87" i="2"/>
  <c r="ER87" i="2"/>
  <c r="FD86" i="2"/>
  <c r="EP86" i="2"/>
  <c r="FB85" i="2"/>
  <c r="EN85" i="2"/>
  <c r="EZ83" i="2"/>
  <c r="FN83" i="2"/>
  <c r="FL82" i="2"/>
  <c r="EX82" i="2"/>
  <c r="FJ81" i="2"/>
  <c r="EV81" i="2"/>
  <c r="FH80" i="2"/>
  <c r="ET80" i="2"/>
  <c r="FF79" i="2"/>
  <c r="ER79" i="2"/>
  <c r="EP78" i="2"/>
  <c r="FD78" i="2"/>
  <c r="FB77" i="2"/>
  <c r="EN77" i="2"/>
  <c r="FN75" i="2"/>
  <c r="EZ75" i="2"/>
  <c r="FL74" i="2"/>
  <c r="EX74" i="2"/>
  <c r="FJ73" i="2"/>
  <c r="EV73" i="2"/>
  <c r="FH72" i="2"/>
  <c r="ET72" i="2"/>
  <c r="FF71" i="2"/>
  <c r="ER71" i="2"/>
  <c r="FD70" i="2"/>
  <c r="EP70" i="2"/>
  <c r="FB69" i="2"/>
  <c r="EN69" i="2"/>
  <c r="FN67" i="2"/>
  <c r="EZ67" i="2"/>
  <c r="FL66" i="2"/>
  <c r="EX66" i="2"/>
  <c r="FJ65" i="2"/>
  <c r="EV65" i="2"/>
  <c r="FH64" i="2"/>
  <c r="ET64" i="2"/>
  <c r="FF63" i="2"/>
  <c r="ER63" i="2"/>
  <c r="EP62" i="2"/>
  <c r="FD62" i="2"/>
  <c r="FB61" i="2"/>
  <c r="EN61" i="2"/>
  <c r="FN59" i="2"/>
  <c r="EZ59" i="2"/>
  <c r="FL58" i="2"/>
  <c r="EX58" i="2"/>
  <c r="FJ57" i="2"/>
  <c r="EV57" i="2"/>
  <c r="FH56" i="2"/>
  <c r="ET56" i="2"/>
  <c r="ER55" i="2"/>
  <c r="FF55" i="2"/>
  <c r="FD54" i="2"/>
  <c r="EP54" i="2"/>
  <c r="FB53" i="2"/>
  <c r="EN53" i="2"/>
  <c r="EZ51" i="2"/>
  <c r="FN51" i="2"/>
  <c r="FL50" i="2"/>
  <c r="EX50" i="2"/>
  <c r="FJ49" i="2"/>
  <c r="EV49" i="2"/>
  <c r="FH48" i="2"/>
  <c r="ET48" i="2"/>
  <c r="FF47" i="2"/>
  <c r="ER47" i="2"/>
  <c r="FD46" i="2"/>
  <c r="EP46" i="2"/>
  <c r="FB45" i="2"/>
  <c r="EN45" i="2"/>
  <c r="FN43" i="2"/>
  <c r="EZ43" i="2"/>
  <c r="FL42" i="2"/>
  <c r="EX42" i="2"/>
  <c r="FJ41" i="2"/>
  <c r="EV41" i="2"/>
  <c r="FH40" i="2"/>
  <c r="ET40" i="2"/>
  <c r="FF39" i="2"/>
  <c r="ER39" i="2"/>
  <c r="EP38" i="2"/>
  <c r="FD38" i="2"/>
  <c r="FB37" i="2"/>
  <c r="EN37" i="2"/>
  <c r="EZ35" i="2"/>
  <c r="FN35" i="2"/>
  <c r="FL34" i="2"/>
  <c r="EX34" i="2"/>
  <c r="FJ33" i="2"/>
  <c r="EV33" i="2"/>
  <c r="FH32" i="2"/>
  <c r="ET32" i="2"/>
  <c r="ER31" i="2"/>
  <c r="FF31" i="2"/>
  <c r="EP30" i="2"/>
  <c r="FD30" i="2"/>
  <c r="FB29" i="2"/>
  <c r="EN29" i="2"/>
  <c r="FN27" i="2"/>
  <c r="EZ27" i="2"/>
  <c r="FL26" i="2"/>
  <c r="EX26" i="2"/>
  <c r="FJ25" i="2"/>
  <c r="EV25" i="2"/>
  <c r="ET24" i="2"/>
  <c r="FH24" i="2"/>
  <c r="FF23" i="2"/>
  <c r="ER23" i="2"/>
  <c r="FD22" i="2"/>
  <c r="EP22" i="2"/>
  <c r="FB21" i="2"/>
  <c r="EN21" i="2"/>
  <c r="FN19" i="2"/>
  <c r="EZ19" i="2"/>
  <c r="FL18" i="2"/>
  <c r="EX18" i="2"/>
  <c r="FJ17" i="2"/>
  <c r="EV17" i="2"/>
  <c r="FH16" i="2"/>
  <c r="ET16" i="2"/>
  <c r="FF15" i="2"/>
  <c r="ER15" i="2"/>
  <c r="FD14" i="2"/>
  <c r="EP14" i="2"/>
  <c r="FB13" i="2"/>
  <c r="EN13" i="2"/>
  <c r="FN11" i="2"/>
  <c r="EZ11" i="2"/>
  <c r="FL10" i="2"/>
  <c r="EX10" i="2"/>
  <c r="FJ9" i="2"/>
  <c r="EV9" i="2"/>
  <c r="FH8" i="2"/>
  <c r="ET8" i="2"/>
  <c r="ER7" i="2"/>
  <c r="FF7" i="2"/>
  <c r="FD6" i="2"/>
  <c r="EP6" i="2"/>
  <c r="FB5" i="2"/>
  <c r="EN5" i="2"/>
  <c r="FN3" i="2"/>
  <c r="EZ3" i="2"/>
  <c r="FL2" i="2"/>
  <c r="EX2" i="2"/>
  <c r="FI97" i="2"/>
  <c r="EU97" i="2"/>
  <c r="ES96" i="2"/>
  <c r="FG96" i="2"/>
  <c r="FE95" i="2"/>
  <c r="EQ95" i="2"/>
  <c r="FC94" i="2"/>
  <c r="EO94" i="2"/>
  <c r="EM93" i="2"/>
  <c r="FA93" i="2"/>
  <c r="FM91" i="2"/>
  <c r="EY91" i="2"/>
  <c r="FK90" i="2"/>
  <c r="EW90" i="2"/>
  <c r="EU89" i="2"/>
  <c r="FI89" i="2"/>
  <c r="FG88" i="2"/>
  <c r="ES88" i="2"/>
  <c r="FE87" i="2"/>
  <c r="EQ87" i="2"/>
  <c r="FC86" i="2"/>
  <c r="EO86" i="2"/>
  <c r="FA85" i="2"/>
  <c r="EM85" i="2"/>
  <c r="EY83" i="2"/>
  <c r="FM83" i="2"/>
  <c r="FK82" i="2"/>
  <c r="EW82" i="2"/>
  <c r="FI81" i="2"/>
  <c r="EU81" i="2"/>
  <c r="FG80" i="2"/>
  <c r="ES80" i="2"/>
  <c r="FE79" i="2"/>
  <c r="EQ79" i="2"/>
  <c r="FC78" i="2"/>
  <c r="EO78" i="2"/>
  <c r="FA77" i="2"/>
  <c r="EM77" i="2"/>
  <c r="FM75" i="2"/>
  <c r="EY75" i="2"/>
  <c r="FK74" i="2"/>
  <c r="EW74" i="2"/>
  <c r="FI73" i="2"/>
  <c r="EU73" i="2"/>
  <c r="FG72" i="2"/>
  <c r="ES72" i="2"/>
  <c r="FE71" i="2"/>
  <c r="EQ71" i="2"/>
  <c r="FC70" i="2"/>
  <c r="EO70" i="2"/>
  <c r="FA69" i="2"/>
  <c r="EM69" i="2"/>
  <c r="FM67" i="2"/>
  <c r="EY67" i="2"/>
  <c r="FK66" i="2"/>
  <c r="EW66" i="2"/>
  <c r="EU65" i="2"/>
  <c r="FI65" i="2"/>
  <c r="FG64" i="2"/>
  <c r="ES64" i="2"/>
  <c r="FE63" i="2"/>
  <c r="EQ63" i="2"/>
  <c r="FC62" i="2"/>
  <c r="EO62" i="2"/>
  <c r="FA61" i="2"/>
  <c r="EM61" i="2"/>
  <c r="FM59" i="2"/>
  <c r="EY59" i="2"/>
  <c r="FK58" i="2"/>
  <c r="EW58" i="2"/>
  <c r="FI57" i="2"/>
  <c r="EU57" i="2"/>
  <c r="FG56" i="2"/>
  <c r="ES56" i="2"/>
  <c r="FE55" i="2"/>
  <c r="EQ55" i="2"/>
  <c r="FC54" i="2"/>
  <c r="EO54" i="2"/>
  <c r="FA53" i="2"/>
  <c r="EM53" i="2"/>
  <c r="FM51" i="2"/>
  <c r="EY51" i="2"/>
  <c r="EW50" i="2"/>
  <c r="FK50" i="2"/>
  <c r="FI49" i="2"/>
  <c r="EU49" i="2"/>
  <c r="FG48" i="2"/>
  <c r="ES48" i="2"/>
  <c r="FE47" i="2"/>
  <c r="EQ47" i="2"/>
  <c r="FC46" i="2"/>
  <c r="EO46" i="2"/>
  <c r="FA45" i="2"/>
  <c r="EM45" i="2"/>
  <c r="FM43" i="2"/>
  <c r="EY43" i="2"/>
  <c r="FK42" i="2"/>
  <c r="EW42" i="2"/>
  <c r="FI41" i="2"/>
  <c r="EU41" i="2"/>
  <c r="FG40" i="2"/>
  <c r="ES40" i="2"/>
  <c r="FE39" i="2"/>
  <c r="EQ39" i="2"/>
  <c r="EO38" i="2"/>
  <c r="FC38" i="2"/>
  <c r="FA37" i="2"/>
  <c r="EM37" i="2"/>
  <c r="FM35" i="2"/>
  <c r="EY35" i="2"/>
  <c r="FK34" i="2"/>
  <c r="EW34" i="2"/>
  <c r="FI33" i="2"/>
  <c r="EU33" i="2"/>
  <c r="FG32" i="2"/>
  <c r="ES32" i="2"/>
  <c r="FE31" i="2"/>
  <c r="EQ31" i="2"/>
  <c r="FC30" i="2"/>
  <c r="EO30" i="2"/>
  <c r="EM29" i="2"/>
  <c r="FA29" i="2"/>
  <c r="FM27" i="2"/>
  <c r="EY27" i="2"/>
  <c r="FK26" i="2"/>
  <c r="EW26" i="2"/>
  <c r="FI25" i="2"/>
  <c r="EU25" i="2"/>
  <c r="FG24" i="2"/>
  <c r="ES24" i="2"/>
  <c r="FE23" i="2"/>
  <c r="EQ23" i="2"/>
  <c r="FC22" i="2"/>
  <c r="EO22" i="2"/>
  <c r="FA21" i="2"/>
  <c r="EM21" i="2"/>
  <c r="FM19" i="2"/>
  <c r="EY19" i="2"/>
  <c r="FK18" i="2"/>
  <c r="EW18" i="2"/>
  <c r="FI17" i="2"/>
  <c r="EU17" i="2"/>
  <c r="FG16" i="2"/>
  <c r="ES16" i="2"/>
  <c r="FE15" i="2"/>
  <c r="EQ15" i="2"/>
  <c r="FC14" i="2"/>
  <c r="EO14" i="2"/>
  <c r="EM13" i="2"/>
  <c r="FA13" i="2"/>
  <c r="FM11" i="2"/>
  <c r="EY11" i="2"/>
  <c r="FK10" i="2"/>
  <c r="EW10" i="2"/>
  <c r="FI9" i="2"/>
  <c r="EU9" i="2"/>
  <c r="FG8" i="2"/>
  <c r="ES8" i="2"/>
  <c r="EQ7" i="2"/>
  <c r="FE7" i="2"/>
  <c r="FC6" i="2"/>
  <c r="EO6" i="2"/>
  <c r="FA5" i="2"/>
  <c r="EM5" i="2"/>
  <c r="FM3" i="2"/>
  <c r="EY3" i="2"/>
  <c r="FK2" i="2"/>
  <c r="EW2" i="2"/>
  <c r="FH97" i="2"/>
  <c r="ET97" i="2"/>
  <c r="FF96" i="2"/>
  <c r="ER96" i="2"/>
  <c r="FD95" i="2"/>
  <c r="EP95" i="2"/>
  <c r="FB94" i="2"/>
  <c r="EN94" i="2"/>
  <c r="FN92" i="2"/>
  <c r="EZ92" i="2"/>
  <c r="FL91" i="2"/>
  <c r="EX91" i="2"/>
  <c r="FJ90" i="2"/>
  <c r="EV90" i="2"/>
  <c r="FH89" i="2"/>
  <c r="ET89" i="2"/>
  <c r="FF88" i="2"/>
  <c r="ER88" i="2"/>
  <c r="FD87" i="2"/>
  <c r="EP87" i="2"/>
  <c r="FB86" i="2"/>
  <c r="EN86" i="2"/>
  <c r="FN84" i="2"/>
  <c r="EZ84" i="2"/>
  <c r="EX83" i="2"/>
  <c r="FL83" i="2"/>
  <c r="FJ82" i="2"/>
  <c r="EV82" i="2"/>
  <c r="FH81" i="2"/>
  <c r="ET81" i="2"/>
  <c r="FF80" i="2"/>
  <c r="ER80" i="2"/>
  <c r="FD79" i="2"/>
  <c r="EP79" i="2"/>
  <c r="FB78" i="2"/>
  <c r="EN78" i="2"/>
  <c r="EZ76" i="2"/>
  <c r="FN76" i="2"/>
  <c r="FL75" i="2"/>
  <c r="EX75" i="2"/>
  <c r="FJ74" i="2"/>
  <c r="EV74" i="2"/>
  <c r="FH73" i="2"/>
  <c r="ET73" i="2"/>
  <c r="FF72" i="2"/>
  <c r="ER72" i="2"/>
  <c r="FD71" i="2"/>
  <c r="EP71" i="2"/>
  <c r="FB70" i="2"/>
  <c r="EN70" i="2"/>
  <c r="EZ68" i="2"/>
  <c r="FN68" i="2"/>
  <c r="FL67" i="2"/>
  <c r="EX67" i="2"/>
  <c r="FJ66" i="2"/>
  <c r="EV66" i="2"/>
  <c r="ET65" i="2"/>
  <c r="FH65" i="2"/>
  <c r="ER64" i="2"/>
  <c r="FF64" i="2"/>
  <c r="FD63" i="2"/>
  <c r="EP63" i="2"/>
  <c r="FB62" i="2"/>
  <c r="EN62" i="2"/>
  <c r="FN60" i="2"/>
  <c r="EZ60" i="2"/>
  <c r="FL59" i="2"/>
  <c r="EX59" i="2"/>
  <c r="FJ58" i="2"/>
  <c r="EV58" i="2"/>
  <c r="FH57" i="2"/>
  <c r="ET57" i="2"/>
  <c r="FF56" i="2"/>
  <c r="ER56" i="2"/>
  <c r="FD55" i="2"/>
  <c r="EP55" i="2"/>
  <c r="FB54" i="2"/>
  <c r="EN54" i="2"/>
  <c r="FN52" i="2"/>
  <c r="EZ52" i="2"/>
  <c r="FL51" i="2"/>
  <c r="EX51" i="2"/>
  <c r="FJ50" i="2"/>
  <c r="EV50" i="2"/>
  <c r="FH49" i="2"/>
  <c r="ET49" i="2"/>
  <c r="FF48" i="2"/>
  <c r="ER48" i="2"/>
  <c r="FD47" i="2"/>
  <c r="EP47" i="2"/>
  <c r="EN46" i="2"/>
  <c r="FB46" i="2"/>
  <c r="FN44" i="2"/>
  <c r="EZ44" i="2"/>
  <c r="FL43" i="2"/>
  <c r="EX43" i="2"/>
  <c r="FJ42" i="2"/>
  <c r="EV42" i="2"/>
  <c r="FH41" i="2"/>
  <c r="ET41" i="2"/>
  <c r="FF40" i="2"/>
  <c r="ER40" i="2"/>
  <c r="FD39" i="2"/>
  <c r="EP39" i="2"/>
  <c r="FB38" i="2"/>
  <c r="EN38" i="2"/>
  <c r="FN36" i="2"/>
  <c r="EZ36" i="2"/>
  <c r="FL35" i="2"/>
  <c r="EX35" i="2"/>
  <c r="FJ34" i="2"/>
  <c r="EV34" i="2"/>
  <c r="FH33" i="2"/>
  <c r="ET33" i="2"/>
  <c r="FF32" i="2"/>
  <c r="ER32" i="2"/>
  <c r="FD31" i="2"/>
  <c r="EP31" i="2"/>
  <c r="FB30" i="2"/>
  <c r="EN30" i="2"/>
  <c r="EZ28" i="2"/>
  <c r="FN28" i="2"/>
  <c r="FL27" i="2"/>
  <c r="EX27" i="2"/>
  <c r="FJ26" i="2"/>
  <c r="EV26" i="2"/>
  <c r="FH25" i="2"/>
  <c r="ET25" i="2"/>
  <c r="FF24" i="2"/>
  <c r="ER24" i="2"/>
  <c r="FD23" i="2"/>
  <c r="EP23" i="2"/>
  <c r="FB22" i="2"/>
  <c r="EN22" i="2"/>
  <c r="EZ20" i="2"/>
  <c r="FN20" i="2"/>
  <c r="FL19" i="2"/>
  <c r="EX19" i="2"/>
  <c r="EV18" i="2"/>
  <c r="FJ18" i="2"/>
  <c r="FH17" i="2"/>
  <c r="ET17" i="2"/>
  <c r="ER16" i="2"/>
  <c r="FF16" i="2"/>
  <c r="FD15" i="2"/>
  <c r="EP15" i="2"/>
  <c r="FB14" i="2"/>
  <c r="EN14" i="2"/>
  <c r="FN12" i="2"/>
  <c r="EZ12" i="2"/>
  <c r="FL11" i="2"/>
  <c r="EX11" i="2"/>
  <c r="FJ10" i="2"/>
  <c r="EV10" i="2"/>
  <c r="FH9" i="2"/>
  <c r="ET9" i="2"/>
  <c r="FF8" i="2"/>
  <c r="ER8" i="2"/>
  <c r="FD7" i="2"/>
  <c r="EP7" i="2"/>
  <c r="FB6" i="2"/>
  <c r="EN6" i="2"/>
  <c r="FN4" i="2"/>
  <c r="EZ4" i="2"/>
  <c r="FL3" i="2"/>
  <c r="EX3" i="2"/>
  <c r="FJ2" i="2"/>
  <c r="EV2" i="2"/>
  <c r="FG97" i="2"/>
  <c r="ES97" i="2"/>
  <c r="FE96" i="2"/>
  <c r="EQ96" i="2"/>
  <c r="FC95" i="2"/>
  <c r="EO95" i="2"/>
  <c r="FA94" i="2"/>
  <c r="EM94" i="2"/>
  <c r="FM92" i="2"/>
  <c r="EY92" i="2"/>
  <c r="FK91" i="2"/>
  <c r="EW91" i="2"/>
  <c r="FI90" i="2"/>
  <c r="EU90" i="2"/>
  <c r="FG89" i="2"/>
  <c r="ES89" i="2"/>
  <c r="FE88" i="2"/>
  <c r="EQ88" i="2"/>
  <c r="FC87" i="2"/>
  <c r="EO87" i="2"/>
  <c r="FA86" i="2"/>
  <c r="EM86" i="2"/>
  <c r="FM84" i="2"/>
  <c r="EY84" i="2"/>
  <c r="FK83" i="2"/>
  <c r="EW83" i="2"/>
  <c r="FI82" i="2"/>
  <c r="EU82" i="2"/>
  <c r="FG81" i="2"/>
  <c r="ES81" i="2"/>
  <c r="EQ80" i="2"/>
  <c r="FE80" i="2"/>
  <c r="FC79" i="2"/>
  <c r="EO79" i="2"/>
  <c r="FA78" i="2"/>
  <c r="EM78" i="2"/>
  <c r="FM76" i="2"/>
  <c r="EY76" i="2"/>
  <c r="FK75" i="2"/>
  <c r="EW75" i="2"/>
  <c r="FI74" i="2"/>
  <c r="EU74" i="2"/>
  <c r="FG73" i="2"/>
  <c r="ES73" i="2"/>
  <c r="FE72" i="2"/>
  <c r="EQ72" i="2"/>
  <c r="FC71" i="2"/>
  <c r="EO71" i="2"/>
  <c r="FA70" i="2"/>
  <c r="EM70" i="2"/>
  <c r="EY68" i="2"/>
  <c r="FM68" i="2"/>
  <c r="FK67" i="2"/>
  <c r="EW67" i="2"/>
  <c r="FI66" i="2"/>
  <c r="EU66" i="2"/>
  <c r="FG65" i="2"/>
  <c r="ES65" i="2"/>
  <c r="EQ64" i="2"/>
  <c r="FE64" i="2"/>
  <c r="FC63" i="2"/>
  <c r="EO63" i="2"/>
  <c r="FA62" i="2"/>
  <c r="EM62" i="2"/>
  <c r="FM60" i="2"/>
  <c r="EY60" i="2"/>
  <c r="FK59" i="2"/>
  <c r="EW59" i="2"/>
  <c r="FI58" i="2"/>
  <c r="EU58" i="2"/>
  <c r="FG57" i="2"/>
  <c r="ES57" i="2"/>
  <c r="FE56" i="2"/>
  <c r="EQ56" i="2"/>
  <c r="FC55" i="2"/>
  <c r="EO55" i="2"/>
  <c r="FA54" i="2"/>
  <c r="EM54" i="2"/>
  <c r="FM52" i="2"/>
  <c r="EY52" i="2"/>
  <c r="FK51" i="2"/>
  <c r="EW51" i="2"/>
  <c r="FI50" i="2"/>
  <c r="EU50" i="2"/>
  <c r="FG49" i="2"/>
  <c r="ES49" i="2"/>
  <c r="FE48" i="2"/>
  <c r="EQ48" i="2"/>
  <c r="FC47" i="2"/>
  <c r="EO47" i="2"/>
  <c r="FA46" i="2"/>
  <c r="EM46" i="2"/>
  <c r="FM44" i="2"/>
  <c r="EY44" i="2"/>
  <c r="FK43" i="2"/>
  <c r="EW43" i="2"/>
  <c r="EU42" i="2"/>
  <c r="FI42" i="2"/>
  <c r="FG41" i="2"/>
  <c r="ES41" i="2"/>
  <c r="FE40" i="2"/>
  <c r="EQ40" i="2"/>
  <c r="FC39" i="2"/>
  <c r="EO39" i="2"/>
  <c r="FA38" i="2"/>
  <c r="EM38" i="2"/>
  <c r="FM36" i="2"/>
  <c r="EY36" i="2"/>
  <c r="FK35" i="2"/>
  <c r="EW35" i="2"/>
  <c r="FI34" i="2"/>
  <c r="EU34" i="2"/>
  <c r="FG33" i="2"/>
  <c r="ES33" i="2"/>
  <c r="FE32" i="2"/>
  <c r="EQ32" i="2"/>
  <c r="EO31" i="2"/>
  <c r="FC31" i="2"/>
  <c r="FA30" i="2"/>
  <c r="EM30" i="2"/>
  <c r="EY28" i="2"/>
  <c r="FM28" i="2"/>
  <c r="FK27" i="2"/>
  <c r="EW27" i="2"/>
  <c r="FI26" i="2"/>
  <c r="EU26" i="2"/>
  <c r="FG25" i="2"/>
  <c r="ES25" i="2"/>
  <c r="FE24" i="2"/>
  <c r="EQ24" i="2"/>
  <c r="FC23" i="2"/>
  <c r="EO23" i="2"/>
  <c r="FA22" i="2"/>
  <c r="EM22" i="2"/>
  <c r="FM20" i="2"/>
  <c r="EY20" i="2"/>
  <c r="FK19" i="2"/>
  <c r="EW19" i="2"/>
  <c r="FI18" i="2"/>
  <c r="EU18" i="2"/>
  <c r="FG17" i="2"/>
  <c r="ES17" i="2"/>
  <c r="FE16" i="2"/>
  <c r="EQ16" i="2"/>
  <c r="FC15" i="2"/>
  <c r="EO15" i="2"/>
  <c r="FA14" i="2"/>
  <c r="EM14" i="2"/>
  <c r="EY12" i="2"/>
  <c r="FM12" i="2"/>
  <c r="FK11" i="2"/>
  <c r="EW11" i="2"/>
  <c r="EU10" i="2"/>
  <c r="FI10" i="2"/>
  <c r="FG9" i="2"/>
  <c r="ES9" i="2"/>
  <c r="FE8" i="2"/>
  <c r="EQ8" i="2"/>
  <c r="FC7" i="2"/>
  <c r="EO7" i="2"/>
  <c r="FA6" i="2"/>
  <c r="EM6" i="2"/>
  <c r="FM4" i="2"/>
  <c r="EY4" i="2"/>
  <c r="FK3" i="2"/>
  <c r="EW3" i="2"/>
  <c r="FI2" i="2"/>
  <c r="EU2" i="2"/>
  <c r="FC96" i="2"/>
  <c r="EO96" i="2"/>
  <c r="FC88" i="2"/>
  <c r="EO88" i="2"/>
  <c r="FC80" i="2"/>
  <c r="EO80" i="2"/>
  <c r="EO72" i="2"/>
  <c r="FC72" i="2"/>
  <c r="FI67" i="2"/>
  <c r="EU67" i="2"/>
  <c r="FM61" i="2"/>
  <c r="EY61" i="2"/>
  <c r="FM53" i="2"/>
  <c r="EY53" i="2"/>
  <c r="FE41" i="2"/>
  <c r="EQ41" i="2"/>
  <c r="FA31" i="2"/>
  <c r="EM31" i="2"/>
  <c r="FM21" i="2"/>
  <c r="EY21" i="2"/>
  <c r="ES10" i="2"/>
  <c r="FG10" i="2"/>
  <c r="ER97" i="2"/>
  <c r="FF97" i="2"/>
  <c r="FD96" i="2"/>
  <c r="EP96" i="2"/>
  <c r="FB95" i="2"/>
  <c r="EN95" i="2"/>
  <c r="EZ93" i="2"/>
  <c r="FN93" i="2"/>
  <c r="FL92" i="2"/>
  <c r="EX92" i="2"/>
  <c r="FJ91" i="2"/>
  <c r="EV91" i="2"/>
  <c r="FH90" i="2"/>
  <c r="ET90" i="2"/>
  <c r="FF89" i="2"/>
  <c r="ER89" i="2"/>
  <c r="FD88" i="2"/>
  <c r="EP88" i="2"/>
  <c r="FB87" i="2"/>
  <c r="EN87" i="2"/>
  <c r="FN85" i="2"/>
  <c r="EZ85" i="2"/>
  <c r="FL84" i="2"/>
  <c r="EX84" i="2"/>
  <c r="FJ83" i="2"/>
  <c r="EV83" i="2"/>
  <c r="FH82" i="2"/>
  <c r="ET82" i="2"/>
  <c r="FF81" i="2"/>
  <c r="ER81" i="2"/>
  <c r="FD80" i="2"/>
  <c r="EP80" i="2"/>
  <c r="FB79" i="2"/>
  <c r="EN79" i="2"/>
  <c r="FN77" i="2"/>
  <c r="EZ77" i="2"/>
  <c r="FL76" i="2"/>
  <c r="EX76" i="2"/>
  <c r="FJ75" i="2"/>
  <c r="EV75" i="2"/>
  <c r="FH74" i="2"/>
  <c r="ET74" i="2"/>
  <c r="FF73" i="2"/>
  <c r="ER73" i="2"/>
  <c r="EP72" i="2"/>
  <c r="FD72" i="2"/>
  <c r="FB71" i="2"/>
  <c r="EN71" i="2"/>
  <c r="FN69" i="2"/>
  <c r="EZ69" i="2"/>
  <c r="FL68" i="2"/>
  <c r="EX68" i="2"/>
  <c r="FJ67" i="2"/>
  <c r="EV67" i="2"/>
  <c r="FH66" i="2"/>
  <c r="ET66" i="2"/>
  <c r="FF65" i="2"/>
  <c r="ER65" i="2"/>
  <c r="FD64" i="2"/>
  <c r="EP64" i="2"/>
  <c r="FB63" i="2"/>
  <c r="EN63" i="2"/>
  <c r="FN61" i="2"/>
  <c r="EZ61" i="2"/>
  <c r="FL60" i="2"/>
  <c r="EX60" i="2"/>
  <c r="FJ59" i="2"/>
  <c r="EV59" i="2"/>
  <c r="ET58" i="2"/>
  <c r="FH58" i="2"/>
  <c r="FF57" i="2"/>
  <c r="ER57" i="2"/>
  <c r="FD56" i="2"/>
  <c r="EP56" i="2"/>
  <c r="FB55" i="2"/>
  <c r="EN55" i="2"/>
  <c r="FN53" i="2"/>
  <c r="EZ53" i="2"/>
  <c r="FL52" i="2"/>
  <c r="EX52" i="2"/>
  <c r="FJ51" i="2"/>
  <c r="EV51" i="2"/>
  <c r="FH50" i="2"/>
  <c r="ET50" i="2"/>
  <c r="FF49" i="2"/>
  <c r="ER49" i="2"/>
  <c r="FD48" i="2"/>
  <c r="EP48" i="2"/>
  <c r="FB47" i="2"/>
  <c r="EN47" i="2"/>
  <c r="FN45" i="2"/>
  <c r="EZ45" i="2"/>
  <c r="FL44" i="2"/>
  <c r="EX44" i="2"/>
  <c r="FJ43" i="2"/>
  <c r="EV43" i="2"/>
  <c r="ET42" i="2"/>
  <c r="FH42" i="2"/>
  <c r="ER41" i="2"/>
  <c r="FF41" i="2"/>
  <c r="FD40" i="2"/>
  <c r="EP40" i="2"/>
  <c r="FB39" i="2"/>
  <c r="EN39" i="2"/>
  <c r="FN37" i="2"/>
  <c r="EZ37" i="2"/>
  <c r="FL36" i="2"/>
  <c r="EX36" i="2"/>
  <c r="FJ35" i="2"/>
  <c r="EV35" i="2"/>
  <c r="FH34" i="2"/>
  <c r="ET34" i="2"/>
  <c r="FF33" i="2"/>
  <c r="ER33" i="2"/>
  <c r="FD32" i="2"/>
  <c r="EP32" i="2"/>
  <c r="FB31" i="2"/>
  <c r="EN31" i="2"/>
  <c r="FN29" i="2"/>
  <c r="EZ29" i="2"/>
  <c r="FL28" i="2"/>
  <c r="EX28" i="2"/>
  <c r="FJ27" i="2"/>
  <c r="EV27" i="2"/>
  <c r="FH26" i="2"/>
  <c r="ET26" i="2"/>
  <c r="FF25" i="2"/>
  <c r="ER25" i="2"/>
  <c r="FD24" i="2"/>
  <c r="EP24" i="2"/>
  <c r="FB23" i="2"/>
  <c r="EN23" i="2"/>
  <c r="FN21" i="2"/>
  <c r="EZ21" i="2"/>
  <c r="FL20" i="2"/>
  <c r="EX20" i="2"/>
  <c r="FJ19" i="2"/>
  <c r="EV19" i="2"/>
  <c r="FH18" i="2"/>
  <c r="ET18" i="2"/>
  <c r="FF17" i="2"/>
  <c r="ER17" i="2"/>
  <c r="FD16" i="2"/>
  <c r="EP16" i="2"/>
  <c r="EN15" i="2"/>
  <c r="FB15" i="2"/>
  <c r="FN13" i="2"/>
  <c r="EZ13" i="2"/>
  <c r="FL12" i="2"/>
  <c r="EX12" i="2"/>
  <c r="FJ11" i="2"/>
  <c r="EV11" i="2"/>
  <c r="FH10" i="2"/>
  <c r="ET10" i="2"/>
  <c r="ER9" i="2"/>
  <c r="FF9" i="2"/>
  <c r="FD8" i="2"/>
  <c r="EP8" i="2"/>
  <c r="FB7" i="2"/>
  <c r="EN7" i="2"/>
  <c r="FN5" i="2"/>
  <c r="EZ5" i="2"/>
  <c r="EX4" i="2"/>
  <c r="FL4" i="2"/>
  <c r="FJ3" i="2"/>
  <c r="EV3" i="2"/>
  <c r="FH2" i="2"/>
  <c r="ET2" i="2"/>
  <c r="B144" i="5"/>
  <c r="B154" i="5" s="1"/>
  <c r="B133" i="5"/>
  <c r="B143" i="5"/>
  <c r="B132" i="5"/>
  <c r="S51" i="24" l="1"/>
  <c r="S78" i="24"/>
  <c r="S33" i="24"/>
  <c r="S26" i="24"/>
  <c r="S80" i="24"/>
  <c r="S36" i="24"/>
  <c r="S79" i="24"/>
  <c r="S81" i="24"/>
  <c r="Q81" i="18"/>
  <c r="H117" i="18"/>
  <c r="O117" i="18" s="1"/>
  <c r="Q117" i="18" s="1"/>
  <c r="H117" i="30"/>
  <c r="O117" i="30" s="1"/>
  <c r="H116" i="30"/>
  <c r="O116" i="30" s="1"/>
  <c r="H116" i="18"/>
  <c r="O116" i="18" s="1"/>
  <c r="Q116" i="18" s="1"/>
  <c r="H120" i="30"/>
  <c r="O120" i="30" s="1"/>
  <c r="H120" i="18"/>
  <c r="O120" i="18" s="1"/>
  <c r="Q120" i="18" s="1"/>
  <c r="H119" i="18"/>
  <c r="O119" i="18" s="1"/>
  <c r="Q119" i="18" s="1"/>
  <c r="H119" i="30"/>
  <c r="O119" i="30" s="1"/>
  <c r="H121" i="18"/>
  <c r="O121" i="18" s="1"/>
  <c r="Q121" i="18" s="1"/>
  <c r="H121" i="30"/>
  <c r="O121" i="30" s="1"/>
  <c r="G157" i="6"/>
  <c r="G169" i="6" s="1"/>
  <c r="G181" i="6" s="1"/>
  <c r="G193" i="6" s="1"/>
  <c r="G205" i="6" s="1"/>
  <c r="G217" i="6" s="1"/>
  <c r="DE119" i="2"/>
  <c r="E156" i="6"/>
  <c r="E168" i="6" s="1"/>
  <c r="E180" i="6" s="1"/>
  <c r="E192" i="6" s="1"/>
  <c r="E204" i="6" s="1"/>
  <c r="E216" i="6" s="1"/>
  <c r="DC118" i="2"/>
  <c r="H154" i="6"/>
  <c r="H166" i="6" s="1"/>
  <c r="H178" i="6" s="1"/>
  <c r="H190" i="6" s="1"/>
  <c r="H202" i="6" s="1"/>
  <c r="H214" i="6" s="1"/>
  <c r="DF116" i="2"/>
  <c r="H157" i="6"/>
  <c r="H169" i="6" s="1"/>
  <c r="H181" i="6" s="1"/>
  <c r="H193" i="6" s="1"/>
  <c r="H205" i="6" s="1"/>
  <c r="H217" i="6" s="1"/>
  <c r="DF119" i="2"/>
  <c r="E157" i="6"/>
  <c r="E169" i="6" s="1"/>
  <c r="E181" i="6" s="1"/>
  <c r="E193" i="6" s="1"/>
  <c r="E205" i="6" s="1"/>
  <c r="E217" i="6" s="1"/>
  <c r="DC119" i="2"/>
  <c r="H155" i="6"/>
  <c r="H167" i="6" s="1"/>
  <c r="H179" i="6" s="1"/>
  <c r="H191" i="6" s="1"/>
  <c r="H203" i="6" s="1"/>
  <c r="H215" i="6" s="1"/>
  <c r="DF117" i="2"/>
  <c r="E154" i="6"/>
  <c r="E166" i="6" s="1"/>
  <c r="E178" i="6" s="1"/>
  <c r="E190" i="6" s="1"/>
  <c r="E202" i="6" s="1"/>
  <c r="E214" i="6" s="1"/>
  <c r="DC116" i="2"/>
  <c r="E158" i="6"/>
  <c r="E170" i="6" s="1"/>
  <c r="E182" i="6" s="1"/>
  <c r="E194" i="6" s="1"/>
  <c r="E206" i="6" s="1"/>
  <c r="E218" i="6" s="1"/>
  <c r="DC120" i="2"/>
  <c r="H158" i="6"/>
  <c r="H170" i="6" s="1"/>
  <c r="H182" i="6" s="1"/>
  <c r="H194" i="6" s="1"/>
  <c r="H206" i="6" s="1"/>
  <c r="H218" i="6" s="1"/>
  <c r="DF120" i="2"/>
  <c r="G158" i="6"/>
  <c r="G170" i="6" s="1"/>
  <c r="G182" i="6" s="1"/>
  <c r="G194" i="6" s="1"/>
  <c r="G206" i="6" s="1"/>
  <c r="G218" i="6" s="1"/>
  <c r="DE120" i="2"/>
  <c r="I154" i="6"/>
  <c r="I166" i="6" s="1"/>
  <c r="I178" i="6" s="1"/>
  <c r="I190" i="6" s="1"/>
  <c r="I202" i="6" s="1"/>
  <c r="I214" i="6" s="1"/>
  <c r="DG116" i="2"/>
  <c r="E155" i="6"/>
  <c r="E167" i="6" s="1"/>
  <c r="E179" i="6" s="1"/>
  <c r="E191" i="6" s="1"/>
  <c r="E203" i="6" s="1"/>
  <c r="E215" i="6" s="1"/>
  <c r="DC117" i="2"/>
  <c r="I157" i="6"/>
  <c r="I169" i="6" s="1"/>
  <c r="I181" i="6" s="1"/>
  <c r="I193" i="6" s="1"/>
  <c r="I205" i="6" s="1"/>
  <c r="I217" i="6" s="1"/>
  <c r="DG119" i="2"/>
  <c r="I158" i="6"/>
  <c r="I170" i="6" s="1"/>
  <c r="I182" i="6" s="1"/>
  <c r="I194" i="6" s="1"/>
  <c r="I206" i="6" s="1"/>
  <c r="I218" i="6" s="1"/>
  <c r="DG120" i="2"/>
  <c r="I156" i="6"/>
  <c r="I168" i="6" s="1"/>
  <c r="I180" i="6" s="1"/>
  <c r="I192" i="6" s="1"/>
  <c r="I204" i="6" s="1"/>
  <c r="I216" i="6" s="1"/>
  <c r="DG118" i="2"/>
  <c r="G156" i="6"/>
  <c r="G168" i="6" s="1"/>
  <c r="G180" i="6" s="1"/>
  <c r="G192" i="6" s="1"/>
  <c r="G204" i="6" s="1"/>
  <c r="G216" i="6" s="1"/>
  <c r="DE118" i="2"/>
  <c r="I155" i="6"/>
  <c r="I167" i="6" s="1"/>
  <c r="I179" i="6" s="1"/>
  <c r="I191" i="6" s="1"/>
  <c r="I203" i="6" s="1"/>
  <c r="I215" i="6" s="1"/>
  <c r="DG117" i="2"/>
  <c r="G155" i="6"/>
  <c r="G167" i="6" s="1"/>
  <c r="G179" i="6" s="1"/>
  <c r="G191" i="6" s="1"/>
  <c r="G203" i="6" s="1"/>
  <c r="G215" i="6" s="1"/>
  <c r="DE117" i="2"/>
  <c r="G154" i="6"/>
  <c r="G166" i="6" s="1"/>
  <c r="G178" i="6" s="1"/>
  <c r="G190" i="6" s="1"/>
  <c r="G202" i="6" s="1"/>
  <c r="G214" i="6" s="1"/>
  <c r="DE116" i="2"/>
  <c r="H156" i="6"/>
  <c r="H168" i="6" s="1"/>
  <c r="H180" i="6" s="1"/>
  <c r="H192" i="6" s="1"/>
  <c r="H204" i="6" s="1"/>
  <c r="H216" i="6" s="1"/>
  <c r="DF118" i="2"/>
  <c r="S83" i="24"/>
  <c r="S75" i="24"/>
  <c r="Q78" i="25"/>
  <c r="Q32" i="25"/>
  <c r="S76" i="24"/>
  <c r="S28" i="24"/>
  <c r="J79" i="19"/>
  <c r="R79" i="19" s="1"/>
  <c r="S79" i="19" s="1"/>
  <c r="J79" i="29"/>
  <c r="R79" i="29" s="1"/>
  <c r="S79" i="29" s="1"/>
  <c r="J22" i="29"/>
  <c r="R22" i="29" s="1"/>
  <c r="J22" i="19"/>
  <c r="R22" i="19" s="1"/>
  <c r="J86" i="29"/>
  <c r="R86" i="29" s="1"/>
  <c r="J86" i="19"/>
  <c r="R86" i="19" s="1"/>
  <c r="J29" i="29"/>
  <c r="R29" i="29" s="1"/>
  <c r="S29" i="29" s="1"/>
  <c r="J29" i="19"/>
  <c r="R29" i="19" s="1"/>
  <c r="S29" i="19" s="1"/>
  <c r="J93" i="29"/>
  <c r="R93" i="29" s="1"/>
  <c r="J93" i="19"/>
  <c r="R93" i="19" s="1"/>
  <c r="J52" i="29"/>
  <c r="R52" i="29" s="1"/>
  <c r="J52" i="19"/>
  <c r="R52" i="19" s="1"/>
  <c r="J34" i="19"/>
  <c r="R34" i="19" s="1"/>
  <c r="J34" i="29"/>
  <c r="R34" i="29" s="1"/>
  <c r="S34" i="29" s="1"/>
  <c r="J32" i="19"/>
  <c r="R32" i="19" s="1"/>
  <c r="S32" i="19" s="1"/>
  <c r="J32" i="29"/>
  <c r="R32" i="29" s="1"/>
  <c r="S32" i="29" s="1"/>
  <c r="J25" i="29"/>
  <c r="R25" i="29" s="1"/>
  <c r="J25" i="19"/>
  <c r="R25" i="19" s="1"/>
  <c r="J15" i="19"/>
  <c r="R15" i="19" s="1"/>
  <c r="J15" i="29"/>
  <c r="R15" i="29" s="1"/>
  <c r="J51" i="19"/>
  <c r="R51" i="19" s="1"/>
  <c r="J51" i="29"/>
  <c r="R51" i="29" s="1"/>
  <c r="S51" i="29" s="1"/>
  <c r="J89" i="29"/>
  <c r="R89" i="29" s="1"/>
  <c r="J89" i="19"/>
  <c r="R89" i="19" s="1"/>
  <c r="S32" i="24"/>
  <c r="J7" i="29"/>
  <c r="R7" i="29" s="1"/>
  <c r="J7" i="19"/>
  <c r="R7" i="19" s="1"/>
  <c r="J71" i="29"/>
  <c r="R71" i="29" s="1"/>
  <c r="J71" i="19"/>
  <c r="R71" i="19" s="1"/>
  <c r="J14" i="19"/>
  <c r="R14" i="19" s="1"/>
  <c r="J14" i="29"/>
  <c r="R14" i="29" s="1"/>
  <c r="J78" i="19"/>
  <c r="R78" i="19" s="1"/>
  <c r="S78" i="19" s="1"/>
  <c r="J78" i="29"/>
  <c r="R78" i="29" s="1"/>
  <c r="S78" i="29" s="1"/>
  <c r="J21" i="29"/>
  <c r="R21" i="29" s="1"/>
  <c r="J21" i="19"/>
  <c r="R21" i="19" s="1"/>
  <c r="J44" i="29"/>
  <c r="R44" i="29" s="1"/>
  <c r="J44" i="19"/>
  <c r="R44" i="19" s="1"/>
  <c r="J17" i="19"/>
  <c r="R17" i="19" s="1"/>
  <c r="J17" i="29"/>
  <c r="R17" i="29" s="1"/>
  <c r="J81" i="19"/>
  <c r="R81" i="19" s="1"/>
  <c r="J81" i="29"/>
  <c r="R81" i="29" s="1"/>
  <c r="S81" i="29" s="1"/>
  <c r="J85" i="29"/>
  <c r="R85" i="29" s="1"/>
  <c r="S85" i="29" s="1"/>
  <c r="J85" i="19"/>
  <c r="R85" i="19" s="1"/>
  <c r="S85" i="19" s="1"/>
  <c r="J43" i="29"/>
  <c r="R43" i="29" s="1"/>
  <c r="J43" i="19"/>
  <c r="R43" i="19" s="1"/>
  <c r="J26" i="29"/>
  <c r="R26" i="29" s="1"/>
  <c r="S26" i="29" s="1"/>
  <c r="J26" i="19"/>
  <c r="R26" i="19" s="1"/>
  <c r="J90" i="29"/>
  <c r="R90" i="29" s="1"/>
  <c r="J90" i="19"/>
  <c r="R90" i="19" s="1"/>
  <c r="J13" i="29"/>
  <c r="R13" i="29" s="1"/>
  <c r="J13" i="19"/>
  <c r="R13" i="19" s="1"/>
  <c r="J77" i="29"/>
  <c r="R77" i="29" s="1"/>
  <c r="S77" i="29" s="1"/>
  <c r="J77" i="19"/>
  <c r="R77" i="19" s="1"/>
  <c r="S77" i="19" s="1"/>
  <c r="J36" i="29"/>
  <c r="R36" i="29" s="1"/>
  <c r="S36" i="29" s="1"/>
  <c r="J36" i="19"/>
  <c r="R36" i="19" s="1"/>
  <c r="S36" i="19" s="1"/>
  <c r="J18" i="19"/>
  <c r="R18" i="19" s="1"/>
  <c r="J18" i="29"/>
  <c r="R18" i="29" s="1"/>
  <c r="J82" i="19"/>
  <c r="R82" i="19" s="1"/>
  <c r="S82" i="19" s="1"/>
  <c r="J82" i="29"/>
  <c r="R82" i="29" s="1"/>
  <c r="S82" i="29" s="1"/>
  <c r="J9" i="29"/>
  <c r="R9" i="29" s="1"/>
  <c r="J9" i="19"/>
  <c r="R9" i="19" s="1"/>
  <c r="J73" i="29"/>
  <c r="R73" i="29" s="1"/>
  <c r="J73" i="19"/>
  <c r="R73" i="19" s="1"/>
  <c r="J56" i="29"/>
  <c r="R56" i="29" s="1"/>
  <c r="J56" i="19"/>
  <c r="R56" i="19" s="1"/>
  <c r="J35" i="19"/>
  <c r="R35" i="19" s="1"/>
  <c r="S35" i="19" s="1"/>
  <c r="J35" i="29"/>
  <c r="R35" i="29" s="1"/>
  <c r="S35" i="29" s="1"/>
  <c r="J72" i="29"/>
  <c r="R72" i="29" s="1"/>
  <c r="J72" i="19"/>
  <c r="R72" i="19" s="1"/>
  <c r="J88" i="29"/>
  <c r="R88" i="29" s="1"/>
  <c r="J88" i="19"/>
  <c r="R88" i="19" s="1"/>
  <c r="J55" i="29"/>
  <c r="R55" i="29" s="1"/>
  <c r="J55" i="19"/>
  <c r="R55" i="19" s="1"/>
  <c r="J62" i="19"/>
  <c r="R62" i="19" s="1"/>
  <c r="J62" i="29"/>
  <c r="R62" i="29" s="1"/>
  <c r="J5" i="29"/>
  <c r="R5" i="29" s="1"/>
  <c r="J5" i="19"/>
  <c r="R5" i="19" s="1"/>
  <c r="J69" i="29"/>
  <c r="R69" i="29" s="1"/>
  <c r="J69" i="19"/>
  <c r="R69" i="19" s="1"/>
  <c r="J28" i="29"/>
  <c r="R28" i="29" s="1"/>
  <c r="S28" i="29" s="1"/>
  <c r="J28" i="19"/>
  <c r="R28" i="19" s="1"/>
  <c r="S28" i="19" s="1"/>
  <c r="J92" i="29"/>
  <c r="R92" i="29" s="1"/>
  <c r="J92" i="19"/>
  <c r="R92" i="19" s="1"/>
  <c r="J40" i="29"/>
  <c r="R40" i="29" s="1"/>
  <c r="J40" i="19"/>
  <c r="R40" i="19" s="1"/>
  <c r="J91" i="29"/>
  <c r="R91" i="29" s="1"/>
  <c r="J91" i="19"/>
  <c r="R91" i="19" s="1"/>
  <c r="J65" i="19"/>
  <c r="R65" i="19" s="1"/>
  <c r="J65" i="29"/>
  <c r="R65" i="29" s="1"/>
  <c r="J63" i="19"/>
  <c r="R63" i="19" s="1"/>
  <c r="J63" i="29"/>
  <c r="R63" i="29" s="1"/>
  <c r="J27" i="29"/>
  <c r="R27" i="29" s="1"/>
  <c r="S27" i="29" s="1"/>
  <c r="J27" i="19"/>
  <c r="R27" i="19" s="1"/>
  <c r="S27" i="19" s="1"/>
  <c r="J10" i="29"/>
  <c r="R10" i="29" s="1"/>
  <c r="J10" i="19"/>
  <c r="R10" i="19" s="1"/>
  <c r="J74" i="29"/>
  <c r="R74" i="29" s="1"/>
  <c r="J74" i="19"/>
  <c r="R74" i="19" s="1"/>
  <c r="Q75" i="18"/>
  <c r="J6" i="29"/>
  <c r="R6" i="29" s="1"/>
  <c r="J6" i="19"/>
  <c r="R6" i="19" s="1"/>
  <c r="J70" i="29"/>
  <c r="R70" i="29" s="1"/>
  <c r="J70" i="19"/>
  <c r="R70" i="19" s="1"/>
  <c r="J96" i="19"/>
  <c r="R96" i="19" s="1"/>
  <c r="J96" i="29"/>
  <c r="R96" i="29" s="1"/>
  <c r="J47" i="19"/>
  <c r="R47" i="19" s="1"/>
  <c r="J47" i="29"/>
  <c r="R47" i="29" s="1"/>
  <c r="J54" i="29"/>
  <c r="R54" i="29" s="1"/>
  <c r="J54" i="19"/>
  <c r="R54" i="19" s="1"/>
  <c r="J61" i="29"/>
  <c r="R61" i="29" s="1"/>
  <c r="J61" i="19"/>
  <c r="R61" i="19" s="1"/>
  <c r="J20" i="29"/>
  <c r="R20" i="29" s="1"/>
  <c r="J20" i="19"/>
  <c r="R20" i="19" s="1"/>
  <c r="J84" i="29"/>
  <c r="R84" i="29" s="1"/>
  <c r="S84" i="29" s="1"/>
  <c r="J84" i="19"/>
  <c r="R84" i="19" s="1"/>
  <c r="J19" i="19"/>
  <c r="R19" i="19" s="1"/>
  <c r="J19" i="29"/>
  <c r="R19" i="29" s="1"/>
  <c r="J83" i="19"/>
  <c r="R83" i="19" s="1"/>
  <c r="S83" i="19" s="1"/>
  <c r="J83" i="29"/>
  <c r="R83" i="29" s="1"/>
  <c r="S83" i="29" s="1"/>
  <c r="J66" i="19"/>
  <c r="R66" i="19" s="1"/>
  <c r="J66" i="29"/>
  <c r="R66" i="29" s="1"/>
  <c r="J57" i="29"/>
  <c r="R57" i="29" s="1"/>
  <c r="J57" i="19"/>
  <c r="R57" i="19" s="1"/>
  <c r="J2" i="19"/>
  <c r="R2" i="19" s="1"/>
  <c r="J2" i="29"/>
  <c r="R2" i="29" s="1"/>
  <c r="Q32" i="18"/>
  <c r="J39" i="29"/>
  <c r="R39" i="29" s="1"/>
  <c r="J39" i="19"/>
  <c r="R39" i="19" s="1"/>
  <c r="J46" i="19"/>
  <c r="R46" i="19" s="1"/>
  <c r="J46" i="29"/>
  <c r="R46" i="29" s="1"/>
  <c r="J53" i="29"/>
  <c r="R53" i="29" s="1"/>
  <c r="J53" i="19"/>
  <c r="R53" i="19" s="1"/>
  <c r="J12" i="29"/>
  <c r="R12" i="29" s="1"/>
  <c r="J12" i="19"/>
  <c r="R12" i="19" s="1"/>
  <c r="J76" i="29"/>
  <c r="R76" i="29" s="1"/>
  <c r="S76" i="29" s="1"/>
  <c r="J76" i="19"/>
  <c r="R76" i="19" s="1"/>
  <c r="S76" i="19" s="1"/>
  <c r="J75" i="29"/>
  <c r="R75" i="29" s="1"/>
  <c r="S75" i="29" s="1"/>
  <c r="J75" i="19"/>
  <c r="R75" i="19" s="1"/>
  <c r="S75" i="19" s="1"/>
  <c r="J58" i="29"/>
  <c r="R58" i="29" s="1"/>
  <c r="J58" i="19"/>
  <c r="R58" i="19" s="1"/>
  <c r="J49" i="19"/>
  <c r="R49" i="19" s="1"/>
  <c r="J49" i="29"/>
  <c r="R49" i="29" s="1"/>
  <c r="J80" i="19"/>
  <c r="R80" i="19" s="1"/>
  <c r="S80" i="19" s="1"/>
  <c r="J80" i="29"/>
  <c r="R80" i="29" s="1"/>
  <c r="S80" i="29" s="1"/>
  <c r="J11" i="29"/>
  <c r="R11" i="29" s="1"/>
  <c r="J11" i="19"/>
  <c r="R11" i="19" s="1"/>
  <c r="J48" i="19"/>
  <c r="R48" i="19" s="1"/>
  <c r="J48" i="29"/>
  <c r="R48" i="29" s="1"/>
  <c r="J95" i="19"/>
  <c r="R95" i="19" s="1"/>
  <c r="J95" i="29"/>
  <c r="R95" i="29" s="1"/>
  <c r="J45" i="29"/>
  <c r="R45" i="29" s="1"/>
  <c r="J45" i="19"/>
  <c r="R45" i="19" s="1"/>
  <c r="J4" i="29"/>
  <c r="R4" i="29" s="1"/>
  <c r="J4" i="19"/>
  <c r="R4" i="19" s="1"/>
  <c r="J68" i="29"/>
  <c r="R68" i="29" s="1"/>
  <c r="J68" i="19"/>
  <c r="R68" i="19" s="1"/>
  <c r="J3" i="19"/>
  <c r="R3" i="19" s="1"/>
  <c r="S3" i="19" s="1"/>
  <c r="U3" i="19" s="1"/>
  <c r="J3" i="29"/>
  <c r="R3" i="29" s="1"/>
  <c r="S3" i="29" s="1"/>
  <c r="V3" i="29" s="1"/>
  <c r="J67" i="19"/>
  <c r="R67" i="19" s="1"/>
  <c r="J67" i="29"/>
  <c r="R67" i="29" s="1"/>
  <c r="J24" i="29"/>
  <c r="R24" i="29" s="1"/>
  <c r="J24" i="19"/>
  <c r="R24" i="19" s="1"/>
  <c r="J50" i="19"/>
  <c r="R50" i="19" s="1"/>
  <c r="J50" i="29"/>
  <c r="R50" i="29" s="1"/>
  <c r="J64" i="19"/>
  <c r="R64" i="19" s="1"/>
  <c r="J64" i="29"/>
  <c r="R64" i="29" s="1"/>
  <c r="J41" i="29"/>
  <c r="R41" i="29" s="1"/>
  <c r="J41" i="19"/>
  <c r="R41" i="19" s="1"/>
  <c r="S35" i="24"/>
  <c r="J31" i="19"/>
  <c r="R31" i="19" s="1"/>
  <c r="S31" i="19" s="1"/>
  <c r="J31" i="29"/>
  <c r="R31" i="29" s="1"/>
  <c r="S31" i="29" s="1"/>
  <c r="J38" i="29"/>
  <c r="R38" i="29" s="1"/>
  <c r="J38" i="19"/>
  <c r="R38" i="19" s="1"/>
  <c r="J23" i="29"/>
  <c r="R23" i="29" s="1"/>
  <c r="J23" i="19"/>
  <c r="R23" i="19" s="1"/>
  <c r="J87" i="29"/>
  <c r="R87" i="29" s="1"/>
  <c r="J87" i="19"/>
  <c r="R87" i="19" s="1"/>
  <c r="J30" i="19"/>
  <c r="R30" i="19" s="1"/>
  <c r="S30" i="19" s="1"/>
  <c r="J30" i="29"/>
  <c r="R30" i="29" s="1"/>
  <c r="S30" i="29" s="1"/>
  <c r="J94" i="19"/>
  <c r="R94" i="19" s="1"/>
  <c r="J94" i="29"/>
  <c r="R94" i="29" s="1"/>
  <c r="J37" i="29"/>
  <c r="R37" i="29" s="1"/>
  <c r="S37" i="29" s="1"/>
  <c r="J37" i="19"/>
  <c r="R37" i="19" s="1"/>
  <c r="S37" i="19" s="1"/>
  <c r="J16" i="19"/>
  <c r="R16" i="19" s="1"/>
  <c r="J16" i="29"/>
  <c r="R16" i="29" s="1"/>
  <c r="J60" i="29"/>
  <c r="R60" i="29" s="1"/>
  <c r="J60" i="19"/>
  <c r="R60" i="19" s="1"/>
  <c r="J97" i="19"/>
  <c r="R97" i="19" s="1"/>
  <c r="J97" i="29"/>
  <c r="R97" i="29" s="1"/>
  <c r="J8" i="29"/>
  <c r="R8" i="29" s="1"/>
  <c r="J8" i="19"/>
  <c r="R8" i="19" s="1"/>
  <c r="J59" i="29"/>
  <c r="R59" i="29" s="1"/>
  <c r="J59" i="19"/>
  <c r="R59" i="19" s="1"/>
  <c r="J42" i="29"/>
  <c r="R42" i="29" s="1"/>
  <c r="J42" i="19"/>
  <c r="R42" i="19" s="1"/>
  <c r="J33" i="19"/>
  <c r="R33" i="19" s="1"/>
  <c r="J33" i="29"/>
  <c r="R33" i="29" s="1"/>
  <c r="S33" i="29" s="1"/>
  <c r="Q80" i="18"/>
  <c r="Q29" i="18"/>
  <c r="Q51" i="18"/>
  <c r="Q31" i="18"/>
  <c r="Q37" i="18"/>
  <c r="Q30" i="18"/>
  <c r="Q30" i="25"/>
  <c r="Q83" i="18"/>
  <c r="Q34" i="18"/>
  <c r="Q33" i="18"/>
  <c r="Q27" i="18"/>
  <c r="S31" i="24"/>
  <c r="Q35" i="18"/>
  <c r="S85" i="24"/>
  <c r="S84" i="24"/>
  <c r="Q76" i="18"/>
  <c r="S77" i="24"/>
  <c r="S37" i="24"/>
  <c r="Q28" i="18"/>
  <c r="S29" i="24"/>
  <c r="M138" i="6"/>
  <c r="S81" i="19"/>
  <c r="Q84" i="18"/>
  <c r="G60" i="34"/>
  <c r="P60" i="34" s="1"/>
  <c r="G60" i="17"/>
  <c r="P60" i="17" s="1"/>
  <c r="G60" i="23"/>
  <c r="P60" i="23" s="1"/>
  <c r="G60" i="28"/>
  <c r="P60" i="28" s="1"/>
  <c r="G35" i="28"/>
  <c r="P35" i="28" s="1"/>
  <c r="G35" i="17"/>
  <c r="P35" i="17" s="1"/>
  <c r="G35" i="23"/>
  <c r="P35" i="23" s="1"/>
  <c r="G35" i="34"/>
  <c r="P35" i="34" s="1"/>
  <c r="G50" i="28"/>
  <c r="P50" i="28" s="1"/>
  <c r="G50" i="17"/>
  <c r="P50" i="17" s="1"/>
  <c r="G50" i="34"/>
  <c r="P50" i="34" s="1"/>
  <c r="G50" i="23"/>
  <c r="P50" i="23" s="1"/>
  <c r="H44" i="28"/>
  <c r="Q44" i="28" s="1"/>
  <c r="H44" i="17"/>
  <c r="Q44" i="17" s="1"/>
  <c r="G57" i="17"/>
  <c r="P57" i="17" s="1"/>
  <c r="G57" i="28"/>
  <c r="P57" i="28" s="1"/>
  <c r="G57" i="34"/>
  <c r="P57" i="34" s="1"/>
  <c r="G57" i="23"/>
  <c r="P57" i="23" s="1"/>
  <c r="G39" i="28"/>
  <c r="P39" i="28" s="1"/>
  <c r="G39" i="34"/>
  <c r="P39" i="34" s="1"/>
  <c r="G39" i="23"/>
  <c r="P39" i="23" s="1"/>
  <c r="G39" i="17"/>
  <c r="P39" i="17" s="1"/>
  <c r="Q34" i="25"/>
  <c r="H50" i="23"/>
  <c r="Q50" i="23" s="1"/>
  <c r="H50" i="34"/>
  <c r="Q50" i="34" s="1"/>
  <c r="G6" i="34"/>
  <c r="P6" i="34" s="1"/>
  <c r="G6" i="23"/>
  <c r="P6" i="23" s="1"/>
  <c r="G6" i="17"/>
  <c r="P6" i="17" s="1"/>
  <c r="G6" i="28"/>
  <c r="P6" i="28" s="1"/>
  <c r="G70" i="23"/>
  <c r="P70" i="23" s="1"/>
  <c r="G70" i="28"/>
  <c r="P70" i="28" s="1"/>
  <c r="G70" i="34"/>
  <c r="P70" i="34" s="1"/>
  <c r="G70" i="17"/>
  <c r="P70" i="17" s="1"/>
  <c r="H40" i="17"/>
  <c r="Q40" i="17" s="1"/>
  <c r="H40" i="28"/>
  <c r="Q40" i="28" s="1"/>
  <c r="H49" i="23"/>
  <c r="Q49" i="23" s="1"/>
  <c r="H49" i="34"/>
  <c r="Q49" i="34" s="1"/>
  <c r="H8" i="23"/>
  <c r="Q8" i="23" s="1"/>
  <c r="H8" i="34"/>
  <c r="Q8" i="34" s="1"/>
  <c r="H63" i="28"/>
  <c r="Q63" i="28" s="1"/>
  <c r="H63" i="17"/>
  <c r="Q63" i="17" s="1"/>
  <c r="H72" i="34"/>
  <c r="Q72" i="34" s="1"/>
  <c r="H72" i="23"/>
  <c r="Q72" i="23" s="1"/>
  <c r="G52" i="28"/>
  <c r="P52" i="28" s="1"/>
  <c r="G52" i="23"/>
  <c r="P52" i="23" s="1"/>
  <c r="G52" i="17"/>
  <c r="P52" i="17" s="1"/>
  <c r="G52" i="34"/>
  <c r="P52" i="34" s="1"/>
  <c r="H38" i="28"/>
  <c r="Q38" i="28" s="1"/>
  <c r="H38" i="17"/>
  <c r="Q38" i="17" s="1"/>
  <c r="H47" i="34"/>
  <c r="Q47" i="34" s="1"/>
  <c r="H47" i="23"/>
  <c r="Q47" i="23" s="1"/>
  <c r="H21" i="17"/>
  <c r="Q21" i="17" s="1"/>
  <c r="H21" i="28"/>
  <c r="Q21" i="28" s="1"/>
  <c r="H30" i="34"/>
  <c r="Q30" i="34" s="1"/>
  <c r="H30" i="23"/>
  <c r="Q30" i="23" s="1"/>
  <c r="H85" i="28"/>
  <c r="Q85" i="28" s="1"/>
  <c r="H85" i="17"/>
  <c r="Q85" i="17" s="1"/>
  <c r="H94" i="23"/>
  <c r="Q94" i="23" s="1"/>
  <c r="H94" i="34"/>
  <c r="Q94" i="34" s="1"/>
  <c r="H43" i="17"/>
  <c r="Q43" i="17" s="1"/>
  <c r="H43" i="28"/>
  <c r="Q43" i="28" s="1"/>
  <c r="H42" i="17"/>
  <c r="Q42" i="17" s="1"/>
  <c r="H42" i="28"/>
  <c r="Q42" i="28" s="1"/>
  <c r="H51" i="23"/>
  <c r="Q51" i="23" s="1"/>
  <c r="H51" i="34"/>
  <c r="Q51" i="34" s="1"/>
  <c r="G71" i="28"/>
  <c r="P71" i="28" s="1"/>
  <c r="G71" i="23"/>
  <c r="P71" i="23" s="1"/>
  <c r="G71" i="34"/>
  <c r="P71" i="34" s="1"/>
  <c r="G71" i="17"/>
  <c r="P71" i="17" s="1"/>
  <c r="Q36" i="18"/>
  <c r="Q75" i="25"/>
  <c r="G40" i="17"/>
  <c r="P40" i="17" s="1"/>
  <c r="G40" i="23"/>
  <c r="P40" i="23" s="1"/>
  <c r="G40" i="28"/>
  <c r="P40" i="28" s="1"/>
  <c r="G40" i="34"/>
  <c r="P40" i="34" s="1"/>
  <c r="Q29" i="25"/>
  <c r="Q85" i="25"/>
  <c r="Q84" i="25"/>
  <c r="H64" i="17"/>
  <c r="Q64" i="17" s="1"/>
  <c r="H64" i="28"/>
  <c r="Q64" i="28" s="1"/>
  <c r="H58" i="34"/>
  <c r="Q58" i="34" s="1"/>
  <c r="H58" i="23"/>
  <c r="Q58" i="23" s="1"/>
  <c r="G29" i="34"/>
  <c r="P29" i="34" s="1"/>
  <c r="G29" i="23"/>
  <c r="P29" i="23" s="1"/>
  <c r="G29" i="28"/>
  <c r="P29" i="28" s="1"/>
  <c r="G29" i="17"/>
  <c r="P29" i="17" s="1"/>
  <c r="G27" i="23"/>
  <c r="P27" i="23" s="1"/>
  <c r="G27" i="34"/>
  <c r="P27" i="34" s="1"/>
  <c r="G27" i="17"/>
  <c r="P27" i="17" s="1"/>
  <c r="G27" i="28"/>
  <c r="P27" i="28" s="1"/>
  <c r="H33" i="17"/>
  <c r="Q33" i="17" s="1"/>
  <c r="H33" i="28"/>
  <c r="Q33" i="28" s="1"/>
  <c r="G62" i="28"/>
  <c r="P62" i="28" s="1"/>
  <c r="G62" i="23"/>
  <c r="P62" i="23" s="1"/>
  <c r="G62" i="17"/>
  <c r="P62" i="17" s="1"/>
  <c r="G62" i="34"/>
  <c r="P62" i="34" s="1"/>
  <c r="H32" i="17"/>
  <c r="Q32" i="17" s="1"/>
  <c r="H32" i="28"/>
  <c r="Q32" i="28" s="1"/>
  <c r="H41" i="34"/>
  <c r="Q41" i="34" s="1"/>
  <c r="H41" i="23"/>
  <c r="Q41" i="23" s="1"/>
  <c r="H96" i="17"/>
  <c r="Q96" i="17" s="1"/>
  <c r="H96" i="28"/>
  <c r="Q96" i="28" s="1"/>
  <c r="G21" i="34"/>
  <c r="P21" i="34" s="1"/>
  <c r="G21" i="23"/>
  <c r="P21" i="23" s="1"/>
  <c r="G21" i="17"/>
  <c r="P21" i="17" s="1"/>
  <c r="G21" i="28"/>
  <c r="P21" i="28" s="1"/>
  <c r="G85" i="28"/>
  <c r="P85" i="28" s="1"/>
  <c r="G85" i="34"/>
  <c r="P85" i="34" s="1"/>
  <c r="G85" i="17"/>
  <c r="P85" i="17" s="1"/>
  <c r="G85" i="23"/>
  <c r="P85" i="23" s="1"/>
  <c r="H64" i="34"/>
  <c r="Q64" i="34" s="1"/>
  <c r="H64" i="23"/>
  <c r="Q64" i="23" s="1"/>
  <c r="G44" i="34"/>
  <c r="P44" i="34" s="1"/>
  <c r="G44" i="28"/>
  <c r="P44" i="28" s="1"/>
  <c r="G44" i="17"/>
  <c r="P44" i="17" s="1"/>
  <c r="G44" i="23"/>
  <c r="P44" i="23" s="1"/>
  <c r="H30" i="28"/>
  <c r="Q30" i="28" s="1"/>
  <c r="H30" i="17"/>
  <c r="Q30" i="17" s="1"/>
  <c r="H94" i="28"/>
  <c r="Q94" i="28" s="1"/>
  <c r="H94" i="17"/>
  <c r="Q94" i="17" s="1"/>
  <c r="G79" i="23"/>
  <c r="P79" i="23" s="1"/>
  <c r="G79" i="34"/>
  <c r="P79" i="34" s="1"/>
  <c r="G79" i="28"/>
  <c r="P79" i="28" s="1"/>
  <c r="G79" i="17"/>
  <c r="P79" i="17" s="1"/>
  <c r="G83" i="28"/>
  <c r="P83" i="28" s="1"/>
  <c r="G83" i="34"/>
  <c r="P83" i="34" s="1"/>
  <c r="G83" i="17"/>
  <c r="P83" i="17" s="1"/>
  <c r="G83" i="23"/>
  <c r="P83" i="23" s="1"/>
  <c r="H13" i="28"/>
  <c r="Q13" i="28" s="1"/>
  <c r="H13" i="17"/>
  <c r="Q13" i="17" s="1"/>
  <c r="H22" i="23"/>
  <c r="Q22" i="23" s="1"/>
  <c r="H22" i="34"/>
  <c r="Q22" i="34" s="1"/>
  <c r="H77" i="28"/>
  <c r="Q77" i="28" s="1"/>
  <c r="H77" i="17"/>
  <c r="Q77" i="17" s="1"/>
  <c r="H86" i="23"/>
  <c r="Q86" i="23" s="1"/>
  <c r="H86" i="34"/>
  <c r="Q86" i="34" s="1"/>
  <c r="H35" i="28"/>
  <c r="Q35" i="28" s="1"/>
  <c r="H35" i="17"/>
  <c r="Q35" i="17" s="1"/>
  <c r="G32" i="17"/>
  <c r="P32" i="17" s="1"/>
  <c r="G32" i="34"/>
  <c r="P32" i="34" s="1"/>
  <c r="G32" i="23"/>
  <c r="P32" i="23" s="1"/>
  <c r="G32" i="28"/>
  <c r="P32" i="28" s="1"/>
  <c r="G96" i="17"/>
  <c r="P96" i="17" s="1"/>
  <c r="G96" i="28"/>
  <c r="P96" i="28" s="1"/>
  <c r="G96" i="23"/>
  <c r="P96" i="23" s="1"/>
  <c r="G96" i="34"/>
  <c r="P96" i="34" s="1"/>
  <c r="H34" i="17"/>
  <c r="Q34" i="17" s="1"/>
  <c r="H34" i="28"/>
  <c r="Q34" i="28" s="1"/>
  <c r="H43" i="23"/>
  <c r="Q43" i="23" s="1"/>
  <c r="H43" i="34"/>
  <c r="Q43" i="34" s="1"/>
  <c r="H52" i="23"/>
  <c r="Q52" i="23" s="1"/>
  <c r="H52" i="34"/>
  <c r="Q52" i="34" s="1"/>
  <c r="H42" i="23"/>
  <c r="Q42" i="23" s="1"/>
  <c r="H42" i="34"/>
  <c r="Q42" i="34" s="1"/>
  <c r="H97" i="28"/>
  <c r="Q97" i="28" s="1"/>
  <c r="H97" i="17"/>
  <c r="Q97" i="17" s="1"/>
  <c r="H55" i="28"/>
  <c r="Q55" i="28" s="1"/>
  <c r="H55" i="17"/>
  <c r="Q55" i="17" s="1"/>
  <c r="H39" i="34"/>
  <c r="Q39" i="34" s="1"/>
  <c r="H39" i="23"/>
  <c r="Q39" i="23" s="1"/>
  <c r="G19" i="28"/>
  <c r="P19" i="28" s="1"/>
  <c r="G19" i="17"/>
  <c r="P19" i="17" s="1"/>
  <c r="G19" i="23"/>
  <c r="P19" i="23" s="1"/>
  <c r="G19" i="34"/>
  <c r="P19" i="34" s="1"/>
  <c r="G34" i="34"/>
  <c r="P34" i="34" s="1"/>
  <c r="G34" i="17"/>
  <c r="P34" i="17" s="1"/>
  <c r="G34" i="28"/>
  <c r="P34" i="28" s="1"/>
  <c r="G34" i="23"/>
  <c r="P34" i="23" s="1"/>
  <c r="H28" i="28"/>
  <c r="Q28" i="28" s="1"/>
  <c r="H28" i="17"/>
  <c r="Q28" i="17" s="1"/>
  <c r="H37" i="23"/>
  <c r="Q37" i="23" s="1"/>
  <c r="H37" i="34"/>
  <c r="Q37" i="34" s="1"/>
  <c r="H92" i="28"/>
  <c r="Q92" i="28" s="1"/>
  <c r="H92" i="17"/>
  <c r="Q92" i="17" s="1"/>
  <c r="G41" i="28"/>
  <c r="P41" i="28" s="1"/>
  <c r="G41" i="17"/>
  <c r="P41" i="17" s="1"/>
  <c r="G41" i="34"/>
  <c r="P41" i="34" s="1"/>
  <c r="G41" i="23"/>
  <c r="P41" i="23" s="1"/>
  <c r="H44" i="34"/>
  <c r="Q44" i="34" s="1"/>
  <c r="H44" i="23"/>
  <c r="Q44" i="23" s="1"/>
  <c r="Q27" i="25"/>
  <c r="H25" i="17"/>
  <c r="Q25" i="17" s="1"/>
  <c r="H25" i="28"/>
  <c r="Q25" i="28" s="1"/>
  <c r="H34" i="23"/>
  <c r="Q34" i="23" s="1"/>
  <c r="H34" i="34"/>
  <c r="Q34" i="34" s="1"/>
  <c r="H89" i="17"/>
  <c r="Q89" i="17" s="1"/>
  <c r="H89" i="28"/>
  <c r="Q89" i="28" s="1"/>
  <c r="G54" i="23"/>
  <c r="P54" i="23" s="1"/>
  <c r="G54" i="34"/>
  <c r="P54" i="34" s="1"/>
  <c r="G54" i="17"/>
  <c r="P54" i="17" s="1"/>
  <c r="G54" i="28"/>
  <c r="P54" i="28" s="1"/>
  <c r="H24" i="17"/>
  <c r="Q24" i="17" s="1"/>
  <c r="H24" i="28"/>
  <c r="Q24" i="28" s="1"/>
  <c r="H33" i="23"/>
  <c r="Q33" i="23" s="1"/>
  <c r="H33" i="34"/>
  <c r="Q33" i="34" s="1"/>
  <c r="H88" i="17"/>
  <c r="Q88" i="17" s="1"/>
  <c r="H88" i="28"/>
  <c r="Q88" i="28" s="1"/>
  <c r="H97" i="23"/>
  <c r="Q97" i="23" s="1"/>
  <c r="H97" i="34"/>
  <c r="Q97" i="34" s="1"/>
  <c r="G77" i="23"/>
  <c r="P77" i="23" s="1"/>
  <c r="G77" i="28"/>
  <c r="P77" i="28" s="1"/>
  <c r="G77" i="17"/>
  <c r="P77" i="17" s="1"/>
  <c r="G77" i="34"/>
  <c r="P77" i="34" s="1"/>
  <c r="H47" i="28"/>
  <c r="Q47" i="28" s="1"/>
  <c r="H47" i="17"/>
  <c r="Q47" i="17" s="1"/>
  <c r="H56" i="34"/>
  <c r="Q56" i="34" s="1"/>
  <c r="H56" i="23"/>
  <c r="Q56" i="23" s="1"/>
  <c r="G63" i="28"/>
  <c r="P63" i="28" s="1"/>
  <c r="G63" i="23"/>
  <c r="P63" i="23" s="1"/>
  <c r="G63" i="34"/>
  <c r="P63" i="34" s="1"/>
  <c r="G63" i="17"/>
  <c r="P63" i="17" s="1"/>
  <c r="G36" i="34"/>
  <c r="P36" i="34" s="1"/>
  <c r="G36" i="23"/>
  <c r="P36" i="23" s="1"/>
  <c r="G36" i="17"/>
  <c r="P36" i="17" s="1"/>
  <c r="G36" i="28"/>
  <c r="P36" i="28" s="1"/>
  <c r="H22" i="28"/>
  <c r="Q22" i="28" s="1"/>
  <c r="H22" i="17"/>
  <c r="Q22" i="17" s="1"/>
  <c r="H31" i="34"/>
  <c r="Q31" i="34" s="1"/>
  <c r="H31" i="23"/>
  <c r="Q31" i="23" s="1"/>
  <c r="H86" i="28"/>
  <c r="Q86" i="28" s="1"/>
  <c r="H86" i="17"/>
  <c r="Q86" i="17" s="1"/>
  <c r="H95" i="34"/>
  <c r="Q95" i="34" s="1"/>
  <c r="H95" i="23"/>
  <c r="Q95" i="23" s="1"/>
  <c r="G11" i="23"/>
  <c r="P11" i="23" s="1"/>
  <c r="G11" i="28"/>
  <c r="P11" i="28" s="1"/>
  <c r="G11" i="34"/>
  <c r="P11" i="34" s="1"/>
  <c r="G11" i="17"/>
  <c r="P11" i="17" s="1"/>
  <c r="G75" i="23"/>
  <c r="P75" i="23" s="1"/>
  <c r="G75" i="17"/>
  <c r="P75" i="17" s="1"/>
  <c r="G75" i="28"/>
  <c r="P75" i="28" s="1"/>
  <c r="G75" i="34"/>
  <c r="P75" i="34" s="1"/>
  <c r="H5" i="28"/>
  <c r="Q5" i="28" s="1"/>
  <c r="H5" i="17"/>
  <c r="Q5" i="17" s="1"/>
  <c r="H14" i="34"/>
  <c r="Q14" i="34" s="1"/>
  <c r="H14" i="23"/>
  <c r="Q14" i="23" s="1"/>
  <c r="H69" i="28"/>
  <c r="Q69" i="28" s="1"/>
  <c r="H69" i="17"/>
  <c r="Q69" i="17" s="1"/>
  <c r="H78" i="34"/>
  <c r="Q78" i="34" s="1"/>
  <c r="H78" i="23"/>
  <c r="Q78" i="23" s="1"/>
  <c r="G90" i="34"/>
  <c r="P90" i="34" s="1"/>
  <c r="G90" i="17"/>
  <c r="P90" i="17" s="1"/>
  <c r="G90" i="28"/>
  <c r="P90" i="28" s="1"/>
  <c r="G90" i="23"/>
  <c r="P90" i="23" s="1"/>
  <c r="H20" i="28"/>
  <c r="Q20" i="28" s="1"/>
  <c r="H20" i="17"/>
  <c r="Q20" i="17" s="1"/>
  <c r="H84" i="28"/>
  <c r="Q84" i="28" s="1"/>
  <c r="H84" i="17"/>
  <c r="Q84" i="17" s="1"/>
  <c r="H93" i="34"/>
  <c r="Q93" i="34" s="1"/>
  <c r="H93" i="23"/>
  <c r="Q93" i="23" s="1"/>
  <c r="G47" i="23"/>
  <c r="P47" i="23" s="1"/>
  <c r="G47" i="34"/>
  <c r="P47" i="34" s="1"/>
  <c r="G47" i="28"/>
  <c r="P47" i="28" s="1"/>
  <c r="G47" i="17"/>
  <c r="P47" i="17" s="1"/>
  <c r="G97" i="17"/>
  <c r="P97" i="17" s="1"/>
  <c r="G97" i="34"/>
  <c r="P97" i="34" s="1"/>
  <c r="G97" i="28"/>
  <c r="P97" i="28" s="1"/>
  <c r="G97" i="23"/>
  <c r="P97" i="23" s="1"/>
  <c r="H36" i="34"/>
  <c r="Q36" i="34" s="1"/>
  <c r="H36" i="23"/>
  <c r="Q36" i="23" s="1"/>
  <c r="G24" i="17"/>
  <c r="P24" i="17" s="1"/>
  <c r="G24" i="28"/>
  <c r="P24" i="28" s="1"/>
  <c r="G24" i="23"/>
  <c r="P24" i="23" s="1"/>
  <c r="G24" i="34"/>
  <c r="P24" i="34" s="1"/>
  <c r="G88" i="17"/>
  <c r="P88" i="17" s="1"/>
  <c r="G88" i="28"/>
  <c r="P88" i="28" s="1"/>
  <c r="G88" i="23"/>
  <c r="P88" i="23" s="1"/>
  <c r="G88" i="34"/>
  <c r="P88" i="34" s="1"/>
  <c r="H26" i="28"/>
  <c r="Q26" i="28" s="1"/>
  <c r="H26" i="17"/>
  <c r="Q26" i="17" s="1"/>
  <c r="H35" i="23"/>
  <c r="Q35" i="23" s="1"/>
  <c r="U35" i="23" s="1"/>
  <c r="H35" i="34"/>
  <c r="Q35" i="34" s="1"/>
  <c r="H90" i="28"/>
  <c r="Q90" i="28" s="1"/>
  <c r="H90" i="17"/>
  <c r="Q90" i="17" s="1"/>
  <c r="Q37" i="25"/>
  <c r="Q33" i="25"/>
  <c r="H45" i="23"/>
  <c r="Q45" i="23" s="1"/>
  <c r="H45" i="34"/>
  <c r="Q45" i="34" s="1"/>
  <c r="G13" i="34"/>
  <c r="P13" i="34" s="1"/>
  <c r="G13" i="23"/>
  <c r="P13" i="23" s="1"/>
  <c r="G13" i="28"/>
  <c r="P13" i="28" s="1"/>
  <c r="G13" i="17"/>
  <c r="P13" i="17" s="1"/>
  <c r="G26" i="28"/>
  <c r="P26" i="28" s="1"/>
  <c r="G26" i="17"/>
  <c r="P26" i="17" s="1"/>
  <c r="G26" i="23"/>
  <c r="P26" i="23" s="1"/>
  <c r="G26" i="34"/>
  <c r="P26" i="34" s="1"/>
  <c r="H29" i="34"/>
  <c r="Q29" i="34" s="1"/>
  <c r="H29" i="23"/>
  <c r="Q29" i="23" s="1"/>
  <c r="G33" i="17"/>
  <c r="P33" i="17" s="1"/>
  <c r="G33" i="28"/>
  <c r="P33" i="28" s="1"/>
  <c r="G33" i="23"/>
  <c r="P33" i="23" s="1"/>
  <c r="G33" i="34"/>
  <c r="P33" i="34" s="1"/>
  <c r="H27" i="17"/>
  <c r="Q27" i="17" s="1"/>
  <c r="H27" i="28"/>
  <c r="Q27" i="28" s="1"/>
  <c r="H91" i="17"/>
  <c r="Q91" i="17" s="1"/>
  <c r="H91" i="28"/>
  <c r="Q91" i="28" s="1"/>
  <c r="S51" i="19"/>
  <c r="H3" i="28"/>
  <c r="Q3" i="28" s="1"/>
  <c r="H3" i="17"/>
  <c r="Q3" i="17" s="1"/>
  <c r="H17" i="17"/>
  <c r="Q17" i="17" s="1"/>
  <c r="H17" i="28"/>
  <c r="Q17" i="28" s="1"/>
  <c r="H90" i="34"/>
  <c r="Q90" i="34" s="1"/>
  <c r="H90" i="23"/>
  <c r="Q90" i="23" s="1"/>
  <c r="G46" i="28"/>
  <c r="P46" i="28" s="1"/>
  <c r="G46" i="34"/>
  <c r="P46" i="34" s="1"/>
  <c r="G46" i="23"/>
  <c r="P46" i="23" s="1"/>
  <c r="G46" i="17"/>
  <c r="P46" i="17" s="1"/>
  <c r="H25" i="34"/>
  <c r="Q25" i="34" s="1"/>
  <c r="H25" i="23"/>
  <c r="Q25" i="23" s="1"/>
  <c r="H80" i="17"/>
  <c r="Q80" i="17" s="1"/>
  <c r="H80" i="28"/>
  <c r="Q80" i="28" s="1"/>
  <c r="H89" i="23"/>
  <c r="Q89" i="23" s="1"/>
  <c r="H89" i="34"/>
  <c r="Q89" i="34" s="1"/>
  <c r="G5" i="28"/>
  <c r="P5" i="28" s="1"/>
  <c r="G5" i="34"/>
  <c r="P5" i="34" s="1"/>
  <c r="G5" i="23"/>
  <c r="P5" i="23" s="1"/>
  <c r="G5" i="17"/>
  <c r="P5" i="17" s="1"/>
  <c r="G69" i="23"/>
  <c r="P69" i="23" s="1"/>
  <c r="G69" i="17"/>
  <c r="P69" i="17" s="1"/>
  <c r="G69" i="28"/>
  <c r="P69" i="28" s="1"/>
  <c r="G69" i="34"/>
  <c r="P69" i="34" s="1"/>
  <c r="H39" i="28"/>
  <c r="Q39" i="28" s="1"/>
  <c r="H39" i="17"/>
  <c r="Q39" i="17" s="1"/>
  <c r="H48" i="34"/>
  <c r="Q48" i="34" s="1"/>
  <c r="H48" i="23"/>
  <c r="Q48" i="23" s="1"/>
  <c r="G28" i="28"/>
  <c r="P28" i="28" s="1"/>
  <c r="G28" i="17"/>
  <c r="P28" i="17" s="1"/>
  <c r="G28" i="23"/>
  <c r="P28" i="23" s="1"/>
  <c r="G28" i="34"/>
  <c r="P28" i="34" s="1"/>
  <c r="G92" i="34"/>
  <c r="P92" i="34" s="1"/>
  <c r="G92" i="28"/>
  <c r="P92" i="28" s="1"/>
  <c r="G92" i="17"/>
  <c r="P92" i="17" s="1"/>
  <c r="G92" i="23"/>
  <c r="P92" i="23" s="1"/>
  <c r="H14" i="28"/>
  <c r="Q14" i="28" s="1"/>
  <c r="H14" i="17"/>
  <c r="Q14" i="17" s="1"/>
  <c r="H78" i="28"/>
  <c r="Q78" i="28" s="1"/>
  <c r="H78" i="17"/>
  <c r="Q78" i="17" s="1"/>
  <c r="H6" i="34"/>
  <c r="Q6" i="34" s="1"/>
  <c r="H6" i="23"/>
  <c r="Q6" i="23" s="1"/>
  <c r="H61" i="28"/>
  <c r="Q61" i="28" s="1"/>
  <c r="H61" i="17"/>
  <c r="Q61" i="17" s="1"/>
  <c r="H70" i="23"/>
  <c r="Q70" i="23" s="1"/>
  <c r="H70" i="34"/>
  <c r="Q70" i="34" s="1"/>
  <c r="G82" i="23"/>
  <c r="P82" i="23" s="1"/>
  <c r="G82" i="17"/>
  <c r="P82" i="17" s="1"/>
  <c r="G82" i="28"/>
  <c r="P82" i="28" s="1"/>
  <c r="G82" i="34"/>
  <c r="P82" i="34" s="1"/>
  <c r="H76" i="17"/>
  <c r="Q76" i="17" s="1"/>
  <c r="H76" i="28"/>
  <c r="Q76" i="28" s="1"/>
  <c r="H85" i="34"/>
  <c r="Q85" i="34" s="1"/>
  <c r="H85" i="23"/>
  <c r="Q85" i="23" s="1"/>
  <c r="G7" i="28"/>
  <c r="P7" i="28" s="1"/>
  <c r="G7" i="34"/>
  <c r="P7" i="34" s="1"/>
  <c r="G7" i="23"/>
  <c r="P7" i="23" s="1"/>
  <c r="G7" i="17"/>
  <c r="P7" i="17" s="1"/>
  <c r="H19" i="17"/>
  <c r="Q19" i="17" s="1"/>
  <c r="H19" i="28"/>
  <c r="Q19" i="28" s="1"/>
  <c r="H28" i="34"/>
  <c r="Q28" i="34" s="1"/>
  <c r="H28" i="23"/>
  <c r="Q28" i="23" s="1"/>
  <c r="H83" i="28"/>
  <c r="Q83" i="28" s="1"/>
  <c r="H83" i="17"/>
  <c r="Q83" i="17" s="1"/>
  <c r="G16" i="17"/>
  <c r="P16" i="17" s="1"/>
  <c r="G16" i="34"/>
  <c r="P16" i="34" s="1"/>
  <c r="G16" i="28"/>
  <c r="P16" i="28" s="1"/>
  <c r="G16" i="23"/>
  <c r="P16" i="23" s="1"/>
  <c r="G80" i="17"/>
  <c r="P80" i="17" s="1"/>
  <c r="G80" i="28"/>
  <c r="P80" i="28" s="1"/>
  <c r="G80" i="34"/>
  <c r="P80" i="34" s="1"/>
  <c r="G80" i="23"/>
  <c r="P80" i="23" s="1"/>
  <c r="G87" i="34"/>
  <c r="P87" i="34" s="1"/>
  <c r="G87" i="23"/>
  <c r="P87" i="23" s="1"/>
  <c r="G87" i="28"/>
  <c r="P87" i="28" s="1"/>
  <c r="G87" i="17"/>
  <c r="P87" i="17" s="1"/>
  <c r="H18" i="17"/>
  <c r="Q18" i="17" s="1"/>
  <c r="H18" i="28"/>
  <c r="Q18" i="28" s="1"/>
  <c r="H27" i="34"/>
  <c r="Q27" i="34" s="1"/>
  <c r="H27" i="23"/>
  <c r="Q27" i="23" s="1"/>
  <c r="H82" i="17"/>
  <c r="Q82" i="17" s="1"/>
  <c r="H82" i="28"/>
  <c r="Q82" i="28" s="1"/>
  <c r="H91" i="34"/>
  <c r="Q91" i="34" s="1"/>
  <c r="H91" i="23"/>
  <c r="Q91" i="23" s="1"/>
  <c r="Q51" i="25"/>
  <c r="Q81" i="25"/>
  <c r="H96" i="34"/>
  <c r="Q96" i="34" s="1"/>
  <c r="H96" i="23"/>
  <c r="Q96" i="23" s="1"/>
  <c r="G91" i="23"/>
  <c r="P91" i="23" s="1"/>
  <c r="G91" i="17"/>
  <c r="P91" i="17" s="1"/>
  <c r="G91" i="28"/>
  <c r="P91" i="28" s="1"/>
  <c r="G91" i="34"/>
  <c r="P91" i="34" s="1"/>
  <c r="G49" i="17"/>
  <c r="P49" i="17" s="1"/>
  <c r="G49" i="34"/>
  <c r="P49" i="34" s="1"/>
  <c r="G49" i="23"/>
  <c r="P49" i="23" s="1"/>
  <c r="G49" i="28"/>
  <c r="P49" i="28" s="1"/>
  <c r="H26" i="23"/>
  <c r="Q26" i="23" s="1"/>
  <c r="H26" i="34"/>
  <c r="Q26" i="34" s="1"/>
  <c r="H81" i="28"/>
  <c r="Q81" i="28" s="1"/>
  <c r="H81" i="17"/>
  <c r="Q81" i="17" s="1"/>
  <c r="H16" i="17"/>
  <c r="Q16" i="17" s="1"/>
  <c r="H16" i="28"/>
  <c r="Q16" i="28" s="1"/>
  <c r="H23" i="34"/>
  <c r="Q23" i="34" s="1"/>
  <c r="H23" i="23"/>
  <c r="Q23" i="23" s="1"/>
  <c r="H87" i="34"/>
  <c r="Q87" i="34" s="1"/>
  <c r="H87" i="23"/>
  <c r="Q87" i="23" s="1"/>
  <c r="G3" i="17"/>
  <c r="P3" i="17" s="1"/>
  <c r="G3" i="28"/>
  <c r="P3" i="28" s="1"/>
  <c r="G3" i="23"/>
  <c r="P3" i="23" s="1"/>
  <c r="G3" i="34"/>
  <c r="P3" i="34" s="1"/>
  <c r="G67" i="34"/>
  <c r="P67" i="34" s="1"/>
  <c r="G67" i="17"/>
  <c r="P67" i="17" s="1"/>
  <c r="G67" i="23"/>
  <c r="P67" i="23" s="1"/>
  <c r="G67" i="28"/>
  <c r="P67" i="28" s="1"/>
  <c r="G18" i="34"/>
  <c r="P18" i="34" s="1"/>
  <c r="G18" i="17"/>
  <c r="P18" i="17" s="1"/>
  <c r="G18" i="28"/>
  <c r="P18" i="28" s="1"/>
  <c r="G18" i="23"/>
  <c r="P18" i="23" s="1"/>
  <c r="H12" i="17"/>
  <c r="Q12" i="17" s="1"/>
  <c r="H12" i="28"/>
  <c r="Q12" i="28" s="1"/>
  <c r="H21" i="23"/>
  <c r="Q21" i="23" s="1"/>
  <c r="H21" i="34"/>
  <c r="Q21" i="34" s="1"/>
  <c r="G25" i="17"/>
  <c r="P25" i="17" s="1"/>
  <c r="G25" i="34"/>
  <c r="P25" i="34" s="1"/>
  <c r="G25" i="28"/>
  <c r="P25" i="28" s="1"/>
  <c r="G25" i="23"/>
  <c r="P25" i="23" s="1"/>
  <c r="G89" i="17"/>
  <c r="P89" i="17" s="1"/>
  <c r="G89" i="34"/>
  <c r="P89" i="34" s="1"/>
  <c r="G89" i="28"/>
  <c r="P89" i="28" s="1"/>
  <c r="G89" i="23"/>
  <c r="P89" i="23" s="1"/>
  <c r="H92" i="34"/>
  <c r="Q92" i="34" s="1"/>
  <c r="H92" i="23"/>
  <c r="Q92" i="23" s="1"/>
  <c r="H7" i="28"/>
  <c r="Q7" i="28" s="1"/>
  <c r="H7" i="17"/>
  <c r="Q7" i="17" s="1"/>
  <c r="H41" i="17"/>
  <c r="Q41" i="17" s="1"/>
  <c r="H41" i="28"/>
  <c r="Q41" i="28" s="1"/>
  <c r="G42" i="17"/>
  <c r="P42" i="17" s="1"/>
  <c r="G42" i="23"/>
  <c r="P42" i="23" s="1"/>
  <c r="G42" i="28"/>
  <c r="P42" i="28" s="1"/>
  <c r="G42" i="34"/>
  <c r="P42" i="34" s="1"/>
  <c r="H36" i="28"/>
  <c r="Q36" i="28" s="1"/>
  <c r="H36" i="17"/>
  <c r="Q36" i="17" s="1"/>
  <c r="H18" i="23"/>
  <c r="Q18" i="23" s="1"/>
  <c r="H18" i="34"/>
  <c r="Q18" i="34" s="1"/>
  <c r="G38" i="23"/>
  <c r="P38" i="23" s="1"/>
  <c r="G38" i="28"/>
  <c r="P38" i="28" s="1"/>
  <c r="G38" i="17"/>
  <c r="P38" i="17" s="1"/>
  <c r="G38" i="34"/>
  <c r="P38" i="34" s="1"/>
  <c r="H8" i="17"/>
  <c r="Q8" i="17" s="1"/>
  <c r="H8" i="28"/>
  <c r="Q8" i="28" s="1"/>
  <c r="H81" i="23"/>
  <c r="Q81" i="23" s="1"/>
  <c r="H81" i="34"/>
  <c r="Q81" i="34" s="1"/>
  <c r="G61" i="23"/>
  <c r="P61" i="23" s="1"/>
  <c r="G61" i="28"/>
  <c r="P61" i="28" s="1"/>
  <c r="G61" i="34"/>
  <c r="P61" i="34" s="1"/>
  <c r="G61" i="17"/>
  <c r="P61" i="17" s="1"/>
  <c r="H40" i="23"/>
  <c r="Q40" i="23" s="1"/>
  <c r="H40" i="34"/>
  <c r="Q40" i="34" s="1"/>
  <c r="H95" i="28"/>
  <c r="Q95" i="28" s="1"/>
  <c r="H95" i="17"/>
  <c r="Q95" i="17" s="1"/>
  <c r="G20" i="34"/>
  <c r="P20" i="34" s="1"/>
  <c r="G20" i="23"/>
  <c r="P20" i="23" s="1"/>
  <c r="G20" i="28"/>
  <c r="P20" i="28" s="1"/>
  <c r="G20" i="17"/>
  <c r="P20" i="17" s="1"/>
  <c r="G84" i="23"/>
  <c r="P84" i="23" s="1"/>
  <c r="G84" i="17"/>
  <c r="P84" i="17" s="1"/>
  <c r="U84" i="17" s="1"/>
  <c r="G84" i="28"/>
  <c r="P84" i="28" s="1"/>
  <c r="G84" i="34"/>
  <c r="P84" i="34" s="1"/>
  <c r="H6" i="17"/>
  <c r="Q6" i="17" s="1"/>
  <c r="H6" i="28"/>
  <c r="Q6" i="28" s="1"/>
  <c r="H15" i="34"/>
  <c r="Q15" i="34" s="1"/>
  <c r="H15" i="23"/>
  <c r="Q15" i="23" s="1"/>
  <c r="H70" i="28"/>
  <c r="Q70" i="28" s="1"/>
  <c r="H70" i="17"/>
  <c r="Q70" i="17" s="1"/>
  <c r="H79" i="34"/>
  <c r="Q79" i="34" s="1"/>
  <c r="H79" i="23"/>
  <c r="Q79" i="23" s="1"/>
  <c r="G59" i="23"/>
  <c r="P59" i="23" s="1"/>
  <c r="G59" i="28"/>
  <c r="P59" i="28" s="1"/>
  <c r="G59" i="17"/>
  <c r="P59" i="17" s="1"/>
  <c r="G59" i="34"/>
  <c r="P59" i="34" s="1"/>
  <c r="H53" i="28"/>
  <c r="Q53" i="28" s="1"/>
  <c r="H53" i="17"/>
  <c r="Q53" i="17" s="1"/>
  <c r="H62" i="23"/>
  <c r="Q62" i="23" s="1"/>
  <c r="H62" i="34"/>
  <c r="Q62" i="34" s="1"/>
  <c r="G74" i="28"/>
  <c r="P74" i="28" s="1"/>
  <c r="G74" i="17"/>
  <c r="P74" i="17" s="1"/>
  <c r="G74" i="34"/>
  <c r="P74" i="34" s="1"/>
  <c r="G74" i="23"/>
  <c r="P74" i="23" s="1"/>
  <c r="H4" i="17"/>
  <c r="Q4" i="17" s="1"/>
  <c r="H4" i="28"/>
  <c r="Q4" i="28" s="1"/>
  <c r="H77" i="34"/>
  <c r="Q77" i="34" s="1"/>
  <c r="H77" i="23"/>
  <c r="Q77" i="23" s="1"/>
  <c r="G1" i="23"/>
  <c r="P1" i="23" s="1"/>
  <c r="G1" i="28"/>
  <c r="P1" i="28" s="1"/>
  <c r="G1" i="17"/>
  <c r="P1" i="17" s="1"/>
  <c r="G1" i="34"/>
  <c r="P1" i="34" s="1"/>
  <c r="G81" i="17"/>
  <c r="P81" i="17" s="1"/>
  <c r="G81" i="28"/>
  <c r="P81" i="28" s="1"/>
  <c r="G81" i="34"/>
  <c r="P81" i="34" s="1"/>
  <c r="G81" i="23"/>
  <c r="P81" i="23" s="1"/>
  <c r="G95" i="28"/>
  <c r="P95" i="28" s="1"/>
  <c r="G95" i="23"/>
  <c r="P95" i="23" s="1"/>
  <c r="G95" i="34"/>
  <c r="P95" i="34" s="1"/>
  <c r="G95" i="17"/>
  <c r="P95" i="17" s="1"/>
  <c r="H11" i="28"/>
  <c r="Q11" i="28" s="1"/>
  <c r="H11" i="17"/>
  <c r="Q11" i="17" s="1"/>
  <c r="H20" i="23"/>
  <c r="Q20" i="23" s="1"/>
  <c r="H20" i="34"/>
  <c r="Q20" i="34" s="1"/>
  <c r="H84" i="23"/>
  <c r="Q84" i="23" s="1"/>
  <c r="H84" i="34"/>
  <c r="Q84" i="34" s="1"/>
  <c r="G15" i="28"/>
  <c r="P15" i="28" s="1"/>
  <c r="G15" i="23"/>
  <c r="P15" i="23" s="1"/>
  <c r="G15" i="17"/>
  <c r="P15" i="17" s="1"/>
  <c r="G15" i="34"/>
  <c r="P15" i="34" s="1"/>
  <c r="H10" i="17"/>
  <c r="Q10" i="17" s="1"/>
  <c r="H10" i="28"/>
  <c r="Q10" i="28" s="1"/>
  <c r="H19" i="23"/>
  <c r="Q19" i="23" s="1"/>
  <c r="H19" i="34"/>
  <c r="Q19" i="34" s="1"/>
  <c r="H74" i="28"/>
  <c r="Q74" i="28" s="1"/>
  <c r="H74" i="17"/>
  <c r="Q74" i="17" s="1"/>
  <c r="H83" i="23"/>
  <c r="Q83" i="23" s="1"/>
  <c r="H83" i="34"/>
  <c r="Q83" i="34" s="1"/>
  <c r="Q3" i="25"/>
  <c r="S3" i="25" s="1"/>
  <c r="S26" i="19"/>
  <c r="G93" i="23"/>
  <c r="P93" i="23" s="1"/>
  <c r="G93" i="28"/>
  <c r="P93" i="28" s="1"/>
  <c r="G93" i="34"/>
  <c r="P93" i="34" s="1"/>
  <c r="G93" i="17"/>
  <c r="P93" i="17" s="1"/>
  <c r="H73" i="17"/>
  <c r="Q73" i="17" s="1"/>
  <c r="H73" i="28"/>
  <c r="Q73" i="28" s="1"/>
  <c r="H82" i="23"/>
  <c r="Q82" i="23" s="1"/>
  <c r="H82" i="34"/>
  <c r="Q82" i="34" s="1"/>
  <c r="G31" i="23"/>
  <c r="P31" i="23" s="1"/>
  <c r="G31" i="28"/>
  <c r="P31" i="28" s="1"/>
  <c r="G31" i="17"/>
  <c r="P31" i="17" s="1"/>
  <c r="G31" i="34"/>
  <c r="P31" i="34" s="1"/>
  <c r="H17" i="23"/>
  <c r="Q17" i="23" s="1"/>
  <c r="H17" i="34"/>
  <c r="Q17" i="34" s="1"/>
  <c r="H72" i="28"/>
  <c r="Q72" i="28" s="1"/>
  <c r="H72" i="17"/>
  <c r="Q72" i="17" s="1"/>
  <c r="H9" i="17"/>
  <c r="Q9" i="17" s="1"/>
  <c r="H9" i="28"/>
  <c r="Q9" i="28" s="1"/>
  <c r="H31" i="28"/>
  <c r="Q31" i="28" s="1"/>
  <c r="H31" i="17"/>
  <c r="Q31" i="17" s="1"/>
  <c r="H1" i="23"/>
  <c r="Q1" i="23" s="1"/>
  <c r="H1" i="34"/>
  <c r="Q1" i="34" s="1"/>
  <c r="G10" i="17"/>
  <c r="P10" i="17" s="1"/>
  <c r="G10" i="23"/>
  <c r="P10" i="23" s="1"/>
  <c r="G10" i="34"/>
  <c r="P10" i="34" s="1"/>
  <c r="G10" i="28"/>
  <c r="P10" i="28" s="1"/>
  <c r="H13" i="34"/>
  <c r="Q13" i="34" s="1"/>
  <c r="H13" i="23"/>
  <c r="Q13" i="23" s="1"/>
  <c r="H68" i="28"/>
  <c r="Q68" i="28" s="1"/>
  <c r="H68" i="17"/>
  <c r="Q68" i="17" s="1"/>
  <c r="G17" i="28"/>
  <c r="P17" i="28" s="1"/>
  <c r="G17" i="17"/>
  <c r="P17" i="17" s="1"/>
  <c r="G17" i="23"/>
  <c r="P17" i="23" s="1"/>
  <c r="G17" i="34"/>
  <c r="P17" i="34" s="1"/>
  <c r="H75" i="17"/>
  <c r="Q75" i="17" s="1"/>
  <c r="H75" i="28"/>
  <c r="Q75" i="28" s="1"/>
  <c r="G8" i="34"/>
  <c r="P8" i="34" s="1"/>
  <c r="G8" i="17"/>
  <c r="P8" i="17" s="1"/>
  <c r="G8" i="23"/>
  <c r="P8" i="23" s="1"/>
  <c r="G8" i="28"/>
  <c r="P8" i="28" s="1"/>
  <c r="G72" i="17"/>
  <c r="P72" i="17" s="1"/>
  <c r="G72" i="28"/>
  <c r="P72" i="28" s="1"/>
  <c r="G72" i="34"/>
  <c r="P72" i="34" s="1"/>
  <c r="G72" i="23"/>
  <c r="P72" i="23" s="1"/>
  <c r="S33" i="19"/>
  <c r="Q83" i="25"/>
  <c r="H10" i="23"/>
  <c r="Q10" i="23" s="1"/>
  <c r="H10" i="34"/>
  <c r="Q10" i="34" s="1"/>
  <c r="H65" i="17"/>
  <c r="Q65" i="17" s="1"/>
  <c r="H65" i="28"/>
  <c r="Q65" i="28" s="1"/>
  <c r="H74" i="34"/>
  <c r="Q74" i="34" s="1"/>
  <c r="H74" i="23"/>
  <c r="Q74" i="23" s="1"/>
  <c r="G30" i="34"/>
  <c r="P30" i="34" s="1"/>
  <c r="U30" i="34" s="1"/>
  <c r="G30" i="23"/>
  <c r="P30" i="23" s="1"/>
  <c r="G30" i="17"/>
  <c r="P30" i="17" s="1"/>
  <c r="U30" i="17" s="1"/>
  <c r="G30" i="28"/>
  <c r="P30" i="28" s="1"/>
  <c r="G94" i="34"/>
  <c r="P94" i="34" s="1"/>
  <c r="G94" i="23"/>
  <c r="P94" i="23" s="1"/>
  <c r="G94" i="17"/>
  <c r="P94" i="17" s="1"/>
  <c r="G94" i="28"/>
  <c r="P94" i="28" s="1"/>
  <c r="H9" i="34"/>
  <c r="Q9" i="34" s="1"/>
  <c r="H9" i="23"/>
  <c r="Q9" i="23" s="1"/>
  <c r="H73" i="23"/>
  <c r="Q73" i="23" s="1"/>
  <c r="H73" i="34"/>
  <c r="Q73" i="34" s="1"/>
  <c r="G53" i="28"/>
  <c r="P53" i="28" s="1"/>
  <c r="G53" i="23"/>
  <c r="P53" i="23" s="1"/>
  <c r="G53" i="17"/>
  <c r="P53" i="17" s="1"/>
  <c r="G53" i="34"/>
  <c r="P53" i="34" s="1"/>
  <c r="H23" i="28"/>
  <c r="Q23" i="28" s="1"/>
  <c r="H23" i="17"/>
  <c r="Q23" i="17" s="1"/>
  <c r="H32" i="34"/>
  <c r="Q32" i="34" s="1"/>
  <c r="H32" i="23"/>
  <c r="Q32" i="23" s="1"/>
  <c r="U32" i="23" s="1"/>
  <c r="H87" i="28"/>
  <c r="Q87" i="28" s="1"/>
  <c r="H87" i="17"/>
  <c r="Q87" i="17" s="1"/>
  <c r="G76" i="28"/>
  <c r="P76" i="28" s="1"/>
  <c r="G76" i="34"/>
  <c r="P76" i="34" s="1"/>
  <c r="G76" i="17"/>
  <c r="P76" i="17" s="1"/>
  <c r="G76" i="23"/>
  <c r="P76" i="23" s="1"/>
  <c r="H7" i="23"/>
  <c r="Q7" i="23" s="1"/>
  <c r="H7" i="34"/>
  <c r="Q7" i="34" s="1"/>
  <c r="H62" i="28"/>
  <c r="Q62" i="28" s="1"/>
  <c r="H62" i="17"/>
  <c r="Q62" i="17" s="1"/>
  <c r="H71" i="23"/>
  <c r="Q71" i="23" s="1"/>
  <c r="H71" i="34"/>
  <c r="Q71" i="34" s="1"/>
  <c r="G51" i="34"/>
  <c r="P51" i="34" s="1"/>
  <c r="G51" i="17"/>
  <c r="P51" i="17" s="1"/>
  <c r="G51" i="28"/>
  <c r="P51" i="28" s="1"/>
  <c r="G51" i="23"/>
  <c r="P51" i="23" s="1"/>
  <c r="U51" i="23" s="1"/>
  <c r="H45" i="17"/>
  <c r="Q45" i="17" s="1"/>
  <c r="H45" i="28"/>
  <c r="Q45" i="28" s="1"/>
  <c r="H54" i="23"/>
  <c r="Q54" i="23" s="1"/>
  <c r="H54" i="34"/>
  <c r="Q54" i="34" s="1"/>
  <c r="G66" i="17"/>
  <c r="P66" i="17" s="1"/>
  <c r="G66" i="28"/>
  <c r="P66" i="28" s="1"/>
  <c r="G66" i="34"/>
  <c r="P66" i="34" s="1"/>
  <c r="G66" i="23"/>
  <c r="P66" i="23" s="1"/>
  <c r="H60" i="17"/>
  <c r="Q60" i="17" s="1"/>
  <c r="H60" i="28"/>
  <c r="Q60" i="28" s="1"/>
  <c r="H69" i="23"/>
  <c r="Q69" i="23" s="1"/>
  <c r="H69" i="34"/>
  <c r="Q69" i="34" s="1"/>
  <c r="H12" i="34"/>
  <c r="Q12" i="34" s="1"/>
  <c r="H12" i="23"/>
  <c r="Q12" i="23" s="1"/>
  <c r="H67" i="17"/>
  <c r="Q67" i="17" s="1"/>
  <c r="H67" i="28"/>
  <c r="Q67" i="28" s="1"/>
  <c r="H76" i="34"/>
  <c r="Q76" i="34" s="1"/>
  <c r="H76" i="23"/>
  <c r="Q76" i="23" s="1"/>
  <c r="G64" i="17"/>
  <c r="P64" i="17" s="1"/>
  <c r="G64" i="28"/>
  <c r="P64" i="28" s="1"/>
  <c r="G64" i="23"/>
  <c r="P64" i="23" s="1"/>
  <c r="G64" i="34"/>
  <c r="P64" i="34" s="1"/>
  <c r="H2" i="17"/>
  <c r="Q2" i="17" s="1"/>
  <c r="H2" i="28"/>
  <c r="Q2" i="28" s="1"/>
  <c r="H11" i="34"/>
  <c r="Q11" i="34" s="1"/>
  <c r="H11" i="23"/>
  <c r="Q11" i="23" s="1"/>
  <c r="H66" i="17"/>
  <c r="Q66" i="17" s="1"/>
  <c r="H66" i="28"/>
  <c r="Q66" i="28" s="1"/>
  <c r="H75" i="23"/>
  <c r="Q75" i="23" s="1"/>
  <c r="H75" i="34"/>
  <c r="Q75" i="34" s="1"/>
  <c r="U77" i="17"/>
  <c r="Q76" i="25"/>
  <c r="G2" i="28"/>
  <c r="P2" i="28" s="1"/>
  <c r="G2" i="17"/>
  <c r="P2" i="17" s="1"/>
  <c r="G2" i="34"/>
  <c r="P2" i="34" s="1"/>
  <c r="G2" i="23"/>
  <c r="P2" i="23" s="1"/>
  <c r="G73" i="17"/>
  <c r="P73" i="17" s="1"/>
  <c r="G73" i="28"/>
  <c r="P73" i="28" s="1"/>
  <c r="G73" i="34"/>
  <c r="P73" i="34" s="1"/>
  <c r="G73" i="23"/>
  <c r="P73" i="23" s="1"/>
  <c r="G23" i="34"/>
  <c r="P23" i="34" s="1"/>
  <c r="G23" i="23"/>
  <c r="P23" i="23" s="1"/>
  <c r="G23" i="28"/>
  <c r="P23" i="28" s="1"/>
  <c r="G23" i="17"/>
  <c r="P23" i="17" s="1"/>
  <c r="H2" i="23"/>
  <c r="Q2" i="23" s="1"/>
  <c r="H2" i="34"/>
  <c r="Q2" i="34" s="1"/>
  <c r="H57" i="17"/>
  <c r="Q57" i="17" s="1"/>
  <c r="H57" i="28"/>
  <c r="Q57" i="28" s="1"/>
  <c r="H66" i="23"/>
  <c r="Q66" i="23" s="1"/>
  <c r="H66" i="34"/>
  <c r="Q66" i="34" s="1"/>
  <c r="G22" i="34"/>
  <c r="P22" i="34" s="1"/>
  <c r="G22" i="23"/>
  <c r="P22" i="23" s="1"/>
  <c r="G22" i="28"/>
  <c r="P22" i="28" s="1"/>
  <c r="G22" i="17"/>
  <c r="P22" i="17" s="1"/>
  <c r="G86" i="23"/>
  <c r="P86" i="23" s="1"/>
  <c r="G86" i="28"/>
  <c r="P86" i="28" s="1"/>
  <c r="G86" i="34"/>
  <c r="P86" i="34" s="1"/>
  <c r="G86" i="17"/>
  <c r="P86" i="17" s="1"/>
  <c r="H56" i="17"/>
  <c r="Q56" i="17" s="1"/>
  <c r="H56" i="28"/>
  <c r="Q56" i="28" s="1"/>
  <c r="G45" i="23"/>
  <c r="P45" i="23" s="1"/>
  <c r="G45" i="17"/>
  <c r="P45" i="17" s="1"/>
  <c r="G45" i="28"/>
  <c r="P45" i="28" s="1"/>
  <c r="G45" i="34"/>
  <c r="P45" i="34" s="1"/>
  <c r="H15" i="28"/>
  <c r="Q15" i="28" s="1"/>
  <c r="H15" i="17"/>
  <c r="Q15" i="17" s="1"/>
  <c r="H79" i="28"/>
  <c r="Q79" i="28" s="1"/>
  <c r="H79" i="17"/>
  <c r="Q79" i="17" s="1"/>
  <c r="H88" i="23"/>
  <c r="Q88" i="23" s="1"/>
  <c r="H88" i="34"/>
  <c r="Q88" i="34" s="1"/>
  <c r="G4" i="23"/>
  <c r="P4" i="23" s="1"/>
  <c r="G4" i="34"/>
  <c r="P4" i="34" s="1"/>
  <c r="G4" i="17"/>
  <c r="P4" i="17" s="1"/>
  <c r="G4" i="28"/>
  <c r="P4" i="28" s="1"/>
  <c r="G68" i="23"/>
  <c r="P68" i="23" s="1"/>
  <c r="G68" i="28"/>
  <c r="P68" i="28" s="1"/>
  <c r="G68" i="17"/>
  <c r="P68" i="17" s="1"/>
  <c r="G68" i="34"/>
  <c r="P68" i="34" s="1"/>
  <c r="H54" i="17"/>
  <c r="Q54" i="17" s="1"/>
  <c r="H54" i="28"/>
  <c r="Q54" i="28" s="1"/>
  <c r="H63" i="34"/>
  <c r="Q63" i="34" s="1"/>
  <c r="H63" i="23"/>
  <c r="Q63" i="23" s="1"/>
  <c r="H37" i="28"/>
  <c r="Q37" i="28" s="1"/>
  <c r="H37" i="17"/>
  <c r="Q37" i="17" s="1"/>
  <c r="H46" i="34"/>
  <c r="Q46" i="34" s="1"/>
  <c r="H46" i="23"/>
  <c r="Q46" i="23" s="1"/>
  <c r="G58" i="34"/>
  <c r="P58" i="34" s="1"/>
  <c r="G58" i="17"/>
  <c r="P58" i="17" s="1"/>
  <c r="G58" i="23"/>
  <c r="P58" i="23" s="1"/>
  <c r="G58" i="28"/>
  <c r="P58" i="28" s="1"/>
  <c r="H61" i="34"/>
  <c r="Q61" i="34" s="1"/>
  <c r="H61" i="23"/>
  <c r="Q61" i="23" s="1"/>
  <c r="G65" i="28"/>
  <c r="P65" i="28" s="1"/>
  <c r="G65" i="17"/>
  <c r="P65" i="17" s="1"/>
  <c r="G65" i="34"/>
  <c r="P65" i="34" s="1"/>
  <c r="G65" i="23"/>
  <c r="P65" i="23" s="1"/>
  <c r="H4" i="34"/>
  <c r="Q4" i="34" s="1"/>
  <c r="H4" i="23"/>
  <c r="Q4" i="23" s="1"/>
  <c r="H68" i="23"/>
  <c r="Q68" i="23" s="1"/>
  <c r="H68" i="34"/>
  <c r="Q68" i="34" s="1"/>
  <c r="G56" i="17"/>
  <c r="P56" i="17" s="1"/>
  <c r="G56" i="23"/>
  <c r="P56" i="23" s="1"/>
  <c r="G56" i="34"/>
  <c r="P56" i="34" s="1"/>
  <c r="G56" i="28"/>
  <c r="P56" i="28" s="1"/>
  <c r="H3" i="23"/>
  <c r="Q3" i="23" s="1"/>
  <c r="H3" i="34"/>
  <c r="Q3" i="34" s="1"/>
  <c r="H58" i="17"/>
  <c r="Q58" i="17" s="1"/>
  <c r="H58" i="28"/>
  <c r="Q58" i="28" s="1"/>
  <c r="H67" i="23"/>
  <c r="Q67" i="23" s="1"/>
  <c r="H67" i="34"/>
  <c r="Q67" i="34" s="1"/>
  <c r="Q28" i="25"/>
  <c r="Q82" i="25"/>
  <c r="H5" i="23"/>
  <c r="Q5" i="23" s="1"/>
  <c r="H5" i="34"/>
  <c r="Q5" i="34" s="1"/>
  <c r="G9" i="17"/>
  <c r="P9" i="17" s="1"/>
  <c r="G9" i="34"/>
  <c r="P9" i="34" s="1"/>
  <c r="G9" i="28"/>
  <c r="P9" i="28" s="1"/>
  <c r="G9" i="23"/>
  <c r="P9" i="23" s="1"/>
  <c r="H65" i="23"/>
  <c r="Q65" i="23" s="1"/>
  <c r="H65" i="34"/>
  <c r="Q65" i="34" s="1"/>
  <c r="H24" i="23"/>
  <c r="Q24" i="23" s="1"/>
  <c r="H24" i="34"/>
  <c r="Q24" i="34" s="1"/>
  <c r="H1" i="28"/>
  <c r="Q1" i="28" s="1"/>
  <c r="H1" i="17"/>
  <c r="Q1" i="17" s="1"/>
  <c r="G43" i="34"/>
  <c r="P43" i="34" s="1"/>
  <c r="G43" i="23"/>
  <c r="P43" i="23" s="1"/>
  <c r="G43" i="17"/>
  <c r="P43" i="17" s="1"/>
  <c r="G43" i="28"/>
  <c r="P43" i="28" s="1"/>
  <c r="H52" i="17"/>
  <c r="Q52" i="17" s="1"/>
  <c r="H52" i="28"/>
  <c r="Q52" i="28" s="1"/>
  <c r="H59" i="28"/>
  <c r="Q59" i="28" s="1"/>
  <c r="H59" i="17"/>
  <c r="Q59" i="17" s="1"/>
  <c r="Q35" i="25"/>
  <c r="Q26" i="25"/>
  <c r="S34" i="19"/>
  <c r="G12" i="17"/>
  <c r="P12" i="17" s="1"/>
  <c r="G12" i="23"/>
  <c r="P12" i="23" s="1"/>
  <c r="G12" i="34"/>
  <c r="P12" i="34" s="1"/>
  <c r="G12" i="28"/>
  <c r="P12" i="28" s="1"/>
  <c r="H49" i="17"/>
  <c r="Q49" i="17" s="1"/>
  <c r="H49" i="28"/>
  <c r="Q49" i="28" s="1"/>
  <c r="G14" i="34"/>
  <c r="P14" i="34" s="1"/>
  <c r="G14" i="28"/>
  <c r="P14" i="28" s="1"/>
  <c r="G14" i="23"/>
  <c r="P14" i="23" s="1"/>
  <c r="G14" i="17"/>
  <c r="P14" i="17" s="1"/>
  <c r="G78" i="34"/>
  <c r="P78" i="34" s="1"/>
  <c r="G78" i="23"/>
  <c r="P78" i="23" s="1"/>
  <c r="G78" i="17"/>
  <c r="P78" i="17" s="1"/>
  <c r="G78" i="28"/>
  <c r="P78" i="28" s="1"/>
  <c r="H48" i="28"/>
  <c r="Q48" i="28" s="1"/>
  <c r="H48" i="17"/>
  <c r="Q48" i="17" s="1"/>
  <c r="H57" i="23"/>
  <c r="Q57" i="23" s="1"/>
  <c r="H57" i="34"/>
  <c r="Q57" i="34" s="1"/>
  <c r="G37" i="28"/>
  <c r="P37" i="28" s="1"/>
  <c r="G37" i="34"/>
  <c r="P37" i="34" s="1"/>
  <c r="G37" i="23"/>
  <c r="P37" i="23" s="1"/>
  <c r="G37" i="17"/>
  <c r="P37" i="17" s="1"/>
  <c r="H16" i="34"/>
  <c r="Q16" i="34" s="1"/>
  <c r="H16" i="23"/>
  <c r="Q16" i="23" s="1"/>
  <c r="H71" i="28"/>
  <c r="Q71" i="28" s="1"/>
  <c r="H71" i="17"/>
  <c r="Q71" i="17" s="1"/>
  <c r="H80" i="34"/>
  <c r="Q80" i="34" s="1"/>
  <c r="H80" i="23"/>
  <c r="Q80" i="23" s="1"/>
  <c r="H46" i="28"/>
  <c r="Q46" i="28" s="1"/>
  <c r="H46" i="17"/>
  <c r="Q46" i="17" s="1"/>
  <c r="H55" i="23"/>
  <c r="Q55" i="23" s="1"/>
  <c r="H55" i="34"/>
  <c r="Q55" i="34" s="1"/>
  <c r="H29" i="28"/>
  <c r="Q29" i="28" s="1"/>
  <c r="H29" i="17"/>
  <c r="Q29" i="17" s="1"/>
  <c r="U29" i="17" s="1"/>
  <c r="H38" i="23"/>
  <c r="Q38" i="23" s="1"/>
  <c r="H38" i="34"/>
  <c r="Q38" i="34" s="1"/>
  <c r="H93" i="28"/>
  <c r="Q93" i="28" s="1"/>
  <c r="H93" i="17"/>
  <c r="Q93" i="17" s="1"/>
  <c r="H53" i="23"/>
  <c r="Q53" i="23" s="1"/>
  <c r="H53" i="34"/>
  <c r="Q53" i="34" s="1"/>
  <c r="H51" i="28"/>
  <c r="Q51" i="28" s="1"/>
  <c r="H51" i="17"/>
  <c r="Q51" i="17" s="1"/>
  <c r="H60" i="34"/>
  <c r="Q60" i="34" s="1"/>
  <c r="H60" i="23"/>
  <c r="Q60" i="23" s="1"/>
  <c r="G55" i="28"/>
  <c r="P55" i="28" s="1"/>
  <c r="G55" i="23"/>
  <c r="P55" i="23" s="1"/>
  <c r="G55" i="34"/>
  <c r="P55" i="34" s="1"/>
  <c r="G55" i="17"/>
  <c r="P55" i="17" s="1"/>
  <c r="G48" i="17"/>
  <c r="P48" i="17" s="1"/>
  <c r="G48" i="28"/>
  <c r="P48" i="28" s="1"/>
  <c r="G48" i="23"/>
  <c r="P48" i="23" s="1"/>
  <c r="G48" i="34"/>
  <c r="P48" i="34" s="1"/>
  <c r="H50" i="28"/>
  <c r="Q50" i="28" s="1"/>
  <c r="H50" i="17"/>
  <c r="Q50" i="17" s="1"/>
  <c r="H59" i="34"/>
  <c r="Q59" i="34" s="1"/>
  <c r="H59" i="23"/>
  <c r="Q59" i="23" s="1"/>
  <c r="Q77" i="25"/>
  <c r="Q36" i="25"/>
  <c r="S84" i="19"/>
  <c r="DC109" i="2"/>
  <c r="DF109" i="2"/>
  <c r="H109" i="35"/>
  <c r="P109" i="35" s="1"/>
  <c r="H109" i="24"/>
  <c r="P109" i="24" s="1"/>
  <c r="DG109" i="2"/>
  <c r="L142" i="6"/>
  <c r="DJ104" i="2"/>
  <c r="M145" i="6"/>
  <c r="DK107" i="2"/>
  <c r="J140" i="6"/>
  <c r="DH102" i="2"/>
  <c r="J147" i="6"/>
  <c r="DH109" i="2"/>
  <c r="M141" i="6"/>
  <c r="DK103" i="2"/>
  <c r="L145" i="6"/>
  <c r="DJ107" i="2"/>
  <c r="L140" i="6"/>
  <c r="DJ102" i="2"/>
  <c r="K140" i="6"/>
  <c r="DI102" i="2"/>
  <c r="L143" i="6"/>
  <c r="DJ105" i="2"/>
  <c r="M136" i="6"/>
  <c r="DK98" i="2"/>
  <c r="L146" i="6"/>
  <c r="DJ108" i="2"/>
  <c r="K145" i="6"/>
  <c r="DI107" i="2"/>
  <c r="M140" i="6"/>
  <c r="DK102" i="2"/>
  <c r="M146" i="6"/>
  <c r="DK108" i="2"/>
  <c r="L138" i="6"/>
  <c r="DJ100" i="2"/>
  <c r="K142" i="6"/>
  <c r="DI104" i="2"/>
  <c r="M142" i="6"/>
  <c r="DK104" i="2"/>
  <c r="M144" i="6"/>
  <c r="DK106" i="2"/>
  <c r="K136" i="6"/>
  <c r="DI98" i="2"/>
  <c r="J137" i="6"/>
  <c r="DH99" i="2"/>
  <c r="J138" i="6"/>
  <c r="DH100" i="2"/>
  <c r="L136" i="6"/>
  <c r="DJ98" i="2"/>
  <c r="K147" i="6"/>
  <c r="DI109" i="2"/>
  <c r="J146" i="6"/>
  <c r="DH108" i="2"/>
  <c r="K141" i="6"/>
  <c r="DI103" i="2"/>
  <c r="DH98" i="2"/>
  <c r="J139" i="6"/>
  <c r="DH101" i="2"/>
  <c r="J143" i="6"/>
  <c r="DH105" i="2"/>
  <c r="J141" i="6"/>
  <c r="DH103" i="2"/>
  <c r="L147" i="6"/>
  <c r="DJ109" i="2"/>
  <c r="K146" i="6"/>
  <c r="DI108" i="2"/>
  <c r="K139" i="6"/>
  <c r="DI101" i="2"/>
  <c r="M147" i="6"/>
  <c r="DK109" i="2"/>
  <c r="L139" i="6"/>
  <c r="DJ101" i="2"/>
  <c r="J144" i="6"/>
  <c r="DH106" i="2"/>
  <c r="J142" i="6"/>
  <c r="DH104" i="2"/>
  <c r="M137" i="6"/>
  <c r="DK99" i="2"/>
  <c r="M143" i="6"/>
  <c r="DK105" i="2"/>
  <c r="K137" i="6"/>
  <c r="DI99" i="2"/>
  <c r="M139" i="6"/>
  <c r="DK101" i="2"/>
  <c r="L144" i="6"/>
  <c r="DJ106" i="2"/>
  <c r="J145" i="6"/>
  <c r="DH107" i="2"/>
  <c r="L141" i="6"/>
  <c r="DJ103" i="2"/>
  <c r="K143" i="6"/>
  <c r="DI105" i="2"/>
  <c r="L137" i="6"/>
  <c r="DJ99" i="2"/>
  <c r="K138" i="6"/>
  <c r="DI100" i="2"/>
  <c r="K144" i="6"/>
  <c r="DI106" i="2"/>
  <c r="S85" i="35"/>
  <c r="Q85" i="30"/>
  <c r="F161" i="6"/>
  <c r="F173" i="6" s="1"/>
  <c r="F185" i="6" s="1"/>
  <c r="F197" i="6" s="1"/>
  <c r="F209" i="6" s="1"/>
  <c r="H111" i="35"/>
  <c r="P111" i="35" s="1"/>
  <c r="F153" i="6"/>
  <c r="F165" i="6" s="1"/>
  <c r="F177" i="6" s="1"/>
  <c r="F189" i="6" s="1"/>
  <c r="F201" i="6" s="1"/>
  <c r="F213" i="6" s="1"/>
  <c r="H115" i="35"/>
  <c r="P115" i="35" s="1"/>
  <c r="F160" i="6"/>
  <c r="F172" i="6" s="1"/>
  <c r="F184" i="6" s="1"/>
  <c r="F196" i="6" s="1"/>
  <c r="F208" i="6" s="1"/>
  <c r="H110" i="35"/>
  <c r="P110" i="35" s="1"/>
  <c r="F155" i="6"/>
  <c r="F167" i="6" s="1"/>
  <c r="F179" i="6" s="1"/>
  <c r="F191" i="6" s="1"/>
  <c r="F203" i="6" s="1"/>
  <c r="F215" i="6" s="1"/>
  <c r="H117" i="35"/>
  <c r="P117" i="35" s="1"/>
  <c r="F152" i="6"/>
  <c r="F164" i="6" s="1"/>
  <c r="F176" i="6" s="1"/>
  <c r="F188" i="6" s="1"/>
  <c r="F200" i="6" s="1"/>
  <c r="F212" i="6" s="1"/>
  <c r="H114" i="35"/>
  <c r="P114" i="35" s="1"/>
  <c r="F151" i="6"/>
  <c r="F163" i="6" s="1"/>
  <c r="F175" i="6" s="1"/>
  <c r="F187" i="6" s="1"/>
  <c r="F199" i="6" s="1"/>
  <c r="F211" i="6" s="1"/>
  <c r="H113" i="35"/>
  <c r="P113" i="35" s="1"/>
  <c r="F150" i="6"/>
  <c r="F162" i="6" s="1"/>
  <c r="F174" i="6" s="1"/>
  <c r="F186" i="6" s="1"/>
  <c r="F198" i="6" s="1"/>
  <c r="F210" i="6" s="1"/>
  <c r="H112" i="35"/>
  <c r="P112" i="35" s="1"/>
  <c r="F154" i="6"/>
  <c r="F166" i="6" s="1"/>
  <c r="F178" i="6" s="1"/>
  <c r="F190" i="6" s="1"/>
  <c r="F202" i="6" s="1"/>
  <c r="F214" i="6" s="1"/>
  <c r="H116" i="35"/>
  <c r="P116" i="35" s="1"/>
  <c r="DD119" i="2"/>
  <c r="H119" i="24" s="1"/>
  <c r="P119" i="24" s="1"/>
  <c r="S119" i="24" s="1"/>
  <c r="DD121" i="2"/>
  <c r="H121" i="24" s="1"/>
  <c r="P121" i="24" s="1"/>
  <c r="S121" i="24" s="1"/>
  <c r="DD120" i="2"/>
  <c r="H120" i="24" s="1"/>
  <c r="P120" i="24" s="1"/>
  <c r="S120" i="24" s="1"/>
  <c r="DD118" i="2"/>
  <c r="H118" i="24" s="1"/>
  <c r="P118" i="24" s="1"/>
  <c r="S118" i="24" s="1"/>
  <c r="D155" i="6"/>
  <c r="DB118" i="2"/>
  <c r="D151" i="6"/>
  <c r="D150" i="6"/>
  <c r="D154" i="6"/>
  <c r="D157" i="6"/>
  <c r="H131" i="30" s="1"/>
  <c r="O131" i="30" s="1"/>
  <c r="D152" i="6"/>
  <c r="D158" i="6"/>
  <c r="H132" i="30" s="1"/>
  <c r="O132" i="30" s="1"/>
  <c r="D153" i="6"/>
  <c r="D159" i="6"/>
  <c r="H133" i="30" s="1"/>
  <c r="O133" i="30" s="1"/>
  <c r="U76" i="17" l="1"/>
  <c r="U37" i="23"/>
  <c r="H118" i="18"/>
  <c r="O118" i="18" s="1"/>
  <c r="Q118" i="18" s="1"/>
  <c r="H118" i="30"/>
  <c r="O118" i="30" s="1"/>
  <c r="Q121" i="30"/>
  <c r="Q119" i="30"/>
  <c r="Q120" i="30"/>
  <c r="Q116" i="30"/>
  <c r="Q117" i="30"/>
  <c r="L159" i="6"/>
  <c r="L171" i="6" s="1"/>
  <c r="L183" i="6" s="1"/>
  <c r="L195" i="6" s="1"/>
  <c r="L207" i="6" s="1"/>
  <c r="L219" i="6" s="1"/>
  <c r="DJ121" i="2"/>
  <c r="K156" i="6"/>
  <c r="K168" i="6" s="1"/>
  <c r="K180" i="6" s="1"/>
  <c r="K192" i="6" s="1"/>
  <c r="K204" i="6" s="1"/>
  <c r="K216" i="6" s="1"/>
  <c r="DI118" i="2"/>
  <c r="L153" i="6"/>
  <c r="L165" i="6" s="1"/>
  <c r="L177" i="6" s="1"/>
  <c r="L189" i="6" s="1"/>
  <c r="L201" i="6" s="1"/>
  <c r="L213" i="6" s="1"/>
  <c r="DJ115" i="2"/>
  <c r="L151" i="6"/>
  <c r="L163" i="6" s="1"/>
  <c r="L175" i="6" s="1"/>
  <c r="L187" i="6" s="1"/>
  <c r="L199" i="6" s="1"/>
  <c r="L211" i="6" s="1"/>
  <c r="DJ113" i="2"/>
  <c r="J155" i="6"/>
  <c r="J167" i="6" s="1"/>
  <c r="J179" i="6" s="1"/>
  <c r="J191" i="6" s="1"/>
  <c r="J203" i="6" s="1"/>
  <c r="J215" i="6" s="1"/>
  <c r="DH117" i="2"/>
  <c r="L148" i="6"/>
  <c r="L160" i="6" s="1"/>
  <c r="L172" i="6" s="1"/>
  <c r="L184" i="6" s="1"/>
  <c r="L196" i="6" s="1"/>
  <c r="L208" i="6" s="1"/>
  <c r="DJ110" i="2"/>
  <c r="M154" i="6"/>
  <c r="M166" i="6" s="1"/>
  <c r="M178" i="6" s="1"/>
  <c r="M190" i="6" s="1"/>
  <c r="M202" i="6" s="1"/>
  <c r="M214" i="6" s="1"/>
  <c r="DK116" i="2"/>
  <c r="L158" i="6"/>
  <c r="L170" i="6" s="1"/>
  <c r="L182" i="6" s="1"/>
  <c r="L194" i="6" s="1"/>
  <c r="L206" i="6" s="1"/>
  <c r="L218" i="6" s="1"/>
  <c r="DJ120" i="2"/>
  <c r="L157" i="6"/>
  <c r="L169" i="6" s="1"/>
  <c r="L181" i="6" s="1"/>
  <c r="L193" i="6" s="1"/>
  <c r="L205" i="6" s="1"/>
  <c r="L217" i="6" s="1"/>
  <c r="DJ119" i="2"/>
  <c r="I159" i="6"/>
  <c r="I171" i="6" s="1"/>
  <c r="I183" i="6" s="1"/>
  <c r="I195" i="6" s="1"/>
  <c r="I207" i="6" s="1"/>
  <c r="I219" i="6" s="1"/>
  <c r="DG121" i="2"/>
  <c r="M153" i="6"/>
  <c r="M165" i="6" s="1"/>
  <c r="M177" i="6" s="1"/>
  <c r="M189" i="6" s="1"/>
  <c r="M201" i="6" s="1"/>
  <c r="M213" i="6" s="1"/>
  <c r="DK115" i="2"/>
  <c r="G159" i="6"/>
  <c r="G171" i="6" s="1"/>
  <c r="G183" i="6" s="1"/>
  <c r="G195" i="6" s="1"/>
  <c r="G207" i="6" s="1"/>
  <c r="G219" i="6" s="1"/>
  <c r="DE121" i="2"/>
  <c r="J157" i="6"/>
  <c r="J169" i="6" s="1"/>
  <c r="J181" i="6" s="1"/>
  <c r="J193" i="6" s="1"/>
  <c r="J205" i="6" s="1"/>
  <c r="J217" i="6" s="1"/>
  <c r="DH119" i="2"/>
  <c r="M159" i="6"/>
  <c r="M171" i="6" s="1"/>
  <c r="M183" i="6" s="1"/>
  <c r="M195" i="6" s="1"/>
  <c r="M207" i="6" s="1"/>
  <c r="M219" i="6" s="1"/>
  <c r="DK121" i="2"/>
  <c r="J150" i="6"/>
  <c r="J162" i="6" s="1"/>
  <c r="J174" i="6" s="1"/>
  <c r="J186" i="6" s="1"/>
  <c r="J198" i="6" s="1"/>
  <c r="J210" i="6" s="1"/>
  <c r="DH112" i="2"/>
  <c r="K150" i="6"/>
  <c r="K162" i="6" s="1"/>
  <c r="K174" i="6" s="1"/>
  <c r="K186" i="6" s="1"/>
  <c r="K198" i="6" s="1"/>
  <c r="K210" i="6" s="1"/>
  <c r="DI112" i="2"/>
  <c r="J149" i="6"/>
  <c r="J161" i="6" s="1"/>
  <c r="J173" i="6" s="1"/>
  <c r="J185" i="6" s="1"/>
  <c r="J197" i="6" s="1"/>
  <c r="J209" i="6" s="1"/>
  <c r="DH111" i="2"/>
  <c r="K154" i="6"/>
  <c r="K166" i="6" s="1"/>
  <c r="K178" i="6" s="1"/>
  <c r="K190" i="6" s="1"/>
  <c r="K202" i="6" s="1"/>
  <c r="K214" i="6" s="1"/>
  <c r="DI116" i="2"/>
  <c r="M148" i="6"/>
  <c r="M160" i="6" s="1"/>
  <c r="M172" i="6" s="1"/>
  <c r="M184" i="6" s="1"/>
  <c r="M196" i="6" s="1"/>
  <c r="M208" i="6" s="1"/>
  <c r="DK110" i="2"/>
  <c r="H159" i="6"/>
  <c r="H171" i="6" s="1"/>
  <c r="H183" i="6" s="1"/>
  <c r="H195" i="6" s="1"/>
  <c r="H207" i="6" s="1"/>
  <c r="H219" i="6" s="1"/>
  <c r="DF121" i="2"/>
  <c r="K151" i="6"/>
  <c r="K163" i="6" s="1"/>
  <c r="K175" i="6" s="1"/>
  <c r="K187" i="6" s="1"/>
  <c r="K199" i="6" s="1"/>
  <c r="K211" i="6" s="1"/>
  <c r="DI113" i="2"/>
  <c r="J151" i="6"/>
  <c r="J163" i="6" s="1"/>
  <c r="J175" i="6" s="1"/>
  <c r="J187" i="6" s="1"/>
  <c r="J199" i="6" s="1"/>
  <c r="J211" i="6" s="1"/>
  <c r="DH113" i="2"/>
  <c r="M149" i="6"/>
  <c r="M161" i="6" s="1"/>
  <c r="M173" i="6" s="1"/>
  <c r="M185" i="6" s="1"/>
  <c r="M197" i="6" s="1"/>
  <c r="M209" i="6" s="1"/>
  <c r="DK111" i="2"/>
  <c r="J152" i="6"/>
  <c r="J164" i="6" s="1"/>
  <c r="J176" i="6" s="1"/>
  <c r="J188" i="6" s="1"/>
  <c r="J200" i="6" s="1"/>
  <c r="J212" i="6" s="1"/>
  <c r="DH114" i="2"/>
  <c r="E159" i="6"/>
  <c r="E171" i="6" s="1"/>
  <c r="E183" i="6" s="1"/>
  <c r="E195" i="6" s="1"/>
  <c r="E207" i="6" s="1"/>
  <c r="E219" i="6" s="1"/>
  <c r="DC121" i="2"/>
  <c r="J159" i="6"/>
  <c r="J171" i="6" s="1"/>
  <c r="J183" i="6" s="1"/>
  <c r="J195" i="6" s="1"/>
  <c r="J207" i="6" s="1"/>
  <c r="J219" i="6" s="1"/>
  <c r="DH121" i="2"/>
  <c r="J148" i="6"/>
  <c r="J160" i="6" s="1"/>
  <c r="J172" i="6" s="1"/>
  <c r="J184" i="6" s="1"/>
  <c r="J196" i="6" s="1"/>
  <c r="J208" i="6" s="1"/>
  <c r="DH110" i="2"/>
  <c r="K148" i="6"/>
  <c r="K160" i="6" s="1"/>
  <c r="K172" i="6" s="1"/>
  <c r="K184" i="6" s="1"/>
  <c r="K196" i="6" s="1"/>
  <c r="K208" i="6" s="1"/>
  <c r="DI110" i="2"/>
  <c r="L150" i="6"/>
  <c r="L162" i="6" s="1"/>
  <c r="L174" i="6" s="1"/>
  <c r="L186" i="6" s="1"/>
  <c r="L198" i="6" s="1"/>
  <c r="L210" i="6" s="1"/>
  <c r="DJ112" i="2"/>
  <c r="L155" i="6"/>
  <c r="L167" i="6" s="1"/>
  <c r="L179" i="6" s="1"/>
  <c r="L191" i="6" s="1"/>
  <c r="L203" i="6" s="1"/>
  <c r="L215" i="6" s="1"/>
  <c r="DJ117" i="2"/>
  <c r="M150" i="6"/>
  <c r="M162" i="6" s="1"/>
  <c r="M174" i="6" s="1"/>
  <c r="M186" i="6" s="1"/>
  <c r="M198" i="6" s="1"/>
  <c r="M210" i="6" s="1"/>
  <c r="DK112" i="2"/>
  <c r="L156" i="6"/>
  <c r="L168" i="6" s="1"/>
  <c r="L180" i="6" s="1"/>
  <c r="L192" i="6" s="1"/>
  <c r="L204" i="6" s="1"/>
  <c r="L216" i="6" s="1"/>
  <c r="DJ118" i="2"/>
  <c r="J154" i="6"/>
  <c r="J166" i="6" s="1"/>
  <c r="J178" i="6" s="1"/>
  <c r="J190" i="6" s="1"/>
  <c r="J202" i="6" s="1"/>
  <c r="J214" i="6" s="1"/>
  <c r="DH116" i="2"/>
  <c r="M157" i="6"/>
  <c r="M169" i="6" s="1"/>
  <c r="M181" i="6" s="1"/>
  <c r="M193" i="6" s="1"/>
  <c r="M205" i="6" s="1"/>
  <c r="M217" i="6" s="1"/>
  <c r="DK119" i="2"/>
  <c r="L149" i="6"/>
  <c r="L161" i="6" s="1"/>
  <c r="L173" i="6" s="1"/>
  <c r="L185" i="6" s="1"/>
  <c r="L197" i="6" s="1"/>
  <c r="L209" i="6" s="1"/>
  <c r="DJ111" i="2"/>
  <c r="K158" i="6"/>
  <c r="K170" i="6" s="1"/>
  <c r="K182" i="6" s="1"/>
  <c r="K194" i="6" s="1"/>
  <c r="K206" i="6" s="1"/>
  <c r="K218" i="6" s="1"/>
  <c r="DI120" i="2"/>
  <c r="K153" i="6"/>
  <c r="K165" i="6" s="1"/>
  <c r="K177" i="6" s="1"/>
  <c r="K189" i="6" s="1"/>
  <c r="K201" i="6" s="1"/>
  <c r="K213" i="6" s="1"/>
  <c r="DI115" i="2"/>
  <c r="M156" i="6"/>
  <c r="M168" i="6" s="1"/>
  <c r="M180" i="6" s="1"/>
  <c r="M192" i="6" s="1"/>
  <c r="M204" i="6" s="1"/>
  <c r="M216" i="6" s="1"/>
  <c r="DK118" i="2"/>
  <c r="M158" i="6"/>
  <c r="M170" i="6" s="1"/>
  <c r="M182" i="6" s="1"/>
  <c r="M194" i="6" s="1"/>
  <c r="M206" i="6" s="1"/>
  <c r="M218" i="6" s="1"/>
  <c r="DK120" i="2"/>
  <c r="K152" i="6"/>
  <c r="K164" i="6" s="1"/>
  <c r="K176" i="6" s="1"/>
  <c r="K188" i="6" s="1"/>
  <c r="K200" i="6" s="1"/>
  <c r="K212" i="6" s="1"/>
  <c r="DI114" i="2"/>
  <c r="M152" i="6"/>
  <c r="M164" i="6" s="1"/>
  <c r="M176" i="6" s="1"/>
  <c r="M188" i="6" s="1"/>
  <c r="M200" i="6" s="1"/>
  <c r="M212" i="6" s="1"/>
  <c r="DK114" i="2"/>
  <c r="K149" i="6"/>
  <c r="K161" i="6" s="1"/>
  <c r="K173" i="6" s="1"/>
  <c r="K185" i="6" s="1"/>
  <c r="K197" i="6" s="1"/>
  <c r="K209" i="6" s="1"/>
  <c r="DI111" i="2"/>
  <c r="K155" i="6"/>
  <c r="K167" i="6" s="1"/>
  <c r="K179" i="6" s="1"/>
  <c r="K191" i="6" s="1"/>
  <c r="K203" i="6" s="1"/>
  <c r="K215" i="6" s="1"/>
  <c r="DI117" i="2"/>
  <c r="J156" i="6"/>
  <c r="J168" i="6" s="1"/>
  <c r="J180" i="6" s="1"/>
  <c r="J192" i="6" s="1"/>
  <c r="J204" i="6" s="1"/>
  <c r="J216" i="6" s="1"/>
  <c r="DH118" i="2"/>
  <c r="J153" i="6"/>
  <c r="J165" i="6" s="1"/>
  <c r="J177" i="6" s="1"/>
  <c r="J189" i="6" s="1"/>
  <c r="J201" i="6" s="1"/>
  <c r="J213" i="6" s="1"/>
  <c r="DH115" i="2"/>
  <c r="K159" i="6"/>
  <c r="K171" i="6" s="1"/>
  <c r="K183" i="6" s="1"/>
  <c r="K195" i="6" s="1"/>
  <c r="K207" i="6" s="1"/>
  <c r="K219" i="6" s="1"/>
  <c r="DI121" i="2"/>
  <c r="K157" i="6"/>
  <c r="K169" i="6" s="1"/>
  <c r="K181" i="6" s="1"/>
  <c r="K193" i="6" s="1"/>
  <c r="K205" i="6" s="1"/>
  <c r="K217" i="6" s="1"/>
  <c r="DI119" i="2"/>
  <c r="M151" i="6"/>
  <c r="M163" i="6" s="1"/>
  <c r="M175" i="6" s="1"/>
  <c r="M187" i="6" s="1"/>
  <c r="M199" i="6" s="1"/>
  <c r="M211" i="6" s="1"/>
  <c r="DK113" i="2"/>
  <c r="J158" i="6"/>
  <c r="J170" i="6" s="1"/>
  <c r="J182" i="6" s="1"/>
  <c r="J194" i="6" s="1"/>
  <c r="J206" i="6" s="1"/>
  <c r="J218" i="6" s="1"/>
  <c r="DH120" i="2"/>
  <c r="M155" i="6"/>
  <c r="M167" i="6" s="1"/>
  <c r="M179" i="6" s="1"/>
  <c r="M191" i="6" s="1"/>
  <c r="M203" i="6" s="1"/>
  <c r="M215" i="6" s="1"/>
  <c r="DK117" i="2"/>
  <c r="L152" i="6"/>
  <c r="L164" i="6" s="1"/>
  <c r="L176" i="6" s="1"/>
  <c r="L188" i="6" s="1"/>
  <c r="L200" i="6" s="1"/>
  <c r="L212" i="6" s="1"/>
  <c r="DJ114" i="2"/>
  <c r="L154" i="6"/>
  <c r="L166" i="6" s="1"/>
  <c r="L178" i="6" s="1"/>
  <c r="L190" i="6" s="1"/>
  <c r="L202" i="6" s="1"/>
  <c r="L214" i="6" s="1"/>
  <c r="DJ116" i="2"/>
  <c r="U30" i="28"/>
  <c r="U3" i="17"/>
  <c r="W3" i="17" s="1"/>
  <c r="U30" i="23"/>
  <c r="U79" i="23"/>
  <c r="U80" i="17"/>
  <c r="U83" i="17"/>
  <c r="U78" i="17"/>
  <c r="U37" i="34"/>
  <c r="U27" i="23"/>
  <c r="U35" i="17"/>
  <c r="U80" i="23"/>
  <c r="U83" i="23"/>
  <c r="U26" i="17"/>
  <c r="U78" i="28"/>
  <c r="U27" i="17"/>
  <c r="U33" i="17"/>
  <c r="U28" i="17"/>
  <c r="U81" i="17"/>
  <c r="U77" i="23"/>
  <c r="U26" i="23"/>
  <c r="U28" i="28"/>
  <c r="U76" i="28"/>
  <c r="U82" i="17"/>
  <c r="U28" i="23"/>
  <c r="U31" i="34"/>
  <c r="U31" i="23"/>
  <c r="U75" i="23"/>
  <c r="U51" i="34"/>
  <c r="U78" i="23"/>
  <c r="U78" i="34"/>
  <c r="U33" i="28"/>
  <c r="U80" i="28"/>
  <c r="U85" i="17"/>
  <c r="U84" i="28"/>
  <c r="U77" i="28"/>
  <c r="U82" i="28"/>
  <c r="U84" i="23"/>
  <c r="U33" i="23"/>
  <c r="U3" i="28"/>
  <c r="X3" i="28" s="1"/>
  <c r="U76" i="23"/>
  <c r="U32" i="17"/>
  <c r="U33" i="34"/>
  <c r="U31" i="17"/>
  <c r="U3" i="23"/>
  <c r="W3" i="23" s="1"/>
  <c r="U37" i="17"/>
  <c r="U36" i="23"/>
  <c r="U34" i="23"/>
  <c r="U29" i="23"/>
  <c r="U36" i="17"/>
  <c r="U79" i="17"/>
  <c r="U85" i="23"/>
  <c r="U37" i="28"/>
  <c r="U51" i="17"/>
  <c r="U75" i="17"/>
  <c r="U82" i="23"/>
  <c r="U85" i="28"/>
  <c r="U81" i="23"/>
  <c r="U34" i="28"/>
  <c r="U34" i="17"/>
  <c r="U32" i="34"/>
  <c r="U83" i="28"/>
  <c r="U77" i="34"/>
  <c r="U27" i="28"/>
  <c r="U82" i="34"/>
  <c r="U28" i="34"/>
  <c r="U27" i="34"/>
  <c r="U81" i="34"/>
  <c r="U29" i="28"/>
  <c r="U81" i="28"/>
  <c r="U3" i="34"/>
  <c r="X3" i="34" s="1"/>
  <c r="U26" i="34"/>
  <c r="U51" i="28"/>
  <c r="U31" i="28"/>
  <c r="U79" i="28"/>
  <c r="U29" i="34"/>
  <c r="U84" i="34"/>
  <c r="U80" i="34"/>
  <c r="U79" i="34"/>
  <c r="U85" i="34"/>
  <c r="U26" i="28"/>
  <c r="U34" i="34"/>
  <c r="U35" i="34"/>
  <c r="U36" i="28"/>
  <c r="U75" i="34"/>
  <c r="U76" i="34"/>
  <c r="U75" i="28"/>
  <c r="U32" i="28"/>
  <c r="U35" i="28"/>
  <c r="U36" i="34"/>
  <c r="U83" i="34"/>
  <c r="S116" i="35"/>
  <c r="H128" i="35"/>
  <c r="P128" i="35" s="1"/>
  <c r="S112" i="35"/>
  <c r="H124" i="35"/>
  <c r="P124" i="35" s="1"/>
  <c r="S113" i="35"/>
  <c r="H125" i="35"/>
  <c r="P125" i="35" s="1"/>
  <c r="S114" i="35"/>
  <c r="H126" i="35"/>
  <c r="P126" i="35" s="1"/>
  <c r="S117" i="35"/>
  <c r="H129" i="35"/>
  <c r="P129" i="35" s="1"/>
  <c r="H122" i="35"/>
  <c r="P122" i="35" s="1"/>
  <c r="S115" i="35"/>
  <c r="H127" i="35"/>
  <c r="P127" i="35" s="1"/>
  <c r="S111" i="35"/>
  <c r="H123" i="35"/>
  <c r="P123" i="35" s="1"/>
  <c r="F156" i="6"/>
  <c r="F168" i="6" s="1"/>
  <c r="F180" i="6" s="1"/>
  <c r="F192" i="6" s="1"/>
  <c r="F204" i="6" s="1"/>
  <c r="F216" i="6" s="1"/>
  <c r="H118" i="35"/>
  <c r="P118" i="35" s="1"/>
  <c r="F158" i="6"/>
  <c r="F170" i="6" s="1"/>
  <c r="F182" i="6" s="1"/>
  <c r="F194" i="6" s="1"/>
  <c r="F206" i="6" s="1"/>
  <c r="F218" i="6" s="1"/>
  <c r="H120" i="35"/>
  <c r="P120" i="35" s="1"/>
  <c r="F159" i="6"/>
  <c r="F171" i="6" s="1"/>
  <c r="F183" i="6" s="1"/>
  <c r="F195" i="6" s="1"/>
  <c r="F207" i="6" s="1"/>
  <c r="F219" i="6" s="1"/>
  <c r="H121" i="35"/>
  <c r="P121" i="35" s="1"/>
  <c r="F157" i="6"/>
  <c r="F169" i="6" s="1"/>
  <c r="F181" i="6" s="1"/>
  <c r="F193" i="6" s="1"/>
  <c r="F205" i="6" s="1"/>
  <c r="F217" i="6" s="1"/>
  <c r="H119" i="35"/>
  <c r="P119" i="35" s="1"/>
  <c r="D169" i="6"/>
  <c r="D181" i="6" s="1"/>
  <c r="D193" i="6" s="1"/>
  <c r="D205" i="6" s="1"/>
  <c r="D217" i="6" s="1"/>
  <c r="H128" i="30"/>
  <c r="O128" i="30" s="1"/>
  <c r="D166" i="6"/>
  <c r="D178" i="6" s="1"/>
  <c r="D190" i="6" s="1"/>
  <c r="D202" i="6" s="1"/>
  <c r="D214" i="6" s="1"/>
  <c r="D171" i="6"/>
  <c r="D183" i="6" s="1"/>
  <c r="D195" i="6" s="1"/>
  <c r="D207" i="6" s="1"/>
  <c r="D219" i="6" s="1"/>
  <c r="D156" i="6"/>
  <c r="H130" i="30" s="1"/>
  <c r="O130" i="30" s="1"/>
  <c r="H124" i="30"/>
  <c r="O124" i="30" s="1"/>
  <c r="D162" i="6"/>
  <c r="D174" i="6" s="1"/>
  <c r="D186" i="6" s="1"/>
  <c r="D198" i="6" s="1"/>
  <c r="D210" i="6" s="1"/>
  <c r="H122" i="30"/>
  <c r="O122" i="30" s="1"/>
  <c r="D160" i="6"/>
  <c r="D172" i="6" s="1"/>
  <c r="D184" i="6" s="1"/>
  <c r="D196" i="6" s="1"/>
  <c r="D208" i="6" s="1"/>
  <c r="H127" i="30"/>
  <c r="O127" i="30" s="1"/>
  <c r="D165" i="6"/>
  <c r="D177" i="6" s="1"/>
  <c r="D189" i="6" s="1"/>
  <c r="D201" i="6" s="1"/>
  <c r="D213" i="6" s="1"/>
  <c r="H123" i="30"/>
  <c r="O123" i="30" s="1"/>
  <c r="D161" i="6"/>
  <c r="D173" i="6" s="1"/>
  <c r="D185" i="6" s="1"/>
  <c r="D197" i="6" s="1"/>
  <c r="D209" i="6" s="1"/>
  <c r="H129" i="30"/>
  <c r="O129" i="30" s="1"/>
  <c r="D167" i="6"/>
  <c r="D179" i="6" s="1"/>
  <c r="D191" i="6" s="1"/>
  <c r="D203" i="6" s="1"/>
  <c r="D215" i="6" s="1"/>
  <c r="D170" i="6"/>
  <c r="D182" i="6" s="1"/>
  <c r="D194" i="6" s="1"/>
  <c r="D206" i="6" s="1"/>
  <c r="D218" i="6" s="1"/>
  <c r="H125" i="30"/>
  <c r="O125" i="30" s="1"/>
  <c r="D163" i="6"/>
  <c r="D175" i="6" s="1"/>
  <c r="D187" i="6" s="1"/>
  <c r="D199" i="6" s="1"/>
  <c r="D211" i="6" s="1"/>
  <c r="H126" i="30"/>
  <c r="O126" i="30" s="1"/>
  <c r="D164" i="6"/>
  <c r="D176" i="6" s="1"/>
  <c r="D188" i="6" s="1"/>
  <c r="D200" i="6" s="1"/>
  <c r="D212" i="6" s="1"/>
  <c r="Q118" i="30" l="1"/>
  <c r="H141" i="35"/>
  <c r="P141" i="35" s="1"/>
  <c r="H137" i="30"/>
  <c r="O137" i="30" s="1"/>
  <c r="H135" i="35"/>
  <c r="P135" i="35" s="1"/>
  <c r="H138" i="35"/>
  <c r="P138" i="35" s="1"/>
  <c r="H136" i="35"/>
  <c r="P136" i="35" s="1"/>
  <c r="H140" i="30"/>
  <c r="O140" i="30" s="1"/>
  <c r="H135" i="30"/>
  <c r="O135" i="30" s="1"/>
  <c r="H139" i="35"/>
  <c r="P139" i="35" s="1"/>
  <c r="H139" i="30"/>
  <c r="O139" i="30" s="1"/>
  <c r="H141" i="30"/>
  <c r="O141" i="30" s="1"/>
  <c r="H137" i="35"/>
  <c r="P137" i="35" s="1"/>
  <c r="H140" i="35"/>
  <c r="P140" i="35" s="1"/>
  <c r="H136" i="30"/>
  <c r="O136" i="30" s="1"/>
  <c r="H134" i="35"/>
  <c r="P134" i="35" s="1"/>
  <c r="H134" i="30"/>
  <c r="O134" i="30" s="1"/>
  <c r="H138" i="30"/>
  <c r="O138" i="30" s="1"/>
  <c r="H144" i="30"/>
  <c r="O144" i="30" s="1"/>
  <c r="H143" i="30"/>
  <c r="O143" i="30" s="1"/>
  <c r="S121" i="35"/>
  <c r="S119" i="35"/>
  <c r="H133" i="35"/>
  <c r="P133" i="35" s="1"/>
  <c r="H131" i="35"/>
  <c r="P131" i="35" s="1"/>
  <c r="S120" i="35"/>
  <c r="H132" i="35"/>
  <c r="P132" i="35" s="1"/>
  <c r="H145" i="30"/>
  <c r="O145" i="30" s="1"/>
  <c r="S118" i="35"/>
  <c r="H130" i="35"/>
  <c r="P130" i="35" s="1"/>
  <c r="D168" i="6"/>
  <c r="D180" i="6" s="1"/>
  <c r="D192" i="6" s="1"/>
  <c r="D204" i="6" s="1"/>
  <c r="D216" i="6" s="1"/>
  <c r="H151" i="30" l="1"/>
  <c r="O151" i="30" s="1"/>
  <c r="H150" i="35"/>
  <c r="P150" i="35" s="1"/>
  <c r="H152" i="35"/>
  <c r="P152" i="35" s="1"/>
  <c r="H150" i="30"/>
  <c r="O150" i="30" s="1"/>
  <c r="H149" i="35"/>
  <c r="P149" i="35" s="1"/>
  <c r="H151" i="35"/>
  <c r="P151" i="35" s="1"/>
  <c r="H146" i="30"/>
  <c r="O146" i="30" s="1"/>
  <c r="H147" i="30"/>
  <c r="O147" i="30" s="1"/>
  <c r="H147" i="35"/>
  <c r="P147" i="35" s="1"/>
  <c r="Q135" i="30"/>
  <c r="S135" i="35"/>
  <c r="H153" i="30"/>
  <c r="O153" i="30" s="1"/>
  <c r="H146" i="35"/>
  <c r="P146" i="35" s="1"/>
  <c r="H149" i="30"/>
  <c r="O149" i="30" s="1"/>
  <c r="H148" i="30"/>
  <c r="O148" i="30" s="1"/>
  <c r="H152" i="30"/>
  <c r="O152" i="30" s="1"/>
  <c r="H148" i="35"/>
  <c r="P148" i="35" s="1"/>
  <c r="H153" i="35"/>
  <c r="P153" i="35" s="1"/>
  <c r="H143" i="35"/>
  <c r="P143" i="35" s="1"/>
  <c r="H142" i="35"/>
  <c r="P142" i="35" s="1"/>
  <c r="H145" i="35"/>
  <c r="P145" i="35" s="1"/>
  <c r="H142" i="30"/>
  <c r="O142" i="30" s="1"/>
  <c r="H157" i="30"/>
  <c r="O157" i="30" s="1"/>
  <c r="H156" i="30"/>
  <c r="O156" i="30" s="1"/>
  <c r="H155" i="30"/>
  <c r="O155" i="30" s="1"/>
  <c r="H144" i="35"/>
  <c r="P144" i="35" s="1"/>
  <c r="R15" i="11"/>
  <c r="S3" i="11" s="1"/>
  <c r="S153" i="35" l="1"/>
  <c r="H160" i="30"/>
  <c r="O160" i="30" s="1"/>
  <c r="H161" i="35"/>
  <c r="P161" i="35" s="1"/>
  <c r="S148" i="35"/>
  <c r="Q149" i="30"/>
  <c r="S149" i="35"/>
  <c r="H161" i="30"/>
  <c r="O161" i="30" s="1"/>
  <c r="S147" i="35"/>
  <c r="Q150" i="30"/>
  <c r="H160" i="35"/>
  <c r="P160" i="35" s="1"/>
  <c r="H159" i="35"/>
  <c r="P159" i="35" s="1"/>
  <c r="H162" i="30"/>
  <c r="O162" i="30" s="1"/>
  <c r="Q147" i="30"/>
  <c r="H159" i="30"/>
  <c r="O159" i="30" s="1"/>
  <c r="S152" i="35"/>
  <c r="H158" i="35"/>
  <c r="P158" i="35" s="1"/>
  <c r="H158" i="30"/>
  <c r="O158" i="30" s="1"/>
  <c r="H164" i="35"/>
  <c r="P164" i="35" s="1"/>
  <c r="H162" i="35"/>
  <c r="P162" i="35" s="1"/>
  <c r="H165" i="30"/>
  <c r="O165" i="30" s="1"/>
  <c r="S150" i="35"/>
  <c r="Q153" i="30"/>
  <c r="H163" i="35"/>
  <c r="P163" i="35" s="1"/>
  <c r="H164" i="30"/>
  <c r="O164" i="30" s="1"/>
  <c r="S151" i="35"/>
  <c r="Q152" i="30"/>
  <c r="Q151" i="30"/>
  <c r="H165" i="35"/>
  <c r="P165" i="35" s="1"/>
  <c r="Q148" i="30"/>
  <c r="H163" i="30"/>
  <c r="O163" i="30" s="1"/>
  <c r="H154" i="30"/>
  <c r="O154" i="30" s="1"/>
  <c r="H167" i="30"/>
  <c r="O167" i="30" s="1"/>
  <c r="H157" i="35"/>
  <c r="P157" i="35" s="1"/>
  <c r="Q155" i="30"/>
  <c r="H156" i="35"/>
  <c r="P156" i="35" s="1"/>
  <c r="H154" i="35"/>
  <c r="P154" i="35" s="1"/>
  <c r="Q156" i="30"/>
  <c r="H155" i="35"/>
  <c r="P155" i="35" s="1"/>
  <c r="Q157" i="30"/>
  <c r="H169" i="30"/>
  <c r="O169" i="30" s="1"/>
  <c r="H168" i="30"/>
  <c r="O168" i="30" s="1"/>
  <c r="S11" i="11"/>
  <c r="S5" i="11"/>
  <c r="S7" i="11"/>
  <c r="S6" i="11"/>
  <c r="S9" i="11"/>
  <c r="S4" i="11"/>
  <c r="S10" i="11"/>
  <c r="S14" i="11"/>
  <c r="S8" i="11"/>
  <c r="S12" i="11"/>
  <c r="S13" i="11"/>
  <c r="H187" i="35" l="1"/>
  <c r="P187" i="35" s="1"/>
  <c r="H175" i="35"/>
  <c r="P175" i="35" s="1"/>
  <c r="H182" i="35"/>
  <c r="P182" i="35" s="1"/>
  <c r="H170" i="35"/>
  <c r="P170" i="35" s="1"/>
  <c r="H187" i="30"/>
  <c r="O187" i="30" s="1"/>
  <c r="H175" i="30"/>
  <c r="O175" i="30" s="1"/>
  <c r="H185" i="30"/>
  <c r="O185" i="30" s="1"/>
  <c r="H173" i="30"/>
  <c r="O173" i="30" s="1"/>
  <c r="H189" i="35"/>
  <c r="P189" i="35" s="1"/>
  <c r="H177" i="35"/>
  <c r="P177" i="35" s="1"/>
  <c r="H183" i="30"/>
  <c r="O183" i="30" s="1"/>
  <c r="H171" i="30"/>
  <c r="O171" i="30" s="1"/>
  <c r="H189" i="30"/>
  <c r="O189" i="30" s="1"/>
  <c r="H177" i="30"/>
  <c r="O177" i="30" s="1"/>
  <c r="H186" i="30"/>
  <c r="O186" i="30" s="1"/>
  <c r="H174" i="30"/>
  <c r="O174" i="30" s="1"/>
  <c r="H183" i="35"/>
  <c r="P183" i="35" s="1"/>
  <c r="H171" i="35"/>
  <c r="P171" i="35" s="1"/>
  <c r="H185" i="35"/>
  <c r="P185" i="35" s="1"/>
  <c r="H173" i="35"/>
  <c r="P173" i="35" s="1"/>
  <c r="H184" i="30"/>
  <c r="O184" i="30" s="1"/>
  <c r="H172" i="30"/>
  <c r="O172" i="30" s="1"/>
  <c r="H176" i="30"/>
  <c r="O176" i="30" s="1"/>
  <c r="H188" i="30"/>
  <c r="O188" i="30" s="1"/>
  <c r="H188" i="35"/>
  <c r="P188" i="35" s="1"/>
  <c r="H176" i="35"/>
  <c r="P176" i="35" s="1"/>
  <c r="H184" i="35"/>
  <c r="P184" i="35" s="1"/>
  <c r="H172" i="35"/>
  <c r="P172" i="35" s="1"/>
  <c r="H174" i="35"/>
  <c r="P174" i="35" s="1"/>
  <c r="H186" i="35"/>
  <c r="P186" i="35" s="1"/>
  <c r="H182" i="30"/>
  <c r="O182" i="30" s="1"/>
  <c r="H170" i="30"/>
  <c r="O170" i="30" s="1"/>
  <c r="S154" i="35"/>
  <c r="S156" i="35"/>
  <c r="H193" i="30"/>
  <c r="O193" i="30" s="1"/>
  <c r="H181" i="30"/>
  <c r="O181" i="30" s="1"/>
  <c r="H168" i="35"/>
  <c r="P168" i="35" s="1"/>
  <c r="H167" i="35"/>
  <c r="P167" i="35" s="1"/>
  <c r="S157" i="35"/>
  <c r="H169" i="35"/>
  <c r="P169" i="35" s="1"/>
  <c r="H191" i="30"/>
  <c r="O191" i="30" s="1"/>
  <c r="H179" i="30"/>
  <c r="O179" i="30" s="1"/>
  <c r="H180" i="30"/>
  <c r="O180" i="30" s="1"/>
  <c r="H192" i="30"/>
  <c r="O192" i="30" s="1"/>
  <c r="S155" i="35"/>
  <c r="Q154" i="30"/>
  <c r="H166" i="35"/>
  <c r="P166" i="35" s="1"/>
  <c r="H166" i="30"/>
  <c r="O166" i="30" s="1"/>
  <c r="T10" i="11"/>
  <c r="S15" i="11"/>
  <c r="T3" i="11"/>
  <c r="S186" i="35" l="1"/>
  <c r="S171" i="35"/>
  <c r="S188" i="35"/>
  <c r="S183" i="35"/>
  <c r="Q188" i="30"/>
  <c r="Q185" i="30"/>
  <c r="Q189" i="30"/>
  <c r="Q187" i="30"/>
  <c r="Q171" i="30"/>
  <c r="Q186" i="30"/>
  <c r="Q183" i="30"/>
  <c r="S189" i="35"/>
  <c r="S187" i="35"/>
  <c r="Q184" i="30"/>
  <c r="S185" i="35"/>
  <c r="S184" i="35"/>
  <c r="Q191" i="30"/>
  <c r="H181" i="35"/>
  <c r="P181" i="35" s="1"/>
  <c r="H193" i="35"/>
  <c r="P193" i="35" s="1"/>
  <c r="H191" i="35"/>
  <c r="P191" i="35" s="1"/>
  <c r="H179" i="35"/>
  <c r="P179" i="35" s="1"/>
  <c r="Q192" i="30"/>
  <c r="H192" i="35"/>
  <c r="P192" i="35" s="1"/>
  <c r="H180" i="35"/>
  <c r="P180" i="35" s="1"/>
  <c r="Q193" i="30"/>
  <c r="H190" i="30"/>
  <c r="O190" i="30" s="1"/>
  <c r="H178" i="30"/>
  <c r="O178" i="30" s="1"/>
  <c r="H190" i="35"/>
  <c r="P190" i="35" s="1"/>
  <c r="H178" i="35"/>
  <c r="P178" i="35" s="1"/>
  <c r="S191" i="35" l="1"/>
  <c r="Q190" i="30"/>
  <c r="S193" i="35"/>
  <c r="S192" i="35"/>
  <c r="S190" i="35"/>
  <c r="BT7" i="39" l="1"/>
  <c r="BT8" i="39" l="1"/>
  <c r="BT9" i="39" l="1"/>
  <c r="BT10" i="39" l="1"/>
  <c r="B168" i="6"/>
  <c r="B169" i="6"/>
  <c r="B170" i="6"/>
  <c r="B171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C125" i="6"/>
  <c r="C126" i="6"/>
  <c r="C138" i="6" s="1"/>
  <c r="C150" i="6" s="1"/>
  <c r="C162" i="6" s="1"/>
  <c r="C174" i="6" s="1"/>
  <c r="C186" i="6" s="1"/>
  <c r="C198" i="6" s="1"/>
  <c r="C210" i="6" s="1"/>
  <c r="C127" i="6"/>
  <c r="C139" i="6" s="1"/>
  <c r="C151" i="6" s="1"/>
  <c r="C163" i="6" s="1"/>
  <c r="C175" i="6" s="1"/>
  <c r="C187" i="6" s="1"/>
  <c r="C199" i="6" s="1"/>
  <c r="C211" i="6" s="1"/>
  <c r="C128" i="6"/>
  <c r="C140" i="6" s="1"/>
  <c r="C152" i="6" s="1"/>
  <c r="C164" i="6" s="1"/>
  <c r="C176" i="6" s="1"/>
  <c r="C188" i="6" s="1"/>
  <c r="C200" i="6" s="1"/>
  <c r="C212" i="6" s="1"/>
  <c r="C129" i="6"/>
  <c r="C141" i="6" s="1"/>
  <c r="C153" i="6" s="1"/>
  <c r="C165" i="6" s="1"/>
  <c r="C177" i="6" s="1"/>
  <c r="C189" i="6" s="1"/>
  <c r="C201" i="6" s="1"/>
  <c r="C213" i="6" s="1"/>
  <c r="C130" i="6"/>
  <c r="C142" i="6" s="1"/>
  <c r="C154" i="6" s="1"/>
  <c r="C166" i="6" s="1"/>
  <c r="C178" i="6" s="1"/>
  <c r="C190" i="6" s="1"/>
  <c r="C202" i="6" s="1"/>
  <c r="C214" i="6" s="1"/>
  <c r="C131" i="6"/>
  <c r="C143" i="6" s="1"/>
  <c r="C155" i="6" s="1"/>
  <c r="C167" i="6" s="1"/>
  <c r="C179" i="6" s="1"/>
  <c r="C191" i="6" s="1"/>
  <c r="C203" i="6" s="1"/>
  <c r="C215" i="6" s="1"/>
  <c r="C132" i="6"/>
  <c r="C144" i="6" s="1"/>
  <c r="C156" i="6" s="1"/>
  <c r="C168" i="6" s="1"/>
  <c r="C180" i="6" s="1"/>
  <c r="C192" i="6" s="1"/>
  <c r="C204" i="6" s="1"/>
  <c r="C216" i="6" s="1"/>
  <c r="C133" i="6"/>
  <c r="C145" i="6" s="1"/>
  <c r="C157" i="6" s="1"/>
  <c r="C169" i="6" s="1"/>
  <c r="C181" i="6" s="1"/>
  <c r="C193" i="6" s="1"/>
  <c r="C205" i="6" s="1"/>
  <c r="C217" i="6" s="1"/>
  <c r="C134" i="6"/>
  <c r="C146" i="6" s="1"/>
  <c r="C158" i="6" s="1"/>
  <c r="C170" i="6" s="1"/>
  <c r="C182" i="6" s="1"/>
  <c r="C194" i="6" s="1"/>
  <c r="C206" i="6" s="1"/>
  <c r="C218" i="6" s="1"/>
  <c r="C135" i="6"/>
  <c r="C147" i="6" s="1"/>
  <c r="C159" i="6" s="1"/>
  <c r="C171" i="6" s="1"/>
  <c r="C183" i="6" s="1"/>
  <c r="C195" i="6" s="1"/>
  <c r="C207" i="6" s="1"/>
  <c r="C219" i="6" s="1"/>
  <c r="C124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R229" i="6" l="1"/>
  <c r="P227" i="6"/>
  <c r="D238" i="6"/>
  <c r="K238" i="6"/>
  <c r="L238" i="6"/>
  <c r="E238" i="6"/>
  <c r="F238" i="6"/>
  <c r="G238" i="6"/>
  <c r="J238" i="6"/>
  <c r="H238" i="6"/>
  <c r="I238" i="6"/>
  <c r="M238" i="6"/>
  <c r="Q233" i="6"/>
  <c r="N229" i="6"/>
  <c r="O231" i="6"/>
  <c r="P229" i="6"/>
  <c r="R234" i="6"/>
  <c r="Q227" i="6"/>
  <c r="P233" i="6"/>
  <c r="P237" i="6"/>
  <c r="Q237" i="6"/>
  <c r="BT11" i="39"/>
  <c r="D227" i="6"/>
  <c r="E227" i="6"/>
  <c r="E228" i="6"/>
  <c r="E229" i="6"/>
  <c r="E230" i="6"/>
  <c r="E231" i="6"/>
  <c r="E232" i="6"/>
  <c r="E233" i="6"/>
  <c r="E234" i="6"/>
  <c r="E235" i="6"/>
  <c r="E236" i="6"/>
  <c r="E237" i="6"/>
  <c r="F227" i="6"/>
  <c r="F228" i="6"/>
  <c r="F229" i="6"/>
  <c r="F230" i="6"/>
  <c r="F231" i="6"/>
  <c r="F232" i="6"/>
  <c r="F233" i="6"/>
  <c r="F234" i="6"/>
  <c r="F235" i="6"/>
  <c r="F236" i="6"/>
  <c r="F237" i="6"/>
  <c r="G227" i="6"/>
  <c r="G228" i="6"/>
  <c r="G229" i="6"/>
  <c r="G230" i="6"/>
  <c r="G231" i="6"/>
  <c r="G232" i="6"/>
  <c r="G233" i="6"/>
  <c r="G234" i="6"/>
  <c r="G235" i="6"/>
  <c r="G236" i="6"/>
  <c r="G237" i="6"/>
  <c r="H227" i="6"/>
  <c r="H228" i="6"/>
  <c r="H229" i="6"/>
  <c r="H230" i="6"/>
  <c r="H231" i="6"/>
  <c r="H232" i="6"/>
  <c r="H233" i="6"/>
  <c r="H234" i="6"/>
  <c r="H235" i="6"/>
  <c r="H236" i="6"/>
  <c r="H237" i="6"/>
  <c r="I227" i="6"/>
  <c r="I228" i="6"/>
  <c r="I229" i="6"/>
  <c r="I230" i="6"/>
  <c r="I231" i="6"/>
  <c r="I232" i="6"/>
  <c r="I233" i="6"/>
  <c r="I234" i="6"/>
  <c r="I235" i="6"/>
  <c r="I236" i="6"/>
  <c r="I237" i="6"/>
  <c r="J227" i="6"/>
  <c r="J228" i="6"/>
  <c r="J229" i="6"/>
  <c r="J230" i="6"/>
  <c r="J231" i="6"/>
  <c r="J232" i="6"/>
  <c r="J233" i="6"/>
  <c r="J234" i="6"/>
  <c r="J235" i="6"/>
  <c r="J236" i="6"/>
  <c r="J237" i="6"/>
  <c r="K227" i="6"/>
  <c r="K228" i="6"/>
  <c r="K229" i="6"/>
  <c r="K230" i="6"/>
  <c r="K231" i="6"/>
  <c r="K232" i="6"/>
  <c r="K233" i="6"/>
  <c r="K234" i="6"/>
  <c r="K235" i="6"/>
  <c r="K236" i="6"/>
  <c r="K237" i="6"/>
  <c r="L227" i="6"/>
  <c r="M227" i="6"/>
  <c r="N227" i="6"/>
  <c r="N230" i="6"/>
  <c r="N231" i="6"/>
  <c r="N232" i="6"/>
  <c r="N233" i="6"/>
  <c r="N235" i="6"/>
  <c r="O227" i="6"/>
  <c r="R227" i="6"/>
  <c r="R228" i="6"/>
  <c r="R231" i="6"/>
  <c r="R232" i="6"/>
  <c r="R233" i="6"/>
  <c r="Q236" i="6"/>
  <c r="Q229" i="6"/>
  <c r="Q231" i="6"/>
  <c r="Q232" i="6"/>
  <c r="Q234" i="6"/>
  <c r="O235" i="6"/>
  <c r="M231" i="6"/>
  <c r="O234" i="6"/>
  <c r="M230" i="6"/>
  <c r="M229" i="6"/>
  <c r="P236" i="6"/>
  <c r="O232" i="6"/>
  <c r="M228" i="6"/>
  <c r="D233" i="6"/>
  <c r="P235" i="6"/>
  <c r="P234" i="6"/>
  <c r="O230" i="6"/>
  <c r="L237" i="6"/>
  <c r="D234" i="6"/>
  <c r="D232" i="6"/>
  <c r="L236" i="6"/>
  <c r="D231" i="6"/>
  <c r="P231" i="6"/>
  <c r="L235" i="6"/>
  <c r="D230" i="6"/>
  <c r="D237" i="6"/>
  <c r="L234" i="6"/>
  <c r="D229" i="6"/>
  <c r="D236" i="6"/>
  <c r="M237" i="6"/>
  <c r="L233" i="6"/>
  <c r="D228" i="6"/>
  <c r="M236" i="6"/>
  <c r="L232" i="6"/>
  <c r="M235" i="6"/>
  <c r="L231" i="6"/>
  <c r="M234" i="6"/>
  <c r="L230" i="6"/>
  <c r="O237" i="6"/>
  <c r="M233" i="6"/>
  <c r="L229" i="6"/>
  <c r="D235" i="6"/>
  <c r="O236" i="6"/>
  <c r="M232" i="6"/>
  <c r="L228" i="6"/>
  <c r="C137" i="6"/>
  <c r="C149" i="6" s="1"/>
  <c r="C161" i="6" s="1"/>
  <c r="C173" i="6" s="1"/>
  <c r="C185" i="6" s="1"/>
  <c r="C197" i="6" s="1"/>
  <c r="C209" i="6" s="1"/>
  <c r="C136" i="6"/>
  <c r="C148" i="6" s="1"/>
  <c r="C160" i="6" s="1"/>
  <c r="C172" i="6" s="1"/>
  <c r="C184" i="6" s="1"/>
  <c r="C196" i="6" s="1"/>
  <c r="C208" i="6" s="1"/>
  <c r="DP84" i="2" l="1"/>
  <c r="DP82" i="2"/>
  <c r="DN13" i="2"/>
  <c r="DP103" i="2"/>
  <c r="DO55" i="2"/>
  <c r="DN7" i="2"/>
  <c r="S95" i="6"/>
  <c r="DM69" i="2"/>
  <c r="DL116" i="2"/>
  <c r="N154" i="6"/>
  <c r="N166" i="6" s="1"/>
  <c r="N178" i="6" s="1"/>
  <c r="N190" i="6" s="1"/>
  <c r="N202" i="6" s="1"/>
  <c r="N214" i="6" s="1"/>
  <c r="DL19" i="2"/>
  <c r="DN50" i="2"/>
  <c r="S91" i="6"/>
  <c r="DM65" i="2"/>
  <c r="DN64" i="2"/>
  <c r="P156" i="6"/>
  <c r="P168" i="6" s="1"/>
  <c r="P180" i="6" s="1"/>
  <c r="P192" i="6" s="1"/>
  <c r="P204" i="6" s="1"/>
  <c r="P216" i="6" s="1"/>
  <c r="DN118" i="2"/>
  <c r="DO70" i="2"/>
  <c r="DP22" i="2"/>
  <c r="DP85" i="2"/>
  <c r="DN36" i="2"/>
  <c r="DP83" i="2"/>
  <c r="R152" i="6"/>
  <c r="R164" i="6" s="1"/>
  <c r="R176" i="6" s="1"/>
  <c r="R188" i="6" s="1"/>
  <c r="R200" i="6" s="1"/>
  <c r="R212" i="6" s="1"/>
  <c r="DP114" i="2"/>
  <c r="DL112" i="2"/>
  <c r="N150" i="6"/>
  <c r="N162" i="6" s="1"/>
  <c r="N174" i="6" s="1"/>
  <c r="N186" i="6" s="1"/>
  <c r="N198" i="6" s="1"/>
  <c r="N210" i="6" s="1"/>
  <c r="DO46" i="2"/>
  <c r="DP16" i="2"/>
  <c r="S37" i="6"/>
  <c r="DM11" i="2"/>
  <c r="DL15" i="2"/>
  <c r="DL109" i="2"/>
  <c r="N147" i="6"/>
  <c r="DP61" i="2"/>
  <c r="DO13" i="2"/>
  <c r="S134" i="6"/>
  <c r="DM108" i="2"/>
  <c r="O146" i="6"/>
  <c r="DL44" i="2"/>
  <c r="O145" i="6"/>
  <c r="S133" i="6"/>
  <c r="DM107" i="2"/>
  <c r="DL90" i="2"/>
  <c r="DO105" i="2"/>
  <c r="DO57" i="2"/>
  <c r="S35" i="6"/>
  <c r="DM9" i="2"/>
  <c r="S114" i="6"/>
  <c r="DM88" i="2"/>
  <c r="DL40" i="2"/>
  <c r="DP24" i="2"/>
  <c r="DN19" i="2"/>
  <c r="DO83" i="2"/>
  <c r="R147" i="6"/>
  <c r="DP109" i="2"/>
  <c r="DN103" i="2"/>
  <c r="S81" i="6"/>
  <c r="DM55" i="2"/>
  <c r="DL7" i="2"/>
  <c r="DP37" i="2"/>
  <c r="DO84" i="2"/>
  <c r="DP19" i="2"/>
  <c r="DL50" i="2"/>
  <c r="DP33" i="2"/>
  <c r="S26" i="6"/>
  <c r="S24" i="6"/>
  <c r="DL118" i="2"/>
  <c r="N156" i="6"/>
  <c r="N168" i="6" s="1"/>
  <c r="N180" i="6" s="1"/>
  <c r="N192" i="6" s="1"/>
  <c r="N204" i="6" s="1"/>
  <c r="N216" i="6" s="1"/>
  <c r="DN54" i="2"/>
  <c r="S32" i="6"/>
  <c r="DM6" i="2"/>
  <c r="DN85" i="2"/>
  <c r="DL36" i="2"/>
  <c r="S77" i="6"/>
  <c r="DM51" i="2"/>
  <c r="DO82" i="2"/>
  <c r="DO112" i="2"/>
  <c r="Q150" i="6"/>
  <c r="Q162" i="6" s="1"/>
  <c r="Q174" i="6" s="1"/>
  <c r="Q186" i="6" s="1"/>
  <c r="Q198" i="6" s="1"/>
  <c r="Q210" i="6" s="1"/>
  <c r="DP14" i="2"/>
  <c r="DN35" i="2"/>
  <c r="S72" i="6"/>
  <c r="DM46" i="2"/>
  <c r="DN16" i="2"/>
  <c r="DP17" i="2"/>
  <c r="DO94" i="2"/>
  <c r="Q147" i="6"/>
  <c r="DO109" i="2"/>
  <c r="DN61" i="2"/>
  <c r="S39" i="6"/>
  <c r="DM13" i="2"/>
  <c r="DP92" i="2"/>
  <c r="DO12" i="2"/>
  <c r="I250" i="6"/>
  <c r="DP26" i="2"/>
  <c r="DO74" i="2"/>
  <c r="DP105" i="2"/>
  <c r="S83" i="6"/>
  <c r="DM57" i="2"/>
  <c r="DL9" i="2"/>
  <c r="DP72" i="2"/>
  <c r="DO24" i="2"/>
  <c r="DM111" i="2"/>
  <c r="S137" i="6"/>
  <c r="O149" i="6"/>
  <c r="DP12" i="2"/>
  <c r="S129" i="6"/>
  <c r="DM103" i="2"/>
  <c r="DL55" i="2"/>
  <c r="DO37" i="2"/>
  <c r="DN84" i="2"/>
  <c r="DO19" i="2"/>
  <c r="DP2" i="2"/>
  <c r="DO33" i="2"/>
  <c r="DN102" i="2"/>
  <c r="S80" i="6"/>
  <c r="DM54" i="2"/>
  <c r="DL6" i="2"/>
  <c r="S111" i="6"/>
  <c r="DM85" i="2"/>
  <c r="DP4" i="2"/>
  <c r="DL51" i="2"/>
  <c r="DN82" i="2"/>
  <c r="DN112" i="2"/>
  <c r="P150" i="6"/>
  <c r="P162" i="6" s="1"/>
  <c r="P174" i="6" s="1"/>
  <c r="P186" i="6" s="1"/>
  <c r="P198" i="6" s="1"/>
  <c r="P210" i="6" s="1"/>
  <c r="DP63" i="2"/>
  <c r="DO14" i="2"/>
  <c r="DL35" i="2"/>
  <c r="DL46" i="2"/>
  <c r="DP79" i="2"/>
  <c r="DO17" i="2"/>
  <c r="DN94" i="2"/>
  <c r="DN109" i="2"/>
  <c r="P147" i="6"/>
  <c r="S87" i="6"/>
  <c r="DM61" i="2"/>
  <c r="DO92" i="2"/>
  <c r="DN12" i="2"/>
  <c r="H250" i="6"/>
  <c r="DP43" i="2"/>
  <c r="DO26" i="2"/>
  <c r="DN74" i="2"/>
  <c r="S131" i="6"/>
  <c r="DM105" i="2"/>
  <c r="DL57" i="2"/>
  <c r="DO72" i="2"/>
  <c r="DN24" i="2"/>
  <c r="DM118" i="2"/>
  <c r="S144" i="6"/>
  <c r="O156" i="6"/>
  <c r="DL103" i="2"/>
  <c r="DP39" i="2"/>
  <c r="DN37" i="2"/>
  <c r="S110" i="6"/>
  <c r="DM84" i="2"/>
  <c r="DO2" i="2"/>
  <c r="DN33" i="2"/>
  <c r="DP27" i="2"/>
  <c r="S128" i="6"/>
  <c r="DM102" i="2"/>
  <c r="DL54" i="2"/>
  <c r="DO6" i="2"/>
  <c r="DL85" i="2"/>
  <c r="DP100" i="2"/>
  <c r="DO4" i="2"/>
  <c r="DN51" i="2"/>
  <c r="S108" i="6"/>
  <c r="DM82" i="2"/>
  <c r="DL80" i="2"/>
  <c r="DO63" i="2"/>
  <c r="DN14" i="2"/>
  <c r="DP35" i="2"/>
  <c r="DP59" i="2"/>
  <c r="DO79" i="2"/>
  <c r="DN17" i="2"/>
  <c r="S120" i="6"/>
  <c r="DM94" i="2"/>
  <c r="S135" i="6"/>
  <c r="DM109" i="2"/>
  <c r="O147" i="6"/>
  <c r="DL45" i="2"/>
  <c r="DN92" i="2"/>
  <c r="S38" i="6"/>
  <c r="DM12" i="2"/>
  <c r="DP76" i="2"/>
  <c r="DO43" i="2"/>
  <c r="DN26" i="2"/>
  <c r="S100" i="6"/>
  <c r="DM74" i="2"/>
  <c r="DL105" i="2"/>
  <c r="DO41" i="2"/>
  <c r="DN72" i="2"/>
  <c r="S50" i="6"/>
  <c r="DM24" i="2"/>
  <c r="DP70" i="2"/>
  <c r="DO16" i="2"/>
  <c r="DP74" i="2"/>
  <c r="DP87" i="2"/>
  <c r="DO39" i="2"/>
  <c r="S63" i="6"/>
  <c r="DM37" i="2"/>
  <c r="DL84" i="2"/>
  <c r="DP115" i="2"/>
  <c r="R153" i="6"/>
  <c r="R165" i="6" s="1"/>
  <c r="R177" i="6" s="1"/>
  <c r="R189" i="6" s="1"/>
  <c r="R201" i="6" s="1"/>
  <c r="R213" i="6" s="1"/>
  <c r="DN2" i="2"/>
  <c r="S59" i="6"/>
  <c r="DM33" i="2"/>
  <c r="DP78" i="2"/>
  <c r="DO27" i="2"/>
  <c r="DL102" i="2"/>
  <c r="DO54" i="2"/>
  <c r="DP6" i="2"/>
  <c r="DP53" i="2"/>
  <c r="DO100" i="2"/>
  <c r="DN4" i="2"/>
  <c r="DP51" i="2"/>
  <c r="DL82" i="2"/>
  <c r="DP81" i="2"/>
  <c r="S106" i="6"/>
  <c r="DM80" i="2"/>
  <c r="DN63" i="2"/>
  <c r="S40" i="6"/>
  <c r="DM14" i="2"/>
  <c r="DO35" i="2"/>
  <c r="DO59" i="2"/>
  <c r="DN79" i="2"/>
  <c r="S43" i="6"/>
  <c r="DM17" i="2"/>
  <c r="DL94" i="2"/>
  <c r="DL93" i="2"/>
  <c r="DP45" i="2"/>
  <c r="S118" i="6"/>
  <c r="DM92" i="2"/>
  <c r="DL12" i="2"/>
  <c r="DO76" i="2"/>
  <c r="DN43" i="2"/>
  <c r="S52" i="6"/>
  <c r="DM26" i="2"/>
  <c r="DL74" i="2"/>
  <c r="DO89" i="2"/>
  <c r="DN41" i="2"/>
  <c r="S19" i="6"/>
  <c r="S98" i="6"/>
  <c r="DM72" i="2"/>
  <c r="DL24" i="2"/>
  <c r="S76" i="6"/>
  <c r="DM50" i="2"/>
  <c r="DL110" i="2"/>
  <c r="N148" i="6"/>
  <c r="N160" i="6" s="1"/>
  <c r="N172" i="6" s="1"/>
  <c r="N184" i="6" s="1"/>
  <c r="N196" i="6" s="1"/>
  <c r="N208" i="6" s="1"/>
  <c r="DN57" i="2"/>
  <c r="P230" i="6"/>
  <c r="P242" i="6" s="1"/>
  <c r="DO87" i="2"/>
  <c r="DN39" i="2"/>
  <c r="S17" i="6"/>
  <c r="DL37" i="2"/>
  <c r="DP52" i="2"/>
  <c r="Q153" i="6"/>
  <c r="Q165" i="6" s="1"/>
  <c r="Q177" i="6" s="1"/>
  <c r="Q189" i="6" s="1"/>
  <c r="Q201" i="6" s="1"/>
  <c r="Q213" i="6" s="1"/>
  <c r="DO115" i="2"/>
  <c r="S28" i="6"/>
  <c r="DM2" i="2"/>
  <c r="DL33" i="2"/>
  <c r="DP95" i="2"/>
  <c r="DO78" i="2"/>
  <c r="DN27" i="2"/>
  <c r="DO102" i="2"/>
  <c r="DP54" i="2"/>
  <c r="DO53" i="2"/>
  <c r="DN100" i="2"/>
  <c r="S30" i="6"/>
  <c r="DM4" i="2"/>
  <c r="DO51" i="2"/>
  <c r="DP34" i="2"/>
  <c r="DO81" i="2"/>
  <c r="DP80" i="2"/>
  <c r="S89" i="6"/>
  <c r="DM63" i="2"/>
  <c r="DL14" i="2"/>
  <c r="DP66" i="2"/>
  <c r="DN59" i="2"/>
  <c r="S105" i="6"/>
  <c r="DM79" i="2"/>
  <c r="DL17" i="2"/>
  <c r="DP93" i="2"/>
  <c r="DO45" i="2"/>
  <c r="DL92" i="2"/>
  <c r="J250" i="6"/>
  <c r="DN76" i="2"/>
  <c r="S69" i="6"/>
  <c r="DM43" i="2"/>
  <c r="DL26" i="2"/>
  <c r="DP58" i="2"/>
  <c r="DN89" i="2"/>
  <c r="S67" i="6"/>
  <c r="DM41" i="2"/>
  <c r="DL72" i="2"/>
  <c r="DP8" i="2"/>
  <c r="DL69" i="2"/>
  <c r="S62" i="6"/>
  <c r="DM36" i="2"/>
  <c r="N145" i="6"/>
  <c r="DL107" i="2"/>
  <c r="DN87" i="2"/>
  <c r="S65" i="6"/>
  <c r="DM39" i="2"/>
  <c r="DP5" i="2"/>
  <c r="DO52" i="2"/>
  <c r="P153" i="6"/>
  <c r="P165" i="6" s="1"/>
  <c r="P177" i="6" s="1"/>
  <c r="P189" i="6" s="1"/>
  <c r="P201" i="6" s="1"/>
  <c r="P213" i="6" s="1"/>
  <c r="DN115" i="2"/>
  <c r="DL2" i="2"/>
  <c r="S122" i="6"/>
  <c r="DM96" i="2"/>
  <c r="DO95" i="2"/>
  <c r="DN78" i="2"/>
  <c r="S53" i="6"/>
  <c r="DM27" i="2"/>
  <c r="DP102" i="2"/>
  <c r="DN38" i="2"/>
  <c r="S16" i="6"/>
  <c r="DN53" i="2"/>
  <c r="S126" i="6"/>
  <c r="DM100" i="2"/>
  <c r="DL4" i="2"/>
  <c r="S29" i="6"/>
  <c r="DM3" i="2"/>
  <c r="DO34" i="2"/>
  <c r="DN81" i="2"/>
  <c r="DO80" i="2"/>
  <c r="DL63" i="2"/>
  <c r="DP91" i="2"/>
  <c r="DO66" i="2"/>
  <c r="S85" i="6"/>
  <c r="DM59" i="2"/>
  <c r="DL79" i="2"/>
  <c r="DL48" i="2"/>
  <c r="DO93" i="2"/>
  <c r="DN45" i="2"/>
  <c r="S23" i="6"/>
  <c r="DP60" i="2"/>
  <c r="G250" i="6"/>
  <c r="S102" i="6"/>
  <c r="DM76" i="2"/>
  <c r="DL43" i="2"/>
  <c r="DP106" i="2"/>
  <c r="DO58" i="2"/>
  <c r="S115" i="6"/>
  <c r="DM89" i="2"/>
  <c r="DP41" i="2"/>
  <c r="DP56" i="2"/>
  <c r="DO8" i="2"/>
  <c r="Q230" i="6"/>
  <c r="S113" i="6"/>
  <c r="DM87" i="2"/>
  <c r="DL39" i="2"/>
  <c r="DP101" i="2"/>
  <c r="DO5" i="2"/>
  <c r="DN52" i="2"/>
  <c r="DM115" i="2"/>
  <c r="O153" i="6"/>
  <c r="S141" i="6"/>
  <c r="R151" i="6"/>
  <c r="R163" i="6" s="1"/>
  <c r="R175" i="6" s="1"/>
  <c r="R187" i="6" s="1"/>
  <c r="R199" i="6" s="1"/>
  <c r="R211" i="6" s="1"/>
  <c r="DP113" i="2"/>
  <c r="DL96" i="2"/>
  <c r="DN95" i="2"/>
  <c r="S104" i="6"/>
  <c r="DM78" i="2"/>
  <c r="DL27" i="2"/>
  <c r="DN86" i="2"/>
  <c r="S64" i="6"/>
  <c r="DM38" i="2"/>
  <c r="S79" i="6"/>
  <c r="DM53" i="2"/>
  <c r="DL100" i="2"/>
  <c r="S125" i="6"/>
  <c r="DM99" i="2"/>
  <c r="DL3" i="2"/>
  <c r="DN34" i="2"/>
  <c r="S107" i="6"/>
  <c r="DM81" i="2"/>
  <c r="DN80" i="2"/>
  <c r="DO91" i="2"/>
  <c r="DN66" i="2"/>
  <c r="DL59" i="2"/>
  <c r="DP62" i="2"/>
  <c r="S74" i="6"/>
  <c r="DM48" i="2"/>
  <c r="DN93" i="2"/>
  <c r="S71" i="6"/>
  <c r="DM45" i="2"/>
  <c r="DO60" i="2"/>
  <c r="F250" i="6"/>
  <c r="DL76" i="2"/>
  <c r="DO106" i="2"/>
  <c r="DN58" i="2"/>
  <c r="DP89" i="2"/>
  <c r="DL41" i="2"/>
  <c r="DP104" i="2"/>
  <c r="DO56" i="2"/>
  <c r="DN8" i="2"/>
  <c r="DN46" i="2"/>
  <c r="S22" i="6"/>
  <c r="DL87" i="2"/>
  <c r="DP23" i="2"/>
  <c r="DO101" i="2"/>
  <c r="DN5" i="2"/>
  <c r="S78" i="6"/>
  <c r="DM52" i="2"/>
  <c r="N153" i="6"/>
  <c r="N165" i="6" s="1"/>
  <c r="N177" i="6" s="1"/>
  <c r="N189" i="6" s="1"/>
  <c r="N201" i="6" s="1"/>
  <c r="N213" i="6" s="1"/>
  <c r="DL115" i="2"/>
  <c r="DP98" i="2"/>
  <c r="Q151" i="6"/>
  <c r="Q163" i="6" s="1"/>
  <c r="Q175" i="6" s="1"/>
  <c r="Q187" i="6" s="1"/>
  <c r="Q199" i="6" s="1"/>
  <c r="Q211" i="6" s="1"/>
  <c r="DO113" i="2"/>
  <c r="DP96" i="2"/>
  <c r="S121" i="6"/>
  <c r="DM95" i="2"/>
  <c r="DL78" i="2"/>
  <c r="DP10" i="2"/>
  <c r="S112" i="6"/>
  <c r="DM86" i="2"/>
  <c r="DL38" i="2"/>
  <c r="DL53" i="2"/>
  <c r="DP68" i="2"/>
  <c r="DL99" i="2"/>
  <c r="DN3" i="2"/>
  <c r="S60" i="6"/>
  <c r="DM34" i="2"/>
  <c r="DL81" i="2"/>
  <c r="DL32" i="2"/>
  <c r="DN91" i="2"/>
  <c r="S92" i="6"/>
  <c r="DM66" i="2"/>
  <c r="DO62" i="2"/>
  <c r="DP48" i="2"/>
  <c r="S119" i="6"/>
  <c r="DM93" i="2"/>
  <c r="DL29" i="2"/>
  <c r="DN60" i="2"/>
  <c r="E250" i="6"/>
  <c r="DP28" i="2"/>
  <c r="DN106" i="2"/>
  <c r="S84" i="6"/>
  <c r="DM58" i="2"/>
  <c r="DL89" i="2"/>
  <c r="DO25" i="2"/>
  <c r="DO104" i="2"/>
  <c r="DN56" i="2"/>
  <c r="S34" i="6"/>
  <c r="DM8" i="2"/>
  <c r="N146" i="6"/>
  <c r="DL108" i="2"/>
  <c r="DP71" i="2"/>
  <c r="DO23" i="2"/>
  <c r="DN101" i="2"/>
  <c r="S31" i="6"/>
  <c r="DM5" i="2"/>
  <c r="DL52" i="2"/>
  <c r="S93" i="6"/>
  <c r="DM67" i="2"/>
  <c r="DO98" i="2"/>
  <c r="P151" i="6"/>
  <c r="P163" i="6" s="1"/>
  <c r="P175" i="6" s="1"/>
  <c r="P187" i="6" s="1"/>
  <c r="P199" i="6" s="1"/>
  <c r="P211" i="6" s="1"/>
  <c r="DN113" i="2"/>
  <c r="DO96" i="2"/>
  <c r="DL95" i="2"/>
  <c r="DP30" i="2"/>
  <c r="DO10" i="2"/>
  <c r="DO86" i="2"/>
  <c r="DO38" i="2"/>
  <c r="DP21" i="2"/>
  <c r="DO68" i="2"/>
  <c r="DN99" i="2"/>
  <c r="DP3" i="2"/>
  <c r="DL34" i="2"/>
  <c r="DP49" i="2"/>
  <c r="S58" i="6"/>
  <c r="DM32" i="2"/>
  <c r="S117" i="6"/>
  <c r="DM91" i="2"/>
  <c r="DL66" i="2"/>
  <c r="DP47" i="2"/>
  <c r="DN62" i="2"/>
  <c r="DO48" i="2"/>
  <c r="DL77" i="2"/>
  <c r="DP29" i="2"/>
  <c r="S86" i="6"/>
  <c r="DM60" i="2"/>
  <c r="L250" i="6"/>
  <c r="DO28" i="2"/>
  <c r="S132" i="6"/>
  <c r="DM106" i="2"/>
  <c r="DL58" i="2"/>
  <c r="DP73" i="2"/>
  <c r="DN25" i="2"/>
  <c r="DN104" i="2"/>
  <c r="S82" i="6"/>
  <c r="DM56" i="2"/>
  <c r="DL8" i="2"/>
  <c r="S33" i="6"/>
  <c r="DM7" i="2"/>
  <c r="DN105" i="2"/>
  <c r="N237" i="6"/>
  <c r="DO71" i="2"/>
  <c r="DN23" i="2"/>
  <c r="S127" i="6"/>
  <c r="DM101" i="2"/>
  <c r="DL5" i="2"/>
  <c r="DP20" i="2"/>
  <c r="DL67" i="2"/>
  <c r="DN98" i="2"/>
  <c r="O151" i="6"/>
  <c r="S139" i="6"/>
  <c r="DM113" i="2"/>
  <c r="DN96" i="2"/>
  <c r="DP31" i="2"/>
  <c r="DO30" i="2"/>
  <c r="DN10" i="2"/>
  <c r="DL86" i="2"/>
  <c r="DP38" i="2"/>
  <c r="Q155" i="6"/>
  <c r="Q167" i="6" s="1"/>
  <c r="Q179" i="6" s="1"/>
  <c r="Q191" i="6" s="1"/>
  <c r="Q203" i="6" s="1"/>
  <c r="Q215" i="6" s="1"/>
  <c r="DO117" i="2"/>
  <c r="DO21" i="2"/>
  <c r="DN68" i="2"/>
  <c r="DP99" i="2"/>
  <c r="DO3" i="2"/>
  <c r="DP18" i="2"/>
  <c r="DO49" i="2"/>
  <c r="DP32" i="2"/>
  <c r="S25" i="6"/>
  <c r="DL91" i="2"/>
  <c r="DP97" i="2"/>
  <c r="DO47" i="2"/>
  <c r="S88" i="6"/>
  <c r="DM62" i="2"/>
  <c r="DN48" i="2"/>
  <c r="DP75" i="2"/>
  <c r="DP77" i="2"/>
  <c r="DO29" i="2"/>
  <c r="DL60" i="2"/>
  <c r="DN28" i="2"/>
  <c r="S20" i="6"/>
  <c r="DL106" i="2"/>
  <c r="DP42" i="2"/>
  <c r="DO73" i="2"/>
  <c r="S51" i="6"/>
  <c r="DM25" i="2"/>
  <c r="S130" i="6"/>
  <c r="DM104" i="2"/>
  <c r="DL56" i="2"/>
  <c r="DN55" i="2"/>
  <c r="DO85" i="2"/>
  <c r="DP94" i="2"/>
  <c r="M250" i="6"/>
  <c r="Q228" i="6"/>
  <c r="N236" i="6"/>
  <c r="DN71" i="2"/>
  <c r="S49" i="6"/>
  <c r="DM23" i="2"/>
  <c r="DL101" i="2"/>
  <c r="R154" i="6"/>
  <c r="R166" i="6" s="1"/>
  <c r="R178" i="6" s="1"/>
  <c r="R190" i="6" s="1"/>
  <c r="R202" i="6" s="1"/>
  <c r="R214" i="6" s="1"/>
  <c r="DP116" i="2"/>
  <c r="DO20" i="2"/>
  <c r="DN67" i="2"/>
  <c r="S124" i="6"/>
  <c r="DM98" i="2"/>
  <c r="N151" i="6"/>
  <c r="N163" i="6" s="1"/>
  <c r="N175" i="6" s="1"/>
  <c r="N187" i="6" s="1"/>
  <c r="N199" i="6" s="1"/>
  <c r="N211" i="6" s="1"/>
  <c r="DL113" i="2"/>
  <c r="DL64" i="2"/>
  <c r="DO31" i="2"/>
  <c r="DN30" i="2"/>
  <c r="S36" i="6"/>
  <c r="DM10" i="2"/>
  <c r="DP86" i="2"/>
  <c r="DN22" i="2"/>
  <c r="R155" i="6"/>
  <c r="R167" i="6" s="1"/>
  <c r="R179" i="6" s="1"/>
  <c r="R191" i="6" s="1"/>
  <c r="R203" i="6" s="1"/>
  <c r="R215" i="6" s="1"/>
  <c r="DP117" i="2"/>
  <c r="DN21" i="2"/>
  <c r="S94" i="6"/>
  <c r="DM68" i="2"/>
  <c r="DO99" i="2"/>
  <c r="P152" i="6"/>
  <c r="P164" i="6" s="1"/>
  <c r="P176" i="6" s="1"/>
  <c r="P188" i="6" s="1"/>
  <c r="P200" i="6" s="1"/>
  <c r="P212" i="6" s="1"/>
  <c r="DN114" i="2"/>
  <c r="DO18" i="2"/>
  <c r="DN49" i="2"/>
  <c r="DO32" i="2"/>
  <c r="DO97" i="2"/>
  <c r="DN47" i="2"/>
  <c r="S27" i="6"/>
  <c r="DL62" i="2"/>
  <c r="DP15" i="2"/>
  <c r="DO75" i="2"/>
  <c r="DO77" i="2"/>
  <c r="DN29" i="2"/>
  <c r="DP44" i="2"/>
  <c r="N238" i="6"/>
  <c r="N250" i="6" s="1"/>
  <c r="S54" i="6"/>
  <c r="DM28" i="2"/>
  <c r="DP90" i="2"/>
  <c r="DO42" i="2"/>
  <c r="DN73" i="2"/>
  <c r="DP25" i="2"/>
  <c r="DL104" i="2"/>
  <c r="DP40" i="2"/>
  <c r="DL65" i="2"/>
  <c r="S61" i="6"/>
  <c r="DM35" i="2"/>
  <c r="DP9" i="2"/>
  <c r="O229" i="6"/>
  <c r="Q235" i="6"/>
  <c r="R237" i="6"/>
  <c r="R249" i="6" s="1"/>
  <c r="S97" i="6"/>
  <c r="DM71" i="2"/>
  <c r="DL23" i="2"/>
  <c r="DP69" i="2"/>
  <c r="Q154" i="6"/>
  <c r="Q166" i="6" s="1"/>
  <c r="Q178" i="6" s="1"/>
  <c r="Q190" i="6" s="1"/>
  <c r="Q202" i="6" s="1"/>
  <c r="Q214" i="6" s="1"/>
  <c r="DO116" i="2"/>
  <c r="DN20" i="2"/>
  <c r="DP67" i="2"/>
  <c r="DL98" i="2"/>
  <c r="DP65" i="2"/>
  <c r="S90" i="6"/>
  <c r="DM64" i="2"/>
  <c r="DN31" i="2"/>
  <c r="S56" i="6"/>
  <c r="DM30" i="2"/>
  <c r="DL10" i="2"/>
  <c r="DN70" i="2"/>
  <c r="S48" i="6"/>
  <c r="DM22" i="2"/>
  <c r="P155" i="6"/>
  <c r="P167" i="6" s="1"/>
  <c r="P179" i="6" s="1"/>
  <c r="P191" i="6" s="1"/>
  <c r="P203" i="6" s="1"/>
  <c r="P215" i="6" s="1"/>
  <c r="DN117" i="2"/>
  <c r="S47" i="6"/>
  <c r="DM21" i="2"/>
  <c r="DL68" i="2"/>
  <c r="S109" i="6"/>
  <c r="DM83" i="2"/>
  <c r="O152" i="6"/>
  <c r="DM114" i="2"/>
  <c r="S140" i="6"/>
  <c r="DN18" i="2"/>
  <c r="S75" i="6"/>
  <c r="DM49" i="2"/>
  <c r="DN32" i="2"/>
  <c r="DN97" i="2"/>
  <c r="S73" i="6"/>
  <c r="DM47" i="2"/>
  <c r="DP11" i="2"/>
  <c r="DO15" i="2"/>
  <c r="DN75" i="2"/>
  <c r="DN77" i="2"/>
  <c r="S55" i="6"/>
  <c r="DM29" i="2"/>
  <c r="R146" i="6"/>
  <c r="DP108" i="2"/>
  <c r="DO44" i="2"/>
  <c r="K250" i="6"/>
  <c r="DL28" i="2"/>
  <c r="R145" i="6"/>
  <c r="DP107" i="2"/>
  <c r="DO90" i="2"/>
  <c r="DN42" i="2"/>
  <c r="S99" i="6"/>
  <c r="DM73" i="2"/>
  <c r="DL25" i="2"/>
  <c r="DP88" i="2"/>
  <c r="DO40" i="2"/>
  <c r="DP112" i="2"/>
  <c r="R150" i="6"/>
  <c r="R162" i="6" s="1"/>
  <c r="R174" i="6" s="1"/>
  <c r="R186" i="6" s="1"/>
  <c r="R198" i="6" s="1"/>
  <c r="R210" i="6" s="1"/>
  <c r="DO61" i="2"/>
  <c r="N228" i="6"/>
  <c r="N241" i="6" s="1"/>
  <c r="O228" i="6"/>
  <c r="O241" i="6" s="1"/>
  <c r="P228" i="6"/>
  <c r="P241" i="6" s="1"/>
  <c r="R236" i="6"/>
  <c r="N234" i="6"/>
  <c r="DL71" i="2"/>
  <c r="DP7" i="2"/>
  <c r="DO69" i="2"/>
  <c r="DN116" i="2"/>
  <c r="P154" i="6"/>
  <c r="P166" i="6" s="1"/>
  <c r="P178" i="6" s="1"/>
  <c r="P190" i="6" s="1"/>
  <c r="P202" i="6" s="1"/>
  <c r="P214" i="6" s="1"/>
  <c r="S46" i="6"/>
  <c r="DM20" i="2"/>
  <c r="DO67" i="2"/>
  <c r="DP50" i="2"/>
  <c r="DO65" i="2"/>
  <c r="DP64" i="2"/>
  <c r="S57" i="6"/>
  <c r="DM31" i="2"/>
  <c r="DL30" i="2"/>
  <c r="R156" i="6"/>
  <c r="R168" i="6" s="1"/>
  <c r="R180" i="6" s="1"/>
  <c r="R192" i="6" s="1"/>
  <c r="R204" i="6" s="1"/>
  <c r="R216" i="6" s="1"/>
  <c r="DP118" i="2"/>
  <c r="S96" i="6"/>
  <c r="DM70" i="2"/>
  <c r="DL22" i="2"/>
  <c r="S143" i="6"/>
  <c r="DM117" i="2"/>
  <c r="O155" i="6"/>
  <c r="DL21" i="2"/>
  <c r="DP36" i="2"/>
  <c r="DN83" i="2"/>
  <c r="N152" i="6"/>
  <c r="N164" i="6" s="1"/>
  <c r="N176" i="6" s="1"/>
  <c r="N188" i="6" s="1"/>
  <c r="N200" i="6" s="1"/>
  <c r="N212" i="6" s="1"/>
  <c r="DL114" i="2"/>
  <c r="S44" i="6"/>
  <c r="DM18" i="2"/>
  <c r="DL49" i="2"/>
  <c r="S123" i="6"/>
  <c r="DM97" i="2"/>
  <c r="DL47" i="2"/>
  <c r="DL16" i="2"/>
  <c r="DO11" i="2"/>
  <c r="DN15" i="2"/>
  <c r="S101" i="6"/>
  <c r="DM75" i="2"/>
  <c r="S103" i="6"/>
  <c r="DM77" i="2"/>
  <c r="DL13" i="2"/>
  <c r="DO108" i="2"/>
  <c r="Q146" i="6"/>
  <c r="DN44" i="2"/>
  <c r="S21" i="6"/>
  <c r="D250" i="6"/>
  <c r="Q145" i="6"/>
  <c r="DO107" i="2"/>
  <c r="DN90" i="2"/>
  <c r="S68" i="6"/>
  <c r="DM42" i="2"/>
  <c r="DL73" i="2"/>
  <c r="DO9" i="2"/>
  <c r="DO88" i="2"/>
  <c r="DN40" i="2"/>
  <c r="S18" i="6"/>
  <c r="DO103" i="2"/>
  <c r="DN6" i="2"/>
  <c r="DL11" i="2"/>
  <c r="DL88" i="2"/>
  <c r="R230" i="6"/>
  <c r="O233" i="6"/>
  <c r="O245" i="6" s="1"/>
  <c r="P232" i="6"/>
  <c r="P245" i="6" s="1"/>
  <c r="R235" i="6"/>
  <c r="R248" i="6" s="1"/>
  <c r="DP55" i="2"/>
  <c r="DO7" i="2"/>
  <c r="DN69" i="2"/>
  <c r="S142" i="6"/>
  <c r="DM116" i="2"/>
  <c r="O154" i="6"/>
  <c r="DL20" i="2"/>
  <c r="S45" i="6"/>
  <c r="DM19" i="2"/>
  <c r="DO50" i="2"/>
  <c r="DN65" i="2"/>
  <c r="DO64" i="2"/>
  <c r="DL31" i="2"/>
  <c r="DO118" i="2"/>
  <c r="Q156" i="6"/>
  <c r="Q168" i="6" s="1"/>
  <c r="Q180" i="6" s="1"/>
  <c r="Q192" i="6" s="1"/>
  <c r="Q204" i="6" s="1"/>
  <c r="Q216" i="6" s="1"/>
  <c r="DL70" i="2"/>
  <c r="DO22" i="2"/>
  <c r="N155" i="6"/>
  <c r="N167" i="6" s="1"/>
  <c r="N179" i="6" s="1"/>
  <c r="N191" i="6" s="1"/>
  <c r="N203" i="6" s="1"/>
  <c r="N215" i="6" s="1"/>
  <c r="DL117" i="2"/>
  <c r="DO36" i="2"/>
  <c r="DL83" i="2"/>
  <c r="Q152" i="6"/>
  <c r="Q164" i="6" s="1"/>
  <c r="Q176" i="6" s="1"/>
  <c r="Q188" i="6" s="1"/>
  <c r="Q200" i="6" s="1"/>
  <c r="Q212" i="6" s="1"/>
  <c r="DO114" i="2"/>
  <c r="DL18" i="2"/>
  <c r="DM112" i="2"/>
  <c r="S138" i="6"/>
  <c r="O150" i="6"/>
  <c r="DL97" i="2"/>
  <c r="DP46" i="2"/>
  <c r="S42" i="6"/>
  <c r="DM16" i="2"/>
  <c r="DN11" i="2"/>
  <c r="S41" i="6"/>
  <c r="DM15" i="2"/>
  <c r="DL75" i="2"/>
  <c r="DL61" i="2"/>
  <c r="DP13" i="2"/>
  <c r="P146" i="6"/>
  <c r="DN108" i="2"/>
  <c r="S70" i="6"/>
  <c r="DM44" i="2"/>
  <c r="P145" i="6"/>
  <c r="DN107" i="2"/>
  <c r="S116" i="6"/>
  <c r="DM90" i="2"/>
  <c r="DL42" i="2"/>
  <c r="DP57" i="2"/>
  <c r="DN9" i="2"/>
  <c r="DN88" i="2"/>
  <c r="S66" i="6"/>
  <c r="DM40" i="2"/>
  <c r="O249" i="6"/>
  <c r="P247" i="6"/>
  <c r="M240" i="6"/>
  <c r="R243" i="6"/>
  <c r="I249" i="6"/>
  <c r="E245" i="6"/>
  <c r="I247" i="6"/>
  <c r="F248" i="6"/>
  <c r="E243" i="6"/>
  <c r="J249" i="6"/>
  <c r="H242" i="6"/>
  <c r="I245" i="6"/>
  <c r="L247" i="6"/>
  <c r="G245" i="6"/>
  <c r="H243" i="6"/>
  <c r="F249" i="6"/>
  <c r="E244" i="6"/>
  <c r="I246" i="6"/>
  <c r="H241" i="6"/>
  <c r="F247" i="6"/>
  <c r="F245" i="6"/>
  <c r="E240" i="6"/>
  <c r="L242" i="6"/>
  <c r="R244" i="6"/>
  <c r="K241" i="6"/>
  <c r="M244" i="6"/>
  <c r="Q247" i="6"/>
  <c r="E242" i="6"/>
  <c r="J245" i="6"/>
  <c r="N248" i="6"/>
  <c r="K245" i="6"/>
  <c r="J240" i="6"/>
  <c r="N245" i="6"/>
  <c r="K242" i="6"/>
  <c r="K248" i="6"/>
  <c r="J243" i="6"/>
  <c r="N242" i="6"/>
  <c r="F240" i="6"/>
  <c r="H246" i="6"/>
  <c r="G241" i="6"/>
  <c r="H240" i="6"/>
  <c r="F246" i="6"/>
  <c r="E241" i="6"/>
  <c r="Q248" i="6"/>
  <c r="N246" i="6"/>
  <c r="K243" i="6"/>
  <c r="R246" i="6"/>
  <c r="N244" i="6"/>
  <c r="L240" i="6"/>
  <c r="R245" i="6"/>
  <c r="N243" i="6"/>
  <c r="K240" i="6"/>
  <c r="O248" i="6"/>
  <c r="O243" i="6"/>
  <c r="I240" i="6"/>
  <c r="G246" i="6"/>
  <c r="F241" i="6"/>
  <c r="H249" i="6"/>
  <c r="G244" i="6"/>
  <c r="H247" i="6"/>
  <c r="G242" i="6"/>
  <c r="E248" i="6"/>
  <c r="H244" i="6"/>
  <c r="H245" i="6"/>
  <c r="G240" i="6"/>
  <c r="E246" i="6"/>
  <c r="I248" i="6"/>
  <c r="O240" i="6"/>
  <c r="Q242" i="6"/>
  <c r="K249" i="6"/>
  <c r="M247" i="6"/>
  <c r="P248" i="6"/>
  <c r="N249" i="6"/>
  <c r="K246" i="6"/>
  <c r="J241" i="6"/>
  <c r="L248" i="6"/>
  <c r="M241" i="6"/>
  <c r="N247" i="6"/>
  <c r="L244" i="6"/>
  <c r="M245" i="6"/>
  <c r="BT12" i="39"/>
  <c r="BT13" i="39" s="1"/>
  <c r="BT14" i="39" s="1"/>
  <c r="BT15" i="39" s="1"/>
  <c r="J244" i="6"/>
  <c r="E247" i="6"/>
  <c r="I244" i="6"/>
  <c r="P246" i="6"/>
  <c r="Q244" i="6"/>
  <c r="R240" i="6"/>
  <c r="J246" i="6"/>
  <c r="I241" i="6"/>
  <c r="G247" i="6"/>
  <c r="F242" i="6"/>
  <c r="D249" i="6"/>
  <c r="Q243" i="6"/>
  <c r="D242" i="6"/>
  <c r="D245" i="6"/>
  <c r="M246" i="6"/>
  <c r="Q249" i="6"/>
  <c r="L243" i="6"/>
  <c r="P243" i="6"/>
  <c r="O244" i="6"/>
  <c r="Q241" i="6"/>
  <c r="K247" i="6"/>
  <c r="J242" i="6"/>
  <c r="H248" i="6"/>
  <c r="G243" i="6"/>
  <c r="E249" i="6"/>
  <c r="D243" i="6"/>
  <c r="Q240" i="6"/>
  <c r="M248" i="6"/>
  <c r="K244" i="6"/>
  <c r="P249" i="6"/>
  <c r="D240" i="6"/>
  <c r="D244" i="6"/>
  <c r="M242" i="6"/>
  <c r="L245" i="6"/>
  <c r="D246" i="6"/>
  <c r="O246" i="6"/>
  <c r="L249" i="6"/>
  <c r="M243" i="6"/>
  <c r="O247" i="6"/>
  <c r="D248" i="6"/>
  <c r="M249" i="6"/>
  <c r="D247" i="6"/>
  <c r="D241" i="6"/>
  <c r="O242" i="6"/>
  <c r="Q246" i="6"/>
  <c r="R242" i="6"/>
  <c r="N240" i="6"/>
  <c r="J248" i="6"/>
  <c r="I243" i="6"/>
  <c r="G249" i="6"/>
  <c r="F244" i="6"/>
  <c r="L241" i="6"/>
  <c r="L246" i="6"/>
  <c r="Q245" i="6"/>
  <c r="R241" i="6"/>
  <c r="J247" i="6"/>
  <c r="I242" i="6"/>
  <c r="G248" i="6"/>
  <c r="F243" i="6"/>
  <c r="DN110" i="2" l="1"/>
  <c r="P148" i="6"/>
  <c r="P160" i="6" s="1"/>
  <c r="P172" i="6" s="1"/>
  <c r="P184" i="6" s="1"/>
  <c r="P196" i="6" s="1"/>
  <c r="P208" i="6" s="1"/>
  <c r="P238" i="6"/>
  <c r="P250" i="6" s="1"/>
  <c r="I91" i="31"/>
  <c r="Q91" i="31" s="1"/>
  <c r="E91" i="21"/>
  <c r="I91" i="21" s="1"/>
  <c r="K91" i="21" s="1"/>
  <c r="I91" i="20"/>
  <c r="Q91" i="20" s="1"/>
  <c r="F91" i="33"/>
  <c r="L91" i="33" s="1"/>
  <c r="E91" i="32"/>
  <c r="I91" i="32" s="1"/>
  <c r="F91" i="22"/>
  <c r="L91" i="22" s="1"/>
  <c r="O91" i="22" s="1"/>
  <c r="P240" i="6"/>
  <c r="E22" i="32"/>
  <c r="I22" i="32" s="1"/>
  <c r="K22" i="32" s="1"/>
  <c r="F22" i="33"/>
  <c r="L22" i="33" s="1"/>
  <c r="O22" i="33" s="1"/>
  <c r="F22" i="22"/>
  <c r="L22" i="22" s="1"/>
  <c r="O22" i="22" s="1"/>
  <c r="E22" i="21"/>
  <c r="I22" i="21" s="1"/>
  <c r="K22" i="21" s="1"/>
  <c r="I22" i="20"/>
  <c r="Q22" i="20" s="1"/>
  <c r="I22" i="31"/>
  <c r="Q22" i="31" s="1"/>
  <c r="E106" i="21"/>
  <c r="I106" i="21" s="1"/>
  <c r="K106" i="21" s="1"/>
  <c r="M106" i="21" s="1"/>
  <c r="F106" i="22"/>
  <c r="L106" i="22" s="1"/>
  <c r="O106" i="22" s="1"/>
  <c r="Q106" i="22" s="1"/>
  <c r="E106" i="32"/>
  <c r="I106" i="32" s="1"/>
  <c r="F106" i="33"/>
  <c r="L106" i="33" s="1"/>
  <c r="I106" i="20"/>
  <c r="Q106" i="20" s="1"/>
  <c r="I106" i="31"/>
  <c r="Q106" i="31" s="1"/>
  <c r="F89" i="33"/>
  <c r="L89" i="33" s="1"/>
  <c r="E89" i="32"/>
  <c r="I89" i="32" s="1"/>
  <c r="F89" i="22"/>
  <c r="L89" i="22" s="1"/>
  <c r="O89" i="22" s="1"/>
  <c r="E89" i="21"/>
  <c r="I89" i="21" s="1"/>
  <c r="K89" i="21" s="1"/>
  <c r="I89" i="20"/>
  <c r="Q89" i="20" s="1"/>
  <c r="I89" i="31"/>
  <c r="Q89" i="31" s="1"/>
  <c r="F78" i="33"/>
  <c r="L78" i="33" s="1"/>
  <c r="O78" i="33" s="1"/>
  <c r="E78" i="32"/>
  <c r="I78" i="32" s="1"/>
  <c r="K78" i="32" s="1"/>
  <c r="E78" i="21"/>
  <c r="I78" i="21" s="1"/>
  <c r="K78" i="21" s="1"/>
  <c r="F78" i="22"/>
  <c r="L78" i="22" s="1"/>
  <c r="O78" i="22" s="1"/>
  <c r="I78" i="31"/>
  <c r="Q78" i="31" s="1"/>
  <c r="S78" i="31" s="1"/>
  <c r="I78" i="20"/>
  <c r="Q78" i="20" s="1"/>
  <c r="S78" i="20" s="1"/>
  <c r="I43" i="31"/>
  <c r="Q43" i="31" s="1"/>
  <c r="I43" i="20"/>
  <c r="Q43" i="20" s="1"/>
  <c r="F43" i="33"/>
  <c r="L43" i="33" s="1"/>
  <c r="O43" i="33" s="1"/>
  <c r="E43" i="32"/>
  <c r="I43" i="32" s="1"/>
  <c r="K43" i="32" s="1"/>
  <c r="F43" i="22"/>
  <c r="L43" i="22" s="1"/>
  <c r="O43" i="22" s="1"/>
  <c r="E43" i="21"/>
  <c r="I43" i="21" s="1"/>
  <c r="K43" i="21" s="1"/>
  <c r="I79" i="31"/>
  <c r="Q79" i="31" s="1"/>
  <c r="S79" i="31" s="1"/>
  <c r="I79" i="20"/>
  <c r="Q79" i="20" s="1"/>
  <c r="S79" i="20" s="1"/>
  <c r="E79" i="32"/>
  <c r="I79" i="32" s="1"/>
  <c r="K79" i="32" s="1"/>
  <c r="F79" i="33"/>
  <c r="L79" i="33" s="1"/>
  <c r="O79" i="33" s="1"/>
  <c r="F79" i="22"/>
  <c r="L79" i="22" s="1"/>
  <c r="O79" i="22" s="1"/>
  <c r="E79" i="21"/>
  <c r="I79" i="21" s="1"/>
  <c r="K79" i="21" s="1"/>
  <c r="I12" i="31"/>
  <c r="Q12" i="31" s="1"/>
  <c r="I12" i="20"/>
  <c r="Q12" i="20" s="1"/>
  <c r="E12" i="32"/>
  <c r="I12" i="32" s="1"/>
  <c r="K12" i="32" s="1"/>
  <c r="M12" i="32" s="1"/>
  <c r="F12" i="33"/>
  <c r="L12" i="33" s="1"/>
  <c r="O12" i="33" s="1"/>
  <c r="Q12" i="33" s="1"/>
  <c r="E12" i="21"/>
  <c r="I12" i="21" s="1"/>
  <c r="K12" i="21" s="1"/>
  <c r="M12" i="21" s="1"/>
  <c r="F12" i="22"/>
  <c r="L12" i="22" s="1"/>
  <c r="O12" i="22" s="1"/>
  <c r="Q12" i="22" s="1"/>
  <c r="F105" i="33"/>
  <c r="L105" i="33" s="1"/>
  <c r="I105" i="20"/>
  <c r="Q105" i="20" s="1"/>
  <c r="I105" i="31"/>
  <c r="Q105" i="31" s="1"/>
  <c r="E105" i="32"/>
  <c r="I105" i="32" s="1"/>
  <c r="F105" i="22"/>
  <c r="L105" i="22" s="1"/>
  <c r="O105" i="22" s="1"/>
  <c r="Q105" i="22" s="1"/>
  <c r="E105" i="21"/>
  <c r="I105" i="21" s="1"/>
  <c r="K105" i="21" s="1"/>
  <c r="M105" i="21" s="1"/>
  <c r="E45" i="32"/>
  <c r="I45" i="32" s="1"/>
  <c r="K45" i="32" s="1"/>
  <c r="F45" i="33"/>
  <c r="L45" i="33" s="1"/>
  <c r="O45" i="33" s="1"/>
  <c r="E45" i="21"/>
  <c r="I45" i="21" s="1"/>
  <c r="K45" i="21" s="1"/>
  <c r="F45" i="22"/>
  <c r="L45" i="22" s="1"/>
  <c r="O45" i="22" s="1"/>
  <c r="I45" i="31"/>
  <c r="Q45" i="31" s="1"/>
  <c r="I45" i="20"/>
  <c r="Q45" i="20" s="1"/>
  <c r="F85" i="22"/>
  <c r="L85" i="22" s="1"/>
  <c r="O85" i="22" s="1"/>
  <c r="I85" i="31"/>
  <c r="Q85" i="31" s="1"/>
  <c r="S85" i="31" s="1"/>
  <c r="I85" i="20"/>
  <c r="Q85" i="20" s="1"/>
  <c r="S85" i="20" s="1"/>
  <c r="E85" i="32"/>
  <c r="I85" i="32" s="1"/>
  <c r="K85" i="32" s="1"/>
  <c r="F85" i="33"/>
  <c r="L85" i="33" s="1"/>
  <c r="O85" i="33" s="1"/>
  <c r="E85" i="21"/>
  <c r="I85" i="21" s="1"/>
  <c r="K85" i="21" s="1"/>
  <c r="E57" i="32"/>
  <c r="I57" i="32" s="1"/>
  <c r="K57" i="32" s="1"/>
  <c r="F57" i="33"/>
  <c r="L57" i="33" s="1"/>
  <c r="O57" i="33" s="1"/>
  <c r="F57" i="22"/>
  <c r="L57" i="22" s="1"/>
  <c r="O57" i="22" s="1"/>
  <c r="E57" i="21"/>
  <c r="I57" i="21" s="1"/>
  <c r="K57" i="21" s="1"/>
  <c r="I57" i="20"/>
  <c r="Q57" i="20" s="1"/>
  <c r="I57" i="31"/>
  <c r="Q57" i="31" s="1"/>
  <c r="F6" i="33"/>
  <c r="L6" i="33" s="1"/>
  <c r="O6" i="33" s="1"/>
  <c r="Q6" i="33" s="1"/>
  <c r="E6" i="32"/>
  <c r="I6" i="32" s="1"/>
  <c r="K6" i="32" s="1"/>
  <c r="M6" i="32" s="1"/>
  <c r="F6" i="22"/>
  <c r="L6" i="22" s="1"/>
  <c r="O6" i="22" s="1"/>
  <c r="Q6" i="22" s="1"/>
  <c r="E6" i="21"/>
  <c r="I6" i="21" s="1"/>
  <c r="K6" i="21" s="1"/>
  <c r="M6" i="21" s="1"/>
  <c r="I6" i="20"/>
  <c r="Q6" i="20" s="1"/>
  <c r="I6" i="31"/>
  <c r="Q6" i="31" s="1"/>
  <c r="I9" i="20"/>
  <c r="Q9" i="20" s="1"/>
  <c r="I9" i="31"/>
  <c r="Q9" i="31" s="1"/>
  <c r="E9" i="32"/>
  <c r="I9" i="32" s="1"/>
  <c r="K9" i="32" s="1"/>
  <c r="M9" i="32" s="1"/>
  <c r="F9" i="33"/>
  <c r="L9" i="33" s="1"/>
  <c r="O9" i="33" s="1"/>
  <c r="Q9" i="33" s="1"/>
  <c r="F9" i="22"/>
  <c r="L9" i="22" s="1"/>
  <c r="O9" i="22" s="1"/>
  <c r="Q9" i="22" s="1"/>
  <c r="E9" i="21"/>
  <c r="I9" i="21" s="1"/>
  <c r="K9" i="21" s="1"/>
  <c r="M9" i="21" s="1"/>
  <c r="I50" i="31"/>
  <c r="Q50" i="31" s="1"/>
  <c r="I50" i="20"/>
  <c r="Q50" i="20" s="1"/>
  <c r="F50" i="33"/>
  <c r="L50" i="33" s="1"/>
  <c r="O50" i="33" s="1"/>
  <c r="E50" i="32"/>
  <c r="I50" i="32" s="1"/>
  <c r="K50" i="32" s="1"/>
  <c r="E50" i="21"/>
  <c r="I50" i="21" s="1"/>
  <c r="K50" i="21" s="1"/>
  <c r="F50" i="22"/>
  <c r="L50" i="22" s="1"/>
  <c r="O50" i="22" s="1"/>
  <c r="R159" i="6"/>
  <c r="R171" i="6" s="1"/>
  <c r="R183" i="6" s="1"/>
  <c r="R195" i="6" s="1"/>
  <c r="R207" i="6" s="1"/>
  <c r="R219" i="6" s="1"/>
  <c r="DP121" i="2"/>
  <c r="DM110" i="2"/>
  <c r="S136" i="6"/>
  <c r="O148" i="6"/>
  <c r="O238" i="6"/>
  <c r="O250" i="6" s="1"/>
  <c r="I116" i="31"/>
  <c r="Q116" i="31" s="1"/>
  <c r="E116" i="21"/>
  <c r="I116" i="21" s="1"/>
  <c r="K116" i="21" s="1"/>
  <c r="M116" i="21" s="1"/>
  <c r="I116" i="20"/>
  <c r="Q116" i="20" s="1"/>
  <c r="S116" i="20" s="1"/>
  <c r="E116" i="32"/>
  <c r="I116" i="32" s="1"/>
  <c r="F116" i="33"/>
  <c r="L116" i="33" s="1"/>
  <c r="F116" i="22"/>
  <c r="L116" i="22" s="1"/>
  <c r="O116" i="22" s="1"/>
  <c r="Q116" i="22" s="1"/>
  <c r="E114" i="21"/>
  <c r="I114" i="21" s="1"/>
  <c r="K114" i="21" s="1"/>
  <c r="M114" i="21" s="1"/>
  <c r="F114" i="22"/>
  <c r="L114" i="22" s="1"/>
  <c r="O114" i="22" s="1"/>
  <c r="Q114" i="22" s="1"/>
  <c r="F114" i="33"/>
  <c r="L114" i="33" s="1"/>
  <c r="I114" i="20"/>
  <c r="Q114" i="20" s="1"/>
  <c r="S114" i="20" s="1"/>
  <c r="E114" i="32"/>
  <c r="I114" i="32" s="1"/>
  <c r="I114" i="31"/>
  <c r="Q114" i="31" s="1"/>
  <c r="DO111" i="2"/>
  <c r="Q149" i="6"/>
  <c r="Q161" i="6" s="1"/>
  <c r="Q173" i="6" s="1"/>
  <c r="Q185" i="6" s="1"/>
  <c r="Q197" i="6" s="1"/>
  <c r="Q209" i="6" s="1"/>
  <c r="I20" i="31"/>
  <c r="Q20" i="31" s="1"/>
  <c r="I20" i="20"/>
  <c r="Q20" i="20" s="1"/>
  <c r="E20" i="32"/>
  <c r="I20" i="32" s="1"/>
  <c r="K20" i="32" s="1"/>
  <c r="F20" i="33"/>
  <c r="L20" i="33" s="1"/>
  <c r="O20" i="33" s="1"/>
  <c r="E20" i="21"/>
  <c r="I20" i="21" s="1"/>
  <c r="K20" i="21" s="1"/>
  <c r="F20" i="22"/>
  <c r="L20" i="22" s="1"/>
  <c r="O20" i="22" s="1"/>
  <c r="F113" i="22"/>
  <c r="L113" i="22" s="1"/>
  <c r="O113" i="22" s="1"/>
  <c r="Q113" i="22" s="1"/>
  <c r="E113" i="32"/>
  <c r="I113" i="32" s="1"/>
  <c r="I113" i="31"/>
  <c r="Q113" i="31" s="1"/>
  <c r="I113" i="20"/>
  <c r="Q113" i="20" s="1"/>
  <c r="S113" i="20" s="1"/>
  <c r="E113" i="21"/>
  <c r="I113" i="21" s="1"/>
  <c r="K113" i="21" s="1"/>
  <c r="M113" i="21" s="1"/>
  <c r="F113" i="33"/>
  <c r="L113" i="33" s="1"/>
  <c r="E97" i="32"/>
  <c r="I97" i="32" s="1"/>
  <c r="F97" i="33"/>
  <c r="L97" i="33" s="1"/>
  <c r="I97" i="31"/>
  <c r="Q97" i="31" s="1"/>
  <c r="F97" i="22"/>
  <c r="L97" i="22" s="1"/>
  <c r="O97" i="22" s="1"/>
  <c r="I97" i="20"/>
  <c r="Q97" i="20" s="1"/>
  <c r="E97" i="21"/>
  <c r="I97" i="21" s="1"/>
  <c r="K97" i="21" s="1"/>
  <c r="R158" i="6"/>
  <c r="R170" i="6" s="1"/>
  <c r="R182" i="6" s="1"/>
  <c r="R194" i="6" s="1"/>
  <c r="R206" i="6" s="1"/>
  <c r="R218" i="6" s="1"/>
  <c r="DP120" i="2"/>
  <c r="I8" i="20"/>
  <c r="Q8" i="20" s="1"/>
  <c r="F8" i="33"/>
  <c r="L8" i="33" s="1"/>
  <c r="O8" i="33" s="1"/>
  <c r="Q8" i="33" s="1"/>
  <c r="I8" i="31"/>
  <c r="Q8" i="31" s="1"/>
  <c r="E8" i="32"/>
  <c r="I8" i="32" s="1"/>
  <c r="K8" i="32" s="1"/>
  <c r="M8" i="32" s="1"/>
  <c r="F8" i="22"/>
  <c r="L8" i="22" s="1"/>
  <c r="O8" i="22" s="1"/>
  <c r="Q8" i="22" s="1"/>
  <c r="E8" i="21"/>
  <c r="I8" i="21" s="1"/>
  <c r="K8" i="21" s="1"/>
  <c r="M8" i="21" s="1"/>
  <c r="E66" i="32"/>
  <c r="I66" i="32" s="1"/>
  <c r="K66" i="32" s="1"/>
  <c r="F66" i="33"/>
  <c r="L66" i="33" s="1"/>
  <c r="O66" i="33" s="1"/>
  <c r="E66" i="21"/>
  <c r="I66" i="21" s="1"/>
  <c r="K66" i="21" s="1"/>
  <c r="F66" i="22"/>
  <c r="L66" i="22" s="1"/>
  <c r="O66" i="22" s="1"/>
  <c r="I66" i="31"/>
  <c r="Q66" i="31" s="1"/>
  <c r="I66" i="20"/>
  <c r="Q66" i="20" s="1"/>
  <c r="I33" i="31"/>
  <c r="Q33" i="31" s="1"/>
  <c r="S33" i="31" s="1"/>
  <c r="E33" i="21"/>
  <c r="I33" i="21" s="1"/>
  <c r="K33" i="21" s="1"/>
  <c r="I33" i="20"/>
  <c r="Q33" i="20" s="1"/>
  <c r="S33" i="20" s="1"/>
  <c r="F33" i="33"/>
  <c r="L33" i="33" s="1"/>
  <c r="O33" i="33" s="1"/>
  <c r="E33" i="32"/>
  <c r="I33" i="32" s="1"/>
  <c r="K33" i="32" s="1"/>
  <c r="F33" i="22"/>
  <c r="L33" i="22" s="1"/>
  <c r="O33" i="22" s="1"/>
  <c r="I55" i="20"/>
  <c r="Q55" i="20" s="1"/>
  <c r="I55" i="31"/>
  <c r="Q55" i="31" s="1"/>
  <c r="F55" i="33"/>
  <c r="L55" i="33" s="1"/>
  <c r="O55" i="33" s="1"/>
  <c r="E55" i="32"/>
  <c r="I55" i="32" s="1"/>
  <c r="K55" i="32" s="1"/>
  <c r="F55" i="22"/>
  <c r="L55" i="22" s="1"/>
  <c r="O55" i="22" s="1"/>
  <c r="E55" i="21"/>
  <c r="I55" i="21" s="1"/>
  <c r="K55" i="21" s="1"/>
  <c r="DN111" i="2"/>
  <c r="P149" i="6"/>
  <c r="P161" i="6" s="1"/>
  <c r="P173" i="6" s="1"/>
  <c r="P185" i="6" s="1"/>
  <c r="P197" i="6" s="1"/>
  <c r="P209" i="6" s="1"/>
  <c r="E98" i="21"/>
  <c r="I98" i="21" s="1"/>
  <c r="K98" i="21" s="1"/>
  <c r="M98" i="21" s="1"/>
  <c r="F98" i="33"/>
  <c r="L98" i="33" s="1"/>
  <c r="E98" i="32"/>
  <c r="I98" i="32" s="1"/>
  <c r="F98" i="22"/>
  <c r="L98" i="22" s="1"/>
  <c r="O98" i="22" s="1"/>
  <c r="Q98" i="22" s="1"/>
  <c r="I98" i="31"/>
  <c r="Q98" i="31" s="1"/>
  <c r="I98" i="20"/>
  <c r="Q98" i="20" s="1"/>
  <c r="R247" i="6"/>
  <c r="E68" i="32"/>
  <c r="I68" i="32" s="1"/>
  <c r="K68" i="32" s="1"/>
  <c r="F68" i="33"/>
  <c r="L68" i="33" s="1"/>
  <c r="O68" i="33" s="1"/>
  <c r="E68" i="21"/>
  <c r="I68" i="21" s="1"/>
  <c r="K68" i="21" s="1"/>
  <c r="F68" i="22"/>
  <c r="L68" i="22" s="1"/>
  <c r="O68" i="22" s="1"/>
  <c r="I68" i="31"/>
  <c r="Q68" i="31" s="1"/>
  <c r="I68" i="20"/>
  <c r="Q68" i="20" s="1"/>
  <c r="E5" i="21"/>
  <c r="I5" i="21" s="1"/>
  <c r="K5" i="21" s="1"/>
  <c r="M5" i="21" s="1"/>
  <c r="F5" i="22"/>
  <c r="L5" i="22" s="1"/>
  <c r="O5" i="22" s="1"/>
  <c r="Q5" i="22" s="1"/>
  <c r="I5" i="31"/>
  <c r="Q5" i="31" s="1"/>
  <c r="I5" i="20"/>
  <c r="Q5" i="20" s="1"/>
  <c r="F5" i="33"/>
  <c r="L5" i="33" s="1"/>
  <c r="O5" i="33" s="1"/>
  <c r="Q5" i="33" s="1"/>
  <c r="E5" i="32"/>
  <c r="I5" i="32" s="1"/>
  <c r="K5" i="32" s="1"/>
  <c r="M5" i="32" s="1"/>
  <c r="O159" i="6"/>
  <c r="S147" i="6"/>
  <c r="DM121" i="2"/>
  <c r="F117" i="33"/>
  <c r="L117" i="33" s="1"/>
  <c r="E117" i="32"/>
  <c r="I117" i="32" s="1"/>
  <c r="E117" i="21"/>
  <c r="I117" i="21" s="1"/>
  <c r="K117" i="21" s="1"/>
  <c r="M117" i="21" s="1"/>
  <c r="I117" i="31"/>
  <c r="Q117" i="31" s="1"/>
  <c r="F117" i="22"/>
  <c r="L117" i="22" s="1"/>
  <c r="O117" i="22" s="1"/>
  <c r="Q117" i="22" s="1"/>
  <c r="I117" i="20"/>
  <c r="Q117" i="20" s="1"/>
  <c r="S117" i="20" s="1"/>
  <c r="F65" i="33"/>
  <c r="L65" i="33" s="1"/>
  <c r="O65" i="33" s="1"/>
  <c r="F65" i="22"/>
  <c r="L65" i="22" s="1"/>
  <c r="O65" i="22" s="1"/>
  <c r="E65" i="32"/>
  <c r="I65" i="32" s="1"/>
  <c r="K65" i="32" s="1"/>
  <c r="I65" i="31"/>
  <c r="Q65" i="31" s="1"/>
  <c r="E65" i="21"/>
  <c r="I65" i="21" s="1"/>
  <c r="K65" i="21" s="1"/>
  <c r="I65" i="20"/>
  <c r="Q65" i="20" s="1"/>
  <c r="F99" i="22"/>
  <c r="L99" i="22" s="1"/>
  <c r="O99" i="22" s="1"/>
  <c r="Q99" i="22" s="1"/>
  <c r="E99" i="21"/>
  <c r="I99" i="21" s="1"/>
  <c r="K99" i="21" s="1"/>
  <c r="M99" i="21" s="1"/>
  <c r="F99" i="33"/>
  <c r="L99" i="33" s="1"/>
  <c r="E99" i="32"/>
  <c r="I99" i="32" s="1"/>
  <c r="I99" i="31"/>
  <c r="Q99" i="31" s="1"/>
  <c r="I99" i="20"/>
  <c r="Q99" i="20" s="1"/>
  <c r="S99" i="20" s="1"/>
  <c r="E72" i="32"/>
  <c r="I72" i="32" s="1"/>
  <c r="K72" i="32" s="1"/>
  <c r="F72" i="22"/>
  <c r="L72" i="22" s="1"/>
  <c r="O72" i="22" s="1"/>
  <c r="E72" i="21"/>
  <c r="I72" i="21" s="1"/>
  <c r="K72" i="21" s="1"/>
  <c r="I72" i="20"/>
  <c r="Q72" i="20" s="1"/>
  <c r="I72" i="31"/>
  <c r="Q72" i="31" s="1"/>
  <c r="F72" i="33"/>
  <c r="L72" i="33" s="1"/>
  <c r="O72" i="33" s="1"/>
  <c r="F14" i="33"/>
  <c r="L14" i="33" s="1"/>
  <c r="O14" i="33" s="1"/>
  <c r="E14" i="32"/>
  <c r="I14" i="32" s="1"/>
  <c r="K14" i="32" s="1"/>
  <c r="E14" i="21"/>
  <c r="I14" i="21" s="1"/>
  <c r="K14" i="21" s="1"/>
  <c r="F14" i="22"/>
  <c r="L14" i="22" s="1"/>
  <c r="O14" i="22" s="1"/>
  <c r="I14" i="31"/>
  <c r="Q14" i="31" s="1"/>
  <c r="I14" i="20"/>
  <c r="Q14" i="20" s="1"/>
  <c r="P159" i="6"/>
  <c r="P171" i="6" s="1"/>
  <c r="P183" i="6" s="1"/>
  <c r="P195" i="6" s="1"/>
  <c r="P207" i="6" s="1"/>
  <c r="P219" i="6" s="1"/>
  <c r="DN121" i="2"/>
  <c r="F112" i="33"/>
  <c r="L112" i="33" s="1"/>
  <c r="E112" i="21"/>
  <c r="I112" i="21" s="1"/>
  <c r="K112" i="21" s="1"/>
  <c r="M112" i="21" s="1"/>
  <c r="E112" i="32"/>
  <c r="I112" i="32" s="1"/>
  <c r="F112" i="22"/>
  <c r="L112" i="22" s="1"/>
  <c r="O112" i="22" s="1"/>
  <c r="Q112" i="22" s="1"/>
  <c r="I112" i="31"/>
  <c r="Q112" i="31" s="1"/>
  <c r="I112" i="20"/>
  <c r="Q112" i="20" s="1"/>
  <c r="S112" i="20" s="1"/>
  <c r="E101" i="21"/>
  <c r="I101" i="21" s="1"/>
  <c r="K101" i="21" s="1"/>
  <c r="M101" i="21" s="1"/>
  <c r="F101" i="33"/>
  <c r="L101" i="33" s="1"/>
  <c r="E101" i="32"/>
  <c r="I101" i="32" s="1"/>
  <c r="F101" i="22"/>
  <c r="L101" i="22" s="1"/>
  <c r="O101" i="22" s="1"/>
  <c r="Q101" i="22" s="1"/>
  <c r="I101" i="31"/>
  <c r="Q101" i="31" s="1"/>
  <c r="I101" i="20"/>
  <c r="Q101" i="20" s="1"/>
  <c r="I56" i="20"/>
  <c r="Q56" i="20" s="1"/>
  <c r="I56" i="31"/>
  <c r="Q56" i="31" s="1"/>
  <c r="E56" i="32"/>
  <c r="I56" i="32" s="1"/>
  <c r="K56" i="32" s="1"/>
  <c r="F56" i="33"/>
  <c r="L56" i="33" s="1"/>
  <c r="O56" i="33" s="1"/>
  <c r="F56" i="22"/>
  <c r="L56" i="22" s="1"/>
  <c r="O56" i="22" s="1"/>
  <c r="E56" i="21"/>
  <c r="I56" i="21" s="1"/>
  <c r="K56" i="21" s="1"/>
  <c r="F108" i="22"/>
  <c r="L108" i="22" s="1"/>
  <c r="O108" i="22" s="1"/>
  <c r="Q108" i="22" s="1"/>
  <c r="E108" i="21"/>
  <c r="I108" i="21" s="1"/>
  <c r="K108" i="21" s="1"/>
  <c r="M108" i="21" s="1"/>
  <c r="E108" i="32"/>
  <c r="I108" i="32" s="1"/>
  <c r="F108" i="33"/>
  <c r="L108" i="33" s="1"/>
  <c r="I108" i="31"/>
  <c r="Q108" i="31" s="1"/>
  <c r="I108" i="20"/>
  <c r="Q108" i="20" s="1"/>
  <c r="E41" i="32"/>
  <c r="I41" i="32" s="1"/>
  <c r="K41" i="32" s="1"/>
  <c r="F41" i="33"/>
  <c r="L41" i="33" s="1"/>
  <c r="O41" i="33" s="1"/>
  <c r="F41" i="22"/>
  <c r="L41" i="22" s="1"/>
  <c r="O41" i="22" s="1"/>
  <c r="E41" i="21"/>
  <c r="I41" i="21" s="1"/>
  <c r="K41" i="21" s="1"/>
  <c r="I41" i="20"/>
  <c r="Q41" i="20" s="1"/>
  <c r="I41" i="31"/>
  <c r="Q41" i="31" s="1"/>
  <c r="S153" i="6"/>
  <c r="O165" i="6"/>
  <c r="E4" i="32"/>
  <c r="I4" i="32" s="1"/>
  <c r="K4" i="32" s="1"/>
  <c r="M4" i="32" s="1"/>
  <c r="E4" i="21"/>
  <c r="I4" i="21" s="1"/>
  <c r="K4" i="21" s="1"/>
  <c r="M4" i="21" s="1"/>
  <c r="F4" i="22"/>
  <c r="L4" i="22" s="1"/>
  <c r="O4" i="22" s="1"/>
  <c r="Q4" i="22" s="1"/>
  <c r="F4" i="33"/>
  <c r="L4" i="33" s="1"/>
  <c r="O4" i="33" s="1"/>
  <c r="Q4" i="33" s="1"/>
  <c r="I4" i="31"/>
  <c r="Q4" i="31" s="1"/>
  <c r="I4" i="20"/>
  <c r="Q4" i="20" s="1"/>
  <c r="F92" i="33"/>
  <c r="L92" i="33" s="1"/>
  <c r="E92" i="32"/>
  <c r="I92" i="32" s="1"/>
  <c r="F92" i="22"/>
  <c r="L92" i="22" s="1"/>
  <c r="O92" i="22" s="1"/>
  <c r="E92" i="21"/>
  <c r="I92" i="21" s="1"/>
  <c r="K92" i="21" s="1"/>
  <c r="I92" i="31"/>
  <c r="Q92" i="31" s="1"/>
  <c r="I92" i="20"/>
  <c r="Q92" i="20" s="1"/>
  <c r="I54" i="20"/>
  <c r="Q54" i="20" s="1"/>
  <c r="I54" i="31"/>
  <c r="Q54" i="31" s="1"/>
  <c r="E54" i="32"/>
  <c r="I54" i="32" s="1"/>
  <c r="K54" i="32" s="1"/>
  <c r="F54" i="33"/>
  <c r="L54" i="33" s="1"/>
  <c r="O54" i="33" s="1"/>
  <c r="F54" i="22"/>
  <c r="L54" i="22" s="1"/>
  <c r="O54" i="22" s="1"/>
  <c r="E54" i="21"/>
  <c r="I54" i="21" s="1"/>
  <c r="K54" i="21" s="1"/>
  <c r="E90" i="32"/>
  <c r="I90" i="32" s="1"/>
  <c r="F90" i="33"/>
  <c r="L90" i="33" s="1"/>
  <c r="F90" i="22"/>
  <c r="L90" i="22" s="1"/>
  <c r="O90" i="22" s="1"/>
  <c r="E90" i="21"/>
  <c r="I90" i="21" s="1"/>
  <c r="K90" i="21" s="1"/>
  <c r="I90" i="20"/>
  <c r="Q90" i="20" s="1"/>
  <c r="I90" i="31"/>
  <c r="Q90" i="31" s="1"/>
  <c r="DL121" i="2"/>
  <c r="N159" i="6"/>
  <c r="N171" i="6" s="1"/>
  <c r="N183" i="6" s="1"/>
  <c r="N195" i="6" s="1"/>
  <c r="N207" i="6" s="1"/>
  <c r="N219" i="6" s="1"/>
  <c r="F61" i="33"/>
  <c r="L61" i="33" s="1"/>
  <c r="O61" i="33" s="1"/>
  <c r="E61" i="32"/>
  <c r="I61" i="32" s="1"/>
  <c r="K61" i="32" s="1"/>
  <c r="E61" i="21"/>
  <c r="I61" i="21" s="1"/>
  <c r="K61" i="21" s="1"/>
  <c r="F61" i="22"/>
  <c r="L61" i="22" s="1"/>
  <c r="O61" i="22" s="1"/>
  <c r="I61" i="31"/>
  <c r="Q61" i="31" s="1"/>
  <c r="I61" i="20"/>
  <c r="Q61" i="20" s="1"/>
  <c r="I75" i="31"/>
  <c r="Q75" i="31" s="1"/>
  <c r="S75" i="31" s="1"/>
  <c r="I75" i="20"/>
  <c r="Q75" i="20" s="1"/>
  <c r="S75" i="20" s="1"/>
  <c r="E75" i="32"/>
  <c r="I75" i="32" s="1"/>
  <c r="K75" i="32" s="1"/>
  <c r="F75" i="33"/>
  <c r="L75" i="33" s="1"/>
  <c r="O75" i="33" s="1"/>
  <c r="F75" i="22"/>
  <c r="L75" i="22" s="1"/>
  <c r="O75" i="22" s="1"/>
  <c r="E75" i="21"/>
  <c r="I75" i="21" s="1"/>
  <c r="K75" i="21" s="1"/>
  <c r="O162" i="6"/>
  <c r="S150" i="6"/>
  <c r="I64" i="31"/>
  <c r="Q64" i="31" s="1"/>
  <c r="E64" i="32"/>
  <c r="I64" i="32" s="1"/>
  <c r="K64" i="32" s="1"/>
  <c r="I64" i="20"/>
  <c r="Q64" i="20" s="1"/>
  <c r="F64" i="33"/>
  <c r="L64" i="33" s="1"/>
  <c r="O64" i="33" s="1"/>
  <c r="F64" i="22"/>
  <c r="L64" i="22" s="1"/>
  <c r="O64" i="22" s="1"/>
  <c r="E64" i="21"/>
  <c r="I64" i="21" s="1"/>
  <c r="K64" i="21" s="1"/>
  <c r="N158" i="6"/>
  <c r="N170" i="6" s="1"/>
  <c r="N182" i="6" s="1"/>
  <c r="N194" i="6" s="1"/>
  <c r="N206" i="6" s="1"/>
  <c r="N218" i="6" s="1"/>
  <c r="DL120" i="2"/>
  <c r="E80" i="32"/>
  <c r="I80" i="32" s="1"/>
  <c r="K80" i="32" s="1"/>
  <c r="F80" i="22"/>
  <c r="L80" i="22" s="1"/>
  <c r="O80" i="22" s="1"/>
  <c r="F80" i="33"/>
  <c r="L80" i="33" s="1"/>
  <c r="O80" i="33" s="1"/>
  <c r="E80" i="21"/>
  <c r="I80" i="21" s="1"/>
  <c r="K80" i="21" s="1"/>
  <c r="I80" i="31"/>
  <c r="Q80" i="31" s="1"/>
  <c r="S80" i="31" s="1"/>
  <c r="I80" i="20"/>
  <c r="Q80" i="20" s="1"/>
  <c r="S80" i="20" s="1"/>
  <c r="DL111" i="2"/>
  <c r="N149" i="6"/>
  <c r="N161" i="6" s="1"/>
  <c r="N173" i="6" s="1"/>
  <c r="N185" i="6" s="1"/>
  <c r="N197" i="6" s="1"/>
  <c r="N209" i="6" s="1"/>
  <c r="F109" i="22"/>
  <c r="L109" i="22" s="1"/>
  <c r="O109" i="22" s="1"/>
  <c r="Q109" i="22" s="1"/>
  <c r="I109" i="20"/>
  <c r="Q109" i="20" s="1"/>
  <c r="E109" i="32"/>
  <c r="I109" i="32" s="1"/>
  <c r="E109" i="21"/>
  <c r="I109" i="21" s="1"/>
  <c r="K109" i="21" s="1"/>
  <c r="M109" i="21" s="1"/>
  <c r="I109" i="31"/>
  <c r="Q109" i="31" s="1"/>
  <c r="F109" i="33"/>
  <c r="L109" i="33" s="1"/>
  <c r="E16" i="21"/>
  <c r="I16" i="21" s="1"/>
  <c r="K16" i="21" s="1"/>
  <c r="I16" i="31"/>
  <c r="Q16" i="31" s="1"/>
  <c r="I16" i="20"/>
  <c r="Q16" i="20" s="1"/>
  <c r="F16" i="33"/>
  <c r="L16" i="33" s="1"/>
  <c r="O16" i="33" s="1"/>
  <c r="E16" i="32"/>
  <c r="I16" i="32" s="1"/>
  <c r="K16" i="32" s="1"/>
  <c r="F16" i="22"/>
  <c r="L16" i="22" s="1"/>
  <c r="O16" i="22" s="1"/>
  <c r="Q158" i="6"/>
  <c r="Q170" i="6" s="1"/>
  <c r="Q182" i="6" s="1"/>
  <c r="Q194" i="6" s="1"/>
  <c r="Q206" i="6" s="1"/>
  <c r="Q218" i="6" s="1"/>
  <c r="DO120" i="2"/>
  <c r="E23" i="21"/>
  <c r="I23" i="21" s="1"/>
  <c r="K23" i="21" s="1"/>
  <c r="I23" i="20"/>
  <c r="Q23" i="20" s="1"/>
  <c r="I23" i="31"/>
  <c r="Q23" i="31" s="1"/>
  <c r="E23" i="32"/>
  <c r="I23" i="32" s="1"/>
  <c r="K23" i="32" s="1"/>
  <c r="F23" i="33"/>
  <c r="L23" i="33" s="1"/>
  <c r="O23" i="33" s="1"/>
  <c r="F23" i="22"/>
  <c r="L23" i="22" s="1"/>
  <c r="O23" i="22" s="1"/>
  <c r="I60" i="31"/>
  <c r="Q60" i="31" s="1"/>
  <c r="I60" i="20"/>
  <c r="Q60" i="20" s="1"/>
  <c r="E60" i="32"/>
  <c r="I60" i="32" s="1"/>
  <c r="K60" i="32" s="1"/>
  <c r="F60" i="33"/>
  <c r="L60" i="33" s="1"/>
  <c r="O60" i="33" s="1"/>
  <c r="E60" i="21"/>
  <c r="I60" i="21" s="1"/>
  <c r="K60" i="21" s="1"/>
  <c r="F60" i="22"/>
  <c r="L60" i="22" s="1"/>
  <c r="O60" i="22" s="1"/>
  <c r="I103" i="20"/>
  <c r="Q103" i="20" s="1"/>
  <c r="I103" i="31"/>
  <c r="Q103" i="31" s="1"/>
  <c r="F103" i="33"/>
  <c r="L103" i="33" s="1"/>
  <c r="E103" i="32"/>
  <c r="I103" i="32" s="1"/>
  <c r="F103" i="22"/>
  <c r="L103" i="22" s="1"/>
  <c r="O103" i="22" s="1"/>
  <c r="Q103" i="22" s="1"/>
  <c r="E103" i="21"/>
  <c r="I103" i="21" s="1"/>
  <c r="K103" i="21" s="1"/>
  <c r="M103" i="21" s="1"/>
  <c r="Q159" i="6"/>
  <c r="Q171" i="6" s="1"/>
  <c r="Q183" i="6" s="1"/>
  <c r="Q195" i="6" s="1"/>
  <c r="Q207" i="6" s="1"/>
  <c r="Q219" i="6" s="1"/>
  <c r="DO121" i="2"/>
  <c r="E53" i="32"/>
  <c r="I53" i="32" s="1"/>
  <c r="K53" i="32" s="1"/>
  <c r="F53" i="33"/>
  <c r="L53" i="33" s="1"/>
  <c r="O53" i="33" s="1"/>
  <c r="E53" i="21"/>
  <c r="I53" i="21" s="1"/>
  <c r="K53" i="21" s="1"/>
  <c r="F53" i="22"/>
  <c r="L53" i="22" s="1"/>
  <c r="O53" i="22" s="1"/>
  <c r="I53" i="31"/>
  <c r="Q53" i="31" s="1"/>
  <c r="I53" i="20"/>
  <c r="Q53" i="20" s="1"/>
  <c r="E27" i="32"/>
  <c r="I27" i="32" s="1"/>
  <c r="K27" i="32" s="1"/>
  <c r="F27" i="33"/>
  <c r="L27" i="33" s="1"/>
  <c r="O27" i="33" s="1"/>
  <c r="F27" i="22"/>
  <c r="L27" i="22" s="1"/>
  <c r="O27" i="22" s="1"/>
  <c r="E27" i="21"/>
  <c r="I27" i="21" s="1"/>
  <c r="K27" i="21" s="1"/>
  <c r="I27" i="31"/>
  <c r="Q27" i="31" s="1"/>
  <c r="S27" i="31" s="1"/>
  <c r="I27" i="20"/>
  <c r="Q27" i="20" s="1"/>
  <c r="S27" i="20" s="1"/>
  <c r="E110" i="32"/>
  <c r="I110" i="32" s="1"/>
  <c r="I110" i="31"/>
  <c r="Q110" i="31" s="1"/>
  <c r="F110" i="33"/>
  <c r="L110" i="33" s="1"/>
  <c r="E110" i="21"/>
  <c r="I110" i="21" s="1"/>
  <c r="K110" i="21" s="1"/>
  <c r="M110" i="21" s="1"/>
  <c r="F110" i="22"/>
  <c r="L110" i="22" s="1"/>
  <c r="O110" i="22" s="1"/>
  <c r="Q110" i="22" s="1"/>
  <c r="I110" i="20"/>
  <c r="Q110" i="20" s="1"/>
  <c r="S110" i="20" s="1"/>
  <c r="I74" i="20"/>
  <c r="Q74" i="20" s="1"/>
  <c r="I74" i="31"/>
  <c r="Q74" i="31" s="1"/>
  <c r="E74" i="32"/>
  <c r="I74" i="32" s="1"/>
  <c r="K74" i="32" s="1"/>
  <c r="F74" i="33"/>
  <c r="L74" i="33" s="1"/>
  <c r="O74" i="33" s="1"/>
  <c r="F74" i="22"/>
  <c r="L74" i="22" s="1"/>
  <c r="O74" i="22" s="1"/>
  <c r="E74" i="21"/>
  <c r="I74" i="21" s="1"/>
  <c r="K74" i="21" s="1"/>
  <c r="E93" i="21"/>
  <c r="I93" i="21" s="1"/>
  <c r="K93" i="21" s="1"/>
  <c r="F93" i="33"/>
  <c r="L93" i="33" s="1"/>
  <c r="E93" i="32"/>
  <c r="I93" i="32" s="1"/>
  <c r="F93" i="22"/>
  <c r="L93" i="22" s="1"/>
  <c r="O93" i="22" s="1"/>
  <c r="I93" i="31"/>
  <c r="Q93" i="31" s="1"/>
  <c r="I93" i="20"/>
  <c r="Q93" i="20" s="1"/>
  <c r="E15" i="32"/>
  <c r="I15" i="32" s="1"/>
  <c r="K15" i="32" s="1"/>
  <c r="F15" i="22"/>
  <c r="L15" i="22" s="1"/>
  <c r="O15" i="22" s="1"/>
  <c r="F15" i="33"/>
  <c r="L15" i="33" s="1"/>
  <c r="O15" i="33" s="1"/>
  <c r="E15" i="21"/>
  <c r="I15" i="21" s="1"/>
  <c r="K15" i="21" s="1"/>
  <c r="I15" i="31"/>
  <c r="Q15" i="31" s="1"/>
  <c r="I15" i="20"/>
  <c r="Q15" i="20" s="1"/>
  <c r="F42" i="22"/>
  <c r="L42" i="22" s="1"/>
  <c r="O42" i="22" s="1"/>
  <c r="E42" i="21"/>
  <c r="I42" i="21" s="1"/>
  <c r="K42" i="21" s="1"/>
  <c r="I42" i="20"/>
  <c r="Q42" i="20" s="1"/>
  <c r="I42" i="31"/>
  <c r="Q42" i="31" s="1"/>
  <c r="E42" i="32"/>
  <c r="I42" i="32" s="1"/>
  <c r="K42" i="32" s="1"/>
  <c r="F42" i="33"/>
  <c r="L42" i="33" s="1"/>
  <c r="O42" i="33" s="1"/>
  <c r="S156" i="6"/>
  <c r="O168" i="6"/>
  <c r="S149" i="6"/>
  <c r="O161" i="6"/>
  <c r="F7" i="33"/>
  <c r="L7" i="33" s="1"/>
  <c r="O7" i="33" s="1"/>
  <c r="Q7" i="33" s="1"/>
  <c r="E7" i="32"/>
  <c r="I7" i="32" s="1"/>
  <c r="K7" i="32" s="1"/>
  <c r="M7" i="32" s="1"/>
  <c r="F7" i="22"/>
  <c r="L7" i="22" s="1"/>
  <c r="O7" i="22" s="1"/>
  <c r="Q7" i="22" s="1"/>
  <c r="I7" i="20"/>
  <c r="Q7" i="20" s="1"/>
  <c r="E7" i="21"/>
  <c r="I7" i="21" s="1"/>
  <c r="K7" i="21" s="1"/>
  <c r="M7" i="21" s="1"/>
  <c r="I7" i="31"/>
  <c r="Q7" i="31" s="1"/>
  <c r="I40" i="20"/>
  <c r="Q40" i="20" s="1"/>
  <c r="F40" i="33"/>
  <c r="L40" i="33" s="1"/>
  <c r="O40" i="33" s="1"/>
  <c r="I40" i="31"/>
  <c r="Q40" i="31" s="1"/>
  <c r="E40" i="32"/>
  <c r="I40" i="32" s="1"/>
  <c r="K40" i="32" s="1"/>
  <c r="E40" i="21"/>
  <c r="I40" i="21" s="1"/>
  <c r="K40" i="21" s="1"/>
  <c r="F40" i="22"/>
  <c r="L40" i="22" s="1"/>
  <c r="O40" i="22" s="1"/>
  <c r="O157" i="6"/>
  <c r="S145" i="6"/>
  <c r="DM119" i="2"/>
  <c r="F73" i="22"/>
  <c r="L73" i="22" s="1"/>
  <c r="O73" i="22" s="1"/>
  <c r="E73" i="21"/>
  <c r="I73" i="21" s="1"/>
  <c r="K73" i="21" s="1"/>
  <c r="I73" i="20"/>
  <c r="Q73" i="20" s="1"/>
  <c r="I73" i="31"/>
  <c r="Q73" i="31" s="1"/>
  <c r="E73" i="32"/>
  <c r="I73" i="32" s="1"/>
  <c r="K73" i="32" s="1"/>
  <c r="F73" i="33"/>
  <c r="L73" i="33" s="1"/>
  <c r="O73" i="33" s="1"/>
  <c r="I104" i="20"/>
  <c r="Q104" i="20" s="1"/>
  <c r="F104" i="22"/>
  <c r="L104" i="22" s="1"/>
  <c r="O104" i="22" s="1"/>
  <c r="Q104" i="22" s="1"/>
  <c r="I104" i="31"/>
  <c r="Q104" i="31" s="1"/>
  <c r="F104" i="33"/>
  <c r="L104" i="33" s="1"/>
  <c r="E104" i="32"/>
  <c r="I104" i="32" s="1"/>
  <c r="E104" i="21"/>
  <c r="I104" i="21" s="1"/>
  <c r="K104" i="21" s="1"/>
  <c r="M104" i="21" s="1"/>
  <c r="I87" i="20"/>
  <c r="Q87" i="20" s="1"/>
  <c r="I87" i="31"/>
  <c r="Q87" i="31" s="1"/>
  <c r="F87" i="33"/>
  <c r="L87" i="33" s="1"/>
  <c r="E87" i="32"/>
  <c r="I87" i="32" s="1"/>
  <c r="F87" i="22"/>
  <c r="L87" i="22" s="1"/>
  <c r="O87" i="22" s="1"/>
  <c r="E87" i="21"/>
  <c r="I87" i="21" s="1"/>
  <c r="K87" i="21" s="1"/>
  <c r="E3" i="32"/>
  <c r="I3" i="32" s="1"/>
  <c r="K3" i="32" s="1"/>
  <c r="M3" i="32" s="1"/>
  <c r="F3" i="33"/>
  <c r="L3" i="33" s="1"/>
  <c r="O3" i="33" s="1"/>
  <c r="Q3" i="33" s="1"/>
  <c r="E3" i="21"/>
  <c r="I3" i="21" s="1"/>
  <c r="K3" i="21" s="1"/>
  <c r="M3" i="21" s="1"/>
  <c r="F3" i="22"/>
  <c r="L3" i="22" s="1"/>
  <c r="O3" i="22" s="1"/>
  <c r="Q3" i="22" s="1"/>
  <c r="I3" i="31"/>
  <c r="Q3" i="31" s="1"/>
  <c r="S3" i="31" s="1"/>
  <c r="V3" i="31" s="1"/>
  <c r="I3" i="20"/>
  <c r="Q3" i="20" s="1"/>
  <c r="S3" i="20" s="1"/>
  <c r="U3" i="20" s="1"/>
  <c r="P157" i="6"/>
  <c r="P169" i="6" s="1"/>
  <c r="P181" i="6" s="1"/>
  <c r="P193" i="6" s="1"/>
  <c r="P205" i="6" s="1"/>
  <c r="P217" i="6" s="1"/>
  <c r="DN119" i="2"/>
  <c r="F18" i="22"/>
  <c r="L18" i="22" s="1"/>
  <c r="O18" i="22" s="1"/>
  <c r="F18" i="33"/>
  <c r="L18" i="33" s="1"/>
  <c r="O18" i="33" s="1"/>
  <c r="I18" i="31"/>
  <c r="Q18" i="31" s="1"/>
  <c r="I18" i="20"/>
  <c r="Q18" i="20" s="1"/>
  <c r="E18" i="32"/>
  <c r="I18" i="32" s="1"/>
  <c r="K18" i="32" s="1"/>
  <c r="E18" i="21"/>
  <c r="I18" i="21" s="1"/>
  <c r="K18" i="21" s="1"/>
  <c r="S154" i="6"/>
  <c r="O166" i="6"/>
  <c r="F11" i="22"/>
  <c r="L11" i="22" s="1"/>
  <c r="O11" i="22" s="1"/>
  <c r="Q11" i="22" s="1"/>
  <c r="E11" i="21"/>
  <c r="I11" i="21" s="1"/>
  <c r="K11" i="21" s="1"/>
  <c r="M11" i="21" s="1"/>
  <c r="I11" i="31"/>
  <c r="Q11" i="31" s="1"/>
  <c r="I11" i="20"/>
  <c r="Q11" i="20" s="1"/>
  <c r="E11" i="32"/>
  <c r="I11" i="32" s="1"/>
  <c r="K11" i="32" s="1"/>
  <c r="M11" i="32" s="1"/>
  <c r="F11" i="33"/>
  <c r="L11" i="33" s="1"/>
  <c r="O11" i="33" s="1"/>
  <c r="Q11" i="33" s="1"/>
  <c r="I13" i="31"/>
  <c r="Q13" i="31" s="1"/>
  <c r="I13" i="20"/>
  <c r="Q13" i="20" s="1"/>
  <c r="F13" i="33"/>
  <c r="L13" i="33" s="1"/>
  <c r="O13" i="33" s="1"/>
  <c r="Q13" i="33" s="1"/>
  <c r="E13" i="32"/>
  <c r="I13" i="32" s="1"/>
  <c r="K13" i="32" s="1"/>
  <c r="M13" i="32" s="1"/>
  <c r="E13" i="21"/>
  <c r="I13" i="21" s="1"/>
  <c r="K13" i="21" s="1"/>
  <c r="M13" i="21" s="1"/>
  <c r="F13" i="22"/>
  <c r="L13" i="22" s="1"/>
  <c r="O13" i="22" s="1"/>
  <c r="Q13" i="22" s="1"/>
  <c r="R157" i="6"/>
  <c r="R169" i="6" s="1"/>
  <c r="R181" i="6" s="1"/>
  <c r="R193" i="6" s="1"/>
  <c r="R205" i="6" s="1"/>
  <c r="R217" i="6" s="1"/>
  <c r="DP119" i="2"/>
  <c r="F77" i="22"/>
  <c r="L77" i="22" s="1"/>
  <c r="O77" i="22" s="1"/>
  <c r="I77" i="31"/>
  <c r="Q77" i="31" s="1"/>
  <c r="S77" i="31" s="1"/>
  <c r="I77" i="20"/>
  <c r="Q77" i="20" s="1"/>
  <c r="S77" i="20" s="1"/>
  <c r="E77" i="32"/>
  <c r="I77" i="32" s="1"/>
  <c r="K77" i="32" s="1"/>
  <c r="F77" i="33"/>
  <c r="L77" i="33" s="1"/>
  <c r="O77" i="33" s="1"/>
  <c r="E77" i="21"/>
  <c r="I77" i="21" s="1"/>
  <c r="K77" i="21" s="1"/>
  <c r="I52" i="31"/>
  <c r="Q52" i="31" s="1"/>
  <c r="I52" i="20"/>
  <c r="Q52" i="20" s="1"/>
  <c r="F52" i="33"/>
  <c r="L52" i="33" s="1"/>
  <c r="O52" i="33" s="1"/>
  <c r="E52" i="32"/>
  <c r="I52" i="32" s="1"/>
  <c r="K52" i="32" s="1"/>
  <c r="E52" i="21"/>
  <c r="I52" i="21" s="1"/>
  <c r="K52" i="21" s="1"/>
  <c r="F52" i="22"/>
  <c r="L52" i="22" s="1"/>
  <c r="O52" i="22" s="1"/>
  <c r="E38" i="32"/>
  <c r="I38" i="32" s="1"/>
  <c r="K38" i="32" s="1"/>
  <c r="F38" i="33"/>
  <c r="L38" i="33" s="1"/>
  <c r="O38" i="33" s="1"/>
  <c r="F38" i="22"/>
  <c r="L38" i="22" s="1"/>
  <c r="O38" i="22" s="1"/>
  <c r="E38" i="21"/>
  <c r="I38" i="21" s="1"/>
  <c r="K38" i="21" s="1"/>
  <c r="I38" i="20"/>
  <c r="Q38" i="20" s="1"/>
  <c r="I38" i="31"/>
  <c r="Q38" i="31" s="1"/>
  <c r="I63" i="31"/>
  <c r="Q63" i="31" s="1"/>
  <c r="I63" i="20"/>
  <c r="Q63" i="20" s="1"/>
  <c r="F63" i="33"/>
  <c r="L63" i="33" s="1"/>
  <c r="O63" i="33" s="1"/>
  <c r="F63" i="22"/>
  <c r="L63" i="22" s="1"/>
  <c r="O63" i="22" s="1"/>
  <c r="E63" i="21"/>
  <c r="I63" i="21" s="1"/>
  <c r="K63" i="21" s="1"/>
  <c r="E63" i="32"/>
  <c r="I63" i="32" s="1"/>
  <c r="K63" i="32" s="1"/>
  <c r="I107" i="31"/>
  <c r="Q107" i="31" s="1"/>
  <c r="I107" i="20"/>
  <c r="Q107" i="20" s="1"/>
  <c r="F107" i="33"/>
  <c r="L107" i="33" s="1"/>
  <c r="F107" i="22"/>
  <c r="L107" i="22" s="1"/>
  <c r="O107" i="22" s="1"/>
  <c r="Q107" i="22" s="1"/>
  <c r="E107" i="21"/>
  <c r="I107" i="21" s="1"/>
  <c r="K107" i="21" s="1"/>
  <c r="M107" i="21" s="1"/>
  <c r="E107" i="32"/>
  <c r="I107" i="32" s="1"/>
  <c r="I94" i="31"/>
  <c r="Q94" i="31" s="1"/>
  <c r="I94" i="20"/>
  <c r="Q94" i="20" s="1"/>
  <c r="E94" i="32"/>
  <c r="I94" i="32" s="1"/>
  <c r="F94" i="33"/>
  <c r="L94" i="33" s="1"/>
  <c r="E94" i="21"/>
  <c r="I94" i="21" s="1"/>
  <c r="K94" i="21" s="1"/>
  <c r="F94" i="22"/>
  <c r="L94" i="22" s="1"/>
  <c r="O94" i="22" s="1"/>
  <c r="I51" i="31"/>
  <c r="Q51" i="31" s="1"/>
  <c r="S51" i="31" s="1"/>
  <c r="I51" i="20"/>
  <c r="Q51" i="20" s="1"/>
  <c r="S51" i="20" s="1"/>
  <c r="E51" i="32"/>
  <c r="I51" i="32" s="1"/>
  <c r="K51" i="32" s="1"/>
  <c r="F51" i="33"/>
  <c r="L51" i="33" s="1"/>
  <c r="O51" i="33" s="1"/>
  <c r="E51" i="21"/>
  <c r="I51" i="21" s="1"/>
  <c r="K51" i="21" s="1"/>
  <c r="F51" i="22"/>
  <c r="L51" i="22" s="1"/>
  <c r="O51" i="22" s="1"/>
  <c r="I118" i="31"/>
  <c r="Q118" i="31" s="1"/>
  <c r="I118" i="20"/>
  <c r="Q118" i="20" s="1"/>
  <c r="S118" i="20" s="1"/>
  <c r="E118" i="21"/>
  <c r="I118" i="21" s="1"/>
  <c r="K118" i="21" s="1"/>
  <c r="M118" i="21" s="1"/>
  <c r="E118" i="32"/>
  <c r="I118" i="32" s="1"/>
  <c r="F118" i="33"/>
  <c r="L118" i="33" s="1"/>
  <c r="F118" i="22"/>
  <c r="L118" i="22" s="1"/>
  <c r="O118" i="22" s="1"/>
  <c r="Q118" i="22" s="1"/>
  <c r="O163" i="6"/>
  <c r="S151" i="6"/>
  <c r="E32" i="32"/>
  <c r="I32" i="32" s="1"/>
  <c r="K32" i="32" s="1"/>
  <c r="I32" i="31"/>
  <c r="Q32" i="31" s="1"/>
  <c r="S32" i="31" s="1"/>
  <c r="F32" i="33"/>
  <c r="L32" i="33" s="1"/>
  <c r="O32" i="33" s="1"/>
  <c r="I32" i="20"/>
  <c r="Q32" i="20" s="1"/>
  <c r="S32" i="20" s="1"/>
  <c r="F32" i="22"/>
  <c r="L32" i="22" s="1"/>
  <c r="O32" i="22" s="1"/>
  <c r="E32" i="21"/>
  <c r="I32" i="21" s="1"/>
  <c r="K32" i="21" s="1"/>
  <c r="N157" i="6"/>
  <c r="N169" i="6" s="1"/>
  <c r="N181" i="6" s="1"/>
  <c r="N193" i="6" s="1"/>
  <c r="N205" i="6" s="1"/>
  <c r="N217" i="6" s="1"/>
  <c r="DL119" i="2"/>
  <c r="I17" i="31"/>
  <c r="Q17" i="31" s="1"/>
  <c r="I17" i="20"/>
  <c r="Q17" i="20" s="1"/>
  <c r="E17" i="32"/>
  <c r="I17" i="32" s="1"/>
  <c r="K17" i="32" s="1"/>
  <c r="F17" i="33"/>
  <c r="L17" i="33" s="1"/>
  <c r="O17" i="33" s="1"/>
  <c r="F17" i="22"/>
  <c r="L17" i="22" s="1"/>
  <c r="O17" i="22" s="1"/>
  <c r="E17" i="21"/>
  <c r="I17" i="21" s="1"/>
  <c r="K17" i="21" s="1"/>
  <c r="F84" i="33"/>
  <c r="L84" i="33" s="1"/>
  <c r="O84" i="33" s="1"/>
  <c r="E84" i="32"/>
  <c r="I84" i="32" s="1"/>
  <c r="K84" i="32" s="1"/>
  <c r="E84" i="21"/>
  <c r="I84" i="21" s="1"/>
  <c r="K84" i="21" s="1"/>
  <c r="F84" i="22"/>
  <c r="L84" i="22" s="1"/>
  <c r="O84" i="22" s="1"/>
  <c r="I84" i="31"/>
  <c r="Q84" i="31" s="1"/>
  <c r="S84" i="31" s="1"/>
  <c r="I84" i="20"/>
  <c r="Q84" i="20" s="1"/>
  <c r="S84" i="20" s="1"/>
  <c r="I44" i="31"/>
  <c r="Q44" i="31" s="1"/>
  <c r="I44" i="20"/>
  <c r="Q44" i="20" s="1"/>
  <c r="F44" i="33"/>
  <c r="L44" i="33" s="1"/>
  <c r="O44" i="33" s="1"/>
  <c r="F44" i="22"/>
  <c r="L44" i="22" s="1"/>
  <c r="O44" i="22" s="1"/>
  <c r="E44" i="32"/>
  <c r="I44" i="32" s="1"/>
  <c r="K44" i="32" s="1"/>
  <c r="E44" i="21"/>
  <c r="I44" i="21" s="1"/>
  <c r="K44" i="21" s="1"/>
  <c r="I21" i="31"/>
  <c r="Q21" i="31" s="1"/>
  <c r="I21" i="20"/>
  <c r="Q21" i="20" s="1"/>
  <c r="E21" i="32"/>
  <c r="I21" i="32" s="1"/>
  <c r="K21" i="32" s="1"/>
  <c r="F21" i="33"/>
  <c r="L21" i="33" s="1"/>
  <c r="O21" i="33" s="1"/>
  <c r="E21" i="21"/>
  <c r="I21" i="21" s="1"/>
  <c r="K21" i="21" s="1"/>
  <c r="F21" i="22"/>
  <c r="L21" i="22" s="1"/>
  <c r="O21" i="22" s="1"/>
  <c r="F34" i="33"/>
  <c r="L34" i="33" s="1"/>
  <c r="O34" i="33" s="1"/>
  <c r="E34" i="32"/>
  <c r="I34" i="32" s="1"/>
  <c r="K34" i="32" s="1"/>
  <c r="E34" i="21"/>
  <c r="I34" i="21" s="1"/>
  <c r="K34" i="21" s="1"/>
  <c r="F34" i="22"/>
  <c r="L34" i="22" s="1"/>
  <c r="O34" i="22" s="1"/>
  <c r="I34" i="31"/>
  <c r="Q34" i="31" s="1"/>
  <c r="S34" i="31" s="1"/>
  <c r="I34" i="20"/>
  <c r="Q34" i="20" s="1"/>
  <c r="S34" i="20" s="1"/>
  <c r="F59" i="33"/>
  <c r="L59" i="33" s="1"/>
  <c r="O59" i="33" s="1"/>
  <c r="E59" i="32"/>
  <c r="I59" i="32" s="1"/>
  <c r="K59" i="32" s="1"/>
  <c r="F59" i="22"/>
  <c r="L59" i="22" s="1"/>
  <c r="O59" i="22" s="1"/>
  <c r="E59" i="21"/>
  <c r="I59" i="21" s="1"/>
  <c r="K59" i="21" s="1"/>
  <c r="I59" i="31"/>
  <c r="Q59" i="31" s="1"/>
  <c r="I59" i="20"/>
  <c r="Q59" i="20" s="1"/>
  <c r="F2" i="33"/>
  <c r="L2" i="33" s="1"/>
  <c r="O2" i="33" s="1"/>
  <c r="Q2" i="33" s="1"/>
  <c r="E2" i="32"/>
  <c r="I2" i="32" s="1"/>
  <c r="K2" i="32" s="1"/>
  <c r="M2" i="32" s="1"/>
  <c r="E2" i="21"/>
  <c r="I2" i="21" s="1"/>
  <c r="K2" i="21" s="1"/>
  <c r="M2" i="21" s="1"/>
  <c r="F2" i="22"/>
  <c r="L2" i="22" s="1"/>
  <c r="O2" i="22" s="1"/>
  <c r="Q2" i="22" s="1"/>
  <c r="I2" i="31"/>
  <c r="Q2" i="31" s="1"/>
  <c r="I2" i="20"/>
  <c r="Q2" i="20" s="1"/>
  <c r="E37" i="32"/>
  <c r="I37" i="32" s="1"/>
  <c r="K37" i="32" s="1"/>
  <c r="F37" i="33"/>
  <c r="L37" i="33" s="1"/>
  <c r="O37" i="33" s="1"/>
  <c r="E37" i="21"/>
  <c r="I37" i="21" s="1"/>
  <c r="K37" i="21" s="1"/>
  <c r="I37" i="31"/>
  <c r="Q37" i="31" s="1"/>
  <c r="S37" i="31" s="1"/>
  <c r="F37" i="22"/>
  <c r="L37" i="22" s="1"/>
  <c r="O37" i="22" s="1"/>
  <c r="I37" i="20"/>
  <c r="Q37" i="20" s="1"/>
  <c r="S37" i="20" s="1"/>
  <c r="F30" i="22"/>
  <c r="L30" i="22" s="1"/>
  <c r="O30" i="22" s="1"/>
  <c r="I30" i="31"/>
  <c r="Q30" i="31" s="1"/>
  <c r="S30" i="31" s="1"/>
  <c r="I30" i="20"/>
  <c r="Q30" i="20" s="1"/>
  <c r="S30" i="20" s="1"/>
  <c r="E30" i="32"/>
  <c r="I30" i="32" s="1"/>
  <c r="K30" i="32" s="1"/>
  <c r="F30" i="33"/>
  <c r="L30" i="33" s="1"/>
  <c r="O30" i="33" s="1"/>
  <c r="E30" i="21"/>
  <c r="I30" i="21" s="1"/>
  <c r="K30" i="21" s="1"/>
  <c r="E28" i="21"/>
  <c r="I28" i="21" s="1"/>
  <c r="K28" i="21" s="1"/>
  <c r="F28" i="22"/>
  <c r="L28" i="22" s="1"/>
  <c r="O28" i="22" s="1"/>
  <c r="I28" i="31"/>
  <c r="Q28" i="31" s="1"/>
  <c r="S28" i="31" s="1"/>
  <c r="I28" i="20"/>
  <c r="Q28" i="20" s="1"/>
  <c r="S28" i="20" s="1"/>
  <c r="F28" i="33"/>
  <c r="L28" i="33" s="1"/>
  <c r="O28" i="33" s="1"/>
  <c r="E28" i="32"/>
  <c r="I28" i="32" s="1"/>
  <c r="K28" i="32" s="1"/>
  <c r="I31" i="31"/>
  <c r="Q31" i="31" s="1"/>
  <c r="S31" i="31" s="1"/>
  <c r="I31" i="20"/>
  <c r="Q31" i="20" s="1"/>
  <c r="S31" i="20" s="1"/>
  <c r="F31" i="33"/>
  <c r="L31" i="33" s="1"/>
  <c r="O31" i="33" s="1"/>
  <c r="F31" i="22"/>
  <c r="L31" i="22" s="1"/>
  <c r="O31" i="22" s="1"/>
  <c r="E31" i="32"/>
  <c r="I31" i="32" s="1"/>
  <c r="K31" i="32" s="1"/>
  <c r="E31" i="21"/>
  <c r="I31" i="21" s="1"/>
  <c r="K31" i="21" s="1"/>
  <c r="DO110" i="2"/>
  <c r="Q148" i="6"/>
  <c r="Q160" i="6" s="1"/>
  <c r="Q172" i="6" s="1"/>
  <c r="Q184" i="6" s="1"/>
  <c r="Q196" i="6" s="1"/>
  <c r="Q208" i="6" s="1"/>
  <c r="Q238" i="6"/>
  <c r="Q250" i="6" s="1"/>
  <c r="S155" i="6"/>
  <c r="O167" i="6"/>
  <c r="F58" i="33"/>
  <c r="L58" i="33" s="1"/>
  <c r="O58" i="33" s="1"/>
  <c r="E58" i="32"/>
  <c r="I58" i="32" s="1"/>
  <c r="K58" i="32" s="1"/>
  <c r="F58" i="22"/>
  <c r="L58" i="22" s="1"/>
  <c r="O58" i="22" s="1"/>
  <c r="E58" i="21"/>
  <c r="I58" i="21" s="1"/>
  <c r="K58" i="21" s="1"/>
  <c r="I58" i="20"/>
  <c r="Q58" i="20" s="1"/>
  <c r="I58" i="31"/>
  <c r="Q58" i="31" s="1"/>
  <c r="I29" i="31"/>
  <c r="Q29" i="31" s="1"/>
  <c r="S29" i="31" s="1"/>
  <c r="I29" i="20"/>
  <c r="Q29" i="20" s="1"/>
  <c r="S29" i="20" s="1"/>
  <c r="F29" i="33"/>
  <c r="L29" i="33" s="1"/>
  <c r="O29" i="33" s="1"/>
  <c r="E29" i="32"/>
  <c r="I29" i="32" s="1"/>
  <c r="K29" i="32" s="1"/>
  <c r="E29" i="21"/>
  <c r="I29" i="21" s="1"/>
  <c r="K29" i="21" s="1"/>
  <c r="F29" i="22"/>
  <c r="L29" i="22" s="1"/>
  <c r="O29" i="22" s="1"/>
  <c r="F81" i="33"/>
  <c r="L81" i="33" s="1"/>
  <c r="O81" i="33" s="1"/>
  <c r="E81" i="32"/>
  <c r="I81" i="32" s="1"/>
  <c r="K81" i="32" s="1"/>
  <c r="F81" i="22"/>
  <c r="L81" i="22" s="1"/>
  <c r="O81" i="22" s="1"/>
  <c r="E81" i="21"/>
  <c r="I81" i="21" s="1"/>
  <c r="K81" i="21" s="1"/>
  <c r="I81" i="31"/>
  <c r="Q81" i="31" s="1"/>
  <c r="S81" i="31" s="1"/>
  <c r="I81" i="20"/>
  <c r="Q81" i="20" s="1"/>
  <c r="S81" i="20" s="1"/>
  <c r="F76" i="33"/>
  <c r="L76" i="33" s="1"/>
  <c r="O76" i="33" s="1"/>
  <c r="E76" i="32"/>
  <c r="I76" i="32" s="1"/>
  <c r="K76" i="32" s="1"/>
  <c r="E76" i="21"/>
  <c r="I76" i="21" s="1"/>
  <c r="K76" i="21" s="1"/>
  <c r="F76" i="22"/>
  <c r="L76" i="22" s="1"/>
  <c r="O76" i="22" s="1"/>
  <c r="I76" i="31"/>
  <c r="Q76" i="31" s="1"/>
  <c r="S76" i="31" s="1"/>
  <c r="I76" i="20"/>
  <c r="Q76" i="20" s="1"/>
  <c r="S76" i="20" s="1"/>
  <c r="E26" i="32"/>
  <c r="I26" i="32" s="1"/>
  <c r="K26" i="32" s="1"/>
  <c r="F26" i="33"/>
  <c r="L26" i="33" s="1"/>
  <c r="O26" i="33" s="1"/>
  <c r="F26" i="22"/>
  <c r="L26" i="22" s="1"/>
  <c r="O26" i="22" s="1"/>
  <c r="E26" i="21"/>
  <c r="I26" i="21" s="1"/>
  <c r="K26" i="21" s="1"/>
  <c r="I26" i="20"/>
  <c r="Q26" i="20" s="1"/>
  <c r="S26" i="20" s="1"/>
  <c r="I26" i="31"/>
  <c r="Q26" i="31" s="1"/>
  <c r="S26" i="31" s="1"/>
  <c r="I24" i="20"/>
  <c r="Q24" i="20" s="1"/>
  <c r="I24" i="31"/>
  <c r="Q24" i="31" s="1"/>
  <c r="E24" i="32"/>
  <c r="I24" i="32" s="1"/>
  <c r="K24" i="32" s="1"/>
  <c r="F24" i="33"/>
  <c r="L24" i="33" s="1"/>
  <c r="O24" i="33" s="1"/>
  <c r="F24" i="22"/>
  <c r="L24" i="22" s="1"/>
  <c r="O24" i="22" s="1"/>
  <c r="E24" i="21"/>
  <c r="I24" i="21" s="1"/>
  <c r="K24" i="21" s="1"/>
  <c r="I102" i="20"/>
  <c r="Q102" i="20" s="1"/>
  <c r="I102" i="31"/>
  <c r="Q102" i="31" s="1"/>
  <c r="E102" i="32"/>
  <c r="I102" i="32" s="1"/>
  <c r="F102" i="22"/>
  <c r="L102" i="22" s="1"/>
  <c r="O102" i="22" s="1"/>
  <c r="Q102" i="22" s="1"/>
  <c r="E102" i="21"/>
  <c r="I102" i="21" s="1"/>
  <c r="K102" i="21" s="1"/>
  <c r="M102" i="21" s="1"/>
  <c r="F102" i="33"/>
  <c r="L102" i="33" s="1"/>
  <c r="F46" i="33"/>
  <c r="L46" i="33" s="1"/>
  <c r="O46" i="33" s="1"/>
  <c r="E46" i="32"/>
  <c r="I46" i="32" s="1"/>
  <c r="K46" i="32" s="1"/>
  <c r="E46" i="21"/>
  <c r="I46" i="21" s="1"/>
  <c r="K46" i="21" s="1"/>
  <c r="F46" i="22"/>
  <c r="L46" i="22" s="1"/>
  <c r="O46" i="22" s="1"/>
  <c r="I46" i="31"/>
  <c r="Q46" i="31" s="1"/>
  <c r="I46" i="20"/>
  <c r="Q46" i="20" s="1"/>
  <c r="S146" i="6"/>
  <c r="DM120" i="2"/>
  <c r="O158" i="6"/>
  <c r="I19" i="31"/>
  <c r="Q19" i="31" s="1"/>
  <c r="I19" i="20"/>
  <c r="Q19" i="20" s="1"/>
  <c r="F19" i="33"/>
  <c r="L19" i="33" s="1"/>
  <c r="O19" i="33" s="1"/>
  <c r="E19" i="32"/>
  <c r="I19" i="32" s="1"/>
  <c r="K19" i="32" s="1"/>
  <c r="E19" i="21"/>
  <c r="I19" i="21" s="1"/>
  <c r="K19" i="21" s="1"/>
  <c r="F19" i="22"/>
  <c r="L19" i="22" s="1"/>
  <c r="O19" i="22" s="1"/>
  <c r="DP110" i="2"/>
  <c r="R148" i="6"/>
  <c r="R160" i="6" s="1"/>
  <c r="R172" i="6" s="1"/>
  <c r="R184" i="6" s="1"/>
  <c r="R196" i="6" s="1"/>
  <c r="R208" i="6" s="1"/>
  <c r="R238" i="6"/>
  <c r="R250" i="6" s="1"/>
  <c r="F70" i="33"/>
  <c r="L70" i="33" s="1"/>
  <c r="O70" i="33" s="1"/>
  <c r="E70" i="32"/>
  <c r="I70" i="32" s="1"/>
  <c r="K70" i="32" s="1"/>
  <c r="F70" i="22"/>
  <c r="L70" i="22" s="1"/>
  <c r="O70" i="22" s="1"/>
  <c r="E70" i="21"/>
  <c r="I70" i="21" s="1"/>
  <c r="K70" i="21" s="1"/>
  <c r="I70" i="20"/>
  <c r="Q70" i="20" s="1"/>
  <c r="I70" i="31"/>
  <c r="Q70" i="31" s="1"/>
  <c r="E88" i="32"/>
  <c r="I88" i="32" s="1"/>
  <c r="F88" i="33"/>
  <c r="L88" i="33" s="1"/>
  <c r="F88" i="22"/>
  <c r="L88" i="22" s="1"/>
  <c r="O88" i="22" s="1"/>
  <c r="E88" i="21"/>
  <c r="I88" i="21" s="1"/>
  <c r="K88" i="21" s="1"/>
  <c r="I88" i="20"/>
  <c r="Q88" i="20" s="1"/>
  <c r="I88" i="31"/>
  <c r="Q88" i="31" s="1"/>
  <c r="F47" i="33"/>
  <c r="L47" i="33" s="1"/>
  <c r="O47" i="33" s="1"/>
  <c r="F47" i="22"/>
  <c r="L47" i="22" s="1"/>
  <c r="O47" i="22" s="1"/>
  <c r="E47" i="21"/>
  <c r="I47" i="21" s="1"/>
  <c r="K47" i="21" s="1"/>
  <c r="I47" i="31"/>
  <c r="Q47" i="31" s="1"/>
  <c r="I47" i="20"/>
  <c r="Q47" i="20" s="1"/>
  <c r="E47" i="32"/>
  <c r="I47" i="32" s="1"/>
  <c r="K47" i="32" s="1"/>
  <c r="DP111" i="2"/>
  <c r="R149" i="6"/>
  <c r="R161" i="6" s="1"/>
  <c r="R173" i="6" s="1"/>
  <c r="R185" i="6" s="1"/>
  <c r="R197" i="6" s="1"/>
  <c r="R209" i="6" s="1"/>
  <c r="S152" i="6"/>
  <c r="O164" i="6"/>
  <c r="I95" i="31"/>
  <c r="Q95" i="31" s="1"/>
  <c r="I95" i="20"/>
  <c r="Q95" i="20" s="1"/>
  <c r="F95" i="33"/>
  <c r="L95" i="33" s="1"/>
  <c r="E95" i="32"/>
  <c r="I95" i="32" s="1"/>
  <c r="F95" i="22"/>
  <c r="L95" i="22" s="1"/>
  <c r="O95" i="22" s="1"/>
  <c r="E95" i="21"/>
  <c r="I95" i="21" s="1"/>
  <c r="K95" i="21" s="1"/>
  <c r="E115" i="32"/>
  <c r="I115" i="32" s="1"/>
  <c r="F115" i="33"/>
  <c r="L115" i="33" s="1"/>
  <c r="F115" i="22"/>
  <c r="L115" i="22" s="1"/>
  <c r="O115" i="22" s="1"/>
  <c r="Q115" i="22" s="1"/>
  <c r="I115" i="31"/>
  <c r="Q115" i="31" s="1"/>
  <c r="E115" i="21"/>
  <c r="I115" i="21" s="1"/>
  <c r="K115" i="21" s="1"/>
  <c r="M115" i="21" s="1"/>
  <c r="I115" i="20"/>
  <c r="Q115" i="20" s="1"/>
  <c r="S115" i="20" s="1"/>
  <c r="I100" i="31"/>
  <c r="Q100" i="31" s="1"/>
  <c r="I100" i="20"/>
  <c r="Q100" i="20" s="1"/>
  <c r="F100" i="33"/>
  <c r="L100" i="33" s="1"/>
  <c r="E100" i="21"/>
  <c r="I100" i="21" s="1"/>
  <c r="K100" i="21" s="1"/>
  <c r="M100" i="21" s="1"/>
  <c r="F100" i="22"/>
  <c r="L100" i="22" s="1"/>
  <c r="O100" i="22" s="1"/>
  <c r="Q100" i="22" s="1"/>
  <c r="E100" i="32"/>
  <c r="I100" i="32" s="1"/>
  <c r="F39" i="33"/>
  <c r="L39" i="33" s="1"/>
  <c r="O39" i="33" s="1"/>
  <c r="F39" i="22"/>
  <c r="L39" i="22" s="1"/>
  <c r="O39" i="22" s="1"/>
  <c r="E39" i="32"/>
  <c r="I39" i="32" s="1"/>
  <c r="K39" i="32" s="1"/>
  <c r="I39" i="20"/>
  <c r="Q39" i="20" s="1"/>
  <c r="E39" i="21"/>
  <c r="I39" i="21" s="1"/>
  <c r="K39" i="21" s="1"/>
  <c r="I39" i="31"/>
  <c r="Q39" i="31" s="1"/>
  <c r="I83" i="31"/>
  <c r="Q83" i="31" s="1"/>
  <c r="S83" i="31" s="1"/>
  <c r="I83" i="20"/>
  <c r="Q83" i="20" s="1"/>
  <c r="S83" i="20" s="1"/>
  <c r="E83" i="32"/>
  <c r="I83" i="32" s="1"/>
  <c r="K83" i="32" s="1"/>
  <c r="E83" i="21"/>
  <c r="I83" i="21" s="1"/>
  <c r="K83" i="21" s="1"/>
  <c r="F83" i="22"/>
  <c r="L83" i="22" s="1"/>
  <c r="O83" i="22" s="1"/>
  <c r="F83" i="33"/>
  <c r="L83" i="33" s="1"/>
  <c r="O83" i="33" s="1"/>
  <c r="F49" i="33"/>
  <c r="L49" i="33" s="1"/>
  <c r="O49" i="33" s="1"/>
  <c r="E49" i="32"/>
  <c r="I49" i="32" s="1"/>
  <c r="K49" i="32" s="1"/>
  <c r="F49" i="22"/>
  <c r="L49" i="22" s="1"/>
  <c r="O49" i="22" s="1"/>
  <c r="E49" i="21"/>
  <c r="I49" i="21" s="1"/>
  <c r="K49" i="21" s="1"/>
  <c r="I49" i="31"/>
  <c r="Q49" i="31" s="1"/>
  <c r="I49" i="20"/>
  <c r="Q49" i="20" s="1"/>
  <c r="I86" i="20"/>
  <c r="Q86" i="20" s="1"/>
  <c r="I86" i="31"/>
  <c r="Q86" i="31" s="1"/>
  <c r="E86" i="32"/>
  <c r="I86" i="32" s="1"/>
  <c r="F86" i="33"/>
  <c r="L86" i="33" s="1"/>
  <c r="F86" i="22"/>
  <c r="L86" i="22" s="1"/>
  <c r="O86" i="22" s="1"/>
  <c r="E86" i="21"/>
  <c r="I86" i="21" s="1"/>
  <c r="K86" i="21" s="1"/>
  <c r="F67" i="22"/>
  <c r="L67" i="22" s="1"/>
  <c r="O67" i="22" s="1"/>
  <c r="I67" i="31"/>
  <c r="Q67" i="31" s="1"/>
  <c r="I67" i="20"/>
  <c r="Q67" i="20" s="1"/>
  <c r="F67" i="33"/>
  <c r="L67" i="33" s="1"/>
  <c r="O67" i="33" s="1"/>
  <c r="E67" i="32"/>
  <c r="I67" i="32" s="1"/>
  <c r="K67" i="32" s="1"/>
  <c r="E67" i="21"/>
  <c r="I67" i="21" s="1"/>
  <c r="K67" i="21" s="1"/>
  <c r="E96" i="32"/>
  <c r="I96" i="32" s="1"/>
  <c r="I96" i="31"/>
  <c r="Q96" i="31" s="1"/>
  <c r="I96" i="20"/>
  <c r="Q96" i="20" s="1"/>
  <c r="F96" i="33"/>
  <c r="L96" i="33" s="1"/>
  <c r="F96" i="22"/>
  <c r="L96" i="22" s="1"/>
  <c r="O96" i="22" s="1"/>
  <c r="E96" i="21"/>
  <c r="I96" i="21" s="1"/>
  <c r="K96" i="21" s="1"/>
  <c r="I48" i="31"/>
  <c r="Q48" i="31" s="1"/>
  <c r="I48" i="20"/>
  <c r="Q48" i="20" s="1"/>
  <c r="F48" i="33"/>
  <c r="L48" i="33" s="1"/>
  <c r="O48" i="33" s="1"/>
  <c r="E48" i="32"/>
  <c r="I48" i="32" s="1"/>
  <c r="K48" i="32" s="1"/>
  <c r="F48" i="22"/>
  <c r="L48" i="22" s="1"/>
  <c r="O48" i="22" s="1"/>
  <c r="E48" i="21"/>
  <c r="I48" i="21" s="1"/>
  <c r="K48" i="21" s="1"/>
  <c r="I82" i="31"/>
  <c r="Q82" i="31" s="1"/>
  <c r="S82" i="31" s="1"/>
  <c r="I82" i="20"/>
  <c r="Q82" i="20" s="1"/>
  <c r="S82" i="20" s="1"/>
  <c r="F82" i="33"/>
  <c r="L82" i="33" s="1"/>
  <c r="O82" i="33" s="1"/>
  <c r="E82" i="21"/>
  <c r="I82" i="21" s="1"/>
  <c r="K82" i="21" s="1"/>
  <c r="E82" i="32"/>
  <c r="I82" i="32" s="1"/>
  <c r="K82" i="32" s="1"/>
  <c r="F82" i="22"/>
  <c r="L82" i="22" s="1"/>
  <c r="O82" i="22" s="1"/>
  <c r="F35" i="33"/>
  <c r="L35" i="33" s="1"/>
  <c r="O35" i="33" s="1"/>
  <c r="E35" i="32"/>
  <c r="I35" i="32" s="1"/>
  <c r="K35" i="32" s="1"/>
  <c r="E35" i="21"/>
  <c r="I35" i="21" s="1"/>
  <c r="K35" i="21" s="1"/>
  <c r="F35" i="22"/>
  <c r="L35" i="22" s="1"/>
  <c r="O35" i="22" s="1"/>
  <c r="I35" i="31"/>
  <c r="Q35" i="31" s="1"/>
  <c r="S35" i="31" s="1"/>
  <c r="I35" i="20"/>
  <c r="Q35" i="20" s="1"/>
  <c r="S35" i="20" s="1"/>
  <c r="F36" i="22"/>
  <c r="L36" i="22" s="1"/>
  <c r="O36" i="22" s="1"/>
  <c r="I36" i="31"/>
  <c r="Q36" i="31" s="1"/>
  <c r="S36" i="31" s="1"/>
  <c r="I36" i="20"/>
  <c r="Q36" i="20" s="1"/>
  <c r="S36" i="20" s="1"/>
  <c r="E36" i="32"/>
  <c r="I36" i="32" s="1"/>
  <c r="K36" i="32" s="1"/>
  <c r="F36" i="33"/>
  <c r="L36" i="33" s="1"/>
  <c r="O36" i="33" s="1"/>
  <c r="E36" i="21"/>
  <c r="I36" i="21" s="1"/>
  <c r="K36" i="21" s="1"/>
  <c r="P244" i="6"/>
  <c r="P158" i="6"/>
  <c r="P170" i="6" s="1"/>
  <c r="P182" i="6" s="1"/>
  <c r="P194" i="6" s="1"/>
  <c r="P206" i="6" s="1"/>
  <c r="P218" i="6" s="1"/>
  <c r="DN120" i="2"/>
  <c r="Q157" i="6"/>
  <c r="Q169" i="6" s="1"/>
  <c r="Q181" i="6" s="1"/>
  <c r="Q193" i="6" s="1"/>
  <c r="Q205" i="6" s="1"/>
  <c r="Q217" i="6" s="1"/>
  <c r="DO119" i="2"/>
  <c r="E71" i="32"/>
  <c r="I71" i="32" s="1"/>
  <c r="K71" i="32" s="1"/>
  <c r="F71" i="22"/>
  <c r="L71" i="22" s="1"/>
  <c r="O71" i="22" s="1"/>
  <c r="I71" i="20"/>
  <c r="Q71" i="20" s="1"/>
  <c r="E71" i="21"/>
  <c r="I71" i="21" s="1"/>
  <c r="K71" i="21" s="1"/>
  <c r="I71" i="31"/>
  <c r="Q71" i="31" s="1"/>
  <c r="F71" i="33"/>
  <c r="L71" i="33" s="1"/>
  <c r="O71" i="33" s="1"/>
  <c r="I25" i="20"/>
  <c r="Q25" i="20" s="1"/>
  <c r="I25" i="31"/>
  <c r="Q25" i="31" s="1"/>
  <c r="F25" i="33"/>
  <c r="L25" i="33" s="1"/>
  <c r="O25" i="33" s="1"/>
  <c r="E25" i="32"/>
  <c r="I25" i="32" s="1"/>
  <c r="K25" i="32" s="1"/>
  <c r="F25" i="22"/>
  <c r="L25" i="22" s="1"/>
  <c r="O25" i="22" s="1"/>
  <c r="E25" i="21"/>
  <c r="I25" i="21" s="1"/>
  <c r="K25" i="21" s="1"/>
  <c r="F10" i="33"/>
  <c r="L10" i="33" s="1"/>
  <c r="O10" i="33" s="1"/>
  <c r="Q10" i="33" s="1"/>
  <c r="E10" i="32"/>
  <c r="I10" i="32" s="1"/>
  <c r="K10" i="32" s="1"/>
  <c r="M10" i="32" s="1"/>
  <c r="F10" i="22"/>
  <c r="L10" i="22" s="1"/>
  <c r="O10" i="22" s="1"/>
  <c r="Q10" i="22" s="1"/>
  <c r="E10" i="21"/>
  <c r="I10" i="21" s="1"/>
  <c r="K10" i="21" s="1"/>
  <c r="M10" i="21" s="1"/>
  <c r="I10" i="20"/>
  <c r="Q10" i="20" s="1"/>
  <c r="I10" i="31"/>
  <c r="Q10" i="31" s="1"/>
  <c r="I62" i="31"/>
  <c r="Q62" i="31" s="1"/>
  <c r="I62" i="20"/>
  <c r="Q62" i="20" s="1"/>
  <c r="E62" i="32"/>
  <c r="I62" i="32" s="1"/>
  <c r="K62" i="32" s="1"/>
  <c r="F62" i="33"/>
  <c r="L62" i="33" s="1"/>
  <c r="O62" i="33" s="1"/>
  <c r="E62" i="21"/>
  <c r="I62" i="21" s="1"/>
  <c r="K62" i="21" s="1"/>
  <c r="F62" i="22"/>
  <c r="L62" i="22" s="1"/>
  <c r="O62" i="22" s="1"/>
  <c r="F69" i="33"/>
  <c r="L69" i="33" s="1"/>
  <c r="O69" i="33" s="1"/>
  <c r="E69" i="32"/>
  <c r="I69" i="32" s="1"/>
  <c r="K69" i="32" s="1"/>
  <c r="E69" i="21"/>
  <c r="I69" i="21" s="1"/>
  <c r="K69" i="21" s="1"/>
  <c r="I69" i="31"/>
  <c r="Q69" i="31" s="1"/>
  <c r="F69" i="22"/>
  <c r="L69" i="22" s="1"/>
  <c r="O69" i="22" s="1"/>
  <c r="I69" i="20"/>
  <c r="Q69" i="20" s="1"/>
  <c r="CB15" i="39"/>
  <c r="L11" i="41" s="1"/>
  <c r="L11" i="44" s="1"/>
  <c r="BU15" i="39"/>
  <c r="L10" i="41" s="1"/>
  <c r="L10" i="44" s="1"/>
  <c r="BT16" i="39"/>
  <c r="BT17" i="39" s="1"/>
  <c r="BT18" i="39" s="1"/>
  <c r="BT19" i="39" s="1"/>
  <c r="BT20" i="39" s="1"/>
  <c r="BT21" i="39" s="1"/>
  <c r="O179" i="6" l="1"/>
  <c r="S167" i="6"/>
  <c r="F120" i="22"/>
  <c r="L120" i="22" s="1"/>
  <c r="O120" i="22" s="1"/>
  <c r="Q120" i="22" s="1"/>
  <c r="E120" i="21"/>
  <c r="I120" i="21" s="1"/>
  <c r="K120" i="21" s="1"/>
  <c r="M120" i="21" s="1"/>
  <c r="I120" i="31"/>
  <c r="Q120" i="31" s="1"/>
  <c r="E120" i="32"/>
  <c r="I120" i="32" s="1"/>
  <c r="I120" i="20"/>
  <c r="Q120" i="20" s="1"/>
  <c r="S120" i="20" s="1"/>
  <c r="F120" i="33"/>
  <c r="L120" i="33" s="1"/>
  <c r="O114" i="33"/>
  <c r="Q114" i="33" s="1"/>
  <c r="S115" i="31"/>
  <c r="O94" i="33"/>
  <c r="O109" i="33"/>
  <c r="Q109" i="33" s="1"/>
  <c r="O112" i="33"/>
  <c r="Q112" i="33" s="1"/>
  <c r="K117" i="32"/>
  <c r="M117" i="32" s="1"/>
  <c r="S113" i="31"/>
  <c r="O177" i="6"/>
  <c r="S165" i="6"/>
  <c r="S99" i="31"/>
  <c r="O117" i="33"/>
  <c r="Q117" i="33" s="1"/>
  <c r="K113" i="32"/>
  <c r="M113" i="32" s="1"/>
  <c r="O115" i="33"/>
  <c r="Q115" i="33" s="1"/>
  <c r="K99" i="32"/>
  <c r="M99" i="32" s="1"/>
  <c r="O175" i="6"/>
  <c r="S163" i="6"/>
  <c r="K115" i="32"/>
  <c r="M115" i="32" s="1"/>
  <c r="O118" i="33"/>
  <c r="Q118" i="33" s="1"/>
  <c r="O110" i="33"/>
  <c r="Q110" i="33" s="1"/>
  <c r="K109" i="32"/>
  <c r="M109" i="32" s="1"/>
  <c r="O99" i="33"/>
  <c r="Q99" i="33" s="1"/>
  <c r="O116" i="33"/>
  <c r="Q116" i="33" s="1"/>
  <c r="K118" i="32"/>
  <c r="M118" i="32" s="1"/>
  <c r="K107" i="32"/>
  <c r="M107" i="32" s="1"/>
  <c r="K87" i="32"/>
  <c r="S161" i="6"/>
  <c r="O173" i="6"/>
  <c r="S110" i="31"/>
  <c r="K116" i="32"/>
  <c r="M116" i="32" s="1"/>
  <c r="K94" i="32"/>
  <c r="O102" i="33"/>
  <c r="Q102" i="33" s="1"/>
  <c r="O87" i="33"/>
  <c r="K110" i="32"/>
  <c r="M110" i="32" s="1"/>
  <c r="S159" i="6"/>
  <c r="O171" i="6"/>
  <c r="O86" i="33"/>
  <c r="K98" i="32"/>
  <c r="M98" i="32" s="1"/>
  <c r="K105" i="32"/>
  <c r="M105" i="32" s="1"/>
  <c r="K89" i="32"/>
  <c r="K91" i="32"/>
  <c r="K86" i="32"/>
  <c r="O96" i="33"/>
  <c r="K95" i="32"/>
  <c r="O180" i="6"/>
  <c r="S168" i="6"/>
  <c r="O95" i="33"/>
  <c r="E119" i="21"/>
  <c r="I119" i="21" s="1"/>
  <c r="K119" i="21" s="1"/>
  <c r="M119" i="21" s="1"/>
  <c r="F119" i="33"/>
  <c r="L119" i="33" s="1"/>
  <c r="I119" i="20"/>
  <c r="Q119" i="20" s="1"/>
  <c r="S119" i="20" s="1"/>
  <c r="I119" i="31"/>
  <c r="Q119" i="31" s="1"/>
  <c r="E119" i="32"/>
  <c r="I119" i="32" s="1"/>
  <c r="F119" i="22"/>
  <c r="L119" i="22" s="1"/>
  <c r="O119" i="22" s="1"/>
  <c r="Q119" i="22" s="1"/>
  <c r="S118" i="31"/>
  <c r="O107" i="33"/>
  <c r="Q107" i="33" s="1"/>
  <c r="S157" i="6"/>
  <c r="O169" i="6"/>
  <c r="K93" i="32"/>
  <c r="K103" i="32"/>
  <c r="M103" i="32" s="1"/>
  <c r="F111" i="33"/>
  <c r="L111" i="33" s="1"/>
  <c r="I111" i="31"/>
  <c r="Q111" i="31" s="1"/>
  <c r="E111" i="21"/>
  <c r="I111" i="21" s="1"/>
  <c r="K111" i="21" s="1"/>
  <c r="M111" i="21" s="1"/>
  <c r="F111" i="22"/>
  <c r="L111" i="22" s="1"/>
  <c r="O111" i="22" s="1"/>
  <c r="Q111" i="22" s="1"/>
  <c r="I111" i="20"/>
  <c r="Q111" i="20" s="1"/>
  <c r="S111" i="20" s="1"/>
  <c r="E111" i="32"/>
  <c r="I111" i="32" s="1"/>
  <c r="O98" i="33"/>
  <c r="Q98" i="33" s="1"/>
  <c r="S116" i="31"/>
  <c r="O89" i="33"/>
  <c r="O91" i="33"/>
  <c r="K100" i="32"/>
  <c r="M100" i="32" s="1"/>
  <c r="K102" i="32"/>
  <c r="M102" i="32" s="1"/>
  <c r="O93" i="33"/>
  <c r="O103" i="33"/>
  <c r="Q103" i="33" s="1"/>
  <c r="I121" i="20"/>
  <c r="Q121" i="20" s="1"/>
  <c r="S121" i="20" s="1"/>
  <c r="F121" i="33"/>
  <c r="E121" i="21"/>
  <c r="I121" i="21" s="1"/>
  <c r="K121" i="21" s="1"/>
  <c r="M121" i="21" s="1"/>
  <c r="I121" i="31"/>
  <c r="F121" i="22"/>
  <c r="L121" i="22" s="1"/>
  <c r="O121" i="22" s="1"/>
  <c r="Q121" i="22" s="1"/>
  <c r="E121" i="32"/>
  <c r="K101" i="32"/>
  <c r="M101" i="32" s="1"/>
  <c r="K104" i="32"/>
  <c r="M104" i="32" s="1"/>
  <c r="O174" i="6"/>
  <c r="S162" i="6"/>
  <c r="K92" i="32"/>
  <c r="O101" i="33"/>
  <c r="Q101" i="33" s="1"/>
  <c r="S148" i="6"/>
  <c r="O160" i="6"/>
  <c r="O105" i="33"/>
  <c r="Q105" i="33" s="1"/>
  <c r="O178" i="6"/>
  <c r="S166" i="6"/>
  <c r="S164" i="6"/>
  <c r="O176" i="6"/>
  <c r="K88" i="32"/>
  <c r="O104" i="33"/>
  <c r="Q104" i="33" s="1"/>
  <c r="O92" i="33"/>
  <c r="O106" i="33"/>
  <c r="Q106" i="33" s="1"/>
  <c r="K96" i="32"/>
  <c r="O88" i="33"/>
  <c r="S158" i="6"/>
  <c r="O170" i="6"/>
  <c r="O108" i="33"/>
  <c r="Q108" i="33" s="1"/>
  <c r="O97" i="33"/>
  <c r="K106" i="32"/>
  <c r="M106" i="32" s="1"/>
  <c r="O100" i="33"/>
  <c r="Q100" i="33" s="1"/>
  <c r="K108" i="32"/>
  <c r="M108" i="32" s="1"/>
  <c r="S112" i="31"/>
  <c r="K97" i="32"/>
  <c r="S114" i="31"/>
  <c r="O90" i="33"/>
  <c r="O113" i="33"/>
  <c r="Q113" i="33" s="1"/>
  <c r="K114" i="32"/>
  <c r="M114" i="32" s="1"/>
  <c r="K90" i="32"/>
  <c r="K112" i="32"/>
  <c r="M112" i="32" s="1"/>
  <c r="S117" i="31"/>
  <c r="AH14" i="40"/>
  <c r="B153" i="5"/>
  <c r="B162" i="5" s="1"/>
  <c r="B170" i="5" s="1"/>
  <c r="B142" i="5"/>
  <c r="B152" i="5" s="1"/>
  <c r="B161" i="5" s="1"/>
  <c r="B117" i="5"/>
  <c r="B116" i="5"/>
  <c r="A116" i="5"/>
  <c r="V41" i="5"/>
  <c r="V5" i="5"/>
  <c r="O192" i="6" l="1"/>
  <c r="S180" i="6"/>
  <c r="Q121" i="31"/>
  <c r="I122" i="31"/>
  <c r="O181" i="6"/>
  <c r="S169" i="6"/>
  <c r="O182" i="6"/>
  <c r="S170" i="6"/>
  <c r="L121" i="33"/>
  <c r="F122" i="33"/>
  <c r="O183" i="6"/>
  <c r="S171" i="6"/>
  <c r="O185" i="6"/>
  <c r="S173" i="6"/>
  <c r="S174" i="6"/>
  <c r="O186" i="6"/>
  <c r="K111" i="32"/>
  <c r="M111" i="32" s="1"/>
  <c r="K119" i="32"/>
  <c r="M119" i="32" s="1"/>
  <c r="O189" i="6"/>
  <c r="S177" i="6"/>
  <c r="O120" i="33"/>
  <c r="Q120" i="33" s="1"/>
  <c r="O188" i="6"/>
  <c r="S176" i="6"/>
  <c r="S119" i="31"/>
  <c r="K120" i="32"/>
  <c r="M120" i="32" s="1"/>
  <c r="S111" i="31"/>
  <c r="O119" i="33"/>
  <c r="Q119" i="33" s="1"/>
  <c r="O187" i="6"/>
  <c r="S175" i="6"/>
  <c r="S120" i="31"/>
  <c r="S178" i="6"/>
  <c r="O190" i="6"/>
  <c r="O111" i="33"/>
  <c r="Q111" i="33" s="1"/>
  <c r="O172" i="6"/>
  <c r="S160" i="6"/>
  <c r="I121" i="32"/>
  <c r="E122" i="32"/>
  <c r="O191" i="6"/>
  <c r="S179" i="6"/>
  <c r="AJ14" i="40"/>
  <c r="AL14" i="40"/>
  <c r="A140" i="5"/>
  <c r="A151" i="5" s="1"/>
  <c r="A161" i="5" s="1"/>
  <c r="A128" i="5"/>
  <c r="B128" i="5"/>
  <c r="B140" i="5"/>
  <c r="B129" i="5"/>
  <c r="V6" i="5"/>
  <c r="V42" i="5"/>
  <c r="B141" i="5"/>
  <c r="B151" i="5" s="1"/>
  <c r="O200" i="6" l="1"/>
  <c r="S188" i="6"/>
  <c r="O195" i="6"/>
  <c r="S183" i="6"/>
  <c r="F123" i="33"/>
  <c r="L122" i="33"/>
  <c r="O121" i="33"/>
  <c r="Q121" i="33" s="1"/>
  <c r="E123" i="32"/>
  <c r="I122" i="32"/>
  <c r="O194" i="6"/>
  <c r="S182" i="6"/>
  <c r="O199" i="6"/>
  <c r="S187" i="6"/>
  <c r="O193" i="6"/>
  <c r="S181" i="6"/>
  <c r="I123" i="31"/>
  <c r="Q122" i="31"/>
  <c r="K121" i="32"/>
  <c r="M121" i="32" s="1"/>
  <c r="O203" i="6"/>
  <c r="S191" i="6"/>
  <c r="O184" i="6"/>
  <c r="S172" i="6"/>
  <c r="S121" i="31"/>
  <c r="O201" i="6"/>
  <c r="S189" i="6"/>
  <c r="O198" i="6"/>
  <c r="S186" i="6"/>
  <c r="O202" i="6"/>
  <c r="S190" i="6"/>
  <c r="O197" i="6"/>
  <c r="S185" i="6"/>
  <c r="O204" i="6"/>
  <c r="S192" i="6"/>
  <c r="AD27" i="5"/>
  <c r="AC29" i="5"/>
  <c r="AJ28" i="5"/>
  <c r="AJ24" i="5"/>
  <c r="AE28" i="5"/>
  <c r="AD24" i="5"/>
  <c r="AC25" i="5"/>
  <c r="AC28" i="5"/>
  <c r="AJ31" i="5"/>
  <c r="AE24" i="5"/>
  <c r="AJ27" i="5"/>
  <c r="AD28" i="5"/>
  <c r="AD31" i="5"/>
  <c r="AJ25" i="5"/>
  <c r="AC24" i="5"/>
  <c r="AC31" i="5"/>
  <c r="AC27" i="5"/>
  <c r="AJ30" i="5"/>
  <c r="AJ26" i="5"/>
  <c r="AE30" i="5"/>
  <c r="AE26" i="5"/>
  <c r="AD30" i="5"/>
  <c r="AD26" i="5"/>
  <c r="AC30" i="5"/>
  <c r="AC26" i="5"/>
  <c r="AE25" i="5"/>
  <c r="AD29" i="5"/>
  <c r="AE27" i="5"/>
  <c r="AJ29" i="5"/>
  <c r="AE29" i="5"/>
  <c r="AD25" i="5"/>
  <c r="V43" i="5"/>
  <c r="AG41" i="5"/>
  <c r="V7" i="5"/>
  <c r="Z41" i="5"/>
  <c r="AJ41" i="5"/>
  <c r="AD41" i="5"/>
  <c r="AC41" i="5"/>
  <c r="AF41" i="5"/>
  <c r="S201" i="6" l="1"/>
  <c r="O213" i="6"/>
  <c r="S213" i="6" s="1"/>
  <c r="O206" i="6"/>
  <c r="S194" i="6"/>
  <c r="K122" i="32"/>
  <c r="M122" i="32" s="1"/>
  <c r="O205" i="6"/>
  <c r="S193" i="6"/>
  <c r="E124" i="32"/>
  <c r="I123" i="32"/>
  <c r="O211" i="6"/>
  <c r="S211" i="6" s="1"/>
  <c r="S199" i="6"/>
  <c r="O196" i="6"/>
  <c r="S184" i="6"/>
  <c r="O210" i="6"/>
  <c r="S210" i="6" s="1"/>
  <c r="S198" i="6"/>
  <c r="S204" i="6"/>
  <c r="O216" i="6"/>
  <c r="S216" i="6" s="1"/>
  <c r="F124" i="33"/>
  <c r="L123" i="33"/>
  <c r="O122" i="33"/>
  <c r="Q122" i="33" s="1"/>
  <c r="O215" i="6"/>
  <c r="S215" i="6" s="1"/>
  <c r="S203" i="6"/>
  <c r="O209" i="6"/>
  <c r="S209" i="6" s="1"/>
  <c r="S197" i="6"/>
  <c r="O207" i="6"/>
  <c r="S195" i="6"/>
  <c r="O214" i="6"/>
  <c r="S214" i="6" s="1"/>
  <c r="S202" i="6"/>
  <c r="I124" i="31"/>
  <c r="Q123" i="31"/>
  <c r="S200" i="6"/>
  <c r="O212" i="6"/>
  <c r="S212" i="6" s="1"/>
  <c r="AE43" i="5"/>
  <c r="AJ44" i="5"/>
  <c r="AE44" i="5"/>
  <c r="AB43" i="5"/>
  <c r="AA43" i="5"/>
  <c r="V44" i="5"/>
  <c r="Y43" i="5"/>
  <c r="V8" i="5"/>
  <c r="AG42" i="5"/>
  <c r="AE42" i="5"/>
  <c r="AE41" i="5"/>
  <c r="AA42" i="5"/>
  <c r="AA41" i="5"/>
  <c r="AB42" i="5"/>
  <c r="AB41" i="5"/>
  <c r="Y42" i="5"/>
  <c r="Y41" i="5"/>
  <c r="AJ42" i="5"/>
  <c r="AB44" i="5"/>
  <c r="AF43" i="5"/>
  <c r="AG44" i="5"/>
  <c r="AD43" i="5"/>
  <c r="AC42" i="5"/>
  <c r="Z43" i="5"/>
  <c r="AG43" i="5"/>
  <c r="AF42" i="5"/>
  <c r="AD44" i="5"/>
  <c r="AC43" i="5"/>
  <c r="AC44" i="5"/>
  <c r="AJ43" i="5"/>
  <c r="AF44" i="5"/>
  <c r="Y44" i="5"/>
  <c r="Z42" i="5"/>
  <c r="AA44" i="5"/>
  <c r="AD42" i="5"/>
  <c r="Z44" i="5"/>
  <c r="BD14" i="2" l="1"/>
  <c r="BD15" i="2"/>
  <c r="BD16" i="2"/>
  <c r="BD17" i="2"/>
  <c r="BD18" i="2"/>
  <c r="BD19" i="2"/>
  <c r="BD20" i="2"/>
  <c r="BD21" i="2"/>
  <c r="BD22" i="2"/>
  <c r="BD23" i="2"/>
  <c r="BD24" i="2"/>
  <c r="BD25" i="2"/>
  <c r="BD2" i="2"/>
  <c r="BD3" i="2"/>
  <c r="BD4" i="2"/>
  <c r="BD5" i="2"/>
  <c r="BD6" i="2"/>
  <c r="BD7" i="2"/>
  <c r="BD8" i="2"/>
  <c r="BD9" i="2"/>
  <c r="BD10" i="2"/>
  <c r="BD11" i="2"/>
  <c r="BD12" i="2"/>
  <c r="BD13" i="2"/>
  <c r="S207" i="6"/>
  <c r="O219" i="6"/>
  <c r="S219" i="6" s="1"/>
  <c r="E125" i="32"/>
  <c r="I124" i="32"/>
  <c r="O217" i="6"/>
  <c r="S217" i="6" s="1"/>
  <c r="S205" i="6"/>
  <c r="I125" i="31"/>
  <c r="Q124" i="31"/>
  <c r="O123" i="33"/>
  <c r="Q123" i="33" s="1"/>
  <c r="O218" i="6"/>
  <c r="S218" i="6" s="1"/>
  <c r="S206" i="6"/>
  <c r="S196" i="6"/>
  <c r="O208" i="6"/>
  <c r="S208" i="6" s="1"/>
  <c r="K123" i="32"/>
  <c r="M123" i="32" s="1"/>
  <c r="F125" i="33"/>
  <c r="L124" i="33"/>
  <c r="V9" i="5"/>
  <c r="V45" i="5"/>
  <c r="AF45" i="5"/>
  <c r="AD45" i="5"/>
  <c r="AC45" i="5"/>
  <c r="AB45" i="5"/>
  <c r="AA45" i="5"/>
  <c r="AE45" i="5"/>
  <c r="Z45" i="5"/>
  <c r="Y45" i="5"/>
  <c r="AJ45" i="5"/>
  <c r="AG45" i="5"/>
  <c r="AG46" i="5"/>
  <c r="V10" i="5"/>
  <c r="V46" i="5"/>
  <c r="BD26" i="2" l="1"/>
  <c r="BD27" i="2"/>
  <c r="BD28" i="2"/>
  <c r="BD29" i="2"/>
  <c r="BD30" i="2"/>
  <c r="BD31" i="2"/>
  <c r="BD32" i="2"/>
  <c r="BD33" i="2"/>
  <c r="BD34" i="2"/>
  <c r="BD35" i="2"/>
  <c r="BD36" i="2"/>
  <c r="BD37" i="2"/>
  <c r="I126" i="31"/>
  <c r="Q125" i="31"/>
  <c r="K124" i="32"/>
  <c r="M124" i="32" s="1"/>
  <c r="O124" i="33"/>
  <c r="Q124" i="33" s="1"/>
  <c r="E126" i="32"/>
  <c r="I125" i="32"/>
  <c r="L125" i="33"/>
  <c r="F126" i="33"/>
  <c r="AE46" i="5"/>
  <c r="AF46" i="5"/>
  <c r="AA46" i="5"/>
  <c r="AD46" i="5"/>
  <c r="AC46" i="5"/>
  <c r="Z46" i="5"/>
  <c r="AB46" i="5"/>
  <c r="Y46" i="5"/>
  <c r="AJ46" i="5"/>
  <c r="Y47" i="5"/>
  <c r="Z47" i="5"/>
  <c r="AA47" i="5"/>
  <c r="AC47" i="5"/>
  <c r="AD47" i="5"/>
  <c r="V47" i="5"/>
  <c r="AE47" i="5"/>
  <c r="AF47" i="5"/>
  <c r="AG47" i="5"/>
  <c r="AJ47" i="5"/>
  <c r="AB47" i="5"/>
  <c r="V11" i="5"/>
  <c r="BD50" i="2" l="1"/>
  <c r="BD51" i="2"/>
  <c r="BD52" i="2"/>
  <c r="BD53" i="2"/>
  <c r="BD54" i="2"/>
  <c r="BD55" i="2"/>
  <c r="BD56" i="2"/>
  <c r="BD57" i="2"/>
  <c r="BD58" i="2"/>
  <c r="BD59" i="2"/>
  <c r="BD60" i="2"/>
  <c r="BD61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O125" i="33"/>
  <c r="Q125" i="33" s="1"/>
  <c r="K125" i="32"/>
  <c r="M125" i="32" s="1"/>
  <c r="F127" i="33"/>
  <c r="L126" i="33"/>
  <c r="I126" i="32"/>
  <c r="E127" i="32"/>
  <c r="I127" i="31"/>
  <c r="Q126" i="31"/>
  <c r="AC48" i="5"/>
  <c r="V48" i="5"/>
  <c r="AD48" i="5"/>
  <c r="AE48" i="5"/>
  <c r="AJ48" i="5"/>
  <c r="V12" i="5"/>
  <c r="K126" i="32" l="1"/>
  <c r="M126" i="32" s="1"/>
  <c r="F128" i="33"/>
  <c r="L127" i="33"/>
  <c r="Q127" i="31"/>
  <c r="I128" i="31"/>
  <c r="O126" i="33"/>
  <c r="Q126" i="33" s="1"/>
  <c r="E128" i="32"/>
  <c r="I127" i="32"/>
  <c r="AJ49" i="5"/>
  <c r="V49" i="5"/>
  <c r="AD49" i="5"/>
  <c r="AE49" i="5"/>
  <c r="AC49" i="5"/>
  <c r="V13" i="5"/>
  <c r="K127" i="32" l="1"/>
  <c r="M127" i="32" s="1"/>
  <c r="E129" i="32"/>
  <c r="I128" i="32"/>
  <c r="Q128" i="31"/>
  <c r="I129" i="31"/>
  <c r="O127" i="33"/>
  <c r="Q127" i="33" s="1"/>
  <c r="L128" i="33"/>
  <c r="F129" i="33"/>
  <c r="AC50" i="5"/>
  <c r="AD50" i="5"/>
  <c r="AE50" i="5"/>
  <c r="V50" i="5"/>
  <c r="AJ50" i="5"/>
  <c r="V14" i="5"/>
  <c r="O128" i="33" l="1"/>
  <c r="Q128" i="33" s="1"/>
  <c r="I129" i="32"/>
  <c r="E130" i="32"/>
  <c r="L129" i="33"/>
  <c r="F130" i="33"/>
  <c r="K128" i="32"/>
  <c r="M128" i="32" s="1"/>
  <c r="I130" i="31"/>
  <c r="Q129" i="31"/>
  <c r="AC51" i="5"/>
  <c r="AD51" i="5"/>
  <c r="V51" i="5"/>
  <c r="AJ51" i="5"/>
  <c r="V15" i="5"/>
  <c r="AE51" i="5"/>
  <c r="Q130" i="31" l="1"/>
  <c r="I131" i="31"/>
  <c r="O129" i="33"/>
  <c r="Q129" i="33" s="1"/>
  <c r="F131" i="33"/>
  <c r="L130" i="33"/>
  <c r="E131" i="32"/>
  <c r="I130" i="32"/>
  <c r="K129" i="32"/>
  <c r="M129" i="32" s="1"/>
  <c r="AC52" i="5"/>
  <c r="AE52" i="5"/>
  <c r="AD52" i="5"/>
  <c r="AJ52" i="5"/>
  <c r="V16" i="5"/>
  <c r="V52" i="5"/>
  <c r="K130" i="32" l="1"/>
  <c r="M130" i="32" s="1"/>
  <c r="I131" i="32"/>
  <c r="E132" i="32"/>
  <c r="O130" i="33"/>
  <c r="Q130" i="33" s="1"/>
  <c r="Q131" i="31"/>
  <c r="I132" i="31"/>
  <c r="F132" i="33"/>
  <c r="L131" i="33"/>
  <c r="V17" i="5"/>
  <c r="V18" i="5" s="1"/>
  <c r="AJ53" i="5"/>
  <c r="V53" i="5"/>
  <c r="AC53" i="5"/>
  <c r="AD53" i="5"/>
  <c r="AE53" i="5"/>
  <c r="O131" i="33" l="1"/>
  <c r="Q131" i="33" s="1"/>
  <c r="F133" i="33"/>
  <c r="L132" i="33"/>
  <c r="I133" i="31"/>
  <c r="Q132" i="31"/>
  <c r="K131" i="32"/>
  <c r="M131" i="32" s="1"/>
  <c r="I132" i="32"/>
  <c r="E133" i="32"/>
  <c r="V19" i="5"/>
  <c r="V55" i="5"/>
  <c r="V54" i="5"/>
  <c r="AC54" i="5"/>
  <c r="AD54" i="5"/>
  <c r="AE54" i="5"/>
  <c r="AJ54" i="5"/>
  <c r="E134" i="32" l="1"/>
  <c r="I133" i="32"/>
  <c r="K132" i="32"/>
  <c r="M132" i="32" s="1"/>
  <c r="O132" i="33"/>
  <c r="Q132" i="33" s="1"/>
  <c r="I134" i="31"/>
  <c r="Q133" i="31"/>
  <c r="F134" i="33"/>
  <c r="L133" i="33"/>
  <c r="AC55" i="5"/>
  <c r="AJ55" i="5"/>
  <c r="AD55" i="5"/>
  <c r="AE55" i="5"/>
  <c r="AE56" i="5"/>
  <c r="V56" i="5"/>
  <c r="AD56" i="5"/>
  <c r="V20" i="5"/>
  <c r="AJ56" i="5"/>
  <c r="AC56" i="5"/>
  <c r="L134" i="33" l="1"/>
  <c r="F135" i="33"/>
  <c r="I135" i="31"/>
  <c r="Q134" i="31"/>
  <c r="K133" i="32"/>
  <c r="M133" i="32" s="1"/>
  <c r="O133" i="33"/>
  <c r="Q133" i="33" s="1"/>
  <c r="I134" i="32"/>
  <c r="E135" i="32"/>
  <c r="V21" i="5"/>
  <c r="AD57" i="5"/>
  <c r="AJ57" i="5"/>
  <c r="AE57" i="5"/>
  <c r="V57" i="5"/>
  <c r="AC57" i="5"/>
  <c r="E136" i="32" l="1"/>
  <c r="I135" i="32"/>
  <c r="K134" i="32"/>
  <c r="M134" i="32" s="1"/>
  <c r="E158" i="32"/>
  <c r="I146" i="32"/>
  <c r="I158" i="31"/>
  <c r="Q146" i="31"/>
  <c r="F136" i="33"/>
  <c r="L135" i="33"/>
  <c r="I136" i="31"/>
  <c r="Q135" i="31"/>
  <c r="O134" i="33"/>
  <c r="Q134" i="33" s="1"/>
  <c r="L146" i="33"/>
  <c r="F158" i="33"/>
  <c r="AC58" i="5"/>
  <c r="AD58" i="5"/>
  <c r="V58" i="5"/>
  <c r="AE58" i="5"/>
  <c r="AJ58" i="5"/>
  <c r="S135" i="31" l="1"/>
  <c r="Q136" i="31"/>
  <c r="I137" i="31"/>
  <c r="Q147" i="31"/>
  <c r="I159" i="31"/>
  <c r="O135" i="33"/>
  <c r="Q135" i="33" s="1"/>
  <c r="F137" i="33"/>
  <c r="L136" i="33"/>
  <c r="I158" i="32"/>
  <c r="E170" i="32"/>
  <c r="L147" i="33"/>
  <c r="F159" i="33"/>
  <c r="I170" i="31"/>
  <c r="Q158" i="31"/>
  <c r="K146" i="32"/>
  <c r="M146" i="32" s="1"/>
  <c r="F170" i="33"/>
  <c r="L158" i="33"/>
  <c r="O146" i="33"/>
  <c r="Q146" i="33" s="1"/>
  <c r="K135" i="32"/>
  <c r="M135" i="32" s="1"/>
  <c r="E137" i="32"/>
  <c r="I136" i="32"/>
  <c r="I147" i="32"/>
  <c r="E159" i="32"/>
  <c r="CF87" i="2"/>
  <c r="CF88" i="2"/>
  <c r="CF89" i="2"/>
  <c r="CF90" i="2"/>
  <c r="CF91" i="2"/>
  <c r="CF92" i="2"/>
  <c r="CF93" i="2"/>
  <c r="CF94" i="2"/>
  <c r="CF95" i="2"/>
  <c r="CF96" i="2"/>
  <c r="CF97" i="2"/>
  <c r="CF86" i="2"/>
  <c r="CF75" i="2"/>
  <c r="CF76" i="2"/>
  <c r="CF77" i="2"/>
  <c r="CF78" i="2"/>
  <c r="CF79" i="2"/>
  <c r="CF80" i="2"/>
  <c r="CF81" i="2"/>
  <c r="CF82" i="2"/>
  <c r="CF83" i="2"/>
  <c r="CF84" i="2"/>
  <c r="CF85" i="2"/>
  <c r="CF74" i="2"/>
  <c r="CF63" i="2"/>
  <c r="CF64" i="2"/>
  <c r="CF65" i="2"/>
  <c r="CF66" i="2"/>
  <c r="CF67" i="2"/>
  <c r="CF68" i="2"/>
  <c r="CF69" i="2"/>
  <c r="CF70" i="2"/>
  <c r="CF71" i="2"/>
  <c r="CF72" i="2"/>
  <c r="CF73" i="2"/>
  <c r="CF62" i="2"/>
  <c r="CF51" i="2"/>
  <c r="CF52" i="2"/>
  <c r="CF53" i="2"/>
  <c r="CF54" i="2"/>
  <c r="CF55" i="2"/>
  <c r="CF56" i="2"/>
  <c r="CF57" i="2"/>
  <c r="CF58" i="2"/>
  <c r="CF59" i="2"/>
  <c r="CF60" i="2"/>
  <c r="CF61" i="2"/>
  <c r="CF50" i="2"/>
  <c r="CF39" i="2"/>
  <c r="CF40" i="2"/>
  <c r="CF41" i="2"/>
  <c r="CF42" i="2"/>
  <c r="CF43" i="2"/>
  <c r="CF44" i="2"/>
  <c r="CF45" i="2"/>
  <c r="CF46" i="2"/>
  <c r="CF47" i="2"/>
  <c r="CF48" i="2"/>
  <c r="CF49" i="2"/>
  <c r="CF38" i="2"/>
  <c r="CF15" i="2"/>
  <c r="CF16" i="2"/>
  <c r="CF17" i="2"/>
  <c r="CF18" i="2"/>
  <c r="CF19" i="2"/>
  <c r="CF20" i="2"/>
  <c r="CF21" i="2"/>
  <c r="CF22" i="2"/>
  <c r="CF23" i="2"/>
  <c r="CF24" i="2"/>
  <c r="CF25" i="2"/>
  <c r="CF14" i="2"/>
  <c r="CF27" i="2"/>
  <c r="CF28" i="2"/>
  <c r="CF29" i="2"/>
  <c r="CF30" i="2"/>
  <c r="CF31" i="2"/>
  <c r="CF32" i="2"/>
  <c r="CF33" i="2"/>
  <c r="CF34" i="2"/>
  <c r="CF35" i="2"/>
  <c r="CF36" i="2"/>
  <c r="CF37" i="2"/>
  <c r="CF26" i="2"/>
  <c r="CF3" i="2"/>
  <c r="CF4" i="2"/>
  <c r="CF5" i="2"/>
  <c r="CF6" i="2"/>
  <c r="CF7" i="2"/>
  <c r="CF8" i="2"/>
  <c r="CF9" i="2"/>
  <c r="CF10" i="2"/>
  <c r="CF11" i="2"/>
  <c r="CF12" i="2"/>
  <c r="CF13" i="2"/>
  <c r="CF2" i="2"/>
  <c r="AS87" i="2"/>
  <c r="AS88" i="2"/>
  <c r="AS89" i="2"/>
  <c r="AS90" i="2"/>
  <c r="AS91" i="2"/>
  <c r="AS92" i="2"/>
  <c r="AS93" i="2"/>
  <c r="AS94" i="2"/>
  <c r="AS95" i="2"/>
  <c r="AS96" i="2"/>
  <c r="AS97" i="2"/>
  <c r="AS86" i="2"/>
  <c r="AS75" i="2"/>
  <c r="AS76" i="2"/>
  <c r="AS77" i="2"/>
  <c r="AS78" i="2"/>
  <c r="AS79" i="2"/>
  <c r="AS80" i="2"/>
  <c r="AS81" i="2"/>
  <c r="AS82" i="2"/>
  <c r="AS83" i="2"/>
  <c r="AS84" i="2"/>
  <c r="AS85" i="2"/>
  <c r="AS74" i="2"/>
  <c r="AS63" i="2"/>
  <c r="AS64" i="2"/>
  <c r="AS65" i="2"/>
  <c r="AS66" i="2"/>
  <c r="AS67" i="2"/>
  <c r="AS68" i="2"/>
  <c r="AS69" i="2"/>
  <c r="AS70" i="2"/>
  <c r="AS71" i="2"/>
  <c r="AS72" i="2"/>
  <c r="AS73" i="2"/>
  <c r="AS62" i="2"/>
  <c r="AS51" i="2"/>
  <c r="AS52" i="2"/>
  <c r="AS53" i="2"/>
  <c r="AS54" i="2"/>
  <c r="AS55" i="2"/>
  <c r="AS56" i="2"/>
  <c r="AS57" i="2"/>
  <c r="AS58" i="2"/>
  <c r="AS59" i="2"/>
  <c r="AS60" i="2"/>
  <c r="AS61" i="2"/>
  <c r="AS50" i="2"/>
  <c r="AS39" i="2"/>
  <c r="AS40" i="2"/>
  <c r="AS41" i="2"/>
  <c r="AS42" i="2"/>
  <c r="AS43" i="2"/>
  <c r="AS44" i="2"/>
  <c r="AS45" i="2"/>
  <c r="AS46" i="2"/>
  <c r="AS47" i="2"/>
  <c r="AS48" i="2"/>
  <c r="AS49" i="2"/>
  <c r="AS38" i="2"/>
  <c r="AS27" i="2"/>
  <c r="AS28" i="2"/>
  <c r="AS29" i="2"/>
  <c r="AS30" i="2"/>
  <c r="AS31" i="2"/>
  <c r="AS32" i="2"/>
  <c r="AS33" i="2"/>
  <c r="AS34" i="2"/>
  <c r="AS35" i="2"/>
  <c r="AS36" i="2"/>
  <c r="AS37" i="2"/>
  <c r="AS26" i="2"/>
  <c r="AS15" i="2"/>
  <c r="AS16" i="2"/>
  <c r="AS17" i="2"/>
  <c r="AS18" i="2"/>
  <c r="AS19" i="2"/>
  <c r="AS20" i="2"/>
  <c r="AS21" i="2"/>
  <c r="AS22" i="2"/>
  <c r="AS23" i="2"/>
  <c r="AS24" i="2"/>
  <c r="AS25" i="2"/>
  <c r="AS14" i="2"/>
  <c r="AS2" i="2"/>
  <c r="AS3" i="2"/>
  <c r="AS4" i="2"/>
  <c r="AS5" i="2"/>
  <c r="AS6" i="2"/>
  <c r="AS7" i="2"/>
  <c r="AS8" i="2"/>
  <c r="AS9" i="2"/>
  <c r="AS10" i="2"/>
  <c r="AS11" i="2"/>
  <c r="AS12" i="2"/>
  <c r="AS13" i="2"/>
  <c r="I159" i="32" l="1"/>
  <c r="E171" i="32"/>
  <c r="O147" i="33"/>
  <c r="Q147" i="33" s="1"/>
  <c r="K147" i="32"/>
  <c r="M147" i="32" s="1"/>
  <c r="I170" i="32"/>
  <c r="E182" i="32"/>
  <c r="I182" i="32" s="1"/>
  <c r="E160" i="32"/>
  <c r="I148" i="32"/>
  <c r="K158" i="32"/>
  <c r="M158" i="32" s="1"/>
  <c r="K136" i="32"/>
  <c r="M136" i="32" s="1"/>
  <c r="O136" i="33"/>
  <c r="Q136" i="33" s="1"/>
  <c r="I137" i="32"/>
  <c r="E138" i="32"/>
  <c r="F138" i="33"/>
  <c r="L137" i="33"/>
  <c r="F160" i="33"/>
  <c r="L148" i="33"/>
  <c r="O158" i="33"/>
  <c r="Q158" i="33" s="1"/>
  <c r="I171" i="31"/>
  <c r="Q159" i="31"/>
  <c r="L170" i="33"/>
  <c r="F182" i="33"/>
  <c r="L182" i="33" s="1"/>
  <c r="S147" i="31"/>
  <c r="Q137" i="31"/>
  <c r="I138" i="31"/>
  <c r="I160" i="31"/>
  <c r="Q148" i="31"/>
  <c r="Q170" i="31"/>
  <c r="I182" i="31"/>
  <c r="Q182" i="31" s="1"/>
  <c r="L159" i="33"/>
  <c r="F171" i="33"/>
  <c r="C117" i="41"/>
  <c r="D131" i="41"/>
  <c r="D79" i="44" s="1"/>
  <c r="E135" i="41"/>
  <c r="E83" i="44" s="1"/>
  <c r="F131" i="41"/>
  <c r="F79" i="44" s="1"/>
  <c r="G120" i="41"/>
  <c r="G32" i="44" s="1"/>
  <c r="H131" i="41"/>
  <c r="H79" i="44" s="1"/>
  <c r="I136" i="41"/>
  <c r="I84" i="44" s="1"/>
  <c r="J123" i="41"/>
  <c r="J35" i="44" s="1"/>
  <c r="K121" i="41"/>
  <c r="K33" i="44" s="1"/>
  <c r="M38" i="60" s="1"/>
  <c r="C119" i="41"/>
  <c r="C31" i="44" s="1"/>
  <c r="D122" i="41"/>
  <c r="D34" i="44" s="1"/>
  <c r="D150" i="44" s="1"/>
  <c r="E117" i="41"/>
  <c r="F133" i="41"/>
  <c r="F81" i="44" s="1"/>
  <c r="G133" i="41"/>
  <c r="G81" i="44" s="1"/>
  <c r="H120" i="41"/>
  <c r="H32" i="44" s="1"/>
  <c r="I131" i="41"/>
  <c r="I79" i="44" s="1"/>
  <c r="J120" i="41"/>
  <c r="J32" i="44" s="1"/>
  <c r="K133" i="41"/>
  <c r="K81" i="44" s="1"/>
  <c r="W38" i="60" s="1"/>
  <c r="G119" i="41"/>
  <c r="G31" i="44" s="1"/>
  <c r="I119" i="41"/>
  <c r="I31" i="44" s="1"/>
  <c r="C80" i="44"/>
  <c r="D119" i="41"/>
  <c r="D31" i="44" s="1"/>
  <c r="E130" i="41"/>
  <c r="F122" i="41"/>
  <c r="F34" i="44" s="1"/>
  <c r="F150" i="44" s="1"/>
  <c r="G122" i="41"/>
  <c r="G34" i="44" s="1"/>
  <c r="G150" i="44" s="1"/>
  <c r="H130" i="41"/>
  <c r="I120" i="41"/>
  <c r="I32" i="44" s="1"/>
  <c r="J117" i="41"/>
  <c r="K134" i="41"/>
  <c r="K82" i="44" s="1"/>
  <c r="W40" i="60" s="1"/>
  <c r="H133" i="41"/>
  <c r="H81" i="44" s="1"/>
  <c r="K135" i="41"/>
  <c r="K83" i="44" s="1"/>
  <c r="W41" i="60" s="1"/>
  <c r="K119" i="41"/>
  <c r="K31" i="44" s="1"/>
  <c r="M36" i="60" s="1"/>
  <c r="C136" i="41"/>
  <c r="C84" i="44" s="1"/>
  <c r="D121" i="41"/>
  <c r="D33" i="44" s="1"/>
  <c r="E132" i="41"/>
  <c r="E80" i="44" s="1"/>
  <c r="F135" i="41"/>
  <c r="F83" i="44" s="1"/>
  <c r="I125" i="41"/>
  <c r="I37" i="44" s="1"/>
  <c r="J119" i="41"/>
  <c r="J31" i="44" s="1"/>
  <c r="J121" i="41"/>
  <c r="J33" i="44" s="1"/>
  <c r="C118" i="41"/>
  <c r="C30" i="44" s="1"/>
  <c r="C146" i="44" s="1"/>
  <c r="D136" i="41"/>
  <c r="D84" i="44" s="1"/>
  <c r="E125" i="41"/>
  <c r="E37" i="44" s="1"/>
  <c r="F124" i="41"/>
  <c r="F36" i="44" s="1"/>
  <c r="G135" i="41"/>
  <c r="G83" i="44" s="1"/>
  <c r="H122" i="41"/>
  <c r="H34" i="44" s="1"/>
  <c r="H150" i="44" s="1"/>
  <c r="I133" i="41"/>
  <c r="I81" i="44" s="1"/>
  <c r="J136" i="41"/>
  <c r="J84" i="44" s="1"/>
  <c r="K132" i="41"/>
  <c r="K80" i="44" s="1"/>
  <c r="W37" i="60" s="1"/>
  <c r="C122" i="41"/>
  <c r="C34" i="44" s="1"/>
  <c r="C150" i="44" s="1"/>
  <c r="D120" i="41"/>
  <c r="D32" i="44" s="1"/>
  <c r="E118" i="41"/>
  <c r="E30" i="44" s="1"/>
  <c r="E146" i="44" s="1"/>
  <c r="F117" i="41"/>
  <c r="G124" i="41"/>
  <c r="G36" i="44" s="1"/>
  <c r="H135" i="41"/>
  <c r="H83" i="44" s="1"/>
  <c r="I118" i="41"/>
  <c r="I30" i="44" s="1"/>
  <c r="I146" i="44" s="1"/>
  <c r="J118" i="41"/>
  <c r="J30" i="44" s="1"/>
  <c r="J146" i="44" s="1"/>
  <c r="K123" i="41"/>
  <c r="K35" i="44" s="1"/>
  <c r="M40" i="60" s="1"/>
  <c r="C130" i="41"/>
  <c r="D130" i="41"/>
  <c r="E124" i="41"/>
  <c r="E36" i="44" s="1"/>
  <c r="F119" i="41"/>
  <c r="F31" i="44" s="1"/>
  <c r="G117" i="41"/>
  <c r="H124" i="41"/>
  <c r="H36" i="44" s="1"/>
  <c r="I117" i="41"/>
  <c r="J131" i="41"/>
  <c r="J79" i="44" s="1"/>
  <c r="K124" i="41"/>
  <c r="K36" i="44" s="1"/>
  <c r="M41" i="60" s="1"/>
  <c r="H125" i="41"/>
  <c r="H37" i="44" s="1"/>
  <c r="C121" i="41"/>
  <c r="C33" i="44" s="1"/>
  <c r="D132" i="41"/>
  <c r="D80" i="44" s="1"/>
  <c r="E134" i="41"/>
  <c r="E82" i="44" s="1"/>
  <c r="F134" i="41"/>
  <c r="F82" i="44" s="1"/>
  <c r="G130" i="41"/>
  <c r="H117" i="41"/>
  <c r="I122" i="41"/>
  <c r="I34" i="44" s="1"/>
  <c r="I150" i="44" s="1"/>
  <c r="J133" i="41"/>
  <c r="J81" i="44" s="1"/>
  <c r="K125" i="41"/>
  <c r="K37" i="44" s="1"/>
  <c r="M42" i="60" s="1"/>
  <c r="D124" i="41"/>
  <c r="D36" i="44" s="1"/>
  <c r="J122" i="41"/>
  <c r="J34" i="44" s="1"/>
  <c r="J150" i="44" s="1"/>
  <c r="G118" i="41"/>
  <c r="G30" i="44" s="1"/>
  <c r="G146" i="44" s="1"/>
  <c r="C123" i="41"/>
  <c r="C35" i="44" s="1"/>
  <c r="D134" i="41"/>
  <c r="D82" i="44" s="1"/>
  <c r="E123" i="41"/>
  <c r="E35" i="44" s="1"/>
  <c r="F136" i="41"/>
  <c r="F84" i="44" s="1"/>
  <c r="G132" i="41"/>
  <c r="G80" i="44" s="1"/>
  <c r="H119" i="41"/>
  <c r="H31" i="44" s="1"/>
  <c r="I132" i="41"/>
  <c r="I80" i="44" s="1"/>
  <c r="J135" i="41"/>
  <c r="J83" i="44" s="1"/>
  <c r="K118" i="41"/>
  <c r="K30" i="44" s="1"/>
  <c r="H134" i="41"/>
  <c r="H82" i="44" s="1"/>
  <c r="J130" i="41"/>
  <c r="C125" i="41"/>
  <c r="C37" i="44" s="1"/>
  <c r="D133" i="41"/>
  <c r="D81" i="44" s="1"/>
  <c r="E120" i="41"/>
  <c r="E32" i="44" s="1"/>
  <c r="F120" i="41"/>
  <c r="F32" i="44" s="1"/>
  <c r="G121" i="41"/>
  <c r="G33" i="44" s="1"/>
  <c r="H132" i="41"/>
  <c r="H80" i="44" s="1"/>
  <c r="I134" i="41"/>
  <c r="I82" i="44" s="1"/>
  <c r="J132" i="41"/>
  <c r="J80" i="44" s="1"/>
  <c r="K130" i="41"/>
  <c r="C135" i="41"/>
  <c r="C83" i="44" s="1"/>
  <c r="K122" i="41"/>
  <c r="K34" i="44" s="1"/>
  <c r="I121" i="41"/>
  <c r="I33" i="44" s="1"/>
  <c r="C131" i="41"/>
  <c r="C79" i="44" s="1"/>
  <c r="D135" i="41"/>
  <c r="D83" i="44" s="1"/>
  <c r="E122" i="41"/>
  <c r="E34" i="44" s="1"/>
  <c r="E150" i="44" s="1"/>
  <c r="F132" i="41"/>
  <c r="F80" i="44" s="1"/>
  <c r="G123" i="41"/>
  <c r="G35" i="44" s="1"/>
  <c r="H121" i="41"/>
  <c r="H33" i="44" s="1"/>
  <c r="I135" i="41"/>
  <c r="I83" i="44" s="1"/>
  <c r="J125" i="41"/>
  <c r="J37" i="44" s="1"/>
  <c r="K131" i="41"/>
  <c r="K79" i="44" s="1"/>
  <c r="W36" i="60" s="1"/>
  <c r="G134" i="41"/>
  <c r="G82" i="44" s="1"/>
  <c r="J124" i="41"/>
  <c r="J36" i="44" s="1"/>
  <c r="H123" i="41"/>
  <c r="H35" i="44" s="1"/>
  <c r="E121" i="41"/>
  <c r="E33" i="44" s="1"/>
  <c r="F130" i="41"/>
  <c r="I124" i="41"/>
  <c r="I36" i="44" s="1"/>
  <c r="K136" i="41"/>
  <c r="K84" i="44" s="1"/>
  <c r="W42" i="60" s="1"/>
  <c r="C124" i="41"/>
  <c r="C36" i="44" s="1"/>
  <c r="D117" i="41"/>
  <c r="E119" i="41"/>
  <c r="E31" i="44" s="1"/>
  <c r="F121" i="41"/>
  <c r="F33" i="44" s="1"/>
  <c r="G136" i="41"/>
  <c r="G84" i="44" s="1"/>
  <c r="I130" i="41"/>
  <c r="C134" i="41"/>
  <c r="C82" i="44" s="1"/>
  <c r="D123" i="41"/>
  <c r="D35" i="44" s="1"/>
  <c r="E136" i="41"/>
  <c r="E84" i="44" s="1"/>
  <c r="F123" i="41"/>
  <c r="F35" i="44" s="1"/>
  <c r="G125" i="41"/>
  <c r="G37" i="44" s="1"/>
  <c r="H136" i="41"/>
  <c r="H84" i="44" s="1"/>
  <c r="C120" i="41"/>
  <c r="C32" i="44" s="1"/>
  <c r="D118" i="41"/>
  <c r="D30" i="44" s="1"/>
  <c r="D146" i="44" s="1"/>
  <c r="E131" i="41"/>
  <c r="E79" i="44" s="1"/>
  <c r="F125" i="41"/>
  <c r="F37" i="44" s="1"/>
  <c r="K120" i="41"/>
  <c r="K32" i="44" s="1"/>
  <c r="M37" i="60" s="1"/>
  <c r="C133" i="41"/>
  <c r="C81" i="44" s="1"/>
  <c r="D125" i="41"/>
  <c r="D37" i="44" s="1"/>
  <c r="E133" i="41"/>
  <c r="E81" i="44" s="1"/>
  <c r="F118" i="41"/>
  <c r="F30" i="44" s="1"/>
  <c r="F146" i="44" s="1"/>
  <c r="G131" i="41"/>
  <c r="G79" i="44" s="1"/>
  <c r="H118" i="41"/>
  <c r="H30" i="44" s="1"/>
  <c r="H146" i="44" s="1"/>
  <c r="I123" i="41"/>
  <c r="I35" i="44" s="1"/>
  <c r="J134" i="41"/>
  <c r="J82" i="44" s="1"/>
  <c r="K117" i="41"/>
  <c r="BX72" i="2"/>
  <c r="BX82" i="2"/>
  <c r="BX81" i="2"/>
  <c r="BX60" i="2"/>
  <c r="BX97" i="2"/>
  <c r="BX70" i="2"/>
  <c r="BX78" i="2"/>
  <c r="BX92" i="2"/>
  <c r="BX95" i="2"/>
  <c r="BX94" i="2"/>
  <c r="BX93" i="2"/>
  <c r="BX89" i="2"/>
  <c r="BX67" i="2"/>
  <c r="BX49" i="2"/>
  <c r="BX20" i="2"/>
  <c r="BX46" i="2"/>
  <c r="BX43" i="2"/>
  <c r="BX40" i="2"/>
  <c r="BX85" i="2"/>
  <c r="BX74" i="2"/>
  <c r="BX69" i="2"/>
  <c r="BX64" i="2"/>
  <c r="BX37" i="2"/>
  <c r="BX15" i="2"/>
  <c r="BX61" i="2"/>
  <c r="BX57" i="2"/>
  <c r="BX51" i="2"/>
  <c r="BX34" i="2"/>
  <c r="BX31" i="2"/>
  <c r="BX25" i="2"/>
  <c r="BR66" i="2"/>
  <c r="BX66" i="2"/>
  <c r="BR48" i="2"/>
  <c r="BX48" i="2"/>
  <c r="BX28" i="2"/>
  <c r="BX17" i="2"/>
  <c r="BR88" i="2"/>
  <c r="BX88" i="2"/>
  <c r="BR77" i="2"/>
  <c r="BX77" i="2"/>
  <c r="BR54" i="2"/>
  <c r="BX54" i="2"/>
  <c r="BX42" i="2"/>
  <c r="BX39" i="2"/>
  <c r="BX22" i="2"/>
  <c r="BR91" i="2"/>
  <c r="BX91" i="2"/>
  <c r="BX19" i="2"/>
  <c r="BX84" i="2"/>
  <c r="BR96" i="2"/>
  <c r="BX96" i="2"/>
  <c r="BX80" i="2"/>
  <c r="BX87" i="2"/>
  <c r="BX76" i="2"/>
  <c r="BX68" i="2"/>
  <c r="BX63" i="2"/>
  <c r="BX45" i="2"/>
  <c r="BX36" i="2"/>
  <c r="BX14" i="2"/>
  <c r="BR14" i="2"/>
  <c r="BR71" i="2"/>
  <c r="BX71" i="2"/>
  <c r="BX73" i="2"/>
  <c r="BX56" i="2"/>
  <c r="BX53" i="2"/>
  <c r="BX50" i="2"/>
  <c r="BX33" i="2"/>
  <c r="BX30" i="2"/>
  <c r="BX27" i="2"/>
  <c r="BX24" i="2"/>
  <c r="BX59" i="2"/>
  <c r="BX41" i="2"/>
  <c r="BX21" i="2"/>
  <c r="BX16" i="2"/>
  <c r="BX83" i="2"/>
  <c r="BX79" i="2"/>
  <c r="BX65" i="2"/>
  <c r="BX62" i="2"/>
  <c r="BX47" i="2"/>
  <c r="BX44" i="2"/>
  <c r="BX38" i="2"/>
  <c r="BX35" i="2"/>
  <c r="BX90" i="2"/>
  <c r="BR75" i="2"/>
  <c r="BX75" i="2"/>
  <c r="BX86" i="2"/>
  <c r="BX55" i="2"/>
  <c r="BX52" i="2"/>
  <c r="BX18" i="2"/>
  <c r="BX58" i="2"/>
  <c r="BX32" i="2"/>
  <c r="BX29" i="2"/>
  <c r="BR26" i="2"/>
  <c r="BX26" i="2"/>
  <c r="BX23" i="2"/>
  <c r="BR74" i="2"/>
  <c r="BR89" i="2"/>
  <c r="BR67" i="2"/>
  <c r="BR58" i="2"/>
  <c r="BR78" i="2"/>
  <c r="BL72" i="2"/>
  <c r="BR72" i="2"/>
  <c r="BR49" i="2"/>
  <c r="BR20" i="2"/>
  <c r="BL82" i="2"/>
  <c r="BR82" i="2"/>
  <c r="BR92" i="2"/>
  <c r="BR46" i="2"/>
  <c r="BR43" i="2"/>
  <c r="BR40" i="2"/>
  <c r="BR85" i="2"/>
  <c r="BR69" i="2"/>
  <c r="BR64" i="2"/>
  <c r="BR37" i="2"/>
  <c r="BR15" i="2"/>
  <c r="BL84" i="2"/>
  <c r="BR84" i="2"/>
  <c r="BR61" i="2"/>
  <c r="BL81" i="2"/>
  <c r="BR81" i="2"/>
  <c r="BL57" i="2"/>
  <c r="BR57" i="2"/>
  <c r="BR51" i="2"/>
  <c r="BR34" i="2"/>
  <c r="BR31" i="2"/>
  <c r="BR25" i="2"/>
  <c r="BR28" i="2"/>
  <c r="BR17" i="2"/>
  <c r="BL60" i="2"/>
  <c r="BR60" i="2"/>
  <c r="BR42" i="2"/>
  <c r="BL39" i="2"/>
  <c r="BR39" i="2"/>
  <c r="BL22" i="2"/>
  <c r="BR22" i="2"/>
  <c r="BR19" i="2"/>
  <c r="BR87" i="2"/>
  <c r="BR76" i="2"/>
  <c r="BR68" i="2"/>
  <c r="BR63" i="2"/>
  <c r="BR45" i="2"/>
  <c r="BR36" i="2"/>
  <c r="BL14" i="2"/>
  <c r="BL97" i="2"/>
  <c r="BR97" i="2"/>
  <c r="BR73" i="2"/>
  <c r="BR56" i="2"/>
  <c r="BR53" i="2"/>
  <c r="BR50" i="2"/>
  <c r="BR33" i="2"/>
  <c r="BR30" i="2"/>
  <c r="BR95" i="2"/>
  <c r="BR94" i="2"/>
  <c r="BL90" i="2"/>
  <c r="BR90" i="2"/>
  <c r="BR27" i="2"/>
  <c r="BR24" i="2"/>
  <c r="BR80" i="2"/>
  <c r="BR59" i="2"/>
  <c r="BR41" i="2"/>
  <c r="BR21" i="2"/>
  <c r="BR16" i="2"/>
  <c r="BR83" i="2"/>
  <c r="BR79" i="2"/>
  <c r="BR65" i="2"/>
  <c r="BR62" i="2"/>
  <c r="BR47" i="2"/>
  <c r="BR44" i="2"/>
  <c r="BL70" i="2"/>
  <c r="BR70" i="2"/>
  <c r="BR38" i="2"/>
  <c r="BR35" i="2"/>
  <c r="BR93" i="2"/>
  <c r="BR86" i="2"/>
  <c r="BR55" i="2"/>
  <c r="BR52" i="2"/>
  <c r="BR18" i="2"/>
  <c r="BR32" i="2"/>
  <c r="BR29" i="2"/>
  <c r="BL26" i="2"/>
  <c r="BR23" i="2"/>
  <c r="BL49" i="2"/>
  <c r="BL20" i="2"/>
  <c r="BL46" i="2"/>
  <c r="BL43" i="2"/>
  <c r="BL40" i="2"/>
  <c r="BF78" i="2"/>
  <c r="BL78" i="2"/>
  <c r="BL92" i="2"/>
  <c r="BL85" i="2"/>
  <c r="BL74" i="2"/>
  <c r="BL69" i="2"/>
  <c r="BL64" i="2"/>
  <c r="BL37" i="2"/>
  <c r="BL15" i="2"/>
  <c r="BL61" i="2"/>
  <c r="BL51" i="2"/>
  <c r="BL34" i="2"/>
  <c r="BL31" i="2"/>
  <c r="BL25" i="2"/>
  <c r="BF88" i="2"/>
  <c r="BL88" i="2"/>
  <c r="BF77" i="2"/>
  <c r="BL77" i="2"/>
  <c r="BL71" i="2"/>
  <c r="BL66" i="2"/>
  <c r="BL54" i="2"/>
  <c r="BL48" i="2"/>
  <c r="BF28" i="2"/>
  <c r="BL28" i="2"/>
  <c r="BL17" i="2"/>
  <c r="BL42" i="2"/>
  <c r="BF96" i="2"/>
  <c r="BL96" i="2"/>
  <c r="BF80" i="2"/>
  <c r="BL80" i="2"/>
  <c r="BL19" i="2"/>
  <c r="BL45" i="2"/>
  <c r="BL36" i="2"/>
  <c r="BF14" i="2"/>
  <c r="BL87" i="2"/>
  <c r="BL76" i="2"/>
  <c r="BL68" i="2"/>
  <c r="BL63" i="2"/>
  <c r="BL73" i="2"/>
  <c r="BL56" i="2"/>
  <c r="BL53" i="2"/>
  <c r="BL50" i="2"/>
  <c r="BL33" i="2"/>
  <c r="BL30" i="2"/>
  <c r="BL27" i="2"/>
  <c r="BL24" i="2"/>
  <c r="BF94" i="2"/>
  <c r="BL94" i="2"/>
  <c r="BL59" i="2"/>
  <c r="BL41" i="2"/>
  <c r="BL21" i="2"/>
  <c r="BL16" i="2"/>
  <c r="BF95" i="2"/>
  <c r="BL95" i="2"/>
  <c r="BF83" i="2"/>
  <c r="BL83" i="2"/>
  <c r="BL79" i="2"/>
  <c r="BL65" i="2"/>
  <c r="BL62" i="2"/>
  <c r="BL47" i="2"/>
  <c r="BL44" i="2"/>
  <c r="BF75" i="2"/>
  <c r="BL75" i="2"/>
  <c r="BL38" i="2"/>
  <c r="BF35" i="2"/>
  <c r="BL35" i="2"/>
  <c r="BF93" i="2"/>
  <c r="BL93" i="2"/>
  <c r="BL86" i="2"/>
  <c r="BL55" i="2"/>
  <c r="BL52" i="2"/>
  <c r="BL18" i="2"/>
  <c r="BF91" i="2"/>
  <c r="BL91" i="2"/>
  <c r="BF89" i="2"/>
  <c r="BL89" i="2"/>
  <c r="BL67" i="2"/>
  <c r="BL58" i="2"/>
  <c r="BL32" i="2"/>
  <c r="BL29" i="2"/>
  <c r="BF26" i="2"/>
  <c r="BL23" i="2"/>
  <c r="BF49" i="2"/>
  <c r="BF20" i="2"/>
  <c r="BF67" i="2"/>
  <c r="BF82" i="2"/>
  <c r="BF72" i="2"/>
  <c r="BF92" i="2"/>
  <c r="BF46" i="2"/>
  <c r="BF43" i="2"/>
  <c r="BF40" i="2"/>
  <c r="BF85" i="2"/>
  <c r="BF74" i="2"/>
  <c r="BF69" i="2"/>
  <c r="BF64" i="2"/>
  <c r="BF37" i="2"/>
  <c r="BF15" i="2"/>
  <c r="BF61" i="2"/>
  <c r="BF81" i="2"/>
  <c r="BF57" i="2"/>
  <c r="BF51" i="2"/>
  <c r="BF34" i="2"/>
  <c r="BF31" i="2"/>
  <c r="BF25" i="2"/>
  <c r="BF71" i="2"/>
  <c r="BF17" i="2"/>
  <c r="BF60" i="2"/>
  <c r="BF42" i="2"/>
  <c r="BF39" i="2"/>
  <c r="BF22" i="2"/>
  <c r="BF66" i="2"/>
  <c r="BF54" i="2"/>
  <c r="BF19" i="2"/>
  <c r="BF63" i="2"/>
  <c r="BF45" i="2"/>
  <c r="BF36" i="2"/>
  <c r="BF48" i="2"/>
  <c r="BF97" i="2"/>
  <c r="BF84" i="2"/>
  <c r="BF87" i="2"/>
  <c r="BF76" i="2"/>
  <c r="BF68" i="2"/>
  <c r="BF73" i="2"/>
  <c r="BF56" i="2"/>
  <c r="BF53" i="2"/>
  <c r="BF50" i="2"/>
  <c r="BF33" i="2"/>
  <c r="BF30" i="2"/>
  <c r="BF27" i="2"/>
  <c r="BF24" i="2"/>
  <c r="BF90" i="2"/>
  <c r="BF59" i="2"/>
  <c r="BF41" i="2"/>
  <c r="BF21" i="2"/>
  <c r="BF16" i="2"/>
  <c r="BF79" i="2"/>
  <c r="BF65" i="2"/>
  <c r="BF62" i="2"/>
  <c r="BF47" i="2"/>
  <c r="BF44" i="2"/>
  <c r="BF38" i="2"/>
  <c r="BF70" i="2"/>
  <c r="BF86" i="2"/>
  <c r="BF55" i="2"/>
  <c r="BF52" i="2"/>
  <c r="BF18" i="2"/>
  <c r="BF58" i="2"/>
  <c r="BF32" i="2"/>
  <c r="BF29" i="2"/>
  <c r="BF23" i="2"/>
  <c r="AE82" i="2"/>
  <c r="AJ82" i="2"/>
  <c r="AJ78" i="2"/>
  <c r="AE78" i="2"/>
  <c r="AE72" i="2"/>
  <c r="AJ72" i="2"/>
  <c r="AE49" i="2"/>
  <c r="AJ49" i="2"/>
  <c r="AJ20" i="2"/>
  <c r="AE86" i="2"/>
  <c r="AJ86" i="2"/>
  <c r="AE55" i="2"/>
  <c r="AJ55" i="2"/>
  <c r="AJ46" i="2"/>
  <c r="AE46" i="2"/>
  <c r="AJ43" i="2"/>
  <c r="AE43" i="2"/>
  <c r="AE40" i="2"/>
  <c r="AJ40" i="2"/>
  <c r="AJ92" i="2"/>
  <c r="AE92" i="2"/>
  <c r="AE85" i="2"/>
  <c r="AJ85" i="2"/>
  <c r="AJ74" i="2"/>
  <c r="AE74" i="2"/>
  <c r="AE69" i="2"/>
  <c r="AJ69" i="2"/>
  <c r="AJ64" i="2"/>
  <c r="AE64" i="2"/>
  <c r="AE37" i="2"/>
  <c r="AJ37" i="2"/>
  <c r="AJ15" i="2"/>
  <c r="AJ93" i="2"/>
  <c r="AE93" i="2"/>
  <c r="AJ61" i="2"/>
  <c r="AE61" i="2"/>
  <c r="AE52" i="2"/>
  <c r="AJ52" i="2"/>
  <c r="AJ81" i="2"/>
  <c r="AE81" i="2"/>
  <c r="AE57" i="2"/>
  <c r="AJ57" i="2"/>
  <c r="AE51" i="2"/>
  <c r="AJ51" i="2"/>
  <c r="AE34" i="2"/>
  <c r="AJ34" i="2"/>
  <c r="AJ31" i="2"/>
  <c r="AE31" i="2"/>
  <c r="AJ25" i="2"/>
  <c r="AE66" i="2"/>
  <c r="AJ66" i="2"/>
  <c r="AJ48" i="2"/>
  <c r="AE48" i="2"/>
  <c r="AE28" i="2"/>
  <c r="AJ28" i="2"/>
  <c r="AJ17" i="2"/>
  <c r="AJ22" i="2"/>
  <c r="AE42" i="2"/>
  <c r="AJ42" i="2"/>
  <c r="AJ19" i="2"/>
  <c r="AE76" i="2"/>
  <c r="AJ76" i="2"/>
  <c r="AE68" i="2"/>
  <c r="AJ68" i="2"/>
  <c r="AJ63" i="2"/>
  <c r="AE63" i="2"/>
  <c r="AE45" i="2"/>
  <c r="AJ45" i="2"/>
  <c r="AE36" i="2"/>
  <c r="AJ36" i="2"/>
  <c r="AE14" i="2"/>
  <c r="AJ14" i="2"/>
  <c r="AJ73" i="2"/>
  <c r="AE73" i="2"/>
  <c r="AJ56" i="2"/>
  <c r="AE56" i="2"/>
  <c r="AE53" i="2"/>
  <c r="AJ53" i="2"/>
  <c r="AE50" i="2"/>
  <c r="AJ50" i="2"/>
  <c r="AJ33" i="2"/>
  <c r="AE33" i="2"/>
  <c r="AJ30" i="2"/>
  <c r="AE30" i="2"/>
  <c r="AE54" i="2"/>
  <c r="AJ54" i="2"/>
  <c r="AJ97" i="2"/>
  <c r="AE97" i="2"/>
  <c r="AJ91" i="2"/>
  <c r="AE91" i="2"/>
  <c r="AE84" i="2"/>
  <c r="AJ84" i="2"/>
  <c r="AE60" i="2"/>
  <c r="AJ60" i="2"/>
  <c r="AJ96" i="2"/>
  <c r="AE96" i="2"/>
  <c r="AJ27" i="2"/>
  <c r="AE27" i="2"/>
  <c r="AJ24" i="2"/>
  <c r="AE88" i="2"/>
  <c r="AJ88" i="2"/>
  <c r="AE77" i="2"/>
  <c r="AJ77" i="2"/>
  <c r="AE71" i="2"/>
  <c r="AJ71" i="2"/>
  <c r="AJ80" i="2"/>
  <c r="AE80" i="2"/>
  <c r="AJ59" i="2"/>
  <c r="AE59" i="2"/>
  <c r="AE41" i="2"/>
  <c r="AJ41" i="2"/>
  <c r="AJ21" i="2"/>
  <c r="AJ16" i="2"/>
  <c r="AJ95" i="2"/>
  <c r="AE95" i="2"/>
  <c r="AJ79" i="2"/>
  <c r="AE79" i="2"/>
  <c r="AJ47" i="2"/>
  <c r="AE47" i="2"/>
  <c r="AE39" i="2"/>
  <c r="AJ39" i="2"/>
  <c r="AE87" i="2"/>
  <c r="AJ87" i="2"/>
  <c r="AJ94" i="2"/>
  <c r="AE94" i="2"/>
  <c r="AJ90" i="2"/>
  <c r="AE90" i="2"/>
  <c r="AE83" i="2"/>
  <c r="AJ83" i="2"/>
  <c r="AJ65" i="2"/>
  <c r="AE65" i="2"/>
  <c r="AJ62" i="2"/>
  <c r="AE62" i="2"/>
  <c r="AE44" i="2"/>
  <c r="AJ44" i="2"/>
  <c r="AJ75" i="2"/>
  <c r="AE75" i="2"/>
  <c r="AE70" i="2"/>
  <c r="AJ70" i="2"/>
  <c r="AE38" i="2"/>
  <c r="AJ38" i="2"/>
  <c r="AE35" i="2"/>
  <c r="AJ35" i="2"/>
  <c r="AE18" i="2"/>
  <c r="AJ18" i="2"/>
  <c r="AE89" i="2"/>
  <c r="AJ89" i="2"/>
  <c r="AE67" i="2"/>
  <c r="AJ67" i="2"/>
  <c r="AJ58" i="2"/>
  <c r="AE58" i="2"/>
  <c r="AJ32" i="2"/>
  <c r="AE32" i="2"/>
  <c r="AE29" i="2"/>
  <c r="AJ29" i="2"/>
  <c r="AJ26" i="2"/>
  <c r="AE26" i="2"/>
  <c r="AJ23" i="2"/>
  <c r="AE20" i="2"/>
  <c r="Y85" i="2"/>
  <c r="Y69" i="2"/>
  <c r="AE15" i="2"/>
  <c r="Y51" i="2"/>
  <c r="AE25" i="2"/>
  <c r="Y66" i="2"/>
  <c r="Y54" i="2"/>
  <c r="Y17" i="2"/>
  <c r="AE17" i="2"/>
  <c r="AE22" i="2"/>
  <c r="AE19" i="2"/>
  <c r="Y14" i="2"/>
  <c r="Y68" i="2"/>
  <c r="AE24" i="2"/>
  <c r="AE21" i="2"/>
  <c r="AE16" i="2"/>
  <c r="Y83" i="2"/>
  <c r="Y70" i="2"/>
  <c r="Y35" i="2"/>
  <c r="Y26" i="2"/>
  <c r="AE23" i="2"/>
  <c r="S81" i="2"/>
  <c r="Y81" i="2"/>
  <c r="S84" i="2"/>
  <c r="Y84" i="2"/>
  <c r="S87" i="2"/>
  <c r="Y87" i="2"/>
  <c r="S38" i="2"/>
  <c r="Y38" i="2"/>
  <c r="S89" i="2"/>
  <c r="Y89" i="2"/>
  <c r="Y67" i="2"/>
  <c r="S82" i="2"/>
  <c r="Y82" i="2"/>
  <c r="Y78" i="2"/>
  <c r="S72" i="2"/>
  <c r="Y72" i="2"/>
  <c r="S49" i="2"/>
  <c r="Y49" i="2"/>
  <c r="Y20" i="2"/>
  <c r="Y92" i="2"/>
  <c r="Y46" i="2"/>
  <c r="Y43" i="2"/>
  <c r="Y40" i="2"/>
  <c r="Y64" i="2"/>
  <c r="Y37" i="2"/>
  <c r="Y15" i="2"/>
  <c r="S91" i="2"/>
  <c r="Y91" i="2"/>
  <c r="S74" i="2"/>
  <c r="Y74" i="2"/>
  <c r="Y61" i="2"/>
  <c r="S57" i="2"/>
  <c r="Y57" i="2"/>
  <c r="Y34" i="2"/>
  <c r="Y31" i="2"/>
  <c r="S25" i="2"/>
  <c r="Y25" i="2"/>
  <c r="S71" i="2"/>
  <c r="Y71" i="2"/>
  <c r="Y48" i="2"/>
  <c r="Y28" i="2"/>
  <c r="Y60" i="2"/>
  <c r="Y42" i="2"/>
  <c r="Y39" i="2"/>
  <c r="Y22" i="2"/>
  <c r="Y96" i="2"/>
  <c r="Y80" i="2"/>
  <c r="Y19" i="2"/>
  <c r="S97" i="2"/>
  <c r="Y97" i="2"/>
  <c r="Y63" i="2"/>
  <c r="Y45" i="2"/>
  <c r="Y36" i="2"/>
  <c r="S14" i="2"/>
  <c r="Y76" i="2"/>
  <c r="S56" i="2"/>
  <c r="Y56" i="2"/>
  <c r="Y53" i="2"/>
  <c r="Y50" i="2"/>
  <c r="Y33" i="2"/>
  <c r="Y30" i="2"/>
  <c r="S73" i="2"/>
  <c r="Y73" i="2"/>
  <c r="Y95" i="2"/>
  <c r="Y94" i="2"/>
  <c r="Y90" i="2"/>
  <c r="Y27" i="2"/>
  <c r="Y24" i="2"/>
  <c r="Y59" i="2"/>
  <c r="Y41" i="2"/>
  <c r="Y21" i="2"/>
  <c r="Y16" i="2"/>
  <c r="Y79" i="2"/>
  <c r="Y65" i="2"/>
  <c r="Y62" i="2"/>
  <c r="Y47" i="2"/>
  <c r="Y44" i="2"/>
  <c r="S88" i="2"/>
  <c r="Y88" i="2"/>
  <c r="S77" i="2"/>
  <c r="Y77" i="2"/>
  <c r="Y93" i="2"/>
  <c r="Y86" i="2"/>
  <c r="S55" i="2"/>
  <c r="Y55" i="2"/>
  <c r="Y52" i="2"/>
  <c r="Y18" i="2"/>
  <c r="Y75" i="2"/>
  <c r="Y58" i="2"/>
  <c r="Y32" i="2"/>
  <c r="Y29" i="2"/>
  <c r="Y23" i="2"/>
  <c r="S76" i="2"/>
  <c r="S78" i="2"/>
  <c r="S20" i="2"/>
  <c r="S46" i="2"/>
  <c r="S43" i="2"/>
  <c r="S40" i="2"/>
  <c r="S92" i="2"/>
  <c r="S85" i="2"/>
  <c r="S64" i="2"/>
  <c r="S37" i="2"/>
  <c r="S15" i="2"/>
  <c r="S69" i="2"/>
  <c r="S61" i="2"/>
  <c r="S51" i="2"/>
  <c r="S34" i="2"/>
  <c r="S31" i="2"/>
  <c r="S66" i="2"/>
  <c r="S54" i="2"/>
  <c r="S48" i="2"/>
  <c r="S28" i="2"/>
  <c r="S17" i="2"/>
  <c r="S60" i="2"/>
  <c r="S42" i="2"/>
  <c r="S39" i="2"/>
  <c r="S22" i="2"/>
  <c r="S19" i="2"/>
  <c r="S36" i="2"/>
  <c r="S50" i="2"/>
  <c r="S33" i="2"/>
  <c r="S30" i="2"/>
  <c r="S27" i="2"/>
  <c r="S24" i="2"/>
  <c r="S94" i="2"/>
  <c r="S59" i="2"/>
  <c r="S41" i="2"/>
  <c r="S21" i="2"/>
  <c r="S16" i="2"/>
  <c r="S63" i="2"/>
  <c r="S45" i="2"/>
  <c r="S95" i="2"/>
  <c r="S90" i="2"/>
  <c r="S83" i="2"/>
  <c r="S79" i="2"/>
  <c r="S65" i="2"/>
  <c r="S62" i="2"/>
  <c r="S47" i="2"/>
  <c r="S44" i="2"/>
  <c r="S96" i="2"/>
  <c r="S68" i="2"/>
  <c r="S53" i="2"/>
  <c r="S75" i="2"/>
  <c r="S70" i="2"/>
  <c r="S35" i="2"/>
  <c r="S80" i="2"/>
  <c r="S93" i="2"/>
  <c r="S52" i="2"/>
  <c r="S18" i="2"/>
  <c r="S86" i="2"/>
  <c r="S67" i="2"/>
  <c r="S58" i="2"/>
  <c r="S32" i="2"/>
  <c r="S29" i="2"/>
  <c r="S26" i="2"/>
  <c r="S23" i="2"/>
  <c r="BC13" i="39"/>
  <c r="J8" i="41" s="1"/>
  <c r="C6" i="36"/>
  <c r="C6" i="28"/>
  <c r="C6" i="30"/>
  <c r="C6" i="24"/>
  <c r="C6" i="20"/>
  <c r="C6" i="37"/>
  <c r="C6" i="29"/>
  <c r="C6" i="26"/>
  <c r="C6" i="34"/>
  <c r="C6" i="18"/>
  <c r="C6" i="23"/>
  <c r="C6" i="35"/>
  <c r="C6" i="32"/>
  <c r="C6" i="25"/>
  <c r="C6" i="19"/>
  <c r="C6" i="31"/>
  <c r="C6" i="22"/>
  <c r="C6" i="17"/>
  <c r="C6" i="33"/>
  <c r="C6" i="21"/>
  <c r="C69" i="34"/>
  <c r="C69" i="22"/>
  <c r="C69" i="32"/>
  <c r="C69" i="33"/>
  <c r="C69" i="20"/>
  <c r="C69" i="24"/>
  <c r="C69" i="36"/>
  <c r="C69" i="35"/>
  <c r="C69" i="18"/>
  <c r="C69" i="26"/>
  <c r="C69" i="25"/>
  <c r="C69" i="23"/>
  <c r="C69" i="28"/>
  <c r="C69" i="19"/>
  <c r="C69" i="17"/>
  <c r="C69" i="29"/>
  <c r="C69" i="37"/>
  <c r="C69" i="31"/>
  <c r="C69" i="30"/>
  <c r="C69" i="21"/>
  <c r="C53" i="35"/>
  <c r="C53" i="34"/>
  <c r="C53" i="37"/>
  <c r="C53" i="31"/>
  <c r="C53" i="22"/>
  <c r="C53" i="36"/>
  <c r="C53" i="21"/>
  <c r="C53" i="33"/>
  <c r="C53" i="30"/>
  <c r="C53" i="29"/>
  <c r="C53" i="24"/>
  <c r="C53" i="20"/>
  <c r="C53" i="18"/>
  <c r="C53" i="28"/>
  <c r="C53" i="32"/>
  <c r="C53" i="25"/>
  <c r="C53" i="23"/>
  <c r="C53" i="19"/>
  <c r="C53" i="17"/>
  <c r="C53" i="26"/>
  <c r="C37" i="32"/>
  <c r="C37" i="22"/>
  <c r="C37" i="28"/>
  <c r="C37" i="26"/>
  <c r="C37" i="37"/>
  <c r="C37" i="33"/>
  <c r="C37" i="31"/>
  <c r="C37" i="24"/>
  <c r="C37" i="21"/>
  <c r="C37" i="18"/>
  <c r="C37" i="34"/>
  <c r="C37" i="35"/>
  <c r="C37" i="30"/>
  <c r="C37" i="25"/>
  <c r="C37" i="36"/>
  <c r="C37" i="23"/>
  <c r="C37" i="17"/>
  <c r="C37" i="20"/>
  <c r="C37" i="19"/>
  <c r="C37" i="29"/>
  <c r="C21" i="30"/>
  <c r="C21" i="22"/>
  <c r="C21" i="35"/>
  <c r="C21" i="37"/>
  <c r="C21" i="36"/>
  <c r="C21" i="24"/>
  <c r="C21" i="33"/>
  <c r="C21" i="32"/>
  <c r="C21" i="18"/>
  <c r="C21" i="34"/>
  <c r="C21" i="31"/>
  <c r="C21" i="25"/>
  <c r="C21" i="20"/>
  <c r="C21" i="26"/>
  <c r="C21" i="23"/>
  <c r="C21" i="21"/>
  <c r="C21" i="19"/>
  <c r="C21" i="17"/>
  <c r="C21" i="29"/>
  <c r="C21" i="28"/>
  <c r="C5" i="31"/>
  <c r="C5" i="22"/>
  <c r="C5" i="21"/>
  <c r="C5" i="37"/>
  <c r="C5" i="33"/>
  <c r="C5" i="30"/>
  <c r="C5" i="26"/>
  <c r="C5" i="24"/>
  <c r="C5" i="20"/>
  <c r="C5" i="36"/>
  <c r="C5" i="18"/>
  <c r="C5" i="28"/>
  <c r="C5" i="34"/>
  <c r="C5" i="32"/>
  <c r="C5" i="25"/>
  <c r="C5" i="35"/>
  <c r="C5" i="23"/>
  <c r="C5" i="29"/>
  <c r="C5" i="19"/>
  <c r="C5" i="17"/>
  <c r="C85" i="36"/>
  <c r="C85" i="22"/>
  <c r="C85" i="28"/>
  <c r="C85" i="33"/>
  <c r="C85" i="34"/>
  <c r="C85" i="30"/>
  <c r="C85" i="26"/>
  <c r="C85" i="24"/>
  <c r="C85" i="18"/>
  <c r="C85" i="31"/>
  <c r="C85" i="21"/>
  <c r="C85" i="29"/>
  <c r="C85" i="25"/>
  <c r="C85" i="32"/>
  <c r="C85" i="23"/>
  <c r="C85" i="17"/>
  <c r="C85" i="20"/>
  <c r="C85" i="19"/>
  <c r="C85" i="37"/>
  <c r="C85" i="35"/>
  <c r="C68" i="25"/>
  <c r="C68" i="21"/>
  <c r="C68" i="37"/>
  <c r="C68" i="23"/>
  <c r="C68" i="19"/>
  <c r="C68" i="31"/>
  <c r="C68" i="30"/>
  <c r="C68" i="22"/>
  <c r="C68" i="29"/>
  <c r="C68" i="32"/>
  <c r="C68" i="28"/>
  <c r="C68" i="34"/>
  <c r="C68" i="33"/>
  <c r="C68" i="20"/>
  <c r="C68" i="24"/>
  <c r="C68" i="18"/>
  <c r="C68" i="26"/>
  <c r="C68" i="17"/>
  <c r="C68" i="35"/>
  <c r="C68" i="36"/>
  <c r="C52" i="25"/>
  <c r="C52" i="28"/>
  <c r="C52" i="26"/>
  <c r="C52" i="23"/>
  <c r="C52" i="19"/>
  <c r="C52" i="22"/>
  <c r="C52" i="37"/>
  <c r="C52" i="35"/>
  <c r="C52" i="31"/>
  <c r="C52" i="21"/>
  <c r="C52" i="36"/>
  <c r="C52" i="34"/>
  <c r="C52" i="30"/>
  <c r="C52" i="33"/>
  <c r="C52" i="24"/>
  <c r="C52" i="18"/>
  <c r="C52" i="29"/>
  <c r="C52" i="20"/>
  <c r="C52" i="17"/>
  <c r="C52" i="32"/>
  <c r="C36" i="30"/>
  <c r="C36" i="25"/>
  <c r="C36" i="36"/>
  <c r="C36" i="34"/>
  <c r="C36" i="20"/>
  <c r="C36" i="23"/>
  <c r="C36" i="19"/>
  <c r="C36" i="22"/>
  <c r="C36" i="32"/>
  <c r="C36" i="26"/>
  <c r="C36" i="29"/>
  <c r="C36" i="37"/>
  <c r="C36" i="31"/>
  <c r="C36" i="21"/>
  <c r="C36" i="28"/>
  <c r="C36" i="24"/>
  <c r="C36" i="18"/>
  <c r="C36" i="33"/>
  <c r="C36" i="17"/>
  <c r="C36" i="35"/>
  <c r="C20" i="26"/>
  <c r="C20" i="25"/>
  <c r="C20" i="34"/>
  <c r="C20" i="20"/>
  <c r="C20" i="23"/>
  <c r="C20" i="19"/>
  <c r="C20" i="22"/>
  <c r="C20" i="30"/>
  <c r="C20" i="29"/>
  <c r="C20" i="35"/>
  <c r="C20" i="37"/>
  <c r="C20" i="28"/>
  <c r="C20" i="24"/>
  <c r="C20" i="18"/>
  <c r="C20" i="36"/>
  <c r="C20" i="32"/>
  <c r="C20" i="17"/>
  <c r="C20" i="33"/>
  <c r="C20" i="31"/>
  <c r="C20" i="21"/>
  <c r="C4" i="32"/>
  <c r="C4" i="28"/>
  <c r="C4" i="25"/>
  <c r="C4" i="35"/>
  <c r="C4" i="34"/>
  <c r="C4" i="23"/>
  <c r="C4" i="19"/>
  <c r="C4" i="22"/>
  <c r="C4" i="21"/>
  <c r="C4" i="29"/>
  <c r="C4" i="31"/>
  <c r="C4" i="26"/>
  <c r="C4" i="37"/>
  <c r="C4" i="30"/>
  <c r="C4" i="24"/>
  <c r="C4" i="18"/>
  <c r="C4" i="33"/>
  <c r="C4" i="20"/>
  <c r="C4" i="17"/>
  <c r="C4" i="36"/>
  <c r="C19" i="32"/>
  <c r="C19" i="24"/>
  <c r="C19" i="28"/>
  <c r="C19" i="21"/>
  <c r="C19" i="36"/>
  <c r="C19" i="26"/>
  <c r="C19" i="33"/>
  <c r="C19" i="31"/>
  <c r="C19" i="25"/>
  <c r="C19" i="22"/>
  <c r="C19" i="20"/>
  <c r="C19" i="19"/>
  <c r="C19" i="23"/>
  <c r="C19" i="17"/>
  <c r="C19" i="30"/>
  <c r="C19" i="34"/>
  <c r="C19" i="37"/>
  <c r="C19" i="29"/>
  <c r="C19" i="35"/>
  <c r="C19" i="18"/>
  <c r="C67" i="28"/>
  <c r="C67" i="24"/>
  <c r="C67" i="33"/>
  <c r="C67" i="35"/>
  <c r="C67" i="36"/>
  <c r="C67" i="25"/>
  <c r="C67" i="21"/>
  <c r="C67" i="34"/>
  <c r="C67" i="37"/>
  <c r="C67" i="22"/>
  <c r="C67" i="31"/>
  <c r="C67" i="30"/>
  <c r="C67" i="19"/>
  <c r="C67" i="23"/>
  <c r="C67" i="17"/>
  <c r="C67" i="32"/>
  <c r="C67" i="29"/>
  <c r="C67" i="20"/>
  <c r="C67" i="26"/>
  <c r="C67" i="18"/>
  <c r="C82" i="26"/>
  <c r="C82" i="19"/>
  <c r="C82" i="29"/>
  <c r="C82" i="23"/>
  <c r="C82" i="35"/>
  <c r="C82" i="21"/>
  <c r="C82" i="18"/>
  <c r="C82" i="36"/>
  <c r="C82" i="24"/>
  <c r="C82" i="30"/>
  <c r="C82" i="33"/>
  <c r="C82" i="32"/>
  <c r="C82" i="31"/>
  <c r="C82" i="22"/>
  <c r="C82" i="17"/>
  <c r="C82" i="37"/>
  <c r="C82" i="28"/>
  <c r="C82" i="25"/>
  <c r="C82" i="34"/>
  <c r="C82" i="20"/>
  <c r="C66" i="32"/>
  <c r="C66" i="23"/>
  <c r="C66" i="26"/>
  <c r="C66" i="18"/>
  <c r="C66" i="20"/>
  <c r="C66" i="29"/>
  <c r="C66" i="24"/>
  <c r="C66" i="33"/>
  <c r="C66" i="21"/>
  <c r="C66" i="28"/>
  <c r="C66" i="25"/>
  <c r="C66" i="22"/>
  <c r="C66" i="17"/>
  <c r="C66" i="37"/>
  <c r="C66" i="36"/>
  <c r="C66" i="35"/>
  <c r="C66" i="34"/>
  <c r="C66" i="31"/>
  <c r="C66" i="30"/>
  <c r="C66" i="19"/>
  <c r="C50" i="31"/>
  <c r="C50" i="23"/>
  <c r="C50" i="28"/>
  <c r="C50" i="18"/>
  <c r="C50" i="35"/>
  <c r="C50" i="30"/>
  <c r="C50" i="24"/>
  <c r="C50" i="36"/>
  <c r="C50" i="32"/>
  <c r="C50" i="26"/>
  <c r="C50" i="20"/>
  <c r="C50" i="33"/>
  <c r="C50" i="25"/>
  <c r="C50" i="22"/>
  <c r="C50" i="17"/>
  <c r="C50" i="29"/>
  <c r="C50" i="21"/>
  <c r="C50" i="37"/>
  <c r="C50" i="34"/>
  <c r="C50" i="19"/>
  <c r="C34" i="37"/>
  <c r="C34" i="23"/>
  <c r="C34" i="21"/>
  <c r="C34" i="18"/>
  <c r="C34" i="34"/>
  <c r="C34" i="31"/>
  <c r="C34" i="24"/>
  <c r="C34" i="29"/>
  <c r="C34" i="33"/>
  <c r="C34" i="25"/>
  <c r="C34" i="22"/>
  <c r="C34" i="17"/>
  <c r="C34" i="30"/>
  <c r="C34" i="35"/>
  <c r="C34" i="32"/>
  <c r="C34" i="28"/>
  <c r="C34" i="26"/>
  <c r="C34" i="36"/>
  <c r="C34" i="20"/>
  <c r="C34" i="19"/>
  <c r="C18" i="30"/>
  <c r="C18" i="23"/>
  <c r="C18" i="37"/>
  <c r="C18" i="18"/>
  <c r="C18" i="34"/>
  <c r="C18" i="32"/>
  <c r="C18" i="24"/>
  <c r="C18" i="21"/>
  <c r="C18" i="35"/>
  <c r="C18" i="26"/>
  <c r="C18" i="29"/>
  <c r="C18" i="28"/>
  <c r="C18" i="31"/>
  <c r="C18" i="25"/>
  <c r="C18" i="22"/>
  <c r="C18" i="17"/>
  <c r="C18" i="36"/>
  <c r="C18" i="33"/>
  <c r="C18" i="20"/>
  <c r="C18" i="19"/>
  <c r="C2" i="28"/>
  <c r="C2" i="26"/>
  <c r="C2" i="23"/>
  <c r="C2" i="37"/>
  <c r="C2" i="31"/>
  <c r="C2" i="18"/>
  <c r="C2" i="30"/>
  <c r="C2" i="24"/>
  <c r="C2" i="20"/>
  <c r="C2" i="34"/>
  <c r="C2" i="32"/>
  <c r="C2" i="29"/>
  <c r="C2" i="25"/>
  <c r="C2" i="22"/>
  <c r="C2" i="17"/>
  <c r="C2" i="36"/>
  <c r="C2" i="21"/>
  <c r="C2" i="33"/>
  <c r="C2" i="35"/>
  <c r="C2" i="19"/>
  <c r="C51" i="24"/>
  <c r="C51" i="33"/>
  <c r="C51" i="20"/>
  <c r="C51" i="32"/>
  <c r="C51" i="29"/>
  <c r="C51" i="26"/>
  <c r="C51" i="25"/>
  <c r="C51" i="34"/>
  <c r="C51" i="22"/>
  <c r="C51" i="37"/>
  <c r="C51" i="28"/>
  <c r="C51" i="21"/>
  <c r="C51" i="19"/>
  <c r="C51" i="23"/>
  <c r="C51" i="17"/>
  <c r="C51" i="31"/>
  <c r="C51" i="35"/>
  <c r="C51" i="36"/>
  <c r="C51" i="30"/>
  <c r="C51" i="18"/>
  <c r="C81" i="31"/>
  <c r="C81" i="25"/>
  <c r="C81" i="33"/>
  <c r="C81" i="20"/>
  <c r="C81" i="26"/>
  <c r="C81" i="28"/>
  <c r="C81" i="34"/>
  <c r="C81" i="21"/>
  <c r="C81" i="19"/>
  <c r="C81" i="18"/>
  <c r="C81" i="23"/>
  <c r="C81" i="17"/>
  <c r="C81" i="35"/>
  <c r="C81" i="24"/>
  <c r="C81" i="36"/>
  <c r="C81" i="29"/>
  <c r="C81" i="30"/>
  <c r="C81" i="22"/>
  <c r="C81" i="37"/>
  <c r="C81" i="32"/>
  <c r="C38" i="37"/>
  <c r="C38" i="31"/>
  <c r="C38" i="26"/>
  <c r="C38" i="24"/>
  <c r="C38" i="35"/>
  <c r="C38" i="18"/>
  <c r="C38" i="29"/>
  <c r="C38" i="21"/>
  <c r="C38" i="23"/>
  <c r="C38" i="36"/>
  <c r="C38" i="30"/>
  <c r="C38" i="25"/>
  <c r="C38" i="19"/>
  <c r="C38" i="20"/>
  <c r="C38" i="28"/>
  <c r="C38" i="32"/>
  <c r="C38" i="22"/>
  <c r="C38" i="17"/>
  <c r="C38" i="34"/>
  <c r="C38" i="33"/>
  <c r="C3" i="34"/>
  <c r="C3" i="30"/>
  <c r="C3" i="24"/>
  <c r="C3" i="20"/>
  <c r="C3" i="36"/>
  <c r="C3" i="33"/>
  <c r="C3" i="32"/>
  <c r="C3" i="25"/>
  <c r="C3" i="22"/>
  <c r="C3" i="28"/>
  <c r="C3" i="21"/>
  <c r="C3" i="35"/>
  <c r="C3" i="19"/>
  <c r="C3" i="23"/>
  <c r="C3" i="17"/>
  <c r="C3" i="31"/>
  <c r="C3" i="26"/>
  <c r="C3" i="37"/>
  <c r="C3" i="29"/>
  <c r="C3" i="18"/>
  <c r="C65" i="28"/>
  <c r="C65" i="36"/>
  <c r="C65" i="35"/>
  <c r="C65" i="31"/>
  <c r="C65" i="30"/>
  <c r="C65" i="32"/>
  <c r="C65" i="19"/>
  <c r="C65" i="34"/>
  <c r="C65" i="26"/>
  <c r="C65" i="18"/>
  <c r="C65" i="23"/>
  <c r="C65" i="20"/>
  <c r="C65" i="17"/>
  <c r="C65" i="24"/>
  <c r="C65" i="21"/>
  <c r="C65" i="22"/>
  <c r="C65" i="29"/>
  <c r="C65" i="37"/>
  <c r="C65" i="33"/>
  <c r="C65" i="25"/>
  <c r="C17" i="36"/>
  <c r="C17" i="28"/>
  <c r="C17" i="20"/>
  <c r="C17" i="33"/>
  <c r="C17" i="29"/>
  <c r="C17" i="30"/>
  <c r="C17" i="19"/>
  <c r="C17" i="37"/>
  <c r="C17" i="18"/>
  <c r="C17" i="32"/>
  <c r="C17" i="23"/>
  <c r="C17" i="21"/>
  <c r="C17" i="17"/>
  <c r="C17" i="26"/>
  <c r="C17" i="24"/>
  <c r="C17" i="35"/>
  <c r="C17" i="34"/>
  <c r="C17" i="22"/>
  <c r="C17" i="31"/>
  <c r="C17" i="25"/>
  <c r="C80" i="35"/>
  <c r="C80" i="24"/>
  <c r="C80" i="23"/>
  <c r="C80" i="22"/>
  <c r="C80" i="36"/>
  <c r="C80" i="30"/>
  <c r="C80" i="37"/>
  <c r="C80" i="32"/>
  <c r="C80" i="29"/>
  <c r="C80" i="25"/>
  <c r="C80" i="31"/>
  <c r="C80" i="26"/>
  <c r="C80" i="33"/>
  <c r="C80" i="20"/>
  <c r="C80" i="17"/>
  <c r="C80" i="21"/>
  <c r="C80" i="28"/>
  <c r="C80" i="19"/>
  <c r="C80" i="18"/>
  <c r="C80" i="34"/>
  <c r="C32" i="22"/>
  <c r="C32" i="26"/>
  <c r="C32" i="25"/>
  <c r="C32" i="32"/>
  <c r="C32" i="30"/>
  <c r="C32" i="34"/>
  <c r="C32" i="21"/>
  <c r="C32" i="35"/>
  <c r="C32" i="33"/>
  <c r="C32" i="20"/>
  <c r="C32" i="17"/>
  <c r="C32" i="37"/>
  <c r="C32" i="29"/>
  <c r="C32" i="36"/>
  <c r="C32" i="19"/>
  <c r="C32" i="18"/>
  <c r="C32" i="31"/>
  <c r="C32" i="28"/>
  <c r="C32" i="24"/>
  <c r="C32" i="23"/>
  <c r="C35" i="24"/>
  <c r="C35" i="33"/>
  <c r="C35" i="28"/>
  <c r="C35" i="30"/>
  <c r="C35" i="25"/>
  <c r="C35" i="35"/>
  <c r="C35" i="22"/>
  <c r="C35" i="20"/>
  <c r="C35" i="36"/>
  <c r="C35" i="32"/>
  <c r="C35" i="26"/>
  <c r="C35" i="19"/>
  <c r="C35" i="23"/>
  <c r="C35" i="17"/>
  <c r="C35" i="34"/>
  <c r="C35" i="37"/>
  <c r="C35" i="21"/>
  <c r="C35" i="29"/>
  <c r="C35" i="31"/>
  <c r="C35" i="18"/>
  <c r="C97" i="30"/>
  <c r="C97" i="32"/>
  <c r="C97" i="36"/>
  <c r="C97" i="35"/>
  <c r="C97" i="25"/>
  <c r="C97" i="21"/>
  <c r="C97" i="33"/>
  <c r="C97" i="34"/>
  <c r="C97" i="28"/>
  <c r="C97" i="19"/>
  <c r="C97" i="29"/>
  <c r="C97" i="18"/>
  <c r="C97" i="31"/>
  <c r="C97" i="23"/>
  <c r="C97" i="17"/>
  <c r="C97" i="24"/>
  <c r="C97" i="37"/>
  <c r="C97" i="22"/>
  <c r="C97" i="26"/>
  <c r="C97" i="20"/>
  <c r="C49" i="33"/>
  <c r="C49" i="37"/>
  <c r="C49" i="19"/>
  <c r="C49" i="34"/>
  <c r="C49" i="31"/>
  <c r="C49" i="29"/>
  <c r="C49" i="18"/>
  <c r="C49" i="23"/>
  <c r="C49" i="17"/>
  <c r="C49" i="35"/>
  <c r="C49" i="30"/>
  <c r="C49" i="24"/>
  <c r="C49" i="32"/>
  <c r="C49" i="28"/>
  <c r="C49" i="26"/>
  <c r="C49" i="20"/>
  <c r="C49" i="22"/>
  <c r="C49" i="36"/>
  <c r="C49" i="25"/>
  <c r="C49" i="21"/>
  <c r="C33" i="26"/>
  <c r="C33" i="33"/>
  <c r="C33" i="32"/>
  <c r="C33" i="30"/>
  <c r="C33" i="35"/>
  <c r="C33" i="29"/>
  <c r="C33" i="20"/>
  <c r="C33" i="21"/>
  <c r="C33" i="37"/>
  <c r="C33" i="36"/>
  <c r="C33" i="19"/>
  <c r="C33" i="28"/>
  <c r="C33" i="18"/>
  <c r="C33" i="23"/>
  <c r="C33" i="31"/>
  <c r="C33" i="17"/>
  <c r="C33" i="24"/>
  <c r="C33" i="34"/>
  <c r="C33" i="22"/>
  <c r="C33" i="25"/>
  <c r="C64" i="34"/>
  <c r="C64" i="22"/>
  <c r="C64" i="37"/>
  <c r="C64" i="25"/>
  <c r="C64" i="29"/>
  <c r="C64" i="33"/>
  <c r="C64" i="36"/>
  <c r="C64" i="35"/>
  <c r="C64" i="17"/>
  <c r="C64" i="31"/>
  <c r="C64" i="30"/>
  <c r="C64" i="28"/>
  <c r="C64" i="32"/>
  <c r="C64" i="26"/>
  <c r="C64" i="19"/>
  <c r="C64" i="18"/>
  <c r="C64" i="21"/>
  <c r="C64" i="20"/>
  <c r="C64" i="24"/>
  <c r="C64" i="23"/>
  <c r="C48" i="35"/>
  <c r="C48" i="32"/>
  <c r="C48" i="30"/>
  <c r="C48" i="22"/>
  <c r="C48" i="20"/>
  <c r="C48" i="21"/>
  <c r="C48" i="28"/>
  <c r="C48" i="36"/>
  <c r="C48" i="25"/>
  <c r="C48" i="37"/>
  <c r="C48" i="17"/>
  <c r="C48" i="33"/>
  <c r="C48" i="31"/>
  <c r="C48" i="19"/>
  <c r="C48" i="18"/>
  <c r="C48" i="29"/>
  <c r="C48" i="26"/>
  <c r="C48" i="34"/>
  <c r="C48" i="24"/>
  <c r="C48" i="23"/>
  <c r="C16" i="22"/>
  <c r="C16" i="35"/>
  <c r="C16" i="25"/>
  <c r="C16" i="31"/>
  <c r="C16" i="34"/>
  <c r="C16" i="20"/>
  <c r="C16" i="17"/>
  <c r="C16" i="33"/>
  <c r="C16" i="28"/>
  <c r="C16" i="37"/>
  <c r="C16" i="36"/>
  <c r="C16" i="30"/>
  <c r="C16" i="29"/>
  <c r="C16" i="19"/>
  <c r="C16" i="18"/>
  <c r="C16" i="32"/>
  <c r="C16" i="21"/>
  <c r="C16" i="26"/>
  <c r="C16" i="24"/>
  <c r="C16" i="23"/>
  <c r="C95" i="18"/>
  <c r="C95" i="33"/>
  <c r="C95" i="32"/>
  <c r="C95" i="30"/>
  <c r="C95" i="36"/>
  <c r="C95" i="19"/>
  <c r="C95" i="22"/>
  <c r="C95" i="31"/>
  <c r="C95" i="26"/>
  <c r="C95" i="37"/>
  <c r="C95" i="29"/>
  <c r="C95" i="24"/>
  <c r="C95" i="28"/>
  <c r="C95" i="23"/>
  <c r="C95" i="34"/>
  <c r="C95" i="21"/>
  <c r="C95" i="17"/>
  <c r="C95" i="25"/>
  <c r="C95" i="20"/>
  <c r="C95" i="35"/>
  <c r="C79" i="18"/>
  <c r="C79" i="19"/>
  <c r="C79" i="17"/>
  <c r="C79" i="22"/>
  <c r="C79" i="24"/>
  <c r="C79" i="35"/>
  <c r="C79" i="37"/>
  <c r="C79" i="34"/>
  <c r="C79" i="32"/>
  <c r="C79" i="30"/>
  <c r="C79" i="28"/>
  <c r="C79" i="23"/>
  <c r="C79" i="36"/>
  <c r="C79" i="29"/>
  <c r="C79" i="26"/>
  <c r="C79" i="25"/>
  <c r="C79" i="31"/>
  <c r="C79" i="21"/>
  <c r="C79" i="20"/>
  <c r="C79" i="33"/>
  <c r="C63" i="21"/>
  <c r="C63" i="19"/>
  <c r="C63" i="28"/>
  <c r="C63" i="22"/>
  <c r="C63" i="24"/>
  <c r="C63" i="20"/>
  <c r="C63" i="23"/>
  <c r="C63" i="37"/>
  <c r="C63" i="34"/>
  <c r="C63" i="25"/>
  <c r="C63" i="17"/>
  <c r="C63" i="33"/>
  <c r="C63" i="29"/>
  <c r="C63" i="26"/>
  <c r="C63" i="35"/>
  <c r="C63" i="31"/>
  <c r="C63" i="36"/>
  <c r="C63" i="32"/>
  <c r="C63" i="30"/>
  <c r="C63" i="18"/>
  <c r="C47" i="33"/>
  <c r="C47" i="31"/>
  <c r="C47" i="26"/>
  <c r="C47" i="19"/>
  <c r="C47" i="22"/>
  <c r="C47" i="32"/>
  <c r="C47" i="24"/>
  <c r="C47" i="29"/>
  <c r="C47" i="21"/>
  <c r="C47" i="23"/>
  <c r="C47" i="35"/>
  <c r="C47" i="30"/>
  <c r="C47" i="20"/>
  <c r="C47" i="25"/>
  <c r="C47" i="36"/>
  <c r="C47" i="37"/>
  <c r="C47" i="34"/>
  <c r="C47" i="17"/>
  <c r="C47" i="28"/>
  <c r="C47" i="18"/>
  <c r="C31" i="34"/>
  <c r="C31" i="19"/>
  <c r="C31" i="36"/>
  <c r="C31" i="29"/>
  <c r="C31" i="31"/>
  <c r="C31" i="22"/>
  <c r="C31" i="24"/>
  <c r="C31" i="26"/>
  <c r="C31" i="23"/>
  <c r="C31" i="28"/>
  <c r="C31" i="17"/>
  <c r="C31" i="25"/>
  <c r="C31" i="32"/>
  <c r="C31" i="21"/>
  <c r="C31" i="30"/>
  <c r="C31" i="37"/>
  <c r="C31" i="20"/>
  <c r="C31" i="35"/>
  <c r="C31" i="33"/>
  <c r="C31" i="18"/>
  <c r="C15" i="34"/>
  <c r="C15" i="33"/>
  <c r="C15" i="32"/>
  <c r="C15" i="26"/>
  <c r="C15" i="21"/>
  <c r="C15" i="36"/>
  <c r="C15" i="19"/>
  <c r="C15" i="29"/>
  <c r="C15" i="22"/>
  <c r="C15" i="28"/>
  <c r="C15" i="24"/>
  <c r="C15" i="17"/>
  <c r="C15" i="23"/>
  <c r="C15" i="35"/>
  <c r="C15" i="25"/>
  <c r="C15" i="31"/>
  <c r="C15" i="20"/>
  <c r="C15" i="37"/>
  <c r="C15" i="30"/>
  <c r="C15" i="18"/>
  <c r="C54" i="28"/>
  <c r="C54" i="21"/>
  <c r="C54" i="24"/>
  <c r="C54" i="20"/>
  <c r="C54" i="18"/>
  <c r="C54" i="23"/>
  <c r="C54" i="32"/>
  <c r="C54" i="25"/>
  <c r="C54" i="19"/>
  <c r="C54" i="34"/>
  <c r="C54" i="35"/>
  <c r="C54" i="29"/>
  <c r="C54" i="26"/>
  <c r="C54" i="31"/>
  <c r="C54" i="37"/>
  <c r="C54" i="36"/>
  <c r="C54" i="33"/>
  <c r="C54" i="22"/>
  <c r="C54" i="17"/>
  <c r="C54" i="30"/>
  <c r="C94" i="34"/>
  <c r="C94" i="20"/>
  <c r="C94" i="35"/>
  <c r="C94" i="18"/>
  <c r="C94" i="32"/>
  <c r="C94" i="30"/>
  <c r="C94" i="22"/>
  <c r="C94" i="17"/>
  <c r="C94" i="36"/>
  <c r="C94" i="33"/>
  <c r="C94" i="26"/>
  <c r="C94" i="19"/>
  <c r="C94" i="37"/>
  <c r="C94" i="31"/>
  <c r="C94" i="24"/>
  <c r="C94" i="21"/>
  <c r="C94" i="29"/>
  <c r="C94" i="23"/>
  <c r="C94" i="28"/>
  <c r="C94" i="25"/>
  <c r="C78" i="36"/>
  <c r="C78" i="31"/>
  <c r="C78" i="21"/>
  <c r="C78" i="34"/>
  <c r="C78" i="33"/>
  <c r="C78" i="29"/>
  <c r="C78" i="20"/>
  <c r="C78" i="18"/>
  <c r="C78" i="22"/>
  <c r="C78" i="17"/>
  <c r="C78" i="19"/>
  <c r="C78" i="24"/>
  <c r="C78" i="37"/>
  <c r="C78" i="32"/>
  <c r="C78" i="30"/>
  <c r="C78" i="35"/>
  <c r="C78" i="26"/>
  <c r="C78" i="23"/>
  <c r="C78" i="28"/>
  <c r="C78" i="25"/>
  <c r="C62" i="34"/>
  <c r="C62" i="26"/>
  <c r="C62" i="33"/>
  <c r="C62" i="32"/>
  <c r="C62" i="31"/>
  <c r="C62" i="18"/>
  <c r="C62" i="35"/>
  <c r="C62" i="30"/>
  <c r="C62" i="21"/>
  <c r="C62" i="36"/>
  <c r="C62" i="22"/>
  <c r="C62" i="17"/>
  <c r="C62" i="29"/>
  <c r="C62" i="19"/>
  <c r="C62" i="24"/>
  <c r="C62" i="20"/>
  <c r="C62" i="28"/>
  <c r="C62" i="37"/>
  <c r="C62" i="23"/>
  <c r="C62" i="25"/>
  <c r="C46" i="36"/>
  <c r="C46" i="18"/>
  <c r="C46" i="26"/>
  <c r="C46" i="28"/>
  <c r="C46" i="33"/>
  <c r="C46" i="31"/>
  <c r="C46" i="22"/>
  <c r="C46" i="17"/>
  <c r="C46" i="34"/>
  <c r="C46" i="19"/>
  <c r="C46" i="32"/>
  <c r="C46" i="21"/>
  <c r="C46" i="24"/>
  <c r="C46" i="30"/>
  <c r="C46" i="20"/>
  <c r="C46" i="23"/>
  <c r="C46" i="25"/>
  <c r="C46" i="37"/>
  <c r="C46" i="35"/>
  <c r="C46" i="29"/>
  <c r="C30" i="30"/>
  <c r="C30" i="37"/>
  <c r="C30" i="18"/>
  <c r="C30" i="20"/>
  <c r="C30" i="35"/>
  <c r="C30" i="33"/>
  <c r="C30" i="22"/>
  <c r="C30" i="17"/>
  <c r="C30" i="19"/>
  <c r="C30" i="34"/>
  <c r="C30" i="36"/>
  <c r="C30" i="31"/>
  <c r="C30" i="24"/>
  <c r="C30" i="26"/>
  <c r="C30" i="29"/>
  <c r="C30" i="23"/>
  <c r="C30" i="32"/>
  <c r="C30" i="25"/>
  <c r="C30" i="21"/>
  <c r="C30" i="28"/>
  <c r="C14" i="37"/>
  <c r="C14" i="26"/>
  <c r="C14" i="20"/>
  <c r="C14" i="18"/>
  <c r="C14" i="32"/>
  <c r="C14" i="30"/>
  <c r="C14" i="21"/>
  <c r="C14" i="22"/>
  <c r="C14" i="17"/>
  <c r="C14" i="36"/>
  <c r="C14" i="19"/>
  <c r="C14" i="33"/>
  <c r="C14" i="24"/>
  <c r="C14" i="34"/>
  <c r="C14" i="29"/>
  <c r="C14" i="28"/>
  <c r="C14" i="23"/>
  <c r="C14" i="35"/>
  <c r="C14" i="25"/>
  <c r="C14" i="31"/>
  <c r="C77" i="32"/>
  <c r="C77" i="26"/>
  <c r="C77" i="30"/>
  <c r="C77" i="35"/>
  <c r="C77" i="25"/>
  <c r="C77" i="21"/>
  <c r="C77" i="17"/>
  <c r="C77" i="31"/>
  <c r="C77" i="23"/>
  <c r="C77" i="36"/>
  <c r="C77" i="28"/>
  <c r="C77" i="18"/>
  <c r="C77" i="22"/>
  <c r="C77" i="20"/>
  <c r="C77" i="33"/>
  <c r="C77" i="34"/>
  <c r="C77" i="29"/>
  <c r="C77" i="19"/>
  <c r="C77" i="37"/>
  <c r="C77" i="24"/>
  <c r="C61" i="37"/>
  <c r="C61" i="17"/>
  <c r="C61" i="29"/>
  <c r="C61" i="26"/>
  <c r="C61" i="25"/>
  <c r="C61" i="23"/>
  <c r="C61" i="28"/>
  <c r="C61" i="18"/>
  <c r="C61" i="32"/>
  <c r="C61" i="31"/>
  <c r="C61" i="21"/>
  <c r="C61" i="22"/>
  <c r="C61" i="34"/>
  <c r="C61" i="33"/>
  <c r="C61" i="30"/>
  <c r="C61" i="36"/>
  <c r="C61" i="35"/>
  <c r="C61" i="19"/>
  <c r="C61" i="24"/>
  <c r="C61" i="20"/>
  <c r="C45" i="30"/>
  <c r="C45" i="37"/>
  <c r="C45" i="25"/>
  <c r="C45" i="20"/>
  <c r="C45" i="23"/>
  <c r="C45" i="36"/>
  <c r="C45" i="35"/>
  <c r="C45" i="18"/>
  <c r="C45" i="26"/>
  <c r="C45" i="22"/>
  <c r="C45" i="29"/>
  <c r="C45" i="17"/>
  <c r="C45" i="31"/>
  <c r="C45" i="21"/>
  <c r="C45" i="33"/>
  <c r="C45" i="32"/>
  <c r="C45" i="19"/>
  <c r="C45" i="28"/>
  <c r="C45" i="24"/>
  <c r="C45" i="34"/>
  <c r="C29" i="21"/>
  <c r="C29" i="17"/>
  <c r="C29" i="32"/>
  <c r="C29" i="34"/>
  <c r="C29" i="25"/>
  <c r="C29" i="23"/>
  <c r="C29" i="37"/>
  <c r="C29" i="30"/>
  <c r="C29" i="29"/>
  <c r="C29" i="18"/>
  <c r="C29" i="22"/>
  <c r="C29" i="28"/>
  <c r="C29" i="35"/>
  <c r="C29" i="20"/>
  <c r="C29" i="33"/>
  <c r="C29" i="26"/>
  <c r="C29" i="19"/>
  <c r="C29" i="24"/>
  <c r="C29" i="36"/>
  <c r="C29" i="31"/>
  <c r="C13" i="33"/>
  <c r="C13" i="17"/>
  <c r="C13" i="34"/>
  <c r="C13" i="25"/>
  <c r="C13" i="29"/>
  <c r="C13" i="28"/>
  <c r="C13" i="23"/>
  <c r="C13" i="31"/>
  <c r="C13" i="37"/>
  <c r="C13" i="35"/>
  <c r="C13" i="26"/>
  <c r="C13" i="21"/>
  <c r="C13" i="18"/>
  <c r="C13" i="32"/>
  <c r="C13" i="22"/>
  <c r="C13" i="30"/>
  <c r="C13" i="20"/>
  <c r="C13" i="19"/>
  <c r="C13" i="36"/>
  <c r="C13" i="24"/>
  <c r="C22" i="37"/>
  <c r="C22" i="34"/>
  <c r="C22" i="33"/>
  <c r="C22" i="24"/>
  <c r="C22" i="32"/>
  <c r="C22" i="18"/>
  <c r="C22" i="31"/>
  <c r="C22" i="29"/>
  <c r="C22" i="23"/>
  <c r="C22" i="28"/>
  <c r="C22" i="25"/>
  <c r="C22" i="20"/>
  <c r="C22" i="19"/>
  <c r="C22" i="26"/>
  <c r="C22" i="21"/>
  <c r="C22" i="30"/>
  <c r="C22" i="35"/>
  <c r="C22" i="22"/>
  <c r="C22" i="17"/>
  <c r="C22" i="36"/>
  <c r="C44" i="21"/>
  <c r="C44" i="31"/>
  <c r="C44" i="32"/>
  <c r="C44" i="29"/>
  <c r="C44" i="24"/>
  <c r="C44" i="19"/>
  <c r="C44" i="17"/>
  <c r="C44" i="33"/>
  <c r="C44" i="37"/>
  <c r="C44" i="34"/>
  <c r="C44" i="30"/>
  <c r="C44" i="28"/>
  <c r="C44" i="25"/>
  <c r="C44" i="23"/>
  <c r="C44" i="20"/>
  <c r="C44" i="18"/>
  <c r="C44" i="36"/>
  <c r="C44" i="35"/>
  <c r="C44" i="26"/>
  <c r="C44" i="22"/>
  <c r="C91" i="18"/>
  <c r="C91" i="20"/>
  <c r="C91" i="17"/>
  <c r="C91" i="32"/>
  <c r="C91" i="26"/>
  <c r="C91" i="23"/>
  <c r="C91" i="37"/>
  <c r="C91" i="35"/>
  <c r="C91" i="30"/>
  <c r="C91" i="29"/>
  <c r="C91" i="21"/>
  <c r="C91" i="24"/>
  <c r="C91" i="36"/>
  <c r="C91" i="31"/>
  <c r="C91" i="19"/>
  <c r="C91" i="33"/>
  <c r="C91" i="28"/>
  <c r="C91" i="34"/>
  <c r="C91" i="25"/>
  <c r="C91" i="22"/>
  <c r="C90" i="36"/>
  <c r="C90" i="31"/>
  <c r="C90" i="29"/>
  <c r="C90" i="19"/>
  <c r="C90" i="22"/>
  <c r="C90" i="17"/>
  <c r="C90" i="33"/>
  <c r="C90" i="25"/>
  <c r="C90" i="34"/>
  <c r="C90" i="18"/>
  <c r="C90" i="28"/>
  <c r="C90" i="26"/>
  <c r="C90" i="20"/>
  <c r="C90" i="32"/>
  <c r="C90" i="37"/>
  <c r="C90" i="30"/>
  <c r="C90" i="23"/>
  <c r="C90" i="21"/>
  <c r="C90" i="35"/>
  <c r="C90" i="24"/>
  <c r="C42" i="30"/>
  <c r="C42" i="33"/>
  <c r="C42" i="29"/>
  <c r="C42" i="26"/>
  <c r="C42" i="25"/>
  <c r="C42" i="22"/>
  <c r="C42" i="17"/>
  <c r="C42" i="18"/>
  <c r="C42" i="20"/>
  <c r="C42" i="21"/>
  <c r="C42" i="35"/>
  <c r="C42" i="28"/>
  <c r="C42" i="23"/>
  <c r="C42" i="32"/>
  <c r="C42" i="36"/>
  <c r="C42" i="34"/>
  <c r="C42" i="31"/>
  <c r="C42" i="24"/>
  <c r="C42" i="37"/>
  <c r="C42" i="19"/>
  <c r="C26" i="32"/>
  <c r="C26" i="37"/>
  <c r="C26" i="20"/>
  <c r="C26" i="25"/>
  <c r="C26" i="22"/>
  <c r="C26" i="17"/>
  <c r="C26" i="36"/>
  <c r="C26" i="33"/>
  <c r="C26" i="18"/>
  <c r="C26" i="28"/>
  <c r="C26" i="30"/>
  <c r="C26" i="26"/>
  <c r="C26" i="23"/>
  <c r="C26" i="34"/>
  <c r="C26" i="24"/>
  <c r="C26" i="21"/>
  <c r="C26" i="35"/>
  <c r="C26" i="31"/>
  <c r="C26" i="29"/>
  <c r="C26" i="19"/>
  <c r="C10" i="37"/>
  <c r="C10" i="26"/>
  <c r="C10" i="25"/>
  <c r="C10" i="22"/>
  <c r="C10" i="17"/>
  <c r="C10" i="21"/>
  <c r="C10" i="18"/>
  <c r="C10" i="33"/>
  <c r="C10" i="36"/>
  <c r="C10" i="32"/>
  <c r="C10" i="31"/>
  <c r="C10" i="23"/>
  <c r="C10" i="30"/>
  <c r="C10" i="35"/>
  <c r="C10" i="24"/>
  <c r="C10" i="29"/>
  <c r="C10" i="20"/>
  <c r="C10" i="34"/>
  <c r="C10" i="28"/>
  <c r="C10" i="19"/>
  <c r="C60" i="33"/>
  <c r="C60" i="17"/>
  <c r="C60" i="35"/>
  <c r="C60" i="34"/>
  <c r="C60" i="36"/>
  <c r="C60" i="24"/>
  <c r="C60" i="19"/>
  <c r="C60" i="37"/>
  <c r="C60" i="20"/>
  <c r="C60" i="26"/>
  <c r="C60" i="29"/>
  <c r="C60" i="25"/>
  <c r="C60" i="23"/>
  <c r="C60" i="18"/>
  <c r="C60" i="32"/>
  <c r="C60" i="22"/>
  <c r="C60" i="21"/>
  <c r="C60" i="31"/>
  <c r="C60" i="28"/>
  <c r="C60" i="30"/>
  <c r="C28" i="17"/>
  <c r="C28" i="26"/>
  <c r="C28" i="35"/>
  <c r="C28" i="28"/>
  <c r="C28" i="24"/>
  <c r="C28" i="20"/>
  <c r="C28" i="19"/>
  <c r="C28" i="33"/>
  <c r="C28" i="31"/>
  <c r="C28" i="36"/>
  <c r="C28" i="21"/>
  <c r="C28" i="32"/>
  <c r="C28" i="25"/>
  <c r="C28" i="37"/>
  <c r="C28" i="30"/>
  <c r="C28" i="23"/>
  <c r="C28" i="18"/>
  <c r="C28" i="22"/>
  <c r="C28" i="34"/>
  <c r="C28" i="29"/>
  <c r="C59" i="21"/>
  <c r="C59" i="32"/>
  <c r="C59" i="23"/>
  <c r="C59" i="31"/>
  <c r="C59" i="17"/>
  <c r="C59" i="30"/>
  <c r="C59" i="28"/>
  <c r="C59" i="35"/>
  <c r="C59" i="33"/>
  <c r="C59" i="24"/>
  <c r="C59" i="37"/>
  <c r="C59" i="19"/>
  <c r="C59" i="26"/>
  <c r="C59" i="36"/>
  <c r="C59" i="20"/>
  <c r="C59" i="34"/>
  <c r="C59" i="25"/>
  <c r="C59" i="29"/>
  <c r="C59" i="22"/>
  <c r="C59" i="18"/>
  <c r="C27" i="30"/>
  <c r="C27" i="23"/>
  <c r="C27" i="17"/>
  <c r="C27" i="34"/>
  <c r="C27" i="26"/>
  <c r="C27" i="29"/>
  <c r="C27" i="24"/>
  <c r="C27" i="35"/>
  <c r="C27" i="31"/>
  <c r="C27" i="21"/>
  <c r="C27" i="19"/>
  <c r="C27" i="20"/>
  <c r="C27" i="36"/>
  <c r="C27" i="33"/>
  <c r="C27" i="28"/>
  <c r="C27" i="32"/>
  <c r="C27" i="37"/>
  <c r="C27" i="25"/>
  <c r="C27" i="22"/>
  <c r="C27" i="18"/>
  <c r="C73" i="23"/>
  <c r="C73" i="20"/>
  <c r="C73" i="17"/>
  <c r="C73" i="32"/>
  <c r="C73" i="24"/>
  <c r="C73" i="21"/>
  <c r="C73" i="22"/>
  <c r="C73" i="19"/>
  <c r="C73" i="30"/>
  <c r="C73" i="25"/>
  <c r="C73" i="18"/>
  <c r="C73" i="33"/>
  <c r="C73" i="31"/>
  <c r="C73" i="28"/>
  <c r="C73" i="35"/>
  <c r="C73" i="26"/>
  <c r="C73" i="37"/>
  <c r="C73" i="34"/>
  <c r="C73" i="29"/>
  <c r="C73" i="36"/>
  <c r="C9" i="23"/>
  <c r="C9" i="35"/>
  <c r="C9" i="17"/>
  <c r="C9" i="24"/>
  <c r="C9" i="20"/>
  <c r="C9" i="22"/>
  <c r="C9" i="19"/>
  <c r="C9" i="37"/>
  <c r="C9" i="29"/>
  <c r="C9" i="26"/>
  <c r="C9" i="21"/>
  <c r="C9" i="34"/>
  <c r="C9" i="28"/>
  <c r="C9" i="25"/>
  <c r="C9" i="18"/>
  <c r="C9" i="33"/>
  <c r="C9" i="32"/>
  <c r="C9" i="31"/>
  <c r="C9" i="36"/>
  <c r="C9" i="30"/>
  <c r="C8" i="31"/>
  <c r="C8" i="17"/>
  <c r="C8" i="34"/>
  <c r="C8" i="33"/>
  <c r="C8" i="36"/>
  <c r="C8" i="30"/>
  <c r="C8" i="35"/>
  <c r="C8" i="24"/>
  <c r="C8" i="23"/>
  <c r="C8" i="22"/>
  <c r="C8" i="20"/>
  <c r="C8" i="21"/>
  <c r="C8" i="37"/>
  <c r="C8" i="26"/>
  <c r="C8" i="19"/>
  <c r="C8" i="18"/>
  <c r="C8" i="25"/>
  <c r="C8" i="32"/>
  <c r="C8" i="29"/>
  <c r="C8" i="28"/>
  <c r="C76" i="20"/>
  <c r="C76" i="33"/>
  <c r="C76" i="28"/>
  <c r="C76" i="17"/>
  <c r="C76" i="37"/>
  <c r="C76" i="34"/>
  <c r="C76" i="29"/>
  <c r="C76" i="26"/>
  <c r="C76" i="24"/>
  <c r="C76" i="19"/>
  <c r="C76" i="32"/>
  <c r="C76" i="30"/>
  <c r="C76" i="21"/>
  <c r="C76" i="25"/>
  <c r="C76" i="35"/>
  <c r="C76" i="31"/>
  <c r="C76" i="36"/>
  <c r="C76" i="23"/>
  <c r="C76" i="22"/>
  <c r="C76" i="18"/>
  <c r="C12" i="30"/>
  <c r="C12" i="20"/>
  <c r="C12" i="17"/>
  <c r="C12" i="24"/>
  <c r="C12" i="19"/>
  <c r="C12" i="36"/>
  <c r="C12" i="33"/>
  <c r="C12" i="25"/>
  <c r="C12" i="37"/>
  <c r="C12" i="31"/>
  <c r="C12" i="34"/>
  <c r="C12" i="26"/>
  <c r="C12" i="23"/>
  <c r="C12" i="21"/>
  <c r="C12" i="18"/>
  <c r="C12" i="35"/>
  <c r="C12" i="32"/>
  <c r="C12" i="29"/>
  <c r="C12" i="22"/>
  <c r="C12" i="28"/>
  <c r="C43" i="34"/>
  <c r="C43" i="20"/>
  <c r="C43" i="17"/>
  <c r="C43" i="35"/>
  <c r="C43" i="23"/>
  <c r="C43" i="36"/>
  <c r="C43" i="21"/>
  <c r="C43" i="32"/>
  <c r="C43" i="31"/>
  <c r="C43" i="24"/>
  <c r="C43" i="29"/>
  <c r="C43" i="19"/>
  <c r="C43" i="37"/>
  <c r="C43" i="33"/>
  <c r="C43" i="30"/>
  <c r="C43" i="25"/>
  <c r="C43" i="28"/>
  <c r="C43" i="26"/>
  <c r="C43" i="22"/>
  <c r="C43" i="18"/>
  <c r="C11" i="32"/>
  <c r="C11" i="35"/>
  <c r="C11" i="23"/>
  <c r="C11" i="17"/>
  <c r="C11" i="29"/>
  <c r="C11" i="30"/>
  <c r="C11" i="28"/>
  <c r="C11" i="34"/>
  <c r="C11" i="20"/>
  <c r="C11" i="24"/>
  <c r="C11" i="19"/>
  <c r="C11" i="33"/>
  <c r="C11" i="25"/>
  <c r="C11" i="37"/>
  <c r="C11" i="36"/>
  <c r="C11" i="31"/>
  <c r="C11" i="26"/>
  <c r="C11" i="22"/>
  <c r="C11" i="21"/>
  <c r="C11" i="18"/>
  <c r="C57" i="30"/>
  <c r="C57" i="26"/>
  <c r="C57" i="23"/>
  <c r="C57" i="37"/>
  <c r="C57" i="17"/>
  <c r="C57" i="24"/>
  <c r="C57" i="29"/>
  <c r="C57" i="20"/>
  <c r="C57" i="22"/>
  <c r="C57" i="19"/>
  <c r="C57" i="35"/>
  <c r="C57" i="33"/>
  <c r="C57" i="28"/>
  <c r="C57" i="25"/>
  <c r="C57" i="21"/>
  <c r="C57" i="18"/>
  <c r="C57" i="36"/>
  <c r="C57" i="32"/>
  <c r="C57" i="34"/>
  <c r="C57" i="31"/>
  <c r="C25" i="23"/>
  <c r="C25" i="21"/>
  <c r="C25" i="17"/>
  <c r="C25" i="24"/>
  <c r="C25" i="31"/>
  <c r="C25" i="37"/>
  <c r="C25" i="32"/>
  <c r="C25" i="22"/>
  <c r="C25" i="19"/>
  <c r="C25" i="34"/>
  <c r="C25" i="20"/>
  <c r="C25" i="35"/>
  <c r="C25" i="25"/>
  <c r="C25" i="18"/>
  <c r="C25" i="36"/>
  <c r="C25" i="30"/>
  <c r="C25" i="29"/>
  <c r="C25" i="33"/>
  <c r="C25" i="26"/>
  <c r="C25" i="28"/>
  <c r="C88" i="32"/>
  <c r="C88" i="20"/>
  <c r="C88" i="17"/>
  <c r="C88" i="33"/>
  <c r="C88" i="29"/>
  <c r="C88" i="21"/>
  <c r="C88" i="37"/>
  <c r="C88" i="30"/>
  <c r="C88" i="28"/>
  <c r="C88" i="24"/>
  <c r="C88" i="23"/>
  <c r="C88" i="22"/>
  <c r="C88" i="35"/>
  <c r="C88" i="34"/>
  <c r="C88" i="31"/>
  <c r="C88" i="19"/>
  <c r="C88" i="18"/>
  <c r="C88" i="36"/>
  <c r="C88" i="26"/>
  <c r="C88" i="25"/>
  <c r="C56" i="33"/>
  <c r="C56" i="28"/>
  <c r="C56" i="17"/>
  <c r="C56" i="31"/>
  <c r="C56" i="26"/>
  <c r="C56" i="37"/>
  <c r="C56" i="30"/>
  <c r="C56" i="34"/>
  <c r="C56" i="24"/>
  <c r="C56" i="23"/>
  <c r="C56" i="22"/>
  <c r="C56" i="20"/>
  <c r="C56" i="29"/>
  <c r="C56" i="21"/>
  <c r="C56" i="19"/>
  <c r="C56" i="18"/>
  <c r="C56" i="35"/>
  <c r="C56" i="25"/>
  <c r="C56" i="36"/>
  <c r="C56" i="32"/>
  <c r="C40" i="17"/>
  <c r="C40" i="33"/>
  <c r="C40" i="29"/>
  <c r="C40" i="35"/>
  <c r="C40" i="32"/>
  <c r="C40" i="31"/>
  <c r="C40" i="37"/>
  <c r="C40" i="24"/>
  <c r="C40" i="23"/>
  <c r="C40" i="26"/>
  <c r="C40" i="22"/>
  <c r="C40" i="36"/>
  <c r="C40" i="28"/>
  <c r="C40" i="30"/>
  <c r="C40" i="19"/>
  <c r="C40" i="18"/>
  <c r="C40" i="25"/>
  <c r="C40" i="21"/>
  <c r="C40" i="34"/>
  <c r="C40" i="20"/>
  <c r="C24" i="26"/>
  <c r="C24" i="17"/>
  <c r="C24" i="36"/>
  <c r="C24" i="29"/>
  <c r="C24" i="33"/>
  <c r="C24" i="21"/>
  <c r="C24" i="28"/>
  <c r="C24" i="24"/>
  <c r="C24" i="23"/>
  <c r="C24" i="22"/>
  <c r="C24" i="37"/>
  <c r="C24" i="32"/>
  <c r="C24" i="31"/>
  <c r="C24" i="20"/>
  <c r="C24" i="19"/>
  <c r="C24" i="18"/>
  <c r="C24" i="25"/>
  <c r="C24" i="35"/>
  <c r="C24" i="34"/>
  <c r="C24" i="30"/>
  <c r="C71" i="30"/>
  <c r="C71" i="25"/>
  <c r="C71" i="19"/>
  <c r="C71" i="26"/>
  <c r="C71" i="31"/>
  <c r="C71" i="37"/>
  <c r="C71" i="33"/>
  <c r="C71" i="35"/>
  <c r="C71" i="21"/>
  <c r="C71" i="32"/>
  <c r="C71" i="20"/>
  <c r="C71" i="36"/>
  <c r="C71" i="22"/>
  <c r="C71" i="29"/>
  <c r="C71" i="24"/>
  <c r="C71" i="28"/>
  <c r="C71" i="34"/>
  <c r="C71" i="23"/>
  <c r="C71" i="18"/>
  <c r="C71" i="17"/>
  <c r="C55" i="29"/>
  <c r="C55" i="25"/>
  <c r="C55" i="19"/>
  <c r="C55" i="32"/>
  <c r="C55" i="35"/>
  <c r="C55" i="36"/>
  <c r="C55" i="33"/>
  <c r="C55" i="31"/>
  <c r="C55" i="26"/>
  <c r="C55" i="28"/>
  <c r="C55" i="37"/>
  <c r="C55" i="30"/>
  <c r="C55" i="22"/>
  <c r="C55" i="24"/>
  <c r="C55" i="21"/>
  <c r="C55" i="23"/>
  <c r="C55" i="20"/>
  <c r="C55" i="17"/>
  <c r="C55" i="34"/>
  <c r="C55" i="18"/>
  <c r="C39" i="30"/>
  <c r="C39" i="25"/>
  <c r="C39" i="21"/>
  <c r="C39" i="19"/>
  <c r="C39" i="28"/>
  <c r="C39" i="20"/>
  <c r="C39" i="34"/>
  <c r="C39" i="33"/>
  <c r="C39" i="32"/>
  <c r="C39" i="31"/>
  <c r="C39" i="29"/>
  <c r="C39" i="22"/>
  <c r="C39" i="37"/>
  <c r="C39" i="35"/>
  <c r="C39" i="26"/>
  <c r="C39" i="24"/>
  <c r="C39" i="23"/>
  <c r="C39" i="17"/>
  <c r="C39" i="36"/>
  <c r="C39" i="18"/>
  <c r="C23" i="25"/>
  <c r="C23" i="20"/>
  <c r="C23" i="19"/>
  <c r="C23" i="35"/>
  <c r="C23" i="30"/>
  <c r="C23" i="26"/>
  <c r="C23" i="21"/>
  <c r="C23" i="34"/>
  <c r="C23" i="36"/>
  <c r="C23" i="33"/>
  <c r="C23" i="29"/>
  <c r="C23" i="22"/>
  <c r="C23" i="24"/>
  <c r="C23" i="37"/>
  <c r="C23" i="32"/>
  <c r="C23" i="28"/>
  <c r="C23" i="23"/>
  <c r="C23" i="31"/>
  <c r="C23" i="18"/>
  <c r="C23" i="17"/>
  <c r="C7" i="25"/>
  <c r="C7" i="19"/>
  <c r="C7" i="32"/>
  <c r="C7" i="31"/>
  <c r="C7" i="33"/>
  <c r="C7" i="29"/>
  <c r="C7" i="28"/>
  <c r="C7" i="34"/>
  <c r="C7" i="36"/>
  <c r="C7" i="30"/>
  <c r="C7" i="22"/>
  <c r="C7" i="24"/>
  <c r="C7" i="21"/>
  <c r="C7" i="20"/>
  <c r="C7" i="37"/>
  <c r="C7" i="26"/>
  <c r="C7" i="23"/>
  <c r="C7" i="17"/>
  <c r="C7" i="35"/>
  <c r="C7" i="18"/>
  <c r="C96" i="35"/>
  <c r="C96" i="32"/>
  <c r="C96" i="34"/>
  <c r="C96" i="24"/>
  <c r="C96" i="23"/>
  <c r="C96" i="22"/>
  <c r="C96" i="37"/>
  <c r="C96" i="26"/>
  <c r="C96" i="25"/>
  <c r="C96" i="21"/>
  <c r="C96" i="20"/>
  <c r="C96" i="17"/>
  <c r="C96" i="33"/>
  <c r="C96" i="36"/>
  <c r="C96" i="30"/>
  <c r="C96" i="19"/>
  <c r="C96" i="18"/>
  <c r="C96" i="28"/>
  <c r="C96" i="31"/>
  <c r="C96" i="29"/>
  <c r="A92" i="35"/>
  <c r="A92" i="29"/>
  <c r="A92" i="30"/>
  <c r="A92" i="26"/>
  <c r="A92" i="17"/>
  <c r="A92" i="37"/>
  <c r="A92" i="34"/>
  <c r="A92" i="28"/>
  <c r="A92" i="21"/>
  <c r="A92" i="36"/>
  <c r="A92" i="31"/>
  <c r="A92" i="24"/>
  <c r="A92" i="19"/>
  <c r="A92" i="33"/>
  <c r="A92" i="25"/>
  <c r="A92" i="23"/>
  <c r="A92" i="22"/>
  <c r="A92" i="20"/>
  <c r="A92" i="18"/>
  <c r="A92" i="32"/>
  <c r="A63" i="36"/>
  <c r="A63" i="32"/>
  <c r="A63" i="30"/>
  <c r="A63" i="18"/>
  <c r="A63" i="21"/>
  <c r="A63" i="19"/>
  <c r="A63" i="28"/>
  <c r="A63" i="22"/>
  <c r="A63" i="24"/>
  <c r="A63" i="20"/>
  <c r="A63" i="23"/>
  <c r="A63" i="37"/>
  <c r="A63" i="34"/>
  <c r="A63" i="25"/>
  <c r="A63" i="17"/>
  <c r="A63" i="33"/>
  <c r="A63" i="29"/>
  <c r="A63" i="26"/>
  <c r="A63" i="35"/>
  <c r="A63" i="31"/>
  <c r="A40" i="34"/>
  <c r="A40" i="20"/>
  <c r="A40" i="33"/>
  <c r="A40" i="29"/>
  <c r="A40" i="35"/>
  <c r="A40" i="32"/>
  <c r="A40" i="31"/>
  <c r="A40" i="37"/>
  <c r="A40" i="24"/>
  <c r="A40" i="23"/>
  <c r="A40" i="26"/>
  <c r="A40" i="22"/>
  <c r="A40" i="36"/>
  <c r="A40" i="28"/>
  <c r="A40" i="30"/>
  <c r="A40" i="19"/>
  <c r="A40" i="18"/>
  <c r="A40" i="25"/>
  <c r="A40" i="17"/>
  <c r="A40" i="21"/>
  <c r="A28" i="17"/>
  <c r="A28" i="26"/>
  <c r="A28" i="35"/>
  <c r="A28" i="28"/>
  <c r="A28" i="24"/>
  <c r="A28" i="20"/>
  <c r="A28" i="19"/>
  <c r="A28" i="33"/>
  <c r="A28" i="31"/>
  <c r="A28" i="36"/>
  <c r="A28" i="21"/>
  <c r="A28" i="32"/>
  <c r="A28" i="25"/>
  <c r="A28" i="37"/>
  <c r="A28" i="30"/>
  <c r="A28" i="23"/>
  <c r="A28" i="18"/>
  <c r="A28" i="22"/>
  <c r="A28" i="34"/>
  <c r="A28" i="29"/>
  <c r="E21" i="26"/>
  <c r="J21" i="26" s="1"/>
  <c r="G21" i="35"/>
  <c r="O21" i="35" s="1"/>
  <c r="S21" i="35" s="1"/>
  <c r="G21" i="24"/>
  <c r="O21" i="24" s="1"/>
  <c r="S21" i="24" s="1"/>
  <c r="E21" i="37"/>
  <c r="J21" i="37" s="1"/>
  <c r="K21" i="34"/>
  <c r="T21" i="34" s="1"/>
  <c r="U21" i="34" s="1"/>
  <c r="G21" i="36"/>
  <c r="N21" i="36" s="1"/>
  <c r="Q21" i="36" s="1"/>
  <c r="I21" i="18"/>
  <c r="P21" i="18" s="1"/>
  <c r="Q21" i="18" s="1"/>
  <c r="H21" i="31"/>
  <c r="P21" i="31" s="1"/>
  <c r="S21" i="31" s="1"/>
  <c r="G21" i="25"/>
  <c r="N21" i="25" s="1"/>
  <c r="Q21" i="25" s="1"/>
  <c r="K21" i="23"/>
  <c r="T21" i="23" s="1"/>
  <c r="U21" i="23" s="1"/>
  <c r="I21" i="19"/>
  <c r="Q21" i="19" s="1"/>
  <c r="S21" i="19" s="1"/>
  <c r="I21" i="29"/>
  <c r="Q21" i="29" s="1"/>
  <c r="S21" i="29" s="1"/>
  <c r="J21" i="28"/>
  <c r="S21" i="28" s="1"/>
  <c r="U21" i="28" s="1"/>
  <c r="H21" i="20"/>
  <c r="P21" i="20" s="1"/>
  <c r="S21" i="20" s="1"/>
  <c r="J21" i="17"/>
  <c r="S21" i="17" s="1"/>
  <c r="U21" i="17" s="1"/>
  <c r="I21" i="30"/>
  <c r="P21" i="30" s="1"/>
  <c r="Q21" i="30" s="1"/>
  <c r="D1" i="36"/>
  <c r="D1" i="25"/>
  <c r="C93" i="21"/>
  <c r="C93" i="25"/>
  <c r="C93" i="23"/>
  <c r="C93" i="20"/>
  <c r="C93" i="28"/>
  <c r="C93" i="29"/>
  <c r="C93" i="18"/>
  <c r="C93" i="35"/>
  <c r="C93" i="22"/>
  <c r="C93" i="34"/>
  <c r="C93" i="32"/>
  <c r="C93" i="30"/>
  <c r="C93" i="26"/>
  <c r="C93" i="37"/>
  <c r="C93" i="36"/>
  <c r="C93" i="19"/>
  <c r="C93" i="17"/>
  <c r="C93" i="33"/>
  <c r="C93" i="31"/>
  <c r="C93" i="24"/>
  <c r="C92" i="30"/>
  <c r="C92" i="26"/>
  <c r="C92" i="37"/>
  <c r="C92" i="34"/>
  <c r="C92" i="28"/>
  <c r="C92" i="21"/>
  <c r="C92" i="17"/>
  <c r="C92" i="36"/>
  <c r="C92" i="31"/>
  <c r="C92" i="24"/>
  <c r="C92" i="19"/>
  <c r="C92" i="33"/>
  <c r="C92" i="25"/>
  <c r="C92" i="23"/>
  <c r="C92" i="22"/>
  <c r="C92" i="20"/>
  <c r="C92" i="18"/>
  <c r="C92" i="32"/>
  <c r="C92" i="35"/>
  <c r="C92" i="29"/>
  <c r="A81" i="37"/>
  <c r="A81" i="32"/>
  <c r="A81" i="31"/>
  <c r="A81" i="25"/>
  <c r="A81" i="33"/>
  <c r="A81" i="20"/>
  <c r="A81" i="26"/>
  <c r="A81" i="28"/>
  <c r="A81" i="17"/>
  <c r="A81" i="34"/>
  <c r="A81" i="21"/>
  <c r="A81" i="19"/>
  <c r="A81" i="18"/>
  <c r="A81" i="23"/>
  <c r="A81" i="35"/>
  <c r="A81" i="24"/>
  <c r="A81" i="36"/>
  <c r="A81" i="29"/>
  <c r="A81" i="30"/>
  <c r="A81" i="22"/>
  <c r="C70" i="35"/>
  <c r="C70" i="36"/>
  <c r="C70" i="24"/>
  <c r="C70" i="18"/>
  <c r="C70" i="29"/>
  <c r="C70" i="28"/>
  <c r="C70" i="23"/>
  <c r="C70" i="26"/>
  <c r="C70" i="25"/>
  <c r="C70" i="19"/>
  <c r="C70" i="34"/>
  <c r="C70" i="30"/>
  <c r="C70" i="31"/>
  <c r="C70" i="37"/>
  <c r="C70" i="21"/>
  <c r="C70" i="33"/>
  <c r="C70" i="32"/>
  <c r="C70" i="22"/>
  <c r="C70" i="17"/>
  <c r="C70" i="20"/>
  <c r="B96" i="35"/>
  <c r="B96" i="32"/>
  <c r="A89" i="34"/>
  <c r="A89" i="30"/>
  <c r="A89" i="28"/>
  <c r="A89" i="23"/>
  <c r="A89" i="24"/>
  <c r="A89" i="35"/>
  <c r="A89" i="31"/>
  <c r="A89" i="22"/>
  <c r="A89" i="19"/>
  <c r="A89" i="36"/>
  <c r="A89" i="25"/>
  <c r="A89" i="18"/>
  <c r="A89" i="26"/>
  <c r="A89" i="29"/>
  <c r="A89" i="33"/>
  <c r="A89" i="20"/>
  <c r="A89" i="32"/>
  <c r="A89" i="17"/>
  <c r="A89" i="37"/>
  <c r="A89" i="21"/>
  <c r="C86" i="30"/>
  <c r="C86" i="29"/>
  <c r="C86" i="24"/>
  <c r="C86" i="31"/>
  <c r="C86" i="26"/>
  <c r="C86" i="18"/>
  <c r="C86" i="23"/>
  <c r="C86" i="25"/>
  <c r="C86" i="21"/>
  <c r="C86" i="35"/>
  <c r="C86" i="32"/>
  <c r="C86" i="28"/>
  <c r="C86" i="19"/>
  <c r="C86" i="36"/>
  <c r="C86" i="20"/>
  <c r="C86" i="37"/>
  <c r="C86" i="34"/>
  <c r="C86" i="33"/>
  <c r="C86" i="22"/>
  <c r="C86" i="17"/>
  <c r="A50" i="19"/>
  <c r="A50" i="31"/>
  <c r="A50" i="23"/>
  <c r="A50" i="28"/>
  <c r="A50" i="17"/>
  <c r="A50" i="18"/>
  <c r="A50" i="35"/>
  <c r="A50" i="30"/>
  <c r="A50" i="24"/>
  <c r="A50" i="36"/>
  <c r="A50" i="32"/>
  <c r="A50" i="26"/>
  <c r="A50" i="20"/>
  <c r="A50" i="33"/>
  <c r="A50" i="25"/>
  <c r="A50" i="22"/>
  <c r="A50" i="29"/>
  <c r="A50" i="21"/>
  <c r="A50" i="37"/>
  <c r="A50" i="34"/>
  <c r="C1" i="20"/>
  <c r="C1" i="24"/>
  <c r="C1" i="32"/>
  <c r="C1" i="22"/>
  <c r="C1" i="19"/>
  <c r="C1" i="37"/>
  <c r="C1" i="36"/>
  <c r="C1" i="25"/>
  <c r="C1" i="23"/>
  <c r="C1" i="31"/>
  <c r="C1" i="18"/>
  <c r="C1" i="28"/>
  <c r="C1" i="34"/>
  <c r="C1" i="26"/>
  <c r="C1" i="33"/>
  <c r="C1" i="29"/>
  <c r="C1" i="35"/>
  <c r="C1" i="30"/>
  <c r="C1" i="17"/>
  <c r="C1" i="21"/>
  <c r="F1" i="37"/>
  <c r="K1" i="37" s="1"/>
  <c r="F1" i="26"/>
  <c r="K1" i="26" s="1"/>
  <c r="A60" i="30"/>
  <c r="A60" i="17"/>
  <c r="A60" i="33"/>
  <c r="A60" i="35"/>
  <c r="A60" i="34"/>
  <c r="A60" i="36"/>
  <c r="A60" i="24"/>
  <c r="A60" i="19"/>
  <c r="A60" i="37"/>
  <c r="A60" i="20"/>
  <c r="A60" i="26"/>
  <c r="A60" i="29"/>
  <c r="A60" i="25"/>
  <c r="A60" i="23"/>
  <c r="A60" i="18"/>
  <c r="A60" i="32"/>
  <c r="A60" i="22"/>
  <c r="A60" i="21"/>
  <c r="A60" i="31"/>
  <c r="A60" i="28"/>
  <c r="A52" i="32"/>
  <c r="A52" i="25"/>
  <c r="A52" i="28"/>
  <c r="A52" i="26"/>
  <c r="A52" i="23"/>
  <c r="A52" i="19"/>
  <c r="A52" i="22"/>
  <c r="A52" i="37"/>
  <c r="A52" i="35"/>
  <c r="A52" i="31"/>
  <c r="A52" i="21"/>
  <c r="A52" i="17"/>
  <c r="A52" i="36"/>
  <c r="A52" i="34"/>
  <c r="A52" i="30"/>
  <c r="A52" i="33"/>
  <c r="A52" i="24"/>
  <c r="A52" i="18"/>
  <c r="A52" i="29"/>
  <c r="A52" i="20"/>
  <c r="A35" i="31"/>
  <c r="A35" i="18"/>
  <c r="A35" i="24"/>
  <c r="A35" i="33"/>
  <c r="A35" i="28"/>
  <c r="A35" i="30"/>
  <c r="A35" i="25"/>
  <c r="A35" i="35"/>
  <c r="A35" i="22"/>
  <c r="A35" i="17"/>
  <c r="A35" i="20"/>
  <c r="A35" i="36"/>
  <c r="A35" i="32"/>
  <c r="A35" i="26"/>
  <c r="A35" i="19"/>
  <c r="A35" i="23"/>
  <c r="A35" i="34"/>
  <c r="A35" i="37"/>
  <c r="A35" i="21"/>
  <c r="A35" i="29"/>
  <c r="A14" i="31"/>
  <c r="A14" i="17"/>
  <c r="A14" i="37"/>
  <c r="A14" i="26"/>
  <c r="A14" i="20"/>
  <c r="A14" i="18"/>
  <c r="A14" i="32"/>
  <c r="A14" i="30"/>
  <c r="A14" i="21"/>
  <c r="A14" i="22"/>
  <c r="A14" i="36"/>
  <c r="A14" i="19"/>
  <c r="A14" i="33"/>
  <c r="A14" i="24"/>
  <c r="A14" i="34"/>
  <c r="A14" i="29"/>
  <c r="A14" i="28"/>
  <c r="A14" i="23"/>
  <c r="A14" i="35"/>
  <c r="A14" i="25"/>
  <c r="I20" i="19"/>
  <c r="Q20" i="19" s="1"/>
  <c r="S20" i="19" s="1"/>
  <c r="I20" i="30"/>
  <c r="P20" i="30" s="1"/>
  <c r="Q20" i="30" s="1"/>
  <c r="I20" i="29"/>
  <c r="Q20" i="29" s="1"/>
  <c r="S20" i="29" s="1"/>
  <c r="J20" i="28"/>
  <c r="S20" i="28" s="1"/>
  <c r="U20" i="28" s="1"/>
  <c r="G20" i="35"/>
  <c r="O20" i="35" s="1"/>
  <c r="S20" i="35" s="1"/>
  <c r="E20" i="37"/>
  <c r="J20" i="37" s="1"/>
  <c r="G20" i="24"/>
  <c r="O20" i="24" s="1"/>
  <c r="S20" i="24" s="1"/>
  <c r="I20" i="18"/>
  <c r="P20" i="18" s="1"/>
  <c r="Q20" i="18" s="1"/>
  <c r="G20" i="36"/>
  <c r="N20" i="36" s="1"/>
  <c r="Q20" i="36" s="1"/>
  <c r="H20" i="20"/>
  <c r="P20" i="20" s="1"/>
  <c r="S20" i="20" s="1"/>
  <c r="J20" i="17"/>
  <c r="S20" i="17" s="1"/>
  <c r="U20" i="17" s="1"/>
  <c r="K20" i="34"/>
  <c r="T20" i="34" s="1"/>
  <c r="U20" i="34" s="1"/>
  <c r="H20" i="31"/>
  <c r="P20" i="31" s="1"/>
  <c r="S20" i="31" s="1"/>
  <c r="G20" i="25"/>
  <c r="N20" i="25" s="1"/>
  <c r="Q20" i="25" s="1"/>
  <c r="E20" i="26"/>
  <c r="J20" i="26" s="1"/>
  <c r="K20" i="23"/>
  <c r="T20" i="23" s="1"/>
  <c r="U20" i="23" s="1"/>
  <c r="A66" i="30"/>
  <c r="A66" i="19"/>
  <c r="A66" i="32"/>
  <c r="A66" i="23"/>
  <c r="A66" i="26"/>
  <c r="A66" i="18"/>
  <c r="A66" i="20"/>
  <c r="A66" i="29"/>
  <c r="A66" i="24"/>
  <c r="A66" i="33"/>
  <c r="A66" i="21"/>
  <c r="A66" i="28"/>
  <c r="A66" i="25"/>
  <c r="A66" i="22"/>
  <c r="A66" i="37"/>
  <c r="A66" i="36"/>
  <c r="A66" i="35"/>
  <c r="A66" i="17"/>
  <c r="A66" i="34"/>
  <c r="A66" i="31"/>
  <c r="A70" i="20"/>
  <c r="A70" i="35"/>
  <c r="A70" i="36"/>
  <c r="A70" i="24"/>
  <c r="A70" i="18"/>
  <c r="A70" i="29"/>
  <c r="A70" i="28"/>
  <c r="A70" i="23"/>
  <c r="A70" i="26"/>
  <c r="A70" i="25"/>
  <c r="A70" i="19"/>
  <c r="A70" i="34"/>
  <c r="A70" i="30"/>
  <c r="A70" i="31"/>
  <c r="A70" i="17"/>
  <c r="A70" i="37"/>
  <c r="A70" i="21"/>
  <c r="A70" i="33"/>
  <c r="A70" i="32"/>
  <c r="A70" i="22"/>
  <c r="B1" i="20"/>
  <c r="B1" i="24"/>
  <c r="B1" i="32"/>
  <c r="B1" i="22"/>
  <c r="B1" i="19"/>
  <c r="B1" i="37"/>
  <c r="B1" i="36"/>
  <c r="B1" i="25"/>
  <c r="B1" i="23"/>
  <c r="B1" i="31"/>
  <c r="B1" i="18"/>
  <c r="B1" i="28"/>
  <c r="B1" i="17"/>
  <c r="B1" i="34"/>
  <c r="B1" i="26"/>
  <c r="B1" i="33"/>
  <c r="B1" i="29"/>
  <c r="B1" i="35"/>
  <c r="B1" i="30"/>
  <c r="B1" i="21"/>
  <c r="EO14" i="39"/>
  <c r="K22" i="41" s="1"/>
  <c r="C14" i="39"/>
  <c r="K3" i="41" s="1"/>
  <c r="M13" i="39"/>
  <c r="J4" i="41" s="1"/>
  <c r="CK14" i="39"/>
  <c r="K16" i="41" s="1"/>
  <c r="AR13" i="40"/>
  <c r="K65" i="41" s="1"/>
  <c r="AZ13" i="40"/>
  <c r="K66" i="41" s="1"/>
  <c r="L13" i="40"/>
  <c r="K57" i="41" s="1"/>
  <c r="T13" i="40"/>
  <c r="K58" i="41" s="1"/>
  <c r="AI13" i="40"/>
  <c r="M14" i="39"/>
  <c r="K4" i="41" s="1"/>
  <c r="CU14" i="39"/>
  <c r="K17" i="41" s="1"/>
  <c r="D13" i="40"/>
  <c r="K56" i="41" s="1"/>
  <c r="AB13" i="40"/>
  <c r="K59" i="41" s="1"/>
  <c r="AG14" i="39"/>
  <c r="K6" i="41" s="1"/>
  <c r="DE14" i="39"/>
  <c r="K18" i="41" s="1"/>
  <c r="BH13" i="40"/>
  <c r="K67" i="41" s="1"/>
  <c r="W14" i="39"/>
  <c r="K5" i="41" s="1"/>
  <c r="EA14" i="39"/>
  <c r="K20" i="41" s="1"/>
  <c r="BO13" i="40"/>
  <c r="BN14" i="39"/>
  <c r="K9" i="41" s="1"/>
  <c r="AR14" i="39"/>
  <c r="K7" i="41" s="1"/>
  <c r="DP14" i="39"/>
  <c r="K19" i="41" s="1"/>
  <c r="EH14" i="39"/>
  <c r="K21" i="41" s="1"/>
  <c r="BC14" i="39"/>
  <c r="K8" i="41" s="1"/>
  <c r="BU14" i="39"/>
  <c r="K10" i="41" s="1"/>
  <c r="CB14" i="39"/>
  <c r="K11" i="41" s="1"/>
  <c r="A95" i="18"/>
  <c r="A95" i="33"/>
  <c r="A95" i="32"/>
  <c r="A95" i="30"/>
  <c r="A95" i="36"/>
  <c r="A95" i="19"/>
  <c r="A95" i="22"/>
  <c r="A95" i="31"/>
  <c r="A95" i="26"/>
  <c r="A95" i="37"/>
  <c r="A95" i="29"/>
  <c r="A95" i="24"/>
  <c r="A95" i="28"/>
  <c r="A95" i="23"/>
  <c r="A95" i="34"/>
  <c r="A95" i="21"/>
  <c r="A95" i="25"/>
  <c r="A95" i="20"/>
  <c r="A95" i="35"/>
  <c r="A95" i="17"/>
  <c r="A91" i="22"/>
  <c r="A91" i="17"/>
  <c r="A91" i="18"/>
  <c r="A91" i="20"/>
  <c r="A91" i="32"/>
  <c r="A91" i="26"/>
  <c r="A91" i="23"/>
  <c r="A91" i="37"/>
  <c r="A91" i="35"/>
  <c r="A91" i="30"/>
  <c r="A91" i="29"/>
  <c r="A91" i="21"/>
  <c r="A91" i="24"/>
  <c r="A91" i="36"/>
  <c r="A91" i="31"/>
  <c r="A91" i="19"/>
  <c r="A91" i="33"/>
  <c r="A91" i="28"/>
  <c r="A91" i="34"/>
  <c r="A91" i="25"/>
  <c r="A65" i="37"/>
  <c r="A65" i="33"/>
  <c r="A65" i="25"/>
  <c r="A65" i="28"/>
  <c r="A65" i="36"/>
  <c r="A65" i="35"/>
  <c r="A65" i="31"/>
  <c r="A65" i="30"/>
  <c r="A65" i="32"/>
  <c r="A65" i="19"/>
  <c r="A65" i="17"/>
  <c r="A65" i="34"/>
  <c r="A65" i="26"/>
  <c r="A65" i="18"/>
  <c r="A65" i="23"/>
  <c r="A65" i="20"/>
  <c r="A65" i="24"/>
  <c r="A65" i="21"/>
  <c r="A65" i="22"/>
  <c r="A65" i="29"/>
  <c r="A57" i="30"/>
  <c r="A57" i="26"/>
  <c r="A57" i="23"/>
  <c r="A57" i="37"/>
  <c r="A57" i="24"/>
  <c r="A57" i="29"/>
  <c r="A57" i="20"/>
  <c r="A57" i="22"/>
  <c r="A57" i="19"/>
  <c r="A57" i="35"/>
  <c r="A57" i="33"/>
  <c r="A57" i="28"/>
  <c r="A57" i="25"/>
  <c r="A57" i="21"/>
  <c r="A57" i="18"/>
  <c r="A57" i="36"/>
  <c r="A57" i="32"/>
  <c r="A57" i="34"/>
  <c r="A57" i="31"/>
  <c r="A57" i="17"/>
  <c r="A45" i="34"/>
  <c r="A45" i="17"/>
  <c r="A45" i="30"/>
  <c r="A45" i="37"/>
  <c r="A45" i="25"/>
  <c r="A45" i="20"/>
  <c r="A45" i="23"/>
  <c r="A45" i="36"/>
  <c r="A45" i="35"/>
  <c r="A45" i="18"/>
  <c r="A45" i="26"/>
  <c r="A45" i="22"/>
  <c r="A45" i="29"/>
  <c r="A45" i="31"/>
  <c r="A45" i="21"/>
  <c r="A45" i="33"/>
  <c r="A45" i="32"/>
  <c r="A45" i="19"/>
  <c r="A45" i="28"/>
  <c r="A45" i="24"/>
  <c r="A30" i="28"/>
  <c r="A30" i="30"/>
  <c r="A30" i="37"/>
  <c r="A30" i="17"/>
  <c r="A30" i="18"/>
  <c r="A30" i="20"/>
  <c r="A30" i="35"/>
  <c r="A30" i="33"/>
  <c r="A30" i="22"/>
  <c r="A30" i="19"/>
  <c r="A30" i="34"/>
  <c r="A30" i="36"/>
  <c r="A30" i="31"/>
  <c r="A30" i="24"/>
  <c r="A30" i="26"/>
  <c r="A30" i="29"/>
  <c r="A30" i="23"/>
  <c r="A30" i="32"/>
  <c r="A30" i="25"/>
  <c r="A30" i="21"/>
  <c r="A25" i="23"/>
  <c r="A25" i="21"/>
  <c r="A25" i="24"/>
  <c r="A25" i="31"/>
  <c r="A25" i="37"/>
  <c r="A25" i="32"/>
  <c r="A25" i="22"/>
  <c r="A25" i="19"/>
  <c r="A25" i="34"/>
  <c r="A25" i="20"/>
  <c r="A25" i="35"/>
  <c r="A25" i="25"/>
  <c r="A25" i="18"/>
  <c r="A25" i="36"/>
  <c r="A25" i="30"/>
  <c r="A25" i="29"/>
  <c r="A25" i="33"/>
  <c r="A25" i="26"/>
  <c r="A25" i="28"/>
  <c r="A25" i="17"/>
  <c r="A16" i="24"/>
  <c r="A16" i="23"/>
  <c r="A16" i="22"/>
  <c r="A16" i="17"/>
  <c r="A16" i="35"/>
  <c r="A16" i="25"/>
  <c r="A16" i="31"/>
  <c r="A16" i="34"/>
  <c r="A16" i="20"/>
  <c r="A16" i="33"/>
  <c r="A16" i="28"/>
  <c r="A16" i="37"/>
  <c r="A16" i="36"/>
  <c r="A16" i="30"/>
  <c r="A16" i="29"/>
  <c r="A16" i="19"/>
  <c r="A16" i="18"/>
  <c r="A16" i="32"/>
  <c r="A16" i="21"/>
  <c r="A16" i="26"/>
  <c r="A10" i="34"/>
  <c r="A10" i="28"/>
  <c r="A10" i="19"/>
  <c r="A10" i="37"/>
  <c r="A10" i="26"/>
  <c r="A10" i="25"/>
  <c r="A10" i="22"/>
  <c r="A10" i="21"/>
  <c r="A10" i="18"/>
  <c r="A10" i="33"/>
  <c r="A10" i="36"/>
  <c r="A10" i="32"/>
  <c r="A10" i="31"/>
  <c r="A10" i="23"/>
  <c r="A10" i="30"/>
  <c r="A10" i="35"/>
  <c r="A10" i="24"/>
  <c r="A10" i="17"/>
  <c r="A10" i="29"/>
  <c r="A10" i="20"/>
  <c r="G19" i="36"/>
  <c r="N19" i="36" s="1"/>
  <c r="Q19" i="36" s="1"/>
  <c r="G19" i="25"/>
  <c r="N19" i="25" s="1"/>
  <c r="Q19" i="25" s="1"/>
  <c r="H19" i="31"/>
  <c r="P19" i="31" s="1"/>
  <c r="S19" i="31" s="1"/>
  <c r="K19" i="23"/>
  <c r="T19" i="23" s="1"/>
  <c r="U19" i="23" s="1"/>
  <c r="I19" i="19"/>
  <c r="Q19" i="19" s="1"/>
  <c r="S19" i="19" s="1"/>
  <c r="K19" i="34"/>
  <c r="T19" i="34" s="1"/>
  <c r="U19" i="34" s="1"/>
  <c r="I19" i="30"/>
  <c r="P19" i="30" s="1"/>
  <c r="Q19" i="30" s="1"/>
  <c r="H19" i="20"/>
  <c r="P19" i="20" s="1"/>
  <c r="S19" i="20" s="1"/>
  <c r="J19" i="17"/>
  <c r="S19" i="17" s="1"/>
  <c r="U19" i="17" s="1"/>
  <c r="I19" i="29"/>
  <c r="Q19" i="29" s="1"/>
  <c r="S19" i="29" s="1"/>
  <c r="E19" i="37"/>
  <c r="J19" i="37" s="1"/>
  <c r="J19" i="28"/>
  <c r="S19" i="28" s="1"/>
  <c r="U19" i="28" s="1"/>
  <c r="G19" i="24"/>
  <c r="O19" i="24" s="1"/>
  <c r="S19" i="24" s="1"/>
  <c r="I19" i="18"/>
  <c r="P19" i="18" s="1"/>
  <c r="Q19" i="18" s="1"/>
  <c r="G19" i="35"/>
  <c r="O19" i="35" s="1"/>
  <c r="S19" i="35" s="1"/>
  <c r="E19" i="26"/>
  <c r="J19" i="26" s="1"/>
  <c r="A1" i="20"/>
  <c r="A1" i="24"/>
  <c r="A1" i="32"/>
  <c r="A1" i="22"/>
  <c r="A1" i="19"/>
  <c r="A1" i="37"/>
  <c r="A1" i="36"/>
  <c r="A1" i="25"/>
  <c r="A1" i="23"/>
  <c r="A1" i="31"/>
  <c r="A1" i="18"/>
  <c r="A1" i="28"/>
  <c r="A1" i="34"/>
  <c r="A1" i="26"/>
  <c r="A1" i="33"/>
  <c r="A1" i="29"/>
  <c r="A1" i="35"/>
  <c r="A1" i="30"/>
  <c r="A1" i="21"/>
  <c r="A1" i="17"/>
  <c r="A94" i="28"/>
  <c r="A94" i="25"/>
  <c r="A94" i="17"/>
  <c r="A94" i="34"/>
  <c r="A94" i="20"/>
  <c r="A94" i="35"/>
  <c r="A94" i="18"/>
  <c r="A94" i="32"/>
  <c r="A94" i="30"/>
  <c r="A94" i="22"/>
  <c r="A94" i="36"/>
  <c r="A94" i="33"/>
  <c r="A94" i="26"/>
  <c r="A94" i="19"/>
  <c r="A94" i="37"/>
  <c r="A94" i="31"/>
  <c r="A94" i="24"/>
  <c r="A94" i="21"/>
  <c r="A94" i="29"/>
  <c r="A94" i="23"/>
  <c r="A76" i="20"/>
  <c r="A76" i="17"/>
  <c r="A76" i="33"/>
  <c r="A76" i="28"/>
  <c r="A76" i="37"/>
  <c r="A76" i="34"/>
  <c r="A76" i="29"/>
  <c r="A76" i="26"/>
  <c r="A76" i="24"/>
  <c r="A76" i="19"/>
  <c r="A76" i="32"/>
  <c r="A76" i="30"/>
  <c r="A76" i="21"/>
  <c r="A76" i="25"/>
  <c r="A76" i="35"/>
  <c r="A76" i="31"/>
  <c r="A76" i="36"/>
  <c r="A76" i="23"/>
  <c r="A76" i="22"/>
  <c r="A76" i="18"/>
  <c r="A67" i="26"/>
  <c r="A67" i="18"/>
  <c r="A67" i="28"/>
  <c r="A67" i="24"/>
  <c r="A67" i="33"/>
  <c r="A67" i="35"/>
  <c r="A67" i="36"/>
  <c r="A67" i="25"/>
  <c r="A67" i="21"/>
  <c r="A67" i="34"/>
  <c r="A67" i="37"/>
  <c r="A67" i="22"/>
  <c r="A67" i="17"/>
  <c r="A67" i="31"/>
  <c r="A67" i="30"/>
  <c r="A67" i="19"/>
  <c r="A67" i="23"/>
  <c r="A67" i="32"/>
  <c r="A67" i="29"/>
  <c r="A67" i="20"/>
  <c r="A42" i="37"/>
  <c r="A42" i="19"/>
  <c r="A42" i="30"/>
  <c r="A42" i="33"/>
  <c r="A42" i="29"/>
  <c r="A42" i="26"/>
  <c r="A42" i="25"/>
  <c r="A42" i="22"/>
  <c r="A42" i="18"/>
  <c r="A42" i="20"/>
  <c r="A42" i="21"/>
  <c r="A42" i="35"/>
  <c r="A42" i="28"/>
  <c r="A42" i="23"/>
  <c r="A42" i="32"/>
  <c r="A42" i="36"/>
  <c r="A42" i="34"/>
  <c r="A42" i="31"/>
  <c r="A42" i="24"/>
  <c r="A42" i="17"/>
  <c r="A20" i="31"/>
  <c r="A20" i="21"/>
  <c r="A20" i="26"/>
  <c r="A20" i="25"/>
  <c r="A20" i="34"/>
  <c r="A20" i="20"/>
  <c r="A20" i="23"/>
  <c r="A20" i="19"/>
  <c r="A20" i="22"/>
  <c r="A20" i="30"/>
  <c r="A20" i="29"/>
  <c r="A20" i="35"/>
  <c r="A20" i="17"/>
  <c r="A20" i="37"/>
  <c r="A20" i="28"/>
  <c r="A20" i="24"/>
  <c r="A20" i="18"/>
  <c r="A20" i="36"/>
  <c r="A20" i="32"/>
  <c r="A20" i="33"/>
  <c r="A18" i="19"/>
  <c r="A18" i="30"/>
  <c r="A18" i="23"/>
  <c r="A18" i="37"/>
  <c r="A18" i="18"/>
  <c r="A18" i="34"/>
  <c r="A18" i="32"/>
  <c r="A18" i="17"/>
  <c r="A18" i="24"/>
  <c r="A18" i="21"/>
  <c r="A18" i="35"/>
  <c r="A18" i="26"/>
  <c r="A18" i="29"/>
  <c r="A18" i="28"/>
  <c r="A18" i="31"/>
  <c r="A18" i="25"/>
  <c r="A18" i="22"/>
  <c r="A18" i="36"/>
  <c r="A18" i="33"/>
  <c r="A18" i="20"/>
  <c r="A6" i="33"/>
  <c r="A6" i="21"/>
  <c r="A6" i="36"/>
  <c r="A6" i="28"/>
  <c r="A6" i="30"/>
  <c r="A6" i="24"/>
  <c r="A6" i="20"/>
  <c r="A6" i="37"/>
  <c r="A6" i="29"/>
  <c r="A6" i="26"/>
  <c r="A6" i="34"/>
  <c r="A6" i="18"/>
  <c r="A6" i="23"/>
  <c r="A6" i="35"/>
  <c r="A6" i="32"/>
  <c r="A6" i="25"/>
  <c r="A6" i="19"/>
  <c r="A6" i="17"/>
  <c r="A6" i="31"/>
  <c r="A6" i="22"/>
  <c r="E18" i="37"/>
  <c r="J18" i="37" s="1"/>
  <c r="I18" i="18"/>
  <c r="P18" i="18" s="1"/>
  <c r="Q18" i="18" s="1"/>
  <c r="G18" i="24"/>
  <c r="O18" i="24" s="1"/>
  <c r="S18" i="24" s="1"/>
  <c r="G18" i="35"/>
  <c r="O18" i="35" s="1"/>
  <c r="S18" i="35" s="1"/>
  <c r="I18" i="29"/>
  <c r="Q18" i="29" s="1"/>
  <c r="S18" i="29" s="1"/>
  <c r="J18" i="28"/>
  <c r="S18" i="28" s="1"/>
  <c r="U18" i="28" s="1"/>
  <c r="G18" i="25"/>
  <c r="N18" i="25" s="1"/>
  <c r="Q18" i="25" s="1"/>
  <c r="H18" i="31"/>
  <c r="P18" i="31" s="1"/>
  <c r="S18" i="31" s="1"/>
  <c r="H18" i="20"/>
  <c r="P18" i="20" s="1"/>
  <c r="S18" i="20" s="1"/>
  <c r="J18" i="17"/>
  <c r="S18" i="17" s="1"/>
  <c r="U18" i="17" s="1"/>
  <c r="G18" i="36"/>
  <c r="N18" i="36" s="1"/>
  <c r="Q18" i="36" s="1"/>
  <c r="I18" i="19"/>
  <c r="Q18" i="19" s="1"/>
  <c r="S18" i="19" s="1"/>
  <c r="E18" i="26"/>
  <c r="J18" i="26" s="1"/>
  <c r="K18" i="23"/>
  <c r="T18" i="23" s="1"/>
  <c r="U18" i="23" s="1"/>
  <c r="I18" i="30"/>
  <c r="P18" i="30" s="1"/>
  <c r="Q18" i="30" s="1"/>
  <c r="K18" i="34"/>
  <c r="T18" i="34" s="1"/>
  <c r="U18" i="34" s="1"/>
  <c r="A97" i="30"/>
  <c r="A97" i="32"/>
  <c r="A97" i="36"/>
  <c r="A97" i="35"/>
  <c r="A97" i="25"/>
  <c r="A97" i="21"/>
  <c r="A97" i="33"/>
  <c r="A97" i="34"/>
  <c r="A97" i="28"/>
  <c r="A97" i="17"/>
  <c r="A97" i="19"/>
  <c r="A97" i="29"/>
  <c r="A98" i="29" s="1"/>
  <c r="A99" i="29" s="1"/>
  <c r="A100" i="29" s="1"/>
  <c r="A101" i="29" s="1"/>
  <c r="A102" i="29" s="1"/>
  <c r="A103" i="29" s="1"/>
  <c r="A104" i="29" s="1"/>
  <c r="A105" i="29" s="1"/>
  <c r="A106" i="29" s="1"/>
  <c r="A107" i="29" s="1"/>
  <c r="A108" i="29" s="1"/>
  <c r="A109" i="29" s="1"/>
  <c r="A110" i="29" s="1"/>
  <c r="A111" i="29" s="1"/>
  <c r="A112" i="29" s="1"/>
  <c r="A113" i="29" s="1"/>
  <c r="A114" i="29" s="1"/>
  <c r="A115" i="29" s="1"/>
  <c r="A116" i="29" s="1"/>
  <c r="A117" i="29" s="1"/>
  <c r="A118" i="29" s="1"/>
  <c r="A119" i="29" s="1"/>
  <c r="A120" i="29" s="1"/>
  <c r="A121" i="29" s="1"/>
  <c r="A97" i="18"/>
  <c r="A97" i="31"/>
  <c r="A97" i="23"/>
  <c r="A97" i="24"/>
  <c r="A97" i="37"/>
  <c r="A97" i="22"/>
  <c r="A97" i="26"/>
  <c r="A97" i="20"/>
  <c r="DE13" i="39"/>
  <c r="J18" i="41" s="1"/>
  <c r="A96" i="35"/>
  <c r="A96" i="32"/>
  <c r="A96" i="34"/>
  <c r="A96" i="24"/>
  <c r="A96" i="23"/>
  <c r="A96" i="22"/>
  <c r="A96" i="37"/>
  <c r="A96" i="26"/>
  <c r="A96" i="17"/>
  <c r="A96" i="25"/>
  <c r="A96" i="21"/>
  <c r="A96" i="20"/>
  <c r="A96" i="33"/>
  <c r="A96" i="36"/>
  <c r="A96" i="30"/>
  <c r="A96" i="19"/>
  <c r="A96" i="18"/>
  <c r="A96" i="28"/>
  <c r="A96" i="31"/>
  <c r="A96" i="29"/>
  <c r="C83" i="21"/>
  <c r="C83" i="18"/>
  <c r="C83" i="24"/>
  <c r="C83" i="33"/>
  <c r="C83" i="30"/>
  <c r="C83" i="28"/>
  <c r="C83" i="31"/>
  <c r="C83" i="34"/>
  <c r="C83" i="32"/>
  <c r="C83" i="25"/>
  <c r="C83" i="37"/>
  <c r="C83" i="22"/>
  <c r="C83" i="20"/>
  <c r="C83" i="29"/>
  <c r="C83" i="19"/>
  <c r="C83" i="35"/>
  <c r="C83" i="23"/>
  <c r="C83" i="17"/>
  <c r="C83" i="36"/>
  <c r="C83" i="26"/>
  <c r="A80" i="17"/>
  <c r="A80" i="35"/>
  <c r="A80" i="24"/>
  <c r="A80" i="23"/>
  <c r="A80" i="22"/>
  <c r="A80" i="36"/>
  <c r="A80" i="30"/>
  <c r="A80" i="37"/>
  <c r="A80" i="32"/>
  <c r="A80" i="29"/>
  <c r="A80" i="25"/>
  <c r="A80" i="31"/>
  <c r="A80" i="26"/>
  <c r="A80" i="33"/>
  <c r="A80" i="20"/>
  <c r="A80" i="21"/>
  <c r="A80" i="28"/>
  <c r="A80" i="19"/>
  <c r="A80" i="18"/>
  <c r="A80" i="34"/>
  <c r="BU13" i="39"/>
  <c r="J10" i="41" s="1"/>
  <c r="A88" i="32"/>
  <c r="A88" i="20"/>
  <c r="A88" i="33"/>
  <c r="A88" i="29"/>
  <c r="A88" i="21"/>
  <c r="A88" i="37"/>
  <c r="A88" i="30"/>
  <c r="A88" i="28"/>
  <c r="A88" i="24"/>
  <c r="A88" i="23"/>
  <c r="A88" i="22"/>
  <c r="A88" i="35"/>
  <c r="A88" i="34"/>
  <c r="A88" i="31"/>
  <c r="A88" i="17"/>
  <c r="A88" i="19"/>
  <c r="A88" i="18"/>
  <c r="A88" i="36"/>
  <c r="A88" i="26"/>
  <c r="A88" i="25"/>
  <c r="A85" i="37"/>
  <c r="A85" i="35"/>
  <c r="A85" i="36"/>
  <c r="A85" i="22"/>
  <c r="A85" i="28"/>
  <c r="A85" i="33"/>
  <c r="A85" i="34"/>
  <c r="A85" i="30"/>
  <c r="A85" i="26"/>
  <c r="A85" i="24"/>
  <c r="A85" i="18"/>
  <c r="A85" i="31"/>
  <c r="A85" i="17"/>
  <c r="A85" i="21"/>
  <c r="A85" i="29"/>
  <c r="A85" i="25"/>
  <c r="A85" i="32"/>
  <c r="A85" i="23"/>
  <c r="A85" i="20"/>
  <c r="A85" i="19"/>
  <c r="A79" i="18"/>
  <c r="A79" i="19"/>
  <c r="A79" i="17"/>
  <c r="A79" i="22"/>
  <c r="A79" i="24"/>
  <c r="A79" i="35"/>
  <c r="A79" i="37"/>
  <c r="A79" i="34"/>
  <c r="A79" i="32"/>
  <c r="A79" i="30"/>
  <c r="A79" i="28"/>
  <c r="A79" i="23"/>
  <c r="A79" i="36"/>
  <c r="A79" i="29"/>
  <c r="A79" i="26"/>
  <c r="A79" i="25"/>
  <c r="A79" i="31"/>
  <c r="A79" i="21"/>
  <c r="A79" i="20"/>
  <c r="A79" i="33"/>
  <c r="A69" i="37"/>
  <c r="A69" i="31"/>
  <c r="A69" i="30"/>
  <c r="A69" i="21"/>
  <c r="A69" i="34"/>
  <c r="A69" i="22"/>
  <c r="A69" i="32"/>
  <c r="A69" i="33"/>
  <c r="A69" i="20"/>
  <c r="A69" i="24"/>
  <c r="A69" i="36"/>
  <c r="A69" i="35"/>
  <c r="A69" i="18"/>
  <c r="A69" i="26"/>
  <c r="A69" i="17"/>
  <c r="A69" i="25"/>
  <c r="A69" i="23"/>
  <c r="A69" i="28"/>
  <c r="A69" i="19"/>
  <c r="A69" i="29"/>
  <c r="A47" i="18"/>
  <c r="A47" i="33"/>
  <c r="A47" i="31"/>
  <c r="A47" i="26"/>
  <c r="A47" i="19"/>
  <c r="A47" i="17"/>
  <c r="A47" i="22"/>
  <c r="A47" i="32"/>
  <c r="A47" i="24"/>
  <c r="A47" i="29"/>
  <c r="A47" i="21"/>
  <c r="A47" i="23"/>
  <c r="A47" i="35"/>
  <c r="A47" i="30"/>
  <c r="A47" i="20"/>
  <c r="A47" i="25"/>
  <c r="A47" i="36"/>
  <c r="A47" i="37"/>
  <c r="A47" i="34"/>
  <c r="A47" i="28"/>
  <c r="A37" i="29"/>
  <c r="A37" i="32"/>
  <c r="A37" i="22"/>
  <c r="A37" i="28"/>
  <c r="A37" i="26"/>
  <c r="A37" i="37"/>
  <c r="A37" i="33"/>
  <c r="A37" i="31"/>
  <c r="A37" i="24"/>
  <c r="A37" i="21"/>
  <c r="A37" i="18"/>
  <c r="A37" i="34"/>
  <c r="A37" i="35"/>
  <c r="A37" i="17"/>
  <c r="A37" i="30"/>
  <c r="A37" i="25"/>
  <c r="A37" i="36"/>
  <c r="A37" i="23"/>
  <c r="A37" i="20"/>
  <c r="A37" i="19"/>
  <c r="G17" i="36"/>
  <c r="N17" i="36" s="1"/>
  <c r="Q17" i="36" s="1"/>
  <c r="I17" i="19"/>
  <c r="Q17" i="19" s="1"/>
  <c r="S17" i="19" s="1"/>
  <c r="I17" i="30"/>
  <c r="P17" i="30" s="1"/>
  <c r="Q17" i="30" s="1"/>
  <c r="K17" i="23"/>
  <c r="T17" i="23" s="1"/>
  <c r="U17" i="23" s="1"/>
  <c r="E17" i="37"/>
  <c r="J17" i="37" s="1"/>
  <c r="I17" i="18"/>
  <c r="P17" i="18" s="1"/>
  <c r="Q17" i="18" s="1"/>
  <c r="K17" i="34"/>
  <c r="T17" i="34" s="1"/>
  <c r="U17" i="34" s="1"/>
  <c r="G17" i="24"/>
  <c r="O17" i="24" s="1"/>
  <c r="S17" i="24" s="1"/>
  <c r="H17" i="20"/>
  <c r="P17" i="20" s="1"/>
  <c r="S17" i="20" s="1"/>
  <c r="J17" i="17"/>
  <c r="S17" i="17" s="1"/>
  <c r="U17" i="17" s="1"/>
  <c r="G17" i="35"/>
  <c r="O17" i="35" s="1"/>
  <c r="S17" i="35" s="1"/>
  <c r="E17" i="26"/>
  <c r="J17" i="26" s="1"/>
  <c r="G17" i="25"/>
  <c r="N17" i="25" s="1"/>
  <c r="Q17" i="25" s="1"/>
  <c r="H17" i="31"/>
  <c r="P17" i="31" s="1"/>
  <c r="S17" i="31" s="1"/>
  <c r="J17" i="28"/>
  <c r="S17" i="28" s="1"/>
  <c r="U17" i="28" s="1"/>
  <c r="I17" i="29"/>
  <c r="Q17" i="29" s="1"/>
  <c r="S17" i="29" s="1"/>
  <c r="A86" i="30"/>
  <c r="A86" i="29"/>
  <c r="A86" i="24"/>
  <c r="A86" i="31"/>
  <c r="A86" i="26"/>
  <c r="A86" i="18"/>
  <c r="A86" i="23"/>
  <c r="A86" i="25"/>
  <c r="A86" i="21"/>
  <c r="A86" i="35"/>
  <c r="A86" i="32"/>
  <c r="A86" i="28"/>
  <c r="A86" i="19"/>
  <c r="A86" i="17"/>
  <c r="A86" i="36"/>
  <c r="A86" i="20"/>
  <c r="A86" i="37"/>
  <c r="A86" i="34"/>
  <c r="A86" i="33"/>
  <c r="A86" i="22"/>
  <c r="A77" i="37"/>
  <c r="A77" i="24"/>
  <c r="A77" i="32"/>
  <c r="A77" i="26"/>
  <c r="A77" i="17"/>
  <c r="A77" i="30"/>
  <c r="A77" i="35"/>
  <c r="A77" i="25"/>
  <c r="A77" i="21"/>
  <c r="A77" i="31"/>
  <c r="A77" i="23"/>
  <c r="A77" i="36"/>
  <c r="A77" i="28"/>
  <c r="A77" i="18"/>
  <c r="A77" i="22"/>
  <c r="A77" i="20"/>
  <c r="A77" i="33"/>
  <c r="A77" i="34"/>
  <c r="A77" i="29"/>
  <c r="A77" i="19"/>
  <c r="A83" i="21"/>
  <c r="A83" i="18"/>
  <c r="A83" i="24"/>
  <c r="A83" i="33"/>
  <c r="A83" i="30"/>
  <c r="A83" i="28"/>
  <c r="A83" i="31"/>
  <c r="A83" i="34"/>
  <c r="A83" i="32"/>
  <c r="A83" i="25"/>
  <c r="A83" i="37"/>
  <c r="A83" i="22"/>
  <c r="A83" i="17"/>
  <c r="A83" i="20"/>
  <c r="A83" i="29"/>
  <c r="A83" i="19"/>
  <c r="A83" i="35"/>
  <c r="A83" i="23"/>
  <c r="A83" i="36"/>
  <c r="A83" i="26"/>
  <c r="D1" i="37"/>
  <c r="D1" i="26"/>
  <c r="BN13" i="39"/>
  <c r="J9" i="41" s="1"/>
  <c r="A82" i="26"/>
  <c r="A82" i="19"/>
  <c r="A82" i="29"/>
  <c r="A82" i="23"/>
  <c r="A82" i="35"/>
  <c r="A82" i="21"/>
  <c r="A82" i="17"/>
  <c r="A82" i="18"/>
  <c r="A82" i="36"/>
  <c r="A82" i="24"/>
  <c r="A82" i="30"/>
  <c r="A82" i="33"/>
  <c r="A82" i="32"/>
  <c r="A82" i="31"/>
  <c r="A82" i="22"/>
  <c r="A82" i="37"/>
  <c r="A82" i="28"/>
  <c r="A82" i="25"/>
  <c r="A82" i="34"/>
  <c r="A82" i="20"/>
  <c r="A71" i="18"/>
  <c r="A71" i="30"/>
  <c r="A71" i="25"/>
  <c r="A71" i="19"/>
  <c r="A71" i="26"/>
  <c r="A71" i="31"/>
  <c r="A71" i="37"/>
  <c r="A71" i="33"/>
  <c r="A71" i="35"/>
  <c r="A71" i="21"/>
  <c r="A71" i="32"/>
  <c r="A71" i="20"/>
  <c r="A71" i="36"/>
  <c r="A71" i="22"/>
  <c r="A71" i="17"/>
  <c r="A71" i="29"/>
  <c r="A71" i="24"/>
  <c r="A71" i="28"/>
  <c r="A71" i="34"/>
  <c r="A71" i="23"/>
  <c r="A62" i="17"/>
  <c r="A62" i="34"/>
  <c r="A62" i="26"/>
  <c r="A62" i="33"/>
  <c r="A62" i="32"/>
  <c r="A62" i="31"/>
  <c r="A62" i="18"/>
  <c r="A62" i="35"/>
  <c r="A62" i="30"/>
  <c r="A62" i="21"/>
  <c r="A62" i="36"/>
  <c r="A62" i="22"/>
  <c r="A62" i="29"/>
  <c r="A62" i="19"/>
  <c r="A62" i="24"/>
  <c r="A62" i="20"/>
  <c r="A62" i="28"/>
  <c r="A62" i="37"/>
  <c r="A62" i="23"/>
  <c r="A62" i="25"/>
  <c r="A13" i="33"/>
  <c r="A13" i="17"/>
  <c r="A13" i="34"/>
  <c r="A13" i="25"/>
  <c r="A13" i="29"/>
  <c r="A13" i="28"/>
  <c r="A13" i="23"/>
  <c r="A13" i="31"/>
  <c r="A13" i="37"/>
  <c r="A13" i="35"/>
  <c r="A13" i="26"/>
  <c r="A13" i="21"/>
  <c r="A13" i="18"/>
  <c r="A13" i="32"/>
  <c r="A13" i="22"/>
  <c r="A13" i="30"/>
  <c r="A13" i="20"/>
  <c r="A13" i="19"/>
  <c r="A13" i="36"/>
  <c r="A13" i="24"/>
  <c r="A9" i="30"/>
  <c r="A9" i="23"/>
  <c r="A9" i="35"/>
  <c r="A9" i="24"/>
  <c r="A9" i="20"/>
  <c r="A9" i="22"/>
  <c r="A9" i="19"/>
  <c r="A9" i="37"/>
  <c r="A9" i="29"/>
  <c r="A9" i="26"/>
  <c r="A9" i="21"/>
  <c r="A9" i="34"/>
  <c r="A9" i="28"/>
  <c r="A9" i="25"/>
  <c r="A9" i="18"/>
  <c r="A9" i="33"/>
  <c r="A9" i="32"/>
  <c r="A9" i="31"/>
  <c r="A9" i="36"/>
  <c r="A9" i="17"/>
  <c r="G16" i="35"/>
  <c r="O16" i="35" s="1"/>
  <c r="S16" i="35" s="1"/>
  <c r="G16" i="25"/>
  <c r="N16" i="25" s="1"/>
  <c r="Q16" i="25" s="1"/>
  <c r="K16" i="34"/>
  <c r="T16" i="34" s="1"/>
  <c r="U16" i="34" s="1"/>
  <c r="H16" i="31"/>
  <c r="P16" i="31" s="1"/>
  <c r="S16" i="31" s="1"/>
  <c r="J16" i="28"/>
  <c r="S16" i="28" s="1"/>
  <c r="U16" i="28" s="1"/>
  <c r="I16" i="29"/>
  <c r="Q16" i="29" s="1"/>
  <c r="S16" i="29" s="1"/>
  <c r="H16" i="20"/>
  <c r="P16" i="20" s="1"/>
  <c r="S16" i="20" s="1"/>
  <c r="J16" i="17"/>
  <c r="S16" i="17" s="1"/>
  <c r="U16" i="17" s="1"/>
  <c r="I16" i="30"/>
  <c r="P16" i="30" s="1"/>
  <c r="Q16" i="30" s="1"/>
  <c r="I16" i="19"/>
  <c r="Q16" i="19" s="1"/>
  <c r="S16" i="19" s="1"/>
  <c r="E16" i="37"/>
  <c r="J16" i="37" s="1"/>
  <c r="G16" i="36"/>
  <c r="N16" i="36" s="1"/>
  <c r="Q16" i="36" s="1"/>
  <c r="I16" i="18"/>
  <c r="P16" i="18" s="1"/>
  <c r="Q16" i="18" s="1"/>
  <c r="E16" i="26"/>
  <c r="J16" i="26" s="1"/>
  <c r="K16" i="23"/>
  <c r="T16" i="23" s="1"/>
  <c r="U16" i="23" s="1"/>
  <c r="G16" i="24"/>
  <c r="O16" i="24" s="1"/>
  <c r="S16" i="24" s="1"/>
  <c r="CB13" i="39"/>
  <c r="J11" i="41" s="1"/>
  <c r="A54" i="30"/>
  <c r="A54" i="28"/>
  <c r="A54" i="21"/>
  <c r="A54" i="24"/>
  <c r="A54" i="20"/>
  <c r="A54" i="18"/>
  <c r="A54" i="23"/>
  <c r="A54" i="32"/>
  <c r="A54" i="25"/>
  <c r="A54" i="19"/>
  <c r="A54" i="34"/>
  <c r="A54" i="17"/>
  <c r="A54" i="35"/>
  <c r="A54" i="29"/>
  <c r="A54" i="26"/>
  <c r="A54" i="31"/>
  <c r="A54" i="37"/>
  <c r="A54" i="36"/>
  <c r="A54" i="33"/>
  <c r="A54" i="22"/>
  <c r="A49" i="25"/>
  <c r="A49" i="21"/>
  <c r="A49" i="33"/>
  <c r="A49" i="37"/>
  <c r="A49" i="19"/>
  <c r="A49" i="17"/>
  <c r="A49" i="34"/>
  <c r="A49" i="31"/>
  <c r="A49" i="29"/>
  <c r="A49" i="18"/>
  <c r="A49" i="23"/>
  <c r="A49" i="35"/>
  <c r="A49" i="30"/>
  <c r="A49" i="24"/>
  <c r="A49" i="32"/>
  <c r="A49" i="28"/>
  <c r="A49" i="26"/>
  <c r="A49" i="20"/>
  <c r="A49" i="22"/>
  <c r="A49" i="36"/>
  <c r="A39" i="36"/>
  <c r="A39" i="18"/>
  <c r="A39" i="30"/>
  <c r="A39" i="25"/>
  <c r="A39" i="21"/>
  <c r="A39" i="19"/>
  <c r="A39" i="28"/>
  <c r="A39" i="20"/>
  <c r="A39" i="34"/>
  <c r="A39" i="33"/>
  <c r="A39" i="32"/>
  <c r="A39" i="31"/>
  <c r="A39" i="29"/>
  <c r="A39" i="22"/>
  <c r="A39" i="17"/>
  <c r="A39" i="37"/>
  <c r="A39" i="35"/>
  <c r="A39" i="26"/>
  <c r="A39" i="24"/>
  <c r="A39" i="23"/>
  <c r="A32" i="28"/>
  <c r="A32" i="24"/>
  <c r="A32" i="23"/>
  <c r="A32" i="22"/>
  <c r="A32" i="26"/>
  <c r="A32" i="25"/>
  <c r="A32" i="17"/>
  <c r="A32" i="32"/>
  <c r="A32" i="30"/>
  <c r="A32" i="34"/>
  <c r="A32" i="21"/>
  <c r="A32" i="35"/>
  <c r="A32" i="33"/>
  <c r="A32" i="20"/>
  <c r="A32" i="37"/>
  <c r="A32" i="29"/>
  <c r="A32" i="36"/>
  <c r="A32" i="19"/>
  <c r="A32" i="18"/>
  <c r="A32" i="31"/>
  <c r="A27" i="22"/>
  <c r="A27" i="18"/>
  <c r="A27" i="17"/>
  <c r="A27" i="30"/>
  <c r="A27" i="23"/>
  <c r="A27" i="34"/>
  <c r="A27" i="26"/>
  <c r="A27" i="29"/>
  <c r="A27" i="24"/>
  <c r="A27" i="35"/>
  <c r="A27" i="31"/>
  <c r="A27" i="21"/>
  <c r="A27" i="19"/>
  <c r="A27" i="20"/>
  <c r="A27" i="36"/>
  <c r="A27" i="33"/>
  <c r="A27" i="28"/>
  <c r="A27" i="32"/>
  <c r="A27" i="37"/>
  <c r="A27" i="25"/>
  <c r="G15" i="36"/>
  <c r="N15" i="36" s="1"/>
  <c r="Q15" i="36" s="1"/>
  <c r="J15" i="28"/>
  <c r="S15" i="28" s="1"/>
  <c r="U15" i="28" s="1"/>
  <c r="G15" i="24"/>
  <c r="O15" i="24" s="1"/>
  <c r="S15" i="24" s="1"/>
  <c r="K15" i="23"/>
  <c r="T15" i="23" s="1"/>
  <c r="U15" i="23" s="1"/>
  <c r="G15" i="25"/>
  <c r="N15" i="25" s="1"/>
  <c r="Q15" i="25" s="1"/>
  <c r="H15" i="20"/>
  <c r="P15" i="20" s="1"/>
  <c r="S15" i="20" s="1"/>
  <c r="J15" i="17"/>
  <c r="S15" i="17" s="1"/>
  <c r="U15" i="17" s="1"/>
  <c r="G15" i="35"/>
  <c r="O15" i="35" s="1"/>
  <c r="S15" i="35" s="1"/>
  <c r="H15" i="31"/>
  <c r="P15" i="31" s="1"/>
  <c r="S15" i="31" s="1"/>
  <c r="E15" i="26"/>
  <c r="J15" i="26" s="1"/>
  <c r="K15" i="34"/>
  <c r="T15" i="34" s="1"/>
  <c r="U15" i="34" s="1"/>
  <c r="E15" i="37"/>
  <c r="J15" i="37" s="1"/>
  <c r="I15" i="30"/>
  <c r="P15" i="30" s="1"/>
  <c r="Q15" i="30" s="1"/>
  <c r="I15" i="18"/>
  <c r="P15" i="18" s="1"/>
  <c r="Q15" i="18" s="1"/>
  <c r="I15" i="19"/>
  <c r="Q15" i="19" s="1"/>
  <c r="S15" i="19" s="1"/>
  <c r="I15" i="29"/>
  <c r="Q15" i="29" s="1"/>
  <c r="S15" i="29" s="1"/>
  <c r="AR13" i="39"/>
  <c r="J7" i="41" s="1"/>
  <c r="EH13" i="39"/>
  <c r="J21" i="41" s="1"/>
  <c r="A59" i="29"/>
  <c r="A59" i="22"/>
  <c r="A59" i="18"/>
  <c r="A59" i="17"/>
  <c r="A59" i="21"/>
  <c r="A59" i="32"/>
  <c r="A59" i="23"/>
  <c r="A59" i="31"/>
  <c r="A59" i="30"/>
  <c r="A59" i="28"/>
  <c r="A59" i="35"/>
  <c r="A59" i="33"/>
  <c r="A59" i="24"/>
  <c r="A59" i="37"/>
  <c r="A59" i="19"/>
  <c r="A59" i="26"/>
  <c r="A59" i="36"/>
  <c r="A59" i="20"/>
  <c r="A59" i="34"/>
  <c r="A59" i="25"/>
  <c r="A44" i="21"/>
  <c r="A44" i="17"/>
  <c r="A44" i="31"/>
  <c r="A44" i="32"/>
  <c r="A44" i="29"/>
  <c r="A44" i="24"/>
  <c r="A44" i="19"/>
  <c r="A44" i="33"/>
  <c r="A44" i="37"/>
  <c r="A44" i="34"/>
  <c r="A44" i="30"/>
  <c r="A44" i="28"/>
  <c r="A44" i="25"/>
  <c r="A44" i="23"/>
  <c r="A44" i="20"/>
  <c r="A44" i="18"/>
  <c r="A44" i="36"/>
  <c r="A44" i="35"/>
  <c r="A44" i="26"/>
  <c r="A44" i="22"/>
  <c r="C41" i="32"/>
  <c r="C41" i="23"/>
  <c r="C41" i="31"/>
  <c r="C41" i="28"/>
  <c r="C41" i="17"/>
  <c r="C41" i="36"/>
  <c r="C41" i="24"/>
  <c r="C41" i="37"/>
  <c r="C41" i="34"/>
  <c r="C41" i="26"/>
  <c r="C41" i="22"/>
  <c r="C41" i="19"/>
  <c r="C41" i="30"/>
  <c r="C41" i="25"/>
  <c r="C41" i="18"/>
  <c r="C41" i="33"/>
  <c r="C41" i="21"/>
  <c r="C41" i="20"/>
  <c r="C41" i="29"/>
  <c r="C41" i="35"/>
  <c r="A22" i="36"/>
  <c r="A22" i="37"/>
  <c r="A22" i="34"/>
  <c r="A22" i="33"/>
  <c r="A22" i="24"/>
  <c r="A22" i="32"/>
  <c r="A22" i="18"/>
  <c r="A22" i="31"/>
  <c r="A22" i="29"/>
  <c r="A22" i="23"/>
  <c r="A22" i="28"/>
  <c r="A22" i="25"/>
  <c r="A22" i="20"/>
  <c r="A22" i="19"/>
  <c r="A22" i="26"/>
  <c r="A22" i="21"/>
  <c r="A22" i="17"/>
  <c r="A22" i="30"/>
  <c r="A22" i="35"/>
  <c r="A22" i="22"/>
  <c r="A5" i="31"/>
  <c r="A5" i="22"/>
  <c r="A5" i="21"/>
  <c r="A5" i="37"/>
  <c r="A5" i="33"/>
  <c r="A5" i="30"/>
  <c r="A5" i="26"/>
  <c r="A5" i="24"/>
  <c r="A5" i="20"/>
  <c r="A5" i="36"/>
  <c r="A5" i="18"/>
  <c r="A5" i="28"/>
  <c r="A5" i="17"/>
  <c r="A5" i="34"/>
  <c r="A5" i="32"/>
  <c r="A5" i="25"/>
  <c r="A5" i="35"/>
  <c r="A5" i="23"/>
  <c r="A5" i="29"/>
  <c r="A5" i="19"/>
  <c r="C13" i="39"/>
  <c r="J3" i="41" s="1"/>
  <c r="DP13" i="39"/>
  <c r="J19" i="41" s="1"/>
  <c r="AG13" i="39"/>
  <c r="J6" i="41" s="1"/>
  <c r="A90" i="36"/>
  <c r="A90" i="31"/>
  <c r="A90" i="29"/>
  <c r="A90" i="19"/>
  <c r="A90" i="22"/>
  <c r="A90" i="33"/>
  <c r="A90" i="25"/>
  <c r="A90" i="34"/>
  <c r="A90" i="18"/>
  <c r="A90" i="28"/>
  <c r="A90" i="26"/>
  <c r="A90" i="20"/>
  <c r="A90" i="32"/>
  <c r="A90" i="37"/>
  <c r="A90" i="30"/>
  <c r="A90" i="23"/>
  <c r="A90" i="21"/>
  <c r="A90" i="17"/>
  <c r="A90" i="35"/>
  <c r="A90" i="24"/>
  <c r="C84" i="32"/>
  <c r="C84" i="25"/>
  <c r="C84" i="29"/>
  <c r="C84" i="37"/>
  <c r="C84" i="20"/>
  <c r="C84" i="23"/>
  <c r="C84" i="22"/>
  <c r="C84" i="19"/>
  <c r="C84" i="35"/>
  <c r="C84" i="36"/>
  <c r="C84" i="26"/>
  <c r="C84" i="33"/>
  <c r="C84" i="28"/>
  <c r="C84" i="30"/>
  <c r="C84" i="24"/>
  <c r="C84" i="18"/>
  <c r="C84" i="17"/>
  <c r="C84" i="21"/>
  <c r="C84" i="34"/>
  <c r="C84" i="31"/>
  <c r="C75" i="35"/>
  <c r="C75" i="31"/>
  <c r="C75" i="18"/>
  <c r="C75" i="36"/>
  <c r="C75" i="23"/>
  <c r="C75" i="17"/>
  <c r="C75" i="37"/>
  <c r="C75" i="26"/>
  <c r="C75" i="20"/>
  <c r="C75" i="33"/>
  <c r="C75" i="32"/>
  <c r="C75" i="24"/>
  <c r="C75" i="19"/>
  <c r="C75" i="28"/>
  <c r="C75" i="29"/>
  <c r="C75" i="21"/>
  <c r="C75" i="30"/>
  <c r="C75" i="34"/>
  <c r="C75" i="25"/>
  <c r="C75" i="22"/>
  <c r="D1" i="34"/>
  <c r="W13" i="39"/>
  <c r="J5" i="41" s="1"/>
  <c r="A93" i="33"/>
  <c r="A93" i="31"/>
  <c r="A93" i="24"/>
  <c r="A93" i="21"/>
  <c r="A93" i="17"/>
  <c r="A93" i="25"/>
  <c r="A93" i="23"/>
  <c r="A93" i="20"/>
  <c r="A93" i="28"/>
  <c r="A93" i="29"/>
  <c r="A93" i="18"/>
  <c r="A93" i="35"/>
  <c r="A93" i="22"/>
  <c r="A93" i="34"/>
  <c r="A93" i="32"/>
  <c r="A93" i="30"/>
  <c r="A93" i="26"/>
  <c r="A93" i="37"/>
  <c r="A93" i="36"/>
  <c r="A93" i="19"/>
  <c r="A87" i="31"/>
  <c r="A87" i="28"/>
  <c r="A87" i="23"/>
  <c r="A87" i="35"/>
  <c r="A87" i="26"/>
  <c r="A87" i="18"/>
  <c r="A87" i="34"/>
  <c r="A87" i="25"/>
  <c r="A87" i="19"/>
  <c r="A87" i="36"/>
  <c r="A87" i="32"/>
  <c r="A87" i="21"/>
  <c r="A87" i="20"/>
  <c r="A87" i="37"/>
  <c r="A87" i="33"/>
  <c r="A87" i="29"/>
  <c r="A87" i="30"/>
  <c r="A87" i="22"/>
  <c r="A87" i="17"/>
  <c r="A87" i="24"/>
  <c r="A56" i="33"/>
  <c r="A56" i="28"/>
  <c r="A56" i="31"/>
  <c r="A56" i="26"/>
  <c r="A56" i="37"/>
  <c r="A56" i="30"/>
  <c r="A56" i="34"/>
  <c r="A56" i="24"/>
  <c r="A56" i="23"/>
  <c r="A56" i="22"/>
  <c r="A56" i="20"/>
  <c r="A56" i="29"/>
  <c r="A56" i="21"/>
  <c r="A56" i="19"/>
  <c r="A56" i="18"/>
  <c r="A56" i="17"/>
  <c r="A56" i="35"/>
  <c r="A56" i="25"/>
  <c r="A56" i="36"/>
  <c r="A56" i="32"/>
  <c r="A51" i="36"/>
  <c r="A51" i="30"/>
  <c r="A51" i="18"/>
  <c r="A51" i="24"/>
  <c r="A51" i="33"/>
  <c r="A51" i="20"/>
  <c r="A51" i="32"/>
  <c r="A51" i="29"/>
  <c r="A51" i="26"/>
  <c r="A51" i="25"/>
  <c r="A51" i="34"/>
  <c r="A51" i="22"/>
  <c r="A51" i="17"/>
  <c r="A51" i="37"/>
  <c r="A51" i="28"/>
  <c r="A51" i="21"/>
  <c r="A51" i="19"/>
  <c r="A51" i="23"/>
  <c r="A51" i="31"/>
  <c r="A51" i="35"/>
  <c r="CU13" i="39"/>
  <c r="J17" i="41" s="1"/>
  <c r="D1" i="35"/>
  <c r="D1" i="24"/>
  <c r="A73" i="36"/>
  <c r="A73" i="23"/>
  <c r="A73" i="20"/>
  <c r="A73" i="32"/>
  <c r="A73" i="24"/>
  <c r="A73" i="21"/>
  <c r="A73" i="22"/>
  <c r="A73" i="19"/>
  <c r="A73" i="30"/>
  <c r="A73" i="25"/>
  <c r="A73" i="18"/>
  <c r="A73" i="33"/>
  <c r="A73" i="31"/>
  <c r="A73" i="28"/>
  <c r="A73" i="35"/>
  <c r="A73" i="26"/>
  <c r="A73" i="17"/>
  <c r="A73" i="37"/>
  <c r="A73" i="34"/>
  <c r="A73" i="29"/>
  <c r="A84" i="32"/>
  <c r="A84" i="25"/>
  <c r="A84" i="29"/>
  <c r="A84" i="37"/>
  <c r="A84" i="20"/>
  <c r="A84" i="23"/>
  <c r="A84" i="22"/>
  <c r="A84" i="19"/>
  <c r="A84" i="35"/>
  <c r="A84" i="36"/>
  <c r="A84" i="17"/>
  <c r="A84" i="26"/>
  <c r="A84" i="33"/>
  <c r="A84" i="28"/>
  <c r="A84" i="30"/>
  <c r="A84" i="24"/>
  <c r="A84" i="18"/>
  <c r="A84" i="21"/>
  <c r="A84" i="34"/>
  <c r="A84" i="31"/>
  <c r="A78" i="28"/>
  <c r="A78" i="25"/>
  <c r="A78" i="36"/>
  <c r="A78" i="31"/>
  <c r="A78" i="21"/>
  <c r="A78" i="17"/>
  <c r="A78" i="34"/>
  <c r="A78" i="33"/>
  <c r="A78" i="29"/>
  <c r="A78" i="20"/>
  <c r="A78" i="18"/>
  <c r="A78" i="22"/>
  <c r="A78" i="19"/>
  <c r="A78" i="24"/>
  <c r="A78" i="37"/>
  <c r="A78" i="32"/>
  <c r="A78" i="30"/>
  <c r="A78" i="35"/>
  <c r="A78" i="26"/>
  <c r="A78" i="23"/>
  <c r="A75" i="22"/>
  <c r="A75" i="17"/>
  <c r="A75" i="35"/>
  <c r="A75" i="31"/>
  <c r="A75" i="18"/>
  <c r="A75" i="36"/>
  <c r="A75" i="23"/>
  <c r="A75" i="37"/>
  <c r="A75" i="26"/>
  <c r="A75" i="20"/>
  <c r="A75" i="33"/>
  <c r="A75" i="32"/>
  <c r="A75" i="24"/>
  <c r="A75" i="19"/>
  <c r="A75" i="28"/>
  <c r="A75" i="29"/>
  <c r="A75" i="21"/>
  <c r="A75" i="30"/>
  <c r="A75" i="34"/>
  <c r="A75" i="25"/>
  <c r="A64" i="24"/>
  <c r="A64" i="23"/>
  <c r="A64" i="34"/>
  <c r="A64" i="22"/>
  <c r="A64" i="37"/>
  <c r="A64" i="25"/>
  <c r="A64" i="29"/>
  <c r="A64" i="33"/>
  <c r="A64" i="36"/>
  <c r="A64" i="35"/>
  <c r="A64" i="17"/>
  <c r="A64" i="31"/>
  <c r="A64" i="30"/>
  <c r="A64" i="28"/>
  <c r="A64" i="32"/>
  <c r="A64" i="26"/>
  <c r="A64" i="19"/>
  <c r="A64" i="18"/>
  <c r="A64" i="21"/>
  <c r="A64" i="20"/>
  <c r="A41" i="35"/>
  <c r="A41" i="32"/>
  <c r="A41" i="23"/>
  <c r="A41" i="31"/>
  <c r="A41" i="28"/>
  <c r="A41" i="36"/>
  <c r="A41" i="24"/>
  <c r="A41" i="37"/>
  <c r="A41" i="34"/>
  <c r="A41" i="26"/>
  <c r="A41" i="22"/>
  <c r="A41" i="19"/>
  <c r="A41" i="30"/>
  <c r="A41" i="25"/>
  <c r="A41" i="18"/>
  <c r="A41" i="33"/>
  <c r="A41" i="21"/>
  <c r="A41" i="20"/>
  <c r="A41" i="29"/>
  <c r="A41" i="17"/>
  <c r="A34" i="36"/>
  <c r="A34" i="20"/>
  <c r="A34" i="19"/>
  <c r="A34" i="37"/>
  <c r="A34" i="23"/>
  <c r="A34" i="21"/>
  <c r="A34" i="18"/>
  <c r="A34" i="34"/>
  <c r="A34" i="31"/>
  <c r="A34" i="24"/>
  <c r="A34" i="29"/>
  <c r="A34" i="33"/>
  <c r="A34" i="25"/>
  <c r="A34" i="22"/>
  <c r="A34" i="30"/>
  <c r="A34" i="17"/>
  <c r="A34" i="35"/>
  <c r="A34" i="32"/>
  <c r="A34" i="28"/>
  <c r="A34" i="26"/>
  <c r="A29" i="36"/>
  <c r="A29" i="31"/>
  <c r="A29" i="21"/>
  <c r="A29" i="17"/>
  <c r="A29" i="32"/>
  <c r="A29" i="34"/>
  <c r="A29" i="25"/>
  <c r="A29" i="23"/>
  <c r="A29" i="37"/>
  <c r="A29" i="30"/>
  <c r="A29" i="29"/>
  <c r="A29" i="18"/>
  <c r="A29" i="22"/>
  <c r="A29" i="28"/>
  <c r="A29" i="35"/>
  <c r="A29" i="20"/>
  <c r="A29" i="33"/>
  <c r="A29" i="26"/>
  <c r="A29" i="19"/>
  <c r="A29" i="24"/>
  <c r="A24" i="34"/>
  <c r="A24" i="30"/>
  <c r="A24" i="26"/>
  <c r="A24" i="36"/>
  <c r="A24" i="29"/>
  <c r="A24" i="33"/>
  <c r="A24" i="21"/>
  <c r="A24" i="28"/>
  <c r="A24" i="24"/>
  <c r="A24" i="23"/>
  <c r="A24" i="22"/>
  <c r="A24" i="37"/>
  <c r="A24" i="32"/>
  <c r="A24" i="31"/>
  <c r="A24" i="20"/>
  <c r="A24" i="19"/>
  <c r="A24" i="18"/>
  <c r="A24" i="17"/>
  <c r="A24" i="25"/>
  <c r="A24" i="35"/>
  <c r="A4" i="32"/>
  <c r="A4" i="28"/>
  <c r="A4" i="25"/>
  <c r="A4" i="35"/>
  <c r="A4" i="34"/>
  <c r="A4" i="23"/>
  <c r="A4" i="19"/>
  <c r="A4" i="22"/>
  <c r="A4" i="21"/>
  <c r="A4" i="29"/>
  <c r="A4" i="31"/>
  <c r="A4" i="17"/>
  <c r="A4" i="26"/>
  <c r="A4" i="37"/>
  <c r="A4" i="30"/>
  <c r="A4" i="24"/>
  <c r="A4" i="18"/>
  <c r="A4" i="33"/>
  <c r="A4" i="20"/>
  <c r="A4" i="36"/>
  <c r="CK13" i="39"/>
  <c r="J16" i="41" s="1"/>
  <c r="C87" i="35"/>
  <c r="C87" i="26"/>
  <c r="C87" i="18"/>
  <c r="C87" i="34"/>
  <c r="C87" i="25"/>
  <c r="C87" i="19"/>
  <c r="C87" i="36"/>
  <c r="C87" i="32"/>
  <c r="C87" i="21"/>
  <c r="C87" i="20"/>
  <c r="C87" i="37"/>
  <c r="C87" i="33"/>
  <c r="C87" i="29"/>
  <c r="C87" i="30"/>
  <c r="C87" i="22"/>
  <c r="C87" i="24"/>
  <c r="C87" i="17"/>
  <c r="C87" i="31"/>
  <c r="C87" i="28"/>
  <c r="C87" i="23"/>
  <c r="C58" i="35"/>
  <c r="C58" i="20"/>
  <c r="C58" i="36"/>
  <c r="C58" i="25"/>
  <c r="C58" i="22"/>
  <c r="C58" i="17"/>
  <c r="C58" i="18"/>
  <c r="C58" i="34"/>
  <c r="C58" i="21"/>
  <c r="C58" i="32"/>
  <c r="C58" i="31"/>
  <c r="C58" i="29"/>
  <c r="C58" i="23"/>
  <c r="C58" i="30"/>
  <c r="C58" i="37"/>
  <c r="C58" i="26"/>
  <c r="C58" i="24"/>
  <c r="C58" i="33"/>
  <c r="C58" i="28"/>
  <c r="C58" i="19"/>
  <c r="A46" i="37"/>
  <c r="A46" i="35"/>
  <c r="A46" i="29"/>
  <c r="A46" i="36"/>
  <c r="A46" i="17"/>
  <c r="A46" i="18"/>
  <c r="A46" i="26"/>
  <c r="A46" i="28"/>
  <c r="A46" i="33"/>
  <c r="A46" i="31"/>
  <c r="A46" i="22"/>
  <c r="A46" i="34"/>
  <c r="A46" i="19"/>
  <c r="A46" i="32"/>
  <c r="A46" i="21"/>
  <c r="A46" i="24"/>
  <c r="A46" i="30"/>
  <c r="A46" i="20"/>
  <c r="A46" i="23"/>
  <c r="A46" i="25"/>
  <c r="A15" i="30"/>
  <c r="A15" i="18"/>
  <c r="A15" i="34"/>
  <c r="A15" i="33"/>
  <c r="A15" i="32"/>
  <c r="A15" i="26"/>
  <c r="A15" i="21"/>
  <c r="A15" i="36"/>
  <c r="A15" i="19"/>
  <c r="A15" i="29"/>
  <c r="A15" i="22"/>
  <c r="A15" i="28"/>
  <c r="A15" i="24"/>
  <c r="A15" i="23"/>
  <c r="A15" i="35"/>
  <c r="A15" i="25"/>
  <c r="A15" i="17"/>
  <c r="A15" i="31"/>
  <c r="A15" i="20"/>
  <c r="A15" i="37"/>
  <c r="A8" i="29"/>
  <c r="A8" i="28"/>
  <c r="A8" i="31"/>
  <c r="A8" i="34"/>
  <c r="A8" i="33"/>
  <c r="A8" i="36"/>
  <c r="A8" i="30"/>
  <c r="A8" i="35"/>
  <c r="A8" i="24"/>
  <c r="A8" i="23"/>
  <c r="A8" i="22"/>
  <c r="A8" i="20"/>
  <c r="A8" i="21"/>
  <c r="A8" i="37"/>
  <c r="A8" i="26"/>
  <c r="A8" i="19"/>
  <c r="A8" i="18"/>
  <c r="A8" i="25"/>
  <c r="A8" i="17"/>
  <c r="A8" i="32"/>
  <c r="B97" i="30"/>
  <c r="B97" i="32"/>
  <c r="B97" i="36"/>
  <c r="B97" i="35"/>
  <c r="C89" i="23"/>
  <c r="C89" i="17"/>
  <c r="C89" i="24"/>
  <c r="C89" i="35"/>
  <c r="C89" i="31"/>
  <c r="C89" i="22"/>
  <c r="C89" i="19"/>
  <c r="C89" i="36"/>
  <c r="C89" i="25"/>
  <c r="C89" i="18"/>
  <c r="C89" i="26"/>
  <c r="C89" i="29"/>
  <c r="C89" i="33"/>
  <c r="C89" i="20"/>
  <c r="C89" i="32"/>
  <c r="C89" i="37"/>
  <c r="C89" i="21"/>
  <c r="C89" i="34"/>
  <c r="C89" i="30"/>
  <c r="C89" i="28"/>
  <c r="A68" i="25"/>
  <c r="A68" i="21"/>
  <c r="A68" i="37"/>
  <c r="A68" i="23"/>
  <c r="A68" i="19"/>
  <c r="A68" i="31"/>
  <c r="A68" i="30"/>
  <c r="A68" i="22"/>
  <c r="A68" i="29"/>
  <c r="A68" i="32"/>
  <c r="A68" i="28"/>
  <c r="A68" i="17"/>
  <c r="A68" i="34"/>
  <c r="A68" i="33"/>
  <c r="A68" i="20"/>
  <c r="A68" i="24"/>
  <c r="A68" i="18"/>
  <c r="A68" i="26"/>
  <c r="A68" i="35"/>
  <c r="A68" i="36"/>
  <c r="A53" i="35"/>
  <c r="A53" i="34"/>
  <c r="A53" i="37"/>
  <c r="A53" i="31"/>
  <c r="A53" i="22"/>
  <c r="A53" i="36"/>
  <c r="A53" i="21"/>
  <c r="A53" i="33"/>
  <c r="A53" i="30"/>
  <c r="A53" i="29"/>
  <c r="A53" i="24"/>
  <c r="A53" i="20"/>
  <c r="A53" i="18"/>
  <c r="A53" i="28"/>
  <c r="A53" i="17"/>
  <c r="A53" i="32"/>
  <c r="A53" i="25"/>
  <c r="A53" i="23"/>
  <c r="A53" i="19"/>
  <c r="A53" i="26"/>
  <c r="A36" i="35"/>
  <c r="A36" i="30"/>
  <c r="A36" i="25"/>
  <c r="A36" i="36"/>
  <c r="A36" i="34"/>
  <c r="A36" i="20"/>
  <c r="A36" i="23"/>
  <c r="A36" i="19"/>
  <c r="A36" i="22"/>
  <c r="A36" i="32"/>
  <c r="A36" i="26"/>
  <c r="A36" i="29"/>
  <c r="A36" i="37"/>
  <c r="A36" i="17"/>
  <c r="A36" i="31"/>
  <c r="A36" i="21"/>
  <c r="A36" i="28"/>
  <c r="A36" i="24"/>
  <c r="A36" i="18"/>
  <c r="A36" i="33"/>
  <c r="A19" i="35"/>
  <c r="A19" i="18"/>
  <c r="A19" i="32"/>
  <c r="A19" i="24"/>
  <c r="A19" i="28"/>
  <c r="A19" i="21"/>
  <c r="A19" i="36"/>
  <c r="A19" i="26"/>
  <c r="A19" i="33"/>
  <c r="A19" i="31"/>
  <c r="A19" i="25"/>
  <c r="A19" i="22"/>
  <c r="A19" i="20"/>
  <c r="A19" i="17"/>
  <c r="A19" i="19"/>
  <c r="A19" i="23"/>
  <c r="A19" i="30"/>
  <c r="A19" i="34"/>
  <c r="A19" i="37"/>
  <c r="A19" i="29"/>
  <c r="A17" i="31"/>
  <c r="A17" i="25"/>
  <c r="A17" i="36"/>
  <c r="A17" i="28"/>
  <c r="A17" i="20"/>
  <c r="A17" i="33"/>
  <c r="A17" i="29"/>
  <c r="A17" i="30"/>
  <c r="A17" i="19"/>
  <c r="A17" i="17"/>
  <c r="A17" i="37"/>
  <c r="A17" i="18"/>
  <c r="A17" i="32"/>
  <c r="A17" i="23"/>
  <c r="A17" i="21"/>
  <c r="A17" i="26"/>
  <c r="A17" i="24"/>
  <c r="A17" i="35"/>
  <c r="A17" i="34"/>
  <c r="A17" i="22"/>
  <c r="E14" i="37"/>
  <c r="J14" i="37" s="1"/>
  <c r="I14" i="18"/>
  <c r="P14" i="18" s="1"/>
  <c r="Q14" i="18" s="1"/>
  <c r="I14" i="30"/>
  <c r="P14" i="30" s="1"/>
  <c r="Q14" i="30" s="1"/>
  <c r="I14" i="19"/>
  <c r="Q14" i="19" s="1"/>
  <c r="S14" i="19" s="1"/>
  <c r="K14" i="34"/>
  <c r="T14" i="34" s="1"/>
  <c r="U14" i="34" s="1"/>
  <c r="H14" i="20"/>
  <c r="P14" i="20" s="1"/>
  <c r="S14" i="20" s="1"/>
  <c r="J14" i="17"/>
  <c r="S14" i="17" s="1"/>
  <c r="U14" i="17" s="1"/>
  <c r="G14" i="36"/>
  <c r="N14" i="36" s="1"/>
  <c r="Q14" i="36" s="1"/>
  <c r="G14" i="24"/>
  <c r="O14" i="24" s="1"/>
  <c r="S14" i="24" s="1"/>
  <c r="J14" i="28"/>
  <c r="S14" i="28" s="1"/>
  <c r="U14" i="28" s="1"/>
  <c r="I14" i="29"/>
  <c r="Q14" i="29" s="1"/>
  <c r="S14" i="29" s="1"/>
  <c r="E14" i="26"/>
  <c r="J14" i="26" s="1"/>
  <c r="K14" i="23"/>
  <c r="T14" i="23" s="1"/>
  <c r="U14" i="23" s="1"/>
  <c r="G14" i="25"/>
  <c r="N14" i="25" s="1"/>
  <c r="Q14" i="25" s="1"/>
  <c r="G14" i="35"/>
  <c r="O14" i="35" s="1"/>
  <c r="S14" i="35" s="1"/>
  <c r="H14" i="31"/>
  <c r="P14" i="31" s="1"/>
  <c r="S14" i="31" s="1"/>
  <c r="A58" i="33"/>
  <c r="A58" i="28"/>
  <c r="A58" i="19"/>
  <c r="A58" i="35"/>
  <c r="A58" i="20"/>
  <c r="A58" i="36"/>
  <c r="A58" i="25"/>
  <c r="A58" i="22"/>
  <c r="A58" i="18"/>
  <c r="A58" i="34"/>
  <c r="A58" i="21"/>
  <c r="A58" i="32"/>
  <c r="A58" i="31"/>
  <c r="A58" i="29"/>
  <c r="A58" i="23"/>
  <c r="A58" i="30"/>
  <c r="A58" i="17"/>
  <c r="A58" i="37"/>
  <c r="A58" i="26"/>
  <c r="A58" i="24"/>
  <c r="A48" i="34"/>
  <c r="A48" i="24"/>
  <c r="A48" i="23"/>
  <c r="A48" i="35"/>
  <c r="A48" i="32"/>
  <c r="A48" i="30"/>
  <c r="A48" i="22"/>
  <c r="A48" i="20"/>
  <c r="A48" i="21"/>
  <c r="A48" i="28"/>
  <c r="A48" i="36"/>
  <c r="A48" i="25"/>
  <c r="A48" i="37"/>
  <c r="A48" i="33"/>
  <c r="A48" i="17"/>
  <c r="A48" i="31"/>
  <c r="A48" i="19"/>
  <c r="A48" i="18"/>
  <c r="A48" i="29"/>
  <c r="A48" i="26"/>
  <c r="A31" i="33"/>
  <c r="A31" i="18"/>
  <c r="A31" i="34"/>
  <c r="A31" i="17"/>
  <c r="A31" i="19"/>
  <c r="A31" i="36"/>
  <c r="A31" i="29"/>
  <c r="A31" i="31"/>
  <c r="A31" i="22"/>
  <c r="A31" i="24"/>
  <c r="A31" i="26"/>
  <c r="A31" i="23"/>
  <c r="A31" i="28"/>
  <c r="A31" i="25"/>
  <c r="A31" i="32"/>
  <c r="A31" i="21"/>
  <c r="A31" i="30"/>
  <c r="A31" i="37"/>
  <c r="A31" i="20"/>
  <c r="A31" i="35"/>
  <c r="A26" i="35"/>
  <c r="A26" i="31"/>
  <c r="A26" i="29"/>
  <c r="A26" i="19"/>
  <c r="A26" i="32"/>
  <c r="A26" i="37"/>
  <c r="A26" i="20"/>
  <c r="A26" i="25"/>
  <c r="A26" i="22"/>
  <c r="A26" i="36"/>
  <c r="A26" i="33"/>
  <c r="A26" i="18"/>
  <c r="A26" i="28"/>
  <c r="A26" i="30"/>
  <c r="A26" i="26"/>
  <c r="A26" i="23"/>
  <c r="A26" i="34"/>
  <c r="A26" i="24"/>
  <c r="A26" i="21"/>
  <c r="A26" i="17"/>
  <c r="A12" i="30"/>
  <c r="A12" i="20"/>
  <c r="A12" i="17"/>
  <c r="A12" i="24"/>
  <c r="A12" i="19"/>
  <c r="A12" i="36"/>
  <c r="A12" i="33"/>
  <c r="A12" i="25"/>
  <c r="A12" i="37"/>
  <c r="A12" i="31"/>
  <c r="A12" i="34"/>
  <c r="A12" i="26"/>
  <c r="A12" i="23"/>
  <c r="A12" i="21"/>
  <c r="A12" i="18"/>
  <c r="A12" i="35"/>
  <c r="A12" i="32"/>
  <c r="A12" i="29"/>
  <c r="A12" i="22"/>
  <c r="A12" i="28"/>
  <c r="A3" i="29"/>
  <c r="A3" i="18"/>
  <c r="A3" i="34"/>
  <c r="A3" i="30"/>
  <c r="A3" i="24"/>
  <c r="A3" i="20"/>
  <c r="A3" i="36"/>
  <c r="A3" i="33"/>
  <c r="A3" i="32"/>
  <c r="A3" i="25"/>
  <c r="A3" i="22"/>
  <c r="A3" i="17"/>
  <c r="A3" i="28"/>
  <c r="A3" i="21"/>
  <c r="A3" i="35"/>
  <c r="A3" i="19"/>
  <c r="A3" i="23"/>
  <c r="A3" i="31"/>
  <c r="A3" i="26"/>
  <c r="A3" i="37"/>
  <c r="H25" i="20"/>
  <c r="P25" i="20" s="1"/>
  <c r="S25" i="20" s="1"/>
  <c r="J25" i="17"/>
  <c r="S25" i="17" s="1"/>
  <c r="U25" i="17" s="1"/>
  <c r="K25" i="34"/>
  <c r="T25" i="34" s="1"/>
  <c r="U25" i="34" s="1"/>
  <c r="H25" i="31"/>
  <c r="P25" i="31" s="1"/>
  <c r="S25" i="31" s="1"/>
  <c r="I25" i="19"/>
  <c r="Q25" i="19" s="1"/>
  <c r="S25" i="19" s="1"/>
  <c r="E25" i="37"/>
  <c r="J25" i="37" s="1"/>
  <c r="E25" i="26"/>
  <c r="J25" i="26" s="1"/>
  <c r="G25" i="25"/>
  <c r="N25" i="25" s="1"/>
  <c r="Q25" i="25" s="1"/>
  <c r="I25" i="18"/>
  <c r="P25" i="18" s="1"/>
  <c r="Q25" i="18" s="1"/>
  <c r="G25" i="35"/>
  <c r="O25" i="35" s="1"/>
  <c r="S25" i="35" s="1"/>
  <c r="I25" i="29"/>
  <c r="Q25" i="29" s="1"/>
  <c r="S25" i="29" s="1"/>
  <c r="I25" i="30"/>
  <c r="P25" i="30" s="1"/>
  <c r="Q25" i="30" s="1"/>
  <c r="G25" i="36"/>
  <c r="N25" i="36" s="1"/>
  <c r="Q25" i="36" s="1"/>
  <c r="J25" i="28"/>
  <c r="S25" i="28" s="1"/>
  <c r="U25" i="28" s="1"/>
  <c r="K25" i="23"/>
  <c r="T25" i="23" s="1"/>
  <c r="U25" i="23" s="1"/>
  <c r="G25" i="24"/>
  <c r="O25" i="24" s="1"/>
  <c r="S25" i="24" s="1"/>
  <c r="EO13" i="39"/>
  <c r="J22" i="41" s="1"/>
  <c r="C74" i="33"/>
  <c r="C74" i="21"/>
  <c r="C74" i="30"/>
  <c r="C74" i="28"/>
  <c r="C74" i="25"/>
  <c r="C74" i="22"/>
  <c r="C74" i="17"/>
  <c r="C74" i="18"/>
  <c r="C74" i="31"/>
  <c r="C74" i="29"/>
  <c r="C74" i="34"/>
  <c r="C74" i="35"/>
  <c r="C74" i="36"/>
  <c r="C74" i="23"/>
  <c r="C74" i="37"/>
  <c r="C74" i="26"/>
  <c r="C74" i="20"/>
  <c r="C74" i="32"/>
  <c r="C74" i="24"/>
  <c r="C74" i="19"/>
  <c r="C72" i="33"/>
  <c r="C72" i="26"/>
  <c r="C72" i="17"/>
  <c r="C72" i="37"/>
  <c r="C72" i="35"/>
  <c r="C72" i="28"/>
  <c r="C72" i="36"/>
  <c r="C72" i="29"/>
  <c r="C72" i="20"/>
  <c r="C72" i="34"/>
  <c r="C72" i="32"/>
  <c r="C72" i="21"/>
  <c r="C72" i="24"/>
  <c r="C72" i="23"/>
  <c r="C72" i="22"/>
  <c r="C72" i="30"/>
  <c r="C72" i="19"/>
  <c r="C72" i="18"/>
  <c r="C72" i="25"/>
  <c r="C72" i="31"/>
  <c r="A61" i="37"/>
  <c r="A61" i="29"/>
  <c r="A61" i="17"/>
  <c r="A61" i="26"/>
  <c r="A61" i="25"/>
  <c r="A61" i="23"/>
  <c r="A61" i="28"/>
  <c r="A61" i="18"/>
  <c r="A61" i="32"/>
  <c r="A61" i="31"/>
  <c r="A61" i="21"/>
  <c r="A61" i="22"/>
  <c r="A61" i="34"/>
  <c r="A61" i="33"/>
  <c r="A61" i="30"/>
  <c r="A61" i="36"/>
  <c r="A61" i="35"/>
  <c r="A61" i="19"/>
  <c r="A61" i="24"/>
  <c r="A61" i="20"/>
  <c r="A43" i="28"/>
  <c r="A43" i="26"/>
  <c r="A43" i="22"/>
  <c r="A43" i="18"/>
  <c r="A43" i="17"/>
  <c r="A43" i="34"/>
  <c r="A43" i="20"/>
  <c r="A43" i="35"/>
  <c r="A43" i="23"/>
  <c r="A43" i="36"/>
  <c r="A43" i="21"/>
  <c r="A43" i="32"/>
  <c r="A43" i="31"/>
  <c r="A43" i="24"/>
  <c r="A43" i="29"/>
  <c r="A43" i="19"/>
  <c r="A43" i="37"/>
  <c r="A43" i="33"/>
  <c r="A43" i="30"/>
  <c r="A43" i="25"/>
  <c r="A21" i="28"/>
  <c r="A21" i="30"/>
  <c r="A21" i="22"/>
  <c r="A21" i="35"/>
  <c r="A21" i="37"/>
  <c r="A21" i="36"/>
  <c r="A21" i="24"/>
  <c r="A21" i="33"/>
  <c r="A21" i="32"/>
  <c r="A21" i="18"/>
  <c r="A21" i="34"/>
  <c r="A21" i="31"/>
  <c r="A21" i="17"/>
  <c r="A21" i="25"/>
  <c r="A21" i="20"/>
  <c r="A21" i="26"/>
  <c r="A21" i="23"/>
  <c r="A21" i="21"/>
  <c r="A21" i="19"/>
  <c r="A21" i="29"/>
  <c r="G24" i="36"/>
  <c r="N24" i="36" s="1"/>
  <c r="Q24" i="36" s="1"/>
  <c r="J24" i="28"/>
  <c r="S24" i="28" s="1"/>
  <c r="U24" i="28" s="1"/>
  <c r="E24" i="26"/>
  <c r="J24" i="26" s="1"/>
  <c r="K24" i="23"/>
  <c r="T24" i="23" s="1"/>
  <c r="U24" i="23" s="1"/>
  <c r="G24" i="24"/>
  <c r="O24" i="24" s="1"/>
  <c r="S24" i="24" s="1"/>
  <c r="E24" i="37"/>
  <c r="J24" i="37" s="1"/>
  <c r="H24" i="31"/>
  <c r="P24" i="31" s="1"/>
  <c r="S24" i="31" s="1"/>
  <c r="I24" i="19"/>
  <c r="Q24" i="19" s="1"/>
  <c r="S24" i="19" s="1"/>
  <c r="G24" i="25"/>
  <c r="N24" i="25" s="1"/>
  <c r="Q24" i="25" s="1"/>
  <c r="I24" i="18"/>
  <c r="P24" i="18" s="1"/>
  <c r="Q24" i="18" s="1"/>
  <c r="K24" i="34"/>
  <c r="T24" i="34" s="1"/>
  <c r="U24" i="34" s="1"/>
  <c r="G24" i="35"/>
  <c r="O24" i="35" s="1"/>
  <c r="S24" i="35" s="1"/>
  <c r="I24" i="30"/>
  <c r="P24" i="30" s="1"/>
  <c r="Q24" i="30" s="1"/>
  <c r="I24" i="29"/>
  <c r="Q24" i="29" s="1"/>
  <c r="S24" i="29" s="1"/>
  <c r="H24" i="20"/>
  <c r="P24" i="20" s="1"/>
  <c r="S24" i="20" s="1"/>
  <c r="J24" i="17"/>
  <c r="S24" i="17" s="1"/>
  <c r="U24" i="17" s="1"/>
  <c r="A55" i="34"/>
  <c r="A55" i="18"/>
  <c r="A55" i="29"/>
  <c r="A55" i="25"/>
  <c r="A55" i="19"/>
  <c r="A55" i="32"/>
  <c r="A55" i="35"/>
  <c r="A55" i="36"/>
  <c r="A55" i="33"/>
  <c r="A55" i="31"/>
  <c r="A55" i="26"/>
  <c r="A55" i="28"/>
  <c r="A55" i="37"/>
  <c r="A55" i="30"/>
  <c r="A55" i="22"/>
  <c r="A55" i="17"/>
  <c r="A55" i="24"/>
  <c r="A55" i="21"/>
  <c r="A55" i="23"/>
  <c r="A55" i="20"/>
  <c r="A38" i="34"/>
  <c r="A38" i="33"/>
  <c r="A38" i="37"/>
  <c r="A38" i="31"/>
  <c r="A38" i="26"/>
  <c r="A38" i="24"/>
  <c r="A38" i="35"/>
  <c r="A38" i="18"/>
  <c r="A38" i="29"/>
  <c r="A38" i="21"/>
  <c r="A38" i="23"/>
  <c r="A38" i="36"/>
  <c r="A38" i="30"/>
  <c r="A38" i="25"/>
  <c r="A38" i="19"/>
  <c r="A38" i="20"/>
  <c r="A38" i="28"/>
  <c r="A38" i="17"/>
  <c r="A38" i="32"/>
  <c r="A38" i="22"/>
  <c r="A11" i="31"/>
  <c r="A11" i="26"/>
  <c r="A11" i="22"/>
  <c r="A11" i="21"/>
  <c r="A11" i="18"/>
  <c r="A11" i="17"/>
  <c r="A11" i="32"/>
  <c r="A11" i="35"/>
  <c r="A11" i="23"/>
  <c r="A11" i="29"/>
  <c r="A11" i="30"/>
  <c r="A11" i="28"/>
  <c r="A11" i="34"/>
  <c r="A11" i="20"/>
  <c r="A11" i="24"/>
  <c r="A11" i="19"/>
  <c r="A11" i="33"/>
  <c r="A11" i="25"/>
  <c r="A11" i="37"/>
  <c r="A11" i="36"/>
  <c r="G23" i="35"/>
  <c r="O23" i="35" s="1"/>
  <c r="S23" i="35" s="1"/>
  <c r="K23" i="34"/>
  <c r="T23" i="34" s="1"/>
  <c r="U23" i="34" s="1"/>
  <c r="I23" i="30"/>
  <c r="P23" i="30" s="1"/>
  <c r="Q23" i="30" s="1"/>
  <c r="E23" i="26"/>
  <c r="J23" i="26" s="1"/>
  <c r="I23" i="29"/>
  <c r="Q23" i="29" s="1"/>
  <c r="S23" i="29" s="1"/>
  <c r="G23" i="36"/>
  <c r="N23" i="36" s="1"/>
  <c r="Q23" i="36" s="1"/>
  <c r="G23" i="24"/>
  <c r="O23" i="24" s="1"/>
  <c r="S23" i="24" s="1"/>
  <c r="J23" i="28"/>
  <c r="S23" i="28" s="1"/>
  <c r="U23" i="28" s="1"/>
  <c r="K23" i="23"/>
  <c r="T23" i="23" s="1"/>
  <c r="U23" i="23" s="1"/>
  <c r="E23" i="37"/>
  <c r="J23" i="37" s="1"/>
  <c r="H23" i="31"/>
  <c r="P23" i="31" s="1"/>
  <c r="S23" i="31" s="1"/>
  <c r="I23" i="18"/>
  <c r="P23" i="18" s="1"/>
  <c r="Q23" i="18" s="1"/>
  <c r="G23" i="25"/>
  <c r="N23" i="25" s="1"/>
  <c r="Q23" i="25" s="1"/>
  <c r="H23" i="20"/>
  <c r="P23" i="20" s="1"/>
  <c r="S23" i="20" s="1"/>
  <c r="I23" i="19"/>
  <c r="Q23" i="19" s="1"/>
  <c r="S23" i="19" s="1"/>
  <c r="J23" i="17"/>
  <c r="S23" i="17" s="1"/>
  <c r="U23" i="17" s="1"/>
  <c r="EA13" i="39"/>
  <c r="J20" i="41" s="1"/>
  <c r="A74" i="19"/>
  <c r="A74" i="33"/>
  <c r="A74" i="21"/>
  <c r="A74" i="30"/>
  <c r="A74" i="28"/>
  <c r="A74" i="25"/>
  <c r="A74" i="22"/>
  <c r="A74" i="18"/>
  <c r="A74" i="31"/>
  <c r="A74" i="29"/>
  <c r="A74" i="34"/>
  <c r="A74" i="35"/>
  <c r="A74" i="36"/>
  <c r="A74" i="23"/>
  <c r="A74" i="17"/>
  <c r="A74" i="37"/>
  <c r="A74" i="26"/>
  <c r="A74" i="20"/>
  <c r="A74" i="32"/>
  <c r="A74" i="24"/>
  <c r="A72" i="31"/>
  <c r="A72" i="33"/>
  <c r="A72" i="26"/>
  <c r="A72" i="37"/>
  <c r="A72" i="35"/>
  <c r="A72" i="28"/>
  <c r="A72" i="36"/>
  <c r="A72" i="29"/>
  <c r="A72" i="20"/>
  <c r="A72" i="34"/>
  <c r="A72" i="32"/>
  <c r="A72" i="21"/>
  <c r="A72" i="24"/>
  <c r="A72" i="23"/>
  <c r="A72" i="22"/>
  <c r="A72" i="30"/>
  <c r="A72" i="19"/>
  <c r="A72" i="18"/>
  <c r="A72" i="25"/>
  <c r="A72" i="17"/>
  <c r="A33" i="25"/>
  <c r="A33" i="26"/>
  <c r="A33" i="33"/>
  <c r="A33" i="32"/>
  <c r="A33" i="30"/>
  <c r="A33" i="35"/>
  <c r="A33" i="29"/>
  <c r="A33" i="20"/>
  <c r="A33" i="21"/>
  <c r="A33" i="37"/>
  <c r="A33" i="36"/>
  <c r="A33" i="19"/>
  <c r="A33" i="17"/>
  <c r="A33" i="28"/>
  <c r="A33" i="18"/>
  <c r="A33" i="23"/>
  <c r="A33" i="31"/>
  <c r="A33" i="24"/>
  <c r="A33" i="34"/>
  <c r="A33" i="22"/>
  <c r="A23" i="31"/>
  <c r="A23" i="18"/>
  <c r="A23" i="25"/>
  <c r="A23" i="20"/>
  <c r="A23" i="19"/>
  <c r="A23" i="35"/>
  <c r="A23" i="30"/>
  <c r="A23" i="26"/>
  <c r="A23" i="21"/>
  <c r="A23" i="34"/>
  <c r="A23" i="36"/>
  <c r="A23" i="33"/>
  <c r="A23" i="29"/>
  <c r="A23" i="22"/>
  <c r="A23" i="17"/>
  <c r="A23" i="24"/>
  <c r="A23" i="37"/>
  <c r="A23" i="32"/>
  <c r="A23" i="28"/>
  <c r="A23" i="23"/>
  <c r="A7" i="35"/>
  <c r="A7" i="18"/>
  <c r="A7" i="25"/>
  <c r="A7" i="19"/>
  <c r="A7" i="32"/>
  <c r="A7" i="31"/>
  <c r="A7" i="33"/>
  <c r="A7" i="29"/>
  <c r="A7" i="28"/>
  <c r="A7" i="34"/>
  <c r="A7" i="36"/>
  <c r="A7" i="30"/>
  <c r="A7" i="22"/>
  <c r="A7" i="17"/>
  <c r="A7" i="24"/>
  <c r="A7" i="21"/>
  <c r="A7" i="20"/>
  <c r="A7" i="37"/>
  <c r="A7" i="26"/>
  <c r="A7" i="23"/>
  <c r="A2" i="35"/>
  <c r="A2" i="19"/>
  <c r="A2" i="17"/>
  <c r="A2" i="28"/>
  <c r="A2" i="26"/>
  <c r="A2" i="23"/>
  <c r="A2" i="37"/>
  <c r="A2" i="31"/>
  <c r="A2" i="18"/>
  <c r="A2" i="30"/>
  <c r="A2" i="24"/>
  <c r="A2" i="20"/>
  <c r="A2" i="34"/>
  <c r="A2" i="32"/>
  <c r="A2" i="29"/>
  <c r="A2" i="25"/>
  <c r="A2" i="22"/>
  <c r="A2" i="36"/>
  <c r="A2" i="21"/>
  <c r="A2" i="33"/>
  <c r="E22" i="37"/>
  <c r="J22" i="37" s="1"/>
  <c r="I22" i="29"/>
  <c r="Q22" i="29" s="1"/>
  <c r="S22" i="29" s="1"/>
  <c r="E22" i="26"/>
  <c r="J22" i="26" s="1"/>
  <c r="K22" i="23"/>
  <c r="T22" i="23" s="1"/>
  <c r="U22" i="23" s="1"/>
  <c r="I22" i="18"/>
  <c r="P22" i="18" s="1"/>
  <c r="Q22" i="18" s="1"/>
  <c r="H22" i="31"/>
  <c r="P22" i="31" s="1"/>
  <c r="S22" i="31" s="1"/>
  <c r="J22" i="28"/>
  <c r="S22" i="28" s="1"/>
  <c r="U22" i="28" s="1"/>
  <c r="G22" i="25"/>
  <c r="N22" i="25" s="1"/>
  <c r="Q22" i="25" s="1"/>
  <c r="I22" i="19"/>
  <c r="Q22" i="19" s="1"/>
  <c r="S22" i="19" s="1"/>
  <c r="I22" i="30"/>
  <c r="P22" i="30" s="1"/>
  <c r="Q22" i="30" s="1"/>
  <c r="G22" i="35"/>
  <c r="O22" i="35" s="1"/>
  <c r="S22" i="35" s="1"/>
  <c r="K22" i="34"/>
  <c r="T22" i="34" s="1"/>
  <c r="U22" i="34" s="1"/>
  <c r="H22" i="20"/>
  <c r="P22" i="20" s="1"/>
  <c r="S22" i="20" s="1"/>
  <c r="J22" i="17"/>
  <c r="S22" i="17" s="1"/>
  <c r="U22" i="17" s="1"/>
  <c r="G22" i="36"/>
  <c r="N22" i="36" s="1"/>
  <c r="Q22" i="36" s="1"/>
  <c r="G22" i="24"/>
  <c r="O22" i="24" s="1"/>
  <c r="S22" i="24" s="1"/>
  <c r="BR33" i="14"/>
  <c r="GC98" i="2"/>
  <c r="BN33" i="14"/>
  <c r="GB98" i="2"/>
  <c r="BB33" i="14"/>
  <c r="AO33" i="14"/>
  <c r="FW98" i="2"/>
  <c r="K33" i="14"/>
  <c r="AK33" i="14"/>
  <c r="FV98" i="2"/>
  <c r="B55" i="35"/>
  <c r="B55" i="30"/>
  <c r="B55" i="29"/>
  <c r="B55" i="28"/>
  <c r="B55" i="34"/>
  <c r="B55" i="36"/>
  <c r="B55" i="37"/>
  <c r="B55" i="33"/>
  <c r="B55" i="32"/>
  <c r="B55" i="31"/>
  <c r="B55" i="26"/>
  <c r="B55" i="21"/>
  <c r="B55" i="22"/>
  <c r="B55" i="25"/>
  <c r="B55" i="23"/>
  <c r="B55" i="24"/>
  <c r="B55" i="19"/>
  <c r="B55" i="20"/>
  <c r="B55" i="18"/>
  <c r="B55" i="17"/>
  <c r="B60" i="33"/>
  <c r="B60" i="32"/>
  <c r="B60" i="30"/>
  <c r="B60" i="37"/>
  <c r="B60" i="36"/>
  <c r="B60" i="34"/>
  <c r="B60" i="29"/>
  <c r="B60" i="28"/>
  <c r="B60" i="35"/>
  <c r="B60" i="26"/>
  <c r="B60" i="31"/>
  <c r="B60" i="22"/>
  <c r="B60" i="20"/>
  <c r="B60" i="23"/>
  <c r="B60" i="25"/>
  <c r="B60" i="19"/>
  <c r="B60" i="21"/>
  <c r="B60" i="24"/>
  <c r="B60" i="18"/>
  <c r="B60" i="17"/>
  <c r="B52" i="36"/>
  <c r="B52" i="29"/>
  <c r="B52" i="33"/>
  <c r="B52" i="28"/>
  <c r="B52" i="30"/>
  <c r="B52" i="35"/>
  <c r="B52" i="34"/>
  <c r="B52" i="37"/>
  <c r="B52" i="32"/>
  <c r="B52" i="31"/>
  <c r="B52" i="22"/>
  <c r="B52" i="20"/>
  <c r="B52" i="23"/>
  <c r="B52" i="25"/>
  <c r="B52" i="26"/>
  <c r="B52" i="21"/>
  <c r="B52" i="24"/>
  <c r="B52" i="18"/>
  <c r="B52" i="19"/>
  <c r="B52" i="17"/>
  <c r="B35" i="30"/>
  <c r="B35" i="36"/>
  <c r="B35" i="37"/>
  <c r="B35" i="29"/>
  <c r="B35" i="28"/>
  <c r="B35" i="35"/>
  <c r="B35" i="32"/>
  <c r="B35" i="26"/>
  <c r="B35" i="34"/>
  <c r="B35" i="31"/>
  <c r="B35" i="33"/>
  <c r="B35" i="17"/>
  <c r="B35" i="22"/>
  <c r="B35" i="24"/>
  <c r="B35" i="21"/>
  <c r="B35" i="23"/>
  <c r="B35" i="18"/>
  <c r="B35" i="20"/>
  <c r="B35" i="25"/>
  <c r="B35" i="19"/>
  <c r="B14" i="35"/>
  <c r="B14" i="30"/>
  <c r="B14" i="28"/>
  <c r="B14" i="36"/>
  <c r="B14" i="33"/>
  <c r="B14" i="32"/>
  <c r="B14" i="29"/>
  <c r="B14" i="34"/>
  <c r="B14" i="37"/>
  <c r="B14" i="31"/>
  <c r="B14" i="21"/>
  <c r="B14" i="24"/>
  <c r="B14" i="23"/>
  <c r="B14" i="22"/>
  <c r="B14" i="26"/>
  <c r="B14" i="25"/>
  <c r="B14" i="20"/>
  <c r="B14" i="19"/>
  <c r="B14" i="17"/>
  <c r="B14" i="18"/>
  <c r="B65" i="30"/>
  <c r="B65" i="35"/>
  <c r="B65" i="34"/>
  <c r="B65" i="32"/>
  <c r="B65" i="28"/>
  <c r="B65" i="29"/>
  <c r="B65" i="37"/>
  <c r="B65" i="26"/>
  <c r="B65" i="33"/>
  <c r="B65" i="36"/>
  <c r="B65" i="31"/>
  <c r="B65" i="20"/>
  <c r="B65" i="24"/>
  <c r="B65" i="21"/>
  <c r="B65" i="25"/>
  <c r="B65" i="23"/>
  <c r="B65" i="22"/>
  <c r="B65" i="17"/>
  <c r="B65" i="18"/>
  <c r="B65" i="19"/>
  <c r="B57" i="35"/>
  <c r="B57" i="31"/>
  <c r="B57" i="37"/>
  <c r="B57" i="32"/>
  <c r="B57" i="34"/>
  <c r="B57" i="29"/>
  <c r="B57" i="28"/>
  <c r="B57" i="30"/>
  <c r="B57" i="26"/>
  <c r="B57" i="33"/>
  <c r="B57" i="36"/>
  <c r="B57" i="19"/>
  <c r="B57" i="24"/>
  <c r="B57" i="25"/>
  <c r="B57" i="21"/>
  <c r="B57" i="23"/>
  <c r="B57" i="22"/>
  <c r="B57" i="17"/>
  <c r="B57" i="18"/>
  <c r="B57" i="20"/>
  <c r="B45" i="37"/>
  <c r="B45" i="32"/>
  <c r="B45" i="34"/>
  <c r="B45" i="30"/>
  <c r="B45" i="36"/>
  <c r="B45" i="29"/>
  <c r="B45" i="28"/>
  <c r="B45" i="33"/>
  <c r="B45" i="31"/>
  <c r="B45" i="35"/>
  <c r="B45" i="26"/>
  <c r="B45" i="25"/>
  <c r="B45" i="24"/>
  <c r="B45" i="23"/>
  <c r="B45" i="21"/>
  <c r="B45" i="22"/>
  <c r="B45" i="20"/>
  <c r="B45" i="19"/>
  <c r="B45" i="18"/>
  <c r="B45" i="17"/>
  <c r="B30" i="30"/>
  <c r="B30" i="32"/>
  <c r="B30" i="33"/>
  <c r="B30" i="36"/>
  <c r="B30" i="29"/>
  <c r="B30" i="28"/>
  <c r="B30" i="31"/>
  <c r="B30" i="34"/>
  <c r="B30" i="35"/>
  <c r="B30" i="37"/>
  <c r="B30" i="26"/>
  <c r="B30" i="24"/>
  <c r="B30" i="23"/>
  <c r="B30" i="22"/>
  <c r="B30" i="25"/>
  <c r="B30" i="21"/>
  <c r="B30" i="19"/>
  <c r="B30" i="20"/>
  <c r="B30" i="18"/>
  <c r="B30" i="17"/>
  <c r="B25" i="35"/>
  <c r="B25" i="26"/>
  <c r="B25" i="37"/>
  <c r="B25" i="31"/>
  <c r="B25" i="28"/>
  <c r="B25" i="29"/>
  <c r="B25" i="36"/>
  <c r="B25" i="34"/>
  <c r="B25" i="32"/>
  <c r="B25" i="33"/>
  <c r="B25" i="30"/>
  <c r="B25" i="19"/>
  <c r="B25" i="24"/>
  <c r="B25" i="21"/>
  <c r="B25" i="20"/>
  <c r="B25" i="25"/>
  <c r="B25" i="23"/>
  <c r="B25" i="22"/>
  <c r="B25" i="18"/>
  <c r="B25" i="17"/>
  <c r="B16" i="31"/>
  <c r="B16" i="37"/>
  <c r="B16" i="29"/>
  <c r="B16" i="33"/>
  <c r="B16" i="36"/>
  <c r="B16" i="35"/>
  <c r="B16" i="34"/>
  <c r="B16" i="30"/>
  <c r="B16" i="32"/>
  <c r="B16" i="28"/>
  <c r="B16" i="25"/>
  <c r="B16" i="22"/>
  <c r="B16" i="20"/>
  <c r="B16" i="26"/>
  <c r="B16" i="23"/>
  <c r="B16" i="24"/>
  <c r="B16" i="21"/>
  <c r="B16" i="18"/>
  <c r="B16" i="17"/>
  <c r="B16" i="19"/>
  <c r="B10" i="37"/>
  <c r="B10" i="35"/>
  <c r="B10" i="34"/>
  <c r="B10" i="33"/>
  <c r="B10" i="36"/>
  <c r="B10" i="31"/>
  <c r="B10" i="28"/>
  <c r="B10" i="32"/>
  <c r="B10" i="30"/>
  <c r="B10" i="29"/>
  <c r="B10" i="17"/>
  <c r="B10" i="23"/>
  <c r="B10" i="25"/>
  <c r="B10" i="21"/>
  <c r="B10" i="22"/>
  <c r="B10" i="26"/>
  <c r="B10" i="24"/>
  <c r="B10" i="20"/>
  <c r="B10" i="19"/>
  <c r="B10" i="18"/>
  <c r="B42" i="34"/>
  <c r="B42" i="32"/>
  <c r="B42" i="29"/>
  <c r="B42" i="35"/>
  <c r="B42" i="33"/>
  <c r="B42" i="30"/>
  <c r="B42" i="28"/>
  <c r="B42" i="26"/>
  <c r="B42" i="36"/>
  <c r="B42" i="37"/>
  <c r="B42" i="31"/>
  <c r="B42" i="17"/>
  <c r="B42" i="23"/>
  <c r="B42" i="25"/>
  <c r="B42" i="20"/>
  <c r="B42" i="22"/>
  <c r="B42" i="21"/>
  <c r="B42" i="24"/>
  <c r="B42" i="19"/>
  <c r="B42" i="18"/>
  <c r="B20" i="36"/>
  <c r="B20" i="33"/>
  <c r="B20" i="35"/>
  <c r="B20" i="31"/>
  <c r="B20" i="32"/>
  <c r="B20" i="28"/>
  <c r="B20" i="29"/>
  <c r="B20" i="34"/>
  <c r="B20" i="37"/>
  <c r="B20" i="30"/>
  <c r="B20" i="22"/>
  <c r="B20" i="26"/>
  <c r="B20" i="23"/>
  <c r="B20" i="20"/>
  <c r="B20" i="21"/>
  <c r="B20" i="25"/>
  <c r="B20" i="24"/>
  <c r="B20" i="18"/>
  <c r="B20" i="19"/>
  <c r="B20" i="17"/>
  <c r="B18" i="29"/>
  <c r="B18" i="34"/>
  <c r="B18" i="32"/>
  <c r="B18" i="36"/>
  <c r="B18" i="33"/>
  <c r="B18" i="31"/>
  <c r="B18" i="35"/>
  <c r="B18" i="37"/>
  <c r="B18" i="30"/>
  <c r="B18" i="28"/>
  <c r="B18" i="17"/>
  <c r="B18" i="19"/>
  <c r="B18" i="18"/>
  <c r="B18" i="23"/>
  <c r="B18" i="25"/>
  <c r="B18" i="22"/>
  <c r="B18" i="26"/>
  <c r="B18" i="24"/>
  <c r="B18" i="21"/>
  <c r="B18" i="20"/>
  <c r="B6" i="28"/>
  <c r="B6" i="32"/>
  <c r="B6" i="31"/>
  <c r="B6" i="35"/>
  <c r="B6" i="33"/>
  <c r="B6" i="37"/>
  <c r="B6" i="36"/>
  <c r="B6" i="29"/>
  <c r="B6" i="30"/>
  <c r="B6" i="34"/>
  <c r="B6" i="24"/>
  <c r="B6" i="23"/>
  <c r="B6" i="21"/>
  <c r="B6" i="22"/>
  <c r="B6" i="25"/>
  <c r="B6" i="18"/>
  <c r="B6" i="26"/>
  <c r="B6" i="20"/>
  <c r="B6" i="17"/>
  <c r="B6" i="19"/>
  <c r="B97" i="29"/>
  <c r="B97" i="34"/>
  <c r="B97" i="31"/>
  <c r="B97" i="37"/>
  <c r="B97" i="28"/>
  <c r="B97" i="33"/>
  <c r="B97" i="26"/>
  <c r="B97" i="24"/>
  <c r="B97" i="20"/>
  <c r="B97" i="25"/>
  <c r="B97" i="23"/>
  <c r="B97" i="22"/>
  <c r="B97" i="21"/>
  <c r="B97" i="17"/>
  <c r="B97" i="18"/>
  <c r="B97" i="19"/>
  <c r="B76" i="37"/>
  <c r="B76" i="33"/>
  <c r="B76" i="35"/>
  <c r="B76" i="29"/>
  <c r="B76" i="34"/>
  <c r="B76" i="30"/>
  <c r="B76" i="32"/>
  <c r="B76" i="26"/>
  <c r="B76" i="31"/>
  <c r="B76" i="28"/>
  <c r="B76" i="36"/>
  <c r="B76" i="24"/>
  <c r="B76" i="22"/>
  <c r="B76" i="18"/>
  <c r="B76" i="23"/>
  <c r="B76" i="21"/>
  <c r="B76" i="25"/>
  <c r="B76" i="20"/>
  <c r="B76" i="19"/>
  <c r="B76" i="17"/>
  <c r="B88" i="36"/>
  <c r="B88" i="34"/>
  <c r="B88" i="29"/>
  <c r="B88" i="37"/>
  <c r="B88" i="33"/>
  <c r="B88" i="28"/>
  <c r="B88" i="35"/>
  <c r="B88" i="32"/>
  <c r="B88" i="30"/>
  <c r="B88" i="31"/>
  <c r="B88" i="22"/>
  <c r="B88" i="20"/>
  <c r="B88" i="25"/>
  <c r="B88" i="23"/>
  <c r="B88" i="21"/>
  <c r="B88" i="24"/>
  <c r="B88" i="26"/>
  <c r="B88" i="19"/>
  <c r="B88" i="17"/>
  <c r="B88" i="18"/>
  <c r="B85" i="30"/>
  <c r="B85" i="29"/>
  <c r="B85" i="34"/>
  <c r="B85" i="31"/>
  <c r="B85" i="28"/>
  <c r="B85" i="37"/>
  <c r="B85" i="26"/>
  <c r="B85" i="36"/>
  <c r="B85" i="32"/>
  <c r="B85" i="33"/>
  <c r="B85" i="35"/>
  <c r="B85" i="21"/>
  <c r="B85" i="20"/>
  <c r="B85" i="25"/>
  <c r="B85" i="24"/>
  <c r="B85" i="23"/>
  <c r="B85" i="22"/>
  <c r="B85" i="19"/>
  <c r="B85" i="17"/>
  <c r="B85" i="18"/>
  <c r="B79" i="37"/>
  <c r="B79" i="29"/>
  <c r="B79" i="36"/>
  <c r="B79" i="30"/>
  <c r="B79" i="34"/>
  <c r="B79" i="32"/>
  <c r="B79" i="31"/>
  <c r="B79" i="35"/>
  <c r="B79" i="33"/>
  <c r="B79" i="26"/>
  <c r="B79" i="28"/>
  <c r="B79" i="18"/>
  <c r="B79" i="22"/>
  <c r="B79" i="20"/>
  <c r="B79" i="25"/>
  <c r="B79" i="21"/>
  <c r="B79" i="23"/>
  <c r="B79" i="24"/>
  <c r="B79" i="19"/>
  <c r="B79" i="17"/>
  <c r="B69" i="29"/>
  <c r="B69" i="37"/>
  <c r="B69" i="35"/>
  <c r="B69" i="26"/>
  <c r="B69" i="31"/>
  <c r="B69" i="30"/>
  <c r="B69" i="34"/>
  <c r="B69" i="33"/>
  <c r="B69" i="36"/>
  <c r="B69" i="32"/>
  <c r="B69" i="28"/>
  <c r="B69" i="25"/>
  <c r="B69" i="18"/>
  <c r="B69" i="21"/>
  <c r="B69" i="20"/>
  <c r="B69" i="24"/>
  <c r="B69" i="23"/>
  <c r="B69" i="22"/>
  <c r="B69" i="19"/>
  <c r="B69" i="17"/>
  <c r="B47" i="29"/>
  <c r="B47" i="28"/>
  <c r="B47" i="37"/>
  <c r="B47" i="32"/>
  <c r="B47" i="30"/>
  <c r="B47" i="36"/>
  <c r="B47" i="35"/>
  <c r="B47" i="34"/>
  <c r="B47" i="33"/>
  <c r="B47" i="31"/>
  <c r="B47" i="20"/>
  <c r="B47" i="18"/>
  <c r="B47" i="26"/>
  <c r="B47" i="21"/>
  <c r="B47" i="22"/>
  <c r="B47" i="25"/>
  <c r="B47" i="23"/>
  <c r="B47" i="24"/>
  <c r="B47" i="19"/>
  <c r="B47" i="17"/>
  <c r="B37" i="36"/>
  <c r="B37" i="34"/>
  <c r="B37" i="28"/>
  <c r="B37" i="30"/>
  <c r="B37" i="29"/>
  <c r="B37" i="35"/>
  <c r="B37" i="37"/>
  <c r="B37" i="33"/>
  <c r="B37" i="32"/>
  <c r="B37" i="31"/>
  <c r="B37" i="20"/>
  <c r="B37" i="25"/>
  <c r="B37" i="18"/>
  <c r="B37" i="26"/>
  <c r="B37" i="24"/>
  <c r="B37" i="23"/>
  <c r="B37" i="22"/>
  <c r="B37" i="19"/>
  <c r="B37" i="21"/>
  <c r="B37" i="17"/>
  <c r="B95" i="37"/>
  <c r="B95" i="30"/>
  <c r="B95" i="29"/>
  <c r="B95" i="35"/>
  <c r="B95" i="31"/>
  <c r="B95" i="32"/>
  <c r="B95" i="26"/>
  <c r="B95" i="34"/>
  <c r="B95" i="28"/>
  <c r="B95" i="33"/>
  <c r="B95" i="36"/>
  <c r="B95" i="18"/>
  <c r="B95" i="20"/>
  <c r="B95" i="22"/>
  <c r="B95" i="21"/>
  <c r="B95" i="25"/>
  <c r="B95" i="23"/>
  <c r="B95" i="24"/>
  <c r="B95" i="17"/>
  <c r="B95" i="19"/>
  <c r="B91" i="34"/>
  <c r="B91" i="37"/>
  <c r="B91" i="29"/>
  <c r="B91" i="28"/>
  <c r="B91" i="30"/>
  <c r="B91" i="32"/>
  <c r="B91" i="26"/>
  <c r="B91" i="36"/>
  <c r="B91" i="33"/>
  <c r="B91" i="31"/>
  <c r="B91" i="35"/>
  <c r="B91" i="17"/>
  <c r="B91" i="22"/>
  <c r="B91" i="24"/>
  <c r="B91" i="21"/>
  <c r="B91" i="23"/>
  <c r="B91" i="20"/>
  <c r="B91" i="25"/>
  <c r="B91" i="18"/>
  <c r="B91" i="19"/>
  <c r="B94" i="34"/>
  <c r="B94" i="37"/>
  <c r="B94" i="36"/>
  <c r="B94" i="33"/>
  <c r="B94" i="30"/>
  <c r="B94" i="28"/>
  <c r="B94" i="32"/>
  <c r="B94" i="35"/>
  <c r="B94" i="31"/>
  <c r="B94" i="29"/>
  <c r="B94" i="26"/>
  <c r="B94" i="24"/>
  <c r="B94" i="23"/>
  <c r="B94" i="22"/>
  <c r="B94" i="21"/>
  <c r="B94" i="20"/>
  <c r="B94" i="25"/>
  <c r="B94" i="19"/>
  <c r="B94" i="17"/>
  <c r="B94" i="18"/>
  <c r="B67" i="34"/>
  <c r="B67" i="31"/>
  <c r="B67" i="29"/>
  <c r="B67" i="28"/>
  <c r="B67" i="35"/>
  <c r="B67" i="30"/>
  <c r="B67" i="33"/>
  <c r="B67" i="32"/>
  <c r="B67" i="36"/>
  <c r="B67" i="37"/>
  <c r="B67" i="17"/>
  <c r="B67" i="26"/>
  <c r="B67" i="20"/>
  <c r="B67" i="22"/>
  <c r="B67" i="24"/>
  <c r="B67" i="23"/>
  <c r="B67" i="18"/>
  <c r="B67" i="25"/>
  <c r="B67" i="21"/>
  <c r="B67" i="19"/>
  <c r="B82" i="37"/>
  <c r="B82" i="33"/>
  <c r="B82" i="30"/>
  <c r="B82" i="35"/>
  <c r="B82" i="31"/>
  <c r="B82" i="32"/>
  <c r="B82" i="29"/>
  <c r="B82" i="34"/>
  <c r="B82" i="36"/>
  <c r="B82" i="28"/>
  <c r="B82" i="26"/>
  <c r="B82" i="19"/>
  <c r="B82" i="18"/>
  <c r="B82" i="23"/>
  <c r="B82" i="20"/>
  <c r="B82" i="25"/>
  <c r="B82" i="22"/>
  <c r="B82" i="24"/>
  <c r="B82" i="21"/>
  <c r="B82" i="17"/>
  <c r="B71" i="36"/>
  <c r="B71" i="32"/>
  <c r="B71" i="35"/>
  <c r="B71" i="34"/>
  <c r="B71" i="30"/>
  <c r="B71" i="37"/>
  <c r="B71" i="31"/>
  <c r="B71" i="33"/>
  <c r="B71" i="28"/>
  <c r="B71" i="29"/>
  <c r="B71" i="22"/>
  <c r="B71" i="26"/>
  <c r="B71" i="25"/>
  <c r="B71" i="23"/>
  <c r="B71" i="20"/>
  <c r="B71" i="24"/>
  <c r="B71" i="21"/>
  <c r="B71" i="19"/>
  <c r="B71" i="18"/>
  <c r="B71" i="17"/>
  <c r="B62" i="33"/>
  <c r="B62" i="34"/>
  <c r="B62" i="31"/>
  <c r="B62" i="28"/>
  <c r="B62" i="29"/>
  <c r="B62" i="36"/>
  <c r="B62" i="30"/>
  <c r="B62" i="32"/>
  <c r="B62" i="37"/>
  <c r="B62" i="35"/>
  <c r="B62" i="24"/>
  <c r="B62" i="23"/>
  <c r="B62" i="21"/>
  <c r="B62" i="26"/>
  <c r="B62" i="22"/>
  <c r="B62" i="25"/>
  <c r="B62" i="19"/>
  <c r="B62" i="18"/>
  <c r="B62" i="20"/>
  <c r="B62" i="17"/>
  <c r="B13" i="29"/>
  <c r="B13" i="37"/>
  <c r="B13" i="31"/>
  <c r="B13" i="34"/>
  <c r="B13" i="30"/>
  <c r="B13" i="32"/>
  <c r="B13" i="36"/>
  <c r="B13" i="35"/>
  <c r="B13" i="28"/>
  <c r="B13" i="33"/>
  <c r="B13" i="25"/>
  <c r="B13" i="20"/>
  <c r="B13" i="21"/>
  <c r="B13" i="24"/>
  <c r="B13" i="23"/>
  <c r="B13" i="22"/>
  <c r="B13" i="26"/>
  <c r="B13" i="19"/>
  <c r="B13" i="17"/>
  <c r="B13" i="18"/>
  <c r="B9" i="36"/>
  <c r="B9" i="32"/>
  <c r="B9" i="30"/>
  <c r="B9" i="28"/>
  <c r="B9" i="37"/>
  <c r="B9" i="29"/>
  <c r="B9" i="35"/>
  <c r="B9" i="33"/>
  <c r="B9" i="34"/>
  <c r="B9" i="31"/>
  <c r="B9" i="26"/>
  <c r="B9" i="19"/>
  <c r="B9" i="24"/>
  <c r="B9" i="20"/>
  <c r="B9" i="21"/>
  <c r="B9" i="25"/>
  <c r="B9" i="23"/>
  <c r="B9" i="22"/>
  <c r="B9" i="18"/>
  <c r="B9" i="17"/>
  <c r="BO5" i="40"/>
  <c r="BO18" i="40" s="1"/>
  <c r="C68" i="73" s="1"/>
  <c r="BO6" i="40"/>
  <c r="BO7" i="40"/>
  <c r="BO8" i="40"/>
  <c r="BO9" i="40"/>
  <c r="BO10" i="40"/>
  <c r="BO23" i="40" s="1"/>
  <c r="H68" i="73" s="1"/>
  <c r="BO11" i="40"/>
  <c r="BO12" i="40"/>
  <c r="AI5" i="40"/>
  <c r="AI18" i="40" s="1"/>
  <c r="C60" i="73" s="1"/>
  <c r="AI6" i="40"/>
  <c r="AI7" i="40"/>
  <c r="AI8" i="40"/>
  <c r="AI9" i="40"/>
  <c r="AI10" i="40"/>
  <c r="AI23" i="40" s="1"/>
  <c r="H60" i="73" s="1"/>
  <c r="AI11" i="40"/>
  <c r="AI12" i="40"/>
  <c r="B49" i="29"/>
  <c r="B49" i="28"/>
  <c r="B49" i="31"/>
  <c r="B49" i="34"/>
  <c r="B49" i="30"/>
  <c r="B49" i="36"/>
  <c r="B49" i="37"/>
  <c r="B49" i="32"/>
  <c r="B49" i="33"/>
  <c r="B49" i="35"/>
  <c r="B49" i="24"/>
  <c r="B49" i="26"/>
  <c r="B49" i="25"/>
  <c r="B49" i="21"/>
  <c r="B49" i="23"/>
  <c r="B49" i="22"/>
  <c r="B49" i="17"/>
  <c r="B49" i="19"/>
  <c r="B49" i="20"/>
  <c r="B49" i="18"/>
  <c r="B39" i="34"/>
  <c r="B39" i="31"/>
  <c r="B39" i="28"/>
  <c r="B39" i="32"/>
  <c r="B39" i="36"/>
  <c r="B39" i="30"/>
  <c r="B39" i="35"/>
  <c r="B39" i="33"/>
  <c r="B39" i="29"/>
  <c r="B39" i="37"/>
  <c r="B39" i="26"/>
  <c r="B39" i="22"/>
  <c r="B39" i="20"/>
  <c r="B39" i="25"/>
  <c r="B39" i="21"/>
  <c r="B39" i="23"/>
  <c r="B39" i="24"/>
  <c r="B39" i="19"/>
  <c r="B39" i="18"/>
  <c r="B39" i="17"/>
  <c r="B32" i="37"/>
  <c r="B32" i="33"/>
  <c r="B32" i="30"/>
  <c r="B32" i="29"/>
  <c r="B32" i="28"/>
  <c r="B32" i="26"/>
  <c r="B32" i="32"/>
  <c r="B32" i="36"/>
  <c r="B32" i="34"/>
  <c r="B32" i="31"/>
  <c r="B32" i="35"/>
  <c r="B32" i="25"/>
  <c r="B32" i="22"/>
  <c r="B32" i="20"/>
  <c r="B32" i="23"/>
  <c r="B32" i="21"/>
  <c r="B32" i="24"/>
  <c r="B32" i="18"/>
  <c r="B32" i="17"/>
  <c r="B32" i="19"/>
  <c r="B27" i="35"/>
  <c r="B27" i="32"/>
  <c r="B27" i="30"/>
  <c r="B27" i="29"/>
  <c r="B27" i="28"/>
  <c r="B27" i="34"/>
  <c r="B27" i="31"/>
  <c r="B27" i="37"/>
  <c r="B27" i="36"/>
  <c r="B27" i="33"/>
  <c r="B27" i="26"/>
  <c r="B27" i="17"/>
  <c r="B27" i="19"/>
  <c r="B27" i="22"/>
  <c r="B27" i="24"/>
  <c r="B27" i="20"/>
  <c r="B27" i="21"/>
  <c r="B27" i="23"/>
  <c r="B27" i="25"/>
  <c r="B27" i="18"/>
  <c r="B59" i="35"/>
  <c r="B59" i="34"/>
  <c r="B59" i="28"/>
  <c r="B59" i="26"/>
  <c r="B59" i="31"/>
  <c r="B59" i="32"/>
  <c r="B59" i="30"/>
  <c r="B59" i="37"/>
  <c r="B59" i="33"/>
  <c r="B59" i="36"/>
  <c r="B59" i="29"/>
  <c r="B59" i="21"/>
  <c r="B59" i="19"/>
  <c r="B59" i="17"/>
  <c r="B59" i="22"/>
  <c r="B59" i="24"/>
  <c r="B59" i="20"/>
  <c r="B59" i="23"/>
  <c r="B59" i="25"/>
  <c r="B59" i="18"/>
  <c r="B44" i="29"/>
  <c r="B44" i="28"/>
  <c r="B44" i="31"/>
  <c r="B44" i="35"/>
  <c r="B44" i="37"/>
  <c r="B44" i="33"/>
  <c r="B44" i="32"/>
  <c r="B44" i="30"/>
  <c r="B44" i="34"/>
  <c r="B44" i="36"/>
  <c r="B44" i="22"/>
  <c r="B44" i="21"/>
  <c r="B44" i="23"/>
  <c r="B44" i="20"/>
  <c r="B44" i="25"/>
  <c r="B44" i="19"/>
  <c r="B44" i="26"/>
  <c r="B44" i="24"/>
  <c r="B44" i="18"/>
  <c r="B44" i="17"/>
  <c r="B22" i="30"/>
  <c r="B22" i="37"/>
  <c r="B22" i="36"/>
  <c r="B22" i="28"/>
  <c r="B22" i="33"/>
  <c r="B22" i="29"/>
  <c r="B22" i="35"/>
  <c r="B22" i="34"/>
  <c r="B22" i="31"/>
  <c r="B22" i="32"/>
  <c r="B22" i="24"/>
  <c r="B22" i="23"/>
  <c r="B22" i="26"/>
  <c r="B22" i="22"/>
  <c r="B22" i="25"/>
  <c r="B22" i="18"/>
  <c r="B22" i="21"/>
  <c r="B22" i="17"/>
  <c r="B22" i="19"/>
  <c r="B22" i="20"/>
  <c r="B5" i="29"/>
  <c r="B5" i="34"/>
  <c r="B5" i="32"/>
  <c r="B5" i="31"/>
  <c r="B5" i="28"/>
  <c r="B5" i="37"/>
  <c r="B5" i="35"/>
  <c r="B5" i="33"/>
  <c r="B5" i="36"/>
  <c r="B5" i="30"/>
  <c r="B5" i="25"/>
  <c r="B5" i="18"/>
  <c r="B5" i="26"/>
  <c r="B5" i="24"/>
  <c r="B5" i="21"/>
  <c r="B5" i="20"/>
  <c r="B5" i="23"/>
  <c r="B5" i="22"/>
  <c r="B5" i="19"/>
  <c r="B5" i="17"/>
  <c r="B54" i="28"/>
  <c r="B54" i="37"/>
  <c r="B54" i="32"/>
  <c r="B54" i="34"/>
  <c r="B54" i="36"/>
  <c r="B54" i="31"/>
  <c r="B54" i="33"/>
  <c r="B54" i="30"/>
  <c r="B54" i="35"/>
  <c r="B54" i="29"/>
  <c r="B54" i="24"/>
  <c r="B54" i="23"/>
  <c r="B54" i="20"/>
  <c r="B54" i="26"/>
  <c r="B54" i="21"/>
  <c r="B54" i="22"/>
  <c r="B54" i="25"/>
  <c r="B54" i="18"/>
  <c r="B54" i="17"/>
  <c r="B54" i="19"/>
  <c r="B90" i="29"/>
  <c r="B90" i="28"/>
  <c r="B90" i="36"/>
  <c r="B90" i="31"/>
  <c r="B90" i="33"/>
  <c r="B90" i="35"/>
  <c r="B90" i="37"/>
  <c r="B90" i="34"/>
  <c r="B90" i="32"/>
  <c r="B90" i="30"/>
  <c r="B90" i="26"/>
  <c r="B90" i="17"/>
  <c r="B90" i="23"/>
  <c r="B90" i="20"/>
  <c r="B90" i="25"/>
  <c r="B90" i="22"/>
  <c r="B90" i="24"/>
  <c r="B90" i="21"/>
  <c r="B90" i="18"/>
  <c r="B90" i="19"/>
  <c r="B73" i="36"/>
  <c r="B73" i="34"/>
  <c r="B73" i="26"/>
  <c r="B73" i="35"/>
  <c r="B73" i="28"/>
  <c r="B73" i="32"/>
  <c r="B73" i="30"/>
  <c r="B73" i="33"/>
  <c r="B73" i="31"/>
  <c r="B73" i="37"/>
  <c r="B73" i="29"/>
  <c r="B73" i="19"/>
  <c r="B73" i="24"/>
  <c r="B73" i="21"/>
  <c r="B73" i="25"/>
  <c r="B73" i="23"/>
  <c r="B73" i="22"/>
  <c r="B73" i="17"/>
  <c r="B73" i="18"/>
  <c r="B73" i="20"/>
  <c r="B93" i="35"/>
  <c r="B93" i="28"/>
  <c r="B93" i="26"/>
  <c r="B93" i="29"/>
  <c r="B93" i="37"/>
  <c r="B93" i="30"/>
  <c r="B93" i="36"/>
  <c r="B93" i="34"/>
  <c r="B93" i="33"/>
  <c r="B93" i="32"/>
  <c r="B93" i="31"/>
  <c r="B93" i="20"/>
  <c r="B93" i="25"/>
  <c r="B93" i="24"/>
  <c r="B93" i="18"/>
  <c r="B93" i="23"/>
  <c r="B93" i="22"/>
  <c r="B93" i="21"/>
  <c r="B93" i="17"/>
  <c r="B93" i="19"/>
  <c r="B87" i="30"/>
  <c r="B87" i="31"/>
  <c r="B87" i="36"/>
  <c r="B87" i="37"/>
  <c r="B87" i="34"/>
  <c r="B87" i="29"/>
  <c r="B87" i="26"/>
  <c r="B87" i="35"/>
  <c r="B87" i="33"/>
  <c r="B87" i="32"/>
  <c r="B87" i="28"/>
  <c r="B87" i="22"/>
  <c r="B87" i="25"/>
  <c r="B87" i="20"/>
  <c r="B87" i="21"/>
  <c r="B87" i="23"/>
  <c r="B87" i="24"/>
  <c r="B87" i="19"/>
  <c r="B87" i="18"/>
  <c r="B87" i="17"/>
  <c r="B56" i="36"/>
  <c r="B56" i="33"/>
  <c r="B56" i="37"/>
  <c r="B56" i="32"/>
  <c r="B56" i="31"/>
  <c r="B56" i="35"/>
  <c r="B56" i="30"/>
  <c r="B56" i="29"/>
  <c r="B56" i="26"/>
  <c r="B56" i="28"/>
  <c r="B56" i="34"/>
  <c r="B56" i="25"/>
  <c r="B56" i="22"/>
  <c r="B56" i="23"/>
  <c r="B56" i="24"/>
  <c r="B56" i="20"/>
  <c r="B56" i="17"/>
  <c r="B56" i="21"/>
  <c r="B56" i="19"/>
  <c r="B56" i="18"/>
  <c r="B51" i="37"/>
  <c r="B51" i="32"/>
  <c r="B51" i="34"/>
  <c r="B51" i="31"/>
  <c r="B51" i="36"/>
  <c r="B51" i="33"/>
  <c r="B51" i="30"/>
  <c r="B51" i="29"/>
  <c r="B51" i="28"/>
  <c r="B51" i="35"/>
  <c r="B51" i="26"/>
  <c r="B51" i="17"/>
  <c r="B51" i="21"/>
  <c r="B51" i="22"/>
  <c r="B51" i="24"/>
  <c r="B51" i="20"/>
  <c r="B51" i="23"/>
  <c r="B51" i="18"/>
  <c r="B51" i="25"/>
  <c r="B51" i="19"/>
  <c r="B84" i="33"/>
  <c r="B84" i="35"/>
  <c r="B84" i="30"/>
  <c r="B84" i="31"/>
  <c r="B84" i="29"/>
  <c r="B84" i="26"/>
  <c r="B84" i="37"/>
  <c r="B84" i="34"/>
  <c r="B84" i="28"/>
  <c r="B84" i="36"/>
  <c r="B84" i="32"/>
  <c r="B84" i="24"/>
  <c r="B84" i="22"/>
  <c r="B84" i="23"/>
  <c r="B84" i="21"/>
  <c r="B84" i="20"/>
  <c r="B84" i="25"/>
  <c r="B84" i="19"/>
  <c r="B84" i="17"/>
  <c r="B84" i="18"/>
  <c r="B78" i="29"/>
  <c r="B78" i="26"/>
  <c r="B78" i="33"/>
  <c r="B78" i="35"/>
  <c r="B78" i="34"/>
  <c r="B78" i="37"/>
  <c r="B78" i="28"/>
  <c r="B78" i="30"/>
  <c r="B78" i="36"/>
  <c r="B78" i="32"/>
  <c r="B78" i="31"/>
  <c r="B78" i="24"/>
  <c r="B78" i="23"/>
  <c r="B78" i="22"/>
  <c r="B78" i="25"/>
  <c r="B78" i="21"/>
  <c r="B78" i="20"/>
  <c r="B78" i="19"/>
  <c r="B78" i="17"/>
  <c r="B78" i="18"/>
  <c r="B75" i="30"/>
  <c r="B75" i="31"/>
  <c r="B75" i="34"/>
  <c r="B75" i="36"/>
  <c r="B75" i="37"/>
  <c r="B75" i="28"/>
  <c r="B75" i="35"/>
  <c r="B75" i="33"/>
  <c r="B75" i="29"/>
  <c r="B75" i="32"/>
  <c r="B75" i="17"/>
  <c r="B75" i="22"/>
  <c r="B75" i="20"/>
  <c r="B75" i="24"/>
  <c r="B75" i="26"/>
  <c r="B75" i="23"/>
  <c r="B75" i="21"/>
  <c r="B75" i="25"/>
  <c r="B75" i="18"/>
  <c r="B75" i="19"/>
  <c r="B64" i="34"/>
  <c r="B64" i="33"/>
  <c r="B64" i="36"/>
  <c r="B64" i="31"/>
  <c r="B64" i="30"/>
  <c r="B64" i="32"/>
  <c r="B64" i="35"/>
  <c r="B64" i="37"/>
  <c r="B64" i="29"/>
  <c r="B64" i="28"/>
  <c r="B64" i="26"/>
  <c r="B64" i="25"/>
  <c r="B64" i="22"/>
  <c r="B64" i="23"/>
  <c r="B64" i="20"/>
  <c r="B64" i="24"/>
  <c r="B64" i="21"/>
  <c r="B64" i="18"/>
  <c r="B64" i="19"/>
  <c r="B64" i="17"/>
  <c r="B41" i="37"/>
  <c r="B41" i="36"/>
  <c r="B41" i="31"/>
  <c r="B41" i="32"/>
  <c r="B41" i="35"/>
  <c r="B41" i="30"/>
  <c r="B41" i="34"/>
  <c r="B41" i="33"/>
  <c r="B41" i="29"/>
  <c r="B41" i="28"/>
  <c r="B41" i="19"/>
  <c r="B41" i="24"/>
  <c r="B41" i="26"/>
  <c r="B41" i="25"/>
  <c r="B41" i="20"/>
  <c r="B41" i="23"/>
  <c r="B41" i="22"/>
  <c r="B41" i="17"/>
  <c r="B41" i="21"/>
  <c r="B41" i="18"/>
  <c r="B34" i="29"/>
  <c r="B34" i="28"/>
  <c r="B34" i="34"/>
  <c r="B34" i="33"/>
  <c r="B34" i="30"/>
  <c r="B34" i="37"/>
  <c r="B34" i="36"/>
  <c r="B34" i="32"/>
  <c r="B34" i="26"/>
  <c r="B34" i="35"/>
  <c r="B34" i="31"/>
  <c r="B34" i="19"/>
  <c r="B34" i="18"/>
  <c r="B34" i="23"/>
  <c r="B34" i="25"/>
  <c r="B34" i="20"/>
  <c r="B34" i="22"/>
  <c r="B34" i="24"/>
  <c r="B34" i="21"/>
  <c r="B34" i="17"/>
  <c r="B29" i="37"/>
  <c r="B29" i="35"/>
  <c r="B29" i="29"/>
  <c r="B29" i="28"/>
  <c r="B29" i="34"/>
  <c r="B29" i="32"/>
  <c r="B29" i="30"/>
  <c r="B29" i="33"/>
  <c r="B29" i="36"/>
  <c r="B29" i="31"/>
  <c r="B29" i="21"/>
  <c r="B29" i="25"/>
  <c r="B29" i="26"/>
  <c r="B29" i="20"/>
  <c r="B29" i="24"/>
  <c r="B29" i="23"/>
  <c r="B29" i="22"/>
  <c r="B29" i="18"/>
  <c r="B29" i="19"/>
  <c r="B29" i="17"/>
  <c r="B24" i="32"/>
  <c r="B24" i="29"/>
  <c r="B24" i="28"/>
  <c r="B24" i="30"/>
  <c r="B24" i="36"/>
  <c r="B24" i="34"/>
  <c r="B24" i="33"/>
  <c r="B24" i="35"/>
  <c r="B24" i="37"/>
  <c r="B24" i="31"/>
  <c r="B24" i="25"/>
  <c r="B24" i="22"/>
  <c r="B24" i="23"/>
  <c r="B24" i="24"/>
  <c r="B24" i="21"/>
  <c r="B24" i="20"/>
  <c r="B24" i="17"/>
  <c r="B24" i="26"/>
  <c r="B24" i="19"/>
  <c r="B24" i="18"/>
  <c r="B4" i="37"/>
  <c r="B4" i="31"/>
  <c r="B4" i="35"/>
  <c r="B4" i="28"/>
  <c r="B4" i="33"/>
  <c r="B4" i="36"/>
  <c r="B4" i="30"/>
  <c r="B4" i="29"/>
  <c r="B4" i="32"/>
  <c r="B4" i="34"/>
  <c r="B4" i="22"/>
  <c r="B4" i="20"/>
  <c r="B4" i="23"/>
  <c r="B4" i="26"/>
  <c r="B4" i="25"/>
  <c r="B4" i="21"/>
  <c r="B4" i="24"/>
  <c r="B4" i="17"/>
  <c r="B4" i="18"/>
  <c r="B4" i="19"/>
  <c r="B66" i="33"/>
  <c r="B66" i="37"/>
  <c r="B66" i="36"/>
  <c r="B66" i="31"/>
  <c r="B66" i="30"/>
  <c r="B66" i="34"/>
  <c r="B66" i="29"/>
  <c r="B66" i="28"/>
  <c r="B66" i="35"/>
  <c r="B66" i="32"/>
  <c r="B66" i="17"/>
  <c r="B66" i="19"/>
  <c r="B66" i="18"/>
  <c r="B66" i="21"/>
  <c r="B66" i="23"/>
  <c r="B66" i="25"/>
  <c r="B66" i="26"/>
  <c r="B66" i="22"/>
  <c r="B66" i="20"/>
  <c r="B66" i="24"/>
  <c r="B46" i="33"/>
  <c r="B46" i="35"/>
  <c r="B46" i="31"/>
  <c r="B46" i="26"/>
  <c r="B46" i="34"/>
  <c r="B46" i="37"/>
  <c r="B46" i="32"/>
  <c r="B46" i="29"/>
  <c r="B46" i="30"/>
  <c r="B46" i="28"/>
  <c r="B46" i="36"/>
  <c r="B46" i="24"/>
  <c r="B46" i="23"/>
  <c r="B46" i="21"/>
  <c r="B46" i="20"/>
  <c r="B46" i="22"/>
  <c r="B46" i="25"/>
  <c r="B46" i="19"/>
  <c r="B46" i="17"/>
  <c r="B46" i="18"/>
  <c r="B15" i="34"/>
  <c r="B15" i="32"/>
  <c r="B15" i="31"/>
  <c r="B15" i="37"/>
  <c r="B15" i="28"/>
  <c r="B15" i="35"/>
  <c r="B15" i="33"/>
  <c r="B15" i="29"/>
  <c r="B15" i="36"/>
  <c r="B15" i="30"/>
  <c r="B15" i="18"/>
  <c r="B15" i="22"/>
  <c r="B15" i="26"/>
  <c r="B15" i="25"/>
  <c r="B15" i="20"/>
  <c r="B15" i="23"/>
  <c r="B15" i="24"/>
  <c r="B15" i="21"/>
  <c r="B15" i="19"/>
  <c r="B15" i="17"/>
  <c r="B8" i="29"/>
  <c r="B8" i="35"/>
  <c r="B8" i="33"/>
  <c r="B8" i="31"/>
  <c r="B8" i="32"/>
  <c r="B8" i="36"/>
  <c r="B8" i="34"/>
  <c r="B8" i="30"/>
  <c r="B8" i="37"/>
  <c r="B8" i="28"/>
  <c r="B8" i="25"/>
  <c r="B8" i="22"/>
  <c r="B8" i="23"/>
  <c r="B8" i="26"/>
  <c r="B8" i="24"/>
  <c r="B8" i="17"/>
  <c r="B8" i="21"/>
  <c r="B8" i="19"/>
  <c r="B8" i="18"/>
  <c r="B8" i="20"/>
  <c r="B81" i="34"/>
  <c r="B81" i="29"/>
  <c r="B81" i="36"/>
  <c r="B81" i="37"/>
  <c r="B81" i="28"/>
  <c r="B81" i="30"/>
  <c r="B81" i="33"/>
  <c r="B81" i="31"/>
  <c r="B81" i="35"/>
  <c r="B81" i="32"/>
  <c r="B81" i="21"/>
  <c r="B81" i="24"/>
  <c r="B81" i="26"/>
  <c r="B81" i="20"/>
  <c r="B81" i="25"/>
  <c r="B81" i="23"/>
  <c r="B81" i="22"/>
  <c r="B81" i="17"/>
  <c r="B81" i="19"/>
  <c r="B81" i="18"/>
  <c r="B68" i="33"/>
  <c r="B68" i="32"/>
  <c r="B68" i="36"/>
  <c r="B68" i="34"/>
  <c r="B68" i="37"/>
  <c r="B68" i="28"/>
  <c r="B68" i="26"/>
  <c r="B68" i="29"/>
  <c r="B68" i="35"/>
  <c r="B68" i="31"/>
  <c r="B68" i="30"/>
  <c r="B68" i="22"/>
  <c r="B68" i="23"/>
  <c r="B68" i="25"/>
  <c r="B68" i="21"/>
  <c r="B68" i="20"/>
  <c r="B68" i="24"/>
  <c r="B68" i="17"/>
  <c r="B68" i="18"/>
  <c r="B68" i="19"/>
  <c r="B53" i="37"/>
  <c r="B53" i="32"/>
  <c r="B53" i="31"/>
  <c r="B53" i="28"/>
  <c r="B53" i="36"/>
  <c r="B53" i="29"/>
  <c r="B53" i="34"/>
  <c r="B53" i="33"/>
  <c r="B53" i="26"/>
  <c r="B53" i="30"/>
  <c r="B53" i="35"/>
  <c r="B53" i="25"/>
  <c r="B53" i="18"/>
  <c r="B53" i="24"/>
  <c r="B53" i="21"/>
  <c r="B53" i="20"/>
  <c r="B53" i="23"/>
  <c r="B53" i="22"/>
  <c r="B53" i="19"/>
  <c r="B53" i="17"/>
  <c r="B36" i="32"/>
  <c r="B36" i="31"/>
  <c r="B36" i="33"/>
  <c r="B36" i="36"/>
  <c r="B36" i="30"/>
  <c r="B36" i="29"/>
  <c r="B36" i="28"/>
  <c r="B36" i="37"/>
  <c r="B36" i="34"/>
  <c r="B36" i="35"/>
  <c r="B36" i="22"/>
  <c r="B36" i="21"/>
  <c r="B36" i="23"/>
  <c r="B36" i="20"/>
  <c r="B36" i="25"/>
  <c r="B36" i="26"/>
  <c r="B36" i="24"/>
  <c r="B36" i="17"/>
  <c r="B36" i="18"/>
  <c r="B36" i="19"/>
  <c r="B19" i="35"/>
  <c r="B19" i="28"/>
  <c r="B19" i="37"/>
  <c r="B19" i="29"/>
  <c r="B19" i="30"/>
  <c r="B19" i="34"/>
  <c r="B19" i="36"/>
  <c r="B19" i="33"/>
  <c r="B19" i="32"/>
  <c r="B19" i="31"/>
  <c r="B19" i="17"/>
  <c r="B19" i="22"/>
  <c r="B19" i="24"/>
  <c r="B19" i="26"/>
  <c r="B19" i="23"/>
  <c r="B19" i="21"/>
  <c r="B19" i="20"/>
  <c r="B19" i="18"/>
  <c r="B19" i="25"/>
  <c r="B19" i="19"/>
  <c r="B17" i="30"/>
  <c r="B17" i="28"/>
  <c r="B17" i="32"/>
  <c r="B17" i="34"/>
  <c r="B17" i="31"/>
  <c r="B17" i="29"/>
  <c r="B17" i="26"/>
  <c r="B17" i="36"/>
  <c r="B17" i="33"/>
  <c r="B17" i="37"/>
  <c r="B17" i="35"/>
  <c r="B17" i="24"/>
  <c r="B17" i="21"/>
  <c r="B17" i="25"/>
  <c r="B17" i="23"/>
  <c r="B17" i="22"/>
  <c r="B17" i="17"/>
  <c r="B17" i="20"/>
  <c r="B17" i="19"/>
  <c r="B17" i="18"/>
  <c r="B31" i="34"/>
  <c r="B31" i="31"/>
  <c r="B31" i="35"/>
  <c r="B31" i="37"/>
  <c r="B31" i="30"/>
  <c r="B31" i="33"/>
  <c r="B31" i="32"/>
  <c r="B31" i="29"/>
  <c r="B31" i="28"/>
  <c r="B31" i="36"/>
  <c r="B31" i="18"/>
  <c r="B31" i="22"/>
  <c r="B31" i="25"/>
  <c r="B31" i="20"/>
  <c r="B31" i="21"/>
  <c r="B31" i="23"/>
  <c r="B31" i="24"/>
  <c r="B31" i="26"/>
  <c r="B31" i="17"/>
  <c r="B31" i="19"/>
  <c r="B26" i="28"/>
  <c r="B26" i="37"/>
  <c r="B26" i="31"/>
  <c r="B26" i="34"/>
  <c r="B26" i="36"/>
  <c r="B26" i="33"/>
  <c r="B26" i="32"/>
  <c r="B26" i="35"/>
  <c r="B26" i="30"/>
  <c r="B26" i="29"/>
  <c r="B26" i="23"/>
  <c r="B26" i="25"/>
  <c r="B26" i="26"/>
  <c r="B26" i="22"/>
  <c r="B26" i="24"/>
  <c r="B26" i="21"/>
  <c r="B26" i="20"/>
  <c r="B26" i="17"/>
  <c r="B26" i="18"/>
  <c r="B26" i="19"/>
  <c r="B12" i="32"/>
  <c r="B12" i="26"/>
  <c r="B12" i="30"/>
  <c r="B12" i="35"/>
  <c r="B12" i="36"/>
  <c r="B12" i="33"/>
  <c r="B12" i="28"/>
  <c r="B12" i="37"/>
  <c r="B12" i="29"/>
  <c r="B12" i="31"/>
  <c r="B12" i="34"/>
  <c r="B12" i="22"/>
  <c r="B12" i="23"/>
  <c r="B12" i="25"/>
  <c r="B12" i="21"/>
  <c r="B12" i="19"/>
  <c r="B12" i="20"/>
  <c r="B12" i="24"/>
  <c r="B12" i="18"/>
  <c r="B12" i="17"/>
  <c r="B3" i="32"/>
  <c r="B3" i="37"/>
  <c r="B3" i="29"/>
  <c r="B3" i="31"/>
  <c r="B3" i="35"/>
  <c r="B3" i="30"/>
  <c r="B3" i="28"/>
  <c r="B3" i="36"/>
  <c r="B3" i="34"/>
  <c r="B3" i="33"/>
  <c r="B3" i="21"/>
  <c r="B3" i="17"/>
  <c r="B3" i="22"/>
  <c r="B3" i="24"/>
  <c r="B3" i="20"/>
  <c r="B3" i="23"/>
  <c r="B3" i="18"/>
  <c r="B3" i="26"/>
  <c r="B3" i="25"/>
  <c r="B3" i="19"/>
  <c r="B48" i="37"/>
  <c r="B48" i="36"/>
  <c r="B48" i="32"/>
  <c r="B48" i="35"/>
  <c r="B48" i="33"/>
  <c r="B48" i="31"/>
  <c r="B48" i="29"/>
  <c r="B48" i="28"/>
  <c r="B48" i="30"/>
  <c r="B48" i="34"/>
  <c r="B48" i="25"/>
  <c r="B48" i="22"/>
  <c r="B48" i="23"/>
  <c r="B48" i="24"/>
  <c r="B48" i="20"/>
  <c r="B48" i="18"/>
  <c r="B48" i="17"/>
  <c r="B48" i="26"/>
  <c r="B48" i="21"/>
  <c r="B48" i="19"/>
  <c r="B89" i="26"/>
  <c r="B89" i="32"/>
  <c r="B89" i="30"/>
  <c r="B89" i="34"/>
  <c r="B89" i="31"/>
  <c r="B89" i="36"/>
  <c r="B89" i="29"/>
  <c r="B89" i="28"/>
  <c r="B89" i="33"/>
  <c r="B89" i="37"/>
  <c r="B89" i="35"/>
  <c r="B89" i="21"/>
  <c r="B89" i="19"/>
  <c r="B89" i="24"/>
  <c r="B89" i="20"/>
  <c r="B89" i="25"/>
  <c r="B89" i="23"/>
  <c r="B89" i="22"/>
  <c r="B89" i="17"/>
  <c r="B89" i="18"/>
  <c r="B61" i="35"/>
  <c r="B61" i="31"/>
  <c r="B61" i="26"/>
  <c r="B61" i="33"/>
  <c r="B61" i="36"/>
  <c r="B61" i="30"/>
  <c r="B61" i="32"/>
  <c r="B61" i="37"/>
  <c r="B61" i="34"/>
  <c r="B61" i="29"/>
  <c r="B61" i="28"/>
  <c r="B61" i="25"/>
  <c r="B61" i="21"/>
  <c r="B61" i="24"/>
  <c r="B61" i="20"/>
  <c r="B61" i="23"/>
  <c r="B61" i="22"/>
  <c r="B61" i="18"/>
  <c r="B61" i="19"/>
  <c r="B61" i="17"/>
  <c r="B43" i="36"/>
  <c r="B43" i="34"/>
  <c r="B43" i="26"/>
  <c r="B43" i="29"/>
  <c r="B43" i="31"/>
  <c r="B43" i="37"/>
  <c r="B43" i="28"/>
  <c r="B43" i="35"/>
  <c r="B43" i="33"/>
  <c r="B43" i="32"/>
  <c r="B43" i="30"/>
  <c r="B43" i="17"/>
  <c r="B43" i="19"/>
  <c r="B43" i="22"/>
  <c r="B43" i="24"/>
  <c r="B43" i="21"/>
  <c r="B43" i="23"/>
  <c r="B43" i="25"/>
  <c r="B43" i="20"/>
  <c r="B43" i="18"/>
  <c r="B21" i="28"/>
  <c r="B21" i="35"/>
  <c r="B21" i="31"/>
  <c r="B21" i="32"/>
  <c r="B21" i="29"/>
  <c r="B21" i="34"/>
  <c r="B21" i="30"/>
  <c r="B21" i="37"/>
  <c r="B21" i="36"/>
  <c r="B21" i="33"/>
  <c r="B21" i="25"/>
  <c r="B21" i="18"/>
  <c r="B21" i="21"/>
  <c r="B21" i="24"/>
  <c r="B21" i="23"/>
  <c r="B21" i="22"/>
  <c r="B21" i="19"/>
  <c r="B21" i="26"/>
  <c r="B21" i="20"/>
  <c r="B21" i="17"/>
  <c r="B50" i="36"/>
  <c r="B50" i="30"/>
  <c r="B50" i="33"/>
  <c r="B50" i="29"/>
  <c r="B50" i="37"/>
  <c r="B50" i="35"/>
  <c r="B50" i="32"/>
  <c r="B50" i="28"/>
  <c r="B50" i="34"/>
  <c r="B50" i="31"/>
  <c r="B50" i="19"/>
  <c r="B50" i="18"/>
  <c r="B50" i="23"/>
  <c r="B50" i="26"/>
  <c r="B50" i="25"/>
  <c r="B50" i="21"/>
  <c r="B50" i="22"/>
  <c r="B50" i="24"/>
  <c r="B50" i="20"/>
  <c r="B50" i="17"/>
  <c r="B38" i="35"/>
  <c r="B38" i="37"/>
  <c r="B38" i="33"/>
  <c r="B38" i="31"/>
  <c r="B38" i="32"/>
  <c r="B38" i="29"/>
  <c r="B38" i="34"/>
  <c r="B38" i="28"/>
  <c r="B38" i="36"/>
  <c r="B38" i="30"/>
  <c r="B38" i="24"/>
  <c r="B38" i="23"/>
  <c r="B38" i="26"/>
  <c r="B38" i="22"/>
  <c r="B38" i="21"/>
  <c r="B38" i="20"/>
  <c r="B38" i="25"/>
  <c r="B38" i="18"/>
  <c r="B38" i="17"/>
  <c r="B38" i="19"/>
  <c r="B11" i="28"/>
  <c r="B11" i="31"/>
  <c r="B11" i="29"/>
  <c r="B11" i="26"/>
  <c r="B11" i="32"/>
  <c r="B11" i="30"/>
  <c r="B11" i="35"/>
  <c r="B11" i="34"/>
  <c r="B11" i="37"/>
  <c r="B11" i="33"/>
  <c r="B11" i="36"/>
  <c r="B11" i="21"/>
  <c r="B11" i="19"/>
  <c r="B11" i="17"/>
  <c r="B11" i="22"/>
  <c r="B11" i="20"/>
  <c r="B11" i="24"/>
  <c r="B11" i="23"/>
  <c r="B11" i="25"/>
  <c r="B11" i="18"/>
  <c r="B58" i="33"/>
  <c r="B58" i="36"/>
  <c r="B58" i="26"/>
  <c r="B58" i="29"/>
  <c r="B58" i="35"/>
  <c r="B58" i="34"/>
  <c r="B58" i="31"/>
  <c r="B58" i="28"/>
  <c r="B58" i="32"/>
  <c r="B58" i="37"/>
  <c r="B58" i="30"/>
  <c r="B58" i="23"/>
  <c r="B58" i="25"/>
  <c r="B58" i="21"/>
  <c r="B58" i="22"/>
  <c r="B58" i="24"/>
  <c r="B58" i="20"/>
  <c r="B58" i="17"/>
  <c r="B58" i="18"/>
  <c r="B58" i="19"/>
  <c r="B96" i="34"/>
  <c r="B96" i="28"/>
  <c r="B96" i="26"/>
  <c r="B96" i="33"/>
  <c r="B96" i="36"/>
  <c r="B96" i="29"/>
  <c r="B96" i="30"/>
  <c r="B96" i="37"/>
  <c r="B96" i="31"/>
  <c r="B96" i="22"/>
  <c r="B96" i="19"/>
  <c r="B96" i="25"/>
  <c r="B96" i="21"/>
  <c r="B96" i="23"/>
  <c r="B96" i="24"/>
  <c r="B96" i="18"/>
  <c r="B96" i="20"/>
  <c r="B96" i="17"/>
  <c r="B80" i="30"/>
  <c r="B80" i="28"/>
  <c r="B80" i="33"/>
  <c r="B80" i="31"/>
  <c r="B80" i="35"/>
  <c r="B80" i="32"/>
  <c r="B80" i="26"/>
  <c r="B80" i="37"/>
  <c r="B80" i="29"/>
  <c r="B80" i="36"/>
  <c r="B80" i="34"/>
  <c r="B80" i="22"/>
  <c r="B80" i="20"/>
  <c r="B80" i="19"/>
  <c r="B80" i="25"/>
  <c r="B80" i="23"/>
  <c r="B80" i="21"/>
  <c r="B80" i="24"/>
  <c r="B80" i="18"/>
  <c r="B80" i="17"/>
  <c r="B86" i="36"/>
  <c r="B86" i="26"/>
  <c r="B86" i="32"/>
  <c r="B86" i="33"/>
  <c r="B86" i="34"/>
  <c r="B86" i="29"/>
  <c r="B86" i="35"/>
  <c r="B86" i="28"/>
  <c r="B86" i="30"/>
  <c r="B86" i="31"/>
  <c r="B86" i="37"/>
  <c r="B86" i="24"/>
  <c r="B86" i="23"/>
  <c r="B86" i="22"/>
  <c r="B86" i="20"/>
  <c r="B86" i="25"/>
  <c r="B86" i="21"/>
  <c r="B86" i="18"/>
  <c r="B86" i="17"/>
  <c r="B86" i="19"/>
  <c r="B77" i="28"/>
  <c r="B77" i="30"/>
  <c r="B77" i="32"/>
  <c r="B77" i="36"/>
  <c r="B77" i="31"/>
  <c r="B77" i="26"/>
  <c r="B77" i="33"/>
  <c r="B77" i="29"/>
  <c r="B77" i="35"/>
  <c r="B77" i="37"/>
  <c r="B77" i="34"/>
  <c r="B77" i="25"/>
  <c r="B77" i="21"/>
  <c r="B77" i="20"/>
  <c r="B77" i="24"/>
  <c r="B77" i="18"/>
  <c r="B77" i="23"/>
  <c r="B77" i="22"/>
  <c r="B77" i="19"/>
  <c r="B77" i="17"/>
  <c r="B74" i="35"/>
  <c r="B74" i="33"/>
  <c r="B74" i="26"/>
  <c r="B74" i="32"/>
  <c r="B74" i="29"/>
  <c r="B74" i="30"/>
  <c r="B74" i="31"/>
  <c r="B74" i="37"/>
  <c r="B74" i="36"/>
  <c r="B74" i="34"/>
  <c r="B74" i="28"/>
  <c r="B74" i="21"/>
  <c r="B74" i="23"/>
  <c r="B74" i="25"/>
  <c r="B74" i="22"/>
  <c r="B74" i="20"/>
  <c r="B74" i="24"/>
  <c r="B74" i="17"/>
  <c r="B74" i="19"/>
  <c r="B74" i="18"/>
  <c r="B72" i="30"/>
  <c r="B72" i="28"/>
  <c r="B72" i="37"/>
  <c r="B72" i="33"/>
  <c r="B72" i="31"/>
  <c r="B72" i="29"/>
  <c r="B72" i="36"/>
  <c r="B72" i="26"/>
  <c r="B72" i="35"/>
  <c r="B72" i="34"/>
  <c r="B72" i="32"/>
  <c r="B72" i="25"/>
  <c r="B72" i="22"/>
  <c r="B72" i="23"/>
  <c r="B72" i="20"/>
  <c r="B72" i="24"/>
  <c r="B72" i="21"/>
  <c r="B72" i="19"/>
  <c r="B72" i="18"/>
  <c r="B72" i="17"/>
  <c r="B33" i="36"/>
  <c r="B33" i="32"/>
  <c r="B33" i="26"/>
  <c r="B33" i="35"/>
  <c r="B33" i="31"/>
  <c r="B33" i="34"/>
  <c r="B33" i="33"/>
  <c r="B33" i="29"/>
  <c r="B33" i="28"/>
  <c r="B33" i="37"/>
  <c r="B33" i="30"/>
  <c r="B33" i="24"/>
  <c r="B33" i="25"/>
  <c r="B33" i="20"/>
  <c r="B33" i="23"/>
  <c r="B33" i="22"/>
  <c r="B33" i="17"/>
  <c r="B33" i="21"/>
  <c r="B33" i="18"/>
  <c r="B33" i="19"/>
  <c r="B23" i="37"/>
  <c r="B23" i="35"/>
  <c r="B23" i="34"/>
  <c r="B23" i="31"/>
  <c r="B23" i="32"/>
  <c r="B23" i="30"/>
  <c r="B23" i="29"/>
  <c r="B23" i="28"/>
  <c r="B23" i="36"/>
  <c r="B23" i="33"/>
  <c r="B23" i="20"/>
  <c r="B23" i="26"/>
  <c r="B23" i="22"/>
  <c r="B23" i="25"/>
  <c r="B23" i="23"/>
  <c r="B23" i="21"/>
  <c r="B23" i="24"/>
  <c r="B23" i="19"/>
  <c r="B23" i="18"/>
  <c r="B23" i="17"/>
  <c r="B7" i="37"/>
  <c r="B7" i="34"/>
  <c r="B7" i="30"/>
  <c r="B7" i="28"/>
  <c r="B7" i="31"/>
  <c r="B7" i="29"/>
  <c r="B7" i="35"/>
  <c r="B7" i="32"/>
  <c r="B7" i="33"/>
  <c r="B7" i="36"/>
  <c r="B7" i="21"/>
  <c r="B7" i="22"/>
  <c r="B7" i="25"/>
  <c r="B7" i="26"/>
  <c r="B7" i="23"/>
  <c r="B7" i="24"/>
  <c r="B7" i="20"/>
  <c r="B7" i="19"/>
  <c r="B7" i="18"/>
  <c r="B7" i="17"/>
  <c r="B2" i="35"/>
  <c r="B2" i="30"/>
  <c r="B2" i="29"/>
  <c r="B2" i="26"/>
  <c r="B2" i="36"/>
  <c r="B2" i="28"/>
  <c r="B2" i="34"/>
  <c r="B2" i="33"/>
  <c r="B2" i="32"/>
  <c r="B2" i="37"/>
  <c r="B2" i="31"/>
  <c r="B2" i="17"/>
  <c r="B2" i="19"/>
  <c r="B2" i="18"/>
  <c r="B2" i="23"/>
  <c r="B2" i="25"/>
  <c r="B2" i="21"/>
  <c r="B2" i="22"/>
  <c r="B2" i="24"/>
  <c r="B2" i="20"/>
  <c r="C5" i="39"/>
  <c r="B92" i="30"/>
  <c r="B92" i="32"/>
  <c r="B92" i="36"/>
  <c r="B92" i="33"/>
  <c r="B92" i="31"/>
  <c r="B92" i="34"/>
  <c r="B92" i="26"/>
  <c r="B92" i="35"/>
  <c r="B92" i="29"/>
  <c r="B92" i="28"/>
  <c r="B92" i="37"/>
  <c r="B92" i="24"/>
  <c r="B92" i="22"/>
  <c r="B92" i="18"/>
  <c r="B92" i="21"/>
  <c r="B92" i="23"/>
  <c r="B92" i="20"/>
  <c r="B92" i="25"/>
  <c r="B92" i="19"/>
  <c r="B92" i="17"/>
  <c r="B70" i="30"/>
  <c r="B70" i="31"/>
  <c r="B70" i="34"/>
  <c r="B70" i="26"/>
  <c r="B70" i="33"/>
  <c r="B70" i="28"/>
  <c r="B70" i="36"/>
  <c r="B70" i="32"/>
  <c r="B70" i="29"/>
  <c r="B70" i="35"/>
  <c r="B70" i="37"/>
  <c r="B70" i="20"/>
  <c r="B70" i="21"/>
  <c r="B70" i="24"/>
  <c r="B70" i="23"/>
  <c r="B70" i="22"/>
  <c r="B70" i="25"/>
  <c r="B70" i="18"/>
  <c r="B70" i="17"/>
  <c r="B70" i="19"/>
  <c r="B83" i="29"/>
  <c r="B83" i="34"/>
  <c r="B83" i="32"/>
  <c r="B83" i="36"/>
  <c r="B83" i="28"/>
  <c r="B83" i="33"/>
  <c r="B83" i="35"/>
  <c r="B83" i="26"/>
  <c r="B83" i="30"/>
  <c r="B83" i="37"/>
  <c r="B83" i="31"/>
  <c r="B83" i="17"/>
  <c r="B83" i="22"/>
  <c r="B83" i="24"/>
  <c r="B83" i="21"/>
  <c r="B83" i="19"/>
  <c r="B83" i="23"/>
  <c r="B83" i="20"/>
  <c r="B83" i="18"/>
  <c r="B83" i="25"/>
  <c r="B63" i="32"/>
  <c r="B63" i="37"/>
  <c r="B63" i="35"/>
  <c r="B63" i="29"/>
  <c r="B63" i="34"/>
  <c r="B63" i="28"/>
  <c r="B63" i="33"/>
  <c r="B63" i="36"/>
  <c r="B63" i="31"/>
  <c r="B63" i="30"/>
  <c r="B63" i="18"/>
  <c r="B63" i="26"/>
  <c r="B63" i="22"/>
  <c r="B63" i="25"/>
  <c r="B63" i="23"/>
  <c r="B63" i="24"/>
  <c r="B63" i="20"/>
  <c r="B63" i="21"/>
  <c r="B63" i="17"/>
  <c r="B63" i="19"/>
  <c r="B40" i="35"/>
  <c r="B40" i="30"/>
  <c r="B40" i="33"/>
  <c r="B40" i="29"/>
  <c r="B40" i="34"/>
  <c r="B40" i="28"/>
  <c r="B40" i="37"/>
  <c r="B40" i="31"/>
  <c r="B40" i="36"/>
  <c r="B40" i="32"/>
  <c r="B40" i="25"/>
  <c r="B40" i="22"/>
  <c r="B40" i="21"/>
  <c r="B40" i="23"/>
  <c r="B40" i="24"/>
  <c r="B40" i="26"/>
  <c r="B40" i="17"/>
  <c r="B40" i="20"/>
  <c r="B40" i="19"/>
  <c r="B40" i="18"/>
  <c r="B28" i="34"/>
  <c r="B28" i="33"/>
  <c r="B28" i="36"/>
  <c r="B28" i="31"/>
  <c r="B28" i="37"/>
  <c r="B28" i="35"/>
  <c r="B28" i="32"/>
  <c r="B28" i="30"/>
  <c r="B28" i="29"/>
  <c r="B28" i="28"/>
  <c r="B28" i="22"/>
  <c r="B28" i="23"/>
  <c r="B28" i="21"/>
  <c r="B28" i="25"/>
  <c r="B28" i="19"/>
  <c r="B28" i="26"/>
  <c r="B28" i="24"/>
  <c r="B28" i="20"/>
  <c r="B28" i="18"/>
  <c r="B28" i="17"/>
  <c r="U115" i="3"/>
  <c r="W113" i="3"/>
  <c r="T108" i="3"/>
  <c r="BU11" i="39"/>
  <c r="H10" i="41" s="1"/>
  <c r="W97" i="3"/>
  <c r="V99" i="3"/>
  <c r="L11" i="40"/>
  <c r="I57" i="41" s="1"/>
  <c r="T97" i="3"/>
  <c r="Z89" i="3"/>
  <c r="W70" i="3"/>
  <c r="D8" i="40"/>
  <c r="F56" i="41" s="1"/>
  <c r="U96" i="3"/>
  <c r="T94" i="3"/>
  <c r="AB88" i="3"/>
  <c r="X87" i="3"/>
  <c r="Y86" i="3"/>
  <c r="CK11" i="39"/>
  <c r="H16" i="41" s="1"/>
  <c r="E103" i="7"/>
  <c r="CB10" i="39"/>
  <c r="G11" i="41" s="1"/>
  <c r="BN9" i="39"/>
  <c r="F9" i="41" s="1"/>
  <c r="Y54" i="3"/>
  <c r="V53" i="3"/>
  <c r="Y52" i="3"/>
  <c r="L7" i="40"/>
  <c r="E57" i="41" s="1"/>
  <c r="DE7" i="39"/>
  <c r="D18" i="41" s="1"/>
  <c r="DP6" i="39"/>
  <c r="C19" i="41" s="1"/>
  <c r="M5" i="39"/>
  <c r="T26" i="3"/>
  <c r="M6" i="39"/>
  <c r="C4" i="41" s="1"/>
  <c r="W121" i="3"/>
  <c r="T116" i="3"/>
  <c r="V114" i="3"/>
  <c r="X112" i="3"/>
  <c r="S109" i="3"/>
  <c r="U107" i="3"/>
  <c r="W105" i="3"/>
  <c r="T100" i="3"/>
  <c r="AG12" i="39"/>
  <c r="I6" i="41" s="1"/>
  <c r="X96" i="3"/>
  <c r="S93" i="3"/>
  <c r="U91" i="3"/>
  <c r="W89" i="3"/>
  <c r="FW61" i="2"/>
  <c r="T84" i="3"/>
  <c r="V82" i="3"/>
  <c r="T68" i="3"/>
  <c r="V66" i="3"/>
  <c r="BU9" i="39"/>
  <c r="F10" i="41" s="1"/>
  <c r="W57" i="3"/>
  <c r="T52" i="3"/>
  <c r="V50" i="3"/>
  <c r="AG8" i="39"/>
  <c r="E6" i="41" s="1"/>
  <c r="T95" i="3"/>
  <c r="AB89" i="3"/>
  <c r="AA87" i="3"/>
  <c r="DE9" i="39"/>
  <c r="F18" i="41" s="1"/>
  <c r="V106" i="3"/>
  <c r="X118" i="3"/>
  <c r="AB9" i="40"/>
  <c r="G59" i="41" s="1"/>
  <c r="T73" i="3"/>
  <c r="AB120" i="3"/>
  <c r="S104" i="3"/>
  <c r="AA102" i="3"/>
  <c r="V101" i="3"/>
  <c r="BN12" i="39"/>
  <c r="I9" i="41" s="1"/>
  <c r="AA97" i="3"/>
  <c r="AA95" i="3"/>
  <c r="W94" i="3"/>
  <c r="FV97" i="2"/>
  <c r="AA120" i="3"/>
  <c r="Y116" i="3"/>
  <c r="Z113" i="3"/>
  <c r="AB99" i="3"/>
  <c r="BC12" i="39"/>
  <c r="I8" i="41" s="1"/>
  <c r="W96" i="3"/>
  <c r="Z95" i="3"/>
  <c r="V94" i="3"/>
  <c r="Y93" i="3"/>
  <c r="V92" i="3"/>
  <c r="S90" i="3"/>
  <c r="DE11" i="39"/>
  <c r="H18" i="41" s="1"/>
  <c r="Y119" i="3"/>
  <c r="Z99" i="3"/>
  <c r="AZ11" i="40"/>
  <c r="I66" i="41" s="1"/>
  <c r="W12" i="39"/>
  <c r="I5" i="41" s="1"/>
  <c r="U117" i="3"/>
  <c r="Y115" i="3"/>
  <c r="T114" i="3"/>
  <c r="T12" i="40"/>
  <c r="J58" i="41" s="1"/>
  <c r="AA107" i="3"/>
  <c r="W106" i="3"/>
  <c r="U103" i="3"/>
  <c r="Y99" i="3"/>
  <c r="AR11" i="40"/>
  <c r="I65" i="41" s="1"/>
  <c r="M12" i="39"/>
  <c r="I4" i="41" s="1"/>
  <c r="T96" i="3"/>
  <c r="S94" i="3"/>
  <c r="AB90" i="3"/>
  <c r="AA88" i="3"/>
  <c r="W87" i="3"/>
  <c r="AB10" i="40"/>
  <c r="U85" i="3"/>
  <c r="BN10" i="39"/>
  <c r="G9" i="41" s="1"/>
  <c r="U72" i="3"/>
  <c r="BH8" i="40"/>
  <c r="F67" i="41" s="1"/>
  <c r="BC9" i="39"/>
  <c r="F8" i="41" s="1"/>
  <c r="U53" i="3"/>
  <c r="D7" i="40"/>
  <c r="E56" i="41" s="1"/>
  <c r="CU7" i="39"/>
  <c r="D17" i="41" s="1"/>
  <c r="DE6" i="39"/>
  <c r="C18" i="41" s="1"/>
  <c r="F61" i="26"/>
  <c r="K61" i="26" s="1"/>
  <c r="F61" i="37"/>
  <c r="K61" i="37" s="1"/>
  <c r="AA121" i="3"/>
  <c r="AA114" i="3"/>
  <c r="X97" i="3"/>
  <c r="V117" i="3"/>
  <c r="U114" i="3"/>
  <c r="S112" i="3"/>
  <c r="V85" i="3"/>
  <c r="U82" i="3"/>
  <c r="V121" i="3"/>
  <c r="U121" i="3"/>
  <c r="S114" i="3"/>
  <c r="GD85" i="2"/>
  <c r="T106" i="3"/>
  <c r="S96" i="3"/>
  <c r="AB92" i="3"/>
  <c r="AA90" i="3"/>
  <c r="X89" i="3"/>
  <c r="Z88" i="3"/>
  <c r="V87" i="3"/>
  <c r="BH9" i="40"/>
  <c r="G67" i="41" s="1"/>
  <c r="BC10" i="39"/>
  <c r="G8" i="41" s="1"/>
  <c r="T55" i="3"/>
  <c r="CB8" i="39"/>
  <c r="E11" i="41" s="1"/>
  <c r="V48" i="3"/>
  <c r="X43" i="3"/>
  <c r="X41" i="3"/>
  <c r="CK7" i="39"/>
  <c r="D16" i="41" s="1"/>
  <c r="CU6" i="39"/>
  <c r="C17" i="41" s="1"/>
  <c r="W103" i="3"/>
  <c r="S91" i="3"/>
  <c r="T82" i="3"/>
  <c r="T66" i="3"/>
  <c r="V64" i="3"/>
  <c r="U57" i="3"/>
  <c r="W55" i="3"/>
  <c r="T50" i="3"/>
  <c r="M8" i="39"/>
  <c r="E4" i="41" s="1"/>
  <c r="V52" i="3"/>
  <c r="BU7" i="39"/>
  <c r="D10" i="41" s="1"/>
  <c r="Y103" i="3"/>
  <c r="W115" i="3"/>
  <c r="AA111" i="3"/>
  <c r="AA91" i="3"/>
  <c r="S119" i="3"/>
  <c r="U118" i="3"/>
  <c r="AB116" i="3"/>
  <c r="CB12" i="39"/>
  <c r="I11" i="41" s="1"/>
  <c r="AB97" i="3"/>
  <c r="AB95" i="3"/>
  <c r="X94" i="3"/>
  <c r="AA93" i="3"/>
  <c r="W90" i="3"/>
  <c r="S115" i="3"/>
  <c r="W92" i="3"/>
  <c r="X109" i="3"/>
  <c r="Y102" i="3"/>
  <c r="U101" i="3"/>
  <c r="Z97" i="3"/>
  <c r="Y84" i="3"/>
  <c r="AB115" i="3"/>
  <c r="W114" i="3"/>
  <c r="Y113" i="3"/>
  <c r="T112" i="3"/>
  <c r="X121" i="3"/>
  <c r="AA115" i="3"/>
  <c r="Y110" i="3"/>
  <c r="G103" i="7"/>
  <c r="T109" i="3"/>
  <c r="AB107" i="3"/>
  <c r="X106" i="3"/>
  <c r="V103" i="3"/>
  <c r="T117" i="3"/>
  <c r="L12" i="40"/>
  <c r="J57" i="41" s="1"/>
  <c r="Z107" i="3"/>
  <c r="AB104" i="3"/>
  <c r="T103" i="3"/>
  <c r="AB101" i="3"/>
  <c r="W100" i="3"/>
  <c r="EO12" i="39"/>
  <c r="I22" i="41" s="1"/>
  <c r="S98" i="3"/>
  <c r="C12" i="39"/>
  <c r="I3" i="41" s="1"/>
  <c r="AB94" i="3"/>
  <c r="T10" i="40"/>
  <c r="AZ8" i="40"/>
  <c r="F66" i="41" s="1"/>
  <c r="AR9" i="39"/>
  <c r="F7" i="41" s="1"/>
  <c r="T121" i="3"/>
  <c r="AB112" i="3"/>
  <c r="V111" i="3"/>
  <c r="D12" i="40"/>
  <c r="J56" i="41" s="1"/>
  <c r="W108" i="3"/>
  <c r="Y107" i="3"/>
  <c r="S106" i="3"/>
  <c r="AA104" i="3"/>
  <c r="S103" i="3"/>
  <c r="AA101" i="3"/>
  <c r="U100" i="3"/>
  <c r="EH12" i="39"/>
  <c r="I21" i="41" s="1"/>
  <c r="AA94" i="3"/>
  <c r="AA92" i="3"/>
  <c r="Z90" i="3"/>
  <c r="V89" i="3"/>
  <c r="Y88" i="3"/>
  <c r="T87" i="3"/>
  <c r="L10" i="40"/>
  <c r="AZ9" i="40"/>
  <c r="G66" i="41" s="1"/>
  <c r="AR10" i="39"/>
  <c r="G7" i="41" s="1"/>
  <c r="AR8" i="40"/>
  <c r="F65" i="41" s="1"/>
  <c r="W9" i="39"/>
  <c r="F5" i="41" s="1"/>
  <c r="X57" i="3"/>
  <c r="Y56" i="3"/>
  <c r="BN8" i="39"/>
  <c r="E9" i="41" s="1"/>
  <c r="Y42" i="3"/>
  <c r="Y40" i="3"/>
  <c r="W39" i="3"/>
  <c r="AB6" i="40"/>
  <c r="D59" i="41" s="1"/>
  <c r="GD13" i="2"/>
  <c r="CK6" i="39"/>
  <c r="C16" i="41" s="1"/>
  <c r="F25" i="37"/>
  <c r="K25" i="37" s="1"/>
  <c r="F25" i="26"/>
  <c r="K25" i="26" s="1"/>
  <c r="F97" i="26"/>
  <c r="K97" i="26" s="1"/>
  <c r="F97" i="37"/>
  <c r="K97" i="37" s="1"/>
  <c r="Y117" i="3"/>
  <c r="AA106" i="3"/>
  <c r="X99" i="3"/>
  <c r="V36" i="3"/>
  <c r="X34" i="3"/>
  <c r="S121" i="3"/>
  <c r="U119" i="3"/>
  <c r="W117" i="3"/>
  <c r="X108" i="3"/>
  <c r="S105" i="3"/>
  <c r="W101" i="3"/>
  <c r="X92" i="3"/>
  <c r="U87" i="3"/>
  <c r="BU10" i="39"/>
  <c r="G10" i="41" s="1"/>
  <c r="U71" i="3"/>
  <c r="W69" i="3"/>
  <c r="AG9" i="39"/>
  <c r="F6" i="41" s="1"/>
  <c r="U55" i="3"/>
  <c r="FW25" i="2"/>
  <c r="U39" i="3"/>
  <c r="Z103" i="3"/>
  <c r="Y104" i="3"/>
  <c r="EA12" i="39"/>
  <c r="I20" i="41" s="1"/>
  <c r="AB96" i="3"/>
  <c r="X91" i="3"/>
  <c r="Y90" i="3"/>
  <c r="U89" i="3"/>
  <c r="S87" i="3"/>
  <c r="D10" i="40"/>
  <c r="AR9" i="40"/>
  <c r="G65" i="41" s="1"/>
  <c r="EO9" i="39"/>
  <c r="F22" i="41" s="1"/>
  <c r="M9" i="39"/>
  <c r="F4" i="41" s="1"/>
  <c r="BH7" i="40"/>
  <c r="E67" i="41" s="1"/>
  <c r="W50" i="3"/>
  <c r="AR8" i="39"/>
  <c r="E7" i="41" s="1"/>
  <c r="T6" i="40"/>
  <c r="D58" i="41" s="1"/>
  <c r="X36" i="3"/>
  <c r="AB5" i="40"/>
  <c r="Y112" i="3"/>
  <c r="AA109" i="3"/>
  <c r="U108" i="3"/>
  <c r="X105" i="3"/>
  <c r="FW73" i="2"/>
  <c r="AA96" i="3"/>
  <c r="X93" i="3"/>
  <c r="CB11" i="39"/>
  <c r="H11" i="41" s="1"/>
  <c r="V81" i="3"/>
  <c r="EO10" i="39"/>
  <c r="G22" i="41" s="1"/>
  <c r="V69" i="3"/>
  <c r="EH9" i="39"/>
  <c r="F21" i="41" s="1"/>
  <c r="C9" i="39"/>
  <c r="F3" i="41" s="1"/>
  <c r="Y58" i="3"/>
  <c r="T57" i="3"/>
  <c r="AZ7" i="40"/>
  <c r="E66" i="41" s="1"/>
  <c r="U50" i="3"/>
  <c r="W8" i="39"/>
  <c r="E5" i="41" s="1"/>
  <c r="T43" i="3"/>
  <c r="U41" i="3"/>
  <c r="L6" i="40"/>
  <c r="D57" i="41" s="1"/>
  <c r="W36" i="3"/>
  <c r="T5" i="40"/>
  <c r="T39" i="3"/>
  <c r="W119" i="3"/>
  <c r="V120" i="3"/>
  <c r="W116" i="3"/>
  <c r="AA112" i="3"/>
  <c r="T111" i="3"/>
  <c r="AB109" i="3"/>
  <c r="Z101" i="3"/>
  <c r="S100" i="3"/>
  <c r="Z94" i="3"/>
  <c r="Z92" i="3"/>
  <c r="W84" i="3"/>
  <c r="X81" i="3"/>
  <c r="C10" i="39"/>
  <c r="G3" i="41" s="1"/>
  <c r="AB118" i="3"/>
  <c r="U116" i="3"/>
  <c r="X102" i="3"/>
  <c r="Y101" i="3"/>
  <c r="AB98" i="3"/>
  <c r="DP12" i="39"/>
  <c r="I19" i="41" s="1"/>
  <c r="W91" i="3"/>
  <c r="X113" i="3"/>
  <c r="W93" i="3"/>
  <c r="Y85" i="3"/>
  <c r="U69" i="3"/>
  <c r="EA9" i="39"/>
  <c r="F20" i="41" s="1"/>
  <c r="X59" i="3"/>
  <c r="X52" i="3"/>
  <c r="AR7" i="40"/>
  <c r="E65" i="41" s="1"/>
  <c r="C8" i="39"/>
  <c r="E3" i="41" s="1"/>
  <c r="T41" i="3"/>
  <c r="U113" i="3"/>
  <c r="BH12" i="40"/>
  <c r="J67" i="41" s="1"/>
  <c r="T105" i="3"/>
  <c r="V108" i="3"/>
  <c r="U120" i="3"/>
  <c r="Y94" i="3"/>
  <c r="Y92" i="3"/>
  <c r="T89" i="3"/>
  <c r="GD97" i="2"/>
  <c r="S120" i="3"/>
  <c r="AA118" i="3"/>
  <c r="AB117" i="3"/>
  <c r="S116" i="3"/>
  <c r="Z109" i="3"/>
  <c r="V105" i="3"/>
  <c r="AB103" i="3"/>
  <c r="W102" i="3"/>
  <c r="DE12" i="39"/>
  <c r="I18" i="41" s="1"/>
  <c r="FV73" i="2"/>
  <c r="Z96" i="3"/>
  <c r="W95" i="3"/>
  <c r="V91" i="3"/>
  <c r="S89" i="3"/>
  <c r="D6" i="40"/>
  <c r="D56" i="41" s="1"/>
  <c r="Y34" i="3"/>
  <c r="L5" i="40"/>
  <c r="X119" i="3"/>
  <c r="AA117" i="3"/>
  <c r="AB114" i="3"/>
  <c r="W110" i="3"/>
  <c r="Y109" i="3"/>
  <c r="AB106" i="3"/>
  <c r="U105" i="3"/>
  <c r="AA103" i="3"/>
  <c r="U102" i="3"/>
  <c r="Y98" i="3"/>
  <c r="CK12" i="39"/>
  <c r="I16" i="41" s="1"/>
  <c r="F103" i="7"/>
  <c r="Y96" i="3"/>
  <c r="V95" i="3"/>
  <c r="V93" i="3"/>
  <c r="T91" i="3"/>
  <c r="AB87" i="3"/>
  <c r="BC11" i="39"/>
  <c r="H8" i="41" s="1"/>
  <c r="EA10" i="39"/>
  <c r="G20" i="41" s="1"/>
  <c r="FV49" i="2"/>
  <c r="W71" i="3"/>
  <c r="W66" i="3"/>
  <c r="DP9" i="39"/>
  <c r="F19" i="41" s="1"/>
  <c r="W52" i="3"/>
  <c r="EO8" i="39"/>
  <c r="E22" i="41" s="1"/>
  <c r="CB7" i="39"/>
  <c r="D11" i="41" s="1"/>
  <c r="T36" i="3"/>
  <c r="X27" i="3"/>
  <c r="D5" i="40"/>
  <c r="F49" i="37"/>
  <c r="K49" i="37" s="1"/>
  <c r="F49" i="26"/>
  <c r="K49" i="26" s="1"/>
  <c r="U34" i="3"/>
  <c r="T27" i="3"/>
  <c r="T93" i="3"/>
  <c r="Y53" i="3"/>
  <c r="BN6" i="39"/>
  <c r="C9" i="41" s="1"/>
  <c r="FU13" i="2"/>
  <c r="T34" i="3"/>
  <c r="X120" i="3"/>
  <c r="S117" i="3"/>
  <c r="X104" i="3"/>
  <c r="T92" i="3"/>
  <c r="V90" i="3"/>
  <c r="X88" i="3"/>
  <c r="AG10" i="39"/>
  <c r="G6" i="41" s="1"/>
  <c r="FW37" i="2"/>
  <c r="AB121" i="3"/>
  <c r="AB12" i="40"/>
  <c r="J59" i="41" s="1"/>
  <c r="W54" i="3"/>
  <c r="EH8" i="39"/>
  <c r="E21" i="41" s="1"/>
  <c r="AB100" i="3"/>
  <c r="W99" i="3"/>
  <c r="T11" i="40"/>
  <c r="I58" i="41" s="1"/>
  <c r="GD73" i="2"/>
  <c r="U97" i="3"/>
  <c r="AB91" i="3"/>
  <c r="AA89" i="3"/>
  <c r="Z87" i="3"/>
  <c r="AZ10" i="40"/>
  <c r="W11" i="39"/>
  <c r="H5" i="41" s="1"/>
  <c r="DE10" i="39"/>
  <c r="G18" i="41" s="1"/>
  <c r="W73" i="3"/>
  <c r="T71" i="3"/>
  <c r="CU9" i="39"/>
  <c r="F17" i="41" s="1"/>
  <c r="EA8" i="39"/>
  <c r="E20" i="41" s="1"/>
  <c r="BH6" i="40"/>
  <c r="D67" i="41" s="1"/>
  <c r="BC7" i="39"/>
  <c r="D8" i="41" s="1"/>
  <c r="U26" i="3"/>
  <c r="W6" i="39"/>
  <c r="C5" i="41" s="1"/>
  <c r="EO5" i="39"/>
  <c r="F13" i="26"/>
  <c r="K13" i="26" s="1"/>
  <c r="F13" i="37"/>
  <c r="K13" i="37" s="1"/>
  <c r="W120" i="3"/>
  <c r="T115" i="3"/>
  <c r="V113" i="3"/>
  <c r="X111" i="3"/>
  <c r="FV85" i="2"/>
  <c r="S108" i="3"/>
  <c r="U106" i="3"/>
  <c r="W104" i="3"/>
  <c r="T99" i="3"/>
  <c r="V97" i="3"/>
  <c r="X95" i="3"/>
  <c r="S92" i="3"/>
  <c r="U90" i="3"/>
  <c r="W88" i="3"/>
  <c r="BN11" i="39"/>
  <c r="H9" i="41" s="1"/>
  <c r="W10" i="39"/>
  <c r="G5" i="41" s="1"/>
  <c r="V65" i="3"/>
  <c r="U58" i="3"/>
  <c r="V49" i="3"/>
  <c r="U42" i="3"/>
  <c r="BN7" i="39"/>
  <c r="D9" i="41" s="1"/>
  <c r="Z121" i="3"/>
  <c r="Z120" i="3"/>
  <c r="V32" i="3"/>
  <c r="S101" i="3"/>
  <c r="V119" i="3"/>
  <c r="Y114" i="3"/>
  <c r="X75" i="3"/>
  <c r="CU10" i="39"/>
  <c r="G17" i="41" s="1"/>
  <c r="CK9" i="39"/>
  <c r="F16" i="41" s="1"/>
  <c r="C103" i="7"/>
  <c r="Y55" i="3"/>
  <c r="DP8" i="39"/>
  <c r="E19" i="41" s="1"/>
  <c r="Y39" i="3"/>
  <c r="AZ6" i="40"/>
  <c r="D66" i="41" s="1"/>
  <c r="W38" i="3"/>
  <c r="AR7" i="39"/>
  <c r="D7" i="41" s="1"/>
  <c r="Y33" i="3"/>
  <c r="C6" i="39"/>
  <c r="C3" i="41" s="1"/>
  <c r="EH5" i="39"/>
  <c r="W37" i="3"/>
  <c r="W111" i="3"/>
  <c r="M10" i="39"/>
  <c r="G4" i="41" s="1"/>
  <c r="FU37" i="2"/>
  <c r="Y121" i="3"/>
  <c r="Y120" i="3"/>
  <c r="AB119" i="3"/>
  <c r="DP10" i="39"/>
  <c r="G19" i="41" s="1"/>
  <c r="U66" i="3"/>
  <c r="U99" i="3"/>
  <c r="AB111" i="3"/>
  <c r="AZ12" i="40"/>
  <c r="J66" i="41" s="1"/>
  <c r="X107" i="3"/>
  <c r="W118" i="3"/>
  <c r="V115" i="3"/>
  <c r="Z111" i="3"/>
  <c r="S110" i="3"/>
  <c r="AA108" i="3"/>
  <c r="V107" i="3"/>
  <c r="V104" i="3"/>
  <c r="Y100" i="3"/>
  <c r="S99" i="3"/>
  <c r="D11" i="40"/>
  <c r="I56" i="41" s="1"/>
  <c r="AB93" i="3"/>
  <c r="Z91" i="3"/>
  <c r="X90" i="3"/>
  <c r="Y89" i="3"/>
  <c r="V88" i="3"/>
  <c r="EO11" i="39"/>
  <c r="H22" i="41" s="1"/>
  <c r="V83" i="3"/>
  <c r="V80" i="3"/>
  <c r="Y74" i="3"/>
  <c r="CK10" i="39"/>
  <c r="G16" i="41" s="1"/>
  <c r="D103" i="7"/>
  <c r="U73" i="3"/>
  <c r="W68" i="3"/>
  <c r="AB8" i="40"/>
  <c r="F59" i="41" s="1"/>
  <c r="DE8" i="39"/>
  <c r="E18" i="41" s="1"/>
  <c r="X49" i="3"/>
  <c r="X42" i="3"/>
  <c r="Y41" i="3"/>
  <c r="AR6" i="40"/>
  <c r="D65" i="41" s="1"/>
  <c r="W7" i="39"/>
  <c r="D5" i="41" s="1"/>
  <c r="BH5" i="40"/>
  <c r="EA5" i="39"/>
  <c r="BN5" i="39"/>
  <c r="V37" i="3"/>
  <c r="Z119" i="3"/>
  <c r="Z118" i="3"/>
  <c r="W86" i="3"/>
  <c r="AR11" i="39"/>
  <c r="H7" i="41" s="1"/>
  <c r="X115" i="3"/>
  <c r="AR12" i="40"/>
  <c r="J65" i="41" s="1"/>
  <c r="AB108" i="3"/>
  <c r="AB113" i="3"/>
  <c r="W112" i="3"/>
  <c r="Y111" i="3"/>
  <c r="Y108" i="3"/>
  <c r="U104" i="3"/>
  <c r="AB102" i="3"/>
  <c r="Y91" i="3"/>
  <c r="EA11" i="39"/>
  <c r="H20" i="41" s="1"/>
  <c r="T8" i="40"/>
  <c r="F58" i="41" s="1"/>
  <c r="U56" i="3"/>
  <c r="CU8" i="39"/>
  <c r="E17" i="41" s="1"/>
  <c r="U40" i="3"/>
  <c r="EO7" i="39"/>
  <c r="D22" i="41" s="1"/>
  <c r="C7" i="39"/>
  <c r="D3" i="41" s="1"/>
  <c r="W34" i="3"/>
  <c r="AZ5" i="40"/>
  <c r="DP5" i="39"/>
  <c r="BC5" i="39"/>
  <c r="U37" i="3"/>
  <c r="X26" i="3"/>
  <c r="BC6" i="39"/>
  <c r="FW97" i="2"/>
  <c r="T120" i="3"/>
  <c r="V118" i="3"/>
  <c r="X116" i="3"/>
  <c r="S113" i="3"/>
  <c r="U111" i="3"/>
  <c r="W109" i="3"/>
  <c r="T104" i="3"/>
  <c r="V102" i="3"/>
  <c r="X100" i="3"/>
  <c r="BU12" i="39"/>
  <c r="I10" i="41" s="1"/>
  <c r="S97" i="3"/>
  <c r="U95" i="3"/>
  <c r="T88" i="3"/>
  <c r="AG11" i="39"/>
  <c r="H6" i="41" s="1"/>
  <c r="X84" i="3"/>
  <c r="FW49" i="2"/>
  <c r="X68" i="3"/>
  <c r="BU8" i="39"/>
  <c r="E10" i="41" s="1"/>
  <c r="AG7" i="39"/>
  <c r="D6" i="41" s="1"/>
  <c r="Y118" i="3"/>
  <c r="Z117" i="3"/>
  <c r="Z116" i="3"/>
  <c r="Z112" i="3"/>
  <c r="CU12" i="39"/>
  <c r="I17" i="41" s="1"/>
  <c r="BH10" i="40"/>
  <c r="X73" i="3"/>
  <c r="EH6" i="39"/>
  <c r="C21" i="41" s="1"/>
  <c r="T119" i="3"/>
  <c r="AA100" i="3"/>
  <c r="T107" i="3"/>
  <c r="AB105" i="3"/>
  <c r="X101" i="3"/>
  <c r="T90" i="3"/>
  <c r="S88" i="3"/>
  <c r="AB86" i="3"/>
  <c r="DP11" i="39"/>
  <c r="H19" i="41" s="1"/>
  <c r="FU61" i="2"/>
  <c r="T75" i="3"/>
  <c r="T9" i="40"/>
  <c r="G58" i="41" s="1"/>
  <c r="X65" i="3"/>
  <c r="L8" i="40"/>
  <c r="F57" i="41" s="1"/>
  <c r="GC37" i="2"/>
  <c r="X58" i="3"/>
  <c r="Y57" i="3"/>
  <c r="Y50" i="3"/>
  <c r="CK8" i="39"/>
  <c r="E16" i="41" s="1"/>
  <c r="T42" i="3"/>
  <c r="EH7" i="39"/>
  <c r="D21" i="41" s="1"/>
  <c r="V34" i="3"/>
  <c r="AR5" i="40"/>
  <c r="DE5" i="39"/>
  <c r="W5" i="39"/>
  <c r="F37" i="37"/>
  <c r="K37" i="37" s="1"/>
  <c r="M37" i="37" s="1"/>
  <c r="F37" i="26"/>
  <c r="K37" i="26" s="1"/>
  <c r="M37" i="26" s="1"/>
  <c r="AR5" i="39"/>
  <c r="X33" i="3"/>
  <c r="AR6" i="39"/>
  <c r="C7" i="41" s="1"/>
  <c r="Z115" i="3"/>
  <c r="Z114" i="3"/>
  <c r="F85" i="37"/>
  <c r="K85" i="37" s="1"/>
  <c r="M85" i="37" s="1"/>
  <c r="F85" i="26"/>
  <c r="K85" i="26" s="1"/>
  <c r="M85" i="26" s="1"/>
  <c r="Z106" i="3"/>
  <c r="Z104" i="3"/>
  <c r="Z100" i="3"/>
  <c r="T113" i="3"/>
  <c r="Y106" i="3"/>
  <c r="Y87" i="3"/>
  <c r="AR10" i="40"/>
  <c r="S86" i="3"/>
  <c r="C11" i="39"/>
  <c r="H3" i="41" s="1"/>
  <c r="U88" i="3"/>
  <c r="GC49" i="2"/>
  <c r="S118" i="3"/>
  <c r="AA116" i="3"/>
  <c r="AA113" i="3"/>
  <c r="V112" i="3"/>
  <c r="FU85" i="2"/>
  <c r="S107" i="3"/>
  <c r="AA105" i="3"/>
  <c r="Z93" i="3"/>
  <c r="U112" i="3"/>
  <c r="AB110" i="3"/>
  <c r="Z105" i="3"/>
  <c r="L9" i="40"/>
  <c r="G57" i="41" s="1"/>
  <c r="AB7" i="40"/>
  <c r="E59" i="41" s="1"/>
  <c r="EA7" i="39"/>
  <c r="D20" i="41" s="1"/>
  <c r="EO6" i="39"/>
  <c r="C22" i="41" s="1"/>
  <c r="CU5" i="39"/>
  <c r="AG5" i="39"/>
  <c r="AG6" i="39"/>
  <c r="C6" i="41" s="1"/>
  <c r="T118" i="3"/>
  <c r="V116" i="3"/>
  <c r="X114" i="3"/>
  <c r="S111" i="3"/>
  <c r="U109" i="3"/>
  <c r="W107" i="3"/>
  <c r="T102" i="3"/>
  <c r="V100" i="3"/>
  <c r="S95" i="3"/>
  <c r="U93" i="3"/>
  <c r="M11" i="39"/>
  <c r="H4" i="41" s="1"/>
  <c r="V84" i="3"/>
  <c r="X82" i="3"/>
  <c r="V68" i="3"/>
  <c r="X66" i="3"/>
  <c r="X50" i="3"/>
  <c r="BC8" i="39"/>
  <c r="E8" i="41" s="1"/>
  <c r="M7" i="39"/>
  <c r="D4" i="41" s="1"/>
  <c r="Z108" i="3"/>
  <c r="Z102" i="3"/>
  <c r="F73" i="37"/>
  <c r="K73" i="37" s="1"/>
  <c r="F73" i="26"/>
  <c r="K73" i="26" s="1"/>
  <c r="S102" i="3"/>
  <c r="AB11" i="40"/>
  <c r="I59" i="41" s="1"/>
  <c r="T59" i="3"/>
  <c r="FU97" i="2"/>
  <c r="AA119" i="3"/>
  <c r="X117" i="3"/>
  <c r="V109" i="3"/>
  <c r="Y105" i="3"/>
  <c r="X103" i="3"/>
  <c r="T101" i="3"/>
  <c r="AA99" i="3"/>
  <c r="BH11" i="40"/>
  <c r="I67" i="41" s="1"/>
  <c r="W98" i="3"/>
  <c r="AR12" i="39"/>
  <c r="I7" i="41" s="1"/>
  <c r="Y97" i="3"/>
  <c r="V96" i="3"/>
  <c r="Y95" i="3"/>
  <c r="U94" i="3"/>
  <c r="U92" i="3"/>
  <c r="CU11" i="39"/>
  <c r="H17" i="41" s="1"/>
  <c r="W85" i="3"/>
  <c r="W82" i="3"/>
  <c r="D9" i="40"/>
  <c r="G56" i="41" s="1"/>
  <c r="CB9" i="39"/>
  <c r="F11" i="41" s="1"/>
  <c r="T58" i="3"/>
  <c r="W53" i="3"/>
  <c r="T7" i="40"/>
  <c r="E58" i="41" s="1"/>
  <c r="DP7" i="39"/>
  <c r="D19" i="41" s="1"/>
  <c r="FW13" i="2"/>
  <c r="V33" i="3"/>
  <c r="EA6" i="39"/>
  <c r="C20" i="41" s="1"/>
  <c r="CK5" i="39"/>
  <c r="D109" i="7"/>
  <c r="D111" i="7" s="1"/>
  <c r="AA110" i="3"/>
  <c r="G115" i="7"/>
  <c r="G117" i="7" s="1"/>
  <c r="V98" i="3"/>
  <c r="F114" i="7"/>
  <c r="F116" i="7" s="1"/>
  <c r="T98" i="3"/>
  <c r="F102" i="7"/>
  <c r="C120" i="7"/>
  <c r="X98" i="3"/>
  <c r="F120" i="7"/>
  <c r="F122" i="7" s="1"/>
  <c r="AA86" i="3"/>
  <c r="E115" i="7"/>
  <c r="E117" i="7" s="1"/>
  <c r="X74" i="3"/>
  <c r="D120" i="7"/>
  <c r="D122" i="7" s="1"/>
  <c r="C108" i="7"/>
  <c r="C114" i="7"/>
  <c r="U98" i="3"/>
  <c r="F108" i="7"/>
  <c r="F110" i="7" s="1"/>
  <c r="Z86" i="3"/>
  <c r="E109" i="7"/>
  <c r="E111" i="7" s="1"/>
  <c r="AA98" i="3"/>
  <c r="F115" i="7"/>
  <c r="F117" i="7" s="1"/>
  <c r="X110" i="3"/>
  <c r="G120" i="7"/>
  <c r="G122" i="7" s="1"/>
  <c r="X86" i="3"/>
  <c r="E120" i="7"/>
  <c r="E122" i="7" s="1"/>
  <c r="D114" i="7"/>
  <c r="D116" i="7" s="1"/>
  <c r="T110" i="3"/>
  <c r="G102" i="7"/>
  <c r="V110" i="3"/>
  <c r="G114" i="7"/>
  <c r="G116" i="7" s="1"/>
  <c r="C115" i="7"/>
  <c r="U110" i="3"/>
  <c r="G108" i="7"/>
  <c r="G110" i="7" s="1"/>
  <c r="U86" i="3"/>
  <c r="E108" i="7"/>
  <c r="E110" i="7" s="1"/>
  <c r="D115" i="7"/>
  <c r="D117" i="7" s="1"/>
  <c r="C109" i="7"/>
  <c r="U74" i="3"/>
  <c r="D108" i="7"/>
  <c r="D110" i="7" s="1"/>
  <c r="T74" i="3"/>
  <c r="D102" i="7"/>
  <c r="V86" i="3"/>
  <c r="E114" i="7"/>
  <c r="E116" i="7" s="1"/>
  <c r="Z110" i="3"/>
  <c r="G109" i="7"/>
  <c r="G111" i="7" s="1"/>
  <c r="Z98" i="3"/>
  <c r="F109" i="7"/>
  <c r="F111" i="7" s="1"/>
  <c r="T86" i="3"/>
  <c r="E102" i="7"/>
  <c r="GC61" i="2"/>
  <c r="GB13" i="2"/>
  <c r="GA13" i="2"/>
  <c r="GA97" i="2"/>
  <c r="GB97" i="2"/>
  <c r="GB49" i="2"/>
  <c r="GA49" i="2"/>
  <c r="GD61" i="2"/>
  <c r="FU25" i="2"/>
  <c r="FU73" i="2"/>
  <c r="GB37" i="2"/>
  <c r="GA37" i="2"/>
  <c r="GB25" i="2"/>
  <c r="GA25" i="2"/>
  <c r="GB73" i="2"/>
  <c r="GA73" i="2"/>
  <c r="GB61" i="2"/>
  <c r="GA61" i="2"/>
  <c r="GD25" i="2"/>
  <c r="GA85" i="2"/>
  <c r="GB85" i="2"/>
  <c r="GC73" i="2"/>
  <c r="GC25" i="2"/>
  <c r="GC13" i="2"/>
  <c r="GD37" i="2"/>
  <c r="GD49" i="2"/>
  <c r="GC97" i="2"/>
  <c r="FW85" i="2"/>
  <c r="FV37" i="2"/>
  <c r="FV61" i="2"/>
  <c r="FU49" i="2"/>
  <c r="GC85" i="2"/>
  <c r="FV25" i="2"/>
  <c r="FV13" i="2"/>
  <c r="AA83" i="3"/>
  <c r="BJ59" i="2"/>
  <c r="W59" i="2"/>
  <c r="Q59" i="2"/>
  <c r="AH59" i="2"/>
  <c r="AC59" i="2"/>
  <c r="Y81" i="3"/>
  <c r="AB62" i="3"/>
  <c r="AB60" i="3"/>
  <c r="Q36" i="2"/>
  <c r="AC36" i="2"/>
  <c r="W36" i="2"/>
  <c r="BJ36" i="2"/>
  <c r="AH36" i="2"/>
  <c r="AA58" i="3"/>
  <c r="Z56" i="3"/>
  <c r="Z52" i="3"/>
  <c r="Z50" i="3"/>
  <c r="Z48" i="3"/>
  <c r="Y46" i="3"/>
  <c r="Z38" i="3"/>
  <c r="Z32" i="3"/>
  <c r="AH5" i="2"/>
  <c r="AC5" i="2"/>
  <c r="W5" i="2"/>
  <c r="BJ5" i="2"/>
  <c r="Q5" i="2"/>
  <c r="Y27" i="3"/>
  <c r="AB26" i="3"/>
  <c r="Z83" i="3"/>
  <c r="AB76" i="3"/>
  <c r="BJ42" i="2"/>
  <c r="AH42" i="2"/>
  <c r="AC42" i="2"/>
  <c r="W42" i="2"/>
  <c r="Q42" i="2"/>
  <c r="W40" i="2"/>
  <c r="Q40" i="2"/>
  <c r="BJ40" i="2"/>
  <c r="AH40" i="2"/>
  <c r="AC40" i="2"/>
  <c r="AA62" i="3"/>
  <c r="BJ38" i="2"/>
  <c r="AH38" i="2"/>
  <c r="AC38" i="2"/>
  <c r="W38" i="2"/>
  <c r="Q38" i="2"/>
  <c r="AA60" i="3"/>
  <c r="Z58" i="3"/>
  <c r="Y48" i="3"/>
  <c r="Y38" i="3"/>
  <c r="Y32" i="3"/>
  <c r="AA26" i="3"/>
  <c r="AA1" i="3"/>
  <c r="AB29" i="3"/>
  <c r="Z26" i="3"/>
  <c r="Z1" i="3"/>
  <c r="AB85" i="3"/>
  <c r="Y83" i="3"/>
  <c r="AB78" i="3"/>
  <c r="AA76" i="3"/>
  <c r="AC52" i="2"/>
  <c r="W52" i="2"/>
  <c r="Q52" i="2"/>
  <c r="BJ52" i="2"/>
  <c r="AH52" i="2"/>
  <c r="AB74" i="3"/>
  <c r="AH50" i="2"/>
  <c r="BJ50" i="2"/>
  <c r="AC50" i="2"/>
  <c r="W50" i="2"/>
  <c r="Q50" i="2"/>
  <c r="AB64" i="3"/>
  <c r="Z62" i="3"/>
  <c r="AA85" i="3"/>
  <c r="AH61" i="2"/>
  <c r="AC61" i="2"/>
  <c r="W61" i="2"/>
  <c r="BJ61" i="2"/>
  <c r="Q61" i="2"/>
  <c r="AA78" i="3"/>
  <c r="Z76" i="3"/>
  <c r="AA74" i="3"/>
  <c r="W48" i="2"/>
  <c r="Q48" i="2"/>
  <c r="BJ48" i="2"/>
  <c r="AH48" i="2"/>
  <c r="AC48" i="2"/>
  <c r="Q46" i="2"/>
  <c r="AC46" i="2"/>
  <c r="W46" i="2"/>
  <c r="BJ46" i="2"/>
  <c r="AH46" i="2"/>
  <c r="BJ44" i="2"/>
  <c r="W44" i="2"/>
  <c r="Q44" i="2"/>
  <c r="AC44" i="2"/>
  <c r="AH44" i="2"/>
  <c r="AB66" i="3"/>
  <c r="AA64" i="3"/>
  <c r="Y62" i="3"/>
  <c r="Y60" i="3"/>
  <c r="AB43" i="3"/>
  <c r="AB35" i="3"/>
  <c r="BJ10" i="2"/>
  <c r="AH10" i="2"/>
  <c r="AC10" i="2"/>
  <c r="Q10" i="2"/>
  <c r="W10" i="2"/>
  <c r="AA29" i="3"/>
  <c r="Y26" i="3"/>
  <c r="Z60" i="3"/>
  <c r="AH13" i="2"/>
  <c r="AC13" i="2"/>
  <c r="W13" i="2"/>
  <c r="BJ13" i="2"/>
  <c r="Q13" i="2"/>
  <c r="Z85" i="3"/>
  <c r="AB80" i="3"/>
  <c r="W56" i="2"/>
  <c r="Q56" i="2"/>
  <c r="BJ56" i="2"/>
  <c r="AC56" i="2"/>
  <c r="AH56" i="2"/>
  <c r="Z78" i="3"/>
  <c r="W54" i="2"/>
  <c r="Q54" i="2"/>
  <c r="BJ54" i="2"/>
  <c r="AC54" i="2"/>
  <c r="AH54" i="2"/>
  <c r="Y76" i="3"/>
  <c r="Z74" i="3"/>
  <c r="AB72" i="3"/>
  <c r="AB70" i="3"/>
  <c r="AA66" i="3"/>
  <c r="Z64" i="3"/>
  <c r="BJ31" i="2"/>
  <c r="Q31" i="2"/>
  <c r="AC31" i="2"/>
  <c r="AH31" i="2"/>
  <c r="W31" i="2"/>
  <c r="AH21" i="2"/>
  <c r="AC21" i="2"/>
  <c r="W21" i="2"/>
  <c r="BJ21" i="2"/>
  <c r="Q21" i="2"/>
  <c r="AA43" i="3"/>
  <c r="AH19" i="2"/>
  <c r="W19" i="2"/>
  <c r="AC19" i="2"/>
  <c r="BJ19" i="2"/>
  <c r="Q19" i="2"/>
  <c r="AB41" i="3"/>
  <c r="AB39" i="3"/>
  <c r="AA35" i="3"/>
  <c r="AB31" i="3"/>
  <c r="AH7" i="2"/>
  <c r="AC7" i="2"/>
  <c r="W7" i="2"/>
  <c r="BJ7" i="2"/>
  <c r="Q7" i="2"/>
  <c r="Z29" i="3"/>
  <c r="AA80" i="3"/>
  <c r="Y78" i="3"/>
  <c r="AA72" i="3"/>
  <c r="AA70" i="3"/>
  <c r="AB68" i="3"/>
  <c r="Z66" i="3"/>
  <c r="Y64" i="3"/>
  <c r="AB55" i="3"/>
  <c r="AB49" i="3"/>
  <c r="BJ23" i="2"/>
  <c r="AH23" i="2"/>
  <c r="W23" i="2"/>
  <c r="Q23" i="2"/>
  <c r="AC23" i="2"/>
  <c r="Z43" i="3"/>
  <c r="AA41" i="3"/>
  <c r="AH17" i="2"/>
  <c r="AC17" i="2"/>
  <c r="W17" i="2"/>
  <c r="BJ17" i="2"/>
  <c r="Q17" i="2"/>
  <c r="AA39" i="3"/>
  <c r="AB37" i="3"/>
  <c r="Z35" i="3"/>
  <c r="AA31" i="3"/>
  <c r="Y29" i="3"/>
  <c r="BJ4" i="2"/>
  <c r="AH4" i="2"/>
  <c r="AC4" i="2"/>
  <c r="W4" i="2"/>
  <c r="Q4" i="2"/>
  <c r="AB1" i="3"/>
  <c r="BJ58" i="2"/>
  <c r="AH58" i="2"/>
  <c r="W58" i="2"/>
  <c r="AC58" i="2"/>
  <c r="Q58" i="2"/>
  <c r="Z80" i="3"/>
  <c r="Z72" i="3"/>
  <c r="Z70" i="3"/>
  <c r="AA68" i="3"/>
  <c r="Y66" i="3"/>
  <c r="BJ33" i="2"/>
  <c r="AH33" i="2"/>
  <c r="W33" i="2"/>
  <c r="Q33" i="2"/>
  <c r="AC33" i="2"/>
  <c r="AA55" i="3"/>
  <c r="AB53" i="3"/>
  <c r="AH29" i="2"/>
  <c r="AC29" i="2"/>
  <c r="W29" i="2"/>
  <c r="Q29" i="2"/>
  <c r="BJ29" i="2"/>
  <c r="AB51" i="3"/>
  <c r="BJ27" i="2"/>
  <c r="AH27" i="2"/>
  <c r="AC27" i="2"/>
  <c r="W27" i="2"/>
  <c r="Q27" i="2"/>
  <c r="AA49" i="3"/>
  <c r="AH25" i="2"/>
  <c r="Q25" i="2"/>
  <c r="BJ25" i="2"/>
  <c r="W25" i="2"/>
  <c r="AC25" i="2"/>
  <c r="AB47" i="3"/>
  <c r="AB45" i="3"/>
  <c r="Y43" i="3"/>
  <c r="Z41" i="3"/>
  <c r="Z39" i="3"/>
  <c r="AH15" i="2"/>
  <c r="BJ15" i="2"/>
  <c r="AC15" i="2"/>
  <c r="W15" i="2"/>
  <c r="Q15" i="2"/>
  <c r="AA37" i="3"/>
  <c r="Y35" i="3"/>
  <c r="AB34" i="3"/>
  <c r="W9" i="2"/>
  <c r="AH9" i="2"/>
  <c r="AC9" i="2"/>
  <c r="BJ9" i="2"/>
  <c r="Q9" i="2"/>
  <c r="Z31" i="3"/>
  <c r="AB82" i="3"/>
  <c r="Y80" i="3"/>
  <c r="Y72" i="3"/>
  <c r="Y70" i="3"/>
  <c r="Z68" i="3"/>
  <c r="AH35" i="2"/>
  <c r="BJ35" i="2"/>
  <c r="W35" i="2"/>
  <c r="Q35" i="2"/>
  <c r="AC35" i="2"/>
  <c r="AB57" i="3"/>
  <c r="Z55" i="3"/>
  <c r="AA53" i="3"/>
  <c r="AA51" i="3"/>
  <c r="Z49" i="3"/>
  <c r="AA47" i="3"/>
  <c r="AA45" i="3"/>
  <c r="Z37" i="3"/>
  <c r="AA34" i="3"/>
  <c r="Y31" i="3"/>
  <c r="BJ60" i="2"/>
  <c r="AH60" i="2"/>
  <c r="AC60" i="2"/>
  <c r="W60" i="2"/>
  <c r="Q60" i="2"/>
  <c r="AA82" i="3"/>
  <c r="Y68" i="3"/>
  <c r="BJ39" i="2"/>
  <c r="W39" i="2"/>
  <c r="Q39" i="2"/>
  <c r="AH39" i="2"/>
  <c r="AC39" i="2"/>
  <c r="AH37" i="2"/>
  <c r="AC37" i="2"/>
  <c r="W37" i="2"/>
  <c r="Q37" i="2"/>
  <c r="BJ37" i="2"/>
  <c r="AB59" i="3"/>
  <c r="AA57" i="3"/>
  <c r="Z53" i="3"/>
  <c r="Z51" i="3"/>
  <c r="Y49" i="3"/>
  <c r="Z47" i="3"/>
  <c r="Z45" i="3"/>
  <c r="Y37" i="3"/>
  <c r="Z34" i="3"/>
  <c r="AB28" i="3"/>
  <c r="Z82" i="3"/>
  <c r="AB65" i="3"/>
  <c r="AB63" i="3"/>
  <c r="AB61" i="3"/>
  <c r="AA59" i="3"/>
  <c r="Z57" i="3"/>
  <c r="Y51" i="3"/>
  <c r="Y47" i="3"/>
  <c r="Y45" i="3"/>
  <c r="AA28" i="3"/>
  <c r="AC3" i="2"/>
  <c r="W3" i="2"/>
  <c r="BJ3" i="2"/>
  <c r="Q3" i="2"/>
  <c r="AH3" i="2"/>
  <c r="AB84" i="3"/>
  <c r="Y82" i="3"/>
  <c r="AH55" i="2"/>
  <c r="AC55" i="2"/>
  <c r="W55" i="2"/>
  <c r="Q55" i="2"/>
  <c r="BJ55" i="2"/>
  <c r="AH53" i="2"/>
  <c r="AC53" i="2"/>
  <c r="W53" i="2"/>
  <c r="BJ53" i="2"/>
  <c r="Q53" i="2"/>
  <c r="AB75" i="3"/>
  <c r="Q51" i="2"/>
  <c r="BJ51" i="2"/>
  <c r="AC51" i="2"/>
  <c r="W51" i="2"/>
  <c r="AH51" i="2"/>
  <c r="AB73" i="3"/>
  <c r="AA65" i="3"/>
  <c r="BJ41" i="2"/>
  <c r="Q41" i="2"/>
  <c r="AH41" i="2"/>
  <c r="W41" i="2"/>
  <c r="AC41" i="2"/>
  <c r="AA63" i="3"/>
  <c r="AA61" i="3"/>
  <c r="Z59" i="3"/>
  <c r="AB36" i="3"/>
  <c r="AH6" i="2"/>
  <c r="AC6" i="2"/>
  <c r="Q6" i="2"/>
  <c r="W6" i="2"/>
  <c r="BJ6" i="2"/>
  <c r="Z28" i="3"/>
  <c r="Y1" i="3"/>
  <c r="AA84" i="3"/>
  <c r="AB79" i="3"/>
  <c r="AB77" i="3"/>
  <c r="AA75" i="3"/>
  <c r="AA73" i="3"/>
  <c r="AB71" i="3"/>
  <c r="AB69" i="3"/>
  <c r="AB67" i="3"/>
  <c r="BJ43" i="2"/>
  <c r="AH43" i="2"/>
  <c r="W43" i="2"/>
  <c r="Q43" i="2"/>
  <c r="AC43" i="2"/>
  <c r="Z65" i="3"/>
  <c r="Z63" i="3"/>
  <c r="Z61" i="3"/>
  <c r="Y59" i="3"/>
  <c r="BJ20" i="2"/>
  <c r="AH20" i="2"/>
  <c r="AC20" i="2"/>
  <c r="Q20" i="2"/>
  <c r="W20" i="2"/>
  <c r="AA36" i="3"/>
  <c r="BJ12" i="2"/>
  <c r="AC12" i="2"/>
  <c r="AH12" i="2"/>
  <c r="W12" i="2"/>
  <c r="Q12" i="2"/>
  <c r="AB33" i="3"/>
  <c r="Y28" i="3"/>
  <c r="Z84" i="3"/>
  <c r="AA79" i="3"/>
  <c r="AA77" i="3"/>
  <c r="Z75" i="3"/>
  <c r="Z73" i="3"/>
  <c r="W49" i="2"/>
  <c r="Q49" i="2"/>
  <c r="AH49" i="2"/>
  <c r="AC49" i="2"/>
  <c r="BJ49" i="2"/>
  <c r="AA71" i="3"/>
  <c r="AC47" i="2"/>
  <c r="W47" i="2"/>
  <c r="Q47" i="2"/>
  <c r="BJ47" i="2"/>
  <c r="AH47" i="2"/>
  <c r="AA69" i="3"/>
  <c r="AA67" i="3"/>
  <c r="Y65" i="3"/>
  <c r="Y63" i="3"/>
  <c r="Y61" i="3"/>
  <c r="AB54" i="3"/>
  <c r="AB44" i="3"/>
  <c r="AB42" i="3"/>
  <c r="AH18" i="2"/>
  <c r="BJ18" i="2"/>
  <c r="AC18" i="2"/>
  <c r="W18" i="2"/>
  <c r="Q18" i="2"/>
  <c r="W16" i="2"/>
  <c r="Q16" i="2"/>
  <c r="AH16" i="2"/>
  <c r="AC16" i="2"/>
  <c r="BJ16" i="2"/>
  <c r="Z36" i="3"/>
  <c r="AA33" i="3"/>
  <c r="W8" i="2"/>
  <c r="Q8" i="2"/>
  <c r="AC8" i="2"/>
  <c r="BJ8" i="2"/>
  <c r="AH8" i="2"/>
  <c r="AB30" i="3"/>
  <c r="AH2" i="2"/>
  <c r="BJ2" i="2"/>
  <c r="AC2" i="2"/>
  <c r="Q2" i="2"/>
  <c r="W2" i="2"/>
  <c r="AB81" i="3"/>
  <c r="AC57" i="2"/>
  <c r="W57" i="2"/>
  <c r="Q57" i="2"/>
  <c r="BJ57" i="2"/>
  <c r="AH57" i="2"/>
  <c r="Z79" i="3"/>
  <c r="Z77" i="3"/>
  <c r="Y75" i="3"/>
  <c r="Y73" i="3"/>
  <c r="Z71" i="3"/>
  <c r="Z69" i="3"/>
  <c r="AH45" i="2"/>
  <c r="AC45" i="2"/>
  <c r="W45" i="2"/>
  <c r="Q45" i="2"/>
  <c r="BJ45" i="2"/>
  <c r="Z67" i="3"/>
  <c r="W32" i="2"/>
  <c r="Q32" i="2"/>
  <c r="AC32" i="2"/>
  <c r="AH32" i="2"/>
  <c r="BJ32" i="2"/>
  <c r="AA54" i="3"/>
  <c r="BJ26" i="2"/>
  <c r="AH26" i="2"/>
  <c r="Q26" i="2"/>
  <c r="AC26" i="2"/>
  <c r="W26" i="2"/>
  <c r="AB46" i="3"/>
  <c r="AA44" i="3"/>
  <c r="AA42" i="3"/>
  <c r="AB40" i="3"/>
  <c r="AH14" i="2"/>
  <c r="BJ14" i="2"/>
  <c r="AC14" i="2"/>
  <c r="W14" i="2"/>
  <c r="Q14" i="2"/>
  <c r="Y36" i="3"/>
  <c r="Z33" i="3"/>
  <c r="AA30" i="3"/>
  <c r="AB27" i="3"/>
  <c r="Z44" i="3"/>
  <c r="AA27" i="3"/>
  <c r="AA81" i="3"/>
  <c r="Y79" i="3"/>
  <c r="Y77" i="3"/>
  <c r="Y71" i="3"/>
  <c r="Y69" i="3"/>
  <c r="Y67" i="3"/>
  <c r="AB56" i="3"/>
  <c r="Z54" i="3"/>
  <c r="AH30" i="2"/>
  <c r="AC30" i="2"/>
  <c r="Q30" i="2"/>
  <c r="W30" i="2"/>
  <c r="BJ30" i="2"/>
  <c r="AB52" i="3"/>
  <c r="BJ28" i="2"/>
  <c r="AH28" i="2"/>
  <c r="AC28" i="2"/>
  <c r="W28" i="2"/>
  <c r="Q28" i="2"/>
  <c r="AB50" i="3"/>
  <c r="AB48" i="3"/>
  <c r="W24" i="2"/>
  <c r="Q24" i="2"/>
  <c r="AH24" i="2"/>
  <c r="AC24" i="2"/>
  <c r="BJ24" i="2"/>
  <c r="AA46" i="3"/>
  <c r="AC22" i="2"/>
  <c r="BJ22" i="2"/>
  <c r="AH22" i="2"/>
  <c r="W22" i="2"/>
  <c r="Q22" i="2"/>
  <c r="Z42" i="3"/>
  <c r="AA40" i="3"/>
  <c r="AB38" i="3"/>
  <c r="BJ11" i="2"/>
  <c r="AH11" i="2"/>
  <c r="AC11" i="2"/>
  <c r="W11" i="2"/>
  <c r="Q11" i="2"/>
  <c r="AB32" i="3"/>
  <c r="Z30" i="3"/>
  <c r="AB83" i="3"/>
  <c r="Z81" i="3"/>
  <c r="AB58" i="3"/>
  <c r="AH34" i="2"/>
  <c r="W34" i="2"/>
  <c r="Q34" i="2"/>
  <c r="BJ34" i="2"/>
  <c r="AC34" i="2"/>
  <c r="AA56" i="3"/>
  <c r="AA52" i="3"/>
  <c r="AA50" i="3"/>
  <c r="AA48" i="3"/>
  <c r="Z46" i="3"/>
  <c r="Y44" i="3"/>
  <c r="Z40" i="3"/>
  <c r="AA38" i="3"/>
  <c r="AA32" i="3"/>
  <c r="Y30" i="3"/>
  <c r="Z27" i="3"/>
  <c r="U80" i="3"/>
  <c r="U78" i="3"/>
  <c r="T76" i="3"/>
  <c r="S74" i="3"/>
  <c r="U70" i="3"/>
  <c r="U68" i="3"/>
  <c r="X51" i="3"/>
  <c r="V45" i="3"/>
  <c r="U43" i="3"/>
  <c r="V41" i="3"/>
  <c r="S37" i="3"/>
  <c r="U31" i="3"/>
  <c r="X28" i="3"/>
  <c r="U33" i="3"/>
  <c r="X80" i="3"/>
  <c r="X64" i="3"/>
  <c r="U59" i="3"/>
  <c r="X48" i="3"/>
  <c r="S45" i="3"/>
  <c r="W65" i="3"/>
  <c r="S83" i="3"/>
  <c r="T1" i="3"/>
  <c r="S1" i="3"/>
  <c r="T85" i="3"/>
  <c r="T80" i="3"/>
  <c r="T78" i="3"/>
  <c r="S72" i="3"/>
  <c r="S70" i="3"/>
  <c r="S68" i="3"/>
  <c r="W51" i="3"/>
  <c r="W47" i="3"/>
  <c r="U45" i="3"/>
  <c r="V39" i="3"/>
  <c r="T31" i="3"/>
  <c r="W28" i="3"/>
  <c r="V63" i="3"/>
  <c r="W1" i="3"/>
  <c r="V1" i="3"/>
  <c r="S80" i="3"/>
  <c r="S78" i="3"/>
  <c r="V57" i="3"/>
  <c r="S55" i="3"/>
  <c r="V51" i="3"/>
  <c r="W49" i="3"/>
  <c r="V47" i="3"/>
  <c r="T45" i="3"/>
  <c r="S43" i="3"/>
  <c r="S31" i="3"/>
  <c r="V28" i="3"/>
  <c r="S33" i="3"/>
  <c r="W29" i="3"/>
  <c r="S59" i="3"/>
  <c r="X46" i="3"/>
  <c r="X61" i="3"/>
  <c r="W59" i="3"/>
  <c r="T53" i="3"/>
  <c r="T51" i="3"/>
  <c r="U49" i="3"/>
  <c r="T47" i="3"/>
  <c r="S41" i="3"/>
  <c r="S28" i="3"/>
  <c r="S82" i="3"/>
  <c r="W63" i="3"/>
  <c r="V61" i="3"/>
  <c r="V59" i="3"/>
  <c r="S57" i="3"/>
  <c r="S53" i="3"/>
  <c r="S51" i="3"/>
  <c r="T49" i="3"/>
  <c r="S39" i="3"/>
  <c r="T33" i="3"/>
  <c r="X77" i="3"/>
  <c r="V75" i="3"/>
  <c r="T29" i="3"/>
  <c r="V27" i="3"/>
  <c r="U84" i="3"/>
  <c r="X71" i="3"/>
  <c r="T61" i="3"/>
  <c r="W30" i="3"/>
  <c r="S84" i="3"/>
  <c r="W79" i="3"/>
  <c r="V77" i="3"/>
  <c r="U75" i="3"/>
  <c r="X69" i="3"/>
  <c r="X67" i="3"/>
  <c r="U65" i="3"/>
  <c r="T63" i="3"/>
  <c r="S61" i="3"/>
  <c r="X44" i="3"/>
  <c r="V30" i="3"/>
  <c r="U27" i="3"/>
  <c r="V79" i="3"/>
  <c r="T77" i="3"/>
  <c r="V73" i="3"/>
  <c r="V71" i="3"/>
  <c r="W67" i="3"/>
  <c r="T65" i="3"/>
  <c r="X54" i="3"/>
  <c r="W44" i="3"/>
  <c r="X32" i="3"/>
  <c r="U30" i="3"/>
  <c r="W27" i="3"/>
  <c r="S36" i="3"/>
  <c r="T79" i="3"/>
  <c r="S77" i="3"/>
  <c r="S75" i="3"/>
  <c r="V67" i="3"/>
  <c r="S65" i="3"/>
  <c r="W48" i="3"/>
  <c r="W46" i="3"/>
  <c r="V44" i="3"/>
  <c r="W42" i="3"/>
  <c r="V40" i="3"/>
  <c r="X38" i="3"/>
  <c r="U36" i="3"/>
  <c r="W32" i="3"/>
  <c r="S30" i="3"/>
  <c r="X30" i="3"/>
  <c r="S27" i="3"/>
  <c r="S85" i="3"/>
  <c r="U83" i="3"/>
  <c r="W81" i="3"/>
  <c r="V74" i="3"/>
  <c r="X72" i="3"/>
  <c r="U67" i="3"/>
  <c r="T60" i="3"/>
  <c r="V58" i="3"/>
  <c r="X56" i="3"/>
  <c r="U51" i="3"/>
  <c r="T44" i="3"/>
  <c r="V42" i="3"/>
  <c r="X40" i="3"/>
  <c r="X79" i="3"/>
  <c r="S67" i="3"/>
  <c r="V56" i="3"/>
  <c r="V54" i="3"/>
  <c r="V46" i="3"/>
  <c r="U44" i="3"/>
  <c r="T32" i="3"/>
  <c r="X37" i="3"/>
  <c r="S34" i="3"/>
  <c r="U32" i="3"/>
  <c r="S76" i="3"/>
  <c r="W72" i="3"/>
  <c r="T67" i="3"/>
  <c r="X63" i="3"/>
  <c r="S60" i="3"/>
  <c r="W56" i="3"/>
  <c r="X47" i="3"/>
  <c r="S44" i="3"/>
  <c r="W40" i="3"/>
  <c r="X83" i="3"/>
  <c r="U81" i="3"/>
  <c r="S73" i="3"/>
  <c r="S71" i="3"/>
  <c r="T69" i="3"/>
  <c r="X62" i="3"/>
  <c r="U54" i="3"/>
  <c r="U48" i="3"/>
  <c r="U46" i="3"/>
  <c r="S42" i="3"/>
  <c r="S40" i="3"/>
  <c r="U38" i="3"/>
  <c r="S32" i="3"/>
  <c r="S26" i="3"/>
  <c r="W83" i="3"/>
  <c r="T81" i="3"/>
  <c r="S69" i="3"/>
  <c r="W62" i="3"/>
  <c r="X60" i="3"/>
  <c r="W58" i="3"/>
  <c r="S56" i="3"/>
  <c r="T54" i="3"/>
  <c r="U52" i="3"/>
  <c r="S50" i="3"/>
  <c r="T48" i="3"/>
  <c r="T46" i="3"/>
  <c r="S38" i="3"/>
  <c r="T35" i="3"/>
  <c r="X29" i="3"/>
  <c r="X35" i="3"/>
  <c r="X1" i="3"/>
  <c r="X76" i="3"/>
  <c r="W64" i="3"/>
  <c r="V62" i="3"/>
  <c r="W60" i="3"/>
  <c r="S54" i="3"/>
  <c r="S52" i="3"/>
  <c r="S48" i="3"/>
  <c r="S46" i="3"/>
  <c r="S35" i="3"/>
  <c r="V29" i="3"/>
  <c r="W35" i="3"/>
  <c r="T30" i="3"/>
  <c r="S81" i="3"/>
  <c r="U79" i="3"/>
  <c r="W77" i="3"/>
  <c r="T72" i="3"/>
  <c r="V70" i="3"/>
  <c r="U63" i="3"/>
  <c r="W61" i="3"/>
  <c r="T56" i="3"/>
  <c r="S49" i="3"/>
  <c r="U47" i="3"/>
  <c r="W45" i="3"/>
  <c r="T40" i="3"/>
  <c r="V38" i="3"/>
  <c r="X85" i="3"/>
  <c r="T83" i="3"/>
  <c r="X78" i="3"/>
  <c r="W76" i="3"/>
  <c r="U64" i="3"/>
  <c r="U62" i="3"/>
  <c r="V60" i="3"/>
  <c r="S58" i="3"/>
  <c r="X31" i="3"/>
  <c r="U29" i="3"/>
  <c r="T37" i="3"/>
  <c r="V35" i="3"/>
  <c r="U28" i="3"/>
  <c r="W26" i="3"/>
  <c r="W80" i="3"/>
  <c r="W78" i="3"/>
  <c r="V76" i="3"/>
  <c r="W74" i="3"/>
  <c r="X70" i="3"/>
  <c r="T64" i="3"/>
  <c r="T62" i="3"/>
  <c r="U60" i="3"/>
  <c r="X55" i="3"/>
  <c r="W31" i="3"/>
  <c r="S29" i="3"/>
  <c r="U35" i="3"/>
  <c r="W33" i="3"/>
  <c r="T28" i="3"/>
  <c r="V26" i="3"/>
  <c r="S79" i="3"/>
  <c r="U77" i="3"/>
  <c r="W75" i="3"/>
  <c r="T70" i="3"/>
  <c r="S63" i="3"/>
  <c r="U61" i="3"/>
  <c r="S47" i="3"/>
  <c r="W43" i="3"/>
  <c r="T38" i="3"/>
  <c r="U1" i="3"/>
  <c r="V78" i="3"/>
  <c r="U76" i="3"/>
  <c r="V72" i="3"/>
  <c r="S66" i="3"/>
  <c r="S64" i="3"/>
  <c r="S62" i="3"/>
  <c r="V55" i="3"/>
  <c r="X53" i="3"/>
  <c r="X45" i="3"/>
  <c r="V43" i="3"/>
  <c r="W41" i="3"/>
  <c r="X39" i="3"/>
  <c r="V31" i="3"/>
  <c r="J60" i="41" l="1"/>
  <c r="AI25" i="40"/>
  <c r="J60" i="73" s="1"/>
  <c r="I60" i="41"/>
  <c r="AI24" i="40"/>
  <c r="I60" i="73" s="1"/>
  <c r="G60" i="41"/>
  <c r="AI22" i="40"/>
  <c r="G60" i="73" s="1"/>
  <c r="F60" i="41"/>
  <c r="F17" i="44" s="1"/>
  <c r="AI21" i="40"/>
  <c r="F60" i="73" s="1"/>
  <c r="E60" i="41"/>
  <c r="E17" i="44" s="1"/>
  <c r="AI20" i="40"/>
  <c r="E60" i="73" s="1"/>
  <c r="D60" i="41"/>
  <c r="D17" i="44" s="1"/>
  <c r="AI19" i="40"/>
  <c r="D60" i="73" s="1"/>
  <c r="K60" i="41"/>
  <c r="AI26" i="40"/>
  <c r="K60" i="73" s="1"/>
  <c r="J68" i="41"/>
  <c r="BO25" i="40"/>
  <c r="J68" i="73" s="1"/>
  <c r="I68" i="41"/>
  <c r="I68" i="44" s="1"/>
  <c r="BO24" i="40"/>
  <c r="I68" i="73" s="1"/>
  <c r="G68" i="41"/>
  <c r="BO22" i="40"/>
  <c r="G68" i="73" s="1"/>
  <c r="F68" i="41"/>
  <c r="F68" i="44" s="1"/>
  <c r="BO21" i="40"/>
  <c r="F68" i="73" s="1"/>
  <c r="K68" i="41"/>
  <c r="BO26" i="40"/>
  <c r="K68" i="73" s="1"/>
  <c r="E68" i="41"/>
  <c r="E68" i="44" s="1"/>
  <c r="BO20" i="40"/>
  <c r="E68" i="73" s="1"/>
  <c r="D68" i="41"/>
  <c r="D68" i="44" s="1"/>
  <c r="BO19" i="40"/>
  <c r="D68" i="73" s="1"/>
  <c r="O182" i="33"/>
  <c r="Q182" i="33" s="1"/>
  <c r="O170" i="33"/>
  <c r="Q170" i="33" s="1"/>
  <c r="F183" i="33"/>
  <c r="L183" i="33" s="1"/>
  <c r="L171" i="33"/>
  <c r="I183" i="31"/>
  <c r="Q183" i="31" s="1"/>
  <c r="Q171" i="31"/>
  <c r="O159" i="33"/>
  <c r="Q159" i="33" s="1"/>
  <c r="K148" i="32"/>
  <c r="M148" i="32" s="1"/>
  <c r="I160" i="32"/>
  <c r="E172" i="32"/>
  <c r="O148" i="33"/>
  <c r="Q148" i="33" s="1"/>
  <c r="K182" i="32"/>
  <c r="M182" i="32" s="1"/>
  <c r="S148" i="31"/>
  <c r="F172" i="33"/>
  <c r="L160" i="33"/>
  <c r="K170" i="32"/>
  <c r="M170" i="32" s="1"/>
  <c r="I172" i="31"/>
  <c r="Q160" i="31"/>
  <c r="F161" i="33"/>
  <c r="L149" i="33"/>
  <c r="O137" i="33"/>
  <c r="Q137" i="33" s="1"/>
  <c r="F139" i="33"/>
  <c r="L138" i="33"/>
  <c r="I139" i="31"/>
  <c r="Q138" i="31"/>
  <c r="E161" i="32"/>
  <c r="I149" i="32"/>
  <c r="E139" i="32"/>
  <c r="I138" i="32"/>
  <c r="E183" i="32"/>
  <c r="I183" i="32" s="1"/>
  <c r="I171" i="32"/>
  <c r="I161" i="31"/>
  <c r="Q149" i="31"/>
  <c r="K137" i="32"/>
  <c r="M137" i="32" s="1"/>
  <c r="K159" i="32"/>
  <c r="M159" i="32" s="1"/>
  <c r="H65" i="41"/>
  <c r="AR37" i="40"/>
  <c r="H67" i="41"/>
  <c r="H67" i="44" s="1"/>
  <c r="BH37" i="40"/>
  <c r="C66" i="41"/>
  <c r="AZ38" i="40"/>
  <c r="H57" i="41"/>
  <c r="L37" i="40"/>
  <c r="H66" i="41"/>
  <c r="AZ37" i="40"/>
  <c r="C57" i="41"/>
  <c r="L38" i="40"/>
  <c r="H68" i="41"/>
  <c r="H68" i="44" s="1"/>
  <c r="BO37" i="40"/>
  <c r="C56" i="41"/>
  <c r="D38" i="40"/>
  <c r="C59" i="41"/>
  <c r="AB38" i="40"/>
  <c r="H58" i="41"/>
  <c r="T37" i="40"/>
  <c r="C65" i="41"/>
  <c r="AR38" i="40"/>
  <c r="H59" i="41"/>
  <c r="AB37" i="40"/>
  <c r="C68" i="41"/>
  <c r="C68" i="44" s="1"/>
  <c r="BO38" i="40"/>
  <c r="H60" i="41"/>
  <c r="H17" i="44" s="1"/>
  <c r="AI37" i="40"/>
  <c r="C67" i="41"/>
  <c r="BH38" i="40"/>
  <c r="C58" i="41"/>
  <c r="T38" i="40"/>
  <c r="H56" i="41"/>
  <c r="D37" i="40"/>
  <c r="C60" i="41"/>
  <c r="C17" i="44" s="1"/>
  <c r="AI38" i="40"/>
  <c r="C8" i="41"/>
  <c r="BF15" i="39"/>
  <c r="BK15" i="39" s="1"/>
  <c r="K146" i="44"/>
  <c r="C35" i="60" s="1"/>
  <c r="M35" i="60"/>
  <c r="K150" i="44"/>
  <c r="C39" i="60" s="1"/>
  <c r="M39" i="60"/>
  <c r="AE14" i="27"/>
  <c r="AM14" i="27"/>
  <c r="AU15" i="39"/>
  <c r="AZ15" i="39" s="1"/>
  <c r="D153" i="44"/>
  <c r="F149" i="44"/>
  <c r="K58" i="44"/>
  <c r="K11" i="44"/>
  <c r="K3" i="44"/>
  <c r="K5" i="44"/>
  <c r="K151" i="44"/>
  <c r="C40" i="60" s="1"/>
  <c r="K63" i="44"/>
  <c r="I17" i="44"/>
  <c r="K67" i="44"/>
  <c r="K16" i="44"/>
  <c r="K13" i="44"/>
  <c r="I67" i="44"/>
  <c r="K66" i="44"/>
  <c r="D147" i="44"/>
  <c r="F147" i="44"/>
  <c r="C148" i="44"/>
  <c r="K152" i="44"/>
  <c r="C41" i="60" s="1"/>
  <c r="I153" i="44"/>
  <c r="H149" i="44"/>
  <c r="H147" i="44"/>
  <c r="E152" i="44"/>
  <c r="D151" i="44"/>
  <c r="J153" i="44"/>
  <c r="K148" i="44"/>
  <c r="C37" i="60" s="1"/>
  <c r="F151" i="44"/>
  <c r="G151" i="44"/>
  <c r="F153" i="44"/>
  <c r="I149" i="44"/>
  <c r="C153" i="44"/>
  <c r="I152" i="44"/>
  <c r="I151" i="44"/>
  <c r="E151" i="44"/>
  <c r="G152" i="44"/>
  <c r="H151" i="44"/>
  <c r="J152" i="44"/>
  <c r="K153" i="44"/>
  <c r="C42" i="60" s="1"/>
  <c r="C152" i="44"/>
  <c r="H148" i="44"/>
  <c r="F137" i="73"/>
  <c r="G153" i="44"/>
  <c r="K147" i="44"/>
  <c r="C36" i="60" s="1"/>
  <c r="C147" i="44"/>
  <c r="D137" i="73"/>
  <c r="J29" i="44"/>
  <c r="J126" i="41"/>
  <c r="J137" i="73"/>
  <c r="E147" i="44"/>
  <c r="F29" i="44"/>
  <c r="F126" i="41"/>
  <c r="I148" i="44"/>
  <c r="G148" i="44"/>
  <c r="D29" i="44"/>
  <c r="D126" i="41"/>
  <c r="G149" i="44"/>
  <c r="H29" i="44"/>
  <c r="H126" i="41"/>
  <c r="H78" i="44"/>
  <c r="H137" i="41"/>
  <c r="K29" i="44"/>
  <c r="M34" i="60" s="1"/>
  <c r="K126" i="41"/>
  <c r="F78" i="44"/>
  <c r="F137" i="41"/>
  <c r="H137" i="73"/>
  <c r="F148" i="44"/>
  <c r="G78" i="44"/>
  <c r="G137" i="41"/>
  <c r="D148" i="44"/>
  <c r="E149" i="44"/>
  <c r="E148" i="44"/>
  <c r="J137" i="41"/>
  <c r="J78" i="44"/>
  <c r="N60" i="26"/>
  <c r="H153" i="44"/>
  <c r="G137" i="73"/>
  <c r="E78" i="44"/>
  <c r="E137" i="41"/>
  <c r="I147" i="44"/>
  <c r="C29" i="44"/>
  <c r="C126" i="41"/>
  <c r="G147" i="44"/>
  <c r="C149" i="44"/>
  <c r="K137" i="73"/>
  <c r="F152" i="44"/>
  <c r="E137" i="73"/>
  <c r="N72" i="37"/>
  <c r="I137" i="73"/>
  <c r="I29" i="44"/>
  <c r="I126" i="41"/>
  <c r="E153" i="44"/>
  <c r="J149" i="44"/>
  <c r="J148" i="44"/>
  <c r="H152" i="44"/>
  <c r="J147" i="44"/>
  <c r="G126" i="41"/>
  <c r="G29" i="44"/>
  <c r="C137" i="73"/>
  <c r="D78" i="44"/>
  <c r="D137" i="41"/>
  <c r="D149" i="44"/>
  <c r="E29" i="44"/>
  <c r="E126" i="41"/>
  <c r="K149" i="44"/>
  <c r="C38" i="60" s="1"/>
  <c r="I78" i="44"/>
  <c r="I137" i="41"/>
  <c r="K78" i="44"/>
  <c r="W34" i="60" s="1"/>
  <c r="K137" i="41"/>
  <c r="K85" i="44" s="1"/>
  <c r="C151" i="44"/>
  <c r="D152" i="44"/>
  <c r="C78" i="44"/>
  <c r="C137" i="41"/>
  <c r="J151" i="44"/>
  <c r="FD109" i="3"/>
  <c r="FD97" i="3"/>
  <c r="FD73" i="3"/>
  <c r="FD49" i="3"/>
  <c r="FD121" i="3"/>
  <c r="FD61" i="3"/>
  <c r="FD37" i="3"/>
  <c r="FD85" i="3"/>
  <c r="M25" i="37"/>
  <c r="M25" i="26"/>
  <c r="N72" i="26"/>
  <c r="N70" i="26"/>
  <c r="N82" i="26"/>
  <c r="N70" i="37"/>
  <c r="N81" i="37"/>
  <c r="N82" i="37"/>
  <c r="N60" i="37"/>
  <c r="N97" i="26"/>
  <c r="GA74" i="2"/>
  <c r="CX5" i="39"/>
  <c r="CN5" i="39"/>
  <c r="N97" i="37"/>
  <c r="N81" i="26"/>
  <c r="AD7" i="2"/>
  <c r="R48" i="2"/>
  <c r="AI21" i="2"/>
  <c r="X59" i="2"/>
  <c r="D59" i="31" s="1"/>
  <c r="AI36" i="2"/>
  <c r="AK36" i="2" s="1"/>
  <c r="AD40" i="2"/>
  <c r="V52" i="34"/>
  <c r="T59" i="35"/>
  <c r="V77" i="34"/>
  <c r="V78" i="34"/>
  <c r="R38" i="36"/>
  <c r="R90" i="36"/>
  <c r="R68" i="36"/>
  <c r="R51" i="36"/>
  <c r="R92" i="36"/>
  <c r="V55" i="34"/>
  <c r="V54" i="34"/>
  <c r="T38" i="35"/>
  <c r="T94" i="35"/>
  <c r="T45" i="35"/>
  <c r="T88" i="35"/>
  <c r="T40" i="35"/>
  <c r="R70" i="36"/>
  <c r="T90" i="35"/>
  <c r="R76" i="36"/>
  <c r="R57" i="36"/>
  <c r="R82" i="36"/>
  <c r="V86" i="34"/>
  <c r="V66" i="34"/>
  <c r="V64" i="34"/>
  <c r="T75" i="35"/>
  <c r="V94" i="34"/>
  <c r="V88" i="34"/>
  <c r="T43" i="35"/>
  <c r="T70" i="35"/>
  <c r="R94" i="36"/>
  <c r="R87" i="36"/>
  <c r="T57" i="35"/>
  <c r="T82" i="35"/>
  <c r="R54" i="36"/>
  <c r="R71" i="36"/>
  <c r="V47" i="34"/>
  <c r="V73" i="34"/>
  <c r="V60" i="34"/>
  <c r="V40" i="34"/>
  <c r="V89" i="34"/>
  <c r="T62" i="35"/>
  <c r="V96" i="34"/>
  <c r="T51" i="35"/>
  <c r="R65" i="36"/>
  <c r="R50" i="36"/>
  <c r="R39" i="36"/>
  <c r="R84" i="36"/>
  <c r="T72" i="35"/>
  <c r="R88" i="36"/>
  <c r="V58" i="34"/>
  <c r="V81" i="34"/>
  <c r="V93" i="34"/>
  <c r="T87" i="35"/>
  <c r="T92" i="35"/>
  <c r="R45" i="36"/>
  <c r="V63" i="34"/>
  <c r="T77" i="35"/>
  <c r="T78" i="35"/>
  <c r="R63" i="36"/>
  <c r="R46" i="36"/>
  <c r="V70" i="34"/>
  <c r="V69" i="34"/>
  <c r="T58" i="35"/>
  <c r="V75" i="34"/>
  <c r="T80" i="35"/>
  <c r="T46" i="35"/>
  <c r="R44" i="36"/>
  <c r="R95" i="36"/>
  <c r="R81" i="36"/>
  <c r="V38" i="34"/>
  <c r="V53" i="34"/>
  <c r="V39" i="34"/>
  <c r="V74" i="34"/>
  <c r="T67" i="35"/>
  <c r="T44" i="35"/>
  <c r="V80" i="34"/>
  <c r="R47" i="36"/>
  <c r="T81" i="35"/>
  <c r="R49" i="36"/>
  <c r="R77" i="36"/>
  <c r="V44" i="34"/>
  <c r="V56" i="34"/>
  <c r="V42" i="34"/>
  <c r="V85" i="34"/>
  <c r="T89" i="35"/>
  <c r="T47" i="35"/>
  <c r="T96" i="35"/>
  <c r="T49" i="35"/>
  <c r="R62" i="36"/>
  <c r="R61" i="36"/>
  <c r="R72" i="36"/>
  <c r="V62" i="34"/>
  <c r="V68" i="34"/>
  <c r="V43" i="34"/>
  <c r="T91" i="35"/>
  <c r="T65" i="35"/>
  <c r="T50" i="35"/>
  <c r="T42" i="35"/>
  <c r="T61" i="35"/>
  <c r="R79" i="36"/>
  <c r="R53" i="36"/>
  <c r="T39" i="35"/>
  <c r="T84" i="35"/>
  <c r="R78" i="36"/>
  <c r="R75" i="36"/>
  <c r="V65" i="34"/>
  <c r="V76" i="34"/>
  <c r="V71" i="34"/>
  <c r="V46" i="34"/>
  <c r="V91" i="34"/>
  <c r="T79" i="35"/>
  <c r="T53" i="35"/>
  <c r="R83" i="36"/>
  <c r="R56" i="36"/>
  <c r="R42" i="36"/>
  <c r="R58" i="36"/>
  <c r="R96" i="36"/>
  <c r="V57" i="34"/>
  <c r="R91" i="36"/>
  <c r="R67" i="36"/>
  <c r="V84" i="34"/>
  <c r="V72" i="34"/>
  <c r="T52" i="35"/>
  <c r="V83" i="34"/>
  <c r="T73" i="35"/>
  <c r="T64" i="35"/>
  <c r="R97" i="36"/>
  <c r="T60" i="35"/>
  <c r="R64" i="36"/>
  <c r="R89" i="36"/>
  <c r="R48" i="36"/>
  <c r="T93" i="35"/>
  <c r="T76" i="35"/>
  <c r="T66" i="35"/>
  <c r="T85" i="35"/>
  <c r="R86" i="36"/>
  <c r="R80" i="36"/>
  <c r="R40" i="36"/>
  <c r="V61" i="34"/>
  <c r="T41" i="35"/>
  <c r="V50" i="34"/>
  <c r="V97" i="34"/>
  <c r="V82" i="34"/>
  <c r="T55" i="35"/>
  <c r="T95" i="35"/>
  <c r="T63" i="35"/>
  <c r="T48" i="35"/>
  <c r="T69" i="35"/>
  <c r="R52" i="36"/>
  <c r="R41" i="36"/>
  <c r="T97" i="35"/>
  <c r="R69" i="36"/>
  <c r="R74" i="36"/>
  <c r="V59" i="34"/>
  <c r="V90" i="34"/>
  <c r="V45" i="34"/>
  <c r="V49" i="34"/>
  <c r="T71" i="35"/>
  <c r="R93" i="36"/>
  <c r="R43" i="36"/>
  <c r="V79" i="34"/>
  <c r="V87" i="34"/>
  <c r="V92" i="34"/>
  <c r="T83" i="35"/>
  <c r="T56" i="35"/>
  <c r="R73" i="36"/>
  <c r="R60" i="36"/>
  <c r="V41" i="34"/>
  <c r="V48" i="34"/>
  <c r="V51" i="34"/>
  <c r="V67" i="34"/>
  <c r="T86" i="35"/>
  <c r="V95" i="34"/>
  <c r="T68" i="35"/>
  <c r="T54" i="35"/>
  <c r="T74" i="35"/>
  <c r="R55" i="36"/>
  <c r="R59" i="36"/>
  <c r="R85" i="36"/>
  <c r="R66" i="36"/>
  <c r="R86" i="30"/>
  <c r="R83" i="30"/>
  <c r="R19" i="18"/>
  <c r="S19" i="18" s="1"/>
  <c r="R19" i="30"/>
  <c r="T19" i="30" s="1"/>
  <c r="R37" i="18"/>
  <c r="S37" i="18" s="1"/>
  <c r="R37" i="30"/>
  <c r="T37" i="30" s="1"/>
  <c r="T52" i="31"/>
  <c r="T41" i="31"/>
  <c r="R14" i="18"/>
  <c r="S14" i="18" s="1"/>
  <c r="R14" i="30"/>
  <c r="T14" i="30" s="1"/>
  <c r="R71" i="30"/>
  <c r="T43" i="31"/>
  <c r="T87" i="31"/>
  <c r="L19" i="21"/>
  <c r="M19" i="21" s="1"/>
  <c r="L19" i="32"/>
  <c r="M19" i="32" s="1"/>
  <c r="L29" i="21"/>
  <c r="M29" i="21" s="1"/>
  <c r="L29" i="32"/>
  <c r="M29" i="32" s="1"/>
  <c r="L70" i="21"/>
  <c r="M70" i="21" s="1"/>
  <c r="L70" i="32"/>
  <c r="M70" i="32" s="1"/>
  <c r="L87" i="21"/>
  <c r="M87" i="21" s="1"/>
  <c r="L87" i="32"/>
  <c r="P80" i="22"/>
  <c r="Q80" i="22" s="1"/>
  <c r="P80" i="33"/>
  <c r="Q80" i="33" s="1"/>
  <c r="L91" i="21"/>
  <c r="M91" i="21" s="1"/>
  <c r="L91" i="32"/>
  <c r="L73" i="21"/>
  <c r="M73" i="21" s="1"/>
  <c r="L73" i="32"/>
  <c r="M73" i="32" s="1"/>
  <c r="L42" i="21"/>
  <c r="M42" i="21" s="1"/>
  <c r="L42" i="32"/>
  <c r="M42" i="32" s="1"/>
  <c r="P57" i="22"/>
  <c r="Q57" i="22" s="1"/>
  <c r="P57" i="33"/>
  <c r="Q57" i="33" s="1"/>
  <c r="L69" i="21"/>
  <c r="M69" i="21" s="1"/>
  <c r="L69" i="32"/>
  <c r="M69" i="32" s="1"/>
  <c r="L86" i="21"/>
  <c r="M86" i="21" s="1"/>
  <c r="L86" i="32"/>
  <c r="R18" i="18"/>
  <c r="S18" i="18" s="1"/>
  <c r="R18" i="30"/>
  <c r="T18" i="30" s="1"/>
  <c r="R90" i="30"/>
  <c r="R22" i="18"/>
  <c r="S22" i="18" s="1"/>
  <c r="R22" i="30"/>
  <c r="T22" i="30" s="1"/>
  <c r="R64" i="30"/>
  <c r="T55" i="31"/>
  <c r="T59" i="31"/>
  <c r="T36" i="20"/>
  <c r="U36" i="20" s="1"/>
  <c r="T36" i="31"/>
  <c r="V36" i="31" s="1"/>
  <c r="T25" i="20"/>
  <c r="U25" i="20" s="1"/>
  <c r="T25" i="31"/>
  <c r="V25" i="31" s="1"/>
  <c r="T46" i="31"/>
  <c r="R87" i="30"/>
  <c r="L22" i="21"/>
  <c r="M22" i="21" s="1"/>
  <c r="L22" i="32"/>
  <c r="M22" i="32" s="1"/>
  <c r="L32" i="21"/>
  <c r="M32" i="21" s="1"/>
  <c r="L32" i="32"/>
  <c r="M32" i="32" s="1"/>
  <c r="L75" i="21"/>
  <c r="M75" i="21" s="1"/>
  <c r="L75" i="32"/>
  <c r="M75" i="32" s="1"/>
  <c r="P39" i="22"/>
  <c r="Q39" i="22" s="1"/>
  <c r="P39" i="33"/>
  <c r="Q39" i="33" s="1"/>
  <c r="P71" i="22"/>
  <c r="Q71" i="22" s="1"/>
  <c r="P71" i="33"/>
  <c r="Q71" i="33" s="1"/>
  <c r="P91" i="22"/>
  <c r="Q91" i="22" s="1"/>
  <c r="P91" i="33"/>
  <c r="P73" i="22"/>
  <c r="Q73" i="22" s="1"/>
  <c r="P73" i="33"/>
  <c r="Q73" i="33" s="1"/>
  <c r="P22" i="22"/>
  <c r="Q22" i="22" s="1"/>
  <c r="P22" i="33"/>
  <c r="Q22" i="33" s="1"/>
  <c r="L57" i="21"/>
  <c r="M57" i="21" s="1"/>
  <c r="L57" i="32"/>
  <c r="M57" i="32" s="1"/>
  <c r="L74" i="21"/>
  <c r="M74" i="21" s="1"/>
  <c r="L74" i="32"/>
  <c r="M74" i="32" s="1"/>
  <c r="P20" i="22"/>
  <c r="Q20" i="22" s="1"/>
  <c r="P20" i="33"/>
  <c r="Q20" i="33" s="1"/>
  <c r="R52" i="30"/>
  <c r="R95" i="30"/>
  <c r="R39" i="30"/>
  <c r="R85" i="30"/>
  <c r="R55" i="30"/>
  <c r="T24" i="20"/>
  <c r="U24" i="20" s="1"/>
  <c r="T24" i="31"/>
  <c r="V24" i="31" s="1"/>
  <c r="T45" i="31"/>
  <c r="R25" i="18"/>
  <c r="S25" i="18" s="1"/>
  <c r="R25" i="30"/>
  <c r="T25" i="30" s="1"/>
  <c r="T92" i="31"/>
  <c r="T84" i="31"/>
  <c r="L17" i="21"/>
  <c r="M17" i="21" s="1"/>
  <c r="L17" i="32"/>
  <c r="M17" i="32" s="1"/>
  <c r="P32" i="22"/>
  <c r="Q32" i="22" s="1"/>
  <c r="P32" i="33"/>
  <c r="Q32" i="33" s="1"/>
  <c r="P75" i="22"/>
  <c r="Q75" i="22" s="1"/>
  <c r="P75" i="33"/>
  <c r="Q75" i="33" s="1"/>
  <c r="L39" i="21"/>
  <c r="M39" i="21" s="1"/>
  <c r="L39" i="32"/>
  <c r="M39" i="32" s="1"/>
  <c r="L71" i="21"/>
  <c r="M71" i="21" s="1"/>
  <c r="L71" i="32"/>
  <c r="M71" i="32" s="1"/>
  <c r="L97" i="21"/>
  <c r="M97" i="21" s="1"/>
  <c r="L97" i="32"/>
  <c r="P14" i="22"/>
  <c r="Q14" i="22" s="1"/>
  <c r="P14" i="33"/>
  <c r="Q14" i="33" s="1"/>
  <c r="P17" i="22"/>
  <c r="Q17" i="22" s="1"/>
  <c r="P17" i="33"/>
  <c r="Q17" i="33" s="1"/>
  <c r="L81" i="21"/>
  <c r="M81" i="21" s="1"/>
  <c r="L81" i="32"/>
  <c r="M81" i="32" s="1"/>
  <c r="P74" i="22"/>
  <c r="Q74" i="22" s="1"/>
  <c r="P74" i="33"/>
  <c r="Q74" i="33" s="1"/>
  <c r="P49" i="22"/>
  <c r="Q49" i="22" s="1"/>
  <c r="P49" i="33"/>
  <c r="Q49" i="33" s="1"/>
  <c r="R93" i="30"/>
  <c r="R45" i="30"/>
  <c r="R42" i="30"/>
  <c r="R92" i="30"/>
  <c r="T86" i="31"/>
  <c r="T27" i="20"/>
  <c r="U27" i="20" s="1"/>
  <c r="T27" i="31"/>
  <c r="V27" i="31" s="1"/>
  <c r="T63" i="31"/>
  <c r="T31" i="20"/>
  <c r="U31" i="20" s="1"/>
  <c r="T31" i="31"/>
  <c r="V31" i="31" s="1"/>
  <c r="T20" i="20"/>
  <c r="U20" i="20" s="1"/>
  <c r="T20" i="31"/>
  <c r="V20" i="31" s="1"/>
  <c r="R84" i="30"/>
  <c r="T17" i="20"/>
  <c r="U17" i="20" s="1"/>
  <c r="T17" i="31"/>
  <c r="V17" i="31" s="1"/>
  <c r="L58" i="21"/>
  <c r="M58" i="21" s="1"/>
  <c r="L58" i="32"/>
  <c r="M58" i="32" s="1"/>
  <c r="P44" i="22"/>
  <c r="Q44" i="22" s="1"/>
  <c r="P44" i="33"/>
  <c r="Q44" i="33" s="1"/>
  <c r="L47" i="21"/>
  <c r="M47" i="21" s="1"/>
  <c r="L47" i="32"/>
  <c r="M47" i="32" s="1"/>
  <c r="P77" i="22"/>
  <c r="Q77" i="22" s="1"/>
  <c r="P77" i="33"/>
  <c r="Q77" i="33" s="1"/>
  <c r="P97" i="22"/>
  <c r="Q97" i="22" s="1"/>
  <c r="P97" i="33"/>
  <c r="L14" i="21"/>
  <c r="M14" i="21" s="1"/>
  <c r="L14" i="32"/>
  <c r="M14" i="32" s="1"/>
  <c r="P28" i="22"/>
  <c r="Q28" i="22" s="1"/>
  <c r="P28" i="33"/>
  <c r="Q28" i="33" s="1"/>
  <c r="P81" i="22"/>
  <c r="Q81" i="22" s="1"/>
  <c r="P81" i="33"/>
  <c r="Q81" i="33" s="1"/>
  <c r="P85" i="22"/>
  <c r="Q85" i="22" s="1"/>
  <c r="P85" i="33"/>
  <c r="Q85" i="33" s="1"/>
  <c r="L49" i="21"/>
  <c r="M49" i="21" s="1"/>
  <c r="L49" i="32"/>
  <c r="M49" i="32" s="1"/>
  <c r="R80" i="30"/>
  <c r="R63" i="30"/>
  <c r="R60" i="30"/>
  <c r="R40" i="30"/>
  <c r="T93" i="31"/>
  <c r="T90" i="31"/>
  <c r="T97" i="31"/>
  <c r="T34" i="20"/>
  <c r="U34" i="20" s="1"/>
  <c r="T34" i="31"/>
  <c r="V34" i="31" s="1"/>
  <c r="T49" i="31"/>
  <c r="T81" i="31"/>
  <c r="T54" i="31"/>
  <c r="P58" i="22"/>
  <c r="Q58" i="22" s="1"/>
  <c r="P58" i="33"/>
  <c r="Q58" i="33" s="1"/>
  <c r="L44" i="21"/>
  <c r="M44" i="21" s="1"/>
  <c r="L44" i="32"/>
  <c r="M44" i="32" s="1"/>
  <c r="P47" i="22"/>
  <c r="Q47" i="22" s="1"/>
  <c r="P47" i="33"/>
  <c r="Q47" i="33" s="1"/>
  <c r="L77" i="21"/>
  <c r="M77" i="21" s="1"/>
  <c r="L77" i="32"/>
  <c r="M77" i="32" s="1"/>
  <c r="P54" i="22"/>
  <c r="Q54" i="22" s="1"/>
  <c r="P54" i="33"/>
  <c r="Q54" i="33" s="1"/>
  <c r="P36" i="22"/>
  <c r="Q36" i="22" s="1"/>
  <c r="P36" i="33"/>
  <c r="Q36" i="33" s="1"/>
  <c r="L28" i="21"/>
  <c r="M28" i="21" s="1"/>
  <c r="L28" i="32"/>
  <c r="M28" i="32" s="1"/>
  <c r="P52" i="22"/>
  <c r="Q52" i="22" s="1"/>
  <c r="P52" i="33"/>
  <c r="Q52" i="33" s="1"/>
  <c r="L85" i="21"/>
  <c r="M85" i="21" s="1"/>
  <c r="L85" i="32"/>
  <c r="M85" i="32" s="1"/>
  <c r="P72" i="22"/>
  <c r="Q72" i="22" s="1"/>
  <c r="P72" i="33"/>
  <c r="Q72" i="33" s="1"/>
  <c r="R35" i="18"/>
  <c r="S35" i="18" s="1"/>
  <c r="R35" i="30"/>
  <c r="T35" i="30" s="1"/>
  <c r="R16" i="18"/>
  <c r="S16" i="18" s="1"/>
  <c r="R16" i="30"/>
  <c r="T16" i="30" s="1"/>
  <c r="R17" i="18"/>
  <c r="S17" i="18" s="1"/>
  <c r="R17" i="30"/>
  <c r="T17" i="30" s="1"/>
  <c r="R43" i="30"/>
  <c r="T77" i="31"/>
  <c r="T94" i="31"/>
  <c r="R97" i="30"/>
  <c r="T57" i="31"/>
  <c r="R49" i="30"/>
  <c r="R81" i="30"/>
  <c r="T66" i="31"/>
  <c r="P67" i="22"/>
  <c r="Q67" i="22" s="1"/>
  <c r="P67" i="33"/>
  <c r="Q67" i="33" s="1"/>
  <c r="L62" i="21"/>
  <c r="M62" i="21" s="1"/>
  <c r="L62" i="32"/>
  <c r="M62" i="32" s="1"/>
  <c r="L79" i="21"/>
  <c r="M79" i="21" s="1"/>
  <c r="L79" i="32"/>
  <c r="M79" i="32" s="1"/>
  <c r="P88" i="22"/>
  <c r="Q88" i="22" s="1"/>
  <c r="P88" i="33"/>
  <c r="L54" i="21"/>
  <c r="M54" i="21" s="1"/>
  <c r="L54" i="32"/>
  <c r="M54" i="32" s="1"/>
  <c r="L36" i="21"/>
  <c r="M36" i="21" s="1"/>
  <c r="L36" i="32"/>
  <c r="M36" i="32" s="1"/>
  <c r="L48" i="21"/>
  <c r="M48" i="21" s="1"/>
  <c r="L48" i="32"/>
  <c r="M48" i="32" s="1"/>
  <c r="L52" i="21"/>
  <c r="M52" i="21" s="1"/>
  <c r="L52" i="32"/>
  <c r="M52" i="32" s="1"/>
  <c r="L92" i="21"/>
  <c r="M92" i="21" s="1"/>
  <c r="L92" i="32"/>
  <c r="L72" i="21"/>
  <c r="M72" i="21" s="1"/>
  <c r="L72" i="32"/>
  <c r="M72" i="32" s="1"/>
  <c r="R70" i="30"/>
  <c r="R21" i="18"/>
  <c r="S21" i="18" s="1"/>
  <c r="R21" i="30"/>
  <c r="T21" i="30" s="1"/>
  <c r="R28" i="18"/>
  <c r="S28" i="18" s="1"/>
  <c r="R28" i="30"/>
  <c r="T28" i="30" s="1"/>
  <c r="R46" i="30"/>
  <c r="R77" i="30"/>
  <c r="T95" i="31"/>
  <c r="T19" i="20"/>
  <c r="U19" i="20" s="1"/>
  <c r="T19" i="31"/>
  <c r="V19" i="31" s="1"/>
  <c r="R57" i="30"/>
  <c r="T72" i="31"/>
  <c r="L23" i="21"/>
  <c r="M23" i="21" s="1"/>
  <c r="L23" i="32"/>
  <c r="M23" i="32" s="1"/>
  <c r="L25" i="21"/>
  <c r="M25" i="21" s="1"/>
  <c r="L25" i="32"/>
  <c r="M25" i="32" s="1"/>
  <c r="L67" i="21"/>
  <c r="M67" i="21" s="1"/>
  <c r="L67" i="32"/>
  <c r="M67" i="32" s="1"/>
  <c r="P62" i="22"/>
  <c r="Q62" i="22" s="1"/>
  <c r="P62" i="33"/>
  <c r="Q62" i="33" s="1"/>
  <c r="P79" i="22"/>
  <c r="Q79" i="22" s="1"/>
  <c r="P79" i="33"/>
  <c r="Q79" i="33" s="1"/>
  <c r="L88" i="21"/>
  <c r="M88" i="21" s="1"/>
  <c r="L88" i="32"/>
  <c r="L30" i="21"/>
  <c r="M30" i="21" s="1"/>
  <c r="L30" i="32"/>
  <c r="M30" i="32" s="1"/>
  <c r="P45" i="22"/>
  <c r="Q45" i="22" s="1"/>
  <c r="P45" i="33"/>
  <c r="Q45" i="33" s="1"/>
  <c r="P48" i="22"/>
  <c r="Q48" i="22" s="1"/>
  <c r="P48" i="33"/>
  <c r="Q48" i="33" s="1"/>
  <c r="L61" i="21"/>
  <c r="M61" i="21" s="1"/>
  <c r="L61" i="32"/>
  <c r="M61" i="32" s="1"/>
  <c r="P92" i="22"/>
  <c r="Q92" i="22" s="1"/>
  <c r="P92" i="33"/>
  <c r="L78" i="21"/>
  <c r="M78" i="21" s="1"/>
  <c r="L78" i="32"/>
  <c r="M78" i="32" s="1"/>
  <c r="R75" i="30"/>
  <c r="R41" i="30"/>
  <c r="R48" i="30"/>
  <c r="R20" i="18"/>
  <c r="S20" i="18" s="1"/>
  <c r="R20" i="30"/>
  <c r="T20" i="30" s="1"/>
  <c r="T88" i="31"/>
  <c r="T73" i="31"/>
  <c r="T80" i="31"/>
  <c r="T61" i="31"/>
  <c r="R72" i="30"/>
  <c r="T26" i="20"/>
  <c r="U26" i="20" s="1"/>
  <c r="T26" i="31"/>
  <c r="V26" i="31" s="1"/>
  <c r="T51" i="31"/>
  <c r="P89" i="22"/>
  <c r="Q89" i="22" s="1"/>
  <c r="P89" i="33"/>
  <c r="L65" i="21"/>
  <c r="M65" i="21" s="1"/>
  <c r="L65" i="32"/>
  <c r="M65" i="32" s="1"/>
  <c r="L95" i="21"/>
  <c r="M95" i="21" s="1"/>
  <c r="L95" i="32"/>
  <c r="P24" i="22"/>
  <c r="Q24" i="22" s="1"/>
  <c r="P24" i="33"/>
  <c r="Q24" i="33" s="1"/>
  <c r="P30" i="22"/>
  <c r="Q30" i="22" s="1"/>
  <c r="P30" i="33"/>
  <c r="Q30" i="33" s="1"/>
  <c r="L45" i="21"/>
  <c r="M45" i="21" s="1"/>
  <c r="L45" i="32"/>
  <c r="M45" i="32" s="1"/>
  <c r="P66" i="22"/>
  <c r="Q66" i="22" s="1"/>
  <c r="P66" i="33"/>
  <c r="Q66" i="33" s="1"/>
  <c r="P61" i="22"/>
  <c r="Q61" i="22" s="1"/>
  <c r="P61" i="33"/>
  <c r="Q61" i="33" s="1"/>
  <c r="P40" i="22"/>
  <c r="Q40" i="22" s="1"/>
  <c r="P40" i="33"/>
  <c r="Q40" i="33" s="1"/>
  <c r="P78" i="22"/>
  <c r="Q78" i="22" s="1"/>
  <c r="P78" i="33"/>
  <c r="Q78" i="33" s="1"/>
  <c r="R53" i="30"/>
  <c r="R59" i="30"/>
  <c r="R54" i="30"/>
  <c r="R78" i="30"/>
  <c r="R88" i="30"/>
  <c r="R73" i="30"/>
  <c r="T96" i="31"/>
  <c r="T74" i="31"/>
  <c r="T78" i="31"/>
  <c r="T35" i="20"/>
  <c r="U35" i="20" s="1"/>
  <c r="T35" i="31"/>
  <c r="V35" i="31" s="1"/>
  <c r="L15" i="21"/>
  <c r="M15" i="21" s="1"/>
  <c r="L15" i="32"/>
  <c r="M15" i="32" s="1"/>
  <c r="L89" i="21"/>
  <c r="M89" i="21" s="1"/>
  <c r="L89" i="32"/>
  <c r="P65" i="22"/>
  <c r="Q65" i="22" s="1"/>
  <c r="P65" i="33"/>
  <c r="Q65" i="33" s="1"/>
  <c r="P95" i="22"/>
  <c r="Q95" i="22" s="1"/>
  <c r="P95" i="33"/>
  <c r="L27" i="21"/>
  <c r="M27" i="21" s="1"/>
  <c r="L27" i="32"/>
  <c r="M27" i="32" s="1"/>
  <c r="L33" i="21"/>
  <c r="M33" i="21" s="1"/>
  <c r="L33" i="32"/>
  <c r="M33" i="32" s="1"/>
  <c r="L63" i="21"/>
  <c r="M63" i="21" s="1"/>
  <c r="L63" i="32"/>
  <c r="M63" i="32" s="1"/>
  <c r="L66" i="21"/>
  <c r="M66" i="21" s="1"/>
  <c r="L66" i="32"/>
  <c r="M66" i="32" s="1"/>
  <c r="L93" i="21"/>
  <c r="M93" i="21" s="1"/>
  <c r="L93" i="32"/>
  <c r="L40" i="21"/>
  <c r="M40" i="21" s="1"/>
  <c r="L40" i="32"/>
  <c r="M40" i="32" s="1"/>
  <c r="P82" i="22"/>
  <c r="Q82" i="22" s="1"/>
  <c r="P82" i="33"/>
  <c r="Q82" i="33" s="1"/>
  <c r="R68" i="30"/>
  <c r="R94" i="30"/>
  <c r="R66" i="30"/>
  <c r="R76" i="30"/>
  <c r="T44" i="31"/>
  <c r="T30" i="20"/>
  <c r="U30" i="20" s="1"/>
  <c r="T30" i="31"/>
  <c r="V30" i="31" s="1"/>
  <c r="T22" i="20"/>
  <c r="U22" i="20" s="1"/>
  <c r="T22" i="31"/>
  <c r="V22" i="31" s="1"/>
  <c r="R74" i="30"/>
  <c r="T82" i="31"/>
  <c r="T70" i="31"/>
  <c r="T69" i="31"/>
  <c r="P18" i="22"/>
  <c r="Q18" i="22" s="1"/>
  <c r="P18" i="33"/>
  <c r="Q18" i="33" s="1"/>
  <c r="P83" i="22"/>
  <c r="Q83" i="22" s="1"/>
  <c r="P83" i="33"/>
  <c r="Q83" i="33" s="1"/>
  <c r="P16" i="22"/>
  <c r="Q16" i="22" s="1"/>
  <c r="P16" i="33"/>
  <c r="Q16" i="33" s="1"/>
  <c r="P27" i="22"/>
  <c r="Q27" i="22" s="1"/>
  <c r="P27" i="33"/>
  <c r="Q27" i="33" s="1"/>
  <c r="P33" i="22"/>
  <c r="Q33" i="22" s="1"/>
  <c r="P33" i="33"/>
  <c r="Q33" i="33" s="1"/>
  <c r="P63" i="22"/>
  <c r="Q63" i="22" s="1"/>
  <c r="P63" i="33"/>
  <c r="Q63" i="33" s="1"/>
  <c r="P25" i="22"/>
  <c r="Q25" i="22" s="1"/>
  <c r="P25" i="33"/>
  <c r="Q25" i="33" s="1"/>
  <c r="P93" i="22"/>
  <c r="Q93" i="22" s="1"/>
  <c r="P93" i="33"/>
  <c r="L43" i="21"/>
  <c r="M43" i="21" s="1"/>
  <c r="L43" i="32"/>
  <c r="M43" i="32" s="1"/>
  <c r="L82" i="21"/>
  <c r="M82" i="21" s="1"/>
  <c r="L82" i="32"/>
  <c r="M82" i="32" s="1"/>
  <c r="R23" i="18"/>
  <c r="S23" i="18" s="1"/>
  <c r="R23" i="30"/>
  <c r="T23" i="30" s="1"/>
  <c r="R96" i="30"/>
  <c r="R24" i="18"/>
  <c r="S24" i="18" s="1"/>
  <c r="R24" i="30"/>
  <c r="T24" i="30" s="1"/>
  <c r="R31" i="18"/>
  <c r="S31" i="18" s="1"/>
  <c r="R31" i="30"/>
  <c r="T31" i="30" s="1"/>
  <c r="T23" i="20"/>
  <c r="U23" i="20" s="1"/>
  <c r="T23" i="31"/>
  <c r="V23" i="31" s="1"/>
  <c r="T47" i="31"/>
  <c r="T33" i="20"/>
  <c r="U33" i="20" s="1"/>
  <c r="T33" i="31"/>
  <c r="V33" i="31" s="1"/>
  <c r="T39" i="31"/>
  <c r="T91" i="31"/>
  <c r="R82" i="30"/>
  <c r="T83" i="31"/>
  <c r="T85" i="31"/>
  <c r="L18" i="21"/>
  <c r="M18" i="21" s="1"/>
  <c r="L18" i="32"/>
  <c r="M18" i="32" s="1"/>
  <c r="L83" i="21"/>
  <c r="M83" i="21" s="1"/>
  <c r="L83" i="32"/>
  <c r="M83" i="32" s="1"/>
  <c r="P21" i="22"/>
  <c r="Q21" i="22" s="1"/>
  <c r="P21" i="33"/>
  <c r="Q21" i="33" s="1"/>
  <c r="L96" i="21"/>
  <c r="M96" i="21" s="1"/>
  <c r="L96" i="32"/>
  <c r="P50" i="22"/>
  <c r="Q50" i="22" s="1"/>
  <c r="P50" i="33"/>
  <c r="Q50" i="33" s="1"/>
  <c r="P68" i="22"/>
  <c r="Q68" i="22" s="1"/>
  <c r="P68" i="33"/>
  <c r="Q68" i="33" s="1"/>
  <c r="L31" i="21"/>
  <c r="M31" i="21" s="1"/>
  <c r="L31" i="32"/>
  <c r="M31" i="32" s="1"/>
  <c r="P15" i="22"/>
  <c r="Q15" i="22" s="1"/>
  <c r="P15" i="33"/>
  <c r="Q15" i="33" s="1"/>
  <c r="P43" i="22"/>
  <c r="Q43" i="22" s="1"/>
  <c r="P43" i="33"/>
  <c r="Q43" i="33" s="1"/>
  <c r="R26" i="18"/>
  <c r="S26" i="18" s="1"/>
  <c r="R26" i="30"/>
  <c r="T26" i="30" s="1"/>
  <c r="R44" i="30"/>
  <c r="R27" i="18"/>
  <c r="S27" i="18" s="1"/>
  <c r="R27" i="30"/>
  <c r="T27" i="30" s="1"/>
  <c r="R34" i="18"/>
  <c r="S34" i="18" s="1"/>
  <c r="R34" i="30"/>
  <c r="T34" i="30" s="1"/>
  <c r="T29" i="20"/>
  <c r="U29" i="20" s="1"/>
  <c r="T29" i="31"/>
  <c r="V29" i="31" s="1"/>
  <c r="T62" i="31"/>
  <c r="T50" i="31"/>
  <c r="T42" i="31"/>
  <c r="R91" i="30"/>
  <c r="T67" i="31"/>
  <c r="L16" i="21"/>
  <c r="M16" i="21" s="1"/>
  <c r="L16" i="32"/>
  <c r="M16" i="32" s="1"/>
  <c r="L20" i="21"/>
  <c r="M20" i="21" s="1"/>
  <c r="L20" i="32"/>
  <c r="M20" i="32" s="1"/>
  <c r="P35" i="22"/>
  <c r="Q35" i="22" s="1"/>
  <c r="P35" i="33"/>
  <c r="Q35" i="33" s="1"/>
  <c r="L90" i="21"/>
  <c r="M90" i="21" s="1"/>
  <c r="L90" i="32"/>
  <c r="P41" i="22"/>
  <c r="Q41" i="22" s="1"/>
  <c r="P41" i="33"/>
  <c r="Q41" i="33" s="1"/>
  <c r="P96" i="22"/>
  <c r="Q96" i="22" s="1"/>
  <c r="P96" i="33"/>
  <c r="L50" i="21"/>
  <c r="M50" i="21" s="1"/>
  <c r="L50" i="32"/>
  <c r="M50" i="32" s="1"/>
  <c r="L68" i="21"/>
  <c r="M68" i="21" s="1"/>
  <c r="L68" i="32"/>
  <c r="M68" i="32" s="1"/>
  <c r="P31" i="22"/>
  <c r="Q31" i="22" s="1"/>
  <c r="P31" i="33"/>
  <c r="Q31" i="33" s="1"/>
  <c r="P37" i="22"/>
  <c r="Q37" i="22" s="1"/>
  <c r="P37" i="33"/>
  <c r="Q37" i="33" s="1"/>
  <c r="L46" i="21"/>
  <c r="M46" i="21" s="1"/>
  <c r="L46" i="32"/>
  <c r="M46" i="32" s="1"/>
  <c r="R29" i="18"/>
  <c r="S29" i="18" s="1"/>
  <c r="R29" i="30"/>
  <c r="T29" i="30" s="1"/>
  <c r="R47" i="30"/>
  <c r="R30" i="18"/>
  <c r="S30" i="18" s="1"/>
  <c r="R30" i="30"/>
  <c r="T30" i="30" s="1"/>
  <c r="R51" i="30"/>
  <c r="T32" i="20"/>
  <c r="U32" i="20" s="1"/>
  <c r="T32" i="31"/>
  <c r="V32" i="31" s="1"/>
  <c r="T65" i="31"/>
  <c r="T53" i="31"/>
  <c r="T60" i="31"/>
  <c r="T15" i="20"/>
  <c r="U15" i="20" s="1"/>
  <c r="T15" i="31"/>
  <c r="V15" i="31" s="1"/>
  <c r="T89" i="31"/>
  <c r="L21" i="21"/>
  <c r="M21" i="21" s="1"/>
  <c r="L21" i="32"/>
  <c r="M21" i="32" s="1"/>
  <c r="P23" i="22"/>
  <c r="Q23" i="22" s="1"/>
  <c r="P23" i="33"/>
  <c r="Q23" i="33" s="1"/>
  <c r="L35" i="21"/>
  <c r="M35" i="21" s="1"/>
  <c r="L35" i="32"/>
  <c r="M35" i="32" s="1"/>
  <c r="P90" i="22"/>
  <c r="Q90" i="22" s="1"/>
  <c r="P90" i="33"/>
  <c r="L41" i="21"/>
  <c r="M41" i="21" s="1"/>
  <c r="L41" i="32"/>
  <c r="M41" i="32" s="1"/>
  <c r="P60" i="22"/>
  <c r="Q60" i="22" s="1"/>
  <c r="P60" i="33"/>
  <c r="Q60" i="33" s="1"/>
  <c r="P53" i="22"/>
  <c r="Q53" i="22" s="1"/>
  <c r="P53" i="33"/>
  <c r="Q53" i="33" s="1"/>
  <c r="P76" i="22"/>
  <c r="Q76" i="22" s="1"/>
  <c r="P76" i="33"/>
  <c r="Q76" i="33" s="1"/>
  <c r="P34" i="22"/>
  <c r="Q34" i="22" s="1"/>
  <c r="P34" i="33"/>
  <c r="Q34" i="33" s="1"/>
  <c r="L37" i="21"/>
  <c r="M37" i="21" s="1"/>
  <c r="L37" i="32"/>
  <c r="M37" i="32" s="1"/>
  <c r="P46" i="22"/>
  <c r="Q46" i="22" s="1"/>
  <c r="P46" i="33"/>
  <c r="Q46" i="33" s="1"/>
  <c r="R32" i="18"/>
  <c r="S32" i="18" s="1"/>
  <c r="R32" i="30"/>
  <c r="T32" i="30" s="1"/>
  <c r="R62" i="30"/>
  <c r="R33" i="18"/>
  <c r="S33" i="18" s="1"/>
  <c r="R33" i="30"/>
  <c r="T33" i="30" s="1"/>
  <c r="R61" i="30"/>
  <c r="T58" i="31"/>
  <c r="T79" i="31"/>
  <c r="T56" i="31"/>
  <c r="T28" i="20"/>
  <c r="U28" i="20" s="1"/>
  <c r="T28" i="31"/>
  <c r="V28" i="31" s="1"/>
  <c r="T37" i="20"/>
  <c r="U37" i="20" s="1"/>
  <c r="T37" i="31"/>
  <c r="V37" i="31" s="1"/>
  <c r="R89" i="30"/>
  <c r="L24" i="21"/>
  <c r="M24" i="21" s="1"/>
  <c r="L24" i="32"/>
  <c r="M24" i="32" s="1"/>
  <c r="L26" i="21"/>
  <c r="M26" i="21" s="1"/>
  <c r="L26" i="32"/>
  <c r="M26" i="32" s="1"/>
  <c r="P38" i="22"/>
  <c r="Q38" i="22" s="1"/>
  <c r="P38" i="33"/>
  <c r="Q38" i="33" s="1"/>
  <c r="L94" i="21"/>
  <c r="M94" i="21" s="1"/>
  <c r="L94" i="32"/>
  <c r="L59" i="21"/>
  <c r="M59" i="21" s="1"/>
  <c r="L59" i="32"/>
  <c r="M59" i="32" s="1"/>
  <c r="L60" i="21"/>
  <c r="M60" i="21" s="1"/>
  <c r="L60" i="32"/>
  <c r="M60" i="32" s="1"/>
  <c r="L53" i="21"/>
  <c r="M53" i="21" s="1"/>
  <c r="L53" i="32"/>
  <c r="M53" i="32" s="1"/>
  <c r="L76" i="21"/>
  <c r="M76" i="21" s="1"/>
  <c r="L76" i="32"/>
  <c r="M76" i="32" s="1"/>
  <c r="L34" i="21"/>
  <c r="M34" i="21" s="1"/>
  <c r="L34" i="32"/>
  <c r="M34" i="32" s="1"/>
  <c r="L64" i="21"/>
  <c r="M64" i="21" s="1"/>
  <c r="L64" i="32"/>
  <c r="M64" i="32" s="1"/>
  <c r="P55" i="22"/>
  <c r="Q55" i="22" s="1"/>
  <c r="P55" i="33"/>
  <c r="Q55" i="33" s="1"/>
  <c r="R58" i="30"/>
  <c r="R65" i="30"/>
  <c r="R50" i="30"/>
  <c r="R69" i="30"/>
  <c r="T75" i="31"/>
  <c r="T16" i="20"/>
  <c r="U16" i="20" s="1"/>
  <c r="T16" i="31"/>
  <c r="V16" i="31" s="1"/>
  <c r="R56" i="30"/>
  <c r="T48" i="31"/>
  <c r="T64" i="31"/>
  <c r="T38" i="31"/>
  <c r="T68" i="31"/>
  <c r="P26" i="22"/>
  <c r="Q26" i="22" s="1"/>
  <c r="P26" i="33"/>
  <c r="Q26" i="33" s="1"/>
  <c r="L38" i="21"/>
  <c r="M38" i="21" s="1"/>
  <c r="L38" i="32"/>
  <c r="M38" i="32" s="1"/>
  <c r="P94" i="22"/>
  <c r="Q94" i="22" s="1"/>
  <c r="P94" i="33"/>
  <c r="P59" i="22"/>
  <c r="Q59" i="22" s="1"/>
  <c r="P59" i="33"/>
  <c r="Q59" i="33" s="1"/>
  <c r="P84" i="22"/>
  <c r="Q84" i="22" s="1"/>
  <c r="P84" i="33"/>
  <c r="Q84" i="33" s="1"/>
  <c r="L56" i="21"/>
  <c r="M56" i="21" s="1"/>
  <c r="L56" i="32"/>
  <c r="M56" i="32" s="1"/>
  <c r="P19" i="22"/>
  <c r="Q19" i="22" s="1"/>
  <c r="P19" i="33"/>
  <c r="Q19" i="33" s="1"/>
  <c r="P51" i="22"/>
  <c r="Q51" i="22" s="1"/>
  <c r="P51" i="33"/>
  <c r="Q51" i="33" s="1"/>
  <c r="P64" i="22"/>
  <c r="Q64" i="22" s="1"/>
  <c r="P64" i="33"/>
  <c r="Q64" i="33" s="1"/>
  <c r="L55" i="21"/>
  <c r="M55" i="21" s="1"/>
  <c r="L55" i="32"/>
  <c r="M55" i="32" s="1"/>
  <c r="R67" i="30"/>
  <c r="R79" i="30"/>
  <c r="R36" i="18"/>
  <c r="S36" i="18" s="1"/>
  <c r="R36" i="30"/>
  <c r="T36" i="30" s="1"/>
  <c r="R15" i="18"/>
  <c r="S15" i="18" s="1"/>
  <c r="R15" i="30"/>
  <c r="T15" i="30" s="1"/>
  <c r="T18" i="20"/>
  <c r="U18" i="20" s="1"/>
  <c r="T18" i="31"/>
  <c r="V18" i="31" s="1"/>
  <c r="T21" i="20"/>
  <c r="U21" i="20" s="1"/>
  <c r="T21" i="31"/>
  <c r="V21" i="31" s="1"/>
  <c r="T76" i="31"/>
  <c r="T71" i="31"/>
  <c r="T40" i="31"/>
  <c r="R38" i="30"/>
  <c r="T14" i="20"/>
  <c r="U14" i="20" s="1"/>
  <c r="T14" i="31"/>
  <c r="V14" i="31" s="1"/>
  <c r="P29" i="22"/>
  <c r="Q29" i="22" s="1"/>
  <c r="P29" i="33"/>
  <c r="Q29" i="33" s="1"/>
  <c r="P70" i="22"/>
  <c r="Q70" i="22" s="1"/>
  <c r="P70" i="33"/>
  <c r="Q70" i="33" s="1"/>
  <c r="P87" i="22"/>
  <c r="Q87" i="22" s="1"/>
  <c r="P87" i="33"/>
  <c r="L80" i="21"/>
  <c r="M80" i="21" s="1"/>
  <c r="L80" i="32"/>
  <c r="M80" i="32" s="1"/>
  <c r="L84" i="21"/>
  <c r="M84" i="21" s="1"/>
  <c r="L84" i="32"/>
  <c r="M84" i="32" s="1"/>
  <c r="P56" i="22"/>
  <c r="Q56" i="22" s="1"/>
  <c r="P56" i="33"/>
  <c r="Q56" i="33" s="1"/>
  <c r="P42" i="22"/>
  <c r="Q42" i="22" s="1"/>
  <c r="P42" i="33"/>
  <c r="Q42" i="33" s="1"/>
  <c r="L51" i="21"/>
  <c r="M51" i="21" s="1"/>
  <c r="L51" i="32"/>
  <c r="M51" i="32" s="1"/>
  <c r="P69" i="22"/>
  <c r="Q69" i="22" s="1"/>
  <c r="P69" i="33"/>
  <c r="Q69" i="33" s="1"/>
  <c r="P86" i="22"/>
  <c r="Q86" i="22" s="1"/>
  <c r="P86" i="33"/>
  <c r="AT4" i="27"/>
  <c r="J4" i="27"/>
  <c r="AE13" i="27"/>
  <c r="AE5" i="27"/>
  <c r="AM5" i="27"/>
  <c r="AM13" i="27"/>
  <c r="Z5" i="39"/>
  <c r="AU6" i="39"/>
  <c r="AZ6" i="39" s="1"/>
  <c r="AU5" i="39"/>
  <c r="AU16" i="39"/>
  <c r="AU14" i="39"/>
  <c r="AZ14" i="39" s="1"/>
  <c r="AZ4" i="27"/>
  <c r="BF14" i="39"/>
  <c r="BK14" i="39" s="1"/>
  <c r="BF16" i="39"/>
  <c r="BF6" i="39"/>
  <c r="BK6" i="39" s="1"/>
  <c r="BF5" i="39"/>
  <c r="D4" i="27"/>
  <c r="F5" i="39"/>
  <c r="P4" i="27"/>
  <c r="AJ5" i="39"/>
  <c r="V25" i="23"/>
  <c r="W25" i="23" s="1"/>
  <c r="V25" i="34"/>
  <c r="X25" i="34" s="1"/>
  <c r="R33" i="25"/>
  <c r="S33" i="25" s="1"/>
  <c r="R33" i="36"/>
  <c r="T33" i="36" s="1"/>
  <c r="T22" i="24"/>
  <c r="U22" i="24" s="1"/>
  <c r="T22" i="35"/>
  <c r="V22" i="35" s="1"/>
  <c r="R20" i="36"/>
  <c r="T20" i="36" s="1"/>
  <c r="R20" i="25"/>
  <c r="S20" i="25" s="1"/>
  <c r="N58" i="26"/>
  <c r="N58" i="37"/>
  <c r="N16" i="37"/>
  <c r="N16" i="26"/>
  <c r="N36" i="26"/>
  <c r="N36" i="37"/>
  <c r="N54" i="37"/>
  <c r="N54" i="26"/>
  <c r="N57" i="26"/>
  <c r="N57" i="37"/>
  <c r="N94" i="26"/>
  <c r="N94" i="37"/>
  <c r="V16" i="23"/>
  <c r="W16" i="23" s="1"/>
  <c r="V16" i="34"/>
  <c r="X16" i="34" s="1"/>
  <c r="V31" i="23"/>
  <c r="W31" i="23" s="1"/>
  <c r="V31" i="34"/>
  <c r="X31" i="34" s="1"/>
  <c r="T17" i="24"/>
  <c r="U17" i="24" s="1"/>
  <c r="T17" i="35"/>
  <c r="V17" i="35" s="1"/>
  <c r="R23" i="25"/>
  <c r="S23" i="25" s="1"/>
  <c r="R23" i="36"/>
  <c r="T23" i="36" s="1"/>
  <c r="N18" i="26"/>
  <c r="N18" i="37"/>
  <c r="N21" i="37"/>
  <c r="N21" i="26"/>
  <c r="N45" i="26"/>
  <c r="N45" i="37"/>
  <c r="N61" i="26"/>
  <c r="N61" i="37"/>
  <c r="N95" i="26"/>
  <c r="N95" i="37"/>
  <c r="V23" i="23"/>
  <c r="W23" i="23" s="1"/>
  <c r="V23" i="34"/>
  <c r="X23" i="34" s="1"/>
  <c r="V21" i="23"/>
  <c r="W21" i="23" s="1"/>
  <c r="V21" i="34"/>
  <c r="X21" i="34" s="1"/>
  <c r="V34" i="23"/>
  <c r="W34" i="23" s="1"/>
  <c r="V34" i="34"/>
  <c r="X34" i="34" s="1"/>
  <c r="T18" i="24"/>
  <c r="U18" i="24" s="1"/>
  <c r="T18" i="35"/>
  <c r="V18" i="35" s="1"/>
  <c r="T28" i="24"/>
  <c r="U28" i="24" s="1"/>
  <c r="T28" i="35"/>
  <c r="V28" i="35" s="1"/>
  <c r="T26" i="24"/>
  <c r="U26" i="24" s="1"/>
  <c r="T26" i="35"/>
  <c r="V26" i="35" s="1"/>
  <c r="N52" i="26"/>
  <c r="N52" i="37"/>
  <c r="N41" i="26"/>
  <c r="N41" i="37"/>
  <c r="N63" i="26"/>
  <c r="N63" i="37"/>
  <c r="N77" i="26"/>
  <c r="N77" i="37"/>
  <c r="N15" i="26"/>
  <c r="N15" i="37"/>
  <c r="N92" i="26"/>
  <c r="N92" i="37"/>
  <c r="V29" i="23"/>
  <c r="W29" i="23" s="1"/>
  <c r="V29" i="34"/>
  <c r="X29" i="34" s="1"/>
  <c r="V28" i="23"/>
  <c r="W28" i="23" s="1"/>
  <c r="V28" i="34"/>
  <c r="X28" i="34" s="1"/>
  <c r="T15" i="24"/>
  <c r="U15" i="24" s="1"/>
  <c r="T15" i="35"/>
  <c r="V15" i="35" s="1"/>
  <c r="R29" i="36"/>
  <c r="T29" i="36" s="1"/>
  <c r="R29" i="25"/>
  <c r="S29" i="25" s="1"/>
  <c r="N55" i="37"/>
  <c r="N55" i="26"/>
  <c r="N59" i="26"/>
  <c r="N59" i="37"/>
  <c r="N68" i="26"/>
  <c r="N68" i="37"/>
  <c r="N37" i="26"/>
  <c r="O37" i="26" s="1"/>
  <c r="N37" i="37"/>
  <c r="O37" i="37" s="1"/>
  <c r="N78" i="26"/>
  <c r="N78" i="37"/>
  <c r="V32" i="23"/>
  <c r="W32" i="23" s="1"/>
  <c r="V32" i="34"/>
  <c r="X32" i="34" s="1"/>
  <c r="V36" i="23"/>
  <c r="W36" i="23" s="1"/>
  <c r="V36" i="34"/>
  <c r="X36" i="34" s="1"/>
  <c r="T37" i="24"/>
  <c r="U37" i="24" s="1"/>
  <c r="T37" i="35"/>
  <c r="V37" i="35" s="1"/>
  <c r="R32" i="36"/>
  <c r="T32" i="36" s="1"/>
  <c r="R32" i="25"/>
  <c r="S32" i="25" s="1"/>
  <c r="R16" i="25"/>
  <c r="S16" i="25" s="1"/>
  <c r="R16" i="36"/>
  <c r="T16" i="36" s="1"/>
  <c r="N86" i="37"/>
  <c r="N86" i="26"/>
  <c r="N24" i="26"/>
  <c r="N24" i="37"/>
  <c r="N76" i="26"/>
  <c r="N76" i="37"/>
  <c r="N88" i="26"/>
  <c r="N88" i="37"/>
  <c r="N64" i="26"/>
  <c r="N64" i="37"/>
  <c r="R18" i="36"/>
  <c r="T18" i="36" s="1"/>
  <c r="R18" i="25"/>
  <c r="S18" i="25" s="1"/>
  <c r="R21" i="36"/>
  <c r="T21" i="36" s="1"/>
  <c r="R21" i="25"/>
  <c r="S21" i="25" s="1"/>
  <c r="R15" i="36"/>
  <c r="T15" i="36" s="1"/>
  <c r="R15" i="25"/>
  <c r="S15" i="25" s="1"/>
  <c r="N75" i="26"/>
  <c r="N75" i="37"/>
  <c r="N27" i="26"/>
  <c r="N27" i="37"/>
  <c r="N87" i="37"/>
  <c r="N87" i="26"/>
  <c r="N69" i="26"/>
  <c r="N69" i="37"/>
  <c r="V18" i="23"/>
  <c r="W18" i="23" s="1"/>
  <c r="V18" i="34"/>
  <c r="X18" i="34" s="1"/>
  <c r="V24" i="23"/>
  <c r="W24" i="23" s="1"/>
  <c r="V24" i="34"/>
  <c r="X24" i="34" s="1"/>
  <c r="V20" i="23"/>
  <c r="W20" i="23" s="1"/>
  <c r="V20" i="34"/>
  <c r="X20" i="34" s="1"/>
  <c r="T16" i="24"/>
  <c r="U16" i="24" s="1"/>
  <c r="T16" i="35"/>
  <c r="V16" i="35" s="1"/>
  <c r="R17" i="25"/>
  <c r="S17" i="25" s="1"/>
  <c r="R17" i="36"/>
  <c r="T17" i="36" s="1"/>
  <c r="R37" i="36"/>
  <c r="T37" i="36" s="1"/>
  <c r="R37" i="25"/>
  <c r="S37" i="25" s="1"/>
  <c r="N30" i="26"/>
  <c r="N30" i="37"/>
  <c r="N80" i="37"/>
  <c r="N80" i="26"/>
  <c r="N17" i="37"/>
  <c r="N17" i="26"/>
  <c r="N74" i="26"/>
  <c r="N74" i="37"/>
  <c r="V27" i="23"/>
  <c r="W27" i="23" s="1"/>
  <c r="V27" i="34"/>
  <c r="X27" i="34" s="1"/>
  <c r="V19" i="23"/>
  <c r="W19" i="23" s="1"/>
  <c r="V19" i="34"/>
  <c r="X19" i="34" s="1"/>
  <c r="T21" i="24"/>
  <c r="U21" i="24" s="1"/>
  <c r="T21" i="35"/>
  <c r="V21" i="35" s="1"/>
  <c r="T14" i="24"/>
  <c r="U14" i="24" s="1"/>
  <c r="T14" i="35"/>
  <c r="V14" i="35" s="1"/>
  <c r="R28" i="36"/>
  <c r="T28" i="36" s="1"/>
  <c r="R28" i="25"/>
  <c r="S28" i="25" s="1"/>
  <c r="N90" i="26"/>
  <c r="N90" i="37"/>
  <c r="N33" i="37"/>
  <c r="N33" i="26"/>
  <c r="N96" i="26"/>
  <c r="N96" i="37"/>
  <c r="N28" i="26"/>
  <c r="N28" i="37"/>
  <c r="N85" i="37"/>
  <c r="N85" i="26"/>
  <c r="O85" i="26" s="1"/>
  <c r="V30" i="23"/>
  <c r="W30" i="23" s="1"/>
  <c r="V30" i="34"/>
  <c r="X30" i="34" s="1"/>
  <c r="T23" i="24"/>
  <c r="U23" i="24" s="1"/>
  <c r="T23" i="35"/>
  <c r="V23" i="35" s="1"/>
  <c r="T35" i="24"/>
  <c r="U35" i="24" s="1"/>
  <c r="T35" i="35"/>
  <c r="V35" i="35" s="1"/>
  <c r="V14" i="23"/>
  <c r="W14" i="23" s="1"/>
  <c r="V14" i="34"/>
  <c r="X14" i="34" s="1"/>
  <c r="R36" i="36"/>
  <c r="T36" i="36" s="1"/>
  <c r="R36" i="25"/>
  <c r="S36" i="25" s="1"/>
  <c r="R25" i="25"/>
  <c r="S25" i="25" s="1"/>
  <c r="R25" i="36"/>
  <c r="T25" i="36" s="1"/>
  <c r="N35" i="26"/>
  <c r="N35" i="37"/>
  <c r="N50" i="26"/>
  <c r="N50" i="37"/>
  <c r="N48" i="37"/>
  <c r="N48" i="26"/>
  <c r="N40" i="26"/>
  <c r="N40" i="37"/>
  <c r="V33" i="23"/>
  <c r="W33" i="23" s="1"/>
  <c r="V33" i="34"/>
  <c r="X33" i="34" s="1"/>
  <c r="V15" i="23"/>
  <c r="W15" i="23" s="1"/>
  <c r="V15" i="34"/>
  <c r="X15" i="34" s="1"/>
  <c r="V26" i="23"/>
  <c r="W26" i="23" s="1"/>
  <c r="V26" i="34"/>
  <c r="X26" i="34" s="1"/>
  <c r="V35" i="23"/>
  <c r="W35" i="23" s="1"/>
  <c r="V35" i="34"/>
  <c r="X35" i="34" s="1"/>
  <c r="T36" i="24"/>
  <c r="U36" i="24" s="1"/>
  <c r="T36" i="35"/>
  <c r="V36" i="35" s="1"/>
  <c r="R24" i="25"/>
  <c r="S24" i="25" s="1"/>
  <c r="R24" i="36"/>
  <c r="T24" i="36" s="1"/>
  <c r="R31" i="36"/>
  <c r="T31" i="36" s="1"/>
  <c r="R31" i="25"/>
  <c r="S31" i="25" s="1"/>
  <c r="N38" i="37"/>
  <c r="N38" i="26"/>
  <c r="N53" i="26"/>
  <c r="N53" i="37"/>
  <c r="N84" i="26"/>
  <c r="N84" i="37"/>
  <c r="N43" i="26"/>
  <c r="N43" i="37"/>
  <c r="V22" i="23"/>
  <c r="W22" i="23" s="1"/>
  <c r="V22" i="34"/>
  <c r="X22" i="34" s="1"/>
  <c r="V37" i="23"/>
  <c r="W37" i="23" s="1"/>
  <c r="V37" i="34"/>
  <c r="X37" i="34" s="1"/>
  <c r="T29" i="24"/>
  <c r="U29" i="24" s="1"/>
  <c r="T29" i="35"/>
  <c r="V29" i="35" s="1"/>
  <c r="R35" i="36"/>
  <c r="T35" i="36" s="1"/>
  <c r="R35" i="25"/>
  <c r="S35" i="25" s="1"/>
  <c r="R27" i="36"/>
  <c r="T27" i="36" s="1"/>
  <c r="R27" i="25"/>
  <c r="S27" i="25" s="1"/>
  <c r="R34" i="36"/>
  <c r="T34" i="36" s="1"/>
  <c r="R34" i="25"/>
  <c r="S34" i="25" s="1"/>
  <c r="N44" i="26"/>
  <c r="N44" i="37"/>
  <c r="N56" i="26"/>
  <c r="N56" i="37"/>
  <c r="N19" i="37"/>
  <c r="N19" i="26"/>
  <c r="N66" i="26"/>
  <c r="N66" i="37"/>
  <c r="N46" i="26"/>
  <c r="N46" i="37"/>
  <c r="T32" i="24"/>
  <c r="U32" i="24" s="1"/>
  <c r="T32" i="35"/>
  <c r="V32" i="35" s="1"/>
  <c r="T19" i="24"/>
  <c r="U19" i="24" s="1"/>
  <c r="T19" i="35"/>
  <c r="V19" i="35" s="1"/>
  <c r="N23" i="37"/>
  <c r="N23" i="26"/>
  <c r="N47" i="26"/>
  <c r="N47" i="37"/>
  <c r="N73" i="26"/>
  <c r="N73" i="37"/>
  <c r="N91" i="26"/>
  <c r="N91" i="37"/>
  <c r="N20" i="26"/>
  <c r="N20" i="37"/>
  <c r="T24" i="24"/>
  <c r="U24" i="24" s="1"/>
  <c r="T24" i="35"/>
  <c r="V24" i="35" s="1"/>
  <c r="T25" i="24"/>
  <c r="U25" i="24" s="1"/>
  <c r="T25" i="35"/>
  <c r="V25" i="35" s="1"/>
  <c r="N26" i="26"/>
  <c r="N26" i="37"/>
  <c r="N62" i="26"/>
  <c r="N62" i="37"/>
  <c r="N71" i="37"/>
  <c r="N71" i="26"/>
  <c r="N25" i="26"/>
  <c r="N25" i="37"/>
  <c r="O25" i="37" s="1"/>
  <c r="N49" i="37"/>
  <c r="N49" i="26"/>
  <c r="T27" i="24"/>
  <c r="U27" i="24" s="1"/>
  <c r="T27" i="35"/>
  <c r="V27" i="35" s="1"/>
  <c r="T31" i="24"/>
  <c r="U31" i="24" s="1"/>
  <c r="T31" i="35"/>
  <c r="V31" i="35" s="1"/>
  <c r="R26" i="36"/>
  <c r="T26" i="36" s="1"/>
  <c r="R26" i="25"/>
  <c r="S26" i="25" s="1"/>
  <c r="N65" i="37"/>
  <c r="N65" i="26"/>
  <c r="N22" i="37"/>
  <c r="N22" i="26"/>
  <c r="N31" i="26"/>
  <c r="N31" i="37"/>
  <c r="N67" i="37"/>
  <c r="N67" i="26"/>
  <c r="V17" i="23"/>
  <c r="W17" i="23" s="1"/>
  <c r="V17" i="34"/>
  <c r="X17" i="34" s="1"/>
  <c r="T30" i="24"/>
  <c r="U30" i="24" s="1"/>
  <c r="T30" i="35"/>
  <c r="V30" i="35" s="1"/>
  <c r="T34" i="24"/>
  <c r="U34" i="24" s="1"/>
  <c r="T34" i="35"/>
  <c r="V34" i="35" s="1"/>
  <c r="R19" i="36"/>
  <c r="T19" i="36" s="1"/>
  <c r="R19" i="25"/>
  <c r="S19" i="25" s="1"/>
  <c r="N29" i="26"/>
  <c r="N29" i="37"/>
  <c r="N79" i="26"/>
  <c r="N79" i="37"/>
  <c r="R14" i="36"/>
  <c r="T14" i="36" s="1"/>
  <c r="R14" i="25"/>
  <c r="S14" i="25" s="1"/>
  <c r="N39" i="37"/>
  <c r="N39" i="26"/>
  <c r="N34" i="26"/>
  <c r="N34" i="37"/>
  <c r="N89" i="26"/>
  <c r="N89" i="37"/>
  <c r="T33" i="24"/>
  <c r="U33" i="24" s="1"/>
  <c r="T33" i="35"/>
  <c r="V33" i="35" s="1"/>
  <c r="T20" i="24"/>
  <c r="U20" i="24" s="1"/>
  <c r="T20" i="35"/>
  <c r="V20" i="35" s="1"/>
  <c r="R30" i="36"/>
  <c r="T30" i="36" s="1"/>
  <c r="R30" i="25"/>
  <c r="S30" i="25" s="1"/>
  <c r="R22" i="36"/>
  <c r="T22" i="36" s="1"/>
  <c r="R22" i="25"/>
  <c r="S22" i="25" s="1"/>
  <c r="N32" i="26"/>
  <c r="N32" i="37"/>
  <c r="N83" i="26"/>
  <c r="N83" i="37"/>
  <c r="N14" i="26"/>
  <c r="N14" i="37"/>
  <c r="N42" i="26"/>
  <c r="N42" i="37"/>
  <c r="N51" i="26"/>
  <c r="N51" i="37"/>
  <c r="N93" i="26"/>
  <c r="N93" i="37"/>
  <c r="C8" i="5"/>
  <c r="D8" i="5"/>
  <c r="Z69" i="7"/>
  <c r="G34" i="14"/>
  <c r="C105" i="5"/>
  <c r="C92" i="5"/>
  <c r="C106" i="5"/>
  <c r="C104" i="5"/>
  <c r="S65" i="7"/>
  <c r="S89" i="7"/>
  <c r="T65" i="7"/>
  <c r="T89" i="7"/>
  <c r="Z71" i="7"/>
  <c r="E105" i="7"/>
  <c r="E127" i="7"/>
  <c r="E129" i="7" s="1"/>
  <c r="D104" i="7"/>
  <c r="D126" i="7"/>
  <c r="D128" i="7" s="1"/>
  <c r="D105" i="7"/>
  <c r="D127" i="7"/>
  <c r="D129" i="7" s="1"/>
  <c r="F105" i="7"/>
  <c r="F127" i="7"/>
  <c r="F129" i="7" s="1"/>
  <c r="C126" i="7"/>
  <c r="F104" i="7"/>
  <c r="F126" i="7"/>
  <c r="F128" i="7" s="1"/>
  <c r="E104" i="7"/>
  <c r="E126" i="7"/>
  <c r="E128" i="7" s="1"/>
  <c r="G105" i="7"/>
  <c r="G127" i="7"/>
  <c r="G129" i="7" s="1"/>
  <c r="G104" i="7"/>
  <c r="G126" i="7"/>
  <c r="G128" i="7" s="1"/>
  <c r="C127" i="7"/>
  <c r="I4" i="19"/>
  <c r="Q4" i="19" s="1"/>
  <c r="S4" i="19" s="1"/>
  <c r="U4" i="19" s="1"/>
  <c r="G4" i="35"/>
  <c r="O4" i="35" s="1"/>
  <c r="S4" i="35" s="1"/>
  <c r="V4" i="35" s="1"/>
  <c r="I4" i="29"/>
  <c r="Q4" i="29" s="1"/>
  <c r="S4" i="29" s="1"/>
  <c r="V4" i="29" s="1"/>
  <c r="H4" i="31"/>
  <c r="P4" i="31" s="1"/>
  <c r="G4" i="24"/>
  <c r="O4" i="24" s="1"/>
  <c r="S4" i="24" s="1"/>
  <c r="U4" i="24" s="1"/>
  <c r="E4" i="37"/>
  <c r="J4" i="37" s="1"/>
  <c r="I4" i="30"/>
  <c r="P4" i="30" s="1"/>
  <c r="Q4" i="30" s="1"/>
  <c r="T4" i="30" s="1"/>
  <c r="I4" i="18"/>
  <c r="P4" i="18" s="1"/>
  <c r="Q4" i="18" s="1"/>
  <c r="S4" i="18" s="1"/>
  <c r="H4" i="20"/>
  <c r="P4" i="20" s="1"/>
  <c r="J4" i="17"/>
  <c r="S4" i="17" s="1"/>
  <c r="U4" i="17" s="1"/>
  <c r="W4" i="17" s="1"/>
  <c r="G4" i="36"/>
  <c r="N4" i="36" s="1"/>
  <c r="Q4" i="36" s="1"/>
  <c r="T4" i="36" s="1"/>
  <c r="J4" i="28"/>
  <c r="S4" i="28" s="1"/>
  <c r="U4" i="28" s="1"/>
  <c r="X4" i="28" s="1"/>
  <c r="G4" i="25"/>
  <c r="N4" i="25" s="1"/>
  <c r="Q4" i="25" s="1"/>
  <c r="S4" i="25" s="1"/>
  <c r="K4" i="34"/>
  <c r="T4" i="34" s="1"/>
  <c r="U4" i="34" s="1"/>
  <c r="X4" i="34" s="1"/>
  <c r="E4" i="26"/>
  <c r="J4" i="26" s="1"/>
  <c r="K4" i="23"/>
  <c r="T4" i="23" s="1"/>
  <c r="U4" i="23" s="1"/>
  <c r="W4" i="23" s="1"/>
  <c r="K39" i="34"/>
  <c r="T39" i="34" s="1"/>
  <c r="U39" i="34" s="1"/>
  <c r="E39" i="26"/>
  <c r="J39" i="26" s="1"/>
  <c r="I39" i="29"/>
  <c r="Q39" i="29" s="1"/>
  <c r="S39" i="29" s="1"/>
  <c r="H39" i="31"/>
  <c r="P39" i="31" s="1"/>
  <c r="S39" i="31" s="1"/>
  <c r="G39" i="24"/>
  <c r="O39" i="24" s="1"/>
  <c r="S39" i="24" s="1"/>
  <c r="K39" i="23"/>
  <c r="T39" i="23" s="1"/>
  <c r="U39" i="23" s="1"/>
  <c r="E39" i="37"/>
  <c r="J39" i="37" s="1"/>
  <c r="G39" i="35"/>
  <c r="O39" i="35" s="1"/>
  <c r="S39" i="35" s="1"/>
  <c r="I39" i="18"/>
  <c r="P39" i="18" s="1"/>
  <c r="Q39" i="18" s="1"/>
  <c r="G39" i="36"/>
  <c r="N39" i="36" s="1"/>
  <c r="Q39" i="36" s="1"/>
  <c r="I39" i="30"/>
  <c r="P39" i="30" s="1"/>
  <c r="Q39" i="30" s="1"/>
  <c r="J39" i="28"/>
  <c r="S39" i="28" s="1"/>
  <c r="U39" i="28" s="1"/>
  <c r="G39" i="25"/>
  <c r="N39" i="25" s="1"/>
  <c r="Q39" i="25" s="1"/>
  <c r="H39" i="20"/>
  <c r="P39" i="20" s="1"/>
  <c r="S39" i="20" s="1"/>
  <c r="I39" i="19"/>
  <c r="Q39" i="19" s="1"/>
  <c r="S39" i="19" s="1"/>
  <c r="J39" i="17"/>
  <c r="S39" i="17" s="1"/>
  <c r="U39" i="17" s="1"/>
  <c r="G48" i="25"/>
  <c r="N48" i="25" s="1"/>
  <c r="Q48" i="25" s="1"/>
  <c r="G48" i="36"/>
  <c r="N48" i="36" s="1"/>
  <c r="Q48" i="36" s="1"/>
  <c r="E48" i="37"/>
  <c r="J48" i="37" s="1"/>
  <c r="H48" i="20"/>
  <c r="P48" i="20" s="1"/>
  <c r="S48" i="20" s="1"/>
  <c r="J48" i="17"/>
  <c r="S48" i="17" s="1"/>
  <c r="U48" i="17" s="1"/>
  <c r="I48" i="19"/>
  <c r="Q48" i="19" s="1"/>
  <c r="S48" i="19" s="1"/>
  <c r="H48" i="31"/>
  <c r="P48" i="31" s="1"/>
  <c r="S48" i="31" s="1"/>
  <c r="I48" i="18"/>
  <c r="P48" i="18" s="1"/>
  <c r="Q48" i="18" s="1"/>
  <c r="K48" i="34"/>
  <c r="T48" i="34" s="1"/>
  <c r="U48" i="34" s="1"/>
  <c r="I48" i="29"/>
  <c r="Q48" i="29" s="1"/>
  <c r="S48" i="29" s="1"/>
  <c r="E48" i="26"/>
  <c r="J48" i="26" s="1"/>
  <c r="K48" i="23"/>
  <c r="T48" i="23" s="1"/>
  <c r="U48" i="23" s="1"/>
  <c r="G48" i="24"/>
  <c r="O48" i="24" s="1"/>
  <c r="S48" i="24" s="1"/>
  <c r="I48" i="30"/>
  <c r="P48" i="30" s="1"/>
  <c r="Q48" i="30" s="1"/>
  <c r="G48" i="35"/>
  <c r="O48" i="35" s="1"/>
  <c r="S48" i="35" s="1"/>
  <c r="J48" i="28"/>
  <c r="S48" i="28" s="1"/>
  <c r="U48" i="28" s="1"/>
  <c r="H73" i="20"/>
  <c r="P73" i="20" s="1"/>
  <c r="S73" i="20" s="1"/>
  <c r="J73" i="17"/>
  <c r="S73" i="17" s="1"/>
  <c r="U73" i="17" s="1"/>
  <c r="I73" i="19"/>
  <c r="Q73" i="19" s="1"/>
  <c r="S73" i="19" s="1"/>
  <c r="I73" i="30"/>
  <c r="P73" i="30" s="1"/>
  <c r="Q73" i="30" s="1"/>
  <c r="E73" i="26"/>
  <c r="J73" i="26" s="1"/>
  <c r="M73" i="26" s="1"/>
  <c r="G73" i="25"/>
  <c r="N73" i="25" s="1"/>
  <c r="Q73" i="25" s="1"/>
  <c r="I73" i="18"/>
  <c r="P73" i="18" s="1"/>
  <c r="Q73" i="18" s="1"/>
  <c r="H73" i="31"/>
  <c r="P73" i="31" s="1"/>
  <c r="S73" i="31" s="1"/>
  <c r="J73" i="28"/>
  <c r="K73" i="34"/>
  <c r="T73" i="34" s="1"/>
  <c r="U73" i="34" s="1"/>
  <c r="G73" i="35"/>
  <c r="O73" i="35" s="1"/>
  <c r="S73" i="35" s="1"/>
  <c r="I73" i="29"/>
  <c r="Q73" i="29" s="1"/>
  <c r="S73" i="29" s="1"/>
  <c r="K73" i="23"/>
  <c r="T73" i="23" s="1"/>
  <c r="U73" i="23" s="1"/>
  <c r="E73" i="37"/>
  <c r="J73" i="37" s="1"/>
  <c r="M73" i="37" s="1"/>
  <c r="G73" i="36"/>
  <c r="N73" i="36" s="1"/>
  <c r="Q73" i="36" s="1"/>
  <c r="G73" i="24"/>
  <c r="O73" i="24" s="1"/>
  <c r="S73" i="24" s="1"/>
  <c r="I40" i="29"/>
  <c r="Q40" i="29" s="1"/>
  <c r="S40" i="29" s="1"/>
  <c r="E40" i="26"/>
  <c r="J40" i="26" s="1"/>
  <c r="K40" i="23"/>
  <c r="T40" i="23" s="1"/>
  <c r="U40" i="23" s="1"/>
  <c r="G40" i="35"/>
  <c r="O40" i="35" s="1"/>
  <c r="S40" i="35" s="1"/>
  <c r="H40" i="31"/>
  <c r="P40" i="31" s="1"/>
  <c r="S40" i="31" s="1"/>
  <c r="G40" i="24"/>
  <c r="O40" i="24" s="1"/>
  <c r="S40" i="24" s="1"/>
  <c r="J40" i="28"/>
  <c r="S40" i="28" s="1"/>
  <c r="U40" i="28" s="1"/>
  <c r="E40" i="37"/>
  <c r="J40" i="37" s="1"/>
  <c r="G40" i="36"/>
  <c r="N40" i="36" s="1"/>
  <c r="Q40" i="36" s="1"/>
  <c r="I40" i="19"/>
  <c r="Q40" i="19" s="1"/>
  <c r="S40" i="19" s="1"/>
  <c r="I40" i="30"/>
  <c r="P40" i="30" s="1"/>
  <c r="Q40" i="30" s="1"/>
  <c r="G40" i="25"/>
  <c r="N40" i="25" s="1"/>
  <c r="Q40" i="25" s="1"/>
  <c r="I40" i="18"/>
  <c r="P40" i="18" s="1"/>
  <c r="Q40" i="18" s="1"/>
  <c r="K40" i="34"/>
  <c r="T40" i="34" s="1"/>
  <c r="U40" i="34" s="1"/>
  <c r="H40" i="20"/>
  <c r="P40" i="20" s="1"/>
  <c r="S40" i="20" s="1"/>
  <c r="J40" i="17"/>
  <c r="S40" i="17" s="1"/>
  <c r="U40" i="17" s="1"/>
  <c r="AH13" i="40"/>
  <c r="H2" i="31"/>
  <c r="P2" i="31" s="1"/>
  <c r="E2" i="37"/>
  <c r="J2" i="37" s="1"/>
  <c r="I2" i="18"/>
  <c r="P2" i="18" s="1"/>
  <c r="Q2" i="18" s="1"/>
  <c r="S2" i="18" s="1"/>
  <c r="G2" i="24"/>
  <c r="O2" i="24" s="1"/>
  <c r="S2" i="24" s="1"/>
  <c r="U2" i="24" s="1"/>
  <c r="I2" i="30"/>
  <c r="P2" i="30" s="1"/>
  <c r="Q2" i="30" s="1"/>
  <c r="K2" i="34"/>
  <c r="T2" i="34" s="1"/>
  <c r="U2" i="34" s="1"/>
  <c r="I2" i="29"/>
  <c r="Q2" i="29" s="1"/>
  <c r="S2" i="29" s="1"/>
  <c r="V2" i="29" s="1"/>
  <c r="G2" i="25"/>
  <c r="N2" i="25" s="1"/>
  <c r="Q2" i="25" s="1"/>
  <c r="S2" i="25" s="1"/>
  <c r="H2" i="20"/>
  <c r="P2" i="20" s="1"/>
  <c r="J2" i="17"/>
  <c r="S2" i="17" s="1"/>
  <c r="U2" i="17" s="1"/>
  <c r="W2" i="17" s="1"/>
  <c r="G2" i="36"/>
  <c r="N2" i="36" s="1"/>
  <c r="Q2" i="36" s="1"/>
  <c r="T2" i="36" s="1"/>
  <c r="I2" i="19"/>
  <c r="Q2" i="19" s="1"/>
  <c r="S2" i="19" s="1"/>
  <c r="U2" i="19" s="1"/>
  <c r="J2" i="28"/>
  <c r="S2" i="28" s="1"/>
  <c r="U2" i="28" s="1"/>
  <c r="X2" i="28" s="1"/>
  <c r="E2" i="26"/>
  <c r="J2" i="26" s="1"/>
  <c r="K2" i="23"/>
  <c r="T2" i="23" s="1"/>
  <c r="U2" i="23" s="1"/>
  <c r="W2" i="23" s="1"/>
  <c r="G2" i="35"/>
  <c r="O2" i="35" s="1"/>
  <c r="S2" i="35" s="1"/>
  <c r="V2" i="35" s="1"/>
  <c r="S13" i="40"/>
  <c r="K15" i="44" s="1"/>
  <c r="G12" i="24"/>
  <c r="O12" i="24" s="1"/>
  <c r="S12" i="24" s="1"/>
  <c r="U12" i="24" s="1"/>
  <c r="I12" i="19"/>
  <c r="Q12" i="19" s="1"/>
  <c r="S12" i="19" s="1"/>
  <c r="U12" i="19" s="1"/>
  <c r="H12" i="20"/>
  <c r="P12" i="20" s="1"/>
  <c r="J12" i="17"/>
  <c r="S12" i="17" s="1"/>
  <c r="U12" i="17" s="1"/>
  <c r="W12" i="17" s="1"/>
  <c r="G12" i="36"/>
  <c r="N12" i="36" s="1"/>
  <c r="Q12" i="36" s="1"/>
  <c r="T12" i="36" s="1"/>
  <c r="G12" i="25"/>
  <c r="N12" i="25" s="1"/>
  <c r="Q12" i="25" s="1"/>
  <c r="S12" i="25" s="1"/>
  <c r="K12" i="34"/>
  <c r="T12" i="34" s="1"/>
  <c r="U12" i="34" s="1"/>
  <c r="X12" i="34" s="1"/>
  <c r="E12" i="26"/>
  <c r="J12" i="26" s="1"/>
  <c r="K12" i="23"/>
  <c r="T12" i="23" s="1"/>
  <c r="U12" i="23" s="1"/>
  <c r="W12" i="23" s="1"/>
  <c r="H12" i="31"/>
  <c r="P12" i="31" s="1"/>
  <c r="E12" i="37"/>
  <c r="J12" i="37" s="1"/>
  <c r="I12" i="29"/>
  <c r="Q12" i="29" s="1"/>
  <c r="S12" i="29" s="1"/>
  <c r="V12" i="29" s="1"/>
  <c r="J12" i="28"/>
  <c r="S12" i="28" s="1"/>
  <c r="U12" i="28" s="1"/>
  <c r="X12" i="28" s="1"/>
  <c r="I12" i="18"/>
  <c r="P12" i="18" s="1"/>
  <c r="Q12" i="18" s="1"/>
  <c r="S12" i="18" s="1"/>
  <c r="G12" i="35"/>
  <c r="O12" i="35" s="1"/>
  <c r="S12" i="35" s="1"/>
  <c r="V12" i="35" s="1"/>
  <c r="I12" i="30"/>
  <c r="P12" i="30" s="1"/>
  <c r="Q12" i="30" s="1"/>
  <c r="T12" i="30" s="1"/>
  <c r="E69" i="26"/>
  <c r="J69" i="26" s="1"/>
  <c r="G69" i="24"/>
  <c r="O69" i="24" s="1"/>
  <c r="S69" i="24" s="1"/>
  <c r="I69" i="18"/>
  <c r="P69" i="18" s="1"/>
  <c r="Q69" i="18" s="1"/>
  <c r="G69" i="36"/>
  <c r="N69" i="36" s="1"/>
  <c r="Q69" i="36" s="1"/>
  <c r="G69" i="35"/>
  <c r="O69" i="35" s="1"/>
  <c r="S69" i="35" s="1"/>
  <c r="G69" i="25"/>
  <c r="N69" i="25" s="1"/>
  <c r="Q69" i="25" s="1"/>
  <c r="K69" i="23"/>
  <c r="T69" i="23" s="1"/>
  <c r="U69" i="23" s="1"/>
  <c r="J69" i="28"/>
  <c r="I69" i="19"/>
  <c r="Q69" i="19" s="1"/>
  <c r="S69" i="19" s="1"/>
  <c r="K69" i="34"/>
  <c r="T69" i="34" s="1"/>
  <c r="U69" i="34" s="1"/>
  <c r="I69" i="29"/>
  <c r="Q69" i="29" s="1"/>
  <c r="S69" i="29" s="1"/>
  <c r="H69" i="20"/>
  <c r="P69" i="20" s="1"/>
  <c r="S69" i="20" s="1"/>
  <c r="J69" i="17"/>
  <c r="S69" i="17" s="1"/>
  <c r="U69" i="17" s="1"/>
  <c r="H69" i="31"/>
  <c r="P69" i="31" s="1"/>
  <c r="S69" i="31" s="1"/>
  <c r="I69" i="30"/>
  <c r="P69" i="30" s="1"/>
  <c r="Q69" i="30" s="1"/>
  <c r="E69" i="37"/>
  <c r="J69" i="37" s="1"/>
  <c r="GD74" i="2"/>
  <c r="G70" i="36"/>
  <c r="N70" i="36" s="1"/>
  <c r="Q70" i="36" s="1"/>
  <c r="J70" i="28"/>
  <c r="E70" i="26"/>
  <c r="J70" i="26" s="1"/>
  <c r="K70" i="23"/>
  <c r="T70" i="23" s="1"/>
  <c r="U70" i="23" s="1"/>
  <c r="I70" i="18"/>
  <c r="P70" i="18" s="1"/>
  <c r="Q70" i="18" s="1"/>
  <c r="I70" i="29"/>
  <c r="Q70" i="29" s="1"/>
  <c r="S70" i="29" s="1"/>
  <c r="K70" i="34"/>
  <c r="T70" i="34" s="1"/>
  <c r="U70" i="34" s="1"/>
  <c r="G70" i="25"/>
  <c r="N70" i="25" s="1"/>
  <c r="Q70" i="25" s="1"/>
  <c r="I70" i="19"/>
  <c r="Q70" i="19" s="1"/>
  <c r="S70" i="19" s="1"/>
  <c r="I70" i="30"/>
  <c r="P70" i="30" s="1"/>
  <c r="Q70" i="30" s="1"/>
  <c r="H70" i="31"/>
  <c r="P70" i="31" s="1"/>
  <c r="S70" i="31" s="1"/>
  <c r="E70" i="37"/>
  <c r="J70" i="37" s="1"/>
  <c r="H70" i="20"/>
  <c r="P70" i="20" s="1"/>
  <c r="S70" i="20" s="1"/>
  <c r="J70" i="17"/>
  <c r="S70" i="17" s="1"/>
  <c r="U70" i="17" s="1"/>
  <c r="G70" i="24"/>
  <c r="O70" i="24" s="1"/>
  <c r="S70" i="24" s="1"/>
  <c r="G70" i="35"/>
  <c r="O70" i="35" s="1"/>
  <c r="S70" i="35" s="1"/>
  <c r="D1" i="22"/>
  <c r="D1" i="33"/>
  <c r="K62" i="44"/>
  <c r="BN13" i="40"/>
  <c r="G64" i="25"/>
  <c r="N64" i="25" s="1"/>
  <c r="Q64" i="25" s="1"/>
  <c r="E64" i="37"/>
  <c r="J64" i="37" s="1"/>
  <c r="I64" i="29"/>
  <c r="Q64" i="29" s="1"/>
  <c r="S64" i="29" s="1"/>
  <c r="J64" i="28"/>
  <c r="G64" i="36"/>
  <c r="N64" i="36" s="1"/>
  <c r="Q64" i="36" s="1"/>
  <c r="G64" i="35"/>
  <c r="O64" i="35" s="1"/>
  <c r="S64" i="35" s="1"/>
  <c r="H64" i="31"/>
  <c r="I64" i="30"/>
  <c r="P64" i="30" s="1"/>
  <c r="Q64" i="30" s="1"/>
  <c r="H64" i="20"/>
  <c r="P64" i="20" s="1"/>
  <c r="S64" i="20" s="1"/>
  <c r="J64" i="17"/>
  <c r="S64" i="17" s="1"/>
  <c r="U64" i="17" s="1"/>
  <c r="I64" i="19"/>
  <c r="Q64" i="19" s="1"/>
  <c r="S64" i="19" s="1"/>
  <c r="I64" i="18"/>
  <c r="P64" i="18" s="1"/>
  <c r="Q64" i="18" s="1"/>
  <c r="K64" i="34"/>
  <c r="T64" i="34" s="1"/>
  <c r="U64" i="34" s="1"/>
  <c r="E64" i="26"/>
  <c r="J64" i="26" s="1"/>
  <c r="K64" i="23"/>
  <c r="T64" i="23" s="1"/>
  <c r="U64" i="23" s="1"/>
  <c r="G64" i="24"/>
  <c r="O64" i="24" s="1"/>
  <c r="S64" i="24" s="1"/>
  <c r="K60" i="44"/>
  <c r="AY13" i="40"/>
  <c r="K13" i="40"/>
  <c r="K14" i="44" s="1"/>
  <c r="K7" i="44"/>
  <c r="E49" i="37"/>
  <c r="J49" i="37" s="1"/>
  <c r="M49" i="37" s="1"/>
  <c r="K49" i="34"/>
  <c r="T49" i="34" s="1"/>
  <c r="U49" i="34" s="1"/>
  <c r="I49" i="19"/>
  <c r="Q49" i="19" s="1"/>
  <c r="S49" i="19" s="1"/>
  <c r="H49" i="31"/>
  <c r="P49" i="31" s="1"/>
  <c r="S49" i="31" s="1"/>
  <c r="I49" i="29"/>
  <c r="Q49" i="29" s="1"/>
  <c r="S49" i="29" s="1"/>
  <c r="K49" i="23"/>
  <c r="T49" i="23" s="1"/>
  <c r="U49" i="23" s="1"/>
  <c r="I49" i="18"/>
  <c r="P49" i="18" s="1"/>
  <c r="Q49" i="18" s="1"/>
  <c r="J49" i="28"/>
  <c r="S49" i="28" s="1"/>
  <c r="U49" i="28" s="1"/>
  <c r="G49" i="24"/>
  <c r="O49" i="24" s="1"/>
  <c r="S49" i="24" s="1"/>
  <c r="I49" i="30"/>
  <c r="P49" i="30" s="1"/>
  <c r="Q49" i="30" s="1"/>
  <c r="H49" i="20"/>
  <c r="P49" i="20" s="1"/>
  <c r="S49" i="20" s="1"/>
  <c r="J49" i="17"/>
  <c r="S49" i="17" s="1"/>
  <c r="U49" i="17" s="1"/>
  <c r="G49" i="35"/>
  <c r="O49" i="35" s="1"/>
  <c r="S49" i="35" s="1"/>
  <c r="E49" i="26"/>
  <c r="J49" i="26" s="1"/>
  <c r="M49" i="26" s="1"/>
  <c r="G49" i="25"/>
  <c r="N49" i="25" s="1"/>
  <c r="Q49" i="25" s="1"/>
  <c r="G49" i="36"/>
  <c r="N49" i="36" s="1"/>
  <c r="Q49" i="36" s="1"/>
  <c r="G38" i="35"/>
  <c r="O38" i="35" s="1"/>
  <c r="S38" i="35" s="1"/>
  <c r="I38" i="29"/>
  <c r="Q38" i="29" s="1"/>
  <c r="S38" i="29" s="1"/>
  <c r="E38" i="26"/>
  <c r="J38" i="26" s="1"/>
  <c r="K38" i="23"/>
  <c r="T38" i="23" s="1"/>
  <c r="U38" i="23" s="1"/>
  <c r="I38" i="18"/>
  <c r="P38" i="18" s="1"/>
  <c r="Q38" i="18" s="1"/>
  <c r="G38" i="25"/>
  <c r="N38" i="25" s="1"/>
  <c r="Q38" i="25" s="1"/>
  <c r="I38" i="30"/>
  <c r="P38" i="30" s="1"/>
  <c r="Q38" i="30" s="1"/>
  <c r="I38" i="19"/>
  <c r="Q38" i="19" s="1"/>
  <c r="S38" i="19" s="1"/>
  <c r="G38" i="36"/>
  <c r="N38" i="36" s="1"/>
  <c r="Q38" i="36" s="1"/>
  <c r="J38" i="28"/>
  <c r="S38" i="28" s="1"/>
  <c r="U38" i="28" s="1"/>
  <c r="K38" i="34"/>
  <c r="T38" i="34" s="1"/>
  <c r="U38" i="34" s="1"/>
  <c r="H38" i="20"/>
  <c r="P38" i="20" s="1"/>
  <c r="S38" i="20" s="1"/>
  <c r="J38" i="17"/>
  <c r="S38" i="17" s="1"/>
  <c r="U38" i="17" s="1"/>
  <c r="H38" i="31"/>
  <c r="P38" i="31" s="1"/>
  <c r="S38" i="31" s="1"/>
  <c r="G38" i="24"/>
  <c r="O38" i="24" s="1"/>
  <c r="S38" i="24" s="1"/>
  <c r="E38" i="37"/>
  <c r="J38" i="37" s="1"/>
  <c r="K41" i="34"/>
  <c r="T41" i="34" s="1"/>
  <c r="U41" i="34" s="1"/>
  <c r="H41" i="20"/>
  <c r="P41" i="20" s="1"/>
  <c r="S41" i="20" s="1"/>
  <c r="J41" i="17"/>
  <c r="S41" i="17" s="1"/>
  <c r="U41" i="17" s="1"/>
  <c r="G41" i="36"/>
  <c r="N41" i="36" s="1"/>
  <c r="Q41" i="36" s="1"/>
  <c r="E41" i="37"/>
  <c r="J41" i="37" s="1"/>
  <c r="I41" i="19"/>
  <c r="Q41" i="19" s="1"/>
  <c r="S41" i="19" s="1"/>
  <c r="I41" i="30"/>
  <c r="P41" i="30" s="1"/>
  <c r="Q41" i="30" s="1"/>
  <c r="E41" i="26"/>
  <c r="J41" i="26" s="1"/>
  <c r="G41" i="25"/>
  <c r="N41" i="25" s="1"/>
  <c r="Q41" i="25" s="1"/>
  <c r="I41" i="18"/>
  <c r="P41" i="18" s="1"/>
  <c r="Q41" i="18" s="1"/>
  <c r="I41" i="29"/>
  <c r="Q41" i="29" s="1"/>
  <c r="S41" i="29" s="1"/>
  <c r="K41" i="23"/>
  <c r="T41" i="23" s="1"/>
  <c r="U41" i="23" s="1"/>
  <c r="J41" i="28"/>
  <c r="S41" i="28" s="1"/>
  <c r="U41" i="28" s="1"/>
  <c r="G41" i="35"/>
  <c r="O41" i="35" s="1"/>
  <c r="S41" i="35" s="1"/>
  <c r="H41" i="31"/>
  <c r="P41" i="31" s="1"/>
  <c r="S41" i="31" s="1"/>
  <c r="G41" i="24"/>
  <c r="O41" i="24" s="1"/>
  <c r="S41" i="24" s="1"/>
  <c r="G65" i="36"/>
  <c r="N65" i="36" s="1"/>
  <c r="Q65" i="36" s="1"/>
  <c r="G65" i="35"/>
  <c r="O65" i="35" s="1"/>
  <c r="S65" i="35" s="1"/>
  <c r="K65" i="34"/>
  <c r="T65" i="34" s="1"/>
  <c r="U65" i="34" s="1"/>
  <c r="H65" i="31"/>
  <c r="P65" i="31" s="1"/>
  <c r="S65" i="31" s="1"/>
  <c r="I65" i="30"/>
  <c r="P65" i="30" s="1"/>
  <c r="Q65" i="30" s="1"/>
  <c r="I65" i="19"/>
  <c r="Q65" i="19" s="1"/>
  <c r="S65" i="19" s="1"/>
  <c r="K65" i="23"/>
  <c r="T65" i="23" s="1"/>
  <c r="U65" i="23" s="1"/>
  <c r="I65" i="18"/>
  <c r="P65" i="18" s="1"/>
  <c r="Q65" i="18" s="1"/>
  <c r="G65" i="24"/>
  <c r="O65" i="24" s="1"/>
  <c r="S65" i="24" s="1"/>
  <c r="H65" i="20"/>
  <c r="P65" i="20" s="1"/>
  <c r="S65" i="20" s="1"/>
  <c r="J65" i="17"/>
  <c r="S65" i="17" s="1"/>
  <c r="U65" i="17" s="1"/>
  <c r="I65" i="29"/>
  <c r="Q65" i="29" s="1"/>
  <c r="S65" i="29" s="1"/>
  <c r="E65" i="26"/>
  <c r="J65" i="26" s="1"/>
  <c r="G65" i="25"/>
  <c r="N65" i="25" s="1"/>
  <c r="Q65" i="25" s="1"/>
  <c r="J65" i="28"/>
  <c r="E65" i="37"/>
  <c r="J65" i="37" s="1"/>
  <c r="I66" i="18"/>
  <c r="P66" i="18" s="1"/>
  <c r="Q66" i="18" s="1"/>
  <c r="I66" i="29"/>
  <c r="Q66" i="29" s="1"/>
  <c r="S66" i="29" s="1"/>
  <c r="G66" i="24"/>
  <c r="O66" i="24" s="1"/>
  <c r="S66" i="24" s="1"/>
  <c r="J66" i="28"/>
  <c r="G66" i="25"/>
  <c r="N66" i="25" s="1"/>
  <c r="Q66" i="25" s="1"/>
  <c r="K66" i="34"/>
  <c r="T66" i="34" s="1"/>
  <c r="U66" i="34" s="1"/>
  <c r="H66" i="20"/>
  <c r="P66" i="20" s="1"/>
  <c r="S66" i="20" s="1"/>
  <c r="J66" i="17"/>
  <c r="S66" i="17" s="1"/>
  <c r="U66" i="17" s="1"/>
  <c r="E66" i="37"/>
  <c r="J66" i="37" s="1"/>
  <c r="G66" i="36"/>
  <c r="N66" i="36" s="1"/>
  <c r="Q66" i="36" s="1"/>
  <c r="G66" i="35"/>
  <c r="O66" i="35" s="1"/>
  <c r="S66" i="35" s="1"/>
  <c r="H66" i="31"/>
  <c r="P66" i="31" s="1"/>
  <c r="S66" i="31" s="1"/>
  <c r="I66" i="19"/>
  <c r="Q66" i="19" s="1"/>
  <c r="S66" i="19" s="1"/>
  <c r="I66" i="30"/>
  <c r="P66" i="30" s="1"/>
  <c r="Q66" i="30" s="1"/>
  <c r="E66" i="26"/>
  <c r="J66" i="26" s="1"/>
  <c r="K66" i="23"/>
  <c r="T66" i="23" s="1"/>
  <c r="U66" i="23" s="1"/>
  <c r="K9" i="44"/>
  <c r="AA13" i="40"/>
  <c r="K57" i="44"/>
  <c r="D1" i="29"/>
  <c r="G44" i="24"/>
  <c r="O44" i="24" s="1"/>
  <c r="S44" i="24" s="1"/>
  <c r="I44" i="19"/>
  <c r="Q44" i="19" s="1"/>
  <c r="S44" i="19" s="1"/>
  <c r="K44" i="34"/>
  <c r="T44" i="34" s="1"/>
  <c r="U44" i="34" s="1"/>
  <c r="J44" i="28"/>
  <c r="S44" i="28" s="1"/>
  <c r="U44" i="28" s="1"/>
  <c r="H44" i="20"/>
  <c r="P44" i="20" s="1"/>
  <c r="S44" i="20" s="1"/>
  <c r="J44" i="17"/>
  <c r="S44" i="17" s="1"/>
  <c r="U44" i="17" s="1"/>
  <c r="I44" i="30"/>
  <c r="P44" i="30" s="1"/>
  <c r="Q44" i="30" s="1"/>
  <c r="G44" i="25"/>
  <c r="N44" i="25" s="1"/>
  <c r="Q44" i="25" s="1"/>
  <c r="E44" i="37"/>
  <c r="J44" i="37" s="1"/>
  <c r="E44" i="26"/>
  <c r="J44" i="26" s="1"/>
  <c r="K44" i="23"/>
  <c r="T44" i="23" s="1"/>
  <c r="U44" i="23" s="1"/>
  <c r="I44" i="18"/>
  <c r="P44" i="18" s="1"/>
  <c r="Q44" i="18" s="1"/>
  <c r="G44" i="36"/>
  <c r="N44" i="36" s="1"/>
  <c r="Q44" i="36" s="1"/>
  <c r="G44" i="35"/>
  <c r="O44" i="35" s="1"/>
  <c r="S44" i="35" s="1"/>
  <c r="H44" i="31"/>
  <c r="P44" i="31" s="1"/>
  <c r="S44" i="31" s="1"/>
  <c r="I44" i="29"/>
  <c r="Q44" i="29" s="1"/>
  <c r="S44" i="29" s="1"/>
  <c r="K67" i="34"/>
  <c r="T67" i="34" s="1"/>
  <c r="U67" i="34" s="1"/>
  <c r="G67" i="35"/>
  <c r="O67" i="35" s="1"/>
  <c r="S67" i="35" s="1"/>
  <c r="G67" i="25"/>
  <c r="N67" i="25" s="1"/>
  <c r="Q67" i="25" s="1"/>
  <c r="G67" i="36"/>
  <c r="N67" i="36" s="1"/>
  <c r="Q67" i="36" s="1"/>
  <c r="E67" i="37"/>
  <c r="J67" i="37" s="1"/>
  <c r="K67" i="23"/>
  <c r="T67" i="23" s="1"/>
  <c r="U67" i="23" s="1"/>
  <c r="I67" i="19"/>
  <c r="Q67" i="19" s="1"/>
  <c r="S67" i="19" s="1"/>
  <c r="H67" i="31"/>
  <c r="P67" i="31" s="1"/>
  <c r="S67" i="31" s="1"/>
  <c r="I67" i="30"/>
  <c r="P67" i="30" s="1"/>
  <c r="Q67" i="30" s="1"/>
  <c r="I67" i="29"/>
  <c r="Q67" i="29" s="1"/>
  <c r="S67" i="29" s="1"/>
  <c r="H67" i="20"/>
  <c r="P67" i="20" s="1"/>
  <c r="S67" i="20" s="1"/>
  <c r="J67" i="17"/>
  <c r="S67" i="17" s="1"/>
  <c r="U67" i="17" s="1"/>
  <c r="J67" i="28"/>
  <c r="G67" i="24"/>
  <c r="O67" i="24" s="1"/>
  <c r="S67" i="24" s="1"/>
  <c r="I67" i="18"/>
  <c r="P67" i="18" s="1"/>
  <c r="Q67" i="18" s="1"/>
  <c r="E67" i="26"/>
  <c r="J67" i="26" s="1"/>
  <c r="J13" i="28"/>
  <c r="S13" i="28" s="1"/>
  <c r="U13" i="28" s="1"/>
  <c r="X13" i="28" s="1"/>
  <c r="G13" i="25"/>
  <c r="N13" i="25" s="1"/>
  <c r="Q13" i="25" s="1"/>
  <c r="S13" i="25" s="1"/>
  <c r="K13" i="23"/>
  <c r="T13" i="23" s="1"/>
  <c r="U13" i="23" s="1"/>
  <c r="W13" i="23" s="1"/>
  <c r="I13" i="29"/>
  <c r="Q13" i="29" s="1"/>
  <c r="S13" i="29" s="1"/>
  <c r="V13" i="29" s="1"/>
  <c r="H13" i="31"/>
  <c r="P13" i="31" s="1"/>
  <c r="H13" i="20"/>
  <c r="P13" i="20" s="1"/>
  <c r="J13" i="17"/>
  <c r="S13" i="17" s="1"/>
  <c r="U13" i="17" s="1"/>
  <c r="W13" i="17" s="1"/>
  <c r="E13" i="37"/>
  <c r="J13" i="37" s="1"/>
  <c r="G13" i="35"/>
  <c r="O13" i="35" s="1"/>
  <c r="S13" i="35" s="1"/>
  <c r="V13" i="35" s="1"/>
  <c r="I13" i="18"/>
  <c r="P13" i="18" s="1"/>
  <c r="Q13" i="18" s="1"/>
  <c r="S13" i="18" s="1"/>
  <c r="I13" i="30"/>
  <c r="P13" i="30" s="1"/>
  <c r="Q13" i="30" s="1"/>
  <c r="T13" i="30" s="1"/>
  <c r="E13" i="26"/>
  <c r="J13" i="26" s="1"/>
  <c r="I13" i="19"/>
  <c r="Q13" i="19" s="1"/>
  <c r="S13" i="19" s="1"/>
  <c r="U13" i="19" s="1"/>
  <c r="G13" i="24"/>
  <c r="O13" i="24" s="1"/>
  <c r="S13" i="24" s="1"/>
  <c r="U13" i="24" s="1"/>
  <c r="G13" i="36"/>
  <c r="N13" i="36" s="1"/>
  <c r="Q13" i="36" s="1"/>
  <c r="T13" i="36" s="1"/>
  <c r="K13" i="34"/>
  <c r="T13" i="34" s="1"/>
  <c r="U13" i="34" s="1"/>
  <c r="X13" i="34" s="1"/>
  <c r="D1" i="31"/>
  <c r="E71" i="26"/>
  <c r="J71" i="26" s="1"/>
  <c r="H71" i="31"/>
  <c r="P71" i="31" s="1"/>
  <c r="S71" i="31" s="1"/>
  <c r="E71" i="37"/>
  <c r="J71" i="37" s="1"/>
  <c r="G71" i="35"/>
  <c r="O71" i="35" s="1"/>
  <c r="S71" i="35" s="1"/>
  <c r="K71" i="34"/>
  <c r="T71" i="34" s="1"/>
  <c r="U71" i="34" s="1"/>
  <c r="I71" i="29"/>
  <c r="Q71" i="29" s="1"/>
  <c r="S71" i="29" s="1"/>
  <c r="J71" i="28"/>
  <c r="G71" i="24"/>
  <c r="O71" i="24" s="1"/>
  <c r="S71" i="24" s="1"/>
  <c r="G71" i="36"/>
  <c r="N71" i="36" s="1"/>
  <c r="Q71" i="36" s="1"/>
  <c r="K71" i="23"/>
  <c r="T71" i="23" s="1"/>
  <c r="U71" i="23" s="1"/>
  <c r="I71" i="18"/>
  <c r="P71" i="18" s="1"/>
  <c r="Q71" i="18" s="1"/>
  <c r="G71" i="25"/>
  <c r="N71" i="25" s="1"/>
  <c r="Q71" i="25" s="1"/>
  <c r="H71" i="20"/>
  <c r="P71" i="20" s="1"/>
  <c r="S71" i="20" s="1"/>
  <c r="I71" i="19"/>
  <c r="Q71" i="19" s="1"/>
  <c r="S71" i="19" s="1"/>
  <c r="J71" i="17"/>
  <c r="S71" i="17" s="1"/>
  <c r="U71" i="17" s="1"/>
  <c r="I71" i="30"/>
  <c r="P71" i="30" s="1"/>
  <c r="Q71" i="30" s="1"/>
  <c r="E72" i="37"/>
  <c r="J72" i="37" s="1"/>
  <c r="G72" i="35"/>
  <c r="O72" i="35" s="1"/>
  <c r="S72" i="35" s="1"/>
  <c r="K72" i="34"/>
  <c r="T72" i="34" s="1"/>
  <c r="U72" i="34" s="1"/>
  <c r="I72" i="29"/>
  <c r="Q72" i="29" s="1"/>
  <c r="S72" i="29" s="1"/>
  <c r="E72" i="26"/>
  <c r="J72" i="26" s="1"/>
  <c r="K72" i="23"/>
  <c r="T72" i="23" s="1"/>
  <c r="U72" i="23" s="1"/>
  <c r="G72" i="36"/>
  <c r="N72" i="36" s="1"/>
  <c r="Q72" i="36" s="1"/>
  <c r="G72" i="24"/>
  <c r="O72" i="24" s="1"/>
  <c r="S72" i="24" s="1"/>
  <c r="I72" i="19"/>
  <c r="Q72" i="19" s="1"/>
  <c r="S72" i="19" s="1"/>
  <c r="I72" i="30"/>
  <c r="P72" i="30" s="1"/>
  <c r="Q72" i="30" s="1"/>
  <c r="G72" i="25"/>
  <c r="N72" i="25" s="1"/>
  <c r="Q72" i="25" s="1"/>
  <c r="I72" i="18"/>
  <c r="P72" i="18" s="1"/>
  <c r="Q72" i="18" s="1"/>
  <c r="H72" i="31"/>
  <c r="J72" i="28"/>
  <c r="H72" i="20"/>
  <c r="P72" i="20" s="1"/>
  <c r="S72" i="20" s="1"/>
  <c r="J72" i="17"/>
  <c r="S72" i="17" s="1"/>
  <c r="U72" i="17" s="1"/>
  <c r="E5" i="26"/>
  <c r="J5" i="26" s="1"/>
  <c r="G5" i="24"/>
  <c r="O5" i="24" s="1"/>
  <c r="S5" i="24" s="1"/>
  <c r="U5" i="24" s="1"/>
  <c r="I5" i="30"/>
  <c r="P5" i="30" s="1"/>
  <c r="Q5" i="30" s="1"/>
  <c r="T5" i="30" s="1"/>
  <c r="J5" i="28"/>
  <c r="S5" i="28" s="1"/>
  <c r="U5" i="28" s="1"/>
  <c r="X5" i="28" s="1"/>
  <c r="E5" i="37"/>
  <c r="J5" i="37" s="1"/>
  <c r="I5" i="18"/>
  <c r="P5" i="18" s="1"/>
  <c r="Q5" i="18" s="1"/>
  <c r="S5" i="18" s="1"/>
  <c r="G5" i="36"/>
  <c r="N5" i="36" s="1"/>
  <c r="Q5" i="36" s="1"/>
  <c r="T5" i="36" s="1"/>
  <c r="K5" i="34"/>
  <c r="T5" i="34" s="1"/>
  <c r="U5" i="34" s="1"/>
  <c r="X5" i="34" s="1"/>
  <c r="G5" i="25"/>
  <c r="N5" i="25" s="1"/>
  <c r="Q5" i="25" s="1"/>
  <c r="S5" i="25" s="1"/>
  <c r="K5" i="23"/>
  <c r="T5" i="23" s="1"/>
  <c r="U5" i="23" s="1"/>
  <c r="W5" i="23" s="1"/>
  <c r="I5" i="29"/>
  <c r="Q5" i="29" s="1"/>
  <c r="S5" i="29" s="1"/>
  <c r="V5" i="29" s="1"/>
  <c r="I5" i="19"/>
  <c r="Q5" i="19" s="1"/>
  <c r="S5" i="19" s="1"/>
  <c r="U5" i="19" s="1"/>
  <c r="G5" i="35"/>
  <c r="O5" i="35" s="1"/>
  <c r="S5" i="35" s="1"/>
  <c r="V5" i="35" s="1"/>
  <c r="H5" i="20"/>
  <c r="P5" i="20" s="1"/>
  <c r="J5" i="17"/>
  <c r="S5" i="17" s="1"/>
  <c r="U5" i="17" s="1"/>
  <c r="W5" i="17" s="1"/>
  <c r="H5" i="31"/>
  <c r="P5" i="31" s="1"/>
  <c r="BG13" i="40"/>
  <c r="K61" i="44"/>
  <c r="G63" i="24"/>
  <c r="O63" i="24" s="1"/>
  <c r="S63" i="24" s="1"/>
  <c r="K63" i="23"/>
  <c r="T63" i="23" s="1"/>
  <c r="U63" i="23" s="1"/>
  <c r="K63" i="34"/>
  <c r="T63" i="34" s="1"/>
  <c r="U63" i="34" s="1"/>
  <c r="E63" i="37"/>
  <c r="J63" i="37" s="1"/>
  <c r="G63" i="25"/>
  <c r="N63" i="25" s="1"/>
  <c r="Q63" i="25" s="1"/>
  <c r="H63" i="20"/>
  <c r="P63" i="20" s="1"/>
  <c r="S63" i="20" s="1"/>
  <c r="J63" i="17"/>
  <c r="S63" i="17" s="1"/>
  <c r="U63" i="17" s="1"/>
  <c r="I63" i="29"/>
  <c r="Q63" i="29" s="1"/>
  <c r="S63" i="29" s="1"/>
  <c r="E63" i="26"/>
  <c r="J63" i="26" s="1"/>
  <c r="H63" i="31"/>
  <c r="P63" i="31" s="1"/>
  <c r="S63" i="31" s="1"/>
  <c r="G63" i="35"/>
  <c r="O63" i="35" s="1"/>
  <c r="S63" i="35" s="1"/>
  <c r="I63" i="30"/>
  <c r="P63" i="30" s="1"/>
  <c r="Q63" i="30" s="1"/>
  <c r="I63" i="18"/>
  <c r="P63" i="18" s="1"/>
  <c r="Q63" i="18" s="1"/>
  <c r="G63" i="36"/>
  <c r="J63" i="28"/>
  <c r="I63" i="19"/>
  <c r="Q63" i="19" s="1"/>
  <c r="S63" i="19" s="1"/>
  <c r="G8" i="36"/>
  <c r="N8" i="36" s="1"/>
  <c r="Q8" i="36" s="1"/>
  <c r="T8" i="36" s="1"/>
  <c r="I8" i="30"/>
  <c r="P8" i="30" s="1"/>
  <c r="Q8" i="30" s="1"/>
  <c r="T8" i="30" s="1"/>
  <c r="E8" i="26"/>
  <c r="J8" i="26" s="1"/>
  <c r="K8" i="23"/>
  <c r="T8" i="23" s="1"/>
  <c r="U8" i="23" s="1"/>
  <c r="W8" i="23" s="1"/>
  <c r="G8" i="24"/>
  <c r="O8" i="24" s="1"/>
  <c r="S8" i="24" s="1"/>
  <c r="U8" i="24" s="1"/>
  <c r="G8" i="35"/>
  <c r="O8" i="35" s="1"/>
  <c r="S8" i="35" s="1"/>
  <c r="V8" i="35" s="1"/>
  <c r="I8" i="19"/>
  <c r="Q8" i="19" s="1"/>
  <c r="S8" i="19" s="1"/>
  <c r="U8" i="19" s="1"/>
  <c r="E8" i="37"/>
  <c r="J8" i="37" s="1"/>
  <c r="G8" i="25"/>
  <c r="N8" i="25" s="1"/>
  <c r="Q8" i="25" s="1"/>
  <c r="S8" i="25" s="1"/>
  <c r="I8" i="18"/>
  <c r="P8" i="18" s="1"/>
  <c r="Q8" i="18" s="1"/>
  <c r="S8" i="18" s="1"/>
  <c r="J8" i="28"/>
  <c r="S8" i="28" s="1"/>
  <c r="U8" i="28" s="1"/>
  <c r="X8" i="28" s="1"/>
  <c r="K8" i="34"/>
  <c r="T8" i="34" s="1"/>
  <c r="U8" i="34" s="1"/>
  <c r="X8" i="34" s="1"/>
  <c r="I8" i="29"/>
  <c r="Q8" i="29" s="1"/>
  <c r="S8" i="29" s="1"/>
  <c r="V8" i="29" s="1"/>
  <c r="H8" i="31"/>
  <c r="P8" i="31" s="1"/>
  <c r="H8" i="20"/>
  <c r="P8" i="20" s="1"/>
  <c r="J8" i="17"/>
  <c r="S8" i="17" s="1"/>
  <c r="U8" i="17" s="1"/>
  <c r="W8" i="17" s="1"/>
  <c r="I45" i="30"/>
  <c r="P45" i="30" s="1"/>
  <c r="Q45" i="30" s="1"/>
  <c r="G45" i="25"/>
  <c r="N45" i="25" s="1"/>
  <c r="Q45" i="25" s="1"/>
  <c r="K45" i="23"/>
  <c r="T45" i="23" s="1"/>
  <c r="U45" i="23" s="1"/>
  <c r="E45" i="37"/>
  <c r="J45" i="37" s="1"/>
  <c r="H45" i="20"/>
  <c r="P45" i="20" s="1"/>
  <c r="S45" i="20" s="1"/>
  <c r="J45" i="17"/>
  <c r="S45" i="17" s="1"/>
  <c r="U45" i="17" s="1"/>
  <c r="G45" i="36"/>
  <c r="N45" i="36" s="1"/>
  <c r="Q45" i="36" s="1"/>
  <c r="G45" i="35"/>
  <c r="O45" i="35" s="1"/>
  <c r="S45" i="35" s="1"/>
  <c r="I45" i="18"/>
  <c r="P45" i="18" s="1"/>
  <c r="Q45" i="18" s="1"/>
  <c r="I45" i="29"/>
  <c r="Q45" i="29" s="1"/>
  <c r="S45" i="29" s="1"/>
  <c r="E45" i="26"/>
  <c r="J45" i="26" s="1"/>
  <c r="K45" i="34"/>
  <c r="T45" i="34" s="1"/>
  <c r="U45" i="34" s="1"/>
  <c r="H45" i="31"/>
  <c r="P45" i="31" s="1"/>
  <c r="S45" i="31" s="1"/>
  <c r="J45" i="28"/>
  <c r="S45" i="28" s="1"/>
  <c r="U45" i="28" s="1"/>
  <c r="I45" i="19"/>
  <c r="Q45" i="19" s="1"/>
  <c r="S45" i="19" s="1"/>
  <c r="G45" i="24"/>
  <c r="O45" i="24" s="1"/>
  <c r="S45" i="24" s="1"/>
  <c r="J46" i="28"/>
  <c r="S46" i="28" s="1"/>
  <c r="U46" i="28" s="1"/>
  <c r="I46" i="18"/>
  <c r="P46" i="18" s="1"/>
  <c r="Q46" i="18" s="1"/>
  <c r="K46" i="34"/>
  <c r="T46" i="34" s="1"/>
  <c r="U46" i="34" s="1"/>
  <c r="H46" i="31"/>
  <c r="P46" i="31" s="1"/>
  <c r="S46" i="31" s="1"/>
  <c r="I46" i="19"/>
  <c r="Q46" i="19" s="1"/>
  <c r="S46" i="19" s="1"/>
  <c r="H46" i="20"/>
  <c r="P46" i="20" s="1"/>
  <c r="S46" i="20" s="1"/>
  <c r="J46" i="17"/>
  <c r="S46" i="17" s="1"/>
  <c r="U46" i="17" s="1"/>
  <c r="G46" i="24"/>
  <c r="O46" i="24" s="1"/>
  <c r="S46" i="24" s="1"/>
  <c r="E46" i="26"/>
  <c r="J46" i="26" s="1"/>
  <c r="K46" i="23"/>
  <c r="T46" i="23" s="1"/>
  <c r="U46" i="23" s="1"/>
  <c r="I46" i="30"/>
  <c r="P46" i="30" s="1"/>
  <c r="Q46" i="30" s="1"/>
  <c r="G46" i="25"/>
  <c r="N46" i="25" s="1"/>
  <c r="Q46" i="25" s="1"/>
  <c r="I46" i="29"/>
  <c r="Q46" i="29" s="1"/>
  <c r="S46" i="29" s="1"/>
  <c r="E46" i="37"/>
  <c r="J46" i="37" s="1"/>
  <c r="G46" i="35"/>
  <c r="O46" i="35" s="1"/>
  <c r="S46" i="35" s="1"/>
  <c r="G46" i="36"/>
  <c r="N46" i="36" s="1"/>
  <c r="Q46" i="36" s="1"/>
  <c r="CB6" i="39"/>
  <c r="C11" i="41" s="1"/>
  <c r="D1" i="32"/>
  <c r="H42" i="20"/>
  <c r="P42" i="20" s="1"/>
  <c r="S42" i="20" s="1"/>
  <c r="I42" i="18"/>
  <c r="P42" i="18" s="1"/>
  <c r="Q42" i="18" s="1"/>
  <c r="J42" i="17"/>
  <c r="S42" i="17" s="1"/>
  <c r="U42" i="17" s="1"/>
  <c r="J42" i="28"/>
  <c r="S42" i="28" s="1"/>
  <c r="U42" i="28" s="1"/>
  <c r="E42" i="26"/>
  <c r="J42" i="26" s="1"/>
  <c r="K42" i="23"/>
  <c r="T42" i="23" s="1"/>
  <c r="U42" i="23" s="1"/>
  <c r="K42" i="34"/>
  <c r="T42" i="34" s="1"/>
  <c r="U42" i="34" s="1"/>
  <c r="G42" i="35"/>
  <c r="O42" i="35" s="1"/>
  <c r="S42" i="35" s="1"/>
  <c r="H42" i="31"/>
  <c r="P42" i="31" s="1"/>
  <c r="S42" i="31" s="1"/>
  <c r="G42" i="24"/>
  <c r="O42" i="24" s="1"/>
  <c r="S42" i="24" s="1"/>
  <c r="G42" i="36"/>
  <c r="N42" i="36" s="1"/>
  <c r="Q42" i="36" s="1"/>
  <c r="I42" i="19"/>
  <c r="Q42" i="19" s="1"/>
  <c r="S42" i="19" s="1"/>
  <c r="E42" i="37"/>
  <c r="J42" i="37" s="1"/>
  <c r="I42" i="30"/>
  <c r="P42" i="30" s="1"/>
  <c r="Q42" i="30" s="1"/>
  <c r="I42" i="29"/>
  <c r="Q42" i="29" s="1"/>
  <c r="S42" i="29" s="1"/>
  <c r="G42" i="25"/>
  <c r="N42" i="25" s="1"/>
  <c r="Q42" i="25" s="1"/>
  <c r="G47" i="24"/>
  <c r="O47" i="24" s="1"/>
  <c r="S47" i="24" s="1"/>
  <c r="I47" i="29"/>
  <c r="Q47" i="29" s="1"/>
  <c r="S47" i="29" s="1"/>
  <c r="K47" i="23"/>
  <c r="T47" i="23" s="1"/>
  <c r="U47" i="23" s="1"/>
  <c r="I47" i="30"/>
  <c r="P47" i="30" s="1"/>
  <c r="Q47" i="30" s="1"/>
  <c r="G47" i="35"/>
  <c r="O47" i="35" s="1"/>
  <c r="S47" i="35" s="1"/>
  <c r="K47" i="34"/>
  <c r="T47" i="34" s="1"/>
  <c r="U47" i="34" s="1"/>
  <c r="G47" i="25"/>
  <c r="N47" i="25" s="1"/>
  <c r="Q47" i="25" s="1"/>
  <c r="H47" i="20"/>
  <c r="P47" i="20" s="1"/>
  <c r="S47" i="20" s="1"/>
  <c r="J47" i="17"/>
  <c r="S47" i="17" s="1"/>
  <c r="U47" i="17" s="1"/>
  <c r="G47" i="36"/>
  <c r="N47" i="36" s="1"/>
  <c r="Q47" i="36" s="1"/>
  <c r="J47" i="28"/>
  <c r="S47" i="28" s="1"/>
  <c r="U47" i="28" s="1"/>
  <c r="E47" i="37"/>
  <c r="J47" i="37" s="1"/>
  <c r="E47" i="26"/>
  <c r="J47" i="26" s="1"/>
  <c r="I47" i="18"/>
  <c r="P47" i="18" s="1"/>
  <c r="Q47" i="18" s="1"/>
  <c r="H47" i="31"/>
  <c r="P47" i="31" s="1"/>
  <c r="S47" i="31" s="1"/>
  <c r="I47" i="19"/>
  <c r="Q47" i="19" s="1"/>
  <c r="S47" i="19" s="1"/>
  <c r="G9" i="35"/>
  <c r="O9" i="35" s="1"/>
  <c r="S9" i="35" s="1"/>
  <c r="V9" i="35" s="1"/>
  <c r="H9" i="20"/>
  <c r="P9" i="20" s="1"/>
  <c r="J9" i="17"/>
  <c r="S9" i="17" s="1"/>
  <c r="U9" i="17" s="1"/>
  <c r="W9" i="17" s="1"/>
  <c r="K9" i="34"/>
  <c r="T9" i="34" s="1"/>
  <c r="U9" i="34" s="1"/>
  <c r="X9" i="34" s="1"/>
  <c r="I9" i="19"/>
  <c r="Q9" i="19" s="1"/>
  <c r="S9" i="19" s="1"/>
  <c r="U9" i="19" s="1"/>
  <c r="I9" i="29"/>
  <c r="Q9" i="29" s="1"/>
  <c r="S9" i="29" s="1"/>
  <c r="V9" i="29" s="1"/>
  <c r="J9" i="28"/>
  <c r="S9" i="28" s="1"/>
  <c r="U9" i="28" s="1"/>
  <c r="X9" i="28" s="1"/>
  <c r="E9" i="26"/>
  <c r="J9" i="26" s="1"/>
  <c r="G9" i="25"/>
  <c r="N9" i="25" s="1"/>
  <c r="Q9" i="25" s="1"/>
  <c r="S9" i="25" s="1"/>
  <c r="E9" i="37"/>
  <c r="J9" i="37" s="1"/>
  <c r="I9" i="18"/>
  <c r="P9" i="18" s="1"/>
  <c r="Q9" i="18" s="1"/>
  <c r="S9" i="18" s="1"/>
  <c r="H9" i="31"/>
  <c r="P9" i="31" s="1"/>
  <c r="G9" i="36"/>
  <c r="N9" i="36" s="1"/>
  <c r="Q9" i="36" s="1"/>
  <c r="T9" i="36" s="1"/>
  <c r="K9" i="23"/>
  <c r="T9" i="23" s="1"/>
  <c r="U9" i="23" s="1"/>
  <c r="W9" i="23" s="1"/>
  <c r="I9" i="30"/>
  <c r="P9" i="30" s="1"/>
  <c r="Q9" i="30" s="1"/>
  <c r="T9" i="30" s="1"/>
  <c r="G9" i="24"/>
  <c r="O9" i="24" s="1"/>
  <c r="S9" i="24" s="1"/>
  <c r="U9" i="24" s="1"/>
  <c r="D1" i="28"/>
  <c r="E10" i="37"/>
  <c r="J10" i="37" s="1"/>
  <c r="H10" i="20"/>
  <c r="P10" i="20" s="1"/>
  <c r="I10" i="18"/>
  <c r="P10" i="18" s="1"/>
  <c r="Q10" i="18" s="1"/>
  <c r="S10" i="18" s="1"/>
  <c r="J10" i="17"/>
  <c r="S10" i="17" s="1"/>
  <c r="U10" i="17" s="1"/>
  <c r="W10" i="17" s="1"/>
  <c r="H10" i="31"/>
  <c r="P10" i="31" s="1"/>
  <c r="G10" i="36"/>
  <c r="N10" i="36" s="1"/>
  <c r="Q10" i="36" s="1"/>
  <c r="T10" i="36" s="1"/>
  <c r="E10" i="26"/>
  <c r="J10" i="26" s="1"/>
  <c r="K10" i="23"/>
  <c r="T10" i="23" s="1"/>
  <c r="U10" i="23" s="1"/>
  <c r="W10" i="23" s="1"/>
  <c r="I10" i="30"/>
  <c r="P10" i="30" s="1"/>
  <c r="Q10" i="30" s="1"/>
  <c r="T10" i="30" s="1"/>
  <c r="G10" i="35"/>
  <c r="O10" i="35" s="1"/>
  <c r="S10" i="35" s="1"/>
  <c r="V10" i="35" s="1"/>
  <c r="K10" i="34"/>
  <c r="T10" i="34" s="1"/>
  <c r="U10" i="34" s="1"/>
  <c r="X10" i="34" s="1"/>
  <c r="G10" i="24"/>
  <c r="O10" i="24" s="1"/>
  <c r="S10" i="24" s="1"/>
  <c r="U10" i="24" s="1"/>
  <c r="I10" i="29"/>
  <c r="Q10" i="29" s="1"/>
  <c r="S10" i="29" s="1"/>
  <c r="V10" i="29" s="1"/>
  <c r="J10" i="28"/>
  <c r="S10" i="28" s="1"/>
  <c r="U10" i="28" s="1"/>
  <c r="X10" i="28" s="1"/>
  <c r="I10" i="19"/>
  <c r="Q10" i="19" s="1"/>
  <c r="S10" i="19" s="1"/>
  <c r="U10" i="19" s="1"/>
  <c r="G10" i="25"/>
  <c r="N10" i="25" s="1"/>
  <c r="Q10" i="25" s="1"/>
  <c r="S10" i="25" s="1"/>
  <c r="K59" i="44"/>
  <c r="AQ13" i="40"/>
  <c r="E6" i="37"/>
  <c r="J6" i="37" s="1"/>
  <c r="E6" i="26"/>
  <c r="J6" i="26" s="1"/>
  <c r="K6" i="23"/>
  <c r="T6" i="23" s="1"/>
  <c r="U6" i="23" s="1"/>
  <c r="W6" i="23" s="1"/>
  <c r="I6" i="18"/>
  <c r="P6" i="18" s="1"/>
  <c r="Q6" i="18" s="1"/>
  <c r="S6" i="18" s="1"/>
  <c r="G6" i="25"/>
  <c r="N6" i="25" s="1"/>
  <c r="Q6" i="25" s="1"/>
  <c r="S6" i="25" s="1"/>
  <c r="I6" i="19"/>
  <c r="Q6" i="19" s="1"/>
  <c r="S6" i="19" s="1"/>
  <c r="U6" i="19" s="1"/>
  <c r="G6" i="35"/>
  <c r="O6" i="35" s="1"/>
  <c r="S6" i="35" s="1"/>
  <c r="V6" i="35" s="1"/>
  <c r="H6" i="31"/>
  <c r="P6" i="31" s="1"/>
  <c r="J6" i="28"/>
  <c r="S6" i="28" s="1"/>
  <c r="U6" i="28" s="1"/>
  <c r="X6" i="28" s="1"/>
  <c r="H6" i="20"/>
  <c r="P6" i="20" s="1"/>
  <c r="J6" i="17"/>
  <c r="S6" i="17" s="1"/>
  <c r="U6" i="17" s="1"/>
  <c r="W6" i="17" s="1"/>
  <c r="K6" i="34"/>
  <c r="T6" i="34" s="1"/>
  <c r="U6" i="34" s="1"/>
  <c r="X6" i="34" s="1"/>
  <c r="G6" i="24"/>
  <c r="O6" i="24" s="1"/>
  <c r="S6" i="24" s="1"/>
  <c r="U6" i="24" s="1"/>
  <c r="G6" i="36"/>
  <c r="N6" i="36" s="1"/>
  <c r="Q6" i="36" s="1"/>
  <c r="T6" i="36" s="1"/>
  <c r="I6" i="30"/>
  <c r="P6" i="30" s="1"/>
  <c r="Q6" i="30" s="1"/>
  <c r="T6" i="30" s="1"/>
  <c r="I6" i="29"/>
  <c r="Q6" i="29" s="1"/>
  <c r="S6" i="29" s="1"/>
  <c r="V6" i="29" s="1"/>
  <c r="G43" i="35"/>
  <c r="O43" i="35" s="1"/>
  <c r="S43" i="35" s="1"/>
  <c r="G43" i="36"/>
  <c r="N43" i="36" s="1"/>
  <c r="Q43" i="36" s="1"/>
  <c r="H43" i="20"/>
  <c r="P43" i="20" s="1"/>
  <c r="S43" i="20" s="1"/>
  <c r="J43" i="17"/>
  <c r="S43" i="17" s="1"/>
  <c r="U43" i="17" s="1"/>
  <c r="H43" i="31"/>
  <c r="P43" i="31" s="1"/>
  <c r="S43" i="31" s="1"/>
  <c r="G43" i="24"/>
  <c r="O43" i="24" s="1"/>
  <c r="S43" i="24" s="1"/>
  <c r="I43" i="29"/>
  <c r="Q43" i="29" s="1"/>
  <c r="S43" i="29" s="1"/>
  <c r="E43" i="26"/>
  <c r="J43" i="26" s="1"/>
  <c r="I43" i="19"/>
  <c r="Q43" i="19" s="1"/>
  <c r="S43" i="19" s="1"/>
  <c r="E43" i="37"/>
  <c r="J43" i="37" s="1"/>
  <c r="I43" i="30"/>
  <c r="P43" i="30" s="1"/>
  <c r="Q43" i="30" s="1"/>
  <c r="G43" i="25"/>
  <c r="N43" i="25" s="1"/>
  <c r="Q43" i="25" s="1"/>
  <c r="J43" i="28"/>
  <c r="S43" i="28" s="1"/>
  <c r="U43" i="28" s="1"/>
  <c r="K43" i="34"/>
  <c r="T43" i="34" s="1"/>
  <c r="U43" i="34" s="1"/>
  <c r="I43" i="18"/>
  <c r="P43" i="18" s="1"/>
  <c r="Q43" i="18" s="1"/>
  <c r="K43" i="23"/>
  <c r="T43" i="23" s="1"/>
  <c r="U43" i="23" s="1"/>
  <c r="G11" i="35"/>
  <c r="O11" i="35" s="1"/>
  <c r="S11" i="35" s="1"/>
  <c r="V11" i="35" s="1"/>
  <c r="K11" i="34"/>
  <c r="T11" i="34" s="1"/>
  <c r="U11" i="34" s="1"/>
  <c r="X11" i="34" s="1"/>
  <c r="I11" i="29"/>
  <c r="Q11" i="29" s="1"/>
  <c r="S11" i="29" s="1"/>
  <c r="V11" i="29" s="1"/>
  <c r="J11" i="28"/>
  <c r="S11" i="28" s="1"/>
  <c r="U11" i="28" s="1"/>
  <c r="X11" i="28" s="1"/>
  <c r="H11" i="20"/>
  <c r="P11" i="20" s="1"/>
  <c r="J11" i="17"/>
  <c r="S11" i="17" s="1"/>
  <c r="U11" i="17" s="1"/>
  <c r="W11" i="17" s="1"/>
  <c r="I11" i="30"/>
  <c r="P11" i="30" s="1"/>
  <c r="Q11" i="30" s="1"/>
  <c r="T11" i="30" s="1"/>
  <c r="G11" i="24"/>
  <c r="O11" i="24" s="1"/>
  <c r="S11" i="24" s="1"/>
  <c r="U11" i="24" s="1"/>
  <c r="E11" i="26"/>
  <c r="J11" i="26" s="1"/>
  <c r="I11" i="19"/>
  <c r="Q11" i="19" s="1"/>
  <c r="S11" i="19" s="1"/>
  <c r="U11" i="19" s="1"/>
  <c r="G11" i="25"/>
  <c r="N11" i="25" s="1"/>
  <c r="Q11" i="25" s="1"/>
  <c r="S11" i="25" s="1"/>
  <c r="E11" i="37"/>
  <c r="J11" i="37" s="1"/>
  <c r="G11" i="36"/>
  <c r="N11" i="36" s="1"/>
  <c r="Q11" i="36" s="1"/>
  <c r="T11" i="36" s="1"/>
  <c r="H11" i="31"/>
  <c r="P11" i="31" s="1"/>
  <c r="I11" i="18"/>
  <c r="P11" i="18" s="1"/>
  <c r="Q11" i="18" s="1"/>
  <c r="S11" i="18" s="1"/>
  <c r="K11" i="23"/>
  <c r="T11" i="23" s="1"/>
  <c r="U11" i="23" s="1"/>
  <c r="W11" i="23" s="1"/>
  <c r="C13" i="40"/>
  <c r="G13" i="40" s="1"/>
  <c r="K6" i="44"/>
  <c r="I68" i="19"/>
  <c r="Q68" i="19" s="1"/>
  <c r="S68" i="19" s="1"/>
  <c r="E68" i="37"/>
  <c r="J68" i="37" s="1"/>
  <c r="H68" i="31"/>
  <c r="P68" i="31" s="1"/>
  <c r="S68" i="31" s="1"/>
  <c r="I68" i="30"/>
  <c r="P68" i="30" s="1"/>
  <c r="Q68" i="30" s="1"/>
  <c r="I68" i="29"/>
  <c r="Q68" i="29" s="1"/>
  <c r="S68" i="29" s="1"/>
  <c r="J68" i="28"/>
  <c r="K68" i="34"/>
  <c r="T68" i="34" s="1"/>
  <c r="U68" i="34" s="1"/>
  <c r="G68" i="24"/>
  <c r="O68" i="24" s="1"/>
  <c r="S68" i="24" s="1"/>
  <c r="I68" i="18"/>
  <c r="P68" i="18" s="1"/>
  <c r="Q68" i="18" s="1"/>
  <c r="H68" i="20"/>
  <c r="P68" i="20" s="1"/>
  <c r="S68" i="20" s="1"/>
  <c r="J68" i="17"/>
  <c r="S68" i="17" s="1"/>
  <c r="U68" i="17" s="1"/>
  <c r="G68" i="35"/>
  <c r="O68" i="35" s="1"/>
  <c r="S68" i="35" s="1"/>
  <c r="G68" i="36"/>
  <c r="N68" i="36" s="1"/>
  <c r="Q68" i="36" s="1"/>
  <c r="G68" i="25"/>
  <c r="N68" i="25" s="1"/>
  <c r="Q68" i="25" s="1"/>
  <c r="E68" i="26"/>
  <c r="J68" i="26" s="1"/>
  <c r="K68" i="23"/>
  <c r="T68" i="23" s="1"/>
  <c r="U68" i="23" s="1"/>
  <c r="D1" i="30"/>
  <c r="H62" i="31"/>
  <c r="P62" i="31" s="1"/>
  <c r="S62" i="31" s="1"/>
  <c r="I62" i="18"/>
  <c r="P62" i="18" s="1"/>
  <c r="Q62" i="18" s="1"/>
  <c r="I62" i="30"/>
  <c r="P62" i="30" s="1"/>
  <c r="Q62" i="30" s="1"/>
  <c r="G62" i="35"/>
  <c r="O62" i="35" s="1"/>
  <c r="S62" i="35" s="1"/>
  <c r="I62" i="29"/>
  <c r="Q62" i="29" s="1"/>
  <c r="S62" i="29" s="1"/>
  <c r="I62" i="19"/>
  <c r="Q62" i="19" s="1"/>
  <c r="S62" i="19" s="1"/>
  <c r="G62" i="36"/>
  <c r="N62" i="36" s="1"/>
  <c r="Q62" i="36" s="1"/>
  <c r="H62" i="20"/>
  <c r="P62" i="20" s="1"/>
  <c r="S62" i="20" s="1"/>
  <c r="J62" i="17"/>
  <c r="S62" i="17" s="1"/>
  <c r="U62" i="17" s="1"/>
  <c r="J62" i="28"/>
  <c r="G62" i="24"/>
  <c r="O62" i="24" s="1"/>
  <c r="S62" i="24" s="1"/>
  <c r="E62" i="26"/>
  <c r="J62" i="26" s="1"/>
  <c r="K62" i="23"/>
  <c r="T62" i="23" s="1"/>
  <c r="U62" i="23" s="1"/>
  <c r="E62" i="37"/>
  <c r="J62" i="37" s="1"/>
  <c r="K62" i="34"/>
  <c r="T62" i="34" s="1"/>
  <c r="U62" i="34" s="1"/>
  <c r="G62" i="25"/>
  <c r="N62" i="25" s="1"/>
  <c r="Q62" i="25" s="1"/>
  <c r="E7" i="26"/>
  <c r="J7" i="26" s="1"/>
  <c r="H7" i="31"/>
  <c r="P7" i="31" s="1"/>
  <c r="K7" i="34"/>
  <c r="T7" i="34" s="1"/>
  <c r="U7" i="34" s="1"/>
  <c r="X7" i="34" s="1"/>
  <c r="J7" i="28"/>
  <c r="S7" i="28" s="1"/>
  <c r="U7" i="28" s="1"/>
  <c r="X7" i="28" s="1"/>
  <c r="I7" i="29"/>
  <c r="Q7" i="29" s="1"/>
  <c r="S7" i="29" s="1"/>
  <c r="V7" i="29" s="1"/>
  <c r="G7" i="36"/>
  <c r="N7" i="36" s="1"/>
  <c r="Q7" i="36" s="1"/>
  <c r="T7" i="36" s="1"/>
  <c r="I7" i="30"/>
  <c r="P7" i="30" s="1"/>
  <c r="Q7" i="30" s="1"/>
  <c r="T7" i="30" s="1"/>
  <c r="G7" i="24"/>
  <c r="O7" i="24" s="1"/>
  <c r="S7" i="24" s="1"/>
  <c r="U7" i="24" s="1"/>
  <c r="K7" i="23"/>
  <c r="T7" i="23" s="1"/>
  <c r="U7" i="23" s="1"/>
  <c r="W7" i="23" s="1"/>
  <c r="E7" i="37"/>
  <c r="J7" i="37" s="1"/>
  <c r="I7" i="18"/>
  <c r="P7" i="18" s="1"/>
  <c r="Q7" i="18" s="1"/>
  <c r="S7" i="18" s="1"/>
  <c r="G7" i="35"/>
  <c r="O7" i="35" s="1"/>
  <c r="S7" i="35" s="1"/>
  <c r="V7" i="35" s="1"/>
  <c r="G7" i="25"/>
  <c r="N7" i="25" s="1"/>
  <c r="Q7" i="25" s="1"/>
  <c r="S7" i="25" s="1"/>
  <c r="H7" i="20"/>
  <c r="P7" i="20" s="1"/>
  <c r="I7" i="19"/>
  <c r="Q7" i="19" s="1"/>
  <c r="S7" i="19" s="1"/>
  <c r="U7" i="19" s="1"/>
  <c r="J7" i="17"/>
  <c r="S7" i="17" s="1"/>
  <c r="U7" i="17" s="1"/>
  <c r="W7" i="17" s="1"/>
  <c r="O34" i="14"/>
  <c r="AX34" i="14"/>
  <c r="AA34" i="14"/>
  <c r="F98" i="37"/>
  <c r="K98" i="37" s="1"/>
  <c r="F98" i="26"/>
  <c r="K98" i="26" s="1"/>
  <c r="BH33" i="14"/>
  <c r="GA98" i="2"/>
  <c r="AA33" i="14"/>
  <c r="AO34" i="14"/>
  <c r="FW99" i="2"/>
  <c r="AT34" i="14"/>
  <c r="BV33" i="14"/>
  <c r="GD98" i="2"/>
  <c r="AK34" i="14"/>
  <c r="FV99" i="2"/>
  <c r="BN34" i="14"/>
  <c r="GB99" i="2"/>
  <c r="AT33" i="14"/>
  <c r="G33" i="14"/>
  <c r="C33" i="14"/>
  <c r="AX33" i="14"/>
  <c r="K34" i="14"/>
  <c r="L34" i="14" s="1"/>
  <c r="O33" i="14"/>
  <c r="AG33" i="14"/>
  <c r="FU98" i="2"/>
  <c r="U34" i="14"/>
  <c r="BB34" i="14"/>
  <c r="U33" i="14"/>
  <c r="BR34" i="14"/>
  <c r="GC99" i="2"/>
  <c r="I3" i="44"/>
  <c r="F58" i="44"/>
  <c r="F63" i="44"/>
  <c r="G5" i="44"/>
  <c r="I63" i="44"/>
  <c r="H63" i="44"/>
  <c r="G63" i="44"/>
  <c r="E5" i="44"/>
  <c r="F5" i="44"/>
  <c r="C4" i="44"/>
  <c r="C119" i="44" s="1"/>
  <c r="C63" i="44"/>
  <c r="E63" i="44"/>
  <c r="D58" i="44"/>
  <c r="H58" i="44"/>
  <c r="J63" i="44"/>
  <c r="C5" i="44"/>
  <c r="D4" i="44"/>
  <c r="D119" i="44" s="1"/>
  <c r="D63" i="44"/>
  <c r="H5" i="44"/>
  <c r="D5" i="44"/>
  <c r="C58" i="44"/>
  <c r="E4" i="44"/>
  <c r="E119" i="44" s="1"/>
  <c r="I5" i="44"/>
  <c r="J5" i="44"/>
  <c r="G4" i="44"/>
  <c r="G119" i="44" s="1"/>
  <c r="I58" i="44"/>
  <c r="E58" i="44"/>
  <c r="G58" i="44"/>
  <c r="J58" i="44"/>
  <c r="F4" i="44"/>
  <c r="F119" i="44" s="1"/>
  <c r="BE38" i="2"/>
  <c r="FX38" i="2" s="1"/>
  <c r="G74" i="36"/>
  <c r="K74" i="34"/>
  <c r="G74" i="24"/>
  <c r="O74" i="24" s="1"/>
  <c r="S74" i="24" s="1"/>
  <c r="E74" i="37"/>
  <c r="G74" i="35"/>
  <c r="I74" i="30"/>
  <c r="E74" i="26"/>
  <c r="J74" i="26" s="1"/>
  <c r="J74" i="17"/>
  <c r="S74" i="17" s="1"/>
  <c r="U74" i="17" s="1"/>
  <c r="J74" i="28"/>
  <c r="I74" i="29"/>
  <c r="I74" i="19"/>
  <c r="Q74" i="19" s="1"/>
  <c r="S74" i="19" s="1"/>
  <c r="K74" i="23"/>
  <c r="T74" i="23" s="1"/>
  <c r="U74" i="23" s="1"/>
  <c r="G74" i="25"/>
  <c r="N74" i="25" s="1"/>
  <c r="Q74" i="25" s="1"/>
  <c r="H74" i="20"/>
  <c r="P74" i="20" s="1"/>
  <c r="S74" i="20" s="1"/>
  <c r="I74" i="18"/>
  <c r="P74" i="18" s="1"/>
  <c r="Q74" i="18" s="1"/>
  <c r="H74" i="31"/>
  <c r="BG10" i="40"/>
  <c r="AY9" i="40"/>
  <c r="BC9" i="40" s="1"/>
  <c r="AA5" i="40"/>
  <c r="AA38" i="40" s="1"/>
  <c r="J57" i="44"/>
  <c r="S9" i="40"/>
  <c r="EI5" i="39"/>
  <c r="EJ5" i="39" s="1"/>
  <c r="EK5" i="39" s="1"/>
  <c r="AY12" i="40"/>
  <c r="AQ11" i="40"/>
  <c r="K9" i="40"/>
  <c r="AQ10" i="40"/>
  <c r="AQ37" i="40" s="1"/>
  <c r="AA11" i="40"/>
  <c r="C7" i="40"/>
  <c r="G7" i="40" s="1"/>
  <c r="C10" i="40"/>
  <c r="S5" i="40"/>
  <c r="AY8" i="40"/>
  <c r="G3" i="44"/>
  <c r="F3" i="44"/>
  <c r="K7" i="40"/>
  <c r="D112" i="5"/>
  <c r="D101" i="5"/>
  <c r="D87" i="5"/>
  <c r="D126" i="5"/>
  <c r="D100" i="5"/>
  <c r="D85" i="5"/>
  <c r="D86" i="5"/>
  <c r="D99" i="5"/>
  <c r="D114" i="5"/>
  <c r="D113" i="5"/>
  <c r="D124" i="5"/>
  <c r="D125" i="5"/>
  <c r="S7" i="40"/>
  <c r="BN11" i="40"/>
  <c r="BR11" i="40" s="1"/>
  <c r="AQ8" i="40"/>
  <c r="C5" i="40"/>
  <c r="BN6" i="40"/>
  <c r="D3" i="44"/>
  <c r="BN8" i="40"/>
  <c r="D57" i="44"/>
  <c r="C101" i="5"/>
  <c r="C85" i="5"/>
  <c r="C86" i="5"/>
  <c r="C100" i="5"/>
  <c r="C87" i="5"/>
  <c r="C113" i="5"/>
  <c r="C126" i="5"/>
  <c r="C112" i="5"/>
  <c r="C99" i="5"/>
  <c r="C124" i="5"/>
  <c r="C125" i="5"/>
  <c r="C114" i="5"/>
  <c r="F62" i="26"/>
  <c r="K62" i="26" s="1"/>
  <c r="F62" i="37"/>
  <c r="K62" i="37" s="1"/>
  <c r="BU5" i="39"/>
  <c r="J3" i="44"/>
  <c r="AY7" i="40"/>
  <c r="AY11" i="40"/>
  <c r="AA9" i="40"/>
  <c r="AE9" i="40" s="1"/>
  <c r="AH12" i="40"/>
  <c r="F26" i="37"/>
  <c r="K26" i="37" s="1"/>
  <c r="M26" i="37" s="1"/>
  <c r="F26" i="26"/>
  <c r="K26" i="26" s="1"/>
  <c r="M26" i="26" s="1"/>
  <c r="G57" i="44"/>
  <c r="AQ9" i="40"/>
  <c r="AU9" i="40" s="1"/>
  <c r="K12" i="40"/>
  <c r="CC5" i="39"/>
  <c r="AH10" i="40"/>
  <c r="AH37" i="40" s="1"/>
  <c r="F50" i="26"/>
  <c r="K50" i="26" s="1"/>
  <c r="F50" i="37"/>
  <c r="K50" i="37" s="1"/>
  <c r="K5" i="40"/>
  <c r="BG8" i="40"/>
  <c r="C8" i="40"/>
  <c r="G8" i="40" s="1"/>
  <c r="AA7" i="40"/>
  <c r="AQ5" i="40"/>
  <c r="AQ38" i="40" s="1"/>
  <c r="AH8" i="40"/>
  <c r="AL8" i="40" s="1"/>
  <c r="EP5" i="39"/>
  <c r="EQ5" i="39" s="1"/>
  <c r="ER5" i="39" s="1"/>
  <c r="E57" i="44"/>
  <c r="BN12" i="40"/>
  <c r="BR12" i="40" s="1"/>
  <c r="C6" i="40"/>
  <c r="G6" i="40" s="1"/>
  <c r="K10" i="40"/>
  <c r="C105" i="7"/>
  <c r="H103" i="7"/>
  <c r="H105" i="7" s="1"/>
  <c r="O10" i="7" s="1"/>
  <c r="C9" i="40"/>
  <c r="G9" i="40" s="1"/>
  <c r="AH6" i="40"/>
  <c r="F38" i="26"/>
  <c r="K38" i="26" s="1"/>
  <c r="F38" i="37"/>
  <c r="K38" i="37" s="1"/>
  <c r="BG5" i="40"/>
  <c r="BG38" i="40" s="1"/>
  <c r="BG6" i="40"/>
  <c r="AH7" i="40"/>
  <c r="AH11" i="40"/>
  <c r="I57" i="44"/>
  <c r="BG11" i="40"/>
  <c r="BK11" i="40" s="1"/>
  <c r="BO5" i="39"/>
  <c r="BP5" i="39" s="1"/>
  <c r="BQ5" i="39" s="1"/>
  <c r="AA8" i="40"/>
  <c r="C3" i="44"/>
  <c r="F57" i="44"/>
  <c r="AA10" i="40"/>
  <c r="AA37" i="40" s="1"/>
  <c r="S6" i="40"/>
  <c r="BG9" i="40"/>
  <c r="BK9" i="40" s="1"/>
  <c r="EB5" i="39"/>
  <c r="EC5" i="39" s="1"/>
  <c r="ED5" i="39" s="1"/>
  <c r="K11" i="40"/>
  <c r="AY10" i="40"/>
  <c r="AY37" i="40" s="1"/>
  <c r="S12" i="40"/>
  <c r="BR9" i="40"/>
  <c r="C57" i="44"/>
  <c r="K8" i="40"/>
  <c r="C12" i="40"/>
  <c r="G12" i="40" s="1"/>
  <c r="H3" i="44"/>
  <c r="S10" i="40"/>
  <c r="AA12" i="40"/>
  <c r="AE12" i="40" s="1"/>
  <c r="AH9" i="40"/>
  <c r="AL9" i="40" s="1"/>
  <c r="C11" i="40"/>
  <c r="G11" i="40" s="1"/>
  <c r="F86" i="26"/>
  <c r="K86" i="26" s="1"/>
  <c r="F86" i="37"/>
  <c r="K86" i="37" s="1"/>
  <c r="AD13" i="2"/>
  <c r="AQ7" i="40"/>
  <c r="AY5" i="40"/>
  <c r="AY38" i="40" s="1"/>
  <c r="F14" i="26"/>
  <c r="K14" i="26" s="1"/>
  <c r="M14" i="26" s="1"/>
  <c r="F14" i="37"/>
  <c r="K14" i="37" s="1"/>
  <c r="M14" i="37" s="1"/>
  <c r="F2" i="37"/>
  <c r="K2" i="37" s="1"/>
  <c r="F2" i="26"/>
  <c r="K2" i="26" s="1"/>
  <c r="AQ12" i="40"/>
  <c r="AU12" i="40" s="1"/>
  <c r="CB5" i="39"/>
  <c r="BG12" i="40"/>
  <c r="BK12" i="40" s="1"/>
  <c r="BN5" i="40"/>
  <c r="BN38" i="40" s="1"/>
  <c r="K6" i="40"/>
  <c r="AA6" i="40"/>
  <c r="BG7" i="40"/>
  <c r="BN7" i="40"/>
  <c r="H57" i="44"/>
  <c r="F75" i="37"/>
  <c r="K75" i="37" s="1"/>
  <c r="M75" i="37" s="1"/>
  <c r="F75" i="26"/>
  <c r="K75" i="26" s="1"/>
  <c r="M75" i="26" s="1"/>
  <c r="AI29" i="2"/>
  <c r="AY6" i="40"/>
  <c r="F74" i="37"/>
  <c r="K74" i="37" s="1"/>
  <c r="F74" i="26"/>
  <c r="K74" i="26" s="1"/>
  <c r="E3" i="44"/>
  <c r="BV5" i="39"/>
  <c r="S8" i="40"/>
  <c r="S11" i="40"/>
  <c r="AQ6" i="40"/>
  <c r="AD34" i="2"/>
  <c r="BE34" i="2"/>
  <c r="BK22" i="2"/>
  <c r="BK28" i="2"/>
  <c r="X14" i="2"/>
  <c r="FR14" i="2" s="1"/>
  <c r="AH7" i="39"/>
  <c r="AK7" i="39" s="1"/>
  <c r="BK32" i="2"/>
  <c r="BE8" i="2"/>
  <c r="AD18" i="2"/>
  <c r="X47" i="2"/>
  <c r="R20" i="2"/>
  <c r="R6" i="2"/>
  <c r="X51" i="2"/>
  <c r="AD55" i="2"/>
  <c r="BE15" i="2"/>
  <c r="R27" i="2"/>
  <c r="R33" i="2"/>
  <c r="R4" i="2"/>
  <c r="AI17" i="2"/>
  <c r="AD31" i="2"/>
  <c r="CV5" i="39"/>
  <c r="CY5" i="39" s="1"/>
  <c r="X10" i="2"/>
  <c r="R44" i="2"/>
  <c r="BE50" i="2"/>
  <c r="CL10" i="39"/>
  <c r="CO10" i="39" s="1"/>
  <c r="BE42" i="2"/>
  <c r="AD22" i="2"/>
  <c r="AD14" i="2"/>
  <c r="AS7" i="39"/>
  <c r="AV7" i="39" s="1"/>
  <c r="AI32" i="2"/>
  <c r="AI8" i="2"/>
  <c r="BK18" i="2"/>
  <c r="AD47" i="2"/>
  <c r="AD20" i="2"/>
  <c r="AD6" i="2"/>
  <c r="AD51" i="2"/>
  <c r="AI55" i="2"/>
  <c r="R60" i="2"/>
  <c r="AD15" i="2"/>
  <c r="BE27" i="2"/>
  <c r="X33" i="2"/>
  <c r="X4" i="2"/>
  <c r="R19" i="2"/>
  <c r="R31" i="2"/>
  <c r="BE56" i="2"/>
  <c r="X5" i="39"/>
  <c r="AA5" i="39" s="1"/>
  <c r="BE10" i="2"/>
  <c r="X44" i="2"/>
  <c r="R42" i="2"/>
  <c r="BE59" i="2"/>
  <c r="BK30" i="2"/>
  <c r="BK14" i="2"/>
  <c r="CV7" i="39"/>
  <c r="CY7" i="39" s="1"/>
  <c r="BE32" i="2"/>
  <c r="BK8" i="2"/>
  <c r="AI18" i="2"/>
  <c r="AI20" i="2"/>
  <c r="AI6" i="2"/>
  <c r="BK51" i="2"/>
  <c r="X60" i="2"/>
  <c r="BK15" i="2"/>
  <c r="X27" i="2"/>
  <c r="AI33" i="2"/>
  <c r="AD4" i="2"/>
  <c r="BK19" i="2"/>
  <c r="BK31" i="2"/>
  <c r="AI56" i="2"/>
  <c r="AH5" i="39"/>
  <c r="AK5" i="39" s="1"/>
  <c r="R10" i="2"/>
  <c r="BK44" i="2"/>
  <c r="R61" i="2"/>
  <c r="AI52" i="2"/>
  <c r="X42" i="2"/>
  <c r="AD59" i="2"/>
  <c r="R11" i="2"/>
  <c r="BK24" i="2"/>
  <c r="X30" i="2"/>
  <c r="AI14" i="2"/>
  <c r="BD7" i="39"/>
  <c r="BG7" i="39" s="1"/>
  <c r="AD32" i="2"/>
  <c r="AI57" i="2"/>
  <c r="AD8" i="2"/>
  <c r="BE18" i="2"/>
  <c r="BK49" i="2"/>
  <c r="BK20" i="2"/>
  <c r="R51" i="2"/>
  <c r="BE37" i="2"/>
  <c r="AD60" i="2"/>
  <c r="AI15" i="2"/>
  <c r="AD27" i="2"/>
  <c r="BK33" i="2"/>
  <c r="AI4" i="2"/>
  <c r="AD23" i="2"/>
  <c r="AD19" i="2"/>
  <c r="BE31" i="2"/>
  <c r="AD56" i="2"/>
  <c r="AS5" i="39"/>
  <c r="AV5" i="39" s="1"/>
  <c r="AD10" i="2"/>
  <c r="AI46" i="2"/>
  <c r="BE61" i="2"/>
  <c r="BK52" i="2"/>
  <c r="R38" i="2"/>
  <c r="X9" i="39"/>
  <c r="AA9" i="39" s="1"/>
  <c r="AD42" i="2"/>
  <c r="AI59" i="2"/>
  <c r="X11" i="2"/>
  <c r="AD24" i="2"/>
  <c r="R30" i="2"/>
  <c r="BE14" i="2"/>
  <c r="CL7" i="39"/>
  <c r="CO7" i="39" s="1"/>
  <c r="R32" i="2"/>
  <c r="BE57" i="2"/>
  <c r="R8" i="2"/>
  <c r="AD49" i="2"/>
  <c r="BE20" i="2"/>
  <c r="BE51" i="2"/>
  <c r="AI3" i="2"/>
  <c r="BK37" i="2"/>
  <c r="AI60" i="2"/>
  <c r="AI27" i="2"/>
  <c r="BE33" i="2"/>
  <c r="BK4" i="2"/>
  <c r="R23" i="2"/>
  <c r="X19" i="2"/>
  <c r="BK56" i="2"/>
  <c r="CL5" i="39"/>
  <c r="CO5" i="39" s="1"/>
  <c r="AI10" i="2"/>
  <c r="BK46" i="2"/>
  <c r="BK61" i="2"/>
  <c r="R52" i="2"/>
  <c r="X38" i="2"/>
  <c r="AH9" i="39"/>
  <c r="AK9" i="39" s="1"/>
  <c r="AI42" i="2"/>
  <c r="R59" i="2"/>
  <c r="AD11" i="2"/>
  <c r="BE24" i="2"/>
  <c r="AD30" i="2"/>
  <c r="X32" i="2"/>
  <c r="BK57" i="2"/>
  <c r="X8" i="2"/>
  <c r="AI49" i="2"/>
  <c r="R3" i="2"/>
  <c r="R37" i="2"/>
  <c r="BE60" i="2"/>
  <c r="R9" i="2"/>
  <c r="BK27" i="2"/>
  <c r="BE4" i="2"/>
  <c r="X23" i="2"/>
  <c r="AI19" i="2"/>
  <c r="R56" i="2"/>
  <c r="BD5" i="39"/>
  <c r="BG5" i="39" s="1"/>
  <c r="BK10" i="2"/>
  <c r="BE46" i="2"/>
  <c r="X61" i="2"/>
  <c r="X52" i="2"/>
  <c r="AD38" i="2"/>
  <c r="AS9" i="39"/>
  <c r="AV9" i="39" s="1"/>
  <c r="BK42" i="2"/>
  <c r="AI11" i="2"/>
  <c r="AI24" i="2"/>
  <c r="AI30" i="2"/>
  <c r="R57" i="2"/>
  <c r="R49" i="2"/>
  <c r="R53" i="2"/>
  <c r="BK3" i="2"/>
  <c r="X37" i="2"/>
  <c r="BK60" i="2"/>
  <c r="BE9" i="2"/>
  <c r="AI23" i="2"/>
  <c r="BE19" i="2"/>
  <c r="X56" i="2"/>
  <c r="X46" i="2"/>
  <c r="AD61" i="2"/>
  <c r="AD52" i="2"/>
  <c r="AI38" i="2"/>
  <c r="BD9" i="39"/>
  <c r="BG9" i="39" s="1"/>
  <c r="BK59" i="2"/>
  <c r="BE11" i="2"/>
  <c r="R24" i="2"/>
  <c r="BE30" i="2"/>
  <c r="BE45" i="2"/>
  <c r="X57" i="2"/>
  <c r="X49" i="2"/>
  <c r="AD41" i="2"/>
  <c r="BK53" i="2"/>
  <c r="X3" i="2"/>
  <c r="AD37" i="2"/>
  <c r="AD35" i="2"/>
  <c r="BK9" i="2"/>
  <c r="BK29" i="2"/>
  <c r="BE23" i="2"/>
  <c r="R7" i="2"/>
  <c r="AD46" i="2"/>
  <c r="AI61" i="2"/>
  <c r="BE52" i="2"/>
  <c r="CL9" i="39"/>
  <c r="CO9" i="39" s="1"/>
  <c r="D48" i="30"/>
  <c r="BK11" i="2"/>
  <c r="X24" i="2"/>
  <c r="BK45" i="2"/>
  <c r="AD57" i="2"/>
  <c r="BE16" i="2"/>
  <c r="BE49" i="2"/>
  <c r="R12" i="2"/>
  <c r="X41" i="2"/>
  <c r="BE53" i="2"/>
  <c r="AD3" i="2"/>
  <c r="AI37" i="2"/>
  <c r="R35" i="2"/>
  <c r="AD9" i="2"/>
  <c r="BE29" i="2"/>
  <c r="BK23" i="2"/>
  <c r="BK7" i="2"/>
  <c r="BE21" i="2"/>
  <c r="R46" i="2"/>
  <c r="BK38" i="2"/>
  <c r="CV9" i="39"/>
  <c r="CY9" i="39" s="1"/>
  <c r="X26" i="2"/>
  <c r="AH8" i="39"/>
  <c r="AK8" i="39" s="1"/>
  <c r="R45" i="2"/>
  <c r="X2" i="2"/>
  <c r="AH6" i="39"/>
  <c r="AK6" i="39" s="1"/>
  <c r="BK16" i="2"/>
  <c r="X12" i="2"/>
  <c r="AD43" i="2"/>
  <c r="AI41" i="2"/>
  <c r="X53" i="2"/>
  <c r="BE3" i="2"/>
  <c r="BE39" i="2"/>
  <c r="X35" i="2"/>
  <c r="AI9" i="2"/>
  <c r="AD25" i="2"/>
  <c r="R29" i="2"/>
  <c r="X7" i="2"/>
  <c r="R21" i="2"/>
  <c r="R13" i="2"/>
  <c r="AD48" i="2"/>
  <c r="BK36" i="2"/>
  <c r="AD26" i="2"/>
  <c r="AS8" i="39"/>
  <c r="AV8" i="39" s="1"/>
  <c r="X45" i="2"/>
  <c r="R2" i="2"/>
  <c r="X6" i="39"/>
  <c r="AA6" i="39" s="1"/>
  <c r="AD16" i="2"/>
  <c r="AI12" i="2"/>
  <c r="R43" i="2"/>
  <c r="R41" i="2"/>
  <c r="AD53" i="2"/>
  <c r="AD39" i="2"/>
  <c r="BK35" i="2"/>
  <c r="X9" i="2"/>
  <c r="X25" i="2"/>
  <c r="X29" i="2"/>
  <c r="R58" i="2"/>
  <c r="BE7" i="2"/>
  <c r="BK21" i="2"/>
  <c r="AI54" i="2"/>
  <c r="BK13" i="2"/>
  <c r="AI48" i="2"/>
  <c r="BE40" i="2"/>
  <c r="R5" i="2"/>
  <c r="X36" i="2"/>
  <c r="R28" i="2"/>
  <c r="BE26" i="2"/>
  <c r="CL8" i="39"/>
  <c r="CO8" i="39" s="1"/>
  <c r="AD45" i="2"/>
  <c r="AD2" i="2"/>
  <c r="AS6" i="39"/>
  <c r="AV6" i="39" s="1"/>
  <c r="AI16" i="2"/>
  <c r="AD12" i="2"/>
  <c r="X43" i="2"/>
  <c r="BE41" i="2"/>
  <c r="AI53" i="2"/>
  <c r="AI39" i="2"/>
  <c r="AI35" i="2"/>
  <c r="BK25" i="2"/>
  <c r="AD29" i="2"/>
  <c r="BE58" i="2"/>
  <c r="R17" i="2"/>
  <c r="X21" i="2"/>
  <c r="AD54" i="2"/>
  <c r="BE13" i="2"/>
  <c r="BK48" i="2"/>
  <c r="R50" i="2"/>
  <c r="X10" i="39"/>
  <c r="AA10" i="39" s="1"/>
  <c r="BK5" i="2"/>
  <c r="AD36" i="2"/>
  <c r="R26" i="2"/>
  <c r="X8" i="39"/>
  <c r="AA8" i="39" s="1"/>
  <c r="AI45" i="2"/>
  <c r="BK2" i="2"/>
  <c r="CV6" i="39"/>
  <c r="CY6" i="39" s="1"/>
  <c r="R16" i="2"/>
  <c r="AI47" i="2"/>
  <c r="BE12" i="2"/>
  <c r="AI43" i="2"/>
  <c r="BK41" i="2"/>
  <c r="BK55" i="2"/>
  <c r="R39" i="2"/>
  <c r="BE35" i="2"/>
  <c r="R25" i="2"/>
  <c r="AD58" i="2"/>
  <c r="BK17" i="2"/>
  <c r="AI7" i="2"/>
  <c r="AD21" i="2"/>
  <c r="BK54" i="2"/>
  <c r="X13" i="2"/>
  <c r="BE48" i="2"/>
  <c r="X50" i="2"/>
  <c r="AH10" i="39"/>
  <c r="AK10" i="39" s="1"/>
  <c r="AI40" i="2"/>
  <c r="BE5" i="2"/>
  <c r="R36" i="2"/>
  <c r="X28" i="2"/>
  <c r="R34" i="2"/>
  <c r="X22" i="2"/>
  <c r="AD28" i="2"/>
  <c r="AI26" i="2"/>
  <c r="BD8" i="39"/>
  <c r="BG8" i="39" s="1"/>
  <c r="AI2" i="2"/>
  <c r="BD6" i="39"/>
  <c r="BG6" i="39" s="1"/>
  <c r="X16" i="2"/>
  <c r="BK47" i="2"/>
  <c r="BK12" i="2"/>
  <c r="BE43" i="2"/>
  <c r="BK6" i="2"/>
  <c r="R55" i="2"/>
  <c r="X39" i="2"/>
  <c r="BE25" i="2"/>
  <c r="X58" i="2"/>
  <c r="BE17" i="2"/>
  <c r="R54" i="2"/>
  <c r="AI44" i="2"/>
  <c r="AD50" i="2"/>
  <c r="AS10" i="39"/>
  <c r="AV10" i="39" s="1"/>
  <c r="BK40" i="2"/>
  <c r="X5" i="2"/>
  <c r="BE36" i="2"/>
  <c r="BK34" i="2"/>
  <c r="X34" i="2"/>
  <c r="BE22" i="2"/>
  <c r="AI28" i="2"/>
  <c r="BK26" i="2"/>
  <c r="CV8" i="39"/>
  <c r="CY8" i="39" s="1"/>
  <c r="BE2" i="2"/>
  <c r="CL6" i="39"/>
  <c r="CO6" i="39" s="1"/>
  <c r="R18" i="2"/>
  <c r="BE47" i="2"/>
  <c r="BK43" i="2"/>
  <c r="BE6" i="2"/>
  <c r="X55" i="2"/>
  <c r="BK39" i="2"/>
  <c r="R15" i="2"/>
  <c r="AI25" i="2"/>
  <c r="AI58" i="2"/>
  <c r="X17" i="2"/>
  <c r="X31" i="2"/>
  <c r="X54" i="2"/>
  <c r="AI13" i="2"/>
  <c r="AD44" i="2"/>
  <c r="X48" i="2"/>
  <c r="BK50" i="2"/>
  <c r="CV10" i="39"/>
  <c r="CY10" i="39" s="1"/>
  <c r="R40" i="2"/>
  <c r="AD5" i="2"/>
  <c r="R22" i="2"/>
  <c r="AI34" i="2"/>
  <c r="AI22" i="2"/>
  <c r="BE28" i="2"/>
  <c r="R14" i="2"/>
  <c r="X7" i="39"/>
  <c r="AA7" i="39" s="1"/>
  <c r="X18" i="2"/>
  <c r="R47" i="2"/>
  <c r="X20" i="2"/>
  <c r="X6" i="2"/>
  <c r="AI51" i="2"/>
  <c r="BE55" i="2"/>
  <c r="X15" i="2"/>
  <c r="AD33" i="2"/>
  <c r="BK58" i="2"/>
  <c r="AD17" i="2"/>
  <c r="AI31" i="2"/>
  <c r="BE54" i="2"/>
  <c r="BE44" i="2"/>
  <c r="AI50" i="2"/>
  <c r="BD10" i="39"/>
  <c r="BG10" i="39" s="1"/>
  <c r="X40" i="2"/>
  <c r="AI5" i="2"/>
  <c r="D71" i="5"/>
  <c r="D72" i="5"/>
  <c r="C72" i="5"/>
  <c r="C71" i="5"/>
  <c r="C70" i="5"/>
  <c r="C38" i="5"/>
  <c r="C37" i="5"/>
  <c r="C39" i="5"/>
  <c r="C20" i="5"/>
  <c r="C21" i="5"/>
  <c r="C54" i="5"/>
  <c r="C55" i="5"/>
  <c r="C19" i="5"/>
  <c r="C56" i="5"/>
  <c r="D70" i="5"/>
  <c r="D55" i="5"/>
  <c r="D38" i="5"/>
  <c r="D56" i="5"/>
  <c r="D54" i="5"/>
  <c r="D39" i="5"/>
  <c r="D21" i="5"/>
  <c r="D20" i="5"/>
  <c r="D37" i="5"/>
  <c r="D19" i="5"/>
  <c r="C122" i="7"/>
  <c r="H120" i="7"/>
  <c r="H122" i="7" s="1"/>
  <c r="C111" i="7"/>
  <c r="H109" i="7"/>
  <c r="H111" i="7" s="1"/>
  <c r="C104" i="7"/>
  <c r="H102" i="7"/>
  <c r="H104" i="7" s="1"/>
  <c r="N10" i="7" s="1"/>
  <c r="H108" i="7"/>
  <c r="H110" i="7" s="1"/>
  <c r="C110" i="7"/>
  <c r="H114" i="7"/>
  <c r="H116" i="7" s="1"/>
  <c r="C116" i="7"/>
  <c r="H115" i="7"/>
  <c r="H117" i="7" s="1"/>
  <c r="C117" i="7"/>
  <c r="GD50" i="2"/>
  <c r="GB62" i="2"/>
  <c r="GA86" i="2"/>
  <c r="FU62" i="2"/>
  <c r="GC74" i="2"/>
  <c r="FW26" i="2"/>
  <c r="GA87" i="2"/>
  <c r="GD62" i="2"/>
  <c r="FW74" i="2"/>
  <c r="FU2" i="2"/>
  <c r="GB87" i="2"/>
  <c r="FV14" i="2"/>
  <c r="GB75" i="2"/>
  <c r="GD2" i="2"/>
  <c r="FW86" i="2"/>
  <c r="GB26" i="2"/>
  <c r="FU74" i="2"/>
  <c r="GA75" i="2"/>
  <c r="FU38" i="2"/>
  <c r="GA2" i="2"/>
  <c r="GA26" i="2"/>
  <c r="GD26" i="2"/>
  <c r="GA39" i="2"/>
  <c r="FV86" i="2"/>
  <c r="GB2" i="2"/>
  <c r="FW2" i="2"/>
  <c r="GB74" i="2"/>
  <c r="FV26" i="2"/>
  <c r="GC14" i="2"/>
  <c r="FW38" i="2"/>
  <c r="FU50" i="2"/>
  <c r="GD86" i="2"/>
  <c r="GD39" i="2"/>
  <c r="GC15" i="2"/>
  <c r="GA50" i="2"/>
  <c r="FV38" i="2"/>
  <c r="GC63" i="2"/>
  <c r="GB50" i="2"/>
  <c r="FW50" i="2"/>
  <c r="FU86" i="2"/>
  <c r="GD27" i="2"/>
  <c r="GD75" i="2"/>
  <c r="FV87" i="2"/>
  <c r="FU26" i="2"/>
  <c r="GC27" i="2"/>
  <c r="FV62" i="2"/>
  <c r="GA51" i="2"/>
  <c r="GD51" i="2"/>
  <c r="GA27" i="2"/>
  <c r="FV74" i="2"/>
  <c r="GC86" i="2"/>
  <c r="GC50" i="2"/>
  <c r="GB63" i="2"/>
  <c r="FW62" i="2"/>
  <c r="FV75" i="2"/>
  <c r="GB3" i="2"/>
  <c r="FW14" i="2"/>
  <c r="GB27" i="2"/>
  <c r="FU39" i="2"/>
  <c r="GA63" i="2"/>
  <c r="GB38" i="2"/>
  <c r="GB14" i="2"/>
  <c r="GD38" i="2"/>
  <c r="GD14" i="2"/>
  <c r="FU14" i="2"/>
  <c r="GA38" i="2"/>
  <c r="GA14" i="2"/>
  <c r="FV39" i="2"/>
  <c r="GD15" i="2"/>
  <c r="FV50" i="2"/>
  <c r="GC26" i="2"/>
  <c r="FV15" i="2"/>
  <c r="GA62" i="2"/>
  <c r="GC38" i="2"/>
  <c r="GB86" i="2"/>
  <c r="GC2" i="2"/>
  <c r="C122" i="5"/>
  <c r="C69" i="5"/>
  <c r="C123" i="5"/>
  <c r="C35" i="5"/>
  <c r="C81" i="5"/>
  <c r="C12" i="5"/>
  <c r="C58" i="5"/>
  <c r="C32" i="5"/>
  <c r="C17" i="5"/>
  <c r="C47" i="5"/>
  <c r="C18" i="5"/>
  <c r="C16" i="5"/>
  <c r="C24" i="5"/>
  <c r="C6" i="5"/>
  <c r="C97" i="5"/>
  <c r="C118" i="5"/>
  <c r="C62" i="5"/>
  <c r="C33" i="5"/>
  <c r="C29" i="5"/>
  <c r="C98" i="5"/>
  <c r="C84" i="5"/>
  <c r="C45" i="5"/>
  <c r="C59" i="5"/>
  <c r="C36" i="5"/>
  <c r="C79" i="5"/>
  <c r="C67" i="5"/>
  <c r="C46" i="5"/>
  <c r="C13" i="5"/>
  <c r="C14" i="5"/>
  <c r="C10" i="5"/>
  <c r="C11" i="5"/>
  <c r="C103" i="5"/>
  <c r="C121" i="5"/>
  <c r="C68" i="5"/>
  <c r="C7" i="5"/>
  <c r="C77" i="5"/>
  <c r="C66" i="5"/>
  <c r="C95" i="5"/>
  <c r="C111" i="5"/>
  <c r="C116" i="5"/>
  <c r="C96" i="5"/>
  <c r="C50" i="5"/>
  <c r="C25" i="5"/>
  <c r="C30" i="5"/>
  <c r="C53" i="5"/>
  <c r="C110" i="5"/>
  <c r="C83" i="5"/>
  <c r="C61" i="5"/>
  <c r="C60" i="5"/>
  <c r="C93" i="5"/>
  <c r="C76" i="5"/>
  <c r="C42" i="5"/>
  <c r="C49" i="5"/>
  <c r="C109" i="5"/>
  <c r="C48" i="5"/>
  <c r="C23" i="5"/>
  <c r="C28" i="5"/>
  <c r="C5" i="5"/>
  <c r="C27" i="5"/>
  <c r="C91" i="5"/>
  <c r="C120" i="5"/>
  <c r="C78" i="5"/>
  <c r="C41" i="5"/>
  <c r="C107" i="5"/>
  <c r="C89" i="5"/>
  <c r="C65" i="5"/>
  <c r="C117" i="5"/>
  <c r="C26" i="5"/>
  <c r="C4" i="5"/>
  <c r="W4" i="5" s="1"/>
  <c r="C52" i="5"/>
  <c r="C51" i="5"/>
  <c r="C82" i="5"/>
  <c r="C94" i="5"/>
  <c r="C74" i="5"/>
  <c r="C64" i="5"/>
  <c r="C15" i="5"/>
  <c r="C80" i="5"/>
  <c r="C34" i="5"/>
  <c r="C44" i="5"/>
  <c r="C9" i="5"/>
  <c r="C43" i="5"/>
  <c r="C75" i="5"/>
  <c r="C90" i="5"/>
  <c r="C63" i="5"/>
  <c r="C31" i="5"/>
  <c r="C108" i="5"/>
  <c r="C119" i="5"/>
  <c r="D123" i="5"/>
  <c r="D69" i="5"/>
  <c r="D122" i="5"/>
  <c r="D58" i="5"/>
  <c r="D32" i="5"/>
  <c r="D17" i="5"/>
  <c r="D47" i="5"/>
  <c r="D18" i="5"/>
  <c r="D16" i="5"/>
  <c r="D24" i="5"/>
  <c r="D6" i="5"/>
  <c r="D97" i="5"/>
  <c r="D49" i="5"/>
  <c r="D105" i="5"/>
  <c r="D104" i="5"/>
  <c r="D61" i="5"/>
  <c r="D59" i="5"/>
  <c r="D36" i="5"/>
  <c r="D79" i="5"/>
  <c r="D67" i="5"/>
  <c r="D46" i="5"/>
  <c r="D13" i="5"/>
  <c r="D14" i="5"/>
  <c r="D10" i="5"/>
  <c r="D95" i="5"/>
  <c r="D29" i="5"/>
  <c r="D98" i="5"/>
  <c r="D84" i="5"/>
  <c r="D28" i="5"/>
  <c r="D5" i="5"/>
  <c r="D9" i="5"/>
  <c r="D82" i="5"/>
  <c r="D30" i="5"/>
  <c r="D53" i="5"/>
  <c r="D110" i="5"/>
  <c r="D11" i="5"/>
  <c r="D35" i="5"/>
  <c r="D90" i="5"/>
  <c r="D121" i="5"/>
  <c r="D68" i="5"/>
  <c r="D7" i="5"/>
  <c r="D77" i="5"/>
  <c r="D66" i="5"/>
  <c r="D27" i="5"/>
  <c r="D43" i="5"/>
  <c r="D63" i="5"/>
  <c r="D50" i="5"/>
  <c r="D109" i="5"/>
  <c r="D48" i="5"/>
  <c r="D23" i="5"/>
  <c r="D60" i="5"/>
  <c r="D93" i="5"/>
  <c r="D76" i="5"/>
  <c r="D45" i="5"/>
  <c r="D42" i="5"/>
  <c r="D4" i="5"/>
  <c r="X4" i="5" s="1"/>
  <c r="D52" i="5"/>
  <c r="D51" i="5"/>
  <c r="D108" i="5"/>
  <c r="D116" i="5"/>
  <c r="D12" i="5"/>
  <c r="D120" i="5"/>
  <c r="D78" i="5"/>
  <c r="D41" i="5"/>
  <c r="D107" i="5"/>
  <c r="D92" i="5"/>
  <c r="D89" i="5"/>
  <c r="D65" i="5"/>
  <c r="D117" i="5"/>
  <c r="D25" i="5"/>
  <c r="D81" i="5"/>
  <c r="D80" i="5"/>
  <c r="D34" i="5"/>
  <c r="D44" i="5"/>
  <c r="D96" i="5"/>
  <c r="D111" i="5"/>
  <c r="D91" i="5"/>
  <c r="D94" i="5"/>
  <c r="D74" i="5"/>
  <c r="D118" i="5"/>
  <c r="D106" i="5"/>
  <c r="D83" i="5"/>
  <c r="D103" i="5"/>
  <c r="D75" i="5"/>
  <c r="D62" i="5"/>
  <c r="D33" i="5"/>
  <c r="D64" i="5"/>
  <c r="D26" i="5"/>
  <c r="D119" i="5"/>
  <c r="D15" i="5"/>
  <c r="D31" i="5"/>
  <c r="AM59" i="7"/>
  <c r="W8" i="60" l="1"/>
  <c r="W12" i="60"/>
  <c r="M7" i="60"/>
  <c r="M5" i="60"/>
  <c r="W16" i="60"/>
  <c r="W7" i="60"/>
  <c r="W11" i="60"/>
  <c r="M17" i="60"/>
  <c r="M15" i="60"/>
  <c r="W5" i="60"/>
  <c r="M11" i="60"/>
  <c r="M9" i="60"/>
  <c r="M16" i="60"/>
  <c r="M8" i="60"/>
  <c r="W9" i="60"/>
  <c r="H14" i="44"/>
  <c r="M13" i="60"/>
  <c r="M18" i="60"/>
  <c r="W18" i="60"/>
  <c r="W13" i="60"/>
  <c r="S149" i="31"/>
  <c r="E184" i="32"/>
  <c r="I184" i="32" s="1"/>
  <c r="I172" i="32"/>
  <c r="Q161" i="31"/>
  <c r="I173" i="31"/>
  <c r="O149" i="33"/>
  <c r="Q149" i="33" s="1"/>
  <c r="K160" i="32"/>
  <c r="M160" i="32" s="1"/>
  <c r="K171" i="32"/>
  <c r="M171" i="32" s="1"/>
  <c r="L161" i="33"/>
  <c r="F173" i="33"/>
  <c r="K183" i="32"/>
  <c r="M183" i="32" s="1"/>
  <c r="K138" i="32"/>
  <c r="M138" i="32" s="1"/>
  <c r="I184" i="31"/>
  <c r="Q184" i="31" s="1"/>
  <c r="Q172" i="31"/>
  <c r="E140" i="32"/>
  <c r="I139" i="32"/>
  <c r="E162" i="32"/>
  <c r="I150" i="32"/>
  <c r="K149" i="32"/>
  <c r="M149" i="32" s="1"/>
  <c r="O160" i="33"/>
  <c r="Q160" i="33" s="1"/>
  <c r="S171" i="31"/>
  <c r="I161" i="32"/>
  <c r="E173" i="32"/>
  <c r="L172" i="33"/>
  <c r="F184" i="33"/>
  <c r="L184" i="33" s="1"/>
  <c r="S183" i="31"/>
  <c r="O171" i="33"/>
  <c r="Q171" i="33" s="1"/>
  <c r="I140" i="31"/>
  <c r="Q139" i="31"/>
  <c r="O183" i="33"/>
  <c r="Q183" i="33" s="1"/>
  <c r="Q150" i="31"/>
  <c r="I162" i="31"/>
  <c r="O138" i="33"/>
  <c r="Q138" i="33" s="1"/>
  <c r="L150" i="33"/>
  <c r="F162" i="33"/>
  <c r="L139" i="33"/>
  <c r="F140" i="33"/>
  <c r="BK10" i="40"/>
  <c r="BG37" i="40"/>
  <c r="M44" i="60"/>
  <c r="O8" i="40"/>
  <c r="F14" i="44"/>
  <c r="O9" i="40"/>
  <c r="W11" i="40"/>
  <c r="I15" i="44"/>
  <c r="I130" i="44" s="1"/>
  <c r="W12" i="40"/>
  <c r="J15" i="44"/>
  <c r="J130" i="44" s="1"/>
  <c r="O11" i="40"/>
  <c r="I14" i="44"/>
  <c r="W9" i="40"/>
  <c r="O7" i="40"/>
  <c r="E14" i="44"/>
  <c r="O6" i="40"/>
  <c r="D14" i="44"/>
  <c r="O12" i="40"/>
  <c r="S37" i="40"/>
  <c r="H15" i="44"/>
  <c r="H130" i="44" s="1"/>
  <c r="K38" i="40"/>
  <c r="C14" i="44"/>
  <c r="W10" i="40"/>
  <c r="W5" i="40"/>
  <c r="S38" i="40"/>
  <c r="O10" i="40"/>
  <c r="K37" i="40"/>
  <c r="G10" i="40"/>
  <c r="C37" i="40"/>
  <c r="E37" i="40" s="1"/>
  <c r="O5" i="40"/>
  <c r="G5" i="40"/>
  <c r="C38" i="40"/>
  <c r="E38" i="40" s="1"/>
  <c r="AL34" i="14"/>
  <c r="BS34" i="14"/>
  <c r="BC34" i="14"/>
  <c r="W43" i="60"/>
  <c r="W44" i="60"/>
  <c r="AP34" i="14"/>
  <c r="M43" i="60"/>
  <c r="D38" i="34"/>
  <c r="BO34" i="14"/>
  <c r="BP38" i="40"/>
  <c r="E145" i="44"/>
  <c r="I69" i="41"/>
  <c r="J69" i="41"/>
  <c r="G69" i="41"/>
  <c r="E69" i="41"/>
  <c r="D69" i="41"/>
  <c r="C69" i="41"/>
  <c r="K65" i="44"/>
  <c r="K69" i="41"/>
  <c r="H69" i="41"/>
  <c r="F69" i="41"/>
  <c r="G145" i="44"/>
  <c r="G17" i="44"/>
  <c r="C145" i="44"/>
  <c r="K145" i="44"/>
  <c r="D145" i="44"/>
  <c r="I145" i="44"/>
  <c r="J145" i="44"/>
  <c r="F145" i="44"/>
  <c r="H145" i="44"/>
  <c r="FD62" i="3"/>
  <c r="FD86" i="3"/>
  <c r="FD87" i="3"/>
  <c r="FD63" i="3"/>
  <c r="FD75" i="3"/>
  <c r="FD110" i="3"/>
  <c r="FD38" i="3"/>
  <c r="FD111" i="3"/>
  <c r="FD74" i="3"/>
  <c r="FD50" i="3"/>
  <c r="FD51" i="3"/>
  <c r="FD26" i="3"/>
  <c r="FD122" i="3"/>
  <c r="FD99" i="3"/>
  <c r="FD98" i="3"/>
  <c r="D41" i="22"/>
  <c r="EX38" i="3"/>
  <c r="D58" i="22"/>
  <c r="D40" i="22"/>
  <c r="D16" i="22"/>
  <c r="D25" i="22"/>
  <c r="D43" i="22"/>
  <c r="D59" i="22"/>
  <c r="D18" i="22"/>
  <c r="D55" i="22"/>
  <c r="D51" i="22"/>
  <c r="D2" i="22"/>
  <c r="D10" i="22"/>
  <c r="D44" i="22"/>
  <c r="D50" i="22"/>
  <c r="D48" i="22"/>
  <c r="D42" i="22"/>
  <c r="D21" i="22"/>
  <c r="D33" i="22"/>
  <c r="D35" i="22"/>
  <c r="D49" i="22"/>
  <c r="D4" i="22"/>
  <c r="D31" i="22"/>
  <c r="D23" i="22"/>
  <c r="D39" i="22"/>
  <c r="FR51" i="2"/>
  <c r="D7" i="22"/>
  <c r="D9" i="22"/>
  <c r="D19" i="22"/>
  <c r="D27" i="22"/>
  <c r="D57" i="22"/>
  <c r="D52" i="22"/>
  <c r="D8" i="22"/>
  <c r="D15" i="22"/>
  <c r="D28" i="22"/>
  <c r="D26" i="22"/>
  <c r="D47" i="22"/>
  <c r="D61" i="22"/>
  <c r="D45" i="22"/>
  <c r="D54" i="22"/>
  <c r="D12" i="22"/>
  <c r="D30" i="22"/>
  <c r="FA62" i="3"/>
  <c r="D5" i="22"/>
  <c r="D24" i="22"/>
  <c r="D46" i="22"/>
  <c r="D32" i="22"/>
  <c r="D29" i="22"/>
  <c r="D14" i="22"/>
  <c r="R14" i="22" s="1"/>
  <c r="D6" i="22"/>
  <c r="D22" i="22"/>
  <c r="D13" i="22"/>
  <c r="D38" i="22"/>
  <c r="D60" i="22"/>
  <c r="D20" i="22"/>
  <c r="D53" i="22"/>
  <c r="D11" i="22"/>
  <c r="D37" i="22"/>
  <c r="D3" i="22"/>
  <c r="D17" i="22"/>
  <c r="D34" i="22"/>
  <c r="D56" i="22"/>
  <c r="D36" i="22"/>
  <c r="G68" i="44"/>
  <c r="M62" i="26"/>
  <c r="M38" i="37"/>
  <c r="DS5" i="39"/>
  <c r="M74" i="26"/>
  <c r="M13" i="37"/>
  <c r="O13" i="37" s="1"/>
  <c r="M62" i="37"/>
  <c r="O62" i="37" s="1"/>
  <c r="M38" i="26"/>
  <c r="O38" i="26" s="1"/>
  <c r="M2" i="26"/>
  <c r="O2" i="26" s="1"/>
  <c r="M13" i="26"/>
  <c r="O13" i="26" s="1"/>
  <c r="M2" i="37"/>
  <c r="O2" i="37" s="1"/>
  <c r="S7" i="20"/>
  <c r="U7" i="20" s="1"/>
  <c r="S5" i="20"/>
  <c r="U5" i="20" s="1"/>
  <c r="S11" i="20"/>
  <c r="U11" i="20" s="1"/>
  <c r="S2" i="31"/>
  <c r="V2" i="31" s="1"/>
  <c r="S4" i="31"/>
  <c r="V4" i="31" s="1"/>
  <c r="S10" i="20"/>
  <c r="U10" i="20" s="1"/>
  <c r="S8" i="20"/>
  <c r="U8" i="20" s="1"/>
  <c r="S6" i="20"/>
  <c r="U6" i="20" s="1"/>
  <c r="S8" i="31"/>
  <c r="V8" i="31" s="1"/>
  <c r="S13" i="20"/>
  <c r="U13" i="20" s="1"/>
  <c r="S6" i="31"/>
  <c r="V6" i="31" s="1"/>
  <c r="S9" i="20"/>
  <c r="U9" i="20" s="1"/>
  <c r="S13" i="31"/>
  <c r="V13" i="31" s="1"/>
  <c r="S12" i="31"/>
  <c r="V12" i="31" s="1"/>
  <c r="S11" i="31"/>
  <c r="V11" i="31" s="1"/>
  <c r="S2" i="20"/>
  <c r="U2" i="20" s="1"/>
  <c r="S7" i="31"/>
  <c r="V7" i="31" s="1"/>
  <c r="S4" i="20"/>
  <c r="U4" i="20" s="1"/>
  <c r="S9" i="31"/>
  <c r="V9" i="31" s="1"/>
  <c r="S5" i="31"/>
  <c r="V5" i="31" s="1"/>
  <c r="S12" i="20"/>
  <c r="U12" i="20" s="1"/>
  <c r="S10" i="31"/>
  <c r="V10" i="31" s="1"/>
  <c r="GC87" i="2"/>
  <c r="FW3" i="2"/>
  <c r="BP6" i="40"/>
  <c r="BR6" i="40"/>
  <c r="BP7" i="40"/>
  <c r="BR7" i="40"/>
  <c r="BA10" i="40"/>
  <c r="BC10" i="40"/>
  <c r="AJ10" i="40"/>
  <c r="AL10" i="40"/>
  <c r="BA11" i="40"/>
  <c r="BC11" i="40"/>
  <c r="BI7" i="40"/>
  <c r="BK7" i="40"/>
  <c r="FU75" i="2"/>
  <c r="BI5" i="40"/>
  <c r="BK5" i="40"/>
  <c r="BI8" i="40"/>
  <c r="BK8" i="40"/>
  <c r="AS13" i="40"/>
  <c r="AU13" i="40"/>
  <c r="BA5" i="40"/>
  <c r="BC5" i="40"/>
  <c r="BP13" i="40"/>
  <c r="BP26" i="40" s="1"/>
  <c r="BR13" i="40"/>
  <c r="FW75" i="2"/>
  <c r="BA7" i="40"/>
  <c r="BC7" i="40"/>
  <c r="AS11" i="40"/>
  <c r="AU11" i="40"/>
  <c r="Z86" i="51"/>
  <c r="FU87" i="2"/>
  <c r="AJ13" i="40"/>
  <c r="AJ25" i="40" s="1"/>
  <c r="AJ24" i="40" s="1"/>
  <c r="AJ23" i="40" s="1"/>
  <c r="AJ22" i="40" s="1"/>
  <c r="AJ21" i="40" s="1"/>
  <c r="AJ20" i="40" s="1"/>
  <c r="AJ19" i="40" s="1"/>
  <c r="AJ18" i="40" s="1"/>
  <c r="AL13" i="40"/>
  <c r="X86" i="51"/>
  <c r="J5" i="27"/>
  <c r="Y86" i="51"/>
  <c r="BA12" i="40"/>
  <c r="BC12" i="40"/>
  <c r="BA13" i="40"/>
  <c r="BC13" i="40"/>
  <c r="AS6" i="40"/>
  <c r="AU6" i="40"/>
  <c r="GA76" i="2"/>
  <c r="BA6" i="40"/>
  <c r="BC6" i="40"/>
  <c r="AS7" i="40"/>
  <c r="AU7" i="40"/>
  <c r="AJ11" i="40"/>
  <c r="AL11" i="40"/>
  <c r="BP8" i="40"/>
  <c r="BR8" i="40"/>
  <c r="FW87" i="2"/>
  <c r="AJ12" i="40"/>
  <c r="AL12" i="40"/>
  <c r="BA8" i="40"/>
  <c r="BC8" i="40"/>
  <c r="BP5" i="40"/>
  <c r="BR5" i="40"/>
  <c r="AJ7" i="40"/>
  <c r="AL7" i="40"/>
  <c r="AJ6" i="40"/>
  <c r="AL6" i="40"/>
  <c r="AS5" i="40"/>
  <c r="AU5" i="40"/>
  <c r="BI6" i="40"/>
  <c r="BK6" i="40"/>
  <c r="AS8" i="40"/>
  <c r="AU8" i="40"/>
  <c r="BI13" i="40"/>
  <c r="BK13" i="40"/>
  <c r="AS10" i="40"/>
  <c r="AU10" i="40"/>
  <c r="GC75" i="2"/>
  <c r="BG5" i="27"/>
  <c r="O85" i="37"/>
  <c r="O14" i="37"/>
  <c r="O49" i="37"/>
  <c r="O73" i="37"/>
  <c r="O26" i="37"/>
  <c r="O75" i="37"/>
  <c r="O25" i="26"/>
  <c r="O73" i="26"/>
  <c r="O26" i="26"/>
  <c r="O75" i="26"/>
  <c r="O49" i="26"/>
  <c r="O14" i="26"/>
  <c r="AZ5" i="27"/>
  <c r="P5" i="27"/>
  <c r="U5" i="40"/>
  <c r="U6" i="40"/>
  <c r="W6" i="40"/>
  <c r="AC13" i="40"/>
  <c r="AE13" i="40"/>
  <c r="M13" i="40"/>
  <c r="O13" i="40"/>
  <c r="AC6" i="40"/>
  <c r="AE6" i="40"/>
  <c r="AC5" i="40"/>
  <c r="AE5" i="40"/>
  <c r="U7" i="40"/>
  <c r="W7" i="40"/>
  <c r="U13" i="40"/>
  <c r="W13" i="40"/>
  <c r="AC8" i="40"/>
  <c r="AE8" i="40"/>
  <c r="AC11" i="40"/>
  <c r="AE11" i="40"/>
  <c r="AC10" i="40"/>
  <c r="AE10" i="40"/>
  <c r="U8" i="40"/>
  <c r="W8" i="40"/>
  <c r="AC7" i="40"/>
  <c r="AE7" i="40"/>
  <c r="E12" i="40"/>
  <c r="E8" i="40"/>
  <c r="E10" i="40"/>
  <c r="E5" i="40"/>
  <c r="E6" i="40"/>
  <c r="E11" i="40"/>
  <c r="E7" i="40"/>
  <c r="E13" i="40"/>
  <c r="D25" i="33"/>
  <c r="AK12" i="2"/>
  <c r="D12" i="33"/>
  <c r="D6" i="20"/>
  <c r="D5" i="23"/>
  <c r="D39" i="18"/>
  <c r="D29" i="32"/>
  <c r="D29" i="21"/>
  <c r="D40" i="23"/>
  <c r="D21" i="18"/>
  <c r="D3" i="23"/>
  <c r="D33" i="23"/>
  <c r="AF10" i="2"/>
  <c r="D10" i="32"/>
  <c r="D10" i="21"/>
  <c r="D37" i="23"/>
  <c r="D61" i="18"/>
  <c r="D32" i="23"/>
  <c r="D42" i="18"/>
  <c r="AF22" i="2"/>
  <c r="D22" i="32"/>
  <c r="D22" i="21"/>
  <c r="N22" i="21" s="1"/>
  <c r="D34" i="23"/>
  <c r="D22" i="23"/>
  <c r="D50" i="32"/>
  <c r="D50" i="21"/>
  <c r="D48" i="23"/>
  <c r="BN2" i="2"/>
  <c r="AF12" i="2"/>
  <c r="D12" i="32"/>
  <c r="D12" i="21"/>
  <c r="D61" i="20"/>
  <c r="U3" i="2"/>
  <c r="D3" i="18"/>
  <c r="BH14" i="2"/>
  <c r="D14" i="23"/>
  <c r="X14" i="23" s="1"/>
  <c r="AF23" i="2"/>
  <c r="D23" i="32"/>
  <c r="D23" i="21"/>
  <c r="N23" i="21" s="1"/>
  <c r="AK6" i="2"/>
  <c r="D6" i="33"/>
  <c r="D19" i="18"/>
  <c r="D18" i="32"/>
  <c r="D18" i="21"/>
  <c r="D22" i="18"/>
  <c r="AF58" i="2"/>
  <c r="D58" i="32"/>
  <c r="D58" i="21"/>
  <c r="N58" i="21" s="1"/>
  <c r="D21" i="23"/>
  <c r="AK5" i="2"/>
  <c r="D5" i="33"/>
  <c r="D17" i="23"/>
  <c r="D43" i="23"/>
  <c r="AK26" i="2"/>
  <c r="D26" i="33"/>
  <c r="D52" i="23"/>
  <c r="D24" i="18"/>
  <c r="D20" i="20"/>
  <c r="D28" i="23"/>
  <c r="D40" i="18"/>
  <c r="D31" i="20"/>
  <c r="D5" i="20"/>
  <c r="D58" i="20"/>
  <c r="AF21" i="2"/>
  <c r="D21" i="32"/>
  <c r="D21" i="21"/>
  <c r="N21" i="21" s="1"/>
  <c r="AK48" i="2"/>
  <c r="D48" i="33"/>
  <c r="AF53" i="2"/>
  <c r="D53" i="32"/>
  <c r="D53" i="21"/>
  <c r="N53" i="21" s="1"/>
  <c r="D7" i="20"/>
  <c r="D2" i="20"/>
  <c r="AK23" i="2"/>
  <c r="D23" i="33"/>
  <c r="AK30" i="2"/>
  <c r="D30" i="33"/>
  <c r="D23" i="20"/>
  <c r="D38" i="20"/>
  <c r="AK27" i="2"/>
  <c r="D27" i="33"/>
  <c r="AF42" i="2"/>
  <c r="D42" i="32"/>
  <c r="D42" i="21"/>
  <c r="N42" i="21" s="1"/>
  <c r="D51" i="18"/>
  <c r="AF4" i="2"/>
  <c r="D4" i="32"/>
  <c r="D4" i="21"/>
  <c r="AK8" i="2"/>
  <c r="D8" i="33"/>
  <c r="D42" i="23"/>
  <c r="AF31" i="2"/>
  <c r="D31" i="32"/>
  <c r="D31" i="21"/>
  <c r="N31" i="21" s="1"/>
  <c r="D34" i="32"/>
  <c r="D34" i="21"/>
  <c r="D12" i="23"/>
  <c r="D55" i="20"/>
  <c r="AF36" i="2"/>
  <c r="D36" i="32"/>
  <c r="D36" i="21"/>
  <c r="N36" i="21" s="1"/>
  <c r="D58" i="18"/>
  <c r="D45" i="20"/>
  <c r="D29" i="23"/>
  <c r="D53" i="23"/>
  <c r="D24" i="20"/>
  <c r="D61" i="33"/>
  <c r="D11" i="23"/>
  <c r="AK38" i="2"/>
  <c r="D38" i="33"/>
  <c r="D46" i="23"/>
  <c r="AK4" i="2"/>
  <c r="D4" i="33"/>
  <c r="AK57" i="2"/>
  <c r="D57" i="33"/>
  <c r="D11" i="18"/>
  <c r="AK20" i="2"/>
  <c r="D20" i="33"/>
  <c r="D8" i="23"/>
  <c r="D54" i="20"/>
  <c r="D36" i="23"/>
  <c r="AF33" i="2"/>
  <c r="D33" i="32"/>
  <c r="D33" i="21"/>
  <c r="N33" i="21" s="1"/>
  <c r="BN26" i="2"/>
  <c r="D22" i="33"/>
  <c r="D17" i="20"/>
  <c r="D25" i="23"/>
  <c r="AK7" i="2"/>
  <c r="D7" i="33"/>
  <c r="D13" i="23"/>
  <c r="AK35" i="2"/>
  <c r="D35" i="33"/>
  <c r="D28" i="18"/>
  <c r="D41" i="18"/>
  <c r="D45" i="18"/>
  <c r="D46" i="18"/>
  <c r="AF41" i="2"/>
  <c r="D41" i="32"/>
  <c r="D41" i="21"/>
  <c r="N41" i="21" s="1"/>
  <c r="D53" i="18"/>
  <c r="AK24" i="2"/>
  <c r="D24" i="33"/>
  <c r="D4" i="23"/>
  <c r="D10" i="18"/>
  <c r="AK33" i="2"/>
  <c r="D33" i="33"/>
  <c r="AK55" i="2"/>
  <c r="D55" i="33"/>
  <c r="D18" i="20"/>
  <c r="AA15" i="2"/>
  <c r="D15" i="20"/>
  <c r="V15" i="20" s="1"/>
  <c r="W15" i="20" s="1"/>
  <c r="AK45" i="2"/>
  <c r="D45" i="33"/>
  <c r="D53" i="20"/>
  <c r="AF9" i="2"/>
  <c r="D9" i="32"/>
  <c r="D9" i="21"/>
  <c r="D41" i="20"/>
  <c r="AF46" i="2"/>
  <c r="D46" i="32"/>
  <c r="D46" i="21"/>
  <c r="N46" i="21" s="1"/>
  <c r="AF52" i="2"/>
  <c r="D52" i="32"/>
  <c r="D52" i="21"/>
  <c r="N52" i="21" s="1"/>
  <c r="D30" i="32"/>
  <c r="D30" i="21"/>
  <c r="D19" i="20"/>
  <c r="D38" i="18"/>
  <c r="D32" i="32"/>
  <c r="D32" i="21"/>
  <c r="N32" i="21" s="1"/>
  <c r="AF59" i="2"/>
  <c r="D59" i="32"/>
  <c r="D59" i="21"/>
  <c r="N59" i="21" s="1"/>
  <c r="D44" i="20"/>
  <c r="D4" i="20"/>
  <c r="AF55" i="2"/>
  <c r="D55" i="32"/>
  <c r="D55" i="21"/>
  <c r="N55" i="21" s="1"/>
  <c r="AK21" i="2"/>
  <c r="D21" i="33"/>
  <c r="D6" i="23"/>
  <c r="AK40" i="2"/>
  <c r="D40" i="33"/>
  <c r="D47" i="18"/>
  <c r="AK58" i="2"/>
  <c r="D58" i="33"/>
  <c r="AK43" i="2"/>
  <c r="D43" i="33"/>
  <c r="AF54" i="2"/>
  <c r="D54" i="32"/>
  <c r="D54" i="21"/>
  <c r="N54" i="21" s="1"/>
  <c r="D9" i="23"/>
  <c r="AK11" i="2"/>
  <c r="D11" i="33"/>
  <c r="D49" i="33"/>
  <c r="D49" i="32"/>
  <c r="D49" i="21"/>
  <c r="AF56" i="2"/>
  <c r="D56" i="32"/>
  <c r="D56" i="21"/>
  <c r="N56" i="21" s="1"/>
  <c r="D27" i="20"/>
  <c r="AF51" i="2"/>
  <c r="D51" i="32"/>
  <c r="D51" i="21"/>
  <c r="N51" i="21" s="1"/>
  <c r="AK32" i="2"/>
  <c r="D32" i="33"/>
  <c r="AK17" i="2"/>
  <c r="D17" i="33"/>
  <c r="D22" i="20"/>
  <c r="AK50" i="2"/>
  <c r="D50" i="33"/>
  <c r="AK16" i="2"/>
  <c r="D16" i="33"/>
  <c r="D29" i="20"/>
  <c r="AK34" i="2"/>
  <c r="D34" i="33"/>
  <c r="D28" i="32"/>
  <c r="D28" i="21"/>
  <c r="AK39" i="2"/>
  <c r="D39" i="33"/>
  <c r="D43" i="18"/>
  <c r="D26" i="32"/>
  <c r="D26" i="21"/>
  <c r="AF48" i="2"/>
  <c r="D48" i="32"/>
  <c r="D48" i="21"/>
  <c r="N48" i="21" s="1"/>
  <c r="D29" i="18"/>
  <c r="D44" i="23"/>
  <c r="D48" i="20"/>
  <c r="D25" i="20"/>
  <c r="AK41" i="2"/>
  <c r="D41" i="33"/>
  <c r="D26" i="20"/>
  <c r="D12" i="18"/>
  <c r="D61" i="32"/>
  <c r="D61" i="21"/>
  <c r="D24" i="23"/>
  <c r="D52" i="18"/>
  <c r="AK60" i="2"/>
  <c r="D60" i="33"/>
  <c r="AF27" i="2"/>
  <c r="D27" i="32"/>
  <c r="D27" i="21"/>
  <c r="N27" i="21" s="1"/>
  <c r="D10" i="23"/>
  <c r="X10" i="23" s="1"/>
  <c r="Y10" i="23" s="1"/>
  <c r="D33" i="20"/>
  <c r="D51" i="20"/>
  <c r="D50" i="20"/>
  <c r="AF2" i="2"/>
  <c r="D2" i="32"/>
  <c r="D2" i="21"/>
  <c r="D25" i="32"/>
  <c r="D25" i="21"/>
  <c r="D9" i="18"/>
  <c r="D8" i="20"/>
  <c r="D8" i="18"/>
  <c r="D30" i="18"/>
  <c r="D31" i="23"/>
  <c r="D14" i="33"/>
  <c r="AF6" i="2"/>
  <c r="D6" i="32"/>
  <c r="D6" i="21"/>
  <c r="D50" i="23"/>
  <c r="D4" i="18"/>
  <c r="D14" i="20"/>
  <c r="AK29" i="2"/>
  <c r="D29" i="33"/>
  <c r="D28" i="33"/>
  <c r="D54" i="23"/>
  <c r="AF44" i="2"/>
  <c r="D44" i="32"/>
  <c r="D44" i="21"/>
  <c r="N44" i="21" s="1"/>
  <c r="D47" i="23"/>
  <c r="D16" i="20"/>
  <c r="D36" i="20"/>
  <c r="D9" i="20"/>
  <c r="AF43" i="2"/>
  <c r="D43" i="32"/>
  <c r="D43" i="21"/>
  <c r="N43" i="21" s="1"/>
  <c r="D7" i="18"/>
  <c r="AF35" i="2"/>
  <c r="D35" i="32"/>
  <c r="D35" i="21"/>
  <c r="N35" i="21" s="1"/>
  <c r="D49" i="20"/>
  <c r="D46" i="20"/>
  <c r="D49" i="18"/>
  <c r="AF11" i="2"/>
  <c r="D11" i="32"/>
  <c r="D11" i="21"/>
  <c r="AK15" i="2"/>
  <c r="D15" i="33"/>
  <c r="D42" i="20"/>
  <c r="D27" i="23"/>
  <c r="D14" i="32"/>
  <c r="D14" i="21"/>
  <c r="D6" i="18"/>
  <c r="D59" i="20"/>
  <c r="D35" i="18"/>
  <c r="AF24" i="2"/>
  <c r="D24" i="32"/>
  <c r="D24" i="21"/>
  <c r="N24" i="21" s="1"/>
  <c r="AF19" i="2"/>
  <c r="D19" i="32"/>
  <c r="D19" i="21"/>
  <c r="N19" i="21" s="1"/>
  <c r="AK56" i="2"/>
  <c r="D56" i="33"/>
  <c r="D60" i="20"/>
  <c r="AK18" i="2"/>
  <c r="D18" i="33"/>
  <c r="D20" i="32"/>
  <c r="D20" i="21"/>
  <c r="D44" i="18"/>
  <c r="D33" i="18"/>
  <c r="D18" i="18"/>
  <c r="D49" i="23"/>
  <c r="D37" i="32"/>
  <c r="D37" i="21"/>
  <c r="D59" i="18"/>
  <c r="D3" i="33"/>
  <c r="AF15" i="2"/>
  <c r="D15" i="32"/>
  <c r="D15" i="21"/>
  <c r="N15" i="21" s="1"/>
  <c r="D20" i="18"/>
  <c r="AF7" i="2"/>
  <c r="D7" i="32"/>
  <c r="D7" i="21"/>
  <c r="D39" i="20"/>
  <c r="D21" i="20"/>
  <c r="D34" i="18"/>
  <c r="D25" i="18"/>
  <c r="D9" i="33"/>
  <c r="D55" i="23"/>
  <c r="AK44" i="2"/>
  <c r="D44" i="33"/>
  <c r="D2" i="33"/>
  <c r="D28" i="20"/>
  <c r="AK47" i="2"/>
  <c r="D47" i="33"/>
  <c r="AF45" i="2"/>
  <c r="D45" i="32"/>
  <c r="D45" i="21"/>
  <c r="N45" i="21" s="1"/>
  <c r="AF16" i="2"/>
  <c r="D16" i="32"/>
  <c r="D16" i="21"/>
  <c r="N16" i="21" s="1"/>
  <c r="D35" i="20"/>
  <c r="D37" i="33"/>
  <c r="D23" i="18"/>
  <c r="D57" i="23"/>
  <c r="D11" i="20"/>
  <c r="D61" i="23"/>
  <c r="D59" i="23"/>
  <c r="D10" i="20"/>
  <c r="D27" i="18"/>
  <c r="D26" i="18"/>
  <c r="D15" i="18"/>
  <c r="D17" i="18"/>
  <c r="D12" i="20"/>
  <c r="D57" i="20"/>
  <c r="D56" i="20"/>
  <c r="D56" i="18"/>
  <c r="D34" i="20"/>
  <c r="D14" i="18"/>
  <c r="AF5" i="2"/>
  <c r="D5" i="32"/>
  <c r="D5" i="21"/>
  <c r="D55" i="18"/>
  <c r="D41" i="23"/>
  <c r="AF39" i="2"/>
  <c r="D39" i="32"/>
  <c r="D39" i="21"/>
  <c r="N39" i="21" s="1"/>
  <c r="D16" i="23"/>
  <c r="D3" i="20"/>
  <c r="D45" i="23"/>
  <c r="D19" i="23"/>
  <c r="D37" i="20"/>
  <c r="D57" i="18"/>
  <c r="AF38" i="2"/>
  <c r="D38" i="32"/>
  <c r="D38" i="21"/>
  <c r="N38" i="21" s="1"/>
  <c r="AK19" i="2"/>
  <c r="D19" i="33"/>
  <c r="D60" i="23"/>
  <c r="AK10" i="2"/>
  <c r="D10" i="33"/>
  <c r="D51" i="23"/>
  <c r="D18" i="23"/>
  <c r="D56" i="23"/>
  <c r="D13" i="32"/>
  <c r="D13" i="21"/>
  <c r="D48" i="18"/>
  <c r="D13" i="33"/>
  <c r="D2" i="23"/>
  <c r="D54" i="18"/>
  <c r="D36" i="18"/>
  <c r="D13" i="20"/>
  <c r="D35" i="23"/>
  <c r="D16" i="18"/>
  <c r="D58" i="23"/>
  <c r="D13" i="18"/>
  <c r="D39" i="23"/>
  <c r="AF3" i="2"/>
  <c r="D3" i="32"/>
  <c r="D3" i="21"/>
  <c r="D23" i="23"/>
  <c r="D32" i="20"/>
  <c r="D32" i="18"/>
  <c r="D59" i="33"/>
  <c r="AK46" i="2"/>
  <c r="D46" i="33"/>
  <c r="AF60" i="2"/>
  <c r="D60" i="32"/>
  <c r="D60" i="21"/>
  <c r="N60" i="21" s="1"/>
  <c r="AK52" i="2"/>
  <c r="D52" i="33"/>
  <c r="AF47" i="2"/>
  <c r="D47" i="32"/>
  <c r="D47" i="21"/>
  <c r="N47" i="21" s="1"/>
  <c r="BH15" i="2"/>
  <c r="D15" i="23"/>
  <c r="X15" i="23" s="1"/>
  <c r="Y15" i="23" s="1"/>
  <c r="D38" i="23"/>
  <c r="AK31" i="2"/>
  <c r="D31" i="33"/>
  <c r="D50" i="18"/>
  <c r="AK53" i="2"/>
  <c r="D53" i="33"/>
  <c r="D5" i="18"/>
  <c r="AK54" i="2"/>
  <c r="D54" i="33"/>
  <c r="D51" i="33"/>
  <c r="D40" i="20"/>
  <c r="AF17" i="2"/>
  <c r="D17" i="32"/>
  <c r="D17" i="21"/>
  <c r="N17" i="21" s="1"/>
  <c r="D43" i="20"/>
  <c r="BH26" i="2"/>
  <c r="D26" i="23"/>
  <c r="X26" i="23" s="1"/>
  <c r="D7" i="23"/>
  <c r="D2" i="18"/>
  <c r="AF57" i="2"/>
  <c r="D57" i="32"/>
  <c r="D57" i="21"/>
  <c r="N57" i="21" s="1"/>
  <c r="D30" i="23"/>
  <c r="D52" i="20"/>
  <c r="D37" i="18"/>
  <c r="AK42" i="2"/>
  <c r="D42" i="33"/>
  <c r="D20" i="23"/>
  <c r="D8" i="32"/>
  <c r="D8" i="21"/>
  <c r="D30" i="20"/>
  <c r="D31" i="18"/>
  <c r="D60" i="18"/>
  <c r="D47" i="20"/>
  <c r="AF40" i="2"/>
  <c r="D40" i="32"/>
  <c r="D40" i="21"/>
  <c r="N40" i="21" s="1"/>
  <c r="O40" i="21" s="1"/>
  <c r="D36" i="33"/>
  <c r="AU11" i="39"/>
  <c r="AZ11" i="39" s="1"/>
  <c r="AE12" i="27"/>
  <c r="P7" i="27"/>
  <c r="AU7" i="39"/>
  <c r="AU8" i="39"/>
  <c r="AU9" i="39"/>
  <c r="AM6" i="27"/>
  <c r="AM12" i="27"/>
  <c r="W7" i="27"/>
  <c r="AE7" i="27"/>
  <c r="BF9" i="39"/>
  <c r="AE10" i="27"/>
  <c r="BF7" i="39"/>
  <c r="AM10" i="27"/>
  <c r="AE8" i="27"/>
  <c r="AU12" i="39"/>
  <c r="AZ12" i="39" s="1"/>
  <c r="AU10" i="39"/>
  <c r="AJ8" i="39"/>
  <c r="AM7" i="27"/>
  <c r="AM9" i="27"/>
  <c r="AE6" i="27"/>
  <c r="Z8" i="39"/>
  <c r="AB8" i="39" s="1"/>
  <c r="AD8" i="39" s="1"/>
  <c r="AE11" i="27"/>
  <c r="BF12" i="39"/>
  <c r="BK12" i="39" s="1"/>
  <c r="AM11" i="27"/>
  <c r="BF10" i="39"/>
  <c r="AE9" i="27"/>
  <c r="AM8" i="27"/>
  <c r="P6" i="27"/>
  <c r="BF11" i="39"/>
  <c r="BK11" i="39" s="1"/>
  <c r="BF8" i="39"/>
  <c r="W6" i="27"/>
  <c r="AJ7" i="39"/>
  <c r="M90" i="32"/>
  <c r="Q93" i="33"/>
  <c r="M93" i="32"/>
  <c r="Q97" i="33"/>
  <c r="M91" i="32"/>
  <c r="Q88" i="33"/>
  <c r="Q95" i="33"/>
  <c r="M95" i="32"/>
  <c r="Q87" i="33"/>
  <c r="M94" i="32"/>
  <c r="Q96" i="33"/>
  <c r="M87" i="32"/>
  <c r="Q94" i="33"/>
  <c r="Q92" i="33"/>
  <c r="Q86" i="33"/>
  <c r="M89" i="32"/>
  <c r="Q89" i="33"/>
  <c r="Q90" i="33"/>
  <c r="M96" i="32"/>
  <c r="Q91" i="33"/>
  <c r="M86" i="32"/>
  <c r="M88" i="32"/>
  <c r="M92" i="32"/>
  <c r="Z7" i="39"/>
  <c r="AB7" i="39" s="1"/>
  <c r="AD7" i="39" s="1"/>
  <c r="M97" i="32"/>
  <c r="AT5" i="27"/>
  <c r="D5" i="27"/>
  <c r="DH7" i="39"/>
  <c r="DM7" i="39" s="1"/>
  <c r="DH8" i="39"/>
  <c r="DM8" i="39" s="1"/>
  <c r="DH6" i="39"/>
  <c r="DM6" i="39" s="1"/>
  <c r="CX8" i="39"/>
  <c r="CZ8" i="39" s="1"/>
  <c r="DB8" i="39" s="1"/>
  <c r="CX7" i="39"/>
  <c r="CZ7" i="39" s="1"/>
  <c r="DB7" i="39" s="1"/>
  <c r="CX6" i="39"/>
  <c r="CZ6" i="39" s="1"/>
  <c r="DB6" i="39" s="1"/>
  <c r="CN8" i="39"/>
  <c r="CP8" i="39" s="1"/>
  <c r="CR8" i="39" s="1"/>
  <c r="CN7" i="39"/>
  <c r="CP7" i="39" s="1"/>
  <c r="CR7" i="39" s="1"/>
  <c r="X2" i="34"/>
  <c r="CN6" i="39" s="1"/>
  <c r="CP6" i="39" s="1"/>
  <c r="CR6" i="39" s="1"/>
  <c r="T2" i="30"/>
  <c r="Z6" i="39" s="1"/>
  <c r="AB6" i="39" s="1"/>
  <c r="AD6" i="39" s="1"/>
  <c r="AT6" i="27"/>
  <c r="AZ6" i="27"/>
  <c r="AT7" i="27"/>
  <c r="AZ7" i="27"/>
  <c r="BG6" i="27"/>
  <c r="BG7" i="27"/>
  <c r="F6" i="39"/>
  <c r="FW27" i="2"/>
  <c r="BN13" i="2"/>
  <c r="BN27" i="2"/>
  <c r="BN35" i="2"/>
  <c r="BN15" i="2"/>
  <c r="BN7" i="2"/>
  <c r="BN37" i="2"/>
  <c r="BN21" i="2"/>
  <c r="BN30" i="2"/>
  <c r="BN34" i="2"/>
  <c r="BN6" i="2"/>
  <c r="BN31" i="2"/>
  <c r="BN8" i="2"/>
  <c r="BN28" i="2"/>
  <c r="BN16" i="2"/>
  <c r="BN23" i="2"/>
  <c r="BN4" i="2"/>
  <c r="BN19" i="2"/>
  <c r="BN22" i="2"/>
  <c r="BN25" i="2"/>
  <c r="BN3" i="2"/>
  <c r="BN18" i="2"/>
  <c r="BN12" i="2"/>
  <c r="BN36" i="2"/>
  <c r="BN24" i="2"/>
  <c r="BN29" i="2"/>
  <c r="BN17" i="2"/>
  <c r="BN14" i="2"/>
  <c r="BN5" i="2"/>
  <c r="BN11" i="2"/>
  <c r="BN9" i="2"/>
  <c r="BN20" i="2"/>
  <c r="BN10" i="2"/>
  <c r="BN33" i="2"/>
  <c r="BN32" i="2"/>
  <c r="BH25" i="2"/>
  <c r="BH9" i="2"/>
  <c r="BH22" i="2"/>
  <c r="BH21" i="2"/>
  <c r="BH24" i="2"/>
  <c r="BH10" i="2"/>
  <c r="BH31" i="2"/>
  <c r="BH27" i="2"/>
  <c r="BH2" i="2"/>
  <c r="BH7" i="2"/>
  <c r="BH16" i="2"/>
  <c r="BH36" i="2"/>
  <c r="BH5" i="2"/>
  <c r="BH19" i="2"/>
  <c r="BH18" i="2"/>
  <c r="BH17" i="2"/>
  <c r="BH3" i="2"/>
  <c r="BH23" i="2"/>
  <c r="BH35" i="2"/>
  <c r="BH28" i="2"/>
  <c r="BH30" i="2"/>
  <c r="BH20" i="2"/>
  <c r="BH33" i="2"/>
  <c r="BH37" i="2"/>
  <c r="BH32" i="2"/>
  <c r="BH34" i="2"/>
  <c r="BH13" i="2"/>
  <c r="BH6" i="2"/>
  <c r="BH29" i="2"/>
  <c r="BH11" i="2"/>
  <c r="BH8" i="2"/>
  <c r="BH4" i="2"/>
  <c r="BH12" i="2"/>
  <c r="AK25" i="2"/>
  <c r="AK49" i="2"/>
  <c r="AK9" i="2"/>
  <c r="AK14" i="2"/>
  <c r="AK2" i="2"/>
  <c r="AK51" i="2"/>
  <c r="AK13" i="2"/>
  <c r="FT3" i="2"/>
  <c r="AK3" i="2"/>
  <c r="AK37" i="2"/>
  <c r="AK59" i="2"/>
  <c r="AK28" i="2"/>
  <c r="AK22" i="2"/>
  <c r="GB51" i="2"/>
  <c r="AK61" i="2"/>
  <c r="AF25" i="2"/>
  <c r="AF49" i="2"/>
  <c r="AF61" i="2"/>
  <c r="AF50" i="2"/>
  <c r="AF14" i="2"/>
  <c r="AF20" i="2"/>
  <c r="AF37" i="2"/>
  <c r="AF29" i="2"/>
  <c r="FS13" i="2"/>
  <c r="AF13" i="2"/>
  <c r="AF8" i="2"/>
  <c r="AF18" i="2"/>
  <c r="AF34" i="2"/>
  <c r="AF28" i="2"/>
  <c r="AF26" i="2"/>
  <c r="AF30" i="2"/>
  <c r="AF32" i="2"/>
  <c r="AA16" i="2"/>
  <c r="AA36" i="2"/>
  <c r="AA27" i="2"/>
  <c r="AA9" i="2"/>
  <c r="AA33" i="2"/>
  <c r="AA8" i="2"/>
  <c r="AA14" i="2"/>
  <c r="AA34" i="2"/>
  <c r="AA28" i="2"/>
  <c r="AA12" i="2"/>
  <c r="AA35" i="2"/>
  <c r="AA13" i="2"/>
  <c r="AA11" i="2"/>
  <c r="AA10" i="2"/>
  <c r="AA6" i="2"/>
  <c r="AA3" i="2"/>
  <c r="AA37" i="2"/>
  <c r="AA32" i="2"/>
  <c r="AA20" i="2"/>
  <c r="AA31" i="2"/>
  <c r="AA5" i="2"/>
  <c r="AA30" i="2"/>
  <c r="AA7" i="2"/>
  <c r="AA2" i="2"/>
  <c r="AA29" i="2"/>
  <c r="AA24" i="2"/>
  <c r="AA23" i="2"/>
  <c r="AA25" i="2"/>
  <c r="AA17" i="2"/>
  <c r="AA18" i="2"/>
  <c r="AA22" i="2"/>
  <c r="AA21" i="2"/>
  <c r="AA26" i="2"/>
  <c r="AA19" i="2"/>
  <c r="AA4" i="2"/>
  <c r="U34" i="2"/>
  <c r="U25" i="2"/>
  <c r="U17" i="2"/>
  <c r="U9" i="2"/>
  <c r="U8" i="2"/>
  <c r="U30" i="2"/>
  <c r="U4" i="2"/>
  <c r="U35" i="2"/>
  <c r="U7" i="2"/>
  <c r="U6" i="2"/>
  <c r="U18" i="2"/>
  <c r="U14" i="2"/>
  <c r="U33" i="2"/>
  <c r="U36" i="2"/>
  <c r="U16" i="2"/>
  <c r="U20" i="2"/>
  <c r="U13" i="2"/>
  <c r="U27" i="2"/>
  <c r="U2" i="2"/>
  <c r="U23" i="2"/>
  <c r="U32" i="2"/>
  <c r="U21" i="2"/>
  <c r="U37" i="2"/>
  <c r="U31" i="2"/>
  <c r="U5" i="2"/>
  <c r="U28" i="2"/>
  <c r="U24" i="2"/>
  <c r="U19" i="2"/>
  <c r="U15" i="2"/>
  <c r="U11" i="2"/>
  <c r="U10" i="2"/>
  <c r="U22" i="2"/>
  <c r="U26" i="2"/>
  <c r="U29" i="2"/>
  <c r="U12" i="2"/>
  <c r="F80" i="51"/>
  <c r="G80" i="51"/>
  <c r="L80" i="51"/>
  <c r="M80" i="51"/>
  <c r="W5" i="5"/>
  <c r="BH5" i="39"/>
  <c r="BJ5" i="39" s="1"/>
  <c r="BH6" i="39"/>
  <c r="K64" i="44"/>
  <c r="X9" i="5"/>
  <c r="X5" i="5"/>
  <c r="X6" i="5"/>
  <c r="X8" i="5"/>
  <c r="W7" i="5"/>
  <c r="X7" i="5"/>
  <c r="X10" i="5"/>
  <c r="W9" i="5"/>
  <c r="W10" i="5"/>
  <c r="W6" i="5"/>
  <c r="W8" i="5"/>
  <c r="AL10" i="7"/>
  <c r="AJ10" i="7"/>
  <c r="AH10" i="7"/>
  <c r="C86" i="7" s="1"/>
  <c r="AM10" i="7"/>
  <c r="AI10" i="7"/>
  <c r="D86" i="7" s="1"/>
  <c r="AK10" i="7"/>
  <c r="AN10" i="7"/>
  <c r="AO10" i="7"/>
  <c r="U10" i="7"/>
  <c r="W10" i="7"/>
  <c r="X10" i="7"/>
  <c r="AA10" i="7"/>
  <c r="Y10" i="7"/>
  <c r="AB10" i="7"/>
  <c r="AD10" i="7"/>
  <c r="T10" i="7"/>
  <c r="V10" i="7"/>
  <c r="Z10" i="7"/>
  <c r="H64" i="7" s="1"/>
  <c r="AC10" i="7"/>
  <c r="Z65" i="7"/>
  <c r="N8" i="7"/>
  <c r="C128" i="7"/>
  <c r="H126" i="7"/>
  <c r="H128" i="7" s="1"/>
  <c r="N14" i="7" s="1"/>
  <c r="H127" i="7"/>
  <c r="H129" i="7" s="1"/>
  <c r="O14" i="7" s="1"/>
  <c r="C129" i="7"/>
  <c r="FQ27" i="2"/>
  <c r="FX50" i="2"/>
  <c r="GD3" i="2"/>
  <c r="FV51" i="2"/>
  <c r="FU3" i="2"/>
  <c r="O38" i="37"/>
  <c r="FU27" i="2"/>
  <c r="GA3" i="2"/>
  <c r="FW15" i="2"/>
  <c r="GC3" i="2"/>
  <c r="GC51" i="2"/>
  <c r="FW51" i="2"/>
  <c r="GB15" i="2"/>
  <c r="AW6" i="39"/>
  <c r="GD63" i="2"/>
  <c r="FV63" i="2"/>
  <c r="GC39" i="2"/>
  <c r="FU51" i="2"/>
  <c r="AW5" i="39"/>
  <c r="AY5" i="39" s="1"/>
  <c r="FW39" i="2"/>
  <c r="FY14" i="2"/>
  <c r="FR27" i="2"/>
  <c r="O62" i="26"/>
  <c r="FY15" i="2"/>
  <c r="FW63" i="2"/>
  <c r="FS27" i="2"/>
  <c r="FS39" i="2"/>
  <c r="FU63" i="2"/>
  <c r="FS51" i="2"/>
  <c r="FT27" i="2"/>
  <c r="FT15" i="2"/>
  <c r="FU15" i="2"/>
  <c r="FQ38" i="2"/>
  <c r="O74" i="26"/>
  <c r="FS14" i="2"/>
  <c r="H34" i="14"/>
  <c r="FS15" i="2"/>
  <c r="AU34" i="14"/>
  <c r="E54" i="26"/>
  <c r="J54" i="26" s="1"/>
  <c r="K54" i="23"/>
  <c r="T54" i="23" s="1"/>
  <c r="U54" i="23" s="1"/>
  <c r="I54" i="18"/>
  <c r="P54" i="18" s="1"/>
  <c r="Q54" i="18" s="1"/>
  <c r="K54" i="34"/>
  <c r="T54" i="34" s="1"/>
  <c r="U54" i="34" s="1"/>
  <c r="G54" i="25"/>
  <c r="N54" i="25" s="1"/>
  <c r="Q54" i="25" s="1"/>
  <c r="I54" i="19"/>
  <c r="Q54" i="19" s="1"/>
  <c r="S54" i="19" s="1"/>
  <c r="I54" i="29"/>
  <c r="Q54" i="29" s="1"/>
  <c r="S54" i="29" s="1"/>
  <c r="G54" i="35"/>
  <c r="O54" i="35" s="1"/>
  <c r="S54" i="35" s="1"/>
  <c r="H54" i="31"/>
  <c r="P54" i="31" s="1"/>
  <c r="S54" i="31" s="1"/>
  <c r="E54" i="37"/>
  <c r="J54" i="37" s="1"/>
  <c r="G54" i="36"/>
  <c r="N54" i="36" s="1"/>
  <c r="Q54" i="36" s="1"/>
  <c r="J54" i="28"/>
  <c r="S54" i="28" s="1"/>
  <c r="U54" i="28" s="1"/>
  <c r="I54" i="30"/>
  <c r="P54" i="30" s="1"/>
  <c r="Q54" i="30" s="1"/>
  <c r="H54" i="20"/>
  <c r="P54" i="20" s="1"/>
  <c r="S54" i="20" s="1"/>
  <c r="J54" i="17"/>
  <c r="S54" i="17" s="1"/>
  <c r="U54" i="17" s="1"/>
  <c r="G54" i="24"/>
  <c r="O54" i="24" s="1"/>
  <c r="S54" i="24" s="1"/>
  <c r="S67" i="28"/>
  <c r="U67" i="28" s="1"/>
  <c r="G89" i="24"/>
  <c r="O89" i="24" s="1"/>
  <c r="S89" i="24" s="1"/>
  <c r="G89" i="35"/>
  <c r="H89" i="31"/>
  <c r="E89" i="26"/>
  <c r="J89" i="26" s="1"/>
  <c r="I89" i="19"/>
  <c r="Q89" i="19" s="1"/>
  <c r="S89" i="19" s="1"/>
  <c r="G89" i="25"/>
  <c r="N89" i="25" s="1"/>
  <c r="Q89" i="25" s="1"/>
  <c r="G89" i="36"/>
  <c r="I89" i="18"/>
  <c r="P89" i="18" s="1"/>
  <c r="Q89" i="18" s="1"/>
  <c r="I89" i="29"/>
  <c r="K89" i="34"/>
  <c r="J89" i="28"/>
  <c r="E89" i="37"/>
  <c r="I89" i="30"/>
  <c r="K89" i="23"/>
  <c r="T89" i="23" s="1"/>
  <c r="U89" i="23" s="1"/>
  <c r="H89" i="20"/>
  <c r="P89" i="20" s="1"/>
  <c r="S89" i="20" s="1"/>
  <c r="J89" i="17"/>
  <c r="S89" i="17" s="1"/>
  <c r="U89" i="17" s="1"/>
  <c r="G93" i="25"/>
  <c r="N93" i="25" s="1"/>
  <c r="Q93" i="25" s="1"/>
  <c r="K93" i="23"/>
  <c r="T93" i="23" s="1"/>
  <c r="U93" i="23" s="1"/>
  <c r="J93" i="28"/>
  <c r="H93" i="20"/>
  <c r="P93" i="20" s="1"/>
  <c r="S93" i="20" s="1"/>
  <c r="J93" i="17"/>
  <c r="S93" i="17" s="1"/>
  <c r="U93" i="17" s="1"/>
  <c r="K93" i="34"/>
  <c r="I93" i="29"/>
  <c r="I93" i="18"/>
  <c r="P93" i="18" s="1"/>
  <c r="Q93" i="18" s="1"/>
  <c r="E93" i="26"/>
  <c r="J93" i="26" s="1"/>
  <c r="G93" i="35"/>
  <c r="I93" i="30"/>
  <c r="I93" i="19"/>
  <c r="Q93" i="19" s="1"/>
  <c r="S93" i="19" s="1"/>
  <c r="E93" i="37"/>
  <c r="G93" i="24"/>
  <c r="O93" i="24" s="1"/>
  <c r="S93" i="24" s="1"/>
  <c r="G93" i="36"/>
  <c r="H93" i="31"/>
  <c r="S72" i="28"/>
  <c r="U72" i="28" s="1"/>
  <c r="I97" i="30"/>
  <c r="G97" i="36"/>
  <c r="G97" i="35"/>
  <c r="K97" i="34"/>
  <c r="J97" i="28"/>
  <c r="I97" i="19"/>
  <c r="Q97" i="19" s="1"/>
  <c r="S97" i="19" s="1"/>
  <c r="I97" i="29"/>
  <c r="K97" i="23"/>
  <c r="T97" i="23" s="1"/>
  <c r="U97" i="23" s="1"/>
  <c r="I97" i="18"/>
  <c r="P97" i="18" s="1"/>
  <c r="Q97" i="18" s="1"/>
  <c r="H97" i="31"/>
  <c r="H97" i="20"/>
  <c r="P97" i="20" s="1"/>
  <c r="S97" i="20" s="1"/>
  <c r="J97" i="17"/>
  <c r="S97" i="17" s="1"/>
  <c r="U97" i="17" s="1"/>
  <c r="G97" i="24"/>
  <c r="O97" i="24" s="1"/>
  <c r="S97" i="24" s="1"/>
  <c r="E97" i="26"/>
  <c r="J97" i="26" s="1"/>
  <c r="E97" i="37"/>
  <c r="G97" i="25"/>
  <c r="N97" i="25" s="1"/>
  <c r="Q97" i="25" s="1"/>
  <c r="G96" i="35"/>
  <c r="E96" i="37"/>
  <c r="G96" i="25"/>
  <c r="N96" i="25" s="1"/>
  <c r="Q96" i="25" s="1"/>
  <c r="H96" i="20"/>
  <c r="P96" i="20" s="1"/>
  <c r="S96" i="20" s="1"/>
  <c r="J96" i="17"/>
  <c r="S96" i="17" s="1"/>
  <c r="U96" i="17" s="1"/>
  <c r="J96" i="28"/>
  <c r="I96" i="19"/>
  <c r="Q96" i="19" s="1"/>
  <c r="S96" i="19" s="1"/>
  <c r="G96" i="36"/>
  <c r="I96" i="30"/>
  <c r="E96" i="26"/>
  <c r="J96" i="26" s="1"/>
  <c r="I96" i="18"/>
  <c r="P96" i="18" s="1"/>
  <c r="Q96" i="18" s="1"/>
  <c r="K96" i="34"/>
  <c r="I96" i="29"/>
  <c r="H96" i="31"/>
  <c r="K96" i="23"/>
  <c r="T96" i="23" s="1"/>
  <c r="U96" i="23" s="1"/>
  <c r="G96" i="24"/>
  <c r="O96" i="24" s="1"/>
  <c r="S96" i="24" s="1"/>
  <c r="P72" i="31"/>
  <c r="S72" i="31" s="1"/>
  <c r="E92" i="37"/>
  <c r="G92" i="24"/>
  <c r="O92" i="24" s="1"/>
  <c r="S92" i="24" s="1"/>
  <c r="I92" i="19"/>
  <c r="Q92" i="19" s="1"/>
  <c r="S92" i="19" s="1"/>
  <c r="H92" i="31"/>
  <c r="H92" i="20"/>
  <c r="P92" i="20" s="1"/>
  <c r="S92" i="20" s="1"/>
  <c r="J92" i="17"/>
  <c r="S92" i="17" s="1"/>
  <c r="U92" i="17" s="1"/>
  <c r="G92" i="36"/>
  <c r="E92" i="26"/>
  <c r="J92" i="26" s="1"/>
  <c r="G92" i="25"/>
  <c r="N92" i="25" s="1"/>
  <c r="Q92" i="25" s="1"/>
  <c r="K92" i="23"/>
  <c r="T92" i="23" s="1"/>
  <c r="U92" i="23" s="1"/>
  <c r="I92" i="18"/>
  <c r="P92" i="18" s="1"/>
  <c r="Q92" i="18" s="1"/>
  <c r="I92" i="29"/>
  <c r="K92" i="34"/>
  <c r="G92" i="35"/>
  <c r="I92" i="30"/>
  <c r="J92" i="28"/>
  <c r="G60" i="24"/>
  <c r="O60" i="24" s="1"/>
  <c r="S60" i="24" s="1"/>
  <c r="I60" i="19"/>
  <c r="Q60" i="19" s="1"/>
  <c r="S60" i="19" s="1"/>
  <c r="G60" i="35"/>
  <c r="O60" i="35" s="1"/>
  <c r="S60" i="35" s="1"/>
  <c r="G60" i="36"/>
  <c r="N60" i="36" s="1"/>
  <c r="Q60" i="36" s="1"/>
  <c r="E60" i="37"/>
  <c r="J60" i="37" s="1"/>
  <c r="H60" i="20"/>
  <c r="P60" i="20" s="1"/>
  <c r="S60" i="20" s="1"/>
  <c r="J60" i="17"/>
  <c r="S60" i="17" s="1"/>
  <c r="U60" i="17" s="1"/>
  <c r="I60" i="29"/>
  <c r="Q60" i="29" s="1"/>
  <c r="S60" i="29" s="1"/>
  <c r="G60" i="25"/>
  <c r="N60" i="25" s="1"/>
  <c r="Q60" i="25" s="1"/>
  <c r="E60" i="26"/>
  <c r="J60" i="26" s="1"/>
  <c r="K60" i="23"/>
  <c r="T60" i="23" s="1"/>
  <c r="U60" i="23" s="1"/>
  <c r="I60" i="18"/>
  <c r="P60" i="18" s="1"/>
  <c r="Q60" i="18" s="1"/>
  <c r="J60" i="28"/>
  <c r="S60" i="28" s="1"/>
  <c r="U60" i="28" s="1"/>
  <c r="H60" i="31"/>
  <c r="P60" i="31" s="1"/>
  <c r="S60" i="31" s="1"/>
  <c r="K60" i="34"/>
  <c r="T60" i="34" s="1"/>
  <c r="U60" i="34" s="1"/>
  <c r="I60" i="30"/>
  <c r="P60" i="30" s="1"/>
  <c r="Q60" i="30" s="1"/>
  <c r="E57" i="37"/>
  <c r="J57" i="37" s="1"/>
  <c r="I57" i="29"/>
  <c r="Q57" i="29" s="1"/>
  <c r="S57" i="29" s="1"/>
  <c r="H57" i="20"/>
  <c r="P57" i="20" s="1"/>
  <c r="S57" i="20" s="1"/>
  <c r="J57" i="17"/>
  <c r="S57" i="17" s="1"/>
  <c r="U57" i="17" s="1"/>
  <c r="I57" i="19"/>
  <c r="Q57" i="19" s="1"/>
  <c r="S57" i="19" s="1"/>
  <c r="J57" i="28"/>
  <c r="S57" i="28" s="1"/>
  <c r="U57" i="28" s="1"/>
  <c r="E57" i="26"/>
  <c r="J57" i="26" s="1"/>
  <c r="G57" i="25"/>
  <c r="N57" i="25" s="1"/>
  <c r="Q57" i="25" s="1"/>
  <c r="G57" i="35"/>
  <c r="O57" i="35" s="1"/>
  <c r="S57" i="35" s="1"/>
  <c r="I57" i="18"/>
  <c r="P57" i="18" s="1"/>
  <c r="Q57" i="18" s="1"/>
  <c r="G57" i="36"/>
  <c r="N57" i="36" s="1"/>
  <c r="Q57" i="36" s="1"/>
  <c r="K57" i="34"/>
  <c r="T57" i="34" s="1"/>
  <c r="U57" i="34" s="1"/>
  <c r="H57" i="31"/>
  <c r="P57" i="31" s="1"/>
  <c r="S57" i="31" s="1"/>
  <c r="K57" i="23"/>
  <c r="T57" i="23" s="1"/>
  <c r="U57" i="23" s="1"/>
  <c r="I57" i="30"/>
  <c r="P57" i="30" s="1"/>
  <c r="Q57" i="30" s="1"/>
  <c r="G57" i="24"/>
  <c r="O57" i="24" s="1"/>
  <c r="S57" i="24" s="1"/>
  <c r="E86" i="26"/>
  <c r="J86" i="26" s="1"/>
  <c r="H86" i="31"/>
  <c r="K86" i="23"/>
  <c r="T86" i="23" s="1"/>
  <c r="U86" i="23" s="1"/>
  <c r="I86" i="18"/>
  <c r="P86" i="18" s="1"/>
  <c r="Q86" i="18" s="1"/>
  <c r="J86" i="28"/>
  <c r="G86" i="25"/>
  <c r="N86" i="25" s="1"/>
  <c r="Q86" i="25" s="1"/>
  <c r="I86" i="19"/>
  <c r="Q86" i="19" s="1"/>
  <c r="S86" i="19" s="1"/>
  <c r="K86" i="34"/>
  <c r="G86" i="35"/>
  <c r="G86" i="36"/>
  <c r="E86" i="37"/>
  <c r="H86" i="20"/>
  <c r="P86" i="20" s="1"/>
  <c r="S86" i="20" s="1"/>
  <c r="J86" i="17"/>
  <c r="S86" i="17" s="1"/>
  <c r="U86" i="17" s="1"/>
  <c r="I86" i="29"/>
  <c r="I86" i="30"/>
  <c r="G86" i="24"/>
  <c r="O86" i="24" s="1"/>
  <c r="S86" i="24" s="1"/>
  <c r="H56" i="31"/>
  <c r="P56" i="31" s="1"/>
  <c r="S56" i="31" s="1"/>
  <c r="K56" i="34"/>
  <c r="T56" i="34" s="1"/>
  <c r="U56" i="34" s="1"/>
  <c r="I56" i="30"/>
  <c r="P56" i="30" s="1"/>
  <c r="Q56" i="30" s="1"/>
  <c r="E56" i="26"/>
  <c r="J56" i="26" s="1"/>
  <c r="K56" i="23"/>
  <c r="T56" i="23" s="1"/>
  <c r="U56" i="23" s="1"/>
  <c r="E56" i="37"/>
  <c r="J56" i="37" s="1"/>
  <c r="G56" i="24"/>
  <c r="O56" i="24" s="1"/>
  <c r="S56" i="24" s="1"/>
  <c r="I56" i="29"/>
  <c r="Q56" i="29" s="1"/>
  <c r="S56" i="29" s="1"/>
  <c r="I56" i="19"/>
  <c r="Q56" i="19" s="1"/>
  <c r="S56" i="19" s="1"/>
  <c r="G56" i="25"/>
  <c r="N56" i="25" s="1"/>
  <c r="Q56" i="25" s="1"/>
  <c r="I56" i="18"/>
  <c r="P56" i="18" s="1"/>
  <c r="Q56" i="18" s="1"/>
  <c r="G56" i="35"/>
  <c r="O56" i="35" s="1"/>
  <c r="S56" i="35" s="1"/>
  <c r="J56" i="28"/>
  <c r="S56" i="28" s="1"/>
  <c r="U56" i="28" s="1"/>
  <c r="G56" i="36"/>
  <c r="N56" i="36" s="1"/>
  <c r="Q56" i="36" s="1"/>
  <c r="H56" i="20"/>
  <c r="P56" i="20" s="1"/>
  <c r="S56" i="20" s="1"/>
  <c r="J56" i="17"/>
  <c r="S56" i="17" s="1"/>
  <c r="U56" i="17" s="1"/>
  <c r="G61" i="25"/>
  <c r="N61" i="25" s="1"/>
  <c r="Q61" i="25" s="1"/>
  <c r="K61" i="23"/>
  <c r="T61" i="23" s="1"/>
  <c r="U61" i="23" s="1"/>
  <c r="J61" i="28"/>
  <c r="S61" i="28" s="1"/>
  <c r="U61" i="28" s="1"/>
  <c r="H61" i="20"/>
  <c r="P61" i="20" s="1"/>
  <c r="S61" i="20" s="1"/>
  <c r="J61" i="17"/>
  <c r="S61" i="17" s="1"/>
  <c r="U61" i="17" s="1"/>
  <c r="K61" i="34"/>
  <c r="T61" i="34" s="1"/>
  <c r="U61" i="34" s="1"/>
  <c r="I61" i="18"/>
  <c r="P61" i="18" s="1"/>
  <c r="Q61" i="18" s="1"/>
  <c r="H61" i="31"/>
  <c r="P61" i="31" s="1"/>
  <c r="S61" i="31" s="1"/>
  <c r="I61" i="30"/>
  <c r="P61" i="30" s="1"/>
  <c r="Q61" i="30" s="1"/>
  <c r="E61" i="26"/>
  <c r="J61" i="26" s="1"/>
  <c r="I61" i="19"/>
  <c r="Q61" i="19" s="1"/>
  <c r="S61" i="19" s="1"/>
  <c r="G61" i="36"/>
  <c r="N61" i="36" s="1"/>
  <c r="Q61" i="36" s="1"/>
  <c r="G61" i="35"/>
  <c r="O61" i="35" s="1"/>
  <c r="S61" i="35" s="1"/>
  <c r="G61" i="24"/>
  <c r="O61" i="24" s="1"/>
  <c r="S61" i="24" s="1"/>
  <c r="I61" i="29"/>
  <c r="Q61" i="29" s="1"/>
  <c r="S61" i="29" s="1"/>
  <c r="E61" i="37"/>
  <c r="J61" i="37" s="1"/>
  <c r="P64" i="31"/>
  <c r="S64" i="31" s="1"/>
  <c r="S62" i="28"/>
  <c r="U62" i="28" s="1"/>
  <c r="S73" i="28"/>
  <c r="U73" i="28" s="1"/>
  <c r="H59" i="31"/>
  <c r="P59" i="31" s="1"/>
  <c r="S59" i="31" s="1"/>
  <c r="I59" i="30"/>
  <c r="P59" i="30" s="1"/>
  <c r="Q59" i="30" s="1"/>
  <c r="J59" i="28"/>
  <c r="S59" i="28" s="1"/>
  <c r="U59" i="28" s="1"/>
  <c r="H59" i="20"/>
  <c r="P59" i="20" s="1"/>
  <c r="S59" i="20" s="1"/>
  <c r="J59" i="17"/>
  <c r="S59" i="17" s="1"/>
  <c r="U59" i="17" s="1"/>
  <c r="G59" i="24"/>
  <c r="O59" i="24" s="1"/>
  <c r="S59" i="24" s="1"/>
  <c r="E59" i="26"/>
  <c r="J59" i="26" s="1"/>
  <c r="I59" i="19"/>
  <c r="Q59" i="19" s="1"/>
  <c r="S59" i="19" s="1"/>
  <c r="G59" i="35"/>
  <c r="O59" i="35" s="1"/>
  <c r="S59" i="35" s="1"/>
  <c r="K59" i="34"/>
  <c r="T59" i="34" s="1"/>
  <c r="U59" i="34" s="1"/>
  <c r="E59" i="37"/>
  <c r="J59" i="37" s="1"/>
  <c r="G59" i="36"/>
  <c r="N59" i="36" s="1"/>
  <c r="Q59" i="36" s="1"/>
  <c r="G59" i="25"/>
  <c r="N59" i="25" s="1"/>
  <c r="Q59" i="25" s="1"/>
  <c r="I59" i="29"/>
  <c r="Q59" i="29" s="1"/>
  <c r="S59" i="29" s="1"/>
  <c r="I59" i="18"/>
  <c r="P59" i="18" s="1"/>
  <c r="Q59" i="18" s="1"/>
  <c r="K59" i="23"/>
  <c r="T59" i="23" s="1"/>
  <c r="U59" i="23" s="1"/>
  <c r="K23" i="41"/>
  <c r="S64" i="28"/>
  <c r="U64" i="28" s="1"/>
  <c r="G95" i="36"/>
  <c r="H95" i="31"/>
  <c r="I95" i="29"/>
  <c r="J95" i="28"/>
  <c r="G95" i="24"/>
  <c r="O95" i="24" s="1"/>
  <c r="S95" i="24" s="1"/>
  <c r="K95" i="34"/>
  <c r="K95" i="23"/>
  <c r="T95" i="23" s="1"/>
  <c r="U95" i="23" s="1"/>
  <c r="E95" i="37"/>
  <c r="H95" i="20"/>
  <c r="P95" i="20" s="1"/>
  <c r="S95" i="20" s="1"/>
  <c r="J95" i="17"/>
  <c r="S95" i="17" s="1"/>
  <c r="U95" i="17" s="1"/>
  <c r="G95" i="25"/>
  <c r="N95" i="25" s="1"/>
  <c r="Q95" i="25" s="1"/>
  <c r="E95" i="26"/>
  <c r="J95" i="26" s="1"/>
  <c r="G95" i="35"/>
  <c r="I95" i="18"/>
  <c r="P95" i="18" s="1"/>
  <c r="Q95" i="18" s="1"/>
  <c r="I95" i="30"/>
  <c r="I95" i="19"/>
  <c r="Q95" i="19" s="1"/>
  <c r="S95" i="19" s="1"/>
  <c r="S63" i="28"/>
  <c r="U63" i="28" s="1"/>
  <c r="S66" i="28"/>
  <c r="U66" i="28" s="1"/>
  <c r="S69" i="28"/>
  <c r="U69" i="28" s="1"/>
  <c r="S68" i="28"/>
  <c r="U68" i="28" s="1"/>
  <c r="G135" i="36"/>
  <c r="N63" i="36"/>
  <c r="Q63" i="36" s="1"/>
  <c r="E87" i="26"/>
  <c r="J87" i="26" s="1"/>
  <c r="G87" i="36"/>
  <c r="I87" i="29"/>
  <c r="E87" i="37"/>
  <c r="I87" i="30"/>
  <c r="G87" i="24"/>
  <c r="O87" i="24" s="1"/>
  <c r="S87" i="24" s="1"/>
  <c r="J87" i="28"/>
  <c r="K87" i="23"/>
  <c r="T87" i="23" s="1"/>
  <c r="U87" i="23" s="1"/>
  <c r="K87" i="34"/>
  <c r="H87" i="31"/>
  <c r="H87" i="20"/>
  <c r="P87" i="20" s="1"/>
  <c r="S87" i="20" s="1"/>
  <c r="J87" i="17"/>
  <c r="S87" i="17" s="1"/>
  <c r="U87" i="17" s="1"/>
  <c r="I87" i="18"/>
  <c r="P87" i="18" s="1"/>
  <c r="Q87" i="18" s="1"/>
  <c r="G87" i="35"/>
  <c r="G87" i="25"/>
  <c r="N87" i="25" s="1"/>
  <c r="Q87" i="25" s="1"/>
  <c r="I87" i="19"/>
  <c r="Q87" i="19" s="1"/>
  <c r="S87" i="19" s="1"/>
  <c r="S71" i="28"/>
  <c r="U71" i="28" s="1"/>
  <c r="G90" i="25"/>
  <c r="N90" i="25" s="1"/>
  <c r="Q90" i="25" s="1"/>
  <c r="H90" i="20"/>
  <c r="P90" i="20" s="1"/>
  <c r="S90" i="20" s="1"/>
  <c r="J90" i="17"/>
  <c r="S90" i="17" s="1"/>
  <c r="U90" i="17" s="1"/>
  <c r="J90" i="28"/>
  <c r="I90" i="18"/>
  <c r="P90" i="18" s="1"/>
  <c r="Q90" i="18" s="1"/>
  <c r="E90" i="26"/>
  <c r="J90" i="26" s="1"/>
  <c r="K90" i="23"/>
  <c r="T90" i="23" s="1"/>
  <c r="U90" i="23" s="1"/>
  <c r="I90" i="30"/>
  <c r="E90" i="37"/>
  <c r="G90" i="24"/>
  <c r="O90" i="24" s="1"/>
  <c r="S90" i="24" s="1"/>
  <c r="G90" i="35"/>
  <c r="I90" i="29"/>
  <c r="I90" i="19"/>
  <c r="Q90" i="19" s="1"/>
  <c r="S90" i="19" s="1"/>
  <c r="H90" i="31"/>
  <c r="G90" i="36"/>
  <c r="K90" i="34"/>
  <c r="G55" i="35"/>
  <c r="O55" i="35" s="1"/>
  <c r="S55" i="35" s="1"/>
  <c r="E55" i="26"/>
  <c r="J55" i="26" s="1"/>
  <c r="J55" i="28"/>
  <c r="S55" i="28" s="1"/>
  <c r="U55" i="28" s="1"/>
  <c r="G55" i="36"/>
  <c r="N55" i="36" s="1"/>
  <c r="Q55" i="36" s="1"/>
  <c r="H55" i="31"/>
  <c r="P55" i="31" s="1"/>
  <c r="S55" i="31" s="1"/>
  <c r="E55" i="37"/>
  <c r="J55" i="37" s="1"/>
  <c r="I55" i="30"/>
  <c r="P55" i="30" s="1"/>
  <c r="Q55" i="30" s="1"/>
  <c r="G55" i="24"/>
  <c r="O55" i="24" s="1"/>
  <c r="S55" i="24" s="1"/>
  <c r="K55" i="34"/>
  <c r="T55" i="34" s="1"/>
  <c r="U55" i="34" s="1"/>
  <c r="K55" i="23"/>
  <c r="T55" i="23" s="1"/>
  <c r="U55" i="23" s="1"/>
  <c r="I55" i="18"/>
  <c r="P55" i="18" s="1"/>
  <c r="Q55" i="18" s="1"/>
  <c r="I55" i="29"/>
  <c r="Q55" i="29" s="1"/>
  <c r="S55" i="29" s="1"/>
  <c r="G55" i="25"/>
  <c r="N55" i="25" s="1"/>
  <c r="Q55" i="25" s="1"/>
  <c r="H55" i="20"/>
  <c r="P55" i="20" s="1"/>
  <c r="S55" i="20" s="1"/>
  <c r="I55" i="19"/>
  <c r="Q55" i="19" s="1"/>
  <c r="S55" i="19" s="1"/>
  <c r="J55" i="17"/>
  <c r="S55" i="17" s="1"/>
  <c r="U55" i="17" s="1"/>
  <c r="E53" i="37"/>
  <c r="J53" i="37" s="1"/>
  <c r="E53" i="26"/>
  <c r="J53" i="26" s="1"/>
  <c r="G53" i="36"/>
  <c r="N53" i="36" s="1"/>
  <c r="Q53" i="36" s="1"/>
  <c r="I53" i="29"/>
  <c r="Q53" i="29" s="1"/>
  <c r="S53" i="29" s="1"/>
  <c r="I53" i="30"/>
  <c r="P53" i="30" s="1"/>
  <c r="Q53" i="30" s="1"/>
  <c r="G53" i="24"/>
  <c r="O53" i="24" s="1"/>
  <c r="S53" i="24" s="1"/>
  <c r="J53" i="28"/>
  <c r="S53" i="28" s="1"/>
  <c r="U53" i="28" s="1"/>
  <c r="I53" i="18"/>
  <c r="P53" i="18" s="1"/>
  <c r="Q53" i="18" s="1"/>
  <c r="G53" i="25"/>
  <c r="N53" i="25" s="1"/>
  <c r="Q53" i="25" s="1"/>
  <c r="K53" i="23"/>
  <c r="T53" i="23" s="1"/>
  <c r="U53" i="23" s="1"/>
  <c r="I53" i="19"/>
  <c r="Q53" i="19" s="1"/>
  <c r="S53" i="19" s="1"/>
  <c r="K53" i="34"/>
  <c r="T53" i="34" s="1"/>
  <c r="U53" i="34" s="1"/>
  <c r="H53" i="20"/>
  <c r="P53" i="20" s="1"/>
  <c r="S53" i="20" s="1"/>
  <c r="J53" i="17"/>
  <c r="S53" i="17" s="1"/>
  <c r="U53" i="17" s="1"/>
  <c r="G53" i="35"/>
  <c r="O53" i="35" s="1"/>
  <c r="S53" i="35" s="1"/>
  <c r="H53" i="31"/>
  <c r="P53" i="31" s="1"/>
  <c r="S53" i="31" s="1"/>
  <c r="S70" i="28"/>
  <c r="U70" i="28" s="1"/>
  <c r="E88" i="37"/>
  <c r="I88" i="30"/>
  <c r="E88" i="26"/>
  <c r="J88" i="26" s="1"/>
  <c r="J88" i="28"/>
  <c r="K88" i="23"/>
  <c r="T88" i="23" s="1"/>
  <c r="U88" i="23" s="1"/>
  <c r="K88" i="34"/>
  <c r="G88" i="24"/>
  <c r="O88" i="24" s="1"/>
  <c r="S88" i="24" s="1"/>
  <c r="H88" i="31"/>
  <c r="G88" i="35"/>
  <c r="I88" i="19"/>
  <c r="Q88" i="19" s="1"/>
  <c r="S88" i="19" s="1"/>
  <c r="G88" i="25"/>
  <c r="N88" i="25" s="1"/>
  <c r="Q88" i="25" s="1"/>
  <c r="I88" i="18"/>
  <c r="P88" i="18" s="1"/>
  <c r="Q88" i="18" s="1"/>
  <c r="G88" i="36"/>
  <c r="I88" i="29"/>
  <c r="H88" i="20"/>
  <c r="P88" i="20" s="1"/>
  <c r="S88" i="20" s="1"/>
  <c r="J88" i="17"/>
  <c r="S88" i="17" s="1"/>
  <c r="U88" i="17" s="1"/>
  <c r="I52" i="19"/>
  <c r="Q52" i="19" s="1"/>
  <c r="S52" i="19" s="1"/>
  <c r="E52" i="37"/>
  <c r="J52" i="37" s="1"/>
  <c r="H52" i="31"/>
  <c r="P52" i="31" s="1"/>
  <c r="S52" i="31" s="1"/>
  <c r="G52" i="35"/>
  <c r="O52" i="35" s="1"/>
  <c r="S52" i="35" s="1"/>
  <c r="K52" i="34"/>
  <c r="T52" i="34" s="1"/>
  <c r="U52" i="34" s="1"/>
  <c r="G52" i="36"/>
  <c r="N52" i="36" s="1"/>
  <c r="Q52" i="36" s="1"/>
  <c r="I52" i="30"/>
  <c r="P52" i="30" s="1"/>
  <c r="Q52" i="30" s="1"/>
  <c r="G52" i="24"/>
  <c r="O52" i="24" s="1"/>
  <c r="S52" i="24" s="1"/>
  <c r="I52" i="29"/>
  <c r="Q52" i="29" s="1"/>
  <c r="S52" i="29" s="1"/>
  <c r="I52" i="18"/>
  <c r="P52" i="18" s="1"/>
  <c r="Q52" i="18" s="1"/>
  <c r="H52" i="20"/>
  <c r="P52" i="20" s="1"/>
  <c r="S52" i="20" s="1"/>
  <c r="J52" i="17"/>
  <c r="S52" i="17" s="1"/>
  <c r="U52" i="17" s="1"/>
  <c r="J52" i="28"/>
  <c r="S52" i="28" s="1"/>
  <c r="U52" i="28" s="1"/>
  <c r="G52" i="25"/>
  <c r="N52" i="25" s="1"/>
  <c r="Q52" i="25" s="1"/>
  <c r="E52" i="26"/>
  <c r="J52" i="26" s="1"/>
  <c r="K52" i="23"/>
  <c r="T52" i="23" s="1"/>
  <c r="U52" i="23" s="1"/>
  <c r="H91" i="20"/>
  <c r="P91" i="20" s="1"/>
  <c r="S91" i="20" s="1"/>
  <c r="J91" i="17"/>
  <c r="S91" i="17" s="1"/>
  <c r="U91" i="17" s="1"/>
  <c r="I91" i="30"/>
  <c r="I91" i="29"/>
  <c r="E91" i="37"/>
  <c r="G91" i="35"/>
  <c r="E91" i="26"/>
  <c r="J91" i="26" s="1"/>
  <c r="G91" i="24"/>
  <c r="O91" i="24" s="1"/>
  <c r="S91" i="24" s="1"/>
  <c r="K91" i="34"/>
  <c r="J91" i="28"/>
  <c r="I91" i="19"/>
  <c r="Q91" i="19" s="1"/>
  <c r="S91" i="19" s="1"/>
  <c r="H91" i="31"/>
  <c r="G91" i="36"/>
  <c r="G91" i="25"/>
  <c r="N91" i="25" s="1"/>
  <c r="Q91" i="25" s="1"/>
  <c r="I91" i="18"/>
  <c r="P91" i="18" s="1"/>
  <c r="Q91" i="18" s="1"/>
  <c r="K91" i="23"/>
  <c r="T91" i="23" s="1"/>
  <c r="U91" i="23" s="1"/>
  <c r="G58" i="36"/>
  <c r="N58" i="36" s="1"/>
  <c r="Q58" i="36" s="1"/>
  <c r="H58" i="20"/>
  <c r="P58" i="20" s="1"/>
  <c r="S58" i="20" s="1"/>
  <c r="I58" i="18"/>
  <c r="P58" i="18" s="1"/>
  <c r="Q58" i="18" s="1"/>
  <c r="J58" i="17"/>
  <c r="S58" i="17" s="1"/>
  <c r="U58" i="17" s="1"/>
  <c r="E58" i="26"/>
  <c r="J58" i="26" s="1"/>
  <c r="K58" i="23"/>
  <c r="T58" i="23" s="1"/>
  <c r="U58" i="23" s="1"/>
  <c r="H58" i="31"/>
  <c r="P58" i="31" s="1"/>
  <c r="S58" i="31" s="1"/>
  <c r="I58" i="29"/>
  <c r="Q58" i="29" s="1"/>
  <c r="S58" i="29" s="1"/>
  <c r="I58" i="30"/>
  <c r="P58" i="30" s="1"/>
  <c r="Q58" i="30" s="1"/>
  <c r="G58" i="24"/>
  <c r="O58" i="24" s="1"/>
  <c r="S58" i="24" s="1"/>
  <c r="J58" i="28"/>
  <c r="S58" i="28" s="1"/>
  <c r="U58" i="28" s="1"/>
  <c r="E58" i="37"/>
  <c r="J58" i="37" s="1"/>
  <c r="I58" i="19"/>
  <c r="Q58" i="19" s="1"/>
  <c r="S58" i="19" s="1"/>
  <c r="G58" i="35"/>
  <c r="O58" i="35" s="1"/>
  <c r="S58" i="35" s="1"/>
  <c r="K58" i="34"/>
  <c r="T58" i="34" s="1"/>
  <c r="U58" i="34" s="1"/>
  <c r="G58" i="25"/>
  <c r="N58" i="25" s="1"/>
  <c r="Q58" i="25" s="1"/>
  <c r="G94" i="35"/>
  <c r="I94" i="18"/>
  <c r="P94" i="18" s="1"/>
  <c r="Q94" i="18" s="1"/>
  <c r="I94" i="30"/>
  <c r="H94" i="20"/>
  <c r="P94" i="20" s="1"/>
  <c r="S94" i="20" s="1"/>
  <c r="J94" i="17"/>
  <c r="S94" i="17" s="1"/>
  <c r="U94" i="17" s="1"/>
  <c r="I94" i="19"/>
  <c r="Q94" i="19" s="1"/>
  <c r="S94" i="19" s="1"/>
  <c r="G94" i="36"/>
  <c r="G94" i="24"/>
  <c r="O94" i="24" s="1"/>
  <c r="S94" i="24" s="1"/>
  <c r="E94" i="37"/>
  <c r="H94" i="31"/>
  <c r="E94" i="26"/>
  <c r="J94" i="26" s="1"/>
  <c r="K94" i="23"/>
  <c r="T94" i="23" s="1"/>
  <c r="U94" i="23" s="1"/>
  <c r="I94" i="29"/>
  <c r="J94" i="28"/>
  <c r="K94" i="34"/>
  <c r="G94" i="25"/>
  <c r="N94" i="25" s="1"/>
  <c r="Q94" i="25" s="1"/>
  <c r="S65" i="28"/>
  <c r="U65" i="28" s="1"/>
  <c r="I50" i="18"/>
  <c r="P50" i="18" s="1"/>
  <c r="Q50" i="18" s="1"/>
  <c r="G50" i="24"/>
  <c r="O50" i="24" s="1"/>
  <c r="S50" i="24" s="1"/>
  <c r="G50" i="35"/>
  <c r="O50" i="35" s="1"/>
  <c r="S50" i="35" s="1"/>
  <c r="I50" i="30"/>
  <c r="P50" i="30" s="1"/>
  <c r="Q50" i="30" s="1"/>
  <c r="G50" i="36"/>
  <c r="N50" i="36" s="1"/>
  <c r="Q50" i="36" s="1"/>
  <c r="G50" i="25"/>
  <c r="N50" i="25" s="1"/>
  <c r="Q50" i="25" s="1"/>
  <c r="K50" i="34"/>
  <c r="T50" i="34" s="1"/>
  <c r="U50" i="34" s="1"/>
  <c r="I50" i="29"/>
  <c r="Q50" i="29" s="1"/>
  <c r="S50" i="29" s="1"/>
  <c r="H50" i="20"/>
  <c r="P50" i="20" s="1"/>
  <c r="S50" i="20" s="1"/>
  <c r="J50" i="17"/>
  <c r="S50" i="17" s="1"/>
  <c r="U50" i="17" s="1"/>
  <c r="I50" i="19"/>
  <c r="Q50" i="19" s="1"/>
  <c r="S50" i="19" s="1"/>
  <c r="E50" i="37"/>
  <c r="J50" i="37" s="1"/>
  <c r="E50" i="26"/>
  <c r="J50" i="26" s="1"/>
  <c r="K50" i="23"/>
  <c r="T50" i="23" s="1"/>
  <c r="U50" i="23" s="1"/>
  <c r="J50" i="28"/>
  <c r="S50" i="28" s="1"/>
  <c r="U50" i="28" s="1"/>
  <c r="H50" i="31"/>
  <c r="P50" i="31" s="1"/>
  <c r="S50" i="31" s="1"/>
  <c r="AB34" i="14"/>
  <c r="E132" i="44"/>
  <c r="I132" i="44"/>
  <c r="D132" i="44"/>
  <c r="F132" i="44"/>
  <c r="H132" i="44"/>
  <c r="C132" i="44"/>
  <c r="G14" i="44"/>
  <c r="AJ9" i="40"/>
  <c r="AJ37" i="40"/>
  <c r="BV34" i="14"/>
  <c r="GD99" i="2"/>
  <c r="AS9" i="40"/>
  <c r="AS37" i="40"/>
  <c r="BB35" i="14"/>
  <c r="BA38" i="40"/>
  <c r="BP9" i="40"/>
  <c r="AC9" i="40"/>
  <c r="AC37" i="40"/>
  <c r="F99" i="26"/>
  <c r="K99" i="26" s="1"/>
  <c r="BH34" i="14"/>
  <c r="F99" i="37"/>
  <c r="K99" i="37" s="1"/>
  <c r="GA99" i="2"/>
  <c r="BN35" i="14"/>
  <c r="GB100" i="2"/>
  <c r="V34" i="14"/>
  <c r="AT35" i="14"/>
  <c r="E9" i="40"/>
  <c r="U35" i="14"/>
  <c r="BI9" i="40"/>
  <c r="K35" i="14"/>
  <c r="C34" i="14"/>
  <c r="AO35" i="14"/>
  <c r="FW100" i="2"/>
  <c r="AA35" i="14"/>
  <c r="AB35" i="14" s="1"/>
  <c r="U9" i="40"/>
  <c r="BR35" i="14"/>
  <c r="GC100" i="2"/>
  <c r="AK35" i="14"/>
  <c r="FV100" i="2"/>
  <c r="AY34" i="14"/>
  <c r="AX35" i="14"/>
  <c r="AC38" i="40"/>
  <c r="BA9" i="40"/>
  <c r="BA37" i="40"/>
  <c r="AG34" i="14"/>
  <c r="FU99" i="2"/>
  <c r="P34" i="14"/>
  <c r="O35" i="14"/>
  <c r="J68" i="44"/>
  <c r="J17" i="44"/>
  <c r="AB5" i="39"/>
  <c r="AD5" i="39" s="1"/>
  <c r="E61" i="41"/>
  <c r="G61" i="41"/>
  <c r="H61" i="41"/>
  <c r="F61" i="41"/>
  <c r="J61" i="41"/>
  <c r="D61" i="41"/>
  <c r="I61" i="41"/>
  <c r="C61" i="41"/>
  <c r="CZ5" i="39"/>
  <c r="DB5" i="39" s="1"/>
  <c r="CP5" i="39"/>
  <c r="CR5" i="39" s="1"/>
  <c r="AL5" i="39"/>
  <c r="AN5" i="39" s="1"/>
  <c r="M7" i="40"/>
  <c r="O4" i="7"/>
  <c r="FY3" i="2"/>
  <c r="AD8" i="40"/>
  <c r="M8" i="40"/>
  <c r="H175" i="51"/>
  <c r="Z94" i="51"/>
  <c r="Y94" i="51"/>
  <c r="G175" i="51"/>
  <c r="F175" i="51"/>
  <c r="X94" i="51"/>
  <c r="H80" i="51"/>
  <c r="I80" i="51"/>
  <c r="J80" i="51"/>
  <c r="K80" i="51"/>
  <c r="N80" i="51"/>
  <c r="O80" i="51"/>
  <c r="P80" i="51"/>
  <c r="Q80" i="51"/>
  <c r="R80" i="51"/>
  <c r="S80" i="51"/>
  <c r="T80" i="51"/>
  <c r="H176" i="51"/>
  <c r="Z95" i="51"/>
  <c r="G176" i="51"/>
  <c r="Y95" i="51"/>
  <c r="X95" i="51"/>
  <c r="F176" i="51"/>
  <c r="I176" i="51" s="1"/>
  <c r="F81" i="51"/>
  <c r="H81" i="51"/>
  <c r="G81" i="51"/>
  <c r="I81" i="51"/>
  <c r="J81" i="51"/>
  <c r="K81" i="51"/>
  <c r="L81" i="51"/>
  <c r="M81" i="51"/>
  <c r="N81" i="51"/>
  <c r="O81" i="51"/>
  <c r="P81" i="51"/>
  <c r="Q81" i="51"/>
  <c r="R81" i="51"/>
  <c r="S81" i="51"/>
  <c r="T81" i="51"/>
  <c r="E120" i="44"/>
  <c r="I118" i="44"/>
  <c r="F120" i="44"/>
  <c r="G120" i="44"/>
  <c r="C120" i="44"/>
  <c r="J120" i="44"/>
  <c r="I120" i="44"/>
  <c r="H120" i="44"/>
  <c r="D120" i="44"/>
  <c r="F65" i="44"/>
  <c r="G13" i="44"/>
  <c r="G65" i="44"/>
  <c r="C65" i="44"/>
  <c r="D13" i="44"/>
  <c r="J65" i="44"/>
  <c r="F13" i="44"/>
  <c r="I65" i="44"/>
  <c r="D65" i="44"/>
  <c r="E65" i="44"/>
  <c r="C13" i="44"/>
  <c r="E13" i="44"/>
  <c r="H65" i="44"/>
  <c r="H13" i="44"/>
  <c r="C61" i="44"/>
  <c r="F11" i="44"/>
  <c r="F126" i="44" s="1"/>
  <c r="C66" i="44"/>
  <c r="C15" i="44"/>
  <c r="C130" i="44" s="1"/>
  <c r="E66" i="44"/>
  <c r="H11" i="44"/>
  <c r="H126" i="44" s="1"/>
  <c r="E67" i="44"/>
  <c r="J67" i="44"/>
  <c r="J16" i="44"/>
  <c r="I9" i="44"/>
  <c r="J61" i="44"/>
  <c r="H7" i="44"/>
  <c r="H59" i="44"/>
  <c r="J9" i="44"/>
  <c r="I60" i="44"/>
  <c r="J66" i="44"/>
  <c r="F59" i="44"/>
  <c r="F16" i="44"/>
  <c r="I11" i="44"/>
  <c r="I126" i="44" s="1"/>
  <c r="F67" i="44"/>
  <c r="E61" i="44"/>
  <c r="G11" i="44"/>
  <c r="G126" i="44" s="1"/>
  <c r="C7" i="44"/>
  <c r="E8" i="44"/>
  <c r="E123" i="44" s="1"/>
  <c r="C8" i="44"/>
  <c r="C123" i="44" s="1"/>
  <c r="G7" i="44"/>
  <c r="G8" i="44"/>
  <c r="G123" i="44" s="1"/>
  <c r="C11" i="44"/>
  <c r="C126" i="44" s="1"/>
  <c r="D59" i="44"/>
  <c r="D9" i="44"/>
  <c r="C60" i="44"/>
  <c r="D6" i="44"/>
  <c r="E60" i="44"/>
  <c r="J14" i="44"/>
  <c r="G67" i="44"/>
  <c r="J59" i="44"/>
  <c r="G16" i="44"/>
  <c r="D67" i="44"/>
  <c r="J6" i="44"/>
  <c r="D11" i="44"/>
  <c r="D126" i="44" s="1"/>
  <c r="F9" i="44"/>
  <c r="J62" i="44"/>
  <c r="J11" i="44"/>
  <c r="H16" i="44"/>
  <c r="H131" i="44" s="1"/>
  <c r="J7" i="44"/>
  <c r="H6" i="44"/>
  <c r="D15" i="44"/>
  <c r="D130" i="44" s="1"/>
  <c r="D7" i="44"/>
  <c r="F66" i="44"/>
  <c r="I66" i="44"/>
  <c r="G61" i="44"/>
  <c r="C59" i="44"/>
  <c r="E7" i="44"/>
  <c r="C9" i="44"/>
  <c r="C6" i="44"/>
  <c r="I59" i="44"/>
  <c r="F15" i="44"/>
  <c r="F130" i="44" s="1"/>
  <c r="I6" i="44"/>
  <c r="H60" i="44"/>
  <c r="H66" i="44"/>
  <c r="D61" i="44"/>
  <c r="E9" i="44"/>
  <c r="G15" i="44"/>
  <c r="G130" i="44" s="1"/>
  <c r="I16" i="44"/>
  <c r="I131" i="44" s="1"/>
  <c r="I62" i="44"/>
  <c r="D66" i="44"/>
  <c r="F8" i="44"/>
  <c r="F123" i="44" s="1"/>
  <c r="G59" i="44"/>
  <c r="E11" i="44"/>
  <c r="E126" i="44" s="1"/>
  <c r="D8" i="44"/>
  <c r="D123" i="44" s="1"/>
  <c r="I61" i="44"/>
  <c r="G6" i="44"/>
  <c r="C67" i="44"/>
  <c r="D60" i="44"/>
  <c r="E16" i="44"/>
  <c r="F60" i="44"/>
  <c r="G60" i="44"/>
  <c r="F7" i="44"/>
  <c r="F6" i="44"/>
  <c r="G66" i="44"/>
  <c r="J60" i="44"/>
  <c r="D16" i="44"/>
  <c r="E59" i="44"/>
  <c r="C16" i="44"/>
  <c r="I7" i="44"/>
  <c r="H9" i="44"/>
  <c r="F61" i="44"/>
  <c r="E6" i="44"/>
  <c r="E15" i="44"/>
  <c r="E130" i="44" s="1"/>
  <c r="H61" i="44"/>
  <c r="FY38" i="2"/>
  <c r="FR39" i="2"/>
  <c r="FQ50" i="2"/>
  <c r="FQ2" i="2"/>
  <c r="FX3" i="2"/>
  <c r="FS50" i="2"/>
  <c r="FQ15" i="2"/>
  <c r="FS26" i="2"/>
  <c r="O5" i="7"/>
  <c r="FT50" i="2"/>
  <c r="FQ51" i="2"/>
  <c r="FT38" i="2"/>
  <c r="FS2" i="2"/>
  <c r="FQ14" i="2"/>
  <c r="FY39" i="2"/>
  <c r="FX26" i="2"/>
  <c r="FX39" i="2"/>
  <c r="FQ39" i="2"/>
  <c r="FR50" i="2"/>
  <c r="FT26" i="2"/>
  <c r="FY2" i="2"/>
  <c r="FS38" i="2"/>
  <c r="FX51" i="2"/>
  <c r="FY26" i="2"/>
  <c r="FX15" i="2"/>
  <c r="FY51" i="2"/>
  <c r="FR15" i="2"/>
  <c r="FY50" i="2"/>
  <c r="FQ3" i="2"/>
  <c r="FX14" i="2"/>
  <c r="M6" i="40"/>
  <c r="G9" i="44"/>
  <c r="P74" i="31"/>
  <c r="S74" i="31" s="1"/>
  <c r="Q74" i="29"/>
  <c r="S74" i="29" s="1"/>
  <c r="S74" i="28"/>
  <c r="U74" i="28" s="1"/>
  <c r="J122" i="28"/>
  <c r="P74" i="30"/>
  <c r="Q74" i="30" s="1"/>
  <c r="G110" i="35"/>
  <c r="O74" i="35"/>
  <c r="S74" i="35" s="1"/>
  <c r="J74" i="37"/>
  <c r="E110" i="37"/>
  <c r="T74" i="34"/>
  <c r="U74" i="34" s="1"/>
  <c r="G110" i="36"/>
  <c r="N74" i="36"/>
  <c r="Q74" i="36" s="1"/>
  <c r="FV3" i="2"/>
  <c r="H118" i="44"/>
  <c r="I13" i="44"/>
  <c r="F118" i="44"/>
  <c r="GB39" i="2"/>
  <c r="GA15" i="2"/>
  <c r="F87" i="37"/>
  <c r="K87" i="37" s="1"/>
  <c r="F87" i="26"/>
  <c r="K87" i="26" s="1"/>
  <c r="CD5" i="39"/>
  <c r="CE5" i="39" s="1"/>
  <c r="GD87" i="2"/>
  <c r="G118" i="44"/>
  <c r="F27" i="37"/>
  <c r="K27" i="37" s="1"/>
  <c r="F27" i="26"/>
  <c r="K27" i="26" s="1"/>
  <c r="BW5" i="39"/>
  <c r="BX5" i="39" s="1"/>
  <c r="FS3" i="2"/>
  <c r="F63" i="26"/>
  <c r="K63" i="26" s="1"/>
  <c r="M63" i="26" s="1"/>
  <c r="F63" i="37"/>
  <c r="K63" i="37" s="1"/>
  <c r="D118" i="44"/>
  <c r="F76" i="37"/>
  <c r="K76" i="37" s="1"/>
  <c r="F76" i="26"/>
  <c r="K76" i="26" s="1"/>
  <c r="F15" i="37"/>
  <c r="K15" i="37" s="1"/>
  <c r="F15" i="26"/>
  <c r="K15" i="26" s="1"/>
  <c r="AC12" i="40"/>
  <c r="FV27" i="2"/>
  <c r="AJ8" i="40"/>
  <c r="C118" i="44"/>
  <c r="F51" i="37"/>
  <c r="K51" i="37" s="1"/>
  <c r="F51" i="26"/>
  <c r="K51" i="26" s="1"/>
  <c r="J118" i="44"/>
  <c r="J23" i="41"/>
  <c r="F39" i="37"/>
  <c r="K39" i="37" s="1"/>
  <c r="M39" i="37" s="1"/>
  <c r="F39" i="26"/>
  <c r="K39" i="26" s="1"/>
  <c r="M39" i="26" s="1"/>
  <c r="FV2" i="2"/>
  <c r="BU6" i="39"/>
  <c r="C10" i="41" s="1"/>
  <c r="FT39" i="2"/>
  <c r="E118" i="44"/>
  <c r="F3" i="37"/>
  <c r="K3" i="37" s="1"/>
  <c r="F3" i="26"/>
  <c r="K3" i="26" s="1"/>
  <c r="AS12" i="40"/>
  <c r="I23" i="41"/>
  <c r="FY27" i="2"/>
  <c r="J13" i="44"/>
  <c r="D15" i="30"/>
  <c r="D22" i="34"/>
  <c r="AT10" i="39"/>
  <c r="D34" i="30"/>
  <c r="D48" i="34"/>
  <c r="FQ25" i="2"/>
  <c r="D25" i="30"/>
  <c r="D17" i="30"/>
  <c r="FR26" i="2"/>
  <c r="D26" i="31"/>
  <c r="AI8" i="39"/>
  <c r="D10" i="24"/>
  <c r="V10" i="24" s="1"/>
  <c r="D10" i="35"/>
  <c r="D19" i="31"/>
  <c r="D38" i="30"/>
  <c r="Y9" i="39"/>
  <c r="D33" i="24"/>
  <c r="D33" i="35"/>
  <c r="D14" i="35"/>
  <c r="D14" i="24"/>
  <c r="V14" i="24" s="1"/>
  <c r="CW7" i="39"/>
  <c r="D8" i="34"/>
  <c r="D5" i="30"/>
  <c r="D35" i="24"/>
  <c r="D35" i="35"/>
  <c r="FS25" i="2"/>
  <c r="D12" i="30"/>
  <c r="D9" i="34"/>
  <c r="D27" i="35"/>
  <c r="D27" i="24"/>
  <c r="FT49" i="2"/>
  <c r="FS49" i="2"/>
  <c r="D10" i="30"/>
  <c r="D55" i="34"/>
  <c r="D34" i="31"/>
  <c r="BE6" i="39"/>
  <c r="D28" i="31"/>
  <c r="D21" i="34"/>
  <c r="FS61" i="2"/>
  <c r="D24" i="34"/>
  <c r="D52" i="30"/>
  <c r="D44" i="31"/>
  <c r="D4" i="31"/>
  <c r="D32" i="24"/>
  <c r="D32" i="35"/>
  <c r="D18" i="30"/>
  <c r="D50" i="30"/>
  <c r="Y10" i="39"/>
  <c r="D14" i="30"/>
  <c r="Y7" i="39"/>
  <c r="D55" i="30"/>
  <c r="D48" i="24"/>
  <c r="D48" i="35"/>
  <c r="D41" i="34"/>
  <c r="D21" i="24"/>
  <c r="D21" i="35"/>
  <c r="D9" i="30"/>
  <c r="D8" i="31"/>
  <c r="D8" i="30"/>
  <c r="D30" i="30"/>
  <c r="D31" i="34"/>
  <c r="FT14" i="2"/>
  <c r="BE7" i="39"/>
  <c r="D27" i="31"/>
  <c r="FT51" i="2"/>
  <c r="FT13" i="2"/>
  <c r="D39" i="35"/>
  <c r="D39" i="24"/>
  <c r="D2" i="34"/>
  <c r="CM6" i="39"/>
  <c r="D34" i="24"/>
  <c r="D34" i="35"/>
  <c r="D54" i="30"/>
  <c r="D36" i="30"/>
  <c r="FR13" i="2"/>
  <c r="D13" i="31"/>
  <c r="D35" i="34"/>
  <c r="D16" i="30"/>
  <c r="D58" i="34"/>
  <c r="D12" i="31"/>
  <c r="D7" i="35"/>
  <c r="D7" i="24"/>
  <c r="D35" i="30"/>
  <c r="D7" i="30"/>
  <c r="FR49" i="2"/>
  <c r="D49" i="31"/>
  <c r="D46" i="31"/>
  <c r="FQ49" i="2"/>
  <c r="D49" i="30"/>
  <c r="BE5" i="39"/>
  <c r="FY61" i="2"/>
  <c r="D61" i="35"/>
  <c r="D61" i="24"/>
  <c r="FY37" i="2"/>
  <c r="D37" i="35"/>
  <c r="D37" i="24"/>
  <c r="D10" i="34"/>
  <c r="D33" i="31"/>
  <c r="D51" i="31"/>
  <c r="D40" i="31"/>
  <c r="D6" i="35"/>
  <c r="D6" i="24"/>
  <c r="V6" i="24" s="1"/>
  <c r="D43" i="31"/>
  <c r="D26" i="34"/>
  <c r="CM8" i="39"/>
  <c r="D7" i="34"/>
  <c r="D2" i="30"/>
  <c r="Y6" i="39"/>
  <c r="D35" i="31"/>
  <c r="FX49" i="2"/>
  <c r="D49" i="34"/>
  <c r="D42" i="35"/>
  <c r="D42" i="24"/>
  <c r="D52" i="35"/>
  <c r="D52" i="24"/>
  <c r="AI5" i="39"/>
  <c r="D15" i="35"/>
  <c r="D15" i="24"/>
  <c r="D50" i="34"/>
  <c r="CM10" i="39"/>
  <c r="D4" i="30"/>
  <c r="D14" i="31"/>
  <c r="AI7" i="39"/>
  <c r="D6" i="31"/>
  <c r="D54" i="31"/>
  <c r="D36" i="34"/>
  <c r="D17" i="34"/>
  <c r="D5" i="34"/>
  <c r="D54" i="35"/>
  <c r="D54" i="24"/>
  <c r="D39" i="30"/>
  <c r="D40" i="34"/>
  <c r="FT37" i="2"/>
  <c r="FS37" i="2"/>
  <c r="D57" i="31"/>
  <c r="D56" i="31"/>
  <c r="D60" i="24"/>
  <c r="D60" i="35"/>
  <c r="D56" i="30"/>
  <c r="D59" i="30"/>
  <c r="D46" i="35"/>
  <c r="D46" i="24"/>
  <c r="FY49" i="2"/>
  <c r="D49" i="24"/>
  <c r="D49" i="35"/>
  <c r="D42" i="31"/>
  <c r="FX27" i="2"/>
  <c r="D27" i="34"/>
  <c r="AT7" i="39"/>
  <c r="D6" i="30"/>
  <c r="D58" i="35"/>
  <c r="D58" i="24"/>
  <c r="D43" i="34"/>
  <c r="BE8" i="39"/>
  <c r="D2" i="35"/>
  <c r="D2" i="24"/>
  <c r="V2" i="24" s="1"/>
  <c r="CW6" i="39"/>
  <c r="FQ13" i="2"/>
  <c r="D13" i="30"/>
  <c r="D39" i="34"/>
  <c r="D16" i="34"/>
  <c r="D57" i="35"/>
  <c r="D57" i="24"/>
  <c r="D23" i="30"/>
  <c r="D57" i="34"/>
  <c r="D11" i="31"/>
  <c r="FX61" i="2"/>
  <c r="D61" i="34"/>
  <c r="D60" i="31"/>
  <c r="D30" i="35"/>
  <c r="D30" i="24"/>
  <c r="D44" i="30"/>
  <c r="D33" i="30"/>
  <c r="D5" i="31"/>
  <c r="D58" i="31"/>
  <c r="D55" i="24"/>
  <c r="D55" i="35"/>
  <c r="D16" i="24"/>
  <c r="D16" i="35"/>
  <c r="FR3" i="2"/>
  <c r="D3" i="31"/>
  <c r="D45" i="34"/>
  <c r="D19" i="34"/>
  <c r="FR37" i="2"/>
  <c r="D37" i="31"/>
  <c r="D57" i="30"/>
  <c r="AT9" i="39"/>
  <c r="D60" i="34"/>
  <c r="D51" i="34"/>
  <c r="D18" i="34"/>
  <c r="Y5" i="39"/>
  <c r="D20" i="30"/>
  <c r="D20" i="31"/>
  <c r="D28" i="34"/>
  <c r="D40" i="30"/>
  <c r="D31" i="31"/>
  <c r="FY25" i="2"/>
  <c r="D25" i="24"/>
  <c r="D25" i="35"/>
  <c r="D55" i="31"/>
  <c r="D26" i="35"/>
  <c r="D26" i="24"/>
  <c r="V26" i="24" s="1"/>
  <c r="CW8" i="39"/>
  <c r="D12" i="35"/>
  <c r="D12" i="24"/>
  <c r="D58" i="30"/>
  <c r="D45" i="31"/>
  <c r="D21" i="30"/>
  <c r="D3" i="34"/>
  <c r="D23" i="24"/>
  <c r="D23" i="35"/>
  <c r="D23" i="34"/>
  <c r="D59" i="35"/>
  <c r="D59" i="24"/>
  <c r="D32" i="31"/>
  <c r="D4" i="35"/>
  <c r="D4" i="24"/>
  <c r="D32" i="30"/>
  <c r="D31" i="35"/>
  <c r="D31" i="24"/>
  <c r="D8" i="24"/>
  <c r="D8" i="35"/>
  <c r="D59" i="34"/>
  <c r="D10" i="31"/>
  <c r="D27" i="30"/>
  <c r="D28" i="35"/>
  <c r="D28" i="24"/>
  <c r="D17" i="31"/>
  <c r="FX25" i="2"/>
  <c r="D25" i="34"/>
  <c r="D41" i="35"/>
  <c r="D41" i="24"/>
  <c r="FX13" i="2"/>
  <c r="D13" i="34"/>
  <c r="D28" i="30"/>
  <c r="D41" i="30"/>
  <c r="D36" i="24"/>
  <c r="D36" i="35"/>
  <c r="D30" i="34"/>
  <c r="D3" i="24"/>
  <c r="D3" i="35"/>
  <c r="D52" i="31"/>
  <c r="FQ37" i="2"/>
  <c r="D37" i="30"/>
  <c r="D20" i="34"/>
  <c r="D30" i="31"/>
  <c r="D56" i="34"/>
  <c r="FT2" i="2"/>
  <c r="BE10" i="39"/>
  <c r="D15" i="31"/>
  <c r="D50" i="24"/>
  <c r="D50" i="35"/>
  <c r="CW10" i="39"/>
  <c r="D6" i="34"/>
  <c r="D5" i="24"/>
  <c r="V5" i="24" s="1"/>
  <c r="D5" i="35"/>
  <c r="D29" i="31"/>
  <c r="D7" i="31"/>
  <c r="FR2" i="2"/>
  <c r="D2" i="31"/>
  <c r="AI6" i="39"/>
  <c r="D45" i="35"/>
  <c r="D45" i="24"/>
  <c r="D33" i="34"/>
  <c r="FX37" i="2"/>
  <c r="D37" i="34"/>
  <c r="D19" i="24"/>
  <c r="D19" i="35"/>
  <c r="D15" i="34"/>
  <c r="D22" i="35"/>
  <c r="D22" i="24"/>
  <c r="D47" i="30"/>
  <c r="D17" i="35"/>
  <c r="D17" i="24"/>
  <c r="D43" i="30"/>
  <c r="AT8" i="39"/>
  <c r="D38" i="35"/>
  <c r="D38" i="24"/>
  <c r="CW9" i="39"/>
  <c r="D52" i="34"/>
  <c r="D24" i="30"/>
  <c r="FR61" i="2"/>
  <c r="D61" i="31"/>
  <c r="D3" i="30"/>
  <c r="CM5" i="39"/>
  <c r="D14" i="34"/>
  <c r="CM7" i="39"/>
  <c r="D24" i="35"/>
  <c r="D24" i="24"/>
  <c r="D51" i="24"/>
  <c r="D51" i="35"/>
  <c r="D31" i="30"/>
  <c r="D60" i="30"/>
  <c r="D47" i="31"/>
  <c r="D44" i="34"/>
  <c r="D48" i="31"/>
  <c r="D43" i="35"/>
  <c r="D43" i="24"/>
  <c r="D40" i="24"/>
  <c r="D40" i="35"/>
  <c r="D47" i="35"/>
  <c r="D47" i="24"/>
  <c r="FR25" i="2"/>
  <c r="D25" i="31"/>
  <c r="D45" i="30"/>
  <c r="D29" i="34"/>
  <c r="D53" i="34"/>
  <c r="D24" i="31"/>
  <c r="D29" i="35"/>
  <c r="D29" i="24"/>
  <c r="D53" i="24"/>
  <c r="D53" i="35"/>
  <c r="D23" i="31"/>
  <c r="FR38" i="2"/>
  <c r="D38" i="31"/>
  <c r="AI9" i="39"/>
  <c r="D51" i="30"/>
  <c r="FQ61" i="2"/>
  <c r="D61" i="30"/>
  <c r="D32" i="34"/>
  <c r="D42" i="30"/>
  <c r="D18" i="24"/>
  <c r="D18" i="35"/>
  <c r="CW5" i="39"/>
  <c r="D34" i="34"/>
  <c r="D18" i="31"/>
  <c r="D22" i="30"/>
  <c r="D50" i="31"/>
  <c r="AI10" i="39"/>
  <c r="D12" i="34"/>
  <c r="D21" i="31"/>
  <c r="AT6" i="39"/>
  <c r="CM9" i="39"/>
  <c r="D53" i="31"/>
  <c r="D46" i="30"/>
  <c r="FT61" i="2"/>
  <c r="D11" i="34"/>
  <c r="BE9" i="39"/>
  <c r="D46" i="34"/>
  <c r="D56" i="35"/>
  <c r="D56" i="24"/>
  <c r="D11" i="30"/>
  <c r="D19" i="30"/>
  <c r="FT25" i="2"/>
  <c r="FT28" i="2"/>
  <c r="D39" i="31"/>
  <c r="D22" i="31"/>
  <c r="FQ26" i="2"/>
  <c r="D26" i="30"/>
  <c r="Y8" i="39"/>
  <c r="FX2" i="2"/>
  <c r="D54" i="34"/>
  <c r="D47" i="34"/>
  <c r="D16" i="31"/>
  <c r="D36" i="31"/>
  <c r="FY13" i="2"/>
  <c r="D13" i="35"/>
  <c r="D13" i="24"/>
  <c r="D9" i="31"/>
  <c r="D29" i="30"/>
  <c r="D41" i="31"/>
  <c r="D11" i="35"/>
  <c r="D11" i="24"/>
  <c r="V11" i="24" s="1"/>
  <c r="D9" i="35"/>
  <c r="D9" i="24"/>
  <c r="D53" i="30"/>
  <c r="D4" i="34"/>
  <c r="AT5" i="39"/>
  <c r="D20" i="24"/>
  <c r="D20" i="35"/>
  <c r="D44" i="35"/>
  <c r="D44" i="24"/>
  <c r="D42" i="34"/>
  <c r="N5" i="7"/>
  <c r="N6" i="7"/>
  <c r="N7" i="7"/>
  <c r="N4" i="7"/>
  <c r="W41" i="5"/>
  <c r="X41" i="5"/>
  <c r="Z89" i="7"/>
  <c r="BP27" i="40" l="1"/>
  <c r="BP25" i="40"/>
  <c r="BP24" i="40" s="1"/>
  <c r="BP23" i="40" s="1"/>
  <c r="BP22" i="40" s="1"/>
  <c r="BP21" i="40" s="1"/>
  <c r="BP20" i="40" s="1"/>
  <c r="BP19" i="40" s="1"/>
  <c r="BP18" i="40" s="1"/>
  <c r="W15" i="60"/>
  <c r="C129" i="44"/>
  <c r="E129" i="44"/>
  <c r="F129" i="44"/>
  <c r="H129" i="44"/>
  <c r="AS25" i="40"/>
  <c r="AS24" i="40" s="1"/>
  <c r="AS23" i="40" s="1"/>
  <c r="AS22" i="40" s="1"/>
  <c r="AS21" i="40" s="1"/>
  <c r="AS20" i="40" s="1"/>
  <c r="AS19" i="40" s="1"/>
  <c r="AS18" i="40" s="1"/>
  <c r="I129" i="44"/>
  <c r="E25" i="40"/>
  <c r="W14" i="60"/>
  <c r="S150" i="31"/>
  <c r="F185" i="33"/>
  <c r="L185" i="33" s="1"/>
  <c r="L173" i="33"/>
  <c r="O161" i="33"/>
  <c r="Q161" i="33" s="1"/>
  <c r="I163" i="31"/>
  <c r="Q151" i="31"/>
  <c r="I141" i="31"/>
  <c r="Q140" i="31"/>
  <c r="K150" i="32"/>
  <c r="M150" i="32" s="1"/>
  <c r="E174" i="32"/>
  <c r="I162" i="32"/>
  <c r="F141" i="33"/>
  <c r="L140" i="33"/>
  <c r="E163" i="32"/>
  <c r="I151" i="32"/>
  <c r="O139" i="33"/>
  <c r="Q139" i="33" s="1"/>
  <c r="K139" i="32"/>
  <c r="M139" i="32" s="1"/>
  <c r="L151" i="33"/>
  <c r="F163" i="33"/>
  <c r="E141" i="32"/>
  <c r="I140" i="32"/>
  <c r="I185" i="31"/>
  <c r="Q185" i="31" s="1"/>
  <c r="Q173" i="31"/>
  <c r="F174" i="33"/>
  <c r="L162" i="33"/>
  <c r="O150" i="33"/>
  <c r="Q150" i="33" s="1"/>
  <c r="O184" i="33"/>
  <c r="Q184" i="33" s="1"/>
  <c r="S184" i="31"/>
  <c r="K172" i="32"/>
  <c r="M172" i="32" s="1"/>
  <c r="O172" i="33"/>
  <c r="Q172" i="33" s="1"/>
  <c r="K184" i="32"/>
  <c r="M184" i="32" s="1"/>
  <c r="I173" i="32"/>
  <c r="E185" i="32"/>
  <c r="I185" i="32" s="1"/>
  <c r="I174" i="31"/>
  <c r="Q162" i="31"/>
  <c r="K161" i="32"/>
  <c r="M161" i="32" s="1"/>
  <c r="D129" i="44"/>
  <c r="AY6" i="39"/>
  <c r="C7" i="73" s="1"/>
  <c r="K18" i="40"/>
  <c r="BJ6" i="39"/>
  <c r="C8" i="73" s="1"/>
  <c r="S18" i="40"/>
  <c r="I165" i="44"/>
  <c r="J165" i="44"/>
  <c r="F11" i="40"/>
  <c r="AT7" i="40"/>
  <c r="AT9" i="40"/>
  <c r="BB8" i="40"/>
  <c r="AT14" i="40"/>
  <c r="AT8" i="40"/>
  <c r="BB7" i="40"/>
  <c r="AH34" i="14"/>
  <c r="AP35" i="14"/>
  <c r="BI34" i="14"/>
  <c r="D34" i="14"/>
  <c r="L35" i="14"/>
  <c r="V35" i="14"/>
  <c r="AY35" i="14"/>
  <c r="BC35" i="14"/>
  <c r="AL35" i="14"/>
  <c r="AU35" i="14"/>
  <c r="BS35" i="14"/>
  <c r="BW34" i="14"/>
  <c r="K155" i="44"/>
  <c r="C34" i="60"/>
  <c r="BO35" i="14"/>
  <c r="BB13" i="40"/>
  <c r="AD7" i="40"/>
  <c r="F6" i="40"/>
  <c r="F5" i="40"/>
  <c r="F9" i="40"/>
  <c r="F13" i="40"/>
  <c r="F8" i="40"/>
  <c r="F7" i="40"/>
  <c r="F12" i="40"/>
  <c r="F10" i="40"/>
  <c r="F14" i="40"/>
  <c r="AD6" i="40"/>
  <c r="BA25" i="40"/>
  <c r="BQ5" i="40"/>
  <c r="BQ6" i="40"/>
  <c r="BB14" i="40"/>
  <c r="AC25" i="40"/>
  <c r="AC24" i="40" s="1"/>
  <c r="AC23" i="40" s="1"/>
  <c r="AC22" i="40" s="1"/>
  <c r="AC21" i="40" s="1"/>
  <c r="AC20" i="40" s="1"/>
  <c r="AC19" i="40" s="1"/>
  <c r="AC18" i="40" s="1"/>
  <c r="AD13" i="40"/>
  <c r="AD14" i="40"/>
  <c r="AK14" i="40"/>
  <c r="AE15" i="27"/>
  <c r="AM15" i="27"/>
  <c r="BQ9" i="40"/>
  <c r="BQ10" i="40"/>
  <c r="BQ8" i="40"/>
  <c r="V5" i="40"/>
  <c r="V8" i="40"/>
  <c r="BB6" i="40"/>
  <c r="BB5" i="40"/>
  <c r="AD5" i="40"/>
  <c r="AK12" i="40"/>
  <c r="AK13" i="40"/>
  <c r="AK11" i="40"/>
  <c r="V7" i="40"/>
  <c r="V6" i="40"/>
  <c r="G86" i="7"/>
  <c r="AM28" i="7"/>
  <c r="AJ28" i="7"/>
  <c r="F86" i="7"/>
  <c r="AL28" i="7"/>
  <c r="AP10" i="7"/>
  <c r="AO28" i="7"/>
  <c r="H86" i="7"/>
  <c r="AN28" i="7"/>
  <c r="E86" i="7"/>
  <c r="AK28" i="7"/>
  <c r="D160" i="44"/>
  <c r="D167" i="44"/>
  <c r="D165" i="44"/>
  <c r="G165" i="44"/>
  <c r="F165" i="44"/>
  <c r="I167" i="44"/>
  <c r="E160" i="44"/>
  <c r="F167" i="44"/>
  <c r="E167" i="44"/>
  <c r="I166" i="44"/>
  <c r="G160" i="44"/>
  <c r="F160" i="44"/>
  <c r="E165" i="44"/>
  <c r="H165" i="44"/>
  <c r="D5" i="73"/>
  <c r="C5" i="73"/>
  <c r="C16" i="73"/>
  <c r="C17" i="73"/>
  <c r="E16" i="73"/>
  <c r="D17" i="73"/>
  <c r="D16" i="73"/>
  <c r="E17" i="73"/>
  <c r="E5" i="73"/>
  <c r="BQ7" i="40"/>
  <c r="BB12" i="40"/>
  <c r="BJ7" i="40"/>
  <c r="BJ9" i="40"/>
  <c r="BJ8" i="40"/>
  <c r="G132" i="44"/>
  <c r="G167" i="44" s="1"/>
  <c r="C155" i="44"/>
  <c r="C154" i="44"/>
  <c r="FD39" i="3"/>
  <c r="FD100" i="3"/>
  <c r="FD123" i="3"/>
  <c r="FD27" i="3"/>
  <c r="BJ6" i="40"/>
  <c r="P35" i="14"/>
  <c r="V9" i="40"/>
  <c r="AW8" i="39"/>
  <c r="AZ8" i="39"/>
  <c r="AW7" i="39"/>
  <c r="AZ7" i="39"/>
  <c r="AW10" i="39"/>
  <c r="AZ10" i="39"/>
  <c r="BH8" i="39"/>
  <c r="BK8" i="39"/>
  <c r="BH7" i="39"/>
  <c r="BK7" i="39"/>
  <c r="BH9" i="39"/>
  <c r="BK9" i="39"/>
  <c r="BH10" i="39"/>
  <c r="BK10" i="39"/>
  <c r="AW9" i="39"/>
  <c r="AZ9" i="39"/>
  <c r="EY61" i="3"/>
  <c r="EZ26" i="3"/>
  <c r="EZ85" i="3"/>
  <c r="FA85" i="3"/>
  <c r="EZ38" i="3"/>
  <c r="EY62" i="3"/>
  <c r="EZ74" i="3"/>
  <c r="EZ51" i="3"/>
  <c r="FA27" i="3"/>
  <c r="EX62" i="3"/>
  <c r="EW50" i="3"/>
  <c r="EY49" i="3"/>
  <c r="EY27" i="3"/>
  <c r="FB26" i="3"/>
  <c r="EY75" i="3"/>
  <c r="EZ27" i="3"/>
  <c r="EW61" i="3"/>
  <c r="FA50" i="3"/>
  <c r="EW73" i="3"/>
  <c r="FA37" i="3"/>
  <c r="FB51" i="3"/>
  <c r="EZ50" i="3"/>
  <c r="EY50" i="3"/>
  <c r="EX49" i="3"/>
  <c r="EX74" i="3"/>
  <c r="EW39" i="3"/>
  <c r="FA74" i="3"/>
  <c r="EX75" i="3"/>
  <c r="FB61" i="3"/>
  <c r="EZ52" i="3"/>
  <c r="EX26" i="3"/>
  <c r="FA73" i="3"/>
  <c r="EX73" i="3"/>
  <c r="EW63" i="3"/>
  <c r="EY63" i="3"/>
  <c r="EW51" i="3"/>
  <c r="EX27" i="3"/>
  <c r="EX50" i="3"/>
  <c r="FA63" i="3"/>
  <c r="FB27" i="3"/>
  <c r="EY51" i="3"/>
  <c r="FB49" i="3"/>
  <c r="EX85" i="3"/>
  <c r="EZ49" i="3"/>
  <c r="FA49" i="3"/>
  <c r="FA51" i="3"/>
  <c r="EY74" i="3"/>
  <c r="EY39" i="3"/>
  <c r="FB39" i="3"/>
  <c r="EW37" i="3"/>
  <c r="EZ75" i="3"/>
  <c r="EW27" i="3"/>
  <c r="FB63" i="3"/>
  <c r="EW26" i="3"/>
  <c r="EX51" i="3"/>
  <c r="EW85" i="3"/>
  <c r="FA38" i="3"/>
  <c r="FB37" i="3"/>
  <c r="FA61" i="3"/>
  <c r="FB74" i="3"/>
  <c r="EW74" i="3"/>
  <c r="EY38" i="3"/>
  <c r="FB38" i="3"/>
  <c r="FB85" i="3"/>
  <c r="EY73" i="3"/>
  <c r="EX39" i="3"/>
  <c r="EW38" i="3"/>
  <c r="EX63" i="3"/>
  <c r="EY37" i="3"/>
  <c r="EZ73" i="3"/>
  <c r="FB75" i="3"/>
  <c r="FB62" i="3"/>
  <c r="EW62" i="3"/>
  <c r="EZ61" i="3"/>
  <c r="EW49" i="3"/>
  <c r="EX61" i="3"/>
  <c r="EY85" i="3"/>
  <c r="FA39" i="3"/>
  <c r="EY26" i="3"/>
  <c r="EZ37" i="3"/>
  <c r="FB73" i="3"/>
  <c r="EX37" i="3"/>
  <c r="FB50" i="3"/>
  <c r="EZ62" i="3"/>
  <c r="FA26" i="3"/>
  <c r="EZ63" i="3"/>
  <c r="FA75" i="3"/>
  <c r="EW75" i="3"/>
  <c r="EZ39" i="3"/>
  <c r="AL8" i="39"/>
  <c r="AO8" i="39"/>
  <c r="AL7" i="39"/>
  <c r="AO7" i="39"/>
  <c r="AD11" i="40"/>
  <c r="M61" i="37"/>
  <c r="O61" i="37" s="1"/>
  <c r="M74" i="37"/>
  <c r="O74" i="37" s="1"/>
  <c r="M76" i="26"/>
  <c r="O76" i="26" s="1"/>
  <c r="M27" i="26"/>
  <c r="O27" i="26" s="1"/>
  <c r="M76" i="37"/>
  <c r="O76" i="37" s="1"/>
  <c r="M27" i="37"/>
  <c r="O27" i="37" s="1"/>
  <c r="M15" i="26"/>
  <c r="O15" i="26" s="1"/>
  <c r="M51" i="37"/>
  <c r="O51" i="37" s="1"/>
  <c r="M15" i="37"/>
  <c r="O15" i="37" s="1"/>
  <c r="M87" i="26"/>
  <c r="O87" i="26" s="1"/>
  <c r="M61" i="26"/>
  <c r="O61" i="26" s="1"/>
  <c r="M50" i="26"/>
  <c r="O50" i="26" s="1"/>
  <c r="M50" i="37"/>
  <c r="O50" i="37" s="1"/>
  <c r="O63" i="26"/>
  <c r="M99" i="37"/>
  <c r="O99" i="37" s="1"/>
  <c r="M97" i="26"/>
  <c r="O97" i="26" s="1"/>
  <c r="M3" i="26"/>
  <c r="O3" i="26" s="1"/>
  <c r="O39" i="26"/>
  <c r="M86" i="26"/>
  <c r="O86" i="26" s="1"/>
  <c r="M3" i="37"/>
  <c r="O3" i="37" s="1"/>
  <c r="O39" i="37"/>
  <c r="M51" i="26"/>
  <c r="O51" i="26" s="1"/>
  <c r="M99" i="26"/>
  <c r="O99" i="26" s="1"/>
  <c r="M63" i="37"/>
  <c r="O63" i="37" s="1"/>
  <c r="AJ6" i="39"/>
  <c r="W5" i="27"/>
  <c r="G35" i="14"/>
  <c r="T11" i="18"/>
  <c r="U11" i="18" s="1"/>
  <c r="T4" i="18"/>
  <c r="U4" i="18" s="1"/>
  <c r="V3" i="20"/>
  <c r="W3" i="20" s="1"/>
  <c r="X7" i="23"/>
  <c r="Y7" i="23" s="1"/>
  <c r="T2" i="18"/>
  <c r="V6" i="20"/>
  <c r="W6" i="20" s="1"/>
  <c r="V9" i="20"/>
  <c r="W9" i="20" s="1"/>
  <c r="X12" i="23"/>
  <c r="Y12" i="23" s="1"/>
  <c r="X2" i="23"/>
  <c r="Y2" i="23" s="1"/>
  <c r="N5" i="21"/>
  <c r="O5" i="21" s="1"/>
  <c r="N4" i="21"/>
  <c r="O4" i="21" s="1"/>
  <c r="T8" i="18"/>
  <c r="U8" i="18" s="1"/>
  <c r="V10" i="20"/>
  <c r="W10" i="20" s="1"/>
  <c r="X4" i="23"/>
  <c r="Y4" i="23" s="1"/>
  <c r="T9" i="18"/>
  <c r="U9" i="18" s="1"/>
  <c r="V11" i="20"/>
  <c r="W11" i="20" s="1"/>
  <c r="X8" i="23"/>
  <c r="Y8" i="23" s="1"/>
  <c r="T13" i="18"/>
  <c r="U13" i="18" s="1"/>
  <c r="V13" i="20"/>
  <c r="W13" i="20" s="1"/>
  <c r="X11" i="23"/>
  <c r="Y11" i="23" s="1"/>
  <c r="T3" i="18"/>
  <c r="U3" i="18" s="1"/>
  <c r="V2" i="20"/>
  <c r="W2" i="20" s="1"/>
  <c r="X3" i="23"/>
  <c r="Y3" i="23" s="1"/>
  <c r="N11" i="21"/>
  <c r="O11" i="21" s="1"/>
  <c r="T5" i="18"/>
  <c r="U5" i="18" s="1"/>
  <c r="V4" i="20"/>
  <c r="W4" i="20" s="1"/>
  <c r="V7" i="20"/>
  <c r="W7" i="20" s="1"/>
  <c r="V12" i="20"/>
  <c r="W12" i="20" s="1"/>
  <c r="X6" i="23"/>
  <c r="Y6" i="23" s="1"/>
  <c r="T12" i="18"/>
  <c r="U12" i="18" s="1"/>
  <c r="V5" i="20"/>
  <c r="W5" i="20" s="1"/>
  <c r="X13" i="23"/>
  <c r="Y13" i="23" s="1"/>
  <c r="N2" i="21"/>
  <c r="O2" i="21" s="1"/>
  <c r="X9" i="23"/>
  <c r="Y9" i="23" s="1"/>
  <c r="N7" i="21"/>
  <c r="O7" i="21" s="1"/>
  <c r="X5" i="23"/>
  <c r="Y5" i="23" s="1"/>
  <c r="T6" i="18"/>
  <c r="U6" i="18" s="1"/>
  <c r="V8" i="20"/>
  <c r="W8" i="20" s="1"/>
  <c r="T7" i="18"/>
  <c r="U7" i="18" s="1"/>
  <c r="N8" i="21"/>
  <c r="O8" i="21" s="1"/>
  <c r="N3" i="21"/>
  <c r="O3" i="21" s="1"/>
  <c r="N9" i="21"/>
  <c r="O9" i="21" s="1"/>
  <c r="N12" i="21"/>
  <c r="O12" i="21" s="1"/>
  <c r="T10" i="18"/>
  <c r="U10" i="18" s="1"/>
  <c r="N13" i="21"/>
  <c r="O13" i="21" s="1"/>
  <c r="N6" i="21"/>
  <c r="N10" i="21"/>
  <c r="O10" i="21" s="1"/>
  <c r="X31" i="23"/>
  <c r="Y31" i="23" s="1"/>
  <c r="X29" i="23"/>
  <c r="Y29" i="23" s="1"/>
  <c r="X23" i="23"/>
  <c r="Y23" i="23" s="1"/>
  <c r="X19" i="23"/>
  <c r="Y19" i="23" s="1"/>
  <c r="X32" i="23"/>
  <c r="Y32" i="23" s="1"/>
  <c r="X25" i="23"/>
  <c r="Y25" i="23" s="1"/>
  <c r="X30" i="23"/>
  <c r="Y30" i="23" s="1"/>
  <c r="X35" i="23"/>
  <c r="Y35" i="23" s="1"/>
  <c r="X37" i="23"/>
  <c r="Y37" i="23" s="1"/>
  <c r="X36" i="23"/>
  <c r="Y36" i="23" s="1"/>
  <c r="X28" i="23"/>
  <c r="Y28" i="23" s="1"/>
  <c r="X27" i="23"/>
  <c r="Y27" i="23" s="1"/>
  <c r="X21" i="23"/>
  <c r="Y21" i="23" s="1"/>
  <c r="X34" i="23"/>
  <c r="Y34" i="23" s="1"/>
  <c r="X22" i="23"/>
  <c r="Y22" i="23" s="1"/>
  <c r="X33" i="23"/>
  <c r="Y33" i="23" s="1"/>
  <c r="X16" i="23"/>
  <c r="Y16" i="23" s="1"/>
  <c r="X24" i="23"/>
  <c r="Y24" i="23" s="1"/>
  <c r="X18" i="23"/>
  <c r="Y18" i="23" s="1"/>
  <c r="X17" i="23"/>
  <c r="Y17" i="23" s="1"/>
  <c r="X20" i="23"/>
  <c r="Y20" i="23" s="1"/>
  <c r="T24" i="18"/>
  <c r="U24" i="18" s="1"/>
  <c r="T20" i="18"/>
  <c r="U20" i="18" s="1"/>
  <c r="T25" i="18"/>
  <c r="U25" i="18" s="1"/>
  <c r="V36" i="20"/>
  <c r="W36" i="20" s="1"/>
  <c r="N20" i="21"/>
  <c r="O20" i="21" s="1"/>
  <c r="T28" i="18"/>
  <c r="U28" i="18" s="1"/>
  <c r="T16" i="18"/>
  <c r="U16" i="18" s="1"/>
  <c r="T34" i="18"/>
  <c r="U34" i="18" s="1"/>
  <c r="V35" i="20"/>
  <c r="W35" i="20" s="1"/>
  <c r="V16" i="20"/>
  <c r="W16" i="20" s="1"/>
  <c r="N14" i="21"/>
  <c r="O14" i="21" s="1"/>
  <c r="T36" i="18"/>
  <c r="U36" i="18" s="1"/>
  <c r="O32" i="21"/>
  <c r="V19" i="20"/>
  <c r="W19" i="20" s="1"/>
  <c r="V30" i="20"/>
  <c r="W30" i="20" s="1"/>
  <c r="N30" i="21"/>
  <c r="O30" i="21" s="1"/>
  <c r="N50" i="21"/>
  <c r="O50" i="21" s="1"/>
  <c r="T29" i="18"/>
  <c r="U29" i="18" s="1"/>
  <c r="T33" i="18"/>
  <c r="U33" i="18" s="1"/>
  <c r="V26" i="20"/>
  <c r="W26" i="20" s="1"/>
  <c r="N26" i="21"/>
  <c r="O26" i="21" s="1"/>
  <c r="BF13" i="39"/>
  <c r="BK13" i="39" s="1"/>
  <c r="T14" i="18"/>
  <c r="U14" i="18" s="1"/>
  <c r="V21" i="20"/>
  <c r="W21" i="20" s="1"/>
  <c r="V31" i="20"/>
  <c r="W31" i="20" s="1"/>
  <c r="V28" i="20"/>
  <c r="W28" i="20" s="1"/>
  <c r="N28" i="21"/>
  <c r="O28" i="21" s="1"/>
  <c r="N61" i="21"/>
  <c r="O61" i="21" s="1"/>
  <c r="T26" i="18"/>
  <c r="U26" i="18" s="1"/>
  <c r="V22" i="20"/>
  <c r="W22" i="20" s="1"/>
  <c r="V20" i="20"/>
  <c r="W20" i="20" s="1"/>
  <c r="V34" i="20"/>
  <c r="W34" i="20" s="1"/>
  <c r="N34" i="21"/>
  <c r="O34" i="21" s="1"/>
  <c r="T22" i="18"/>
  <c r="U22" i="18" s="1"/>
  <c r="T31" i="18"/>
  <c r="U31" i="18" s="1"/>
  <c r="T18" i="18"/>
  <c r="U18" i="18" s="1"/>
  <c r="V18" i="20"/>
  <c r="W18" i="20" s="1"/>
  <c r="V32" i="20"/>
  <c r="W32" i="20" s="1"/>
  <c r="V14" i="20"/>
  <c r="W14" i="20" s="1"/>
  <c r="N18" i="21"/>
  <c r="O18" i="21" s="1"/>
  <c r="N49" i="21"/>
  <c r="O49" i="21" s="1"/>
  <c r="T37" i="18"/>
  <c r="U37" i="18" s="1"/>
  <c r="V17" i="20"/>
  <c r="W17" i="20" s="1"/>
  <c r="N25" i="21"/>
  <c r="O25" i="21" s="1"/>
  <c r="T21" i="18"/>
  <c r="U21" i="18" s="1"/>
  <c r="V25" i="20"/>
  <c r="W25" i="20" s="1"/>
  <c r="V33" i="20"/>
  <c r="W33" i="20" s="1"/>
  <c r="T32" i="18"/>
  <c r="U32" i="18" s="1"/>
  <c r="T35" i="18"/>
  <c r="U35" i="18" s="1"/>
  <c r="V37" i="20"/>
  <c r="W37" i="20" s="1"/>
  <c r="T23" i="18"/>
  <c r="U23" i="18" s="1"/>
  <c r="AU13" i="39"/>
  <c r="AZ13" i="39" s="1"/>
  <c r="T15" i="18"/>
  <c r="U15" i="18" s="1"/>
  <c r="T30" i="18"/>
  <c r="U30" i="18" s="1"/>
  <c r="V23" i="20"/>
  <c r="W23" i="20" s="1"/>
  <c r="N29" i="21"/>
  <c r="O29" i="21" s="1"/>
  <c r="T19" i="18"/>
  <c r="U19" i="18" s="1"/>
  <c r="V24" i="20"/>
  <c r="W24" i="20" s="1"/>
  <c r="V27" i="20"/>
  <c r="W27" i="20" s="1"/>
  <c r="T27" i="18"/>
  <c r="U27" i="18" s="1"/>
  <c r="V29" i="20"/>
  <c r="W29" i="20" s="1"/>
  <c r="T17" i="18"/>
  <c r="U17" i="18" s="1"/>
  <c r="N37" i="21"/>
  <c r="O37" i="21" s="1"/>
  <c r="BB10" i="40"/>
  <c r="V33" i="24"/>
  <c r="W33" i="24" s="1"/>
  <c r="R28" i="22"/>
  <c r="S28" i="22" s="1"/>
  <c r="V18" i="24"/>
  <c r="W18" i="24" s="1"/>
  <c r="V20" i="24"/>
  <c r="W20" i="24" s="1"/>
  <c r="V22" i="24"/>
  <c r="W22" i="24" s="1"/>
  <c r="R2" i="22"/>
  <c r="S2" i="22" s="1"/>
  <c r="R25" i="22"/>
  <c r="S25" i="22" s="1"/>
  <c r="V27" i="24"/>
  <c r="W27" i="24" s="1"/>
  <c r="R13" i="22"/>
  <c r="S13" i="22" s="1"/>
  <c r="V28" i="24"/>
  <c r="W28" i="24" s="1"/>
  <c r="V25" i="24"/>
  <c r="W25" i="24" s="1"/>
  <c r="V32" i="24"/>
  <c r="W32" i="24" s="1"/>
  <c r="V9" i="24"/>
  <c r="W9" i="24" s="1"/>
  <c r="V12" i="24"/>
  <c r="W12" i="24" s="1"/>
  <c r="R51" i="22"/>
  <c r="S51" i="22" s="1"/>
  <c r="R22" i="22"/>
  <c r="S22" i="22" s="1"/>
  <c r="V15" i="24"/>
  <c r="W15" i="24" s="1"/>
  <c r="V3" i="24"/>
  <c r="W3" i="24" s="1"/>
  <c r="R9" i="22"/>
  <c r="S9" i="22" s="1"/>
  <c r="V13" i="24"/>
  <c r="W13" i="24" s="1"/>
  <c r="V7" i="24"/>
  <c r="W7" i="24" s="1"/>
  <c r="V19" i="24"/>
  <c r="W19" i="24" s="1"/>
  <c r="V31" i="24"/>
  <c r="W31" i="24" s="1"/>
  <c r="V16" i="24"/>
  <c r="W16" i="24" s="1"/>
  <c r="R61" i="22"/>
  <c r="S61" i="22" s="1"/>
  <c r="W11" i="24"/>
  <c r="V24" i="24"/>
  <c r="W24" i="24" s="1"/>
  <c r="W6" i="24"/>
  <c r="V37" i="24"/>
  <c r="W37" i="24" s="1"/>
  <c r="W10" i="24"/>
  <c r="R21" i="22"/>
  <c r="S21" i="22" s="1"/>
  <c r="V29" i="24"/>
  <c r="W29" i="24" s="1"/>
  <c r="V17" i="24"/>
  <c r="W17" i="24" s="1"/>
  <c r="R37" i="22"/>
  <c r="S37" i="22" s="1"/>
  <c r="W5" i="24"/>
  <c r="V36" i="24"/>
  <c r="W36" i="24" s="1"/>
  <c r="V23" i="24"/>
  <c r="W23" i="24" s="1"/>
  <c r="V30" i="24"/>
  <c r="W30" i="24" s="1"/>
  <c r="R36" i="22"/>
  <c r="S36" i="22" s="1"/>
  <c r="V8" i="24"/>
  <c r="W8" i="24" s="1"/>
  <c r="R59" i="22"/>
  <c r="S59" i="22" s="1"/>
  <c r="R49" i="22"/>
  <c r="S49" i="22" s="1"/>
  <c r="V34" i="24"/>
  <c r="W34" i="24" s="1"/>
  <c r="V21" i="24"/>
  <c r="W21" i="24" s="1"/>
  <c r="V35" i="24"/>
  <c r="W35" i="24" s="1"/>
  <c r="V4" i="24"/>
  <c r="W4" i="24" s="1"/>
  <c r="W43" i="5"/>
  <c r="E2" i="2" s="1"/>
  <c r="F126" i="51"/>
  <c r="I125" i="51"/>
  <c r="T125" i="51"/>
  <c r="F125" i="51"/>
  <c r="S125" i="51"/>
  <c r="T126" i="51"/>
  <c r="R125" i="51"/>
  <c r="S126" i="51"/>
  <c r="Q125" i="51"/>
  <c r="R126" i="51"/>
  <c r="P125" i="51"/>
  <c r="Q126" i="51"/>
  <c r="O125" i="51"/>
  <c r="P126" i="51"/>
  <c r="N125" i="51"/>
  <c r="O126" i="51"/>
  <c r="M125" i="51"/>
  <c r="N126" i="51"/>
  <c r="L125" i="51"/>
  <c r="M126" i="51"/>
  <c r="K125" i="51"/>
  <c r="L126" i="51"/>
  <c r="J125" i="51"/>
  <c r="K126" i="51"/>
  <c r="J126" i="51"/>
  <c r="F94" i="51"/>
  <c r="F109" i="51" s="1"/>
  <c r="I126" i="51"/>
  <c r="H125" i="51"/>
  <c r="H126" i="51"/>
  <c r="G126" i="51"/>
  <c r="G125" i="51"/>
  <c r="AI28" i="7"/>
  <c r="AH28" i="7"/>
  <c r="AO5" i="7"/>
  <c r="AH5" i="7"/>
  <c r="AI5" i="7"/>
  <c r="AJ5" i="7"/>
  <c r="AK5" i="7"/>
  <c r="AL5" i="7"/>
  <c r="AM5" i="7"/>
  <c r="AN5" i="7"/>
  <c r="AK14" i="7"/>
  <c r="AM14" i="7"/>
  <c r="AL14" i="7"/>
  <c r="AN14" i="7"/>
  <c r="AO14" i="7"/>
  <c r="AH14" i="7"/>
  <c r="C90" i="7" s="1"/>
  <c r="AI14" i="7"/>
  <c r="D90" i="7" s="1"/>
  <c r="AJ14" i="7"/>
  <c r="T28" i="7"/>
  <c r="C64" i="7"/>
  <c r="AD28" i="7"/>
  <c r="AB28" i="7"/>
  <c r="Y28" i="7"/>
  <c r="G64" i="7"/>
  <c r="X28" i="7"/>
  <c r="F64" i="7"/>
  <c r="AA28" i="7"/>
  <c r="E64" i="7"/>
  <c r="W28" i="7"/>
  <c r="AD4" i="7"/>
  <c r="Z4" i="7"/>
  <c r="AA4" i="7"/>
  <c r="AB4" i="7"/>
  <c r="AC4" i="7"/>
  <c r="AC7" i="7"/>
  <c r="AB7" i="7"/>
  <c r="AD7" i="7"/>
  <c r="Z7" i="7"/>
  <c r="AA7" i="7"/>
  <c r="U28" i="7"/>
  <c r="AD14" i="7"/>
  <c r="AA14" i="7"/>
  <c r="AC14" i="7"/>
  <c r="AB14" i="7"/>
  <c r="Z14" i="7"/>
  <c r="AB6" i="7"/>
  <c r="AD6" i="7"/>
  <c r="AC6" i="7"/>
  <c r="AA6" i="7"/>
  <c r="Z6" i="7"/>
  <c r="AA5" i="7"/>
  <c r="AC5" i="7"/>
  <c r="Z5" i="7"/>
  <c r="AB5" i="7"/>
  <c r="AD5" i="7"/>
  <c r="Z8" i="7"/>
  <c r="AA8" i="7"/>
  <c r="AB8" i="7"/>
  <c r="AC8" i="7"/>
  <c r="AD8" i="7"/>
  <c r="AC28" i="7"/>
  <c r="Z28" i="7"/>
  <c r="D64" i="7"/>
  <c r="V28" i="7"/>
  <c r="N9" i="7"/>
  <c r="W14" i="7"/>
  <c r="T14" i="7"/>
  <c r="T32" i="7" s="1"/>
  <c r="U14" i="7"/>
  <c r="V14" i="7"/>
  <c r="X14" i="7"/>
  <c r="Y14" i="7"/>
  <c r="AK9" i="40"/>
  <c r="AT11" i="40"/>
  <c r="AT10" i="40"/>
  <c r="FS28" i="2"/>
  <c r="FR28" i="2"/>
  <c r="FY16" i="2"/>
  <c r="AD9" i="40"/>
  <c r="FX28" i="2"/>
  <c r="FT4" i="2"/>
  <c r="T94" i="34"/>
  <c r="K130" i="34"/>
  <c r="J90" i="37"/>
  <c r="E126" i="37"/>
  <c r="G131" i="35"/>
  <c r="O95" i="35"/>
  <c r="J158" i="28"/>
  <c r="S158" i="28" s="1"/>
  <c r="I104" i="29"/>
  <c r="G104" i="25"/>
  <c r="N104" i="25" s="1"/>
  <c r="Q104" i="25" s="1"/>
  <c r="H104" i="31"/>
  <c r="G104" i="36"/>
  <c r="E104" i="26"/>
  <c r="J104" i="26" s="1"/>
  <c r="G104" i="24"/>
  <c r="O104" i="24" s="1"/>
  <c r="S104" i="24" s="1"/>
  <c r="I104" i="18"/>
  <c r="P104" i="18" s="1"/>
  <c r="Q104" i="18" s="1"/>
  <c r="I104" i="30"/>
  <c r="K104" i="23"/>
  <c r="T104" i="23" s="1"/>
  <c r="U104" i="23" s="1"/>
  <c r="H104" i="20"/>
  <c r="P104" i="20" s="1"/>
  <c r="S104" i="20" s="1"/>
  <c r="E104" i="37"/>
  <c r="G104" i="35"/>
  <c r="K104" i="34"/>
  <c r="J104" i="28"/>
  <c r="I104" i="19"/>
  <c r="Q104" i="19" s="1"/>
  <c r="S104" i="19" s="1"/>
  <c r="J104" i="17"/>
  <c r="S104" i="17" s="1"/>
  <c r="U104" i="17" s="1"/>
  <c r="J140" i="28"/>
  <c r="S92" i="28"/>
  <c r="J96" i="37"/>
  <c r="E132" i="37"/>
  <c r="T97" i="34"/>
  <c r="K133" i="34"/>
  <c r="O89" i="35"/>
  <c r="G125" i="35"/>
  <c r="S94" i="28"/>
  <c r="J142" i="28"/>
  <c r="H101" i="31"/>
  <c r="I101" i="29"/>
  <c r="I101" i="30"/>
  <c r="G101" i="35"/>
  <c r="G101" i="25"/>
  <c r="N101" i="25" s="1"/>
  <c r="Q101" i="25" s="1"/>
  <c r="E101" i="26"/>
  <c r="J101" i="26" s="1"/>
  <c r="G101" i="24"/>
  <c r="O101" i="24" s="1"/>
  <c r="S101" i="24" s="1"/>
  <c r="I101" i="18"/>
  <c r="P101" i="18" s="1"/>
  <c r="Q101" i="18" s="1"/>
  <c r="E101" i="37"/>
  <c r="K101" i="34"/>
  <c r="G101" i="36"/>
  <c r="J101" i="28"/>
  <c r="H101" i="20"/>
  <c r="P101" i="20" s="1"/>
  <c r="S101" i="20" s="1"/>
  <c r="K101" i="23"/>
  <c r="T101" i="23" s="1"/>
  <c r="U101" i="23" s="1"/>
  <c r="I101" i="19"/>
  <c r="Q101" i="19" s="1"/>
  <c r="S101" i="19" s="1"/>
  <c r="J101" i="17"/>
  <c r="S101" i="17" s="1"/>
  <c r="U101" i="17" s="1"/>
  <c r="P90" i="30"/>
  <c r="I126" i="30"/>
  <c r="P92" i="30"/>
  <c r="I128" i="30"/>
  <c r="Q93" i="29"/>
  <c r="I129" i="29"/>
  <c r="Q94" i="29"/>
  <c r="I130" i="29"/>
  <c r="G127" i="36"/>
  <c r="N91" i="36"/>
  <c r="O88" i="35"/>
  <c r="G124" i="35"/>
  <c r="S86" i="28"/>
  <c r="J134" i="28"/>
  <c r="O92" i="35"/>
  <c r="G128" i="35"/>
  <c r="T93" i="34"/>
  <c r="K129" i="34"/>
  <c r="K106" i="34"/>
  <c r="G106" i="36"/>
  <c r="K106" i="23"/>
  <c r="T106" i="23" s="1"/>
  <c r="U106" i="23" s="1"/>
  <c r="E106" i="37"/>
  <c r="I106" i="18"/>
  <c r="P106" i="18" s="1"/>
  <c r="Q106" i="18" s="1"/>
  <c r="I106" i="30"/>
  <c r="I106" i="29"/>
  <c r="H106" i="20"/>
  <c r="P106" i="20" s="1"/>
  <c r="S106" i="20" s="1"/>
  <c r="G106" i="25"/>
  <c r="N106" i="25" s="1"/>
  <c r="Q106" i="25" s="1"/>
  <c r="G106" i="24"/>
  <c r="O106" i="24" s="1"/>
  <c r="S106" i="24" s="1"/>
  <c r="G106" i="35"/>
  <c r="E106" i="26"/>
  <c r="J106" i="26" s="1"/>
  <c r="H106" i="31"/>
  <c r="I106" i="19"/>
  <c r="Q106" i="19" s="1"/>
  <c r="S106" i="19" s="1"/>
  <c r="J106" i="17"/>
  <c r="S106" i="17" s="1"/>
  <c r="U106" i="17" s="1"/>
  <c r="P91" i="31"/>
  <c r="H127" i="31"/>
  <c r="P88" i="31"/>
  <c r="H124" i="31"/>
  <c r="P87" i="31"/>
  <c r="H123" i="31"/>
  <c r="T92" i="34"/>
  <c r="K128" i="34"/>
  <c r="O96" i="35"/>
  <c r="G132" i="35"/>
  <c r="O97" i="35"/>
  <c r="G133" i="35"/>
  <c r="E103" i="26"/>
  <c r="J103" i="26" s="1"/>
  <c r="H103" i="20"/>
  <c r="P103" i="20" s="1"/>
  <c r="S103" i="20" s="1"/>
  <c r="I103" i="30"/>
  <c r="E103" i="37"/>
  <c r="G103" i="35"/>
  <c r="J103" i="28"/>
  <c r="I103" i="29"/>
  <c r="G103" i="25"/>
  <c r="N103" i="25" s="1"/>
  <c r="Q103" i="25" s="1"/>
  <c r="G103" i="24"/>
  <c r="O103" i="24" s="1"/>
  <c r="S103" i="24" s="1"/>
  <c r="G103" i="36"/>
  <c r="K103" i="23"/>
  <c r="T103" i="23" s="1"/>
  <c r="U103" i="23" s="1"/>
  <c r="I103" i="18"/>
  <c r="P103" i="18" s="1"/>
  <c r="Q103" i="18" s="1"/>
  <c r="H103" i="31"/>
  <c r="K103" i="34"/>
  <c r="I103" i="19"/>
  <c r="Q103" i="19" s="1"/>
  <c r="S103" i="19" s="1"/>
  <c r="J103" i="17"/>
  <c r="S103" i="17" s="1"/>
  <c r="U103" i="17" s="1"/>
  <c r="T87" i="34"/>
  <c r="K123" i="34"/>
  <c r="Q92" i="29"/>
  <c r="I128" i="29"/>
  <c r="P96" i="31"/>
  <c r="H132" i="31"/>
  <c r="N97" i="36"/>
  <c r="G133" i="36"/>
  <c r="P94" i="31"/>
  <c r="H130" i="31"/>
  <c r="J139" i="28"/>
  <c r="S91" i="28"/>
  <c r="T88" i="34"/>
  <c r="K124" i="34"/>
  <c r="J138" i="28"/>
  <c r="S90" i="28"/>
  <c r="J95" i="37"/>
  <c r="E131" i="37"/>
  <c r="P86" i="31"/>
  <c r="H122" i="31"/>
  <c r="Q96" i="29"/>
  <c r="I132" i="29"/>
  <c r="J97" i="37"/>
  <c r="E133" i="37"/>
  <c r="P97" i="30"/>
  <c r="I133" i="30"/>
  <c r="S93" i="28"/>
  <c r="J141" i="28"/>
  <c r="P89" i="30"/>
  <c r="I125" i="30"/>
  <c r="J94" i="37"/>
  <c r="E130" i="37"/>
  <c r="T91" i="34"/>
  <c r="K127" i="34"/>
  <c r="S87" i="28"/>
  <c r="J135" i="28"/>
  <c r="J165" i="28"/>
  <c r="S165" i="28" s="1"/>
  <c r="K132" i="34"/>
  <c r="T96" i="34"/>
  <c r="J168" i="28"/>
  <c r="S168" i="28" s="1"/>
  <c r="J89" i="37"/>
  <c r="E125" i="37"/>
  <c r="G98" i="25"/>
  <c r="N98" i="25" s="1"/>
  <c r="Q98" i="25" s="1"/>
  <c r="G98" i="36"/>
  <c r="H98" i="20"/>
  <c r="P98" i="20" s="1"/>
  <c r="S98" i="20" s="1"/>
  <c r="K98" i="34"/>
  <c r="I98" i="29"/>
  <c r="G98" i="24"/>
  <c r="O98" i="24" s="1"/>
  <c r="S98" i="24" s="1"/>
  <c r="G98" i="35"/>
  <c r="E98" i="37"/>
  <c r="E98" i="26"/>
  <c r="J98" i="26" s="1"/>
  <c r="K98" i="23"/>
  <c r="T98" i="23" s="1"/>
  <c r="U98" i="23" s="1"/>
  <c r="J98" i="28"/>
  <c r="I98" i="18"/>
  <c r="P98" i="18" s="1"/>
  <c r="Q98" i="18" s="1"/>
  <c r="I98" i="30"/>
  <c r="H98" i="31"/>
  <c r="I98" i="19"/>
  <c r="Q98" i="19" s="1"/>
  <c r="S98" i="19" s="1"/>
  <c r="J98" i="17"/>
  <c r="S98" i="17" s="1"/>
  <c r="U98" i="17" s="1"/>
  <c r="S88" i="28"/>
  <c r="J136" i="28"/>
  <c r="T95" i="34"/>
  <c r="K131" i="34"/>
  <c r="J137" i="28"/>
  <c r="S89" i="28"/>
  <c r="J163" i="28"/>
  <c r="S163" i="28" s="1"/>
  <c r="J161" i="28"/>
  <c r="S161" i="28" s="1"/>
  <c r="N94" i="36"/>
  <c r="G130" i="36"/>
  <c r="P87" i="30"/>
  <c r="I123" i="30"/>
  <c r="J162" i="28"/>
  <c r="S162" i="28" s="1"/>
  <c r="J160" i="28"/>
  <c r="S160" i="28" s="1"/>
  <c r="I122" i="30"/>
  <c r="P86" i="30"/>
  <c r="P93" i="31"/>
  <c r="H129" i="31"/>
  <c r="T89" i="34"/>
  <c r="K125" i="34"/>
  <c r="O91" i="35"/>
  <c r="G127" i="35"/>
  <c r="P88" i="30"/>
  <c r="I124" i="30"/>
  <c r="T90" i="34"/>
  <c r="K126" i="34"/>
  <c r="J87" i="37"/>
  <c r="E123" i="37"/>
  <c r="S95" i="28"/>
  <c r="J143" i="28"/>
  <c r="Q86" i="29"/>
  <c r="I122" i="29"/>
  <c r="N92" i="36"/>
  <c r="G128" i="36"/>
  <c r="P96" i="30"/>
  <c r="I132" i="30"/>
  <c r="G129" i="36"/>
  <c r="N93" i="36"/>
  <c r="I125" i="29"/>
  <c r="Q89" i="29"/>
  <c r="J91" i="37"/>
  <c r="E127" i="37"/>
  <c r="J100" i="28"/>
  <c r="E100" i="26"/>
  <c r="J100" i="26" s="1"/>
  <c r="E100" i="37"/>
  <c r="G100" i="36"/>
  <c r="H100" i="20"/>
  <c r="P100" i="20" s="1"/>
  <c r="S100" i="20" s="1"/>
  <c r="K100" i="23"/>
  <c r="T100" i="23" s="1"/>
  <c r="U100" i="23" s="1"/>
  <c r="I100" i="29"/>
  <c r="G100" i="35"/>
  <c r="H100" i="31"/>
  <c r="G100" i="25"/>
  <c r="N100" i="25" s="1"/>
  <c r="Q100" i="25" s="1"/>
  <c r="G100" i="24"/>
  <c r="O100" i="24" s="1"/>
  <c r="S100" i="24" s="1"/>
  <c r="I100" i="30"/>
  <c r="I100" i="18"/>
  <c r="P100" i="18" s="1"/>
  <c r="Q100" i="18" s="1"/>
  <c r="K100" i="34"/>
  <c r="J100" i="17"/>
  <c r="S100" i="17" s="1"/>
  <c r="U100" i="17" s="1"/>
  <c r="I100" i="19"/>
  <c r="Q100" i="19" s="1"/>
  <c r="S100" i="19" s="1"/>
  <c r="J88" i="37"/>
  <c r="E124" i="37"/>
  <c r="N90" i="36"/>
  <c r="G126" i="36"/>
  <c r="J167" i="28"/>
  <c r="S167" i="28" s="1"/>
  <c r="Q87" i="29"/>
  <c r="I123" i="29"/>
  <c r="Q95" i="29"/>
  <c r="I131" i="29"/>
  <c r="N96" i="36"/>
  <c r="G132" i="36"/>
  <c r="H133" i="31"/>
  <c r="P97" i="31"/>
  <c r="Q91" i="29"/>
  <c r="I127" i="29"/>
  <c r="H126" i="31"/>
  <c r="P90" i="31"/>
  <c r="N87" i="36"/>
  <c r="G123" i="36"/>
  <c r="P95" i="31"/>
  <c r="H131" i="31"/>
  <c r="H105" i="20"/>
  <c r="P105" i="20" s="1"/>
  <c r="S105" i="20" s="1"/>
  <c r="G105" i="24"/>
  <c r="O105" i="24" s="1"/>
  <c r="S105" i="24" s="1"/>
  <c r="G105" i="35"/>
  <c r="K105" i="34"/>
  <c r="H105" i="31"/>
  <c r="K105" i="23"/>
  <c r="T105" i="23" s="1"/>
  <c r="U105" i="23" s="1"/>
  <c r="J105" i="28"/>
  <c r="E105" i="26"/>
  <c r="J105" i="26" s="1"/>
  <c r="G105" i="36"/>
  <c r="I105" i="29"/>
  <c r="G105" i="25"/>
  <c r="N105" i="25" s="1"/>
  <c r="Q105" i="25" s="1"/>
  <c r="I105" i="18"/>
  <c r="P105" i="18" s="1"/>
  <c r="Q105" i="18" s="1"/>
  <c r="E105" i="37"/>
  <c r="I105" i="30"/>
  <c r="I105" i="19"/>
  <c r="Q105" i="19" s="1"/>
  <c r="S105" i="19" s="1"/>
  <c r="J105" i="17"/>
  <c r="S105" i="17" s="1"/>
  <c r="U105" i="17" s="1"/>
  <c r="J93" i="37"/>
  <c r="E129" i="37"/>
  <c r="N89" i="36"/>
  <c r="G125" i="36"/>
  <c r="G102" i="24"/>
  <c r="O102" i="24" s="1"/>
  <c r="S102" i="24" s="1"/>
  <c r="I102" i="18"/>
  <c r="P102" i="18" s="1"/>
  <c r="Q102" i="18" s="1"/>
  <c r="G102" i="36"/>
  <c r="K102" i="34"/>
  <c r="H102" i="31"/>
  <c r="H102" i="20"/>
  <c r="P102" i="20" s="1"/>
  <c r="S102" i="20" s="1"/>
  <c r="I102" i="30"/>
  <c r="J102" i="28"/>
  <c r="E102" i="26"/>
  <c r="J102" i="26" s="1"/>
  <c r="G102" i="35"/>
  <c r="I102" i="29"/>
  <c r="E102" i="37"/>
  <c r="G102" i="25"/>
  <c r="N102" i="25" s="1"/>
  <c r="Q102" i="25" s="1"/>
  <c r="K102" i="23"/>
  <c r="T102" i="23" s="1"/>
  <c r="U102" i="23" s="1"/>
  <c r="I102" i="19"/>
  <c r="Q102" i="19" s="1"/>
  <c r="S102" i="19" s="1"/>
  <c r="J102" i="17"/>
  <c r="S102" i="17" s="1"/>
  <c r="U102" i="17" s="1"/>
  <c r="P94" i="30"/>
  <c r="I130" i="30"/>
  <c r="P91" i="30"/>
  <c r="I127" i="30"/>
  <c r="J159" i="28"/>
  <c r="S159" i="28" s="1"/>
  <c r="G131" i="36"/>
  <c r="N95" i="36"/>
  <c r="E122" i="37"/>
  <c r="J86" i="37"/>
  <c r="P92" i="31"/>
  <c r="H128" i="31"/>
  <c r="S96" i="28"/>
  <c r="J144" i="28"/>
  <c r="Q88" i="29"/>
  <c r="I124" i="29"/>
  <c r="J166" i="28"/>
  <c r="S166" i="28" s="1"/>
  <c r="I126" i="29"/>
  <c r="Q90" i="29"/>
  <c r="I107" i="29"/>
  <c r="K107" i="23"/>
  <c r="T107" i="23" s="1"/>
  <c r="U107" i="23" s="1"/>
  <c r="H107" i="20"/>
  <c r="P107" i="20" s="1"/>
  <c r="S107" i="20" s="1"/>
  <c r="E107" i="26"/>
  <c r="J107" i="26" s="1"/>
  <c r="G107" i="24"/>
  <c r="O107" i="24" s="1"/>
  <c r="S107" i="24" s="1"/>
  <c r="H107" i="31"/>
  <c r="G107" i="25"/>
  <c r="N107" i="25" s="1"/>
  <c r="Q107" i="25" s="1"/>
  <c r="G107" i="35"/>
  <c r="E107" i="37"/>
  <c r="G107" i="36"/>
  <c r="K107" i="34"/>
  <c r="I107" i="30"/>
  <c r="I107" i="18"/>
  <c r="P107" i="18" s="1"/>
  <c r="Q107" i="18" s="1"/>
  <c r="I107" i="19"/>
  <c r="Q107" i="19" s="1"/>
  <c r="S107" i="19" s="1"/>
  <c r="J107" i="17"/>
  <c r="S107" i="17" s="1"/>
  <c r="U107" i="17" s="1"/>
  <c r="H109" i="31"/>
  <c r="I109" i="29"/>
  <c r="H109" i="20"/>
  <c r="P109" i="20" s="1"/>
  <c r="S109" i="20" s="1"/>
  <c r="E109" i="37"/>
  <c r="K109" i="34"/>
  <c r="G109" i="35"/>
  <c r="I109" i="30"/>
  <c r="G109" i="24"/>
  <c r="O109" i="24" s="1"/>
  <c r="S109" i="24" s="1"/>
  <c r="G109" i="36"/>
  <c r="E109" i="26"/>
  <c r="J109" i="26" s="1"/>
  <c r="G109" i="25"/>
  <c r="N109" i="25" s="1"/>
  <c r="Q109" i="25" s="1"/>
  <c r="I109" i="18"/>
  <c r="P109" i="18" s="1"/>
  <c r="Q109" i="18" s="1"/>
  <c r="J109" i="17"/>
  <c r="S109" i="17" s="1"/>
  <c r="U109" i="17" s="1"/>
  <c r="I109" i="19"/>
  <c r="Q109" i="19" s="1"/>
  <c r="S109" i="19" s="1"/>
  <c r="N86" i="36"/>
  <c r="G122" i="36"/>
  <c r="Q97" i="29"/>
  <c r="I133" i="29"/>
  <c r="P93" i="30"/>
  <c r="I129" i="30"/>
  <c r="FX16" i="2"/>
  <c r="O94" i="35"/>
  <c r="G130" i="35"/>
  <c r="N88" i="36"/>
  <c r="G124" i="36"/>
  <c r="O90" i="35"/>
  <c r="G126" i="35"/>
  <c r="N135" i="36"/>
  <c r="G171" i="36"/>
  <c r="N171" i="36" s="1"/>
  <c r="J164" i="28"/>
  <c r="S164" i="28" s="1"/>
  <c r="P95" i="30"/>
  <c r="I131" i="30"/>
  <c r="J169" i="28"/>
  <c r="S169" i="28" s="1"/>
  <c r="O86" i="35"/>
  <c r="G122" i="35"/>
  <c r="O93" i="35"/>
  <c r="G129" i="35"/>
  <c r="O87" i="35"/>
  <c r="G123" i="35"/>
  <c r="T86" i="34"/>
  <c r="K122" i="34"/>
  <c r="E108" i="37"/>
  <c r="G108" i="35"/>
  <c r="K108" i="23"/>
  <c r="T108" i="23" s="1"/>
  <c r="U108" i="23" s="1"/>
  <c r="G108" i="25"/>
  <c r="N108" i="25" s="1"/>
  <c r="Q108" i="25" s="1"/>
  <c r="G108" i="36"/>
  <c r="I108" i="30"/>
  <c r="I108" i="18"/>
  <c r="P108" i="18" s="1"/>
  <c r="Q108" i="18" s="1"/>
  <c r="E108" i="26"/>
  <c r="J108" i="26" s="1"/>
  <c r="I108" i="29"/>
  <c r="H108" i="20"/>
  <c r="P108" i="20" s="1"/>
  <c r="S108" i="20" s="1"/>
  <c r="K108" i="34"/>
  <c r="H108" i="31"/>
  <c r="G108" i="24"/>
  <c r="O108" i="24" s="1"/>
  <c r="S108" i="24" s="1"/>
  <c r="J108" i="17"/>
  <c r="S108" i="17" s="1"/>
  <c r="U108" i="17" s="1"/>
  <c r="I108" i="19"/>
  <c r="Q108" i="19" s="1"/>
  <c r="S108" i="19" s="1"/>
  <c r="J92" i="37"/>
  <c r="E128" i="37"/>
  <c r="S97" i="28"/>
  <c r="J145" i="28"/>
  <c r="P89" i="31"/>
  <c r="H125" i="31"/>
  <c r="J126" i="44"/>
  <c r="G129" i="44"/>
  <c r="K68" i="44"/>
  <c r="J132" i="44"/>
  <c r="J167" i="44" s="1"/>
  <c r="BN36" i="14"/>
  <c r="GB101" i="2"/>
  <c r="K36" i="14"/>
  <c r="AG35" i="14"/>
  <c r="FU100" i="2"/>
  <c r="AD12" i="40"/>
  <c r="BB11" i="40"/>
  <c r="AA36" i="14"/>
  <c r="AB36" i="14" s="1"/>
  <c r="BV35" i="14"/>
  <c r="GD100" i="2"/>
  <c r="BB9" i="40"/>
  <c r="U36" i="14"/>
  <c r="AK8" i="40"/>
  <c r="AD10" i="40"/>
  <c r="F100" i="26"/>
  <c r="K100" i="26" s="1"/>
  <c r="BH35" i="14"/>
  <c r="F100" i="37"/>
  <c r="K100" i="37" s="1"/>
  <c r="GA100" i="2"/>
  <c r="O36" i="14"/>
  <c r="AC26" i="40"/>
  <c r="AC27" i="40" s="1"/>
  <c r="AC28" i="40" s="1"/>
  <c r="AC29" i="40" s="1"/>
  <c r="AC30" i="40" s="1"/>
  <c r="AC31" i="40" s="1"/>
  <c r="AC32" i="40" s="1"/>
  <c r="AC33" i="40" s="1"/>
  <c r="AO36" i="14"/>
  <c r="FW101" i="2"/>
  <c r="AJ26" i="40"/>
  <c r="AJ27" i="40" s="1"/>
  <c r="AJ28" i="40" s="1"/>
  <c r="AJ29" i="40" s="1"/>
  <c r="AJ30" i="40" s="1"/>
  <c r="AJ31" i="40" s="1"/>
  <c r="AJ32" i="40" s="1"/>
  <c r="AJ33" i="40" s="1"/>
  <c r="AK10" i="40"/>
  <c r="AX36" i="14"/>
  <c r="AK36" i="14"/>
  <c r="FV101" i="2"/>
  <c r="BR36" i="14"/>
  <c r="GC101" i="2"/>
  <c r="C35" i="14"/>
  <c r="BB36" i="14"/>
  <c r="AT36" i="14"/>
  <c r="K17" i="44"/>
  <c r="K61" i="41"/>
  <c r="AT13" i="40"/>
  <c r="N8" i="40"/>
  <c r="L176" i="51"/>
  <c r="O176" i="51"/>
  <c r="R176" i="51"/>
  <c r="U176" i="51"/>
  <c r="X176" i="51"/>
  <c r="AA176" i="51"/>
  <c r="AD176" i="51"/>
  <c r="X100" i="51"/>
  <c r="F95" i="51"/>
  <c r="F110" i="51" s="1"/>
  <c r="G95" i="51"/>
  <c r="G110" i="51" s="1"/>
  <c r="H95" i="51"/>
  <c r="H110" i="51" s="1"/>
  <c r="I95" i="51"/>
  <c r="I110" i="51" s="1"/>
  <c r="J95" i="51"/>
  <c r="J110" i="51" s="1"/>
  <c r="K95" i="51"/>
  <c r="K110" i="51" s="1"/>
  <c r="L95" i="51"/>
  <c r="L110" i="51" s="1"/>
  <c r="M95" i="51"/>
  <c r="M110" i="51" s="1"/>
  <c r="N95" i="51"/>
  <c r="N110" i="51" s="1"/>
  <c r="O95" i="51"/>
  <c r="O110" i="51" s="1"/>
  <c r="P95" i="51"/>
  <c r="P110" i="51" s="1"/>
  <c r="Q95" i="51"/>
  <c r="Q110" i="51" s="1"/>
  <c r="R95" i="51"/>
  <c r="R110" i="51" s="1"/>
  <c r="S95" i="51"/>
  <c r="S110" i="51" s="1"/>
  <c r="T95" i="51"/>
  <c r="T110" i="51" s="1"/>
  <c r="J176" i="51"/>
  <c r="M176" i="51"/>
  <c r="P176" i="51"/>
  <c r="S176" i="51"/>
  <c r="V176" i="51"/>
  <c r="Y176" i="51"/>
  <c r="AB176" i="51"/>
  <c r="AE176" i="51"/>
  <c r="K176" i="51"/>
  <c r="N176" i="51"/>
  <c r="Q176" i="51"/>
  <c r="T176" i="51"/>
  <c r="W176" i="51"/>
  <c r="Z176" i="51"/>
  <c r="AC176" i="51"/>
  <c r="AF176" i="51"/>
  <c r="G94" i="51"/>
  <c r="G109" i="51" s="1"/>
  <c r="H94" i="51"/>
  <c r="H109" i="51" s="1"/>
  <c r="I94" i="51"/>
  <c r="I109" i="51" s="1"/>
  <c r="J94" i="51"/>
  <c r="J109" i="51" s="1"/>
  <c r="K94" i="51"/>
  <c r="K109" i="51" s="1"/>
  <c r="L94" i="51"/>
  <c r="L109" i="51" s="1"/>
  <c r="M94" i="51"/>
  <c r="M109" i="51" s="1"/>
  <c r="N94" i="51"/>
  <c r="N109" i="51" s="1"/>
  <c r="O94" i="51"/>
  <c r="O109" i="51" s="1"/>
  <c r="P94" i="51"/>
  <c r="P109" i="51" s="1"/>
  <c r="Q94" i="51"/>
  <c r="Q109" i="51" s="1"/>
  <c r="R94" i="51"/>
  <c r="R109" i="51" s="1"/>
  <c r="S94" i="51"/>
  <c r="S109" i="51" s="1"/>
  <c r="T94" i="51"/>
  <c r="T109" i="51" s="1"/>
  <c r="I175" i="51"/>
  <c r="L175" i="51"/>
  <c r="O175" i="51"/>
  <c r="R175" i="51"/>
  <c r="U175" i="51"/>
  <c r="X175" i="51"/>
  <c r="AA175" i="51"/>
  <c r="AD175" i="51"/>
  <c r="J175" i="51"/>
  <c r="M175" i="51"/>
  <c r="P175" i="51"/>
  <c r="S175" i="51"/>
  <c r="V175" i="51"/>
  <c r="Y175" i="51"/>
  <c r="AB175" i="51"/>
  <c r="AE175" i="51"/>
  <c r="Y100" i="51"/>
  <c r="Z100" i="51"/>
  <c r="K175" i="51"/>
  <c r="N175" i="51"/>
  <c r="Q175" i="51"/>
  <c r="T175" i="51"/>
  <c r="W175" i="51"/>
  <c r="Z175" i="51"/>
  <c r="AC175" i="51"/>
  <c r="AF175" i="51"/>
  <c r="I122" i="44"/>
  <c r="C124" i="44"/>
  <c r="E128" i="44"/>
  <c r="C128" i="44"/>
  <c r="D128" i="44"/>
  <c r="F122" i="44"/>
  <c r="D131" i="44"/>
  <c r="G128" i="44"/>
  <c r="J64" i="44"/>
  <c r="E124" i="44"/>
  <c r="J124" i="44"/>
  <c r="E121" i="44"/>
  <c r="D122" i="44"/>
  <c r="E122" i="44"/>
  <c r="D18" i="44"/>
  <c r="F128" i="44"/>
  <c r="J121" i="44"/>
  <c r="D69" i="44"/>
  <c r="C122" i="44"/>
  <c r="H128" i="44"/>
  <c r="C121" i="44"/>
  <c r="G122" i="44"/>
  <c r="H121" i="44"/>
  <c r="G131" i="44"/>
  <c r="E69" i="44"/>
  <c r="J131" i="44"/>
  <c r="J166" i="44" s="1"/>
  <c r="H69" i="44"/>
  <c r="J122" i="44"/>
  <c r="D124" i="44"/>
  <c r="F131" i="44"/>
  <c r="E131" i="44"/>
  <c r="C69" i="44"/>
  <c r="F124" i="44"/>
  <c r="D121" i="44"/>
  <c r="I69" i="44"/>
  <c r="H122" i="44"/>
  <c r="C131" i="44"/>
  <c r="G124" i="44"/>
  <c r="I121" i="44"/>
  <c r="J69" i="44"/>
  <c r="F69" i="44"/>
  <c r="J129" i="44"/>
  <c r="F121" i="44"/>
  <c r="H124" i="44"/>
  <c r="G121" i="44"/>
  <c r="H18" i="44"/>
  <c r="F18" i="44"/>
  <c r="I124" i="44"/>
  <c r="C18" i="44"/>
  <c r="G18" i="44"/>
  <c r="I64" i="44"/>
  <c r="G69" i="44"/>
  <c r="E18" i="44"/>
  <c r="S14" i="22"/>
  <c r="O23" i="21"/>
  <c r="O19" i="21"/>
  <c r="O55" i="21"/>
  <c r="O54" i="21"/>
  <c r="O44" i="21"/>
  <c r="O33" i="21"/>
  <c r="O21" i="21"/>
  <c r="O24" i="21"/>
  <c r="O16" i="21"/>
  <c r="O51" i="21"/>
  <c r="O59" i="21"/>
  <c r="O42" i="21"/>
  <c r="R50" i="22"/>
  <c r="O35" i="21"/>
  <c r="O45" i="21"/>
  <c r="O27" i="21"/>
  <c r="O56" i="21"/>
  <c r="O60" i="21"/>
  <c r="O17" i="21"/>
  <c r="O15" i="21"/>
  <c r="O39" i="21"/>
  <c r="O41" i="21"/>
  <c r="R38" i="22"/>
  <c r="O52" i="21"/>
  <c r="R26" i="22"/>
  <c r="O46" i="21"/>
  <c r="O48" i="21"/>
  <c r="O36" i="21"/>
  <c r="O57" i="21"/>
  <c r="O31" i="21"/>
  <c r="O22" i="21"/>
  <c r="O47" i="21"/>
  <c r="O53" i="21"/>
  <c r="O43" i="21"/>
  <c r="O58" i="21"/>
  <c r="R6" i="22"/>
  <c r="I146" i="30"/>
  <c r="J170" i="28"/>
  <c r="S170" i="28" s="1"/>
  <c r="S122" i="28"/>
  <c r="N110" i="36"/>
  <c r="G146" i="36"/>
  <c r="K146" i="34"/>
  <c r="I146" i="29"/>
  <c r="J110" i="37"/>
  <c r="E146" i="37"/>
  <c r="O110" i="35"/>
  <c r="G146" i="35"/>
  <c r="H146" i="31"/>
  <c r="FS52" i="2"/>
  <c r="FU88" i="2"/>
  <c r="FU28" i="2"/>
  <c r="FV40" i="2"/>
  <c r="F77" i="26"/>
  <c r="K77" i="26" s="1"/>
  <c r="F77" i="37"/>
  <c r="K77" i="37" s="1"/>
  <c r="GA77" i="2"/>
  <c r="FR52" i="2"/>
  <c r="F16" i="26"/>
  <c r="K16" i="26" s="1"/>
  <c r="F16" i="37"/>
  <c r="K16" i="37" s="1"/>
  <c r="GA16" i="2"/>
  <c r="GB16" i="2"/>
  <c r="FX40" i="2"/>
  <c r="GD64" i="2"/>
  <c r="FW16" i="2"/>
  <c r="FX4" i="2"/>
  <c r="FQ16" i="2"/>
  <c r="GC28" i="2"/>
  <c r="FV88" i="2"/>
  <c r="GD4" i="2"/>
  <c r="GC40" i="2"/>
  <c r="FY28" i="2"/>
  <c r="FY52" i="2"/>
  <c r="FR16" i="2"/>
  <c r="FS40" i="2"/>
  <c r="GD52" i="2"/>
  <c r="GB28" i="2"/>
  <c r="GB76" i="2"/>
  <c r="FQ52" i="2"/>
  <c r="FW88" i="2"/>
  <c r="FW52" i="2"/>
  <c r="F88" i="37"/>
  <c r="K88" i="37" s="1"/>
  <c r="F88" i="26"/>
  <c r="K88" i="26" s="1"/>
  <c r="GA88" i="2"/>
  <c r="FT16" i="2"/>
  <c r="GD76" i="2"/>
  <c r="FW76" i="2"/>
  <c r="FY4" i="2"/>
  <c r="FS16" i="2"/>
  <c r="FU64" i="2"/>
  <c r="FT52" i="2"/>
  <c r="AH5" i="40"/>
  <c r="AH38" i="40" s="1"/>
  <c r="AJ38" i="40" s="1"/>
  <c r="GB52" i="2"/>
  <c r="GD88" i="2"/>
  <c r="GC4" i="2"/>
  <c r="FW40" i="2"/>
  <c r="GB4" i="2"/>
  <c r="FV4" i="2"/>
  <c r="FV76" i="2"/>
  <c r="F40" i="37"/>
  <c r="K40" i="37" s="1"/>
  <c r="F40" i="26"/>
  <c r="K40" i="26" s="1"/>
  <c r="GA40" i="2"/>
  <c r="FQ4" i="2"/>
  <c r="GD28" i="2"/>
  <c r="I128" i="44"/>
  <c r="I18" i="44"/>
  <c r="F4" i="37"/>
  <c r="K4" i="37" s="1"/>
  <c r="F4" i="26"/>
  <c r="K4" i="26" s="1"/>
  <c r="GA4" i="2"/>
  <c r="F52" i="26"/>
  <c r="K52" i="26" s="1"/>
  <c r="F52" i="37"/>
  <c r="K52" i="37" s="1"/>
  <c r="GA52" i="2"/>
  <c r="GB40" i="2"/>
  <c r="AT12" i="40"/>
  <c r="GC16" i="2"/>
  <c r="FX52" i="2"/>
  <c r="FV52" i="2"/>
  <c r="GB64" i="2"/>
  <c r="FW4" i="2"/>
  <c r="GB88" i="2"/>
  <c r="FS4" i="2"/>
  <c r="FQ28" i="2"/>
  <c r="GC76" i="2"/>
  <c r="FV64" i="2"/>
  <c r="GC64" i="2"/>
  <c r="FV28" i="2"/>
  <c r="GC88" i="2"/>
  <c r="FU76" i="2"/>
  <c r="F28" i="37"/>
  <c r="K28" i="37" s="1"/>
  <c r="F28" i="26"/>
  <c r="K28" i="26" s="1"/>
  <c r="GA28" i="2"/>
  <c r="FV16" i="2"/>
  <c r="FT40" i="2"/>
  <c r="FR40" i="2"/>
  <c r="FY40" i="2"/>
  <c r="FR4" i="2"/>
  <c r="FU16" i="2"/>
  <c r="FU40" i="2"/>
  <c r="F64" i="26"/>
  <c r="K64" i="26" s="1"/>
  <c r="F64" i="37"/>
  <c r="K64" i="37" s="1"/>
  <c r="GA64" i="2"/>
  <c r="FW28" i="2"/>
  <c r="FU52" i="2"/>
  <c r="GC52" i="2"/>
  <c r="J18" i="44"/>
  <c r="J128" i="44"/>
  <c r="FU4" i="2"/>
  <c r="GD40" i="2"/>
  <c r="GD16" i="2"/>
  <c r="FQ40" i="2"/>
  <c r="FW64" i="2"/>
  <c r="AY5" i="27"/>
  <c r="BA5" i="27" s="1"/>
  <c r="W2" i="24"/>
  <c r="O7" i="27"/>
  <c r="Q7" i="27" s="1"/>
  <c r="Y26" i="23"/>
  <c r="AS7" i="27"/>
  <c r="AU7" i="27" s="1"/>
  <c r="AY6" i="27"/>
  <c r="BA6" i="27" s="1"/>
  <c r="W14" i="24"/>
  <c r="AY9" i="27"/>
  <c r="AY8" i="27"/>
  <c r="AY7" i="27"/>
  <c r="BA7" i="27" s="1"/>
  <c r="W26" i="24"/>
  <c r="O4" i="27"/>
  <c r="Q4" i="27" s="1"/>
  <c r="O6" i="27"/>
  <c r="Q6" i="27" s="1"/>
  <c r="V6" i="27"/>
  <c r="X6" i="27" s="1"/>
  <c r="AY4" i="27"/>
  <c r="BA4" i="27" s="1"/>
  <c r="V7" i="27"/>
  <c r="X7" i="27" s="1"/>
  <c r="V5" i="27"/>
  <c r="O5" i="27"/>
  <c r="Q5" i="27" s="1"/>
  <c r="AS4" i="27"/>
  <c r="AU4" i="27" s="1"/>
  <c r="AS5" i="27"/>
  <c r="AU5" i="27" s="1"/>
  <c r="Y14" i="23"/>
  <c r="AS6" i="27"/>
  <c r="AU6" i="27" s="1"/>
  <c r="AO4" i="7"/>
  <c r="AN4" i="7"/>
  <c r="X5" i="7"/>
  <c r="W5" i="7"/>
  <c r="T5" i="7"/>
  <c r="T23" i="7" s="1"/>
  <c r="V5" i="7"/>
  <c r="U5" i="7"/>
  <c r="Y5" i="7"/>
  <c r="X8" i="7"/>
  <c r="Y8" i="7"/>
  <c r="W8" i="7"/>
  <c r="E62" i="7" s="1"/>
  <c r="V8" i="7"/>
  <c r="T8" i="7"/>
  <c r="U8" i="7"/>
  <c r="W4" i="7"/>
  <c r="E58" i="7" s="1"/>
  <c r="V4" i="7"/>
  <c r="Y4" i="7"/>
  <c r="U4" i="7"/>
  <c r="T4" i="7"/>
  <c r="X4" i="7"/>
  <c r="AJ4" i="7"/>
  <c r="AK4" i="7"/>
  <c r="AL4" i="7"/>
  <c r="AI4" i="7"/>
  <c r="AH4" i="7"/>
  <c r="AM4" i="7"/>
  <c r="W6" i="7"/>
  <c r="T6" i="7"/>
  <c r="T24" i="7" s="1"/>
  <c r="Y6" i="7"/>
  <c r="V6" i="7"/>
  <c r="U6" i="7"/>
  <c r="X6" i="7"/>
  <c r="U7" i="7"/>
  <c r="Y7" i="7"/>
  <c r="T7" i="7"/>
  <c r="T25" i="7" s="1"/>
  <c r="X7" i="7"/>
  <c r="V7" i="7"/>
  <c r="W7" i="7"/>
  <c r="X46" i="5"/>
  <c r="K39" i="2" s="1"/>
  <c r="W42" i="5"/>
  <c r="W46" i="5"/>
  <c r="X47" i="5"/>
  <c r="K54" i="2" s="1"/>
  <c r="X42" i="5"/>
  <c r="X44" i="5"/>
  <c r="K23" i="2" s="1"/>
  <c r="X43" i="5"/>
  <c r="K5" i="2" s="1"/>
  <c r="X45" i="5"/>
  <c r="K27" i="2" s="1"/>
  <c r="W44" i="5"/>
  <c r="E21" i="2" s="1"/>
  <c r="W45" i="5"/>
  <c r="E37" i="2" s="1"/>
  <c r="W47" i="5"/>
  <c r="E55" i="2" s="1"/>
  <c r="E164" i="44" l="1"/>
  <c r="F164" i="44"/>
  <c r="G164" i="44"/>
  <c r="I164" i="44"/>
  <c r="J164" i="44"/>
  <c r="M19" i="60"/>
  <c r="W19" i="60"/>
  <c r="D164" i="44"/>
  <c r="K162" i="32"/>
  <c r="M162" i="32" s="1"/>
  <c r="S185" i="31"/>
  <c r="E186" i="32"/>
  <c r="I186" i="32" s="1"/>
  <c r="I174" i="32"/>
  <c r="K140" i="32"/>
  <c r="M140" i="32" s="1"/>
  <c r="E142" i="32"/>
  <c r="I141" i="32"/>
  <c r="E164" i="32"/>
  <c r="I152" i="32"/>
  <c r="L163" i="33"/>
  <c r="F175" i="33"/>
  <c r="I164" i="31"/>
  <c r="Q152" i="31"/>
  <c r="O151" i="33"/>
  <c r="Q151" i="33" s="1"/>
  <c r="I142" i="31"/>
  <c r="Q141" i="31"/>
  <c r="S151" i="31"/>
  <c r="Q163" i="31"/>
  <c r="I175" i="31"/>
  <c r="K151" i="32"/>
  <c r="M151" i="32" s="1"/>
  <c r="Q174" i="31"/>
  <c r="I186" i="31"/>
  <c r="Q186" i="31" s="1"/>
  <c r="E175" i="32"/>
  <c r="I163" i="32"/>
  <c r="O173" i="33"/>
  <c r="Q173" i="33" s="1"/>
  <c r="K185" i="32"/>
  <c r="M185" i="32" s="1"/>
  <c r="O140" i="33"/>
  <c r="Q140" i="33" s="1"/>
  <c r="O185" i="33"/>
  <c r="Q185" i="33" s="1"/>
  <c r="K173" i="32"/>
  <c r="M173" i="32" s="1"/>
  <c r="O162" i="33"/>
  <c r="Q162" i="33" s="1"/>
  <c r="L152" i="33"/>
  <c r="F164" i="33"/>
  <c r="F186" i="33"/>
  <c r="L186" i="33" s="1"/>
  <c r="L174" i="33"/>
  <c r="L141" i="33"/>
  <c r="F142" i="33"/>
  <c r="AY7" i="39"/>
  <c r="D7" i="73" s="1"/>
  <c r="K19" i="40"/>
  <c r="AY8" i="39"/>
  <c r="E7" i="73" s="1"/>
  <c r="K20" i="40"/>
  <c r="AY9" i="39"/>
  <c r="F7" i="73" s="1"/>
  <c r="K21" i="40"/>
  <c r="BJ10" i="39"/>
  <c r="G8" i="73" s="1"/>
  <c r="S22" i="40"/>
  <c r="BJ9" i="39"/>
  <c r="F8" i="73" s="1"/>
  <c r="S21" i="40"/>
  <c r="BJ7" i="39"/>
  <c r="D8" i="73" s="1"/>
  <c r="S19" i="40"/>
  <c r="BJ8" i="39"/>
  <c r="E8" i="73" s="1"/>
  <c r="S20" i="40"/>
  <c r="AY10" i="39"/>
  <c r="G7" i="73" s="1"/>
  <c r="K22" i="40"/>
  <c r="BA26" i="40"/>
  <c r="BA27" i="40" s="1"/>
  <c r="BA28" i="40" s="1"/>
  <c r="BA29" i="40" s="1"/>
  <c r="BA30" i="40" s="1"/>
  <c r="BA31" i="40" s="1"/>
  <c r="BA32" i="40" s="1"/>
  <c r="BA33" i="40" s="1"/>
  <c r="T143" i="10" s="1"/>
  <c r="T147" i="10" s="1"/>
  <c r="BA24" i="40"/>
  <c r="BA23" i="40" s="1"/>
  <c r="BA22" i="40" s="1"/>
  <c r="E26" i="40"/>
  <c r="E27" i="40" s="1"/>
  <c r="E28" i="40" s="1"/>
  <c r="E29" i="40" s="1"/>
  <c r="E30" i="40" s="1"/>
  <c r="E31" i="40" s="1"/>
  <c r="E32" i="40" s="1"/>
  <c r="E33" i="40" s="1"/>
  <c r="E24" i="40"/>
  <c r="E23" i="40" s="1"/>
  <c r="E22" i="40" s="1"/>
  <c r="E21" i="40" s="1"/>
  <c r="E20" i="40" s="1"/>
  <c r="E19" i="40" s="1"/>
  <c r="E18" i="40" s="1"/>
  <c r="AN7" i="39"/>
  <c r="D6" i="73" s="1"/>
  <c r="C19" i="40"/>
  <c r="AN8" i="39"/>
  <c r="E6" i="73" s="1"/>
  <c r="C20" i="40"/>
  <c r="F25" i="40"/>
  <c r="AY36" i="14"/>
  <c r="BW35" i="14"/>
  <c r="AL36" i="14"/>
  <c r="AP36" i="14"/>
  <c r="AH35" i="14"/>
  <c r="L36" i="14"/>
  <c r="C44" i="60"/>
  <c r="C43" i="60"/>
  <c r="H35" i="14"/>
  <c r="BO36" i="14"/>
  <c r="AU36" i="14"/>
  <c r="BI35" i="14"/>
  <c r="BC36" i="14"/>
  <c r="D35" i="14"/>
  <c r="BS36" i="14"/>
  <c r="V36" i="14"/>
  <c r="F30" i="40"/>
  <c r="F33" i="40"/>
  <c r="F28" i="40"/>
  <c r="F26" i="40"/>
  <c r="F32" i="40"/>
  <c r="F31" i="40"/>
  <c r="F29" i="40"/>
  <c r="F27" i="40"/>
  <c r="AD28" i="40"/>
  <c r="AD31" i="40"/>
  <c r="AD33" i="40"/>
  <c r="AD32" i="40"/>
  <c r="AD25" i="40"/>
  <c r="AD30" i="40"/>
  <c r="AD27" i="40"/>
  <c r="AD26" i="40"/>
  <c r="BB31" i="40"/>
  <c r="BB33" i="40"/>
  <c r="BB26" i="40"/>
  <c r="BB27" i="40"/>
  <c r="BB25" i="40"/>
  <c r="BB30" i="40"/>
  <c r="BB28" i="40"/>
  <c r="BB32" i="40"/>
  <c r="BB29" i="40"/>
  <c r="AD29" i="40"/>
  <c r="M86" i="37"/>
  <c r="M97" i="37"/>
  <c r="J86" i="7"/>
  <c r="AI83" i="7" s="1"/>
  <c r="AQ10" i="7"/>
  <c r="AP28" i="7"/>
  <c r="H159" i="44"/>
  <c r="H163" i="44"/>
  <c r="I158" i="44"/>
  <c r="H161" i="44"/>
  <c r="D159" i="44"/>
  <c r="T26" i="7"/>
  <c r="J158" i="44"/>
  <c r="F161" i="44"/>
  <c r="F163" i="44"/>
  <c r="F158" i="44"/>
  <c r="D166" i="44"/>
  <c r="I163" i="44"/>
  <c r="G159" i="44"/>
  <c r="D158" i="44"/>
  <c r="G158" i="44"/>
  <c r="I159" i="44"/>
  <c r="D161" i="44"/>
  <c r="F166" i="44"/>
  <c r="J163" i="44"/>
  <c r="J161" i="44"/>
  <c r="E161" i="44"/>
  <c r="G166" i="44"/>
  <c r="H158" i="44"/>
  <c r="G161" i="44"/>
  <c r="G163" i="44"/>
  <c r="I161" i="44"/>
  <c r="F159" i="44"/>
  <c r="D163" i="44"/>
  <c r="H166" i="44"/>
  <c r="E163" i="44"/>
  <c r="H164" i="44"/>
  <c r="E166" i="44"/>
  <c r="E159" i="44"/>
  <c r="J159" i="44"/>
  <c r="H167" i="44"/>
  <c r="E158" i="44"/>
  <c r="F186" i="51"/>
  <c r="M117" i="51"/>
  <c r="G100" i="2" s="1"/>
  <c r="E90" i="7"/>
  <c r="AK32" i="7"/>
  <c r="G90" i="7"/>
  <c r="AM32" i="7"/>
  <c r="AK22" i="7"/>
  <c r="H81" i="7"/>
  <c r="AN23" i="7"/>
  <c r="G81" i="7"/>
  <c r="AM23" i="7"/>
  <c r="F81" i="7"/>
  <c r="AL23" i="7"/>
  <c r="E81" i="7"/>
  <c r="AK23" i="7"/>
  <c r="AJ22" i="7"/>
  <c r="AN22" i="7"/>
  <c r="AJ23" i="7"/>
  <c r="AL22" i="7"/>
  <c r="AO22" i="7"/>
  <c r="AP5" i="7"/>
  <c r="AO23" i="7"/>
  <c r="AJ32" i="7"/>
  <c r="AP14" i="7"/>
  <c r="AO32" i="7"/>
  <c r="AM22" i="7"/>
  <c r="H90" i="7"/>
  <c r="AN32" i="7"/>
  <c r="F90" i="7"/>
  <c r="AL32" i="7"/>
  <c r="X5" i="27"/>
  <c r="FD28" i="3"/>
  <c r="FD124" i="3"/>
  <c r="FD52" i="3"/>
  <c r="FD64" i="3"/>
  <c r="FD40" i="3"/>
  <c r="FD88" i="3"/>
  <c r="FD112" i="3"/>
  <c r="FD76" i="3"/>
  <c r="FD101" i="3"/>
  <c r="P36" i="14"/>
  <c r="EZ40" i="3"/>
  <c r="EX64" i="3"/>
  <c r="EZ64" i="3"/>
  <c r="FB28" i="3"/>
  <c r="EX52" i="3"/>
  <c r="FA64" i="3"/>
  <c r="EY52" i="3"/>
  <c r="EW64" i="3"/>
  <c r="FA76" i="3"/>
  <c r="EY76" i="3"/>
  <c r="FA52" i="3"/>
  <c r="EW52" i="3"/>
  <c r="EZ76" i="3"/>
  <c r="EY28" i="3"/>
  <c r="EW76" i="3"/>
  <c r="EY64" i="3"/>
  <c r="FA40" i="3"/>
  <c r="EW40" i="3"/>
  <c r="FA28" i="3"/>
  <c r="EY40" i="3"/>
  <c r="FB76" i="3"/>
  <c r="EX76" i="3"/>
  <c r="EX28" i="3"/>
  <c r="FB52" i="3"/>
  <c r="EZ28" i="3"/>
  <c r="FB64" i="3"/>
  <c r="EX40" i="3"/>
  <c r="EW28" i="3"/>
  <c r="FB40" i="3"/>
  <c r="AL6" i="39"/>
  <c r="AO6" i="39"/>
  <c r="M5" i="40"/>
  <c r="N5" i="40" s="1"/>
  <c r="H133" i="44"/>
  <c r="M40" i="37"/>
  <c r="O40" i="37" s="1"/>
  <c r="M77" i="26"/>
  <c r="O77" i="26" s="1"/>
  <c r="M109" i="26"/>
  <c r="O109" i="26" s="1"/>
  <c r="M16" i="37"/>
  <c r="O16" i="37" s="1"/>
  <c r="M16" i="26"/>
  <c r="O16" i="26" s="1"/>
  <c r="M77" i="37"/>
  <c r="O77" i="37" s="1"/>
  <c r="M88" i="26"/>
  <c r="O88" i="26" s="1"/>
  <c r="M28" i="26"/>
  <c r="O28" i="26" s="1"/>
  <c r="M88" i="37"/>
  <c r="M100" i="26"/>
  <c r="O100" i="26" s="1"/>
  <c r="M52" i="37"/>
  <c r="O52" i="37" s="1"/>
  <c r="M28" i="37"/>
  <c r="O28" i="37" s="1"/>
  <c r="M40" i="26"/>
  <c r="O40" i="26" s="1"/>
  <c r="M4" i="26"/>
  <c r="O4" i="26" s="1"/>
  <c r="M4" i="37"/>
  <c r="O4" i="37" s="1"/>
  <c r="M52" i="26"/>
  <c r="O52" i="26" s="1"/>
  <c r="M87" i="37"/>
  <c r="O87" i="37" s="1"/>
  <c r="M64" i="37"/>
  <c r="O64" i="37" s="1"/>
  <c r="M98" i="26"/>
  <c r="O98" i="26" s="1"/>
  <c r="M64" i="26"/>
  <c r="O64" i="26" s="1"/>
  <c r="S87" i="31"/>
  <c r="S90" i="31"/>
  <c r="S86" i="31"/>
  <c r="S96" i="31"/>
  <c r="S88" i="31"/>
  <c r="S93" i="31"/>
  <c r="S91" i="31"/>
  <c r="S97" i="31"/>
  <c r="S92" i="31"/>
  <c r="S94" i="31"/>
  <c r="S89" i="31"/>
  <c r="S95" i="31"/>
  <c r="U2" i="18"/>
  <c r="G36" i="14"/>
  <c r="AJ5" i="40"/>
  <c r="AK7" i="40" s="1"/>
  <c r="AL5" i="40"/>
  <c r="F37" i="2"/>
  <c r="F55" i="2"/>
  <c r="F21" i="2"/>
  <c r="R44" i="22"/>
  <c r="S44" i="22" s="1"/>
  <c r="R12" i="22"/>
  <c r="S12" i="22" s="1"/>
  <c r="R17" i="22"/>
  <c r="S17" i="22" s="1"/>
  <c r="R16" i="22"/>
  <c r="S16" i="22" s="1"/>
  <c r="R7" i="22"/>
  <c r="S7" i="22" s="1"/>
  <c r="R35" i="22"/>
  <c r="S35" i="22" s="1"/>
  <c r="R47" i="22"/>
  <c r="S47" i="22" s="1"/>
  <c r="R43" i="22"/>
  <c r="S43" i="22" s="1"/>
  <c r="R56" i="22"/>
  <c r="S56" i="22" s="1"/>
  <c r="R60" i="22"/>
  <c r="S60" i="22" s="1"/>
  <c r="R39" i="22"/>
  <c r="S39" i="22" s="1"/>
  <c r="R27" i="22"/>
  <c r="S27" i="22" s="1"/>
  <c r="R32" i="22"/>
  <c r="S32" i="22" s="1"/>
  <c r="R10" i="22"/>
  <c r="S10" i="22" s="1"/>
  <c r="R8" i="22"/>
  <c r="S8" i="22" s="1"/>
  <c r="R29" i="22"/>
  <c r="S29" i="22" s="1"/>
  <c r="R30" i="22"/>
  <c r="S30" i="22" s="1"/>
  <c r="R4" i="22"/>
  <c r="S4" i="22" s="1"/>
  <c r="R57" i="22"/>
  <c r="S57" i="22" s="1"/>
  <c r="R3" i="22"/>
  <c r="S3" i="22" s="1"/>
  <c r="R24" i="22"/>
  <c r="S24" i="22" s="1"/>
  <c r="R15" i="22"/>
  <c r="S15" i="22" s="1"/>
  <c r="R40" i="22"/>
  <c r="S40" i="22" s="1"/>
  <c r="R45" i="22"/>
  <c r="S45" i="22" s="1"/>
  <c r="R55" i="22"/>
  <c r="S55" i="22" s="1"/>
  <c r="R18" i="22"/>
  <c r="S18" i="22" s="1"/>
  <c r="R20" i="22"/>
  <c r="S20" i="22" s="1"/>
  <c r="R34" i="22"/>
  <c r="S34" i="22" s="1"/>
  <c r="R58" i="22"/>
  <c r="S58" i="22" s="1"/>
  <c r="R52" i="22"/>
  <c r="S52" i="22" s="1"/>
  <c r="R11" i="22"/>
  <c r="S11" i="22" s="1"/>
  <c r="R46" i="22"/>
  <c r="S46" i="22" s="1"/>
  <c r="R33" i="22"/>
  <c r="S33" i="22" s="1"/>
  <c r="R54" i="22"/>
  <c r="S54" i="22" s="1"/>
  <c r="R23" i="22"/>
  <c r="S23" i="22" s="1"/>
  <c r="R42" i="22"/>
  <c r="S42" i="22" s="1"/>
  <c r="R53" i="22"/>
  <c r="S53" i="22" s="1"/>
  <c r="R41" i="22"/>
  <c r="S41" i="22" s="1"/>
  <c r="R31" i="22"/>
  <c r="S31" i="22" s="1"/>
  <c r="R19" i="22"/>
  <c r="S19" i="22" s="1"/>
  <c r="R48" i="22"/>
  <c r="S48" i="22" s="1"/>
  <c r="R5" i="22"/>
  <c r="S5" i="22" s="1"/>
  <c r="K117" i="51"/>
  <c r="G83" i="2" s="1"/>
  <c r="N117" i="51"/>
  <c r="G112" i="2" s="1"/>
  <c r="V112" i="28" s="1"/>
  <c r="P117" i="51"/>
  <c r="S117" i="51"/>
  <c r="V178" i="28" s="1"/>
  <c r="T117" i="51"/>
  <c r="V184" i="28" s="1"/>
  <c r="O117" i="51"/>
  <c r="V133" i="28" s="1"/>
  <c r="F117" i="51"/>
  <c r="R117" i="51"/>
  <c r="V168" i="28" s="1"/>
  <c r="H117" i="51"/>
  <c r="G49" i="2" s="1"/>
  <c r="J117" i="51"/>
  <c r="G66" i="2" s="1"/>
  <c r="Q117" i="51"/>
  <c r="V148" i="28" s="1"/>
  <c r="I117" i="51"/>
  <c r="G61" i="2" s="1"/>
  <c r="L117" i="51"/>
  <c r="G86" i="2" s="1"/>
  <c r="G117" i="51"/>
  <c r="G118" i="51"/>
  <c r="M36" i="2" s="1"/>
  <c r="H118" i="51"/>
  <c r="M49" i="2" s="1"/>
  <c r="I118" i="51"/>
  <c r="M54" i="2" s="1"/>
  <c r="L118" i="51"/>
  <c r="M93" i="2" s="1"/>
  <c r="K118" i="51"/>
  <c r="M79" i="2" s="1"/>
  <c r="P118" i="51"/>
  <c r="N118" i="51"/>
  <c r="M120" i="2" s="1"/>
  <c r="T120" i="29" s="1"/>
  <c r="Q118" i="51"/>
  <c r="R118" i="51"/>
  <c r="O118" i="51"/>
  <c r="S118" i="51"/>
  <c r="T118" i="51"/>
  <c r="J118" i="51"/>
  <c r="M63" i="2" s="1"/>
  <c r="M118" i="51"/>
  <c r="M105" i="2" s="1"/>
  <c r="F118" i="51"/>
  <c r="F2" i="2"/>
  <c r="U22" i="7"/>
  <c r="V22" i="7"/>
  <c r="AJ83" i="7"/>
  <c r="AH83" i="7"/>
  <c r="F80" i="7"/>
  <c r="E80" i="7"/>
  <c r="X32" i="7"/>
  <c r="H80" i="7"/>
  <c r="V32" i="7"/>
  <c r="G80" i="7"/>
  <c r="J64" i="7"/>
  <c r="T83" i="7" s="1"/>
  <c r="Y24" i="7"/>
  <c r="Y32" i="7"/>
  <c r="W32" i="7"/>
  <c r="T22" i="7"/>
  <c r="T9" i="7"/>
  <c r="T51" i="7" s="1"/>
  <c r="H128" i="5" s="1"/>
  <c r="AB11" i="5" s="1"/>
  <c r="AB9" i="7"/>
  <c r="Z9" i="7"/>
  <c r="U9" i="7"/>
  <c r="AC9" i="7"/>
  <c r="AA9" i="7"/>
  <c r="AD9" i="7"/>
  <c r="AD18" i="7" s="1"/>
  <c r="V9" i="7"/>
  <c r="V49" i="7" s="1"/>
  <c r="W9" i="7"/>
  <c r="W48" i="7" s="1"/>
  <c r="X9" i="7"/>
  <c r="X49" i="7" s="1"/>
  <c r="F10" i="8" s="1"/>
  <c r="Y9" i="7"/>
  <c r="Y49" i="7" s="1"/>
  <c r="I10" i="8" s="1"/>
  <c r="X24" i="7"/>
  <c r="Z32" i="7"/>
  <c r="D68" i="7"/>
  <c r="U32" i="7"/>
  <c r="C68" i="7"/>
  <c r="E68" i="7"/>
  <c r="AA32" i="7"/>
  <c r="H68" i="7"/>
  <c r="AI32" i="7"/>
  <c r="AH32" i="7"/>
  <c r="G68" i="7"/>
  <c r="F68" i="7"/>
  <c r="R100" i="51"/>
  <c r="T100" i="51"/>
  <c r="S100" i="51"/>
  <c r="S110" i="35"/>
  <c r="H161" i="31"/>
  <c r="P161" i="31" s="1"/>
  <c r="P125" i="31"/>
  <c r="S87" i="35"/>
  <c r="N109" i="36"/>
  <c r="G145" i="36"/>
  <c r="P107" i="30"/>
  <c r="I143" i="30"/>
  <c r="P130" i="30"/>
  <c r="I166" i="30"/>
  <c r="P166" i="30" s="1"/>
  <c r="S100" i="28"/>
  <c r="J148" i="28"/>
  <c r="S148" i="28" s="1"/>
  <c r="I158" i="29"/>
  <c r="Q158" i="29" s="1"/>
  <c r="Q122" i="29"/>
  <c r="H165" i="31"/>
  <c r="P165" i="31" s="1"/>
  <c r="P129" i="31"/>
  <c r="I159" i="30"/>
  <c r="P159" i="30" s="1"/>
  <c r="P123" i="30"/>
  <c r="K163" i="34"/>
  <c r="T163" i="34" s="1"/>
  <c r="T127" i="34"/>
  <c r="O97" i="37"/>
  <c r="J187" i="28"/>
  <c r="S187" i="28" s="1"/>
  <c r="S139" i="28"/>
  <c r="G164" i="35"/>
  <c r="O164" i="35" s="1"/>
  <c r="O128" i="35"/>
  <c r="Q90" i="30"/>
  <c r="P101" i="30"/>
  <c r="I137" i="30"/>
  <c r="U164" i="28"/>
  <c r="T107" i="34"/>
  <c r="K143" i="34"/>
  <c r="Q94" i="30"/>
  <c r="P102" i="31"/>
  <c r="H138" i="31"/>
  <c r="P105" i="30"/>
  <c r="I141" i="30"/>
  <c r="H169" i="31"/>
  <c r="P169" i="31" s="1"/>
  <c r="P133" i="31"/>
  <c r="E163" i="37"/>
  <c r="J163" i="37" s="1"/>
  <c r="J127" i="37"/>
  <c r="S86" i="29"/>
  <c r="Q87" i="30"/>
  <c r="P98" i="31"/>
  <c r="H134" i="31"/>
  <c r="U91" i="34"/>
  <c r="I168" i="29"/>
  <c r="Q168" i="29" s="1"/>
  <c r="Q132" i="29"/>
  <c r="H166" i="31"/>
  <c r="P166" i="31" s="1"/>
  <c r="P130" i="31"/>
  <c r="H159" i="31"/>
  <c r="P159" i="31" s="1"/>
  <c r="P123" i="31"/>
  <c r="S92" i="35"/>
  <c r="Q101" i="29"/>
  <c r="I137" i="29"/>
  <c r="Q104" i="29"/>
  <c r="I140" i="29"/>
  <c r="J193" i="28"/>
  <c r="S193" i="28" s="1"/>
  <c r="S145" i="28"/>
  <c r="P108" i="30"/>
  <c r="I144" i="30"/>
  <c r="Q171" i="36"/>
  <c r="N107" i="36"/>
  <c r="G143" i="36"/>
  <c r="J192" i="28"/>
  <c r="S192" i="28" s="1"/>
  <c r="S144" i="28"/>
  <c r="T102" i="34"/>
  <c r="K138" i="34"/>
  <c r="J105" i="37"/>
  <c r="E141" i="37"/>
  <c r="G168" i="36"/>
  <c r="N168" i="36" s="1"/>
  <c r="N132" i="36"/>
  <c r="J191" i="28"/>
  <c r="S191" i="28" s="1"/>
  <c r="S143" i="28"/>
  <c r="G166" i="36"/>
  <c r="N166" i="36" s="1"/>
  <c r="N130" i="36"/>
  <c r="P98" i="30"/>
  <c r="I134" i="30"/>
  <c r="J125" i="37"/>
  <c r="E161" i="37"/>
  <c r="J161" i="37" s="1"/>
  <c r="E166" i="37"/>
  <c r="J166" i="37" s="1"/>
  <c r="J130" i="37"/>
  <c r="S96" i="29"/>
  <c r="J154" i="28"/>
  <c r="S154" i="28" s="1"/>
  <c r="J182" i="28"/>
  <c r="S182" i="28" s="1"/>
  <c r="S134" i="28"/>
  <c r="P101" i="31"/>
  <c r="H137" i="31"/>
  <c r="U97" i="28"/>
  <c r="N108" i="36"/>
  <c r="G144" i="36"/>
  <c r="Q135" i="36"/>
  <c r="I165" i="30"/>
  <c r="P165" i="30" s="1"/>
  <c r="P129" i="30"/>
  <c r="P109" i="30"/>
  <c r="I145" i="30"/>
  <c r="J107" i="37"/>
  <c r="E143" i="37"/>
  <c r="U96" i="28"/>
  <c r="N102" i="36"/>
  <c r="G138" i="36"/>
  <c r="H167" i="31"/>
  <c r="P167" i="31" s="1"/>
  <c r="P131" i="31"/>
  <c r="Q96" i="36"/>
  <c r="T100" i="34"/>
  <c r="K136" i="34"/>
  <c r="U95" i="28"/>
  <c r="Q86" i="30"/>
  <c r="Q94" i="36"/>
  <c r="H158" i="31"/>
  <c r="P158" i="31" s="1"/>
  <c r="P122" i="31"/>
  <c r="Q106" i="29"/>
  <c r="I142" i="29"/>
  <c r="U86" i="28"/>
  <c r="J190" i="28"/>
  <c r="S190" i="28" s="1"/>
  <c r="S142" i="28"/>
  <c r="U158" i="28"/>
  <c r="Q100" i="51"/>
  <c r="E164" i="37"/>
  <c r="J164" i="37" s="1"/>
  <c r="J128" i="37"/>
  <c r="G162" i="35"/>
  <c r="O162" i="35" s="1"/>
  <c r="O126" i="35"/>
  <c r="Q93" i="30"/>
  <c r="O109" i="35"/>
  <c r="G145" i="35"/>
  <c r="O107" i="35"/>
  <c r="G143" i="35"/>
  <c r="E159" i="37"/>
  <c r="J159" i="37" s="1"/>
  <c r="J123" i="37"/>
  <c r="I158" i="30"/>
  <c r="P158" i="30" s="1"/>
  <c r="P122" i="30"/>
  <c r="U89" i="28"/>
  <c r="S98" i="28"/>
  <c r="J146" i="28"/>
  <c r="S146" i="28" s="1"/>
  <c r="T103" i="34"/>
  <c r="K139" i="34"/>
  <c r="H160" i="31"/>
  <c r="P160" i="31" s="1"/>
  <c r="P124" i="31"/>
  <c r="P106" i="30"/>
  <c r="I142" i="30"/>
  <c r="U94" i="28"/>
  <c r="S104" i="28"/>
  <c r="J152" i="28"/>
  <c r="S152" i="28" s="1"/>
  <c r="S95" i="35"/>
  <c r="P100" i="51"/>
  <c r="S90" i="35"/>
  <c r="Q133" i="29"/>
  <c r="I169" i="29"/>
  <c r="Q169" i="29" s="1"/>
  <c r="J157" i="28"/>
  <c r="S157" i="28" s="1"/>
  <c r="H164" i="31"/>
  <c r="P164" i="31" s="1"/>
  <c r="P128" i="31"/>
  <c r="Q105" i="29"/>
  <c r="I141" i="29"/>
  <c r="I167" i="29"/>
  <c r="Q167" i="29" s="1"/>
  <c r="Q131" i="29"/>
  <c r="P100" i="30"/>
  <c r="I136" i="30"/>
  <c r="U161" i="28"/>
  <c r="J185" i="28"/>
  <c r="S185" i="28" s="1"/>
  <c r="S137" i="28"/>
  <c r="U168" i="28"/>
  <c r="P103" i="31"/>
  <c r="H139" i="31"/>
  <c r="I165" i="29"/>
  <c r="Q165" i="29" s="1"/>
  <c r="Q129" i="29"/>
  <c r="T104" i="34"/>
  <c r="K140" i="34"/>
  <c r="G167" i="35"/>
  <c r="O167" i="35" s="1"/>
  <c r="O131" i="35"/>
  <c r="O108" i="35"/>
  <c r="G144" i="35"/>
  <c r="O129" i="35"/>
  <c r="G165" i="35"/>
  <c r="O165" i="35" s="1"/>
  <c r="N124" i="36"/>
  <c r="G160" i="36"/>
  <c r="N160" i="36" s="1"/>
  <c r="S97" i="29"/>
  <c r="T109" i="34"/>
  <c r="K145" i="34"/>
  <c r="P107" i="31"/>
  <c r="H143" i="31"/>
  <c r="N105" i="36"/>
  <c r="G141" i="36"/>
  <c r="N123" i="36"/>
  <c r="G159" i="36"/>
  <c r="N159" i="36" s="1"/>
  <c r="S95" i="29"/>
  <c r="K162" i="34"/>
  <c r="T162" i="34" s="1"/>
  <c r="T126" i="34"/>
  <c r="U96" i="34"/>
  <c r="J131" i="37"/>
  <c r="E167" i="37"/>
  <c r="J167" i="37" s="1"/>
  <c r="N133" i="36"/>
  <c r="G169" i="36"/>
  <c r="N169" i="36" s="1"/>
  <c r="P127" i="31"/>
  <c r="H163" i="31"/>
  <c r="P163" i="31" s="1"/>
  <c r="J106" i="37"/>
  <c r="E142" i="37"/>
  <c r="G160" i="35"/>
  <c r="O160" i="35" s="1"/>
  <c r="O124" i="35"/>
  <c r="S93" i="29"/>
  <c r="O104" i="35"/>
  <c r="G140" i="35"/>
  <c r="E162" i="37"/>
  <c r="J162" i="37" s="1"/>
  <c r="J126" i="37"/>
  <c r="J108" i="37"/>
  <c r="E144" i="37"/>
  <c r="S93" i="35"/>
  <c r="Q88" i="36"/>
  <c r="G158" i="36"/>
  <c r="N158" i="36" s="1"/>
  <c r="N122" i="36"/>
  <c r="J109" i="37"/>
  <c r="E145" i="37"/>
  <c r="J155" i="28"/>
  <c r="S155" i="28" s="1"/>
  <c r="O86" i="37"/>
  <c r="Q87" i="36"/>
  <c r="Q123" i="29"/>
  <c r="I159" i="29"/>
  <c r="Q159" i="29" s="1"/>
  <c r="U90" i="34"/>
  <c r="J98" i="37"/>
  <c r="E134" i="37"/>
  <c r="K168" i="34"/>
  <c r="T168" i="34" s="1"/>
  <c r="T132" i="34"/>
  <c r="Q97" i="36"/>
  <c r="S88" i="35"/>
  <c r="S101" i="28"/>
  <c r="J149" i="28"/>
  <c r="S149" i="28" s="1"/>
  <c r="O125" i="35"/>
  <c r="G161" i="35"/>
  <c r="O161" i="35" s="1"/>
  <c r="J104" i="37"/>
  <c r="E140" i="37"/>
  <c r="Q110" i="36"/>
  <c r="K158" i="34"/>
  <c r="T158" i="34" s="1"/>
  <c r="T122" i="34"/>
  <c r="G158" i="35"/>
  <c r="O158" i="35" s="1"/>
  <c r="O122" i="35"/>
  <c r="G166" i="35"/>
  <c r="O166" i="35" s="1"/>
  <c r="O130" i="35"/>
  <c r="Q86" i="36"/>
  <c r="E158" i="37"/>
  <c r="J158" i="37" s="1"/>
  <c r="J122" i="37"/>
  <c r="S105" i="28"/>
  <c r="J153" i="28"/>
  <c r="S153" i="28" s="1"/>
  <c r="S87" i="29"/>
  <c r="P100" i="31"/>
  <c r="H136" i="31"/>
  <c r="S89" i="29"/>
  <c r="I160" i="30"/>
  <c r="P160" i="30" s="1"/>
  <c r="P124" i="30"/>
  <c r="O98" i="35"/>
  <c r="G134" i="35"/>
  <c r="H168" i="31"/>
  <c r="P168" i="31" s="1"/>
  <c r="P132" i="31"/>
  <c r="N103" i="36"/>
  <c r="G139" i="36"/>
  <c r="G169" i="35"/>
  <c r="O169" i="35" s="1"/>
  <c r="O133" i="35"/>
  <c r="N106" i="36"/>
  <c r="G142" i="36"/>
  <c r="Q91" i="36"/>
  <c r="I164" i="30"/>
  <c r="P164" i="30" s="1"/>
  <c r="P128" i="30"/>
  <c r="N101" i="36"/>
  <c r="G137" i="36"/>
  <c r="S89" i="35"/>
  <c r="K166" i="34"/>
  <c r="T166" i="34" s="1"/>
  <c r="T130" i="34"/>
  <c r="U86" i="34"/>
  <c r="S86" i="35"/>
  <c r="S94" i="35"/>
  <c r="Q109" i="29"/>
  <c r="I145" i="29"/>
  <c r="S90" i="29"/>
  <c r="G161" i="36"/>
  <c r="N161" i="36" s="1"/>
  <c r="N125" i="36"/>
  <c r="H162" i="31"/>
  <c r="P162" i="31" s="1"/>
  <c r="P126" i="31"/>
  <c r="O100" i="35"/>
  <c r="G136" i="35"/>
  <c r="Q125" i="29"/>
  <c r="I161" i="29"/>
  <c r="Q161" i="29" s="1"/>
  <c r="Q88" i="30"/>
  <c r="T131" i="34"/>
  <c r="K167" i="34"/>
  <c r="T167" i="34" s="1"/>
  <c r="P125" i="30"/>
  <c r="I161" i="30"/>
  <c r="P161" i="30" s="1"/>
  <c r="S97" i="35"/>
  <c r="T106" i="34"/>
  <c r="K142" i="34"/>
  <c r="G163" i="36"/>
  <c r="N163" i="36" s="1"/>
  <c r="N127" i="36"/>
  <c r="Q92" i="30"/>
  <c r="T101" i="34"/>
  <c r="K137" i="34"/>
  <c r="T133" i="34"/>
  <c r="K169" i="34"/>
  <c r="T169" i="34" s="1"/>
  <c r="U94" i="34"/>
  <c r="P109" i="31"/>
  <c r="H145" i="31"/>
  <c r="I162" i="29"/>
  <c r="Q162" i="29" s="1"/>
  <c r="Q126" i="29"/>
  <c r="Q95" i="36"/>
  <c r="J102" i="37"/>
  <c r="E138" i="37"/>
  <c r="Q89" i="36"/>
  <c r="P105" i="31"/>
  <c r="H141" i="31"/>
  <c r="I163" i="29"/>
  <c r="Q163" i="29" s="1"/>
  <c r="Q127" i="29"/>
  <c r="U167" i="28"/>
  <c r="Q100" i="29"/>
  <c r="I136" i="29"/>
  <c r="Q93" i="36"/>
  <c r="G163" i="35"/>
  <c r="O163" i="35" s="1"/>
  <c r="O127" i="35"/>
  <c r="U160" i="28"/>
  <c r="U95" i="34"/>
  <c r="Q98" i="29"/>
  <c r="I134" i="29"/>
  <c r="Q89" i="30"/>
  <c r="G168" i="35"/>
  <c r="O168" i="35" s="1"/>
  <c r="O132" i="35"/>
  <c r="I166" i="29"/>
  <c r="Q166" i="29" s="1"/>
  <c r="Q130" i="29"/>
  <c r="J101" i="37"/>
  <c r="E137" i="37"/>
  <c r="U97" i="34"/>
  <c r="P104" i="30"/>
  <c r="I140" i="30"/>
  <c r="J156" i="28"/>
  <c r="S156" i="28" s="1"/>
  <c r="N131" i="36"/>
  <c r="G167" i="36"/>
  <c r="N167" i="36" s="1"/>
  <c r="Q102" i="29"/>
  <c r="I138" i="29"/>
  <c r="J129" i="37"/>
  <c r="E165" i="37"/>
  <c r="J165" i="37" s="1"/>
  <c r="T105" i="34"/>
  <c r="K141" i="34"/>
  <c r="S91" i="29"/>
  <c r="G162" i="36"/>
  <c r="N162" i="36" s="1"/>
  <c r="N126" i="36"/>
  <c r="G165" i="36"/>
  <c r="N165" i="36" s="1"/>
  <c r="N129" i="36"/>
  <c r="S91" i="35"/>
  <c r="J184" i="28"/>
  <c r="S184" i="28" s="1"/>
  <c r="S136" i="28"/>
  <c r="T98" i="34"/>
  <c r="K134" i="34"/>
  <c r="U165" i="28"/>
  <c r="J189" i="28"/>
  <c r="S189" i="28" s="1"/>
  <c r="S141" i="28"/>
  <c r="U90" i="28"/>
  <c r="I164" i="29"/>
  <c r="Q164" i="29" s="1"/>
  <c r="Q128" i="29"/>
  <c r="Q103" i="29"/>
  <c r="I139" i="29"/>
  <c r="S96" i="35"/>
  <c r="S94" i="29"/>
  <c r="E168" i="37"/>
  <c r="J168" i="37" s="1"/>
  <c r="J132" i="37"/>
  <c r="I100" i="51"/>
  <c r="P108" i="31"/>
  <c r="H144" i="31"/>
  <c r="U169" i="28"/>
  <c r="Q107" i="29"/>
  <c r="I143" i="29"/>
  <c r="U166" i="28"/>
  <c r="O102" i="35"/>
  <c r="G138" i="35"/>
  <c r="O105" i="35"/>
  <c r="G141" i="35"/>
  <c r="Q90" i="36"/>
  <c r="I168" i="30"/>
  <c r="P168" i="30" s="1"/>
  <c r="P132" i="30"/>
  <c r="U88" i="28"/>
  <c r="U93" i="28"/>
  <c r="J186" i="28"/>
  <c r="S186" i="28" s="1"/>
  <c r="S138" i="28"/>
  <c r="S92" i="29"/>
  <c r="S103" i="28"/>
  <c r="J151" i="28"/>
  <c r="S151" i="28" s="1"/>
  <c r="T128" i="34"/>
  <c r="K164" i="34"/>
  <c r="T164" i="34" s="1"/>
  <c r="P106" i="31"/>
  <c r="H142" i="31"/>
  <c r="H185" i="51"/>
  <c r="H194" i="51" s="1"/>
  <c r="T108" i="34"/>
  <c r="K144" i="34"/>
  <c r="P131" i="30"/>
  <c r="I167" i="30"/>
  <c r="P167" i="30" s="1"/>
  <c r="I160" i="29"/>
  <c r="Q160" i="29" s="1"/>
  <c r="Q124" i="29"/>
  <c r="U159" i="28"/>
  <c r="E160" i="37"/>
  <c r="J160" i="37" s="1"/>
  <c r="J124" i="37"/>
  <c r="N100" i="36"/>
  <c r="G136" i="36"/>
  <c r="Q96" i="30"/>
  <c r="N98" i="36"/>
  <c r="G134" i="36"/>
  <c r="J183" i="28"/>
  <c r="S183" i="28" s="1"/>
  <c r="S135" i="28"/>
  <c r="I169" i="30"/>
  <c r="P169" i="30" s="1"/>
  <c r="P133" i="30"/>
  <c r="K160" i="34"/>
  <c r="T160" i="34" s="1"/>
  <c r="T124" i="34"/>
  <c r="O103" i="35"/>
  <c r="G139" i="35"/>
  <c r="U92" i="34"/>
  <c r="U92" i="28"/>
  <c r="G185" i="51"/>
  <c r="Q95" i="30"/>
  <c r="S88" i="29"/>
  <c r="P127" i="30"/>
  <c r="I163" i="30"/>
  <c r="P163" i="30" s="1"/>
  <c r="S102" i="28"/>
  <c r="J150" i="28"/>
  <c r="S150" i="28" s="1"/>
  <c r="J100" i="37"/>
  <c r="E136" i="37"/>
  <c r="G164" i="36"/>
  <c r="N164" i="36" s="1"/>
  <c r="N128" i="36"/>
  <c r="T125" i="34"/>
  <c r="K161" i="34"/>
  <c r="T161" i="34" s="1"/>
  <c r="U162" i="28"/>
  <c r="U87" i="28"/>
  <c r="Q97" i="30"/>
  <c r="U88" i="34"/>
  <c r="K159" i="34"/>
  <c r="T159" i="34" s="1"/>
  <c r="T123" i="34"/>
  <c r="J103" i="37"/>
  <c r="E139" i="37"/>
  <c r="O106" i="35"/>
  <c r="G142" i="35"/>
  <c r="K165" i="34"/>
  <c r="T165" i="34" s="1"/>
  <c r="T129" i="34"/>
  <c r="J188" i="28"/>
  <c r="S188" i="28" s="1"/>
  <c r="S140" i="28"/>
  <c r="N104" i="36"/>
  <c r="G140" i="36"/>
  <c r="Q108" i="29"/>
  <c r="I144" i="29"/>
  <c r="G159" i="35"/>
  <c r="O159" i="35" s="1"/>
  <c r="O123" i="35"/>
  <c r="Q91" i="30"/>
  <c r="P102" i="30"/>
  <c r="I138" i="30"/>
  <c r="Q92" i="36"/>
  <c r="U89" i="34"/>
  <c r="U163" i="28"/>
  <c r="J133" i="37"/>
  <c r="E169" i="37"/>
  <c r="J169" i="37" s="1"/>
  <c r="U91" i="28"/>
  <c r="U87" i="34"/>
  <c r="P103" i="30"/>
  <c r="I139" i="30"/>
  <c r="U93" i="34"/>
  <c r="P126" i="30"/>
  <c r="I162" i="30"/>
  <c r="P162" i="30" s="1"/>
  <c r="O101" i="35"/>
  <c r="G137" i="35"/>
  <c r="P104" i="31"/>
  <c r="H140" i="31"/>
  <c r="K69" i="44"/>
  <c r="K18" i="44"/>
  <c r="AK37" i="14"/>
  <c r="FV102" i="2"/>
  <c r="O37" i="14"/>
  <c r="AG36" i="14"/>
  <c r="FU101" i="2"/>
  <c r="BH36" i="14"/>
  <c r="F101" i="26"/>
  <c r="K101" i="26" s="1"/>
  <c r="F101" i="37"/>
  <c r="K101" i="37" s="1"/>
  <c r="GA101" i="2"/>
  <c r="U37" i="14"/>
  <c r="BB37" i="14"/>
  <c r="C36" i="14"/>
  <c r="M100" i="51"/>
  <c r="AX37" i="14"/>
  <c r="K37" i="14"/>
  <c r="AO37" i="14"/>
  <c r="FW102" i="2"/>
  <c r="AA37" i="14"/>
  <c r="AB37" i="14" s="1"/>
  <c r="H100" i="51"/>
  <c r="BN37" i="14"/>
  <c r="GB102" i="2"/>
  <c r="F100" i="51"/>
  <c r="AT37" i="14"/>
  <c r="BR37" i="14"/>
  <c r="GC102" i="2"/>
  <c r="BV36" i="14"/>
  <c r="GD101" i="2"/>
  <c r="AK6" i="40"/>
  <c r="O88" i="37"/>
  <c r="I185" i="51"/>
  <c r="G100" i="51"/>
  <c r="J185" i="51"/>
  <c r="J194" i="51" s="1"/>
  <c r="J186" i="51"/>
  <c r="J195" i="51" s="1"/>
  <c r="M186" i="51"/>
  <c r="L186" i="51"/>
  <c r="L195" i="51" s="1"/>
  <c r="O100" i="51"/>
  <c r="K186" i="51"/>
  <c r="N100" i="51"/>
  <c r="F185" i="51"/>
  <c r="M185" i="51"/>
  <c r="I186" i="51"/>
  <c r="L185" i="51"/>
  <c r="L194" i="51" s="1"/>
  <c r="L100" i="51"/>
  <c r="H186" i="51"/>
  <c r="H195" i="51" s="1"/>
  <c r="K185" i="51"/>
  <c r="K100" i="51"/>
  <c r="G186" i="51"/>
  <c r="J100" i="51"/>
  <c r="E133" i="44"/>
  <c r="C133" i="44"/>
  <c r="D133" i="44"/>
  <c r="F133" i="44"/>
  <c r="E127" i="44"/>
  <c r="G133" i="44"/>
  <c r="D127" i="44"/>
  <c r="F127" i="44"/>
  <c r="G127" i="44"/>
  <c r="AD6" i="27"/>
  <c r="AF6" i="27" s="1"/>
  <c r="AD7" i="27"/>
  <c r="AF7" i="27" s="1"/>
  <c r="AD8" i="27"/>
  <c r="AF8" i="27" s="1"/>
  <c r="O38" i="21"/>
  <c r="AL6" i="27"/>
  <c r="AN6" i="27" s="1"/>
  <c r="AD9" i="27"/>
  <c r="AF9" i="27" s="1"/>
  <c r="AL7" i="27"/>
  <c r="AN7" i="27" s="1"/>
  <c r="S26" i="22"/>
  <c r="AL9" i="27"/>
  <c r="AN9" i="27" s="1"/>
  <c r="S50" i="22"/>
  <c r="AL8" i="27"/>
  <c r="AN8" i="27" s="1"/>
  <c r="S38" i="22"/>
  <c r="AL5" i="27"/>
  <c r="AN5" i="27" s="1"/>
  <c r="S6" i="22"/>
  <c r="AD5" i="27"/>
  <c r="AF5" i="27" s="1"/>
  <c r="O6" i="21"/>
  <c r="AA22" i="7"/>
  <c r="E182" i="37"/>
  <c r="J182" i="37" s="1"/>
  <c r="J146" i="37"/>
  <c r="H182" i="31"/>
  <c r="P182" i="31" s="1"/>
  <c r="P146" i="31"/>
  <c r="I182" i="29"/>
  <c r="Q182" i="29" s="1"/>
  <c r="Q146" i="29"/>
  <c r="K182" i="34"/>
  <c r="T182" i="34" s="1"/>
  <c r="T146" i="34"/>
  <c r="G182" i="35"/>
  <c r="O182" i="35" s="1"/>
  <c r="O146" i="35"/>
  <c r="G182" i="36"/>
  <c r="N182" i="36" s="1"/>
  <c r="N146" i="36"/>
  <c r="U170" i="28"/>
  <c r="I182" i="30"/>
  <c r="P182" i="30" s="1"/>
  <c r="P146" i="30"/>
  <c r="U122" i="28"/>
  <c r="J133" i="44"/>
  <c r="I133" i="44"/>
  <c r="FU17" i="2"/>
  <c r="FW89" i="2"/>
  <c r="FY41" i="2"/>
  <c r="F17" i="37"/>
  <c r="K17" i="37" s="1"/>
  <c r="F17" i="26"/>
  <c r="K17" i="26" s="1"/>
  <c r="GA17" i="2"/>
  <c r="FV17" i="2"/>
  <c r="FQ5" i="2"/>
  <c r="FS29" i="2"/>
  <c r="FV29" i="2"/>
  <c r="FV65" i="2"/>
  <c r="FW5" i="2"/>
  <c r="FX53" i="2"/>
  <c r="FX5" i="2"/>
  <c r="FY17" i="2"/>
  <c r="FQ17" i="2"/>
  <c r="FU29" i="2"/>
  <c r="FU53" i="2"/>
  <c r="FQ41" i="2"/>
  <c r="GC77" i="2"/>
  <c r="FS17" i="2"/>
  <c r="FY53" i="2"/>
  <c r="FR53" i="2"/>
  <c r="FR5" i="2"/>
  <c r="F53" i="37"/>
  <c r="K53" i="37" s="1"/>
  <c r="F53" i="26"/>
  <c r="K53" i="26" s="1"/>
  <c r="GA53" i="2"/>
  <c r="FV5" i="2"/>
  <c r="GD5" i="2"/>
  <c r="FS53" i="2"/>
  <c r="AA25" i="7"/>
  <c r="GC65" i="2"/>
  <c r="GC17" i="2"/>
  <c r="GC5" i="2"/>
  <c r="FR29" i="2"/>
  <c r="GB65" i="2"/>
  <c r="FQ53" i="2"/>
  <c r="GB29" i="2"/>
  <c r="FY29" i="2"/>
  <c r="FU41" i="2"/>
  <c r="FU5" i="2"/>
  <c r="F29" i="26"/>
  <c r="K29" i="26" s="1"/>
  <c r="F29" i="37"/>
  <c r="K29" i="37" s="1"/>
  <c r="GA29" i="2"/>
  <c r="AA24" i="7"/>
  <c r="GD17" i="2"/>
  <c r="FW29" i="2"/>
  <c r="FX17" i="2"/>
  <c r="FT53" i="2"/>
  <c r="GB17" i="2"/>
  <c r="F78" i="26"/>
  <c r="K78" i="26" s="1"/>
  <c r="F78" i="37"/>
  <c r="K78" i="37" s="1"/>
  <c r="GA78" i="2"/>
  <c r="AA26" i="7"/>
  <c r="AA23" i="7"/>
  <c r="FS5" i="2"/>
  <c r="F41" i="37"/>
  <c r="K41" i="37" s="1"/>
  <c r="F41" i="26"/>
  <c r="K41" i="26" s="1"/>
  <c r="GA41" i="2"/>
  <c r="F89" i="37"/>
  <c r="K89" i="37" s="1"/>
  <c r="F89" i="26"/>
  <c r="K89" i="26" s="1"/>
  <c r="GA89" i="2"/>
  <c r="FW17" i="2"/>
  <c r="FQ29" i="2"/>
  <c r="GC53" i="2"/>
  <c r="FV53" i="2"/>
  <c r="GD89" i="2"/>
  <c r="FW77" i="2"/>
  <c r="GD53" i="2"/>
  <c r="FV89" i="2"/>
  <c r="F5" i="26"/>
  <c r="K5" i="26" s="1"/>
  <c r="F5" i="37"/>
  <c r="K5" i="37" s="1"/>
  <c r="GA5" i="2"/>
  <c r="GD29" i="2"/>
  <c r="GB5" i="2"/>
  <c r="GC41" i="2"/>
  <c r="FV41" i="2"/>
  <c r="FV77" i="2"/>
  <c r="GD65" i="2"/>
  <c r="FU89" i="2"/>
  <c r="FX41" i="2"/>
  <c r="FU77" i="2"/>
  <c r="FU65" i="2"/>
  <c r="FY5" i="2"/>
  <c r="GC29" i="2"/>
  <c r="FW53" i="2"/>
  <c r="FS41" i="2"/>
  <c r="F65" i="26"/>
  <c r="K65" i="26" s="1"/>
  <c r="F65" i="37"/>
  <c r="K65" i="37" s="1"/>
  <c r="GA65" i="2"/>
  <c r="FT41" i="2"/>
  <c r="GB89" i="2"/>
  <c r="GB53" i="2"/>
  <c r="GD77" i="2"/>
  <c r="GB77" i="2"/>
  <c r="FT17" i="2"/>
  <c r="GD41" i="2"/>
  <c r="FT5" i="2"/>
  <c r="FT29" i="2"/>
  <c r="FW41" i="2"/>
  <c r="FW65" i="2"/>
  <c r="GC89" i="2"/>
  <c r="GB41" i="2"/>
  <c r="FR41" i="2"/>
  <c r="FX29" i="2"/>
  <c r="FR17" i="2"/>
  <c r="N5" i="39"/>
  <c r="Q5" i="39" s="1"/>
  <c r="D5" i="39"/>
  <c r="G5" i="39" s="1"/>
  <c r="H5" i="39" s="1"/>
  <c r="J5" i="39" s="1"/>
  <c r="L39" i="2"/>
  <c r="AP4" i="7"/>
  <c r="AP22" i="7" s="1"/>
  <c r="Z25" i="7"/>
  <c r="Z24" i="7"/>
  <c r="Z23" i="7"/>
  <c r="Z26" i="7"/>
  <c r="Z22" i="7"/>
  <c r="AB26" i="7"/>
  <c r="AB23" i="7"/>
  <c r="AB22" i="7"/>
  <c r="AB24" i="7"/>
  <c r="AB25" i="7"/>
  <c r="U23" i="7"/>
  <c r="U25" i="7"/>
  <c r="U26" i="7"/>
  <c r="V24" i="7"/>
  <c r="D60" i="7"/>
  <c r="C81" i="7"/>
  <c r="AH23" i="7"/>
  <c r="C62" i="7"/>
  <c r="D59" i="7"/>
  <c r="V23" i="7"/>
  <c r="G60" i="7"/>
  <c r="W25" i="7"/>
  <c r="E61" i="7"/>
  <c r="D62" i="7"/>
  <c r="V26" i="7"/>
  <c r="C59" i="7"/>
  <c r="G58" i="7"/>
  <c r="Y22" i="7"/>
  <c r="D58" i="7"/>
  <c r="H59" i="7"/>
  <c r="H62" i="7"/>
  <c r="E60" i="7"/>
  <c r="W24" i="7"/>
  <c r="D61" i="7"/>
  <c r="V25" i="7"/>
  <c r="AH22" i="7"/>
  <c r="C80" i="7"/>
  <c r="W26" i="7"/>
  <c r="W23" i="7"/>
  <c r="E59" i="7"/>
  <c r="D81" i="7"/>
  <c r="AI23" i="7"/>
  <c r="C60" i="7"/>
  <c r="Y23" i="7"/>
  <c r="G59" i="7"/>
  <c r="H61" i="7"/>
  <c r="D80" i="7"/>
  <c r="AI22" i="7"/>
  <c r="G62" i="7"/>
  <c r="Y26" i="7"/>
  <c r="F59" i="7"/>
  <c r="X23" i="7"/>
  <c r="F60" i="7"/>
  <c r="F61" i="7"/>
  <c r="X25" i="7"/>
  <c r="H58" i="7"/>
  <c r="F62" i="7"/>
  <c r="X26" i="7"/>
  <c r="H60" i="7"/>
  <c r="U24" i="7"/>
  <c r="C61" i="7"/>
  <c r="F58" i="7"/>
  <c r="X22" i="7"/>
  <c r="W22" i="7"/>
  <c r="G61" i="7"/>
  <c r="Y25" i="7"/>
  <c r="C58" i="7"/>
  <c r="E19" i="2"/>
  <c r="E16" i="2"/>
  <c r="K53" i="2"/>
  <c r="E50" i="2"/>
  <c r="K24" i="2"/>
  <c r="K21" i="2"/>
  <c r="K47" i="2"/>
  <c r="K11" i="2"/>
  <c r="E35" i="2"/>
  <c r="E10" i="2"/>
  <c r="E34" i="2"/>
  <c r="K41" i="2"/>
  <c r="E20" i="2"/>
  <c r="E32" i="2"/>
  <c r="K3" i="2"/>
  <c r="E6" i="2"/>
  <c r="K59" i="2"/>
  <c r="K48" i="2"/>
  <c r="E25" i="2"/>
  <c r="E33" i="2"/>
  <c r="K12" i="2"/>
  <c r="K58" i="2"/>
  <c r="E38" i="2"/>
  <c r="K40" i="2"/>
  <c r="E8" i="2"/>
  <c r="E14" i="2"/>
  <c r="K13" i="2"/>
  <c r="E4" i="2"/>
  <c r="K52" i="2"/>
  <c r="E48" i="2"/>
  <c r="K45" i="2"/>
  <c r="K34" i="2"/>
  <c r="E22" i="2"/>
  <c r="K8" i="2"/>
  <c r="E60" i="2"/>
  <c r="E7" i="2"/>
  <c r="E47" i="2"/>
  <c r="K43" i="2"/>
  <c r="K35" i="2"/>
  <c r="K2" i="2"/>
  <c r="E56" i="2"/>
  <c r="E11" i="2"/>
  <c r="K15" i="2"/>
  <c r="E39" i="2"/>
  <c r="K36" i="2"/>
  <c r="K6" i="2"/>
  <c r="E61" i="2"/>
  <c r="E9" i="2"/>
  <c r="K14" i="2"/>
  <c r="E40" i="2"/>
  <c r="K32" i="2"/>
  <c r="E36" i="2"/>
  <c r="K4" i="2"/>
  <c r="E57" i="2"/>
  <c r="E3" i="2"/>
  <c r="K20" i="2"/>
  <c r="E41" i="2"/>
  <c r="K31" i="2"/>
  <c r="E30" i="2"/>
  <c r="K9" i="2"/>
  <c r="E51" i="2"/>
  <c r="K50" i="2"/>
  <c r="K25" i="2"/>
  <c r="E43" i="2"/>
  <c r="E27" i="2"/>
  <c r="K7" i="2"/>
  <c r="K61" i="2"/>
  <c r="K17" i="2"/>
  <c r="E45" i="2"/>
  <c r="K44" i="2"/>
  <c r="K26" i="2"/>
  <c r="E31" i="2"/>
  <c r="K10" i="2"/>
  <c r="E54" i="2"/>
  <c r="K57" i="2"/>
  <c r="E44" i="2"/>
  <c r="K46" i="2"/>
  <c r="K37" i="2"/>
  <c r="E17" i="2"/>
  <c r="E26" i="2"/>
  <c r="E52" i="2"/>
  <c r="K60" i="2"/>
  <c r="K18" i="2"/>
  <c r="E42" i="2"/>
  <c r="K38" i="2"/>
  <c r="K29" i="2"/>
  <c r="E15" i="2"/>
  <c r="E28" i="2"/>
  <c r="E59" i="2"/>
  <c r="E13" i="2"/>
  <c r="K55" i="2"/>
  <c r="K19" i="2"/>
  <c r="E49" i="2"/>
  <c r="K49" i="2"/>
  <c r="K28" i="2"/>
  <c r="E18" i="2"/>
  <c r="E23" i="2"/>
  <c r="E58" i="2"/>
  <c r="E5" i="2"/>
  <c r="K51" i="2"/>
  <c r="K22" i="2"/>
  <c r="E46" i="2"/>
  <c r="K42" i="2"/>
  <c r="K30" i="2"/>
  <c r="E24" i="2"/>
  <c r="E29" i="2"/>
  <c r="E53" i="2"/>
  <c r="E12" i="2"/>
  <c r="K56" i="2"/>
  <c r="K16" i="2"/>
  <c r="K33" i="2"/>
  <c r="L23" i="2"/>
  <c r="L54" i="2"/>
  <c r="L5" i="2"/>
  <c r="L27" i="2"/>
  <c r="M20" i="60" l="1"/>
  <c r="W20" i="60"/>
  <c r="M14" i="2"/>
  <c r="O152" i="33"/>
  <c r="Q152" i="33" s="1"/>
  <c r="O163" i="33"/>
  <c r="Q163" i="33" s="1"/>
  <c r="K152" i="32"/>
  <c r="M152" i="32" s="1"/>
  <c r="E176" i="32"/>
  <c r="I164" i="32"/>
  <c r="Q175" i="31"/>
  <c r="I187" i="31"/>
  <c r="Q187" i="31" s="1"/>
  <c r="K141" i="32"/>
  <c r="M141" i="32" s="1"/>
  <c r="I153" i="32"/>
  <c r="E165" i="32"/>
  <c r="E143" i="32"/>
  <c r="I142" i="32"/>
  <c r="I143" i="31"/>
  <c r="Q142" i="31"/>
  <c r="K174" i="32"/>
  <c r="M174" i="32" s="1"/>
  <c r="L153" i="33"/>
  <c r="F165" i="33"/>
  <c r="I165" i="31"/>
  <c r="Q153" i="31"/>
  <c r="K186" i="32"/>
  <c r="M186" i="32" s="1"/>
  <c r="L142" i="33"/>
  <c r="F143" i="33"/>
  <c r="O141" i="33"/>
  <c r="Q141" i="33" s="1"/>
  <c r="O174" i="33"/>
  <c r="Q174" i="33" s="1"/>
  <c r="K163" i="32"/>
  <c r="M163" i="32" s="1"/>
  <c r="S152" i="31"/>
  <c r="O186" i="33"/>
  <c r="Q186" i="33" s="1"/>
  <c r="I175" i="32"/>
  <c r="E187" i="32"/>
  <c r="I187" i="32" s="1"/>
  <c r="Q164" i="31"/>
  <c r="I176" i="31"/>
  <c r="L164" i="33"/>
  <c r="F176" i="33"/>
  <c r="S186" i="31"/>
  <c r="L175" i="33"/>
  <c r="F187" i="33"/>
  <c r="L187" i="33" s="1"/>
  <c r="S143" i="10"/>
  <c r="S147" i="10" s="1"/>
  <c r="BA21" i="40"/>
  <c r="D20" i="40"/>
  <c r="H20" i="40" s="1"/>
  <c r="E56" i="73" s="1"/>
  <c r="D19" i="40"/>
  <c r="H19" i="40" s="1"/>
  <c r="D56" i="73" s="1"/>
  <c r="AN6" i="39"/>
  <c r="C6" i="73" s="1"/>
  <c r="C18" i="40"/>
  <c r="D18" i="40" s="1"/>
  <c r="H18" i="40" s="1"/>
  <c r="C56" i="73" s="1"/>
  <c r="BS37" i="14"/>
  <c r="AU37" i="14"/>
  <c r="BI36" i="14"/>
  <c r="AH36" i="14"/>
  <c r="H36" i="14"/>
  <c r="AL37" i="14"/>
  <c r="AP37" i="14"/>
  <c r="L37" i="14"/>
  <c r="AY37" i="14"/>
  <c r="D36" i="14"/>
  <c r="BO37" i="14"/>
  <c r="BC37" i="14"/>
  <c r="BW36" i="14"/>
  <c r="V37" i="14"/>
  <c r="AG83" i="7"/>
  <c r="M109" i="37"/>
  <c r="M89" i="37"/>
  <c r="M98" i="37"/>
  <c r="G111" i="2"/>
  <c r="V111" i="28" s="1"/>
  <c r="G110" i="2"/>
  <c r="V110" i="28" s="1"/>
  <c r="G121" i="2"/>
  <c r="V121" i="28" s="1"/>
  <c r="G120" i="2"/>
  <c r="V120" i="28" s="1"/>
  <c r="M119" i="2"/>
  <c r="T119" i="29" s="1"/>
  <c r="M115" i="2"/>
  <c r="T115" i="29" s="1"/>
  <c r="M114" i="2"/>
  <c r="T114" i="29" s="1"/>
  <c r="M116" i="2"/>
  <c r="T116" i="29" s="1"/>
  <c r="G119" i="2"/>
  <c r="V119" i="28" s="1"/>
  <c r="M113" i="2"/>
  <c r="T113" i="29" s="1"/>
  <c r="G117" i="2"/>
  <c r="V117" i="28" s="1"/>
  <c r="M112" i="2"/>
  <c r="T112" i="29" s="1"/>
  <c r="G118" i="2"/>
  <c r="V118" i="28" s="1"/>
  <c r="M111" i="2"/>
  <c r="T111" i="29" s="1"/>
  <c r="G116" i="2"/>
  <c r="V116" i="28" s="1"/>
  <c r="M110" i="2"/>
  <c r="T110" i="29" s="1"/>
  <c r="G115" i="2"/>
  <c r="V115" i="28" s="1"/>
  <c r="M118" i="2"/>
  <c r="T118" i="29" s="1"/>
  <c r="G113" i="2"/>
  <c r="V113" i="28" s="1"/>
  <c r="M121" i="2"/>
  <c r="T121" i="29" s="1"/>
  <c r="G114" i="2"/>
  <c r="V114" i="28" s="1"/>
  <c r="M117" i="2"/>
  <c r="T117" i="29" s="1"/>
  <c r="AK5" i="40"/>
  <c r="J90" i="7"/>
  <c r="AG87" i="7" s="1"/>
  <c r="T46" i="7"/>
  <c r="AR10" i="7"/>
  <c r="AR28" i="7" s="1"/>
  <c r="AQ28" i="7"/>
  <c r="I195" i="51"/>
  <c r="G5" i="12" s="1"/>
  <c r="AQ14" i="7"/>
  <c r="AP32" i="7"/>
  <c r="AQ5" i="7"/>
  <c r="AP23" i="7"/>
  <c r="FD125" i="3"/>
  <c r="FD77" i="3"/>
  <c r="FD29" i="3"/>
  <c r="FD102" i="3"/>
  <c r="FD89" i="3"/>
  <c r="FD113" i="3"/>
  <c r="FD41" i="3"/>
  <c r="FD65" i="3"/>
  <c r="FD53" i="3"/>
  <c r="P37" i="14"/>
  <c r="N6" i="40"/>
  <c r="N7" i="40"/>
  <c r="FB41" i="3"/>
  <c r="EX65" i="3"/>
  <c r="EZ53" i="3"/>
  <c r="EW65" i="3"/>
  <c r="EW29" i="3"/>
  <c r="FA53" i="3"/>
  <c r="EZ77" i="3"/>
  <c r="EY77" i="3"/>
  <c r="EX29" i="3"/>
  <c r="FA29" i="3"/>
  <c r="FA41" i="3"/>
  <c r="EW53" i="3"/>
  <c r="FB77" i="3"/>
  <c r="FB29" i="3"/>
  <c r="EZ65" i="3"/>
  <c r="EX53" i="3"/>
  <c r="EX77" i="3"/>
  <c r="FA77" i="3"/>
  <c r="EZ41" i="3"/>
  <c r="FB53" i="3"/>
  <c r="EY29" i="3"/>
  <c r="EY65" i="3"/>
  <c r="FB65" i="3"/>
  <c r="FA65" i="3"/>
  <c r="EX41" i="3"/>
  <c r="EZ29" i="3"/>
  <c r="EY41" i="3"/>
  <c r="EW77" i="3"/>
  <c r="EW41" i="3"/>
  <c r="EY53" i="3"/>
  <c r="T142" i="51"/>
  <c r="M100" i="37"/>
  <c r="M5" i="37"/>
  <c r="O5" i="37" s="1"/>
  <c r="M5" i="26"/>
  <c r="O5" i="26" s="1"/>
  <c r="M29" i="26"/>
  <c r="O29" i="26" s="1"/>
  <c r="M17" i="26"/>
  <c r="O17" i="26" s="1"/>
  <c r="M29" i="37"/>
  <c r="O29" i="37" s="1"/>
  <c r="M17" i="37"/>
  <c r="O17" i="37" s="1"/>
  <c r="M89" i="26"/>
  <c r="O89" i="26" s="1"/>
  <c r="M101" i="37"/>
  <c r="O101" i="37" s="1"/>
  <c r="M53" i="26"/>
  <c r="O53" i="26" s="1"/>
  <c r="M65" i="37"/>
  <c r="O65" i="37" s="1"/>
  <c r="M53" i="37"/>
  <c r="O53" i="37" s="1"/>
  <c r="M65" i="26"/>
  <c r="O65" i="26" s="1"/>
  <c r="M78" i="37"/>
  <c r="O78" i="37" s="1"/>
  <c r="M78" i="26"/>
  <c r="O78" i="26" s="1"/>
  <c r="M41" i="26"/>
  <c r="O41" i="26" s="1"/>
  <c r="M41" i="37"/>
  <c r="O41" i="37" s="1"/>
  <c r="M101" i="26"/>
  <c r="O101" i="26" s="1"/>
  <c r="S126" i="31"/>
  <c r="S132" i="31"/>
  <c r="S131" i="31"/>
  <c r="S102" i="31"/>
  <c r="S125" i="31"/>
  <c r="S162" i="31"/>
  <c r="S103" i="31"/>
  <c r="S161" i="31"/>
  <c r="S108" i="31"/>
  <c r="S105" i="31"/>
  <c r="S163" i="31"/>
  <c r="S124" i="31"/>
  <c r="S122" i="31"/>
  <c r="S98" i="31"/>
  <c r="S127" i="31"/>
  <c r="S160" i="31"/>
  <c r="S158" i="31"/>
  <c r="S104" i="31"/>
  <c r="S107" i="31"/>
  <c r="S106" i="31"/>
  <c r="S101" i="31"/>
  <c r="S123" i="31"/>
  <c r="S133" i="31"/>
  <c r="S100" i="31"/>
  <c r="S159" i="31"/>
  <c r="S146" i="31"/>
  <c r="S109" i="31"/>
  <c r="S130" i="31"/>
  <c r="S182" i="31"/>
  <c r="S128" i="31"/>
  <c r="S129" i="31"/>
  <c r="S164" i="31"/>
  <c r="G37" i="14"/>
  <c r="V127" i="28"/>
  <c r="V126" i="28"/>
  <c r="V132" i="28"/>
  <c r="V131" i="28"/>
  <c r="V130" i="28"/>
  <c r="V129" i="28"/>
  <c r="G14" i="2"/>
  <c r="G25" i="2"/>
  <c r="V128" i="28"/>
  <c r="V125" i="28"/>
  <c r="V124" i="28"/>
  <c r="V122" i="28"/>
  <c r="G28" i="2"/>
  <c r="D54" i="19"/>
  <c r="D39" i="19"/>
  <c r="D21" i="17"/>
  <c r="D5" i="19"/>
  <c r="D23" i="19"/>
  <c r="D55" i="17"/>
  <c r="I2" i="2"/>
  <c r="D2" i="17"/>
  <c r="X2" i="17" s="1"/>
  <c r="D37" i="17"/>
  <c r="D27" i="19"/>
  <c r="V123" i="28"/>
  <c r="V188" i="28"/>
  <c r="V192" i="28"/>
  <c r="V186" i="28"/>
  <c r="V172" i="28"/>
  <c r="V171" i="28"/>
  <c r="V166" i="28"/>
  <c r="V165" i="28"/>
  <c r="V162" i="28"/>
  <c r="V153" i="28"/>
  <c r="T105" i="29"/>
  <c r="V61" i="28"/>
  <c r="V183" i="28"/>
  <c r="V177" i="28"/>
  <c r="V147" i="28"/>
  <c r="T63" i="29"/>
  <c r="V182" i="28"/>
  <c r="V176" i="28"/>
  <c r="V146" i="28"/>
  <c r="V66" i="28"/>
  <c r="V191" i="28"/>
  <c r="V175" i="28"/>
  <c r="V157" i="28"/>
  <c r="V49" i="28"/>
  <c r="V190" i="28"/>
  <c r="V174" i="28"/>
  <c r="V156" i="28"/>
  <c r="V189" i="28"/>
  <c r="V173" i="28"/>
  <c r="V167" i="28"/>
  <c r="V155" i="28"/>
  <c r="V154" i="28"/>
  <c r="V187" i="28"/>
  <c r="V170" i="28"/>
  <c r="V164" i="28"/>
  <c r="V152" i="28"/>
  <c r="V193" i="28"/>
  <c r="V163" i="28"/>
  <c r="T79" i="29"/>
  <c r="V136" i="28"/>
  <c r="V144" i="28"/>
  <c r="V137" i="28"/>
  <c r="V138" i="28"/>
  <c r="V139" i="28"/>
  <c r="V140" i="28"/>
  <c r="V141" i="28"/>
  <c r="V142" i="28"/>
  <c r="V143" i="28"/>
  <c r="V145" i="28"/>
  <c r="V134" i="28"/>
  <c r="V135" i="28"/>
  <c r="T93" i="29"/>
  <c r="V185" i="28"/>
  <c r="V161" i="28"/>
  <c r="T54" i="29"/>
  <c r="V100" i="28"/>
  <c r="V159" i="28"/>
  <c r="T49" i="29"/>
  <c r="V83" i="28"/>
  <c r="V181" i="28"/>
  <c r="V160" i="28"/>
  <c r="V151" i="28"/>
  <c r="T36" i="19"/>
  <c r="U36" i="19" s="1"/>
  <c r="T36" i="29"/>
  <c r="V36" i="29" s="1"/>
  <c r="V180" i="28"/>
  <c r="V158" i="28"/>
  <c r="V150" i="28"/>
  <c r="V179" i="28"/>
  <c r="V169" i="28"/>
  <c r="V149" i="28"/>
  <c r="T14" i="19"/>
  <c r="U14" i="19" s="1"/>
  <c r="T14" i="29"/>
  <c r="V14" i="29" s="1"/>
  <c r="V86" i="28"/>
  <c r="G26" i="2"/>
  <c r="M40" i="2"/>
  <c r="G103" i="2"/>
  <c r="G106" i="2"/>
  <c r="V106" i="28" s="1"/>
  <c r="G27" i="2"/>
  <c r="G88" i="2"/>
  <c r="M83" i="2"/>
  <c r="G93" i="2"/>
  <c r="M85" i="2"/>
  <c r="G90" i="2"/>
  <c r="M78" i="2"/>
  <c r="G58" i="2"/>
  <c r="M82" i="2"/>
  <c r="G54" i="2"/>
  <c r="M59" i="2"/>
  <c r="G51" i="2"/>
  <c r="M60" i="2"/>
  <c r="G57" i="2"/>
  <c r="M31" i="2"/>
  <c r="M51" i="2"/>
  <c r="M34" i="2"/>
  <c r="M52" i="2"/>
  <c r="M35" i="2"/>
  <c r="M57" i="2"/>
  <c r="M33" i="2"/>
  <c r="M45" i="2"/>
  <c r="M94" i="2"/>
  <c r="M48" i="2"/>
  <c r="M95" i="2"/>
  <c r="M96" i="2"/>
  <c r="M43" i="2"/>
  <c r="G91" i="2"/>
  <c r="M97" i="2"/>
  <c r="M44" i="2"/>
  <c r="G97" i="2"/>
  <c r="M92" i="2"/>
  <c r="M47" i="2"/>
  <c r="G95" i="2"/>
  <c r="M86" i="2"/>
  <c r="M26" i="2"/>
  <c r="M28" i="2"/>
  <c r="M98" i="2"/>
  <c r="M76" i="2"/>
  <c r="M68" i="2"/>
  <c r="M50" i="2"/>
  <c r="G109" i="2"/>
  <c r="V109" i="28" s="1"/>
  <c r="M37" i="2"/>
  <c r="M106" i="2"/>
  <c r="M75" i="2"/>
  <c r="M66" i="2"/>
  <c r="M53" i="2"/>
  <c r="G102" i="2"/>
  <c r="M30" i="2"/>
  <c r="M99" i="2"/>
  <c r="M80" i="2"/>
  <c r="M71" i="2"/>
  <c r="M56" i="2"/>
  <c r="G99" i="2"/>
  <c r="M107" i="2"/>
  <c r="M84" i="2"/>
  <c r="M62" i="2"/>
  <c r="M58" i="2"/>
  <c r="G107" i="2"/>
  <c r="V107" i="28" s="1"/>
  <c r="M89" i="2"/>
  <c r="M77" i="2"/>
  <c r="M65" i="2"/>
  <c r="M39" i="2"/>
  <c r="G81" i="2"/>
  <c r="M29" i="2"/>
  <c r="M87" i="2"/>
  <c r="M74" i="2"/>
  <c r="M64" i="2"/>
  <c r="M41" i="2"/>
  <c r="G31" i="2"/>
  <c r="G85" i="2"/>
  <c r="M32" i="2"/>
  <c r="M91" i="2"/>
  <c r="M81" i="2"/>
  <c r="M72" i="2"/>
  <c r="M42" i="2"/>
  <c r="M25" i="2"/>
  <c r="M22" i="2"/>
  <c r="M16" i="2"/>
  <c r="M19" i="2"/>
  <c r="M20" i="2"/>
  <c r="M23" i="2"/>
  <c r="M15" i="2"/>
  <c r="M17" i="2"/>
  <c r="M24" i="2"/>
  <c r="M18" i="2"/>
  <c r="M21" i="2"/>
  <c r="G34" i="2"/>
  <c r="G78" i="2"/>
  <c r="M90" i="2"/>
  <c r="M73" i="2"/>
  <c r="M38" i="2"/>
  <c r="G36" i="2"/>
  <c r="M100" i="2"/>
  <c r="G30" i="2"/>
  <c r="M101" i="2"/>
  <c r="O5" i="2"/>
  <c r="G33" i="2"/>
  <c r="M102" i="2"/>
  <c r="G37" i="2"/>
  <c r="M103" i="2"/>
  <c r="M108" i="2"/>
  <c r="M67" i="2"/>
  <c r="G108" i="2"/>
  <c r="V108" i="28" s="1"/>
  <c r="G29" i="2"/>
  <c r="M27" i="2"/>
  <c r="M104" i="2"/>
  <c r="M88" i="2"/>
  <c r="M69" i="2"/>
  <c r="M55" i="2"/>
  <c r="M46" i="2"/>
  <c r="G104" i="2"/>
  <c r="M109" i="2"/>
  <c r="M70" i="2"/>
  <c r="M61" i="2"/>
  <c r="G92" i="2"/>
  <c r="G87" i="2"/>
  <c r="G89" i="2"/>
  <c r="G96" i="2"/>
  <c r="G68" i="2"/>
  <c r="G79" i="2"/>
  <c r="G77" i="2"/>
  <c r="G76" i="2"/>
  <c r="G82" i="2"/>
  <c r="G75" i="2"/>
  <c r="G94" i="2"/>
  <c r="G74" i="2"/>
  <c r="G71" i="2"/>
  <c r="G50" i="2"/>
  <c r="G63" i="2"/>
  <c r="G59" i="2"/>
  <c r="G64" i="2"/>
  <c r="G53" i="2"/>
  <c r="G69" i="2"/>
  <c r="G60" i="2"/>
  <c r="G70" i="2"/>
  <c r="G56" i="2"/>
  <c r="G38" i="2"/>
  <c r="G72" i="2"/>
  <c r="G48" i="2"/>
  <c r="G73" i="2"/>
  <c r="G44" i="2"/>
  <c r="G47" i="2"/>
  <c r="G40" i="2"/>
  <c r="G45" i="2"/>
  <c r="G43" i="2"/>
  <c r="G41" i="2"/>
  <c r="G67" i="2"/>
  <c r="G17" i="2"/>
  <c r="G24" i="2"/>
  <c r="G23" i="2"/>
  <c r="G20" i="2"/>
  <c r="G15" i="2"/>
  <c r="G22" i="2"/>
  <c r="G21" i="2"/>
  <c r="G19" i="2"/>
  <c r="G16" i="2"/>
  <c r="G18" i="2"/>
  <c r="G39" i="2"/>
  <c r="G62" i="2"/>
  <c r="G105" i="2"/>
  <c r="G32" i="2"/>
  <c r="G80" i="2"/>
  <c r="G52" i="2"/>
  <c r="G46" i="2"/>
  <c r="G65" i="2"/>
  <c r="G101" i="2"/>
  <c r="G35" i="2"/>
  <c r="G84" i="2"/>
  <c r="G55" i="2"/>
  <c r="G42" i="2"/>
  <c r="G98" i="2"/>
  <c r="W49" i="7"/>
  <c r="W18" i="7"/>
  <c r="F29" i="2"/>
  <c r="F43" i="2"/>
  <c r="F22" i="2"/>
  <c r="F57" i="2"/>
  <c r="F7" i="2"/>
  <c r="F26" i="2"/>
  <c r="F5" i="2"/>
  <c r="F17" i="2"/>
  <c r="F9" i="2"/>
  <c r="F6" i="2"/>
  <c r="F14" i="2"/>
  <c r="F24" i="2"/>
  <c r="F33" i="2"/>
  <c r="F18" i="2"/>
  <c r="F58" i="2"/>
  <c r="F34" i="2"/>
  <c r="F59" i="2"/>
  <c r="F53" i="2"/>
  <c r="F45" i="2"/>
  <c r="F61" i="2"/>
  <c r="F23" i="2"/>
  <c r="F49" i="2"/>
  <c r="F51" i="2"/>
  <c r="F48" i="2"/>
  <c r="F32" i="2"/>
  <c r="F10" i="2"/>
  <c r="F44" i="2"/>
  <c r="F20" i="2"/>
  <c r="F35" i="2"/>
  <c r="F30" i="2"/>
  <c r="F39" i="2"/>
  <c r="F4" i="2"/>
  <c r="F13" i="2"/>
  <c r="F54" i="2"/>
  <c r="F12" i="2"/>
  <c r="F28" i="2"/>
  <c r="F31" i="2"/>
  <c r="F41" i="2"/>
  <c r="F56" i="2"/>
  <c r="F8" i="2"/>
  <c r="F50" i="2"/>
  <c r="W51" i="7"/>
  <c r="H161" i="5" s="1"/>
  <c r="F3" i="2"/>
  <c r="F38" i="2"/>
  <c r="F15" i="2"/>
  <c r="F16" i="2"/>
  <c r="W50" i="7"/>
  <c r="G161" i="5" s="1"/>
  <c r="F42" i="2"/>
  <c r="F47" i="2"/>
  <c r="F19" i="2"/>
  <c r="W47" i="7"/>
  <c r="D161" i="5" s="1"/>
  <c r="F36" i="2"/>
  <c r="F46" i="2"/>
  <c r="F60" i="2"/>
  <c r="F25" i="2"/>
  <c r="F11" i="2"/>
  <c r="F52" i="2"/>
  <c r="F27" i="2"/>
  <c r="F40" i="2"/>
  <c r="Y18" i="7"/>
  <c r="V46" i="7"/>
  <c r="C151" i="5" s="1"/>
  <c r="V18" i="7"/>
  <c r="U27" i="7"/>
  <c r="U42" i="7" s="1"/>
  <c r="T50" i="7"/>
  <c r="G128" i="5" s="1"/>
  <c r="AA11" i="5" s="1"/>
  <c r="S83" i="7"/>
  <c r="X83" i="7"/>
  <c r="W83" i="7"/>
  <c r="V83" i="7"/>
  <c r="G195" i="51"/>
  <c r="E5" i="12" s="1"/>
  <c r="M195" i="51"/>
  <c r="K5" i="12" s="1"/>
  <c r="F195" i="51"/>
  <c r="D5" i="12" s="1"/>
  <c r="K195" i="51"/>
  <c r="I5" i="12" s="1"/>
  <c r="I194" i="51"/>
  <c r="K194" i="51"/>
  <c r="F194" i="51"/>
  <c r="M194" i="51"/>
  <c r="G194" i="51"/>
  <c r="V51" i="7"/>
  <c r="H151" i="5" s="1"/>
  <c r="V50" i="7"/>
  <c r="G151" i="5" s="1"/>
  <c r="AC27" i="7"/>
  <c r="Y50" i="7"/>
  <c r="G178" i="5" s="1"/>
  <c r="Y48" i="7"/>
  <c r="I9" i="8" s="1"/>
  <c r="K9" i="8" s="1"/>
  <c r="Y47" i="7"/>
  <c r="D178" i="5" s="1"/>
  <c r="W46" i="7"/>
  <c r="C161" i="5" s="1"/>
  <c r="T47" i="7"/>
  <c r="D128" i="5" s="1"/>
  <c r="X11" i="5" s="1"/>
  <c r="T49" i="7"/>
  <c r="F128" i="5" s="1"/>
  <c r="Z11" i="5" s="1"/>
  <c r="X18" i="7"/>
  <c r="V47" i="7"/>
  <c r="D151" i="5" s="1"/>
  <c r="U83" i="7"/>
  <c r="V48" i="7"/>
  <c r="E151" i="5" s="1"/>
  <c r="H129" i="5"/>
  <c r="H138" i="5"/>
  <c r="H134" i="5"/>
  <c r="H135" i="5"/>
  <c r="H131" i="5"/>
  <c r="H133" i="5"/>
  <c r="H130" i="5"/>
  <c r="H136" i="5"/>
  <c r="H132" i="5"/>
  <c r="H137" i="5"/>
  <c r="X50" i="7"/>
  <c r="F11" i="8" s="1"/>
  <c r="H11" i="8" s="1"/>
  <c r="X47" i="7"/>
  <c r="D170" i="5" s="1"/>
  <c r="X51" i="7"/>
  <c r="F12" i="8" s="1"/>
  <c r="H12" i="8" s="1"/>
  <c r="AA27" i="7"/>
  <c r="AA42" i="7" s="1"/>
  <c r="AD51" i="7"/>
  <c r="H203" i="5" s="1"/>
  <c r="AD47" i="7"/>
  <c r="D203" i="5" s="1"/>
  <c r="AD50" i="7"/>
  <c r="G203" i="5" s="1"/>
  <c r="AD46" i="7"/>
  <c r="C203" i="5" s="1"/>
  <c r="AD48" i="7"/>
  <c r="E203" i="5" s="1"/>
  <c r="AA51" i="7"/>
  <c r="AC49" i="7"/>
  <c r="F200" i="5" s="1"/>
  <c r="F201" i="5" s="1"/>
  <c r="AA48" i="7"/>
  <c r="AC50" i="7"/>
  <c r="G200" i="5" s="1"/>
  <c r="G201" i="5" s="1"/>
  <c r="AA49" i="7"/>
  <c r="AC47" i="7"/>
  <c r="D200" i="5" s="1"/>
  <c r="D201" i="5" s="1"/>
  <c r="Z46" i="7"/>
  <c r="C185" i="5" s="1"/>
  <c r="Z27" i="7"/>
  <c r="Z42" i="7" s="1"/>
  <c r="AA18" i="7"/>
  <c r="AC18" i="7"/>
  <c r="AB27" i="7"/>
  <c r="AA50" i="7"/>
  <c r="T27" i="7"/>
  <c r="T39" i="7" s="1"/>
  <c r="C63" i="7"/>
  <c r="C73" i="7" s="1"/>
  <c r="U47" i="7"/>
  <c r="D140" i="5" s="1"/>
  <c r="U48" i="7"/>
  <c r="E140" i="5" s="1"/>
  <c r="AB48" i="7"/>
  <c r="U51" i="7"/>
  <c r="H140" i="5" s="1"/>
  <c r="AB47" i="7"/>
  <c r="U46" i="7"/>
  <c r="C140" i="5" s="1"/>
  <c r="Z49" i="7"/>
  <c r="F185" i="5" s="1"/>
  <c r="AB49" i="7"/>
  <c r="U50" i="7"/>
  <c r="G140" i="5" s="1"/>
  <c r="X46" i="7"/>
  <c r="F7" i="8" s="1"/>
  <c r="H7" i="8" s="1"/>
  <c r="Z48" i="7"/>
  <c r="E185" i="5" s="1"/>
  <c r="AB50" i="7"/>
  <c r="U49" i="7"/>
  <c r="F140" i="5" s="1"/>
  <c r="Z51" i="7"/>
  <c r="H185" i="5" s="1"/>
  <c r="AB46" i="7"/>
  <c r="C196" i="5" s="1"/>
  <c r="Y51" i="7"/>
  <c r="H178" i="5" s="1"/>
  <c r="G63" i="7"/>
  <c r="G73" i="7" s="1"/>
  <c r="Y27" i="7"/>
  <c r="Y43" i="7" s="1"/>
  <c r="U18" i="7"/>
  <c r="Z18" i="7"/>
  <c r="AB51" i="7"/>
  <c r="X48" i="7"/>
  <c r="F9" i="8" s="1"/>
  <c r="H9" i="8" s="1"/>
  <c r="F63" i="7"/>
  <c r="F73" i="7" s="1"/>
  <c r="X27" i="7"/>
  <c r="X39" i="7" s="1"/>
  <c r="Z47" i="7"/>
  <c r="D185" i="5" s="1"/>
  <c r="AB18" i="7"/>
  <c r="E63" i="7"/>
  <c r="E73" i="7" s="1"/>
  <c r="W27" i="7"/>
  <c r="W43" i="7" s="1"/>
  <c r="T18" i="7"/>
  <c r="Z50" i="7"/>
  <c r="G185" i="5" s="1"/>
  <c r="AC48" i="7"/>
  <c r="E200" i="5" s="1"/>
  <c r="E201" i="5" s="1"/>
  <c r="H63" i="7"/>
  <c r="H73" i="7" s="1"/>
  <c r="D63" i="7"/>
  <c r="D73" i="7" s="1"/>
  <c r="V27" i="7"/>
  <c r="V39" i="7" s="1"/>
  <c r="AA47" i="7"/>
  <c r="AC51" i="7"/>
  <c r="H200" i="5" s="1"/>
  <c r="H201" i="5" s="1"/>
  <c r="AM83" i="7"/>
  <c r="Y46" i="7"/>
  <c r="AD27" i="7"/>
  <c r="T48" i="7"/>
  <c r="E128" i="5" s="1"/>
  <c r="Y11" i="5" s="1"/>
  <c r="AD49" i="7"/>
  <c r="F203" i="5" s="1"/>
  <c r="AA46" i="7"/>
  <c r="C191" i="5" s="1"/>
  <c r="AC46" i="7"/>
  <c r="C200" i="5" s="1"/>
  <c r="C201" i="5" s="1"/>
  <c r="J68" i="7"/>
  <c r="AB32" i="7"/>
  <c r="S146" i="35"/>
  <c r="U188" i="28"/>
  <c r="U160" i="34"/>
  <c r="S164" i="29"/>
  <c r="Q162" i="36"/>
  <c r="S166" i="29"/>
  <c r="S162" i="29"/>
  <c r="Q161" i="30"/>
  <c r="U130" i="34"/>
  <c r="S124" i="35"/>
  <c r="Q124" i="36"/>
  <c r="U137" i="28"/>
  <c r="S133" i="29"/>
  <c r="U152" i="28"/>
  <c r="K172" i="34"/>
  <c r="T172" i="34" s="1"/>
  <c r="T136" i="34"/>
  <c r="U144" i="28"/>
  <c r="S122" i="29"/>
  <c r="S182" i="35"/>
  <c r="S123" i="35"/>
  <c r="U129" i="34"/>
  <c r="Q133" i="30"/>
  <c r="Q132" i="30"/>
  <c r="H180" i="31"/>
  <c r="P180" i="31" s="1"/>
  <c r="P144" i="31"/>
  <c r="S132" i="35"/>
  <c r="I172" i="29"/>
  <c r="Q172" i="29" s="1"/>
  <c r="Q136" i="29"/>
  <c r="H181" i="31"/>
  <c r="P181" i="31" s="1"/>
  <c r="P145" i="31"/>
  <c r="Q125" i="30"/>
  <c r="Q125" i="36"/>
  <c r="U166" i="34"/>
  <c r="U132" i="34"/>
  <c r="E181" i="37"/>
  <c r="J181" i="37" s="1"/>
  <c r="J145" i="37"/>
  <c r="S160" i="35"/>
  <c r="S165" i="35"/>
  <c r="U185" i="28"/>
  <c r="U104" i="28"/>
  <c r="S126" i="35"/>
  <c r="U100" i="34"/>
  <c r="U192" i="28"/>
  <c r="S158" i="29"/>
  <c r="U146" i="34"/>
  <c r="S159" i="35"/>
  <c r="U165" i="34"/>
  <c r="Q169" i="30"/>
  <c r="S124" i="29"/>
  <c r="H178" i="31"/>
  <c r="P178" i="31" s="1"/>
  <c r="P142" i="31"/>
  <c r="Q168" i="30"/>
  <c r="S168" i="35"/>
  <c r="S100" i="29"/>
  <c r="U169" i="34"/>
  <c r="Q161" i="36"/>
  <c r="G170" i="35"/>
  <c r="O170" i="35" s="1"/>
  <c r="O134" i="35"/>
  <c r="U153" i="28"/>
  <c r="U168" i="34"/>
  <c r="O109" i="37"/>
  <c r="E178" i="37"/>
  <c r="J178" i="37" s="1"/>
  <c r="J142" i="37"/>
  <c r="Q159" i="36"/>
  <c r="S129" i="35"/>
  <c r="S162" i="35"/>
  <c r="G180" i="36"/>
  <c r="N180" i="36" s="1"/>
  <c r="N144" i="36"/>
  <c r="H173" i="31"/>
  <c r="P173" i="31" s="1"/>
  <c r="P137" i="31"/>
  <c r="P134" i="30"/>
  <c r="I170" i="30"/>
  <c r="P170" i="30" s="1"/>
  <c r="S128" i="35"/>
  <c r="U148" i="28"/>
  <c r="U182" i="34"/>
  <c r="Q144" i="29"/>
  <c r="I180" i="29"/>
  <c r="Q180" i="29" s="1"/>
  <c r="G178" i="35"/>
  <c r="O178" i="35" s="1"/>
  <c r="O142" i="35"/>
  <c r="U135" i="28"/>
  <c r="S160" i="29"/>
  <c r="U141" i="28"/>
  <c r="K177" i="34"/>
  <c r="T177" i="34" s="1"/>
  <c r="T141" i="34"/>
  <c r="U133" i="34"/>
  <c r="U167" i="34"/>
  <c r="S98" i="35"/>
  <c r="U105" i="28"/>
  <c r="J134" i="37"/>
  <c r="E170" i="37"/>
  <c r="J170" i="37" s="1"/>
  <c r="Q122" i="36"/>
  <c r="Q123" i="36"/>
  <c r="G180" i="35"/>
  <c r="O180" i="35" s="1"/>
  <c r="O144" i="35"/>
  <c r="S131" i="35"/>
  <c r="Q108" i="36"/>
  <c r="Q98" i="30"/>
  <c r="G179" i="36"/>
  <c r="N179" i="36" s="1"/>
  <c r="N143" i="36"/>
  <c r="S132" i="29"/>
  <c r="S164" i="35"/>
  <c r="U100" i="28"/>
  <c r="H176" i="31"/>
  <c r="P176" i="31" s="1"/>
  <c r="P140" i="31"/>
  <c r="S108" i="29"/>
  <c r="S106" i="35"/>
  <c r="U161" i="34"/>
  <c r="U183" i="28"/>
  <c r="Q167" i="30"/>
  <c r="U164" i="34"/>
  <c r="U189" i="28"/>
  <c r="U105" i="34"/>
  <c r="K173" i="34"/>
  <c r="T173" i="34" s="1"/>
  <c r="T137" i="34"/>
  <c r="U131" i="34"/>
  <c r="G173" i="36"/>
  <c r="N173" i="36" s="1"/>
  <c r="N137" i="36"/>
  <c r="O98" i="37"/>
  <c r="Q158" i="36"/>
  <c r="G177" i="36"/>
  <c r="N177" i="36" s="1"/>
  <c r="N141" i="36"/>
  <c r="S108" i="35"/>
  <c r="S167" i="35"/>
  <c r="I172" i="30"/>
  <c r="P172" i="30" s="1"/>
  <c r="P136" i="30"/>
  <c r="P142" i="30"/>
  <c r="I178" i="30"/>
  <c r="P178" i="30" s="1"/>
  <c r="Q122" i="30"/>
  <c r="I178" i="29"/>
  <c r="Q178" i="29" s="1"/>
  <c r="Q142" i="29"/>
  <c r="U134" i="28"/>
  <c r="Q107" i="36"/>
  <c r="S168" i="29"/>
  <c r="U139" i="28"/>
  <c r="E175" i="37"/>
  <c r="J175" i="37" s="1"/>
  <c r="J139" i="37"/>
  <c r="U125" i="34"/>
  <c r="G170" i="36"/>
  <c r="N170" i="36" s="1"/>
  <c r="N134" i="36"/>
  <c r="Q131" i="30"/>
  <c r="U128" i="34"/>
  <c r="G177" i="35"/>
  <c r="O177" i="35" s="1"/>
  <c r="O141" i="35"/>
  <c r="S127" i="29"/>
  <c r="U101" i="34"/>
  <c r="Q145" i="29"/>
  <c r="I181" i="29"/>
  <c r="Q181" i="29" s="1"/>
  <c r="Q101" i="36"/>
  <c r="AJ61" i="7"/>
  <c r="E176" i="37"/>
  <c r="J176" i="37" s="1"/>
  <c r="J140" i="37"/>
  <c r="Q105" i="36"/>
  <c r="K176" i="34"/>
  <c r="T176" i="34" s="1"/>
  <c r="T140" i="34"/>
  <c r="Q100" i="30"/>
  <c r="Q106" i="30"/>
  <c r="Q158" i="30"/>
  <c r="S106" i="29"/>
  <c r="U182" i="28"/>
  <c r="I177" i="30"/>
  <c r="P177" i="30" s="1"/>
  <c r="P141" i="30"/>
  <c r="U187" i="28"/>
  <c r="G173" i="35"/>
  <c r="O173" i="35" s="1"/>
  <c r="O137" i="35"/>
  <c r="Q128" i="36"/>
  <c r="Q98" i="36"/>
  <c r="U151" i="28"/>
  <c r="S105" i="35"/>
  <c r="S163" i="29"/>
  <c r="S109" i="29"/>
  <c r="Q128" i="30"/>
  <c r="Q169" i="36"/>
  <c r="U104" i="34"/>
  <c r="S131" i="29"/>
  <c r="G174" i="36"/>
  <c r="N174" i="36" s="1"/>
  <c r="N138" i="36"/>
  <c r="U154" i="28"/>
  <c r="Q130" i="36"/>
  <c r="Q105" i="30"/>
  <c r="Q166" i="30"/>
  <c r="S101" i="35"/>
  <c r="U123" i="34"/>
  <c r="Q164" i="36"/>
  <c r="U103" i="28"/>
  <c r="G174" i="35"/>
  <c r="O174" i="35" s="1"/>
  <c r="O138" i="35"/>
  <c r="T134" i="34"/>
  <c r="K170" i="34"/>
  <c r="T170" i="34" s="1"/>
  <c r="I174" i="29"/>
  <c r="Q174" i="29" s="1"/>
  <c r="Q138" i="29"/>
  <c r="I170" i="29"/>
  <c r="Q170" i="29" s="1"/>
  <c r="Q134" i="29"/>
  <c r="H177" i="31"/>
  <c r="P177" i="31" s="1"/>
  <c r="P141" i="31"/>
  <c r="Q164" i="30"/>
  <c r="S161" i="35"/>
  <c r="S159" i="29"/>
  <c r="Q133" i="36"/>
  <c r="S129" i="29"/>
  <c r="S167" i="29"/>
  <c r="Q102" i="36"/>
  <c r="Q166" i="36"/>
  <c r="I180" i="30"/>
  <c r="P180" i="30" s="1"/>
  <c r="P144" i="30"/>
  <c r="I176" i="29"/>
  <c r="Q176" i="29" s="1"/>
  <c r="Q140" i="29"/>
  <c r="H174" i="31"/>
  <c r="P174" i="31" s="1"/>
  <c r="P138" i="31"/>
  <c r="Q130" i="30"/>
  <c r="Q162" i="30"/>
  <c r="U159" i="34"/>
  <c r="E172" i="37"/>
  <c r="J172" i="37" s="1"/>
  <c r="J136" i="37"/>
  <c r="S102" i="35"/>
  <c r="U98" i="34"/>
  <c r="S102" i="29"/>
  <c r="S98" i="29"/>
  <c r="Q127" i="36"/>
  <c r="Q124" i="30"/>
  <c r="S125" i="35"/>
  <c r="S123" i="29"/>
  <c r="S165" i="29"/>
  <c r="I177" i="29"/>
  <c r="Q177" i="29" s="1"/>
  <c r="Q141" i="29"/>
  <c r="K175" i="34"/>
  <c r="T175" i="34" s="1"/>
  <c r="T139" i="34"/>
  <c r="U143" i="28"/>
  <c r="Q108" i="30"/>
  <c r="S104" i="29"/>
  <c r="U127" i="34"/>
  <c r="Q126" i="30"/>
  <c r="T144" i="34"/>
  <c r="K180" i="34"/>
  <c r="T180" i="34" s="1"/>
  <c r="U136" i="28"/>
  <c r="Q167" i="36"/>
  <c r="I176" i="30"/>
  <c r="P176" i="30" s="1"/>
  <c r="P140" i="30"/>
  <c r="Q163" i="36"/>
  <c r="S161" i="29"/>
  <c r="Q160" i="30"/>
  <c r="S130" i="35"/>
  <c r="U149" i="28"/>
  <c r="E180" i="37"/>
  <c r="J180" i="37" s="1"/>
  <c r="J144" i="37"/>
  <c r="H179" i="31"/>
  <c r="P179" i="31" s="1"/>
  <c r="P143" i="31"/>
  <c r="S105" i="29"/>
  <c r="U103" i="34"/>
  <c r="U191" i="28"/>
  <c r="U145" i="28"/>
  <c r="I173" i="29"/>
  <c r="Q173" i="29" s="1"/>
  <c r="Q137" i="29"/>
  <c r="P134" i="31"/>
  <c r="H170" i="31"/>
  <c r="P170" i="31" s="1"/>
  <c r="U163" i="34"/>
  <c r="U150" i="28"/>
  <c r="U108" i="34"/>
  <c r="U138" i="28"/>
  <c r="U184" i="28"/>
  <c r="Q131" i="36"/>
  <c r="Q104" i="30"/>
  <c r="K178" i="34"/>
  <c r="T178" i="34" s="1"/>
  <c r="T142" i="34"/>
  <c r="S125" i="29"/>
  <c r="N142" i="36"/>
  <c r="G178" i="36"/>
  <c r="N178" i="36" s="1"/>
  <c r="S166" i="35"/>
  <c r="U101" i="28"/>
  <c r="E179" i="37"/>
  <c r="J179" i="37" s="1"/>
  <c r="J143" i="37"/>
  <c r="Q132" i="36"/>
  <c r="U193" i="28"/>
  <c r="S101" i="29"/>
  <c r="I174" i="30"/>
  <c r="P174" i="30" s="1"/>
  <c r="P138" i="30"/>
  <c r="U102" i="28"/>
  <c r="U186" i="28"/>
  <c r="J138" i="37"/>
  <c r="E174" i="37"/>
  <c r="J174" i="37" s="1"/>
  <c r="U106" i="34"/>
  <c r="G172" i="35"/>
  <c r="O172" i="35" s="1"/>
  <c r="O136" i="35"/>
  <c r="Q106" i="36"/>
  <c r="S122" i="35"/>
  <c r="O100" i="37"/>
  <c r="T145" i="34"/>
  <c r="K181" i="34"/>
  <c r="T181" i="34" s="1"/>
  <c r="H175" i="31"/>
  <c r="P175" i="31" s="1"/>
  <c r="P139" i="31"/>
  <c r="G179" i="35"/>
  <c r="O179" i="35" s="1"/>
  <c r="O143" i="35"/>
  <c r="Q168" i="36"/>
  <c r="I179" i="30"/>
  <c r="P179" i="30" s="1"/>
  <c r="P143" i="30"/>
  <c r="I175" i="30"/>
  <c r="P175" i="30" s="1"/>
  <c r="P139" i="30"/>
  <c r="Q102" i="30"/>
  <c r="Q163" i="30"/>
  <c r="G172" i="36"/>
  <c r="N172" i="36" s="1"/>
  <c r="N136" i="36"/>
  <c r="S100" i="35"/>
  <c r="S133" i="35"/>
  <c r="H172" i="31"/>
  <c r="P172" i="31" s="1"/>
  <c r="P136" i="31"/>
  <c r="S158" i="35"/>
  <c r="G176" i="35"/>
  <c r="O176" i="35" s="1"/>
  <c r="O140" i="35"/>
  <c r="U126" i="34"/>
  <c r="U109" i="34"/>
  <c r="S107" i="35"/>
  <c r="P145" i="30"/>
  <c r="I181" i="30"/>
  <c r="P181" i="30" s="1"/>
  <c r="E177" i="37"/>
  <c r="J177" i="37" s="1"/>
  <c r="J141" i="37"/>
  <c r="K179" i="34"/>
  <c r="T179" i="34" s="1"/>
  <c r="T143" i="34"/>
  <c r="Q123" i="30"/>
  <c r="Q107" i="30"/>
  <c r="Q103" i="30"/>
  <c r="G176" i="36"/>
  <c r="N176" i="36" s="1"/>
  <c r="N140" i="36"/>
  <c r="Q127" i="30"/>
  <c r="G175" i="35"/>
  <c r="O175" i="35" s="1"/>
  <c r="O139" i="35"/>
  <c r="Q100" i="36"/>
  <c r="I179" i="29"/>
  <c r="Q179" i="29" s="1"/>
  <c r="Q143" i="29"/>
  <c r="I175" i="29"/>
  <c r="Q175" i="29" s="1"/>
  <c r="Q139" i="29"/>
  <c r="Q129" i="36"/>
  <c r="E173" i="37"/>
  <c r="J173" i="37" s="1"/>
  <c r="J137" i="37"/>
  <c r="S127" i="35"/>
  <c r="S169" i="35"/>
  <c r="U122" i="34"/>
  <c r="S104" i="35"/>
  <c r="U162" i="34"/>
  <c r="U157" i="28"/>
  <c r="O145" i="35"/>
  <c r="G181" i="35"/>
  <c r="O181" i="35" s="1"/>
  <c r="Q109" i="30"/>
  <c r="U107" i="34"/>
  <c r="Q159" i="30"/>
  <c r="N145" i="36"/>
  <c r="G181" i="36"/>
  <c r="N181" i="36" s="1"/>
  <c r="Q146" i="36"/>
  <c r="Q104" i="36"/>
  <c r="S103" i="35"/>
  <c r="S107" i="29"/>
  <c r="S103" i="29"/>
  <c r="Q165" i="36"/>
  <c r="S163" i="35"/>
  <c r="G175" i="36"/>
  <c r="N175" i="36" s="1"/>
  <c r="N139" i="36"/>
  <c r="U158" i="34"/>
  <c r="U146" i="28"/>
  <c r="S109" i="35"/>
  <c r="U142" i="28"/>
  <c r="Q129" i="30"/>
  <c r="K174" i="34"/>
  <c r="T174" i="34" s="1"/>
  <c r="T138" i="34"/>
  <c r="I173" i="30"/>
  <c r="P173" i="30" s="1"/>
  <c r="P137" i="30"/>
  <c r="Q109" i="36"/>
  <c r="Q182" i="36"/>
  <c r="U140" i="28"/>
  <c r="U124" i="34"/>
  <c r="S128" i="29"/>
  <c r="Q126" i="36"/>
  <c r="U156" i="28"/>
  <c r="S130" i="29"/>
  <c r="S126" i="29"/>
  <c r="Q103" i="36"/>
  <c r="U155" i="28"/>
  <c r="Q160" i="36"/>
  <c r="S169" i="29"/>
  <c r="U98" i="28"/>
  <c r="U190" i="28"/>
  <c r="Q165" i="30"/>
  <c r="U102" i="34"/>
  <c r="Q101" i="30"/>
  <c r="BR38" i="14"/>
  <c r="GC103" i="2"/>
  <c r="AA38" i="14"/>
  <c r="AB38" i="14" s="1"/>
  <c r="AT38" i="14"/>
  <c r="AG37" i="14"/>
  <c r="FU102" i="2"/>
  <c r="K38" i="14"/>
  <c r="U38" i="14"/>
  <c r="BV37" i="14"/>
  <c r="GD102" i="2"/>
  <c r="O38" i="14"/>
  <c r="AO38" i="14"/>
  <c r="FW103" i="2"/>
  <c r="C37" i="14"/>
  <c r="AX38" i="14"/>
  <c r="BN38" i="14"/>
  <c r="GB103" i="2"/>
  <c r="F102" i="26"/>
  <c r="K102" i="26" s="1"/>
  <c r="BH37" i="14"/>
  <c r="F102" i="37"/>
  <c r="K102" i="37" s="1"/>
  <c r="GA102" i="2"/>
  <c r="AK38" i="14"/>
  <c r="FV103" i="2"/>
  <c r="BB38" i="14"/>
  <c r="Q146" i="30"/>
  <c r="Q182" i="30"/>
  <c r="O89" i="37"/>
  <c r="M191" i="51"/>
  <c r="F191" i="51"/>
  <c r="J5" i="12"/>
  <c r="H5" i="12"/>
  <c r="J191" i="51"/>
  <c r="K191" i="51"/>
  <c r="G191" i="51"/>
  <c r="F5" i="12"/>
  <c r="H191" i="51"/>
  <c r="L191" i="51"/>
  <c r="I191" i="51"/>
  <c r="S146" i="29"/>
  <c r="S182" i="29"/>
  <c r="FR42" i="2"/>
  <c r="FW42" i="2"/>
  <c r="FV90" i="2"/>
  <c r="FW18" i="2"/>
  <c r="FW30" i="2"/>
  <c r="FU42" i="2"/>
  <c r="FY18" i="2"/>
  <c r="FU18" i="2"/>
  <c r="FT18" i="2"/>
  <c r="GC42" i="2"/>
  <c r="FV54" i="2"/>
  <c r="FS6" i="2"/>
  <c r="GB18" i="2"/>
  <c r="FR30" i="2"/>
  <c r="FS54" i="2"/>
  <c r="FR54" i="2"/>
  <c r="FV30" i="2"/>
  <c r="FV18" i="2"/>
  <c r="FW54" i="2"/>
  <c r="FY6" i="2"/>
  <c r="FU90" i="2"/>
  <c r="F6" i="37"/>
  <c r="K6" i="37" s="1"/>
  <c r="F6" i="26"/>
  <c r="K6" i="26" s="1"/>
  <c r="GA6" i="2"/>
  <c r="GC18" i="2"/>
  <c r="F54" i="37"/>
  <c r="K54" i="37" s="1"/>
  <c r="F54" i="26"/>
  <c r="K54" i="26" s="1"/>
  <c r="GA54" i="2"/>
  <c r="GC78" i="2"/>
  <c r="FU54" i="2"/>
  <c r="FY42" i="2"/>
  <c r="GC90" i="2"/>
  <c r="FT30" i="2"/>
  <c r="GB90" i="2"/>
  <c r="GD18" i="2"/>
  <c r="FQ54" i="2"/>
  <c r="FX6" i="2"/>
  <c r="GB78" i="2"/>
  <c r="GD54" i="2"/>
  <c r="FY54" i="2"/>
  <c r="GB42" i="2"/>
  <c r="FT54" i="2"/>
  <c r="GC66" i="2"/>
  <c r="FQ42" i="2"/>
  <c r="FT6" i="2"/>
  <c r="FT42" i="2"/>
  <c r="FU66" i="2"/>
  <c r="F90" i="37"/>
  <c r="K90" i="37" s="1"/>
  <c r="F90" i="26"/>
  <c r="K90" i="26" s="1"/>
  <c r="GA90" i="2"/>
  <c r="FW90" i="2"/>
  <c r="FW78" i="2"/>
  <c r="GD6" i="2"/>
  <c r="FS30" i="2"/>
  <c r="GC54" i="2"/>
  <c r="FX54" i="2"/>
  <c r="GD66" i="2"/>
  <c r="FW66" i="2"/>
  <c r="GD42" i="2"/>
  <c r="GD78" i="2"/>
  <c r="FY30" i="2"/>
  <c r="FR6" i="2"/>
  <c r="FU30" i="2"/>
  <c r="GB6" i="2"/>
  <c r="F30" i="37"/>
  <c r="K30" i="37" s="1"/>
  <c r="F30" i="26"/>
  <c r="K30" i="26" s="1"/>
  <c r="GA30" i="2"/>
  <c r="FR18" i="2"/>
  <c r="F66" i="26"/>
  <c r="K66" i="26" s="1"/>
  <c r="F66" i="37"/>
  <c r="K66" i="37" s="1"/>
  <c r="GA66" i="2"/>
  <c r="FU78" i="2"/>
  <c r="FV78" i="2"/>
  <c r="GD90" i="2"/>
  <c r="FX18" i="2"/>
  <c r="FS18" i="2"/>
  <c r="FW6" i="2"/>
  <c r="GB66" i="2"/>
  <c r="FQ18" i="2"/>
  <c r="FX30" i="2"/>
  <c r="GB54" i="2"/>
  <c r="GD30" i="2"/>
  <c r="FQ30" i="2"/>
  <c r="FU6" i="2"/>
  <c r="GB30" i="2"/>
  <c r="FV6" i="2"/>
  <c r="D6" i="39"/>
  <c r="G6" i="39" s="1"/>
  <c r="H6" i="39" s="1"/>
  <c r="J6" i="39" s="1"/>
  <c r="C3" i="73" s="1"/>
  <c r="FX42" i="2"/>
  <c r="FV42" i="2"/>
  <c r="F42" i="37"/>
  <c r="K42" i="37" s="1"/>
  <c r="F42" i="26"/>
  <c r="K42" i="26" s="1"/>
  <c r="GA42" i="2"/>
  <c r="F79" i="26"/>
  <c r="K79" i="26" s="1"/>
  <c r="F79" i="37"/>
  <c r="K79" i="37" s="1"/>
  <c r="GA79" i="2"/>
  <c r="FV66" i="2"/>
  <c r="FQ6" i="2"/>
  <c r="FS42" i="2"/>
  <c r="GC30" i="2"/>
  <c r="GC6" i="2"/>
  <c r="F18" i="26"/>
  <c r="K18" i="26" s="1"/>
  <c r="F18" i="37"/>
  <c r="K18" i="37" s="1"/>
  <c r="GA18" i="2"/>
  <c r="L47" i="2"/>
  <c r="L42" i="2"/>
  <c r="L55" i="2"/>
  <c r="L32" i="2"/>
  <c r="L34" i="2"/>
  <c r="D9" i="39"/>
  <c r="G9" i="39" s="1"/>
  <c r="L3" i="2"/>
  <c r="D10" i="39"/>
  <c r="G10" i="39" s="1"/>
  <c r="L49" i="2"/>
  <c r="FP27" i="2"/>
  <c r="D27" i="29"/>
  <c r="FO2" i="2"/>
  <c r="D2" i="28"/>
  <c r="L9" i="2"/>
  <c r="L45" i="2"/>
  <c r="L58" i="2"/>
  <c r="L41" i="2"/>
  <c r="L25" i="2"/>
  <c r="FP5" i="2"/>
  <c r="D5" i="29"/>
  <c r="D8" i="39"/>
  <c r="G8" i="39" s="1"/>
  <c r="L17" i="2"/>
  <c r="L2" i="2"/>
  <c r="N6" i="39"/>
  <c r="Q6" i="39" s="1"/>
  <c r="FP39" i="2"/>
  <c r="D39" i="29"/>
  <c r="L33" i="2"/>
  <c r="L18" i="2"/>
  <c r="L22" i="2"/>
  <c r="L61" i="2"/>
  <c r="FP54" i="2"/>
  <c r="D54" i="29"/>
  <c r="L51" i="2"/>
  <c r="L37" i="2"/>
  <c r="L31" i="2"/>
  <c r="L35" i="2"/>
  <c r="L12" i="2"/>
  <c r="L52" i="2"/>
  <c r="L53" i="2"/>
  <c r="L46" i="2"/>
  <c r="L16" i="2"/>
  <c r="L29" i="2"/>
  <c r="L36" i="2"/>
  <c r="L48" i="2"/>
  <c r="L56" i="2"/>
  <c r="L20" i="2"/>
  <c r="L13" i="2"/>
  <c r="L11" i="2"/>
  <c r="L28" i="2"/>
  <c r="D7" i="39"/>
  <c r="G7" i="39" s="1"/>
  <c r="L57" i="2"/>
  <c r="L38" i="2"/>
  <c r="N9" i="39"/>
  <c r="Q9" i="39" s="1"/>
  <c r="L10" i="2"/>
  <c r="L6" i="2"/>
  <c r="L59" i="2"/>
  <c r="L43" i="2"/>
  <c r="E5" i="39"/>
  <c r="L14" i="2"/>
  <c r="N7" i="39"/>
  <c r="Q7" i="39" s="1"/>
  <c r="L7" i="2"/>
  <c r="L26" i="2"/>
  <c r="N8" i="39"/>
  <c r="Q8" i="39" s="1"/>
  <c r="L15" i="2"/>
  <c r="L40" i="2"/>
  <c r="L30" i="2"/>
  <c r="L4" i="2"/>
  <c r="L21" i="2"/>
  <c r="D23" i="29"/>
  <c r="L60" i="2"/>
  <c r="L50" i="2"/>
  <c r="N10" i="39"/>
  <c r="Q10" i="39" s="1"/>
  <c r="L8" i="2"/>
  <c r="L19" i="2"/>
  <c r="L44" i="2"/>
  <c r="L24" i="2"/>
  <c r="O5" i="39"/>
  <c r="AQ4" i="7"/>
  <c r="AQ22" i="7" s="1"/>
  <c r="AC25" i="7"/>
  <c r="AC24" i="7"/>
  <c r="AC22" i="7"/>
  <c r="AC23" i="7"/>
  <c r="AC26" i="7"/>
  <c r="F170" i="5"/>
  <c r="H10" i="8"/>
  <c r="J81" i="7"/>
  <c r="J80" i="7"/>
  <c r="J58" i="7"/>
  <c r="F151" i="5"/>
  <c r="E161" i="5"/>
  <c r="J62" i="7"/>
  <c r="J59" i="7"/>
  <c r="J61" i="7"/>
  <c r="J60" i="7"/>
  <c r="F178" i="5"/>
  <c r="K10" i="8"/>
  <c r="R143" i="10" l="1"/>
  <c r="R147" i="10" s="1"/>
  <c r="K187" i="32"/>
  <c r="M187" i="32" s="1"/>
  <c r="K153" i="32"/>
  <c r="M153" i="32" s="1"/>
  <c r="K175" i="32"/>
  <c r="M175" i="32" s="1"/>
  <c r="S153" i="31"/>
  <c r="Q165" i="31"/>
  <c r="I177" i="31"/>
  <c r="F177" i="33"/>
  <c r="L165" i="33"/>
  <c r="S187" i="31"/>
  <c r="O153" i="33"/>
  <c r="Q153" i="33" s="1"/>
  <c r="K164" i="32"/>
  <c r="M164" i="32" s="1"/>
  <c r="E188" i="32"/>
  <c r="I188" i="32" s="1"/>
  <c r="I176" i="32"/>
  <c r="O187" i="33"/>
  <c r="Q187" i="33" s="1"/>
  <c r="O175" i="33"/>
  <c r="Q175" i="33" s="1"/>
  <c r="Q143" i="31"/>
  <c r="I144" i="31"/>
  <c r="Q154" i="31"/>
  <c r="I166" i="31"/>
  <c r="F188" i="33"/>
  <c r="L188" i="33" s="1"/>
  <c r="L176" i="33"/>
  <c r="K142" i="32"/>
  <c r="M142" i="32" s="1"/>
  <c r="O164" i="33"/>
  <c r="Q164" i="33" s="1"/>
  <c r="L143" i="33"/>
  <c r="F144" i="33"/>
  <c r="I143" i="32"/>
  <c r="I188" i="31"/>
  <c r="Q188" i="31" s="1"/>
  <c r="Q176" i="31"/>
  <c r="O142" i="33"/>
  <c r="Q142" i="33" s="1"/>
  <c r="E166" i="32"/>
  <c r="I154" i="32"/>
  <c r="L154" i="33"/>
  <c r="F166" i="33"/>
  <c r="E177" i="32"/>
  <c r="I165" i="32"/>
  <c r="AJ87" i="7"/>
  <c r="BA20" i="40"/>
  <c r="G170" i="5"/>
  <c r="G173" i="5" s="1"/>
  <c r="AH87" i="7"/>
  <c r="AI87" i="7"/>
  <c r="U36" i="7"/>
  <c r="I8" i="8"/>
  <c r="K8" i="8" s="1"/>
  <c r="C170" i="5"/>
  <c r="C173" i="5" s="1"/>
  <c r="Z36" i="7"/>
  <c r="U8" i="8"/>
  <c r="W8" i="8" s="1"/>
  <c r="BC38" i="14"/>
  <c r="V38" i="14"/>
  <c r="L38" i="14"/>
  <c r="AL38" i="14"/>
  <c r="AH37" i="14"/>
  <c r="H37" i="14"/>
  <c r="BI37" i="14"/>
  <c r="BS38" i="14"/>
  <c r="AU38" i="14"/>
  <c r="BO38" i="14"/>
  <c r="AY38" i="14"/>
  <c r="D37" i="14"/>
  <c r="AP38" i="14"/>
  <c r="BW37" i="14"/>
  <c r="U10" i="8"/>
  <c r="W10" i="8" s="1"/>
  <c r="F8" i="8"/>
  <c r="H8" i="8" s="1"/>
  <c r="AC10" i="8"/>
  <c r="AC9" i="8"/>
  <c r="AK29" i="40"/>
  <c r="AK31" i="40"/>
  <c r="AK30" i="40"/>
  <c r="AK33" i="40"/>
  <c r="AK27" i="40"/>
  <c r="AK28" i="40"/>
  <c r="AK32" i="40"/>
  <c r="AK25" i="40"/>
  <c r="AK26" i="40"/>
  <c r="M90" i="37"/>
  <c r="L7" i="8"/>
  <c r="N7" i="8" s="1"/>
  <c r="H170" i="5"/>
  <c r="H173" i="5" s="1"/>
  <c r="V36" i="7"/>
  <c r="AB36" i="7"/>
  <c r="I11" i="8"/>
  <c r="K11" i="8" s="1"/>
  <c r="AC11" i="8" s="1"/>
  <c r="X36" i="7"/>
  <c r="E170" i="5"/>
  <c r="E173" i="5" s="1"/>
  <c r="L12" i="8"/>
  <c r="N12" i="8" s="1"/>
  <c r="Y36" i="7"/>
  <c r="W36" i="7"/>
  <c r="Y52" i="7"/>
  <c r="I12" i="8"/>
  <c r="K12" i="8" s="1"/>
  <c r="AC12" i="8" s="1"/>
  <c r="U12" i="8"/>
  <c r="W12" i="8" s="1"/>
  <c r="L10" i="8"/>
  <c r="N10" i="8" s="1"/>
  <c r="AD10" i="8" s="1"/>
  <c r="AR5" i="7"/>
  <c r="AR23" i="7" s="1"/>
  <c r="AQ23" i="7"/>
  <c r="AR14" i="7"/>
  <c r="AR32" i="7" s="1"/>
  <c r="AQ32" i="7"/>
  <c r="U11" i="8"/>
  <c r="W11" i="8" s="1"/>
  <c r="E178" i="5"/>
  <c r="E182" i="5" s="1"/>
  <c r="W52" i="7"/>
  <c r="V52" i="7"/>
  <c r="L9" i="8"/>
  <c r="N9" i="8" s="1"/>
  <c r="AD9" i="8" s="1"/>
  <c r="U9" i="8"/>
  <c r="W9" i="8" s="1"/>
  <c r="V14" i="17"/>
  <c r="W14" i="17" s="1"/>
  <c r="FD42" i="3"/>
  <c r="FD114" i="3"/>
  <c r="FD30" i="3"/>
  <c r="FD54" i="3"/>
  <c r="FD66" i="3"/>
  <c r="FD103" i="3"/>
  <c r="FD126" i="3"/>
  <c r="FD90" i="3"/>
  <c r="FD78" i="3"/>
  <c r="P38" i="14"/>
  <c r="Z52" i="7"/>
  <c r="X52" i="7"/>
  <c r="F161" i="5"/>
  <c r="F164" i="5" s="1"/>
  <c r="L11" i="8"/>
  <c r="N11" i="8" s="1"/>
  <c r="L8" i="8"/>
  <c r="N8" i="8" s="1"/>
  <c r="EW66" i="3"/>
  <c r="EV63" i="3"/>
  <c r="EY42" i="3"/>
  <c r="FB42" i="3"/>
  <c r="U52" i="7"/>
  <c r="EV78" i="3"/>
  <c r="FB54" i="3"/>
  <c r="EW30" i="3"/>
  <c r="EW54" i="3"/>
  <c r="EZ30" i="3"/>
  <c r="FA30" i="3"/>
  <c r="FB30" i="3"/>
  <c r="EY30" i="3"/>
  <c r="FA66" i="3"/>
  <c r="FB78" i="3"/>
  <c r="EW78" i="3"/>
  <c r="EU26" i="3"/>
  <c r="EZ42" i="3"/>
  <c r="FA54" i="3"/>
  <c r="EV51" i="3"/>
  <c r="EZ54" i="3"/>
  <c r="EX78" i="3"/>
  <c r="EX66" i="3"/>
  <c r="EW42" i="3"/>
  <c r="EY78" i="3"/>
  <c r="EZ78" i="3"/>
  <c r="EX42" i="3"/>
  <c r="EY54" i="3"/>
  <c r="FA42" i="3"/>
  <c r="EX30" i="3"/>
  <c r="EX54" i="3"/>
  <c r="FA78" i="3"/>
  <c r="EV29" i="3"/>
  <c r="EY66" i="3"/>
  <c r="EZ66" i="3"/>
  <c r="FB66" i="3"/>
  <c r="C127" i="44"/>
  <c r="E21" i="12"/>
  <c r="V14" i="28"/>
  <c r="X14" i="28" s="1"/>
  <c r="S142" i="51"/>
  <c r="T146" i="51"/>
  <c r="M30" i="37"/>
  <c r="O30" i="37" s="1"/>
  <c r="M54" i="26"/>
  <c r="O54" i="26" s="1"/>
  <c r="M30" i="26"/>
  <c r="O30" i="26" s="1"/>
  <c r="M54" i="37"/>
  <c r="O54" i="37" s="1"/>
  <c r="M102" i="26"/>
  <c r="O102" i="26" s="1"/>
  <c r="M102" i="37"/>
  <c r="O102" i="37" s="1"/>
  <c r="M79" i="26"/>
  <c r="O79" i="26" s="1"/>
  <c r="M79" i="37"/>
  <c r="O79" i="37" s="1"/>
  <c r="M42" i="26"/>
  <c r="O42" i="26" s="1"/>
  <c r="M18" i="37"/>
  <c r="O18" i="37" s="1"/>
  <c r="M42" i="37"/>
  <c r="O42" i="37" s="1"/>
  <c r="M90" i="26"/>
  <c r="O90" i="26" s="1"/>
  <c r="M6" i="26"/>
  <c r="O6" i="26" s="1"/>
  <c r="M18" i="26"/>
  <c r="O18" i="26" s="1"/>
  <c r="M66" i="37"/>
  <c r="O66" i="37" s="1"/>
  <c r="M6" i="37"/>
  <c r="O6" i="37" s="1"/>
  <c r="M66" i="26"/>
  <c r="O66" i="26" s="1"/>
  <c r="S142" i="31"/>
  <c r="S137" i="31"/>
  <c r="S143" i="31"/>
  <c r="S173" i="31"/>
  <c r="S170" i="31"/>
  <c r="S141" i="31"/>
  <c r="S134" i="31"/>
  <c r="S140" i="31"/>
  <c r="S176" i="31"/>
  <c r="S139" i="31"/>
  <c r="S175" i="31"/>
  <c r="S138" i="31"/>
  <c r="S136" i="31"/>
  <c r="S174" i="31"/>
  <c r="S172" i="31"/>
  <c r="G38" i="14"/>
  <c r="F200" i="51"/>
  <c r="V28" i="28"/>
  <c r="X28" i="28" s="1"/>
  <c r="V25" i="28"/>
  <c r="X25" i="28" s="1"/>
  <c r="V25" i="17"/>
  <c r="W25" i="17" s="1"/>
  <c r="V28" i="17"/>
  <c r="W28" i="17" s="1"/>
  <c r="D3" i="19"/>
  <c r="D57" i="19"/>
  <c r="D55" i="19"/>
  <c r="D24" i="19"/>
  <c r="D60" i="19"/>
  <c r="D28" i="19"/>
  <c r="D56" i="19"/>
  <c r="D46" i="17"/>
  <c r="D35" i="17"/>
  <c r="D18" i="17"/>
  <c r="D19" i="19"/>
  <c r="D29" i="19"/>
  <c r="D10" i="19"/>
  <c r="D58" i="19"/>
  <c r="D14" i="19"/>
  <c r="D52" i="19"/>
  <c r="D45" i="19"/>
  <c r="D36" i="17"/>
  <c r="D20" i="17"/>
  <c r="D33" i="17"/>
  <c r="I8" i="2"/>
  <c r="D8" i="28" s="1"/>
  <c r="D8" i="17"/>
  <c r="X8" i="17" s="1"/>
  <c r="Y8" i="17" s="1"/>
  <c r="D44" i="17"/>
  <c r="D24" i="17"/>
  <c r="D48" i="19"/>
  <c r="D9" i="19"/>
  <c r="D42" i="19"/>
  <c r="D19" i="17"/>
  <c r="D56" i="17"/>
  <c r="I10" i="2"/>
  <c r="D10" i="17"/>
  <c r="X10" i="17" s="1"/>
  <c r="Y10" i="17" s="1"/>
  <c r="I14" i="2"/>
  <c r="FO14" i="2" s="1"/>
  <c r="D14" i="17"/>
  <c r="D41" i="17"/>
  <c r="D32" i="17"/>
  <c r="I6" i="2"/>
  <c r="FO6" i="2" s="1"/>
  <c r="D6" i="17"/>
  <c r="X6" i="17" s="1"/>
  <c r="Y6" i="17" s="1"/>
  <c r="D47" i="17"/>
  <c r="D31" i="17"/>
  <c r="D48" i="17"/>
  <c r="I9" i="2"/>
  <c r="D9" i="17"/>
  <c r="X9" i="17" s="1"/>
  <c r="Y9" i="17" s="1"/>
  <c r="D47" i="19"/>
  <c r="D43" i="19"/>
  <c r="D38" i="19"/>
  <c r="D11" i="19"/>
  <c r="D36" i="19"/>
  <c r="D42" i="17"/>
  <c r="I28" i="2"/>
  <c r="D28" i="28" s="1"/>
  <c r="D28" i="17"/>
  <c r="D51" i="17"/>
  <c r="D17" i="17"/>
  <c r="D51" i="19"/>
  <c r="D25" i="19"/>
  <c r="I12" i="2"/>
  <c r="D12" i="17"/>
  <c r="X12" i="17" s="1"/>
  <c r="Y12" i="17" s="1"/>
  <c r="D49" i="17"/>
  <c r="I5" i="2"/>
  <c r="D5" i="28" s="1"/>
  <c r="D5" i="17"/>
  <c r="X5" i="17" s="1"/>
  <c r="Y5" i="17" s="1"/>
  <c r="D49" i="19"/>
  <c r="D44" i="19"/>
  <c r="D21" i="19"/>
  <c r="D40" i="19"/>
  <c r="D12" i="19"/>
  <c r="D35" i="19"/>
  <c r="D2" i="19"/>
  <c r="D23" i="17"/>
  <c r="D59" i="19"/>
  <c r="D13" i="19"/>
  <c r="D22" i="19"/>
  <c r="D40" i="17"/>
  <c r="D16" i="17"/>
  <c r="D61" i="17"/>
  <c r="D26" i="17"/>
  <c r="D46" i="19"/>
  <c r="D27" i="17"/>
  <c r="D15" i="17"/>
  <c r="D54" i="17"/>
  <c r="I7" i="2"/>
  <c r="D7" i="17"/>
  <c r="X7" i="17" s="1"/>
  <c r="Y7" i="17" s="1"/>
  <c r="D26" i="19"/>
  <c r="D8" i="19"/>
  <c r="D4" i="19"/>
  <c r="D6" i="19"/>
  <c r="D31" i="19"/>
  <c r="D18" i="19"/>
  <c r="D17" i="19"/>
  <c r="D34" i="19"/>
  <c r="D52" i="17"/>
  <c r="I13" i="2"/>
  <c r="FO13" i="2" s="1"/>
  <c r="D13" i="17"/>
  <c r="X13" i="17" s="1"/>
  <c r="Y13" i="17" s="1"/>
  <c r="D45" i="17"/>
  <c r="D57" i="17"/>
  <c r="D30" i="19"/>
  <c r="D15" i="19"/>
  <c r="D53" i="19"/>
  <c r="I11" i="2"/>
  <c r="D11" i="17"/>
  <c r="X11" i="17" s="1"/>
  <c r="Y11" i="17" s="1"/>
  <c r="D38" i="17"/>
  <c r="D53" i="17"/>
  <c r="D22" i="17"/>
  <c r="D20" i="19"/>
  <c r="D16" i="19"/>
  <c r="D41" i="19"/>
  <c r="I3" i="2"/>
  <c r="D3" i="17"/>
  <c r="X3" i="17" s="1"/>
  <c r="Y3" i="17" s="1"/>
  <c r="I4" i="2"/>
  <c r="FO4" i="2" s="1"/>
  <c r="D4" i="17"/>
  <c r="X4" i="17" s="1"/>
  <c r="Y4" i="17" s="1"/>
  <c r="D59" i="17"/>
  <c r="D43" i="17"/>
  <c r="D61" i="19"/>
  <c r="D37" i="19"/>
  <c r="D33" i="19"/>
  <c r="D32" i="19"/>
  <c r="D50" i="19"/>
  <c r="D7" i="19"/>
  <c r="D25" i="17"/>
  <c r="D39" i="17"/>
  <c r="D34" i="17"/>
  <c r="D29" i="17"/>
  <c r="D60" i="17"/>
  <c r="D50" i="17"/>
  <c r="D30" i="17"/>
  <c r="D58" i="17"/>
  <c r="V5" i="19"/>
  <c r="W5" i="19" s="1"/>
  <c r="V101" i="28"/>
  <c r="V23" i="17"/>
  <c r="W23" i="17" s="1"/>
  <c r="V23" i="28"/>
  <c r="X23" i="28" s="1"/>
  <c r="V70" i="28"/>
  <c r="V77" i="28"/>
  <c r="T27" i="29"/>
  <c r="V27" i="29" s="1"/>
  <c r="T90" i="29"/>
  <c r="T81" i="29"/>
  <c r="T58" i="29"/>
  <c r="T96" i="29"/>
  <c r="V54" i="28"/>
  <c r="V65" i="28"/>
  <c r="V24" i="17"/>
  <c r="W24" i="17" s="1"/>
  <c r="V24" i="28"/>
  <c r="X24" i="28" s="1"/>
  <c r="V60" i="28"/>
  <c r="V79" i="28"/>
  <c r="V29" i="17"/>
  <c r="W29" i="17" s="1"/>
  <c r="V29" i="28"/>
  <c r="X29" i="28" s="1"/>
  <c r="V78" i="28"/>
  <c r="T91" i="29"/>
  <c r="T62" i="29"/>
  <c r="T50" i="29"/>
  <c r="T95" i="29"/>
  <c r="T82" i="29"/>
  <c r="V46" i="28"/>
  <c r="V17" i="17"/>
  <c r="W17" i="17" s="1"/>
  <c r="V17" i="28"/>
  <c r="X17" i="28" s="1"/>
  <c r="V69" i="28"/>
  <c r="V68" i="28"/>
  <c r="V34" i="17"/>
  <c r="W34" i="17" s="1"/>
  <c r="V34" i="28"/>
  <c r="X34" i="28" s="1"/>
  <c r="T32" i="19"/>
  <c r="U32" i="19" s="1"/>
  <c r="T32" i="29"/>
  <c r="V32" i="29" s="1"/>
  <c r="T84" i="29"/>
  <c r="T68" i="29"/>
  <c r="T48" i="29"/>
  <c r="V58" i="28"/>
  <c r="V52" i="28"/>
  <c r="V96" i="28"/>
  <c r="T67" i="29"/>
  <c r="T21" i="19"/>
  <c r="U21" i="19" s="1"/>
  <c r="T21" i="29"/>
  <c r="V21" i="29" s="1"/>
  <c r="V85" i="28"/>
  <c r="T107" i="29"/>
  <c r="T76" i="29"/>
  <c r="T94" i="29"/>
  <c r="T78" i="29"/>
  <c r="V80" i="28"/>
  <c r="V67" i="28"/>
  <c r="V89" i="28"/>
  <c r="T108" i="29"/>
  <c r="T18" i="19"/>
  <c r="U18" i="19" s="1"/>
  <c r="T18" i="29"/>
  <c r="V18" i="29" s="1"/>
  <c r="V31" i="17"/>
  <c r="W31" i="17" s="1"/>
  <c r="V31" i="28"/>
  <c r="X31" i="28" s="1"/>
  <c r="V99" i="28"/>
  <c r="T98" i="29"/>
  <c r="T45" i="29"/>
  <c r="V90" i="28"/>
  <c r="V32" i="17"/>
  <c r="W32" i="17" s="1"/>
  <c r="V32" i="28"/>
  <c r="X32" i="28" s="1"/>
  <c r="V41" i="28"/>
  <c r="V53" i="28"/>
  <c r="V87" i="28"/>
  <c r="T103" i="29"/>
  <c r="T24" i="19"/>
  <c r="U24" i="19" s="1"/>
  <c r="T24" i="29"/>
  <c r="V24" i="29" s="1"/>
  <c r="T41" i="29"/>
  <c r="T56" i="29"/>
  <c r="T28" i="19"/>
  <c r="U28" i="19" s="1"/>
  <c r="T28" i="29"/>
  <c r="V28" i="29" s="1"/>
  <c r="T33" i="19"/>
  <c r="U33" i="19" s="1"/>
  <c r="T33" i="29"/>
  <c r="V33" i="29" s="1"/>
  <c r="T85" i="29"/>
  <c r="V105" i="28"/>
  <c r="V43" i="28"/>
  <c r="V64" i="28"/>
  <c r="V92" i="28"/>
  <c r="V37" i="28"/>
  <c r="X37" i="28" s="1"/>
  <c r="T17" i="19"/>
  <c r="U17" i="19" s="1"/>
  <c r="T17" i="29"/>
  <c r="V17" i="29" s="1"/>
  <c r="T64" i="29"/>
  <c r="T71" i="29"/>
  <c r="T26" i="19"/>
  <c r="U26" i="19" s="1"/>
  <c r="T26" i="29"/>
  <c r="V26" i="29" s="1"/>
  <c r="T57" i="29"/>
  <c r="V93" i="28"/>
  <c r="V62" i="28"/>
  <c r="V45" i="28"/>
  <c r="V59" i="28"/>
  <c r="T61" i="29"/>
  <c r="T102" i="29"/>
  <c r="T15" i="19"/>
  <c r="U15" i="19" s="1"/>
  <c r="T15" i="29"/>
  <c r="V15" i="29" s="1"/>
  <c r="T74" i="29"/>
  <c r="T80" i="29"/>
  <c r="T86" i="29"/>
  <c r="T35" i="19"/>
  <c r="U35" i="19" s="1"/>
  <c r="T35" i="29"/>
  <c r="V35" i="29" s="1"/>
  <c r="T83" i="29"/>
  <c r="V39" i="28"/>
  <c r="V40" i="28"/>
  <c r="V63" i="28"/>
  <c r="T70" i="29"/>
  <c r="V33" i="17"/>
  <c r="W33" i="17" s="1"/>
  <c r="V33" i="28"/>
  <c r="X33" i="28" s="1"/>
  <c r="T23" i="29"/>
  <c r="V23" i="29" s="1"/>
  <c r="T87" i="29"/>
  <c r="T99" i="29"/>
  <c r="V95" i="28"/>
  <c r="T52" i="29"/>
  <c r="V88" i="28"/>
  <c r="V18" i="17"/>
  <c r="W18" i="17" s="1"/>
  <c r="V18" i="28"/>
  <c r="X18" i="28" s="1"/>
  <c r="V47" i="28"/>
  <c r="V50" i="28"/>
  <c r="T109" i="29"/>
  <c r="T20" i="19"/>
  <c r="U20" i="19" s="1"/>
  <c r="T20" i="29"/>
  <c r="V20" i="29" s="1"/>
  <c r="T29" i="19"/>
  <c r="U29" i="19" s="1"/>
  <c r="T29" i="29"/>
  <c r="V29" i="29" s="1"/>
  <c r="T30" i="19"/>
  <c r="U30" i="19" s="1"/>
  <c r="T30" i="29"/>
  <c r="V30" i="29" s="1"/>
  <c r="T47" i="29"/>
  <c r="T34" i="19"/>
  <c r="U34" i="19" s="1"/>
  <c r="T34" i="29"/>
  <c r="V34" i="29" s="1"/>
  <c r="V27" i="17"/>
  <c r="W27" i="17" s="1"/>
  <c r="V27" i="28"/>
  <c r="X27" i="28" s="1"/>
  <c r="V16" i="17"/>
  <c r="W16" i="17" s="1"/>
  <c r="V16" i="28"/>
  <c r="X16" i="28" s="1"/>
  <c r="V44" i="28"/>
  <c r="V71" i="28"/>
  <c r="V104" i="28"/>
  <c r="T101" i="29"/>
  <c r="T19" i="19"/>
  <c r="U19" i="19" s="1"/>
  <c r="T19" i="29"/>
  <c r="V19" i="29" s="1"/>
  <c r="V81" i="28"/>
  <c r="V102" i="28"/>
  <c r="T92" i="29"/>
  <c r="T51" i="29"/>
  <c r="V98" i="28"/>
  <c r="V19" i="17"/>
  <c r="W19" i="17" s="1"/>
  <c r="X19" i="17" s="1"/>
  <c r="Y19" i="17" s="1"/>
  <c r="V19" i="28"/>
  <c r="X19" i="28" s="1"/>
  <c r="V73" i="28"/>
  <c r="V74" i="28"/>
  <c r="T46" i="29"/>
  <c r="V30" i="17"/>
  <c r="W30" i="17" s="1"/>
  <c r="V30" i="28"/>
  <c r="X30" i="28" s="1"/>
  <c r="T16" i="19"/>
  <c r="U16" i="19" s="1"/>
  <c r="T16" i="29"/>
  <c r="V16" i="29" s="1"/>
  <c r="T39" i="29"/>
  <c r="T53" i="29"/>
  <c r="V97" i="28"/>
  <c r="T31" i="19"/>
  <c r="U31" i="19" s="1"/>
  <c r="T31" i="29"/>
  <c r="V31" i="29" s="1"/>
  <c r="V103" i="28"/>
  <c r="V42" i="28"/>
  <c r="V21" i="28"/>
  <c r="X21" i="28" s="1"/>
  <c r="V48" i="28"/>
  <c r="V94" i="28"/>
  <c r="T55" i="29"/>
  <c r="T100" i="29"/>
  <c r="T22" i="19"/>
  <c r="U22" i="19" s="1"/>
  <c r="T22" i="29"/>
  <c r="V22" i="29" s="1"/>
  <c r="T65" i="29"/>
  <c r="T66" i="29"/>
  <c r="T44" i="29"/>
  <c r="V57" i="28"/>
  <c r="T40" i="29"/>
  <c r="V55" i="28"/>
  <c r="V22" i="17"/>
  <c r="W22" i="17" s="1"/>
  <c r="V22" i="28"/>
  <c r="X22" i="28" s="1"/>
  <c r="V72" i="28"/>
  <c r="V75" i="28"/>
  <c r="T69" i="29"/>
  <c r="V36" i="17"/>
  <c r="W36" i="17" s="1"/>
  <c r="V36" i="28"/>
  <c r="X36" i="28" s="1"/>
  <c r="T25" i="19"/>
  <c r="U25" i="19" s="1"/>
  <c r="T25" i="29"/>
  <c r="V25" i="29" s="1"/>
  <c r="T77" i="29"/>
  <c r="T75" i="29"/>
  <c r="T97" i="29"/>
  <c r="T60" i="29"/>
  <c r="V26" i="17"/>
  <c r="W26" i="17" s="1"/>
  <c r="V26" i="28"/>
  <c r="X26" i="28" s="1"/>
  <c r="V84" i="28"/>
  <c r="V15" i="17"/>
  <c r="W15" i="17" s="1"/>
  <c r="V15" i="28"/>
  <c r="X15" i="28" s="1"/>
  <c r="V38" i="28"/>
  <c r="V82" i="28"/>
  <c r="T88" i="29"/>
  <c r="T38" i="29"/>
  <c r="T42" i="29"/>
  <c r="T89" i="29"/>
  <c r="T106" i="29"/>
  <c r="V91" i="28"/>
  <c r="V51" i="28"/>
  <c r="V35" i="17"/>
  <c r="W35" i="17" s="1"/>
  <c r="V35" i="28"/>
  <c r="X35" i="28" s="1"/>
  <c r="V20" i="17"/>
  <c r="W20" i="17" s="1"/>
  <c r="V20" i="28"/>
  <c r="X20" i="28" s="1"/>
  <c r="V56" i="28"/>
  <c r="V76" i="28"/>
  <c r="T104" i="29"/>
  <c r="T73" i="29"/>
  <c r="T72" i="29"/>
  <c r="T37" i="19"/>
  <c r="U37" i="19" s="1"/>
  <c r="T37" i="29"/>
  <c r="V37" i="29" s="1"/>
  <c r="T43" i="29"/>
  <c r="T59" i="29"/>
  <c r="I37" i="2"/>
  <c r="V37" i="17"/>
  <c r="W37" i="17" s="1"/>
  <c r="X37" i="17" s="1"/>
  <c r="O23" i="2"/>
  <c r="T23" i="19"/>
  <c r="U23" i="19" s="1"/>
  <c r="I23" i="2"/>
  <c r="I21" i="2"/>
  <c r="V21" i="17"/>
  <c r="W21" i="17" s="1"/>
  <c r="O27" i="2"/>
  <c r="T27" i="19"/>
  <c r="U27" i="19" s="1"/>
  <c r="I35" i="2"/>
  <c r="I34" i="2"/>
  <c r="I36" i="2"/>
  <c r="I27" i="2"/>
  <c r="I24" i="2"/>
  <c r="I18" i="2"/>
  <c r="O18" i="2"/>
  <c r="O9" i="2"/>
  <c r="O32" i="2"/>
  <c r="O33" i="2"/>
  <c r="O4" i="2"/>
  <c r="O26" i="2"/>
  <c r="I19" i="2"/>
  <c r="I22" i="2"/>
  <c r="O28" i="2"/>
  <c r="O29" i="2"/>
  <c r="O16" i="2"/>
  <c r="O2" i="2"/>
  <c r="O6" i="2"/>
  <c r="O25" i="2"/>
  <c r="O12" i="2"/>
  <c r="I31" i="2"/>
  <c r="O7" i="2"/>
  <c r="O30" i="2"/>
  <c r="O11" i="2"/>
  <c r="O19" i="2"/>
  <c r="O21" i="2"/>
  <c r="O17" i="2"/>
  <c r="O14" i="2"/>
  <c r="O10" i="2"/>
  <c r="O35" i="2"/>
  <c r="I29" i="2"/>
  <c r="O20" i="2"/>
  <c r="O3" i="2"/>
  <c r="O24" i="2"/>
  <c r="O13" i="2"/>
  <c r="O36" i="2"/>
  <c r="I30" i="2"/>
  <c r="O8" i="2"/>
  <c r="O31" i="2"/>
  <c r="O15" i="2"/>
  <c r="O37" i="2"/>
  <c r="O22" i="2"/>
  <c r="O34" i="2"/>
  <c r="I20" i="2"/>
  <c r="I33" i="2"/>
  <c r="I26" i="2"/>
  <c r="I17" i="2"/>
  <c r="I15" i="2"/>
  <c r="I16" i="2"/>
  <c r="I32" i="2"/>
  <c r="U41" i="7"/>
  <c r="I25" i="2"/>
  <c r="U40" i="7"/>
  <c r="U43" i="7"/>
  <c r="U38" i="7"/>
  <c r="U39" i="7"/>
  <c r="R7" i="8"/>
  <c r="T7" i="8" s="1"/>
  <c r="AB52" i="7"/>
  <c r="AA38" i="7"/>
  <c r="T42" i="7"/>
  <c r="Z40" i="7"/>
  <c r="AA39" i="7"/>
  <c r="T52" i="7"/>
  <c r="G134" i="5"/>
  <c r="C128" i="5"/>
  <c r="W11" i="5" s="1"/>
  <c r="T36" i="7"/>
  <c r="T43" i="7"/>
  <c r="G130" i="5"/>
  <c r="Z43" i="7"/>
  <c r="G136" i="5"/>
  <c r="G138" i="5"/>
  <c r="G137" i="5"/>
  <c r="G132" i="5"/>
  <c r="G133" i="5"/>
  <c r="G135" i="5"/>
  <c r="G129" i="5"/>
  <c r="AA12" i="5" s="1"/>
  <c r="Z83" i="7"/>
  <c r="Z38" i="7"/>
  <c r="AA41" i="7"/>
  <c r="AA40" i="7"/>
  <c r="AA36" i="7"/>
  <c r="G131" i="5"/>
  <c r="T38" i="7"/>
  <c r="AA43" i="7"/>
  <c r="X41" i="7"/>
  <c r="D135" i="5"/>
  <c r="D129" i="5"/>
  <c r="X12" i="5" s="1"/>
  <c r="D131" i="5"/>
  <c r="D133" i="5"/>
  <c r="D136" i="5"/>
  <c r="D137" i="5"/>
  <c r="D134" i="5"/>
  <c r="D138" i="5"/>
  <c r="F137" i="5"/>
  <c r="D130" i="5"/>
  <c r="F131" i="5"/>
  <c r="D132" i="5"/>
  <c r="F135" i="5"/>
  <c r="F129" i="5"/>
  <c r="Z12" i="5" s="1"/>
  <c r="F130" i="5"/>
  <c r="F132" i="5"/>
  <c r="F134" i="5"/>
  <c r="F136" i="5"/>
  <c r="F133" i="5"/>
  <c r="X43" i="7"/>
  <c r="T41" i="7"/>
  <c r="T40" i="7"/>
  <c r="AB38" i="7"/>
  <c r="F138" i="5"/>
  <c r="X42" i="7"/>
  <c r="AB12" i="5"/>
  <c r="AM69" i="7"/>
  <c r="G186" i="5"/>
  <c r="G187" i="5"/>
  <c r="G189" i="5"/>
  <c r="G188" i="5"/>
  <c r="C198" i="5"/>
  <c r="C197" i="5"/>
  <c r="AB40" i="7"/>
  <c r="H188" i="5"/>
  <c r="H189" i="5"/>
  <c r="H186" i="5"/>
  <c r="H187" i="5"/>
  <c r="C194" i="5"/>
  <c r="C192" i="5"/>
  <c r="C193" i="5"/>
  <c r="R10" i="8"/>
  <c r="F196" i="5"/>
  <c r="F188" i="5"/>
  <c r="F186" i="5"/>
  <c r="F187" i="5"/>
  <c r="F189" i="5"/>
  <c r="E129" i="5"/>
  <c r="Y12" i="5" s="1"/>
  <c r="E138" i="5"/>
  <c r="E134" i="5"/>
  <c r="E137" i="5"/>
  <c r="E136" i="5"/>
  <c r="E131" i="5"/>
  <c r="E133" i="5"/>
  <c r="E135" i="5"/>
  <c r="E132" i="5"/>
  <c r="E130" i="5"/>
  <c r="D187" i="5"/>
  <c r="D188" i="5"/>
  <c r="D186" i="5"/>
  <c r="D189" i="5"/>
  <c r="O10" i="8"/>
  <c r="Q10" i="8" s="1"/>
  <c r="F191" i="5"/>
  <c r="I7" i="8"/>
  <c r="K7" i="8" s="1"/>
  <c r="AC7" i="8" s="1"/>
  <c r="C178" i="5"/>
  <c r="R11" i="8"/>
  <c r="T11" i="8" s="1"/>
  <c r="G196" i="5"/>
  <c r="R8" i="8"/>
  <c r="T8" i="8" s="1"/>
  <c r="D196" i="5"/>
  <c r="O9" i="8"/>
  <c r="Q9" i="8" s="1"/>
  <c r="E191" i="5"/>
  <c r="E188" i="5"/>
  <c r="E187" i="5"/>
  <c r="E186" i="5"/>
  <c r="E189" i="5"/>
  <c r="R9" i="8"/>
  <c r="T9" i="8" s="1"/>
  <c r="E196" i="5"/>
  <c r="O12" i="8"/>
  <c r="Q12" i="8" s="1"/>
  <c r="H191" i="5"/>
  <c r="O8" i="8"/>
  <c r="Q8" i="8" s="1"/>
  <c r="D191" i="5"/>
  <c r="Z41" i="7"/>
  <c r="R12" i="8"/>
  <c r="T12" i="8" s="1"/>
  <c r="H196" i="5"/>
  <c r="Z39" i="7"/>
  <c r="O11" i="8"/>
  <c r="Q11" i="8" s="1"/>
  <c r="G191" i="5"/>
  <c r="C186" i="5"/>
  <c r="C188" i="5"/>
  <c r="C189" i="5"/>
  <c r="C187" i="5"/>
  <c r="D179" i="5"/>
  <c r="D182" i="5"/>
  <c r="D183" i="5"/>
  <c r="D181" i="5"/>
  <c r="D180" i="5"/>
  <c r="H180" i="5"/>
  <c r="H183" i="5"/>
  <c r="H181" i="5"/>
  <c r="H179" i="5"/>
  <c r="H182" i="5"/>
  <c r="G180" i="5"/>
  <c r="G183" i="5"/>
  <c r="G181" i="5"/>
  <c r="G182" i="5"/>
  <c r="G179" i="5"/>
  <c r="F182" i="5"/>
  <c r="F180" i="5"/>
  <c r="F183" i="5"/>
  <c r="F179" i="5"/>
  <c r="F181" i="5"/>
  <c r="D172" i="5"/>
  <c r="D173" i="5"/>
  <c r="D175" i="5"/>
  <c r="D176" i="5"/>
  <c r="D171" i="5"/>
  <c r="D174" i="5"/>
  <c r="F175" i="5"/>
  <c r="F174" i="5"/>
  <c r="F172" i="5"/>
  <c r="F173" i="5"/>
  <c r="F171" i="5"/>
  <c r="F176" i="5"/>
  <c r="C164" i="5"/>
  <c r="C165" i="5"/>
  <c r="C167" i="5"/>
  <c r="C162" i="5"/>
  <c r="C168" i="5"/>
  <c r="C163" i="5"/>
  <c r="C166" i="5"/>
  <c r="H162" i="5"/>
  <c r="H165" i="5"/>
  <c r="H163" i="5"/>
  <c r="H168" i="5"/>
  <c r="H166" i="5"/>
  <c r="H167" i="5"/>
  <c r="H164" i="5"/>
  <c r="G162" i="5"/>
  <c r="G167" i="5"/>
  <c r="G163" i="5"/>
  <c r="G166" i="5"/>
  <c r="G164" i="5"/>
  <c r="G165" i="5"/>
  <c r="G168" i="5"/>
  <c r="D164" i="5"/>
  <c r="D167" i="5"/>
  <c r="D168" i="5"/>
  <c r="D162" i="5"/>
  <c r="D165" i="5"/>
  <c r="D163" i="5"/>
  <c r="D166" i="5"/>
  <c r="E167" i="5"/>
  <c r="E165" i="5"/>
  <c r="E163" i="5"/>
  <c r="E164" i="5"/>
  <c r="E162" i="5"/>
  <c r="E166" i="5"/>
  <c r="E168" i="5"/>
  <c r="C156" i="5"/>
  <c r="C155" i="5"/>
  <c r="C153" i="5"/>
  <c r="C159" i="5"/>
  <c r="C152" i="5"/>
  <c r="C158" i="5"/>
  <c r="C154" i="5"/>
  <c r="C157" i="5"/>
  <c r="D158" i="5"/>
  <c r="D156" i="5"/>
  <c r="D159" i="5"/>
  <c r="D157" i="5"/>
  <c r="D152" i="5"/>
  <c r="D153" i="5"/>
  <c r="D154" i="5"/>
  <c r="D155" i="5"/>
  <c r="F153" i="5"/>
  <c r="F159" i="5"/>
  <c r="F154" i="5"/>
  <c r="F155" i="5"/>
  <c r="F158" i="5"/>
  <c r="F157" i="5"/>
  <c r="F152" i="5"/>
  <c r="F156" i="5"/>
  <c r="E159" i="5"/>
  <c r="E155" i="5"/>
  <c r="E154" i="5"/>
  <c r="E158" i="5"/>
  <c r="E153" i="5"/>
  <c r="E156" i="5"/>
  <c r="E157" i="5"/>
  <c r="E152" i="5"/>
  <c r="G159" i="5"/>
  <c r="G154" i="5"/>
  <c r="G157" i="5"/>
  <c r="G158" i="5"/>
  <c r="G153" i="5"/>
  <c r="G152" i="5"/>
  <c r="G156" i="5"/>
  <c r="G155" i="5"/>
  <c r="H156" i="5"/>
  <c r="H154" i="5"/>
  <c r="H153" i="5"/>
  <c r="H157" i="5"/>
  <c r="H155" i="5"/>
  <c r="H152" i="5"/>
  <c r="H159" i="5"/>
  <c r="H158" i="5"/>
  <c r="G144" i="5"/>
  <c r="G147" i="5"/>
  <c r="G146" i="5"/>
  <c r="G149" i="5"/>
  <c r="G142" i="5"/>
  <c r="G143" i="5"/>
  <c r="G148" i="5"/>
  <c r="G145" i="5"/>
  <c r="G141" i="5"/>
  <c r="E143" i="5"/>
  <c r="E144" i="5"/>
  <c r="E148" i="5"/>
  <c r="E141" i="5"/>
  <c r="E147" i="5"/>
  <c r="E145" i="5"/>
  <c r="E149" i="5"/>
  <c r="E142" i="5"/>
  <c r="E146" i="5"/>
  <c r="D148" i="5"/>
  <c r="D143" i="5"/>
  <c r="D149" i="5"/>
  <c r="D141" i="5"/>
  <c r="D142" i="5"/>
  <c r="D144" i="5"/>
  <c r="D145" i="5"/>
  <c r="D147" i="5"/>
  <c r="D146" i="5"/>
  <c r="C148" i="5"/>
  <c r="C149" i="5"/>
  <c r="C141" i="5"/>
  <c r="C145" i="5"/>
  <c r="C143" i="5"/>
  <c r="C146" i="5"/>
  <c r="C144" i="5"/>
  <c r="C147" i="5"/>
  <c r="C142" i="5"/>
  <c r="F143" i="5"/>
  <c r="F146" i="5"/>
  <c r="F144" i="5"/>
  <c r="F141" i="5"/>
  <c r="F149" i="5"/>
  <c r="F147" i="5"/>
  <c r="F148" i="5"/>
  <c r="F142" i="5"/>
  <c r="F145" i="5"/>
  <c r="H146" i="5"/>
  <c r="H149" i="5"/>
  <c r="H141" i="5"/>
  <c r="AB13" i="5" s="1"/>
  <c r="H147" i="5"/>
  <c r="H142" i="5"/>
  <c r="H145" i="5"/>
  <c r="H144" i="5"/>
  <c r="H148" i="5"/>
  <c r="H143" i="5"/>
  <c r="AI77" i="7"/>
  <c r="AG77" i="7"/>
  <c r="AJ77" i="7"/>
  <c r="AH77" i="7"/>
  <c r="AG78" i="7"/>
  <c r="AH78" i="7"/>
  <c r="AJ78" i="7"/>
  <c r="AI78" i="7"/>
  <c r="Y42" i="7"/>
  <c r="Y40" i="7"/>
  <c r="O7" i="8"/>
  <c r="AA52" i="7"/>
  <c r="Y38" i="7"/>
  <c r="X38" i="7"/>
  <c r="Y41" i="7"/>
  <c r="X40" i="7"/>
  <c r="W38" i="7"/>
  <c r="W40" i="7"/>
  <c r="V40" i="7"/>
  <c r="W39" i="7"/>
  <c r="V42" i="7"/>
  <c r="W42" i="7"/>
  <c r="V41" i="7"/>
  <c r="J63" i="7"/>
  <c r="J73" i="7" s="1"/>
  <c r="W41" i="7"/>
  <c r="V38" i="7"/>
  <c r="V43" i="7"/>
  <c r="Y39" i="7"/>
  <c r="AB43" i="7"/>
  <c r="AB41" i="7"/>
  <c r="AB39" i="7"/>
  <c r="AB42" i="7"/>
  <c r="S87" i="7"/>
  <c r="V87" i="7"/>
  <c r="W87" i="7"/>
  <c r="X87" i="7"/>
  <c r="U87" i="7"/>
  <c r="T87" i="7"/>
  <c r="AC32" i="7"/>
  <c r="AC43" i="7" s="1"/>
  <c r="G200" i="51"/>
  <c r="S175" i="35"/>
  <c r="Q136" i="36"/>
  <c r="U181" i="34"/>
  <c r="S140" i="29"/>
  <c r="U170" i="34"/>
  <c r="Q174" i="36"/>
  <c r="U137" i="34"/>
  <c r="U177" i="34"/>
  <c r="Q172" i="36"/>
  <c r="U145" i="34"/>
  <c r="S176" i="29"/>
  <c r="U134" i="34"/>
  <c r="U173" i="34"/>
  <c r="Q143" i="36"/>
  <c r="Q138" i="30"/>
  <c r="Q144" i="30"/>
  <c r="S138" i="35"/>
  <c r="S141" i="35"/>
  <c r="Q179" i="36"/>
  <c r="Q137" i="30"/>
  <c r="U143" i="34"/>
  <c r="Q174" i="30"/>
  <c r="U142" i="34"/>
  <c r="Q180" i="30"/>
  <c r="S174" i="35"/>
  <c r="AI61" i="7"/>
  <c r="AJ62" i="7"/>
  <c r="S177" i="35"/>
  <c r="Q170" i="30"/>
  <c r="Q173" i="30"/>
  <c r="S181" i="35"/>
  <c r="Q140" i="36"/>
  <c r="U179" i="34"/>
  <c r="S140" i="35"/>
  <c r="Q143" i="30"/>
  <c r="U178" i="34"/>
  <c r="N113" i="5"/>
  <c r="N54" i="5"/>
  <c r="N17" i="5"/>
  <c r="N116" i="5"/>
  <c r="N106" i="5"/>
  <c r="N78" i="5"/>
  <c r="N82" i="5"/>
  <c r="N122" i="5"/>
  <c r="N61" i="5"/>
  <c r="N96" i="5"/>
  <c r="N114" i="5"/>
  <c r="N38" i="5"/>
  <c r="N69" i="5"/>
  <c r="N16" i="5"/>
  <c r="N117" i="5"/>
  <c r="N104" i="5"/>
  <c r="N63" i="5"/>
  <c r="N50" i="5"/>
  <c r="N21" i="5"/>
  <c r="N89" i="5"/>
  <c r="N64" i="5"/>
  <c r="N58" i="5"/>
  <c r="N86" i="5"/>
  <c r="N55" i="5"/>
  <c r="N123" i="5"/>
  <c r="N23" i="5"/>
  <c r="N118" i="5"/>
  <c r="N75" i="5"/>
  <c r="N79" i="5"/>
  <c r="N95" i="5"/>
  <c r="N24" i="5"/>
  <c r="N85" i="5"/>
  <c r="N6" i="5"/>
  <c r="N26" i="5"/>
  <c r="N105" i="5"/>
  <c r="N44" i="5"/>
  <c r="N111" i="5"/>
  <c r="N83" i="5"/>
  <c r="N7" i="5"/>
  <c r="N36" i="5"/>
  <c r="N59" i="5"/>
  <c r="N108" i="5"/>
  <c r="N47" i="5"/>
  <c r="N51" i="5"/>
  <c r="N27" i="5"/>
  <c r="N71" i="5"/>
  <c r="N9" i="5"/>
  <c r="N28" i="5"/>
  <c r="N41" i="5"/>
  <c r="N62" i="5"/>
  <c r="N52" i="5"/>
  <c r="N8" i="5"/>
  <c r="N119" i="5"/>
  <c r="N76" i="5"/>
  <c r="N48" i="5"/>
  <c r="N97" i="5"/>
  <c r="N65" i="5"/>
  <c r="N10" i="5"/>
  <c r="N74" i="5"/>
  <c r="N93" i="5"/>
  <c r="N20" i="5"/>
  <c r="N72" i="5"/>
  <c r="N29" i="5"/>
  <c r="N77" i="5"/>
  <c r="N84" i="5"/>
  <c r="N120" i="5"/>
  <c r="N121" i="5"/>
  <c r="N99" i="5"/>
  <c r="N43" i="5"/>
  <c r="N15" i="5"/>
  <c r="N35" i="5"/>
  <c r="N91" i="5"/>
  <c r="N67" i="5"/>
  <c r="N125" i="5"/>
  <c r="N18" i="5"/>
  <c r="N34" i="5"/>
  <c r="N110" i="5"/>
  <c r="N87" i="5"/>
  <c r="N11" i="5"/>
  <c r="N30" i="5"/>
  <c r="N42" i="5"/>
  <c r="N45" i="5"/>
  <c r="N80" i="5"/>
  <c r="N53" i="5"/>
  <c r="N14" i="5"/>
  <c r="N33" i="5"/>
  <c r="N103" i="5"/>
  <c r="N46" i="5"/>
  <c r="N81" i="5"/>
  <c r="N101" i="5"/>
  <c r="N70" i="5"/>
  <c r="N12" i="5"/>
  <c r="N31" i="5"/>
  <c r="N60" i="5"/>
  <c r="N109" i="5"/>
  <c r="N94" i="5"/>
  <c r="N98" i="5"/>
  <c r="N37" i="5"/>
  <c r="N13" i="5"/>
  <c r="N32" i="5"/>
  <c r="N107" i="5"/>
  <c r="N90" i="5"/>
  <c r="N49" i="5"/>
  <c r="N100" i="5"/>
  <c r="N56" i="5"/>
  <c r="N4" i="5"/>
  <c r="AH4" i="5" s="1"/>
  <c r="N19" i="5"/>
  <c r="N5" i="5"/>
  <c r="N25" i="5"/>
  <c r="N92" i="5"/>
  <c r="N124" i="5"/>
  <c r="N66" i="5"/>
  <c r="N126" i="5"/>
  <c r="N39" i="5"/>
  <c r="N68" i="5"/>
  <c r="N112" i="5"/>
  <c r="Q141" i="36"/>
  <c r="Q134" i="30"/>
  <c r="U138" i="34"/>
  <c r="Q139" i="36"/>
  <c r="S145" i="35"/>
  <c r="Q176" i="36"/>
  <c r="S176" i="35"/>
  <c r="Q179" i="30"/>
  <c r="O101" i="5"/>
  <c r="O37" i="5"/>
  <c r="O13" i="5"/>
  <c r="O32" i="5"/>
  <c r="O43" i="5"/>
  <c r="O77" i="5"/>
  <c r="O81" i="5"/>
  <c r="O38" i="5"/>
  <c r="O17" i="5"/>
  <c r="O46" i="5"/>
  <c r="O50" i="5"/>
  <c r="O126" i="5"/>
  <c r="O14" i="5"/>
  <c r="O33" i="5"/>
  <c r="O120" i="5"/>
  <c r="O91" i="5"/>
  <c r="O66" i="5"/>
  <c r="O56" i="5"/>
  <c r="O60" i="5"/>
  <c r="O125" i="5"/>
  <c r="O20" i="5"/>
  <c r="O18" i="5"/>
  <c r="O34" i="5"/>
  <c r="O106" i="5"/>
  <c r="O78" i="5"/>
  <c r="O94" i="5"/>
  <c r="O35" i="5"/>
  <c r="O86" i="5"/>
  <c r="O85" i="5"/>
  <c r="O124" i="5"/>
  <c r="O54" i="5"/>
  <c r="O69" i="5"/>
  <c r="O16" i="5"/>
  <c r="O117" i="5"/>
  <c r="O75" i="5"/>
  <c r="O110" i="5"/>
  <c r="O95" i="5"/>
  <c r="O19" i="5"/>
  <c r="O23" i="5"/>
  <c r="O118" i="5"/>
  <c r="O103" i="5"/>
  <c r="O79" i="5"/>
  <c r="O67" i="5"/>
  <c r="O25" i="5"/>
  <c r="O109" i="5"/>
  <c r="O113" i="5"/>
  <c r="O122" i="5"/>
  <c r="O123" i="5"/>
  <c r="O24" i="5"/>
  <c r="O89" i="5"/>
  <c r="O121" i="5"/>
  <c r="O64" i="5"/>
  <c r="O83" i="5"/>
  <c r="O44" i="5"/>
  <c r="O26" i="5"/>
  <c r="O31" i="5"/>
  <c r="O90" i="5"/>
  <c r="O49" i="5"/>
  <c r="O98" i="5"/>
  <c r="O87" i="5"/>
  <c r="O58" i="5"/>
  <c r="O92" i="5"/>
  <c r="O96" i="5"/>
  <c r="O6" i="5"/>
  <c r="O108" i="5"/>
  <c r="O111" i="5"/>
  <c r="O12" i="5"/>
  <c r="O116" i="5"/>
  <c r="O114" i="5"/>
  <c r="O5" i="5"/>
  <c r="O51" i="5"/>
  <c r="O104" i="5"/>
  <c r="O82" i="5"/>
  <c r="O59" i="5"/>
  <c r="O42" i="5"/>
  <c r="O65" i="5"/>
  <c r="O53" i="5"/>
  <c r="O4" i="5"/>
  <c r="AI4" i="5" s="1"/>
  <c r="O7" i="5"/>
  <c r="O36" i="5"/>
  <c r="O74" i="5"/>
  <c r="O61" i="5"/>
  <c r="O47" i="5"/>
  <c r="O68" i="5"/>
  <c r="O41" i="5"/>
  <c r="O71" i="5"/>
  <c r="O8" i="5"/>
  <c r="O27" i="5"/>
  <c r="O105" i="5"/>
  <c r="O76" i="5"/>
  <c r="O80" i="5"/>
  <c r="O97" i="5"/>
  <c r="O72" i="5"/>
  <c r="O9" i="5"/>
  <c r="O29" i="5"/>
  <c r="O48" i="5"/>
  <c r="O39" i="5"/>
  <c r="O28" i="5"/>
  <c r="O119" i="5"/>
  <c r="O45" i="5"/>
  <c r="O93" i="5"/>
  <c r="O52" i="5"/>
  <c r="O70" i="5"/>
  <c r="O21" i="5"/>
  <c r="O55" i="5"/>
  <c r="O15" i="5"/>
  <c r="O107" i="5"/>
  <c r="O63" i="5"/>
  <c r="O99" i="5"/>
  <c r="O10" i="5"/>
  <c r="O62" i="5"/>
  <c r="O84" i="5"/>
  <c r="O11" i="5"/>
  <c r="O100" i="5"/>
  <c r="O30" i="5"/>
  <c r="O112" i="5"/>
  <c r="Q177" i="36"/>
  <c r="U174" i="34"/>
  <c r="Q175" i="36"/>
  <c r="Q139" i="30"/>
  <c r="Q181" i="30"/>
  <c r="Q175" i="30"/>
  <c r="S136" i="35"/>
  <c r="Q140" i="30"/>
  <c r="Q144" i="36"/>
  <c r="S139" i="29"/>
  <c r="Q145" i="30"/>
  <c r="S172" i="35"/>
  <c r="Q176" i="30"/>
  <c r="Q134" i="36"/>
  <c r="S142" i="29"/>
  <c r="Q180" i="36"/>
  <c r="S134" i="35"/>
  <c r="S175" i="29"/>
  <c r="S143" i="35"/>
  <c r="Q170" i="36"/>
  <c r="S178" i="29"/>
  <c r="S170" i="35"/>
  <c r="U136" i="34"/>
  <c r="S143" i="29"/>
  <c r="S179" i="35"/>
  <c r="S142" i="35"/>
  <c r="U172" i="34"/>
  <c r="Q181" i="36"/>
  <c r="S179" i="29"/>
  <c r="S137" i="35"/>
  <c r="U140" i="34"/>
  <c r="S181" i="29"/>
  <c r="S178" i="35"/>
  <c r="Q145" i="36"/>
  <c r="U139" i="34"/>
  <c r="S134" i="29"/>
  <c r="S173" i="35"/>
  <c r="Q141" i="30"/>
  <c r="U176" i="34"/>
  <c r="S145" i="29"/>
  <c r="Q178" i="30"/>
  <c r="Q137" i="36"/>
  <c r="S180" i="29"/>
  <c r="U180" i="34"/>
  <c r="U175" i="34"/>
  <c r="S170" i="29"/>
  <c r="Q177" i="30"/>
  <c r="Q142" i="30"/>
  <c r="Q173" i="36"/>
  <c r="S144" i="29"/>
  <c r="K200" i="51"/>
  <c r="Q178" i="36"/>
  <c r="S137" i="29"/>
  <c r="U144" i="34"/>
  <c r="S141" i="29"/>
  <c r="S138" i="29"/>
  <c r="Q136" i="30"/>
  <c r="S144" i="35"/>
  <c r="S136" i="29"/>
  <c r="J200" i="51"/>
  <c r="S139" i="35"/>
  <c r="Q142" i="36"/>
  <c r="S173" i="29"/>
  <c r="S177" i="29"/>
  <c r="S174" i="29"/>
  <c r="Q138" i="36"/>
  <c r="Q172" i="30"/>
  <c r="S180" i="35"/>
  <c r="U141" i="34"/>
  <c r="S172" i="29"/>
  <c r="AX39" i="14"/>
  <c r="K39" i="14"/>
  <c r="O39" i="14"/>
  <c r="AT39" i="14"/>
  <c r="BV38" i="14"/>
  <c r="GD103" i="2"/>
  <c r="BH38" i="14"/>
  <c r="F103" i="37"/>
  <c r="K103" i="37" s="1"/>
  <c r="F103" i="26"/>
  <c r="K103" i="26" s="1"/>
  <c r="GA103" i="2"/>
  <c r="C38" i="14"/>
  <c r="I200" i="51"/>
  <c r="BB39" i="14"/>
  <c r="AG38" i="14"/>
  <c r="FU103" i="2"/>
  <c r="AA39" i="14"/>
  <c r="AB39" i="14" s="1"/>
  <c r="BN39" i="14"/>
  <c r="GB104" i="2"/>
  <c r="AO39" i="14"/>
  <c r="FW104" i="2"/>
  <c r="U39" i="14"/>
  <c r="BR39" i="14"/>
  <c r="GC104" i="2"/>
  <c r="AK39" i="14"/>
  <c r="FV104" i="2"/>
  <c r="O90" i="37"/>
  <c r="H200" i="51"/>
  <c r="L200" i="51"/>
  <c r="M200" i="51"/>
  <c r="GB31" i="2"/>
  <c r="FQ19" i="2"/>
  <c r="GC55" i="2"/>
  <c r="GD55" i="2"/>
  <c r="FX7" i="2"/>
  <c r="FR31" i="2"/>
  <c r="FV91" i="2"/>
  <c r="F43" i="37"/>
  <c r="K43" i="37" s="1"/>
  <c r="F43" i="26"/>
  <c r="K43" i="26" s="1"/>
  <c r="GA43" i="2"/>
  <c r="FU79" i="2"/>
  <c r="GC79" i="2"/>
  <c r="FV19" i="2"/>
  <c r="F19" i="37"/>
  <c r="K19" i="37" s="1"/>
  <c r="F19" i="26"/>
  <c r="K19" i="26" s="1"/>
  <c r="GA19" i="2"/>
  <c r="GB55" i="2"/>
  <c r="FS19" i="2"/>
  <c r="FW91" i="2"/>
  <c r="F91" i="37"/>
  <c r="K91" i="37" s="1"/>
  <c r="F91" i="26"/>
  <c r="K91" i="26" s="1"/>
  <c r="GA91" i="2"/>
  <c r="GC67" i="2"/>
  <c r="F7" i="37"/>
  <c r="K7" i="37" s="1"/>
  <c r="F7" i="26"/>
  <c r="K7" i="26" s="1"/>
  <c r="GA7" i="2"/>
  <c r="FU7" i="2"/>
  <c r="F31" i="26"/>
  <c r="K31" i="26" s="1"/>
  <c r="F31" i="37"/>
  <c r="K31" i="37" s="1"/>
  <c r="GA31" i="2"/>
  <c r="FU31" i="2"/>
  <c r="FX55" i="2"/>
  <c r="FW79" i="2"/>
  <c r="FY55" i="2"/>
  <c r="FQ55" i="2"/>
  <c r="GC91" i="2"/>
  <c r="FT19" i="2"/>
  <c r="FR19" i="2"/>
  <c r="FT7" i="2"/>
  <c r="GB19" i="2"/>
  <c r="FU43" i="2"/>
  <c r="FW43" i="2"/>
  <c r="FV31" i="2"/>
  <c r="GD79" i="2"/>
  <c r="FX19" i="2"/>
  <c r="FR7" i="2"/>
  <c r="F55" i="37"/>
  <c r="K55" i="37" s="1"/>
  <c r="F55" i="26"/>
  <c r="K55" i="26" s="1"/>
  <c r="GA55" i="2"/>
  <c r="FV43" i="2"/>
  <c r="F67" i="37"/>
  <c r="K67" i="37" s="1"/>
  <c r="F67" i="26"/>
  <c r="K67" i="26" s="1"/>
  <c r="GA67" i="2"/>
  <c r="GB79" i="2"/>
  <c r="GD19" i="2"/>
  <c r="FU91" i="2"/>
  <c r="FW31" i="2"/>
  <c r="FR43" i="2"/>
  <c r="GC7" i="2"/>
  <c r="GB7" i="2"/>
  <c r="GD43" i="2"/>
  <c r="FU67" i="2"/>
  <c r="GB43" i="2"/>
  <c r="FS7" i="2"/>
  <c r="FQ7" i="2"/>
  <c r="FX31" i="2"/>
  <c r="FW7" i="2"/>
  <c r="FS31" i="2"/>
  <c r="FR55" i="2"/>
  <c r="FQ31" i="2"/>
  <c r="FY43" i="2"/>
  <c r="GC19" i="2"/>
  <c r="FY7" i="2"/>
  <c r="FU19" i="2"/>
  <c r="GC31" i="2"/>
  <c r="F80" i="37"/>
  <c r="K80" i="37" s="1"/>
  <c r="F80" i="26"/>
  <c r="K80" i="26" s="1"/>
  <c r="GA80" i="2"/>
  <c r="FX43" i="2"/>
  <c r="GB67" i="2"/>
  <c r="GD91" i="2"/>
  <c r="FW67" i="2"/>
  <c r="FV55" i="2"/>
  <c r="FW19" i="2"/>
  <c r="FV67" i="2"/>
  <c r="FY31" i="2"/>
  <c r="GD7" i="2"/>
  <c r="GB91" i="2"/>
  <c r="FS55" i="2"/>
  <c r="D4" i="12"/>
  <c r="FV7" i="2"/>
  <c r="FT43" i="2"/>
  <c r="FT55" i="2"/>
  <c r="FU55" i="2"/>
  <c r="FW55" i="2"/>
  <c r="FY19" i="2"/>
  <c r="GD31" i="2"/>
  <c r="FV79" i="2"/>
  <c r="FS43" i="2"/>
  <c r="GD67" i="2"/>
  <c r="FQ43" i="2"/>
  <c r="FT31" i="2"/>
  <c r="GC43" i="2"/>
  <c r="D60" i="29"/>
  <c r="D6" i="28"/>
  <c r="D21" i="29"/>
  <c r="FP4" i="2"/>
  <c r="D4" i="29"/>
  <c r="FP6" i="2"/>
  <c r="D6" i="29"/>
  <c r="FP31" i="2"/>
  <c r="D31" i="29"/>
  <c r="D45" i="29"/>
  <c r="FP3" i="2"/>
  <c r="D3" i="29"/>
  <c r="FP61" i="2"/>
  <c r="D61" i="29"/>
  <c r="FP40" i="2"/>
  <c r="D40" i="29"/>
  <c r="D3" i="28"/>
  <c r="FP28" i="2"/>
  <c r="D28" i="29"/>
  <c r="FO5" i="2"/>
  <c r="D24" i="29"/>
  <c r="FP13" i="2"/>
  <c r="D13" i="29"/>
  <c r="FP37" i="2"/>
  <c r="D37" i="29"/>
  <c r="FP49" i="2"/>
  <c r="D49" i="29"/>
  <c r="FP55" i="2"/>
  <c r="D55" i="29"/>
  <c r="FP15" i="2"/>
  <c r="D15" i="29"/>
  <c r="D12" i="28"/>
  <c r="FP29" i="2"/>
  <c r="D29" i="29"/>
  <c r="D9" i="28"/>
  <c r="FP17" i="2"/>
  <c r="D17" i="29"/>
  <c r="FP7" i="2"/>
  <c r="D7" i="29"/>
  <c r="D8" i="29"/>
  <c r="D10" i="29"/>
  <c r="FO7" i="2"/>
  <c r="D7" i="28"/>
  <c r="D12" i="29"/>
  <c r="D22" i="29"/>
  <c r="FP25" i="2"/>
  <c r="D25" i="29"/>
  <c r="Y2" i="17"/>
  <c r="D34" i="29"/>
  <c r="D44" i="29"/>
  <c r="FP14" i="2"/>
  <c r="D14" i="29"/>
  <c r="O7" i="39"/>
  <c r="D48" i="29"/>
  <c r="FP16" i="2"/>
  <c r="D16" i="29"/>
  <c r="FP52" i="2"/>
  <c r="D52" i="29"/>
  <c r="C4" i="27"/>
  <c r="E4" i="27" s="1"/>
  <c r="D59" i="29"/>
  <c r="FP38" i="2"/>
  <c r="D38" i="29"/>
  <c r="O9" i="39"/>
  <c r="D56" i="29"/>
  <c r="FP18" i="2"/>
  <c r="D18" i="29"/>
  <c r="FP42" i="2"/>
  <c r="D42" i="29"/>
  <c r="FP43" i="2"/>
  <c r="D43" i="29"/>
  <c r="D9" i="29"/>
  <c r="FP26" i="2"/>
  <c r="D26" i="29"/>
  <c r="O8" i="39"/>
  <c r="D35" i="29"/>
  <c r="D33" i="29"/>
  <c r="FP41" i="2"/>
  <c r="D41" i="29"/>
  <c r="D47" i="29"/>
  <c r="FP50" i="2"/>
  <c r="D50" i="29"/>
  <c r="O10" i="39"/>
  <c r="D46" i="29"/>
  <c r="FP51" i="2"/>
  <c r="D51" i="29"/>
  <c r="FP19" i="2"/>
  <c r="D19" i="29"/>
  <c r="D11" i="28"/>
  <c r="D57" i="29"/>
  <c r="FP20" i="2"/>
  <c r="D20" i="29"/>
  <c r="D32" i="29"/>
  <c r="FP30" i="2"/>
  <c r="D30" i="29"/>
  <c r="FP53" i="2"/>
  <c r="D53" i="29"/>
  <c r="FP2" i="2"/>
  <c r="D2" i="29"/>
  <c r="O6" i="39"/>
  <c r="D10" i="28"/>
  <c r="D36" i="29"/>
  <c r="I4" i="27"/>
  <c r="K4" i="27" s="1"/>
  <c r="D11" i="29"/>
  <c r="D58" i="29"/>
  <c r="K4" i="12"/>
  <c r="I4" i="12"/>
  <c r="H4" i="12"/>
  <c r="J4" i="12"/>
  <c r="G4" i="12"/>
  <c r="F4" i="12"/>
  <c r="E4" i="12"/>
  <c r="AR4" i="7"/>
  <c r="AR22" i="7" s="1"/>
  <c r="AD23" i="7"/>
  <c r="AD24" i="7"/>
  <c r="AD26" i="7"/>
  <c r="AD25" i="7"/>
  <c r="AC52" i="7"/>
  <c r="U7" i="8"/>
  <c r="X9" i="8"/>
  <c r="Z9" i="8" s="1"/>
  <c r="X10" i="8"/>
  <c r="Z10" i="8" s="1"/>
  <c r="X12" i="8"/>
  <c r="Z12" i="8" s="1"/>
  <c r="X11" i="8"/>
  <c r="Z11" i="8" s="1"/>
  <c r="X8" i="8"/>
  <c r="Z8" i="8" s="1"/>
  <c r="AD22" i="7"/>
  <c r="X48" i="5"/>
  <c r="W77" i="7"/>
  <c r="V77" i="7"/>
  <c r="T77" i="7"/>
  <c r="S77" i="7"/>
  <c r="U77" i="7"/>
  <c r="X77" i="7"/>
  <c r="U81" i="7"/>
  <c r="V81" i="7"/>
  <c r="T81" i="7"/>
  <c r="S81" i="7"/>
  <c r="W81" i="7"/>
  <c r="X81" i="7"/>
  <c r="T78" i="7"/>
  <c r="X78" i="7"/>
  <c r="V78" i="7"/>
  <c r="W78" i="7"/>
  <c r="U78" i="7"/>
  <c r="S78" i="7"/>
  <c r="C16" i="8"/>
  <c r="E16" i="8" s="1"/>
  <c r="AB48" i="5"/>
  <c r="AA48" i="5"/>
  <c r="T79" i="7"/>
  <c r="U79" i="7"/>
  <c r="W79" i="7"/>
  <c r="X79" i="7"/>
  <c r="V79" i="7"/>
  <c r="S79" i="7"/>
  <c r="T80" i="7"/>
  <c r="S80" i="7"/>
  <c r="U80" i="7"/>
  <c r="W80" i="7"/>
  <c r="X80" i="7"/>
  <c r="V80" i="7"/>
  <c r="Z48" i="5"/>
  <c r="Y48" i="5"/>
  <c r="D4" i="28" l="1"/>
  <c r="Q143" i="10"/>
  <c r="P143" i="10" s="1"/>
  <c r="G171" i="5"/>
  <c r="AA16" i="5" s="1"/>
  <c r="G175" i="5"/>
  <c r="G172" i="5"/>
  <c r="AA17" i="5" s="1"/>
  <c r="C172" i="5"/>
  <c r="C171" i="5"/>
  <c r="G174" i="5"/>
  <c r="G176" i="5"/>
  <c r="K165" i="32"/>
  <c r="M165" i="32" s="1"/>
  <c r="F167" i="33"/>
  <c r="L155" i="33"/>
  <c r="E189" i="32"/>
  <c r="I189" i="32" s="1"/>
  <c r="I177" i="32"/>
  <c r="F145" i="33"/>
  <c r="L144" i="33"/>
  <c r="F178" i="33"/>
  <c r="L166" i="33"/>
  <c r="O143" i="33"/>
  <c r="Q143" i="33" s="1"/>
  <c r="O165" i="33"/>
  <c r="Q165" i="33" s="1"/>
  <c r="O154" i="33"/>
  <c r="Q154" i="33" s="1"/>
  <c r="F189" i="33"/>
  <c r="L189" i="33" s="1"/>
  <c r="L177" i="33"/>
  <c r="I189" i="31"/>
  <c r="Q189" i="31" s="1"/>
  <c r="Q177" i="31"/>
  <c r="S165" i="31"/>
  <c r="K154" i="32"/>
  <c r="M154" i="32" s="1"/>
  <c r="O176" i="33"/>
  <c r="Q176" i="33" s="1"/>
  <c r="K176" i="32"/>
  <c r="M176" i="32" s="1"/>
  <c r="E178" i="32"/>
  <c r="I166" i="32"/>
  <c r="O188" i="33"/>
  <c r="Q188" i="33" s="1"/>
  <c r="K188" i="32"/>
  <c r="M188" i="32" s="1"/>
  <c r="I178" i="31"/>
  <c r="Q166" i="31"/>
  <c r="S188" i="31"/>
  <c r="S154" i="31"/>
  <c r="K143" i="32"/>
  <c r="M143" i="32" s="1"/>
  <c r="E167" i="32"/>
  <c r="I155" i="32"/>
  <c r="I145" i="31"/>
  <c r="Q144" i="31"/>
  <c r="I144" i="32"/>
  <c r="I167" i="31"/>
  <c r="Q155" i="31"/>
  <c r="C175" i="5"/>
  <c r="C176" i="5"/>
  <c r="C174" i="5"/>
  <c r="BA19" i="40"/>
  <c r="AC8" i="8"/>
  <c r="F16" i="8"/>
  <c r="H16" i="8" s="1"/>
  <c r="AD8" i="8"/>
  <c r="AD11" i="8"/>
  <c r="D32" i="73" s="1"/>
  <c r="BS39" i="14"/>
  <c r="BI38" i="14"/>
  <c r="V39" i="14"/>
  <c r="AP39" i="14"/>
  <c r="BO39" i="14"/>
  <c r="BW38" i="14"/>
  <c r="AU39" i="14"/>
  <c r="L39" i="14"/>
  <c r="AH38" i="14"/>
  <c r="BC39" i="14"/>
  <c r="AY39" i="14"/>
  <c r="H38" i="14"/>
  <c r="D38" i="14"/>
  <c r="AL39" i="14"/>
  <c r="E6" i="39"/>
  <c r="AF9" i="8"/>
  <c r="AF12" i="8"/>
  <c r="AH9" i="8"/>
  <c r="H30" i="41" s="1"/>
  <c r="AH8" i="8"/>
  <c r="H29" i="41" s="1"/>
  <c r="AG8" i="8"/>
  <c r="AF11" i="8"/>
  <c r="AF8" i="8"/>
  <c r="AE11" i="8"/>
  <c r="AE8" i="8"/>
  <c r="E29" i="73" s="1"/>
  <c r="AH11" i="8"/>
  <c r="H32" i="41" s="1"/>
  <c r="AD7" i="8"/>
  <c r="D28" i="73" s="1"/>
  <c r="AG11" i="8"/>
  <c r="AF7" i="8"/>
  <c r="F28" i="73" s="1"/>
  <c r="AH10" i="8"/>
  <c r="AH24" i="8" s="1"/>
  <c r="AG10" i="8"/>
  <c r="AG12" i="8"/>
  <c r="AD12" i="8"/>
  <c r="AE12" i="8"/>
  <c r="AE9" i="8"/>
  <c r="AH12" i="8"/>
  <c r="AG9" i="8"/>
  <c r="AE10" i="8"/>
  <c r="M91" i="37"/>
  <c r="H175" i="5"/>
  <c r="H172" i="5"/>
  <c r="AB17" i="5" s="1"/>
  <c r="H171" i="5"/>
  <c r="AB16" i="5" s="1"/>
  <c r="H174" i="5"/>
  <c r="H176" i="5"/>
  <c r="FO3" i="2"/>
  <c r="EU27" i="3" s="1"/>
  <c r="D13" i="28"/>
  <c r="D31" i="73"/>
  <c r="C31" i="73"/>
  <c r="L16" i="8"/>
  <c r="N16" i="8" s="1"/>
  <c r="D30" i="73"/>
  <c r="C32" i="73"/>
  <c r="C30" i="73"/>
  <c r="E175" i="5"/>
  <c r="E171" i="5"/>
  <c r="Y16" i="5" s="1"/>
  <c r="E174" i="5"/>
  <c r="E172" i="5"/>
  <c r="E176" i="5"/>
  <c r="X14" i="17"/>
  <c r="Y14" i="17" s="1"/>
  <c r="FO28" i="2"/>
  <c r="EU52" i="3" s="1"/>
  <c r="D14" i="28"/>
  <c r="Q7" i="8"/>
  <c r="AE7" i="8" s="1"/>
  <c r="C138" i="5"/>
  <c r="W31" i="5" s="1"/>
  <c r="E181" i="5"/>
  <c r="E179" i="5"/>
  <c r="E183" i="5"/>
  <c r="E180" i="5"/>
  <c r="Y18" i="5" s="1"/>
  <c r="F166" i="5"/>
  <c r="F163" i="5"/>
  <c r="Z16" i="5" s="1"/>
  <c r="F168" i="5"/>
  <c r="F162" i="5"/>
  <c r="Z15" i="5" s="1"/>
  <c r="F167" i="5"/>
  <c r="F165" i="5"/>
  <c r="Z18" i="5" s="1"/>
  <c r="X20" i="17"/>
  <c r="Y20" i="17" s="1"/>
  <c r="X33" i="17"/>
  <c r="Y33" i="17" s="1"/>
  <c r="FD127" i="3"/>
  <c r="FD115" i="3"/>
  <c r="FD79" i="3"/>
  <c r="FD55" i="3"/>
  <c r="FD43" i="3"/>
  <c r="FD31" i="3"/>
  <c r="FD104" i="3"/>
  <c r="FD67" i="3"/>
  <c r="FD91" i="3"/>
  <c r="P39" i="14"/>
  <c r="X35" i="17"/>
  <c r="Y35" i="17" s="1"/>
  <c r="X26" i="17"/>
  <c r="U44" i="7"/>
  <c r="X31" i="17"/>
  <c r="Y31" i="17" s="1"/>
  <c r="X22" i="17"/>
  <c r="Y22" i="17" s="1"/>
  <c r="V19" i="19"/>
  <c r="W19" i="19" s="1"/>
  <c r="X16" i="17"/>
  <c r="Y16" i="17" s="1"/>
  <c r="X18" i="17"/>
  <c r="Y18" i="17" s="1"/>
  <c r="X15" i="17"/>
  <c r="Y15" i="17" s="1"/>
  <c r="EW43" i="3"/>
  <c r="D24" i="28"/>
  <c r="EY67" i="3"/>
  <c r="FB43" i="3"/>
  <c r="EV54" i="3"/>
  <c r="EV50" i="3"/>
  <c r="EV37" i="3"/>
  <c r="EZ43" i="3"/>
  <c r="D27" i="28"/>
  <c r="X36" i="17"/>
  <c r="Y36" i="17" s="1"/>
  <c r="EV74" i="3"/>
  <c r="EX31" i="3"/>
  <c r="D36" i="28"/>
  <c r="EV30" i="3"/>
  <c r="EW55" i="3"/>
  <c r="FA55" i="3"/>
  <c r="EV49" i="3"/>
  <c r="D34" i="28"/>
  <c r="X27" i="17"/>
  <c r="Y27" i="17" s="1"/>
  <c r="EV41" i="3"/>
  <c r="EV64" i="3"/>
  <c r="EU38" i="3"/>
  <c r="EV76" i="3"/>
  <c r="EV31" i="3"/>
  <c r="EV39" i="3"/>
  <c r="EU30" i="3"/>
  <c r="EY79" i="3"/>
  <c r="EW31" i="3"/>
  <c r="FA43" i="3"/>
  <c r="D22" i="28"/>
  <c r="D35" i="28"/>
  <c r="EW79" i="3"/>
  <c r="D25" i="28"/>
  <c r="FO30" i="2"/>
  <c r="FO19" i="2"/>
  <c r="EV85" i="3"/>
  <c r="EX67" i="3"/>
  <c r="EV40" i="3"/>
  <c r="EV79" i="3"/>
  <c r="EV28" i="3"/>
  <c r="EX79" i="3"/>
  <c r="EY43" i="3"/>
  <c r="EV67" i="3"/>
  <c r="EV27" i="3"/>
  <c r="EY31" i="3"/>
  <c r="C33" i="73"/>
  <c r="D32" i="28"/>
  <c r="EU29" i="3"/>
  <c r="EZ55" i="3"/>
  <c r="FB31" i="3"/>
  <c r="FB79" i="3"/>
  <c r="FO16" i="2"/>
  <c r="EV66" i="3"/>
  <c r="EU37" i="3"/>
  <c r="EZ79" i="3"/>
  <c r="FO15" i="2"/>
  <c r="D23" i="28"/>
  <c r="FO17" i="2"/>
  <c r="D31" i="28"/>
  <c r="FO26" i="2"/>
  <c r="EV38" i="3"/>
  <c r="FB55" i="3"/>
  <c r="FB67" i="3"/>
  <c r="EY55" i="3"/>
  <c r="FA79" i="3"/>
  <c r="D33" i="28"/>
  <c r="D29" i="28"/>
  <c r="EV44" i="3"/>
  <c r="EU31" i="3"/>
  <c r="EV73" i="3"/>
  <c r="EV65" i="3"/>
  <c r="EZ67" i="3"/>
  <c r="EZ31" i="3"/>
  <c r="EV61" i="3"/>
  <c r="EV77" i="3"/>
  <c r="EV43" i="3"/>
  <c r="EV52" i="3"/>
  <c r="EX55" i="3"/>
  <c r="D20" i="28"/>
  <c r="EV26" i="3"/>
  <c r="EV42" i="3"/>
  <c r="EV53" i="3"/>
  <c r="EV55" i="3"/>
  <c r="FA67" i="3"/>
  <c r="EX43" i="3"/>
  <c r="X30" i="17"/>
  <c r="Y30" i="17" s="1"/>
  <c r="EW67" i="3"/>
  <c r="EU28" i="3"/>
  <c r="EV75" i="3"/>
  <c r="EV62" i="3"/>
  <c r="FA31" i="3"/>
  <c r="D18" i="28"/>
  <c r="H21" i="12"/>
  <c r="G21" i="12"/>
  <c r="K48" i="12"/>
  <c r="J48" i="12"/>
  <c r="I48" i="12"/>
  <c r="G48" i="12"/>
  <c r="K21" i="12"/>
  <c r="H48" i="12"/>
  <c r="J21" i="12"/>
  <c r="F48" i="12"/>
  <c r="I21" i="12"/>
  <c r="E48" i="12"/>
  <c r="F21" i="12"/>
  <c r="S146" i="51"/>
  <c r="R142" i="51"/>
  <c r="M103" i="26"/>
  <c r="O103" i="26" s="1"/>
  <c r="M31" i="37"/>
  <c r="O31" i="37" s="1"/>
  <c r="M55" i="26"/>
  <c r="O55" i="26" s="1"/>
  <c r="M31" i="26"/>
  <c r="O31" i="26" s="1"/>
  <c r="M55" i="37"/>
  <c r="O55" i="37" s="1"/>
  <c r="M67" i="37"/>
  <c r="O67" i="37" s="1"/>
  <c r="M91" i="26"/>
  <c r="O91" i="26" s="1"/>
  <c r="M43" i="37"/>
  <c r="O43" i="37" s="1"/>
  <c r="M80" i="26"/>
  <c r="O80" i="26" s="1"/>
  <c r="M19" i="37"/>
  <c r="O19" i="37" s="1"/>
  <c r="M103" i="37"/>
  <c r="O103" i="37" s="1"/>
  <c r="M80" i="37"/>
  <c r="O80" i="37" s="1"/>
  <c r="M67" i="26"/>
  <c r="O67" i="26" s="1"/>
  <c r="M43" i="26"/>
  <c r="O43" i="26" s="1"/>
  <c r="M7" i="26"/>
  <c r="O7" i="26" s="1"/>
  <c r="M7" i="37"/>
  <c r="O7" i="37" s="1"/>
  <c r="M19" i="26"/>
  <c r="O19" i="26" s="1"/>
  <c r="FO31" i="2"/>
  <c r="X34" i="17"/>
  <c r="Y34" i="17" s="1"/>
  <c r="X24" i="17"/>
  <c r="Y24" i="17" s="1"/>
  <c r="X23" i="17"/>
  <c r="Y23" i="17" s="1"/>
  <c r="G39" i="14"/>
  <c r="X32" i="17"/>
  <c r="Y32" i="17" s="1"/>
  <c r="X29" i="17"/>
  <c r="Y29" i="17" s="1"/>
  <c r="X25" i="17"/>
  <c r="Y25" i="17" s="1"/>
  <c r="D16" i="28"/>
  <c r="FO18" i="2"/>
  <c r="X28" i="17"/>
  <c r="Y28" i="17" s="1"/>
  <c r="AC36" i="7"/>
  <c r="V3" i="19"/>
  <c r="W3" i="19" s="1"/>
  <c r="V12" i="19"/>
  <c r="W12" i="19" s="1"/>
  <c r="V9" i="19"/>
  <c r="W9" i="19" s="1"/>
  <c r="V6" i="19"/>
  <c r="W6" i="19" s="1"/>
  <c r="V10" i="19"/>
  <c r="W10" i="19" s="1"/>
  <c r="V2" i="19"/>
  <c r="V8" i="19"/>
  <c r="W8" i="19" s="1"/>
  <c r="V13" i="19"/>
  <c r="W13" i="19" s="1"/>
  <c r="V11" i="19"/>
  <c r="W11" i="19" s="1"/>
  <c r="V7" i="19"/>
  <c r="W7" i="19" s="1"/>
  <c r="V4" i="19"/>
  <c r="W4" i="19" s="1"/>
  <c r="X17" i="17"/>
  <c r="Y17" i="17" s="1"/>
  <c r="D17" i="28"/>
  <c r="D26" i="28"/>
  <c r="FO25" i="2"/>
  <c r="FO29" i="2"/>
  <c r="FO27" i="2"/>
  <c r="D15" i="28"/>
  <c r="F7" i="39"/>
  <c r="H7" i="39" s="1"/>
  <c r="J7" i="39" s="1"/>
  <c r="J6" i="27"/>
  <c r="V25" i="19"/>
  <c r="W25" i="19" s="1"/>
  <c r="D7" i="27"/>
  <c r="V34" i="19"/>
  <c r="W34" i="19" s="1"/>
  <c r="V35" i="19"/>
  <c r="W35" i="19" s="1"/>
  <c r="V18" i="19"/>
  <c r="W18" i="19" s="1"/>
  <c r="V22" i="19"/>
  <c r="W22" i="19" s="1"/>
  <c r="V14" i="19"/>
  <c r="W14" i="19" s="1"/>
  <c r="V37" i="19"/>
  <c r="W37" i="19" s="1"/>
  <c r="V16" i="19"/>
  <c r="W16" i="19" s="1"/>
  <c r="V15" i="19"/>
  <c r="W15" i="19" s="1"/>
  <c r="V29" i="19"/>
  <c r="W29" i="19" s="1"/>
  <c r="V31" i="19"/>
  <c r="W31" i="19" s="1"/>
  <c r="V28" i="19"/>
  <c r="W28" i="19" s="1"/>
  <c r="V17" i="19"/>
  <c r="W17" i="19" s="1"/>
  <c r="J7" i="27"/>
  <c r="V21" i="19"/>
  <c r="W21" i="19" s="1"/>
  <c r="V36" i="19"/>
  <c r="W36" i="19" s="1"/>
  <c r="F8" i="39"/>
  <c r="H8" i="39" s="1"/>
  <c r="J8" i="39" s="1"/>
  <c r="E8" i="39"/>
  <c r="D19" i="28"/>
  <c r="V30" i="19"/>
  <c r="W30" i="19" s="1"/>
  <c r="V26" i="19"/>
  <c r="W26" i="19" s="1"/>
  <c r="D6" i="27"/>
  <c r="X21" i="17"/>
  <c r="Y21" i="17" s="1"/>
  <c r="V24" i="19"/>
  <c r="W24" i="19" s="1"/>
  <c r="V33" i="19"/>
  <c r="W33" i="19" s="1"/>
  <c r="E7" i="39"/>
  <c r="V20" i="19"/>
  <c r="W20" i="19" s="1"/>
  <c r="V32" i="19"/>
  <c r="W32" i="19" s="1"/>
  <c r="D30" i="28"/>
  <c r="K67" i="2"/>
  <c r="V23" i="19"/>
  <c r="W23" i="19" s="1"/>
  <c r="V27" i="19"/>
  <c r="W27" i="19" s="1"/>
  <c r="D37" i="28"/>
  <c r="Y37" i="17"/>
  <c r="FO37" i="2"/>
  <c r="D21" i="28"/>
  <c r="I16" i="8"/>
  <c r="K16" i="8" s="1"/>
  <c r="O16" i="8"/>
  <c r="Q16" i="8" s="1"/>
  <c r="C129" i="5"/>
  <c r="W12" i="5" s="1"/>
  <c r="C135" i="5"/>
  <c r="C136" i="5"/>
  <c r="Z44" i="7"/>
  <c r="T44" i="7"/>
  <c r="C130" i="5"/>
  <c r="W13" i="5" s="1"/>
  <c r="C131" i="5"/>
  <c r="W24" i="5" s="1"/>
  <c r="C133" i="5"/>
  <c r="C132" i="5"/>
  <c r="W15" i="5" s="1"/>
  <c r="C137" i="5"/>
  <c r="C134" i="5"/>
  <c r="AA13" i="5"/>
  <c r="AA44" i="7"/>
  <c r="AB44" i="7"/>
  <c r="W44" i="7"/>
  <c r="X44" i="7"/>
  <c r="V44" i="7"/>
  <c r="Y44" i="7"/>
  <c r="AI5" i="5"/>
  <c r="AI42" i="5" s="1"/>
  <c r="AH10" i="5"/>
  <c r="X13" i="5"/>
  <c r="Z13" i="5"/>
  <c r="AH8" i="5"/>
  <c r="AH6" i="5"/>
  <c r="AI8" i="5"/>
  <c r="AH9" i="5"/>
  <c r="AH5" i="5"/>
  <c r="AI6" i="5"/>
  <c r="AI7" i="5"/>
  <c r="AI10" i="5"/>
  <c r="AI9" i="5"/>
  <c r="AH7" i="5"/>
  <c r="AB15" i="5"/>
  <c r="AA15" i="5"/>
  <c r="Z14" i="5"/>
  <c r="X14" i="5"/>
  <c r="AB18" i="5"/>
  <c r="Z17" i="5"/>
  <c r="X17" i="5"/>
  <c r="X16" i="5"/>
  <c r="X18" i="5"/>
  <c r="Y13" i="5"/>
  <c r="AA14" i="5"/>
  <c r="X15" i="5"/>
  <c r="AA18" i="5"/>
  <c r="AB14" i="5"/>
  <c r="Y15" i="5"/>
  <c r="Y14" i="5"/>
  <c r="G198" i="5"/>
  <c r="G197" i="5"/>
  <c r="D193" i="5"/>
  <c r="D194" i="5"/>
  <c r="D192" i="5"/>
  <c r="X19" i="5" s="1"/>
  <c r="C179" i="5"/>
  <c r="C183" i="5"/>
  <c r="C180" i="5"/>
  <c r="C182" i="5"/>
  <c r="C181" i="5"/>
  <c r="H194" i="5"/>
  <c r="H193" i="5"/>
  <c r="H192" i="5"/>
  <c r="F194" i="5"/>
  <c r="F192" i="5"/>
  <c r="F193" i="5"/>
  <c r="E197" i="5"/>
  <c r="E198" i="5"/>
  <c r="G194" i="5"/>
  <c r="G192" i="5"/>
  <c r="G193" i="5"/>
  <c r="F197" i="5"/>
  <c r="F198" i="5"/>
  <c r="H197" i="5"/>
  <c r="H198" i="5"/>
  <c r="E194" i="5"/>
  <c r="E193" i="5"/>
  <c r="E192" i="5"/>
  <c r="D197" i="5"/>
  <c r="D198" i="5"/>
  <c r="AC41" i="7"/>
  <c r="AC39" i="7"/>
  <c r="AM87" i="7"/>
  <c r="AM78" i="7"/>
  <c r="T82" i="7"/>
  <c r="T92" i="7" s="1"/>
  <c r="W82" i="7"/>
  <c r="W92" i="7" s="1"/>
  <c r="X82" i="7"/>
  <c r="X92" i="7" s="1"/>
  <c r="V82" i="7"/>
  <c r="V92" i="7" s="1"/>
  <c r="U82" i="7"/>
  <c r="U92" i="7" s="1"/>
  <c r="S82" i="7"/>
  <c r="S92" i="7" s="1"/>
  <c r="AC38" i="7"/>
  <c r="AC42" i="7"/>
  <c r="AC40" i="7"/>
  <c r="Z87" i="7"/>
  <c r="AD32" i="7"/>
  <c r="AD43" i="7" s="1"/>
  <c r="FO32" i="2"/>
  <c r="FP32" i="2"/>
  <c r="FP56" i="2"/>
  <c r="FP21" i="2"/>
  <c r="AI41" i="5"/>
  <c r="AH41" i="5"/>
  <c r="AI62" i="7"/>
  <c r="FO8" i="2"/>
  <c r="AS38" i="40"/>
  <c r="AM61" i="7"/>
  <c r="O6" i="7"/>
  <c r="FP8" i="2"/>
  <c r="FP44" i="2"/>
  <c r="U40" i="14"/>
  <c r="AG39" i="14"/>
  <c r="FU104" i="2"/>
  <c r="BN40" i="14"/>
  <c r="GB105" i="2"/>
  <c r="K40" i="14"/>
  <c r="AK40" i="14"/>
  <c r="FV105" i="2"/>
  <c r="C39" i="14"/>
  <c r="BV39" i="14"/>
  <c r="GD104" i="2"/>
  <c r="AX40" i="14"/>
  <c r="BB40" i="14"/>
  <c r="AT40" i="14"/>
  <c r="AA40" i="14"/>
  <c r="AB40" i="14" s="1"/>
  <c r="BR40" i="14"/>
  <c r="GC105" i="2"/>
  <c r="AO40" i="14"/>
  <c r="FW105" i="2"/>
  <c r="F104" i="26"/>
  <c r="K104" i="26" s="1"/>
  <c r="BH39" i="14"/>
  <c r="F104" i="37"/>
  <c r="K104" i="37" s="1"/>
  <c r="GA104" i="2"/>
  <c r="O40" i="14"/>
  <c r="O91" i="37"/>
  <c r="D10" i="12"/>
  <c r="D30" i="41"/>
  <c r="C30" i="41"/>
  <c r="FU56" i="2"/>
  <c r="FY44" i="2"/>
  <c r="GD44" i="2"/>
  <c r="FU92" i="2"/>
  <c r="FU44" i="2"/>
  <c r="F20" i="37"/>
  <c r="K20" i="37" s="1"/>
  <c r="F20" i="26"/>
  <c r="K20" i="26" s="1"/>
  <c r="GA20" i="2"/>
  <c r="FU80" i="2"/>
  <c r="FX8" i="2"/>
  <c r="GB92" i="2"/>
  <c r="F81" i="26"/>
  <c r="K81" i="26" s="1"/>
  <c r="F81" i="37"/>
  <c r="K81" i="37" s="1"/>
  <c r="GA81" i="2"/>
  <c r="FS32" i="2"/>
  <c r="GD68" i="2"/>
  <c r="FW68" i="2"/>
  <c r="FV32" i="2"/>
  <c r="FY56" i="2"/>
  <c r="FO20" i="2"/>
  <c r="GB8" i="2"/>
  <c r="GD20" i="2"/>
  <c r="GB20" i="2"/>
  <c r="F32" i="26"/>
  <c r="K32" i="26" s="1"/>
  <c r="F32" i="37"/>
  <c r="K32" i="37" s="1"/>
  <c r="GA32" i="2"/>
  <c r="GC68" i="2"/>
  <c r="FS20" i="2"/>
  <c r="GD56" i="2"/>
  <c r="GD32" i="2"/>
  <c r="GC32" i="2"/>
  <c r="FS8" i="2"/>
  <c r="GD80" i="2"/>
  <c r="FT20" i="2"/>
  <c r="FV8" i="2"/>
  <c r="FR56" i="2"/>
  <c r="FW80" i="2"/>
  <c r="F44" i="37"/>
  <c r="K44" i="37" s="1"/>
  <c r="F44" i="26"/>
  <c r="K44" i="26" s="1"/>
  <c r="GA44" i="2"/>
  <c r="GC44" i="2"/>
  <c r="FT56" i="2"/>
  <c r="GD92" i="2"/>
  <c r="GC8" i="2"/>
  <c r="GB80" i="2"/>
  <c r="FV44" i="2"/>
  <c r="FU8" i="2"/>
  <c r="FQ20" i="2"/>
  <c r="FS44" i="2"/>
  <c r="FV68" i="2"/>
  <c r="FU20" i="2"/>
  <c r="FV20" i="2"/>
  <c r="FY20" i="2"/>
  <c r="FR8" i="2"/>
  <c r="FT8" i="2"/>
  <c r="GC92" i="2"/>
  <c r="FT32" i="2"/>
  <c r="FT44" i="2"/>
  <c r="GB68" i="2"/>
  <c r="FW8" i="2"/>
  <c r="FR44" i="2"/>
  <c r="F92" i="37"/>
  <c r="K92" i="37" s="1"/>
  <c r="F92" i="26"/>
  <c r="K92" i="26" s="1"/>
  <c r="GA92" i="2"/>
  <c r="GB56" i="2"/>
  <c r="GD8" i="2"/>
  <c r="FW20" i="2"/>
  <c r="FY8" i="2"/>
  <c r="GB44" i="2"/>
  <c r="GC80" i="2"/>
  <c r="FV92" i="2"/>
  <c r="GB32" i="2"/>
  <c r="FW56" i="2"/>
  <c r="FX20" i="2"/>
  <c r="FQ56" i="2"/>
  <c r="FX56" i="2"/>
  <c r="GC56" i="2"/>
  <c r="FQ44" i="2"/>
  <c r="FV80" i="2"/>
  <c r="FX44" i="2"/>
  <c r="FX32" i="2"/>
  <c r="FW32" i="2"/>
  <c r="FS56" i="2"/>
  <c r="FV56" i="2"/>
  <c r="GC20" i="2"/>
  <c r="FU68" i="2"/>
  <c r="F68" i="37"/>
  <c r="K68" i="37" s="1"/>
  <c r="F68" i="26"/>
  <c r="K68" i="26" s="1"/>
  <c r="GA68" i="2"/>
  <c r="FW44" i="2"/>
  <c r="F8" i="26"/>
  <c r="K8" i="26" s="1"/>
  <c r="F8" i="37"/>
  <c r="K8" i="37" s="1"/>
  <c r="GA8" i="2"/>
  <c r="FW92" i="2"/>
  <c r="FR32" i="2"/>
  <c r="FY32" i="2"/>
  <c r="FQ32" i="2"/>
  <c r="F56" i="37"/>
  <c r="K56" i="37" s="1"/>
  <c r="F56" i="26"/>
  <c r="K56" i="26" s="1"/>
  <c r="GA56" i="2"/>
  <c r="FR20" i="2"/>
  <c r="FU32" i="2"/>
  <c r="FQ8" i="2"/>
  <c r="I7" i="27"/>
  <c r="I6" i="27"/>
  <c r="C5" i="27"/>
  <c r="E5" i="27" s="1"/>
  <c r="Y26" i="17"/>
  <c r="C7" i="27"/>
  <c r="C6" i="27"/>
  <c r="I5" i="27"/>
  <c r="K5" i="27" s="1"/>
  <c r="W2" i="19"/>
  <c r="E10" i="12"/>
  <c r="F10" i="12"/>
  <c r="G10" i="12"/>
  <c r="J10" i="12"/>
  <c r="H10" i="12"/>
  <c r="I10" i="12"/>
  <c r="K10" i="12"/>
  <c r="C32" i="41"/>
  <c r="I25" i="8"/>
  <c r="D31" i="41"/>
  <c r="N24" i="8"/>
  <c r="C31" i="41"/>
  <c r="I24" i="8"/>
  <c r="D24" i="8"/>
  <c r="D26" i="8"/>
  <c r="C33" i="41"/>
  <c r="I26" i="8"/>
  <c r="D25" i="8"/>
  <c r="K65" i="2"/>
  <c r="W7" i="8"/>
  <c r="AG7" i="8" s="1"/>
  <c r="U16" i="8"/>
  <c r="W16" i="8" s="1"/>
  <c r="AD52" i="7"/>
  <c r="X7" i="8"/>
  <c r="K62" i="2"/>
  <c r="K64" i="2"/>
  <c r="K68" i="2"/>
  <c r="K71" i="2"/>
  <c r="K70" i="2"/>
  <c r="K73" i="2"/>
  <c r="K63" i="2"/>
  <c r="K66" i="2"/>
  <c r="K72" i="2"/>
  <c r="K69" i="2"/>
  <c r="T10" i="8"/>
  <c r="AF10" i="8" s="1"/>
  <c r="R16" i="8"/>
  <c r="T16" i="8" s="1"/>
  <c r="Z81" i="7"/>
  <c r="Z79" i="7"/>
  <c r="AA24" i="5"/>
  <c r="Y49" i="5"/>
  <c r="AH72" i="2"/>
  <c r="AH70" i="2"/>
  <c r="AH66" i="2"/>
  <c r="AH68" i="2"/>
  <c r="AH62" i="2"/>
  <c r="AH71" i="2"/>
  <c r="AH69" i="2"/>
  <c r="AH73" i="2"/>
  <c r="AH65" i="2"/>
  <c r="AH67" i="2"/>
  <c r="AH64" i="2"/>
  <c r="AH63" i="2"/>
  <c r="AB49" i="5"/>
  <c r="AM77" i="7"/>
  <c r="AB24" i="5"/>
  <c r="AB50" i="5"/>
  <c r="AH96" i="2" s="1"/>
  <c r="X24" i="5"/>
  <c r="Z78" i="7"/>
  <c r="Z49" i="5"/>
  <c r="X49" i="5"/>
  <c r="AA49" i="5"/>
  <c r="Z80" i="7"/>
  <c r="Z24" i="5"/>
  <c r="W62" i="2"/>
  <c r="W63" i="2"/>
  <c r="W68" i="2"/>
  <c r="W69" i="2"/>
  <c r="W71" i="2"/>
  <c r="W73" i="2"/>
  <c r="W66" i="2"/>
  <c r="W72" i="2"/>
  <c r="W67" i="2"/>
  <c r="W64" i="2"/>
  <c r="W65" i="2"/>
  <c r="W70" i="2"/>
  <c r="Q65" i="2"/>
  <c r="Q68" i="2"/>
  <c r="Q66" i="2"/>
  <c r="Q67" i="2"/>
  <c r="Q71" i="2"/>
  <c r="Q69" i="2"/>
  <c r="Q73" i="2"/>
  <c r="Q64" i="2"/>
  <c r="Q62" i="2"/>
  <c r="Q70" i="2"/>
  <c r="Q72" i="2"/>
  <c r="Q63" i="2"/>
  <c r="Z77" i="7"/>
  <c r="AC67" i="2"/>
  <c r="AC68" i="2"/>
  <c r="AC65" i="2"/>
  <c r="AC72" i="2"/>
  <c r="AC73" i="2"/>
  <c r="AC70" i="2"/>
  <c r="AC63" i="2"/>
  <c r="AC71" i="2"/>
  <c r="AC66" i="2"/>
  <c r="AC62" i="2"/>
  <c r="AC64" i="2"/>
  <c r="AC69" i="2"/>
  <c r="Y24" i="5"/>
  <c r="Q147" i="10" l="1"/>
  <c r="C29" i="41"/>
  <c r="W16" i="5"/>
  <c r="AA19" i="5"/>
  <c r="C29" i="73"/>
  <c r="K144" i="32"/>
  <c r="M144" i="32" s="1"/>
  <c r="I145" i="32"/>
  <c r="S166" i="31"/>
  <c r="E168" i="32"/>
  <c r="I156" i="32"/>
  <c r="I190" i="31"/>
  <c r="Q190" i="31" s="1"/>
  <c r="Q178" i="31"/>
  <c r="O166" i="33"/>
  <c r="Q166" i="33" s="1"/>
  <c r="F190" i="33"/>
  <c r="L190" i="33" s="1"/>
  <c r="L178" i="33"/>
  <c r="S144" i="31"/>
  <c r="Q145" i="31"/>
  <c r="O144" i="33"/>
  <c r="Q144" i="33" s="1"/>
  <c r="I168" i="31"/>
  <c r="Q156" i="31"/>
  <c r="S177" i="31"/>
  <c r="F168" i="33"/>
  <c r="L156" i="33"/>
  <c r="K155" i="32"/>
  <c r="M155" i="32" s="1"/>
  <c r="S189" i="31"/>
  <c r="L145" i="33"/>
  <c r="E179" i="32"/>
  <c r="I167" i="32"/>
  <c r="K177" i="32"/>
  <c r="M177" i="32" s="1"/>
  <c r="O177" i="33"/>
  <c r="Q177" i="33" s="1"/>
  <c r="K189" i="32"/>
  <c r="M189" i="32" s="1"/>
  <c r="O189" i="33"/>
  <c r="Q189" i="33" s="1"/>
  <c r="K166" i="32"/>
  <c r="M166" i="32" s="1"/>
  <c r="O155" i="33"/>
  <c r="Q155" i="33" s="1"/>
  <c r="E190" i="32"/>
  <c r="I190" i="32" s="1"/>
  <c r="I178" i="32"/>
  <c r="F179" i="33"/>
  <c r="L167" i="33"/>
  <c r="S155" i="31"/>
  <c r="I179" i="31"/>
  <c r="Q167" i="31"/>
  <c r="D29" i="41"/>
  <c r="D29" i="73"/>
  <c r="N25" i="8"/>
  <c r="D32" i="41"/>
  <c r="BA18" i="40"/>
  <c r="N26" i="8"/>
  <c r="D33" i="41"/>
  <c r="E32" i="41"/>
  <c r="S26" i="8"/>
  <c r="E33" i="41"/>
  <c r="AH25" i="8"/>
  <c r="E30" i="41"/>
  <c r="E33" i="73"/>
  <c r="E30" i="73"/>
  <c r="D33" i="73"/>
  <c r="E31" i="73"/>
  <c r="S24" i="8"/>
  <c r="E31" i="41"/>
  <c r="L40" i="14"/>
  <c r="BI39" i="14"/>
  <c r="BW39" i="14"/>
  <c r="BO40" i="14"/>
  <c r="H39" i="14"/>
  <c r="AH39" i="14"/>
  <c r="AP40" i="14"/>
  <c r="V40" i="14"/>
  <c r="BS40" i="14"/>
  <c r="AU40" i="14"/>
  <c r="BC40" i="14"/>
  <c r="AY40" i="14"/>
  <c r="D39" i="14"/>
  <c r="AL40" i="14"/>
  <c r="S25" i="8"/>
  <c r="E29" i="41"/>
  <c r="E32" i="73"/>
  <c r="E28" i="73"/>
  <c r="AB19" i="5"/>
  <c r="M92" i="37"/>
  <c r="G33" i="41"/>
  <c r="F33" i="41"/>
  <c r="H30" i="73"/>
  <c r="H29" i="73"/>
  <c r="H32" i="73"/>
  <c r="C28" i="73"/>
  <c r="H31" i="73"/>
  <c r="H33" i="41"/>
  <c r="F31" i="73"/>
  <c r="Y17" i="5"/>
  <c r="AM20" i="39"/>
  <c r="DV18" i="39"/>
  <c r="DV20" i="39"/>
  <c r="DV21" i="39"/>
  <c r="AM17" i="39"/>
  <c r="AT5" i="40"/>
  <c r="Y19" i="5"/>
  <c r="H31" i="41"/>
  <c r="Z19" i="5"/>
  <c r="D3" i="73"/>
  <c r="E3" i="73"/>
  <c r="W21" i="5"/>
  <c r="AM21" i="39"/>
  <c r="DV19" i="39"/>
  <c r="AM18" i="39"/>
  <c r="FD92" i="3"/>
  <c r="FD105" i="3"/>
  <c r="FD56" i="3"/>
  <c r="FD68" i="3"/>
  <c r="FD80" i="3"/>
  <c r="FD128" i="3"/>
  <c r="FD116" i="3"/>
  <c r="FD44" i="3"/>
  <c r="FD32" i="3"/>
  <c r="DV17" i="39"/>
  <c r="P40" i="14"/>
  <c r="AH26" i="8"/>
  <c r="AM19" i="39"/>
  <c r="AC26" i="8"/>
  <c r="G31" i="41"/>
  <c r="EU61" i="3"/>
  <c r="EU49" i="3"/>
  <c r="EU50" i="3"/>
  <c r="EV32" i="3"/>
  <c r="F32" i="73"/>
  <c r="FB80" i="3"/>
  <c r="EX68" i="3"/>
  <c r="H33" i="73"/>
  <c r="G32" i="73"/>
  <c r="G31" i="73"/>
  <c r="EW80" i="3"/>
  <c r="FA56" i="3"/>
  <c r="EY68" i="3"/>
  <c r="EZ32" i="3"/>
  <c r="EW56" i="3"/>
  <c r="FA68" i="3"/>
  <c r="FA44" i="3"/>
  <c r="EX80" i="3"/>
  <c r="EU43" i="3"/>
  <c r="FB32" i="3"/>
  <c r="EU32" i="3"/>
  <c r="EV80" i="3"/>
  <c r="F30" i="41"/>
  <c r="F30" i="73"/>
  <c r="EW44" i="3"/>
  <c r="FB56" i="3"/>
  <c r="EV45" i="3"/>
  <c r="EV56" i="3"/>
  <c r="EU56" i="3"/>
  <c r="F29" i="73"/>
  <c r="FA80" i="3"/>
  <c r="EX32" i="3"/>
  <c r="EX56" i="3"/>
  <c r="EZ68" i="3"/>
  <c r="EZ80" i="3"/>
  <c r="EZ44" i="3"/>
  <c r="EY44" i="3"/>
  <c r="G29" i="73"/>
  <c r="EU54" i="3"/>
  <c r="FB44" i="3"/>
  <c r="FA32" i="3"/>
  <c r="EW68" i="3"/>
  <c r="EY56" i="3"/>
  <c r="G33" i="73"/>
  <c r="EU41" i="3"/>
  <c r="EU39" i="3"/>
  <c r="EU40" i="3"/>
  <c r="EW32" i="3"/>
  <c r="EZ56" i="3"/>
  <c r="EX44" i="3"/>
  <c r="EY80" i="3"/>
  <c r="FB68" i="3"/>
  <c r="EU51" i="3"/>
  <c r="EU55" i="3"/>
  <c r="EY32" i="3"/>
  <c r="G30" i="73"/>
  <c r="F33" i="73"/>
  <c r="EU44" i="3"/>
  <c r="EV68" i="3"/>
  <c r="EU53" i="3"/>
  <c r="EU42" i="3"/>
  <c r="DV16" i="39"/>
  <c r="AM16" i="39"/>
  <c r="O143" i="10"/>
  <c r="P147" i="10"/>
  <c r="Q142" i="51"/>
  <c r="R146" i="51"/>
  <c r="M44" i="37"/>
  <c r="O44" i="37" s="1"/>
  <c r="M104" i="37"/>
  <c r="O104" i="37" s="1"/>
  <c r="M68" i="37"/>
  <c r="O68" i="37" s="1"/>
  <c r="M104" i="26"/>
  <c r="O104" i="26" s="1"/>
  <c r="M56" i="26"/>
  <c r="O56" i="26" s="1"/>
  <c r="M92" i="26"/>
  <c r="O92" i="26" s="1"/>
  <c r="M56" i="37"/>
  <c r="O56" i="37" s="1"/>
  <c r="M8" i="37"/>
  <c r="O8" i="37" s="1"/>
  <c r="M8" i="26"/>
  <c r="O8" i="26" s="1"/>
  <c r="M81" i="37"/>
  <c r="O81" i="37" s="1"/>
  <c r="M81" i="26"/>
  <c r="O81" i="26" s="1"/>
  <c r="M32" i="37"/>
  <c r="O32" i="37" s="1"/>
  <c r="M32" i="26"/>
  <c r="O32" i="26" s="1"/>
  <c r="M20" i="26"/>
  <c r="O20" i="26" s="1"/>
  <c r="M68" i="26"/>
  <c r="O68" i="26" s="1"/>
  <c r="M44" i="26"/>
  <c r="O44" i="26" s="1"/>
  <c r="M20" i="37"/>
  <c r="O20" i="37" s="1"/>
  <c r="K6" i="27"/>
  <c r="G40" i="14"/>
  <c r="AC24" i="8"/>
  <c r="L67" i="2"/>
  <c r="E6" i="27"/>
  <c r="K7" i="27"/>
  <c r="E7" i="27"/>
  <c r="AA50" i="5"/>
  <c r="Z50" i="5"/>
  <c r="X50" i="5"/>
  <c r="W48" i="5"/>
  <c r="Y50" i="5"/>
  <c r="X26" i="8"/>
  <c r="G29" i="41"/>
  <c r="F29" i="41"/>
  <c r="AC25" i="8"/>
  <c r="G32" i="41"/>
  <c r="W18" i="5"/>
  <c r="X25" i="8"/>
  <c r="F32" i="41"/>
  <c r="G30" i="41"/>
  <c r="W19" i="5"/>
  <c r="W20" i="5"/>
  <c r="W14" i="5"/>
  <c r="W17" i="5"/>
  <c r="AD36" i="7"/>
  <c r="AC44" i="7"/>
  <c r="AD38" i="7"/>
  <c r="AA20" i="5"/>
  <c r="Y21" i="5"/>
  <c r="AA21" i="5"/>
  <c r="Y20" i="5"/>
  <c r="Z21" i="5"/>
  <c r="AB21" i="5"/>
  <c r="AB20" i="5"/>
  <c r="X21" i="5"/>
  <c r="X20" i="5"/>
  <c r="Z20" i="5"/>
  <c r="AJ63" i="7"/>
  <c r="AI63" i="7" s="1"/>
  <c r="AH6" i="7"/>
  <c r="AN6" i="7"/>
  <c r="AM6" i="7"/>
  <c r="AI6" i="7"/>
  <c r="AJ6" i="7"/>
  <c r="AO6" i="7"/>
  <c r="AK6" i="7"/>
  <c r="AL6" i="7"/>
  <c r="Z82" i="7"/>
  <c r="AD40" i="7"/>
  <c r="AD41" i="7"/>
  <c r="AD39" i="7"/>
  <c r="AD42" i="7"/>
  <c r="AI44" i="5"/>
  <c r="BV14" i="2" s="1"/>
  <c r="AI46" i="5"/>
  <c r="BV39" i="2" s="1"/>
  <c r="AH46" i="5"/>
  <c r="BP47" i="2" s="1"/>
  <c r="AI47" i="5"/>
  <c r="BV52" i="2" s="1"/>
  <c r="AH45" i="5"/>
  <c r="BP37" i="2" s="1"/>
  <c r="AM62" i="7"/>
  <c r="O7" i="7"/>
  <c r="AH47" i="5"/>
  <c r="BP50" i="2" s="1"/>
  <c r="AH43" i="5"/>
  <c r="BP11" i="2" s="1"/>
  <c r="AI45" i="5"/>
  <c r="AH42" i="5"/>
  <c r="AH44" i="5"/>
  <c r="BP21" i="2" s="1"/>
  <c r="AT6" i="40"/>
  <c r="AI43" i="5"/>
  <c r="AX41" i="14"/>
  <c r="BN41" i="14"/>
  <c r="GB106" i="2"/>
  <c r="AT41" i="14"/>
  <c r="AO41" i="14"/>
  <c r="FW106" i="2"/>
  <c r="AK41" i="14"/>
  <c r="FV106" i="2"/>
  <c r="BR41" i="14"/>
  <c r="GC106" i="2"/>
  <c r="BB41" i="14"/>
  <c r="K41" i="14"/>
  <c r="BV40" i="14"/>
  <c r="GD105" i="2"/>
  <c r="F105" i="37"/>
  <c r="K105" i="37" s="1"/>
  <c r="F105" i="26"/>
  <c r="K105" i="26" s="1"/>
  <c r="BH40" i="14"/>
  <c r="GA105" i="2"/>
  <c r="AG40" i="14"/>
  <c r="FU105" i="2"/>
  <c r="AA41" i="14"/>
  <c r="AB41" i="14" s="1"/>
  <c r="O41" i="14"/>
  <c r="C40" i="14"/>
  <c r="U41" i="14"/>
  <c r="O92" i="37"/>
  <c r="I29" i="8"/>
  <c r="F28" i="41"/>
  <c r="F69" i="37"/>
  <c r="K69" i="37" s="1"/>
  <c r="F69" i="26"/>
  <c r="K69" i="26" s="1"/>
  <c r="GA69" i="2"/>
  <c r="FQ9" i="2"/>
  <c r="FW93" i="2"/>
  <c r="FQ57" i="2"/>
  <c r="GB57" i="2"/>
  <c r="FQ21" i="2"/>
  <c r="GC33" i="2"/>
  <c r="FS21" i="2"/>
  <c r="FX9" i="2"/>
  <c r="FV81" i="2"/>
  <c r="GB45" i="2"/>
  <c r="GB81" i="2"/>
  <c r="FT21" i="2"/>
  <c r="GD69" i="2"/>
  <c r="FP9" i="2"/>
  <c r="FU69" i="2"/>
  <c r="FP33" i="2"/>
  <c r="FR9" i="2"/>
  <c r="FW81" i="2"/>
  <c r="FY45" i="2"/>
  <c r="FW45" i="2"/>
  <c r="FQ33" i="2"/>
  <c r="GB33" i="2"/>
  <c r="FP45" i="2"/>
  <c r="GB69" i="2"/>
  <c r="GD33" i="2"/>
  <c r="GC69" i="2"/>
  <c r="FU81" i="2"/>
  <c r="FU33" i="2"/>
  <c r="FW33" i="2"/>
  <c r="FQ45" i="2"/>
  <c r="FU21" i="2"/>
  <c r="GC9" i="2"/>
  <c r="FU45" i="2"/>
  <c r="F9" i="37"/>
  <c r="K9" i="37" s="1"/>
  <c r="F9" i="26"/>
  <c r="K9" i="26" s="1"/>
  <c r="GA9" i="2"/>
  <c r="GC21" i="2"/>
  <c r="FX21" i="2"/>
  <c r="FT57" i="2"/>
  <c r="FO33" i="2"/>
  <c r="GD21" i="2"/>
  <c r="FY33" i="2"/>
  <c r="FY9" i="2"/>
  <c r="F93" i="26"/>
  <c r="K93" i="26" s="1"/>
  <c r="F93" i="37"/>
  <c r="K93" i="37" s="1"/>
  <c r="GA93" i="2"/>
  <c r="GD81" i="2"/>
  <c r="FY57" i="2"/>
  <c r="GB93" i="2"/>
  <c r="FR21" i="2"/>
  <c r="FX33" i="2"/>
  <c r="GC57" i="2"/>
  <c r="FP22" i="2"/>
  <c r="FV93" i="2"/>
  <c r="FT45" i="2"/>
  <c r="FV69" i="2"/>
  <c r="FU9" i="2"/>
  <c r="FO9" i="2"/>
  <c r="FV57" i="2"/>
  <c r="GC93" i="2"/>
  <c r="FR57" i="2"/>
  <c r="F33" i="26"/>
  <c r="K33" i="26" s="1"/>
  <c r="F33" i="37"/>
  <c r="K33" i="37" s="1"/>
  <c r="GA33" i="2"/>
  <c r="GB9" i="2"/>
  <c r="F21" i="37"/>
  <c r="K21" i="37" s="1"/>
  <c r="F21" i="26"/>
  <c r="K21" i="26" s="1"/>
  <c r="GA21" i="2"/>
  <c r="FU57" i="2"/>
  <c r="FR45" i="2"/>
  <c r="FY21" i="2"/>
  <c r="FV33" i="2"/>
  <c r="FS33" i="2"/>
  <c r="FW57" i="2"/>
  <c r="GC81" i="2"/>
  <c r="FS45" i="2"/>
  <c r="GC45" i="2"/>
  <c r="FS9" i="2"/>
  <c r="GD57" i="2"/>
  <c r="FO21" i="2"/>
  <c r="FU93" i="2"/>
  <c r="D29" i="8"/>
  <c r="FS57" i="2"/>
  <c r="FX45" i="2"/>
  <c r="FT9" i="2"/>
  <c r="FV9" i="2"/>
  <c r="FR33" i="2"/>
  <c r="GD9" i="2"/>
  <c r="FW9" i="2"/>
  <c r="GB21" i="2"/>
  <c r="FX57" i="2"/>
  <c r="FT33" i="2"/>
  <c r="FP57" i="2"/>
  <c r="FV21" i="2"/>
  <c r="GD93" i="2"/>
  <c r="GD45" i="2"/>
  <c r="FW21" i="2"/>
  <c r="F57" i="37"/>
  <c r="K57" i="37" s="1"/>
  <c r="F57" i="26"/>
  <c r="K57" i="26" s="1"/>
  <c r="GA57" i="2"/>
  <c r="FV45" i="2"/>
  <c r="FW69" i="2"/>
  <c r="F82" i="26"/>
  <c r="K82" i="26" s="1"/>
  <c r="F82" i="37"/>
  <c r="K82" i="37" s="1"/>
  <c r="GA82" i="2"/>
  <c r="F45" i="26"/>
  <c r="K45" i="26" s="1"/>
  <c r="F45" i="37"/>
  <c r="K45" i="37" s="1"/>
  <c r="GA45" i="2"/>
  <c r="L65" i="2"/>
  <c r="F31" i="41"/>
  <c r="X24" i="8"/>
  <c r="AD16" i="8"/>
  <c r="D28" i="41"/>
  <c r="AE16" i="8"/>
  <c r="E28" i="41"/>
  <c r="AC16" i="8"/>
  <c r="C28" i="41"/>
  <c r="AB16" i="8"/>
  <c r="BD11" i="39"/>
  <c r="BG11" i="39" s="1"/>
  <c r="BH11" i="39" s="1"/>
  <c r="AS11" i="39"/>
  <c r="AV11" i="39" s="1"/>
  <c r="AH11" i="39"/>
  <c r="AK11" i="39" s="1"/>
  <c r="X11" i="39"/>
  <c r="AA11" i="39" s="1"/>
  <c r="N11" i="39"/>
  <c r="Z7" i="8"/>
  <c r="AH7" i="8" s="1"/>
  <c r="X16" i="8"/>
  <c r="Z16" i="8" s="1"/>
  <c r="AD66" i="2"/>
  <c r="R63" i="2"/>
  <c r="AI70" i="2"/>
  <c r="R73" i="2"/>
  <c r="L64" i="2"/>
  <c r="AD67" i="2"/>
  <c r="R69" i="2"/>
  <c r="X71" i="2"/>
  <c r="L72" i="2"/>
  <c r="AD71" i="2"/>
  <c r="AI68" i="2"/>
  <c r="L66" i="2"/>
  <c r="R72" i="2"/>
  <c r="R70" i="2"/>
  <c r="L70" i="2"/>
  <c r="R62" i="2"/>
  <c r="X66" i="2"/>
  <c r="X73" i="2"/>
  <c r="R71" i="2"/>
  <c r="X69" i="2"/>
  <c r="AI63" i="2"/>
  <c r="L62" i="2"/>
  <c r="AI62" i="2"/>
  <c r="AD70" i="2"/>
  <c r="X72" i="2"/>
  <c r="AD65" i="2"/>
  <c r="L68" i="2"/>
  <c r="R67" i="2"/>
  <c r="X68" i="2"/>
  <c r="AI64" i="2"/>
  <c r="AD64" i="2"/>
  <c r="AI71" i="2"/>
  <c r="X70" i="2"/>
  <c r="AI72" i="2"/>
  <c r="AD72" i="2"/>
  <c r="L71" i="2"/>
  <c r="R64" i="2"/>
  <c r="AD68" i="2"/>
  <c r="R66" i="2"/>
  <c r="X63" i="2"/>
  <c r="AI67" i="2"/>
  <c r="X65" i="2"/>
  <c r="L63" i="2"/>
  <c r="X62" i="2"/>
  <c r="AD62" i="2"/>
  <c r="AD63" i="2"/>
  <c r="AI66" i="2"/>
  <c r="X64" i="2"/>
  <c r="L73" i="2"/>
  <c r="AD73" i="2"/>
  <c r="X67" i="2"/>
  <c r="R68" i="2"/>
  <c r="AI65" i="2"/>
  <c r="L69" i="2"/>
  <c r="AD69" i="2"/>
  <c r="R65" i="2"/>
  <c r="AI73" i="2"/>
  <c r="AI96" i="2"/>
  <c r="AI69" i="2"/>
  <c r="AF16" i="8"/>
  <c r="AH93" i="2"/>
  <c r="AH89" i="2"/>
  <c r="AH97" i="2"/>
  <c r="AH87" i="2"/>
  <c r="AH94" i="2"/>
  <c r="AH95" i="2"/>
  <c r="AH92" i="2"/>
  <c r="AH88" i="2"/>
  <c r="Z25" i="5"/>
  <c r="Z51" i="5"/>
  <c r="W98" i="2" s="1"/>
  <c r="AH90" i="2"/>
  <c r="W50" i="5"/>
  <c r="E91" i="2" s="1"/>
  <c r="Z92" i="7"/>
  <c r="X25" i="5"/>
  <c r="X51" i="5"/>
  <c r="K98" i="2" s="1"/>
  <c r="AH91" i="2"/>
  <c r="AH77" i="2"/>
  <c r="AH82" i="2"/>
  <c r="AH81" i="2"/>
  <c r="AH85" i="2"/>
  <c r="AH84" i="2"/>
  <c r="AH80" i="2"/>
  <c r="AH83" i="2"/>
  <c r="AH78" i="2"/>
  <c r="AH76" i="2"/>
  <c r="AH74" i="2"/>
  <c r="AH75" i="2"/>
  <c r="AH79" i="2"/>
  <c r="AA25" i="5"/>
  <c r="AA51" i="5"/>
  <c r="AC98" i="2" s="1"/>
  <c r="AC80" i="2"/>
  <c r="AC79" i="2"/>
  <c r="AC84" i="2"/>
  <c r="AC85" i="2"/>
  <c r="AC76" i="2"/>
  <c r="AC82" i="2"/>
  <c r="AC75" i="2"/>
  <c r="AC74" i="2"/>
  <c r="AC78" i="2"/>
  <c r="AC77" i="2"/>
  <c r="AC81" i="2"/>
  <c r="AC83" i="2"/>
  <c r="AB25" i="5"/>
  <c r="AB51" i="5"/>
  <c r="K85" i="2"/>
  <c r="K80" i="2"/>
  <c r="K76" i="2"/>
  <c r="K74" i="2"/>
  <c r="K81" i="2"/>
  <c r="K84" i="2"/>
  <c r="K82" i="2"/>
  <c r="K75" i="2"/>
  <c r="K78" i="2"/>
  <c r="K83" i="2"/>
  <c r="K77" i="2"/>
  <c r="K79" i="2"/>
  <c r="Y25" i="5"/>
  <c r="Y51" i="5"/>
  <c r="Q98" i="2" s="1"/>
  <c r="W84" i="2"/>
  <c r="W77" i="2"/>
  <c r="W83" i="2"/>
  <c r="W79" i="2"/>
  <c r="W75" i="2"/>
  <c r="W85" i="2"/>
  <c r="W81" i="2"/>
  <c r="W74" i="2"/>
  <c r="W78" i="2"/>
  <c r="W76" i="2"/>
  <c r="W82" i="2"/>
  <c r="W80" i="2"/>
  <c r="AH86" i="2"/>
  <c r="W49" i="5"/>
  <c r="Q83" i="2"/>
  <c r="Q78" i="2"/>
  <c r="Q75" i="2"/>
  <c r="Q79" i="2"/>
  <c r="Q77" i="2"/>
  <c r="Q85" i="2"/>
  <c r="Q74" i="2"/>
  <c r="Q84" i="2"/>
  <c r="Q82" i="2"/>
  <c r="Q80" i="2"/>
  <c r="Q76" i="2"/>
  <c r="Q81" i="2"/>
  <c r="C37" i="41" l="1"/>
  <c r="C37" i="73"/>
  <c r="O156" i="33"/>
  <c r="Q156" i="33" s="1"/>
  <c r="F180" i="33"/>
  <c r="L168" i="33"/>
  <c r="S167" i="31"/>
  <c r="I191" i="31"/>
  <c r="Q191" i="31" s="1"/>
  <c r="Q179" i="31"/>
  <c r="S156" i="31"/>
  <c r="S178" i="31"/>
  <c r="I180" i="31"/>
  <c r="Q168" i="31"/>
  <c r="S190" i="31"/>
  <c r="K156" i="32"/>
  <c r="M156" i="32" s="1"/>
  <c r="O167" i="33"/>
  <c r="Q167" i="33" s="1"/>
  <c r="E180" i="32"/>
  <c r="I168" i="32"/>
  <c r="F191" i="33"/>
  <c r="L191" i="33" s="1"/>
  <c r="L179" i="33"/>
  <c r="K167" i="32"/>
  <c r="M167" i="32" s="1"/>
  <c r="K178" i="32"/>
  <c r="M178" i="32" s="1"/>
  <c r="E191" i="32"/>
  <c r="I191" i="32" s="1"/>
  <c r="I179" i="32"/>
  <c r="K190" i="32"/>
  <c r="M190" i="32" s="1"/>
  <c r="O145" i="33"/>
  <c r="Q145" i="33" s="1"/>
  <c r="BF17" i="39" s="1"/>
  <c r="S145" i="31"/>
  <c r="K145" i="32"/>
  <c r="M145" i="32" s="1"/>
  <c r="AU17" i="39" s="1"/>
  <c r="F169" i="33"/>
  <c r="L157" i="33"/>
  <c r="I169" i="31"/>
  <c r="Q157" i="31"/>
  <c r="E169" i="32"/>
  <c r="I157" i="32"/>
  <c r="O178" i="33"/>
  <c r="Q178" i="33" s="1"/>
  <c r="O190" i="33"/>
  <c r="Q190" i="33" s="1"/>
  <c r="D37" i="73"/>
  <c r="N29" i="8"/>
  <c r="D37" i="41"/>
  <c r="BJ11" i="39"/>
  <c r="H8" i="73" s="1"/>
  <c r="S23" i="40"/>
  <c r="AH29" i="8"/>
  <c r="Q11" i="39"/>
  <c r="H4" i="44"/>
  <c r="H119" i="44" s="1"/>
  <c r="E37" i="41"/>
  <c r="S29" i="8"/>
  <c r="AP41" i="14"/>
  <c r="AU41" i="14"/>
  <c r="AH40" i="14"/>
  <c r="BO41" i="14"/>
  <c r="BI40" i="14"/>
  <c r="AY41" i="14"/>
  <c r="H40" i="14"/>
  <c r="BW40" i="14"/>
  <c r="L41" i="14"/>
  <c r="BC41" i="14"/>
  <c r="BS41" i="14"/>
  <c r="V41" i="14"/>
  <c r="D40" i="14"/>
  <c r="AL41" i="14"/>
  <c r="E37" i="73"/>
  <c r="Q87" i="2"/>
  <c r="R87" i="2" s="1"/>
  <c r="E63" i="2"/>
  <c r="F63" i="2" s="1"/>
  <c r="K90" i="2"/>
  <c r="L90" i="2" s="1"/>
  <c r="W93" i="2"/>
  <c r="X93" i="2" s="1"/>
  <c r="AC92" i="2"/>
  <c r="AD92" i="2" s="1"/>
  <c r="AT29" i="40"/>
  <c r="AT33" i="40"/>
  <c r="AT32" i="40"/>
  <c r="AT27" i="40"/>
  <c r="AT25" i="40"/>
  <c r="AT28" i="40"/>
  <c r="AT26" i="40"/>
  <c r="AT31" i="40"/>
  <c r="AT30" i="40"/>
  <c r="M93" i="37"/>
  <c r="G28" i="73"/>
  <c r="G37" i="73" s="1"/>
  <c r="G28" i="41"/>
  <c r="G37" i="41" s="1"/>
  <c r="AG16" i="8"/>
  <c r="AL24" i="7"/>
  <c r="AO24" i="7"/>
  <c r="AM24" i="7"/>
  <c r="AN24" i="7"/>
  <c r="AK24" i="7"/>
  <c r="AJ24" i="7"/>
  <c r="FD117" i="3"/>
  <c r="FD81" i="3"/>
  <c r="FD93" i="3"/>
  <c r="FD129" i="3"/>
  <c r="FD45" i="3"/>
  <c r="FD69" i="3"/>
  <c r="FD33" i="3"/>
  <c r="FD106" i="3"/>
  <c r="FD57" i="3"/>
  <c r="P41" i="14"/>
  <c r="AC29" i="8"/>
  <c r="F37" i="73"/>
  <c r="FB45" i="3"/>
  <c r="EZ69" i="3"/>
  <c r="FB81" i="3"/>
  <c r="FA69" i="3"/>
  <c r="FB69" i="3"/>
  <c r="EX45" i="3"/>
  <c r="EV57" i="3"/>
  <c r="EX81" i="3"/>
  <c r="EU57" i="3"/>
  <c r="EY69" i="3"/>
  <c r="EX69" i="3"/>
  <c r="EV81" i="3"/>
  <c r="EY81" i="3"/>
  <c r="EZ81" i="3"/>
  <c r="FA33" i="3"/>
  <c r="EV46" i="3"/>
  <c r="EW33" i="3"/>
  <c r="EZ57" i="3"/>
  <c r="EX57" i="3"/>
  <c r="EZ45" i="3"/>
  <c r="EY45" i="3"/>
  <c r="FA45" i="3"/>
  <c r="FA57" i="3"/>
  <c r="EX33" i="3"/>
  <c r="FA81" i="3"/>
  <c r="EU45" i="3"/>
  <c r="EU33" i="3"/>
  <c r="FB33" i="3"/>
  <c r="EV69" i="3"/>
  <c r="EW45" i="3"/>
  <c r="EW69" i="3"/>
  <c r="FB57" i="3"/>
  <c r="EY57" i="3"/>
  <c r="EW57" i="3"/>
  <c r="EY33" i="3"/>
  <c r="EZ33" i="3"/>
  <c r="EV33" i="3"/>
  <c r="EW81" i="3"/>
  <c r="D72" i="32"/>
  <c r="D70" i="22"/>
  <c r="D73" i="32"/>
  <c r="D72" i="22"/>
  <c r="D65" i="32"/>
  <c r="D66" i="32"/>
  <c r="D71" i="22"/>
  <c r="D68" i="22"/>
  <c r="D66" i="22"/>
  <c r="D64" i="32"/>
  <c r="D63" i="32"/>
  <c r="D64" i="22"/>
  <c r="D73" i="22"/>
  <c r="D67" i="22"/>
  <c r="R67" i="22" s="1"/>
  <c r="D62" i="32"/>
  <c r="D69" i="22"/>
  <c r="D71" i="32"/>
  <c r="D69" i="32"/>
  <c r="D62" i="22"/>
  <c r="D70" i="32"/>
  <c r="D68" i="32"/>
  <c r="D67" i="32"/>
  <c r="D65" i="22"/>
  <c r="D63" i="22"/>
  <c r="Q146" i="51"/>
  <c r="P142" i="51"/>
  <c r="O147" i="10"/>
  <c r="N143" i="10"/>
  <c r="M93" i="26"/>
  <c r="O93" i="26" s="1"/>
  <c r="M9" i="37"/>
  <c r="O9" i="37" s="1"/>
  <c r="M21" i="26"/>
  <c r="O21" i="26" s="1"/>
  <c r="M9" i="26"/>
  <c r="O9" i="26" s="1"/>
  <c r="M45" i="37"/>
  <c r="O45" i="37" s="1"/>
  <c r="M21" i="37"/>
  <c r="O21" i="37" s="1"/>
  <c r="M45" i="26"/>
  <c r="O45" i="26" s="1"/>
  <c r="M69" i="26"/>
  <c r="O69" i="26" s="1"/>
  <c r="M69" i="37"/>
  <c r="O69" i="37" s="1"/>
  <c r="M105" i="26"/>
  <c r="O105" i="26" s="1"/>
  <c r="M82" i="37"/>
  <c r="O82" i="37" s="1"/>
  <c r="M33" i="37"/>
  <c r="O33" i="37" s="1"/>
  <c r="M105" i="37"/>
  <c r="O105" i="37" s="1"/>
  <c r="M82" i="26"/>
  <c r="O82" i="26" s="1"/>
  <c r="M57" i="26"/>
  <c r="O57" i="26" s="1"/>
  <c r="M33" i="26"/>
  <c r="O33" i="26" s="1"/>
  <c r="M57" i="37"/>
  <c r="O57" i="37" s="1"/>
  <c r="G41" i="14"/>
  <c r="FP67" i="2"/>
  <c r="EV91" i="3" s="1"/>
  <c r="D96" i="33"/>
  <c r="D96" i="22"/>
  <c r="W88" i="2"/>
  <c r="K94" i="2"/>
  <c r="D67" i="19"/>
  <c r="BW14" i="2"/>
  <c r="D14" i="26" s="1"/>
  <c r="P14" i="26" s="1"/>
  <c r="D67" i="29"/>
  <c r="X29" i="8"/>
  <c r="W97" i="2"/>
  <c r="Q97" i="2"/>
  <c r="Q89" i="2"/>
  <c r="Q90" i="2"/>
  <c r="Q92" i="2"/>
  <c r="Q96" i="2"/>
  <c r="K89" i="2"/>
  <c r="K97" i="2"/>
  <c r="AC97" i="2"/>
  <c r="AC86" i="2"/>
  <c r="AC87" i="2"/>
  <c r="Q91" i="2"/>
  <c r="AC95" i="2"/>
  <c r="AC90" i="2"/>
  <c r="Q95" i="2"/>
  <c r="AC89" i="2"/>
  <c r="Q86" i="2"/>
  <c r="AC94" i="2"/>
  <c r="K93" i="2"/>
  <c r="W86" i="2"/>
  <c r="AC88" i="2"/>
  <c r="AC93" i="2"/>
  <c r="K87" i="2"/>
  <c r="K88" i="2"/>
  <c r="K92" i="2"/>
  <c r="K95" i="2"/>
  <c r="W92" i="2"/>
  <c r="AC96" i="2"/>
  <c r="K96" i="2"/>
  <c r="E72" i="2"/>
  <c r="E68" i="2"/>
  <c r="E65" i="2"/>
  <c r="E73" i="2"/>
  <c r="E62" i="2"/>
  <c r="E69" i="2"/>
  <c r="K91" i="2"/>
  <c r="Q88" i="2"/>
  <c r="E70" i="2"/>
  <c r="E64" i="2"/>
  <c r="E67" i="2"/>
  <c r="E66" i="2"/>
  <c r="Q93" i="2"/>
  <c r="D66" i="33"/>
  <c r="D62" i="33"/>
  <c r="D64" i="33"/>
  <c r="D65" i="33"/>
  <c r="D63" i="33"/>
  <c r="D69" i="33"/>
  <c r="D68" i="33"/>
  <c r="D70" i="33"/>
  <c r="D73" i="33"/>
  <c r="D72" i="33"/>
  <c r="D67" i="33"/>
  <c r="D71" i="33"/>
  <c r="AK96" i="2"/>
  <c r="D66" i="18"/>
  <c r="D64" i="21"/>
  <c r="D69" i="18"/>
  <c r="D63" i="21"/>
  <c r="D68" i="21"/>
  <c r="D70" i="18"/>
  <c r="D67" i="21"/>
  <c r="D62" i="21"/>
  <c r="D64" i="18"/>
  <c r="D68" i="20"/>
  <c r="D72" i="18"/>
  <c r="D68" i="18"/>
  <c r="D62" i="20"/>
  <c r="D67" i="18"/>
  <c r="D69" i="20"/>
  <c r="D73" i="18"/>
  <c r="D72" i="21"/>
  <c r="D71" i="18"/>
  <c r="D73" i="21"/>
  <c r="D65" i="20"/>
  <c r="D65" i="21"/>
  <c r="D73" i="20"/>
  <c r="D71" i="21"/>
  <c r="D63" i="18"/>
  <c r="D67" i="20"/>
  <c r="F91" i="2"/>
  <c r="D65" i="18"/>
  <c r="D70" i="20"/>
  <c r="D72" i="20"/>
  <c r="D66" i="20"/>
  <c r="D66" i="21"/>
  <c r="D69" i="21"/>
  <c r="D64" i="20"/>
  <c r="D63" i="20"/>
  <c r="D70" i="21"/>
  <c r="D62" i="18"/>
  <c r="D71" i="20"/>
  <c r="W91" i="2"/>
  <c r="W95" i="2"/>
  <c r="W90" i="2"/>
  <c r="W87" i="2"/>
  <c r="W89" i="2"/>
  <c r="W96" i="2"/>
  <c r="Q94" i="2"/>
  <c r="K86" i="2"/>
  <c r="W94" i="2"/>
  <c r="AC91" i="2"/>
  <c r="AH98" i="2"/>
  <c r="E71" i="2"/>
  <c r="D64" i="19"/>
  <c r="D71" i="19"/>
  <c r="D66" i="19"/>
  <c r="D63" i="19"/>
  <c r="D68" i="19"/>
  <c r="D65" i="19"/>
  <c r="D73" i="19"/>
  <c r="D72" i="19"/>
  <c r="D69" i="19"/>
  <c r="D70" i="19"/>
  <c r="D62" i="19"/>
  <c r="AK70" i="2"/>
  <c r="AK72" i="2"/>
  <c r="AK67" i="2"/>
  <c r="AK66" i="2"/>
  <c r="AK71" i="2"/>
  <c r="AK62" i="2"/>
  <c r="AK65" i="2"/>
  <c r="AK64" i="2"/>
  <c r="AK69" i="2"/>
  <c r="AK63" i="2"/>
  <c r="AK73" i="2"/>
  <c r="AK68" i="2"/>
  <c r="AF65" i="2"/>
  <c r="AF71" i="2"/>
  <c r="AF69" i="2"/>
  <c r="AF66" i="2"/>
  <c r="AF70" i="2"/>
  <c r="AF63" i="2"/>
  <c r="AF64" i="2"/>
  <c r="AF67" i="2"/>
  <c r="AF68" i="2"/>
  <c r="AF62" i="2"/>
  <c r="AF73" i="2"/>
  <c r="AF72" i="2"/>
  <c r="AD44" i="7"/>
  <c r="BP26" i="2"/>
  <c r="AI64" i="7"/>
  <c r="F82" i="7"/>
  <c r="E82" i="7"/>
  <c r="AP6" i="7"/>
  <c r="AP24" i="7" s="1"/>
  <c r="G82" i="7"/>
  <c r="H82" i="7"/>
  <c r="O9" i="7"/>
  <c r="AN7" i="7"/>
  <c r="AO7" i="7"/>
  <c r="AI7" i="7"/>
  <c r="D83" i="7" s="1"/>
  <c r="AJ7" i="7"/>
  <c r="AH7" i="7"/>
  <c r="C83" i="7" s="1"/>
  <c r="AK7" i="7"/>
  <c r="AL7" i="7"/>
  <c r="AM7" i="7"/>
  <c r="AJ64" i="7"/>
  <c r="BP27" i="2"/>
  <c r="BV21" i="2"/>
  <c r="BV25" i="2"/>
  <c r="BP30" i="2"/>
  <c r="BP34" i="2"/>
  <c r="BP31" i="2"/>
  <c r="BV19" i="2"/>
  <c r="BV24" i="2"/>
  <c r="BV17" i="2"/>
  <c r="BV16" i="2"/>
  <c r="BV20" i="2"/>
  <c r="BV23" i="2"/>
  <c r="BV22" i="2"/>
  <c r="BV18" i="2"/>
  <c r="BP32" i="2"/>
  <c r="BP29" i="2"/>
  <c r="BV15" i="2"/>
  <c r="BP33" i="2"/>
  <c r="BP28" i="2"/>
  <c r="F37" i="41"/>
  <c r="BV43" i="2"/>
  <c r="BV42" i="2"/>
  <c r="BP4" i="2"/>
  <c r="BP7" i="2"/>
  <c r="BP10" i="2"/>
  <c r="BV41" i="2"/>
  <c r="BV40" i="2"/>
  <c r="BV46" i="2"/>
  <c r="BV38" i="2"/>
  <c r="BV45" i="2"/>
  <c r="BV44" i="2"/>
  <c r="BP9" i="2"/>
  <c r="BP3" i="2"/>
  <c r="BP13" i="2"/>
  <c r="BV48" i="2"/>
  <c r="BV49" i="2"/>
  <c r="BP24" i="2"/>
  <c r="BP20" i="2"/>
  <c r="BP16" i="2"/>
  <c r="BP19" i="2"/>
  <c r="BP18" i="2"/>
  <c r="BP14" i="2"/>
  <c r="BP25" i="2"/>
  <c r="BP8" i="2"/>
  <c r="BV47" i="2"/>
  <c r="BP15" i="2"/>
  <c r="BP12" i="2"/>
  <c r="BP5" i="2"/>
  <c r="BQ50" i="2"/>
  <c r="BV50" i="2"/>
  <c r="D82" i="7"/>
  <c r="AI24" i="7"/>
  <c r="BV55" i="2"/>
  <c r="BP40" i="2"/>
  <c r="BV54" i="2"/>
  <c r="BP2" i="2"/>
  <c r="BP23" i="2"/>
  <c r="BP41" i="2"/>
  <c r="BP60" i="2"/>
  <c r="BV51" i="2"/>
  <c r="BP45" i="2"/>
  <c r="BP52" i="2"/>
  <c r="BV53" i="2"/>
  <c r="BV37" i="2"/>
  <c r="BV28" i="2"/>
  <c r="BV27" i="2"/>
  <c r="BV36" i="2"/>
  <c r="BV31" i="2"/>
  <c r="BV35" i="2"/>
  <c r="BV34" i="2"/>
  <c r="BV29" i="2"/>
  <c r="BV26" i="2"/>
  <c r="BV30" i="2"/>
  <c r="BV32" i="2"/>
  <c r="BV33" i="2"/>
  <c r="AH24" i="7"/>
  <c r="C82" i="7"/>
  <c r="BQ11" i="2"/>
  <c r="AM63" i="7"/>
  <c r="O8" i="7"/>
  <c r="DF5" i="39"/>
  <c r="DI5" i="39" s="1"/>
  <c r="BP39" i="2"/>
  <c r="BP57" i="2"/>
  <c r="BV56" i="2"/>
  <c r="BV6" i="2"/>
  <c r="BV13" i="2"/>
  <c r="BV5" i="2"/>
  <c r="BV7" i="2"/>
  <c r="BV10" i="2"/>
  <c r="BV8" i="2"/>
  <c r="BV11" i="2"/>
  <c r="BV2" i="2"/>
  <c r="BV3" i="2"/>
  <c r="BV4" i="2"/>
  <c r="BV9" i="2"/>
  <c r="BV12" i="2"/>
  <c r="BP48" i="2"/>
  <c r="BP58" i="2"/>
  <c r="BV61" i="2"/>
  <c r="BP36" i="2"/>
  <c r="BP43" i="2"/>
  <c r="BP54" i="2"/>
  <c r="BV58" i="2"/>
  <c r="BQ21" i="2"/>
  <c r="BP49" i="2"/>
  <c r="BP59" i="2"/>
  <c r="BV59" i="2"/>
  <c r="BP42" i="2"/>
  <c r="BP61" i="2"/>
  <c r="BV60" i="2"/>
  <c r="BP44" i="2"/>
  <c r="BP55" i="2"/>
  <c r="BW39" i="2"/>
  <c r="BP17" i="2"/>
  <c r="BP46" i="2"/>
  <c r="BP51" i="2"/>
  <c r="DQ5" i="39"/>
  <c r="DT5" i="39" s="1"/>
  <c r="DU5" i="39" s="1"/>
  <c r="DW5" i="39" s="1"/>
  <c r="BP38" i="2"/>
  <c r="BP56" i="2"/>
  <c r="BQ37" i="2"/>
  <c r="BP53" i="2"/>
  <c r="AS26" i="40"/>
  <c r="AS27" i="40" s="1"/>
  <c r="AS28" i="40" s="1"/>
  <c r="AS29" i="40" s="1"/>
  <c r="AS30" i="40" s="1"/>
  <c r="AS31" i="40" s="1"/>
  <c r="AS32" i="40" s="1"/>
  <c r="AS33" i="40" s="1"/>
  <c r="T142" i="10" s="1"/>
  <c r="S142" i="10" s="1"/>
  <c r="R142" i="10" s="1"/>
  <c r="Q142" i="10" s="1"/>
  <c r="P142" i="10" s="1"/>
  <c r="O142" i="10" s="1"/>
  <c r="BW52" i="2"/>
  <c r="BQ47" i="2"/>
  <c r="BP35" i="2"/>
  <c r="BP6" i="2"/>
  <c r="BP22" i="2"/>
  <c r="BV57" i="2"/>
  <c r="U42" i="14"/>
  <c r="AA42" i="14"/>
  <c r="AB42" i="14" s="1"/>
  <c r="BR42" i="14"/>
  <c r="GC107" i="2"/>
  <c r="BN42" i="14"/>
  <c r="GB107" i="2"/>
  <c r="BV41" i="14"/>
  <c r="GD106" i="2"/>
  <c r="AK42" i="14"/>
  <c r="FV107" i="2"/>
  <c r="C41" i="14"/>
  <c r="AG41" i="14"/>
  <c r="FU106" i="2"/>
  <c r="AX42" i="14"/>
  <c r="K42" i="14"/>
  <c r="AO42" i="14"/>
  <c r="FW107" i="2"/>
  <c r="O42" i="14"/>
  <c r="BB42" i="14"/>
  <c r="AT42" i="14"/>
  <c r="F106" i="26"/>
  <c r="K106" i="26" s="1"/>
  <c r="BH41" i="14"/>
  <c r="F106" i="37"/>
  <c r="K106" i="37" s="1"/>
  <c r="GA106" i="2"/>
  <c r="BD13" i="39"/>
  <c r="BG13" i="39" s="1"/>
  <c r="AH107" i="2"/>
  <c r="Q108" i="2"/>
  <c r="AC101" i="2"/>
  <c r="AC100" i="2"/>
  <c r="W107" i="2"/>
  <c r="Q106" i="2"/>
  <c r="AH99" i="2"/>
  <c r="W99" i="2"/>
  <c r="K101" i="2"/>
  <c r="W104" i="2"/>
  <c r="Q101" i="2"/>
  <c r="K106" i="2"/>
  <c r="AH104" i="2"/>
  <c r="AC105" i="2"/>
  <c r="AH101" i="2"/>
  <c r="AH109" i="2"/>
  <c r="W109" i="2"/>
  <c r="Q107" i="2"/>
  <c r="AC102" i="2"/>
  <c r="AC104" i="2"/>
  <c r="K103" i="2"/>
  <c r="W106" i="2"/>
  <c r="Q103" i="2"/>
  <c r="W101" i="2"/>
  <c r="AH106" i="2"/>
  <c r="AC108" i="2"/>
  <c r="K100" i="2"/>
  <c r="K108" i="2"/>
  <c r="Q100" i="2"/>
  <c r="Q99" i="2"/>
  <c r="AH103" i="2"/>
  <c r="AC107" i="2"/>
  <c r="K105" i="2"/>
  <c r="W108" i="2"/>
  <c r="AC106" i="2"/>
  <c r="W103" i="2"/>
  <c r="AH108" i="2"/>
  <c r="Q105" i="2"/>
  <c r="K107" i="2"/>
  <c r="Q104" i="2"/>
  <c r="K102" i="2"/>
  <c r="AH100" i="2"/>
  <c r="W100" i="2"/>
  <c r="AH105" i="2"/>
  <c r="AC103" i="2"/>
  <c r="K109" i="2"/>
  <c r="AC109" i="2"/>
  <c r="W105" i="2"/>
  <c r="AC99" i="2"/>
  <c r="Q109" i="2"/>
  <c r="K99" i="2"/>
  <c r="Q102" i="2"/>
  <c r="K104" i="2"/>
  <c r="AH102" i="2"/>
  <c r="W102" i="2"/>
  <c r="R98" i="2"/>
  <c r="X98" i="2"/>
  <c r="AD98" i="2"/>
  <c r="L98" i="2"/>
  <c r="O93" i="37"/>
  <c r="D70" i="31"/>
  <c r="D73" i="31"/>
  <c r="D63" i="31"/>
  <c r="D72" i="31"/>
  <c r="D66" i="31"/>
  <c r="D66" i="30"/>
  <c r="D63" i="30"/>
  <c r="D68" i="30"/>
  <c r="D71" i="31"/>
  <c r="D67" i="31"/>
  <c r="D64" i="30"/>
  <c r="D68" i="31"/>
  <c r="D70" i="30"/>
  <c r="D69" i="30"/>
  <c r="D65" i="30"/>
  <c r="D67" i="30"/>
  <c r="D72" i="30"/>
  <c r="D69" i="31"/>
  <c r="D65" i="31"/>
  <c r="D71" i="30"/>
  <c r="D64" i="31"/>
  <c r="D73" i="30"/>
  <c r="FS46" i="2"/>
  <c r="FR34" i="2"/>
  <c r="FU22" i="2"/>
  <c r="FU70" i="2"/>
  <c r="FW94" i="2"/>
  <c r="F83" i="37"/>
  <c r="K83" i="37" s="1"/>
  <c r="F83" i="26"/>
  <c r="K83" i="26" s="1"/>
  <c r="GA83" i="2"/>
  <c r="FV22" i="2"/>
  <c r="GB22" i="2"/>
  <c r="FU94" i="2"/>
  <c r="FR46" i="2"/>
  <c r="FT46" i="2"/>
  <c r="GD82" i="2"/>
  <c r="FY34" i="2"/>
  <c r="GB34" i="2"/>
  <c r="FR22" i="2"/>
  <c r="FU46" i="2"/>
  <c r="GC70" i="2"/>
  <c r="FW82" i="2"/>
  <c r="GB82" i="2"/>
  <c r="FQ22" i="2"/>
  <c r="FP10" i="2"/>
  <c r="FQ34" i="2"/>
  <c r="FW10" i="2"/>
  <c r="FO22" i="2"/>
  <c r="F34" i="26"/>
  <c r="K34" i="26" s="1"/>
  <c r="F34" i="37"/>
  <c r="K34" i="37" s="1"/>
  <c r="GA34" i="2"/>
  <c r="FO10" i="2"/>
  <c r="F58" i="26"/>
  <c r="K58" i="26" s="1"/>
  <c r="F58" i="37"/>
  <c r="K58" i="37" s="1"/>
  <c r="GA58" i="2"/>
  <c r="FX46" i="2"/>
  <c r="FV34" i="2"/>
  <c r="GD34" i="2"/>
  <c r="GB46" i="2"/>
  <c r="FQ10" i="2"/>
  <c r="FW70" i="2"/>
  <c r="FX22" i="2"/>
  <c r="F46" i="26"/>
  <c r="K46" i="26" s="1"/>
  <c r="F46" i="37"/>
  <c r="K46" i="37" s="1"/>
  <c r="GA46" i="2"/>
  <c r="FV94" i="2"/>
  <c r="FQ46" i="2"/>
  <c r="FP58" i="2"/>
  <c r="FT34" i="2"/>
  <c r="GD10" i="2"/>
  <c r="FU58" i="2"/>
  <c r="FR58" i="2"/>
  <c r="GC22" i="2"/>
  <c r="FX10" i="2"/>
  <c r="FS58" i="2"/>
  <c r="GB94" i="2"/>
  <c r="GD22" i="2"/>
  <c r="FW46" i="2"/>
  <c r="FR10" i="2"/>
  <c r="FV82" i="2"/>
  <c r="FV46" i="2"/>
  <c r="GD58" i="2"/>
  <c r="GC82" i="2"/>
  <c r="FP23" i="2"/>
  <c r="GC10" i="2"/>
  <c r="FW34" i="2"/>
  <c r="GD70" i="2"/>
  <c r="GB58" i="2"/>
  <c r="FS34" i="2"/>
  <c r="FU10" i="2"/>
  <c r="GB70" i="2"/>
  <c r="FX58" i="2"/>
  <c r="F94" i="26"/>
  <c r="K94" i="26" s="1"/>
  <c r="F94" i="37"/>
  <c r="K94" i="37" s="1"/>
  <c r="GA94" i="2"/>
  <c r="GC94" i="2"/>
  <c r="FO34" i="2"/>
  <c r="FY46" i="2"/>
  <c r="FS22" i="2"/>
  <c r="F10" i="26"/>
  <c r="K10" i="26" s="1"/>
  <c r="F10" i="37"/>
  <c r="K10" i="37" s="1"/>
  <c r="GA10" i="2"/>
  <c r="FU34" i="2"/>
  <c r="FT22" i="2"/>
  <c r="FQ58" i="2"/>
  <c r="FT10" i="2"/>
  <c r="FW22" i="2"/>
  <c r="FS10" i="2"/>
  <c r="FW58" i="2"/>
  <c r="F22" i="37"/>
  <c r="K22" i="37" s="1"/>
  <c r="F22" i="26"/>
  <c r="K22" i="26" s="1"/>
  <c r="GA22" i="2"/>
  <c r="GC58" i="2"/>
  <c r="GD94" i="2"/>
  <c r="FV10" i="2"/>
  <c r="FY10" i="2"/>
  <c r="FP46" i="2"/>
  <c r="FP34" i="2"/>
  <c r="F70" i="37"/>
  <c r="K70" i="37" s="1"/>
  <c r="F70" i="26"/>
  <c r="K70" i="26" s="1"/>
  <c r="GA70" i="2"/>
  <c r="FY22" i="2"/>
  <c r="FV58" i="2"/>
  <c r="FV70" i="2"/>
  <c r="FY58" i="2"/>
  <c r="FT58" i="2"/>
  <c r="GC34" i="2"/>
  <c r="GD46" i="2"/>
  <c r="GC46" i="2"/>
  <c r="GB10" i="2"/>
  <c r="FX34" i="2"/>
  <c r="FU82" i="2"/>
  <c r="FP65" i="2"/>
  <c r="EV89" i="3" s="1"/>
  <c r="D65" i="29"/>
  <c r="AH16" i="8"/>
  <c r="H28" i="41"/>
  <c r="H37" i="41" s="1"/>
  <c r="AW11" i="39"/>
  <c r="BE11" i="39"/>
  <c r="BD12" i="39"/>
  <c r="BG12" i="39" s="1"/>
  <c r="BH12" i="39" s="1"/>
  <c r="AT11" i="39"/>
  <c r="AS12" i="39"/>
  <c r="AV12" i="39" s="1"/>
  <c r="D62" i="31"/>
  <c r="AI11" i="39"/>
  <c r="AH12" i="39"/>
  <c r="AK12" i="39" s="1"/>
  <c r="X12" i="39"/>
  <c r="AA12" i="39" s="1"/>
  <c r="D62" i="30"/>
  <c r="Y11" i="39"/>
  <c r="N12" i="39"/>
  <c r="O11" i="39"/>
  <c r="D62" i="29"/>
  <c r="D71" i="29"/>
  <c r="D66" i="29"/>
  <c r="D68" i="29"/>
  <c r="D69" i="29"/>
  <c r="D64" i="29"/>
  <c r="D63" i="29"/>
  <c r="D72" i="29"/>
  <c r="D73" i="29"/>
  <c r="D70" i="29"/>
  <c r="R83" i="2"/>
  <c r="AI74" i="2"/>
  <c r="AI87" i="2"/>
  <c r="FS73" i="2"/>
  <c r="EY97" i="3" s="1"/>
  <c r="L77" i="2"/>
  <c r="AI89" i="2"/>
  <c r="FP63" i="2"/>
  <c r="EV87" i="3" s="1"/>
  <c r="FS70" i="2"/>
  <c r="EY94" i="3" s="1"/>
  <c r="R80" i="2"/>
  <c r="L83" i="2"/>
  <c r="AI88" i="2"/>
  <c r="FT69" i="2"/>
  <c r="EZ93" i="3" s="1"/>
  <c r="FR68" i="2"/>
  <c r="EX92" i="3" s="1"/>
  <c r="R82" i="2"/>
  <c r="L78" i="2"/>
  <c r="FR64" i="2"/>
  <c r="EX88" i="3" s="1"/>
  <c r="FR65" i="2"/>
  <c r="EX89" i="3" s="1"/>
  <c r="FT62" i="2"/>
  <c r="EZ86" i="3" s="1"/>
  <c r="R84" i="2"/>
  <c r="L75" i="2"/>
  <c r="AI77" i="2"/>
  <c r="AI92" i="2"/>
  <c r="FP69" i="2"/>
  <c r="EV93" i="3" s="1"/>
  <c r="FQ67" i="2"/>
  <c r="EW91" i="3" s="1"/>
  <c r="FQ62" i="2"/>
  <c r="EW86" i="3" s="1"/>
  <c r="FQ73" i="2"/>
  <c r="EW97" i="3" s="1"/>
  <c r="L85" i="2"/>
  <c r="AI76" i="2"/>
  <c r="X75" i="2"/>
  <c r="AI83" i="2"/>
  <c r="FT68" i="2"/>
  <c r="EZ92" i="3" s="1"/>
  <c r="AD84" i="2"/>
  <c r="R81" i="2"/>
  <c r="AD79" i="2"/>
  <c r="X84" i="2"/>
  <c r="FP73" i="2"/>
  <c r="EV97" i="3" s="1"/>
  <c r="AI81" i="2"/>
  <c r="FR66" i="2"/>
  <c r="EX90" i="3" s="1"/>
  <c r="AI82" i="2"/>
  <c r="R74" i="2"/>
  <c r="L82" i="2"/>
  <c r="FT66" i="2"/>
  <c r="EZ90" i="3" s="1"/>
  <c r="FT67" i="2"/>
  <c r="EZ91" i="3" s="1"/>
  <c r="FP62" i="2"/>
  <c r="EV86" i="3" s="1"/>
  <c r="X81" i="2"/>
  <c r="X85" i="2"/>
  <c r="FR67" i="2"/>
  <c r="EX91" i="3" s="1"/>
  <c r="FS65" i="2"/>
  <c r="EY89" i="3" s="1"/>
  <c r="X79" i="2"/>
  <c r="AD85" i="2"/>
  <c r="FQ65" i="2"/>
  <c r="EW89" i="3" s="1"/>
  <c r="FS68" i="2"/>
  <c r="EY92" i="3" s="1"/>
  <c r="FR73" i="2"/>
  <c r="EX97" i="3" s="1"/>
  <c r="AI97" i="2"/>
  <c r="FS69" i="2"/>
  <c r="EY93" i="3" s="1"/>
  <c r="AD80" i="2"/>
  <c r="AI93" i="2"/>
  <c r="FP64" i="2"/>
  <c r="EV88" i="3" s="1"/>
  <c r="R85" i="2"/>
  <c r="X80" i="2"/>
  <c r="L84" i="2"/>
  <c r="AD83" i="2"/>
  <c r="FT65" i="2"/>
  <c r="EZ89" i="3" s="1"/>
  <c r="FP70" i="2"/>
  <c r="EV94" i="3" s="1"/>
  <c r="FT70" i="2"/>
  <c r="EZ94" i="3" s="1"/>
  <c r="AD82" i="2"/>
  <c r="AI78" i="2"/>
  <c r="X77" i="2"/>
  <c r="FT64" i="2"/>
  <c r="EZ88" i="3" s="1"/>
  <c r="AI86" i="2"/>
  <c r="AI85" i="2"/>
  <c r="R77" i="2"/>
  <c r="X82" i="2"/>
  <c r="L81" i="2"/>
  <c r="AD81" i="2"/>
  <c r="AI90" i="2"/>
  <c r="AI95" i="2"/>
  <c r="FS63" i="2"/>
  <c r="EY87" i="3" s="1"/>
  <c r="FR63" i="2"/>
  <c r="EX87" i="3" s="1"/>
  <c r="FT63" i="2"/>
  <c r="EZ87" i="3" s="1"/>
  <c r="AI91" i="2"/>
  <c r="FS62" i="2"/>
  <c r="EY86" i="3" s="1"/>
  <c r="FS64" i="2"/>
  <c r="EY88" i="3" s="1"/>
  <c r="AI80" i="2"/>
  <c r="AI84" i="2"/>
  <c r="FR71" i="2"/>
  <c r="EX95" i="3" s="1"/>
  <c r="AD75" i="2"/>
  <c r="FP66" i="2"/>
  <c r="EV90" i="3" s="1"/>
  <c r="X83" i="2"/>
  <c r="FR62" i="2"/>
  <c r="EX86" i="3" s="1"/>
  <c r="L79" i="2"/>
  <c r="FQ64" i="2"/>
  <c r="EW88" i="3" s="1"/>
  <c r="R76" i="2"/>
  <c r="R79" i="2"/>
  <c r="X76" i="2"/>
  <c r="L74" i="2"/>
  <c r="AD77" i="2"/>
  <c r="FR70" i="2"/>
  <c r="EX94" i="3" s="1"/>
  <c r="FQ70" i="2"/>
  <c r="EW94" i="3" s="1"/>
  <c r="FQ63" i="2"/>
  <c r="EW87" i="3" s="1"/>
  <c r="R75" i="2"/>
  <c r="X78" i="2"/>
  <c r="L76" i="2"/>
  <c r="AD78" i="2"/>
  <c r="AI79" i="2"/>
  <c r="FQ66" i="2"/>
  <c r="EW90" i="3" s="1"/>
  <c r="FR69" i="2"/>
  <c r="EX93" i="3" s="1"/>
  <c r="FP68" i="2"/>
  <c r="EV92" i="3" s="1"/>
  <c r="FS67" i="2"/>
  <c r="EY91" i="3" s="1"/>
  <c r="AD76" i="2"/>
  <c r="R78" i="2"/>
  <c r="X74" i="2"/>
  <c r="L80" i="2"/>
  <c r="AD74" i="2"/>
  <c r="AI75" i="2"/>
  <c r="AI94" i="2"/>
  <c r="FT73" i="2"/>
  <c r="EZ97" i="3" s="1"/>
  <c r="FQ68" i="2"/>
  <c r="EW92" i="3" s="1"/>
  <c r="FQ69" i="2"/>
  <c r="EW93" i="3" s="1"/>
  <c r="FS66" i="2"/>
  <c r="EY90" i="3" s="1"/>
  <c r="E92" i="2"/>
  <c r="E90" i="2"/>
  <c r="E88" i="2"/>
  <c r="E93" i="2"/>
  <c r="E87" i="2"/>
  <c r="E94" i="2"/>
  <c r="E96" i="2"/>
  <c r="E97" i="2"/>
  <c r="E86" i="2"/>
  <c r="E95" i="2"/>
  <c r="Y26" i="5"/>
  <c r="Y52" i="5"/>
  <c r="W25" i="5"/>
  <c r="E89" i="2"/>
  <c r="Z26" i="5"/>
  <c r="Z52" i="5"/>
  <c r="X26" i="5"/>
  <c r="X52" i="5"/>
  <c r="AA26" i="5"/>
  <c r="AA52" i="5"/>
  <c r="AB26" i="5"/>
  <c r="AB52" i="5"/>
  <c r="E76" i="2"/>
  <c r="E75" i="2"/>
  <c r="E77" i="2"/>
  <c r="E82" i="2"/>
  <c r="E85" i="2"/>
  <c r="E78" i="2"/>
  <c r="E81" i="2"/>
  <c r="E74" i="2"/>
  <c r="E79" i="2"/>
  <c r="E80" i="2"/>
  <c r="E83" i="2"/>
  <c r="E84" i="2"/>
  <c r="O191" i="33" l="1"/>
  <c r="Q191" i="33" s="1"/>
  <c r="K168" i="32"/>
  <c r="M168" i="32" s="1"/>
  <c r="E192" i="32"/>
  <c r="I192" i="32" s="1"/>
  <c r="I180" i="32"/>
  <c r="S179" i="31"/>
  <c r="S191" i="31"/>
  <c r="K179" i="32"/>
  <c r="M179" i="32" s="1"/>
  <c r="K157" i="32"/>
  <c r="M157" i="32" s="1"/>
  <c r="AU18" i="39" s="1"/>
  <c r="K191" i="32"/>
  <c r="M191" i="32" s="1"/>
  <c r="O168" i="33"/>
  <c r="Q168" i="33" s="1"/>
  <c r="E181" i="32"/>
  <c r="I169" i="32"/>
  <c r="F192" i="33"/>
  <c r="L192" i="33" s="1"/>
  <c r="L180" i="33"/>
  <c r="S157" i="31"/>
  <c r="I181" i="31"/>
  <c r="Q169" i="31"/>
  <c r="S168" i="31"/>
  <c r="O157" i="33"/>
  <c r="Q157" i="33" s="1"/>
  <c r="BF18" i="39" s="1"/>
  <c r="I192" i="31"/>
  <c r="Q192" i="31" s="1"/>
  <c r="Q180" i="31"/>
  <c r="F181" i="33"/>
  <c r="L169" i="33"/>
  <c r="O179" i="33"/>
  <c r="Q179" i="33" s="1"/>
  <c r="BJ12" i="39"/>
  <c r="I8" i="73" s="1"/>
  <c r="S24" i="40"/>
  <c r="AY11" i="39"/>
  <c r="H7" i="73" s="1"/>
  <c r="K23" i="40"/>
  <c r="Q12" i="39"/>
  <c r="I4" i="44"/>
  <c r="I119" i="44" s="1"/>
  <c r="AP42" i="14"/>
  <c r="L42" i="14"/>
  <c r="AY42" i="14"/>
  <c r="AH41" i="14"/>
  <c r="D41" i="14"/>
  <c r="AL42" i="14"/>
  <c r="BW41" i="14"/>
  <c r="BI41" i="14"/>
  <c r="BO42" i="14"/>
  <c r="AU42" i="14"/>
  <c r="H41" i="14"/>
  <c r="BC42" i="14"/>
  <c r="BS42" i="14"/>
  <c r="V42" i="14"/>
  <c r="M94" i="37"/>
  <c r="D14" i="37"/>
  <c r="H28" i="73"/>
  <c r="H37" i="73" s="1"/>
  <c r="AH110" i="2"/>
  <c r="AH114" i="2"/>
  <c r="AI114" i="2" s="1"/>
  <c r="AH118" i="2"/>
  <c r="AI118" i="2" s="1"/>
  <c r="AH111" i="2"/>
  <c r="AI111" i="2" s="1"/>
  <c r="AH119" i="2"/>
  <c r="AI119" i="2" s="1"/>
  <c r="AH115" i="2"/>
  <c r="AI115" i="2" s="1"/>
  <c r="AH112" i="2"/>
  <c r="AI112" i="2" s="1"/>
  <c r="AH116" i="2"/>
  <c r="AI116" i="2" s="1"/>
  <c r="AH120" i="2"/>
  <c r="AI120" i="2" s="1"/>
  <c r="AH117" i="2"/>
  <c r="AI117" i="2" s="1"/>
  <c r="AH113" i="2"/>
  <c r="AI113" i="2" s="1"/>
  <c r="AH121" i="2"/>
  <c r="AI121" i="2" s="1"/>
  <c r="AC110" i="2"/>
  <c r="AC114" i="2"/>
  <c r="AD114" i="2" s="1"/>
  <c r="AC118" i="2"/>
  <c r="AD118" i="2" s="1"/>
  <c r="AC111" i="2"/>
  <c r="AD111" i="2" s="1"/>
  <c r="AC115" i="2"/>
  <c r="AD115" i="2" s="1"/>
  <c r="AC119" i="2"/>
  <c r="AD119" i="2" s="1"/>
  <c r="AC121" i="2"/>
  <c r="AD121" i="2" s="1"/>
  <c r="AC112" i="2"/>
  <c r="AD112" i="2" s="1"/>
  <c r="AC116" i="2"/>
  <c r="AD116" i="2" s="1"/>
  <c r="AC120" i="2"/>
  <c r="AD120" i="2" s="1"/>
  <c r="AC117" i="2"/>
  <c r="AD117" i="2" s="1"/>
  <c r="AC113" i="2"/>
  <c r="AD113" i="2" s="1"/>
  <c r="W110" i="2"/>
  <c r="W117" i="2"/>
  <c r="X117" i="2" s="1"/>
  <c r="D117" i="31" s="1"/>
  <c r="W111" i="2"/>
  <c r="X111" i="2" s="1"/>
  <c r="D111" i="31" s="1"/>
  <c r="W114" i="2"/>
  <c r="X114" i="2" s="1"/>
  <c r="D114" i="31" s="1"/>
  <c r="W121" i="2"/>
  <c r="X121" i="2" s="1"/>
  <c r="D121" i="31" s="1"/>
  <c r="W118" i="2"/>
  <c r="X118" i="2" s="1"/>
  <c r="D118" i="31" s="1"/>
  <c r="W116" i="2"/>
  <c r="X116" i="2" s="1"/>
  <c r="D116" i="31" s="1"/>
  <c r="W120" i="2"/>
  <c r="X120" i="2" s="1"/>
  <c r="D120" i="31" s="1"/>
  <c r="W115" i="2"/>
  <c r="X115" i="2" s="1"/>
  <c r="D115" i="31" s="1"/>
  <c r="W112" i="2"/>
  <c r="X112" i="2" s="1"/>
  <c r="D112" i="31" s="1"/>
  <c r="W119" i="2"/>
  <c r="X119" i="2" s="1"/>
  <c r="D119" i="31" s="1"/>
  <c r="W113" i="2"/>
  <c r="X113" i="2" s="1"/>
  <c r="D113" i="31" s="1"/>
  <c r="Q110" i="2"/>
  <c r="Q117" i="2"/>
  <c r="R117" i="2" s="1"/>
  <c r="D117" i="30" s="1"/>
  <c r="Q111" i="2"/>
  <c r="R111" i="2" s="1"/>
  <c r="D111" i="30" s="1"/>
  <c r="Q120" i="2"/>
  <c r="R120" i="2" s="1"/>
  <c r="D120" i="30" s="1"/>
  <c r="Q114" i="2"/>
  <c r="R114" i="2" s="1"/>
  <c r="D114" i="30" s="1"/>
  <c r="Q121" i="2"/>
  <c r="R121" i="2" s="1"/>
  <c r="D121" i="30" s="1"/>
  <c r="Q113" i="2"/>
  <c r="R113" i="2" s="1"/>
  <c r="D113" i="30" s="1"/>
  <c r="Q118" i="2"/>
  <c r="R118" i="2" s="1"/>
  <c r="D118" i="30" s="1"/>
  <c r="Q115" i="2"/>
  <c r="R115" i="2" s="1"/>
  <c r="D115" i="30" s="1"/>
  <c r="Q119" i="2"/>
  <c r="R119" i="2" s="1"/>
  <c r="D119" i="30" s="1"/>
  <c r="Q112" i="2"/>
  <c r="R112" i="2" s="1"/>
  <c r="D112" i="30" s="1"/>
  <c r="Q116" i="2"/>
  <c r="R116" i="2" s="1"/>
  <c r="D116" i="30" s="1"/>
  <c r="K114" i="2"/>
  <c r="L114" i="2" s="1"/>
  <c r="D114" i="29" s="1"/>
  <c r="K111" i="2"/>
  <c r="L111" i="2" s="1"/>
  <c r="D111" i="29" s="1"/>
  <c r="K121" i="2"/>
  <c r="L121" i="2" s="1"/>
  <c r="D121" i="29" s="1"/>
  <c r="K116" i="2"/>
  <c r="L116" i="2" s="1"/>
  <c r="D116" i="29" s="1"/>
  <c r="K110" i="2"/>
  <c r="K118" i="2"/>
  <c r="L118" i="2" s="1"/>
  <c r="D118" i="29" s="1"/>
  <c r="K119" i="2"/>
  <c r="L119" i="2" s="1"/>
  <c r="D119" i="29" s="1"/>
  <c r="K113" i="2"/>
  <c r="L113" i="2" s="1"/>
  <c r="D113" i="29" s="1"/>
  <c r="K120" i="2"/>
  <c r="L120" i="2" s="1"/>
  <c r="D120" i="29" s="1"/>
  <c r="K115" i="2"/>
  <c r="L115" i="2" s="1"/>
  <c r="D115" i="29" s="1"/>
  <c r="K112" i="2"/>
  <c r="L112" i="2" s="1"/>
  <c r="D112" i="29" s="1"/>
  <c r="K117" i="2"/>
  <c r="L117" i="2" s="1"/>
  <c r="D117" i="29" s="1"/>
  <c r="AJ25" i="7"/>
  <c r="AP7" i="7"/>
  <c r="AO25" i="7"/>
  <c r="H83" i="7"/>
  <c r="AN25" i="7"/>
  <c r="G83" i="7"/>
  <c r="AM25" i="7"/>
  <c r="F83" i="7"/>
  <c r="AL25" i="7"/>
  <c r="E83" i="7"/>
  <c r="AK25" i="7"/>
  <c r="FD34" i="3"/>
  <c r="FD107" i="3"/>
  <c r="FD118" i="3"/>
  <c r="FD82" i="3"/>
  <c r="FD130" i="3"/>
  <c r="FD58" i="3"/>
  <c r="FD94" i="3"/>
  <c r="FD70" i="3"/>
  <c r="FD46" i="3"/>
  <c r="P42" i="14"/>
  <c r="EY82" i="3"/>
  <c r="EW46" i="3"/>
  <c r="EZ58" i="3"/>
  <c r="EU46" i="3"/>
  <c r="EZ34" i="3"/>
  <c r="FB70" i="3"/>
  <c r="EZ82" i="3"/>
  <c r="EV82" i="3"/>
  <c r="FA46" i="3"/>
  <c r="EZ70" i="3"/>
  <c r="EW82" i="3"/>
  <c r="EU58" i="3"/>
  <c r="EX34" i="3"/>
  <c r="FA34" i="3"/>
  <c r="FB82" i="3"/>
  <c r="FA82" i="3"/>
  <c r="FA70" i="3"/>
  <c r="EW58" i="3"/>
  <c r="EW34" i="3"/>
  <c r="EX70" i="3"/>
  <c r="FA58" i="3"/>
  <c r="EZ46" i="3"/>
  <c r="EW70" i="3"/>
  <c r="EX46" i="3"/>
  <c r="EV47" i="3"/>
  <c r="EV58" i="3"/>
  <c r="EV34" i="3"/>
  <c r="EX82" i="3"/>
  <c r="FB46" i="3"/>
  <c r="EV70" i="3"/>
  <c r="EU34" i="3"/>
  <c r="EX58" i="3"/>
  <c r="EY58" i="3"/>
  <c r="EY70" i="3"/>
  <c r="FB34" i="3"/>
  <c r="EY34" i="3"/>
  <c r="EY46" i="3"/>
  <c r="FB58" i="3"/>
  <c r="F66" i="2"/>
  <c r="D66" i="17" s="1"/>
  <c r="D91" i="22"/>
  <c r="BH13" i="39"/>
  <c r="N142" i="10"/>
  <c r="N147" i="10"/>
  <c r="M143" i="10"/>
  <c r="P146" i="51"/>
  <c r="O142" i="51"/>
  <c r="M10" i="26"/>
  <c r="O10" i="26" s="1"/>
  <c r="M34" i="37"/>
  <c r="O34" i="37" s="1"/>
  <c r="M22" i="26"/>
  <c r="O22" i="26" s="1"/>
  <c r="M34" i="26"/>
  <c r="O34" i="26" s="1"/>
  <c r="M22" i="37"/>
  <c r="O22" i="37" s="1"/>
  <c r="M10" i="37"/>
  <c r="O10" i="37" s="1"/>
  <c r="M70" i="26"/>
  <c r="O70" i="26" s="1"/>
  <c r="M70" i="37"/>
  <c r="O70" i="37" s="1"/>
  <c r="M94" i="26"/>
  <c r="O94" i="26" s="1"/>
  <c r="M46" i="37"/>
  <c r="O46" i="37" s="1"/>
  <c r="M106" i="37"/>
  <c r="O106" i="37" s="1"/>
  <c r="M46" i="26"/>
  <c r="O46" i="26" s="1"/>
  <c r="M83" i="26"/>
  <c r="O83" i="26" s="1"/>
  <c r="M58" i="37"/>
  <c r="O58" i="37" s="1"/>
  <c r="M83" i="37"/>
  <c r="O83" i="37" s="1"/>
  <c r="M106" i="26"/>
  <c r="O106" i="26" s="1"/>
  <c r="M58" i="26"/>
  <c r="O58" i="26" s="1"/>
  <c r="AD89" i="2"/>
  <c r="X88" i="2"/>
  <c r="R97" i="2"/>
  <c r="L94" i="2"/>
  <c r="L97" i="2"/>
  <c r="R89" i="2"/>
  <c r="FR72" i="2"/>
  <c r="EX96" i="3" s="1"/>
  <c r="O12" i="14"/>
  <c r="P13" i="14" s="1"/>
  <c r="K12" i="14"/>
  <c r="L13" i="14" s="1"/>
  <c r="AA12" i="14"/>
  <c r="AB13" i="14" s="1"/>
  <c r="G42" i="14"/>
  <c r="R86" i="2"/>
  <c r="D98" i="29"/>
  <c r="R92" i="2"/>
  <c r="AD93" i="2"/>
  <c r="R90" i="2"/>
  <c r="AD88" i="2"/>
  <c r="X86" i="2"/>
  <c r="X97" i="2"/>
  <c r="F68" i="2"/>
  <c r="D90" i="33"/>
  <c r="D90" i="22"/>
  <c r="D82" i="33"/>
  <c r="D82" i="22"/>
  <c r="D76" i="33"/>
  <c r="D76" i="22"/>
  <c r="D81" i="33"/>
  <c r="D81" i="22"/>
  <c r="D94" i="33"/>
  <c r="D94" i="22"/>
  <c r="D79" i="33"/>
  <c r="D79" i="22"/>
  <c r="D75" i="33"/>
  <c r="D75" i="22"/>
  <c r="D85" i="33"/>
  <c r="D85" i="22"/>
  <c r="D97" i="33"/>
  <c r="D97" i="22"/>
  <c r="D89" i="33"/>
  <c r="D89" i="22"/>
  <c r="D86" i="33"/>
  <c r="D86" i="22"/>
  <c r="D84" i="33"/>
  <c r="D84" i="22"/>
  <c r="D80" i="33"/>
  <c r="D80" i="22"/>
  <c r="D87" i="33"/>
  <c r="D87" i="22"/>
  <c r="D92" i="33"/>
  <c r="D92" i="22"/>
  <c r="D74" i="33"/>
  <c r="D74" i="22"/>
  <c r="D93" i="33"/>
  <c r="D93" i="22"/>
  <c r="D78" i="33"/>
  <c r="D78" i="22"/>
  <c r="D77" i="33"/>
  <c r="D77" i="22"/>
  <c r="D83" i="33"/>
  <c r="D83" i="22"/>
  <c r="D95" i="33"/>
  <c r="D95" i="22"/>
  <c r="D88" i="33"/>
  <c r="D88" i="22"/>
  <c r="R96" i="2"/>
  <c r="AK12" i="14"/>
  <c r="AL13" i="14" s="1"/>
  <c r="L93" i="2"/>
  <c r="BW19" i="2"/>
  <c r="D19" i="37" s="1"/>
  <c r="BT37" i="2"/>
  <c r="BQ28" i="2"/>
  <c r="D28" i="25" s="1"/>
  <c r="BQ30" i="2"/>
  <c r="D30" i="36" s="1"/>
  <c r="BQ29" i="2"/>
  <c r="D29" i="25" s="1"/>
  <c r="BW25" i="2"/>
  <c r="D25" i="26" s="1"/>
  <c r="BQ16" i="2"/>
  <c r="FZ16" i="2" s="1"/>
  <c r="BQ4" i="2"/>
  <c r="D4" i="25" s="1"/>
  <c r="BY39" i="2"/>
  <c r="BW18" i="2"/>
  <c r="D18" i="26" s="1"/>
  <c r="BY52" i="2"/>
  <c r="BT21" i="2"/>
  <c r="BQ26" i="2"/>
  <c r="FZ26" i="2" s="1"/>
  <c r="BW49" i="2"/>
  <c r="D49" i="26" s="1"/>
  <c r="BY14" i="2"/>
  <c r="BQ3" i="2"/>
  <c r="FZ3" i="2" s="1"/>
  <c r="BQ5" i="2"/>
  <c r="FZ5" i="2" s="1"/>
  <c r="BT11" i="2"/>
  <c r="BQ15" i="2"/>
  <c r="FZ15" i="2" s="1"/>
  <c r="BW38" i="2"/>
  <c r="D38" i="26" s="1"/>
  <c r="P38" i="26" s="1"/>
  <c r="L91" i="2"/>
  <c r="AD97" i="2"/>
  <c r="AD86" i="2"/>
  <c r="AD96" i="2"/>
  <c r="R91" i="2"/>
  <c r="AD90" i="2"/>
  <c r="L87" i="2"/>
  <c r="L89" i="2"/>
  <c r="R88" i="2"/>
  <c r="AD95" i="2"/>
  <c r="L92" i="2"/>
  <c r="L96" i="2"/>
  <c r="AD87" i="2"/>
  <c r="AD94" i="2"/>
  <c r="R95" i="2"/>
  <c r="X92" i="2"/>
  <c r="L95" i="2"/>
  <c r="F72" i="2"/>
  <c r="L88" i="2"/>
  <c r="F73" i="2"/>
  <c r="F62" i="2"/>
  <c r="F70" i="2"/>
  <c r="F67" i="2"/>
  <c r="X96" i="2"/>
  <c r="F64" i="2"/>
  <c r="F69" i="2"/>
  <c r="D11" i="39"/>
  <c r="G11" i="39" s="1"/>
  <c r="F65" i="2"/>
  <c r="X90" i="2"/>
  <c r="X95" i="2"/>
  <c r="R93" i="2"/>
  <c r="X89" i="2"/>
  <c r="X87" i="2"/>
  <c r="X91" i="2"/>
  <c r="D91" i="33"/>
  <c r="D74" i="32"/>
  <c r="D98" i="32"/>
  <c r="D82" i="32"/>
  <c r="D78" i="32"/>
  <c r="D83" i="32"/>
  <c r="D76" i="32"/>
  <c r="D81" i="32"/>
  <c r="D85" i="32"/>
  <c r="D80" i="32"/>
  <c r="D79" i="32"/>
  <c r="D92" i="32"/>
  <c r="D77" i="32"/>
  <c r="D75" i="32"/>
  <c r="D84" i="32"/>
  <c r="N13" i="39"/>
  <c r="D91" i="17"/>
  <c r="X13" i="39"/>
  <c r="F90" i="2"/>
  <c r="AK79" i="2"/>
  <c r="D76" i="20"/>
  <c r="D81" i="20"/>
  <c r="AK92" i="2"/>
  <c r="F74" i="2"/>
  <c r="AK82" i="2"/>
  <c r="AK77" i="2"/>
  <c r="AK75" i="2"/>
  <c r="AK84" i="2"/>
  <c r="F82" i="2"/>
  <c r="D74" i="20"/>
  <c r="D75" i="20"/>
  <c r="F81" i="2"/>
  <c r="D77" i="20"/>
  <c r="AK97" i="2"/>
  <c r="D74" i="18"/>
  <c r="F78" i="2"/>
  <c r="F85" i="2"/>
  <c r="F92" i="2"/>
  <c r="D79" i="18"/>
  <c r="AK83" i="2"/>
  <c r="D76" i="18"/>
  <c r="AK80" i="2"/>
  <c r="AK95" i="2"/>
  <c r="AK78" i="2"/>
  <c r="F77" i="2"/>
  <c r="F89" i="2"/>
  <c r="D78" i="18"/>
  <c r="D78" i="20"/>
  <c r="AK90" i="2"/>
  <c r="D80" i="20"/>
  <c r="AK76" i="2"/>
  <c r="AH13" i="39"/>
  <c r="AK13" i="39" s="1"/>
  <c r="D85" i="18"/>
  <c r="AK81" i="2"/>
  <c r="AK87" i="2"/>
  <c r="AK88" i="2"/>
  <c r="D82" i="20"/>
  <c r="D84" i="18"/>
  <c r="D98" i="20"/>
  <c r="D79" i="20"/>
  <c r="AK74" i="2"/>
  <c r="AI98" i="2"/>
  <c r="D83" i="18"/>
  <c r="D98" i="18"/>
  <c r="F86" i="2"/>
  <c r="D93" i="20"/>
  <c r="F75" i="2"/>
  <c r="F76" i="2"/>
  <c r="D83" i="20"/>
  <c r="AK93" i="2"/>
  <c r="D84" i="20"/>
  <c r="F84" i="2"/>
  <c r="AK85" i="2"/>
  <c r="F83" i="2"/>
  <c r="F96" i="2"/>
  <c r="AK86" i="2"/>
  <c r="D80" i="18"/>
  <c r="F97" i="2"/>
  <c r="F80" i="2"/>
  <c r="F94" i="2"/>
  <c r="D81" i="18"/>
  <c r="D75" i="18"/>
  <c r="F79" i="2"/>
  <c r="F87" i="2"/>
  <c r="AK94" i="2"/>
  <c r="D85" i="20"/>
  <c r="AK89" i="2"/>
  <c r="F93" i="2"/>
  <c r="D77" i="18"/>
  <c r="F95" i="2"/>
  <c r="F88" i="2"/>
  <c r="D87" i="18"/>
  <c r="D82" i="18"/>
  <c r="L86" i="2"/>
  <c r="AD91" i="2"/>
  <c r="F71" i="2"/>
  <c r="R94" i="2"/>
  <c r="X94" i="2"/>
  <c r="AS13" i="39"/>
  <c r="AV13" i="39" s="1"/>
  <c r="D63" i="17"/>
  <c r="D79" i="19"/>
  <c r="D81" i="19"/>
  <c r="D85" i="19"/>
  <c r="D83" i="19"/>
  <c r="D82" i="19"/>
  <c r="D78" i="19"/>
  <c r="D80" i="19"/>
  <c r="D74" i="19"/>
  <c r="D77" i="19"/>
  <c r="D98" i="19"/>
  <c r="D90" i="19"/>
  <c r="D76" i="19"/>
  <c r="D84" i="19"/>
  <c r="D75" i="19"/>
  <c r="R70" i="22"/>
  <c r="S70" i="22" s="1"/>
  <c r="R71" i="22"/>
  <c r="S71" i="22" s="1"/>
  <c r="AF80" i="2"/>
  <c r="D80" i="21"/>
  <c r="AF79" i="2"/>
  <c r="D79" i="21"/>
  <c r="AF74" i="2"/>
  <c r="D74" i="21"/>
  <c r="AF77" i="2"/>
  <c r="D77" i="21"/>
  <c r="AF92" i="2"/>
  <c r="D92" i="21"/>
  <c r="AF98" i="2"/>
  <c r="D98" i="21"/>
  <c r="AF84" i="2"/>
  <c r="D84" i="21"/>
  <c r="AF76" i="2"/>
  <c r="D76" i="21"/>
  <c r="AF83" i="2"/>
  <c r="D83" i="21"/>
  <c r="AF75" i="2"/>
  <c r="D75" i="21"/>
  <c r="AF82" i="2"/>
  <c r="D82" i="21"/>
  <c r="AF81" i="2"/>
  <c r="D81" i="21"/>
  <c r="AF78" i="2"/>
  <c r="D78" i="21"/>
  <c r="AF85" i="2"/>
  <c r="D85" i="21"/>
  <c r="R68" i="22"/>
  <c r="S68" i="22" s="1"/>
  <c r="R64" i="22"/>
  <c r="S64" i="22" s="1"/>
  <c r="R72" i="22"/>
  <c r="S72" i="22" s="1"/>
  <c r="R69" i="22"/>
  <c r="S69" i="22" s="1"/>
  <c r="R66" i="22"/>
  <c r="S66" i="22" s="1"/>
  <c r="R73" i="22"/>
  <c r="S73" i="22" s="1"/>
  <c r="R65" i="22"/>
  <c r="S65" i="22" s="1"/>
  <c r="R63" i="22"/>
  <c r="S63" i="22" s="1"/>
  <c r="R62" i="22"/>
  <c r="S62" i="22" s="1"/>
  <c r="N62" i="21"/>
  <c r="N63" i="21"/>
  <c r="N73" i="21"/>
  <c r="N69" i="21"/>
  <c r="N68" i="21"/>
  <c r="N64" i="21"/>
  <c r="N67" i="21"/>
  <c r="N65" i="21"/>
  <c r="N71" i="21"/>
  <c r="N70" i="21"/>
  <c r="N72" i="21"/>
  <c r="N66" i="21"/>
  <c r="BW21" i="2"/>
  <c r="D21" i="26" s="1"/>
  <c r="AK91" i="2"/>
  <c r="BW48" i="2"/>
  <c r="BW15" i="2"/>
  <c r="BW17" i="2"/>
  <c r="W51" i="5"/>
  <c r="AK8" i="7"/>
  <c r="AH8" i="7"/>
  <c r="C84" i="7" s="1"/>
  <c r="AI8" i="7"/>
  <c r="D84" i="7" s="1"/>
  <c r="AM8" i="7"/>
  <c r="AO8" i="7"/>
  <c r="AJ8" i="7"/>
  <c r="AN8" i="7"/>
  <c r="AL8" i="7"/>
  <c r="AQ6" i="7"/>
  <c r="AQ24" i="7" s="1"/>
  <c r="AL9" i="7"/>
  <c r="AN9" i="7"/>
  <c r="AM9" i="7"/>
  <c r="AO9" i="7"/>
  <c r="AH9" i="7"/>
  <c r="AI9" i="7"/>
  <c r="D85" i="7" s="1"/>
  <c r="AJ9" i="7"/>
  <c r="AK9" i="7"/>
  <c r="AM64" i="7"/>
  <c r="BQ24" i="2"/>
  <c r="BQ20" i="2"/>
  <c r="BQ31" i="2"/>
  <c r="BW24" i="2"/>
  <c r="BQ7" i="2"/>
  <c r="BQ19" i="2"/>
  <c r="BQ33" i="2"/>
  <c r="BQ32" i="2"/>
  <c r="BQ10" i="2"/>
  <c r="BQ34" i="2"/>
  <c r="BQ27" i="2"/>
  <c r="BW20" i="2"/>
  <c r="BW22" i="2"/>
  <c r="BW46" i="2"/>
  <c r="BW23" i="2"/>
  <c r="BW16" i="2"/>
  <c r="DQ7" i="39"/>
  <c r="DT7" i="39" s="1"/>
  <c r="BW44" i="2"/>
  <c r="BW40" i="2"/>
  <c r="BQ13" i="2"/>
  <c r="BW43" i="2"/>
  <c r="BW42" i="2"/>
  <c r="BQ8" i="2"/>
  <c r="BW45" i="2"/>
  <c r="DQ9" i="39"/>
  <c r="DT9" i="39" s="1"/>
  <c r="BW41" i="2"/>
  <c r="BQ25" i="2"/>
  <c r="FQ71" i="2"/>
  <c r="EW95" i="3" s="1"/>
  <c r="BQ9" i="2"/>
  <c r="BQ12" i="2"/>
  <c r="FS71" i="2"/>
  <c r="EY95" i="3" s="1"/>
  <c r="BQ14" i="2"/>
  <c r="BQ18" i="2"/>
  <c r="DF8" i="39"/>
  <c r="DI8" i="39" s="1"/>
  <c r="DJ8" i="39" s="1"/>
  <c r="BW47" i="2"/>
  <c r="DF10" i="39"/>
  <c r="DI10" i="39" s="1"/>
  <c r="BW10" i="2"/>
  <c r="BQ41" i="2"/>
  <c r="FZ37" i="2"/>
  <c r="D37" i="36"/>
  <c r="D37" i="25"/>
  <c r="BW7" i="2"/>
  <c r="BW55" i="2"/>
  <c r="BQ22" i="2"/>
  <c r="BW61" i="2"/>
  <c r="BW5" i="2"/>
  <c r="J82" i="7"/>
  <c r="BW60" i="2"/>
  <c r="BQ58" i="2"/>
  <c r="BW13" i="2"/>
  <c r="BQ61" i="2"/>
  <c r="BW58" i="2"/>
  <c r="BQ48" i="2"/>
  <c r="BW6" i="2"/>
  <c r="AH25" i="7"/>
  <c r="BW33" i="2"/>
  <c r="DF6" i="39"/>
  <c r="DI6" i="39" s="1"/>
  <c r="DJ6" i="39" s="1"/>
  <c r="BQ2" i="2"/>
  <c r="FZ50" i="2"/>
  <c r="D50" i="36"/>
  <c r="D50" i="25"/>
  <c r="FP71" i="2"/>
  <c r="EV95" i="3" s="1"/>
  <c r="BQ56" i="2"/>
  <c r="DR5" i="39"/>
  <c r="BQ42" i="2"/>
  <c r="BQ54" i="2"/>
  <c r="BW32" i="2"/>
  <c r="DF9" i="39"/>
  <c r="DI9" i="39" s="1"/>
  <c r="BQ38" i="2"/>
  <c r="BQ51" i="2"/>
  <c r="BQ43" i="2"/>
  <c r="BW30" i="2"/>
  <c r="D47" i="25"/>
  <c r="D47" i="36"/>
  <c r="BQ46" i="2"/>
  <c r="D21" i="36"/>
  <c r="D21" i="25"/>
  <c r="FZ21" i="2"/>
  <c r="BW26" i="2"/>
  <c r="DQ8" i="39"/>
  <c r="DT8" i="39" s="1"/>
  <c r="FT71" i="2"/>
  <c r="EZ95" i="3" s="1"/>
  <c r="BW29" i="2"/>
  <c r="BQ23" i="2"/>
  <c r="D52" i="26"/>
  <c r="D52" i="37"/>
  <c r="BW12" i="2"/>
  <c r="BW56" i="2"/>
  <c r="AI25" i="7"/>
  <c r="BW34" i="2"/>
  <c r="D39" i="37"/>
  <c r="D39" i="26"/>
  <c r="BW9" i="2"/>
  <c r="BQ57" i="2"/>
  <c r="BW35" i="2"/>
  <c r="BW54" i="2"/>
  <c r="BW57" i="2"/>
  <c r="BQ17" i="2"/>
  <c r="BW59" i="2"/>
  <c r="BQ36" i="2"/>
  <c r="BW4" i="2"/>
  <c r="BQ39" i="2"/>
  <c r="D11" i="25"/>
  <c r="D11" i="36"/>
  <c r="BW31" i="2"/>
  <c r="BW53" i="2"/>
  <c r="BQ40" i="2"/>
  <c r="BW50" i="2"/>
  <c r="DQ10" i="39"/>
  <c r="DT10" i="39" s="1"/>
  <c r="BQ55" i="2"/>
  <c r="Q14" i="26"/>
  <c r="BQ59" i="2"/>
  <c r="BW3" i="2"/>
  <c r="DG5" i="39"/>
  <c r="BW36" i="2"/>
  <c r="BQ52" i="2"/>
  <c r="DF7" i="39"/>
  <c r="DI7" i="39" s="1"/>
  <c r="DJ7" i="39" s="1"/>
  <c r="BQ6" i="2"/>
  <c r="BQ44" i="2"/>
  <c r="BQ49" i="2"/>
  <c r="BW2" i="2"/>
  <c r="DQ6" i="39"/>
  <c r="DT6" i="39" s="1"/>
  <c r="BW27" i="2"/>
  <c r="BQ45" i="2"/>
  <c r="BQ35" i="2"/>
  <c r="BW11" i="2"/>
  <c r="BW28" i="2"/>
  <c r="BW51" i="2"/>
  <c r="BQ53" i="2"/>
  <c r="BW8" i="2"/>
  <c r="BW37" i="2"/>
  <c r="BQ60" i="2"/>
  <c r="AA43" i="14"/>
  <c r="AX43" i="14"/>
  <c r="AX12" i="14"/>
  <c r="AY13" i="14" s="1"/>
  <c r="AK43" i="14"/>
  <c r="FV108" i="2"/>
  <c r="O43" i="14"/>
  <c r="BV42" i="14"/>
  <c r="GD107" i="2"/>
  <c r="BN43" i="14"/>
  <c r="GB108" i="2"/>
  <c r="BN12" i="14"/>
  <c r="BO13" i="14" s="1"/>
  <c r="F107" i="26"/>
  <c r="K107" i="26" s="1"/>
  <c r="BH42" i="14"/>
  <c r="F107" i="37"/>
  <c r="K107" i="37" s="1"/>
  <c r="GA107" i="2"/>
  <c r="AG42" i="14"/>
  <c r="FU107" i="2"/>
  <c r="AO43" i="14"/>
  <c r="FW108" i="2"/>
  <c r="AT43" i="14"/>
  <c r="AT12" i="14"/>
  <c r="AU13" i="14" s="1"/>
  <c r="C42" i="14"/>
  <c r="BR43" i="14"/>
  <c r="GC108" i="2"/>
  <c r="BR12" i="14"/>
  <c r="BS13" i="14" s="1"/>
  <c r="K43" i="14"/>
  <c r="BB43" i="14"/>
  <c r="BB12" i="14"/>
  <c r="BC13" i="14" s="1"/>
  <c r="U43" i="14"/>
  <c r="X107" i="2"/>
  <c r="R108" i="2"/>
  <c r="AD100" i="2"/>
  <c r="AI107" i="2"/>
  <c r="AD101" i="2"/>
  <c r="X104" i="2"/>
  <c r="X102" i="2"/>
  <c r="R99" i="2"/>
  <c r="D98" i="31"/>
  <c r="AH14" i="39"/>
  <c r="AK14" i="39" s="1"/>
  <c r="D13" i="39"/>
  <c r="G13" i="39" s="1"/>
  <c r="BD14" i="39"/>
  <c r="BG14" i="39" s="1"/>
  <c r="D98" i="30"/>
  <c r="X14" i="39"/>
  <c r="AA14" i="39" s="1"/>
  <c r="BE13" i="39"/>
  <c r="N14" i="39"/>
  <c r="AS14" i="39"/>
  <c r="AV14" i="39" s="1"/>
  <c r="L101" i="2"/>
  <c r="R101" i="2"/>
  <c r="AI103" i="2"/>
  <c r="R100" i="2"/>
  <c r="AD105" i="2"/>
  <c r="X100" i="2"/>
  <c r="AI101" i="2"/>
  <c r="L108" i="2"/>
  <c r="AI99" i="2"/>
  <c r="X109" i="2"/>
  <c r="AI106" i="2"/>
  <c r="L104" i="2"/>
  <c r="L102" i="2"/>
  <c r="L106" i="2"/>
  <c r="AD109" i="2"/>
  <c r="R107" i="2"/>
  <c r="AI100" i="2"/>
  <c r="AD107" i="2"/>
  <c r="AD99" i="2"/>
  <c r="AI102" i="2"/>
  <c r="X99" i="2"/>
  <c r="X106" i="2"/>
  <c r="X108" i="2"/>
  <c r="L103" i="2"/>
  <c r="AI108" i="2"/>
  <c r="R109" i="2"/>
  <c r="R103" i="2"/>
  <c r="R102" i="2"/>
  <c r="R104" i="2"/>
  <c r="AD106" i="2"/>
  <c r="AI105" i="2"/>
  <c r="X103" i="2"/>
  <c r="X105" i="2"/>
  <c r="AD104" i="2"/>
  <c r="L105" i="2"/>
  <c r="AD102" i="2"/>
  <c r="L107" i="2"/>
  <c r="AD103" i="2"/>
  <c r="AD108" i="2"/>
  <c r="L109" i="2"/>
  <c r="R106" i="2"/>
  <c r="AI109" i="2"/>
  <c r="D109" i="22" s="1"/>
  <c r="R109" i="22" s="1"/>
  <c r="S109" i="22" s="1"/>
  <c r="L100" i="2"/>
  <c r="L99" i="2"/>
  <c r="R105" i="2"/>
  <c r="X101" i="2"/>
  <c r="AI104" i="2"/>
  <c r="FQ98" i="2"/>
  <c r="EW122" i="3" s="1"/>
  <c r="FP98" i="2"/>
  <c r="EV122" i="3" s="1"/>
  <c r="FR98" i="2"/>
  <c r="EX122" i="3" s="1"/>
  <c r="FS98" i="2"/>
  <c r="EY122" i="3" s="1"/>
  <c r="O94" i="37"/>
  <c r="S67" i="22"/>
  <c r="D82" i="31"/>
  <c r="D75" i="31"/>
  <c r="D83" i="30"/>
  <c r="D76" i="31"/>
  <c r="D79" i="30"/>
  <c r="D76" i="30"/>
  <c r="D87" i="30"/>
  <c r="D78" i="30"/>
  <c r="D85" i="31"/>
  <c r="D80" i="30"/>
  <c r="D81" i="30"/>
  <c r="D77" i="30"/>
  <c r="D78" i="31"/>
  <c r="D84" i="31"/>
  <c r="D75" i="30"/>
  <c r="D77" i="31"/>
  <c r="D82" i="30"/>
  <c r="D81" i="31"/>
  <c r="D83" i="31"/>
  <c r="D85" i="30"/>
  <c r="D79" i="31"/>
  <c r="D84" i="30"/>
  <c r="FX35" i="2"/>
  <c r="GB11" i="2"/>
  <c r="F23" i="26"/>
  <c r="K23" i="26" s="1"/>
  <c r="F23" i="37"/>
  <c r="K23" i="37" s="1"/>
  <c r="GA23" i="2"/>
  <c r="FQ59" i="2"/>
  <c r="FS23" i="2"/>
  <c r="GC95" i="2"/>
  <c r="GC11" i="2"/>
  <c r="FR59" i="2"/>
  <c r="FW95" i="2"/>
  <c r="FV11" i="2"/>
  <c r="FU11" i="2"/>
  <c r="GD23" i="2"/>
  <c r="FR23" i="2"/>
  <c r="GB23" i="2"/>
  <c r="FY23" i="2"/>
  <c r="FT59" i="2"/>
  <c r="F71" i="37"/>
  <c r="K71" i="37" s="1"/>
  <c r="F71" i="26"/>
  <c r="K71" i="26" s="1"/>
  <c r="GA71" i="2"/>
  <c r="FV47" i="2"/>
  <c r="FQ11" i="2"/>
  <c r="FO11" i="2"/>
  <c r="FQ23" i="2"/>
  <c r="GC47" i="2"/>
  <c r="FW59" i="2"/>
  <c r="FT23" i="2"/>
  <c r="FP24" i="2"/>
  <c r="FU59" i="2"/>
  <c r="FV35" i="2"/>
  <c r="FQ35" i="2"/>
  <c r="FT47" i="2"/>
  <c r="FU71" i="2"/>
  <c r="FW35" i="2"/>
  <c r="FS35" i="2"/>
  <c r="FV23" i="2"/>
  <c r="FY59" i="2"/>
  <c r="FP35" i="2"/>
  <c r="GB83" i="2"/>
  <c r="FU35" i="2"/>
  <c r="FY47" i="2"/>
  <c r="GC83" i="2"/>
  <c r="GB95" i="2"/>
  <c r="FX11" i="2"/>
  <c r="GD11" i="2"/>
  <c r="GB35" i="2"/>
  <c r="FU83" i="2"/>
  <c r="FS11" i="2"/>
  <c r="GB59" i="2"/>
  <c r="F35" i="37"/>
  <c r="K35" i="37" s="1"/>
  <c r="F35" i="26"/>
  <c r="K35" i="26" s="1"/>
  <c r="GA35" i="2"/>
  <c r="FU23" i="2"/>
  <c r="FT11" i="2"/>
  <c r="GD47" i="2"/>
  <c r="FV71" i="2"/>
  <c r="FP47" i="2"/>
  <c r="GD95" i="2"/>
  <c r="FX59" i="2"/>
  <c r="FV83" i="2"/>
  <c r="FQ47" i="2"/>
  <c r="GB47" i="2"/>
  <c r="FP11" i="2"/>
  <c r="FW83" i="2"/>
  <c r="FO35" i="2"/>
  <c r="GD59" i="2"/>
  <c r="FT35" i="2"/>
  <c r="F47" i="37"/>
  <c r="K47" i="37" s="1"/>
  <c r="F47" i="26"/>
  <c r="K47" i="26" s="1"/>
  <c r="GA47" i="2"/>
  <c r="FR47" i="2"/>
  <c r="GA84" i="2"/>
  <c r="F84" i="26"/>
  <c r="K84" i="26" s="1"/>
  <c r="F84" i="37"/>
  <c r="K84" i="37" s="1"/>
  <c r="FY11" i="2"/>
  <c r="FW23" i="2"/>
  <c r="GD71" i="2"/>
  <c r="FX47" i="2"/>
  <c r="FO23" i="2"/>
  <c r="FR35" i="2"/>
  <c r="GC35" i="2"/>
  <c r="FV59" i="2"/>
  <c r="FZ11" i="2"/>
  <c r="GC59" i="2"/>
  <c r="F11" i="37"/>
  <c r="K11" i="37" s="1"/>
  <c r="F11" i="26"/>
  <c r="K11" i="26" s="1"/>
  <c r="GA11" i="2"/>
  <c r="FR11" i="2"/>
  <c r="GC23" i="2"/>
  <c r="FZ47" i="2"/>
  <c r="GC71" i="2"/>
  <c r="FS59" i="2"/>
  <c r="FX23" i="2"/>
  <c r="FY35" i="2"/>
  <c r="GD35" i="2"/>
  <c r="FW11" i="2"/>
  <c r="FU95" i="2"/>
  <c r="F95" i="26"/>
  <c r="K95" i="26" s="1"/>
  <c r="F95" i="37"/>
  <c r="K95" i="37" s="1"/>
  <c r="GA95" i="2"/>
  <c r="GB71" i="2"/>
  <c r="FW47" i="2"/>
  <c r="FU47" i="2"/>
  <c r="FP59" i="2"/>
  <c r="FV95" i="2"/>
  <c r="FW71" i="2"/>
  <c r="F59" i="37"/>
  <c r="K59" i="37" s="1"/>
  <c r="F59" i="26"/>
  <c r="K59" i="26" s="1"/>
  <c r="GA59" i="2"/>
  <c r="GD83" i="2"/>
  <c r="FS47" i="2"/>
  <c r="BI10" i="40"/>
  <c r="U10" i="40"/>
  <c r="AW12" i="39"/>
  <c r="BE12" i="39"/>
  <c r="AT12" i="39"/>
  <c r="D74" i="31"/>
  <c r="AI12" i="39"/>
  <c r="D74" i="30"/>
  <c r="Y12" i="39"/>
  <c r="O12" i="39"/>
  <c r="D12" i="39"/>
  <c r="G12" i="39" s="1"/>
  <c r="D78" i="29"/>
  <c r="D81" i="29"/>
  <c r="D83" i="29"/>
  <c r="D82" i="29"/>
  <c r="D79" i="29"/>
  <c r="D80" i="29"/>
  <c r="D76" i="29"/>
  <c r="D85" i="29"/>
  <c r="D74" i="29"/>
  <c r="D84" i="29"/>
  <c r="D75" i="29"/>
  <c r="D90" i="29"/>
  <c r="D93" i="31"/>
  <c r="D80" i="31"/>
  <c r="D77" i="29"/>
  <c r="AD10" i="27"/>
  <c r="FS82" i="2"/>
  <c r="EY106" i="3" s="1"/>
  <c r="FS83" i="2"/>
  <c r="EY107" i="3" s="1"/>
  <c r="FP78" i="2"/>
  <c r="EV102" i="3" s="1"/>
  <c r="FT94" i="2"/>
  <c r="EZ118" i="3" s="1"/>
  <c r="FR93" i="2"/>
  <c r="EX117" i="3" s="1"/>
  <c r="FR80" i="2"/>
  <c r="EX104" i="3" s="1"/>
  <c r="FS80" i="2"/>
  <c r="EY104" i="3" s="1"/>
  <c r="FR81" i="2"/>
  <c r="EX105" i="3" s="1"/>
  <c r="FQ76" i="2"/>
  <c r="EW100" i="3" s="1"/>
  <c r="FR82" i="2"/>
  <c r="EX106" i="3" s="1"/>
  <c r="FR78" i="2"/>
  <c r="EX102" i="3" s="1"/>
  <c r="FT90" i="2"/>
  <c r="EZ114" i="3" s="1"/>
  <c r="FT93" i="2"/>
  <c r="EZ117" i="3" s="1"/>
  <c r="FT81" i="2"/>
  <c r="EZ105" i="3" s="1"/>
  <c r="FT76" i="2"/>
  <c r="EZ100" i="3" s="1"/>
  <c r="FQ80" i="2"/>
  <c r="EW104" i="3" s="1"/>
  <c r="FQ75" i="2"/>
  <c r="EW99" i="3" s="1"/>
  <c r="FQ87" i="2"/>
  <c r="EW111" i="3" s="1"/>
  <c r="FS81" i="2"/>
  <c r="EY105" i="3" s="1"/>
  <c r="FS92" i="2"/>
  <c r="EY116" i="3" s="1"/>
  <c r="FQ85" i="2"/>
  <c r="EW109" i="3" s="1"/>
  <c r="FQ74" i="2"/>
  <c r="EW98" i="3" s="1"/>
  <c r="FP85" i="2"/>
  <c r="EV109" i="3" s="1"/>
  <c r="FT82" i="2"/>
  <c r="EZ106" i="3" s="1"/>
  <c r="FP80" i="2"/>
  <c r="EV104" i="3" s="1"/>
  <c r="FT97" i="2"/>
  <c r="EZ121" i="3" s="1"/>
  <c r="FR76" i="2"/>
  <c r="EX100" i="3" s="1"/>
  <c r="FP90" i="2"/>
  <c r="EV114" i="3" s="1"/>
  <c r="FQ79" i="2"/>
  <c r="EW103" i="3" s="1"/>
  <c r="FR83" i="2"/>
  <c r="EX107" i="3" s="1"/>
  <c r="FT77" i="2"/>
  <c r="EZ101" i="3" s="1"/>
  <c r="FT87" i="2"/>
  <c r="EZ111" i="3" s="1"/>
  <c r="FQ78" i="2"/>
  <c r="EW102" i="3" s="1"/>
  <c r="FR79" i="2"/>
  <c r="EX103" i="3" s="1"/>
  <c r="FQ82" i="2"/>
  <c r="EW106" i="3" s="1"/>
  <c r="FT75" i="2"/>
  <c r="EZ99" i="3" s="1"/>
  <c r="FS76" i="2"/>
  <c r="EY100" i="3" s="1"/>
  <c r="FT79" i="2"/>
  <c r="EZ103" i="3" s="1"/>
  <c r="FT85" i="2"/>
  <c r="EZ109" i="3" s="1"/>
  <c r="FT78" i="2"/>
  <c r="EZ102" i="3" s="1"/>
  <c r="FT74" i="2"/>
  <c r="EZ98" i="3" s="1"/>
  <c r="FS77" i="2"/>
  <c r="EY101" i="3" s="1"/>
  <c r="FT80" i="2"/>
  <c r="EZ104" i="3" s="1"/>
  <c r="FR85" i="2"/>
  <c r="EX109" i="3" s="1"/>
  <c r="FP77" i="2"/>
  <c r="EV101" i="3" s="1"/>
  <c r="FP76" i="2"/>
  <c r="EV100" i="3" s="1"/>
  <c r="FT92" i="2"/>
  <c r="EZ116" i="3" s="1"/>
  <c r="FR74" i="2"/>
  <c r="EX98" i="3" s="1"/>
  <c r="FT95" i="2"/>
  <c r="EZ119" i="3" s="1"/>
  <c r="FQ77" i="2"/>
  <c r="EW101" i="3" s="1"/>
  <c r="FS79" i="2"/>
  <c r="EY103" i="3" s="1"/>
  <c r="FQ81" i="2"/>
  <c r="EW105" i="3" s="1"/>
  <c r="FP75" i="2"/>
  <c r="EV99" i="3" s="1"/>
  <c r="FT88" i="2"/>
  <c r="EZ112" i="3" s="1"/>
  <c r="FP79" i="2"/>
  <c r="EV103" i="3" s="1"/>
  <c r="FR75" i="2"/>
  <c r="EX99" i="3" s="1"/>
  <c r="FP74" i="2"/>
  <c r="EV98" i="3" s="1"/>
  <c r="FT91" i="2"/>
  <c r="EZ115" i="3" s="1"/>
  <c r="FS85" i="2"/>
  <c r="EY109" i="3" s="1"/>
  <c r="FP82" i="2"/>
  <c r="EV106" i="3" s="1"/>
  <c r="FP83" i="2"/>
  <c r="EV107" i="3" s="1"/>
  <c r="FS75" i="2"/>
  <c r="EY99" i="3" s="1"/>
  <c r="FR77" i="2"/>
  <c r="EX101" i="3" s="1"/>
  <c r="FS74" i="2"/>
  <c r="EY98" i="3" s="1"/>
  <c r="FS78" i="2"/>
  <c r="EY102" i="3" s="1"/>
  <c r="FP81" i="2"/>
  <c r="EV105" i="3" s="1"/>
  <c r="FT86" i="2"/>
  <c r="EZ110" i="3" s="1"/>
  <c r="FT83" i="2"/>
  <c r="EZ107" i="3" s="1"/>
  <c r="FT89" i="2"/>
  <c r="EZ113" i="3" s="1"/>
  <c r="FQ83" i="2"/>
  <c r="EW107" i="3" s="1"/>
  <c r="AA27" i="5"/>
  <c r="AV16" i="39"/>
  <c r="AA53" i="5"/>
  <c r="AB27" i="5"/>
  <c r="BG16" i="39"/>
  <c r="AB53" i="5"/>
  <c r="Z27" i="5"/>
  <c r="AK16" i="39"/>
  <c r="Z53" i="5"/>
  <c r="Y27" i="5"/>
  <c r="AA16" i="39"/>
  <c r="Y53" i="5"/>
  <c r="W52" i="5"/>
  <c r="W26" i="5"/>
  <c r="X27" i="5"/>
  <c r="X53" i="5"/>
  <c r="AH46" i="7" l="1"/>
  <c r="O180" i="33"/>
  <c r="Q180" i="33" s="1"/>
  <c r="O192" i="33"/>
  <c r="Q192" i="33" s="1"/>
  <c r="O169" i="33"/>
  <c r="Q169" i="33" s="1"/>
  <c r="BF19" i="39" s="1"/>
  <c r="K169" i="32"/>
  <c r="M169" i="32" s="1"/>
  <c r="AU19" i="39" s="1"/>
  <c r="F193" i="33"/>
  <c r="L193" i="33" s="1"/>
  <c r="L181" i="33"/>
  <c r="I181" i="32"/>
  <c r="E193" i="32"/>
  <c r="I193" i="32" s="1"/>
  <c r="S180" i="31"/>
  <c r="S192" i="31"/>
  <c r="K180" i="32"/>
  <c r="M180" i="32" s="1"/>
  <c r="K192" i="32"/>
  <c r="M192" i="32" s="1"/>
  <c r="S169" i="31"/>
  <c r="I193" i="31"/>
  <c r="Q193" i="31" s="1"/>
  <c r="Q181" i="31"/>
  <c r="DL6" i="39"/>
  <c r="C18" i="73" s="1"/>
  <c r="AQ18" i="40"/>
  <c r="AR18" i="40" s="1"/>
  <c r="AV18" i="40" s="1"/>
  <c r="C65" i="73" s="1"/>
  <c r="DL7" i="39"/>
  <c r="D18" i="73" s="1"/>
  <c r="AQ19" i="40"/>
  <c r="AR19" i="40" s="1"/>
  <c r="AV19" i="40" s="1"/>
  <c r="D65" i="73" s="1"/>
  <c r="DL8" i="39"/>
  <c r="E18" i="73" s="1"/>
  <c r="AQ20" i="40"/>
  <c r="AR20" i="40" s="1"/>
  <c r="AV20" i="40" s="1"/>
  <c r="E65" i="73" s="1"/>
  <c r="AY12" i="39"/>
  <c r="I7" i="73" s="1"/>
  <c r="K24" i="40"/>
  <c r="Q13" i="39"/>
  <c r="J4" i="44"/>
  <c r="J119" i="44" s="1"/>
  <c r="Q14" i="39"/>
  <c r="K4" i="44"/>
  <c r="D49" i="37"/>
  <c r="FZ29" i="2"/>
  <c r="FC53" i="3" s="1"/>
  <c r="D26" i="25"/>
  <c r="T26" i="25" s="1"/>
  <c r="U26" i="25" s="1"/>
  <c r="D26" i="36"/>
  <c r="BI42" i="14"/>
  <c r="H42" i="14"/>
  <c r="BS44" i="14"/>
  <c r="BW42" i="14"/>
  <c r="D42" i="14"/>
  <c r="AH42" i="14"/>
  <c r="D5" i="25"/>
  <c r="T5" i="25" s="1"/>
  <c r="U5" i="25" s="1"/>
  <c r="D38" i="37"/>
  <c r="D16" i="25"/>
  <c r="T16" i="25" s="1"/>
  <c r="U16" i="25" s="1"/>
  <c r="M95" i="37"/>
  <c r="BJ13" i="39"/>
  <c r="J8" i="73" s="1"/>
  <c r="AA13" i="39"/>
  <c r="AD110" i="2"/>
  <c r="AT15" i="39" s="1"/>
  <c r="AS15" i="39"/>
  <c r="AV15" i="39" s="1"/>
  <c r="X110" i="2"/>
  <c r="FR110" i="2" s="1"/>
  <c r="EX134" i="3" s="1"/>
  <c r="AH15" i="39"/>
  <c r="AK15" i="39" s="1"/>
  <c r="L110" i="2"/>
  <c r="D110" i="19" s="1"/>
  <c r="N15" i="39"/>
  <c r="R110" i="2"/>
  <c r="D110" i="18" s="1"/>
  <c r="X15" i="39"/>
  <c r="AA15" i="39" s="1"/>
  <c r="AI110" i="2"/>
  <c r="BE15" i="39" s="1"/>
  <c r="BD15" i="39"/>
  <c r="BG15" i="39" s="1"/>
  <c r="D121" i="22"/>
  <c r="R121" i="22" s="1"/>
  <c r="S121" i="22" s="1"/>
  <c r="D121" i="33"/>
  <c r="D113" i="22"/>
  <c r="R113" i="22" s="1"/>
  <c r="S113" i="22" s="1"/>
  <c r="D113" i="33"/>
  <c r="D117" i="22"/>
  <c r="R117" i="22" s="1"/>
  <c r="S117" i="22" s="1"/>
  <c r="D117" i="33"/>
  <c r="D120" i="22"/>
  <c r="R120" i="22" s="1"/>
  <c r="S120" i="22" s="1"/>
  <c r="D120" i="33"/>
  <c r="D116" i="22"/>
  <c r="R116" i="22" s="1"/>
  <c r="S116" i="22" s="1"/>
  <c r="D116" i="33"/>
  <c r="D112" i="22"/>
  <c r="R112" i="22" s="1"/>
  <c r="S112" i="22" s="1"/>
  <c r="D112" i="33"/>
  <c r="D115" i="22"/>
  <c r="R115" i="22" s="1"/>
  <c r="S115" i="22" s="1"/>
  <c r="D115" i="33"/>
  <c r="D119" i="22"/>
  <c r="R119" i="22" s="1"/>
  <c r="S119" i="22" s="1"/>
  <c r="D119" i="33"/>
  <c r="D111" i="22"/>
  <c r="R111" i="22" s="1"/>
  <c r="S111" i="22" s="1"/>
  <c r="D111" i="33"/>
  <c r="D118" i="22"/>
  <c r="R118" i="22" s="1"/>
  <c r="S118" i="22" s="1"/>
  <c r="D118" i="33"/>
  <c r="D114" i="22"/>
  <c r="R114" i="22" s="1"/>
  <c r="S114" i="22" s="1"/>
  <c r="D114" i="33"/>
  <c r="D111" i="21"/>
  <c r="N111" i="21" s="1"/>
  <c r="O111" i="21" s="1"/>
  <c r="D111" i="32"/>
  <c r="D118" i="21"/>
  <c r="N118" i="21" s="1"/>
  <c r="O118" i="21" s="1"/>
  <c r="D118" i="32"/>
  <c r="D114" i="21"/>
  <c r="N114" i="21" s="1"/>
  <c r="O114" i="21" s="1"/>
  <c r="D114" i="32"/>
  <c r="D113" i="21"/>
  <c r="N113" i="21" s="1"/>
  <c r="O113" i="21" s="1"/>
  <c r="D113" i="32"/>
  <c r="D117" i="21"/>
  <c r="N117" i="21" s="1"/>
  <c r="O117" i="21" s="1"/>
  <c r="D117" i="32"/>
  <c r="D120" i="21"/>
  <c r="N120" i="21" s="1"/>
  <c r="O120" i="21" s="1"/>
  <c r="D120" i="32"/>
  <c r="D116" i="21"/>
  <c r="N116" i="21" s="1"/>
  <c r="O116" i="21" s="1"/>
  <c r="D116" i="32"/>
  <c r="D112" i="21"/>
  <c r="N112" i="21" s="1"/>
  <c r="O112" i="21" s="1"/>
  <c r="D112" i="32"/>
  <c r="D121" i="21"/>
  <c r="N121" i="21" s="1"/>
  <c r="O121" i="21" s="1"/>
  <c r="D121" i="32"/>
  <c r="D119" i="21"/>
  <c r="N119" i="21" s="1"/>
  <c r="O119" i="21" s="1"/>
  <c r="D119" i="32"/>
  <c r="D115" i="21"/>
  <c r="N115" i="21" s="1"/>
  <c r="O115" i="21" s="1"/>
  <c r="D115" i="32"/>
  <c r="FR120" i="2"/>
  <c r="EX144" i="3" s="1"/>
  <c r="D120" i="20"/>
  <c r="FR116" i="2"/>
  <c r="EX140" i="3" s="1"/>
  <c r="D116" i="20"/>
  <c r="FR118" i="2"/>
  <c r="EX142" i="3" s="1"/>
  <c r="D118" i="20"/>
  <c r="FR121" i="2"/>
  <c r="EX145" i="3" s="1"/>
  <c r="D121" i="20"/>
  <c r="FR114" i="2"/>
  <c r="EX138" i="3" s="1"/>
  <c r="D114" i="20"/>
  <c r="FR111" i="2"/>
  <c r="EX135" i="3" s="1"/>
  <c r="D111" i="20"/>
  <c r="FR117" i="2"/>
  <c r="EX141" i="3" s="1"/>
  <c r="D117" i="20"/>
  <c r="FR113" i="2"/>
  <c r="EX137" i="3" s="1"/>
  <c r="D113" i="20"/>
  <c r="FR119" i="2"/>
  <c r="EX143" i="3" s="1"/>
  <c r="D119" i="20"/>
  <c r="FR112" i="2"/>
  <c r="EX136" i="3" s="1"/>
  <c r="D112" i="20"/>
  <c r="FR115" i="2"/>
  <c r="EX139" i="3" s="1"/>
  <c r="D115" i="20"/>
  <c r="FQ116" i="2"/>
  <c r="EW140" i="3" s="1"/>
  <c r="D116" i="18"/>
  <c r="FQ112" i="2"/>
  <c r="EW136" i="3" s="1"/>
  <c r="D112" i="18"/>
  <c r="FQ119" i="2"/>
  <c r="EW143" i="3" s="1"/>
  <c r="D119" i="18"/>
  <c r="FQ115" i="2"/>
  <c r="EW139" i="3" s="1"/>
  <c r="D115" i="18"/>
  <c r="FQ118" i="2"/>
  <c r="EW142" i="3" s="1"/>
  <c r="D118" i="18"/>
  <c r="FQ113" i="2"/>
  <c r="EW137" i="3" s="1"/>
  <c r="D113" i="18"/>
  <c r="FQ121" i="2"/>
  <c r="EW145" i="3" s="1"/>
  <c r="D121" i="18"/>
  <c r="FQ114" i="2"/>
  <c r="EW138" i="3" s="1"/>
  <c r="D114" i="18"/>
  <c r="FQ120" i="2"/>
  <c r="EW144" i="3" s="1"/>
  <c r="D120" i="18"/>
  <c r="FQ111" i="2"/>
  <c r="EW135" i="3" s="1"/>
  <c r="D111" i="18"/>
  <c r="FQ117" i="2"/>
  <c r="EW141" i="3" s="1"/>
  <c r="D117" i="18"/>
  <c r="FP117" i="2"/>
  <c r="EV141" i="3" s="1"/>
  <c r="D117" i="19"/>
  <c r="FP112" i="2"/>
  <c r="EV136" i="3" s="1"/>
  <c r="D112" i="19"/>
  <c r="FP115" i="2"/>
  <c r="EV139" i="3" s="1"/>
  <c r="D115" i="19"/>
  <c r="FP120" i="2"/>
  <c r="EV144" i="3" s="1"/>
  <c r="D120" i="19"/>
  <c r="FP113" i="2"/>
  <c r="EV137" i="3" s="1"/>
  <c r="D113" i="19"/>
  <c r="FP119" i="2"/>
  <c r="EV143" i="3" s="1"/>
  <c r="D119" i="19"/>
  <c r="FP118" i="2"/>
  <c r="EV142" i="3" s="1"/>
  <c r="D118" i="19"/>
  <c r="FP116" i="2"/>
  <c r="EV140" i="3" s="1"/>
  <c r="D116" i="19"/>
  <c r="FP121" i="2"/>
  <c r="EV145" i="3" s="1"/>
  <c r="D121" i="19"/>
  <c r="FP111" i="2"/>
  <c r="EV135" i="3" s="1"/>
  <c r="D111" i="19"/>
  <c r="FP114" i="2"/>
  <c r="EV138" i="3" s="1"/>
  <c r="D114" i="19"/>
  <c r="AF111" i="2"/>
  <c r="FS111" i="2"/>
  <c r="EY135" i="3" s="1"/>
  <c r="AF118" i="2"/>
  <c r="FS118" i="2"/>
  <c r="EY142" i="3" s="1"/>
  <c r="AF114" i="2"/>
  <c r="FS114" i="2"/>
  <c r="EY138" i="3" s="1"/>
  <c r="AK121" i="2"/>
  <c r="FT121" i="2"/>
  <c r="EZ145" i="3" s="1"/>
  <c r="AK113" i="2"/>
  <c r="FT113" i="2"/>
  <c r="EZ137" i="3" s="1"/>
  <c r="AK117" i="2"/>
  <c r="FT117" i="2"/>
  <c r="EZ141" i="3" s="1"/>
  <c r="AK120" i="2"/>
  <c r="FT120" i="2"/>
  <c r="EZ144" i="3" s="1"/>
  <c r="AF113" i="2"/>
  <c r="FS113" i="2"/>
  <c r="EY137" i="3" s="1"/>
  <c r="AK116" i="2"/>
  <c r="FT116" i="2"/>
  <c r="EZ140" i="3" s="1"/>
  <c r="AF117" i="2"/>
  <c r="FS117" i="2"/>
  <c r="EY141" i="3" s="1"/>
  <c r="AK112" i="2"/>
  <c r="FT112" i="2"/>
  <c r="EZ136" i="3" s="1"/>
  <c r="AF120" i="2"/>
  <c r="FS120" i="2"/>
  <c r="EY144" i="3" s="1"/>
  <c r="AK115" i="2"/>
  <c r="FT115" i="2"/>
  <c r="EZ139" i="3" s="1"/>
  <c r="AF116" i="2"/>
  <c r="FS116" i="2"/>
  <c r="EY140" i="3" s="1"/>
  <c r="AK119" i="2"/>
  <c r="FT119" i="2"/>
  <c r="EZ143" i="3" s="1"/>
  <c r="AF112" i="2"/>
  <c r="FS112" i="2"/>
  <c r="EY136" i="3" s="1"/>
  <c r="AK111" i="2"/>
  <c r="FT111" i="2"/>
  <c r="EZ135" i="3" s="1"/>
  <c r="AF121" i="2"/>
  <c r="FS121" i="2"/>
  <c r="EY145" i="3" s="1"/>
  <c r="AK118" i="2"/>
  <c r="FT118" i="2"/>
  <c r="EZ142" i="3" s="1"/>
  <c r="AF119" i="2"/>
  <c r="FS119" i="2"/>
  <c r="EY143" i="3" s="1"/>
  <c r="AK114" i="2"/>
  <c r="FT114" i="2"/>
  <c r="EZ138" i="3" s="1"/>
  <c r="AF115" i="2"/>
  <c r="FS115" i="2"/>
  <c r="EY139" i="3" s="1"/>
  <c r="E110" i="2"/>
  <c r="E114" i="2"/>
  <c r="F114" i="2" s="1"/>
  <c r="D114" i="17" s="1"/>
  <c r="E111" i="2"/>
  <c r="F111" i="2" s="1"/>
  <c r="D111" i="17" s="1"/>
  <c r="E113" i="2"/>
  <c r="F113" i="2" s="1"/>
  <c r="D113" i="17" s="1"/>
  <c r="E117" i="2"/>
  <c r="F117" i="2" s="1"/>
  <c r="D117" i="17" s="1"/>
  <c r="E120" i="2"/>
  <c r="F120" i="2" s="1"/>
  <c r="D120" i="17" s="1"/>
  <c r="E115" i="2"/>
  <c r="F115" i="2" s="1"/>
  <c r="D115" i="17" s="1"/>
  <c r="E119" i="2"/>
  <c r="F119" i="2" s="1"/>
  <c r="D119" i="17" s="1"/>
  <c r="E112" i="2"/>
  <c r="F112" i="2" s="1"/>
  <c r="D112" i="17" s="1"/>
  <c r="E116" i="2"/>
  <c r="F116" i="2" s="1"/>
  <c r="D116" i="17" s="1"/>
  <c r="E121" i="2"/>
  <c r="F121" i="2" s="1"/>
  <c r="D121" i="17" s="1"/>
  <c r="E118" i="2"/>
  <c r="F118" i="2" s="1"/>
  <c r="D118" i="17" s="1"/>
  <c r="J83" i="7"/>
  <c r="AG80" i="7" s="1"/>
  <c r="AL27" i="7"/>
  <c r="AP9" i="7"/>
  <c r="AO27" i="7"/>
  <c r="G85" i="7"/>
  <c r="AM27" i="7"/>
  <c r="H85" i="7"/>
  <c r="AN27" i="7"/>
  <c r="F84" i="7"/>
  <c r="AL26" i="7"/>
  <c r="AN26" i="7"/>
  <c r="AJ26" i="7"/>
  <c r="AO26" i="7"/>
  <c r="AM26" i="7"/>
  <c r="E85" i="7"/>
  <c r="AK27" i="7"/>
  <c r="AJ27" i="7"/>
  <c r="AK26" i="7"/>
  <c r="AQ7" i="7"/>
  <c r="AP25" i="7"/>
  <c r="H53" i="11"/>
  <c r="D5" i="36"/>
  <c r="D18" i="37"/>
  <c r="D19" i="26"/>
  <c r="P19" i="26" s="1"/>
  <c r="Q19" i="26" s="1"/>
  <c r="D15" i="25"/>
  <c r="T15" i="25" s="1"/>
  <c r="U15" i="25" s="1"/>
  <c r="D4" i="36"/>
  <c r="FZ4" i="2"/>
  <c r="FC28" i="3" s="1"/>
  <c r="FD59" i="3"/>
  <c r="FD83" i="3"/>
  <c r="FD95" i="3"/>
  <c r="FD35" i="3"/>
  <c r="FD108" i="3"/>
  <c r="FD131" i="3"/>
  <c r="FD119" i="3"/>
  <c r="FD47" i="3"/>
  <c r="FD71" i="3"/>
  <c r="AB81" i="10"/>
  <c r="AA14" i="14"/>
  <c r="AB82" i="51"/>
  <c r="AB83" i="51"/>
  <c r="D30" i="25"/>
  <c r="T30" i="25" s="1"/>
  <c r="U30" i="25" s="1"/>
  <c r="D3" i="36"/>
  <c r="FZ28" i="2"/>
  <c r="FC52" i="3" s="1"/>
  <c r="D25" i="37"/>
  <c r="D29" i="36"/>
  <c r="D16" i="36"/>
  <c r="D3" i="25"/>
  <c r="T3" i="25" s="1"/>
  <c r="U3" i="25" s="1"/>
  <c r="FZ30" i="2"/>
  <c r="FC54" i="3" s="1"/>
  <c r="D28" i="36"/>
  <c r="FC39" i="3"/>
  <c r="FC50" i="3"/>
  <c r="EX71" i="3"/>
  <c r="EW35" i="3"/>
  <c r="EX47" i="3"/>
  <c r="FA47" i="3"/>
  <c r="FA71" i="3"/>
  <c r="EV71" i="3"/>
  <c r="EY35" i="3"/>
  <c r="EV48" i="3"/>
  <c r="FB71" i="3"/>
  <c r="FC40" i="3"/>
  <c r="D15" i="36"/>
  <c r="EV35" i="3"/>
  <c r="EV59" i="3"/>
  <c r="EY83" i="3"/>
  <c r="EZ47" i="3"/>
  <c r="EX83" i="3"/>
  <c r="FC27" i="3"/>
  <c r="FB83" i="3"/>
  <c r="FA59" i="3"/>
  <c r="EV83" i="3"/>
  <c r="FC35" i="3"/>
  <c r="FC29" i="3"/>
  <c r="EZ59" i="3"/>
  <c r="EW71" i="3"/>
  <c r="EZ35" i="3"/>
  <c r="EZ71" i="3"/>
  <c r="FC71" i="3"/>
  <c r="EY71" i="3"/>
  <c r="EW59" i="3"/>
  <c r="EZ83" i="3"/>
  <c r="FA83" i="3"/>
  <c r="FA35" i="3"/>
  <c r="EW47" i="3"/>
  <c r="FB47" i="3"/>
  <c r="FC45" i="3"/>
  <c r="FB35" i="3"/>
  <c r="EY47" i="3"/>
  <c r="EX59" i="3"/>
  <c r="EU59" i="3"/>
  <c r="EY59" i="3"/>
  <c r="EW83" i="3"/>
  <c r="EX35" i="3"/>
  <c r="EU35" i="3"/>
  <c r="FB59" i="3"/>
  <c r="EU47" i="3"/>
  <c r="FC74" i="3"/>
  <c r="FC61" i="3"/>
  <c r="D99" i="22"/>
  <c r="D91" i="20"/>
  <c r="D97" i="32"/>
  <c r="D105" i="22"/>
  <c r="D87" i="20"/>
  <c r="D108" i="32"/>
  <c r="D101" i="22"/>
  <c r="D89" i="31"/>
  <c r="D92" i="20"/>
  <c r="D103" i="32"/>
  <c r="D104" i="22"/>
  <c r="D105" i="32"/>
  <c r="D95" i="20"/>
  <c r="FS94" i="2"/>
  <c r="EY118" i="3" s="1"/>
  <c r="D102" i="32"/>
  <c r="D102" i="22"/>
  <c r="D101" i="32"/>
  <c r="D90" i="20"/>
  <c r="D87" i="32"/>
  <c r="D99" i="32"/>
  <c r="D103" i="22"/>
  <c r="D107" i="22"/>
  <c r="D108" i="22"/>
  <c r="D100" i="32"/>
  <c r="D97" i="20"/>
  <c r="D104" i="32"/>
  <c r="D107" i="32"/>
  <c r="D100" i="22"/>
  <c r="D86" i="20"/>
  <c r="D89" i="18"/>
  <c r="D88" i="30"/>
  <c r="D96" i="18"/>
  <c r="D88" i="32"/>
  <c r="D90" i="18"/>
  <c r="D109" i="32"/>
  <c r="D106" i="32"/>
  <c r="D92" i="18"/>
  <c r="D97" i="18"/>
  <c r="D91" i="18"/>
  <c r="D88" i="20"/>
  <c r="D106" i="22"/>
  <c r="AF89" i="2"/>
  <c r="AW14" i="39"/>
  <c r="K26" i="40" s="1"/>
  <c r="BH14" i="39"/>
  <c r="AW13" i="39"/>
  <c r="K25" i="40" s="1"/>
  <c r="N142" i="51"/>
  <c r="O146" i="51"/>
  <c r="L143" i="10"/>
  <c r="M147" i="10"/>
  <c r="M151" i="10" s="1"/>
  <c r="M142" i="10"/>
  <c r="AF10" i="27"/>
  <c r="FS89" i="2"/>
  <c r="EY113" i="3" s="1"/>
  <c r="M23" i="26"/>
  <c r="O23" i="26" s="1"/>
  <c r="M107" i="37"/>
  <c r="O107" i="37" s="1"/>
  <c r="M84" i="37"/>
  <c r="O84" i="37" s="1"/>
  <c r="M84" i="26"/>
  <c r="O84" i="26" s="1"/>
  <c r="M35" i="26"/>
  <c r="O35" i="26" s="1"/>
  <c r="M107" i="26"/>
  <c r="O107" i="26" s="1"/>
  <c r="M35" i="37"/>
  <c r="O35" i="37" s="1"/>
  <c r="M59" i="26"/>
  <c r="O59" i="26" s="1"/>
  <c r="M59" i="37"/>
  <c r="O59" i="37" s="1"/>
  <c r="M23" i="37"/>
  <c r="O23" i="37" s="1"/>
  <c r="M71" i="26"/>
  <c r="O71" i="26" s="1"/>
  <c r="M11" i="26"/>
  <c r="O11" i="26" s="1"/>
  <c r="M71" i="37"/>
  <c r="O71" i="37" s="1"/>
  <c r="M11" i="37"/>
  <c r="O11" i="37" s="1"/>
  <c r="M95" i="26"/>
  <c r="O95" i="26" s="1"/>
  <c r="M47" i="26"/>
  <c r="O47" i="26" s="1"/>
  <c r="M47" i="37"/>
  <c r="O47" i="37" s="1"/>
  <c r="D88" i="31"/>
  <c r="FR88" i="2"/>
  <c r="EX112" i="3" s="1"/>
  <c r="D94" i="29"/>
  <c r="FP94" i="2"/>
  <c r="EV118" i="3" s="1"/>
  <c r="D89" i="21"/>
  <c r="FQ97" i="2"/>
  <c r="EW121" i="3" s="1"/>
  <c r="FQ90" i="2"/>
  <c r="EW114" i="3" s="1"/>
  <c r="FR86" i="2"/>
  <c r="EX110" i="3" s="1"/>
  <c r="FP97" i="2"/>
  <c r="EV121" i="3" s="1"/>
  <c r="FS93" i="2"/>
  <c r="EY117" i="3" s="1"/>
  <c r="D97" i="29"/>
  <c r="D89" i="32"/>
  <c r="D94" i="19"/>
  <c r="D97" i="30"/>
  <c r="D92" i="30"/>
  <c r="D91" i="29"/>
  <c r="FQ86" i="2"/>
  <c r="EW110" i="3" s="1"/>
  <c r="FP93" i="2"/>
  <c r="EV117" i="3" s="1"/>
  <c r="D86" i="30"/>
  <c r="D96" i="30"/>
  <c r="D97" i="19"/>
  <c r="O72" i="21"/>
  <c r="O70" i="21"/>
  <c r="O71" i="21"/>
  <c r="O65" i="21"/>
  <c r="O67" i="21"/>
  <c r="O64" i="21"/>
  <c r="O68" i="21"/>
  <c r="O69" i="21"/>
  <c r="O73" i="21"/>
  <c r="O63" i="21"/>
  <c r="O66" i="21"/>
  <c r="O62" i="21"/>
  <c r="FQ89" i="2"/>
  <c r="EW113" i="3" s="1"/>
  <c r="D89" i="30"/>
  <c r="D86" i="18"/>
  <c r="D90" i="30"/>
  <c r="D96" i="29"/>
  <c r="FQ92" i="2"/>
  <c r="EW116" i="3" s="1"/>
  <c r="FP87" i="2"/>
  <c r="EV111" i="3" s="1"/>
  <c r="FR97" i="2"/>
  <c r="EX121" i="3" s="1"/>
  <c r="D97" i="31"/>
  <c r="D86" i="31"/>
  <c r="FQ95" i="2"/>
  <c r="EW119" i="3" s="1"/>
  <c r="AF93" i="2"/>
  <c r="FS90" i="2"/>
  <c r="EY114" i="3" s="1"/>
  <c r="D93" i="21"/>
  <c r="AB84" i="51"/>
  <c r="AG12" i="14"/>
  <c r="AH13" i="14" s="1"/>
  <c r="FS84" i="2"/>
  <c r="EY108" i="3" s="1"/>
  <c r="C12" i="14"/>
  <c r="D13" i="14" s="1"/>
  <c r="FP84" i="2"/>
  <c r="EV108" i="3" s="1"/>
  <c r="FR84" i="2"/>
  <c r="EX108" i="3" s="1"/>
  <c r="FQ96" i="2"/>
  <c r="EW120" i="3" s="1"/>
  <c r="AB85" i="51"/>
  <c r="AT11" i="14"/>
  <c r="BB11" i="14"/>
  <c r="BC12" i="14" s="1"/>
  <c r="FT84" i="2"/>
  <c r="EZ108" i="3" s="1"/>
  <c r="FS96" i="2"/>
  <c r="EY120" i="3" s="1"/>
  <c r="AX11" i="14"/>
  <c r="BN11" i="14"/>
  <c r="BR11" i="14"/>
  <c r="FQ84" i="2"/>
  <c r="EW108" i="3" s="1"/>
  <c r="G12" i="14"/>
  <c r="H13" i="14" s="1"/>
  <c r="G43" i="14"/>
  <c r="D89" i="29"/>
  <c r="FS88" i="2"/>
  <c r="EY112" i="3" s="1"/>
  <c r="D103" i="29"/>
  <c r="D109" i="29"/>
  <c r="D106" i="29"/>
  <c r="D102" i="29"/>
  <c r="D104" i="29"/>
  <c r="D107" i="29"/>
  <c r="D99" i="29"/>
  <c r="D100" i="29"/>
  <c r="D105" i="29"/>
  <c r="D101" i="29"/>
  <c r="D108" i="29"/>
  <c r="FS86" i="2"/>
  <c r="EY110" i="3" s="1"/>
  <c r="D88" i="21"/>
  <c r="AF88" i="2"/>
  <c r="D93" i="32"/>
  <c r="D95" i="30"/>
  <c r="FP89" i="2"/>
  <c r="EV113" i="3" s="1"/>
  <c r="AB80" i="10"/>
  <c r="AB82" i="10"/>
  <c r="D68" i="17"/>
  <c r="FS95" i="2"/>
  <c r="EY119" i="3" s="1"/>
  <c r="D93" i="19"/>
  <c r="D93" i="29"/>
  <c r="FP91" i="2"/>
  <c r="EV115" i="3" s="1"/>
  <c r="FT98" i="2"/>
  <c r="EZ122" i="3" s="1"/>
  <c r="D98" i="22"/>
  <c r="R98" i="22" s="1"/>
  <c r="S98" i="22" s="1"/>
  <c r="D87" i="29"/>
  <c r="W53" i="11"/>
  <c r="D97" i="21"/>
  <c r="FS97" i="2"/>
  <c r="EY121" i="3" s="1"/>
  <c r="D91" i="19"/>
  <c r="D92" i="31"/>
  <c r="D96" i="21"/>
  <c r="AF97" i="2"/>
  <c r="AF86" i="2"/>
  <c r="D87" i="19"/>
  <c r="BY26" i="2"/>
  <c r="BY13" i="2"/>
  <c r="BY59" i="2"/>
  <c r="BY49" i="2"/>
  <c r="BY25" i="2"/>
  <c r="BT28" i="2"/>
  <c r="BT35" i="2"/>
  <c r="BY3" i="2"/>
  <c r="BY53" i="2"/>
  <c r="BY9" i="2"/>
  <c r="BY56" i="2"/>
  <c r="BY29" i="2"/>
  <c r="P18" i="26"/>
  <c r="Q18" i="26" s="1"/>
  <c r="BY6" i="2"/>
  <c r="BT17" i="2"/>
  <c r="BY12" i="2"/>
  <c r="T37" i="25"/>
  <c r="U37" i="25" s="1"/>
  <c r="BT26" i="2"/>
  <c r="BT29" i="2"/>
  <c r="BY31" i="2"/>
  <c r="BY5" i="2"/>
  <c r="D21" i="37"/>
  <c r="BY57" i="2"/>
  <c r="BY30" i="2"/>
  <c r="BY32" i="2"/>
  <c r="BY38" i="2"/>
  <c r="P49" i="26"/>
  <c r="Q49" i="26" s="1"/>
  <c r="FZ59" i="2"/>
  <c r="P39" i="26"/>
  <c r="Q39" i="26" s="1"/>
  <c r="BY60" i="2"/>
  <c r="BY37" i="2"/>
  <c r="T11" i="25"/>
  <c r="U11" i="25" s="1"/>
  <c r="P21" i="26"/>
  <c r="Q21" i="26" s="1"/>
  <c r="BY61" i="2"/>
  <c r="T4" i="25"/>
  <c r="U4" i="25" s="1"/>
  <c r="BT2" i="2"/>
  <c r="BY58" i="2"/>
  <c r="BY8" i="2"/>
  <c r="BY51" i="2"/>
  <c r="BY27" i="2"/>
  <c r="BT5" i="2"/>
  <c r="BT4" i="2"/>
  <c r="BT30" i="2"/>
  <c r="BY19" i="2"/>
  <c r="P52" i="26"/>
  <c r="Q52" i="26" s="1"/>
  <c r="BT22" i="2"/>
  <c r="BY28" i="2"/>
  <c r="BY4" i="2"/>
  <c r="BY54" i="2"/>
  <c r="T21" i="25"/>
  <c r="U21" i="25" s="1"/>
  <c r="BY10" i="2"/>
  <c r="BT15" i="2"/>
  <c r="BT16" i="2"/>
  <c r="BT6" i="2"/>
  <c r="BY36" i="2"/>
  <c r="P25" i="26"/>
  <c r="Q25" i="26" s="1"/>
  <c r="BY11" i="2"/>
  <c r="BY2" i="2"/>
  <c r="BY55" i="2"/>
  <c r="BY50" i="2"/>
  <c r="BY35" i="2"/>
  <c r="BY34" i="2"/>
  <c r="T29" i="25"/>
  <c r="U29" i="25" s="1"/>
  <c r="BY33" i="2"/>
  <c r="BY7" i="2"/>
  <c r="T28" i="25"/>
  <c r="U28" i="25" s="1"/>
  <c r="BT3" i="2"/>
  <c r="BY18" i="2"/>
  <c r="AF96" i="2"/>
  <c r="D90" i="21"/>
  <c r="D86" i="21"/>
  <c r="D90" i="32"/>
  <c r="AF90" i="2"/>
  <c r="D96" i="32"/>
  <c r="FQ91" i="2"/>
  <c r="EW115" i="3" s="1"/>
  <c r="D95" i="32"/>
  <c r="D91" i="30"/>
  <c r="D95" i="21"/>
  <c r="AF95" i="2"/>
  <c r="D88" i="29"/>
  <c r="FP88" i="2"/>
  <c r="EV112" i="3" s="1"/>
  <c r="D86" i="32"/>
  <c r="D89" i="19"/>
  <c r="FP92" i="2"/>
  <c r="EV116" i="3" s="1"/>
  <c r="FP95" i="2"/>
  <c r="EV119" i="3" s="1"/>
  <c r="D96" i="19"/>
  <c r="D88" i="18"/>
  <c r="FP96" i="2"/>
  <c r="EV120" i="3" s="1"/>
  <c r="FQ88" i="2"/>
  <c r="EW112" i="3" s="1"/>
  <c r="FS87" i="2"/>
  <c r="EY111" i="3" s="1"/>
  <c r="D87" i="21"/>
  <c r="D95" i="18"/>
  <c r="AF87" i="2"/>
  <c r="D92" i="19"/>
  <c r="D92" i="29"/>
  <c r="FR92" i="2"/>
  <c r="EX116" i="3" s="1"/>
  <c r="D73" i="17"/>
  <c r="FR96" i="2"/>
  <c r="EX120" i="3" s="1"/>
  <c r="D62" i="17"/>
  <c r="D96" i="20"/>
  <c r="FR91" i="2"/>
  <c r="EX115" i="3" s="1"/>
  <c r="D94" i="21"/>
  <c r="AF94" i="2"/>
  <c r="D96" i="31"/>
  <c r="D94" i="32"/>
  <c r="D88" i="19"/>
  <c r="D93" i="30"/>
  <c r="FQ93" i="2"/>
  <c r="EW117" i="3" s="1"/>
  <c r="FR90" i="2"/>
  <c r="EX114" i="3" s="1"/>
  <c r="D72" i="17"/>
  <c r="D95" i="29"/>
  <c r="D70" i="17"/>
  <c r="FR95" i="2"/>
  <c r="EX119" i="3" s="1"/>
  <c r="D95" i="19"/>
  <c r="D67" i="17"/>
  <c r="D69" i="17"/>
  <c r="D90" i="31"/>
  <c r="D95" i="31"/>
  <c r="D65" i="17"/>
  <c r="D64" i="17"/>
  <c r="D93" i="18"/>
  <c r="D81" i="17"/>
  <c r="FR87" i="2"/>
  <c r="EX111" i="3" s="1"/>
  <c r="D89" i="20"/>
  <c r="D87" i="31"/>
  <c r="D91" i="31"/>
  <c r="FR89" i="2"/>
  <c r="EX113" i="3" s="1"/>
  <c r="D90" i="17"/>
  <c r="D102" i="33"/>
  <c r="D106" i="33"/>
  <c r="D99" i="33"/>
  <c r="D98" i="33"/>
  <c r="D109" i="33"/>
  <c r="D108" i="33"/>
  <c r="D100" i="33"/>
  <c r="D101" i="33"/>
  <c r="D105" i="33"/>
  <c r="D104" i="33"/>
  <c r="D107" i="33"/>
  <c r="D103" i="33"/>
  <c r="D91" i="32"/>
  <c r="Y13" i="39"/>
  <c r="O13" i="39"/>
  <c r="D96" i="17"/>
  <c r="D74" i="17"/>
  <c r="D82" i="17"/>
  <c r="AT13" i="39"/>
  <c r="D80" i="17"/>
  <c r="D75" i="17"/>
  <c r="D79" i="17"/>
  <c r="D78" i="17"/>
  <c r="D97" i="17"/>
  <c r="D83" i="17"/>
  <c r="D94" i="17"/>
  <c r="D95" i="17"/>
  <c r="D92" i="17"/>
  <c r="D104" i="21"/>
  <c r="D109" i="20"/>
  <c r="D101" i="18"/>
  <c r="D109" i="18"/>
  <c r="D99" i="21"/>
  <c r="D100" i="21"/>
  <c r="D105" i="20"/>
  <c r="D107" i="21"/>
  <c r="D108" i="18"/>
  <c r="D85" i="17"/>
  <c r="D76" i="17"/>
  <c r="D99" i="18"/>
  <c r="D107" i="20"/>
  <c r="D106" i="18"/>
  <c r="D93" i="17"/>
  <c r="D103" i="20"/>
  <c r="D107" i="18"/>
  <c r="D109" i="21"/>
  <c r="D102" i="20"/>
  <c r="D100" i="20"/>
  <c r="D108" i="21"/>
  <c r="D105" i="21"/>
  <c r="D104" i="20"/>
  <c r="D87" i="17"/>
  <c r="D103" i="21"/>
  <c r="D106" i="21"/>
  <c r="D100" i="18"/>
  <c r="D101" i="21"/>
  <c r="D101" i="20"/>
  <c r="D108" i="20"/>
  <c r="D105" i="18"/>
  <c r="D104" i="18"/>
  <c r="D102" i="21"/>
  <c r="D102" i="18"/>
  <c r="D106" i="20"/>
  <c r="D88" i="17"/>
  <c r="D86" i="17"/>
  <c r="D84" i="17"/>
  <c r="D89" i="17"/>
  <c r="D103" i="18"/>
  <c r="D99" i="20"/>
  <c r="AK98" i="2"/>
  <c r="AI13" i="39"/>
  <c r="D77" i="17"/>
  <c r="D86" i="29"/>
  <c r="FP86" i="2"/>
  <c r="EV110" i="3" s="1"/>
  <c r="D86" i="19"/>
  <c r="D94" i="20"/>
  <c r="D94" i="31"/>
  <c r="FR94" i="2"/>
  <c r="EX118" i="3" s="1"/>
  <c r="AF91" i="2"/>
  <c r="D91" i="21"/>
  <c r="N91" i="21" s="1"/>
  <c r="O91" i="21" s="1"/>
  <c r="FS91" i="2"/>
  <c r="EY115" i="3" s="1"/>
  <c r="D94" i="18"/>
  <c r="FQ94" i="2"/>
  <c r="EW118" i="3" s="1"/>
  <c r="D94" i="30"/>
  <c r="D71" i="17"/>
  <c r="D106" i="19"/>
  <c r="D102" i="19"/>
  <c r="D104" i="19"/>
  <c r="D107" i="19"/>
  <c r="D99" i="19"/>
  <c r="D100" i="19"/>
  <c r="D105" i="19"/>
  <c r="D101" i="19"/>
  <c r="D103" i="19"/>
  <c r="D108" i="19"/>
  <c r="D109" i="19"/>
  <c r="R91" i="22"/>
  <c r="S91" i="22" s="1"/>
  <c r="AL10" i="27"/>
  <c r="BY22" i="2"/>
  <c r="BY42" i="2"/>
  <c r="D20" i="37"/>
  <c r="BY20" i="2"/>
  <c r="D48" i="26"/>
  <c r="BY48" i="2"/>
  <c r="BY47" i="2"/>
  <c r="BY40" i="2"/>
  <c r="BY44" i="2"/>
  <c r="BY15" i="2"/>
  <c r="BY43" i="2"/>
  <c r="BY24" i="2"/>
  <c r="BY41" i="2"/>
  <c r="BY16" i="2"/>
  <c r="D17" i="26"/>
  <c r="BY17" i="2"/>
  <c r="BY21" i="2"/>
  <c r="D45" i="37"/>
  <c r="BY45" i="2"/>
  <c r="BY23" i="2"/>
  <c r="BY46" i="2"/>
  <c r="R96" i="22"/>
  <c r="S96" i="22" s="1"/>
  <c r="N98" i="21"/>
  <c r="O98" i="21" s="1"/>
  <c r="D14" i="25"/>
  <c r="BT14" i="2"/>
  <c r="FZ10" i="2"/>
  <c r="BT10" i="2"/>
  <c r="BT32" i="2"/>
  <c r="D12" i="25"/>
  <c r="BT12" i="2"/>
  <c r="D8" i="25"/>
  <c r="BT8" i="2"/>
  <c r="FZ33" i="2"/>
  <c r="BT33" i="2"/>
  <c r="D48" i="37"/>
  <c r="BT9" i="2"/>
  <c r="BT20" i="2"/>
  <c r="FZ19" i="2"/>
  <c r="BT19" i="2"/>
  <c r="BT27" i="2"/>
  <c r="BT7" i="2"/>
  <c r="D24" i="25"/>
  <c r="BT24" i="2"/>
  <c r="FZ36" i="2"/>
  <c r="BT36" i="2"/>
  <c r="BT25" i="2"/>
  <c r="BT13" i="2"/>
  <c r="FZ23" i="2"/>
  <c r="BT23" i="2"/>
  <c r="BT18" i="2"/>
  <c r="BT34" i="2"/>
  <c r="D31" i="25"/>
  <c r="BT31" i="2"/>
  <c r="D40" i="26"/>
  <c r="D14" i="36"/>
  <c r="AK103" i="2"/>
  <c r="AK102" i="2"/>
  <c r="AK106" i="2"/>
  <c r="AK99" i="2"/>
  <c r="AK107" i="2"/>
  <c r="AK109" i="2"/>
  <c r="AK108" i="2"/>
  <c r="AK100" i="2"/>
  <c r="AK101" i="2"/>
  <c r="AK105" i="2"/>
  <c r="AK104" i="2"/>
  <c r="AF108" i="2"/>
  <c r="AF105" i="2"/>
  <c r="AF103" i="2"/>
  <c r="AF106" i="2"/>
  <c r="AF101" i="2"/>
  <c r="AF102" i="2"/>
  <c r="AF104" i="2"/>
  <c r="AF99" i="2"/>
  <c r="AF107" i="2"/>
  <c r="AF100" i="2"/>
  <c r="AF109" i="2"/>
  <c r="FR103" i="2"/>
  <c r="EX127" i="3" s="1"/>
  <c r="D107" i="31"/>
  <c r="D100" i="31"/>
  <c r="D102" i="31"/>
  <c r="D108" i="31"/>
  <c r="D104" i="31"/>
  <c r="FR106" i="2"/>
  <c r="EX130" i="3" s="1"/>
  <c r="D103" i="30"/>
  <c r="D101" i="30"/>
  <c r="D109" i="30"/>
  <c r="D106" i="30"/>
  <c r="D108" i="30"/>
  <c r="D107" i="30"/>
  <c r="D99" i="30"/>
  <c r="D100" i="30"/>
  <c r="D105" i="30"/>
  <c r="D104" i="30"/>
  <c r="D102" i="30"/>
  <c r="D24" i="37"/>
  <c r="D24" i="26"/>
  <c r="D15" i="37"/>
  <c r="D15" i="26"/>
  <c r="FZ14" i="2"/>
  <c r="D20" i="25"/>
  <c r="D20" i="36"/>
  <c r="D17" i="37"/>
  <c r="FZ20" i="2"/>
  <c r="E98" i="2"/>
  <c r="D22" i="37"/>
  <c r="D22" i="26"/>
  <c r="D40" i="37"/>
  <c r="D24" i="36"/>
  <c r="D10" i="36"/>
  <c r="D46" i="37"/>
  <c r="D23" i="37"/>
  <c r="D23" i="26"/>
  <c r="AJ18" i="7"/>
  <c r="E103" i="2"/>
  <c r="E100" i="2"/>
  <c r="E108" i="2"/>
  <c r="E101" i="2"/>
  <c r="E106" i="2"/>
  <c r="AM47" i="7"/>
  <c r="M178" i="5" s="1"/>
  <c r="M183" i="5" s="1"/>
  <c r="AJ48" i="7"/>
  <c r="AO47" i="7"/>
  <c r="AL49" i="7"/>
  <c r="F41" i="8" s="1"/>
  <c r="H41" i="8" s="1"/>
  <c r="AM18" i="7"/>
  <c r="E99" i="2"/>
  <c r="E107" i="2"/>
  <c r="E102" i="2"/>
  <c r="E105" i="2"/>
  <c r="AK47" i="7"/>
  <c r="AN47" i="7"/>
  <c r="M185" i="5" s="1"/>
  <c r="M186" i="5" s="1"/>
  <c r="AJ46" i="7"/>
  <c r="AJ47" i="7"/>
  <c r="D43" i="37"/>
  <c r="D43" i="26"/>
  <c r="AH49" i="7"/>
  <c r="O128" i="5" s="1"/>
  <c r="AI11" i="5" s="1"/>
  <c r="E109" i="2"/>
  <c r="E104" i="2"/>
  <c r="AL47" i="7"/>
  <c r="F39" i="8" s="1"/>
  <c r="H39" i="8" s="1"/>
  <c r="AI48" i="7"/>
  <c r="N140" i="5" s="1"/>
  <c r="C85" i="7"/>
  <c r="AH27" i="7"/>
  <c r="H84" i="7"/>
  <c r="AN46" i="7"/>
  <c r="L185" i="5" s="1"/>
  <c r="L189" i="5" s="1"/>
  <c r="AN49" i="7"/>
  <c r="O185" i="5" s="1"/>
  <c r="AH48" i="7"/>
  <c r="N128" i="5" s="1"/>
  <c r="AL46" i="7"/>
  <c r="L170" i="5" s="1"/>
  <c r="AP8" i="7"/>
  <c r="AP26" i="7" s="1"/>
  <c r="AO46" i="7"/>
  <c r="L191" i="5" s="1"/>
  <c r="AO48" i="7"/>
  <c r="N191" i="5" s="1"/>
  <c r="AO49" i="7"/>
  <c r="AI49" i="7"/>
  <c r="O140" i="5" s="1"/>
  <c r="G84" i="7"/>
  <c r="AM46" i="7"/>
  <c r="AM48" i="7"/>
  <c r="N178" i="5" s="1"/>
  <c r="AM49" i="7"/>
  <c r="O178" i="5" s="1"/>
  <c r="AI18" i="7"/>
  <c r="L128" i="5"/>
  <c r="AF11" i="5" s="1"/>
  <c r="F85" i="7"/>
  <c r="AH18" i="7"/>
  <c r="AN18" i="7"/>
  <c r="AJ49" i="7"/>
  <c r="E84" i="7"/>
  <c r="AK49" i="7"/>
  <c r="O161" i="5" s="1"/>
  <c r="AN48" i="7"/>
  <c r="N185" i="5" s="1"/>
  <c r="AL18" i="7"/>
  <c r="AK46" i="7"/>
  <c r="L161" i="5" s="1"/>
  <c r="AL48" i="7"/>
  <c r="AI47" i="7"/>
  <c r="M140" i="5" s="1"/>
  <c r="AR6" i="7"/>
  <c r="AR24" i="7" s="1"/>
  <c r="AK18" i="7"/>
  <c r="AI46" i="7"/>
  <c r="L140" i="5" s="1"/>
  <c r="AK48" i="7"/>
  <c r="N161" i="5" s="1"/>
  <c r="AI27" i="7"/>
  <c r="AH47" i="7"/>
  <c r="M128" i="5" s="1"/>
  <c r="FZ34" i="2"/>
  <c r="D34" i="25"/>
  <c r="D7" i="25"/>
  <c r="D7" i="36"/>
  <c r="FZ7" i="2"/>
  <c r="D31" i="36"/>
  <c r="D42" i="37"/>
  <c r="D42" i="26"/>
  <c r="DR7" i="39"/>
  <c r="FZ31" i="2"/>
  <c r="FZ27" i="2"/>
  <c r="D27" i="25"/>
  <c r="D44" i="37"/>
  <c r="D27" i="36"/>
  <c r="D44" i="26"/>
  <c r="D20" i="26"/>
  <c r="AG79" i="7"/>
  <c r="AH79" i="7"/>
  <c r="AI79" i="7"/>
  <c r="AJ79" i="7"/>
  <c r="AO18" i="7"/>
  <c r="D19" i="36"/>
  <c r="D32" i="36"/>
  <c r="D33" i="36"/>
  <c r="D46" i="26"/>
  <c r="D10" i="25"/>
  <c r="D33" i="25"/>
  <c r="D18" i="36"/>
  <c r="D19" i="25"/>
  <c r="FZ32" i="2"/>
  <c r="D34" i="36"/>
  <c r="D32" i="25"/>
  <c r="FZ9" i="2"/>
  <c r="D16" i="26"/>
  <c r="D16" i="37"/>
  <c r="D25" i="36"/>
  <c r="D25" i="25"/>
  <c r="D18" i="25"/>
  <c r="D8" i="36"/>
  <c r="DR9" i="39"/>
  <c r="FZ8" i="2"/>
  <c r="FZ25" i="2"/>
  <c r="D13" i="36"/>
  <c r="D13" i="25"/>
  <c r="FZ13" i="2"/>
  <c r="FZ18" i="2"/>
  <c r="D45" i="26"/>
  <c r="D9" i="36"/>
  <c r="D47" i="26"/>
  <c r="D12" i="36"/>
  <c r="D9" i="25"/>
  <c r="D47" i="37"/>
  <c r="D41" i="37"/>
  <c r="D41" i="26"/>
  <c r="DG7" i="39"/>
  <c r="FQ108" i="2"/>
  <c r="EW132" i="3" s="1"/>
  <c r="Q38" i="26"/>
  <c r="D56" i="26"/>
  <c r="D56" i="37"/>
  <c r="D54" i="36"/>
  <c r="FZ54" i="2"/>
  <c r="D54" i="25"/>
  <c r="FZ41" i="2"/>
  <c r="D41" i="36"/>
  <c r="D41" i="25"/>
  <c r="D45" i="25"/>
  <c r="D45" i="36"/>
  <c r="FZ45" i="2"/>
  <c r="D52" i="36"/>
  <c r="FZ52" i="2"/>
  <c r="D52" i="25"/>
  <c r="D59" i="25"/>
  <c r="D59" i="36"/>
  <c r="D31" i="26"/>
  <c r="D31" i="37"/>
  <c r="D36" i="25"/>
  <c r="D36" i="36"/>
  <c r="D56" i="25"/>
  <c r="FZ56" i="2"/>
  <c r="D56" i="36"/>
  <c r="D58" i="26"/>
  <c r="D58" i="37"/>
  <c r="FZ44" i="2"/>
  <c r="D44" i="25"/>
  <c r="D44" i="36"/>
  <c r="D12" i="37"/>
  <c r="D12" i="26"/>
  <c r="D23" i="25"/>
  <c r="D23" i="36"/>
  <c r="FZ43" i="2"/>
  <c r="D43" i="25"/>
  <c r="D43" i="36"/>
  <c r="FZ53" i="2"/>
  <c r="D53" i="36"/>
  <c r="D53" i="25"/>
  <c r="D35" i="36"/>
  <c r="D35" i="25"/>
  <c r="FZ35" i="2"/>
  <c r="D27" i="37"/>
  <c r="D27" i="26"/>
  <c r="FZ6" i="2"/>
  <c r="D6" i="36"/>
  <c r="D6" i="25"/>
  <c r="D57" i="37"/>
  <c r="D57" i="26"/>
  <c r="FZ42" i="2"/>
  <c r="D42" i="36"/>
  <c r="D42" i="25"/>
  <c r="D33" i="37"/>
  <c r="D33" i="26"/>
  <c r="D58" i="36"/>
  <c r="D58" i="25"/>
  <c r="FZ58" i="2"/>
  <c r="D61" i="37"/>
  <c r="D61" i="26"/>
  <c r="D36" i="37"/>
  <c r="D36" i="26"/>
  <c r="D59" i="26"/>
  <c r="D59" i="37"/>
  <c r="D35" i="37"/>
  <c r="D35" i="26"/>
  <c r="D26" i="26"/>
  <c r="P26" i="26" s="1"/>
  <c r="D26" i="37"/>
  <c r="DR8" i="39"/>
  <c r="FZ61" i="2"/>
  <c r="D61" i="25"/>
  <c r="D61" i="36"/>
  <c r="D37" i="26"/>
  <c r="D37" i="37"/>
  <c r="D29" i="37"/>
  <c r="D29" i="26"/>
  <c r="FZ51" i="2"/>
  <c r="D51" i="36"/>
  <c r="D51" i="25"/>
  <c r="D2" i="25"/>
  <c r="T2" i="25" s="1"/>
  <c r="FZ2" i="2"/>
  <c r="D2" i="36"/>
  <c r="DG6" i="39"/>
  <c r="D7" i="26"/>
  <c r="D7" i="37"/>
  <c r="D51" i="37"/>
  <c r="D51" i="26"/>
  <c r="FZ55" i="2"/>
  <c r="D55" i="36"/>
  <c r="D55" i="25"/>
  <c r="FZ17" i="2"/>
  <c r="D17" i="36"/>
  <c r="D17" i="25"/>
  <c r="D57" i="36"/>
  <c r="D57" i="25"/>
  <c r="FZ57" i="2"/>
  <c r="DG9" i="39"/>
  <c r="FZ38" i="2"/>
  <c r="D38" i="36"/>
  <c r="D38" i="25"/>
  <c r="D60" i="37"/>
  <c r="D60" i="26"/>
  <c r="FZ39" i="2"/>
  <c r="D39" i="36"/>
  <c r="D39" i="25"/>
  <c r="D46" i="25"/>
  <c r="D46" i="36"/>
  <c r="FZ46" i="2"/>
  <c r="D6" i="26"/>
  <c r="D6" i="37"/>
  <c r="D8" i="37"/>
  <c r="D8" i="26"/>
  <c r="D28" i="26"/>
  <c r="D28" i="37"/>
  <c r="D2" i="37"/>
  <c r="D2" i="26"/>
  <c r="P2" i="26" s="1"/>
  <c r="DR6" i="39"/>
  <c r="D40" i="36"/>
  <c r="FZ40" i="2"/>
  <c r="D40" i="25"/>
  <c r="D54" i="26"/>
  <c r="D54" i="37"/>
  <c r="D55" i="37"/>
  <c r="D55" i="26"/>
  <c r="AI26" i="7"/>
  <c r="D95" i="7"/>
  <c r="D9" i="37"/>
  <c r="D9" i="26"/>
  <c r="AH26" i="7"/>
  <c r="D3" i="37"/>
  <c r="D3" i="26"/>
  <c r="D4" i="26"/>
  <c r="D4" i="37"/>
  <c r="D34" i="37"/>
  <c r="D34" i="26"/>
  <c r="D32" i="37"/>
  <c r="D32" i="26"/>
  <c r="DG8" i="39"/>
  <c r="D10" i="37"/>
  <c r="D10" i="26"/>
  <c r="D60" i="25"/>
  <c r="D60" i="36"/>
  <c r="D11" i="37"/>
  <c r="D11" i="26"/>
  <c r="D30" i="26"/>
  <c r="D30" i="37"/>
  <c r="DG10" i="39"/>
  <c r="D53" i="26"/>
  <c r="D53" i="37"/>
  <c r="D48" i="36"/>
  <c r="D48" i="25"/>
  <c r="D13" i="26"/>
  <c r="D13" i="37"/>
  <c r="D5" i="26"/>
  <c r="D5" i="37"/>
  <c r="FZ49" i="2"/>
  <c r="D49" i="25"/>
  <c r="D49" i="36"/>
  <c r="D50" i="37"/>
  <c r="D50" i="26"/>
  <c r="P50" i="26" s="1"/>
  <c r="DR10" i="39"/>
  <c r="D22" i="36"/>
  <c r="D22" i="25"/>
  <c r="FZ22" i="2"/>
  <c r="FT107" i="2"/>
  <c r="EZ131" i="3" s="1"/>
  <c r="FS100" i="2"/>
  <c r="EY124" i="3" s="1"/>
  <c r="FR107" i="2"/>
  <c r="EX131" i="3" s="1"/>
  <c r="L43" i="14"/>
  <c r="L44" i="14"/>
  <c r="AU43" i="14"/>
  <c r="AU44" i="14"/>
  <c r="AG43" i="14"/>
  <c r="FU108" i="2"/>
  <c r="BJ10" i="40"/>
  <c r="V43" i="14"/>
  <c r="V44" i="14"/>
  <c r="AL43" i="14"/>
  <c r="AL44" i="14"/>
  <c r="BS43" i="14"/>
  <c r="BV43" i="14"/>
  <c r="GD108" i="2"/>
  <c r="BV11" i="14"/>
  <c r="BV12" i="14"/>
  <c r="BW13" i="14" s="1"/>
  <c r="BH43" i="14"/>
  <c r="F108" i="37"/>
  <c r="K108" i="37" s="1"/>
  <c r="F108" i="26"/>
  <c r="K108" i="26" s="1"/>
  <c r="GA108" i="2"/>
  <c r="BH11" i="14"/>
  <c r="BH12" i="14"/>
  <c r="BI13" i="14" s="1"/>
  <c r="BI14" i="14" s="1"/>
  <c r="AY43" i="14"/>
  <c r="AY44" i="14"/>
  <c r="BC43" i="14"/>
  <c r="BC44" i="14"/>
  <c r="C43" i="14"/>
  <c r="BO12" i="14"/>
  <c r="AP43" i="14"/>
  <c r="AP44" i="14"/>
  <c r="AB43" i="14"/>
  <c r="AB44" i="14"/>
  <c r="P43" i="14"/>
  <c r="P44" i="14"/>
  <c r="BO43" i="14"/>
  <c r="BO44" i="14"/>
  <c r="FR102" i="2"/>
  <c r="EX126" i="3" s="1"/>
  <c r="FS101" i="2"/>
  <c r="EY125" i="3" s="1"/>
  <c r="FT102" i="2"/>
  <c r="EZ126" i="3" s="1"/>
  <c r="FS99" i="2"/>
  <c r="EY123" i="3" s="1"/>
  <c r="FQ99" i="2"/>
  <c r="EW123" i="3" s="1"/>
  <c r="FR104" i="2"/>
  <c r="EX128" i="3" s="1"/>
  <c r="FS105" i="2"/>
  <c r="EY129" i="3" s="1"/>
  <c r="FP106" i="2"/>
  <c r="EV130" i="3" s="1"/>
  <c r="FR108" i="2"/>
  <c r="EX132" i="3" s="1"/>
  <c r="FT100" i="2"/>
  <c r="EZ124" i="3" s="1"/>
  <c r="FR100" i="2"/>
  <c r="EX124" i="3" s="1"/>
  <c r="FQ102" i="2"/>
  <c r="EW126" i="3" s="1"/>
  <c r="FT103" i="2"/>
  <c r="EZ127" i="3" s="1"/>
  <c r="O14" i="39"/>
  <c r="BE14" i="39"/>
  <c r="Y14" i="39"/>
  <c r="AI14" i="39"/>
  <c r="AT14" i="39"/>
  <c r="FP101" i="2"/>
  <c r="EV125" i="3" s="1"/>
  <c r="FS107" i="2"/>
  <c r="EY131" i="3" s="1"/>
  <c r="FT106" i="2"/>
  <c r="EZ130" i="3" s="1"/>
  <c r="FT101" i="2"/>
  <c r="EZ125" i="3" s="1"/>
  <c r="FS104" i="2"/>
  <c r="EY128" i="3" s="1"/>
  <c r="FQ103" i="2"/>
  <c r="EW127" i="3" s="1"/>
  <c r="FQ100" i="2"/>
  <c r="EW124" i="3" s="1"/>
  <c r="FP104" i="2"/>
  <c r="EV128" i="3" s="1"/>
  <c r="D101" i="31"/>
  <c r="D105" i="31"/>
  <c r="FR109" i="2"/>
  <c r="EX133" i="3" s="1"/>
  <c r="D109" i="31"/>
  <c r="D103" i="31"/>
  <c r="FR105" i="2"/>
  <c r="EX129" i="3" s="1"/>
  <c r="D106" i="31"/>
  <c r="FR99" i="2"/>
  <c r="EX123" i="3" s="1"/>
  <c r="D99" i="31"/>
  <c r="FQ104" i="2"/>
  <c r="EW128" i="3" s="1"/>
  <c r="FP108" i="2"/>
  <c r="EV132" i="3" s="1"/>
  <c r="FT108" i="2"/>
  <c r="EZ132" i="3" s="1"/>
  <c r="FS109" i="2"/>
  <c r="EY133" i="3" s="1"/>
  <c r="FQ107" i="2"/>
  <c r="EW131" i="3" s="1"/>
  <c r="FQ101" i="2"/>
  <c r="EW125" i="3" s="1"/>
  <c r="FP102" i="2"/>
  <c r="EV126" i="3" s="1"/>
  <c r="FS106" i="2"/>
  <c r="EY130" i="3" s="1"/>
  <c r="FP99" i="2"/>
  <c r="EV123" i="3" s="1"/>
  <c r="FQ105" i="2"/>
  <c r="EW129" i="3" s="1"/>
  <c r="FP109" i="2"/>
  <c r="EV133" i="3" s="1"/>
  <c r="FQ106" i="2"/>
  <c r="EW130" i="3" s="1"/>
  <c r="FS108" i="2"/>
  <c r="EY132" i="3" s="1"/>
  <c r="FS103" i="2"/>
  <c r="EY127" i="3" s="1"/>
  <c r="FT99" i="2"/>
  <c r="EZ123" i="3" s="1"/>
  <c r="FQ109" i="2"/>
  <c r="EW133" i="3" s="1"/>
  <c r="FT109" i="2"/>
  <c r="EZ133" i="3" s="1"/>
  <c r="FT104" i="2"/>
  <c r="EZ128" i="3" s="1"/>
  <c r="FP103" i="2"/>
  <c r="EV127" i="3" s="1"/>
  <c r="FS102" i="2"/>
  <c r="EY126" i="3" s="1"/>
  <c r="FR101" i="2"/>
  <c r="EX125" i="3" s="1"/>
  <c r="FP107" i="2"/>
  <c r="EV131" i="3" s="1"/>
  <c r="FP100" i="2"/>
  <c r="EV124" i="3" s="1"/>
  <c r="FT105" i="2"/>
  <c r="EZ129" i="3" s="1"/>
  <c r="FP105" i="2"/>
  <c r="EV129" i="3" s="1"/>
  <c r="O95" i="37"/>
  <c r="R86" i="22"/>
  <c r="R74" i="22"/>
  <c r="S25" i="40"/>
  <c r="BH16" i="39"/>
  <c r="AW16" i="39"/>
  <c r="FY36" i="2"/>
  <c r="FT36" i="2"/>
  <c r="FW84" i="2"/>
  <c r="FQ72" i="2"/>
  <c r="EW96" i="3" s="1"/>
  <c r="FZ60" i="2"/>
  <c r="FV48" i="2"/>
  <c r="GB24" i="2"/>
  <c r="FU12" i="2"/>
  <c r="FW72" i="2"/>
  <c r="FW48" i="2"/>
  <c r="FT72" i="2"/>
  <c r="EZ96" i="3" s="1"/>
  <c r="FX60" i="2"/>
  <c r="GD48" i="2"/>
  <c r="GD12" i="2"/>
  <c r="FU36" i="2"/>
  <c r="FY60" i="2"/>
  <c r="U6" i="14"/>
  <c r="U7" i="14"/>
  <c r="U9" i="14"/>
  <c r="U8" i="14"/>
  <c r="U10" i="14"/>
  <c r="U5" i="14"/>
  <c r="U11" i="14"/>
  <c r="V12" i="14" s="1"/>
  <c r="U4" i="14"/>
  <c r="FS24" i="2"/>
  <c r="GC72" i="2"/>
  <c r="FS12" i="2"/>
  <c r="FW12" i="2"/>
  <c r="FX24" i="2"/>
  <c r="GA12" i="2"/>
  <c r="F12" i="37"/>
  <c r="K12" i="37" s="1"/>
  <c r="F12" i="26"/>
  <c r="K12" i="26" s="1"/>
  <c r="O6" i="14"/>
  <c r="O8" i="14"/>
  <c r="O7" i="14"/>
  <c r="O4" i="14"/>
  <c r="O5" i="14"/>
  <c r="O9" i="14"/>
  <c r="O11" i="14"/>
  <c r="O10" i="14"/>
  <c r="FP12" i="2"/>
  <c r="FQ36" i="2"/>
  <c r="FR24" i="2"/>
  <c r="FV12" i="2"/>
  <c r="GB72" i="2"/>
  <c r="FR36" i="2"/>
  <c r="FT12" i="2"/>
  <c r="FX12" i="2"/>
  <c r="FQ24" i="2"/>
  <c r="FQ60" i="2"/>
  <c r="FV96" i="2"/>
  <c r="AK8" i="14"/>
  <c r="AK10" i="14"/>
  <c r="AK4" i="14"/>
  <c r="AK7" i="14"/>
  <c r="AK6" i="14"/>
  <c r="AK5" i="14"/>
  <c r="AK9" i="14"/>
  <c r="AK11" i="14"/>
  <c r="FZ48" i="2"/>
  <c r="FR48" i="2"/>
  <c r="FU84" i="2"/>
  <c r="FR60" i="2"/>
  <c r="FS48" i="2"/>
  <c r="GD36" i="2"/>
  <c r="AA6" i="14"/>
  <c r="AA9" i="14"/>
  <c r="AA11" i="14"/>
  <c r="AA10" i="14"/>
  <c r="AA4" i="14"/>
  <c r="AA5" i="14"/>
  <c r="AA8" i="14"/>
  <c r="FT96" i="2"/>
  <c r="EZ120" i="3" s="1"/>
  <c r="AA7" i="14"/>
  <c r="GC60" i="2"/>
  <c r="FW24" i="2"/>
  <c r="GD60" i="2"/>
  <c r="GB48" i="2"/>
  <c r="K8" i="14"/>
  <c r="K4" i="14"/>
  <c r="K11" i="14"/>
  <c r="K6" i="14"/>
  <c r="K7" i="14"/>
  <c r="K10" i="14"/>
  <c r="K5" i="14"/>
  <c r="K9" i="14"/>
  <c r="FV36" i="2"/>
  <c r="FT24" i="2"/>
  <c r="FO24" i="2"/>
  <c r="FU24" i="2"/>
  <c r="FO12" i="2"/>
  <c r="GA72" i="2"/>
  <c r="F72" i="37"/>
  <c r="K72" i="37" s="1"/>
  <c r="F72" i="26"/>
  <c r="K72" i="26" s="1"/>
  <c r="FP60" i="2"/>
  <c r="AX10" i="14"/>
  <c r="AX4" i="14"/>
  <c r="AX9" i="14"/>
  <c r="AX8" i="14"/>
  <c r="AX6" i="14"/>
  <c r="AX7" i="14"/>
  <c r="AX5" i="14"/>
  <c r="GD96" i="2"/>
  <c r="BV7" i="14"/>
  <c r="BV9" i="14"/>
  <c r="BV8" i="14"/>
  <c r="BV6" i="14"/>
  <c r="BV4" i="14"/>
  <c r="BV10" i="14"/>
  <c r="BV5" i="14"/>
  <c r="GB96" i="2"/>
  <c r="BN10" i="14"/>
  <c r="BN7" i="14"/>
  <c r="BN4" i="14"/>
  <c r="BN6" i="14"/>
  <c r="BN8" i="14"/>
  <c r="BN5" i="14"/>
  <c r="BN9" i="14"/>
  <c r="FW36" i="2"/>
  <c r="G8" i="14"/>
  <c r="G9" i="14"/>
  <c r="G4" i="14"/>
  <c r="G5" i="14"/>
  <c r="G7" i="14"/>
  <c r="G6" i="14"/>
  <c r="G11" i="14"/>
  <c r="G10" i="14"/>
  <c r="GC12" i="2"/>
  <c r="GD84" i="2"/>
  <c r="FS60" i="2"/>
  <c r="FZ12" i="2"/>
  <c r="FO36" i="2"/>
  <c r="FQ48" i="2"/>
  <c r="FV24" i="2"/>
  <c r="FU60" i="2"/>
  <c r="FW60" i="2"/>
  <c r="GA24" i="2"/>
  <c r="F24" i="37"/>
  <c r="K24" i="37" s="1"/>
  <c r="F24" i="26"/>
  <c r="K24" i="26" s="1"/>
  <c r="GA96" i="2"/>
  <c r="F96" i="26"/>
  <c r="K96" i="26" s="1"/>
  <c r="F96" i="37"/>
  <c r="K96" i="37" s="1"/>
  <c r="BH8" i="14"/>
  <c r="BH5" i="14"/>
  <c r="BH6" i="14"/>
  <c r="BH7" i="14"/>
  <c r="BH4" i="14"/>
  <c r="BH10" i="14"/>
  <c r="BH9" i="14"/>
  <c r="FX48" i="2"/>
  <c r="FQ12" i="2"/>
  <c r="FT60" i="2"/>
  <c r="GC24" i="2"/>
  <c r="FS72" i="2"/>
  <c r="EY96" i="3" s="1"/>
  <c r="FP48" i="2"/>
  <c r="GB36" i="2"/>
  <c r="GC84" i="2"/>
  <c r="GB84" i="2"/>
  <c r="FU72" i="2"/>
  <c r="FP72" i="2"/>
  <c r="EV96" i="3" s="1"/>
  <c r="C7" i="14"/>
  <c r="C4" i="14"/>
  <c r="C10" i="14"/>
  <c r="C9" i="14"/>
  <c r="C11" i="14"/>
  <c r="C5" i="14"/>
  <c r="C8" i="14"/>
  <c r="C6" i="14"/>
  <c r="FV60" i="2"/>
  <c r="GA36" i="2"/>
  <c r="F36" i="26"/>
  <c r="K36" i="26" s="1"/>
  <c r="F36" i="37"/>
  <c r="K36" i="37" s="1"/>
  <c r="BB9" i="14"/>
  <c r="BB7" i="14"/>
  <c r="BB5" i="14"/>
  <c r="BB8" i="14"/>
  <c r="BB6" i="14"/>
  <c r="BB4" i="14"/>
  <c r="BB10" i="14"/>
  <c r="FW96" i="2"/>
  <c r="AO4" i="14"/>
  <c r="AO11" i="14"/>
  <c r="AO9" i="14"/>
  <c r="AO6" i="14"/>
  <c r="AO8" i="14"/>
  <c r="AO10" i="14"/>
  <c r="AO5" i="14"/>
  <c r="AO7" i="14"/>
  <c r="GB12" i="2"/>
  <c r="GA48" i="2"/>
  <c r="F48" i="26"/>
  <c r="K48" i="26" s="1"/>
  <c r="M48" i="26" s="1"/>
  <c r="F48" i="37"/>
  <c r="K48" i="37" s="1"/>
  <c r="FY24" i="2"/>
  <c r="GD24" i="2"/>
  <c r="FR12" i="2"/>
  <c r="FY12" i="2"/>
  <c r="FV84" i="2"/>
  <c r="FV72" i="2"/>
  <c r="AT9" i="14"/>
  <c r="AT4" i="14"/>
  <c r="AT10" i="14"/>
  <c r="AT6" i="14"/>
  <c r="AT5" i="14"/>
  <c r="AT8" i="14"/>
  <c r="AT7" i="14"/>
  <c r="FY48" i="2"/>
  <c r="FP36" i="2"/>
  <c r="FT48" i="2"/>
  <c r="GC48" i="2"/>
  <c r="GC96" i="2"/>
  <c r="BR9" i="14"/>
  <c r="BR8" i="14"/>
  <c r="BR6" i="14"/>
  <c r="BR7" i="14"/>
  <c r="BR4" i="14"/>
  <c r="BR5" i="14"/>
  <c r="BR10" i="14"/>
  <c r="GA60" i="2"/>
  <c r="F60" i="37"/>
  <c r="K60" i="37" s="1"/>
  <c r="F60" i="26"/>
  <c r="K60" i="26" s="1"/>
  <c r="FU48" i="2"/>
  <c r="FU96" i="2"/>
  <c r="AG10" i="14"/>
  <c r="AG4" i="14"/>
  <c r="AG9" i="14"/>
  <c r="AG8" i="14"/>
  <c r="AG6" i="14"/>
  <c r="AG11" i="14"/>
  <c r="AG7" i="14"/>
  <c r="AG5" i="14"/>
  <c r="GC36" i="2"/>
  <c r="GD72" i="2"/>
  <c r="GB60" i="2"/>
  <c r="FS36" i="2"/>
  <c r="FZ24" i="2"/>
  <c r="FX36" i="2"/>
  <c r="BI11" i="40"/>
  <c r="BP12" i="40"/>
  <c r="BQ14" i="40" s="1"/>
  <c r="U11" i="40"/>
  <c r="V10" i="40"/>
  <c r="M38" i="40"/>
  <c r="M37" i="40"/>
  <c r="M12" i="40"/>
  <c r="N14" i="40" s="1"/>
  <c r="Q16" i="39"/>
  <c r="Z28" i="5"/>
  <c r="AK17" i="39"/>
  <c r="Z54" i="5"/>
  <c r="AB28" i="5"/>
  <c r="BG17" i="39"/>
  <c r="AB54" i="5"/>
  <c r="X28" i="5"/>
  <c r="Y28" i="5"/>
  <c r="AA17" i="39"/>
  <c r="Y54" i="5"/>
  <c r="W27" i="5"/>
  <c r="W53" i="5"/>
  <c r="G16" i="39"/>
  <c r="AA28" i="5"/>
  <c r="AV17" i="39"/>
  <c r="AA54" i="5"/>
  <c r="AH38" i="7" l="1"/>
  <c r="M6" i="60"/>
  <c r="K193" i="32"/>
  <c r="M193" i="32" s="1"/>
  <c r="AU21" i="39" s="1"/>
  <c r="S181" i="31"/>
  <c r="K181" i="32"/>
  <c r="M181" i="32" s="1"/>
  <c r="AU20" i="39" s="1"/>
  <c r="S193" i="31"/>
  <c r="O181" i="33"/>
  <c r="Q181" i="33" s="1"/>
  <c r="BF20" i="39" s="1"/>
  <c r="O193" i="33"/>
  <c r="Q193" i="33" s="1"/>
  <c r="BF21" i="39" s="1"/>
  <c r="AJ80" i="7"/>
  <c r="F95" i="7"/>
  <c r="Q15" i="39"/>
  <c r="AI80" i="7"/>
  <c r="BW44" i="14"/>
  <c r="AH80" i="7"/>
  <c r="M96" i="37"/>
  <c r="G95" i="7"/>
  <c r="H95" i="7"/>
  <c r="E95" i="7"/>
  <c r="BH15" i="39"/>
  <c r="S27" i="40" s="1"/>
  <c r="AW15" i="39"/>
  <c r="FS110" i="2"/>
  <c r="EY134" i="3" s="1"/>
  <c r="S28" i="40"/>
  <c r="BJ14" i="39"/>
  <c r="K28" i="40"/>
  <c r="AY14" i="39"/>
  <c r="AY13" i="39"/>
  <c r="J7" i="73" s="1"/>
  <c r="FP110" i="2"/>
  <c r="EV134" i="3" s="1"/>
  <c r="D110" i="21"/>
  <c r="N110" i="21" s="1"/>
  <c r="O110" i="21" s="1"/>
  <c r="D110" i="20"/>
  <c r="V14" i="27" s="1"/>
  <c r="AF110" i="2"/>
  <c r="FQ110" i="2"/>
  <c r="EW134" i="3" s="1"/>
  <c r="D110" i="32"/>
  <c r="AK110" i="2"/>
  <c r="FT110" i="2"/>
  <c r="EZ134" i="3" s="1"/>
  <c r="D110" i="30"/>
  <c r="Y15" i="39"/>
  <c r="D110" i="29"/>
  <c r="O15" i="39"/>
  <c r="F110" i="2"/>
  <c r="D110" i="17" s="1"/>
  <c r="C14" i="27" s="1"/>
  <c r="D15" i="39"/>
  <c r="G15" i="39" s="1"/>
  <c r="D110" i="31"/>
  <c r="AI15" i="39"/>
  <c r="D110" i="33"/>
  <c r="D110" i="22"/>
  <c r="R110" i="22" s="1"/>
  <c r="S110" i="22" s="1"/>
  <c r="I14" i="27"/>
  <c r="O14" i="27"/>
  <c r="AN39" i="7"/>
  <c r="AR7" i="7"/>
  <c r="AR25" i="7" s="1"/>
  <c r="AQ25" i="7"/>
  <c r="AQ9" i="7"/>
  <c r="AP27" i="7"/>
  <c r="AP36" i="7" s="1"/>
  <c r="C71" i="44"/>
  <c r="C24" i="44"/>
  <c r="C139" i="44" s="1"/>
  <c r="FD96" i="3"/>
  <c r="BS12" i="14"/>
  <c r="FD120" i="3"/>
  <c r="FD132" i="3"/>
  <c r="BO11" i="14"/>
  <c r="FD84" i="3"/>
  <c r="FD72" i="3"/>
  <c r="FD48" i="3"/>
  <c r="FD36" i="3"/>
  <c r="BS11" i="14"/>
  <c r="FD60" i="3"/>
  <c r="AY12" i="14"/>
  <c r="AU11" i="14"/>
  <c r="V53" i="11"/>
  <c r="W54" i="11" s="1"/>
  <c r="W57" i="11" s="1"/>
  <c r="W59" i="11" s="1"/>
  <c r="W61" i="11" s="1"/>
  <c r="W78" i="11" s="1"/>
  <c r="W80" i="11" s="1"/>
  <c r="T20" i="11"/>
  <c r="R53" i="11"/>
  <c r="K47" i="12"/>
  <c r="K49" i="12" s="1"/>
  <c r="R42" i="11"/>
  <c r="R46" i="11" s="1"/>
  <c r="R48" i="11" s="1"/>
  <c r="R50" i="11" s="1"/>
  <c r="R74" i="11" s="1"/>
  <c r="S75" i="11" s="1"/>
  <c r="R20" i="11"/>
  <c r="R24" i="11" s="1"/>
  <c r="R26" i="11" s="1"/>
  <c r="R28" i="11" s="1"/>
  <c r="R66" i="11" s="1"/>
  <c r="S67" i="11" s="1"/>
  <c r="AU12" i="14"/>
  <c r="S20" i="11"/>
  <c r="S42" i="11"/>
  <c r="S53" i="11"/>
  <c r="T42" i="11"/>
  <c r="T53" i="11"/>
  <c r="AY11" i="14"/>
  <c r="L39" i="8"/>
  <c r="N39" i="8" s="1"/>
  <c r="C53" i="11"/>
  <c r="D53" i="11"/>
  <c r="C42" i="11"/>
  <c r="C46" i="11" s="1"/>
  <c r="C48" i="11" s="1"/>
  <c r="C50" i="11" s="1"/>
  <c r="C74" i="11" s="1"/>
  <c r="D75" i="11" s="1"/>
  <c r="E42" i="11"/>
  <c r="AL12" i="14"/>
  <c r="AA15" i="14"/>
  <c r="L12" i="14"/>
  <c r="AH12" i="14"/>
  <c r="AB12" i="14"/>
  <c r="F53" i="11"/>
  <c r="D42" i="11"/>
  <c r="AP12" i="14"/>
  <c r="E53" i="11"/>
  <c r="H12" i="14"/>
  <c r="AB80" i="51"/>
  <c r="AB81" i="51"/>
  <c r="D20" i="11"/>
  <c r="C20" i="11"/>
  <c r="C24" i="11" s="1"/>
  <c r="C26" i="11" s="1"/>
  <c r="C28" i="11" s="1"/>
  <c r="C66" i="11" s="1"/>
  <c r="D67" i="11" s="1"/>
  <c r="E31" i="11"/>
  <c r="C31" i="11"/>
  <c r="C35" i="11" s="1"/>
  <c r="C37" i="11" s="1"/>
  <c r="C39" i="11" s="1"/>
  <c r="C70" i="11" s="1"/>
  <c r="C72" i="11" s="1"/>
  <c r="C73" i="11" s="1"/>
  <c r="D31" i="11"/>
  <c r="EV72" i="3"/>
  <c r="EU36" i="3"/>
  <c r="FC37" i="3"/>
  <c r="FC36" i="3"/>
  <c r="EY48" i="3"/>
  <c r="EX36" i="3"/>
  <c r="EY84" i="3"/>
  <c r="EY72" i="3"/>
  <c r="EW84" i="3"/>
  <c r="FC62" i="3"/>
  <c r="FC69" i="3"/>
  <c r="FC60" i="3"/>
  <c r="FB36" i="3"/>
  <c r="EZ72" i="3"/>
  <c r="EU48" i="3"/>
  <c r="EX84" i="3"/>
  <c r="EW48" i="3"/>
  <c r="FC46" i="3"/>
  <c r="FC70" i="3"/>
  <c r="FC85" i="3"/>
  <c r="FC64" i="3"/>
  <c r="FC81" i="3"/>
  <c r="FC77" i="3"/>
  <c r="FC49" i="3"/>
  <c r="FC51" i="3"/>
  <c r="FC44" i="3"/>
  <c r="FC34" i="3"/>
  <c r="EZ84" i="3"/>
  <c r="EV60" i="3"/>
  <c r="EZ48" i="3"/>
  <c r="FA36" i="3"/>
  <c r="FA60" i="3"/>
  <c r="FB72" i="3"/>
  <c r="FB48" i="3"/>
  <c r="EZ36" i="3"/>
  <c r="FC32" i="3"/>
  <c r="FC55" i="3"/>
  <c r="FC48" i="3"/>
  <c r="FC72" i="3"/>
  <c r="EX60" i="3"/>
  <c r="FC84" i="3"/>
  <c r="FC26" i="3"/>
  <c r="FC66" i="3"/>
  <c r="FC67" i="3"/>
  <c r="FC80" i="3"/>
  <c r="FC38" i="3"/>
  <c r="FC43" i="3"/>
  <c r="FC63" i="3"/>
  <c r="FC41" i="3"/>
  <c r="FA72" i="3"/>
  <c r="EX48" i="3"/>
  <c r="FC31" i="3"/>
  <c r="EW60" i="3"/>
  <c r="FC73" i="3"/>
  <c r="FC75" i="3"/>
  <c r="FA48" i="3"/>
  <c r="FB84" i="3"/>
  <c r="FB60" i="3"/>
  <c r="FC30" i="3"/>
  <c r="FC47" i="3"/>
  <c r="EX72" i="3"/>
  <c r="EY60" i="3"/>
  <c r="FC65" i="3"/>
  <c r="EV84" i="3"/>
  <c r="EV36" i="3"/>
  <c r="FC33" i="3"/>
  <c r="FC57" i="3"/>
  <c r="EW36" i="3"/>
  <c r="EZ60" i="3"/>
  <c r="EW72" i="3"/>
  <c r="FC68" i="3"/>
  <c r="FC58" i="3"/>
  <c r="EU60" i="3"/>
  <c r="EY36" i="3"/>
  <c r="FC79" i="3"/>
  <c r="FC59" i="3"/>
  <c r="FA84" i="3"/>
  <c r="FC82" i="3"/>
  <c r="FC76" i="3"/>
  <c r="FC78" i="3"/>
  <c r="FC42" i="3"/>
  <c r="FC56" i="3"/>
  <c r="FC83" i="3"/>
  <c r="S26" i="40"/>
  <c r="F47" i="12"/>
  <c r="H47" i="12"/>
  <c r="I47" i="12"/>
  <c r="J47" i="12"/>
  <c r="E47" i="12"/>
  <c r="G47" i="12"/>
  <c r="L142" i="10"/>
  <c r="M146" i="10"/>
  <c r="M150" i="10" s="1"/>
  <c r="K143" i="10"/>
  <c r="L147" i="10"/>
  <c r="M142" i="51"/>
  <c r="N146" i="51"/>
  <c r="AN10" i="27"/>
  <c r="M36" i="26"/>
  <c r="O36" i="26" s="1"/>
  <c r="M12" i="26"/>
  <c r="O12" i="26" s="1"/>
  <c r="M48" i="37"/>
  <c r="O48" i="37" s="1"/>
  <c r="M24" i="26"/>
  <c r="O24" i="26" s="1"/>
  <c r="M12" i="37"/>
  <c r="O12" i="37" s="1"/>
  <c r="M24" i="37"/>
  <c r="O24" i="37" s="1"/>
  <c r="M60" i="26"/>
  <c r="O60" i="26" s="1"/>
  <c r="M108" i="26"/>
  <c r="O108" i="26" s="1"/>
  <c r="BO13" i="27" s="1"/>
  <c r="M60" i="37"/>
  <c r="O60" i="37" s="1"/>
  <c r="M108" i="37"/>
  <c r="O108" i="37" s="1"/>
  <c r="M72" i="26"/>
  <c r="O72" i="26" s="1"/>
  <c r="BO10" i="27" s="1"/>
  <c r="M72" i="37"/>
  <c r="O72" i="37" s="1"/>
  <c r="M36" i="37"/>
  <c r="O36" i="37" s="1"/>
  <c r="M96" i="26"/>
  <c r="O96" i="26" s="1"/>
  <c r="BO12" i="27" s="1"/>
  <c r="H43" i="14"/>
  <c r="H44" i="14"/>
  <c r="I13" i="27"/>
  <c r="BO11" i="27"/>
  <c r="O48" i="26"/>
  <c r="P48" i="26" s="1"/>
  <c r="Q48" i="26" s="1"/>
  <c r="U15" i="14"/>
  <c r="AB83" i="10"/>
  <c r="AB85" i="10" s="1"/>
  <c r="P32" i="26"/>
  <c r="Q32" i="26" s="1"/>
  <c r="P45" i="26"/>
  <c r="Q45" i="26" s="1"/>
  <c r="P16" i="26"/>
  <c r="Q16" i="26" s="1"/>
  <c r="P46" i="26"/>
  <c r="Q46" i="26" s="1"/>
  <c r="T20" i="25"/>
  <c r="U20" i="25" s="1"/>
  <c r="T14" i="25"/>
  <c r="T35" i="25"/>
  <c r="U35" i="25" s="1"/>
  <c r="P58" i="26"/>
  <c r="Q58" i="26" s="1"/>
  <c r="P54" i="26"/>
  <c r="Q54" i="26" s="1"/>
  <c r="P42" i="26"/>
  <c r="Q42" i="26" s="1"/>
  <c r="P34" i="26"/>
  <c r="Q34" i="26" s="1"/>
  <c r="T13" i="25"/>
  <c r="U13" i="25" s="1"/>
  <c r="T32" i="25"/>
  <c r="U32" i="25" s="1"/>
  <c r="P15" i="26"/>
  <c r="Q15" i="26" s="1"/>
  <c r="P51" i="26"/>
  <c r="Q51" i="26" s="1"/>
  <c r="P23" i="26"/>
  <c r="Q23" i="26" s="1"/>
  <c r="P30" i="26"/>
  <c r="Q30" i="26" s="1"/>
  <c r="P4" i="26"/>
  <c r="Q4" i="26" s="1"/>
  <c r="P57" i="26"/>
  <c r="Q57" i="26" s="1"/>
  <c r="P41" i="26"/>
  <c r="Q41" i="26" s="1"/>
  <c r="P29" i="26"/>
  <c r="Q29" i="26" s="1"/>
  <c r="P61" i="26"/>
  <c r="Q61" i="26" s="1"/>
  <c r="T23" i="25"/>
  <c r="U23" i="25" s="1"/>
  <c r="T8" i="25"/>
  <c r="U8" i="25" s="1"/>
  <c r="P53" i="26"/>
  <c r="Q53" i="26" s="1"/>
  <c r="P10" i="26"/>
  <c r="Q10" i="26" s="1"/>
  <c r="P3" i="26"/>
  <c r="Q3" i="26" s="1"/>
  <c r="T6" i="25"/>
  <c r="U6" i="25" s="1"/>
  <c r="T36" i="25"/>
  <c r="U36" i="25" s="1"/>
  <c r="T7" i="25"/>
  <c r="U7" i="25" s="1"/>
  <c r="P22" i="26"/>
  <c r="Q22" i="26" s="1"/>
  <c r="P40" i="26"/>
  <c r="Q40" i="26" s="1"/>
  <c r="P6" i="26"/>
  <c r="Q6" i="26" s="1"/>
  <c r="P35" i="26"/>
  <c r="Q35" i="26" s="1"/>
  <c r="P20" i="26"/>
  <c r="Q20" i="26" s="1"/>
  <c r="T34" i="25"/>
  <c r="U34" i="25" s="1"/>
  <c r="T24" i="25"/>
  <c r="U24" i="25" s="1"/>
  <c r="T12" i="25"/>
  <c r="U12" i="25" s="1"/>
  <c r="P5" i="26"/>
  <c r="Q5" i="26" s="1"/>
  <c r="P56" i="26"/>
  <c r="Q56" i="26" s="1"/>
  <c r="T18" i="25"/>
  <c r="U18" i="25" s="1"/>
  <c r="T19" i="25"/>
  <c r="U19" i="25" s="1"/>
  <c r="P44" i="26"/>
  <c r="Q44" i="26" s="1"/>
  <c r="P17" i="26"/>
  <c r="Q17" i="26" s="1"/>
  <c r="T22" i="25"/>
  <c r="U22" i="25" s="1"/>
  <c r="P55" i="26"/>
  <c r="Q55" i="26" s="1"/>
  <c r="P37" i="26"/>
  <c r="Q37" i="26" s="1"/>
  <c r="P31" i="26"/>
  <c r="Q31" i="26" s="1"/>
  <c r="T9" i="25"/>
  <c r="U9" i="25" s="1"/>
  <c r="T25" i="25"/>
  <c r="U25" i="25" s="1"/>
  <c r="T31" i="25"/>
  <c r="U31" i="25" s="1"/>
  <c r="P13" i="26"/>
  <c r="Q13" i="26" s="1"/>
  <c r="P28" i="26"/>
  <c r="Q28" i="26" s="1"/>
  <c r="P7" i="26"/>
  <c r="Q7" i="26" s="1"/>
  <c r="T33" i="25"/>
  <c r="U33" i="25" s="1"/>
  <c r="P43" i="26"/>
  <c r="Q43" i="26" s="1"/>
  <c r="P11" i="26"/>
  <c r="Q11" i="26" s="1"/>
  <c r="T17" i="25"/>
  <c r="U17" i="25" s="1"/>
  <c r="P59" i="26"/>
  <c r="Q59" i="26" s="1"/>
  <c r="P27" i="26"/>
  <c r="Q27" i="26" s="1"/>
  <c r="P47" i="26"/>
  <c r="Q47" i="26" s="1"/>
  <c r="T10" i="25"/>
  <c r="U10" i="25" s="1"/>
  <c r="T27" i="25"/>
  <c r="P9" i="26"/>
  <c r="Q9" i="26" s="1"/>
  <c r="P8" i="26"/>
  <c r="Q8" i="26" s="1"/>
  <c r="P33" i="26"/>
  <c r="Q33" i="26" s="1"/>
  <c r="F98" i="2"/>
  <c r="R108" i="22"/>
  <c r="S108" i="22" s="1"/>
  <c r="AI41" i="7"/>
  <c r="R85" i="22"/>
  <c r="S85" i="22" s="1"/>
  <c r="R90" i="22"/>
  <c r="S90" i="22" s="1"/>
  <c r="R95" i="22"/>
  <c r="S95" i="22" s="1"/>
  <c r="R75" i="22"/>
  <c r="S75" i="22" s="1"/>
  <c r="R99" i="22"/>
  <c r="S99" i="22" s="1"/>
  <c r="R80" i="22"/>
  <c r="S80" i="22" s="1"/>
  <c r="R100" i="22"/>
  <c r="S100" i="22" s="1"/>
  <c r="R84" i="22"/>
  <c r="S84" i="22" s="1"/>
  <c r="R106" i="22"/>
  <c r="S106" i="22" s="1"/>
  <c r="R87" i="22"/>
  <c r="S87" i="22" s="1"/>
  <c r="R94" i="22"/>
  <c r="S94" i="22" s="1"/>
  <c r="R105" i="22"/>
  <c r="S105" i="22" s="1"/>
  <c r="R88" i="22"/>
  <c r="S88" i="22" s="1"/>
  <c r="R92" i="22"/>
  <c r="S92" i="22" s="1"/>
  <c r="R93" i="22"/>
  <c r="S93" i="22" s="1"/>
  <c r="R103" i="22"/>
  <c r="S103" i="22" s="1"/>
  <c r="R89" i="22"/>
  <c r="S89" i="22" s="1"/>
  <c r="R82" i="22"/>
  <c r="S82" i="22" s="1"/>
  <c r="R102" i="22"/>
  <c r="S102" i="22" s="1"/>
  <c r="R97" i="22"/>
  <c r="S97" i="22" s="1"/>
  <c r="R79" i="22"/>
  <c r="S79" i="22" s="1"/>
  <c r="R83" i="22"/>
  <c r="S83" i="22" s="1"/>
  <c r="R81" i="22"/>
  <c r="S81" i="22" s="1"/>
  <c r="R78" i="22"/>
  <c r="S78" i="22" s="1"/>
  <c r="R76" i="22"/>
  <c r="S76" i="22" s="1"/>
  <c r="R77" i="22"/>
  <c r="S77" i="22" s="1"/>
  <c r="R107" i="22"/>
  <c r="S107" i="22" s="1"/>
  <c r="N102" i="21"/>
  <c r="O102" i="21" s="1"/>
  <c r="N83" i="21"/>
  <c r="N84" i="21"/>
  <c r="N106" i="21"/>
  <c r="O106" i="21" s="1"/>
  <c r="N94" i="21"/>
  <c r="O94" i="21" s="1"/>
  <c r="N85" i="21"/>
  <c r="N96" i="21"/>
  <c r="O96" i="21" s="1"/>
  <c r="N78" i="21"/>
  <c r="N89" i="21"/>
  <c r="O89" i="21" s="1"/>
  <c r="N88" i="21"/>
  <c r="O88" i="21" s="1"/>
  <c r="N97" i="21"/>
  <c r="O97" i="21" s="1"/>
  <c r="N104" i="21"/>
  <c r="O104" i="21" s="1"/>
  <c r="N92" i="21"/>
  <c r="O92" i="21" s="1"/>
  <c r="N87" i="21"/>
  <c r="O87" i="21" s="1"/>
  <c r="N100" i="21"/>
  <c r="O100" i="21" s="1"/>
  <c r="N74" i="21"/>
  <c r="N95" i="21"/>
  <c r="O95" i="21" s="1"/>
  <c r="N75" i="21"/>
  <c r="N76" i="21"/>
  <c r="N93" i="21"/>
  <c r="O93" i="21" s="1"/>
  <c r="N109" i="21"/>
  <c r="O109" i="21" s="1"/>
  <c r="N90" i="21"/>
  <c r="O90" i="21" s="1"/>
  <c r="N82" i="21"/>
  <c r="N86" i="21"/>
  <c r="O86" i="21" s="1"/>
  <c r="N80" i="21"/>
  <c r="N79" i="21"/>
  <c r="N103" i="21"/>
  <c r="O103" i="21" s="1"/>
  <c r="N108" i="21"/>
  <c r="O108" i="21" s="1"/>
  <c r="N77" i="21"/>
  <c r="N81" i="21"/>
  <c r="N101" i="21"/>
  <c r="O101" i="21" s="1"/>
  <c r="M170" i="5"/>
  <c r="M172" i="5" s="1"/>
  <c r="AK36" i="7"/>
  <c r="AH39" i="7"/>
  <c r="O38" i="8"/>
  <c r="Q38" i="8" s="1"/>
  <c r="AJ38" i="7"/>
  <c r="AN41" i="7"/>
  <c r="L38" i="8"/>
  <c r="N38" i="8" s="1"/>
  <c r="F38" i="8"/>
  <c r="H38" i="8" s="1"/>
  <c r="F106" i="2"/>
  <c r="F101" i="2"/>
  <c r="F108" i="2"/>
  <c r="F100" i="2"/>
  <c r="F105" i="2"/>
  <c r="F103" i="2"/>
  <c r="F102" i="2"/>
  <c r="F107" i="2"/>
  <c r="F99" i="2"/>
  <c r="F104" i="2"/>
  <c r="F109" i="2"/>
  <c r="AL39" i="7"/>
  <c r="P12" i="14"/>
  <c r="G53" i="11"/>
  <c r="BC11" i="14"/>
  <c r="U53" i="11"/>
  <c r="D12" i="14"/>
  <c r="O40" i="8"/>
  <c r="Q40" i="8" s="1"/>
  <c r="AO39" i="7"/>
  <c r="AM41" i="7"/>
  <c r="M180" i="5"/>
  <c r="M181" i="5"/>
  <c r="J84" i="7"/>
  <c r="AG81" i="7" s="1"/>
  <c r="M182" i="5"/>
  <c r="M179" i="5"/>
  <c r="M191" i="5"/>
  <c r="O39" i="8"/>
  <c r="Q39" i="8" s="1"/>
  <c r="D14" i="39"/>
  <c r="G14" i="39" s="1"/>
  <c r="M189" i="5"/>
  <c r="M188" i="5"/>
  <c r="M187" i="5"/>
  <c r="M130" i="5"/>
  <c r="AG11" i="5"/>
  <c r="N137" i="5"/>
  <c r="AH11" i="5"/>
  <c r="N130" i="5"/>
  <c r="N133" i="5"/>
  <c r="N129" i="5"/>
  <c r="AH12" i="5" s="1"/>
  <c r="N136" i="5"/>
  <c r="N132" i="5"/>
  <c r="N138" i="5"/>
  <c r="M131" i="5"/>
  <c r="N131" i="5"/>
  <c r="N134" i="5"/>
  <c r="M137" i="5"/>
  <c r="M133" i="5"/>
  <c r="M129" i="5"/>
  <c r="AG12" i="5" s="1"/>
  <c r="M136" i="5"/>
  <c r="M132" i="5"/>
  <c r="M138" i="5"/>
  <c r="N135" i="5"/>
  <c r="M134" i="5"/>
  <c r="M135" i="5"/>
  <c r="AM40" i="7"/>
  <c r="AJ41" i="7"/>
  <c r="AI39" i="7"/>
  <c r="AO41" i="7"/>
  <c r="AL38" i="7"/>
  <c r="O191" i="5"/>
  <c r="O41" i="8"/>
  <c r="Q41" i="8" s="1"/>
  <c r="AM39" i="7"/>
  <c r="N192" i="5"/>
  <c r="N193" i="5"/>
  <c r="N194" i="5"/>
  <c r="AI40" i="7"/>
  <c r="J85" i="7"/>
  <c r="AL40" i="7"/>
  <c r="AO38" i="7"/>
  <c r="AN40" i="7"/>
  <c r="AQ8" i="7"/>
  <c r="AQ26" i="7" s="1"/>
  <c r="AP18" i="7"/>
  <c r="AP46" i="7"/>
  <c r="L196" i="5" s="1"/>
  <c r="AP49" i="7"/>
  <c r="O196" i="5" s="1"/>
  <c r="AP47" i="7"/>
  <c r="M196" i="5" s="1"/>
  <c r="AP48" i="7"/>
  <c r="AM38" i="7"/>
  <c r="AJ39" i="7"/>
  <c r="AK38" i="7"/>
  <c r="N187" i="5"/>
  <c r="N186" i="5"/>
  <c r="N189" i="5"/>
  <c r="N188" i="5"/>
  <c r="O183" i="5"/>
  <c r="O181" i="5"/>
  <c r="O180" i="5"/>
  <c r="O182" i="5"/>
  <c r="O179" i="5"/>
  <c r="AO40" i="7"/>
  <c r="N183" i="5"/>
  <c r="N181" i="5"/>
  <c r="N180" i="5"/>
  <c r="N179" i="5"/>
  <c r="N182" i="5"/>
  <c r="AN38" i="7"/>
  <c r="AK39" i="7"/>
  <c r="AI38" i="7"/>
  <c r="AH40" i="7"/>
  <c r="AL41" i="7"/>
  <c r="AJ40" i="7"/>
  <c r="AK41" i="7"/>
  <c r="O189" i="5"/>
  <c r="O187" i="5"/>
  <c r="O186" i="5"/>
  <c r="O188" i="5"/>
  <c r="AK40" i="7"/>
  <c r="AH41" i="7"/>
  <c r="L186" i="5"/>
  <c r="L187" i="5"/>
  <c r="L188" i="5"/>
  <c r="L173" i="5"/>
  <c r="L176" i="5"/>
  <c r="L171" i="5"/>
  <c r="L172" i="5"/>
  <c r="L175" i="5"/>
  <c r="L174" i="5"/>
  <c r="N168" i="5"/>
  <c r="N164" i="5"/>
  <c r="N162" i="5"/>
  <c r="N163" i="5"/>
  <c r="N166" i="5"/>
  <c r="N167" i="5"/>
  <c r="N165" i="5"/>
  <c r="L165" i="5"/>
  <c r="L168" i="5"/>
  <c r="L162" i="5"/>
  <c r="L167" i="5"/>
  <c r="L166" i="5"/>
  <c r="L164" i="5"/>
  <c r="L163" i="5"/>
  <c r="O168" i="5"/>
  <c r="O163" i="5"/>
  <c r="O164" i="5"/>
  <c r="O167" i="5"/>
  <c r="O166" i="5"/>
  <c r="O165" i="5"/>
  <c r="O162" i="5"/>
  <c r="M149" i="5"/>
  <c r="M141" i="5"/>
  <c r="M144" i="5"/>
  <c r="M142" i="5"/>
  <c r="M146" i="5"/>
  <c r="M145" i="5"/>
  <c r="M147" i="5"/>
  <c r="M143" i="5"/>
  <c r="M148" i="5"/>
  <c r="N145" i="5"/>
  <c r="N141" i="5"/>
  <c r="N144" i="5"/>
  <c r="N147" i="5"/>
  <c r="N148" i="5"/>
  <c r="N149" i="5"/>
  <c r="N142" i="5"/>
  <c r="N143" i="5"/>
  <c r="N146" i="5"/>
  <c r="L142" i="5"/>
  <c r="L143" i="5"/>
  <c r="L149" i="5"/>
  <c r="L141" i="5"/>
  <c r="L147" i="5"/>
  <c r="L145" i="5"/>
  <c r="L146" i="5"/>
  <c r="L144" i="5"/>
  <c r="L148" i="5"/>
  <c r="O144" i="5"/>
  <c r="O147" i="5"/>
  <c r="O145" i="5"/>
  <c r="O148" i="5"/>
  <c r="O146" i="5"/>
  <c r="O141" i="5"/>
  <c r="O142" i="5"/>
  <c r="O143" i="5"/>
  <c r="O149" i="5"/>
  <c r="L130" i="5"/>
  <c r="L134" i="5"/>
  <c r="L138" i="5"/>
  <c r="L129" i="5"/>
  <c r="AF12" i="5" s="1"/>
  <c r="L133" i="5"/>
  <c r="L137" i="5"/>
  <c r="L131" i="5"/>
  <c r="L135" i="5"/>
  <c r="L132" i="5"/>
  <c r="L136" i="5"/>
  <c r="O131" i="5"/>
  <c r="O135" i="5"/>
  <c r="O130" i="5"/>
  <c r="O134" i="5"/>
  <c r="O138" i="5"/>
  <c r="O133" i="5"/>
  <c r="O137" i="5"/>
  <c r="O132" i="5"/>
  <c r="O136" i="5"/>
  <c r="O129" i="5"/>
  <c r="AI12" i="5" s="1"/>
  <c r="O170" i="5"/>
  <c r="AM79" i="7"/>
  <c r="AH36" i="7"/>
  <c r="AO51" i="7"/>
  <c r="L41" i="8"/>
  <c r="N41" i="8" s="1"/>
  <c r="AK51" i="7"/>
  <c r="BN6" i="27"/>
  <c r="AN51" i="7"/>
  <c r="BN8" i="27"/>
  <c r="BF7" i="27"/>
  <c r="BH7" i="27" s="1"/>
  <c r="BF9" i="27"/>
  <c r="F40" i="8"/>
  <c r="H40" i="8" s="1"/>
  <c r="N170" i="5"/>
  <c r="BF8" i="27"/>
  <c r="BF5" i="27"/>
  <c r="BH5" i="27" s="1"/>
  <c r="U2" i="25"/>
  <c r="AM36" i="7"/>
  <c r="AN36" i="7"/>
  <c r="AO36" i="7"/>
  <c r="AI36" i="7"/>
  <c r="N151" i="5"/>
  <c r="L40" i="8"/>
  <c r="N40" i="8" s="1"/>
  <c r="AH51" i="7"/>
  <c r="R128" i="5" s="1"/>
  <c r="O151" i="5"/>
  <c r="L151" i="5"/>
  <c r="AJ51" i="7"/>
  <c r="BF6" i="27"/>
  <c r="BH6" i="27" s="1"/>
  <c r="I40" i="8"/>
  <c r="K40" i="8" s="1"/>
  <c r="M151" i="5"/>
  <c r="A122" i="29"/>
  <c r="AL51" i="7"/>
  <c r="M161" i="5"/>
  <c r="AJ36" i="7"/>
  <c r="BN7" i="27"/>
  <c r="Q26" i="26"/>
  <c r="I41" i="8"/>
  <c r="K41" i="8" s="1"/>
  <c r="AC41" i="8" s="1"/>
  <c r="C95" i="7"/>
  <c r="BN5" i="27"/>
  <c r="Q2" i="26"/>
  <c r="AI51" i="7"/>
  <c r="L178" i="5"/>
  <c r="I38" i="8"/>
  <c r="AM51" i="7"/>
  <c r="BN9" i="27"/>
  <c r="Q50" i="26"/>
  <c r="AL36" i="7"/>
  <c r="I39" i="8"/>
  <c r="K39" i="8" s="1"/>
  <c r="AC39" i="8" s="1"/>
  <c r="BI12" i="14"/>
  <c r="BW12" i="14"/>
  <c r="BI11" i="14"/>
  <c r="BJ11" i="40"/>
  <c r="BI43" i="14"/>
  <c r="BI44" i="14"/>
  <c r="AH43" i="14"/>
  <c r="AH44" i="14"/>
  <c r="BW11" i="14"/>
  <c r="D43" i="14"/>
  <c r="D44" i="14"/>
  <c r="BW43" i="14"/>
  <c r="BO13" i="39"/>
  <c r="BP13" i="39" s="1"/>
  <c r="BQ13" i="39" s="1"/>
  <c r="J9" i="73" s="1"/>
  <c r="EB13" i="39"/>
  <c r="EC13" i="39" s="1"/>
  <c r="ED13" i="39" s="1"/>
  <c r="J20" i="73" s="1"/>
  <c r="EI13" i="39"/>
  <c r="EJ13" i="39" s="1"/>
  <c r="EP13" i="39"/>
  <c r="EQ13" i="39" s="1"/>
  <c r="ER13" i="39" s="1"/>
  <c r="J22" i="73" s="1"/>
  <c r="BV13" i="39"/>
  <c r="BW13" i="39" s="1"/>
  <c r="BX13" i="39" s="1"/>
  <c r="J10" i="73" s="1"/>
  <c r="CC13" i="39"/>
  <c r="CD13" i="39" s="1"/>
  <c r="CE13" i="39" s="1"/>
  <c r="J11" i="73" s="1"/>
  <c r="AA29" i="5"/>
  <c r="AV19" i="39" s="1"/>
  <c r="AB29" i="5"/>
  <c r="BG19" i="39" s="1"/>
  <c r="Y29" i="5"/>
  <c r="AA19" i="39" s="1"/>
  <c r="Z29" i="5"/>
  <c r="AK19" i="39" s="1"/>
  <c r="X29" i="5"/>
  <c r="O96" i="37"/>
  <c r="AD12" i="27"/>
  <c r="AF12" i="27" s="1"/>
  <c r="AD11" i="27"/>
  <c r="AL11" i="27"/>
  <c r="AN11" i="27" s="1"/>
  <c r="S74" i="22"/>
  <c r="S86" i="22"/>
  <c r="AL12" i="27"/>
  <c r="AN12" i="27" s="1"/>
  <c r="BH17" i="39"/>
  <c r="AW17" i="39"/>
  <c r="BI5" i="14"/>
  <c r="L7" i="14"/>
  <c r="AH10" i="14"/>
  <c r="BO12" i="39"/>
  <c r="BP12" i="39" s="1"/>
  <c r="BQ12" i="39" s="1"/>
  <c r="BS6" i="14"/>
  <c r="EI8" i="39"/>
  <c r="EJ8" i="39" s="1"/>
  <c r="EK8" i="39" s="1"/>
  <c r="AU8" i="14"/>
  <c r="D6" i="14"/>
  <c r="BI8" i="14"/>
  <c r="BO9" i="14"/>
  <c r="EB11" i="39"/>
  <c r="EC11" i="39" s="1"/>
  <c r="ED11" i="39" s="1"/>
  <c r="EP6" i="39"/>
  <c r="EQ6" i="39" s="1"/>
  <c r="ER6" i="39" s="1"/>
  <c r="C22" i="73" s="1"/>
  <c r="AY8" i="14"/>
  <c r="L6" i="14"/>
  <c r="AL6" i="14"/>
  <c r="BV8" i="39"/>
  <c r="BW8" i="39" s="1"/>
  <c r="BX8" i="39" s="1"/>
  <c r="EI6" i="39"/>
  <c r="EJ6" i="39" s="1"/>
  <c r="EK6" i="39" s="1"/>
  <c r="AU5" i="14"/>
  <c r="AP7" i="14"/>
  <c r="CC9" i="39"/>
  <c r="CD9" i="39" s="1"/>
  <c r="CE9" i="39" s="1"/>
  <c r="F11" i="73" s="1"/>
  <c r="BC6" i="14"/>
  <c r="D8" i="14"/>
  <c r="BO5" i="14"/>
  <c r="EB7" i="39"/>
  <c r="EC7" i="39" s="1"/>
  <c r="ED7" i="39" s="1"/>
  <c r="AY9" i="14"/>
  <c r="G42" i="11"/>
  <c r="L11" i="14"/>
  <c r="AB7" i="14"/>
  <c r="AL7" i="14"/>
  <c r="BV9" i="39"/>
  <c r="BW9" i="39" s="1"/>
  <c r="BX9" i="39" s="1"/>
  <c r="V11" i="14"/>
  <c r="BO6" i="39"/>
  <c r="BP6" i="39" s="1"/>
  <c r="BQ6" i="39" s="1"/>
  <c r="BW10" i="14"/>
  <c r="EP12" i="39"/>
  <c r="EQ12" i="39" s="1"/>
  <c r="ER12" i="39" s="1"/>
  <c r="I22" i="73" s="1"/>
  <c r="EI10" i="39"/>
  <c r="EJ10" i="39" s="1"/>
  <c r="EK10" i="39" s="1"/>
  <c r="BS8" i="14"/>
  <c r="AU6" i="14"/>
  <c r="AP5" i="14"/>
  <c r="CC7" i="39"/>
  <c r="CD7" i="39" s="1"/>
  <c r="CE7" i="39" s="1"/>
  <c r="D11" i="73" s="1"/>
  <c r="BC8" i="14"/>
  <c r="D5" i="14"/>
  <c r="H10" i="14"/>
  <c r="F31" i="11"/>
  <c r="BO8" i="14"/>
  <c r="EB10" i="39"/>
  <c r="EC10" i="39" s="1"/>
  <c r="BW6" i="14"/>
  <c r="EP8" i="39"/>
  <c r="EQ8" i="39" s="1"/>
  <c r="ER8" i="39" s="1"/>
  <c r="E22" i="73" s="1"/>
  <c r="BV6" i="39"/>
  <c r="BW6" i="39" s="1"/>
  <c r="BX6" i="39" s="1"/>
  <c r="P10" i="14"/>
  <c r="V5" i="14"/>
  <c r="BV7" i="39"/>
  <c r="BW7" i="39" s="1"/>
  <c r="BX7" i="39" s="1"/>
  <c r="AL5" i="14"/>
  <c r="BS9" i="14"/>
  <c r="EI11" i="39"/>
  <c r="U20" i="11"/>
  <c r="AU10" i="14"/>
  <c r="CC12" i="39"/>
  <c r="CD12" i="39" s="1"/>
  <c r="CE12" i="39" s="1"/>
  <c r="I11" i="73" s="1"/>
  <c r="AP10" i="14"/>
  <c r="BC5" i="14"/>
  <c r="D11" i="14"/>
  <c r="H11" i="14"/>
  <c r="G31" i="11"/>
  <c r="BO6" i="14"/>
  <c r="EB8" i="39"/>
  <c r="EC8" i="39" s="1"/>
  <c r="ED8" i="39" s="1"/>
  <c r="BW8" i="14"/>
  <c r="EP10" i="39"/>
  <c r="EQ10" i="39" s="1"/>
  <c r="ER10" i="39" s="1"/>
  <c r="G22" i="73" s="1"/>
  <c r="AY10" i="14"/>
  <c r="U42" i="11"/>
  <c r="AB8" i="14"/>
  <c r="AL10" i="14"/>
  <c r="BV12" i="39"/>
  <c r="BW12" i="39" s="1"/>
  <c r="BX12" i="39" s="1"/>
  <c r="P11" i="14"/>
  <c r="AY6" i="14"/>
  <c r="AP8" i="14"/>
  <c r="CC10" i="39"/>
  <c r="CD10" i="39" s="1"/>
  <c r="CE10" i="39" s="1"/>
  <c r="G11" i="73" s="1"/>
  <c r="BC7" i="14"/>
  <c r="E20" i="11"/>
  <c r="D9" i="14"/>
  <c r="H6" i="14"/>
  <c r="EB6" i="39"/>
  <c r="EC6" i="39" s="1"/>
  <c r="ED6" i="39" s="1"/>
  <c r="BW9" i="14"/>
  <c r="EP11" i="39"/>
  <c r="EQ11" i="39" s="1"/>
  <c r="L8" i="14"/>
  <c r="AB5" i="14"/>
  <c r="BV10" i="39"/>
  <c r="BW10" i="39" s="1"/>
  <c r="BX10" i="39" s="1"/>
  <c r="AL8" i="14"/>
  <c r="V10" i="14"/>
  <c r="F42" i="11"/>
  <c r="L10" i="14"/>
  <c r="BS7" i="14"/>
  <c r="EI9" i="39"/>
  <c r="EJ9" i="39" s="1"/>
  <c r="EK9" i="39" s="1"/>
  <c r="BC9" i="14"/>
  <c r="D10" i="14"/>
  <c r="H7" i="14"/>
  <c r="BO7" i="14"/>
  <c r="EB9" i="39"/>
  <c r="EC9" i="39" s="1"/>
  <c r="ED9" i="39" s="1"/>
  <c r="BW7" i="14"/>
  <c r="EP9" i="39"/>
  <c r="EQ9" i="39" s="1"/>
  <c r="ER9" i="39" s="1"/>
  <c r="F22" i="73" s="1"/>
  <c r="P9" i="14"/>
  <c r="V8" i="14"/>
  <c r="AU9" i="14"/>
  <c r="AP6" i="14"/>
  <c r="CC8" i="39"/>
  <c r="CD8" i="39" s="1"/>
  <c r="CE8" i="39" s="1"/>
  <c r="E11" i="73" s="1"/>
  <c r="H5" i="14"/>
  <c r="P5" i="14"/>
  <c r="V9" i="14"/>
  <c r="BI6" i="14"/>
  <c r="CC11" i="39"/>
  <c r="CD11" i="39" s="1"/>
  <c r="AP9" i="14"/>
  <c r="EB12" i="39"/>
  <c r="EC12" i="39" s="1"/>
  <c r="BO10" i="14"/>
  <c r="AB10" i="14"/>
  <c r="V7" i="14"/>
  <c r="AP11" i="14"/>
  <c r="D7" i="14"/>
  <c r="AB11" i="14"/>
  <c r="P7" i="14"/>
  <c r="V6" i="14"/>
  <c r="AH5" i="14"/>
  <c r="BO7" i="39"/>
  <c r="BP7" i="39" s="1"/>
  <c r="BQ7" i="39" s="1"/>
  <c r="CC6" i="39"/>
  <c r="CD6" i="39" s="1"/>
  <c r="CE6" i="39" s="1"/>
  <c r="C11" i="73" s="1"/>
  <c r="H9" i="14"/>
  <c r="AB9" i="14"/>
  <c r="P8" i="14"/>
  <c r="AH7" i="14"/>
  <c r="BO9" i="39"/>
  <c r="BP9" i="39" s="1"/>
  <c r="BQ9" i="39" s="1"/>
  <c r="BI9" i="14"/>
  <c r="H8" i="14"/>
  <c r="AB6" i="14"/>
  <c r="P6" i="14"/>
  <c r="BW5" i="14"/>
  <c r="EP7" i="39"/>
  <c r="EQ7" i="39" s="1"/>
  <c r="ER7" i="39" s="1"/>
  <c r="D22" i="73" s="1"/>
  <c r="AH11" i="14"/>
  <c r="BS10" i="14"/>
  <c r="EI12" i="39"/>
  <c r="EJ12" i="39" s="1"/>
  <c r="EK12" i="39" s="1"/>
  <c r="BI10" i="14"/>
  <c r="V42" i="11"/>
  <c r="AH6" i="14"/>
  <c r="BO8" i="39"/>
  <c r="BP8" i="39" s="1"/>
  <c r="BQ8" i="39" s="1"/>
  <c r="BS5" i="14"/>
  <c r="EI7" i="39"/>
  <c r="EJ7" i="39" s="1"/>
  <c r="EK7" i="39" s="1"/>
  <c r="AY5" i="14"/>
  <c r="L9" i="14"/>
  <c r="AL11" i="14"/>
  <c r="BO11" i="39"/>
  <c r="BP11" i="39" s="1"/>
  <c r="AH9" i="14"/>
  <c r="AU7" i="14"/>
  <c r="AH8" i="14"/>
  <c r="BO10" i="39"/>
  <c r="BP10" i="39" s="1"/>
  <c r="BQ10" i="39" s="1"/>
  <c r="BC10" i="14"/>
  <c r="BI7" i="14"/>
  <c r="AY7" i="14"/>
  <c r="L5" i="14"/>
  <c r="L14" i="14" s="1"/>
  <c r="AL9" i="14"/>
  <c r="AL14" i="14" s="1"/>
  <c r="BV11" i="39"/>
  <c r="BW11" i="39" s="1"/>
  <c r="BX11" i="39" s="1"/>
  <c r="BI37" i="40"/>
  <c r="BI38" i="40"/>
  <c r="BI12" i="40"/>
  <c r="V11" i="40"/>
  <c r="U38" i="40"/>
  <c r="U37" i="40"/>
  <c r="U12" i="40"/>
  <c r="U25" i="40" s="1"/>
  <c r="U24" i="40" s="1"/>
  <c r="Q17" i="39"/>
  <c r="BG18" i="39"/>
  <c r="G17" i="39"/>
  <c r="W28" i="5"/>
  <c r="W54" i="5"/>
  <c r="AA18" i="39"/>
  <c r="AV18" i="39"/>
  <c r="X54" i="5"/>
  <c r="AK18" i="39"/>
  <c r="C21" i="73" l="1"/>
  <c r="BN18" i="40"/>
  <c r="D10" i="73"/>
  <c r="AH19" i="40"/>
  <c r="F20" i="73"/>
  <c r="BG21" i="40"/>
  <c r="C20" i="73"/>
  <c r="BG18" i="40"/>
  <c r="E20" i="73"/>
  <c r="BG20" i="40"/>
  <c r="C10" i="73"/>
  <c r="AH18" i="40"/>
  <c r="C9" i="73"/>
  <c r="AA18" i="40"/>
  <c r="E10" i="73"/>
  <c r="AH20" i="40"/>
  <c r="G21" i="73"/>
  <c r="BN22" i="40"/>
  <c r="H10" i="73"/>
  <c r="AH23" i="40"/>
  <c r="E9" i="73"/>
  <c r="AA20" i="40"/>
  <c r="F21" i="73"/>
  <c r="BN21" i="40"/>
  <c r="H20" i="73"/>
  <c r="BG23" i="40"/>
  <c r="F10" i="73"/>
  <c r="AH21" i="40"/>
  <c r="D21" i="73"/>
  <c r="BN19" i="40"/>
  <c r="I21" i="73"/>
  <c r="BN24" i="40"/>
  <c r="I10" i="73"/>
  <c r="AH24" i="40"/>
  <c r="F9" i="73"/>
  <c r="AA21" i="40"/>
  <c r="D9" i="73"/>
  <c r="AA19" i="40"/>
  <c r="D20" i="73"/>
  <c r="BG19" i="40"/>
  <c r="E21" i="73"/>
  <c r="BN20" i="40"/>
  <c r="G9" i="73"/>
  <c r="AA22" i="40"/>
  <c r="G10" i="73"/>
  <c r="AH22" i="40"/>
  <c r="I9" i="73"/>
  <c r="AA24" i="40"/>
  <c r="U23" i="40"/>
  <c r="X24" i="40"/>
  <c r="AY15" i="39"/>
  <c r="K27" i="40"/>
  <c r="AM80" i="7"/>
  <c r="AU16" i="14"/>
  <c r="AU17" i="14"/>
  <c r="AU18" i="14"/>
  <c r="AU14" i="14"/>
  <c r="AU15" i="14"/>
  <c r="BS14" i="14"/>
  <c r="P14" i="14"/>
  <c r="BC14" i="14"/>
  <c r="AH14" i="14"/>
  <c r="H14" i="14"/>
  <c r="BO14" i="14"/>
  <c r="BW14" i="14"/>
  <c r="AP14" i="14"/>
  <c r="AP57" i="14" s="1"/>
  <c r="AP58" i="14" s="1"/>
  <c r="AP59" i="14" s="1"/>
  <c r="AP60" i="14" s="1"/>
  <c r="AP61" i="14" s="1"/>
  <c r="AP62" i="14" s="1"/>
  <c r="AP63" i="14" s="1"/>
  <c r="AP64" i="14" s="1"/>
  <c r="AP65" i="14" s="1"/>
  <c r="AP66" i="14" s="1"/>
  <c r="AP67" i="14" s="1"/>
  <c r="AP68" i="14" s="1"/>
  <c r="K14" i="14"/>
  <c r="AE38" i="8"/>
  <c r="AD38" i="8"/>
  <c r="AC40" i="8"/>
  <c r="AD40" i="8"/>
  <c r="AE40" i="8"/>
  <c r="AD39" i="8"/>
  <c r="AE39" i="8"/>
  <c r="AD41" i="8"/>
  <c r="AE41" i="8"/>
  <c r="H17" i="14"/>
  <c r="H18" i="14"/>
  <c r="H19" i="14"/>
  <c r="H15" i="14"/>
  <c r="H16" i="14"/>
  <c r="BJ13" i="40"/>
  <c r="BJ14" i="40"/>
  <c r="BI25" i="40"/>
  <c r="BI24" i="40" s="1"/>
  <c r="BI23" i="40" s="1"/>
  <c r="BI22" i="40" s="1"/>
  <c r="BI21" i="40" s="1"/>
  <c r="BI20" i="40" s="1"/>
  <c r="BI19" i="40" s="1"/>
  <c r="BI18" i="40" s="1"/>
  <c r="V14" i="40"/>
  <c r="DK17" i="39"/>
  <c r="DK20" i="39"/>
  <c r="DK21" i="39"/>
  <c r="DK19" i="39"/>
  <c r="DK18" i="39"/>
  <c r="K7" i="73"/>
  <c r="K8" i="73"/>
  <c r="BJ15" i="39"/>
  <c r="AD14" i="27"/>
  <c r="AF14" i="27" s="1"/>
  <c r="S29" i="40"/>
  <c r="K29" i="40"/>
  <c r="AL14" i="27"/>
  <c r="AN14" i="27" s="1"/>
  <c r="AA16" i="14"/>
  <c r="AA17" i="14" s="1"/>
  <c r="AB86" i="51"/>
  <c r="AC85" i="51" s="1"/>
  <c r="G49" i="12"/>
  <c r="J49" i="12"/>
  <c r="H49" i="12"/>
  <c r="I49" i="12"/>
  <c r="AR9" i="7"/>
  <c r="AR27" i="7" s="1"/>
  <c r="AQ27" i="7"/>
  <c r="AQ38" i="7" s="1"/>
  <c r="T21" i="11"/>
  <c r="T25" i="11" s="1"/>
  <c r="S43" i="11"/>
  <c r="S47" i="11" s="1"/>
  <c r="R57" i="11"/>
  <c r="R59" i="11" s="1"/>
  <c r="R61" i="11" s="1"/>
  <c r="R78" i="11" s="1"/>
  <c r="F54" i="11"/>
  <c r="F57" i="11" s="1"/>
  <c r="F59" i="11" s="1"/>
  <c r="F61" i="11" s="1"/>
  <c r="F78" i="11" s="1"/>
  <c r="F80" i="11" s="1"/>
  <c r="D43" i="11"/>
  <c r="D47" i="11" s="1"/>
  <c r="C76" i="11"/>
  <c r="C77" i="11" s="1"/>
  <c r="C105" i="11" s="1"/>
  <c r="T43" i="11"/>
  <c r="T47" i="11" s="1"/>
  <c r="T54" i="11"/>
  <c r="T57" i="11" s="1"/>
  <c r="T59" i="11" s="1"/>
  <c r="T61" i="11" s="1"/>
  <c r="T78" i="11" s="1"/>
  <c r="T80" i="11" s="1"/>
  <c r="S54" i="11"/>
  <c r="S57" i="11" s="1"/>
  <c r="S59" i="11" s="1"/>
  <c r="S61" i="11" s="1"/>
  <c r="S78" i="11" s="1"/>
  <c r="T79" i="11" s="1"/>
  <c r="R76" i="11"/>
  <c r="R77" i="11" s="1"/>
  <c r="R105" i="11" s="1"/>
  <c r="E43" i="11"/>
  <c r="E47" i="11" s="1"/>
  <c r="C57" i="11"/>
  <c r="C59" i="11" s="1"/>
  <c r="C61" i="11" s="1"/>
  <c r="C78" i="11" s="1"/>
  <c r="E32" i="11"/>
  <c r="E36" i="11" s="1"/>
  <c r="D71" i="11"/>
  <c r="D32" i="11"/>
  <c r="D36" i="11" s="1"/>
  <c r="R68" i="11"/>
  <c r="R69" i="11" s="1"/>
  <c r="R103" i="11" s="1"/>
  <c r="S21" i="11"/>
  <c r="S25" i="11" s="1"/>
  <c r="F49" i="12"/>
  <c r="DK16" i="39"/>
  <c r="E49" i="12"/>
  <c r="ED10" i="39"/>
  <c r="C68" i="11"/>
  <c r="C69" i="11" s="1"/>
  <c r="C103" i="11" s="1"/>
  <c r="D54" i="11"/>
  <c r="D57" i="11" s="1"/>
  <c r="D59" i="11" s="1"/>
  <c r="D61" i="11" s="1"/>
  <c r="D78" i="11" s="1"/>
  <c r="E79" i="11" s="1"/>
  <c r="D21" i="11"/>
  <c r="D25" i="11" s="1"/>
  <c r="E54" i="11"/>
  <c r="E57" i="11" s="1"/>
  <c r="E59" i="11" s="1"/>
  <c r="E61" i="11" s="1"/>
  <c r="E78" i="11" s="1"/>
  <c r="F79" i="11" s="1"/>
  <c r="C177" i="44"/>
  <c r="EK13" i="39"/>
  <c r="J21" i="73" s="1"/>
  <c r="L142" i="51"/>
  <c r="M146" i="51"/>
  <c r="M150" i="51" s="1"/>
  <c r="J143" i="10"/>
  <c r="K147" i="10"/>
  <c r="K142" i="10"/>
  <c r="L146" i="10"/>
  <c r="AF11" i="27"/>
  <c r="C20" i="44"/>
  <c r="C135" i="44" s="1"/>
  <c r="G70" i="44"/>
  <c r="BO9" i="27"/>
  <c r="BP9" i="27" s="1"/>
  <c r="P60" i="26"/>
  <c r="Q60" i="26" s="1"/>
  <c r="BO6" i="27"/>
  <c r="BP6" i="27" s="1"/>
  <c r="P24" i="26"/>
  <c r="Q24" i="26" s="1"/>
  <c r="BO5" i="27"/>
  <c r="BP5" i="27" s="1"/>
  <c r="P12" i="26"/>
  <c r="Q12" i="26" s="1"/>
  <c r="P36" i="26"/>
  <c r="Q36" i="26" s="1"/>
  <c r="BO7" i="27"/>
  <c r="BP7" i="27" s="1"/>
  <c r="J38" i="44"/>
  <c r="F38" i="44"/>
  <c r="H38" i="44"/>
  <c r="I38" i="44"/>
  <c r="G38" i="44"/>
  <c r="E38" i="44"/>
  <c r="D38" i="44"/>
  <c r="O81" i="21"/>
  <c r="O77" i="21"/>
  <c r="O79" i="21"/>
  <c r="O80" i="21"/>
  <c r="O78" i="21"/>
  <c r="O82" i="21"/>
  <c r="O85" i="21"/>
  <c r="O76" i="21"/>
  <c r="O84" i="21"/>
  <c r="O75" i="21"/>
  <c r="O83" i="21"/>
  <c r="O74" i="21"/>
  <c r="AC83" i="51"/>
  <c r="AC82" i="51"/>
  <c r="AC84" i="51"/>
  <c r="AC80" i="51"/>
  <c r="X79" i="11"/>
  <c r="U16" i="14"/>
  <c r="U27" i="25"/>
  <c r="U14" i="25"/>
  <c r="BO8" i="27"/>
  <c r="BP8" i="27" s="1"/>
  <c r="AC81" i="10"/>
  <c r="AC80" i="10"/>
  <c r="AC82" i="10"/>
  <c r="AC83" i="10"/>
  <c r="D98" i="17"/>
  <c r="AH48" i="5"/>
  <c r="AG48" i="5"/>
  <c r="D100" i="17"/>
  <c r="D109" i="17"/>
  <c r="D108" i="17"/>
  <c r="D104" i="17"/>
  <c r="D101" i="17"/>
  <c r="D99" i="17"/>
  <c r="D106" i="17"/>
  <c r="D107" i="17"/>
  <c r="D102" i="17"/>
  <c r="D103" i="17"/>
  <c r="D105" i="17"/>
  <c r="AL13" i="27"/>
  <c r="AN13" i="27" s="1"/>
  <c r="R104" i="22"/>
  <c r="S104" i="22" s="1"/>
  <c r="R101" i="22"/>
  <c r="S101" i="22" s="1"/>
  <c r="N105" i="21"/>
  <c r="O105" i="21" s="1"/>
  <c r="N99" i="21"/>
  <c r="O99" i="21" s="1"/>
  <c r="N107" i="21"/>
  <c r="O107" i="21" s="1"/>
  <c r="M171" i="5"/>
  <c r="AD13" i="27"/>
  <c r="AF13" i="27" s="1"/>
  <c r="M174" i="5"/>
  <c r="M175" i="5"/>
  <c r="M176" i="5"/>
  <c r="M173" i="5"/>
  <c r="R41" i="8"/>
  <c r="T41" i="8" s="1"/>
  <c r="AF41" i="8" s="1"/>
  <c r="AJ81" i="7"/>
  <c r="AH81" i="7"/>
  <c r="C104" i="11"/>
  <c r="E21" i="11"/>
  <c r="E25" i="11" s="1"/>
  <c r="AI81" i="7"/>
  <c r="R39" i="8"/>
  <c r="T39" i="8" s="1"/>
  <c r="AF39" i="8" s="1"/>
  <c r="R38" i="8"/>
  <c r="T38" i="8" s="1"/>
  <c r="AF38" i="8" s="1"/>
  <c r="O45" i="8"/>
  <c r="Q45" i="8" s="1"/>
  <c r="G54" i="11"/>
  <c r="G57" i="11" s="1"/>
  <c r="G59" i="11" s="1"/>
  <c r="G61" i="11" s="1"/>
  <c r="G78" i="11" s="1"/>
  <c r="H54" i="11"/>
  <c r="H57" i="11" s="1"/>
  <c r="H59" i="11" s="1"/>
  <c r="H61" i="11" s="1"/>
  <c r="H78" i="11" s="1"/>
  <c r="U54" i="11"/>
  <c r="U57" i="11" s="1"/>
  <c r="U59" i="11" s="1"/>
  <c r="U61" i="11" s="1"/>
  <c r="U78" i="11" s="1"/>
  <c r="V54" i="11"/>
  <c r="V57" i="11" s="1"/>
  <c r="V59" i="11" s="1"/>
  <c r="V61" i="11" s="1"/>
  <c r="V78" i="11" s="1"/>
  <c r="J95" i="7"/>
  <c r="M192" i="5"/>
  <c r="M194" i="5"/>
  <c r="M193" i="5"/>
  <c r="E102" i="41"/>
  <c r="AF13" i="5"/>
  <c r="AI13" i="5"/>
  <c r="AH13" i="5"/>
  <c r="AG13" i="5"/>
  <c r="O198" i="5"/>
  <c r="O197" i="5"/>
  <c r="AR8" i="7"/>
  <c r="AQ47" i="7"/>
  <c r="M200" i="5" s="1"/>
  <c r="M201" i="5" s="1"/>
  <c r="AQ48" i="7"/>
  <c r="N200" i="5" s="1"/>
  <c r="N201" i="5" s="1"/>
  <c r="AQ49" i="7"/>
  <c r="O200" i="5" s="1"/>
  <c r="O201" i="5" s="1"/>
  <c r="AQ46" i="7"/>
  <c r="L200" i="5" s="1"/>
  <c r="AQ18" i="7"/>
  <c r="AP41" i="7"/>
  <c r="AP38" i="7"/>
  <c r="AH82" i="7"/>
  <c r="AG82" i="7"/>
  <c r="AJ82" i="7"/>
  <c r="AI82" i="7"/>
  <c r="AP40" i="7"/>
  <c r="AP39" i="7"/>
  <c r="N196" i="5"/>
  <c r="R40" i="8"/>
  <c r="T40" i="8" s="1"/>
  <c r="AF40" i="8" s="1"/>
  <c r="M198" i="5"/>
  <c r="M197" i="5"/>
  <c r="O193" i="5"/>
  <c r="O192" i="5"/>
  <c r="O194" i="5"/>
  <c r="L194" i="5"/>
  <c r="L192" i="5"/>
  <c r="L193" i="5"/>
  <c r="L180" i="5"/>
  <c r="L183" i="5"/>
  <c r="L181" i="5"/>
  <c r="L179" i="5"/>
  <c r="L182" i="5"/>
  <c r="O176" i="5"/>
  <c r="O171" i="5"/>
  <c r="O174" i="5"/>
  <c r="O175" i="5"/>
  <c r="O173" i="5"/>
  <c r="O172" i="5"/>
  <c r="N176" i="5"/>
  <c r="N175" i="5"/>
  <c r="N173" i="5"/>
  <c r="N172" i="5"/>
  <c r="N171" i="5"/>
  <c r="N174" i="5"/>
  <c r="M165" i="5"/>
  <c r="M168" i="5"/>
  <c r="M163" i="5"/>
  <c r="M166" i="5"/>
  <c r="M164" i="5"/>
  <c r="M162" i="5"/>
  <c r="M167" i="5"/>
  <c r="M159" i="5"/>
  <c r="M157" i="5"/>
  <c r="M152" i="5"/>
  <c r="AG14" i="5" s="1"/>
  <c r="M156" i="5"/>
  <c r="M154" i="5"/>
  <c r="M155" i="5"/>
  <c r="M153" i="5"/>
  <c r="M158" i="5"/>
  <c r="L159" i="5"/>
  <c r="L157" i="5"/>
  <c r="L156" i="5"/>
  <c r="L152" i="5"/>
  <c r="AF14" i="5" s="1"/>
  <c r="L153" i="5"/>
  <c r="AF15" i="5" s="1"/>
  <c r="L155" i="5"/>
  <c r="L154" i="5"/>
  <c r="AF16" i="5" s="1"/>
  <c r="L158" i="5"/>
  <c r="O154" i="5"/>
  <c r="O152" i="5"/>
  <c r="AI14" i="5" s="1"/>
  <c r="O157" i="5"/>
  <c r="O155" i="5"/>
  <c r="O158" i="5"/>
  <c r="O153" i="5"/>
  <c r="AI15" i="5" s="1"/>
  <c r="O156" i="5"/>
  <c r="O159" i="5"/>
  <c r="N152" i="5"/>
  <c r="AH14" i="5" s="1"/>
  <c r="N154" i="5"/>
  <c r="N155" i="5"/>
  <c r="N156" i="5"/>
  <c r="N159" i="5"/>
  <c r="N157" i="5"/>
  <c r="N158" i="5"/>
  <c r="N153" i="5"/>
  <c r="AH15" i="5" s="1"/>
  <c r="F45" i="8"/>
  <c r="H45" i="8" s="1"/>
  <c r="AI43" i="7"/>
  <c r="AM43" i="7"/>
  <c r="AL43" i="7"/>
  <c r="AN43" i="7"/>
  <c r="L45" i="8"/>
  <c r="N45" i="8" s="1"/>
  <c r="AK43" i="7"/>
  <c r="AO43" i="7"/>
  <c r="AH43" i="7"/>
  <c r="AP51" i="7"/>
  <c r="AG49" i="5"/>
  <c r="C122" i="29"/>
  <c r="A123" i="29"/>
  <c r="B122" i="29"/>
  <c r="K38" i="8"/>
  <c r="AC38" i="8" s="1"/>
  <c r="I45" i="8"/>
  <c r="K45" i="8" s="1"/>
  <c r="C45" i="8"/>
  <c r="E45" i="8" s="1"/>
  <c r="D54" i="8"/>
  <c r="AJ43" i="7"/>
  <c r="AF48" i="5"/>
  <c r="AI48" i="5"/>
  <c r="AH49" i="5"/>
  <c r="BJ12" i="40"/>
  <c r="BJ30" i="40" s="1"/>
  <c r="V13" i="40"/>
  <c r="Z56" i="5"/>
  <c r="Y56" i="5"/>
  <c r="EB14" i="39"/>
  <c r="EC14" i="39" s="1"/>
  <c r="ED14" i="39" s="1"/>
  <c r="K20" i="73" s="1"/>
  <c r="AA56" i="5"/>
  <c r="Z30" i="5"/>
  <c r="AK20" i="39" s="1"/>
  <c r="X56" i="5"/>
  <c r="Y30" i="5"/>
  <c r="AA20" i="39" s="1"/>
  <c r="X30" i="5"/>
  <c r="AA30" i="5"/>
  <c r="AV20" i="39" s="1"/>
  <c r="AB56" i="5"/>
  <c r="AB30" i="5"/>
  <c r="BG20" i="39" s="1"/>
  <c r="W29" i="5"/>
  <c r="G19" i="39" s="1"/>
  <c r="C184" i="44"/>
  <c r="F25" i="44"/>
  <c r="C27" i="44"/>
  <c r="H72" i="44"/>
  <c r="D24" i="44"/>
  <c r="D139" i="44" s="1"/>
  <c r="D72" i="44"/>
  <c r="F27" i="44"/>
  <c r="H27" i="44"/>
  <c r="C26" i="44"/>
  <c r="G72" i="44"/>
  <c r="C25" i="44"/>
  <c r="H71" i="44"/>
  <c r="J26" i="44"/>
  <c r="D76" i="44"/>
  <c r="D20" i="44"/>
  <c r="D135" i="44" s="1"/>
  <c r="G21" i="44"/>
  <c r="G76" i="44"/>
  <c r="E21" i="44"/>
  <c r="E75" i="44"/>
  <c r="F73" i="44"/>
  <c r="G22" i="44"/>
  <c r="D25" i="44"/>
  <c r="E74" i="44"/>
  <c r="C21" i="44"/>
  <c r="C136" i="44" s="1"/>
  <c r="D27" i="44"/>
  <c r="J72" i="44"/>
  <c r="G71" i="44"/>
  <c r="J25" i="44"/>
  <c r="I72" i="44"/>
  <c r="E23" i="44"/>
  <c r="F23" i="44"/>
  <c r="J76" i="44"/>
  <c r="J75" i="44"/>
  <c r="I25" i="44"/>
  <c r="J27" i="44"/>
  <c r="E71" i="44"/>
  <c r="I27" i="44"/>
  <c r="H21" i="44"/>
  <c r="E22" i="44"/>
  <c r="H24" i="44"/>
  <c r="H139" i="44" s="1"/>
  <c r="F75" i="44"/>
  <c r="H76" i="44"/>
  <c r="J22" i="44"/>
  <c r="E76" i="44"/>
  <c r="D74" i="44"/>
  <c r="C76" i="44"/>
  <c r="D71" i="44"/>
  <c r="E24" i="44"/>
  <c r="E139" i="44" s="1"/>
  <c r="F22" i="44"/>
  <c r="C22" i="44"/>
  <c r="F76" i="44"/>
  <c r="H75" i="44"/>
  <c r="J23" i="44"/>
  <c r="J20" i="44"/>
  <c r="J135" i="44" s="1"/>
  <c r="F26" i="44"/>
  <c r="J71" i="44"/>
  <c r="E73" i="44"/>
  <c r="E27" i="44"/>
  <c r="G25" i="44"/>
  <c r="C73" i="44"/>
  <c r="G20" i="44"/>
  <c r="G135" i="44" s="1"/>
  <c r="H20" i="44"/>
  <c r="H135" i="44" s="1"/>
  <c r="I24" i="44"/>
  <c r="I139" i="44" s="1"/>
  <c r="F74" i="44"/>
  <c r="I21" i="44"/>
  <c r="C74" i="44"/>
  <c r="I26" i="44"/>
  <c r="G74" i="44"/>
  <c r="G75" i="44"/>
  <c r="H74" i="44"/>
  <c r="I73" i="44"/>
  <c r="F72" i="44"/>
  <c r="D26" i="44"/>
  <c r="C72" i="44"/>
  <c r="F21" i="44"/>
  <c r="H26" i="44"/>
  <c r="D75" i="44"/>
  <c r="J73" i="44"/>
  <c r="J24" i="44"/>
  <c r="J139" i="44" s="1"/>
  <c r="H23" i="44"/>
  <c r="F20" i="44"/>
  <c r="F135" i="44" s="1"/>
  <c r="I23" i="44"/>
  <c r="G24" i="44"/>
  <c r="G139" i="44" s="1"/>
  <c r="I74" i="44"/>
  <c r="F24" i="44"/>
  <c r="F139" i="44" s="1"/>
  <c r="J74" i="44"/>
  <c r="G73" i="44"/>
  <c r="D21" i="44"/>
  <c r="E20" i="44"/>
  <c r="E135" i="44" s="1"/>
  <c r="D23" i="44"/>
  <c r="I76" i="44"/>
  <c r="E72" i="44"/>
  <c r="I75" i="44"/>
  <c r="H73" i="44"/>
  <c r="D22" i="44"/>
  <c r="G27" i="44"/>
  <c r="C75" i="44"/>
  <c r="H25" i="44"/>
  <c r="G23" i="44"/>
  <c r="I20" i="44"/>
  <c r="I135" i="44" s="1"/>
  <c r="J21" i="44"/>
  <c r="C23" i="44"/>
  <c r="F71" i="44"/>
  <c r="E25" i="44"/>
  <c r="H22" i="44"/>
  <c r="G26" i="44"/>
  <c r="I71" i="44"/>
  <c r="I22" i="44"/>
  <c r="E26" i="44"/>
  <c r="D73" i="44"/>
  <c r="BH18" i="39"/>
  <c r="BH19" i="39"/>
  <c r="AW19" i="39"/>
  <c r="AW18" i="39"/>
  <c r="ER11" i="39"/>
  <c r="H22" i="73" s="1"/>
  <c r="AA25" i="40"/>
  <c r="F43" i="11"/>
  <c r="F47" i="11" s="1"/>
  <c r="H19" i="44"/>
  <c r="H102" i="41"/>
  <c r="F19" i="44"/>
  <c r="F102" i="41"/>
  <c r="G32" i="11"/>
  <c r="G36" i="11" s="1"/>
  <c r="ED12" i="39"/>
  <c r="H70" i="44"/>
  <c r="H113" i="41"/>
  <c r="C19" i="44"/>
  <c r="C102" i="41"/>
  <c r="J19" i="44"/>
  <c r="J102" i="41"/>
  <c r="F32" i="11"/>
  <c r="F36" i="11" s="1"/>
  <c r="V43" i="11"/>
  <c r="V47" i="11" s="1"/>
  <c r="U43" i="11"/>
  <c r="U47" i="11" s="1"/>
  <c r="G19" i="44"/>
  <c r="G102" i="41"/>
  <c r="F70" i="44"/>
  <c r="F113" i="41"/>
  <c r="CE11" i="39"/>
  <c r="H11" i="73" s="1"/>
  <c r="G43" i="11"/>
  <c r="G47" i="11" s="1"/>
  <c r="I19" i="44"/>
  <c r="I102" i="41"/>
  <c r="C70" i="44"/>
  <c r="C113" i="41"/>
  <c r="E19" i="44"/>
  <c r="J70" i="44"/>
  <c r="J113" i="41"/>
  <c r="D19" i="44"/>
  <c r="D102" i="41"/>
  <c r="BQ11" i="39"/>
  <c r="I70" i="44"/>
  <c r="I113" i="41"/>
  <c r="G113" i="41"/>
  <c r="BG25" i="40"/>
  <c r="U21" i="11"/>
  <c r="U25" i="11" s="1"/>
  <c r="E70" i="44"/>
  <c r="E113" i="41"/>
  <c r="D70" i="44"/>
  <c r="D113" i="41"/>
  <c r="V12" i="40"/>
  <c r="Q19" i="39"/>
  <c r="Q18" i="39"/>
  <c r="W55" i="5"/>
  <c r="G18" i="39"/>
  <c r="Y55" i="5"/>
  <c r="AA55" i="5"/>
  <c r="Z55" i="5"/>
  <c r="X55" i="5"/>
  <c r="AB55" i="5"/>
  <c r="BJ20" i="40" l="1"/>
  <c r="I20" i="73"/>
  <c r="BG24" i="40"/>
  <c r="H9" i="73"/>
  <c r="AA23" i="40"/>
  <c r="BJ19" i="40"/>
  <c r="BJ24" i="40"/>
  <c r="BJ22" i="40"/>
  <c r="G20" i="73"/>
  <c r="BG22" i="40"/>
  <c r="BJ23" i="40"/>
  <c r="BJ21" i="40"/>
  <c r="BJ18" i="40"/>
  <c r="U22" i="40"/>
  <c r="X23" i="40"/>
  <c r="AO57" i="14"/>
  <c r="AC81" i="51"/>
  <c r="BD70" i="2"/>
  <c r="BD72" i="2"/>
  <c r="BD71" i="2"/>
  <c r="BD63" i="2"/>
  <c r="BD62" i="2"/>
  <c r="BD64" i="2"/>
  <c r="BD65" i="2"/>
  <c r="BD73" i="2"/>
  <c r="BD66" i="2"/>
  <c r="BD67" i="2"/>
  <c r="BD69" i="2"/>
  <c r="BD68" i="2"/>
  <c r="V26" i="40"/>
  <c r="BJ68" i="2"/>
  <c r="BK68" i="2" s="1"/>
  <c r="BP69" i="2"/>
  <c r="BQ69" i="2" s="1"/>
  <c r="H38" i="2"/>
  <c r="BJ33" i="40"/>
  <c r="BJ32" i="40"/>
  <c r="BJ26" i="40"/>
  <c r="BJ29" i="40"/>
  <c r="V27" i="40"/>
  <c r="BJ25" i="40"/>
  <c r="BJ28" i="40"/>
  <c r="BJ27" i="40"/>
  <c r="V28" i="40"/>
  <c r="V25" i="40"/>
  <c r="V33" i="40"/>
  <c r="V30" i="40"/>
  <c r="V31" i="40"/>
  <c r="V32" i="40"/>
  <c r="BJ31" i="40"/>
  <c r="V29" i="40"/>
  <c r="N31" i="73"/>
  <c r="N28" i="73"/>
  <c r="N30" i="73"/>
  <c r="M32" i="73"/>
  <c r="L28" i="73"/>
  <c r="L30" i="73"/>
  <c r="K30" i="73"/>
  <c r="L32" i="73"/>
  <c r="M28" i="73"/>
  <c r="M30" i="73"/>
  <c r="L31" i="73"/>
  <c r="M31" i="73"/>
  <c r="K28" i="73"/>
  <c r="I54" i="8"/>
  <c r="S31" i="40"/>
  <c r="K30" i="40"/>
  <c r="K31" i="40"/>
  <c r="AN17" i="27"/>
  <c r="AL15" i="27"/>
  <c r="AN15" i="27" s="1"/>
  <c r="AF17" i="27"/>
  <c r="AD15" i="27"/>
  <c r="AF15" i="27" s="1"/>
  <c r="S122" i="22"/>
  <c r="AN18" i="27" s="1"/>
  <c r="O122" i="21"/>
  <c r="AF18" i="27" s="1"/>
  <c r="T150" i="51"/>
  <c r="G33" i="40" s="1"/>
  <c r="S150" i="51"/>
  <c r="G32" i="40" s="1"/>
  <c r="R150" i="51"/>
  <c r="G31" i="40" s="1"/>
  <c r="Q150" i="51"/>
  <c r="G30" i="40" s="1"/>
  <c r="P150" i="51"/>
  <c r="G29" i="40" s="1"/>
  <c r="O150" i="51"/>
  <c r="G28" i="40" s="1"/>
  <c r="N150" i="51"/>
  <c r="G27" i="40" s="1"/>
  <c r="T24" i="11"/>
  <c r="T26" i="11" s="1"/>
  <c r="T28" i="11" s="1"/>
  <c r="T66" i="11" s="1"/>
  <c r="U67" i="11" s="1"/>
  <c r="AR18" i="7"/>
  <c r="AR26" i="7"/>
  <c r="AR39" i="7" s="1"/>
  <c r="BN25" i="40"/>
  <c r="S46" i="11"/>
  <c r="S48" i="11" s="1"/>
  <c r="S50" i="11" s="1"/>
  <c r="S74" i="11" s="1"/>
  <c r="T75" i="11" s="1"/>
  <c r="G79" i="11"/>
  <c r="D46" i="11"/>
  <c r="D48" i="11" s="1"/>
  <c r="D50" i="11" s="1"/>
  <c r="D74" i="11" s="1"/>
  <c r="E75" i="11" s="1"/>
  <c r="T46" i="11"/>
  <c r="T48" i="11" s="1"/>
  <c r="T50" i="11" s="1"/>
  <c r="T74" i="11" s="1"/>
  <c r="U75" i="11" s="1"/>
  <c r="S24" i="11"/>
  <c r="S26" i="11" s="1"/>
  <c r="S28" i="11" s="1"/>
  <c r="S66" i="11" s="1"/>
  <c r="T67" i="11" s="1"/>
  <c r="U79" i="11"/>
  <c r="S80" i="11"/>
  <c r="E46" i="11"/>
  <c r="E48" i="11" s="1"/>
  <c r="E50" i="11" s="1"/>
  <c r="E74" i="11" s="1"/>
  <c r="E76" i="11" s="1"/>
  <c r="E35" i="11"/>
  <c r="E37" i="11" s="1"/>
  <c r="E39" i="11" s="1"/>
  <c r="E70" i="11" s="1"/>
  <c r="F71" i="11" s="1"/>
  <c r="D35" i="11"/>
  <c r="D37" i="11" s="1"/>
  <c r="D39" i="11" s="1"/>
  <c r="D70" i="11" s="1"/>
  <c r="E71" i="11" s="1"/>
  <c r="D80" i="11"/>
  <c r="E80" i="11"/>
  <c r="E81" i="11" s="1"/>
  <c r="D24" i="11"/>
  <c r="D26" i="11" s="1"/>
  <c r="D28" i="11" s="1"/>
  <c r="D66" i="11" s="1"/>
  <c r="D68" i="11" s="1"/>
  <c r="D69" i="11" s="1"/>
  <c r="D103" i="11" s="1"/>
  <c r="K32" i="41"/>
  <c r="K31" i="73"/>
  <c r="N32" i="73"/>
  <c r="K32" i="73"/>
  <c r="J155" i="44"/>
  <c r="I173" i="44"/>
  <c r="H173" i="44"/>
  <c r="G173" i="44"/>
  <c r="D173" i="44"/>
  <c r="E173" i="44"/>
  <c r="C173" i="44"/>
  <c r="F173" i="44"/>
  <c r="D177" i="44"/>
  <c r="D197" i="44" s="1"/>
  <c r="E177" i="44"/>
  <c r="F177" i="44"/>
  <c r="G184" i="44"/>
  <c r="C174" i="44"/>
  <c r="J142" i="10"/>
  <c r="K146" i="10"/>
  <c r="I143" i="10"/>
  <c r="J147" i="10"/>
  <c r="K142" i="51"/>
  <c r="L146" i="51"/>
  <c r="J184" i="44"/>
  <c r="J173" i="44"/>
  <c r="I155" i="44"/>
  <c r="J154" i="44"/>
  <c r="C38" i="44"/>
  <c r="I154" i="44"/>
  <c r="H155" i="44"/>
  <c r="E155" i="44"/>
  <c r="E154" i="44"/>
  <c r="D155" i="44"/>
  <c r="G155" i="44"/>
  <c r="F155" i="44"/>
  <c r="H154" i="44"/>
  <c r="F154" i="44"/>
  <c r="G154" i="44"/>
  <c r="D154" i="44"/>
  <c r="BM38" i="2"/>
  <c r="BM39" i="2"/>
  <c r="BM40" i="2"/>
  <c r="BM41" i="2"/>
  <c r="BM42" i="2"/>
  <c r="BM43" i="2"/>
  <c r="BM44" i="2"/>
  <c r="BM45" i="2"/>
  <c r="BM46" i="2"/>
  <c r="BM47" i="2"/>
  <c r="BM48" i="2"/>
  <c r="BM49" i="2"/>
  <c r="BG38" i="2"/>
  <c r="BG39" i="2"/>
  <c r="BG40" i="2"/>
  <c r="BG41" i="2"/>
  <c r="BG42" i="2"/>
  <c r="BG43" i="2"/>
  <c r="BG44" i="2"/>
  <c r="BG45" i="2"/>
  <c r="BG46" i="2"/>
  <c r="BG47" i="2"/>
  <c r="BG48" i="2"/>
  <c r="BG49" i="2"/>
  <c r="T38" i="2"/>
  <c r="T39" i="2"/>
  <c r="T40" i="2"/>
  <c r="T41" i="2"/>
  <c r="T42" i="2"/>
  <c r="T43" i="2"/>
  <c r="T44" i="2"/>
  <c r="T45" i="2"/>
  <c r="T46" i="2"/>
  <c r="T47" i="2"/>
  <c r="T48" i="2"/>
  <c r="T49" i="2"/>
  <c r="N38" i="2"/>
  <c r="N39" i="2"/>
  <c r="N40" i="2"/>
  <c r="N41" i="2"/>
  <c r="N42" i="2"/>
  <c r="N43" i="2"/>
  <c r="N44" i="2"/>
  <c r="N45" i="2"/>
  <c r="N46" i="2"/>
  <c r="N47" i="2"/>
  <c r="N48" i="2"/>
  <c r="N49" i="2"/>
  <c r="H45" i="2"/>
  <c r="H46" i="2"/>
  <c r="H47" i="2"/>
  <c r="H48" i="2"/>
  <c r="H49" i="2"/>
  <c r="H39" i="2"/>
  <c r="H40" i="2"/>
  <c r="H41" i="2"/>
  <c r="H42" i="2"/>
  <c r="H43" i="2"/>
  <c r="H44" i="2"/>
  <c r="U17" i="14"/>
  <c r="U18" i="14" s="1"/>
  <c r="T122" i="29"/>
  <c r="AA18" i="14"/>
  <c r="BP66" i="2"/>
  <c r="BJ72" i="2"/>
  <c r="BJ62" i="2"/>
  <c r="BP70" i="2"/>
  <c r="BJ69" i="2"/>
  <c r="BP71" i="2"/>
  <c r="BP64" i="2"/>
  <c r="BJ66" i="2"/>
  <c r="BJ65" i="2"/>
  <c r="BP67" i="2"/>
  <c r="BP73" i="2"/>
  <c r="BP65" i="2"/>
  <c r="BJ64" i="2"/>
  <c r="BP62" i="2"/>
  <c r="BP63" i="2"/>
  <c r="BP68" i="2"/>
  <c r="BJ73" i="2"/>
  <c r="BJ71" i="2"/>
  <c r="BJ67" i="2"/>
  <c r="BJ63" i="2"/>
  <c r="S79" i="11"/>
  <c r="R80" i="11"/>
  <c r="R81" i="11" s="1"/>
  <c r="R106" i="11" s="1"/>
  <c r="C80" i="11"/>
  <c r="C81" i="11" s="1"/>
  <c r="D79" i="11"/>
  <c r="BJ70" i="2"/>
  <c r="BP72" i="2"/>
  <c r="I28" i="44"/>
  <c r="C28" i="44"/>
  <c r="G28" i="44"/>
  <c r="J28" i="44"/>
  <c r="D28" i="44"/>
  <c r="E28" i="44"/>
  <c r="F28" i="44"/>
  <c r="H28" i="44"/>
  <c r="T81" i="11"/>
  <c r="AH92" i="7"/>
  <c r="D53" i="8"/>
  <c r="D57" i="8" s="1"/>
  <c r="AJ92" i="7"/>
  <c r="U26" i="40"/>
  <c r="F81" i="11"/>
  <c r="AM81" i="7"/>
  <c r="E24" i="11"/>
  <c r="E26" i="11" s="1"/>
  <c r="E28" i="11" s="1"/>
  <c r="E66" i="11" s="1"/>
  <c r="E68" i="11" s="1"/>
  <c r="F20" i="11"/>
  <c r="F21" i="11" s="1"/>
  <c r="F25" i="11" s="1"/>
  <c r="AI92" i="7"/>
  <c r="U40" i="8"/>
  <c r="W40" i="8" s="1"/>
  <c r="AG40" i="8" s="1"/>
  <c r="H79" i="11"/>
  <c r="G80" i="11"/>
  <c r="V80" i="11"/>
  <c r="W79" i="11"/>
  <c r="W81" i="11" s="1"/>
  <c r="U89" i="11" s="1"/>
  <c r="U39" i="8"/>
  <c r="W39" i="8" s="1"/>
  <c r="AG39" i="8" s="1"/>
  <c r="U80" i="11"/>
  <c r="V79" i="11"/>
  <c r="U41" i="8"/>
  <c r="W41" i="8" s="1"/>
  <c r="AG41" i="8" s="1"/>
  <c r="X53" i="11"/>
  <c r="I79" i="11"/>
  <c r="H80" i="11"/>
  <c r="R45" i="8"/>
  <c r="T45" i="8" s="1"/>
  <c r="G35" i="11"/>
  <c r="G37" i="11" s="1"/>
  <c r="G39" i="11" s="1"/>
  <c r="G70" i="11" s="1"/>
  <c r="AH18" i="5"/>
  <c r="AQ39" i="7"/>
  <c r="AF18" i="5"/>
  <c r="AH19" i="5"/>
  <c r="AG19" i="5"/>
  <c r="AI16" i="5"/>
  <c r="AI17" i="5"/>
  <c r="AI19" i="5"/>
  <c r="AH16" i="5"/>
  <c r="AG18" i="5"/>
  <c r="AI18" i="5"/>
  <c r="AG20" i="5"/>
  <c r="AI20" i="5"/>
  <c r="AH17" i="5"/>
  <c r="AF17" i="5"/>
  <c r="AG16" i="5"/>
  <c r="AF19" i="5"/>
  <c r="AG15" i="5"/>
  <c r="AG17" i="5"/>
  <c r="AM82" i="7"/>
  <c r="AG92" i="7"/>
  <c r="N197" i="5"/>
  <c r="AH20" i="5" s="1"/>
  <c r="N198" i="5"/>
  <c r="AR48" i="7"/>
  <c r="N203" i="5" s="1"/>
  <c r="AR47" i="7"/>
  <c r="M203" i="5" s="1"/>
  <c r="AG21" i="5" s="1"/>
  <c r="AR49" i="7"/>
  <c r="O203" i="5" s="1"/>
  <c r="AI21" i="5" s="1"/>
  <c r="AR46" i="7"/>
  <c r="L203" i="5" s="1"/>
  <c r="AQ40" i="7"/>
  <c r="AQ41" i="7"/>
  <c r="L198" i="5"/>
  <c r="L197" i="5"/>
  <c r="AF20" i="5" s="1"/>
  <c r="K31" i="41"/>
  <c r="X54" i="8"/>
  <c r="I53" i="8"/>
  <c r="N32" i="41"/>
  <c r="AP43" i="7"/>
  <c r="P15" i="14"/>
  <c r="P16" i="14" s="1"/>
  <c r="P17" i="14" s="1"/>
  <c r="P18" i="14" s="1"/>
  <c r="P19" i="14" s="1"/>
  <c r="AF45" i="8"/>
  <c r="N28" i="41"/>
  <c r="BP80" i="2"/>
  <c r="BP84" i="2"/>
  <c r="BP77" i="2"/>
  <c r="BP85" i="2"/>
  <c r="BP76" i="2"/>
  <c r="BP75" i="2"/>
  <c r="BP81" i="2"/>
  <c r="BP74" i="2"/>
  <c r="BP78" i="2"/>
  <c r="BP79" i="2"/>
  <c r="BP82" i="2"/>
  <c r="BP83" i="2"/>
  <c r="AQ36" i="7"/>
  <c r="M31" i="41"/>
  <c r="S53" i="8"/>
  <c r="AI49" i="5"/>
  <c r="AH24" i="5"/>
  <c r="AH51" i="5"/>
  <c r="BP98" i="2" s="1"/>
  <c r="AF49" i="5"/>
  <c r="L31" i="41"/>
  <c r="N53" i="8"/>
  <c r="N31" i="41"/>
  <c r="X53" i="8"/>
  <c r="U38" i="8"/>
  <c r="AQ51" i="7"/>
  <c r="BJ75" i="2"/>
  <c r="BJ84" i="2"/>
  <c r="BJ80" i="2"/>
  <c r="BJ76" i="2"/>
  <c r="BJ81" i="2"/>
  <c r="BJ82" i="2"/>
  <c r="BJ77" i="2"/>
  <c r="BJ83" i="2"/>
  <c r="BJ78" i="2"/>
  <c r="BJ85" i="2"/>
  <c r="BJ79" i="2"/>
  <c r="BJ74" i="2"/>
  <c r="AG50" i="5"/>
  <c r="S54" i="8"/>
  <c r="M32" i="41"/>
  <c r="C123" i="29"/>
  <c r="A124" i="29"/>
  <c r="B123" i="29"/>
  <c r="AG24" i="5"/>
  <c r="AG51" i="5"/>
  <c r="BJ98" i="2" s="1"/>
  <c r="K28" i="41"/>
  <c r="AC45" i="8"/>
  <c r="N30" i="41"/>
  <c r="BV71" i="2"/>
  <c r="BV66" i="2"/>
  <c r="BV63" i="2"/>
  <c r="BV72" i="2"/>
  <c r="BV65" i="2"/>
  <c r="BV73" i="2"/>
  <c r="BV67" i="2"/>
  <c r="BV70" i="2"/>
  <c r="BV68" i="2"/>
  <c r="BV62" i="2"/>
  <c r="BV69" i="2"/>
  <c r="BV64" i="2"/>
  <c r="AD45" i="8"/>
  <c r="L28" i="41"/>
  <c r="M28" i="41"/>
  <c r="AE45" i="8"/>
  <c r="L30" i="41"/>
  <c r="L32" i="41"/>
  <c r="N54" i="8"/>
  <c r="K30" i="41"/>
  <c r="AB45" i="8"/>
  <c r="M30" i="41"/>
  <c r="AH50" i="5"/>
  <c r="Z57" i="5"/>
  <c r="Z31" i="5"/>
  <c r="AK21" i="39" s="1"/>
  <c r="Y57" i="5"/>
  <c r="Y31" i="5"/>
  <c r="AA21" i="39" s="1"/>
  <c r="L15" i="14"/>
  <c r="AB57" i="5"/>
  <c r="AB31" i="5"/>
  <c r="BG21" i="39" s="1"/>
  <c r="AA57" i="5"/>
  <c r="AA31" i="5"/>
  <c r="AV21" i="39" s="1"/>
  <c r="AH15" i="14"/>
  <c r="AH16" i="14" s="1"/>
  <c r="AH17" i="14" s="1"/>
  <c r="AH18" i="14" s="1"/>
  <c r="AH19" i="14" s="1"/>
  <c r="AL15" i="14"/>
  <c r="AL16" i="14" s="1"/>
  <c r="AL17" i="14" s="1"/>
  <c r="AL18" i="14" s="1"/>
  <c r="AL19" i="14" s="1"/>
  <c r="BH14" i="14"/>
  <c r="BH57" i="14" s="1"/>
  <c r="BH58" i="14" s="1"/>
  <c r="BH59" i="14" s="1"/>
  <c r="BH60" i="14" s="1"/>
  <c r="BH61" i="14" s="1"/>
  <c r="BH62" i="14" s="1"/>
  <c r="BH63" i="14" s="1"/>
  <c r="BH64" i="14" s="1"/>
  <c r="BH65" i="14" s="1"/>
  <c r="BH66" i="14" s="1"/>
  <c r="BH67" i="14" s="1"/>
  <c r="BH68" i="14" s="1"/>
  <c r="AP15" i="14"/>
  <c r="AP16" i="14" s="1"/>
  <c r="AP17" i="14" s="1"/>
  <c r="AP18" i="14" s="1"/>
  <c r="AP19" i="14" s="1"/>
  <c r="H31" i="11"/>
  <c r="H32" i="11" s="1"/>
  <c r="H36" i="11" s="1"/>
  <c r="X57" i="5"/>
  <c r="X31" i="5"/>
  <c r="W56" i="5"/>
  <c r="W30" i="5"/>
  <c r="G20" i="39" s="1"/>
  <c r="F141" i="44"/>
  <c r="E141" i="44"/>
  <c r="D137" i="44"/>
  <c r="I136" i="44"/>
  <c r="H141" i="44"/>
  <c r="I142" i="44"/>
  <c r="F142" i="44"/>
  <c r="D184" i="44"/>
  <c r="D204" i="44" s="1"/>
  <c r="I184" i="44"/>
  <c r="J138" i="44"/>
  <c r="C137" i="44"/>
  <c r="J142" i="44"/>
  <c r="D136" i="44"/>
  <c r="E136" i="44"/>
  <c r="G137" i="44"/>
  <c r="D138" i="44"/>
  <c r="E184" i="44"/>
  <c r="H137" i="44"/>
  <c r="D141" i="44"/>
  <c r="E137" i="44"/>
  <c r="G177" i="44"/>
  <c r="C141" i="44"/>
  <c r="H184" i="44"/>
  <c r="I141" i="44"/>
  <c r="F140" i="44"/>
  <c r="G140" i="44"/>
  <c r="H138" i="44"/>
  <c r="J137" i="44"/>
  <c r="G136" i="44"/>
  <c r="G141" i="44"/>
  <c r="F137" i="44"/>
  <c r="I140" i="44"/>
  <c r="D140" i="44"/>
  <c r="F138" i="44"/>
  <c r="H142" i="44"/>
  <c r="C138" i="44"/>
  <c r="E142" i="44"/>
  <c r="G138" i="44"/>
  <c r="I138" i="44"/>
  <c r="D142" i="44"/>
  <c r="H136" i="44"/>
  <c r="F136" i="44"/>
  <c r="C140" i="44"/>
  <c r="C142" i="44"/>
  <c r="J136" i="44"/>
  <c r="H140" i="44"/>
  <c r="J140" i="44"/>
  <c r="G77" i="44"/>
  <c r="D77" i="44"/>
  <c r="C77" i="44"/>
  <c r="F77" i="44"/>
  <c r="E77" i="44"/>
  <c r="J77" i="44"/>
  <c r="H77" i="44"/>
  <c r="I137" i="44"/>
  <c r="J141" i="44"/>
  <c r="E138" i="44"/>
  <c r="F184" i="44"/>
  <c r="E140" i="44"/>
  <c r="G142" i="44"/>
  <c r="K19" i="44"/>
  <c r="K121" i="44"/>
  <c r="S30" i="40"/>
  <c r="BH20" i="39"/>
  <c r="AW20" i="39"/>
  <c r="U46" i="11"/>
  <c r="U48" i="11" s="1"/>
  <c r="U50" i="11" s="1"/>
  <c r="U74" i="11" s="1"/>
  <c r="U76" i="11" s="1"/>
  <c r="F46" i="11"/>
  <c r="F48" i="11" s="1"/>
  <c r="F50" i="11" s="1"/>
  <c r="F74" i="11" s="1"/>
  <c r="F76" i="11" s="1"/>
  <c r="V46" i="11"/>
  <c r="V48" i="11" s="1"/>
  <c r="V50" i="11" s="1"/>
  <c r="V74" i="11" s="1"/>
  <c r="W75" i="11" s="1"/>
  <c r="U88" i="11" s="1"/>
  <c r="I134" i="44"/>
  <c r="I77" i="44"/>
  <c r="U24" i="11"/>
  <c r="U26" i="11" s="1"/>
  <c r="U28" i="11" s="1"/>
  <c r="U66" i="11" s="1"/>
  <c r="BS15" i="14"/>
  <c r="BS16" i="14" s="1"/>
  <c r="BS17" i="14" s="1"/>
  <c r="BS18" i="14" s="1"/>
  <c r="BS19" i="14" s="1"/>
  <c r="F35" i="11"/>
  <c r="F37" i="11" s="1"/>
  <c r="F39" i="11" s="1"/>
  <c r="F70" i="11" s="1"/>
  <c r="F134" i="44"/>
  <c r="D134" i="44"/>
  <c r="BO15" i="14"/>
  <c r="BO16" i="14" s="1"/>
  <c r="BO17" i="14" s="1"/>
  <c r="BO18" i="14" s="1"/>
  <c r="BO19" i="14" s="1"/>
  <c r="J134" i="44"/>
  <c r="AH25" i="40"/>
  <c r="G46" i="11"/>
  <c r="G48" i="11" s="1"/>
  <c r="G50" i="11" s="1"/>
  <c r="G74" i="11" s="1"/>
  <c r="AY15" i="14"/>
  <c r="AY16" i="14" s="1"/>
  <c r="AY17" i="14" s="1"/>
  <c r="AY18" i="14" s="1"/>
  <c r="AY19" i="14" s="1"/>
  <c r="H134" i="44"/>
  <c r="G14" i="14"/>
  <c r="C134" i="44"/>
  <c r="BW15" i="14"/>
  <c r="BW16" i="14" s="1"/>
  <c r="BW17" i="14" s="1"/>
  <c r="BW18" i="14" s="1"/>
  <c r="BW19" i="14" s="1"/>
  <c r="E134" i="44"/>
  <c r="G134" i="44"/>
  <c r="BI26" i="40"/>
  <c r="Q20" i="39"/>
  <c r="C8" i="60" l="1"/>
  <c r="M21" i="60"/>
  <c r="X22" i="40"/>
  <c r="U21" i="40"/>
  <c r="I57" i="8"/>
  <c r="T123" i="29"/>
  <c r="N37" i="73"/>
  <c r="M37" i="73"/>
  <c r="L37" i="73"/>
  <c r="BD75" i="2"/>
  <c r="BD76" i="2"/>
  <c r="BD78" i="2"/>
  <c r="BD77" i="2"/>
  <c r="BD79" i="2"/>
  <c r="BD80" i="2"/>
  <c r="BD81" i="2"/>
  <c r="BD82" i="2"/>
  <c r="BD83" i="2"/>
  <c r="BD84" i="2"/>
  <c r="BD85" i="2"/>
  <c r="BD74" i="2"/>
  <c r="H58" i="2"/>
  <c r="W58" i="28" s="1"/>
  <c r="X58" i="28" s="1"/>
  <c r="K158" i="44"/>
  <c r="L16" i="14"/>
  <c r="L17" i="14" s="1"/>
  <c r="L18" i="14" s="1"/>
  <c r="L19" i="14" s="1"/>
  <c r="K15" i="14"/>
  <c r="K16" i="14" s="1"/>
  <c r="O31" i="73"/>
  <c r="K32" i="40"/>
  <c r="BB14" i="14"/>
  <c r="BB57" i="14" s="1"/>
  <c r="BB58" i="14" s="1"/>
  <c r="BB59" i="14" s="1"/>
  <c r="BB60" i="14" s="1"/>
  <c r="BB61" i="14" s="1"/>
  <c r="BB62" i="14" s="1"/>
  <c r="BB63" i="14" s="1"/>
  <c r="BB64" i="14" s="1"/>
  <c r="BB65" i="14" s="1"/>
  <c r="BB66" i="14" s="1"/>
  <c r="BB67" i="14" s="1"/>
  <c r="BB68" i="14" s="1"/>
  <c r="T68" i="11"/>
  <c r="T69" i="11" s="1"/>
  <c r="G81" i="11"/>
  <c r="S76" i="11"/>
  <c r="S77" i="11" s="1"/>
  <c r="S105" i="11" s="1"/>
  <c r="D76" i="11"/>
  <c r="D77" i="11" s="1"/>
  <c r="D105" i="11" s="1"/>
  <c r="T76" i="11"/>
  <c r="T77" i="11" s="1"/>
  <c r="E77" i="11"/>
  <c r="F75" i="11"/>
  <c r="F77" i="11" s="1"/>
  <c r="U81" i="11"/>
  <c r="E72" i="11"/>
  <c r="E73" i="11" s="1"/>
  <c r="D81" i="11"/>
  <c r="D106" i="11" s="1"/>
  <c r="D72" i="11"/>
  <c r="D73" i="11" s="1"/>
  <c r="D104" i="11" s="1"/>
  <c r="S68" i="11"/>
  <c r="S69" i="11" s="1"/>
  <c r="S103" i="11" s="1"/>
  <c r="K37" i="73"/>
  <c r="S81" i="11"/>
  <c r="S106" i="11" s="1"/>
  <c r="H57" i="2"/>
  <c r="I57" i="2" s="1"/>
  <c r="H55" i="2"/>
  <c r="E67" i="11"/>
  <c r="E69" i="11" s="1"/>
  <c r="H61" i="2"/>
  <c r="H59" i="2"/>
  <c r="H56" i="2"/>
  <c r="H51" i="2"/>
  <c r="V51" i="17" s="1"/>
  <c r="W51" i="17" s="1"/>
  <c r="X51" i="17" s="1"/>
  <c r="H50" i="2"/>
  <c r="H54" i="2"/>
  <c r="H53" i="2"/>
  <c r="I53" i="2" s="1"/>
  <c r="H52" i="2"/>
  <c r="H60" i="2"/>
  <c r="I60" i="2" s="1"/>
  <c r="L79" i="44"/>
  <c r="X36" i="60" s="1"/>
  <c r="O30" i="73"/>
  <c r="O32" i="73"/>
  <c r="L31" i="44"/>
  <c r="N36" i="60" s="1"/>
  <c r="G57" i="14"/>
  <c r="L30" i="44"/>
  <c r="J193" i="44"/>
  <c r="I193" i="44"/>
  <c r="H193" i="44"/>
  <c r="G193" i="44"/>
  <c r="E193" i="44"/>
  <c r="F193" i="44"/>
  <c r="D193" i="44"/>
  <c r="C176" i="44"/>
  <c r="E176" i="44"/>
  <c r="D176" i="44"/>
  <c r="I176" i="44"/>
  <c r="G183" i="44"/>
  <c r="F176" i="44"/>
  <c r="H176" i="44"/>
  <c r="E197" i="44"/>
  <c r="F197" i="44"/>
  <c r="H204" i="44"/>
  <c r="I180" i="44"/>
  <c r="E178" i="44"/>
  <c r="F182" i="44"/>
  <c r="H186" i="44"/>
  <c r="H178" i="44"/>
  <c r="I185" i="44"/>
  <c r="E175" i="44"/>
  <c r="G179" i="44"/>
  <c r="I174" i="44"/>
  <c r="C180" i="44"/>
  <c r="D179" i="44"/>
  <c r="C178" i="44"/>
  <c r="G174" i="44"/>
  <c r="H175" i="44"/>
  <c r="I175" i="44"/>
  <c r="E179" i="44"/>
  <c r="D175" i="44"/>
  <c r="F174" i="44"/>
  <c r="D180" i="44"/>
  <c r="E174" i="44"/>
  <c r="F179" i="44"/>
  <c r="G178" i="44"/>
  <c r="D174" i="44"/>
  <c r="D194" i="44" s="1"/>
  <c r="F178" i="44"/>
  <c r="H174" i="44"/>
  <c r="E180" i="44"/>
  <c r="C182" i="44"/>
  <c r="H180" i="44"/>
  <c r="C186" i="44"/>
  <c r="G180" i="44"/>
  <c r="D185" i="44"/>
  <c r="F180" i="44"/>
  <c r="C106" i="11"/>
  <c r="I147" i="10"/>
  <c r="H143" i="10"/>
  <c r="I142" i="10"/>
  <c r="J146" i="10"/>
  <c r="J142" i="51"/>
  <c r="K146" i="51"/>
  <c r="J204" i="44"/>
  <c r="J182" i="44"/>
  <c r="J180" i="44"/>
  <c r="J183" i="44"/>
  <c r="J185" i="44"/>
  <c r="J174" i="44"/>
  <c r="G182" i="44"/>
  <c r="BS39" i="2"/>
  <c r="BS40" i="2"/>
  <c r="BS41" i="2"/>
  <c r="BS42" i="2"/>
  <c r="BS43" i="2"/>
  <c r="BS44" i="2"/>
  <c r="BS45" i="2"/>
  <c r="BS46" i="2"/>
  <c r="BS47" i="2"/>
  <c r="BS48" i="2"/>
  <c r="BS49" i="2"/>
  <c r="BS38" i="2"/>
  <c r="R38" i="25" s="1"/>
  <c r="BQ70" i="2"/>
  <c r="AT14" i="14"/>
  <c r="AA19" i="14"/>
  <c r="U19" i="14"/>
  <c r="BI15" i="14"/>
  <c r="BI16" i="14" s="1"/>
  <c r="BI17" i="14" s="1"/>
  <c r="BI18" i="14" s="1"/>
  <c r="BI19" i="14" s="1"/>
  <c r="BK72" i="2"/>
  <c r="U97" i="11"/>
  <c r="D42" i="12" s="1"/>
  <c r="BC15" i="14"/>
  <c r="BC16" i="14" s="1"/>
  <c r="BC17" i="14" s="1"/>
  <c r="BC18" i="14" s="1"/>
  <c r="BC19" i="14" s="1"/>
  <c r="BQ65" i="2"/>
  <c r="BQ68" i="2"/>
  <c r="BK64" i="2"/>
  <c r="BQ66" i="2"/>
  <c r="BK62" i="2"/>
  <c r="BQ71" i="2"/>
  <c r="BK71" i="2"/>
  <c r="BK70" i="2"/>
  <c r="BQ63" i="2"/>
  <c r="BK66" i="2"/>
  <c r="BQ67" i="2"/>
  <c r="BK65" i="2"/>
  <c r="BQ62" i="2"/>
  <c r="BQ64" i="2"/>
  <c r="BK69" i="2"/>
  <c r="CV11" i="39"/>
  <c r="CY11" i="39" s="1"/>
  <c r="BQ73" i="2"/>
  <c r="BK73" i="2"/>
  <c r="BK63" i="2"/>
  <c r="BK67" i="2"/>
  <c r="BQ72" i="2"/>
  <c r="DF11" i="39"/>
  <c r="DI11" i="39" s="1"/>
  <c r="U43" i="35"/>
  <c r="U45" i="35"/>
  <c r="U49" i="35"/>
  <c r="U48" i="35"/>
  <c r="U44" i="35"/>
  <c r="U47" i="35"/>
  <c r="U46" i="35"/>
  <c r="U41" i="35"/>
  <c r="U40" i="35"/>
  <c r="U42" i="35"/>
  <c r="U39" i="35"/>
  <c r="U38" i="35"/>
  <c r="W40" i="34"/>
  <c r="W44" i="34"/>
  <c r="W43" i="34"/>
  <c r="W39" i="34"/>
  <c r="W47" i="34"/>
  <c r="W48" i="34"/>
  <c r="W46" i="34"/>
  <c r="W42" i="34"/>
  <c r="W45" i="34"/>
  <c r="W41" i="34"/>
  <c r="W49" i="34"/>
  <c r="W38" i="34"/>
  <c r="S44" i="30"/>
  <c r="S48" i="30"/>
  <c r="S45" i="30"/>
  <c r="S49" i="30"/>
  <c r="S46" i="30"/>
  <c r="S42" i="30"/>
  <c r="S41" i="30"/>
  <c r="S40" i="30"/>
  <c r="S39" i="30"/>
  <c r="S38" i="30"/>
  <c r="S43" i="30"/>
  <c r="S47" i="30"/>
  <c r="U41" i="29"/>
  <c r="V41" i="29" s="1"/>
  <c r="U40" i="29"/>
  <c r="V40" i="29" s="1"/>
  <c r="U46" i="29"/>
  <c r="V46" i="29" s="1"/>
  <c r="U42" i="29"/>
  <c r="V42" i="29" s="1"/>
  <c r="U39" i="29"/>
  <c r="V39" i="29" s="1"/>
  <c r="U45" i="29"/>
  <c r="V45" i="29" s="1"/>
  <c r="U44" i="29"/>
  <c r="V44" i="29" s="1"/>
  <c r="U43" i="29"/>
  <c r="V43" i="29" s="1"/>
  <c r="U49" i="29"/>
  <c r="V49" i="29" s="1"/>
  <c r="U38" i="29"/>
  <c r="V38" i="29" s="1"/>
  <c r="U48" i="29"/>
  <c r="V48" i="29" s="1"/>
  <c r="U47" i="29"/>
  <c r="V47" i="29" s="1"/>
  <c r="C14" i="14"/>
  <c r="W49" i="28"/>
  <c r="X49" i="28" s="1"/>
  <c r="W43" i="28"/>
  <c r="X43" i="28" s="1"/>
  <c r="W48" i="28"/>
  <c r="X48" i="28" s="1"/>
  <c r="W44" i="28"/>
  <c r="X44" i="28" s="1"/>
  <c r="W47" i="28"/>
  <c r="X47" i="28" s="1"/>
  <c r="W40" i="28"/>
  <c r="X40" i="28" s="1"/>
  <c r="W45" i="28"/>
  <c r="X45" i="28" s="1"/>
  <c r="W41" i="28"/>
  <c r="X41" i="28" s="1"/>
  <c r="W38" i="28"/>
  <c r="X38" i="28" s="1"/>
  <c r="W39" i="28"/>
  <c r="X39" i="28" s="1"/>
  <c r="W46" i="28"/>
  <c r="X46" i="28" s="1"/>
  <c r="W42" i="28"/>
  <c r="X42" i="28" s="1"/>
  <c r="BN38" i="2"/>
  <c r="T38" i="24"/>
  <c r="U38" i="24" s="1"/>
  <c r="BN43" i="2"/>
  <c r="T43" i="24"/>
  <c r="U43" i="24" s="1"/>
  <c r="V43" i="24" s="1"/>
  <c r="W43" i="24" s="1"/>
  <c r="BN45" i="2"/>
  <c r="T45" i="24"/>
  <c r="U45" i="24" s="1"/>
  <c r="V45" i="24" s="1"/>
  <c r="W45" i="24" s="1"/>
  <c r="BN49" i="2"/>
  <c r="T49" i="24"/>
  <c r="U49" i="24" s="1"/>
  <c r="V49" i="24" s="1"/>
  <c r="W49" i="24" s="1"/>
  <c r="BN48" i="2"/>
  <c r="T48" i="24"/>
  <c r="U48" i="24" s="1"/>
  <c r="V48" i="24" s="1"/>
  <c r="W48" i="24" s="1"/>
  <c r="BN44" i="2"/>
  <c r="T44" i="24"/>
  <c r="U44" i="24" s="1"/>
  <c r="V44" i="24" s="1"/>
  <c r="W44" i="24" s="1"/>
  <c r="BN47" i="2"/>
  <c r="T47" i="24"/>
  <c r="U47" i="24" s="1"/>
  <c r="V47" i="24" s="1"/>
  <c r="W47" i="24" s="1"/>
  <c r="BN46" i="2"/>
  <c r="T46" i="24"/>
  <c r="U46" i="24" s="1"/>
  <c r="V46" i="24" s="1"/>
  <c r="W46" i="24" s="1"/>
  <c r="BN41" i="2"/>
  <c r="T41" i="24"/>
  <c r="U41" i="24" s="1"/>
  <c r="V41" i="24" s="1"/>
  <c r="W41" i="24" s="1"/>
  <c r="BN40" i="2"/>
  <c r="T40" i="24"/>
  <c r="U40" i="24" s="1"/>
  <c r="V40" i="24" s="1"/>
  <c r="W40" i="24" s="1"/>
  <c r="BN42" i="2"/>
  <c r="T42" i="24"/>
  <c r="U42" i="24" s="1"/>
  <c r="V42" i="24" s="1"/>
  <c r="W42" i="24" s="1"/>
  <c r="BN39" i="2"/>
  <c r="T39" i="24"/>
  <c r="U39" i="24" s="1"/>
  <c r="V39" i="24" s="1"/>
  <c r="W39" i="24" s="1"/>
  <c r="BH45" i="2"/>
  <c r="V45" i="23"/>
  <c r="W45" i="23" s="1"/>
  <c r="BH41" i="2"/>
  <c r="V41" i="23"/>
  <c r="W41" i="23" s="1"/>
  <c r="BH49" i="2"/>
  <c r="V49" i="23"/>
  <c r="W49" i="23" s="1"/>
  <c r="BH38" i="2"/>
  <c r="V38" i="23"/>
  <c r="W38" i="23" s="1"/>
  <c r="BH40" i="2"/>
  <c r="V40" i="23"/>
  <c r="W40" i="23" s="1"/>
  <c r="BH44" i="2"/>
  <c r="V44" i="23"/>
  <c r="W44" i="23" s="1"/>
  <c r="BH43" i="2"/>
  <c r="V43" i="23"/>
  <c r="W43" i="23" s="1"/>
  <c r="BH39" i="2"/>
  <c r="V39" i="23"/>
  <c r="W39" i="23" s="1"/>
  <c r="BH47" i="2"/>
  <c r="V47" i="23"/>
  <c r="W47" i="23" s="1"/>
  <c r="BH48" i="2"/>
  <c r="V48" i="23"/>
  <c r="W48" i="23" s="1"/>
  <c r="BH46" i="2"/>
  <c r="V46" i="23"/>
  <c r="W46" i="23" s="1"/>
  <c r="BH42" i="2"/>
  <c r="V42" i="23"/>
  <c r="W42" i="23" s="1"/>
  <c r="F24" i="11"/>
  <c r="F26" i="11" s="1"/>
  <c r="F28" i="11" s="1"/>
  <c r="F66" i="11" s="1"/>
  <c r="F68" i="11" s="1"/>
  <c r="U38" i="2"/>
  <c r="R38" i="18"/>
  <c r="S38" i="18" s="1"/>
  <c r="U43" i="2"/>
  <c r="R43" i="18"/>
  <c r="S43" i="18" s="1"/>
  <c r="U47" i="2"/>
  <c r="R47" i="18"/>
  <c r="S47" i="18" s="1"/>
  <c r="U44" i="2"/>
  <c r="R44" i="18"/>
  <c r="S44" i="18" s="1"/>
  <c r="U48" i="2"/>
  <c r="R48" i="18"/>
  <c r="S48" i="18" s="1"/>
  <c r="U45" i="2"/>
  <c r="R45" i="18"/>
  <c r="S45" i="18" s="1"/>
  <c r="U49" i="2"/>
  <c r="R49" i="18"/>
  <c r="S49" i="18" s="1"/>
  <c r="U46" i="2"/>
  <c r="R46" i="18"/>
  <c r="S46" i="18" s="1"/>
  <c r="U42" i="2"/>
  <c r="R42" i="18"/>
  <c r="S42" i="18" s="1"/>
  <c r="U41" i="2"/>
  <c r="R41" i="18"/>
  <c r="S41" i="18" s="1"/>
  <c r="U40" i="2"/>
  <c r="R40" i="18"/>
  <c r="S40" i="18" s="1"/>
  <c r="U39" i="2"/>
  <c r="R39" i="18"/>
  <c r="S39" i="18" s="1"/>
  <c r="O43" i="2"/>
  <c r="T43" i="19"/>
  <c r="U43" i="19" s="1"/>
  <c r="O49" i="2"/>
  <c r="T49" i="19"/>
  <c r="U49" i="19" s="1"/>
  <c r="O38" i="2"/>
  <c r="T38" i="19"/>
  <c r="U38" i="19" s="1"/>
  <c r="O48" i="2"/>
  <c r="T48" i="19"/>
  <c r="U48" i="19" s="1"/>
  <c r="O47" i="2"/>
  <c r="T47" i="19"/>
  <c r="U47" i="19" s="1"/>
  <c r="O41" i="2"/>
  <c r="T41" i="19"/>
  <c r="U41" i="19" s="1"/>
  <c r="O40" i="2"/>
  <c r="T40" i="19"/>
  <c r="U40" i="19" s="1"/>
  <c r="O46" i="2"/>
  <c r="T46" i="19"/>
  <c r="U46" i="19" s="1"/>
  <c r="O42" i="2"/>
  <c r="T42" i="19"/>
  <c r="U42" i="19" s="1"/>
  <c r="O39" i="2"/>
  <c r="T39" i="19"/>
  <c r="U39" i="19" s="1"/>
  <c r="O45" i="2"/>
  <c r="T45" i="19"/>
  <c r="U45" i="19" s="1"/>
  <c r="O44" i="2"/>
  <c r="T44" i="19"/>
  <c r="U44" i="19" s="1"/>
  <c r="I41" i="2"/>
  <c r="V41" i="17"/>
  <c r="W41" i="17" s="1"/>
  <c r="X41" i="17" s="1"/>
  <c r="I38" i="2"/>
  <c r="FO38" i="2" s="1"/>
  <c r="V38" i="17"/>
  <c r="W38" i="17" s="1"/>
  <c r="X38" i="17" s="1"/>
  <c r="I39" i="2"/>
  <c r="V39" i="17"/>
  <c r="W39" i="17" s="1"/>
  <c r="X39" i="17" s="1"/>
  <c r="I46" i="2"/>
  <c r="V46" i="17"/>
  <c r="W46" i="17" s="1"/>
  <c r="X46" i="17" s="1"/>
  <c r="I42" i="2"/>
  <c r="V42" i="17"/>
  <c r="W42" i="17" s="1"/>
  <c r="X42" i="17" s="1"/>
  <c r="I49" i="2"/>
  <c r="V49" i="17"/>
  <c r="W49" i="17" s="1"/>
  <c r="X49" i="17" s="1"/>
  <c r="I48" i="2"/>
  <c r="V48" i="17"/>
  <c r="W48" i="17" s="1"/>
  <c r="X48" i="17" s="1"/>
  <c r="I44" i="2"/>
  <c r="V44" i="17"/>
  <c r="W44" i="17" s="1"/>
  <c r="X44" i="17" s="1"/>
  <c r="I47" i="2"/>
  <c r="V47" i="17"/>
  <c r="W47" i="17" s="1"/>
  <c r="X47" i="17" s="1"/>
  <c r="I40" i="2"/>
  <c r="V40" i="17"/>
  <c r="W40" i="17" s="1"/>
  <c r="X40" i="17" s="1"/>
  <c r="I45" i="2"/>
  <c r="V45" i="17"/>
  <c r="W45" i="17" s="1"/>
  <c r="X45" i="17" s="1"/>
  <c r="I43" i="2"/>
  <c r="V43" i="17"/>
  <c r="W43" i="17" s="1"/>
  <c r="X43" i="17" s="1"/>
  <c r="U77" i="11"/>
  <c r="V20" i="11"/>
  <c r="AM92" i="7"/>
  <c r="F67" i="11"/>
  <c r="X40" i="8"/>
  <c r="Z40" i="8" s="1"/>
  <c r="AH40" i="8" s="1"/>
  <c r="O30" i="41"/>
  <c r="O32" i="41"/>
  <c r="AR38" i="7"/>
  <c r="AR40" i="7"/>
  <c r="AC54" i="8"/>
  <c r="AR36" i="7"/>
  <c r="X54" i="11"/>
  <c r="X57" i="11" s="1"/>
  <c r="X59" i="11" s="1"/>
  <c r="X61" i="11" s="1"/>
  <c r="X78" i="11" s="1"/>
  <c r="V81" i="11"/>
  <c r="AC53" i="8"/>
  <c r="O31" i="41"/>
  <c r="AR41" i="7"/>
  <c r="H81" i="11"/>
  <c r="X39" i="8"/>
  <c r="Z39" i="8" s="1"/>
  <c r="AH39" i="8" s="1"/>
  <c r="AH21" i="5"/>
  <c r="X38" i="8"/>
  <c r="Z38" i="8" s="1"/>
  <c r="AH38" i="8" s="1"/>
  <c r="X41" i="8"/>
  <c r="Z41" i="8" s="1"/>
  <c r="AH41" i="8" s="1"/>
  <c r="L201" i="5"/>
  <c r="AF21" i="5" s="1"/>
  <c r="X57" i="8"/>
  <c r="BP105" i="2"/>
  <c r="BP104" i="2"/>
  <c r="BP99" i="2"/>
  <c r="BP102" i="2"/>
  <c r="BP101" i="2"/>
  <c r="BP107" i="2"/>
  <c r="BP100" i="2"/>
  <c r="BP109" i="2"/>
  <c r="BP103" i="2"/>
  <c r="AR51" i="7"/>
  <c r="BP108" i="2"/>
  <c r="BP106" i="2"/>
  <c r="BO15" i="39"/>
  <c r="BP15" i="39" s="1"/>
  <c r="BQ15" i="39" s="1"/>
  <c r="BV15" i="39"/>
  <c r="BW15" i="39" s="1"/>
  <c r="BX15" i="39" s="1"/>
  <c r="BJ106" i="2"/>
  <c r="AQ43" i="7"/>
  <c r="BJ99" i="2"/>
  <c r="BJ102" i="2"/>
  <c r="BJ109" i="2"/>
  <c r="BJ103" i="2"/>
  <c r="BJ104" i="2"/>
  <c r="BW66" i="2"/>
  <c r="BK82" i="2"/>
  <c r="BQ77" i="2"/>
  <c r="BW71" i="2"/>
  <c r="BJ105" i="2"/>
  <c r="BK81" i="2"/>
  <c r="BQ84" i="2"/>
  <c r="BK76" i="2"/>
  <c r="BQ80" i="2"/>
  <c r="BK80" i="2"/>
  <c r="AI50" i="5"/>
  <c r="BP93" i="2"/>
  <c r="BP95" i="2"/>
  <c r="BP94" i="2"/>
  <c r="BP97" i="2"/>
  <c r="BP96" i="2"/>
  <c r="BP89" i="2"/>
  <c r="BP91" i="2"/>
  <c r="BP92" i="2"/>
  <c r="BP90" i="2"/>
  <c r="BP86" i="2"/>
  <c r="BP88" i="2"/>
  <c r="BP87" i="2"/>
  <c r="BE68" i="2"/>
  <c r="BK84" i="2"/>
  <c r="AI24" i="5"/>
  <c r="AI51" i="5"/>
  <c r="BV84" i="2"/>
  <c r="BV80" i="2"/>
  <c r="BV77" i="2"/>
  <c r="BV76" i="2"/>
  <c r="BV82" i="2"/>
  <c r="BV74" i="2"/>
  <c r="BV85" i="2"/>
  <c r="BV78" i="2"/>
  <c r="BV83" i="2"/>
  <c r="BV81" i="2"/>
  <c r="BV75" i="2"/>
  <c r="BV79" i="2"/>
  <c r="FZ69" i="2"/>
  <c r="FC93" i="3" s="1"/>
  <c r="D69" i="25"/>
  <c r="D69" i="36"/>
  <c r="BE69" i="2"/>
  <c r="BK75" i="2"/>
  <c r="M37" i="41"/>
  <c r="BW64" i="2"/>
  <c r="BE62" i="2"/>
  <c r="CL11" i="39"/>
  <c r="CO11" i="39" s="1"/>
  <c r="BK98" i="2"/>
  <c r="BJ108" i="2"/>
  <c r="AH52" i="5"/>
  <c r="AH25" i="5"/>
  <c r="BW69" i="2"/>
  <c r="BE71" i="2"/>
  <c r="AG25" i="5"/>
  <c r="AG52" i="5"/>
  <c r="C124" i="29"/>
  <c r="A125" i="29"/>
  <c r="B124" i="29"/>
  <c r="BJ101" i="2"/>
  <c r="W38" i="8"/>
  <c r="AG38" i="8" s="1"/>
  <c r="U45" i="8"/>
  <c r="W45" i="8" s="1"/>
  <c r="BQ98" i="2"/>
  <c r="BQ83" i="2"/>
  <c r="DQ11" i="39"/>
  <c r="DT11" i="39" s="1"/>
  <c r="BW62" i="2"/>
  <c r="BE63" i="2"/>
  <c r="AF50" i="5"/>
  <c r="BQ82" i="2"/>
  <c r="BW68" i="2"/>
  <c r="BE73" i="2"/>
  <c r="BJ93" i="2"/>
  <c r="BJ88" i="2"/>
  <c r="BJ97" i="2"/>
  <c r="BJ86" i="2"/>
  <c r="BJ87" i="2"/>
  <c r="BJ94" i="2"/>
  <c r="BJ92" i="2"/>
  <c r="BJ95" i="2"/>
  <c r="BJ91" i="2"/>
  <c r="BJ90" i="2"/>
  <c r="BJ89" i="2"/>
  <c r="BJ96" i="2"/>
  <c r="AF24" i="5"/>
  <c r="AF51" i="5"/>
  <c r="BQ79" i="2"/>
  <c r="N37" i="41"/>
  <c r="BW70" i="2"/>
  <c r="BE65" i="2"/>
  <c r="CV12" i="39"/>
  <c r="CY12" i="39" s="1"/>
  <c r="BK74" i="2"/>
  <c r="BQ78" i="2"/>
  <c r="BW67" i="2"/>
  <c r="BE64" i="2"/>
  <c r="BK79" i="2"/>
  <c r="N57" i="8"/>
  <c r="DF12" i="39"/>
  <c r="DI12" i="39" s="1"/>
  <c r="BQ74" i="2"/>
  <c r="BW73" i="2"/>
  <c r="BE70" i="2"/>
  <c r="BK85" i="2"/>
  <c r="S57" i="8"/>
  <c r="BQ81" i="2"/>
  <c r="BW65" i="2"/>
  <c r="BE67" i="2"/>
  <c r="BK78" i="2"/>
  <c r="BQ75" i="2"/>
  <c r="L37" i="41"/>
  <c r="BW72" i="2"/>
  <c r="K37" i="41"/>
  <c r="BE72" i="2"/>
  <c r="BJ107" i="2"/>
  <c r="BK83" i="2"/>
  <c r="FY68" i="2"/>
  <c r="FB92" i="3" s="1"/>
  <c r="D68" i="24"/>
  <c r="D68" i="35"/>
  <c r="BQ76" i="2"/>
  <c r="BW63" i="2"/>
  <c r="BE66" i="2"/>
  <c r="BJ100" i="2"/>
  <c r="BK77" i="2"/>
  <c r="BQ85" i="2"/>
  <c r="AB58" i="5"/>
  <c r="Y58" i="5"/>
  <c r="Z58" i="5"/>
  <c r="K70" i="44"/>
  <c r="K24" i="44"/>
  <c r="K20" i="44"/>
  <c r="AA58" i="5"/>
  <c r="X58" i="5"/>
  <c r="W57" i="5"/>
  <c r="G21" i="39"/>
  <c r="I31" i="11"/>
  <c r="I32" i="11" s="1"/>
  <c r="I36" i="11" s="1"/>
  <c r="EP14" i="39"/>
  <c r="EQ14" i="39" s="1"/>
  <c r="EI14" i="39"/>
  <c r="EJ14" i="39" s="1"/>
  <c r="EK14" i="39" s="1"/>
  <c r="CC14" i="39"/>
  <c r="CD14" i="39" s="1"/>
  <c r="BV14" i="39"/>
  <c r="BW14" i="39" s="1"/>
  <c r="BO14" i="39"/>
  <c r="BP14" i="39" s="1"/>
  <c r="AB14" i="14"/>
  <c r="AA57" i="14" s="1"/>
  <c r="AA58" i="14" s="1"/>
  <c r="AA59" i="14" s="1"/>
  <c r="AA60" i="14" s="1"/>
  <c r="AA61" i="14" s="1"/>
  <c r="AA62" i="14" s="1"/>
  <c r="AA63" i="14" s="1"/>
  <c r="AA64" i="14" s="1"/>
  <c r="AA65" i="14" s="1"/>
  <c r="AA66" i="14" s="1"/>
  <c r="AA67" i="14" s="1"/>
  <c r="AA68" i="14" s="1"/>
  <c r="F186" i="44"/>
  <c r="H179" i="44"/>
  <c r="E186" i="44"/>
  <c r="J176" i="44"/>
  <c r="E204" i="44"/>
  <c r="D182" i="44"/>
  <c r="E182" i="44"/>
  <c r="C175" i="44"/>
  <c r="G185" i="44"/>
  <c r="G175" i="44"/>
  <c r="H182" i="44"/>
  <c r="G197" i="44"/>
  <c r="D186" i="44"/>
  <c r="F204" i="44"/>
  <c r="I178" i="44"/>
  <c r="I204" i="44"/>
  <c r="C179" i="44"/>
  <c r="D183" i="44"/>
  <c r="F185" i="44"/>
  <c r="C183" i="44"/>
  <c r="I186" i="44"/>
  <c r="F183" i="44"/>
  <c r="J175" i="44"/>
  <c r="G176" i="44"/>
  <c r="H183" i="44"/>
  <c r="G186" i="44"/>
  <c r="J178" i="44"/>
  <c r="D178" i="44"/>
  <c r="F175" i="44"/>
  <c r="E185" i="44"/>
  <c r="H185" i="44"/>
  <c r="I183" i="44"/>
  <c r="J186" i="44"/>
  <c r="C185" i="44"/>
  <c r="E183" i="44"/>
  <c r="G204" i="44"/>
  <c r="I182" i="44"/>
  <c r="L20" i="44"/>
  <c r="G143" i="44"/>
  <c r="G144" i="44"/>
  <c r="I143" i="44"/>
  <c r="I144" i="44"/>
  <c r="D143" i="44"/>
  <c r="D144" i="44"/>
  <c r="J143" i="44"/>
  <c r="J144" i="44"/>
  <c r="F143" i="44"/>
  <c r="F144" i="44"/>
  <c r="C143" i="44"/>
  <c r="C144" i="44"/>
  <c r="H143" i="44"/>
  <c r="H144" i="44"/>
  <c r="E143" i="44"/>
  <c r="E144" i="44"/>
  <c r="S32" i="40"/>
  <c r="BH21" i="39"/>
  <c r="AW21" i="39"/>
  <c r="G75" i="11"/>
  <c r="V75" i="11"/>
  <c r="F172" i="44"/>
  <c r="G172" i="44"/>
  <c r="H172" i="44"/>
  <c r="I172" i="44"/>
  <c r="C172" i="44"/>
  <c r="E172" i="44"/>
  <c r="J172" i="44"/>
  <c r="V76" i="11"/>
  <c r="D172" i="44"/>
  <c r="H75" i="11"/>
  <c r="F88" i="11" s="1"/>
  <c r="G76" i="11"/>
  <c r="EI15" i="39"/>
  <c r="EJ15" i="39" s="1"/>
  <c r="EK15" i="39" s="1"/>
  <c r="BN27" i="40" s="1"/>
  <c r="H35" i="11"/>
  <c r="H37" i="11" s="1"/>
  <c r="H39" i="11" s="1"/>
  <c r="H70" i="11" s="1"/>
  <c r="AB15" i="14"/>
  <c r="AA69" i="14" s="1"/>
  <c r="AA70" i="14" s="1"/>
  <c r="AA71" i="14" s="1"/>
  <c r="AA72" i="14" s="1"/>
  <c r="AA73" i="14" s="1"/>
  <c r="AA74" i="14" s="1"/>
  <c r="AA75" i="14" s="1"/>
  <c r="AA76" i="14" s="1"/>
  <c r="AA77" i="14" s="1"/>
  <c r="AA78" i="14" s="1"/>
  <c r="AA79" i="14" s="1"/>
  <c r="AA80" i="14" s="1"/>
  <c r="U68" i="11"/>
  <c r="U69" i="11" s="1"/>
  <c r="V67" i="11"/>
  <c r="F72" i="11"/>
  <c r="G71" i="11"/>
  <c r="G15" i="14"/>
  <c r="EB15" i="39"/>
  <c r="EC15" i="39" s="1"/>
  <c r="ED15" i="39" s="1"/>
  <c r="H71" i="11"/>
  <c r="G72" i="11"/>
  <c r="X25" i="40"/>
  <c r="BI27" i="40"/>
  <c r="U27" i="40"/>
  <c r="Q21" i="39"/>
  <c r="K21" i="73" l="1"/>
  <c r="BN26" i="40"/>
  <c r="M22" i="60"/>
  <c r="W21" i="60"/>
  <c r="N22" i="60"/>
  <c r="M26" i="60"/>
  <c r="U20" i="40"/>
  <c r="X21" i="40"/>
  <c r="AT57" i="14"/>
  <c r="V58" i="17"/>
  <c r="W58" i="17" s="1"/>
  <c r="X58" i="17" s="1"/>
  <c r="Y58" i="17" s="1"/>
  <c r="I58" i="2"/>
  <c r="FO58" i="2" s="1"/>
  <c r="EU82" i="3" s="1"/>
  <c r="L146" i="44"/>
  <c r="D35" i="60" s="1"/>
  <c r="N35" i="60"/>
  <c r="BD109" i="2"/>
  <c r="BD98" i="2"/>
  <c r="BD99" i="2"/>
  <c r="BD105" i="2"/>
  <c r="BD106" i="2"/>
  <c r="BD100" i="2"/>
  <c r="BD101" i="2"/>
  <c r="BD102" i="2"/>
  <c r="BD104" i="2"/>
  <c r="BD103" i="2"/>
  <c r="BD107" i="2"/>
  <c r="BD108" i="2"/>
  <c r="BD86" i="2"/>
  <c r="BD87" i="2"/>
  <c r="BD88" i="2"/>
  <c r="BD89" i="2"/>
  <c r="BD91" i="2"/>
  <c r="BD92" i="2"/>
  <c r="BD93" i="2"/>
  <c r="BD94" i="2"/>
  <c r="BD95" i="2"/>
  <c r="BD96" i="2"/>
  <c r="BD90" i="2"/>
  <c r="BD97" i="2"/>
  <c r="Z43" i="2"/>
  <c r="U43" i="31" s="1"/>
  <c r="V43" i="31" s="1"/>
  <c r="N61" i="2"/>
  <c r="O61" i="2" s="1"/>
  <c r="G58" i="14"/>
  <c r="H58" i="14" s="1"/>
  <c r="O28" i="73"/>
  <c r="O37" i="73" s="1"/>
  <c r="P28" i="73"/>
  <c r="K33" i="40"/>
  <c r="EC16" i="39"/>
  <c r="EJ16" i="39"/>
  <c r="BP110" i="2"/>
  <c r="BP120" i="2"/>
  <c r="BQ120" i="2" s="1"/>
  <c r="D120" i="36" s="1"/>
  <c r="BP111" i="2"/>
  <c r="BQ111" i="2" s="1"/>
  <c r="D111" i="36" s="1"/>
  <c r="BP113" i="2"/>
  <c r="BQ113" i="2" s="1"/>
  <c r="D113" i="36" s="1"/>
  <c r="BP114" i="2"/>
  <c r="BQ114" i="2" s="1"/>
  <c r="D114" i="36" s="1"/>
  <c r="BP121" i="2"/>
  <c r="BQ121" i="2" s="1"/>
  <c r="D121" i="36" s="1"/>
  <c r="BP116" i="2"/>
  <c r="BQ116" i="2" s="1"/>
  <c r="D116" i="36" s="1"/>
  <c r="BP117" i="2"/>
  <c r="BQ117" i="2" s="1"/>
  <c r="D117" i="36" s="1"/>
  <c r="BP118" i="2"/>
  <c r="BQ118" i="2" s="1"/>
  <c r="D118" i="36" s="1"/>
  <c r="BP119" i="2"/>
  <c r="BQ119" i="2" s="1"/>
  <c r="D119" i="36" s="1"/>
  <c r="BP115" i="2"/>
  <c r="BQ115" i="2" s="1"/>
  <c r="D115" i="36" s="1"/>
  <c r="BP112" i="2"/>
  <c r="BQ112" i="2" s="1"/>
  <c r="D112" i="36" s="1"/>
  <c r="BJ110" i="2"/>
  <c r="BJ114" i="2"/>
  <c r="BK114" i="2" s="1"/>
  <c r="D114" i="35" s="1"/>
  <c r="BJ111" i="2"/>
  <c r="BK111" i="2" s="1"/>
  <c r="D111" i="35" s="1"/>
  <c r="BJ121" i="2"/>
  <c r="BK121" i="2" s="1"/>
  <c r="D121" i="35" s="1"/>
  <c r="BJ116" i="2"/>
  <c r="BK116" i="2" s="1"/>
  <c r="D116" i="35" s="1"/>
  <c r="BJ118" i="2"/>
  <c r="BK118" i="2" s="1"/>
  <c r="D118" i="35" s="1"/>
  <c r="BJ115" i="2"/>
  <c r="BK115" i="2" s="1"/>
  <c r="D115" i="35" s="1"/>
  <c r="BJ112" i="2"/>
  <c r="BK112" i="2" s="1"/>
  <c r="D112" i="35" s="1"/>
  <c r="BJ113" i="2"/>
  <c r="BK113" i="2" s="1"/>
  <c r="D113" i="35" s="1"/>
  <c r="BJ117" i="2"/>
  <c r="BK117" i="2" s="1"/>
  <c r="D117" i="35" s="1"/>
  <c r="BJ120" i="2"/>
  <c r="BK120" i="2" s="1"/>
  <c r="D120" i="35" s="1"/>
  <c r="BJ119" i="2"/>
  <c r="BK119" i="2" s="1"/>
  <c r="D119" i="35" s="1"/>
  <c r="E105" i="11"/>
  <c r="T105" i="11"/>
  <c r="F105" i="11"/>
  <c r="V57" i="17"/>
  <c r="W57" i="17" s="1"/>
  <c r="X57" i="17" s="1"/>
  <c r="Y57" i="17" s="1"/>
  <c r="U106" i="11"/>
  <c r="V106" i="11"/>
  <c r="T103" i="11"/>
  <c r="I51" i="2"/>
  <c r="D51" i="28" s="1"/>
  <c r="N59" i="2"/>
  <c r="O59" i="2" s="1"/>
  <c r="N57" i="2"/>
  <c r="O57" i="2" s="1"/>
  <c r="I59" i="2"/>
  <c r="FO59" i="2" s="1"/>
  <c r="EU83" i="3" s="1"/>
  <c r="N56" i="2"/>
  <c r="O56" i="2" s="1"/>
  <c r="N60" i="2"/>
  <c r="U60" i="29" s="1"/>
  <c r="V60" i="29" s="1"/>
  <c r="N58" i="2"/>
  <c r="O58" i="2" s="1"/>
  <c r="V55" i="17"/>
  <c r="W55" i="17" s="1"/>
  <c r="X55" i="17" s="1"/>
  <c r="Y55" i="17" s="1"/>
  <c r="I61" i="2"/>
  <c r="D61" i="28" s="1"/>
  <c r="I55" i="2"/>
  <c r="D55" i="28" s="1"/>
  <c r="N55" i="2"/>
  <c r="O55" i="2" s="1"/>
  <c r="N53" i="2"/>
  <c r="O53" i="2" s="1"/>
  <c r="N54" i="2"/>
  <c r="T54" i="19" s="1"/>
  <c r="U54" i="19" s="1"/>
  <c r="V59" i="17"/>
  <c r="W59" i="17" s="1"/>
  <c r="X59" i="17" s="1"/>
  <c r="Y59" i="17" s="1"/>
  <c r="N52" i="2"/>
  <c r="T52" i="19" s="1"/>
  <c r="U52" i="19" s="1"/>
  <c r="N50" i="2"/>
  <c r="O50" i="2" s="1"/>
  <c r="V56" i="17"/>
  <c r="W56" i="17" s="1"/>
  <c r="X56" i="17" s="1"/>
  <c r="Y56" i="17" s="1"/>
  <c r="N51" i="2"/>
  <c r="U51" i="29" s="1"/>
  <c r="V51" i="29" s="1"/>
  <c r="I54" i="2"/>
  <c r="FO54" i="2" s="1"/>
  <c r="EU78" i="3" s="1"/>
  <c r="W57" i="28"/>
  <c r="X57" i="28" s="1"/>
  <c r="G106" i="11"/>
  <c r="E106" i="11"/>
  <c r="F106" i="11"/>
  <c r="V52" i="17"/>
  <c r="W52" i="17" s="1"/>
  <c r="X52" i="17" s="1"/>
  <c r="Y52" i="17" s="1"/>
  <c r="I56" i="2"/>
  <c r="FO56" i="2" s="1"/>
  <c r="EU80" i="3" s="1"/>
  <c r="W56" i="28"/>
  <c r="X56" i="28" s="1"/>
  <c r="W51" i="28"/>
  <c r="X51" i="28" s="1"/>
  <c r="W55" i="28"/>
  <c r="X55" i="28" s="1"/>
  <c r="V61" i="17"/>
  <c r="W61" i="17" s="1"/>
  <c r="X61" i="17" s="1"/>
  <c r="Y61" i="17" s="1"/>
  <c r="W61" i="28"/>
  <c r="X61" i="28" s="1"/>
  <c r="W59" i="28"/>
  <c r="X59" i="28" s="1"/>
  <c r="E104" i="11"/>
  <c r="W54" i="28"/>
  <c r="X54" i="28" s="1"/>
  <c r="V54" i="17"/>
  <c r="W54" i="17" s="1"/>
  <c r="X54" i="17" s="1"/>
  <c r="Y54" i="17" s="1"/>
  <c r="V50" i="17"/>
  <c r="W50" i="17" s="1"/>
  <c r="X50" i="17" s="1"/>
  <c r="Y50" i="17" s="1"/>
  <c r="I50" i="2"/>
  <c r="FO50" i="2" s="1"/>
  <c r="EU74" i="3" s="1"/>
  <c r="T106" i="11"/>
  <c r="W52" i="28"/>
  <c r="X52" i="28" s="1"/>
  <c r="V60" i="17"/>
  <c r="W60" i="17" s="1"/>
  <c r="X60" i="17" s="1"/>
  <c r="Y60" i="17" s="1"/>
  <c r="W60" i="28"/>
  <c r="X60" i="28" s="1"/>
  <c r="L70" i="44"/>
  <c r="G196" i="44"/>
  <c r="F196" i="44"/>
  <c r="D196" i="44"/>
  <c r="E196" i="44"/>
  <c r="J196" i="44"/>
  <c r="W53" i="28"/>
  <c r="X53" i="28" s="1"/>
  <c r="I52" i="2"/>
  <c r="FO52" i="2" s="1"/>
  <c r="EU76" i="3" s="1"/>
  <c r="W50" i="28"/>
  <c r="X50" i="28" s="1"/>
  <c r="T124" i="29"/>
  <c r="V53" i="17"/>
  <c r="W53" i="17" s="1"/>
  <c r="X53" i="17" s="1"/>
  <c r="Y53" i="17" s="1"/>
  <c r="L147" i="44"/>
  <c r="D36" i="60" s="1"/>
  <c r="P32" i="73"/>
  <c r="P30" i="73"/>
  <c r="P31" i="73"/>
  <c r="G69" i="14"/>
  <c r="S38" i="36"/>
  <c r="T38" i="36" s="1"/>
  <c r="R49" i="25"/>
  <c r="S49" i="25" s="1"/>
  <c r="T49" i="25" s="1"/>
  <c r="U49" i="25" s="1"/>
  <c r="S47" i="36"/>
  <c r="T47" i="36" s="1"/>
  <c r="S46" i="36"/>
  <c r="T46" i="36" s="1"/>
  <c r="S43" i="36"/>
  <c r="T43" i="36" s="1"/>
  <c r="S42" i="36"/>
  <c r="T42" i="36" s="1"/>
  <c r="S40" i="36"/>
  <c r="T40" i="36" s="1"/>
  <c r="R39" i="25"/>
  <c r="S39" i="25" s="1"/>
  <c r="T39" i="25" s="1"/>
  <c r="U39" i="25" s="1"/>
  <c r="I196" i="44"/>
  <c r="G203" i="44"/>
  <c r="H203" i="44"/>
  <c r="H206" i="44"/>
  <c r="H200" i="44"/>
  <c r="G200" i="44"/>
  <c r="I206" i="44"/>
  <c r="D198" i="44"/>
  <c r="G194" i="44"/>
  <c r="H194" i="44"/>
  <c r="F202" i="44"/>
  <c r="D199" i="44"/>
  <c r="E200" i="44"/>
  <c r="D200" i="44"/>
  <c r="H195" i="44"/>
  <c r="D202" i="44"/>
  <c r="F195" i="44"/>
  <c r="H198" i="44"/>
  <c r="E199" i="44"/>
  <c r="I195" i="44"/>
  <c r="F194" i="44"/>
  <c r="I200" i="44"/>
  <c r="F199" i="44"/>
  <c r="G199" i="44"/>
  <c r="J195" i="44"/>
  <c r="G198" i="44"/>
  <c r="I194" i="44"/>
  <c r="F200" i="44"/>
  <c r="AT15" i="14"/>
  <c r="I198" i="44"/>
  <c r="J194" i="44"/>
  <c r="J200" i="44"/>
  <c r="E194" i="44"/>
  <c r="E205" i="44"/>
  <c r="D206" i="44"/>
  <c r="F198" i="44"/>
  <c r="G202" i="44"/>
  <c r="E195" i="44"/>
  <c r="J205" i="44"/>
  <c r="J202" i="44"/>
  <c r="E23" i="12"/>
  <c r="F23" i="12"/>
  <c r="F30" i="12" s="1"/>
  <c r="Z42" i="2"/>
  <c r="Z41" i="2"/>
  <c r="Z40" i="2"/>
  <c r="Z39" i="2"/>
  <c r="Z38" i="2"/>
  <c r="Z49" i="2"/>
  <c r="Z48" i="2"/>
  <c r="Z47" i="2"/>
  <c r="Z46" i="2"/>
  <c r="Z45" i="2"/>
  <c r="Z44" i="2"/>
  <c r="I142" i="51"/>
  <c r="J146" i="51"/>
  <c r="H142" i="10"/>
  <c r="I146" i="10"/>
  <c r="H147" i="10"/>
  <c r="G143" i="10"/>
  <c r="H202" i="44"/>
  <c r="L19" i="44"/>
  <c r="D65" i="25"/>
  <c r="C57" i="14"/>
  <c r="K134" i="44"/>
  <c r="L135" i="44"/>
  <c r="K135" i="44"/>
  <c r="K139" i="44"/>
  <c r="D71" i="24"/>
  <c r="FZ65" i="2"/>
  <c r="FC89" i="3" s="1"/>
  <c r="G20" i="11"/>
  <c r="G21" i="11" s="1"/>
  <c r="G25" i="11" s="1"/>
  <c r="D71" i="35"/>
  <c r="D70" i="25"/>
  <c r="D70" i="36"/>
  <c r="D68" i="25"/>
  <c r="FZ68" i="2"/>
  <c r="FC92" i="3" s="1"/>
  <c r="R43" i="25"/>
  <c r="S43" i="25" s="1"/>
  <c r="T43" i="25" s="1"/>
  <c r="U43" i="25" s="1"/>
  <c r="BT43" i="2"/>
  <c r="D68" i="36"/>
  <c r="FZ70" i="2"/>
  <c r="FC94" i="3" s="1"/>
  <c r="BS55" i="2"/>
  <c r="BS56" i="2"/>
  <c r="BS57" i="2"/>
  <c r="BS58" i="2"/>
  <c r="BS59" i="2"/>
  <c r="BS60" i="2"/>
  <c r="BS61" i="2"/>
  <c r="BS54" i="2"/>
  <c r="BS50" i="2"/>
  <c r="BS51" i="2"/>
  <c r="BS53" i="2"/>
  <c r="BS52" i="2"/>
  <c r="BM55" i="2"/>
  <c r="BM56" i="2"/>
  <c r="BM57" i="2"/>
  <c r="BM58" i="2"/>
  <c r="BM59" i="2"/>
  <c r="BM60" i="2"/>
  <c r="BM61" i="2"/>
  <c r="BM50" i="2"/>
  <c r="BM51" i="2"/>
  <c r="BM52" i="2"/>
  <c r="BM53" i="2"/>
  <c r="BM54" i="2"/>
  <c r="BG55" i="2"/>
  <c r="BG56" i="2"/>
  <c r="BG57" i="2"/>
  <c r="BG58" i="2"/>
  <c r="BG59" i="2"/>
  <c r="BG60" i="2"/>
  <c r="BG61" i="2"/>
  <c r="BG50" i="2"/>
  <c r="BG51" i="2"/>
  <c r="BG52" i="2"/>
  <c r="BG53" i="2"/>
  <c r="BG54" i="2"/>
  <c r="Z55" i="2"/>
  <c r="Z56" i="2"/>
  <c r="Z57" i="2"/>
  <c r="Z58" i="2"/>
  <c r="Z59" i="2"/>
  <c r="Z60" i="2"/>
  <c r="Z61" i="2"/>
  <c r="Z50" i="2"/>
  <c r="Z51" i="2"/>
  <c r="Z52" i="2"/>
  <c r="Z53" i="2"/>
  <c r="Z54" i="2"/>
  <c r="T55" i="2"/>
  <c r="T56" i="2"/>
  <c r="T54" i="2"/>
  <c r="T57" i="2"/>
  <c r="T58" i="2"/>
  <c r="T59" i="2"/>
  <c r="T60" i="2"/>
  <c r="T61" i="2"/>
  <c r="T50" i="2"/>
  <c r="T51" i="2"/>
  <c r="T52" i="2"/>
  <c r="T53" i="2"/>
  <c r="FY71" i="2"/>
  <c r="FB95" i="3" s="1"/>
  <c r="FZ66" i="2"/>
  <c r="FC90" i="3" s="1"/>
  <c r="FY70" i="2"/>
  <c r="FB94" i="3" s="1"/>
  <c r="D64" i="35"/>
  <c r="D70" i="35"/>
  <c r="FY64" i="2"/>
  <c r="FB88" i="3" s="1"/>
  <c r="D64" i="24"/>
  <c r="BH15" i="14"/>
  <c r="BB15" i="14"/>
  <c r="BB69" i="14" s="1"/>
  <c r="BB70" i="14" s="1"/>
  <c r="BB71" i="14" s="1"/>
  <c r="BB72" i="14" s="1"/>
  <c r="BB73" i="14" s="1"/>
  <c r="BB74" i="14" s="1"/>
  <c r="BB75" i="14" s="1"/>
  <c r="BB76" i="14" s="1"/>
  <c r="BB77" i="14" s="1"/>
  <c r="BB78" i="14" s="1"/>
  <c r="BB79" i="14" s="1"/>
  <c r="BB80" i="14" s="1"/>
  <c r="D72" i="35"/>
  <c r="D72" i="24"/>
  <c r="FY72" i="2"/>
  <c r="FB96" i="3" s="1"/>
  <c r="AD57" i="14"/>
  <c r="H106" i="11"/>
  <c r="F89" i="11"/>
  <c r="D65" i="36"/>
  <c r="D63" i="36"/>
  <c r="D70" i="24"/>
  <c r="D66" i="25"/>
  <c r="D62" i="24"/>
  <c r="D63" i="25"/>
  <c r="FY62" i="2"/>
  <c r="FB86" i="3" s="1"/>
  <c r="D62" i="35"/>
  <c r="D66" i="35"/>
  <c r="D66" i="24"/>
  <c r="FZ63" i="2"/>
  <c r="FC87" i="3" s="1"/>
  <c r="FY73" i="2"/>
  <c r="FB97" i="3" s="1"/>
  <c r="FY65" i="2"/>
  <c r="FB89" i="3" s="1"/>
  <c r="D73" i="25"/>
  <c r="FY66" i="2"/>
  <c r="FB90" i="3" s="1"/>
  <c r="FZ73" i="2"/>
  <c r="FC97" i="3" s="1"/>
  <c r="D73" i="36"/>
  <c r="BT40" i="2"/>
  <c r="D65" i="35"/>
  <c r="D65" i="24"/>
  <c r="D63" i="35"/>
  <c r="D63" i="24"/>
  <c r="D71" i="25"/>
  <c r="FZ71" i="2"/>
  <c r="FC95" i="3" s="1"/>
  <c r="FZ72" i="2"/>
  <c r="FC96" i="3" s="1"/>
  <c r="D71" i="36"/>
  <c r="D73" i="35"/>
  <c r="FZ67" i="2"/>
  <c r="FC91" i="3" s="1"/>
  <c r="D66" i="36"/>
  <c r="FY69" i="2"/>
  <c r="FB93" i="3" s="1"/>
  <c r="D69" i="35"/>
  <c r="R40" i="25"/>
  <c r="S40" i="25" s="1"/>
  <c r="T40" i="25" s="1"/>
  <c r="BT38" i="2"/>
  <c r="S38" i="25"/>
  <c r="T38" i="25" s="1"/>
  <c r="BT39" i="2"/>
  <c r="S39" i="36"/>
  <c r="T39" i="36" s="1"/>
  <c r="D69" i="24"/>
  <c r="CW11" i="39"/>
  <c r="D62" i="25"/>
  <c r="FY67" i="2"/>
  <c r="FB91" i="3" s="1"/>
  <c r="FZ62" i="2"/>
  <c r="FC86" i="3" s="1"/>
  <c r="BT49" i="2"/>
  <c r="DG11" i="39"/>
  <c r="D72" i="36"/>
  <c r="D67" i="25"/>
  <c r="FY63" i="2"/>
  <c r="FB87" i="3" s="1"/>
  <c r="D67" i="36"/>
  <c r="D62" i="36"/>
  <c r="D72" i="25"/>
  <c r="FZ64" i="2"/>
  <c r="FC88" i="3" s="1"/>
  <c r="D64" i="25"/>
  <c r="D64" i="36"/>
  <c r="BT45" i="2"/>
  <c r="D67" i="35"/>
  <c r="D67" i="24"/>
  <c r="R46" i="25"/>
  <c r="S46" i="25" s="1"/>
  <c r="T46" i="25" s="1"/>
  <c r="BT42" i="2"/>
  <c r="G67" i="11"/>
  <c r="R42" i="25"/>
  <c r="S42" i="25" s="1"/>
  <c r="T42" i="25" s="1"/>
  <c r="BT46" i="2"/>
  <c r="R48" i="25"/>
  <c r="S48" i="25" s="1"/>
  <c r="T48" i="25" s="1"/>
  <c r="C15" i="14"/>
  <c r="D73" i="24"/>
  <c r="BT48" i="2"/>
  <c r="R47" i="25"/>
  <c r="S47" i="25" s="1"/>
  <c r="T47" i="25" s="1"/>
  <c r="R41" i="25"/>
  <c r="S41" i="25" s="1"/>
  <c r="T41" i="25" s="1"/>
  <c r="BT47" i="2"/>
  <c r="BT41" i="2"/>
  <c r="R45" i="25"/>
  <c r="S45" i="25" s="1"/>
  <c r="T45" i="25" s="1"/>
  <c r="S44" i="36"/>
  <c r="T44" i="36" s="1"/>
  <c r="R44" i="25"/>
  <c r="S44" i="25" s="1"/>
  <c r="T44" i="25" s="1"/>
  <c r="BT44" i="2"/>
  <c r="S48" i="36"/>
  <c r="T48" i="36" s="1"/>
  <c r="S41" i="36"/>
  <c r="T41" i="36" s="1"/>
  <c r="S45" i="36"/>
  <c r="T45" i="36" s="1"/>
  <c r="S49" i="36"/>
  <c r="T49" i="36" s="1"/>
  <c r="BY63" i="2"/>
  <c r="D62" i="23"/>
  <c r="D70" i="23"/>
  <c r="BY69" i="2"/>
  <c r="BY64" i="2"/>
  <c r="BK106" i="2"/>
  <c r="BQ103" i="2"/>
  <c r="BY70" i="2"/>
  <c r="BY72" i="2"/>
  <c r="D67" i="23"/>
  <c r="BQ109" i="2"/>
  <c r="BY73" i="2"/>
  <c r="D64" i="23"/>
  <c r="D73" i="23"/>
  <c r="D63" i="23"/>
  <c r="D68" i="23"/>
  <c r="BQ107" i="2"/>
  <c r="BY65" i="2"/>
  <c r="BY68" i="2"/>
  <c r="BY62" i="2"/>
  <c r="BY71" i="2"/>
  <c r="D69" i="23"/>
  <c r="BY67" i="2"/>
  <c r="BY66" i="2"/>
  <c r="D66" i="23"/>
  <c r="D72" i="23"/>
  <c r="D71" i="23"/>
  <c r="D65" i="23"/>
  <c r="BV98" i="2"/>
  <c r="FO43" i="2"/>
  <c r="EU67" i="3" s="1"/>
  <c r="Y45" i="17"/>
  <c r="D48" i="28"/>
  <c r="D39" i="28"/>
  <c r="FO41" i="2"/>
  <c r="EU65" i="3" s="1"/>
  <c r="FO42" i="2"/>
  <c r="EU66" i="3" s="1"/>
  <c r="V44" i="35"/>
  <c r="V46" i="35"/>
  <c r="V47" i="35"/>
  <c r="V42" i="35"/>
  <c r="V45" i="35"/>
  <c r="V40" i="35"/>
  <c r="V41" i="35"/>
  <c r="V38" i="35"/>
  <c r="V48" i="35"/>
  <c r="V39" i="35"/>
  <c r="V49" i="35"/>
  <c r="V43" i="35"/>
  <c r="X47" i="34"/>
  <c r="X49" i="34"/>
  <c r="X42" i="34"/>
  <c r="X38" i="34"/>
  <c r="X39" i="34"/>
  <c r="X43" i="34"/>
  <c r="X48" i="34"/>
  <c r="X46" i="34"/>
  <c r="X41" i="34"/>
  <c r="X44" i="34"/>
  <c r="X45" i="34"/>
  <c r="X40" i="34"/>
  <c r="T40" i="30"/>
  <c r="T43" i="30"/>
  <c r="T39" i="30"/>
  <c r="T41" i="30"/>
  <c r="T42" i="30"/>
  <c r="T46" i="30"/>
  <c r="T47" i="30"/>
  <c r="T49" i="30"/>
  <c r="T45" i="30"/>
  <c r="T38" i="30"/>
  <c r="T48" i="30"/>
  <c r="T44" i="30"/>
  <c r="F9" i="39"/>
  <c r="H9" i="39" s="1"/>
  <c r="J9" i="39" s="1"/>
  <c r="V38" i="24"/>
  <c r="AZ8" i="27"/>
  <c r="AT8" i="27"/>
  <c r="P8" i="27"/>
  <c r="J8" i="27"/>
  <c r="D8" i="27"/>
  <c r="X41" i="23"/>
  <c r="Y41" i="23" s="1"/>
  <c r="X47" i="23"/>
  <c r="Y47" i="23" s="1"/>
  <c r="X45" i="23"/>
  <c r="Y45" i="23" s="1"/>
  <c r="X39" i="23"/>
  <c r="Y39" i="23" s="1"/>
  <c r="X40" i="23"/>
  <c r="Y40" i="23" s="1"/>
  <c r="X43" i="23"/>
  <c r="Y43" i="23" s="1"/>
  <c r="X44" i="23"/>
  <c r="Y44" i="23" s="1"/>
  <c r="X42" i="23"/>
  <c r="Y42" i="23" s="1"/>
  <c r="X38" i="23"/>
  <c r="Y38" i="23" s="1"/>
  <c r="AS8" i="27"/>
  <c r="X46" i="23"/>
  <c r="Y46" i="23" s="1"/>
  <c r="X49" i="23"/>
  <c r="Y49" i="23" s="1"/>
  <c r="X48" i="23"/>
  <c r="Y48" i="23" s="1"/>
  <c r="V9" i="27"/>
  <c r="V8" i="27"/>
  <c r="T49" i="18"/>
  <c r="T39" i="18"/>
  <c r="T44" i="18"/>
  <c r="T46" i="18"/>
  <c r="T47" i="18"/>
  <c r="T45" i="18"/>
  <c r="T48" i="18"/>
  <c r="T40" i="18"/>
  <c r="T41" i="18"/>
  <c r="T43" i="18"/>
  <c r="T42" i="18"/>
  <c r="T38" i="18"/>
  <c r="O8" i="27"/>
  <c r="Y49" i="17"/>
  <c r="V49" i="19"/>
  <c r="W49" i="19" s="1"/>
  <c r="FO46" i="2"/>
  <c r="EU70" i="3" s="1"/>
  <c r="Y46" i="17"/>
  <c r="D46" i="28"/>
  <c r="V42" i="19"/>
  <c r="W42" i="19" s="1"/>
  <c r="V43" i="19"/>
  <c r="W43" i="19" s="1"/>
  <c r="D49" i="28"/>
  <c r="FO57" i="2"/>
  <c r="EU81" i="3" s="1"/>
  <c r="FO60" i="2"/>
  <c r="EU84" i="3" s="1"/>
  <c r="FO53" i="2"/>
  <c r="EU77" i="3" s="1"/>
  <c r="D60" i="28"/>
  <c r="Y40" i="17"/>
  <c r="D40" i="28"/>
  <c r="FO49" i="2"/>
  <c r="EU73" i="3" s="1"/>
  <c r="Y39" i="17"/>
  <c r="V46" i="19"/>
  <c r="W46" i="19" s="1"/>
  <c r="FO39" i="2"/>
  <c r="EU63" i="3" s="1"/>
  <c r="D47" i="28"/>
  <c r="Y41" i="17"/>
  <c r="D53" i="28"/>
  <c r="D41" i="28"/>
  <c r="V40" i="19"/>
  <c r="W40" i="19" s="1"/>
  <c r="V41" i="19"/>
  <c r="W41" i="19" s="1"/>
  <c r="V47" i="19"/>
  <c r="W47" i="19" s="1"/>
  <c r="V44" i="19"/>
  <c r="W44" i="19" s="1"/>
  <c r="V48" i="19"/>
  <c r="W48" i="19" s="1"/>
  <c r="V45" i="19"/>
  <c r="W45" i="19" s="1"/>
  <c r="V38" i="19"/>
  <c r="W38" i="19" s="1"/>
  <c r="V39" i="19"/>
  <c r="W39" i="19" s="1"/>
  <c r="FO40" i="2"/>
  <c r="EU64" i="3" s="1"/>
  <c r="Y51" i="17"/>
  <c r="Y38" i="17"/>
  <c r="EU62" i="3"/>
  <c r="D38" i="28"/>
  <c r="FO47" i="2"/>
  <c r="EU71" i="3" s="1"/>
  <c r="Y47" i="17"/>
  <c r="I8" i="27"/>
  <c r="D45" i="28"/>
  <c r="Y48" i="17"/>
  <c r="Y43" i="17"/>
  <c r="E9" i="39"/>
  <c r="Y42" i="17"/>
  <c r="D57" i="28"/>
  <c r="D42" i="28"/>
  <c r="D44" i="28"/>
  <c r="FO44" i="2"/>
  <c r="EU68" i="3" s="1"/>
  <c r="D43" i="28"/>
  <c r="Y44" i="17"/>
  <c r="FO45" i="2"/>
  <c r="EU69" i="3" s="1"/>
  <c r="FO48" i="2"/>
  <c r="EU72" i="3" s="1"/>
  <c r="U105" i="11"/>
  <c r="W106" i="11"/>
  <c r="U103" i="11"/>
  <c r="E103" i="11"/>
  <c r="V21" i="11"/>
  <c r="V25" i="11" s="1"/>
  <c r="W20" i="11"/>
  <c r="P31" i="41"/>
  <c r="AC57" i="8"/>
  <c r="F73" i="11"/>
  <c r="F69" i="11"/>
  <c r="X45" i="8"/>
  <c r="Z45" i="8" s="1"/>
  <c r="AH53" i="8"/>
  <c r="AR43" i="7"/>
  <c r="X80" i="11"/>
  <c r="X81" i="11" s="1"/>
  <c r="V89" i="11" s="1"/>
  <c r="Y79" i="11"/>
  <c r="AH54" i="8"/>
  <c r="P32" i="41"/>
  <c r="P30" i="41"/>
  <c r="BQ101" i="2"/>
  <c r="BQ105" i="2"/>
  <c r="BQ104" i="2"/>
  <c r="BQ100" i="2"/>
  <c r="AG14" i="14"/>
  <c r="BQ99" i="2"/>
  <c r="BQ108" i="2"/>
  <c r="BQ102" i="2"/>
  <c r="DF14" i="39"/>
  <c r="DI14" i="39" s="1"/>
  <c r="BQ106" i="2"/>
  <c r="AK14" i="14"/>
  <c r="BK102" i="2"/>
  <c r="BK103" i="2"/>
  <c r="BK109" i="2"/>
  <c r="BK104" i="2"/>
  <c r="BK99" i="2"/>
  <c r="BE80" i="2"/>
  <c r="D74" i="36"/>
  <c r="DG12" i="39"/>
  <c r="BP11" i="40" s="1"/>
  <c r="FZ74" i="2"/>
  <c r="FC98" i="3" s="1"/>
  <c r="D74" i="25"/>
  <c r="BK87" i="2"/>
  <c r="DR11" i="39"/>
  <c r="D62" i="26"/>
  <c r="P62" i="26" s="1"/>
  <c r="D62" i="37"/>
  <c r="D69" i="37"/>
  <c r="D69" i="26"/>
  <c r="D75" i="24"/>
  <c r="D75" i="35"/>
  <c r="FY75" i="2"/>
  <c r="FB99" i="3" s="1"/>
  <c r="BW82" i="2"/>
  <c r="BQ94" i="2"/>
  <c r="FY80" i="2"/>
  <c r="FB104" i="3" s="1"/>
  <c r="D80" i="24"/>
  <c r="D80" i="35"/>
  <c r="BE78" i="2"/>
  <c r="D64" i="34"/>
  <c r="FX64" i="2"/>
  <c r="FA88" i="3" s="1"/>
  <c r="BK86" i="2"/>
  <c r="CV13" i="39"/>
  <c r="CY13" i="39" s="1"/>
  <c r="D98" i="25"/>
  <c r="D98" i="36"/>
  <c r="FZ98" i="2"/>
  <c r="FC122" i="3" s="1"/>
  <c r="FY98" i="2"/>
  <c r="FB122" i="3" s="1"/>
  <c r="D98" i="24"/>
  <c r="D98" i="35"/>
  <c r="BW76" i="2"/>
  <c r="BQ95" i="2"/>
  <c r="BE84" i="2"/>
  <c r="D75" i="25"/>
  <c r="D75" i="36"/>
  <c r="FZ75" i="2"/>
  <c r="FC99" i="3" s="1"/>
  <c r="D85" i="24"/>
  <c r="D85" i="35"/>
  <c r="FY85" i="2"/>
  <c r="FB109" i="3" s="1"/>
  <c r="D78" i="25"/>
  <c r="D78" i="36"/>
  <c r="FZ78" i="2"/>
  <c r="FC102" i="3" s="1"/>
  <c r="BK97" i="2"/>
  <c r="BW77" i="2"/>
  <c r="BQ93" i="2"/>
  <c r="D77" i="24"/>
  <c r="D77" i="35"/>
  <c r="FY77" i="2"/>
  <c r="FB101" i="3" s="1"/>
  <c r="BE81" i="2"/>
  <c r="FX70" i="2"/>
  <c r="FA94" i="3" s="1"/>
  <c r="D70" i="34"/>
  <c r="BK88" i="2"/>
  <c r="AG45" i="8"/>
  <c r="O28" i="41"/>
  <c r="O37" i="41" s="1"/>
  <c r="BW80" i="2"/>
  <c r="BK100" i="2"/>
  <c r="BE83" i="2"/>
  <c r="D65" i="26"/>
  <c r="D65" i="37"/>
  <c r="AH45" i="8"/>
  <c r="P28" i="41"/>
  <c r="D79" i="25"/>
  <c r="D79" i="36"/>
  <c r="FZ79" i="2"/>
  <c r="FC103" i="3" s="1"/>
  <c r="BK93" i="2"/>
  <c r="BK101" i="2"/>
  <c r="BW84" i="2"/>
  <c r="BV101" i="2"/>
  <c r="D84" i="36"/>
  <c r="FZ84" i="2"/>
  <c r="FC108" i="3" s="1"/>
  <c r="D84" i="25"/>
  <c r="D77" i="25"/>
  <c r="FZ77" i="2"/>
  <c r="FC101" i="3" s="1"/>
  <c r="D77" i="36"/>
  <c r="D66" i="34"/>
  <c r="FX66" i="2"/>
  <c r="FA90" i="3" s="1"/>
  <c r="FX65" i="2"/>
  <c r="FA89" i="3" s="1"/>
  <c r="D65" i="34"/>
  <c r="D73" i="34"/>
  <c r="FX73" i="2"/>
  <c r="FA97" i="3" s="1"/>
  <c r="D62" i="34"/>
  <c r="FX62" i="2"/>
  <c r="FA86" i="3" s="1"/>
  <c r="CM11" i="39"/>
  <c r="H8" i="44" s="1"/>
  <c r="H123" i="44" s="1"/>
  <c r="H127" i="44" s="1"/>
  <c r="BV104" i="2"/>
  <c r="D80" i="25"/>
  <c r="D80" i="36"/>
  <c r="FZ80" i="2"/>
  <c r="FC104" i="3" s="1"/>
  <c r="FZ76" i="2"/>
  <c r="FC100" i="3" s="1"/>
  <c r="D76" i="25"/>
  <c r="D76" i="36"/>
  <c r="AF25" i="5"/>
  <c r="AF52" i="5"/>
  <c r="A126" i="29"/>
  <c r="C125" i="29"/>
  <c r="B125" i="29"/>
  <c r="AI25" i="5"/>
  <c r="AI52" i="5"/>
  <c r="BV107" i="2"/>
  <c r="D72" i="37"/>
  <c r="D72" i="26"/>
  <c r="BQ87" i="2"/>
  <c r="BV109" i="2"/>
  <c r="D66" i="26"/>
  <c r="D66" i="37"/>
  <c r="D73" i="26"/>
  <c r="D73" i="37"/>
  <c r="D84" i="35"/>
  <c r="FY84" i="2"/>
  <c r="FB108" i="3" s="1"/>
  <c r="D84" i="24"/>
  <c r="BQ88" i="2"/>
  <c r="BV103" i="2"/>
  <c r="D63" i="26"/>
  <c r="D63" i="37"/>
  <c r="BE85" i="2"/>
  <c r="D79" i="24"/>
  <c r="D79" i="35"/>
  <c r="FY79" i="2"/>
  <c r="FB103" i="3" s="1"/>
  <c r="D67" i="26"/>
  <c r="D67" i="37"/>
  <c r="D70" i="26"/>
  <c r="D70" i="37"/>
  <c r="BK96" i="2"/>
  <c r="D68" i="26"/>
  <c r="D68" i="37"/>
  <c r="AG26" i="5"/>
  <c r="CY16" i="39" s="1"/>
  <c r="AG53" i="5"/>
  <c r="BW79" i="2"/>
  <c r="BQ86" i="2"/>
  <c r="DF13" i="39"/>
  <c r="DI13" i="39" s="1"/>
  <c r="BV102" i="2"/>
  <c r="D71" i="26"/>
  <c r="D71" i="37"/>
  <c r="BE75" i="2"/>
  <c r="D83" i="35"/>
  <c r="FY83" i="2"/>
  <c r="FB107" i="3" s="1"/>
  <c r="D83" i="24"/>
  <c r="BK89" i="2"/>
  <c r="D63" i="34"/>
  <c r="FX63" i="2"/>
  <c r="FA87" i="3" s="1"/>
  <c r="BW75" i="2"/>
  <c r="BQ90" i="2"/>
  <c r="BV108" i="2"/>
  <c r="D81" i="24"/>
  <c r="FY81" i="2"/>
  <c r="FB105" i="3" s="1"/>
  <c r="D81" i="35"/>
  <c r="BE77" i="2"/>
  <c r="BK90" i="2"/>
  <c r="FZ83" i="2"/>
  <c r="FC107" i="3" s="1"/>
  <c r="D83" i="36"/>
  <c r="D83" i="25"/>
  <c r="D64" i="26"/>
  <c r="D64" i="37"/>
  <c r="BW81" i="2"/>
  <c r="BQ92" i="2"/>
  <c r="BV105" i="2"/>
  <c r="BE76" i="2"/>
  <c r="D81" i="25"/>
  <c r="FZ81" i="2"/>
  <c r="FC105" i="3" s="1"/>
  <c r="D81" i="36"/>
  <c r="BK91" i="2"/>
  <c r="FX71" i="2"/>
  <c r="FA95" i="3" s="1"/>
  <c r="D71" i="34"/>
  <c r="D69" i="34"/>
  <c r="FX69" i="2"/>
  <c r="FA93" i="3" s="1"/>
  <c r="BW83" i="2"/>
  <c r="BQ91" i="2"/>
  <c r="BV100" i="2"/>
  <c r="D76" i="24"/>
  <c r="D76" i="35"/>
  <c r="FY76" i="2"/>
  <c r="FB100" i="3" s="1"/>
  <c r="BE74" i="2"/>
  <c r="CL12" i="39"/>
  <c r="CO12" i="39" s="1"/>
  <c r="BK107" i="2"/>
  <c r="FY78" i="2"/>
  <c r="FB102" i="3" s="1"/>
  <c r="D78" i="24"/>
  <c r="D78" i="35"/>
  <c r="BK95" i="2"/>
  <c r="D82" i="25"/>
  <c r="D82" i="36"/>
  <c r="FZ82" i="2"/>
  <c r="FC106" i="3" s="1"/>
  <c r="AH26" i="5"/>
  <c r="DI16" i="39" s="1"/>
  <c r="AH53" i="5"/>
  <c r="BW78" i="2"/>
  <c r="BQ89" i="2"/>
  <c r="BV106" i="2"/>
  <c r="BK105" i="2"/>
  <c r="BE79" i="2"/>
  <c r="D72" i="34"/>
  <c r="FX72" i="2"/>
  <c r="FA96" i="3" s="1"/>
  <c r="BK92" i="2"/>
  <c r="BK108" i="2"/>
  <c r="BW85" i="2"/>
  <c r="BQ96" i="2"/>
  <c r="BV99" i="2"/>
  <c r="FZ85" i="2"/>
  <c r="FC109" i="3" s="1"/>
  <c r="D85" i="25"/>
  <c r="D85" i="36"/>
  <c r="BE82" i="2"/>
  <c r="FX67" i="2"/>
  <c r="FA91" i="3" s="1"/>
  <c r="D67" i="34"/>
  <c r="CW12" i="39"/>
  <c r="FY74" i="2"/>
  <c r="FB98" i="3" s="1"/>
  <c r="D74" i="24"/>
  <c r="D74" i="35"/>
  <c r="BK94" i="2"/>
  <c r="CV14" i="39"/>
  <c r="CY14" i="39" s="1"/>
  <c r="DQ12" i="39"/>
  <c r="DT12" i="39" s="1"/>
  <c r="BW74" i="2"/>
  <c r="FX68" i="2"/>
  <c r="FA92" i="3" s="1"/>
  <c r="D68" i="34"/>
  <c r="BQ97" i="2"/>
  <c r="BV90" i="2"/>
  <c r="BV91" i="2"/>
  <c r="BV87" i="2"/>
  <c r="BV86" i="2"/>
  <c r="BV92" i="2"/>
  <c r="BV95" i="2"/>
  <c r="BV93" i="2"/>
  <c r="BV89" i="2"/>
  <c r="BV94" i="2"/>
  <c r="BV96" i="2"/>
  <c r="BV88" i="2"/>
  <c r="BV97" i="2"/>
  <c r="D82" i="24"/>
  <c r="D82" i="35"/>
  <c r="FY82" i="2"/>
  <c r="FB106" i="3" s="1"/>
  <c r="K26" i="44"/>
  <c r="K25" i="44"/>
  <c r="W58" i="5"/>
  <c r="H42" i="11"/>
  <c r="H43" i="11" s="1"/>
  <c r="H47" i="11" s="1"/>
  <c r="J31" i="11"/>
  <c r="W42" i="11"/>
  <c r="W43" i="11" s="1"/>
  <c r="W47" i="11" s="1"/>
  <c r="ER14" i="39"/>
  <c r="K22" i="73" s="1"/>
  <c r="CE14" i="39"/>
  <c r="K11" i="73" s="1"/>
  <c r="BX14" i="39"/>
  <c r="K10" i="73" s="1"/>
  <c r="BW16" i="39"/>
  <c r="BW17" i="39" s="1"/>
  <c r="BQ14" i="39"/>
  <c r="K9" i="73" s="1"/>
  <c r="BP16" i="39"/>
  <c r="BP17" i="39" s="1"/>
  <c r="BP18" i="39" s="1"/>
  <c r="BP19" i="39" s="1"/>
  <c r="BP20" i="39" s="1"/>
  <c r="BP21" i="39" s="1"/>
  <c r="H199" i="44"/>
  <c r="E202" i="44"/>
  <c r="G206" i="44"/>
  <c r="F206" i="44"/>
  <c r="D195" i="44"/>
  <c r="E206" i="44"/>
  <c r="H196" i="44"/>
  <c r="H205" i="44"/>
  <c r="G205" i="44"/>
  <c r="F205" i="44"/>
  <c r="D203" i="44"/>
  <c r="E203" i="44"/>
  <c r="J198" i="44"/>
  <c r="J206" i="44"/>
  <c r="F203" i="44"/>
  <c r="D205" i="44"/>
  <c r="I203" i="44"/>
  <c r="E198" i="44"/>
  <c r="G195" i="44"/>
  <c r="I202" i="44"/>
  <c r="I205" i="44"/>
  <c r="J203" i="44"/>
  <c r="K72" i="44"/>
  <c r="K22" i="44"/>
  <c r="S33" i="40"/>
  <c r="G77" i="11"/>
  <c r="G192" i="44"/>
  <c r="H192" i="44"/>
  <c r="E192" i="44"/>
  <c r="I192" i="44"/>
  <c r="F192" i="44"/>
  <c r="D192" i="44"/>
  <c r="J192" i="44"/>
  <c r="V77" i="11"/>
  <c r="I35" i="11"/>
  <c r="K71" i="44"/>
  <c r="AB16" i="14"/>
  <c r="AA81" i="14" s="1"/>
  <c r="AA82" i="14" s="1"/>
  <c r="AA83" i="14" s="1"/>
  <c r="AA84" i="14" s="1"/>
  <c r="AA85" i="14" s="1"/>
  <c r="AA86" i="14" s="1"/>
  <c r="AA87" i="14" s="1"/>
  <c r="AA88" i="14" s="1"/>
  <c r="AA89" i="14" s="1"/>
  <c r="AA90" i="14" s="1"/>
  <c r="AA91" i="14" s="1"/>
  <c r="AA92" i="14" s="1"/>
  <c r="BR14" i="14"/>
  <c r="AX14" i="14"/>
  <c r="X42" i="11"/>
  <c r="EJ17" i="39"/>
  <c r="BN14" i="14"/>
  <c r="BG26" i="40"/>
  <c r="G73" i="11"/>
  <c r="I71" i="11"/>
  <c r="H72" i="11"/>
  <c r="H73" i="11" s="1"/>
  <c r="F87" i="11" s="1"/>
  <c r="G16" i="14"/>
  <c r="EC17" i="39"/>
  <c r="X26" i="40"/>
  <c r="BI28" i="40"/>
  <c r="U28" i="40"/>
  <c r="F26" i="8"/>
  <c r="N21" i="60" l="1"/>
  <c r="M24" i="60"/>
  <c r="W24" i="60"/>
  <c r="M28" i="60"/>
  <c r="M27" i="60"/>
  <c r="W23" i="60"/>
  <c r="C26" i="60"/>
  <c r="X21" i="60"/>
  <c r="C22" i="60"/>
  <c r="D22" i="60"/>
  <c r="C21" i="60"/>
  <c r="AT58" i="14"/>
  <c r="D58" i="28"/>
  <c r="T43" i="20"/>
  <c r="U43" i="20" s="1"/>
  <c r="V43" i="20" s="1"/>
  <c r="W43" i="20" s="1"/>
  <c r="AA43" i="2"/>
  <c r="U61" i="29"/>
  <c r="V61" i="29" s="1"/>
  <c r="T61" i="19"/>
  <c r="U61" i="19" s="1"/>
  <c r="V61" i="19" s="1"/>
  <c r="W61" i="19" s="1"/>
  <c r="U19" i="40"/>
  <c r="X20" i="40"/>
  <c r="H160" i="44"/>
  <c r="H177" i="44"/>
  <c r="H197" i="44" s="1"/>
  <c r="BD118" i="2"/>
  <c r="BD119" i="2"/>
  <c r="BD120" i="2"/>
  <c r="BD111" i="2"/>
  <c r="BD110" i="2"/>
  <c r="BD112" i="2"/>
  <c r="BD113" i="2"/>
  <c r="BD114" i="2"/>
  <c r="BD115" i="2"/>
  <c r="BD116" i="2"/>
  <c r="BD117" i="2"/>
  <c r="BM71" i="2"/>
  <c r="U71" i="35" s="1"/>
  <c r="T71" i="2"/>
  <c r="U71" i="2" s="1"/>
  <c r="Z84" i="2"/>
  <c r="U84" i="31" s="1"/>
  <c r="V84" i="31" s="1"/>
  <c r="Z73" i="2"/>
  <c r="T73" i="20" s="1"/>
  <c r="U73" i="20" s="1"/>
  <c r="V73" i="20" s="1"/>
  <c r="W73" i="20" s="1"/>
  <c r="BS69" i="2"/>
  <c r="R69" i="25" s="1"/>
  <c r="S69" i="25" s="1"/>
  <c r="T69" i="25" s="1"/>
  <c r="U69" i="25" s="1"/>
  <c r="Z95" i="2"/>
  <c r="U95" i="31" s="1"/>
  <c r="N62" i="2"/>
  <c r="U62" i="29" s="1"/>
  <c r="V62" i="29" s="1"/>
  <c r="BG70" i="2"/>
  <c r="V70" i="23" s="1"/>
  <c r="W70" i="23" s="1"/>
  <c r="BS94" i="2"/>
  <c r="R94" i="25" s="1"/>
  <c r="S94" i="25" s="1"/>
  <c r="BS80" i="2"/>
  <c r="BT80" i="2" s="1"/>
  <c r="T78" i="2"/>
  <c r="R78" i="18" s="1"/>
  <c r="S78" i="18" s="1"/>
  <c r="G70" i="14"/>
  <c r="G59" i="14"/>
  <c r="BI16" i="39"/>
  <c r="BK16" i="39" s="1"/>
  <c r="T51" i="19"/>
  <c r="U51" i="19" s="1"/>
  <c r="V51" i="19" s="1"/>
  <c r="W51" i="19" s="1"/>
  <c r="O51" i="2"/>
  <c r="BM63" i="2"/>
  <c r="BN63" i="2" s="1"/>
  <c r="BQ13" i="40"/>
  <c r="BQ12" i="40"/>
  <c r="BQ11" i="40"/>
  <c r="BK110" i="2"/>
  <c r="D110" i="24" s="1"/>
  <c r="CV15" i="39"/>
  <c r="CY15" i="39" s="1"/>
  <c r="BQ110" i="2"/>
  <c r="FZ110" i="2" s="1"/>
  <c r="FC134" i="3" s="1"/>
  <c r="DF15" i="39"/>
  <c r="DI15" i="39" s="1"/>
  <c r="T125" i="29"/>
  <c r="T74" i="2"/>
  <c r="S74" i="30" s="1"/>
  <c r="W38" i="24"/>
  <c r="FZ112" i="2"/>
  <c r="FC136" i="3" s="1"/>
  <c r="D112" i="25"/>
  <c r="FZ115" i="2"/>
  <c r="FC139" i="3" s="1"/>
  <c r="D115" i="25"/>
  <c r="FZ119" i="2"/>
  <c r="FC143" i="3" s="1"/>
  <c r="D119" i="25"/>
  <c r="FZ118" i="2"/>
  <c r="FC142" i="3" s="1"/>
  <c r="D118" i="25"/>
  <c r="FZ117" i="2"/>
  <c r="FC141" i="3" s="1"/>
  <c r="D117" i="25"/>
  <c r="FZ116" i="2"/>
  <c r="FC140" i="3" s="1"/>
  <c r="D116" i="25"/>
  <c r="FZ121" i="2"/>
  <c r="FC145" i="3" s="1"/>
  <c r="D121" i="25"/>
  <c r="FZ114" i="2"/>
  <c r="FC138" i="3" s="1"/>
  <c r="D114" i="25"/>
  <c r="FZ113" i="2"/>
  <c r="FC137" i="3" s="1"/>
  <c r="D113" i="25"/>
  <c r="FZ111" i="2"/>
  <c r="FC135" i="3" s="1"/>
  <c r="D111" i="25"/>
  <c r="FZ120" i="2"/>
  <c r="FC144" i="3" s="1"/>
  <c r="D120" i="25"/>
  <c r="FY121" i="2"/>
  <c r="FB145" i="3" s="1"/>
  <c r="D121" i="24"/>
  <c r="FY111" i="2"/>
  <c r="FB135" i="3" s="1"/>
  <c r="D111" i="24"/>
  <c r="FY114" i="2"/>
  <c r="FB138" i="3" s="1"/>
  <c r="D114" i="24"/>
  <c r="FY119" i="2"/>
  <c r="FB143" i="3" s="1"/>
  <c r="D119" i="24"/>
  <c r="FY120" i="2"/>
  <c r="FB144" i="3" s="1"/>
  <c r="D120" i="24"/>
  <c r="FY117" i="2"/>
  <c r="FB141" i="3" s="1"/>
  <c r="D117" i="24"/>
  <c r="FY113" i="2"/>
  <c r="FB137" i="3" s="1"/>
  <c r="D113" i="24"/>
  <c r="FY112" i="2"/>
  <c r="FB136" i="3" s="1"/>
  <c r="D112" i="24"/>
  <c r="FY115" i="2"/>
  <c r="FB139" i="3" s="1"/>
  <c r="D115" i="24"/>
  <c r="FY118" i="2"/>
  <c r="FB142" i="3" s="1"/>
  <c r="D118" i="24"/>
  <c r="FY116" i="2"/>
  <c r="FB140" i="3" s="1"/>
  <c r="D116" i="24"/>
  <c r="T84" i="2"/>
  <c r="U84" i="2" s="1"/>
  <c r="BM65" i="2"/>
  <c r="U65" i="35" s="1"/>
  <c r="BM64" i="2"/>
  <c r="BN64" i="2" s="1"/>
  <c r="T85" i="2"/>
  <c r="S85" i="30" s="1"/>
  <c r="T81" i="2"/>
  <c r="S81" i="30" s="1"/>
  <c r="BM67" i="2"/>
  <c r="BN67" i="2" s="1"/>
  <c r="BM69" i="2"/>
  <c r="U69" i="35" s="1"/>
  <c r="T64" i="2"/>
  <c r="U64" i="2" s="1"/>
  <c r="T69" i="2"/>
  <c r="S69" i="30" s="1"/>
  <c r="T68" i="2"/>
  <c r="R68" i="18" s="1"/>
  <c r="S68" i="18" s="1"/>
  <c r="T67" i="2"/>
  <c r="U67" i="2" s="1"/>
  <c r="T66" i="2"/>
  <c r="U66" i="2" s="1"/>
  <c r="T65" i="2"/>
  <c r="S65" i="30" s="1"/>
  <c r="T70" i="2"/>
  <c r="S70" i="30" s="1"/>
  <c r="T62" i="2"/>
  <c r="S62" i="30" s="1"/>
  <c r="T63" i="2"/>
  <c r="S63" i="30" s="1"/>
  <c r="T73" i="2"/>
  <c r="U73" i="2" s="1"/>
  <c r="T72" i="2"/>
  <c r="U72" i="2" s="1"/>
  <c r="BM70" i="2"/>
  <c r="BN70" i="2" s="1"/>
  <c r="BM68" i="2"/>
  <c r="BN68" i="2" s="1"/>
  <c r="T76" i="2"/>
  <c r="S76" i="30" s="1"/>
  <c r="T75" i="2"/>
  <c r="U75" i="2" s="1"/>
  <c r="BV110" i="2"/>
  <c r="BV114" i="2"/>
  <c r="BW114" i="2" s="1"/>
  <c r="D114" i="37" s="1"/>
  <c r="BV118" i="2"/>
  <c r="BW118" i="2" s="1"/>
  <c r="D118" i="37" s="1"/>
  <c r="BV112" i="2"/>
  <c r="BW112" i="2" s="1"/>
  <c r="D112" i="37" s="1"/>
  <c r="BV116" i="2"/>
  <c r="BW116" i="2" s="1"/>
  <c r="D116" i="37" s="1"/>
  <c r="BV120" i="2"/>
  <c r="BW120" i="2" s="1"/>
  <c r="D120" i="37" s="1"/>
  <c r="BV111" i="2"/>
  <c r="BW111" i="2" s="1"/>
  <c r="D111" i="37" s="1"/>
  <c r="BV119" i="2"/>
  <c r="BW119" i="2" s="1"/>
  <c r="D119" i="37" s="1"/>
  <c r="BV117" i="2"/>
  <c r="BW117" i="2" s="1"/>
  <c r="D117" i="37" s="1"/>
  <c r="BV121" i="2"/>
  <c r="BW121" i="2" s="1"/>
  <c r="D121" i="37" s="1"/>
  <c r="BV113" i="2"/>
  <c r="BW113" i="2" s="1"/>
  <c r="D113" i="37" s="1"/>
  <c r="BV115" i="2"/>
  <c r="BW115" i="2" s="1"/>
  <c r="D115" i="37" s="1"/>
  <c r="BD121" i="2"/>
  <c r="BE121" i="2" s="1"/>
  <c r="D121" i="34" s="1"/>
  <c r="BM66" i="2"/>
  <c r="U66" i="35" s="1"/>
  <c r="BM62" i="2"/>
  <c r="BN62" i="2" s="1"/>
  <c r="BM73" i="2"/>
  <c r="U73" i="35" s="1"/>
  <c r="BM72" i="2"/>
  <c r="T72" i="24" s="1"/>
  <c r="U72" i="24" s="1"/>
  <c r="V72" i="24" s="1"/>
  <c r="W72" i="24" s="1"/>
  <c r="BS96" i="2"/>
  <c r="BT96" i="2" s="1"/>
  <c r="BS93" i="2"/>
  <c r="BT93" i="2" s="1"/>
  <c r="D59" i="28"/>
  <c r="D54" i="28"/>
  <c r="T77" i="2"/>
  <c r="R77" i="18" s="1"/>
  <c r="S77" i="18" s="1"/>
  <c r="T50" i="19"/>
  <c r="U50" i="19" s="1"/>
  <c r="V50" i="19" s="1"/>
  <c r="W50" i="19" s="1"/>
  <c r="U50" i="29"/>
  <c r="V50" i="29" s="1"/>
  <c r="BS95" i="2"/>
  <c r="S95" i="36" s="1"/>
  <c r="BS90" i="2"/>
  <c r="BT90" i="2" s="1"/>
  <c r="BS89" i="2"/>
  <c r="R89" i="25" s="1"/>
  <c r="S89" i="25" s="1"/>
  <c r="BS85" i="2"/>
  <c r="R85" i="25" s="1"/>
  <c r="S85" i="25" s="1"/>
  <c r="T85" i="25" s="1"/>
  <c r="U85" i="25" s="1"/>
  <c r="BS84" i="2"/>
  <c r="S84" i="36" s="1"/>
  <c r="T84" i="36" s="1"/>
  <c r="T57" i="19"/>
  <c r="U57" i="19" s="1"/>
  <c r="V57" i="19" s="1"/>
  <c r="W57" i="19" s="1"/>
  <c r="D56" i="28"/>
  <c r="BS83" i="2"/>
  <c r="BT83" i="2" s="1"/>
  <c r="BS82" i="2"/>
  <c r="S82" i="36" s="1"/>
  <c r="T82" i="36" s="1"/>
  <c r="T83" i="2"/>
  <c r="U83" i="2" s="1"/>
  <c r="BS81" i="2"/>
  <c r="S81" i="36" s="1"/>
  <c r="T81" i="36" s="1"/>
  <c r="T82" i="2"/>
  <c r="S82" i="30" s="1"/>
  <c r="BS79" i="2"/>
  <c r="S79" i="36" s="1"/>
  <c r="T79" i="36" s="1"/>
  <c r="BG72" i="2"/>
  <c r="W72" i="34" s="1"/>
  <c r="BS78" i="2"/>
  <c r="S78" i="36" s="1"/>
  <c r="T78" i="36" s="1"/>
  <c r="T80" i="2"/>
  <c r="S80" i="30" s="1"/>
  <c r="BG71" i="2"/>
  <c r="W71" i="34" s="1"/>
  <c r="BS77" i="2"/>
  <c r="BT77" i="2" s="1"/>
  <c r="T79" i="2"/>
  <c r="R79" i="18" s="1"/>
  <c r="S79" i="18" s="1"/>
  <c r="BS76" i="2"/>
  <c r="R76" i="25" s="1"/>
  <c r="S76" i="25" s="1"/>
  <c r="T76" i="25" s="1"/>
  <c r="U76" i="25" s="1"/>
  <c r="BS75" i="2"/>
  <c r="BT75" i="2" s="1"/>
  <c r="FO55" i="2"/>
  <c r="EU79" i="3" s="1"/>
  <c r="O54" i="2"/>
  <c r="FO51" i="2"/>
  <c r="EU75" i="3" s="1"/>
  <c r="BG69" i="2"/>
  <c r="W69" i="34" s="1"/>
  <c r="U58" i="29"/>
  <c r="V58" i="29" s="1"/>
  <c r="D50" i="28"/>
  <c r="T58" i="19"/>
  <c r="U58" i="19" s="1"/>
  <c r="V58" i="19" s="1"/>
  <c r="W58" i="19" s="1"/>
  <c r="U56" i="29"/>
  <c r="V56" i="29" s="1"/>
  <c r="U52" i="29"/>
  <c r="V52" i="29" s="1"/>
  <c r="E10" i="39"/>
  <c r="T53" i="19"/>
  <c r="U53" i="19" s="1"/>
  <c r="V53" i="19" s="1"/>
  <c r="W53" i="19" s="1"/>
  <c r="BG66" i="2"/>
  <c r="BH66" i="2" s="1"/>
  <c r="BG65" i="2"/>
  <c r="BH65" i="2" s="1"/>
  <c r="U54" i="29"/>
  <c r="V54" i="29" s="1"/>
  <c r="BG63" i="2"/>
  <c r="W63" i="34" s="1"/>
  <c r="BS87" i="2"/>
  <c r="BT87" i="2" s="1"/>
  <c r="N64" i="2"/>
  <c r="O64" i="2" s="1"/>
  <c r="U57" i="29"/>
  <c r="V57" i="29" s="1"/>
  <c r="BG64" i="2"/>
  <c r="BH64" i="2" s="1"/>
  <c r="BG62" i="2"/>
  <c r="BH62" i="2" s="1"/>
  <c r="BG73" i="2"/>
  <c r="W73" i="34" s="1"/>
  <c r="BG68" i="2"/>
  <c r="W68" i="34" s="1"/>
  <c r="BG67" i="2"/>
  <c r="BH67" i="2" s="1"/>
  <c r="BS74" i="2"/>
  <c r="BT74" i="2" s="1"/>
  <c r="F3" i="73"/>
  <c r="T59" i="19"/>
  <c r="U59" i="19" s="1"/>
  <c r="BS86" i="2"/>
  <c r="S86" i="36" s="1"/>
  <c r="BS97" i="2"/>
  <c r="BT97" i="2" s="1"/>
  <c r="BS92" i="2"/>
  <c r="S92" i="36" s="1"/>
  <c r="BS91" i="2"/>
  <c r="BT91" i="2" s="1"/>
  <c r="BS88" i="2"/>
  <c r="BT88" i="2" s="1"/>
  <c r="Z79" i="2"/>
  <c r="T79" i="20" s="1"/>
  <c r="U79" i="20" s="1"/>
  <c r="V79" i="20" s="1"/>
  <c r="W79" i="20" s="1"/>
  <c r="N67" i="2"/>
  <c r="U67" i="29" s="1"/>
  <c r="V67" i="29" s="1"/>
  <c r="N66" i="2"/>
  <c r="U66" i="29" s="1"/>
  <c r="V66" i="29" s="1"/>
  <c r="N65" i="2"/>
  <c r="U65" i="29" s="1"/>
  <c r="V65" i="29" s="1"/>
  <c r="N73" i="2"/>
  <c r="O73" i="2" s="1"/>
  <c r="N63" i="2"/>
  <c r="T63" i="19" s="1"/>
  <c r="U63" i="19" s="1"/>
  <c r="FO61" i="2"/>
  <c r="EU85" i="3" s="1"/>
  <c r="N70" i="2"/>
  <c r="U70" i="29" s="1"/>
  <c r="V70" i="29" s="1"/>
  <c r="Z83" i="2"/>
  <c r="T83" i="20" s="1"/>
  <c r="U83" i="20" s="1"/>
  <c r="V83" i="20" s="1"/>
  <c r="W83" i="20" s="1"/>
  <c r="Z80" i="2"/>
  <c r="AA80" i="2" s="1"/>
  <c r="Z77" i="2"/>
  <c r="T77" i="20" s="1"/>
  <c r="U77" i="20" s="1"/>
  <c r="V77" i="20" s="1"/>
  <c r="W77" i="20" s="1"/>
  <c r="Z74" i="2"/>
  <c r="U74" i="31" s="1"/>
  <c r="V74" i="31" s="1"/>
  <c r="N71" i="2"/>
  <c r="O71" i="2" s="1"/>
  <c r="Z85" i="2"/>
  <c r="T85" i="20" s="1"/>
  <c r="U85" i="20" s="1"/>
  <c r="V85" i="20" s="1"/>
  <c r="W85" i="20" s="1"/>
  <c r="T56" i="19"/>
  <c r="U56" i="19" s="1"/>
  <c r="V56" i="19" s="1"/>
  <c r="W56" i="19" s="1"/>
  <c r="Z70" i="2"/>
  <c r="T70" i="20" s="1"/>
  <c r="U70" i="20" s="1"/>
  <c r="V70" i="20" s="1"/>
  <c r="W70" i="20" s="1"/>
  <c r="Z87" i="2"/>
  <c r="U87" i="31" s="1"/>
  <c r="Z69" i="2"/>
  <c r="U69" i="31" s="1"/>
  <c r="V69" i="31" s="1"/>
  <c r="Z67" i="2"/>
  <c r="T67" i="20" s="1"/>
  <c r="U67" i="20" s="1"/>
  <c r="V67" i="20" s="1"/>
  <c r="W67" i="20" s="1"/>
  <c r="Z66" i="2"/>
  <c r="AA66" i="2" s="1"/>
  <c r="Z65" i="2"/>
  <c r="AA65" i="2" s="1"/>
  <c r="Z63" i="2"/>
  <c r="T63" i="20" s="1"/>
  <c r="U63" i="20" s="1"/>
  <c r="V63" i="20" s="1"/>
  <c r="W63" i="20" s="1"/>
  <c r="T60" i="19"/>
  <c r="U60" i="19" s="1"/>
  <c r="V60" i="19" s="1"/>
  <c r="W60" i="19" s="1"/>
  <c r="Z62" i="2"/>
  <c r="T62" i="20" s="1"/>
  <c r="U62" i="20" s="1"/>
  <c r="V62" i="20" s="1"/>
  <c r="W62" i="20" s="1"/>
  <c r="O60" i="2"/>
  <c r="Z72" i="2"/>
  <c r="AA72" i="2" s="1"/>
  <c r="Z71" i="2"/>
  <c r="U71" i="31" s="1"/>
  <c r="V71" i="31" s="1"/>
  <c r="Z97" i="2"/>
  <c r="AA97" i="2" s="1"/>
  <c r="Z96" i="2"/>
  <c r="AA96" i="2" s="1"/>
  <c r="Z94" i="2"/>
  <c r="U94" i="31" s="1"/>
  <c r="Z92" i="2"/>
  <c r="AA92" i="2" s="1"/>
  <c r="U59" i="29"/>
  <c r="V59" i="29" s="1"/>
  <c r="Z86" i="2"/>
  <c r="U86" i="31" s="1"/>
  <c r="Z91" i="2"/>
  <c r="AA91" i="2" s="1"/>
  <c r="Z90" i="2"/>
  <c r="AA90" i="2" s="1"/>
  <c r="Z89" i="2"/>
  <c r="U89" i="31" s="1"/>
  <c r="BS71" i="2"/>
  <c r="S71" i="36" s="1"/>
  <c r="T71" i="36" s="1"/>
  <c r="N69" i="2"/>
  <c r="O69" i="2" s="1"/>
  <c r="N72" i="2"/>
  <c r="U72" i="29" s="1"/>
  <c r="V72" i="29" s="1"/>
  <c r="Z88" i="2"/>
  <c r="AA88" i="2" s="1"/>
  <c r="BS72" i="2"/>
  <c r="R72" i="25" s="1"/>
  <c r="S72" i="25" s="1"/>
  <c r="T72" i="25" s="1"/>
  <c r="U72" i="25" s="1"/>
  <c r="Z78" i="2"/>
  <c r="U78" i="31" s="1"/>
  <c r="V78" i="31" s="1"/>
  <c r="Z76" i="2"/>
  <c r="AA76" i="2" s="1"/>
  <c r="Z81" i="2"/>
  <c r="U81" i="31" s="1"/>
  <c r="V81" i="31" s="1"/>
  <c r="N68" i="2"/>
  <c r="O68" i="2" s="1"/>
  <c r="U53" i="29"/>
  <c r="V53" i="29" s="1"/>
  <c r="T55" i="19"/>
  <c r="U55" i="19" s="1"/>
  <c r="V55" i="19" s="1"/>
  <c r="W55" i="19" s="1"/>
  <c r="U55" i="29"/>
  <c r="V55" i="29" s="1"/>
  <c r="Z68" i="2"/>
  <c r="T68" i="20" s="1"/>
  <c r="U68" i="20" s="1"/>
  <c r="V68" i="20" s="1"/>
  <c r="W68" i="20" s="1"/>
  <c r="Z64" i="2"/>
  <c r="T64" i="20" s="1"/>
  <c r="U64" i="20" s="1"/>
  <c r="V64" i="20" s="1"/>
  <c r="W64" i="20" s="1"/>
  <c r="BS70" i="2"/>
  <c r="BT70" i="2" s="1"/>
  <c r="Z75" i="2"/>
  <c r="AA75" i="2" s="1"/>
  <c r="D52" i="28"/>
  <c r="O52" i="2"/>
  <c r="Z93" i="2"/>
  <c r="T93" i="20" s="1"/>
  <c r="U93" i="20" s="1"/>
  <c r="BS64" i="2"/>
  <c r="R64" i="25" s="1"/>
  <c r="S64" i="25" s="1"/>
  <c r="T64" i="25" s="1"/>
  <c r="U64" i="25" s="1"/>
  <c r="Z82" i="2"/>
  <c r="AA82" i="2" s="1"/>
  <c r="D9" i="27"/>
  <c r="BS66" i="2"/>
  <c r="R66" i="25" s="1"/>
  <c r="S66" i="25" s="1"/>
  <c r="T66" i="25" s="1"/>
  <c r="U66" i="25" s="1"/>
  <c r="BS63" i="2"/>
  <c r="S63" i="36" s="1"/>
  <c r="T63" i="36" s="1"/>
  <c r="BS62" i="2"/>
  <c r="S62" i="36" s="1"/>
  <c r="T62" i="36" s="1"/>
  <c r="BS65" i="2"/>
  <c r="BT65" i="2" s="1"/>
  <c r="BS73" i="2"/>
  <c r="S73" i="36" s="1"/>
  <c r="T73" i="36" s="1"/>
  <c r="BS68" i="2"/>
  <c r="S68" i="36" s="1"/>
  <c r="T68" i="36" s="1"/>
  <c r="BS67" i="2"/>
  <c r="BT67" i="2" s="1"/>
  <c r="L134" i="44"/>
  <c r="F10" i="39"/>
  <c r="H10" i="39" s="1"/>
  <c r="J10" i="39" s="1"/>
  <c r="L20" i="73"/>
  <c r="L21" i="73"/>
  <c r="M26" i="44"/>
  <c r="BR57" i="14"/>
  <c r="BN57" i="14"/>
  <c r="BH16" i="14"/>
  <c r="BH69" i="14"/>
  <c r="BH70" i="14" s="1"/>
  <c r="BH71" i="14" s="1"/>
  <c r="BH72" i="14" s="1"/>
  <c r="BH73" i="14" s="1"/>
  <c r="BH74" i="14" s="1"/>
  <c r="BH75" i="14" s="1"/>
  <c r="BH76" i="14" s="1"/>
  <c r="BH77" i="14" s="1"/>
  <c r="BH78" i="14" s="1"/>
  <c r="BH79" i="14" s="1"/>
  <c r="BH80" i="14" s="1"/>
  <c r="L82" i="44"/>
  <c r="X40" i="60" s="1"/>
  <c r="L83" i="44"/>
  <c r="X41" i="60" s="1"/>
  <c r="AX57" i="14"/>
  <c r="P37" i="73"/>
  <c r="L35" i="44"/>
  <c r="N40" i="60" s="1"/>
  <c r="AG57" i="14"/>
  <c r="G81" i="14"/>
  <c r="S60" i="36"/>
  <c r="T60" i="36" s="1"/>
  <c r="S59" i="36"/>
  <c r="T59" i="36" s="1"/>
  <c r="AA44" i="2"/>
  <c r="AA46" i="2"/>
  <c r="AA48" i="2"/>
  <c r="AA49" i="2"/>
  <c r="AA39" i="2"/>
  <c r="AA41" i="2"/>
  <c r="L36" i="44"/>
  <c r="N41" i="60" s="1"/>
  <c r="AT16" i="14"/>
  <c r="U39" i="31"/>
  <c r="V39" i="31" s="1"/>
  <c r="AT69" i="14"/>
  <c r="AA45" i="2"/>
  <c r="U45" i="31"/>
  <c r="V45" i="31" s="1"/>
  <c r="T39" i="20"/>
  <c r="U39" i="20" s="1"/>
  <c r="V39" i="20" s="1"/>
  <c r="W39" i="20" s="1"/>
  <c r="T44" i="20"/>
  <c r="U44" i="20" s="1"/>
  <c r="V44" i="20" s="1"/>
  <c r="W44" i="20" s="1"/>
  <c r="T45" i="20"/>
  <c r="U45" i="20" s="1"/>
  <c r="V45" i="20" s="1"/>
  <c r="W45" i="20" s="1"/>
  <c r="T40" i="20"/>
  <c r="U40" i="20" s="1"/>
  <c r="V40" i="20" s="1"/>
  <c r="W40" i="20" s="1"/>
  <c r="U40" i="31"/>
  <c r="V40" i="31" s="1"/>
  <c r="U38" i="31"/>
  <c r="V38" i="31" s="1"/>
  <c r="U48" i="31"/>
  <c r="V48" i="31" s="1"/>
  <c r="T48" i="20"/>
  <c r="U48" i="20" s="1"/>
  <c r="V48" i="20" s="1"/>
  <c r="W48" i="20" s="1"/>
  <c r="AA38" i="2"/>
  <c r="T49" i="20"/>
  <c r="U49" i="20" s="1"/>
  <c r="V49" i="20" s="1"/>
  <c r="W49" i="20" s="1"/>
  <c r="T38" i="20"/>
  <c r="U38" i="20" s="1"/>
  <c r="V38" i="20" s="1"/>
  <c r="W38" i="20" s="1"/>
  <c r="U49" i="31"/>
  <c r="V49" i="31" s="1"/>
  <c r="U41" i="31"/>
  <c r="V41" i="31" s="1"/>
  <c r="U42" i="31"/>
  <c r="V42" i="31" s="1"/>
  <c r="T41" i="20"/>
  <c r="U41" i="20" s="1"/>
  <c r="V41" i="20" s="1"/>
  <c r="W41" i="20" s="1"/>
  <c r="U44" i="31"/>
  <c r="V44" i="31" s="1"/>
  <c r="G23" i="12"/>
  <c r="H23" i="12"/>
  <c r="BI18" i="39" s="1"/>
  <c r="I23" i="12"/>
  <c r="I30" i="12" s="1"/>
  <c r="J23" i="12"/>
  <c r="K23" i="12"/>
  <c r="E30" i="12"/>
  <c r="AA47" i="2"/>
  <c r="T42" i="20"/>
  <c r="U42" i="20" s="1"/>
  <c r="V42" i="20" s="1"/>
  <c r="W42" i="20" s="1"/>
  <c r="AK57" i="14"/>
  <c r="AG15" i="14"/>
  <c r="AA40" i="2"/>
  <c r="AA42" i="2"/>
  <c r="T46" i="20"/>
  <c r="U46" i="20" s="1"/>
  <c r="V46" i="20" s="1"/>
  <c r="W46" i="20" s="1"/>
  <c r="U46" i="31"/>
  <c r="V46" i="31" s="1"/>
  <c r="T47" i="20"/>
  <c r="U47" i="20" s="1"/>
  <c r="V47" i="20" s="1"/>
  <c r="W47" i="20" s="1"/>
  <c r="U47" i="31"/>
  <c r="V47" i="31" s="1"/>
  <c r="F143" i="10"/>
  <c r="F147" i="10" s="1"/>
  <c r="G147" i="10"/>
  <c r="G142" i="10"/>
  <c r="H146" i="10"/>
  <c r="I146" i="51"/>
  <c r="H142" i="51"/>
  <c r="BA8" i="27"/>
  <c r="G24" i="11"/>
  <c r="R54" i="25"/>
  <c r="S54" i="25" s="1"/>
  <c r="T54" i="25" s="1"/>
  <c r="U54" i="25" s="1"/>
  <c r="C69" i="14"/>
  <c r="BT54" i="2"/>
  <c r="S54" i="36"/>
  <c r="T54" i="36" s="1"/>
  <c r="H20" i="11"/>
  <c r="H21" i="11" s="1"/>
  <c r="H25" i="11" s="1"/>
  <c r="BS103" i="2"/>
  <c r="BS104" i="2"/>
  <c r="BS102" i="2"/>
  <c r="BS105" i="2"/>
  <c r="BS106" i="2"/>
  <c r="BS107" i="2"/>
  <c r="BS108" i="2"/>
  <c r="BS109" i="2"/>
  <c r="BS101" i="2"/>
  <c r="BS98" i="2"/>
  <c r="BS99" i="2"/>
  <c r="BS100" i="2"/>
  <c r="BM74" i="2"/>
  <c r="BM75" i="2"/>
  <c r="BM76" i="2"/>
  <c r="BM77" i="2"/>
  <c r="BM78" i="2"/>
  <c r="BM79" i="2"/>
  <c r="BM80" i="2"/>
  <c r="BM81" i="2"/>
  <c r="BM82" i="2"/>
  <c r="BM83" i="2"/>
  <c r="BM84" i="2"/>
  <c r="BM85" i="2"/>
  <c r="BG74" i="2"/>
  <c r="BG75" i="2"/>
  <c r="BG76" i="2"/>
  <c r="BG77" i="2"/>
  <c r="BG78" i="2"/>
  <c r="BG79" i="2"/>
  <c r="BG80" i="2"/>
  <c r="BG81" i="2"/>
  <c r="BG82" i="2"/>
  <c r="BG83" i="2"/>
  <c r="BG84" i="2"/>
  <c r="BG85" i="2"/>
  <c r="Z103" i="2"/>
  <c r="Z104" i="2"/>
  <c r="Z105" i="2"/>
  <c r="Z106" i="2"/>
  <c r="Z107" i="2"/>
  <c r="Z108" i="2"/>
  <c r="Z109" i="2"/>
  <c r="Z98" i="2"/>
  <c r="Z99" i="2"/>
  <c r="Z100" i="2"/>
  <c r="Z101" i="2"/>
  <c r="Z102" i="2"/>
  <c r="H62" i="2"/>
  <c r="H63" i="2"/>
  <c r="H64" i="2"/>
  <c r="H65" i="2"/>
  <c r="H66" i="2"/>
  <c r="H67" i="2"/>
  <c r="H68" i="2"/>
  <c r="H69" i="2"/>
  <c r="H70" i="2"/>
  <c r="H71" i="2"/>
  <c r="H72" i="2"/>
  <c r="H73" i="2"/>
  <c r="DH9" i="39"/>
  <c r="U39" i="18"/>
  <c r="U49" i="18"/>
  <c r="U38" i="18"/>
  <c r="U42" i="18"/>
  <c r="U43" i="18"/>
  <c r="U41" i="18"/>
  <c r="U40" i="18"/>
  <c r="U48" i="18"/>
  <c r="U45" i="18"/>
  <c r="U47" i="18"/>
  <c r="U46" i="18"/>
  <c r="U44" i="18"/>
  <c r="U42" i="25"/>
  <c r="U41" i="25"/>
  <c r="U47" i="25"/>
  <c r="U40" i="25"/>
  <c r="U44" i="25"/>
  <c r="U48" i="25"/>
  <c r="U45" i="25"/>
  <c r="U46" i="25"/>
  <c r="U38" i="25"/>
  <c r="BB16" i="14"/>
  <c r="BB81" i="14" s="1"/>
  <c r="BB82" i="14" s="1"/>
  <c r="BB83" i="14" s="1"/>
  <c r="BB84" i="14" s="1"/>
  <c r="BB85" i="14" s="1"/>
  <c r="BB86" i="14" s="1"/>
  <c r="BB87" i="14" s="1"/>
  <c r="BB88" i="14" s="1"/>
  <c r="BB89" i="14" s="1"/>
  <c r="BB90" i="14" s="1"/>
  <c r="BB91" i="14" s="1"/>
  <c r="BB92" i="14" s="1"/>
  <c r="AD81" i="14"/>
  <c r="AD69" i="14"/>
  <c r="AD58" i="14"/>
  <c r="V97" i="11"/>
  <c r="E42" i="12" s="1"/>
  <c r="F97" i="11"/>
  <c r="D14" i="12" s="1"/>
  <c r="BF10" i="27"/>
  <c r="D109" i="36"/>
  <c r="D109" i="25"/>
  <c r="FZ109" i="2"/>
  <c r="FC133" i="3" s="1"/>
  <c r="AY10" i="27"/>
  <c r="D106" i="24"/>
  <c r="FZ107" i="2"/>
  <c r="FC131" i="3" s="1"/>
  <c r="D106" i="35"/>
  <c r="BW98" i="2"/>
  <c r="BG8" i="27"/>
  <c r="D103" i="36"/>
  <c r="D107" i="36"/>
  <c r="FY106" i="2"/>
  <c r="FB130" i="3" s="1"/>
  <c r="FZ103" i="2"/>
  <c r="FC127" i="3" s="1"/>
  <c r="C16" i="14"/>
  <c r="D103" i="25"/>
  <c r="D107" i="25"/>
  <c r="R59" i="25"/>
  <c r="S59" i="25" s="1"/>
  <c r="T59" i="25" s="1"/>
  <c r="U59" i="25" s="1"/>
  <c r="S50" i="36"/>
  <c r="T50" i="36" s="1"/>
  <c r="BT59" i="2"/>
  <c r="S61" i="36"/>
  <c r="T61" i="36" s="1"/>
  <c r="BT61" i="2"/>
  <c r="R61" i="25"/>
  <c r="S61" i="25" s="1"/>
  <c r="T61" i="25" s="1"/>
  <c r="BT60" i="2"/>
  <c r="R60" i="25"/>
  <c r="S60" i="25" s="1"/>
  <c r="T60" i="25" s="1"/>
  <c r="U60" i="25" s="1"/>
  <c r="BT58" i="2"/>
  <c r="R58" i="25"/>
  <c r="S58" i="25" s="1"/>
  <c r="T58" i="25" s="1"/>
  <c r="U58" i="25" s="1"/>
  <c r="S58" i="36"/>
  <c r="T58" i="36" s="1"/>
  <c r="BT50" i="2"/>
  <c r="R50" i="25"/>
  <c r="S50" i="25" s="1"/>
  <c r="T50" i="25" s="1"/>
  <c r="S56" i="36"/>
  <c r="T56" i="36" s="1"/>
  <c r="BT56" i="2"/>
  <c r="R56" i="25"/>
  <c r="S56" i="25" s="1"/>
  <c r="T56" i="25" s="1"/>
  <c r="U56" i="25" s="1"/>
  <c r="BT55" i="2"/>
  <c r="R55" i="25"/>
  <c r="S55" i="25" s="1"/>
  <c r="T55" i="25" s="1"/>
  <c r="S55" i="36"/>
  <c r="T55" i="36" s="1"/>
  <c r="BT57" i="2"/>
  <c r="R57" i="25"/>
  <c r="S57" i="25" s="1"/>
  <c r="T57" i="25" s="1"/>
  <c r="U57" i="25" s="1"/>
  <c r="S57" i="36"/>
  <c r="T57" i="36" s="1"/>
  <c r="S51" i="36"/>
  <c r="T51" i="36" s="1"/>
  <c r="BT51" i="2"/>
  <c r="R51" i="25"/>
  <c r="S51" i="25" s="1"/>
  <c r="BT52" i="2"/>
  <c r="R52" i="25"/>
  <c r="S52" i="25" s="1"/>
  <c r="T52" i="25" s="1"/>
  <c r="U52" i="25" s="1"/>
  <c r="S52" i="36"/>
  <c r="T52" i="36" s="1"/>
  <c r="BT53" i="2"/>
  <c r="R53" i="25"/>
  <c r="S53" i="25" s="1"/>
  <c r="T53" i="25" s="1"/>
  <c r="U53" i="25" s="1"/>
  <c r="S53" i="36"/>
  <c r="T53" i="36" s="1"/>
  <c r="BE107" i="2"/>
  <c r="AA56" i="2"/>
  <c r="T56" i="20"/>
  <c r="U56" i="20" s="1"/>
  <c r="V56" i="20" s="1"/>
  <c r="W56" i="20" s="1"/>
  <c r="U56" i="31"/>
  <c r="V56" i="31" s="1"/>
  <c r="U55" i="31"/>
  <c r="V55" i="31" s="1"/>
  <c r="AA55" i="2"/>
  <c r="T55" i="20"/>
  <c r="U55" i="20" s="1"/>
  <c r="V55" i="20" s="1"/>
  <c r="W55" i="20" s="1"/>
  <c r="AA54" i="2"/>
  <c r="T54" i="20"/>
  <c r="U54" i="20" s="1"/>
  <c r="V54" i="20" s="1"/>
  <c r="W54" i="20" s="1"/>
  <c r="U54" i="31"/>
  <c r="V54" i="31" s="1"/>
  <c r="AA53" i="2"/>
  <c r="T53" i="20"/>
  <c r="U53" i="20" s="1"/>
  <c r="V53" i="20" s="1"/>
  <c r="W53" i="20" s="1"/>
  <c r="U53" i="31"/>
  <c r="V53" i="31" s="1"/>
  <c r="AA52" i="2"/>
  <c r="T52" i="20"/>
  <c r="U52" i="20" s="1"/>
  <c r="V52" i="20" s="1"/>
  <c r="W52" i="20" s="1"/>
  <c r="U52" i="31"/>
  <c r="V52" i="31" s="1"/>
  <c r="U51" i="31"/>
  <c r="V51" i="31" s="1"/>
  <c r="AA51" i="2"/>
  <c r="T51" i="20"/>
  <c r="U51" i="20" s="1"/>
  <c r="V51" i="20" s="1"/>
  <c r="W51" i="20" s="1"/>
  <c r="AA50" i="2"/>
  <c r="T50" i="20"/>
  <c r="U50" i="20" s="1"/>
  <c r="U50" i="31"/>
  <c r="V50" i="31" s="1"/>
  <c r="U59" i="31"/>
  <c r="V59" i="31" s="1"/>
  <c r="AA59" i="2"/>
  <c r="T59" i="20"/>
  <c r="U59" i="20" s="1"/>
  <c r="V59" i="20" s="1"/>
  <c r="W59" i="20" s="1"/>
  <c r="U58" i="31"/>
  <c r="V58" i="31" s="1"/>
  <c r="AA58" i="2"/>
  <c r="T58" i="20"/>
  <c r="U58" i="20" s="1"/>
  <c r="V58" i="20" s="1"/>
  <c r="W58" i="20" s="1"/>
  <c r="U61" i="31"/>
  <c r="V61" i="31" s="1"/>
  <c r="AA61" i="2"/>
  <c r="T61" i="20"/>
  <c r="U61" i="20" s="1"/>
  <c r="V61" i="20" s="1"/>
  <c r="W61" i="20" s="1"/>
  <c r="U60" i="31"/>
  <c r="V60" i="31" s="1"/>
  <c r="AA60" i="2"/>
  <c r="T60" i="20"/>
  <c r="U60" i="20" s="1"/>
  <c r="V60" i="20" s="1"/>
  <c r="W60" i="20" s="1"/>
  <c r="T57" i="20"/>
  <c r="U57" i="20" s="1"/>
  <c r="V57" i="20" s="1"/>
  <c r="W57" i="20" s="1"/>
  <c r="U57" i="31"/>
  <c r="V57" i="31" s="1"/>
  <c r="AA57" i="2"/>
  <c r="D81" i="23"/>
  <c r="D80" i="23"/>
  <c r="BY78" i="2"/>
  <c r="BY75" i="2"/>
  <c r="D83" i="23"/>
  <c r="D74" i="23"/>
  <c r="BY84" i="2"/>
  <c r="BE104" i="2"/>
  <c r="BY79" i="2"/>
  <c r="D79" i="23"/>
  <c r="BE108" i="2"/>
  <c r="D76" i="23"/>
  <c r="D77" i="23"/>
  <c r="D85" i="23"/>
  <c r="BY77" i="2"/>
  <c r="D84" i="23"/>
  <c r="BE102" i="2"/>
  <c r="BY85" i="2"/>
  <c r="D75" i="23"/>
  <c r="BE99" i="2"/>
  <c r="D82" i="23"/>
  <c r="BY80" i="2"/>
  <c r="BY82" i="2"/>
  <c r="BE98" i="2"/>
  <c r="BY83" i="2"/>
  <c r="BY76" i="2"/>
  <c r="BY74" i="2"/>
  <c r="BY81" i="2"/>
  <c r="D78" i="23"/>
  <c r="CX9" i="39"/>
  <c r="CZ9" i="39" s="1"/>
  <c r="DB9" i="39" s="1"/>
  <c r="CN9" i="39"/>
  <c r="CP9" i="39" s="1"/>
  <c r="CR9" i="39" s="1"/>
  <c r="Z9" i="39"/>
  <c r="AB9" i="39" s="1"/>
  <c r="AD9" i="39" s="1"/>
  <c r="U58" i="35"/>
  <c r="U57" i="35"/>
  <c r="U56" i="35"/>
  <c r="U55" i="35"/>
  <c r="U61" i="35"/>
  <c r="U53" i="35"/>
  <c r="U52" i="35"/>
  <c r="V52" i="35" s="1"/>
  <c r="U51" i="35"/>
  <c r="U59" i="35"/>
  <c r="U54" i="35"/>
  <c r="U50" i="35"/>
  <c r="V50" i="35" s="1"/>
  <c r="U60" i="35"/>
  <c r="W59" i="34"/>
  <c r="W51" i="34"/>
  <c r="W57" i="34"/>
  <c r="W58" i="34"/>
  <c r="W50" i="34"/>
  <c r="W61" i="34"/>
  <c r="W60" i="34"/>
  <c r="W53" i="34"/>
  <c r="W52" i="34"/>
  <c r="W56" i="34"/>
  <c r="W55" i="34"/>
  <c r="W54" i="34"/>
  <c r="S54" i="30"/>
  <c r="S53" i="30"/>
  <c r="S52" i="30"/>
  <c r="S58" i="30"/>
  <c r="S51" i="30"/>
  <c r="S50" i="30"/>
  <c r="S59" i="30"/>
  <c r="S60" i="30"/>
  <c r="S57" i="30"/>
  <c r="S56" i="30"/>
  <c r="S55" i="30"/>
  <c r="S61" i="30"/>
  <c r="Q8" i="27"/>
  <c r="AU8" i="27"/>
  <c r="K8" i="27"/>
  <c r="P73" i="26"/>
  <c r="P67" i="26"/>
  <c r="P65" i="26"/>
  <c r="P72" i="26"/>
  <c r="P68" i="26"/>
  <c r="P66" i="26"/>
  <c r="P69" i="26"/>
  <c r="P71" i="26"/>
  <c r="P64" i="26"/>
  <c r="P63" i="26"/>
  <c r="P70" i="26"/>
  <c r="BN55" i="2"/>
  <c r="T55" i="24"/>
  <c r="U55" i="24" s="1"/>
  <c r="V55" i="24" s="1"/>
  <c r="W55" i="24" s="1"/>
  <c r="BN61" i="2"/>
  <c r="T61" i="24"/>
  <c r="U61" i="24" s="1"/>
  <c r="V61" i="24" s="1"/>
  <c r="W61" i="24" s="1"/>
  <c r="BN53" i="2"/>
  <c r="T53" i="24"/>
  <c r="U53" i="24" s="1"/>
  <c r="V53" i="24" s="1"/>
  <c r="W53" i="24" s="1"/>
  <c r="BN52" i="2"/>
  <c r="T52" i="24"/>
  <c r="U52" i="24" s="1"/>
  <c r="V52" i="24" s="1"/>
  <c r="W52" i="24" s="1"/>
  <c r="BN51" i="2"/>
  <c r="T51" i="24"/>
  <c r="U51" i="24" s="1"/>
  <c r="V51" i="24" s="1"/>
  <c r="W51" i="24" s="1"/>
  <c r="BN59" i="2"/>
  <c r="T59" i="24"/>
  <c r="U59" i="24" s="1"/>
  <c r="V59" i="24" s="1"/>
  <c r="W59" i="24" s="1"/>
  <c r="BN54" i="2"/>
  <c r="T54" i="24"/>
  <c r="U54" i="24" s="1"/>
  <c r="V54" i="24" s="1"/>
  <c r="W54" i="24" s="1"/>
  <c r="BN50" i="2"/>
  <c r="T50" i="24"/>
  <c r="U50" i="24" s="1"/>
  <c r="BN60" i="2"/>
  <c r="T60" i="24"/>
  <c r="U60" i="24" s="1"/>
  <c r="V60" i="24" s="1"/>
  <c r="W60" i="24" s="1"/>
  <c r="BN58" i="2"/>
  <c r="T58" i="24"/>
  <c r="U58" i="24" s="1"/>
  <c r="V58" i="24" s="1"/>
  <c r="W58" i="24" s="1"/>
  <c r="BN57" i="2"/>
  <c r="T57" i="24"/>
  <c r="U57" i="24" s="1"/>
  <c r="V57" i="24" s="1"/>
  <c r="W57" i="24" s="1"/>
  <c r="BN56" i="2"/>
  <c r="T56" i="24"/>
  <c r="U56" i="24" s="1"/>
  <c r="V56" i="24" s="1"/>
  <c r="W56" i="24" s="1"/>
  <c r="BH53" i="2"/>
  <c r="V53" i="23"/>
  <c r="W53" i="23" s="1"/>
  <c r="BH52" i="2"/>
  <c r="V52" i="23"/>
  <c r="W52" i="23" s="1"/>
  <c r="BH56" i="2"/>
  <c r="V56" i="23"/>
  <c r="W56" i="23" s="1"/>
  <c r="BH55" i="2"/>
  <c r="V55" i="23"/>
  <c r="W55" i="23" s="1"/>
  <c r="BH54" i="2"/>
  <c r="V54" i="23"/>
  <c r="W54" i="23" s="1"/>
  <c r="BH59" i="2"/>
  <c r="V59" i="23"/>
  <c r="W59" i="23" s="1"/>
  <c r="BH51" i="2"/>
  <c r="V51" i="23"/>
  <c r="W51" i="23" s="1"/>
  <c r="BH57" i="2"/>
  <c r="V57" i="23"/>
  <c r="W57" i="23" s="1"/>
  <c r="BH58" i="2"/>
  <c r="V58" i="23"/>
  <c r="W58" i="23" s="1"/>
  <c r="BH50" i="2"/>
  <c r="V50" i="23"/>
  <c r="W50" i="23" s="1"/>
  <c r="BH61" i="2"/>
  <c r="V61" i="23"/>
  <c r="W61" i="23" s="1"/>
  <c r="BH60" i="2"/>
  <c r="V60" i="23"/>
  <c r="W60" i="23" s="1"/>
  <c r="V11" i="27"/>
  <c r="V10" i="27"/>
  <c r="U57" i="2"/>
  <c r="R57" i="18"/>
  <c r="S57" i="18" s="1"/>
  <c r="U56" i="2"/>
  <c r="R56" i="18"/>
  <c r="S56" i="18" s="1"/>
  <c r="U55" i="2"/>
  <c r="R55" i="18"/>
  <c r="S55" i="18" s="1"/>
  <c r="U61" i="2"/>
  <c r="R61" i="18"/>
  <c r="S61" i="18" s="1"/>
  <c r="U54" i="2"/>
  <c r="R54" i="18"/>
  <c r="S54" i="18" s="1"/>
  <c r="U53" i="2"/>
  <c r="R53" i="18"/>
  <c r="S53" i="18" s="1"/>
  <c r="U52" i="2"/>
  <c r="R52" i="18"/>
  <c r="S52" i="18" s="1"/>
  <c r="U58" i="2"/>
  <c r="R58" i="18"/>
  <c r="S58" i="18" s="1"/>
  <c r="U51" i="2"/>
  <c r="R51" i="18"/>
  <c r="S51" i="18" s="1"/>
  <c r="U50" i="2"/>
  <c r="R50" i="18"/>
  <c r="S50" i="18" s="1"/>
  <c r="U59" i="2"/>
  <c r="R59" i="18"/>
  <c r="S59" i="18" s="1"/>
  <c r="U60" i="2"/>
  <c r="R60" i="18"/>
  <c r="S60" i="18" s="1"/>
  <c r="V52" i="19"/>
  <c r="W52" i="19" s="1"/>
  <c r="C8" i="27"/>
  <c r="E8" i="27" s="1"/>
  <c r="V54" i="19"/>
  <c r="W54" i="19" s="1"/>
  <c r="C9" i="27"/>
  <c r="I9" i="27"/>
  <c r="FZ102" i="2"/>
  <c r="FC126" i="3" s="1"/>
  <c r="D105" i="36"/>
  <c r="FZ101" i="2"/>
  <c r="FC125" i="3" s="1"/>
  <c r="FZ108" i="2"/>
  <c r="FC132" i="3" s="1"/>
  <c r="D99" i="36"/>
  <c r="D99" i="24"/>
  <c r="BO16" i="39"/>
  <c r="BQ16" i="39" s="1"/>
  <c r="X106" i="11"/>
  <c r="V105" i="11"/>
  <c r="V24" i="11"/>
  <c r="V26" i="11" s="1"/>
  <c r="V28" i="11" s="1"/>
  <c r="V66" i="11" s="1"/>
  <c r="W67" i="11" s="1"/>
  <c r="U86" i="11" s="1"/>
  <c r="W21" i="11"/>
  <c r="W25" i="11" s="1"/>
  <c r="X20" i="11"/>
  <c r="AK15" i="14"/>
  <c r="F103" i="11"/>
  <c r="G105" i="11"/>
  <c r="G104" i="11"/>
  <c r="F104" i="11"/>
  <c r="F95" i="11"/>
  <c r="D12" i="12" s="1"/>
  <c r="D26" i="12" s="1"/>
  <c r="AH57" i="8"/>
  <c r="Y53" i="11"/>
  <c r="P37" i="41"/>
  <c r="J32" i="11"/>
  <c r="J36" i="11" s="1"/>
  <c r="I37" i="11"/>
  <c r="L25" i="44"/>
  <c r="D99" i="25"/>
  <c r="FZ99" i="2"/>
  <c r="FC123" i="3" s="1"/>
  <c r="FZ100" i="2"/>
  <c r="FC124" i="3" s="1"/>
  <c r="D101" i="25"/>
  <c r="D101" i="36"/>
  <c r="FZ104" i="2"/>
  <c r="FC128" i="3" s="1"/>
  <c r="D100" i="36"/>
  <c r="D100" i="25"/>
  <c r="D104" i="25"/>
  <c r="D104" i="36"/>
  <c r="D105" i="25"/>
  <c r="FZ105" i="2"/>
  <c r="FC129" i="3" s="1"/>
  <c r="D109" i="35"/>
  <c r="FY109" i="2"/>
  <c r="FB133" i="3" s="1"/>
  <c r="BE109" i="2"/>
  <c r="D109" i="23" s="1"/>
  <c r="D102" i="36"/>
  <c r="D109" i="24"/>
  <c r="D102" i="25"/>
  <c r="D108" i="25"/>
  <c r="BE100" i="2"/>
  <c r="D108" i="36"/>
  <c r="BV16" i="39"/>
  <c r="BX16" i="39" s="1"/>
  <c r="M10" i="73" s="1"/>
  <c r="FZ106" i="2"/>
  <c r="FC130" i="3" s="1"/>
  <c r="D106" i="25"/>
  <c r="DG14" i="39"/>
  <c r="D106" i="36"/>
  <c r="D103" i="24"/>
  <c r="D103" i="35"/>
  <c r="BE106" i="2"/>
  <c r="FY103" i="2"/>
  <c r="FB127" i="3" s="1"/>
  <c r="D102" i="35"/>
  <c r="FY102" i="2"/>
  <c r="FB126" i="3" s="1"/>
  <c r="D102" i="24"/>
  <c r="D104" i="35"/>
  <c r="D104" i="24"/>
  <c r="FY104" i="2"/>
  <c r="FB128" i="3" s="1"/>
  <c r="FY99" i="2"/>
  <c r="FB123" i="3" s="1"/>
  <c r="D99" i="35"/>
  <c r="BE103" i="2"/>
  <c r="CL14" i="39"/>
  <c r="CO14" i="39" s="1"/>
  <c r="BE105" i="2"/>
  <c r="CW14" i="39"/>
  <c r="BW93" i="2"/>
  <c r="D74" i="26"/>
  <c r="P74" i="26" s="1"/>
  <c r="DR12" i="39"/>
  <c r="D74" i="37"/>
  <c r="BW106" i="2"/>
  <c r="CL13" i="39"/>
  <c r="CO13" i="39" s="1"/>
  <c r="BE86" i="2"/>
  <c r="D87" i="36"/>
  <c r="FZ87" i="2"/>
  <c r="FC111" i="3" s="1"/>
  <c r="D87" i="25"/>
  <c r="BW95" i="2"/>
  <c r="D89" i="25"/>
  <c r="D89" i="36"/>
  <c r="FZ89" i="2"/>
  <c r="FC113" i="3" s="1"/>
  <c r="BE91" i="2"/>
  <c r="D88" i="25"/>
  <c r="D88" i="36"/>
  <c r="FZ88" i="2"/>
  <c r="FC112" i="3" s="1"/>
  <c r="BW101" i="2"/>
  <c r="D95" i="25"/>
  <c r="D95" i="36"/>
  <c r="FZ95" i="2"/>
  <c r="FC119" i="3" s="1"/>
  <c r="BW92" i="2"/>
  <c r="BW99" i="2"/>
  <c r="FY95" i="2"/>
  <c r="FB119" i="3" s="1"/>
  <c r="D95" i="24"/>
  <c r="D95" i="35"/>
  <c r="D83" i="37"/>
  <c r="D83" i="26"/>
  <c r="BE95" i="2"/>
  <c r="BW108" i="2"/>
  <c r="D84" i="26"/>
  <c r="D84" i="37"/>
  <c r="BW86" i="2"/>
  <c r="DQ13" i="39"/>
  <c r="DT13" i="39" s="1"/>
  <c r="FZ96" i="2"/>
  <c r="FC120" i="3" s="1"/>
  <c r="D96" i="25"/>
  <c r="D96" i="36"/>
  <c r="BE92" i="2"/>
  <c r="D90" i="24"/>
  <c r="D90" i="35"/>
  <c r="FY90" i="2"/>
  <c r="FB114" i="3" s="1"/>
  <c r="BW102" i="2"/>
  <c r="D96" i="35"/>
  <c r="FY96" i="2"/>
  <c r="FB120" i="3" s="1"/>
  <c r="D96" i="24"/>
  <c r="C126" i="29"/>
  <c r="B126" i="29"/>
  <c r="A127" i="29"/>
  <c r="AS10" i="27"/>
  <c r="FY88" i="2"/>
  <c r="FB112" i="3" s="1"/>
  <c r="D88" i="24"/>
  <c r="D88" i="35"/>
  <c r="FX78" i="2"/>
  <c r="FA102" i="3" s="1"/>
  <c r="D78" i="34"/>
  <c r="BW87" i="2"/>
  <c r="D94" i="35"/>
  <c r="D94" i="24"/>
  <c r="FY94" i="2"/>
  <c r="FB118" i="3" s="1"/>
  <c r="D79" i="34"/>
  <c r="FX79" i="2"/>
  <c r="FA103" i="3" s="1"/>
  <c r="D78" i="26"/>
  <c r="D78" i="37"/>
  <c r="BE93" i="2"/>
  <c r="FZ90" i="2"/>
  <c r="FC114" i="3" s="1"/>
  <c r="D90" i="25"/>
  <c r="D90" i="36"/>
  <c r="BF11" i="27"/>
  <c r="BW91" i="2"/>
  <c r="CM12" i="39"/>
  <c r="I8" i="44" s="1"/>
  <c r="I123" i="44" s="1"/>
  <c r="FX74" i="2"/>
  <c r="FA98" i="3" s="1"/>
  <c r="D74" i="34"/>
  <c r="BE87" i="2"/>
  <c r="BE101" i="2"/>
  <c r="D76" i="26"/>
  <c r="D76" i="37"/>
  <c r="Q62" i="26"/>
  <c r="BN10" i="27"/>
  <c r="BW90" i="2"/>
  <c r="BE88" i="2"/>
  <c r="D75" i="26"/>
  <c r="D75" i="37"/>
  <c r="D94" i="25"/>
  <c r="FZ94" i="2"/>
  <c r="FC118" i="3" s="1"/>
  <c r="D94" i="36"/>
  <c r="D97" i="36"/>
  <c r="D97" i="25"/>
  <c r="FZ97" i="2"/>
  <c r="FC121" i="3" s="1"/>
  <c r="D85" i="26"/>
  <c r="D85" i="37"/>
  <c r="D105" i="24"/>
  <c r="FY105" i="2"/>
  <c r="FB129" i="3" s="1"/>
  <c r="D105" i="35"/>
  <c r="BE90" i="2"/>
  <c r="D86" i="25"/>
  <c r="D86" i="36"/>
  <c r="DG13" i="39"/>
  <c r="FZ86" i="2"/>
  <c r="FC110" i="3" s="1"/>
  <c r="D101" i="24"/>
  <c r="FY101" i="2"/>
  <c r="FB125" i="3" s="1"/>
  <c r="D101" i="35"/>
  <c r="BE89" i="2"/>
  <c r="FZ93" i="2"/>
  <c r="FC117" i="3" s="1"/>
  <c r="D93" i="25"/>
  <c r="D93" i="36"/>
  <c r="AY11" i="27"/>
  <c r="AH54" i="5"/>
  <c r="AH27" i="5"/>
  <c r="DI17" i="39" s="1"/>
  <c r="BE96" i="2"/>
  <c r="D76" i="34"/>
  <c r="FX76" i="2"/>
  <c r="FA100" i="3" s="1"/>
  <c r="D81" i="37"/>
  <c r="D81" i="26"/>
  <c r="FX85" i="2"/>
  <c r="FA109" i="3" s="1"/>
  <c r="D85" i="34"/>
  <c r="AF26" i="5"/>
  <c r="CO16" i="39" s="1"/>
  <c r="AF53" i="5"/>
  <c r="FY108" i="2"/>
  <c r="FB132" i="3" s="1"/>
  <c r="D108" i="24"/>
  <c r="D108" i="35"/>
  <c r="BE97" i="2"/>
  <c r="D77" i="34"/>
  <c r="FX77" i="2"/>
  <c r="FA101" i="3" s="1"/>
  <c r="D75" i="34"/>
  <c r="FX75" i="2"/>
  <c r="FA99" i="3" s="1"/>
  <c r="D79" i="37"/>
  <c r="D79" i="26"/>
  <c r="BW104" i="2"/>
  <c r="FX81" i="2"/>
  <c r="FA105" i="3" s="1"/>
  <c r="D81" i="34"/>
  <c r="D77" i="26"/>
  <c r="D77" i="37"/>
  <c r="D97" i="35"/>
  <c r="D97" i="24"/>
  <c r="FY97" i="2"/>
  <c r="FB121" i="3" s="1"/>
  <c r="D82" i="26"/>
  <c r="D82" i="37"/>
  <c r="BW97" i="2"/>
  <c r="D91" i="24"/>
  <c r="D91" i="35"/>
  <c r="FY91" i="2"/>
  <c r="FB115" i="3" s="1"/>
  <c r="BW107" i="2"/>
  <c r="DQ14" i="39"/>
  <c r="DT14" i="39" s="1"/>
  <c r="D80" i="34"/>
  <c r="FX80" i="2"/>
  <c r="FA104" i="3" s="1"/>
  <c r="BW88" i="2"/>
  <c r="AG27" i="5"/>
  <c r="CY17" i="39" s="1"/>
  <c r="AG54" i="5"/>
  <c r="AI26" i="5"/>
  <c r="DT16" i="39" s="1"/>
  <c r="AI53" i="5"/>
  <c r="BW96" i="2"/>
  <c r="FX82" i="2"/>
  <c r="FA106" i="3" s="1"/>
  <c r="D82" i="34"/>
  <c r="D92" i="24"/>
  <c r="FY92" i="2"/>
  <c r="FB116" i="3" s="1"/>
  <c r="D92" i="35"/>
  <c r="BW109" i="2"/>
  <c r="D93" i="35"/>
  <c r="D93" i="24"/>
  <c r="FY93" i="2"/>
  <c r="FB117" i="3" s="1"/>
  <c r="FX83" i="2"/>
  <c r="FA107" i="3" s="1"/>
  <c r="D83" i="34"/>
  <c r="FX84" i="2"/>
  <c r="FA108" i="3" s="1"/>
  <c r="D84" i="34"/>
  <c r="CW13" i="39"/>
  <c r="FY86" i="2"/>
  <c r="FB110" i="3" s="1"/>
  <c r="D86" i="24"/>
  <c r="D86" i="35"/>
  <c r="BW94" i="2"/>
  <c r="BW100" i="2"/>
  <c r="BW105" i="2"/>
  <c r="FY100" i="2"/>
  <c r="FB124" i="3" s="1"/>
  <c r="D100" i="35"/>
  <c r="D100" i="24"/>
  <c r="FY87" i="2"/>
  <c r="FB111" i="3" s="1"/>
  <c r="D87" i="24"/>
  <c r="D87" i="35"/>
  <c r="BW89" i="2"/>
  <c r="D107" i="35"/>
  <c r="D107" i="24"/>
  <c r="FY107" i="2"/>
  <c r="FB131" i="3" s="1"/>
  <c r="D91" i="25"/>
  <c r="D91" i="36"/>
  <c r="FZ91" i="2"/>
  <c r="FC115" i="3" s="1"/>
  <c r="BE94" i="2"/>
  <c r="FZ92" i="2"/>
  <c r="FC116" i="3" s="1"/>
  <c r="D92" i="25"/>
  <c r="D92" i="36"/>
  <c r="FY89" i="2"/>
  <c r="FB113" i="3" s="1"/>
  <c r="D89" i="24"/>
  <c r="D89" i="35"/>
  <c r="BW103" i="2"/>
  <c r="D80" i="26"/>
  <c r="D80" i="37"/>
  <c r="K76" i="44"/>
  <c r="K75" i="44"/>
  <c r="M20" i="44"/>
  <c r="K21" i="44"/>
  <c r="K74" i="44"/>
  <c r="K27" i="44"/>
  <c r="L26" i="44"/>
  <c r="K31" i="11"/>
  <c r="K32" i="11" s="1"/>
  <c r="K36" i="11" s="1"/>
  <c r="AH26" i="40"/>
  <c r="AA26" i="40"/>
  <c r="H59" i="14"/>
  <c r="H70" i="14"/>
  <c r="K137" i="44"/>
  <c r="K128" i="44"/>
  <c r="K126" i="44"/>
  <c r="L72" i="44"/>
  <c r="AB58" i="14"/>
  <c r="AB70" i="14"/>
  <c r="H46" i="11"/>
  <c r="H48" i="11" s="1"/>
  <c r="H50" i="11" s="1"/>
  <c r="H74" i="11" s="1"/>
  <c r="I75" i="11" s="1"/>
  <c r="W46" i="11"/>
  <c r="W48" i="11" s="1"/>
  <c r="W50" i="11" s="1"/>
  <c r="W74" i="11" s="1"/>
  <c r="W76" i="11" s="1"/>
  <c r="BW18" i="39"/>
  <c r="BO17" i="39"/>
  <c r="BQ17" i="39" s="1"/>
  <c r="AG16" i="14"/>
  <c r="G17" i="14"/>
  <c r="M20" i="41"/>
  <c r="BG27" i="40"/>
  <c r="L67" i="73" s="1"/>
  <c r="C55" i="8"/>
  <c r="E55" i="8" s="1"/>
  <c r="BN15" i="14"/>
  <c r="EB16" i="39"/>
  <c r="ED16" i="39" s="1"/>
  <c r="M21" i="41"/>
  <c r="C56" i="8"/>
  <c r="E56" i="8" s="1"/>
  <c r="BR15" i="14"/>
  <c r="EI16" i="39"/>
  <c r="EK16" i="39" s="1"/>
  <c r="BN28" i="40" s="1"/>
  <c r="EJ18" i="39"/>
  <c r="X43" i="11"/>
  <c r="X47" i="11" s="1"/>
  <c r="EC18" i="39"/>
  <c r="L71" i="44"/>
  <c r="Y42" i="11"/>
  <c r="AX15" i="14"/>
  <c r="AB17" i="14"/>
  <c r="AA93" i="14" s="1"/>
  <c r="AA94" i="14" s="1"/>
  <c r="AA95" i="14" s="1"/>
  <c r="AA96" i="14" s="1"/>
  <c r="AA97" i="14" s="1"/>
  <c r="AA98" i="14" s="1"/>
  <c r="AA99" i="14" s="1"/>
  <c r="AA100" i="14" s="1"/>
  <c r="AA101" i="14" s="1"/>
  <c r="AA102" i="14" s="1"/>
  <c r="AA103" i="14" s="1"/>
  <c r="AA104" i="14" s="1"/>
  <c r="BI29" i="40"/>
  <c r="U29" i="40"/>
  <c r="T28" i="40"/>
  <c r="K26" i="8" s="1"/>
  <c r="AU58" i="14" l="1"/>
  <c r="AT59" i="14"/>
  <c r="M29" i="60"/>
  <c r="W27" i="60"/>
  <c r="X23" i="60"/>
  <c r="M23" i="60"/>
  <c r="N27" i="60"/>
  <c r="W28" i="60"/>
  <c r="D21" i="60"/>
  <c r="C15" i="60"/>
  <c r="W29" i="60"/>
  <c r="X24" i="60"/>
  <c r="C13" i="60"/>
  <c r="C24" i="60"/>
  <c r="N28" i="60"/>
  <c r="G26" i="11"/>
  <c r="G28" i="11" s="1"/>
  <c r="G66" i="11" s="1"/>
  <c r="G68" i="11" s="1"/>
  <c r="G69" i="11" s="1"/>
  <c r="G103" i="11" s="1"/>
  <c r="O22" i="60"/>
  <c r="O28" i="60"/>
  <c r="BN71" i="2"/>
  <c r="T62" i="19"/>
  <c r="U62" i="19" s="1"/>
  <c r="V62" i="19" s="1"/>
  <c r="W62" i="19" s="1"/>
  <c r="T71" i="24"/>
  <c r="U71" i="24" s="1"/>
  <c r="V71" i="24" s="1"/>
  <c r="W71" i="24" s="1"/>
  <c r="O62" i="2"/>
  <c r="BH70" i="2"/>
  <c r="R71" i="18"/>
  <c r="S71" i="18" s="1"/>
  <c r="T71" i="18" s="1"/>
  <c r="U71" i="18" s="1"/>
  <c r="S71" i="30"/>
  <c r="T71" i="30" s="1"/>
  <c r="S69" i="36"/>
  <c r="T69" i="36" s="1"/>
  <c r="T95" i="20"/>
  <c r="U95" i="20" s="1"/>
  <c r="V95" i="20" s="1"/>
  <c r="W95" i="20" s="1"/>
  <c r="AA95" i="2"/>
  <c r="W70" i="34"/>
  <c r="X70" i="34" s="1"/>
  <c r="BT69" i="2"/>
  <c r="S78" i="30"/>
  <c r="T78" i="30" s="1"/>
  <c r="U78" i="2"/>
  <c r="T84" i="20"/>
  <c r="U84" i="20" s="1"/>
  <c r="V84" i="20" s="1"/>
  <c r="W84" i="20" s="1"/>
  <c r="AA84" i="2"/>
  <c r="U18" i="40"/>
  <c r="X18" i="40" s="1"/>
  <c r="X19" i="40"/>
  <c r="I160" i="44"/>
  <c r="I177" i="44"/>
  <c r="I197" i="44" s="1"/>
  <c r="R80" i="25"/>
  <c r="S80" i="25" s="1"/>
  <c r="T80" i="25" s="1"/>
  <c r="U80" i="25" s="1"/>
  <c r="S80" i="36"/>
  <c r="T80" i="36" s="1"/>
  <c r="U73" i="31"/>
  <c r="V73" i="31" s="1"/>
  <c r="AA73" i="2"/>
  <c r="BT94" i="2"/>
  <c r="BE114" i="2"/>
  <c r="D114" i="34" s="1"/>
  <c r="BE111" i="2"/>
  <c r="D111" i="34" s="1"/>
  <c r="BE113" i="2"/>
  <c r="D113" i="34" s="1"/>
  <c r="BE120" i="2"/>
  <c r="D120" i="34" s="1"/>
  <c r="BE116" i="2"/>
  <c r="D116" i="34" s="1"/>
  <c r="BE115" i="2"/>
  <c r="D115" i="34" s="1"/>
  <c r="BE119" i="2"/>
  <c r="D119" i="34" s="1"/>
  <c r="BE118" i="2"/>
  <c r="D118" i="34" s="1"/>
  <c r="BE117" i="2"/>
  <c r="D117" i="34" s="1"/>
  <c r="BE112" i="2"/>
  <c r="D112" i="34" s="1"/>
  <c r="S94" i="36"/>
  <c r="BJ16" i="39"/>
  <c r="N8" i="41" s="1"/>
  <c r="C47" i="41" s="1"/>
  <c r="K163" i="44"/>
  <c r="BQ32" i="40"/>
  <c r="BQ30" i="40"/>
  <c r="BQ26" i="40"/>
  <c r="BQ29" i="40"/>
  <c r="BQ28" i="40"/>
  <c r="BQ27" i="40"/>
  <c r="BQ31" i="40"/>
  <c r="BQ25" i="40"/>
  <c r="BQ33" i="40"/>
  <c r="AX58" i="14"/>
  <c r="AK58" i="14"/>
  <c r="BN58" i="14"/>
  <c r="BR58" i="14"/>
  <c r="G60" i="14"/>
  <c r="G82" i="14"/>
  <c r="AG58" i="14"/>
  <c r="G71" i="14"/>
  <c r="BI19" i="39"/>
  <c r="BK19" i="39" s="1"/>
  <c r="AT70" i="14"/>
  <c r="H30" i="12"/>
  <c r="BI21" i="39"/>
  <c r="R69" i="18"/>
  <c r="S69" i="18" s="1"/>
  <c r="T69" i="18" s="1"/>
  <c r="U69" i="18" s="1"/>
  <c r="R63" i="18"/>
  <c r="S63" i="18" s="1"/>
  <c r="T63" i="18" s="1"/>
  <c r="U63" i="18" s="1"/>
  <c r="U85" i="2"/>
  <c r="T65" i="24"/>
  <c r="U65" i="24" s="1"/>
  <c r="V65" i="24" s="1"/>
  <c r="W65" i="24" s="1"/>
  <c r="U69" i="2"/>
  <c r="R66" i="18"/>
  <c r="S66" i="18" s="1"/>
  <c r="T66" i="18" s="1"/>
  <c r="U66" i="18" s="1"/>
  <c r="S66" i="30"/>
  <c r="T66" i="30" s="1"/>
  <c r="T70" i="24"/>
  <c r="U70" i="24" s="1"/>
  <c r="V70" i="24" s="1"/>
  <c r="W70" i="24" s="1"/>
  <c r="BN69" i="2"/>
  <c r="U65" i="2"/>
  <c r="T69" i="24"/>
  <c r="U69" i="24" s="1"/>
  <c r="V69" i="24" s="1"/>
  <c r="W69" i="24" s="1"/>
  <c r="BN65" i="2"/>
  <c r="U70" i="35"/>
  <c r="V70" i="35" s="1"/>
  <c r="T68" i="24"/>
  <c r="U68" i="24" s="1"/>
  <c r="V68" i="24" s="1"/>
  <c r="W68" i="24" s="1"/>
  <c r="R85" i="18"/>
  <c r="S85" i="18" s="1"/>
  <c r="T85" i="18" s="1"/>
  <c r="U85" i="18" s="1"/>
  <c r="R81" i="18"/>
  <c r="S81" i="18" s="1"/>
  <c r="T81" i="18" s="1"/>
  <c r="U81" i="18" s="1"/>
  <c r="R76" i="18"/>
  <c r="S76" i="18" s="1"/>
  <c r="T76" i="18" s="1"/>
  <c r="U76" i="18" s="1"/>
  <c r="U76" i="2"/>
  <c r="U68" i="35"/>
  <c r="V68" i="35" s="1"/>
  <c r="R62" i="18"/>
  <c r="S62" i="18" s="1"/>
  <c r="T62" i="18" s="1"/>
  <c r="U62" i="2"/>
  <c r="S64" i="30"/>
  <c r="T64" i="30" s="1"/>
  <c r="R64" i="18"/>
  <c r="S64" i="18" s="1"/>
  <c r="T64" i="18" s="1"/>
  <c r="U64" i="18" s="1"/>
  <c r="R65" i="18"/>
  <c r="S65" i="18" s="1"/>
  <c r="T65" i="18" s="1"/>
  <c r="U65" i="18" s="1"/>
  <c r="S67" i="30"/>
  <c r="T67" i="30" s="1"/>
  <c r="R67" i="18"/>
  <c r="S67" i="18" s="1"/>
  <c r="T67" i="18" s="1"/>
  <c r="U67" i="18" s="1"/>
  <c r="S96" i="36"/>
  <c r="S93" i="36"/>
  <c r="U81" i="2"/>
  <c r="T64" i="24"/>
  <c r="U64" i="24" s="1"/>
  <c r="V64" i="24" s="1"/>
  <c r="W64" i="24" s="1"/>
  <c r="R96" i="25"/>
  <c r="S96" i="25" s="1"/>
  <c r="T96" i="25" s="1"/>
  <c r="U96" i="25" s="1"/>
  <c r="U63" i="35"/>
  <c r="V63" i="35" s="1"/>
  <c r="U64" i="35"/>
  <c r="V64" i="35" s="1"/>
  <c r="U67" i="35"/>
  <c r="V67" i="35" s="1"/>
  <c r="R75" i="18"/>
  <c r="S75" i="18" s="1"/>
  <c r="T75" i="18" s="1"/>
  <c r="U75" i="18" s="1"/>
  <c r="T67" i="24"/>
  <c r="U67" i="24" s="1"/>
  <c r="V67" i="24" s="1"/>
  <c r="W67" i="24" s="1"/>
  <c r="T63" i="24"/>
  <c r="U63" i="24" s="1"/>
  <c r="V63" i="24" s="1"/>
  <c r="W63" i="24" s="1"/>
  <c r="U68" i="2"/>
  <c r="BN66" i="2"/>
  <c r="BT95" i="2"/>
  <c r="S68" i="30"/>
  <c r="T68" i="30" s="1"/>
  <c r="S75" i="30"/>
  <c r="T75" i="30" s="1"/>
  <c r="BN73" i="2"/>
  <c r="R95" i="25"/>
  <c r="S95" i="25" s="1"/>
  <c r="T95" i="25" s="1"/>
  <c r="U95" i="25" s="1"/>
  <c r="BN72" i="2"/>
  <c r="FY110" i="2"/>
  <c r="FB134" i="3" s="1"/>
  <c r="S72" i="30"/>
  <c r="T72" i="30" s="1"/>
  <c r="R93" i="25"/>
  <c r="S93" i="25" s="1"/>
  <c r="T93" i="25" s="1"/>
  <c r="U93" i="25" s="1"/>
  <c r="U72" i="35"/>
  <c r="V72" i="35" s="1"/>
  <c r="U63" i="2"/>
  <c r="R72" i="18"/>
  <c r="S72" i="18" s="1"/>
  <c r="T72" i="18" s="1"/>
  <c r="U72" i="18" s="1"/>
  <c r="R74" i="18"/>
  <c r="S74" i="18" s="1"/>
  <c r="T74" i="18" s="1"/>
  <c r="U74" i="2"/>
  <c r="S79" i="30"/>
  <c r="T79" i="30" s="1"/>
  <c r="S73" i="30"/>
  <c r="T73" i="30" s="1"/>
  <c r="T73" i="24"/>
  <c r="U73" i="24" s="1"/>
  <c r="V73" i="24" s="1"/>
  <c r="W73" i="24" s="1"/>
  <c r="T66" i="24"/>
  <c r="U66" i="24" s="1"/>
  <c r="V66" i="24" s="1"/>
  <c r="W66" i="24" s="1"/>
  <c r="R73" i="18"/>
  <c r="S73" i="18" s="1"/>
  <c r="T73" i="18" s="1"/>
  <c r="U73" i="18" s="1"/>
  <c r="R70" i="18"/>
  <c r="S70" i="18" s="1"/>
  <c r="T70" i="18" s="1"/>
  <c r="U70" i="18" s="1"/>
  <c r="U70" i="2"/>
  <c r="S84" i="30"/>
  <c r="T84" i="30" s="1"/>
  <c r="R84" i="18"/>
  <c r="S84" i="18" s="1"/>
  <c r="T84" i="18" s="1"/>
  <c r="U84" i="18" s="1"/>
  <c r="U62" i="35"/>
  <c r="V62" i="35" s="1"/>
  <c r="T62" i="24"/>
  <c r="U62" i="24" s="1"/>
  <c r="V62" i="24" s="1"/>
  <c r="W62" i="24" s="1"/>
  <c r="D110" i="25"/>
  <c r="BF14" i="27" s="1"/>
  <c r="BT84" i="2"/>
  <c r="BW110" i="2"/>
  <c r="DQ15" i="39"/>
  <c r="DT15" i="39" s="1"/>
  <c r="BE110" i="2"/>
  <c r="FX110" i="2" s="1"/>
  <c r="FA134" i="3" s="1"/>
  <c r="CL15" i="39"/>
  <c r="CO15" i="39" s="1"/>
  <c r="D110" i="36"/>
  <c r="DG15" i="39"/>
  <c r="D110" i="35"/>
  <c r="CW15" i="39"/>
  <c r="AY14" i="27"/>
  <c r="D121" i="26"/>
  <c r="D117" i="26"/>
  <c r="D119" i="26"/>
  <c r="D111" i="26"/>
  <c r="D120" i="26"/>
  <c r="D116" i="26"/>
  <c r="D112" i="26"/>
  <c r="D118" i="26"/>
  <c r="D114" i="26"/>
  <c r="D115" i="26"/>
  <c r="D113" i="26"/>
  <c r="FX121" i="2"/>
  <c r="FA145" i="3" s="1"/>
  <c r="D121" i="23"/>
  <c r="R75" i="25"/>
  <c r="S75" i="25" s="1"/>
  <c r="T75" i="25" s="1"/>
  <c r="U75" i="25" s="1"/>
  <c r="S75" i="36"/>
  <c r="T75" i="36" s="1"/>
  <c r="U79" i="2"/>
  <c r="BS119" i="2"/>
  <c r="BS116" i="2"/>
  <c r="BS113" i="2"/>
  <c r="BS110" i="2"/>
  <c r="BS120" i="2"/>
  <c r="BS117" i="2"/>
  <c r="BS114" i="2"/>
  <c r="BS115" i="2"/>
  <c r="BS111" i="2"/>
  <c r="BS118" i="2"/>
  <c r="BS121" i="2"/>
  <c r="BS112" i="2"/>
  <c r="V71" i="23"/>
  <c r="W71" i="23" s="1"/>
  <c r="X71" i="23" s="1"/>
  <c r="Y71" i="23" s="1"/>
  <c r="BH71" i="2"/>
  <c r="S77" i="30"/>
  <c r="T77" i="30" s="1"/>
  <c r="U77" i="2"/>
  <c r="L152" i="44"/>
  <c r="D41" i="60" s="1"/>
  <c r="BT89" i="2"/>
  <c r="S89" i="36"/>
  <c r="R90" i="25"/>
  <c r="S90" i="25" s="1"/>
  <c r="T90" i="25" s="1"/>
  <c r="U90" i="25" s="1"/>
  <c r="BT86" i="2"/>
  <c r="S85" i="36"/>
  <c r="T85" i="36" s="1"/>
  <c r="BT85" i="2"/>
  <c r="BH69" i="2"/>
  <c r="S90" i="36"/>
  <c r="V69" i="23"/>
  <c r="W69" i="23" s="1"/>
  <c r="X69" i="23" s="1"/>
  <c r="Y69" i="23" s="1"/>
  <c r="S83" i="36"/>
  <c r="T83" i="36" s="1"/>
  <c r="R83" i="25"/>
  <c r="S83" i="25" s="1"/>
  <c r="T83" i="25" s="1"/>
  <c r="U83" i="25" s="1"/>
  <c r="R80" i="18"/>
  <c r="S80" i="18" s="1"/>
  <c r="T80" i="18" s="1"/>
  <c r="U80" i="18" s="1"/>
  <c r="R84" i="25"/>
  <c r="S84" i="25" s="1"/>
  <c r="T84" i="25" s="1"/>
  <c r="U84" i="25" s="1"/>
  <c r="R82" i="25"/>
  <c r="S82" i="25" s="1"/>
  <c r="T82" i="25" s="1"/>
  <c r="U82" i="25" s="1"/>
  <c r="BT82" i="2"/>
  <c r="S76" i="36"/>
  <c r="T76" i="36" s="1"/>
  <c r="U80" i="2"/>
  <c r="S77" i="36"/>
  <c r="T77" i="36" s="1"/>
  <c r="R77" i="25"/>
  <c r="S77" i="25" s="1"/>
  <c r="T77" i="25" s="1"/>
  <c r="U77" i="25" s="1"/>
  <c r="T69" i="20"/>
  <c r="U69" i="20" s="1"/>
  <c r="V69" i="20" s="1"/>
  <c r="W69" i="20" s="1"/>
  <c r="BT78" i="2"/>
  <c r="U71" i="29"/>
  <c r="V71" i="29" s="1"/>
  <c r="R78" i="25"/>
  <c r="S78" i="25" s="1"/>
  <c r="T78" i="25" s="1"/>
  <c r="U78" i="25" s="1"/>
  <c r="W67" i="34"/>
  <c r="X67" i="34" s="1"/>
  <c r="S83" i="30"/>
  <c r="T83" i="30" s="1"/>
  <c r="R87" i="25"/>
  <c r="S87" i="25" s="1"/>
  <c r="T87" i="25" s="1"/>
  <c r="U87" i="25" s="1"/>
  <c r="R81" i="25"/>
  <c r="S81" i="25" s="1"/>
  <c r="T81" i="25" s="1"/>
  <c r="U81" i="25" s="1"/>
  <c r="BT81" i="2"/>
  <c r="V72" i="23"/>
  <c r="W72" i="23" s="1"/>
  <c r="X72" i="23" s="1"/>
  <c r="Y72" i="23" s="1"/>
  <c r="U82" i="2"/>
  <c r="BT92" i="2"/>
  <c r="BT76" i="2"/>
  <c r="T87" i="20"/>
  <c r="U87" i="20" s="1"/>
  <c r="V87" i="20" s="1"/>
  <c r="W87" i="20" s="1"/>
  <c r="T89" i="20"/>
  <c r="U89" i="20" s="1"/>
  <c r="V89" i="20" s="1"/>
  <c r="W89" i="20" s="1"/>
  <c r="R79" i="25"/>
  <c r="S79" i="25" s="1"/>
  <c r="T79" i="25" s="1"/>
  <c r="U79" i="25" s="1"/>
  <c r="R97" i="25"/>
  <c r="S97" i="25" s="1"/>
  <c r="T97" i="25" s="1"/>
  <c r="U97" i="25" s="1"/>
  <c r="BH72" i="2"/>
  <c r="AA85" i="2"/>
  <c r="U85" i="31"/>
  <c r="V85" i="31" s="1"/>
  <c r="R88" i="25"/>
  <c r="S88" i="25" s="1"/>
  <c r="T88" i="25" s="1"/>
  <c r="U88" i="25" s="1"/>
  <c r="T86" i="20"/>
  <c r="U86" i="20" s="1"/>
  <c r="V86" i="20" s="1"/>
  <c r="W86" i="20" s="1"/>
  <c r="R91" i="25"/>
  <c r="S91" i="25" s="1"/>
  <c r="T91" i="25" s="1"/>
  <c r="U91" i="25" s="1"/>
  <c r="AA87" i="2"/>
  <c r="U90" i="31"/>
  <c r="AA89" i="2"/>
  <c r="BT79" i="2"/>
  <c r="V65" i="23"/>
  <c r="W65" i="23" s="1"/>
  <c r="X65" i="23" s="1"/>
  <c r="Y65" i="23" s="1"/>
  <c r="R82" i="18"/>
  <c r="S82" i="18" s="1"/>
  <c r="R83" i="18"/>
  <c r="S83" i="18" s="1"/>
  <c r="T83" i="18" s="1"/>
  <c r="U83" i="18" s="1"/>
  <c r="AA93" i="2"/>
  <c r="AA86" i="2"/>
  <c r="R92" i="25"/>
  <c r="S92" i="25" s="1"/>
  <c r="T92" i="25" s="1"/>
  <c r="U92" i="25" s="1"/>
  <c r="R86" i="25"/>
  <c r="S86" i="25" s="1"/>
  <c r="BH68" i="2"/>
  <c r="AA83" i="2"/>
  <c r="W64" i="34"/>
  <c r="X64" i="34" s="1"/>
  <c r="W65" i="34"/>
  <c r="X65" i="34" s="1"/>
  <c r="S97" i="36"/>
  <c r="U73" i="29"/>
  <c r="V73" i="29" s="1"/>
  <c r="BT62" i="2"/>
  <c r="V68" i="23"/>
  <c r="W68" i="23" s="1"/>
  <c r="X68" i="23" s="1"/>
  <c r="Y68" i="23" s="1"/>
  <c r="O63" i="2"/>
  <c r="V66" i="23"/>
  <c r="W66" i="23" s="1"/>
  <c r="X66" i="23" s="1"/>
  <c r="Y66" i="23" s="1"/>
  <c r="S91" i="36"/>
  <c r="U69" i="29"/>
  <c r="V69" i="29" s="1"/>
  <c r="O67" i="2"/>
  <c r="T69" i="19"/>
  <c r="U69" i="19" s="1"/>
  <c r="V69" i="19" s="1"/>
  <c r="W69" i="19" s="1"/>
  <c r="U64" i="29"/>
  <c r="V64" i="29" s="1"/>
  <c r="W66" i="34"/>
  <c r="X66" i="34" s="1"/>
  <c r="R62" i="25"/>
  <c r="S62" i="25" s="1"/>
  <c r="T62" i="25" s="1"/>
  <c r="U62" i="25" s="1"/>
  <c r="T66" i="19"/>
  <c r="U66" i="19" s="1"/>
  <c r="V66" i="19" s="1"/>
  <c r="W66" i="19" s="1"/>
  <c r="T67" i="19"/>
  <c r="U67" i="19" s="1"/>
  <c r="V67" i="19" s="1"/>
  <c r="W67" i="19" s="1"/>
  <c r="U96" i="31"/>
  <c r="U68" i="29"/>
  <c r="V68" i="29" s="1"/>
  <c r="T65" i="19"/>
  <c r="U65" i="19" s="1"/>
  <c r="V65" i="19" s="1"/>
  <c r="W65" i="19" s="1"/>
  <c r="O65" i="2"/>
  <c r="AA67" i="2"/>
  <c r="O66" i="2"/>
  <c r="U97" i="31"/>
  <c r="T74" i="20"/>
  <c r="U74" i="20" s="1"/>
  <c r="V74" i="20" s="1"/>
  <c r="W74" i="20" s="1"/>
  <c r="U91" i="31"/>
  <c r="U83" i="31"/>
  <c r="V83" i="31" s="1"/>
  <c r="T90" i="20"/>
  <c r="U90" i="20" s="1"/>
  <c r="V90" i="20" s="1"/>
  <c r="W90" i="20" s="1"/>
  <c r="BH73" i="2"/>
  <c r="O70" i="2"/>
  <c r="V62" i="23"/>
  <c r="W62" i="23" s="1"/>
  <c r="X62" i="23" s="1"/>
  <c r="Y62" i="23" s="1"/>
  <c r="T97" i="20"/>
  <c r="U97" i="20" s="1"/>
  <c r="V97" i="20" s="1"/>
  <c r="W97" i="20" s="1"/>
  <c r="BH63" i="2"/>
  <c r="S74" i="36"/>
  <c r="T74" i="36" s="1"/>
  <c r="V63" i="23"/>
  <c r="W63" i="23" s="1"/>
  <c r="X63" i="23" s="1"/>
  <c r="Y63" i="23" s="1"/>
  <c r="S87" i="36"/>
  <c r="T71" i="19"/>
  <c r="U71" i="19" s="1"/>
  <c r="V71" i="19" s="1"/>
  <c r="W71" i="19" s="1"/>
  <c r="S88" i="36"/>
  <c r="T96" i="20"/>
  <c r="U96" i="20" s="1"/>
  <c r="V96" i="20" s="1"/>
  <c r="W96" i="20" s="1"/>
  <c r="U79" i="31"/>
  <c r="V79" i="31" s="1"/>
  <c r="T73" i="19"/>
  <c r="U73" i="19" s="1"/>
  <c r="V73" i="19" s="1"/>
  <c r="W73" i="19" s="1"/>
  <c r="V67" i="23"/>
  <c r="W67" i="23" s="1"/>
  <c r="X67" i="23" s="1"/>
  <c r="Y67" i="23" s="1"/>
  <c r="U63" i="29"/>
  <c r="V63" i="29" s="1"/>
  <c r="AA79" i="2"/>
  <c r="T64" i="19"/>
  <c r="U64" i="19" s="1"/>
  <c r="W62" i="34"/>
  <c r="X62" i="34" s="1"/>
  <c r="AA74" i="2"/>
  <c r="V73" i="23"/>
  <c r="W73" i="23" s="1"/>
  <c r="X73" i="23" s="1"/>
  <c r="Y73" i="23" s="1"/>
  <c r="T70" i="19"/>
  <c r="U70" i="19" s="1"/>
  <c r="V70" i="19" s="1"/>
  <c r="W70" i="19" s="1"/>
  <c r="T94" i="20"/>
  <c r="U94" i="20" s="1"/>
  <c r="V94" i="20" s="1"/>
  <c r="W94" i="20" s="1"/>
  <c r="R70" i="25"/>
  <c r="S70" i="25" s="1"/>
  <c r="T70" i="25" s="1"/>
  <c r="U70" i="25" s="1"/>
  <c r="AA94" i="2"/>
  <c r="T91" i="20"/>
  <c r="U91" i="20" s="1"/>
  <c r="V91" i="20" s="1"/>
  <c r="W91" i="20" s="1"/>
  <c r="R74" i="25"/>
  <c r="S74" i="25" s="1"/>
  <c r="U92" i="31"/>
  <c r="T68" i="19"/>
  <c r="U68" i="19" s="1"/>
  <c r="V68" i="19" s="1"/>
  <c r="W68" i="19" s="1"/>
  <c r="T81" i="20"/>
  <c r="U81" i="20" s="1"/>
  <c r="V81" i="20" s="1"/>
  <c r="W81" i="20" s="1"/>
  <c r="T92" i="20"/>
  <c r="U92" i="20" s="1"/>
  <c r="V92" i="20" s="1"/>
  <c r="W92" i="20" s="1"/>
  <c r="V64" i="23"/>
  <c r="W64" i="23" s="1"/>
  <c r="X64" i="23" s="1"/>
  <c r="Y64" i="23" s="1"/>
  <c r="U63" i="31"/>
  <c r="V63" i="31" s="1"/>
  <c r="T78" i="20"/>
  <c r="U78" i="20" s="1"/>
  <c r="V78" i="20" s="1"/>
  <c r="W78" i="20" s="1"/>
  <c r="AA69" i="2"/>
  <c r="AA64" i="2"/>
  <c r="S67" i="36"/>
  <c r="T67" i="36" s="1"/>
  <c r="U67" i="31"/>
  <c r="V67" i="31" s="1"/>
  <c r="AA81" i="2"/>
  <c r="U77" i="31"/>
  <c r="V77" i="31" s="1"/>
  <c r="J9" i="27"/>
  <c r="E9" i="27"/>
  <c r="U88" i="31"/>
  <c r="F5" i="73"/>
  <c r="F16" i="73"/>
  <c r="F17" i="73"/>
  <c r="U72" i="31"/>
  <c r="V72" i="31" s="1"/>
  <c r="V59" i="19"/>
  <c r="W59" i="19" s="1"/>
  <c r="T72" i="20"/>
  <c r="U72" i="20" s="1"/>
  <c r="V72" i="20" s="1"/>
  <c r="W72" i="20" s="1"/>
  <c r="U93" i="31"/>
  <c r="U80" i="31"/>
  <c r="V80" i="31" s="1"/>
  <c r="T72" i="19"/>
  <c r="U72" i="19" s="1"/>
  <c r="V72" i="19" s="1"/>
  <c r="W72" i="19" s="1"/>
  <c r="G3" i="73"/>
  <c r="O72" i="2"/>
  <c r="T88" i="20"/>
  <c r="U88" i="20" s="1"/>
  <c r="T80" i="20"/>
  <c r="U80" i="20" s="1"/>
  <c r="V80" i="20" s="1"/>
  <c r="W80" i="20" s="1"/>
  <c r="U62" i="31"/>
  <c r="V62" i="31" s="1"/>
  <c r="U64" i="31"/>
  <c r="V64" i="31" s="1"/>
  <c r="T66" i="20"/>
  <c r="U66" i="20" s="1"/>
  <c r="V66" i="20" s="1"/>
  <c r="W66" i="20" s="1"/>
  <c r="U66" i="31"/>
  <c r="V66" i="31" s="1"/>
  <c r="T75" i="20"/>
  <c r="U75" i="20" s="1"/>
  <c r="V75" i="20" s="1"/>
  <c r="W75" i="20" s="1"/>
  <c r="U75" i="31"/>
  <c r="V75" i="31" s="1"/>
  <c r="AA71" i="2"/>
  <c r="S72" i="36"/>
  <c r="T72" i="36" s="1"/>
  <c r="AA78" i="2"/>
  <c r="BT72" i="2"/>
  <c r="T82" i="20"/>
  <c r="U82" i="20" s="1"/>
  <c r="V82" i="20" s="1"/>
  <c r="W82" i="20" s="1"/>
  <c r="AA70" i="2"/>
  <c r="U70" i="31"/>
  <c r="V70" i="31" s="1"/>
  <c r="BT68" i="2"/>
  <c r="AA77" i="2"/>
  <c r="U68" i="31"/>
  <c r="V68" i="31" s="1"/>
  <c r="BT64" i="2"/>
  <c r="R71" i="25"/>
  <c r="S71" i="25" s="1"/>
  <c r="T71" i="25" s="1"/>
  <c r="U71" i="25" s="1"/>
  <c r="BT66" i="2"/>
  <c r="BT63" i="2"/>
  <c r="T71" i="20"/>
  <c r="U71" i="20" s="1"/>
  <c r="V71" i="20" s="1"/>
  <c r="W71" i="20" s="1"/>
  <c r="T76" i="20"/>
  <c r="U76" i="20" s="1"/>
  <c r="V76" i="20" s="1"/>
  <c r="W76" i="20" s="1"/>
  <c r="BT71" i="2"/>
  <c r="BT73" i="2"/>
  <c r="R73" i="25"/>
  <c r="S73" i="25" s="1"/>
  <c r="T73" i="25" s="1"/>
  <c r="U73" i="25" s="1"/>
  <c r="U65" i="31"/>
  <c r="V65" i="31" s="1"/>
  <c r="S64" i="36"/>
  <c r="T64" i="36" s="1"/>
  <c r="AA62" i="2"/>
  <c r="AA63" i="2"/>
  <c r="T65" i="20"/>
  <c r="U65" i="20" s="1"/>
  <c r="V65" i="20" s="1"/>
  <c r="W65" i="20" s="1"/>
  <c r="R65" i="25"/>
  <c r="S65" i="25" s="1"/>
  <c r="T65" i="25" s="1"/>
  <c r="U65" i="25" s="1"/>
  <c r="S65" i="36"/>
  <c r="T65" i="36" s="1"/>
  <c r="R68" i="25"/>
  <c r="S68" i="25" s="1"/>
  <c r="T68" i="25" s="1"/>
  <c r="U68" i="25" s="1"/>
  <c r="AA68" i="2"/>
  <c r="U76" i="31"/>
  <c r="V76" i="31" s="1"/>
  <c r="S66" i="36"/>
  <c r="T66" i="36" s="1"/>
  <c r="R63" i="25"/>
  <c r="S63" i="25" s="1"/>
  <c r="T63" i="25" s="1"/>
  <c r="U63" i="25" s="1"/>
  <c r="S70" i="36"/>
  <c r="T70" i="36" s="1"/>
  <c r="U82" i="31"/>
  <c r="V82" i="31" s="1"/>
  <c r="R67" i="25"/>
  <c r="S67" i="25" s="1"/>
  <c r="T67" i="25" s="1"/>
  <c r="U67" i="25" s="1"/>
  <c r="AT17" i="14"/>
  <c r="M21" i="73"/>
  <c r="K49" i="73" s="1"/>
  <c r="M20" i="73"/>
  <c r="K48" i="73" s="1"/>
  <c r="N9" i="73"/>
  <c r="D48" i="73" s="1"/>
  <c r="L9" i="73"/>
  <c r="L10" i="73"/>
  <c r="M9" i="73"/>
  <c r="C48" i="73" s="1"/>
  <c r="BI20" i="39"/>
  <c r="BK20" i="39" s="1"/>
  <c r="BN69" i="14"/>
  <c r="BH17" i="14"/>
  <c r="BH81" i="14"/>
  <c r="BH82" i="14" s="1"/>
  <c r="BH83" i="14" s="1"/>
  <c r="BH84" i="14" s="1"/>
  <c r="BH85" i="14" s="1"/>
  <c r="BH86" i="14" s="1"/>
  <c r="BH87" i="14" s="1"/>
  <c r="BH88" i="14" s="1"/>
  <c r="BH89" i="14" s="1"/>
  <c r="BH90" i="14" s="1"/>
  <c r="BH91" i="14" s="1"/>
  <c r="BH92" i="14" s="1"/>
  <c r="BR69" i="14"/>
  <c r="L151" i="44"/>
  <c r="D40" i="60" s="1"/>
  <c r="AX69" i="14"/>
  <c r="AG69" i="14"/>
  <c r="AG81" i="14"/>
  <c r="BJ21" i="39"/>
  <c r="BK21" i="39"/>
  <c r="BJ18" i="39"/>
  <c r="BK18" i="39"/>
  <c r="G93" i="14"/>
  <c r="J30" i="12"/>
  <c r="D102" i="34"/>
  <c r="U100" i="31"/>
  <c r="I70" i="2"/>
  <c r="FO70" i="2" s="1"/>
  <c r="EU94" i="3" s="1"/>
  <c r="FX98" i="2"/>
  <c r="FA122" i="3" s="1"/>
  <c r="D108" i="34"/>
  <c r="D99" i="34"/>
  <c r="N10" i="41"/>
  <c r="C49" i="41" s="1"/>
  <c r="M10" i="44" s="1"/>
  <c r="C49" i="73"/>
  <c r="AK69" i="14"/>
  <c r="DJ9" i="39"/>
  <c r="DM9" i="39"/>
  <c r="AT81" i="14"/>
  <c r="AJ9" i="39"/>
  <c r="W8" i="27"/>
  <c r="K30" i="12"/>
  <c r="BI17" i="39"/>
  <c r="G30" i="12"/>
  <c r="AK16" i="14"/>
  <c r="AK17" i="14" s="1"/>
  <c r="BV17" i="39"/>
  <c r="BX17" i="39" s="1"/>
  <c r="AH29" i="40" s="1"/>
  <c r="AI29" i="40" s="1"/>
  <c r="N60" i="73" s="1"/>
  <c r="H146" i="51"/>
  <c r="G142" i="51"/>
  <c r="F55" i="8"/>
  <c r="G55" i="8" s="1"/>
  <c r="M67" i="41"/>
  <c r="F142" i="10"/>
  <c r="F146" i="10" s="1"/>
  <c r="G146" i="10"/>
  <c r="BP10" i="27"/>
  <c r="BH8" i="27"/>
  <c r="K154" i="44"/>
  <c r="AA107" i="2"/>
  <c r="D98" i="37"/>
  <c r="T102" i="20"/>
  <c r="U102" i="20" s="1"/>
  <c r="V102" i="20" s="1"/>
  <c r="W102" i="20" s="1"/>
  <c r="AA102" i="2"/>
  <c r="T100" i="20"/>
  <c r="U100" i="20" s="1"/>
  <c r="V100" i="20" s="1"/>
  <c r="W100" i="20" s="1"/>
  <c r="AA101" i="2"/>
  <c r="U99" i="31"/>
  <c r="T99" i="20"/>
  <c r="U99" i="20" s="1"/>
  <c r="V99" i="20" s="1"/>
  <c r="W99" i="20" s="1"/>
  <c r="AA99" i="2"/>
  <c r="T109" i="20"/>
  <c r="U109" i="20" s="1"/>
  <c r="V109" i="20" s="1"/>
  <c r="W109" i="20" s="1"/>
  <c r="AA109" i="2"/>
  <c r="T101" i="20"/>
  <c r="U101" i="20" s="1"/>
  <c r="V101" i="20" s="1"/>
  <c r="W101" i="20" s="1"/>
  <c r="U105" i="31"/>
  <c r="T105" i="20"/>
  <c r="U105" i="20" s="1"/>
  <c r="V105" i="20" s="1"/>
  <c r="W105" i="20" s="1"/>
  <c r="AA105" i="2"/>
  <c r="U103" i="31"/>
  <c r="U109" i="31"/>
  <c r="T104" i="20"/>
  <c r="U104" i="20" s="1"/>
  <c r="V104" i="20" s="1"/>
  <c r="W104" i="20" s="1"/>
  <c r="AA103" i="2"/>
  <c r="U101" i="31"/>
  <c r="U102" i="31"/>
  <c r="T106" i="20"/>
  <c r="U106" i="20" s="1"/>
  <c r="V106" i="20" s="1"/>
  <c r="W106" i="20" s="1"/>
  <c r="AA106" i="2"/>
  <c r="T108" i="20"/>
  <c r="U108" i="20" s="1"/>
  <c r="V108" i="20" s="1"/>
  <c r="W108" i="20" s="1"/>
  <c r="AA108" i="2"/>
  <c r="AA104" i="2"/>
  <c r="T107" i="20"/>
  <c r="U107" i="20" s="1"/>
  <c r="V107" i="20" s="1"/>
  <c r="W107" i="20" s="1"/>
  <c r="T103" i="20"/>
  <c r="U103" i="20" s="1"/>
  <c r="V103" i="20" s="1"/>
  <c r="W103" i="20" s="1"/>
  <c r="U104" i="31"/>
  <c r="U107" i="31"/>
  <c r="C81" i="14"/>
  <c r="AA100" i="2"/>
  <c r="K140" i="44"/>
  <c r="H24" i="11"/>
  <c r="K141" i="44"/>
  <c r="M135" i="44"/>
  <c r="K175" i="44"/>
  <c r="K195" i="44" s="1"/>
  <c r="U106" i="31"/>
  <c r="I20" i="11"/>
  <c r="I21" i="11" s="1"/>
  <c r="I25" i="11" s="1"/>
  <c r="T98" i="20"/>
  <c r="U98" i="20" s="1"/>
  <c r="I42" i="11"/>
  <c r="I43" i="11" s="1"/>
  <c r="I47" i="11" s="1"/>
  <c r="U98" i="31"/>
  <c r="Q70" i="26"/>
  <c r="Q63" i="26"/>
  <c r="Q64" i="26"/>
  <c r="Q71" i="26"/>
  <c r="Q69" i="26"/>
  <c r="Q66" i="26"/>
  <c r="Q68" i="26"/>
  <c r="Q72" i="26"/>
  <c r="Q65" i="26"/>
  <c r="Q67" i="26"/>
  <c r="Q73" i="26"/>
  <c r="BM87" i="2"/>
  <c r="BM88" i="2"/>
  <c r="BM89" i="2"/>
  <c r="BM90" i="2"/>
  <c r="BM91" i="2"/>
  <c r="BM92" i="2"/>
  <c r="BM93" i="2"/>
  <c r="BM94" i="2"/>
  <c r="BM95" i="2"/>
  <c r="BM96" i="2"/>
  <c r="BM97" i="2"/>
  <c r="BM86" i="2"/>
  <c r="T87" i="2"/>
  <c r="T88" i="2"/>
  <c r="T89" i="2"/>
  <c r="T90" i="2"/>
  <c r="T91" i="2"/>
  <c r="T92" i="2"/>
  <c r="T93" i="2"/>
  <c r="T94" i="2"/>
  <c r="T95" i="2"/>
  <c r="T96" i="2"/>
  <c r="T97" i="2"/>
  <c r="T86" i="2"/>
  <c r="N74" i="2"/>
  <c r="N75" i="2"/>
  <c r="N76" i="2"/>
  <c r="N77" i="2"/>
  <c r="N78" i="2"/>
  <c r="N79" i="2"/>
  <c r="N80" i="2"/>
  <c r="N81" i="2"/>
  <c r="N82" i="2"/>
  <c r="N83" i="2"/>
  <c r="N84" i="2"/>
  <c r="N85" i="2"/>
  <c r="N87" i="2"/>
  <c r="N88" i="2"/>
  <c r="N89" i="2"/>
  <c r="N90" i="2"/>
  <c r="N91" i="2"/>
  <c r="N92" i="2"/>
  <c r="N93" i="2"/>
  <c r="N94" i="2"/>
  <c r="N86" i="2"/>
  <c r="N95" i="2"/>
  <c r="N96" i="2"/>
  <c r="N97" i="2"/>
  <c r="H77" i="2"/>
  <c r="H78" i="2"/>
  <c r="H79" i="2"/>
  <c r="H80" i="2"/>
  <c r="H81" i="2"/>
  <c r="H82" i="2"/>
  <c r="H83" i="2"/>
  <c r="H84" i="2"/>
  <c r="H85" i="2"/>
  <c r="H74" i="2"/>
  <c r="H75" i="2"/>
  <c r="H76" i="2"/>
  <c r="AA98" i="2"/>
  <c r="D98" i="26"/>
  <c r="P98" i="26" s="1"/>
  <c r="Q98" i="26" s="1"/>
  <c r="DH10" i="39"/>
  <c r="T92" i="36"/>
  <c r="T95" i="36"/>
  <c r="T86" i="36"/>
  <c r="U108" i="31"/>
  <c r="T126" i="29"/>
  <c r="U50" i="25"/>
  <c r="U55" i="25"/>
  <c r="U61" i="25"/>
  <c r="BE57" i="14"/>
  <c r="BB17" i="14"/>
  <c r="BB93" i="14" s="1"/>
  <c r="BB94" i="14" s="1"/>
  <c r="BB95" i="14" s="1"/>
  <c r="BB96" i="14" s="1"/>
  <c r="BB97" i="14" s="1"/>
  <c r="BB98" i="14" s="1"/>
  <c r="BB99" i="14" s="1"/>
  <c r="BB100" i="14" s="1"/>
  <c r="BB101" i="14" s="1"/>
  <c r="BB102" i="14" s="1"/>
  <c r="BB103" i="14" s="1"/>
  <c r="BB104" i="14" s="1"/>
  <c r="AD59" i="14"/>
  <c r="AD93" i="14"/>
  <c r="AD70" i="14"/>
  <c r="AD82" i="14"/>
  <c r="AL58" i="14"/>
  <c r="BJ19" i="39"/>
  <c r="C17" i="14"/>
  <c r="FX107" i="2"/>
  <c r="FA131" i="3" s="1"/>
  <c r="D107" i="34"/>
  <c r="D98" i="34"/>
  <c r="D107" i="23"/>
  <c r="FX99" i="2"/>
  <c r="FA123" i="3" s="1"/>
  <c r="FX104" i="2"/>
  <c r="FA128" i="3" s="1"/>
  <c r="D104" i="34"/>
  <c r="BY98" i="2"/>
  <c r="FX108" i="2"/>
  <c r="FA132" i="3" s="1"/>
  <c r="FX102" i="2"/>
  <c r="FA126" i="3" s="1"/>
  <c r="V70" i="17"/>
  <c r="W70" i="17" s="1"/>
  <c r="X70" i="17" s="1"/>
  <c r="Y70" i="17" s="1"/>
  <c r="T51" i="25"/>
  <c r="BG9" i="27"/>
  <c r="BH9" i="27" s="1"/>
  <c r="AJ10" i="39"/>
  <c r="V50" i="20"/>
  <c r="W50" i="20" s="1"/>
  <c r="W9" i="27"/>
  <c r="X9" i="27" s="1"/>
  <c r="D97" i="23"/>
  <c r="BY100" i="2"/>
  <c r="D93" i="23"/>
  <c r="BY86" i="2"/>
  <c r="D106" i="23"/>
  <c r="D88" i="23"/>
  <c r="BY101" i="2"/>
  <c r="BY106" i="2"/>
  <c r="BY96" i="2"/>
  <c r="BY97" i="2"/>
  <c r="BY104" i="2"/>
  <c r="D87" i="23"/>
  <c r="BY102" i="2"/>
  <c r="BY95" i="2"/>
  <c r="BY94" i="2"/>
  <c r="BY90" i="2"/>
  <c r="D108" i="23"/>
  <c r="BY89" i="2"/>
  <c r="BY99" i="2"/>
  <c r="D100" i="23"/>
  <c r="BY88" i="2"/>
  <c r="D96" i="23"/>
  <c r="BY93" i="2"/>
  <c r="D102" i="23"/>
  <c r="BY92" i="2"/>
  <c r="D94" i="23"/>
  <c r="D90" i="23"/>
  <c r="BY108" i="2"/>
  <c r="BY91" i="2"/>
  <c r="D105" i="23"/>
  <c r="D89" i="23"/>
  <c r="D92" i="23"/>
  <c r="D99" i="23"/>
  <c r="D104" i="23"/>
  <c r="BY103" i="2"/>
  <c r="D95" i="23"/>
  <c r="BY109" i="2"/>
  <c r="BY107" i="2"/>
  <c r="D91" i="23"/>
  <c r="D86" i="23"/>
  <c r="D103" i="23"/>
  <c r="BY105" i="2"/>
  <c r="D101" i="23"/>
  <c r="BY87" i="2"/>
  <c r="D98" i="23"/>
  <c r="W70" i="28"/>
  <c r="X70" i="28" s="1"/>
  <c r="K136" i="44"/>
  <c r="S110" i="36"/>
  <c r="S111" i="36"/>
  <c r="S112" i="36"/>
  <c r="S113" i="36"/>
  <c r="S114" i="36"/>
  <c r="S115" i="36"/>
  <c r="S116" i="36"/>
  <c r="S117" i="36"/>
  <c r="S118" i="36"/>
  <c r="S119" i="36"/>
  <c r="S120" i="36"/>
  <c r="S121" i="36"/>
  <c r="V71" i="35"/>
  <c r="V69" i="35"/>
  <c r="S107" i="36"/>
  <c r="S100" i="36"/>
  <c r="S99" i="36"/>
  <c r="S98" i="36"/>
  <c r="S106" i="36"/>
  <c r="S105" i="36"/>
  <c r="S102" i="36"/>
  <c r="S101" i="36"/>
  <c r="S109" i="36"/>
  <c r="S108" i="36"/>
  <c r="S104" i="36"/>
  <c r="S103" i="36"/>
  <c r="V66" i="35"/>
  <c r="V59" i="35"/>
  <c r="V61" i="35"/>
  <c r="U76" i="35"/>
  <c r="U74" i="35"/>
  <c r="U78" i="35"/>
  <c r="U75" i="35"/>
  <c r="V60" i="35"/>
  <c r="V51" i="35"/>
  <c r="V73" i="35"/>
  <c r="U84" i="35"/>
  <c r="U82" i="35"/>
  <c r="V65" i="35"/>
  <c r="V55" i="35"/>
  <c r="U77" i="35"/>
  <c r="U83" i="35"/>
  <c r="V54" i="35"/>
  <c r="V53" i="35"/>
  <c r="V56" i="35"/>
  <c r="U81" i="35"/>
  <c r="U80" i="35"/>
  <c r="V57" i="35"/>
  <c r="U85" i="35"/>
  <c r="U79" i="35"/>
  <c r="V58" i="35"/>
  <c r="X55" i="34"/>
  <c r="X61" i="34"/>
  <c r="X51" i="34"/>
  <c r="X72" i="34"/>
  <c r="X53" i="34"/>
  <c r="X58" i="34"/>
  <c r="X60" i="34"/>
  <c r="X57" i="34"/>
  <c r="X54" i="34"/>
  <c r="X69" i="34"/>
  <c r="X56" i="34"/>
  <c r="X73" i="34"/>
  <c r="X71" i="34"/>
  <c r="X52" i="34"/>
  <c r="X50" i="34"/>
  <c r="X59" i="34"/>
  <c r="X68" i="34"/>
  <c r="X63" i="34"/>
  <c r="W84" i="34"/>
  <c r="W77" i="34"/>
  <c r="W83" i="34"/>
  <c r="W75" i="34"/>
  <c r="W82" i="34"/>
  <c r="W85" i="34"/>
  <c r="W81" i="34"/>
  <c r="W79" i="34"/>
  <c r="W76" i="34"/>
  <c r="W80" i="34"/>
  <c r="W74" i="34"/>
  <c r="W78" i="34"/>
  <c r="V89" i="31"/>
  <c r="V95" i="31"/>
  <c r="V86" i="31"/>
  <c r="V94" i="31"/>
  <c r="V87" i="31"/>
  <c r="T81" i="30"/>
  <c r="T65" i="30"/>
  <c r="T74" i="30"/>
  <c r="T51" i="30"/>
  <c r="T60" i="30"/>
  <c r="T76" i="30"/>
  <c r="T54" i="30"/>
  <c r="T69" i="30"/>
  <c r="T56" i="30"/>
  <c r="T62" i="30"/>
  <c r="T58" i="30"/>
  <c r="T63" i="30"/>
  <c r="T85" i="30"/>
  <c r="T59" i="30"/>
  <c r="T52" i="30"/>
  <c r="T82" i="30"/>
  <c r="T61" i="30"/>
  <c r="T55" i="30"/>
  <c r="T57" i="30"/>
  <c r="T50" i="30"/>
  <c r="T53" i="30"/>
  <c r="T70" i="30"/>
  <c r="T80" i="30"/>
  <c r="W65" i="28"/>
  <c r="X65" i="28" s="1"/>
  <c r="W66" i="28"/>
  <c r="X66" i="28" s="1"/>
  <c r="W72" i="28"/>
  <c r="X72" i="28" s="1"/>
  <c r="W63" i="28"/>
  <c r="X63" i="28" s="1"/>
  <c r="W64" i="28"/>
  <c r="X64" i="28" s="1"/>
  <c r="W67" i="28"/>
  <c r="X67" i="28" s="1"/>
  <c r="W68" i="28"/>
  <c r="X68" i="28" s="1"/>
  <c r="W71" i="28"/>
  <c r="X71" i="28" s="1"/>
  <c r="W69" i="28"/>
  <c r="X69" i="28" s="1"/>
  <c r="W73" i="28"/>
  <c r="X73" i="28" s="1"/>
  <c r="W62" i="28"/>
  <c r="X62" i="28" s="1"/>
  <c r="V50" i="24"/>
  <c r="AZ9" i="27"/>
  <c r="AT9" i="27"/>
  <c r="P9" i="27"/>
  <c r="P81" i="26"/>
  <c r="Q81" i="26" s="1"/>
  <c r="P85" i="26"/>
  <c r="Q85" i="26" s="1"/>
  <c r="P83" i="26"/>
  <c r="Q83" i="26" s="1"/>
  <c r="P77" i="26"/>
  <c r="Q77" i="26" s="1"/>
  <c r="P78" i="26"/>
  <c r="Q78" i="26" s="1"/>
  <c r="P84" i="26"/>
  <c r="Q84" i="26" s="1"/>
  <c r="P75" i="26"/>
  <c r="Q75" i="26" s="1"/>
  <c r="P82" i="26"/>
  <c r="Q82" i="26" s="1"/>
  <c r="P76" i="26"/>
  <c r="Q76" i="26" s="1"/>
  <c r="P80" i="26"/>
  <c r="Q80" i="26" s="1"/>
  <c r="P79" i="26"/>
  <c r="Q79" i="26" s="1"/>
  <c r="T94" i="25"/>
  <c r="U94" i="25" s="1"/>
  <c r="T89" i="25"/>
  <c r="U89" i="25" s="1"/>
  <c r="BT104" i="2"/>
  <c r="R104" i="25"/>
  <c r="S104" i="25" s="1"/>
  <c r="T104" i="25" s="1"/>
  <c r="U104" i="25" s="1"/>
  <c r="BT103" i="2"/>
  <c r="R103" i="25"/>
  <c r="S103" i="25" s="1"/>
  <c r="T103" i="25" s="1"/>
  <c r="U103" i="25" s="1"/>
  <c r="BT107" i="2"/>
  <c r="R107" i="25"/>
  <c r="S107" i="25" s="1"/>
  <c r="T107" i="25" s="1"/>
  <c r="U107" i="25" s="1"/>
  <c r="BT100" i="2"/>
  <c r="R100" i="25"/>
  <c r="S100" i="25" s="1"/>
  <c r="T100" i="25" s="1"/>
  <c r="U100" i="25" s="1"/>
  <c r="BT99" i="2"/>
  <c r="R99" i="25"/>
  <c r="S99" i="25" s="1"/>
  <c r="T99" i="25" s="1"/>
  <c r="U99" i="25" s="1"/>
  <c r="BT98" i="2"/>
  <c r="R98" i="25"/>
  <c r="S98" i="25" s="1"/>
  <c r="BT106" i="2"/>
  <c r="R106" i="25"/>
  <c r="S106" i="25" s="1"/>
  <c r="T106" i="25" s="1"/>
  <c r="U106" i="25" s="1"/>
  <c r="BT105" i="2"/>
  <c r="R105" i="25"/>
  <c r="S105" i="25" s="1"/>
  <c r="T105" i="25" s="1"/>
  <c r="U105" i="25" s="1"/>
  <c r="BT102" i="2"/>
  <c r="R102" i="25"/>
  <c r="S102" i="25" s="1"/>
  <c r="T102" i="25" s="1"/>
  <c r="U102" i="25" s="1"/>
  <c r="BT101" i="2"/>
  <c r="R101" i="25"/>
  <c r="S101" i="25" s="1"/>
  <c r="T101" i="25" s="1"/>
  <c r="U101" i="25" s="1"/>
  <c r="BT109" i="2"/>
  <c r="R109" i="25"/>
  <c r="S109" i="25" s="1"/>
  <c r="T109" i="25" s="1"/>
  <c r="U109" i="25" s="1"/>
  <c r="BT108" i="2"/>
  <c r="R108" i="25"/>
  <c r="S108" i="25" s="1"/>
  <c r="T108" i="25" s="1"/>
  <c r="U108" i="25" s="1"/>
  <c r="X53" i="23"/>
  <c r="Y53" i="23" s="1"/>
  <c r="X58" i="23"/>
  <c r="Y58" i="23" s="1"/>
  <c r="X55" i="23"/>
  <c r="Y55" i="23" s="1"/>
  <c r="BN84" i="2"/>
  <c r="T84" i="24"/>
  <c r="U84" i="24" s="1"/>
  <c r="V84" i="24" s="1"/>
  <c r="W84" i="24" s="1"/>
  <c r="BN82" i="2"/>
  <c r="T82" i="24"/>
  <c r="U82" i="24" s="1"/>
  <c r="V82" i="24" s="1"/>
  <c r="W82" i="24" s="1"/>
  <c r="BN77" i="2"/>
  <c r="T77" i="24"/>
  <c r="U77" i="24" s="1"/>
  <c r="V77" i="24" s="1"/>
  <c r="W77" i="24" s="1"/>
  <c r="BN83" i="2"/>
  <c r="T83" i="24"/>
  <c r="U83" i="24" s="1"/>
  <c r="V83" i="24" s="1"/>
  <c r="W83" i="24" s="1"/>
  <c r="BN81" i="2"/>
  <c r="T81" i="24"/>
  <c r="U81" i="24" s="1"/>
  <c r="V81" i="24" s="1"/>
  <c r="W81" i="24" s="1"/>
  <c r="BN80" i="2"/>
  <c r="T80" i="24"/>
  <c r="U80" i="24" s="1"/>
  <c r="V80" i="24" s="1"/>
  <c r="W80" i="24" s="1"/>
  <c r="BN85" i="2"/>
  <c r="T85" i="24"/>
  <c r="U85" i="24" s="1"/>
  <c r="V85" i="24" s="1"/>
  <c r="W85" i="24" s="1"/>
  <c r="BN79" i="2"/>
  <c r="T79" i="24"/>
  <c r="U79" i="24" s="1"/>
  <c r="V79" i="24" s="1"/>
  <c r="W79" i="24" s="1"/>
  <c r="BN76" i="2"/>
  <c r="T76" i="24"/>
  <c r="U76" i="24" s="1"/>
  <c r="V76" i="24" s="1"/>
  <c r="W76" i="24" s="1"/>
  <c r="BN74" i="2"/>
  <c r="T74" i="24"/>
  <c r="U74" i="24" s="1"/>
  <c r="BN78" i="2"/>
  <c r="T78" i="24"/>
  <c r="U78" i="24" s="1"/>
  <c r="V78" i="24" s="1"/>
  <c r="W78" i="24" s="1"/>
  <c r="BN75" i="2"/>
  <c r="T75" i="24"/>
  <c r="U75" i="24" s="1"/>
  <c r="V75" i="24" s="1"/>
  <c r="W75" i="24" s="1"/>
  <c r="X59" i="23"/>
  <c r="Y59" i="23" s="1"/>
  <c r="X52" i="23"/>
  <c r="Y52" i="23" s="1"/>
  <c r="X60" i="23"/>
  <c r="Y60" i="23" s="1"/>
  <c r="X57" i="23"/>
  <c r="Y57" i="23" s="1"/>
  <c r="X54" i="23"/>
  <c r="Y54" i="23" s="1"/>
  <c r="X61" i="23"/>
  <c r="Y61" i="23" s="1"/>
  <c r="X51" i="23"/>
  <c r="Y51" i="23" s="1"/>
  <c r="X56" i="23"/>
  <c r="Y56" i="23" s="1"/>
  <c r="X50" i="23"/>
  <c r="Y50" i="23" s="1"/>
  <c r="AS9" i="27"/>
  <c r="X70" i="23"/>
  <c r="Y70" i="23" s="1"/>
  <c r="BH75" i="2"/>
  <c r="V75" i="23"/>
  <c r="W75" i="23" s="1"/>
  <c r="BH82" i="2"/>
  <c r="V82" i="23"/>
  <c r="W82" i="23" s="1"/>
  <c r="BH85" i="2"/>
  <c r="V85" i="23"/>
  <c r="W85" i="23" s="1"/>
  <c r="BH81" i="2"/>
  <c r="V81" i="23"/>
  <c r="W81" i="23" s="1"/>
  <c r="BH79" i="2"/>
  <c r="V79" i="23"/>
  <c r="W79" i="23" s="1"/>
  <c r="BH76" i="2"/>
  <c r="V76" i="23"/>
  <c r="W76" i="23" s="1"/>
  <c r="BH80" i="2"/>
  <c r="V80" i="23"/>
  <c r="W80" i="23" s="1"/>
  <c r="BH74" i="2"/>
  <c r="V74" i="23"/>
  <c r="W74" i="23" s="1"/>
  <c r="BH78" i="2"/>
  <c r="V78" i="23"/>
  <c r="W78" i="23" s="1"/>
  <c r="BH84" i="2"/>
  <c r="V84" i="23"/>
  <c r="W84" i="23" s="1"/>
  <c r="BH77" i="2"/>
  <c r="V77" i="23"/>
  <c r="W77" i="23" s="1"/>
  <c r="BH83" i="2"/>
  <c r="V83" i="23"/>
  <c r="W83" i="23" s="1"/>
  <c r="V12" i="27"/>
  <c r="V13" i="27"/>
  <c r="V93" i="20"/>
  <c r="W93" i="20" s="1"/>
  <c r="T60" i="18"/>
  <c r="O9" i="27"/>
  <c r="T77" i="18"/>
  <c r="U77" i="18" s="1"/>
  <c r="T56" i="18"/>
  <c r="T51" i="18"/>
  <c r="T54" i="18"/>
  <c r="T68" i="18"/>
  <c r="U68" i="18" s="1"/>
  <c r="O10" i="27"/>
  <c r="T58" i="18"/>
  <c r="T61" i="18"/>
  <c r="T57" i="18"/>
  <c r="T59" i="18"/>
  <c r="T52" i="18"/>
  <c r="T55" i="18"/>
  <c r="O11" i="27"/>
  <c r="T78" i="18"/>
  <c r="U78" i="18" s="1"/>
  <c r="T50" i="18"/>
  <c r="T53" i="18"/>
  <c r="T79" i="18"/>
  <c r="U79" i="18" s="1"/>
  <c r="V63" i="19"/>
  <c r="W63" i="19" s="1"/>
  <c r="I10" i="27"/>
  <c r="I73" i="2"/>
  <c r="V73" i="17"/>
  <c r="W73" i="17" s="1"/>
  <c r="X73" i="17" s="1"/>
  <c r="I62" i="2"/>
  <c r="V62" i="17"/>
  <c r="W62" i="17" s="1"/>
  <c r="X62" i="17" s="1"/>
  <c r="I65" i="2"/>
  <c r="V65" i="17"/>
  <c r="W65" i="17" s="1"/>
  <c r="X65" i="17" s="1"/>
  <c r="I66" i="2"/>
  <c r="V66" i="17"/>
  <c r="W66" i="17" s="1"/>
  <c r="X66" i="17" s="1"/>
  <c r="I72" i="2"/>
  <c r="V72" i="17"/>
  <c r="W72" i="17" s="1"/>
  <c r="X72" i="17" s="1"/>
  <c r="I63" i="2"/>
  <c r="V63" i="17"/>
  <c r="W63" i="17" s="1"/>
  <c r="X63" i="17" s="1"/>
  <c r="I64" i="2"/>
  <c r="V64" i="17"/>
  <c r="W64" i="17" s="1"/>
  <c r="X64" i="17" s="1"/>
  <c r="I67" i="2"/>
  <c r="V67" i="17"/>
  <c r="W67" i="17" s="1"/>
  <c r="X67" i="17" s="1"/>
  <c r="I68" i="2"/>
  <c r="V68" i="17"/>
  <c r="W68" i="17" s="1"/>
  <c r="X68" i="17" s="1"/>
  <c r="I71" i="2"/>
  <c r="V71" i="17"/>
  <c r="W71" i="17" s="1"/>
  <c r="X71" i="17" s="1"/>
  <c r="I69" i="2"/>
  <c r="V69" i="17"/>
  <c r="W69" i="17" s="1"/>
  <c r="X69" i="17" s="1"/>
  <c r="H27" i="8"/>
  <c r="J27" i="8" s="1"/>
  <c r="AA28" i="40"/>
  <c r="AB28" i="40" s="1"/>
  <c r="N9" i="41"/>
  <c r="C48" i="41" s="1"/>
  <c r="D106" i="34"/>
  <c r="FX109" i="2"/>
  <c r="FA133" i="3" s="1"/>
  <c r="W77" i="11"/>
  <c r="V68" i="11"/>
  <c r="V69" i="11" s="1"/>
  <c r="W24" i="11"/>
  <c r="W26" i="11" s="1"/>
  <c r="W28" i="11" s="1"/>
  <c r="W66" i="11" s="1"/>
  <c r="W68" i="11" s="1"/>
  <c r="Y20" i="11"/>
  <c r="X21" i="11"/>
  <c r="X25" i="11" s="1"/>
  <c r="H104" i="11"/>
  <c r="Z53" i="11"/>
  <c r="Y54" i="11"/>
  <c r="Y57" i="11" s="1"/>
  <c r="Y59" i="11" s="1"/>
  <c r="Y61" i="11" s="1"/>
  <c r="Y78" i="11" s="1"/>
  <c r="J35" i="11"/>
  <c r="J37" i="11" s="1"/>
  <c r="J39" i="11" s="1"/>
  <c r="I39" i="11"/>
  <c r="D109" i="34"/>
  <c r="FX100" i="2"/>
  <c r="FA124" i="3" s="1"/>
  <c r="D100" i="34"/>
  <c r="FX103" i="2"/>
  <c r="FA127" i="3" s="1"/>
  <c r="D103" i="34"/>
  <c r="BF13" i="27"/>
  <c r="FX106" i="2"/>
  <c r="FA130" i="3" s="1"/>
  <c r="D105" i="34"/>
  <c r="FX105" i="2"/>
  <c r="FA129" i="3" s="1"/>
  <c r="CM14" i="39"/>
  <c r="K8" i="44" s="1"/>
  <c r="H28" i="8"/>
  <c r="J28" i="8" s="1"/>
  <c r="AH28" i="40"/>
  <c r="AI28" i="40" s="1"/>
  <c r="M60" i="73" s="1"/>
  <c r="D87" i="26"/>
  <c r="D87" i="37"/>
  <c r="D89" i="26"/>
  <c r="D89" i="37"/>
  <c r="D94" i="26"/>
  <c r="D94" i="37"/>
  <c r="FX90" i="2"/>
  <c r="FA114" i="3" s="1"/>
  <c r="D90" i="34"/>
  <c r="D109" i="26"/>
  <c r="D109" i="37"/>
  <c r="D106" i="26"/>
  <c r="D106" i="37"/>
  <c r="D104" i="26"/>
  <c r="D104" i="37"/>
  <c r="D94" i="34"/>
  <c r="FX94" i="2"/>
  <c r="FA118" i="3" s="1"/>
  <c r="C127" i="29"/>
  <c r="A128" i="29"/>
  <c r="B127" i="29"/>
  <c r="AH28" i="5"/>
  <c r="DI18" i="39" s="1"/>
  <c r="AH55" i="5"/>
  <c r="D89" i="34"/>
  <c r="FX89" i="2"/>
  <c r="FA113" i="3" s="1"/>
  <c r="D86" i="26"/>
  <c r="P86" i="26" s="1"/>
  <c r="D86" i="37"/>
  <c r="DR13" i="39"/>
  <c r="D105" i="26"/>
  <c r="D105" i="37"/>
  <c r="AY12" i="27"/>
  <c r="D107" i="26"/>
  <c r="D107" i="37"/>
  <c r="D97" i="26"/>
  <c r="D97" i="37"/>
  <c r="FX97" i="2"/>
  <c r="FA121" i="3" s="1"/>
  <c r="D97" i="34"/>
  <c r="FX88" i="2"/>
  <c r="FA112" i="3" s="1"/>
  <c r="D88" i="34"/>
  <c r="D108" i="26"/>
  <c r="D108" i="37"/>
  <c r="D100" i="26"/>
  <c r="D100" i="37"/>
  <c r="AF27" i="5"/>
  <c r="CO17" i="39" s="1"/>
  <c r="AF54" i="5"/>
  <c r="FX87" i="2"/>
  <c r="FA111" i="3" s="1"/>
  <c r="D87" i="34"/>
  <c r="D96" i="26"/>
  <c r="D96" i="37"/>
  <c r="D88" i="26"/>
  <c r="D88" i="37"/>
  <c r="D91" i="26"/>
  <c r="D91" i="37"/>
  <c r="D93" i="34"/>
  <c r="FX93" i="2"/>
  <c r="FA117" i="3" s="1"/>
  <c r="D92" i="34"/>
  <c r="FX92" i="2"/>
  <c r="FA116" i="3" s="1"/>
  <c r="BF12" i="27"/>
  <c r="Q74" i="26"/>
  <c r="BN11" i="27"/>
  <c r="BP11" i="27" s="1"/>
  <c r="D102" i="26"/>
  <c r="D102" i="37"/>
  <c r="D99" i="26"/>
  <c r="D99" i="37"/>
  <c r="D95" i="37"/>
  <c r="D95" i="26"/>
  <c r="AI27" i="5"/>
  <c r="DT17" i="39" s="1"/>
  <c r="AI54" i="5"/>
  <c r="D101" i="34"/>
  <c r="FX101" i="2"/>
  <c r="FA125" i="3" s="1"/>
  <c r="FX95" i="2"/>
  <c r="FA119" i="3" s="1"/>
  <c r="D95" i="34"/>
  <c r="D101" i="26"/>
  <c r="D101" i="37"/>
  <c r="DR14" i="39"/>
  <c r="FX86" i="2"/>
  <c r="FA110" i="3" s="1"/>
  <c r="CM13" i="39"/>
  <c r="J8" i="44" s="1"/>
  <c r="J123" i="44" s="1"/>
  <c r="D86" i="34"/>
  <c r="D93" i="26"/>
  <c r="D93" i="37"/>
  <c r="D103" i="26"/>
  <c r="D103" i="37"/>
  <c r="AY13" i="27"/>
  <c r="AG28" i="5"/>
  <c r="CY18" i="39" s="1"/>
  <c r="AG55" i="5"/>
  <c r="FX96" i="2"/>
  <c r="FA120" i="3" s="1"/>
  <c r="D96" i="34"/>
  <c r="D90" i="26"/>
  <c r="D90" i="37"/>
  <c r="AS11" i="27"/>
  <c r="D92" i="37"/>
  <c r="D92" i="26"/>
  <c r="FX91" i="2"/>
  <c r="FA115" i="3" s="1"/>
  <c r="D91" i="34"/>
  <c r="K142" i="44"/>
  <c r="M25" i="44"/>
  <c r="N20" i="44"/>
  <c r="L75" i="44"/>
  <c r="L74" i="44"/>
  <c r="L31" i="11"/>
  <c r="L32" i="11" s="1"/>
  <c r="L36" i="11" s="1"/>
  <c r="AH27" i="40"/>
  <c r="L60" i="73" s="1"/>
  <c r="C28" i="8"/>
  <c r="E28" i="8" s="1"/>
  <c r="M10" i="41"/>
  <c r="K124" i="44"/>
  <c r="C27" i="8"/>
  <c r="AA27" i="40"/>
  <c r="L59" i="73" s="1"/>
  <c r="M9" i="41"/>
  <c r="BS58" i="14"/>
  <c r="AY58" i="14"/>
  <c r="BO58" i="14"/>
  <c r="H82" i="14"/>
  <c r="H60" i="14"/>
  <c r="H71" i="14"/>
  <c r="K182" i="44"/>
  <c r="K202" i="44" s="1"/>
  <c r="X11" i="60"/>
  <c r="K119" i="44"/>
  <c r="X12" i="60"/>
  <c r="AB59" i="14"/>
  <c r="AB71" i="14"/>
  <c r="AB82" i="14"/>
  <c r="H76" i="11"/>
  <c r="X75" i="11"/>
  <c r="EJ19" i="39"/>
  <c r="N20" i="41"/>
  <c r="K48" i="41" s="1"/>
  <c r="H55" i="8"/>
  <c r="J55" i="8" s="1"/>
  <c r="BG28" i="40"/>
  <c r="BH28" i="40" s="1"/>
  <c r="M67" i="73" s="1"/>
  <c r="AB18" i="14"/>
  <c r="AA105" i="14" s="1"/>
  <c r="AA106" i="14" s="1"/>
  <c r="AA107" i="14" s="1"/>
  <c r="AA108" i="14" s="1"/>
  <c r="AA109" i="14" s="1"/>
  <c r="AA110" i="14" s="1"/>
  <c r="AA111" i="14" s="1"/>
  <c r="AA112" i="14" s="1"/>
  <c r="AA113" i="14" s="1"/>
  <c r="AA114" i="14" s="1"/>
  <c r="AA115" i="14" s="1"/>
  <c r="AA116" i="14" s="1"/>
  <c r="BN16" i="14"/>
  <c r="EB17" i="39"/>
  <c r="ED17" i="39" s="1"/>
  <c r="G18" i="14"/>
  <c r="M31" i="11"/>
  <c r="EC19" i="39"/>
  <c r="BW19" i="39"/>
  <c r="X46" i="11"/>
  <c r="X48" i="11" s="1"/>
  <c r="X50" i="11" s="1"/>
  <c r="X74" i="11" s="1"/>
  <c r="AG17" i="14"/>
  <c r="BO18" i="39"/>
  <c r="BQ18" i="39" s="1"/>
  <c r="AA29" i="40"/>
  <c r="AB29" i="40" s="1"/>
  <c r="N59" i="73" s="1"/>
  <c r="O9" i="41"/>
  <c r="D48" i="41" s="1"/>
  <c r="M27" i="8"/>
  <c r="H56" i="8"/>
  <c r="J56" i="8" s="1"/>
  <c r="N21" i="41"/>
  <c r="K49" i="41" s="1"/>
  <c r="AX16" i="14"/>
  <c r="Z42" i="11"/>
  <c r="BV18" i="39"/>
  <c r="BX18" i="39" s="1"/>
  <c r="Y43" i="11"/>
  <c r="Y47" i="11" s="1"/>
  <c r="BR16" i="14"/>
  <c r="EI17" i="39"/>
  <c r="EK17" i="39" s="1"/>
  <c r="BN29" i="40" s="1"/>
  <c r="K35" i="11"/>
  <c r="K37" i="11" s="1"/>
  <c r="K39" i="11" s="1"/>
  <c r="K70" i="11" s="1"/>
  <c r="BI30" i="40"/>
  <c r="U30" i="40"/>
  <c r="T29" i="40"/>
  <c r="P26" i="8" s="1"/>
  <c r="H88" i="2" l="1"/>
  <c r="W88" i="28" s="1"/>
  <c r="H92" i="2"/>
  <c r="I92" i="2" s="1"/>
  <c r="H93" i="2"/>
  <c r="W93" i="28" s="1"/>
  <c r="H86" i="2"/>
  <c r="W86" i="28" s="1"/>
  <c r="H97" i="2"/>
  <c r="W97" i="28" s="1"/>
  <c r="H96" i="2"/>
  <c r="I96" i="2" s="1"/>
  <c r="H94" i="2"/>
  <c r="W94" i="28" s="1"/>
  <c r="AT18" i="14"/>
  <c r="AT19" i="14" s="1"/>
  <c r="H95" i="2"/>
  <c r="I95" i="2" s="1"/>
  <c r="H91" i="2"/>
  <c r="I91" i="2" s="1"/>
  <c r="H90" i="2"/>
  <c r="I90" i="2" s="1"/>
  <c r="AT60" i="14"/>
  <c r="AU60" i="14" s="1"/>
  <c r="H89" i="2"/>
  <c r="I89" i="2" s="1"/>
  <c r="H87" i="2"/>
  <c r="I87" i="2" s="1"/>
  <c r="AU59" i="14"/>
  <c r="H67" i="11"/>
  <c r="F86" i="11" s="1"/>
  <c r="F94" i="11" s="1"/>
  <c r="D11" i="12" s="1"/>
  <c r="C27" i="60"/>
  <c r="C11" i="60"/>
  <c r="C23" i="60"/>
  <c r="C6" i="60"/>
  <c r="X27" i="60"/>
  <c r="O12" i="60"/>
  <c r="C29" i="60"/>
  <c r="X28" i="60"/>
  <c r="E22" i="60"/>
  <c r="C28" i="60"/>
  <c r="FX119" i="2"/>
  <c r="FA143" i="3" s="1"/>
  <c r="H26" i="11"/>
  <c r="H28" i="11" s="1"/>
  <c r="H66" i="11" s="1"/>
  <c r="I67" i="11" s="1"/>
  <c r="P22" i="60"/>
  <c r="O27" i="60"/>
  <c r="T94" i="36"/>
  <c r="D114" i="23"/>
  <c r="D111" i="23"/>
  <c r="FX111" i="2"/>
  <c r="FA135" i="3" s="1"/>
  <c r="D119" i="23"/>
  <c r="FX115" i="2"/>
  <c r="FA139" i="3" s="1"/>
  <c r="DL9" i="39"/>
  <c r="F18" i="73" s="1"/>
  <c r="AQ21" i="40"/>
  <c r="AR21" i="40" s="1"/>
  <c r="AV21" i="40" s="1"/>
  <c r="F65" i="73" s="1"/>
  <c r="D115" i="23"/>
  <c r="FX114" i="2"/>
  <c r="FA138" i="3" s="1"/>
  <c r="D112" i="23"/>
  <c r="FX117" i="2"/>
  <c r="FA141" i="3" s="1"/>
  <c r="D117" i="23"/>
  <c r="FX120" i="2"/>
  <c r="FA144" i="3" s="1"/>
  <c r="D120" i="23"/>
  <c r="M10" i="60"/>
  <c r="K123" i="44"/>
  <c r="J160" i="44"/>
  <c r="J177" i="44"/>
  <c r="J197" i="44" s="1"/>
  <c r="FX112" i="2"/>
  <c r="FA136" i="3" s="1"/>
  <c r="D113" i="23"/>
  <c r="D118" i="23"/>
  <c r="D116" i="23"/>
  <c r="FX116" i="2"/>
  <c r="FA140" i="3" s="1"/>
  <c r="FX113" i="2"/>
  <c r="FA137" i="3" s="1"/>
  <c r="FX118" i="2"/>
  <c r="FA142" i="3" s="1"/>
  <c r="M8" i="44"/>
  <c r="M8" i="73"/>
  <c r="C47" i="73" s="1"/>
  <c r="H26" i="8"/>
  <c r="J26" i="8" s="1"/>
  <c r="L26" i="8" s="1"/>
  <c r="AN26" i="8" s="1"/>
  <c r="K161" i="44"/>
  <c r="BR70" i="14"/>
  <c r="AG59" i="14"/>
  <c r="AH58" i="14"/>
  <c r="G94" i="14"/>
  <c r="BN70" i="14"/>
  <c r="G83" i="14"/>
  <c r="G61" i="14"/>
  <c r="AK70" i="14"/>
  <c r="AG82" i="14"/>
  <c r="BR59" i="14"/>
  <c r="BN59" i="14"/>
  <c r="AX70" i="14"/>
  <c r="G72" i="14"/>
  <c r="AK59" i="14"/>
  <c r="AX59" i="14"/>
  <c r="BJ20" i="39"/>
  <c r="AB26" i="8" s="1"/>
  <c r="AD26" i="8" s="1"/>
  <c r="AU70" i="14"/>
  <c r="AT71" i="14"/>
  <c r="AT82" i="14"/>
  <c r="T93" i="36"/>
  <c r="T96" i="36"/>
  <c r="AZ10" i="27"/>
  <c r="BA10" i="27" s="1"/>
  <c r="T97" i="36"/>
  <c r="T90" i="36"/>
  <c r="T91" i="36"/>
  <c r="T89" i="36"/>
  <c r="T88" i="36"/>
  <c r="T87" i="36"/>
  <c r="V92" i="31"/>
  <c r="V88" i="31"/>
  <c r="V96" i="31"/>
  <c r="V90" i="31"/>
  <c r="V93" i="31"/>
  <c r="V91" i="31"/>
  <c r="V97" i="31"/>
  <c r="P10" i="27"/>
  <c r="Q10" i="27" s="1"/>
  <c r="D110" i="23"/>
  <c r="D110" i="26"/>
  <c r="BN14" i="27" s="1"/>
  <c r="D110" i="34"/>
  <c r="CM15" i="39"/>
  <c r="L12" i="41" s="1"/>
  <c r="D110" i="37"/>
  <c r="DR15" i="39"/>
  <c r="BF15" i="27"/>
  <c r="AY15" i="27"/>
  <c r="V15" i="27"/>
  <c r="X8" i="27"/>
  <c r="K9" i="27"/>
  <c r="W50" i="24"/>
  <c r="M28" i="8"/>
  <c r="O28" i="8" s="1"/>
  <c r="O10" i="41"/>
  <c r="D49" i="41" s="1"/>
  <c r="N10" i="44" s="1"/>
  <c r="K27" i="8"/>
  <c r="M59" i="73"/>
  <c r="P11" i="27"/>
  <c r="Q11" i="27" s="1"/>
  <c r="T82" i="18"/>
  <c r="U82" i="18" s="1"/>
  <c r="W12" i="27"/>
  <c r="X12" i="27" s="1"/>
  <c r="DH12" i="39"/>
  <c r="DJ12" i="39" s="1"/>
  <c r="BG12" i="27"/>
  <c r="BH12" i="27" s="1"/>
  <c r="T86" i="25"/>
  <c r="U86" i="25" s="1"/>
  <c r="BG11" i="27"/>
  <c r="BH11" i="27" s="1"/>
  <c r="T74" i="25"/>
  <c r="U74" i="25" s="1"/>
  <c r="J10" i="27"/>
  <c r="K10" i="27" s="1"/>
  <c r="AT10" i="27"/>
  <c r="AU10" i="27" s="1"/>
  <c r="V64" i="19"/>
  <c r="W64" i="19" s="1"/>
  <c r="W10" i="27"/>
  <c r="X10" i="27" s="1"/>
  <c r="O8" i="73"/>
  <c r="P8" i="73"/>
  <c r="F47" i="73" s="1"/>
  <c r="S8" i="41"/>
  <c r="H47" i="41" s="1"/>
  <c r="L8" i="73"/>
  <c r="AJ11" i="39"/>
  <c r="AO11" i="39" s="1"/>
  <c r="V88" i="20"/>
  <c r="W88" i="20" s="1"/>
  <c r="W11" i="27"/>
  <c r="X11" i="27" s="1"/>
  <c r="AJ12" i="39"/>
  <c r="AL12" i="39" s="1"/>
  <c r="DH11" i="39"/>
  <c r="DM11" i="39" s="1"/>
  <c r="AT93" i="14"/>
  <c r="BG10" i="27"/>
  <c r="BH10" i="27" s="1"/>
  <c r="D70" i="28"/>
  <c r="N21" i="73"/>
  <c r="L49" i="73" s="1"/>
  <c r="O10" i="73"/>
  <c r="E49" i="73" s="1"/>
  <c r="O9" i="73"/>
  <c r="E48" i="73" s="1"/>
  <c r="N20" i="73"/>
  <c r="L48" i="73" s="1"/>
  <c r="N10" i="73"/>
  <c r="D49" i="73" s="1"/>
  <c r="R8" i="73"/>
  <c r="M8" i="41"/>
  <c r="C26" i="8"/>
  <c r="E26" i="8" s="1"/>
  <c r="G26" i="8" s="1"/>
  <c r="AM26" i="8" s="1"/>
  <c r="P8" i="41"/>
  <c r="E47" i="41" s="1"/>
  <c r="R26" i="8"/>
  <c r="T26" i="8" s="1"/>
  <c r="AG26" i="8"/>
  <c r="AI26" i="8" s="1"/>
  <c r="V100" i="31"/>
  <c r="BN81" i="14"/>
  <c r="BR81" i="14"/>
  <c r="BH18" i="14"/>
  <c r="BH93" i="14"/>
  <c r="BH94" i="14" s="1"/>
  <c r="BH95" i="14" s="1"/>
  <c r="BH96" i="14" s="1"/>
  <c r="BH97" i="14" s="1"/>
  <c r="BH98" i="14" s="1"/>
  <c r="BH99" i="14" s="1"/>
  <c r="BH100" i="14" s="1"/>
  <c r="BH101" i="14" s="1"/>
  <c r="BH102" i="14" s="1"/>
  <c r="BH103" i="14" s="1"/>
  <c r="BH104" i="14" s="1"/>
  <c r="AX81" i="14"/>
  <c r="AG93" i="14"/>
  <c r="AG70" i="14"/>
  <c r="BJ17" i="39"/>
  <c r="BK17" i="39"/>
  <c r="N59" i="41"/>
  <c r="G105" i="14"/>
  <c r="M59" i="41"/>
  <c r="O59" i="41"/>
  <c r="O60" i="41"/>
  <c r="AK93" i="14"/>
  <c r="M60" i="41"/>
  <c r="AK81" i="14"/>
  <c r="DJ10" i="39"/>
  <c r="DM10" i="39"/>
  <c r="AL10" i="39"/>
  <c r="AO10" i="39"/>
  <c r="AL9" i="39"/>
  <c r="AO9" i="39"/>
  <c r="M10" i="40"/>
  <c r="M9" i="40"/>
  <c r="M11" i="40"/>
  <c r="N13" i="40" s="1"/>
  <c r="W26" i="8"/>
  <c r="Y26" i="8" s="1"/>
  <c r="K28" i="8"/>
  <c r="L28" i="8" s="1"/>
  <c r="AN28" i="8" s="1"/>
  <c r="N60" i="41"/>
  <c r="K55" i="8"/>
  <c r="L55" i="8" s="1"/>
  <c r="N67" i="41"/>
  <c r="G146" i="51"/>
  <c r="F142" i="51"/>
  <c r="F146" i="51" s="1"/>
  <c r="BA9" i="27"/>
  <c r="M9" i="44"/>
  <c r="L21" i="44"/>
  <c r="V99" i="31"/>
  <c r="V102" i="31"/>
  <c r="V103" i="31"/>
  <c r="V101" i="31"/>
  <c r="V105" i="31"/>
  <c r="V104" i="31"/>
  <c r="V109" i="31"/>
  <c r="V107" i="31"/>
  <c r="W13" i="27"/>
  <c r="X13" i="27" s="1"/>
  <c r="I46" i="11"/>
  <c r="I48" i="11" s="1"/>
  <c r="I50" i="11" s="1"/>
  <c r="I74" i="11" s="1"/>
  <c r="J75" i="11" s="1"/>
  <c r="V98" i="20"/>
  <c r="W98" i="20" s="1"/>
  <c r="V106" i="31"/>
  <c r="C93" i="14"/>
  <c r="I24" i="11"/>
  <c r="V98" i="31"/>
  <c r="K180" i="44"/>
  <c r="K200" i="44" s="1"/>
  <c r="K178" i="44"/>
  <c r="K198" i="44" s="1"/>
  <c r="K173" i="44"/>
  <c r="K193" i="44" s="1"/>
  <c r="J20" i="11"/>
  <c r="J21" i="11" s="1"/>
  <c r="J25" i="11" s="1"/>
  <c r="N103" i="2"/>
  <c r="N104" i="2"/>
  <c r="N105" i="2"/>
  <c r="N106" i="2"/>
  <c r="N107" i="2"/>
  <c r="N108" i="2"/>
  <c r="N109" i="2"/>
  <c r="N102" i="2"/>
  <c r="N98" i="2"/>
  <c r="N99" i="2"/>
  <c r="N100" i="2"/>
  <c r="N101" i="2"/>
  <c r="Q8" i="41"/>
  <c r="F47" i="41" s="1"/>
  <c r="V108" i="31"/>
  <c r="T102" i="36"/>
  <c r="T105" i="36"/>
  <c r="T106" i="36"/>
  <c r="T98" i="36"/>
  <c r="T99" i="36"/>
  <c r="T100" i="36"/>
  <c r="T107" i="36"/>
  <c r="T103" i="36"/>
  <c r="T104" i="36"/>
  <c r="T108" i="36"/>
  <c r="T109" i="36"/>
  <c r="T101" i="36"/>
  <c r="U74" i="18"/>
  <c r="U55" i="18"/>
  <c r="U52" i="18"/>
  <c r="U59" i="18"/>
  <c r="U54" i="18"/>
  <c r="U51" i="18"/>
  <c r="U56" i="18"/>
  <c r="U53" i="18"/>
  <c r="U50" i="18"/>
  <c r="U57" i="18"/>
  <c r="U61" i="18"/>
  <c r="U58" i="18"/>
  <c r="U62" i="18"/>
  <c r="U60" i="18"/>
  <c r="T127" i="29"/>
  <c r="U51" i="25"/>
  <c r="BB18" i="14"/>
  <c r="BB105" i="14" s="1"/>
  <c r="BB106" i="14" s="1"/>
  <c r="BB107" i="14" s="1"/>
  <c r="BB108" i="14" s="1"/>
  <c r="BB109" i="14" s="1"/>
  <c r="BB110" i="14" s="1"/>
  <c r="BB111" i="14" s="1"/>
  <c r="BB112" i="14" s="1"/>
  <c r="BB113" i="14" s="1"/>
  <c r="BB114" i="14" s="1"/>
  <c r="BB115" i="14" s="1"/>
  <c r="BB116" i="14" s="1"/>
  <c r="BE69" i="14"/>
  <c r="BE58" i="14"/>
  <c r="AD83" i="14"/>
  <c r="AD71" i="14"/>
  <c r="AD105" i="14"/>
  <c r="AD94" i="14"/>
  <c r="AD60" i="14"/>
  <c r="FO64" i="2"/>
  <c r="EU88" i="3" s="1"/>
  <c r="FO63" i="2"/>
  <c r="EU87" i="3" s="1"/>
  <c r="FO66" i="2"/>
  <c r="EU90" i="3" s="1"/>
  <c r="FO69" i="2"/>
  <c r="EU93" i="3" s="1"/>
  <c r="Y71" i="17"/>
  <c r="FO62" i="2"/>
  <c r="EU86" i="3" s="1"/>
  <c r="D68" i="28"/>
  <c r="CX10" i="39"/>
  <c r="CZ10" i="39" s="1"/>
  <c r="DB10" i="39" s="1"/>
  <c r="CX11" i="39"/>
  <c r="CZ11" i="39" s="1"/>
  <c r="DB11" i="39" s="1"/>
  <c r="CN10" i="39"/>
  <c r="CP10" i="39" s="1"/>
  <c r="CR10" i="39" s="1"/>
  <c r="CN11" i="39"/>
  <c r="CP11" i="39" s="1"/>
  <c r="CR11" i="39" s="1"/>
  <c r="Z12" i="39"/>
  <c r="AB12" i="39" s="1"/>
  <c r="AD12" i="39" s="1"/>
  <c r="Z11" i="39"/>
  <c r="AB11" i="39" s="1"/>
  <c r="AD11" i="39" s="1"/>
  <c r="Z10" i="39"/>
  <c r="AB10" i="39" s="1"/>
  <c r="AD10" i="39" s="1"/>
  <c r="V81" i="35"/>
  <c r="V80" i="35"/>
  <c r="V84" i="35"/>
  <c r="U88" i="35"/>
  <c r="U90" i="35"/>
  <c r="U89" i="35"/>
  <c r="U87" i="35"/>
  <c r="U91" i="35"/>
  <c r="V83" i="35"/>
  <c r="U97" i="35"/>
  <c r="V75" i="35"/>
  <c r="U92" i="35"/>
  <c r="V79" i="35"/>
  <c r="V77" i="35"/>
  <c r="U86" i="35"/>
  <c r="V78" i="35"/>
  <c r="U96" i="35"/>
  <c r="V85" i="35"/>
  <c r="U93" i="35"/>
  <c r="V74" i="35"/>
  <c r="U95" i="35"/>
  <c r="U94" i="35"/>
  <c r="V82" i="35"/>
  <c r="V76" i="35"/>
  <c r="X74" i="34"/>
  <c r="X82" i="34"/>
  <c r="X83" i="34"/>
  <c r="X76" i="34"/>
  <c r="X84" i="34"/>
  <c r="X85" i="34"/>
  <c r="X78" i="34"/>
  <c r="X75" i="34"/>
  <c r="X80" i="34"/>
  <c r="X77" i="34"/>
  <c r="X79" i="34"/>
  <c r="X81" i="34"/>
  <c r="S87" i="30"/>
  <c r="S96" i="30"/>
  <c r="S94" i="30"/>
  <c r="S89" i="30"/>
  <c r="S86" i="30"/>
  <c r="S93" i="30"/>
  <c r="S91" i="30"/>
  <c r="S92" i="30"/>
  <c r="S90" i="30"/>
  <c r="S97" i="30"/>
  <c r="S95" i="30"/>
  <c r="S88" i="30"/>
  <c r="U74" i="29"/>
  <c r="V74" i="29" s="1"/>
  <c r="U85" i="29"/>
  <c r="V85" i="29" s="1"/>
  <c r="U86" i="29"/>
  <c r="U79" i="29"/>
  <c r="V79" i="29" s="1"/>
  <c r="U90" i="29"/>
  <c r="U77" i="29"/>
  <c r="V77" i="29" s="1"/>
  <c r="U94" i="29"/>
  <c r="U83" i="29"/>
  <c r="V83" i="29" s="1"/>
  <c r="U93" i="29"/>
  <c r="U84" i="29"/>
  <c r="V84" i="29" s="1"/>
  <c r="U92" i="29"/>
  <c r="U82" i="29"/>
  <c r="V82" i="29" s="1"/>
  <c r="U97" i="29"/>
  <c r="U81" i="29"/>
  <c r="V81" i="29" s="1"/>
  <c r="U91" i="29"/>
  <c r="U80" i="29"/>
  <c r="V80" i="29" s="1"/>
  <c r="U96" i="29"/>
  <c r="U76" i="29"/>
  <c r="V76" i="29" s="1"/>
  <c r="U88" i="29"/>
  <c r="U95" i="29"/>
  <c r="U89" i="29"/>
  <c r="U87" i="29"/>
  <c r="U78" i="29"/>
  <c r="V78" i="29" s="1"/>
  <c r="U75" i="29"/>
  <c r="V75" i="29" s="1"/>
  <c r="F11" i="39"/>
  <c r="H11" i="39" s="1"/>
  <c r="J11" i="39" s="1"/>
  <c r="W80" i="28"/>
  <c r="X80" i="28" s="1"/>
  <c r="W78" i="28"/>
  <c r="X78" i="28" s="1"/>
  <c r="W95" i="28"/>
  <c r="W76" i="28"/>
  <c r="X76" i="28" s="1"/>
  <c r="W91" i="28"/>
  <c r="W90" i="28"/>
  <c r="W75" i="28"/>
  <c r="X75" i="28" s="1"/>
  <c r="W85" i="28"/>
  <c r="X85" i="28" s="1"/>
  <c r="W79" i="28"/>
  <c r="X79" i="28" s="1"/>
  <c r="W84" i="28"/>
  <c r="X84" i="28" s="1"/>
  <c r="W83" i="28"/>
  <c r="X83" i="28" s="1"/>
  <c r="W77" i="28"/>
  <c r="X77" i="28" s="1"/>
  <c r="W74" i="28"/>
  <c r="X74" i="28" s="1"/>
  <c r="W82" i="28"/>
  <c r="X82" i="28" s="1"/>
  <c r="W81" i="28"/>
  <c r="X81" i="28" s="1"/>
  <c r="T98" i="25"/>
  <c r="BG13" i="27"/>
  <c r="BH13" i="27" s="1"/>
  <c r="Q9" i="27"/>
  <c r="AU9" i="27"/>
  <c r="V74" i="24"/>
  <c r="W74" i="24" s="1"/>
  <c r="AZ11" i="27"/>
  <c r="BA11" i="27" s="1"/>
  <c r="AT11" i="27"/>
  <c r="AU11" i="27" s="1"/>
  <c r="D10" i="27"/>
  <c r="P90" i="26"/>
  <c r="Q90" i="26" s="1"/>
  <c r="P109" i="26"/>
  <c r="Q109" i="26" s="1"/>
  <c r="P104" i="26"/>
  <c r="Q104" i="26" s="1"/>
  <c r="P87" i="26"/>
  <c r="Q87" i="26" s="1"/>
  <c r="P92" i="26"/>
  <c r="Q92" i="26" s="1"/>
  <c r="P105" i="26"/>
  <c r="Q105" i="26" s="1"/>
  <c r="P95" i="26"/>
  <c r="Q95" i="26" s="1"/>
  <c r="P91" i="26"/>
  <c r="Q91" i="26" s="1"/>
  <c r="P96" i="26"/>
  <c r="Q96" i="26" s="1"/>
  <c r="P94" i="26"/>
  <c r="Q94" i="26" s="1"/>
  <c r="P101" i="26"/>
  <c r="Q101" i="26" s="1"/>
  <c r="P108" i="26"/>
  <c r="Q108" i="26" s="1"/>
  <c r="P99" i="26"/>
  <c r="Q99" i="26" s="1"/>
  <c r="P97" i="26"/>
  <c r="Q97" i="26" s="1"/>
  <c r="P103" i="26"/>
  <c r="Q103" i="26" s="1"/>
  <c r="P106" i="26"/>
  <c r="Q106" i="26" s="1"/>
  <c r="P89" i="26"/>
  <c r="Q89" i="26" s="1"/>
  <c r="P88" i="26"/>
  <c r="Q88" i="26" s="1"/>
  <c r="P100" i="26"/>
  <c r="Q100" i="26" s="1"/>
  <c r="P93" i="26"/>
  <c r="Q93" i="26" s="1"/>
  <c r="P102" i="26"/>
  <c r="Q102" i="26" s="1"/>
  <c r="P107" i="26"/>
  <c r="Q107" i="26" s="1"/>
  <c r="BN91" i="2"/>
  <c r="T91" i="24"/>
  <c r="U91" i="24" s="1"/>
  <c r="V91" i="24" s="1"/>
  <c r="W91" i="24" s="1"/>
  <c r="BN97" i="2"/>
  <c r="T97" i="24"/>
  <c r="U97" i="24" s="1"/>
  <c r="V97" i="24" s="1"/>
  <c r="W97" i="24" s="1"/>
  <c r="BN92" i="2"/>
  <c r="T92" i="24"/>
  <c r="U92" i="24" s="1"/>
  <c r="V92" i="24" s="1"/>
  <c r="W92" i="24" s="1"/>
  <c r="BN86" i="2"/>
  <c r="T86" i="24"/>
  <c r="U86" i="24" s="1"/>
  <c r="BN96" i="2"/>
  <c r="T96" i="24"/>
  <c r="U96" i="24" s="1"/>
  <c r="V96" i="24" s="1"/>
  <c r="W96" i="24" s="1"/>
  <c r="BN93" i="2"/>
  <c r="T93" i="24"/>
  <c r="U93" i="24" s="1"/>
  <c r="V93" i="24" s="1"/>
  <c r="W93" i="24" s="1"/>
  <c r="BN95" i="2"/>
  <c r="T95" i="24"/>
  <c r="U95" i="24" s="1"/>
  <c r="V95" i="24" s="1"/>
  <c r="W95" i="24" s="1"/>
  <c r="BN94" i="2"/>
  <c r="T94" i="24"/>
  <c r="U94" i="24" s="1"/>
  <c r="V94" i="24" s="1"/>
  <c r="W94" i="24" s="1"/>
  <c r="BN88" i="2"/>
  <c r="T88" i="24"/>
  <c r="U88" i="24" s="1"/>
  <c r="V88" i="24" s="1"/>
  <c r="W88" i="24" s="1"/>
  <c r="BN90" i="2"/>
  <c r="T90" i="24"/>
  <c r="U90" i="24" s="1"/>
  <c r="V90" i="24" s="1"/>
  <c r="W90" i="24" s="1"/>
  <c r="BN89" i="2"/>
  <c r="T89" i="24"/>
  <c r="U89" i="24" s="1"/>
  <c r="V89" i="24" s="1"/>
  <c r="W89" i="24" s="1"/>
  <c r="BN87" i="2"/>
  <c r="T87" i="24"/>
  <c r="U87" i="24" s="1"/>
  <c r="V87" i="24" s="1"/>
  <c r="W87" i="24" s="1"/>
  <c r="X79" i="23"/>
  <c r="Y79" i="23" s="1"/>
  <c r="X83" i="23"/>
  <c r="Y83" i="23" s="1"/>
  <c r="X81" i="23"/>
  <c r="Y81" i="23" s="1"/>
  <c r="X77" i="23"/>
  <c r="Y77" i="23" s="1"/>
  <c r="X85" i="23"/>
  <c r="Y85" i="23" s="1"/>
  <c r="X84" i="23"/>
  <c r="Y84" i="23" s="1"/>
  <c r="X82" i="23"/>
  <c r="Y82" i="23" s="1"/>
  <c r="X78" i="23"/>
  <c r="Y78" i="23" s="1"/>
  <c r="X75" i="23"/>
  <c r="Y75" i="23" s="1"/>
  <c r="X74" i="23"/>
  <c r="Y74" i="23" s="1"/>
  <c r="X80" i="23"/>
  <c r="Y80" i="23" s="1"/>
  <c r="X76" i="23"/>
  <c r="Y76" i="23" s="1"/>
  <c r="U87" i="2"/>
  <c r="R87" i="18"/>
  <c r="S87" i="18" s="1"/>
  <c r="U96" i="2"/>
  <c r="R96" i="18"/>
  <c r="S96" i="18" s="1"/>
  <c r="U94" i="2"/>
  <c r="R94" i="18"/>
  <c r="S94" i="18" s="1"/>
  <c r="U89" i="2"/>
  <c r="R89" i="18"/>
  <c r="S89" i="18" s="1"/>
  <c r="U86" i="2"/>
  <c r="R86" i="18"/>
  <c r="S86" i="18" s="1"/>
  <c r="U93" i="2"/>
  <c r="R93" i="18"/>
  <c r="S93" i="18" s="1"/>
  <c r="U91" i="2"/>
  <c r="R91" i="18"/>
  <c r="S91" i="18" s="1"/>
  <c r="U92" i="2"/>
  <c r="R92" i="18"/>
  <c r="S92" i="18" s="1"/>
  <c r="U90" i="2"/>
  <c r="R90" i="18"/>
  <c r="S90" i="18" s="1"/>
  <c r="U97" i="2"/>
  <c r="R97" i="18"/>
  <c r="S97" i="18" s="1"/>
  <c r="U95" i="2"/>
  <c r="R95" i="18"/>
  <c r="S95" i="18" s="1"/>
  <c r="U88" i="2"/>
  <c r="R88" i="18"/>
  <c r="S88" i="18" s="1"/>
  <c r="Y62" i="17"/>
  <c r="D62" i="28"/>
  <c r="D65" i="28"/>
  <c r="D71" i="28"/>
  <c r="Y65" i="17"/>
  <c r="Y73" i="17"/>
  <c r="FO73" i="2"/>
  <c r="EU97" i="3" s="1"/>
  <c r="D73" i="28"/>
  <c r="FO68" i="2"/>
  <c r="EU92" i="3" s="1"/>
  <c r="Y68" i="17"/>
  <c r="O85" i="2"/>
  <c r="T85" i="19"/>
  <c r="U85" i="19" s="1"/>
  <c r="O86" i="2"/>
  <c r="T86" i="19"/>
  <c r="U86" i="19" s="1"/>
  <c r="O79" i="2"/>
  <c r="T79" i="19"/>
  <c r="U79" i="19" s="1"/>
  <c r="O90" i="2"/>
  <c r="T90" i="19"/>
  <c r="U90" i="19" s="1"/>
  <c r="O77" i="2"/>
  <c r="T77" i="19"/>
  <c r="U77" i="19" s="1"/>
  <c r="O94" i="2"/>
  <c r="T94" i="19"/>
  <c r="U94" i="19" s="1"/>
  <c r="O83" i="2"/>
  <c r="T83" i="19"/>
  <c r="U83" i="19" s="1"/>
  <c r="O93" i="2"/>
  <c r="T93" i="19"/>
  <c r="U93" i="19" s="1"/>
  <c r="O84" i="2"/>
  <c r="T84" i="19"/>
  <c r="U84" i="19" s="1"/>
  <c r="O92" i="2"/>
  <c r="T92" i="19"/>
  <c r="U92" i="19" s="1"/>
  <c r="O82" i="2"/>
  <c r="T82" i="19"/>
  <c r="U82" i="19" s="1"/>
  <c r="O97" i="2"/>
  <c r="T97" i="19"/>
  <c r="U97" i="19" s="1"/>
  <c r="O81" i="2"/>
  <c r="T81" i="19"/>
  <c r="U81" i="19" s="1"/>
  <c r="O91" i="2"/>
  <c r="T91" i="19"/>
  <c r="U91" i="19" s="1"/>
  <c r="O80" i="2"/>
  <c r="T80" i="19"/>
  <c r="U80" i="19" s="1"/>
  <c r="O96" i="2"/>
  <c r="T96" i="19"/>
  <c r="U96" i="19" s="1"/>
  <c r="O76" i="2"/>
  <c r="T76" i="19"/>
  <c r="U76" i="19" s="1"/>
  <c r="O88" i="2"/>
  <c r="T88" i="19"/>
  <c r="U88" i="19" s="1"/>
  <c r="O95" i="2"/>
  <c r="T95" i="19"/>
  <c r="U95" i="19" s="1"/>
  <c r="O89" i="2"/>
  <c r="T89" i="19"/>
  <c r="U89" i="19" s="1"/>
  <c r="O87" i="2"/>
  <c r="T87" i="19"/>
  <c r="U87" i="19" s="1"/>
  <c r="O78" i="2"/>
  <c r="T78" i="19"/>
  <c r="U78" i="19" s="1"/>
  <c r="O75" i="2"/>
  <c r="T75" i="19"/>
  <c r="U75" i="19" s="1"/>
  <c r="O74" i="2"/>
  <c r="T74" i="19"/>
  <c r="U74" i="19" s="1"/>
  <c r="FO71" i="2"/>
  <c r="EU95" i="3" s="1"/>
  <c r="E11" i="39"/>
  <c r="Y64" i="17"/>
  <c r="FO72" i="2"/>
  <c r="EU96" i="3" s="1"/>
  <c r="D63" i="28"/>
  <c r="D69" i="28"/>
  <c r="Y72" i="17"/>
  <c r="I83" i="2"/>
  <c r="V83" i="17"/>
  <c r="W83" i="17" s="1"/>
  <c r="X83" i="17" s="1"/>
  <c r="D64" i="28"/>
  <c r="Y63" i="17"/>
  <c r="I77" i="2"/>
  <c r="V77" i="17"/>
  <c r="W77" i="17" s="1"/>
  <c r="X77" i="17" s="1"/>
  <c r="I74" i="2"/>
  <c r="V74" i="17"/>
  <c r="W74" i="17" s="1"/>
  <c r="X74" i="17" s="1"/>
  <c r="D66" i="28"/>
  <c r="I82" i="2"/>
  <c r="V82" i="17"/>
  <c r="W82" i="17" s="1"/>
  <c r="X82" i="17" s="1"/>
  <c r="D67" i="28"/>
  <c r="I81" i="2"/>
  <c r="V81" i="17"/>
  <c r="W81" i="17" s="1"/>
  <c r="X81" i="17" s="1"/>
  <c r="Y67" i="17"/>
  <c r="I97" i="2"/>
  <c r="I80" i="2"/>
  <c r="V80" i="17"/>
  <c r="W80" i="17" s="1"/>
  <c r="X80" i="17" s="1"/>
  <c r="I78" i="2"/>
  <c r="V78" i="17"/>
  <c r="W78" i="17" s="1"/>
  <c r="X78" i="17" s="1"/>
  <c r="I76" i="2"/>
  <c r="V76" i="17"/>
  <c r="W76" i="17" s="1"/>
  <c r="X76" i="17" s="1"/>
  <c r="Y66" i="17"/>
  <c r="I88" i="2"/>
  <c r="I75" i="2"/>
  <c r="V75" i="17"/>
  <c r="W75" i="17" s="1"/>
  <c r="X75" i="17" s="1"/>
  <c r="I85" i="2"/>
  <c r="V85" i="17"/>
  <c r="W85" i="17" s="1"/>
  <c r="X85" i="17" s="1"/>
  <c r="I79" i="2"/>
  <c r="V79" i="17"/>
  <c r="W79" i="17" s="1"/>
  <c r="X79" i="17" s="1"/>
  <c r="FO67" i="2"/>
  <c r="EU91" i="3" s="1"/>
  <c r="D72" i="28"/>
  <c r="FO65" i="2"/>
  <c r="EU89" i="3" s="1"/>
  <c r="I84" i="2"/>
  <c r="V84" i="17"/>
  <c r="W84" i="17" s="1"/>
  <c r="X84" i="17" s="1"/>
  <c r="Y69" i="17"/>
  <c r="V103" i="11"/>
  <c r="W105" i="11"/>
  <c r="U96" i="11"/>
  <c r="D41" i="12" s="1"/>
  <c r="W69" i="11"/>
  <c r="W103" i="11" s="1"/>
  <c r="U90" i="11"/>
  <c r="X67" i="11"/>
  <c r="X24" i="11"/>
  <c r="X26" i="11" s="1"/>
  <c r="X28" i="11" s="1"/>
  <c r="X66" i="11" s="1"/>
  <c r="X68" i="11" s="1"/>
  <c r="Z20" i="11"/>
  <c r="Y21" i="11"/>
  <c r="Y25" i="11" s="1"/>
  <c r="H77" i="11"/>
  <c r="K20" i="11"/>
  <c r="AA53" i="11"/>
  <c r="Y80" i="11"/>
  <c r="Y81" i="11" s="1"/>
  <c r="Z79" i="11"/>
  <c r="Z54" i="11"/>
  <c r="Z57" i="11" s="1"/>
  <c r="Z59" i="11" s="1"/>
  <c r="Z61" i="11" s="1"/>
  <c r="Z78" i="11" s="1"/>
  <c r="I70" i="11"/>
  <c r="J70" i="11"/>
  <c r="L140" i="44"/>
  <c r="L141" i="44"/>
  <c r="N135" i="44"/>
  <c r="BN13" i="27"/>
  <c r="BP13" i="27" s="1"/>
  <c r="B128" i="29"/>
  <c r="C128" i="29"/>
  <c r="A129" i="29"/>
  <c r="AF28" i="5"/>
  <c r="CO18" i="39" s="1"/>
  <c r="AF55" i="5"/>
  <c r="AH56" i="5"/>
  <c r="AH29" i="5"/>
  <c r="DI19" i="39" s="1"/>
  <c r="Q86" i="26"/>
  <c r="BN12" i="27"/>
  <c r="BP12" i="27" s="1"/>
  <c r="AG29" i="5"/>
  <c r="CY19" i="39" s="1"/>
  <c r="AG56" i="5"/>
  <c r="AI28" i="5"/>
  <c r="DT18" i="39" s="1"/>
  <c r="AI55" i="5"/>
  <c r="N25" i="44"/>
  <c r="O20" i="44"/>
  <c r="N11" i="60"/>
  <c r="N26" i="44"/>
  <c r="N12" i="60"/>
  <c r="M20" i="11"/>
  <c r="AB20" i="11"/>
  <c r="F28" i="8"/>
  <c r="G28" i="8" s="1"/>
  <c r="AM28" i="8" s="1"/>
  <c r="F27" i="8"/>
  <c r="E27" i="8"/>
  <c r="BS70" i="14"/>
  <c r="BS59" i="14"/>
  <c r="AY59" i="14"/>
  <c r="AY70" i="14"/>
  <c r="BO59" i="14"/>
  <c r="BC58" i="14"/>
  <c r="BO70" i="14"/>
  <c r="AH82" i="14"/>
  <c r="H61" i="14"/>
  <c r="H72" i="14"/>
  <c r="H94" i="14"/>
  <c r="H83" i="14"/>
  <c r="M61" i="44"/>
  <c r="P20" i="44"/>
  <c r="N9" i="44"/>
  <c r="M62" i="44"/>
  <c r="AB19" i="14"/>
  <c r="AA117" i="14" s="1"/>
  <c r="AA118" i="14" s="1"/>
  <c r="AA119" i="14" s="1"/>
  <c r="AA120" i="14" s="1"/>
  <c r="AA121" i="14" s="1"/>
  <c r="AA122" i="14" s="1"/>
  <c r="AA123" i="14" s="1"/>
  <c r="AA124" i="14" s="1"/>
  <c r="AA125" i="14" s="1"/>
  <c r="AA126" i="14" s="1"/>
  <c r="AA127" i="14" s="1"/>
  <c r="AA128" i="14" s="1"/>
  <c r="AB83" i="14"/>
  <c r="AB60" i="14"/>
  <c r="AB72" i="14"/>
  <c r="AB94" i="14"/>
  <c r="L35" i="11"/>
  <c r="L37" i="11" s="1"/>
  <c r="L39" i="11" s="1"/>
  <c r="L70" i="11" s="1"/>
  <c r="P10" i="41"/>
  <c r="E49" i="41" s="1"/>
  <c r="R28" i="8"/>
  <c r="T28" i="8" s="1"/>
  <c r="AH30" i="40"/>
  <c r="AI30" i="40" s="1"/>
  <c r="O60" i="73" s="1"/>
  <c r="AK18" i="14"/>
  <c r="BV19" i="39"/>
  <c r="BX19" i="39" s="1"/>
  <c r="BO19" i="39"/>
  <c r="BQ19" i="39" s="1"/>
  <c r="AG18" i="14"/>
  <c r="K72" i="11"/>
  <c r="L71" i="11"/>
  <c r="X76" i="11"/>
  <c r="X77" i="11" s="1"/>
  <c r="V88" i="11" s="1"/>
  <c r="V96" i="11" s="1"/>
  <c r="Y75" i="11"/>
  <c r="AA30" i="40"/>
  <c r="AB30" i="40" s="1"/>
  <c r="O59" i="73" s="1"/>
  <c r="R27" i="8"/>
  <c r="P9" i="41"/>
  <c r="E48" i="41" s="1"/>
  <c r="P27" i="8"/>
  <c r="M56" i="8"/>
  <c r="O56" i="8" s="1"/>
  <c r="O21" i="41"/>
  <c r="L49" i="41" s="1"/>
  <c r="M55" i="8"/>
  <c r="O55" i="8" s="1"/>
  <c r="O20" i="41"/>
  <c r="L48" i="41" s="1"/>
  <c r="BG29" i="40"/>
  <c r="BH29" i="40" s="1"/>
  <c r="N67" i="73" s="1"/>
  <c r="O27" i="8"/>
  <c r="Z43" i="11"/>
  <c r="Z47" i="11" s="1"/>
  <c r="BN17" i="14"/>
  <c r="EB18" i="39"/>
  <c r="ED18" i="39" s="1"/>
  <c r="EJ20" i="39"/>
  <c r="M32" i="11"/>
  <c r="M36" i="11" s="1"/>
  <c r="EI18" i="39"/>
  <c r="EK18" i="39" s="1"/>
  <c r="BN30" i="40" s="1"/>
  <c r="BR17" i="14"/>
  <c r="Y46" i="11"/>
  <c r="Y48" i="11" s="1"/>
  <c r="Y50" i="11" s="1"/>
  <c r="Y74" i="11" s="1"/>
  <c r="AX17" i="14"/>
  <c r="AA42" i="11"/>
  <c r="G19" i="14"/>
  <c r="N31" i="11"/>
  <c r="P28" i="8"/>
  <c r="Q28" i="8" s="1"/>
  <c r="AO28" i="8" s="1"/>
  <c r="BW20" i="39"/>
  <c r="L27" i="8"/>
  <c r="AN27" i="8" s="1"/>
  <c r="EC20" i="39"/>
  <c r="AM55" i="8"/>
  <c r="BI31" i="40"/>
  <c r="U31" i="40"/>
  <c r="T30" i="40"/>
  <c r="U26" i="8" s="1"/>
  <c r="V90" i="17" l="1"/>
  <c r="W90" i="17" s="1"/>
  <c r="X90" i="17" s="1"/>
  <c r="V91" i="17"/>
  <c r="W91" i="17" s="1"/>
  <c r="X91" i="17" s="1"/>
  <c r="V95" i="17"/>
  <c r="W95" i="17" s="1"/>
  <c r="X95" i="17" s="1"/>
  <c r="F90" i="11"/>
  <c r="W92" i="28"/>
  <c r="X92" i="28" s="1"/>
  <c r="V88" i="17"/>
  <c r="W88" i="17" s="1"/>
  <c r="X88" i="17" s="1"/>
  <c r="V92" i="17"/>
  <c r="W92" i="17" s="1"/>
  <c r="X92" i="17" s="1"/>
  <c r="Y92" i="17" s="1"/>
  <c r="I93" i="2"/>
  <c r="D93" i="28" s="1"/>
  <c r="V93" i="17"/>
  <c r="W93" i="17" s="1"/>
  <c r="X93" i="17" s="1"/>
  <c r="Y93" i="17" s="1"/>
  <c r="W96" i="28"/>
  <c r="X96" i="28" s="1"/>
  <c r="V94" i="17"/>
  <c r="W94" i="17" s="1"/>
  <c r="X94" i="17" s="1"/>
  <c r="Y94" i="17" s="1"/>
  <c r="V96" i="17"/>
  <c r="W96" i="17" s="1"/>
  <c r="X96" i="17" s="1"/>
  <c r="Y96" i="17" s="1"/>
  <c r="I94" i="2"/>
  <c r="D94" i="28" s="1"/>
  <c r="AT105" i="14"/>
  <c r="AT106" i="14" s="1"/>
  <c r="AC20" i="11"/>
  <c r="AC21" i="11" s="1"/>
  <c r="AC25" i="11" s="1"/>
  <c r="AT61" i="14"/>
  <c r="AT62" i="14" s="1"/>
  <c r="V97" i="17"/>
  <c r="W97" i="17" s="1"/>
  <c r="X97" i="17" s="1"/>
  <c r="Y97" i="17" s="1"/>
  <c r="W89" i="28"/>
  <c r="X89" i="28" s="1"/>
  <c r="V89" i="17"/>
  <c r="W89" i="17" s="1"/>
  <c r="X89" i="17" s="1"/>
  <c r="Y89" i="17" s="1"/>
  <c r="V86" i="17"/>
  <c r="W86" i="17" s="1"/>
  <c r="X86" i="17" s="1"/>
  <c r="Y86" i="17" s="1"/>
  <c r="I86" i="2"/>
  <c r="FO86" i="2" s="1"/>
  <c r="EU110" i="3" s="1"/>
  <c r="W87" i="28"/>
  <c r="X87" i="28" s="1"/>
  <c r="V87" i="17"/>
  <c r="W87" i="17" s="1"/>
  <c r="X87" i="17" s="1"/>
  <c r="Y87" i="17" s="1"/>
  <c r="H68" i="11"/>
  <c r="H69" i="11" s="1"/>
  <c r="H103" i="11" s="1"/>
  <c r="F22" i="60"/>
  <c r="P11" i="60"/>
  <c r="P12" i="60"/>
  <c r="D28" i="60"/>
  <c r="D27" i="60"/>
  <c r="N23" i="60"/>
  <c r="O11" i="60"/>
  <c r="Y12" i="60"/>
  <c r="O10" i="60"/>
  <c r="Y11" i="60"/>
  <c r="P28" i="60"/>
  <c r="P27" i="60"/>
  <c r="Q22" i="60"/>
  <c r="R22" i="60"/>
  <c r="DL10" i="39"/>
  <c r="G18" i="73" s="1"/>
  <c r="AQ22" i="40"/>
  <c r="AR22" i="40" s="1"/>
  <c r="AV22" i="40" s="1"/>
  <c r="G65" i="73" s="1"/>
  <c r="DL12" i="39"/>
  <c r="I18" i="73" s="1"/>
  <c r="AQ24" i="40"/>
  <c r="AR24" i="40" s="1"/>
  <c r="AV24" i="40" s="1"/>
  <c r="I65" i="73" s="1"/>
  <c r="AN9" i="39"/>
  <c r="F6" i="73" s="1"/>
  <c r="C21" i="40"/>
  <c r="D21" i="40" s="1"/>
  <c r="H21" i="40" s="1"/>
  <c r="F56" i="73" s="1"/>
  <c r="AN10" i="39"/>
  <c r="G6" i="73" s="1"/>
  <c r="C22" i="40"/>
  <c r="D22" i="40" s="1"/>
  <c r="H22" i="40" s="1"/>
  <c r="G56" i="73" s="1"/>
  <c r="AN12" i="39"/>
  <c r="I6" i="73" s="1"/>
  <c r="C24" i="40"/>
  <c r="D24" i="40" s="1"/>
  <c r="H24" i="40" s="1"/>
  <c r="I56" i="73" s="1"/>
  <c r="AS14" i="27"/>
  <c r="C10" i="60"/>
  <c r="K160" i="44"/>
  <c r="K177" i="44"/>
  <c r="K197" i="44" s="1"/>
  <c r="M25" i="40"/>
  <c r="M123" i="44"/>
  <c r="R8" i="41"/>
  <c r="G47" i="41" s="1"/>
  <c r="Q8" i="73"/>
  <c r="G47" i="73" s="1"/>
  <c r="G62" i="14"/>
  <c r="AK94" i="14"/>
  <c r="BN60" i="14"/>
  <c r="G84" i="14"/>
  <c r="BR82" i="14"/>
  <c r="AX60" i="14"/>
  <c r="BN71" i="14"/>
  <c r="G106" i="14"/>
  <c r="BN82" i="14"/>
  <c r="G95" i="14"/>
  <c r="BR60" i="14"/>
  <c r="AK60" i="14"/>
  <c r="AL59" i="14"/>
  <c r="AG83" i="14"/>
  <c r="AG60" i="14"/>
  <c r="AH59" i="14"/>
  <c r="AG94" i="14"/>
  <c r="G73" i="14"/>
  <c r="BR71" i="14"/>
  <c r="AX82" i="14"/>
  <c r="AX71" i="14"/>
  <c r="AK71" i="14"/>
  <c r="AL70" i="14"/>
  <c r="AU82" i="14"/>
  <c r="AT72" i="14"/>
  <c r="AU71" i="14"/>
  <c r="AT94" i="14"/>
  <c r="AT83" i="14"/>
  <c r="DH13" i="39"/>
  <c r="DM13" i="39" s="1"/>
  <c r="O8" i="44"/>
  <c r="N10" i="60"/>
  <c r="AJ13" i="39"/>
  <c r="AL13" i="39" s="1"/>
  <c r="BN15" i="27"/>
  <c r="I26" i="11"/>
  <c r="I28" i="11" s="1"/>
  <c r="I66" i="11" s="1"/>
  <c r="J67" i="11" s="1"/>
  <c r="DM12" i="39"/>
  <c r="V26" i="8"/>
  <c r="AP26" i="8" s="1"/>
  <c r="E75" i="41" s="1"/>
  <c r="DJ11" i="39"/>
  <c r="AL11" i="39"/>
  <c r="AO12" i="39"/>
  <c r="H16" i="73"/>
  <c r="H3" i="73"/>
  <c r="G16" i="73"/>
  <c r="H17" i="73"/>
  <c r="G17" i="73"/>
  <c r="G5" i="73"/>
  <c r="H5" i="73"/>
  <c r="I5" i="73"/>
  <c r="H47" i="73"/>
  <c r="O21" i="73"/>
  <c r="M49" i="73" s="1"/>
  <c r="O20" i="73"/>
  <c r="M48" i="73" s="1"/>
  <c r="P9" i="73"/>
  <c r="F48" i="73" s="1"/>
  <c r="P10" i="73"/>
  <c r="F49" i="73" s="1"/>
  <c r="N8" i="73"/>
  <c r="D47" i="73" s="1"/>
  <c r="E47" i="73"/>
  <c r="N11" i="40"/>
  <c r="N12" i="40"/>
  <c r="N10" i="40"/>
  <c r="BH19" i="14"/>
  <c r="BH117" i="14" s="1"/>
  <c r="BH118" i="14" s="1"/>
  <c r="BH119" i="14" s="1"/>
  <c r="BH120" i="14" s="1"/>
  <c r="BH121" i="14" s="1"/>
  <c r="BH122" i="14" s="1"/>
  <c r="BH123" i="14" s="1"/>
  <c r="BH124" i="14" s="1"/>
  <c r="BH125" i="14" s="1"/>
  <c r="BH126" i="14" s="1"/>
  <c r="BH127" i="14" s="1"/>
  <c r="BH128" i="14" s="1"/>
  <c r="BH105" i="14"/>
  <c r="BH106" i="14" s="1"/>
  <c r="BH107" i="14" s="1"/>
  <c r="BH108" i="14" s="1"/>
  <c r="BH109" i="14" s="1"/>
  <c r="BH110" i="14" s="1"/>
  <c r="BH111" i="14" s="1"/>
  <c r="BH112" i="14" s="1"/>
  <c r="BH113" i="14" s="1"/>
  <c r="BH114" i="14" s="1"/>
  <c r="BH115" i="14" s="1"/>
  <c r="BH116" i="14" s="1"/>
  <c r="BR93" i="14"/>
  <c r="BN93" i="14"/>
  <c r="O67" i="41"/>
  <c r="O8" i="41"/>
  <c r="D47" i="41" s="1"/>
  <c r="AX93" i="14"/>
  <c r="M26" i="8"/>
  <c r="O26" i="8" s="1"/>
  <c r="Q26" i="8" s="1"/>
  <c r="AO26" i="8" s="1"/>
  <c r="AG71" i="14"/>
  <c r="AH70" i="14"/>
  <c r="AG105" i="14"/>
  <c r="P59" i="41"/>
  <c r="C76" i="41"/>
  <c r="C85" i="41" s="1"/>
  <c r="M16" i="44" s="1"/>
  <c r="C76" i="73"/>
  <c r="C85" i="73" s="1"/>
  <c r="G117" i="14"/>
  <c r="N9" i="40"/>
  <c r="AK82" i="14"/>
  <c r="D77" i="41"/>
  <c r="D86" i="41" s="1"/>
  <c r="D77" i="73"/>
  <c r="D86" i="73" s="1"/>
  <c r="AK105" i="14"/>
  <c r="C77" i="41"/>
  <c r="C86" i="41" s="1"/>
  <c r="C77" i="73"/>
  <c r="C86" i="73" s="1"/>
  <c r="P60" i="41"/>
  <c r="C75" i="41"/>
  <c r="C75" i="73"/>
  <c r="L136" i="44"/>
  <c r="P8" i="44"/>
  <c r="R8" i="44"/>
  <c r="I76" i="11"/>
  <c r="I77" i="11" s="1"/>
  <c r="G88" i="11" s="1"/>
  <c r="G96" i="11" s="1"/>
  <c r="AT117" i="14"/>
  <c r="AJ14" i="39"/>
  <c r="P135" i="44"/>
  <c r="L124" i="44"/>
  <c r="O135" i="44"/>
  <c r="L125" i="44"/>
  <c r="J24" i="11"/>
  <c r="BM103" i="2"/>
  <c r="BM104" i="2"/>
  <c r="BM105" i="2"/>
  <c r="BM106" i="2"/>
  <c r="BM107" i="2"/>
  <c r="BM108" i="2"/>
  <c r="BM109" i="2"/>
  <c r="BM98" i="2"/>
  <c r="BM99" i="2"/>
  <c r="BM102" i="2"/>
  <c r="BM100" i="2"/>
  <c r="BM101" i="2"/>
  <c r="BG103" i="2"/>
  <c r="BG104" i="2"/>
  <c r="BG105" i="2"/>
  <c r="BG106" i="2"/>
  <c r="BG107" i="2"/>
  <c r="BG108" i="2"/>
  <c r="BG109" i="2"/>
  <c r="V109" i="23" s="1"/>
  <c r="W109" i="23" s="1"/>
  <c r="X109" i="23" s="1"/>
  <c r="Y109" i="23" s="1"/>
  <c r="BG98" i="2"/>
  <c r="BG102" i="2"/>
  <c r="BG99" i="2"/>
  <c r="BG100" i="2"/>
  <c r="BG101" i="2"/>
  <c r="BG87" i="2"/>
  <c r="BG86" i="2"/>
  <c r="BG88" i="2"/>
  <c r="BG89" i="2"/>
  <c r="BG90" i="2"/>
  <c r="BG91" i="2"/>
  <c r="BG92" i="2"/>
  <c r="BG93" i="2"/>
  <c r="BG94" i="2"/>
  <c r="BG95" i="2"/>
  <c r="BG96" i="2"/>
  <c r="BG97" i="2"/>
  <c r="DH14" i="39"/>
  <c r="T128" i="29"/>
  <c r="U98" i="25"/>
  <c r="BE81" i="14"/>
  <c r="BE59" i="14"/>
  <c r="BE70" i="14"/>
  <c r="BB19" i="14"/>
  <c r="AD61" i="14"/>
  <c r="AD117" i="14"/>
  <c r="AD95" i="14"/>
  <c r="AD106" i="14"/>
  <c r="AD72" i="14"/>
  <c r="AD84" i="14"/>
  <c r="Y106" i="11"/>
  <c r="S129" i="36" s="1"/>
  <c r="W89" i="11"/>
  <c r="Y77" i="17"/>
  <c r="D79" i="28"/>
  <c r="FO76" i="2"/>
  <c r="EU100" i="3" s="1"/>
  <c r="D82" i="28"/>
  <c r="D78" i="28"/>
  <c r="FO88" i="2"/>
  <c r="EU112" i="3" s="1"/>
  <c r="FO90" i="2"/>
  <c r="EU114" i="3" s="1"/>
  <c r="D84" i="28"/>
  <c r="V96" i="29"/>
  <c r="V91" i="29"/>
  <c r="V97" i="29"/>
  <c r="V92" i="29"/>
  <c r="V93" i="29"/>
  <c r="V94" i="29"/>
  <c r="V87" i="29"/>
  <c r="V89" i="29"/>
  <c r="V90" i="29"/>
  <c r="V95" i="29"/>
  <c r="V88" i="29"/>
  <c r="V86" i="29"/>
  <c r="X86" i="28"/>
  <c r="X97" i="28"/>
  <c r="X88" i="28"/>
  <c r="X90" i="28"/>
  <c r="X91" i="28"/>
  <c r="X93" i="28"/>
  <c r="X95" i="28"/>
  <c r="X94" i="28"/>
  <c r="CX12" i="39"/>
  <c r="CZ12" i="39" s="1"/>
  <c r="DB12" i="39" s="1"/>
  <c r="CN12" i="39"/>
  <c r="CP12" i="39" s="1"/>
  <c r="CR12" i="39" s="1"/>
  <c r="V95" i="35"/>
  <c r="V97" i="35"/>
  <c r="V92" i="35"/>
  <c r="V94" i="35"/>
  <c r="V93" i="35"/>
  <c r="V91" i="35"/>
  <c r="V87" i="35"/>
  <c r="V96" i="35"/>
  <c r="V89" i="35"/>
  <c r="V86" i="35"/>
  <c r="V90" i="35"/>
  <c r="V88" i="35"/>
  <c r="T92" i="30"/>
  <c r="T93" i="30"/>
  <c r="T88" i="30"/>
  <c r="T89" i="30"/>
  <c r="T91" i="30"/>
  <c r="T97" i="30"/>
  <c r="T86" i="30"/>
  <c r="T95" i="30"/>
  <c r="T94" i="30"/>
  <c r="T96" i="30"/>
  <c r="T90" i="30"/>
  <c r="T87" i="30"/>
  <c r="U101" i="29"/>
  <c r="U99" i="29"/>
  <c r="U106" i="29"/>
  <c r="U98" i="29"/>
  <c r="U102" i="29"/>
  <c r="U100" i="29"/>
  <c r="U109" i="29"/>
  <c r="U105" i="29"/>
  <c r="U104" i="29"/>
  <c r="U108" i="29"/>
  <c r="U107" i="29"/>
  <c r="U103" i="29"/>
  <c r="F12" i="39"/>
  <c r="H12" i="39" s="1"/>
  <c r="J12" i="39" s="1"/>
  <c r="D51" i="12"/>
  <c r="V86" i="24"/>
  <c r="W86" i="24" s="1"/>
  <c r="AZ12" i="27"/>
  <c r="BA12" i="27" s="1"/>
  <c r="P12" i="27"/>
  <c r="J11" i="27"/>
  <c r="J12" i="27"/>
  <c r="D11" i="27"/>
  <c r="T97" i="18"/>
  <c r="T96" i="18"/>
  <c r="T93" i="18"/>
  <c r="T94" i="18"/>
  <c r="T92" i="18"/>
  <c r="T91" i="18"/>
  <c r="T86" i="18"/>
  <c r="O12" i="27"/>
  <c r="T88" i="18"/>
  <c r="T89" i="18"/>
  <c r="T95" i="18"/>
  <c r="T90" i="18"/>
  <c r="T87" i="18"/>
  <c r="D95" i="28"/>
  <c r="D74" i="28"/>
  <c r="V96" i="19"/>
  <c r="W96" i="19" s="1"/>
  <c r="V93" i="19"/>
  <c r="W93" i="19" s="1"/>
  <c r="FO77" i="2"/>
  <c r="EU101" i="3" s="1"/>
  <c r="V76" i="19"/>
  <c r="W76" i="19" s="1"/>
  <c r="V84" i="19"/>
  <c r="W84" i="19" s="1"/>
  <c r="V85" i="19"/>
  <c r="W85" i="19" s="1"/>
  <c r="D77" i="28"/>
  <c r="D89" i="28"/>
  <c r="V74" i="19"/>
  <c r="W74" i="19" s="1"/>
  <c r="V88" i="19"/>
  <c r="W88" i="19" s="1"/>
  <c r="V92" i="19"/>
  <c r="W92" i="19" s="1"/>
  <c r="V86" i="19"/>
  <c r="W86" i="19" s="1"/>
  <c r="V75" i="19"/>
  <c r="W75" i="19" s="1"/>
  <c r="V80" i="19"/>
  <c r="W80" i="19" s="1"/>
  <c r="V83" i="19"/>
  <c r="W83" i="19" s="1"/>
  <c r="V78" i="19"/>
  <c r="W78" i="19" s="1"/>
  <c r="V91" i="19"/>
  <c r="W91" i="19" s="1"/>
  <c r="V94" i="19"/>
  <c r="W94" i="19" s="1"/>
  <c r="V87" i="19"/>
  <c r="W87" i="19" s="1"/>
  <c r="V81" i="19"/>
  <c r="W81" i="19" s="1"/>
  <c r="V77" i="19"/>
  <c r="W77" i="19" s="1"/>
  <c r="V89" i="19"/>
  <c r="W89" i="19" s="1"/>
  <c r="V97" i="19"/>
  <c r="W97" i="19" s="1"/>
  <c r="V90" i="19"/>
  <c r="W90" i="19" s="1"/>
  <c r="V95" i="19"/>
  <c r="W95" i="19" s="1"/>
  <c r="V82" i="19"/>
  <c r="W82" i="19" s="1"/>
  <c r="V79" i="19"/>
  <c r="W79" i="19" s="1"/>
  <c r="FO89" i="2"/>
  <c r="EU113" i="3" s="1"/>
  <c r="FO85" i="2"/>
  <c r="EU109" i="3" s="1"/>
  <c r="D88" i="28"/>
  <c r="Y95" i="17"/>
  <c r="I11" i="27"/>
  <c r="D83" i="28"/>
  <c r="Y83" i="17"/>
  <c r="FO83" i="2"/>
  <c r="EU107" i="3" s="1"/>
  <c r="O101" i="2"/>
  <c r="T101" i="19"/>
  <c r="U101" i="19" s="1"/>
  <c r="O99" i="2"/>
  <c r="T99" i="19"/>
  <c r="U99" i="19" s="1"/>
  <c r="O106" i="2"/>
  <c r="T106" i="19"/>
  <c r="U106" i="19" s="1"/>
  <c r="O98" i="2"/>
  <c r="T98" i="19"/>
  <c r="U98" i="19" s="1"/>
  <c r="O102" i="2"/>
  <c r="T102" i="19"/>
  <c r="U102" i="19" s="1"/>
  <c r="O100" i="2"/>
  <c r="T100" i="19"/>
  <c r="U100" i="19" s="1"/>
  <c r="I12" i="27"/>
  <c r="O109" i="2"/>
  <c r="T109" i="19"/>
  <c r="U109" i="19" s="1"/>
  <c r="O105" i="2"/>
  <c r="T105" i="19"/>
  <c r="U105" i="19" s="1"/>
  <c r="O104" i="2"/>
  <c r="T104" i="19"/>
  <c r="U104" i="19" s="1"/>
  <c r="O108" i="2"/>
  <c r="T108" i="19"/>
  <c r="U108" i="19" s="1"/>
  <c r="O107" i="2"/>
  <c r="T107" i="19"/>
  <c r="U107" i="19" s="1"/>
  <c r="D97" i="28"/>
  <c r="O103" i="2"/>
  <c r="T103" i="19"/>
  <c r="U103" i="19" s="1"/>
  <c r="FO81" i="2"/>
  <c r="EU105" i="3" s="1"/>
  <c r="Y85" i="17"/>
  <c r="FO79" i="2"/>
  <c r="EU103" i="3" s="1"/>
  <c r="Y80" i="17"/>
  <c r="D90" i="28"/>
  <c r="Y90" i="17"/>
  <c r="FO74" i="2"/>
  <c r="EU98" i="3" s="1"/>
  <c r="Y74" i="17"/>
  <c r="D91" i="28"/>
  <c r="D87" i="28"/>
  <c r="Y84" i="17"/>
  <c r="FO91" i="2"/>
  <c r="EU115" i="3" s="1"/>
  <c r="Y79" i="17"/>
  <c r="D76" i="28"/>
  <c r="FO87" i="2"/>
  <c r="EU111" i="3" s="1"/>
  <c r="FO78" i="2"/>
  <c r="EU102" i="3" s="1"/>
  <c r="Y75" i="17"/>
  <c r="Y78" i="17"/>
  <c r="D85" i="28"/>
  <c r="Y76" i="17"/>
  <c r="D75" i="28"/>
  <c r="FO82" i="2"/>
  <c r="EU106" i="3" s="1"/>
  <c r="C10" i="27"/>
  <c r="E12" i="39"/>
  <c r="D81" i="28"/>
  <c r="FO84" i="2"/>
  <c r="EU108" i="3" s="1"/>
  <c r="FO92" i="2"/>
  <c r="EU116" i="3" s="1"/>
  <c r="D92" i="28"/>
  <c r="Y91" i="17"/>
  <c r="Y82" i="17"/>
  <c r="FO75" i="2"/>
  <c r="EU99" i="3" s="1"/>
  <c r="D80" i="28"/>
  <c r="Y88" i="17"/>
  <c r="FO95" i="2"/>
  <c r="EU119" i="3" s="1"/>
  <c r="FO80" i="2"/>
  <c r="EU104" i="3" s="1"/>
  <c r="D96" i="28"/>
  <c r="Y81" i="17"/>
  <c r="FO97" i="2"/>
  <c r="EU121" i="3" s="1"/>
  <c r="FO96" i="2"/>
  <c r="EU120" i="3" s="1"/>
  <c r="X105" i="11"/>
  <c r="U94" i="11"/>
  <c r="X69" i="11"/>
  <c r="Y67" i="11"/>
  <c r="Y24" i="11"/>
  <c r="Y26" i="11" s="1"/>
  <c r="Y28" i="11" s="1"/>
  <c r="Y66" i="11" s="1"/>
  <c r="Y68" i="11" s="1"/>
  <c r="AA20" i="11"/>
  <c r="AB21" i="11" s="1"/>
  <c r="Z21" i="11"/>
  <c r="Z25" i="11" s="1"/>
  <c r="F96" i="11"/>
  <c r="D13" i="12" s="1"/>
  <c r="D27" i="12" s="1"/>
  <c r="D25" i="12"/>
  <c r="H105" i="11"/>
  <c r="L20" i="11"/>
  <c r="M21" i="11" s="1"/>
  <c r="K21" i="11"/>
  <c r="K25" i="11" s="1"/>
  <c r="AB53" i="11"/>
  <c r="AA79" i="11"/>
  <c r="Z80" i="11"/>
  <c r="Z81" i="11" s="1"/>
  <c r="AA54" i="11"/>
  <c r="AA57" i="11" s="1"/>
  <c r="AA59" i="11" s="1"/>
  <c r="AA61" i="11" s="1"/>
  <c r="AA78" i="11" s="1"/>
  <c r="K71" i="11"/>
  <c r="K73" i="11" s="1"/>
  <c r="I87" i="11" s="1"/>
  <c r="J72" i="11"/>
  <c r="I72" i="11"/>
  <c r="I73" i="11" s="1"/>
  <c r="G87" i="11" s="1"/>
  <c r="J71" i="11"/>
  <c r="M124" i="44"/>
  <c r="M125" i="44"/>
  <c r="AH57" i="5"/>
  <c r="AH30" i="5"/>
  <c r="DI20" i="39" s="1"/>
  <c r="AG30" i="5"/>
  <c r="CY20" i="39" s="1"/>
  <c r="AG57" i="5"/>
  <c r="AF29" i="5"/>
  <c r="CO19" i="39" s="1"/>
  <c r="AF56" i="5"/>
  <c r="AI29" i="5"/>
  <c r="DT19" i="39" s="1"/>
  <c r="AI56" i="5"/>
  <c r="C129" i="29"/>
  <c r="A130" i="29"/>
  <c r="B129" i="29"/>
  <c r="N74" i="44"/>
  <c r="O25" i="44"/>
  <c r="O26" i="44"/>
  <c r="N75" i="44"/>
  <c r="G27" i="8"/>
  <c r="BS82" i="14"/>
  <c r="BS71" i="14"/>
  <c r="BS60" i="14"/>
  <c r="BO60" i="14"/>
  <c r="BO71" i="14"/>
  <c r="BO82" i="14"/>
  <c r="AY71" i="14"/>
  <c r="BC59" i="14"/>
  <c r="AY82" i="14"/>
  <c r="BC70" i="14"/>
  <c r="P55" i="8"/>
  <c r="Q55" i="8" s="1"/>
  <c r="AL94" i="14"/>
  <c r="H95" i="14"/>
  <c r="H73" i="14"/>
  <c r="H106" i="14"/>
  <c r="H62" i="14"/>
  <c r="AH83" i="14"/>
  <c r="H84" i="14"/>
  <c r="AH94" i="14"/>
  <c r="K130" i="44"/>
  <c r="K132" i="44"/>
  <c r="N61" i="44"/>
  <c r="N62" i="44"/>
  <c r="Q20" i="44"/>
  <c r="O10" i="44"/>
  <c r="AB73" i="14"/>
  <c r="AB61" i="14"/>
  <c r="AB84" i="14"/>
  <c r="AB106" i="14"/>
  <c r="AB95" i="14"/>
  <c r="M71" i="11"/>
  <c r="L72" i="11"/>
  <c r="L73" i="11" s="1"/>
  <c r="J87" i="11" s="1"/>
  <c r="Z46" i="11"/>
  <c r="Z48" i="11" s="1"/>
  <c r="Z50" i="11" s="1"/>
  <c r="Z74" i="11" s="1"/>
  <c r="Z76" i="11" s="1"/>
  <c r="BW21" i="39"/>
  <c r="Q10" i="41"/>
  <c r="F49" i="41" s="1"/>
  <c r="W28" i="8"/>
  <c r="Y28" i="8" s="1"/>
  <c r="AH31" i="40"/>
  <c r="AI31" i="40" s="1"/>
  <c r="P60" i="73" s="1"/>
  <c r="M35" i="11"/>
  <c r="M37" i="11" s="1"/>
  <c r="M39" i="11" s="1"/>
  <c r="M70" i="11" s="1"/>
  <c r="AD20" i="11"/>
  <c r="U28" i="8"/>
  <c r="V28" i="8" s="1"/>
  <c r="AP28" i="8" s="1"/>
  <c r="AG19" i="14"/>
  <c r="BO20" i="39"/>
  <c r="BQ20" i="39" s="1"/>
  <c r="AA31" i="40"/>
  <c r="AB31" i="40" s="1"/>
  <c r="P59" i="73" s="1"/>
  <c r="W27" i="8"/>
  <c r="Q9" i="41"/>
  <c r="F48" i="41" s="1"/>
  <c r="AX18" i="14"/>
  <c r="AB42" i="11"/>
  <c r="EC21" i="39"/>
  <c r="Z75" i="11"/>
  <c r="Y76" i="11"/>
  <c r="Y77" i="11" s="1"/>
  <c r="W88" i="11" s="1"/>
  <c r="R56" i="8"/>
  <c r="T56" i="8" s="1"/>
  <c r="P21" i="41"/>
  <c r="M49" i="41" s="1"/>
  <c r="EJ21" i="39"/>
  <c r="AA43" i="11"/>
  <c r="AA47" i="11" s="1"/>
  <c r="BR18" i="14"/>
  <c r="EI19" i="39"/>
  <c r="EK19" i="39" s="1"/>
  <c r="BN31" i="40" s="1"/>
  <c r="Q27" i="8"/>
  <c r="AO27" i="8" s="1"/>
  <c r="O9" i="44"/>
  <c r="T27" i="8"/>
  <c r="N32" i="11"/>
  <c r="N36" i="11" s="1"/>
  <c r="R55" i="8"/>
  <c r="T55" i="8" s="1"/>
  <c r="P20" i="41"/>
  <c r="M48" i="41" s="1"/>
  <c r="BG30" i="40"/>
  <c r="BH30" i="40" s="1"/>
  <c r="O67" i="73" s="1"/>
  <c r="U27" i="8"/>
  <c r="O31" i="11"/>
  <c r="BN18" i="14"/>
  <c r="EB19" i="39"/>
  <c r="ED19" i="39" s="1"/>
  <c r="AK19" i="14"/>
  <c r="BV20" i="39"/>
  <c r="BX20" i="39" s="1"/>
  <c r="AN55" i="8"/>
  <c r="K76" i="73" s="1"/>
  <c r="K85" i="73" s="1"/>
  <c r="BI32" i="40"/>
  <c r="T31" i="40"/>
  <c r="Z26" i="8" s="1"/>
  <c r="AA26" i="8" s="1"/>
  <c r="AQ26" i="8" s="1"/>
  <c r="U32" i="40"/>
  <c r="FO94" i="2" l="1"/>
  <c r="EU118" i="3" s="1"/>
  <c r="D86" i="28"/>
  <c r="AU61" i="14"/>
  <c r="FO93" i="2"/>
  <c r="EU117" i="3" s="1"/>
  <c r="E13" i="39"/>
  <c r="D12" i="27"/>
  <c r="H103" i="2"/>
  <c r="V103" i="17" s="1"/>
  <c r="H102" i="2"/>
  <c r="V102" i="17" s="1"/>
  <c r="H101" i="2"/>
  <c r="I101" i="2" s="1"/>
  <c r="H100" i="2"/>
  <c r="V100" i="17" s="1"/>
  <c r="W100" i="17" s="1"/>
  <c r="X100" i="17" s="1"/>
  <c r="Y100" i="17" s="1"/>
  <c r="H99" i="2"/>
  <c r="V99" i="17" s="1"/>
  <c r="W99" i="17" s="1"/>
  <c r="X99" i="17" s="1"/>
  <c r="H109" i="2"/>
  <c r="W109" i="28" s="1"/>
  <c r="X109" i="28" s="1"/>
  <c r="H108" i="2"/>
  <c r="W108" i="28" s="1"/>
  <c r="X108" i="28" s="1"/>
  <c r="H107" i="2"/>
  <c r="W107" i="28" s="1"/>
  <c r="X107" i="28" s="1"/>
  <c r="H106" i="2"/>
  <c r="W106" i="28" s="1"/>
  <c r="X106" i="28" s="1"/>
  <c r="H105" i="2"/>
  <c r="W105" i="28" s="1"/>
  <c r="H98" i="2"/>
  <c r="W98" i="28" s="1"/>
  <c r="H104" i="2"/>
  <c r="I104" i="2" s="1"/>
  <c r="AY60" i="14"/>
  <c r="E12" i="60"/>
  <c r="E11" i="60"/>
  <c r="D23" i="60"/>
  <c r="E10" i="60"/>
  <c r="Q11" i="60"/>
  <c r="Q12" i="60"/>
  <c r="Z12" i="60"/>
  <c r="Q10" i="60"/>
  <c r="D12" i="60"/>
  <c r="Z11" i="60"/>
  <c r="G22" i="60"/>
  <c r="D11" i="60"/>
  <c r="C19" i="60"/>
  <c r="H22" i="60"/>
  <c r="C17" i="60"/>
  <c r="T10" i="60"/>
  <c r="Z28" i="60"/>
  <c r="Z27" i="60"/>
  <c r="Q28" i="60"/>
  <c r="Q27" i="60"/>
  <c r="S22" i="60"/>
  <c r="R10" i="60"/>
  <c r="O18" i="60"/>
  <c r="L25" i="40"/>
  <c r="P25" i="40" s="1"/>
  <c r="J57" i="73" s="1"/>
  <c r="M24" i="40"/>
  <c r="DL11" i="39"/>
  <c r="H18" i="73" s="1"/>
  <c r="AQ23" i="40"/>
  <c r="AR23" i="40" s="1"/>
  <c r="AV23" i="40" s="1"/>
  <c r="H65" i="73" s="1"/>
  <c r="AN11" i="39"/>
  <c r="H6" i="73" s="1"/>
  <c r="C23" i="40"/>
  <c r="D23" i="40" s="1"/>
  <c r="H23" i="40" s="1"/>
  <c r="H56" i="73" s="1"/>
  <c r="K167" i="44"/>
  <c r="K165" i="44"/>
  <c r="L161" i="44"/>
  <c r="O123" i="44"/>
  <c r="Q8" i="44"/>
  <c r="N30" i="40"/>
  <c r="N33" i="40"/>
  <c r="N29" i="40"/>
  <c r="N26" i="40"/>
  <c r="N32" i="40"/>
  <c r="N27" i="40"/>
  <c r="N28" i="40"/>
  <c r="N31" i="40"/>
  <c r="N25" i="40"/>
  <c r="BR72" i="14"/>
  <c r="AX61" i="14"/>
  <c r="AG61" i="14"/>
  <c r="AH60" i="14"/>
  <c r="G96" i="14"/>
  <c r="AX94" i="14"/>
  <c r="AG84" i="14"/>
  <c r="BR83" i="14"/>
  <c r="BN83" i="14"/>
  <c r="BN94" i="14"/>
  <c r="G85" i="14"/>
  <c r="BR94" i="14"/>
  <c r="AK72" i="14"/>
  <c r="AL71" i="14"/>
  <c r="AK61" i="14"/>
  <c r="AL60" i="14"/>
  <c r="G107" i="14"/>
  <c r="G118" i="14"/>
  <c r="H118" i="14" s="1"/>
  <c r="G74" i="14"/>
  <c r="BN61" i="14"/>
  <c r="AX72" i="14"/>
  <c r="AX83" i="14"/>
  <c r="AK95" i="14"/>
  <c r="AG106" i="14"/>
  <c r="BN72" i="14"/>
  <c r="AG95" i="14"/>
  <c r="BR61" i="14"/>
  <c r="AK106" i="14"/>
  <c r="G63" i="14"/>
  <c r="AU62" i="14"/>
  <c r="AT107" i="14"/>
  <c r="AT95" i="14"/>
  <c r="AT84" i="14"/>
  <c r="AU83" i="14"/>
  <c r="AT73" i="14"/>
  <c r="AU72" i="14"/>
  <c r="AT63" i="14"/>
  <c r="AU94" i="14"/>
  <c r="DJ13" i="39"/>
  <c r="AQ25" i="40" s="1"/>
  <c r="AR25" i="40" s="1"/>
  <c r="AV25" i="40" s="1"/>
  <c r="J65" i="73" s="1"/>
  <c r="AU106" i="14"/>
  <c r="AO13" i="39"/>
  <c r="L123" i="44"/>
  <c r="N8" i="44"/>
  <c r="AN13" i="39"/>
  <c r="J6" i="73" s="1"/>
  <c r="AT118" i="14"/>
  <c r="I15" i="27"/>
  <c r="I68" i="11"/>
  <c r="I69" i="11" s="1"/>
  <c r="G86" i="11" s="1"/>
  <c r="G94" i="11" s="1"/>
  <c r="E11" i="12" s="1"/>
  <c r="E25" i="12" s="1"/>
  <c r="BM119" i="2"/>
  <c r="BM116" i="2"/>
  <c r="BM120" i="2"/>
  <c r="BM117" i="2"/>
  <c r="BM114" i="2"/>
  <c r="BM111" i="2"/>
  <c r="BM121" i="2"/>
  <c r="BM113" i="2"/>
  <c r="BM118" i="2"/>
  <c r="BM115" i="2"/>
  <c r="BM112" i="2"/>
  <c r="BM110" i="2"/>
  <c r="M26" i="40"/>
  <c r="L26" i="40" s="1"/>
  <c r="J26" i="11"/>
  <c r="J28" i="11" s="1"/>
  <c r="J66" i="11" s="1"/>
  <c r="M161" i="44"/>
  <c r="M162" i="44"/>
  <c r="E75" i="73"/>
  <c r="R123" i="44"/>
  <c r="I3" i="73"/>
  <c r="I16" i="73"/>
  <c r="I17" i="73"/>
  <c r="D75" i="41"/>
  <c r="Q10" i="73"/>
  <c r="G49" i="73" s="1"/>
  <c r="P20" i="73"/>
  <c r="N48" i="73" s="1"/>
  <c r="P21" i="73"/>
  <c r="N49" i="73" s="1"/>
  <c r="Q9" i="73"/>
  <c r="G48" i="73" s="1"/>
  <c r="T129" i="29"/>
  <c r="BR105" i="14"/>
  <c r="BN105" i="14"/>
  <c r="AX105" i="14"/>
  <c r="P67" i="41"/>
  <c r="D75" i="73"/>
  <c r="AG117" i="14"/>
  <c r="AG72" i="14"/>
  <c r="AH71" i="14"/>
  <c r="D76" i="41"/>
  <c r="D85" i="41" s="1"/>
  <c r="N16" i="44" s="1"/>
  <c r="D76" i="73"/>
  <c r="D85" i="73" s="1"/>
  <c r="Q59" i="41"/>
  <c r="Q60" i="41"/>
  <c r="AK117" i="14"/>
  <c r="E77" i="41"/>
  <c r="E86" i="41" s="1"/>
  <c r="E77" i="73"/>
  <c r="E86" i="73" s="1"/>
  <c r="AK83" i="14"/>
  <c r="AL82" i="14"/>
  <c r="C25" i="40"/>
  <c r="D25" i="40" s="1"/>
  <c r="H25" i="40" s="1"/>
  <c r="DJ14" i="39"/>
  <c r="DM14" i="39"/>
  <c r="AL14" i="39"/>
  <c r="AO14" i="39"/>
  <c r="F75" i="41"/>
  <c r="F75" i="73"/>
  <c r="BB117" i="14"/>
  <c r="BB118" i="14" s="1"/>
  <c r="BB119" i="14" s="1"/>
  <c r="BB120" i="14" s="1"/>
  <c r="BB121" i="14" s="1"/>
  <c r="BB122" i="14" s="1"/>
  <c r="BB123" i="14" s="1"/>
  <c r="BB124" i="14" s="1"/>
  <c r="BB125" i="14" s="1"/>
  <c r="BB126" i="14" s="1"/>
  <c r="BB127" i="14" s="1"/>
  <c r="BB128" i="14" s="1"/>
  <c r="E10" i="27"/>
  <c r="P123" i="44"/>
  <c r="M17" i="44"/>
  <c r="I105" i="11"/>
  <c r="L178" i="44"/>
  <c r="L198" i="44" s="1"/>
  <c r="L179" i="44"/>
  <c r="Q135" i="44"/>
  <c r="K186" i="44"/>
  <c r="K206" i="44" s="1"/>
  <c r="K184" i="44"/>
  <c r="K204" i="44" s="1"/>
  <c r="T103" i="2"/>
  <c r="T104" i="2"/>
  <c r="T105" i="2"/>
  <c r="T106" i="2"/>
  <c r="T107" i="2"/>
  <c r="T108" i="2"/>
  <c r="T109" i="2"/>
  <c r="T101" i="2"/>
  <c r="T102" i="2"/>
  <c r="T98" i="2"/>
  <c r="T99" i="2"/>
  <c r="T100" i="2"/>
  <c r="U94" i="18"/>
  <c r="U93" i="18"/>
  <c r="U96" i="18"/>
  <c r="U97" i="18"/>
  <c r="U87" i="18"/>
  <c r="U90" i="18"/>
  <c r="U95" i="18"/>
  <c r="U89" i="18"/>
  <c r="U88" i="18"/>
  <c r="U86" i="18"/>
  <c r="U91" i="18"/>
  <c r="U92" i="18"/>
  <c r="BE93" i="14"/>
  <c r="BE71" i="14"/>
  <c r="BE60" i="14"/>
  <c r="BE82" i="14"/>
  <c r="S126" i="36"/>
  <c r="S122" i="36"/>
  <c r="S132" i="36"/>
  <c r="AD73" i="14"/>
  <c r="AD107" i="14"/>
  <c r="AD96" i="14"/>
  <c r="AD118" i="14"/>
  <c r="AD62" i="14"/>
  <c r="AD85" i="14"/>
  <c r="S125" i="36"/>
  <c r="S124" i="36"/>
  <c r="S123" i="36"/>
  <c r="S133" i="36"/>
  <c r="S131" i="36"/>
  <c r="S130" i="36"/>
  <c r="S128" i="36"/>
  <c r="S127" i="36"/>
  <c r="W97" i="11"/>
  <c r="F42" i="12" s="1"/>
  <c r="Z106" i="11"/>
  <c r="S139" i="36" s="1"/>
  <c r="X89" i="11"/>
  <c r="X97" i="11" s="1"/>
  <c r="G42" i="12" s="1"/>
  <c r="G95" i="11"/>
  <c r="E12" i="12" s="1"/>
  <c r="E26" i="12" s="1"/>
  <c r="F13" i="39"/>
  <c r="V106" i="29"/>
  <c r="V99" i="29"/>
  <c r="V101" i="29"/>
  <c r="V103" i="29"/>
  <c r="V107" i="29"/>
  <c r="V108" i="29"/>
  <c r="V104" i="29"/>
  <c r="V105" i="29"/>
  <c r="V109" i="29"/>
  <c r="V100" i="29"/>
  <c r="V102" i="29"/>
  <c r="V98" i="29"/>
  <c r="CX13" i="39"/>
  <c r="CZ13" i="39" s="1"/>
  <c r="Z13" i="39"/>
  <c r="AB13" i="39" s="1"/>
  <c r="U110" i="35"/>
  <c r="U111" i="35"/>
  <c r="U112" i="35"/>
  <c r="U113" i="35"/>
  <c r="U114" i="35"/>
  <c r="U115" i="35"/>
  <c r="U116" i="35"/>
  <c r="U117" i="35"/>
  <c r="U118" i="35"/>
  <c r="U119" i="35"/>
  <c r="U120" i="35"/>
  <c r="U121" i="35"/>
  <c r="U98" i="35"/>
  <c r="U109" i="35"/>
  <c r="U107" i="35"/>
  <c r="U99" i="35"/>
  <c r="U106" i="35"/>
  <c r="U105" i="35"/>
  <c r="U104" i="35"/>
  <c r="U108" i="35"/>
  <c r="U103" i="35"/>
  <c r="U102" i="35"/>
  <c r="U101" i="35"/>
  <c r="U100" i="35"/>
  <c r="W89" i="34"/>
  <c r="W105" i="34"/>
  <c r="W94" i="34"/>
  <c r="W108" i="34"/>
  <c r="W86" i="34"/>
  <c r="W107" i="34"/>
  <c r="W95" i="34"/>
  <c r="W99" i="34"/>
  <c r="W92" i="34"/>
  <c r="W109" i="34"/>
  <c r="W90" i="34"/>
  <c r="W104" i="34"/>
  <c r="W97" i="34"/>
  <c r="W103" i="34"/>
  <c r="W93" i="34"/>
  <c r="W96" i="34"/>
  <c r="W88" i="34"/>
  <c r="W87" i="34"/>
  <c r="W102" i="34"/>
  <c r="W100" i="34"/>
  <c r="W106" i="34"/>
  <c r="W101" i="34"/>
  <c r="W91" i="34"/>
  <c r="W98" i="34"/>
  <c r="K11" i="27"/>
  <c r="Q12" i="27"/>
  <c r="K12" i="27"/>
  <c r="J13" i="27"/>
  <c r="F98" i="11"/>
  <c r="BN102" i="2"/>
  <c r="T102" i="24"/>
  <c r="U102" i="24" s="1"/>
  <c r="V102" i="24" s="1"/>
  <c r="W102" i="24" s="1"/>
  <c r="BN101" i="2"/>
  <c r="T101" i="24"/>
  <c r="U101" i="24" s="1"/>
  <c r="V101" i="24" s="1"/>
  <c r="W101" i="24" s="1"/>
  <c r="BN100" i="2"/>
  <c r="T100" i="24"/>
  <c r="U100" i="24" s="1"/>
  <c r="V100" i="24" s="1"/>
  <c r="W100" i="24" s="1"/>
  <c r="BN98" i="2"/>
  <c r="T98" i="24"/>
  <c r="U98" i="24" s="1"/>
  <c r="BN109" i="2"/>
  <c r="T109" i="24"/>
  <c r="U109" i="24" s="1"/>
  <c r="V109" i="24" s="1"/>
  <c r="W109" i="24" s="1"/>
  <c r="BN107" i="2"/>
  <c r="T107" i="24"/>
  <c r="U107" i="24" s="1"/>
  <c r="V107" i="24" s="1"/>
  <c r="W107" i="24" s="1"/>
  <c r="BN99" i="2"/>
  <c r="T99" i="24"/>
  <c r="U99" i="24" s="1"/>
  <c r="V99" i="24" s="1"/>
  <c r="W99" i="24" s="1"/>
  <c r="BN106" i="2"/>
  <c r="T106" i="24"/>
  <c r="U106" i="24" s="1"/>
  <c r="V106" i="24" s="1"/>
  <c r="W106" i="24" s="1"/>
  <c r="BN105" i="2"/>
  <c r="T105" i="24"/>
  <c r="U105" i="24" s="1"/>
  <c r="V105" i="24" s="1"/>
  <c r="W105" i="24" s="1"/>
  <c r="BN104" i="2"/>
  <c r="T104" i="24"/>
  <c r="U104" i="24" s="1"/>
  <c r="V104" i="24" s="1"/>
  <c r="W104" i="24" s="1"/>
  <c r="BN108" i="2"/>
  <c r="T108" i="24"/>
  <c r="U108" i="24" s="1"/>
  <c r="V108" i="24" s="1"/>
  <c r="W108" i="24" s="1"/>
  <c r="BN103" i="2"/>
  <c r="T103" i="24"/>
  <c r="U103" i="24" s="1"/>
  <c r="V103" i="24" s="1"/>
  <c r="W103" i="24" s="1"/>
  <c r="BH93" i="2"/>
  <c r="V93" i="23"/>
  <c r="W93" i="23" s="1"/>
  <c r="BH96" i="2"/>
  <c r="V96" i="23"/>
  <c r="W96" i="23" s="1"/>
  <c r="BH88" i="2"/>
  <c r="V88" i="23"/>
  <c r="W88" i="23" s="1"/>
  <c r="BH87" i="2"/>
  <c r="V87" i="23"/>
  <c r="W87" i="23" s="1"/>
  <c r="BH102" i="2"/>
  <c r="V102" i="23"/>
  <c r="W102" i="23" s="1"/>
  <c r="BH100" i="2"/>
  <c r="V100" i="23"/>
  <c r="W100" i="23" s="1"/>
  <c r="BH106" i="2"/>
  <c r="V106" i="23"/>
  <c r="W106" i="23" s="1"/>
  <c r="BH101" i="2"/>
  <c r="V101" i="23"/>
  <c r="W101" i="23" s="1"/>
  <c r="BH91" i="2"/>
  <c r="V91" i="23"/>
  <c r="W91" i="23" s="1"/>
  <c r="BH98" i="2"/>
  <c r="V98" i="23"/>
  <c r="W98" i="23" s="1"/>
  <c r="BH89" i="2"/>
  <c r="V89" i="23"/>
  <c r="W89" i="23" s="1"/>
  <c r="BH105" i="2"/>
  <c r="V105" i="23"/>
  <c r="W105" i="23" s="1"/>
  <c r="BH94" i="2"/>
  <c r="V94" i="23"/>
  <c r="W94" i="23" s="1"/>
  <c r="BH108" i="2"/>
  <c r="V108" i="23"/>
  <c r="W108" i="23" s="1"/>
  <c r="BH86" i="2"/>
  <c r="V86" i="23"/>
  <c r="W86" i="23" s="1"/>
  <c r="BH107" i="2"/>
  <c r="V107" i="23"/>
  <c r="W107" i="23" s="1"/>
  <c r="BH95" i="2"/>
  <c r="V95" i="23"/>
  <c r="W95" i="23" s="1"/>
  <c r="BH99" i="2"/>
  <c r="V99" i="23"/>
  <c r="W99" i="23" s="1"/>
  <c r="BH92" i="2"/>
  <c r="V92" i="23"/>
  <c r="W92" i="23" s="1"/>
  <c r="BH109" i="2"/>
  <c r="BH90" i="2"/>
  <c r="V90" i="23"/>
  <c r="W90" i="23" s="1"/>
  <c r="BH104" i="2"/>
  <c r="V104" i="23"/>
  <c r="W104" i="23" s="1"/>
  <c r="BH97" i="2"/>
  <c r="V97" i="23"/>
  <c r="W97" i="23" s="1"/>
  <c r="BH103" i="2"/>
  <c r="V103" i="23"/>
  <c r="W103" i="23" s="1"/>
  <c r="V109" i="19"/>
  <c r="W109" i="19" s="1"/>
  <c r="V105" i="19"/>
  <c r="W105" i="19" s="1"/>
  <c r="V101" i="19"/>
  <c r="W101" i="19" s="1"/>
  <c r="V103" i="19"/>
  <c r="W103" i="19" s="1"/>
  <c r="V107" i="19"/>
  <c r="W107" i="19" s="1"/>
  <c r="V98" i="19"/>
  <c r="W98" i="19" s="1"/>
  <c r="V108" i="19"/>
  <c r="W108" i="19" s="1"/>
  <c r="V99" i="19"/>
  <c r="W99" i="19" s="1"/>
  <c r="V104" i="19"/>
  <c r="W104" i="19" s="1"/>
  <c r="V100" i="19"/>
  <c r="W100" i="19" s="1"/>
  <c r="V102" i="19"/>
  <c r="W102" i="19" s="1"/>
  <c r="V106" i="19"/>
  <c r="W106" i="19" s="1"/>
  <c r="C12" i="27"/>
  <c r="C11" i="27"/>
  <c r="E11" i="27" s="1"/>
  <c r="X103" i="11"/>
  <c r="Y105" i="11"/>
  <c r="V86" i="11"/>
  <c r="V90" i="11" s="1"/>
  <c r="D40" i="12"/>
  <c r="U98" i="11"/>
  <c r="D52" i="12" s="1"/>
  <c r="Y69" i="11"/>
  <c r="Z67" i="11"/>
  <c r="AB25" i="11"/>
  <c r="AB24" i="11"/>
  <c r="Z24" i="11"/>
  <c r="Z26" i="11" s="1"/>
  <c r="Z28" i="11" s="1"/>
  <c r="Z66" i="11" s="1"/>
  <c r="AA21" i="11"/>
  <c r="AA25" i="11" s="1"/>
  <c r="I104" i="11"/>
  <c r="K24" i="11"/>
  <c r="M25" i="11"/>
  <c r="M24" i="11"/>
  <c r="L21" i="11"/>
  <c r="L25" i="11" s="1"/>
  <c r="AB79" i="11"/>
  <c r="AA80" i="11"/>
  <c r="AA81" i="11" s="1"/>
  <c r="AB54" i="11"/>
  <c r="AB57" i="11" s="1"/>
  <c r="AB59" i="11" s="1"/>
  <c r="AB61" i="11" s="1"/>
  <c r="AB78" i="11" s="1"/>
  <c r="AC53" i="11"/>
  <c r="J73" i="11"/>
  <c r="H87" i="11" s="1"/>
  <c r="H95" i="11" s="1"/>
  <c r="F12" i="12" s="1"/>
  <c r="F26" i="12" s="1"/>
  <c r="N141" i="44"/>
  <c r="N125" i="44"/>
  <c r="N124" i="44"/>
  <c r="N140" i="44"/>
  <c r="AG31" i="5"/>
  <c r="CY21" i="39" s="1"/>
  <c r="AG58" i="5"/>
  <c r="AH58" i="5"/>
  <c r="AH31" i="5"/>
  <c r="DI21" i="39" s="1"/>
  <c r="AI30" i="5"/>
  <c r="DT20" i="39" s="1"/>
  <c r="AI57" i="5"/>
  <c r="C130" i="29"/>
  <c r="A131" i="29"/>
  <c r="B130" i="29"/>
  <c r="AF30" i="5"/>
  <c r="CO20" i="39" s="1"/>
  <c r="AF57" i="5"/>
  <c r="N17" i="44"/>
  <c r="O74" i="44"/>
  <c r="P25" i="44"/>
  <c r="N19" i="60"/>
  <c r="O75" i="44"/>
  <c r="P26" i="44"/>
  <c r="AM27" i="8"/>
  <c r="BS61" i="14"/>
  <c r="BS94" i="14"/>
  <c r="BS83" i="14"/>
  <c r="BS72" i="14"/>
  <c r="AY72" i="14"/>
  <c r="BC82" i="14"/>
  <c r="BO83" i="14"/>
  <c r="BO72" i="14"/>
  <c r="AY61" i="14"/>
  <c r="AY83" i="14"/>
  <c r="BC60" i="14"/>
  <c r="BC71" i="14"/>
  <c r="BO61" i="14"/>
  <c r="AY94" i="14"/>
  <c r="BO94" i="14"/>
  <c r="BC94" i="14"/>
  <c r="U55" i="8"/>
  <c r="V55" i="8" s="1"/>
  <c r="H107" i="14"/>
  <c r="AL106" i="14"/>
  <c r="H85" i="14"/>
  <c r="H74" i="14"/>
  <c r="AH84" i="14"/>
  <c r="AH106" i="14"/>
  <c r="AL95" i="14"/>
  <c r="H63" i="14"/>
  <c r="AH95" i="14"/>
  <c r="H96" i="14"/>
  <c r="O61" i="44"/>
  <c r="K120" i="44"/>
  <c r="O62" i="44"/>
  <c r="P74" i="44"/>
  <c r="P75" i="44"/>
  <c r="Q25" i="44"/>
  <c r="Q26" i="44"/>
  <c r="P10" i="44"/>
  <c r="R20" i="44"/>
  <c r="AB62" i="14"/>
  <c r="AB96" i="14"/>
  <c r="AB85" i="14"/>
  <c r="AB118" i="14"/>
  <c r="AB74" i="14"/>
  <c r="AB107" i="14"/>
  <c r="AA75" i="11"/>
  <c r="AA46" i="11"/>
  <c r="AA48" i="11" s="1"/>
  <c r="AA50" i="11" s="1"/>
  <c r="AA74" i="11" s="1"/>
  <c r="AA76" i="11" s="1"/>
  <c r="N35" i="11"/>
  <c r="N37" i="11" s="1"/>
  <c r="N39" i="11" s="1"/>
  <c r="N70" i="11" s="1"/>
  <c r="O71" i="11" s="1"/>
  <c r="Z77" i="11"/>
  <c r="AC24" i="11"/>
  <c r="AC26" i="11" s="1"/>
  <c r="AC28" i="11" s="1"/>
  <c r="AC66" i="11" s="1"/>
  <c r="AC68" i="11" s="1"/>
  <c r="AH32" i="40"/>
  <c r="AI32" i="40" s="1"/>
  <c r="Q60" i="73" s="1"/>
  <c r="R10" i="41"/>
  <c r="G49" i="41" s="1"/>
  <c r="AB28" i="8"/>
  <c r="AD28" i="8" s="1"/>
  <c r="BO21" i="39"/>
  <c r="BQ21" i="39" s="1"/>
  <c r="W55" i="8"/>
  <c r="Y55" i="8" s="1"/>
  <c r="Q20" i="41"/>
  <c r="N48" i="41" s="1"/>
  <c r="BG31" i="40"/>
  <c r="BH31" i="40" s="1"/>
  <c r="P67" i="73" s="1"/>
  <c r="E13" i="12"/>
  <c r="Q21" i="41"/>
  <c r="N49" i="41" s="1"/>
  <c r="W56" i="8"/>
  <c r="Y56" i="8" s="1"/>
  <c r="AB43" i="11"/>
  <c r="AB47" i="11" s="1"/>
  <c r="Z28" i="8"/>
  <c r="AA28" i="8" s="1"/>
  <c r="BN19" i="14"/>
  <c r="EB20" i="39"/>
  <c r="ED20" i="39" s="1"/>
  <c r="BR19" i="14"/>
  <c r="EI20" i="39"/>
  <c r="EK20" i="39" s="1"/>
  <c r="BN32" i="40" s="1"/>
  <c r="AX19" i="14"/>
  <c r="AC42" i="11"/>
  <c r="W96" i="11"/>
  <c r="AD21" i="11"/>
  <c r="AD25" i="11" s="1"/>
  <c r="P9" i="44"/>
  <c r="M72" i="11"/>
  <c r="M73" i="11" s="1"/>
  <c r="K87" i="11" s="1"/>
  <c r="N71" i="11"/>
  <c r="BV21" i="39"/>
  <c r="BX21" i="39" s="1"/>
  <c r="V27" i="8"/>
  <c r="Z27" i="8"/>
  <c r="E41" i="12"/>
  <c r="Y27" i="8"/>
  <c r="O32" i="11"/>
  <c r="O36" i="11" s="1"/>
  <c r="AB27" i="8"/>
  <c r="AA32" i="40"/>
  <c r="AB32" i="40" s="1"/>
  <c r="Q59" i="73" s="1"/>
  <c r="R9" i="41"/>
  <c r="G48" i="41" s="1"/>
  <c r="AO55" i="8"/>
  <c r="L76" i="73" s="1"/>
  <c r="L85" i="73" s="1"/>
  <c r="K76" i="41"/>
  <c r="BI33" i="40"/>
  <c r="T32" i="40"/>
  <c r="AE26" i="8" s="1"/>
  <c r="AF26" i="8" s="1"/>
  <c r="AR26" i="8" s="1"/>
  <c r="U33" i="40"/>
  <c r="E12" i="27" l="1"/>
  <c r="V108" i="17"/>
  <c r="W108" i="17" s="1"/>
  <c r="X108" i="17" s="1"/>
  <c r="I107" i="2"/>
  <c r="D107" i="28" s="1"/>
  <c r="W103" i="28"/>
  <c r="W104" i="28"/>
  <c r="W102" i="28"/>
  <c r="X102" i="28" s="1"/>
  <c r="V107" i="17"/>
  <c r="W107" i="17" s="1"/>
  <c r="X107" i="17" s="1"/>
  <c r="Y107" i="17" s="1"/>
  <c r="V104" i="17"/>
  <c r="W104" i="17" s="1"/>
  <c r="X104" i="17" s="1"/>
  <c r="Y104" i="17" s="1"/>
  <c r="V105" i="17"/>
  <c r="W105" i="17" s="1"/>
  <c r="X105" i="17" s="1"/>
  <c r="Y105" i="17" s="1"/>
  <c r="I106" i="2"/>
  <c r="D106" i="28" s="1"/>
  <c r="I105" i="2"/>
  <c r="FO105" i="2" s="1"/>
  <c r="EU129" i="3" s="1"/>
  <c r="I103" i="2"/>
  <c r="D103" i="28" s="1"/>
  <c r="I100" i="2"/>
  <c r="FO100" i="2" s="1"/>
  <c r="EU124" i="3" s="1"/>
  <c r="W100" i="28"/>
  <c r="X100" i="28" s="1"/>
  <c r="I98" i="2"/>
  <c r="D98" i="28" s="1"/>
  <c r="V98" i="17"/>
  <c r="W98" i="17" s="1"/>
  <c r="X98" i="17" s="1"/>
  <c r="Y98" i="17" s="1"/>
  <c r="I109" i="2"/>
  <c r="D109" i="28" s="1"/>
  <c r="V109" i="17"/>
  <c r="W109" i="17" s="1"/>
  <c r="X109" i="17" s="1"/>
  <c r="Y109" i="17" s="1"/>
  <c r="I108" i="2"/>
  <c r="D108" i="28" s="1"/>
  <c r="W101" i="28"/>
  <c r="X101" i="28" s="1"/>
  <c r="V101" i="17"/>
  <c r="W101" i="17" s="1"/>
  <c r="X101" i="17" s="1"/>
  <c r="Y101" i="17" s="1"/>
  <c r="W99" i="28"/>
  <c r="X99" i="28" s="1"/>
  <c r="I102" i="2"/>
  <c r="D102" i="28" s="1"/>
  <c r="I99" i="2"/>
  <c r="D99" i="28" s="1"/>
  <c r="V106" i="17"/>
  <c r="W106" i="17" s="1"/>
  <c r="X106" i="17" s="1"/>
  <c r="Y106" i="17" s="1"/>
  <c r="P10" i="60"/>
  <c r="H10" i="60"/>
  <c r="D10" i="60"/>
  <c r="AA12" i="60"/>
  <c r="S10" i="60"/>
  <c r="C7" i="60"/>
  <c r="J10" i="60"/>
  <c r="AA11" i="60"/>
  <c r="F27" i="60"/>
  <c r="F12" i="60"/>
  <c r="F28" i="60"/>
  <c r="I22" i="60"/>
  <c r="G10" i="60"/>
  <c r="F11" i="60"/>
  <c r="S27" i="60"/>
  <c r="AA28" i="60"/>
  <c r="AA27" i="60"/>
  <c r="T22" i="60"/>
  <c r="S28" i="60"/>
  <c r="R11" i="60"/>
  <c r="R12" i="60"/>
  <c r="AB27" i="60"/>
  <c r="AB28" i="60"/>
  <c r="R28" i="60"/>
  <c r="R27" i="60"/>
  <c r="P19" i="60"/>
  <c r="O19" i="60"/>
  <c r="P18" i="60"/>
  <c r="J56" i="73"/>
  <c r="J61" i="73" s="1"/>
  <c r="M23" i="40"/>
  <c r="L24" i="40"/>
  <c r="P24" i="40" s="1"/>
  <c r="I57" i="73" s="1"/>
  <c r="I61" i="73" s="1"/>
  <c r="M27" i="40"/>
  <c r="M28" i="40" s="1"/>
  <c r="Q123" i="44"/>
  <c r="P160" i="44"/>
  <c r="L160" i="44"/>
  <c r="N161" i="44"/>
  <c r="N162" i="44"/>
  <c r="N123" i="44"/>
  <c r="AG96" i="14"/>
  <c r="G108" i="14"/>
  <c r="AX95" i="14"/>
  <c r="BN95" i="14"/>
  <c r="G97" i="14"/>
  <c r="AG118" i="14"/>
  <c r="BN73" i="14"/>
  <c r="AK62" i="14"/>
  <c r="AL61" i="14"/>
  <c r="AX73" i="14"/>
  <c r="BN84" i="14"/>
  <c r="BO84" i="14" s="1"/>
  <c r="BN62" i="14"/>
  <c r="BR84" i="14"/>
  <c r="AX106" i="14"/>
  <c r="G64" i="14"/>
  <c r="AG107" i="14"/>
  <c r="AK73" i="14"/>
  <c r="AL72" i="14"/>
  <c r="AG62" i="14"/>
  <c r="AH61" i="14"/>
  <c r="AK118" i="14"/>
  <c r="AK96" i="14"/>
  <c r="G75" i="14"/>
  <c r="BR95" i="14"/>
  <c r="AG85" i="14"/>
  <c r="BN106" i="14"/>
  <c r="AK107" i="14"/>
  <c r="AX62" i="14"/>
  <c r="BR106" i="14"/>
  <c r="AX84" i="14"/>
  <c r="G119" i="14"/>
  <c r="H119" i="14" s="1"/>
  <c r="G86" i="14"/>
  <c r="H86" i="14" s="1"/>
  <c r="BR73" i="14"/>
  <c r="BR62" i="14"/>
  <c r="AU107" i="14"/>
  <c r="AU63" i="14"/>
  <c r="AT85" i="14"/>
  <c r="AU84" i="14"/>
  <c r="AT64" i="14"/>
  <c r="AT96" i="14"/>
  <c r="AU95" i="14"/>
  <c r="AT119" i="14"/>
  <c r="AT74" i="14"/>
  <c r="AU73" i="14"/>
  <c r="AT108" i="14"/>
  <c r="DL13" i="39"/>
  <c r="J18" i="73" s="1"/>
  <c r="M160" i="44"/>
  <c r="G98" i="11"/>
  <c r="AQ26" i="40"/>
  <c r="AR26" i="40" s="1"/>
  <c r="AV26" i="40" s="1"/>
  <c r="K65" i="73" s="1"/>
  <c r="AU118" i="14"/>
  <c r="AN14" i="39"/>
  <c r="X98" i="28"/>
  <c r="X105" i="28"/>
  <c r="G90" i="11"/>
  <c r="I103" i="11"/>
  <c r="BG110" i="2"/>
  <c r="W110" i="34" s="1"/>
  <c r="BG113" i="2"/>
  <c r="W113" i="34" s="1"/>
  <c r="BG120" i="2"/>
  <c r="W120" i="34" s="1"/>
  <c r="BG117" i="2"/>
  <c r="W117" i="34" s="1"/>
  <c r="BG114" i="2"/>
  <c r="W114" i="34" s="1"/>
  <c r="BG116" i="2"/>
  <c r="W116" i="34" s="1"/>
  <c r="BG111" i="2"/>
  <c r="W111" i="34" s="1"/>
  <c r="BG121" i="2"/>
  <c r="W121" i="34" s="1"/>
  <c r="BG115" i="2"/>
  <c r="W115" i="34" s="1"/>
  <c r="BG119" i="2"/>
  <c r="W119" i="34" s="1"/>
  <c r="BG118" i="2"/>
  <c r="W118" i="34" s="1"/>
  <c r="BG112" i="2"/>
  <c r="W112" i="34" s="1"/>
  <c r="T119" i="2"/>
  <c r="S119" i="30" s="1"/>
  <c r="T116" i="2"/>
  <c r="S116" i="30" s="1"/>
  <c r="T110" i="2"/>
  <c r="S110" i="30" s="1"/>
  <c r="T113" i="2"/>
  <c r="S113" i="30" s="1"/>
  <c r="T120" i="2"/>
  <c r="S120" i="30" s="1"/>
  <c r="T114" i="2"/>
  <c r="S114" i="30" s="1"/>
  <c r="T118" i="2"/>
  <c r="S118" i="30" s="1"/>
  <c r="T115" i="2"/>
  <c r="S115" i="30" s="1"/>
  <c r="T111" i="2"/>
  <c r="S111" i="30" s="1"/>
  <c r="T117" i="2"/>
  <c r="S117" i="30" s="1"/>
  <c r="T121" i="2"/>
  <c r="S121" i="30" s="1"/>
  <c r="T112" i="2"/>
  <c r="S112" i="30" s="1"/>
  <c r="N120" i="2"/>
  <c r="U120" i="29" s="1"/>
  <c r="N117" i="2"/>
  <c r="U117" i="29" s="1"/>
  <c r="N114" i="2"/>
  <c r="U114" i="29" s="1"/>
  <c r="N115" i="2"/>
  <c r="U115" i="29" s="1"/>
  <c r="N113" i="2"/>
  <c r="U113" i="29" s="1"/>
  <c r="N111" i="2"/>
  <c r="U111" i="29" s="1"/>
  <c r="N118" i="2"/>
  <c r="U118" i="29" s="1"/>
  <c r="N119" i="2"/>
  <c r="U119" i="29" s="1"/>
  <c r="N116" i="2"/>
  <c r="U116" i="29" s="1"/>
  <c r="N110" i="2"/>
  <c r="U110" i="29" s="1"/>
  <c r="N121" i="2"/>
  <c r="U121" i="29" s="1"/>
  <c r="N112" i="2"/>
  <c r="U112" i="29" s="1"/>
  <c r="K26" i="11"/>
  <c r="K28" i="11" s="1"/>
  <c r="K66" i="11" s="1"/>
  <c r="K68" i="11" s="1"/>
  <c r="R10" i="73"/>
  <c r="Q21" i="73"/>
  <c r="O49" i="73" s="1"/>
  <c r="Q20" i="73"/>
  <c r="O48" i="73" s="1"/>
  <c r="R9" i="73"/>
  <c r="BR117" i="14"/>
  <c r="BN117" i="14"/>
  <c r="AX117" i="14"/>
  <c r="AG73" i="14"/>
  <c r="AH72" i="14"/>
  <c r="R59" i="41"/>
  <c r="DL14" i="39"/>
  <c r="R60" i="41"/>
  <c r="AK84" i="14"/>
  <c r="AL83" i="14"/>
  <c r="C26" i="40"/>
  <c r="D26" i="40" s="1"/>
  <c r="H26" i="40" s="1"/>
  <c r="H13" i="39"/>
  <c r="G75" i="41"/>
  <c r="G75" i="73"/>
  <c r="K67" i="11"/>
  <c r="J68" i="11"/>
  <c r="J69" i="11" s="1"/>
  <c r="H86" i="11" s="1"/>
  <c r="H94" i="11" s="1"/>
  <c r="F11" i="12" s="1"/>
  <c r="F25" i="12" s="1"/>
  <c r="DB13" i="39"/>
  <c r="AD13" i="39"/>
  <c r="T33" i="40"/>
  <c r="AJ26" i="8" s="1"/>
  <c r="AK26" i="8" s="1"/>
  <c r="AS26" i="8" s="1"/>
  <c r="T144" i="51"/>
  <c r="Z55" i="8"/>
  <c r="Q67" i="41"/>
  <c r="R135" i="44"/>
  <c r="K174" i="44"/>
  <c r="K194" i="44" s="1"/>
  <c r="T130" i="29"/>
  <c r="BE83" i="14"/>
  <c r="BE105" i="14"/>
  <c r="BE61" i="14"/>
  <c r="BE72" i="14"/>
  <c r="BE94" i="14"/>
  <c r="S140" i="36"/>
  <c r="S138" i="36"/>
  <c r="S137" i="36"/>
  <c r="S144" i="36"/>
  <c r="AD86" i="14"/>
  <c r="AD63" i="14"/>
  <c r="AD119" i="14"/>
  <c r="AD97" i="14"/>
  <c r="AD108" i="14"/>
  <c r="AD74" i="14"/>
  <c r="S136" i="36"/>
  <c r="S135" i="36"/>
  <c r="S134" i="36"/>
  <c r="S145" i="36"/>
  <c r="S141" i="36"/>
  <c r="S143" i="36"/>
  <c r="S142" i="36"/>
  <c r="AA106" i="11"/>
  <c r="S150" i="36" s="1"/>
  <c r="Y89" i="11"/>
  <c r="I95" i="11"/>
  <c r="G12" i="12" s="1"/>
  <c r="FO104" i="2"/>
  <c r="EU128" i="3" s="1"/>
  <c r="D28" i="12"/>
  <c r="D31" i="12" s="1"/>
  <c r="D17" i="12"/>
  <c r="W102" i="17"/>
  <c r="X102" i="17" s="1"/>
  <c r="Y102" i="17" s="1"/>
  <c r="W103" i="17"/>
  <c r="X103" i="17" s="1"/>
  <c r="Y103" i="17" s="1"/>
  <c r="Y99" i="17"/>
  <c r="D104" i="28"/>
  <c r="Y108" i="17"/>
  <c r="P26" i="40"/>
  <c r="K57" i="73" s="1"/>
  <c r="V105" i="35"/>
  <c r="X103" i="28"/>
  <c r="X104" i="28"/>
  <c r="D101" i="28"/>
  <c r="FO101" i="2"/>
  <c r="EU125" i="3" s="1"/>
  <c r="U127" i="35"/>
  <c r="U128" i="35"/>
  <c r="U129" i="35"/>
  <c r="U130" i="35"/>
  <c r="U131" i="35"/>
  <c r="U126" i="35"/>
  <c r="U132" i="35"/>
  <c r="U133" i="35"/>
  <c r="U122" i="35"/>
  <c r="U123" i="35"/>
  <c r="U124" i="35"/>
  <c r="U125" i="35"/>
  <c r="V108" i="35"/>
  <c r="V104" i="35"/>
  <c r="V100" i="35"/>
  <c r="V101" i="35"/>
  <c r="V106" i="35"/>
  <c r="V99" i="35"/>
  <c r="V107" i="35"/>
  <c r="V102" i="35"/>
  <c r="V109" i="35"/>
  <c r="V103" i="35"/>
  <c r="V98" i="35"/>
  <c r="X98" i="34"/>
  <c r="X96" i="34"/>
  <c r="X99" i="34"/>
  <c r="X91" i="34"/>
  <c r="X93" i="34"/>
  <c r="X95" i="34"/>
  <c r="X101" i="34"/>
  <c r="X100" i="34"/>
  <c r="X104" i="34"/>
  <c r="X108" i="34"/>
  <c r="X103" i="34"/>
  <c r="X107" i="34"/>
  <c r="X106" i="34"/>
  <c r="X97" i="34"/>
  <c r="X86" i="34"/>
  <c r="X102" i="34"/>
  <c r="X90" i="34"/>
  <c r="X94" i="34"/>
  <c r="X87" i="34"/>
  <c r="X109" i="34"/>
  <c r="X105" i="34"/>
  <c r="X88" i="34"/>
  <c r="X92" i="34"/>
  <c r="X89" i="34"/>
  <c r="S102" i="30"/>
  <c r="S101" i="30"/>
  <c r="S109" i="30"/>
  <c r="S108" i="30"/>
  <c r="S107" i="30"/>
  <c r="S99" i="30"/>
  <c r="S106" i="30"/>
  <c r="S105" i="30"/>
  <c r="S98" i="30"/>
  <c r="S100" i="30"/>
  <c r="S104" i="30"/>
  <c r="S103" i="30"/>
  <c r="FO107" i="2"/>
  <c r="EU131" i="3" s="1"/>
  <c r="K13" i="27"/>
  <c r="V98" i="24"/>
  <c r="AZ13" i="27"/>
  <c r="AT12" i="27"/>
  <c r="AT13" i="27"/>
  <c r="X106" i="23"/>
  <c r="Y106" i="23" s="1"/>
  <c r="X100" i="23"/>
  <c r="Y100" i="23" s="1"/>
  <c r="X97" i="23"/>
  <c r="Y97" i="23" s="1"/>
  <c r="X86" i="23"/>
  <c r="Y86" i="23" s="1"/>
  <c r="AS12" i="27"/>
  <c r="X104" i="23"/>
  <c r="Y104" i="23" s="1"/>
  <c r="X108" i="23"/>
  <c r="Y108" i="23" s="1"/>
  <c r="X90" i="23"/>
  <c r="Y90" i="23" s="1"/>
  <c r="X94" i="23"/>
  <c r="Y94" i="23" s="1"/>
  <c r="X102" i="23"/>
  <c r="Y102" i="23" s="1"/>
  <c r="X105" i="23"/>
  <c r="Y105" i="23" s="1"/>
  <c r="X87" i="23"/>
  <c r="Y87" i="23" s="1"/>
  <c r="X92" i="23"/>
  <c r="Y92" i="23" s="1"/>
  <c r="X89" i="23"/>
  <c r="Y89" i="23" s="1"/>
  <c r="X88" i="23"/>
  <c r="Y88" i="23" s="1"/>
  <c r="X99" i="23"/>
  <c r="Y99" i="23" s="1"/>
  <c r="X98" i="23"/>
  <c r="Y98" i="23" s="1"/>
  <c r="X96" i="23"/>
  <c r="Y96" i="23" s="1"/>
  <c r="AS13" i="27"/>
  <c r="X95" i="23"/>
  <c r="Y95" i="23" s="1"/>
  <c r="X91" i="23"/>
  <c r="Y91" i="23" s="1"/>
  <c r="X93" i="23"/>
  <c r="Y93" i="23" s="1"/>
  <c r="X103" i="23"/>
  <c r="Y103" i="23" s="1"/>
  <c r="X107" i="23"/>
  <c r="Y107" i="23" s="1"/>
  <c r="X101" i="23"/>
  <c r="Y101" i="23" s="1"/>
  <c r="U106" i="2"/>
  <c r="R106" i="18"/>
  <c r="S106" i="18" s="1"/>
  <c r="U105" i="2"/>
  <c r="R105" i="18"/>
  <c r="S105" i="18" s="1"/>
  <c r="U98" i="2"/>
  <c r="R98" i="18"/>
  <c r="S98" i="18" s="1"/>
  <c r="U100" i="2"/>
  <c r="R100" i="18"/>
  <c r="S100" i="18" s="1"/>
  <c r="U104" i="2"/>
  <c r="R104" i="18"/>
  <c r="S104" i="18" s="1"/>
  <c r="U103" i="2"/>
  <c r="R103" i="18"/>
  <c r="S103" i="18" s="1"/>
  <c r="U102" i="2"/>
  <c r="R102" i="18"/>
  <c r="S102" i="18" s="1"/>
  <c r="U101" i="2"/>
  <c r="R101" i="18"/>
  <c r="S101" i="18" s="1"/>
  <c r="U109" i="2"/>
  <c r="R109" i="18"/>
  <c r="S109" i="18" s="1"/>
  <c r="U108" i="2"/>
  <c r="R108" i="18"/>
  <c r="S108" i="18" s="1"/>
  <c r="U107" i="2"/>
  <c r="R107" i="18"/>
  <c r="S107" i="18" s="1"/>
  <c r="U99" i="2"/>
  <c r="R99" i="18"/>
  <c r="S99" i="18" s="1"/>
  <c r="W122" i="19"/>
  <c r="K18" i="27" s="1"/>
  <c r="C13" i="27"/>
  <c r="C15" i="27" s="1"/>
  <c r="X88" i="11"/>
  <c r="X96" i="11" s="1"/>
  <c r="Z105" i="11"/>
  <c r="Y103" i="11"/>
  <c r="V94" i="11"/>
  <c r="W86" i="11"/>
  <c r="W94" i="11" s="1"/>
  <c r="F40" i="12" s="1"/>
  <c r="D50" i="12"/>
  <c r="D54" i="12" s="1"/>
  <c r="D44" i="12"/>
  <c r="AA24" i="11"/>
  <c r="AA26" i="11" s="1"/>
  <c r="AA28" i="11" s="1"/>
  <c r="AA66" i="11" s="1"/>
  <c r="AA68" i="11" s="1"/>
  <c r="AB26" i="11"/>
  <c r="AB28" i="11" s="1"/>
  <c r="AB66" i="11" s="1"/>
  <c r="AA67" i="11"/>
  <c r="Z68" i="11"/>
  <c r="Z69" i="11" s="1"/>
  <c r="Z103" i="11" s="1"/>
  <c r="M104" i="11"/>
  <c r="L104" i="11"/>
  <c r="J104" i="11"/>
  <c r="K104" i="11"/>
  <c r="M26" i="11"/>
  <c r="M28" i="11" s="1"/>
  <c r="M66" i="11" s="1"/>
  <c r="L24" i="11"/>
  <c r="AC79" i="11"/>
  <c r="AB80" i="11"/>
  <c r="AB81" i="11" s="1"/>
  <c r="AC54" i="11"/>
  <c r="AC57" i="11" s="1"/>
  <c r="AC59" i="11" s="1"/>
  <c r="AC61" i="11" s="1"/>
  <c r="AC78" i="11" s="1"/>
  <c r="AD53" i="11"/>
  <c r="J95" i="11"/>
  <c r="H12" i="12" s="1"/>
  <c r="K95" i="11"/>
  <c r="I12" i="12" s="1"/>
  <c r="O140" i="44"/>
  <c r="O141" i="44"/>
  <c r="O125" i="44"/>
  <c r="O124" i="44"/>
  <c r="N179" i="44"/>
  <c r="N178" i="44"/>
  <c r="A132" i="29"/>
  <c r="C131" i="29"/>
  <c r="B131" i="29"/>
  <c r="AI31" i="5"/>
  <c r="DT21" i="39" s="1"/>
  <c r="AI58" i="5"/>
  <c r="AF31" i="5"/>
  <c r="CO21" i="39" s="1"/>
  <c r="AF58" i="5"/>
  <c r="P141" i="44"/>
  <c r="P140" i="44"/>
  <c r="BS106" i="14"/>
  <c r="BS84" i="14"/>
  <c r="BS95" i="14"/>
  <c r="BS73" i="14"/>
  <c r="BS62" i="14"/>
  <c r="BO73" i="14"/>
  <c r="BO62" i="14"/>
  <c r="AY95" i="14"/>
  <c r="AY62" i="14"/>
  <c r="BC72" i="14"/>
  <c r="BC83" i="14"/>
  <c r="AY106" i="14"/>
  <c r="BO106" i="14"/>
  <c r="AY84" i="14"/>
  <c r="BC95" i="14"/>
  <c r="BC61" i="14"/>
  <c r="BO95" i="14"/>
  <c r="AH107" i="14"/>
  <c r="AL118" i="14"/>
  <c r="AH96" i="14"/>
  <c r="H75" i="14"/>
  <c r="AL107" i="14"/>
  <c r="AH85" i="14"/>
  <c r="H64" i="14"/>
  <c r="AL96" i="14"/>
  <c r="H97" i="14"/>
  <c r="AH118" i="14"/>
  <c r="H108" i="14"/>
  <c r="AA27" i="8"/>
  <c r="AQ27" i="8" s="1"/>
  <c r="X18" i="60"/>
  <c r="P61" i="44"/>
  <c r="R26" i="44"/>
  <c r="R25" i="44"/>
  <c r="O17" i="44"/>
  <c r="Q10" i="44"/>
  <c r="P62" i="44"/>
  <c r="AB108" i="14"/>
  <c r="BC106" i="14"/>
  <c r="AB97" i="14"/>
  <c r="AB75" i="14"/>
  <c r="AB63" i="14"/>
  <c r="AB119" i="14"/>
  <c r="AB86" i="14"/>
  <c r="AA77" i="11"/>
  <c r="AA105" i="11" s="1"/>
  <c r="AD67" i="11"/>
  <c r="AB75" i="11"/>
  <c r="N72" i="11"/>
  <c r="N73" i="11" s="1"/>
  <c r="O35" i="11"/>
  <c r="O37" i="11" s="1"/>
  <c r="O39" i="11" s="1"/>
  <c r="O70" i="11" s="1"/>
  <c r="O72" i="11" s="1"/>
  <c r="O73" i="11" s="1"/>
  <c r="M87" i="11" s="1"/>
  <c r="AG28" i="8"/>
  <c r="AI28" i="8" s="1"/>
  <c r="AH33" i="40"/>
  <c r="AI33" i="40" s="1"/>
  <c r="R60" i="73" s="1"/>
  <c r="S10" i="41"/>
  <c r="AQ28" i="8"/>
  <c r="F41" i="12"/>
  <c r="R21" i="41"/>
  <c r="O49" i="41" s="1"/>
  <c r="AB56" i="8"/>
  <c r="AD56" i="8" s="1"/>
  <c r="AG27" i="8"/>
  <c r="AA33" i="40"/>
  <c r="AB33" i="40" s="1"/>
  <c r="R59" i="73" s="1"/>
  <c r="S9" i="41"/>
  <c r="Q9" i="44"/>
  <c r="AE27" i="8"/>
  <c r="EI21" i="39"/>
  <c r="EK21" i="39" s="1"/>
  <c r="BN33" i="40" s="1"/>
  <c r="AD24" i="11"/>
  <c r="AD26" i="11" s="1"/>
  <c r="AD28" i="11" s="1"/>
  <c r="AD66" i="11" s="1"/>
  <c r="AD68" i="11" s="1"/>
  <c r="BG32" i="40"/>
  <c r="BH32" i="40" s="1"/>
  <c r="Q67" i="73" s="1"/>
  <c r="R20" i="41"/>
  <c r="O48" i="41" s="1"/>
  <c r="AB55" i="8"/>
  <c r="AD55" i="8" s="1"/>
  <c r="AB46" i="11"/>
  <c r="AB48" i="11" s="1"/>
  <c r="AB50" i="11" s="1"/>
  <c r="AB74" i="11" s="1"/>
  <c r="AE28" i="8"/>
  <c r="AF28" i="8" s="1"/>
  <c r="AR28" i="8" s="1"/>
  <c r="AD27" i="8"/>
  <c r="EB21" i="39"/>
  <c r="ED21" i="39" s="1"/>
  <c r="AP27" i="8"/>
  <c r="E76" i="73" s="1"/>
  <c r="E85" i="73" s="1"/>
  <c r="AC43" i="11"/>
  <c r="AC47" i="11" s="1"/>
  <c r="E27" i="12"/>
  <c r="AD42" i="11"/>
  <c r="K85" i="41"/>
  <c r="AA55" i="8"/>
  <c r="L76" i="41"/>
  <c r="AP55" i="8"/>
  <c r="M76" i="73" s="1"/>
  <c r="M85" i="73" s="1"/>
  <c r="D100" i="28" l="1"/>
  <c r="FO109" i="2"/>
  <c r="EU133" i="3" s="1"/>
  <c r="FO106" i="2"/>
  <c r="EU130" i="3" s="1"/>
  <c r="FO108" i="2"/>
  <c r="EU132" i="3" s="1"/>
  <c r="D105" i="28"/>
  <c r="FO103" i="2"/>
  <c r="EU127" i="3" s="1"/>
  <c r="FO99" i="2"/>
  <c r="EU123" i="3" s="1"/>
  <c r="E14" i="39"/>
  <c r="FO98" i="2"/>
  <c r="EU122" i="3" s="1"/>
  <c r="FO102" i="2"/>
  <c r="EU126" i="3" s="1"/>
  <c r="AY73" i="14"/>
  <c r="H28" i="60"/>
  <c r="J22" i="60"/>
  <c r="I10" i="60"/>
  <c r="H27" i="60"/>
  <c r="S12" i="60"/>
  <c r="G11" i="60"/>
  <c r="G12" i="60"/>
  <c r="G28" i="60"/>
  <c r="G27" i="60"/>
  <c r="F10" i="60"/>
  <c r="S11" i="60"/>
  <c r="T27" i="60"/>
  <c r="T28" i="60"/>
  <c r="AB12" i="60"/>
  <c r="AB11" i="60"/>
  <c r="L27" i="40"/>
  <c r="F25" i="8" s="1"/>
  <c r="Q19" i="60"/>
  <c r="K56" i="73"/>
  <c r="K61" i="73" s="1"/>
  <c r="M22" i="40"/>
  <c r="L23" i="40"/>
  <c r="P23" i="40" s="1"/>
  <c r="H57" i="73" s="1"/>
  <c r="H61" i="73" s="1"/>
  <c r="H113" i="2"/>
  <c r="W113" i="28" s="1"/>
  <c r="Q160" i="44"/>
  <c r="R160" i="44"/>
  <c r="O160" i="44"/>
  <c r="O161" i="44"/>
  <c r="O162" i="44"/>
  <c r="N160" i="44"/>
  <c r="BN96" i="14"/>
  <c r="BR118" i="14"/>
  <c r="AX74" i="14"/>
  <c r="AK119" i="14"/>
  <c r="AL119" i="14" s="1"/>
  <c r="AK108" i="14"/>
  <c r="G65" i="14"/>
  <c r="G87" i="14"/>
  <c r="BN107" i="14"/>
  <c r="AX107" i="14"/>
  <c r="AK63" i="14"/>
  <c r="AL62" i="14"/>
  <c r="G120" i="14"/>
  <c r="AX96" i="14"/>
  <c r="BR63" i="14"/>
  <c r="AG86" i="14"/>
  <c r="AG63" i="14"/>
  <c r="AH62" i="14"/>
  <c r="BR85" i="14"/>
  <c r="AX85" i="14"/>
  <c r="BR74" i="14"/>
  <c r="BR96" i="14"/>
  <c r="BN63" i="14"/>
  <c r="BN74" i="14"/>
  <c r="G109" i="14"/>
  <c r="AX118" i="14"/>
  <c r="AK74" i="14"/>
  <c r="AL73" i="14"/>
  <c r="BR107" i="14"/>
  <c r="G76" i="14"/>
  <c r="AG119" i="14"/>
  <c r="AG97" i="14"/>
  <c r="AG108" i="14"/>
  <c r="AX63" i="14"/>
  <c r="AK97" i="14"/>
  <c r="G98" i="14"/>
  <c r="BN118" i="14"/>
  <c r="BN85" i="14"/>
  <c r="AU64" i="14"/>
  <c r="AU119" i="14"/>
  <c r="AU108" i="14"/>
  <c r="AT75" i="14"/>
  <c r="AU74" i="14"/>
  <c r="AT97" i="14"/>
  <c r="AU96" i="14"/>
  <c r="AT65" i="14"/>
  <c r="AT109" i="14"/>
  <c r="AT86" i="14"/>
  <c r="AU85" i="14"/>
  <c r="AT120" i="14"/>
  <c r="K6" i="73"/>
  <c r="H114" i="2"/>
  <c r="W114" i="28" s="1"/>
  <c r="H110" i="2"/>
  <c r="W110" i="28" s="1"/>
  <c r="H119" i="2"/>
  <c r="W119" i="28" s="1"/>
  <c r="H120" i="2"/>
  <c r="W120" i="28" s="1"/>
  <c r="H118" i="2"/>
  <c r="W118" i="28" s="1"/>
  <c r="H117" i="2"/>
  <c r="W117" i="28" s="1"/>
  <c r="H116" i="2"/>
  <c r="W116" i="28" s="1"/>
  <c r="H112" i="2"/>
  <c r="W112" i="28" s="1"/>
  <c r="H121" i="2"/>
  <c r="W121" i="28" s="1"/>
  <c r="H115" i="2"/>
  <c r="W115" i="28" s="1"/>
  <c r="T112" i="30"/>
  <c r="T121" i="30"/>
  <c r="T117" i="30"/>
  <c r="T111" i="30"/>
  <c r="V112" i="29"/>
  <c r="T115" i="30"/>
  <c r="V121" i="29"/>
  <c r="T118" i="30"/>
  <c r="V110" i="29"/>
  <c r="T114" i="30"/>
  <c r="V116" i="29"/>
  <c r="T120" i="30"/>
  <c r="V119" i="29"/>
  <c r="T113" i="30"/>
  <c r="V118" i="29"/>
  <c r="T110" i="30"/>
  <c r="V111" i="29"/>
  <c r="T116" i="30"/>
  <c r="J13" i="39"/>
  <c r="J3" i="73" s="1"/>
  <c r="V113" i="29"/>
  <c r="T119" i="30"/>
  <c r="V115" i="29"/>
  <c r="H111" i="2"/>
  <c r="W111" i="28" s="1"/>
  <c r="V114" i="29"/>
  <c r="V117" i="29"/>
  <c r="V120" i="29"/>
  <c r="AS15" i="27"/>
  <c r="L67" i="11"/>
  <c r="W98" i="24"/>
  <c r="U110" i="2"/>
  <c r="R110" i="18"/>
  <c r="S110" i="18" s="1"/>
  <c r="U116" i="2"/>
  <c r="R116" i="18"/>
  <c r="S116" i="18" s="1"/>
  <c r="T116" i="18" s="1"/>
  <c r="U116" i="18" s="1"/>
  <c r="U119" i="2"/>
  <c r="R119" i="18"/>
  <c r="S119" i="18" s="1"/>
  <c r="T119" i="18" s="1"/>
  <c r="U119" i="18" s="1"/>
  <c r="U112" i="2"/>
  <c r="R112" i="18"/>
  <c r="S112" i="18" s="1"/>
  <c r="T112" i="18" s="1"/>
  <c r="U112" i="18" s="1"/>
  <c r="U121" i="2"/>
  <c r="R121" i="18"/>
  <c r="S121" i="18" s="1"/>
  <c r="T121" i="18" s="1"/>
  <c r="U121" i="18" s="1"/>
  <c r="U117" i="2"/>
  <c r="R117" i="18"/>
  <c r="S117" i="18" s="1"/>
  <c r="T117" i="18" s="1"/>
  <c r="U117" i="18" s="1"/>
  <c r="U111" i="2"/>
  <c r="R111" i="18"/>
  <c r="S111" i="18" s="1"/>
  <c r="T111" i="18" s="1"/>
  <c r="U111" i="18" s="1"/>
  <c r="U115" i="2"/>
  <c r="R115" i="18"/>
  <c r="S115" i="18" s="1"/>
  <c r="T115" i="18" s="1"/>
  <c r="U115" i="18" s="1"/>
  <c r="U118" i="2"/>
  <c r="R118" i="18"/>
  <c r="S118" i="18" s="1"/>
  <c r="T118" i="18" s="1"/>
  <c r="U118" i="18" s="1"/>
  <c r="U114" i="2"/>
  <c r="R114" i="18"/>
  <c r="S114" i="18" s="1"/>
  <c r="T114" i="18" s="1"/>
  <c r="U114" i="18" s="1"/>
  <c r="U120" i="2"/>
  <c r="R120" i="18"/>
  <c r="S120" i="18" s="1"/>
  <c r="T120" i="18" s="1"/>
  <c r="U120" i="18" s="1"/>
  <c r="U113" i="2"/>
  <c r="R113" i="18"/>
  <c r="S113" i="18" s="1"/>
  <c r="T113" i="18" s="1"/>
  <c r="U113" i="18" s="1"/>
  <c r="O118" i="2"/>
  <c r="T118" i="19"/>
  <c r="U118" i="19" s="1"/>
  <c r="V118" i="19" s="1"/>
  <c r="W118" i="19" s="1"/>
  <c r="O111" i="2"/>
  <c r="T111" i="19"/>
  <c r="U111" i="19" s="1"/>
  <c r="V111" i="19" s="1"/>
  <c r="W111" i="19" s="1"/>
  <c r="O113" i="2"/>
  <c r="T113" i="19"/>
  <c r="U113" i="19" s="1"/>
  <c r="V113" i="19" s="1"/>
  <c r="W113" i="19" s="1"/>
  <c r="O115" i="2"/>
  <c r="T115" i="19"/>
  <c r="U115" i="19" s="1"/>
  <c r="V115" i="19" s="1"/>
  <c r="W115" i="19" s="1"/>
  <c r="O114" i="2"/>
  <c r="T114" i="19"/>
  <c r="U114" i="19" s="1"/>
  <c r="V114" i="19" s="1"/>
  <c r="W114" i="19" s="1"/>
  <c r="O117" i="2"/>
  <c r="T117" i="19"/>
  <c r="U117" i="19" s="1"/>
  <c r="V117" i="19" s="1"/>
  <c r="W117" i="19" s="1"/>
  <c r="O120" i="2"/>
  <c r="T120" i="19"/>
  <c r="U120" i="19" s="1"/>
  <c r="V120" i="19" s="1"/>
  <c r="W120" i="19" s="1"/>
  <c r="O112" i="2"/>
  <c r="T112" i="19"/>
  <c r="U112" i="19" s="1"/>
  <c r="V112" i="19" s="1"/>
  <c r="W112" i="19" s="1"/>
  <c r="O121" i="2"/>
  <c r="T121" i="19"/>
  <c r="U121" i="19" s="1"/>
  <c r="V121" i="19" s="1"/>
  <c r="W121" i="19" s="1"/>
  <c r="O110" i="2"/>
  <c r="T110" i="19"/>
  <c r="U110" i="19" s="1"/>
  <c r="O116" i="2"/>
  <c r="T116" i="19"/>
  <c r="U116" i="19" s="1"/>
  <c r="V116" i="19" s="1"/>
  <c r="W116" i="19" s="1"/>
  <c r="O119" i="2"/>
  <c r="T119" i="19"/>
  <c r="U119" i="19" s="1"/>
  <c r="V119" i="19" s="1"/>
  <c r="W119" i="19" s="1"/>
  <c r="K69" i="11"/>
  <c r="I86" i="11" s="1"/>
  <c r="I94" i="11" s="1"/>
  <c r="G11" i="12" s="1"/>
  <c r="G25" i="12" s="1"/>
  <c r="L26" i="11"/>
  <c r="L28" i="11" s="1"/>
  <c r="L66" i="11" s="1"/>
  <c r="M67" i="11" s="1"/>
  <c r="J5" i="73"/>
  <c r="J17" i="73"/>
  <c r="K18" i="73"/>
  <c r="H48" i="73"/>
  <c r="H49" i="73"/>
  <c r="R20" i="73"/>
  <c r="R21" i="73"/>
  <c r="AG74" i="14"/>
  <c r="AH73" i="14"/>
  <c r="S59" i="41"/>
  <c r="F76" i="41"/>
  <c r="F85" i="41" s="1"/>
  <c r="P16" i="44" s="1"/>
  <c r="F76" i="73"/>
  <c r="F85" i="73" s="1"/>
  <c r="G77" i="41"/>
  <c r="G86" i="41" s="1"/>
  <c r="G77" i="73"/>
  <c r="G86" i="73" s="1"/>
  <c r="F77" i="41"/>
  <c r="F86" i="41" s="1"/>
  <c r="F77" i="73"/>
  <c r="F86" i="73" s="1"/>
  <c r="S60" i="41"/>
  <c r="AK85" i="14"/>
  <c r="AL84" i="14"/>
  <c r="H75" i="41"/>
  <c r="H75" i="73"/>
  <c r="J103" i="11"/>
  <c r="J22" i="12"/>
  <c r="F22" i="12"/>
  <c r="F24" i="12" s="1"/>
  <c r="K22" i="12"/>
  <c r="G22" i="12"/>
  <c r="G24" i="12" s="1"/>
  <c r="I22" i="12"/>
  <c r="AX19" i="39" s="1"/>
  <c r="AZ19" i="39" s="1"/>
  <c r="H22" i="12"/>
  <c r="E22" i="12"/>
  <c r="T148" i="51"/>
  <c r="S144" i="51"/>
  <c r="AE55" i="8"/>
  <c r="AF55" i="8" s="1"/>
  <c r="R67" i="41"/>
  <c r="BA13" i="27"/>
  <c r="G26" i="12"/>
  <c r="T131" i="29"/>
  <c r="BE117" i="14"/>
  <c r="BE95" i="14"/>
  <c r="BE73" i="14"/>
  <c r="BE62" i="14"/>
  <c r="BE106" i="14"/>
  <c r="BE84" i="14"/>
  <c r="S153" i="36"/>
  <c r="S156" i="36"/>
  <c r="S155" i="36"/>
  <c r="S154" i="36"/>
  <c r="S157" i="36"/>
  <c r="S152" i="36"/>
  <c r="AD75" i="14"/>
  <c r="AD109" i="14"/>
  <c r="AD98" i="14"/>
  <c r="AD120" i="14"/>
  <c r="AD64" i="14"/>
  <c r="AD87" i="14"/>
  <c r="S149" i="36"/>
  <c r="S151" i="36"/>
  <c r="S148" i="36"/>
  <c r="S146" i="36"/>
  <c r="S147" i="36"/>
  <c r="Y97" i="11"/>
  <c r="H42" i="12" s="1"/>
  <c r="AB106" i="11"/>
  <c r="S159" i="36" s="1"/>
  <c r="Z89" i="11"/>
  <c r="Z97" i="11" s="1"/>
  <c r="I42" i="12" s="1"/>
  <c r="N104" i="11"/>
  <c r="L87" i="11"/>
  <c r="L95" i="11" s="1"/>
  <c r="J12" i="12" s="1"/>
  <c r="J26" i="12" s="1"/>
  <c r="D13" i="27"/>
  <c r="N17" i="12"/>
  <c r="N28" i="12"/>
  <c r="N31" i="12" s="1"/>
  <c r="M29" i="40"/>
  <c r="L28" i="40"/>
  <c r="F14" i="39"/>
  <c r="H14" i="39" s="1"/>
  <c r="CX14" i="39"/>
  <c r="CZ14" i="39" s="1"/>
  <c r="CN13" i="39"/>
  <c r="CN14" i="39"/>
  <c r="CP14" i="39" s="1"/>
  <c r="U146" i="35"/>
  <c r="U147" i="35"/>
  <c r="U148" i="35"/>
  <c r="U149" i="35"/>
  <c r="U150" i="35"/>
  <c r="U151" i="35"/>
  <c r="U152" i="35"/>
  <c r="U153" i="35"/>
  <c r="U157" i="35"/>
  <c r="U154" i="35"/>
  <c r="U155" i="35"/>
  <c r="U156" i="35"/>
  <c r="U143" i="35"/>
  <c r="U144" i="35"/>
  <c r="U145" i="35"/>
  <c r="U142" i="35"/>
  <c r="U134" i="35"/>
  <c r="U135" i="35"/>
  <c r="U136" i="35"/>
  <c r="U141" i="35"/>
  <c r="U137" i="35"/>
  <c r="U138" i="35"/>
  <c r="U139" i="35"/>
  <c r="U140" i="35"/>
  <c r="W143" i="34"/>
  <c r="W144" i="34"/>
  <c r="W145" i="34"/>
  <c r="W134" i="34"/>
  <c r="W135" i="34"/>
  <c r="W136" i="34"/>
  <c r="W141" i="34"/>
  <c r="W142" i="34"/>
  <c r="W137" i="34"/>
  <c r="W138" i="34"/>
  <c r="W140" i="34"/>
  <c r="W139" i="34"/>
  <c r="W127" i="34"/>
  <c r="W128" i="34"/>
  <c r="W129" i="34"/>
  <c r="W130" i="34"/>
  <c r="W131" i="34"/>
  <c r="W132" i="34"/>
  <c r="W133" i="34"/>
  <c r="W125" i="34"/>
  <c r="W126" i="34"/>
  <c r="W122" i="34"/>
  <c r="W123" i="34"/>
  <c r="W124" i="34"/>
  <c r="T105" i="30"/>
  <c r="T106" i="30"/>
  <c r="T99" i="30"/>
  <c r="T107" i="30"/>
  <c r="T103" i="30"/>
  <c r="T108" i="30"/>
  <c r="T104" i="30"/>
  <c r="T109" i="30"/>
  <c r="T100" i="30"/>
  <c r="T101" i="30"/>
  <c r="T98" i="30"/>
  <c r="T102" i="30"/>
  <c r="U127" i="29"/>
  <c r="U128" i="29"/>
  <c r="U129" i="29"/>
  <c r="U130" i="29"/>
  <c r="U131" i="29"/>
  <c r="U122" i="29"/>
  <c r="U123" i="29"/>
  <c r="U124" i="29"/>
  <c r="U125" i="29"/>
  <c r="U126" i="29"/>
  <c r="AU13" i="27"/>
  <c r="AU12" i="27"/>
  <c r="P13" i="27"/>
  <c r="W98" i="11"/>
  <c r="T98" i="18"/>
  <c r="T102" i="18"/>
  <c r="U102" i="18" s="1"/>
  <c r="T104" i="18"/>
  <c r="T103" i="18"/>
  <c r="T99" i="18"/>
  <c r="U99" i="18" s="1"/>
  <c r="T100" i="18"/>
  <c r="U100" i="18" s="1"/>
  <c r="T107" i="18"/>
  <c r="O13" i="27"/>
  <c r="O15" i="27" s="1"/>
  <c r="T108" i="18"/>
  <c r="T105" i="18"/>
  <c r="T109" i="18"/>
  <c r="T106" i="18"/>
  <c r="T101" i="18"/>
  <c r="W90" i="11"/>
  <c r="E40" i="12"/>
  <c r="V98" i="11"/>
  <c r="O42" i="12" s="1"/>
  <c r="Y88" i="11"/>
  <c r="Y96" i="11" s="1"/>
  <c r="H41" i="12" s="1"/>
  <c r="X86" i="11"/>
  <c r="X94" i="11" s="1"/>
  <c r="AB67" i="11"/>
  <c r="AC67" i="11"/>
  <c r="AC69" i="11" s="1"/>
  <c r="AB68" i="11"/>
  <c r="AA69" i="11"/>
  <c r="AA103" i="11" s="1"/>
  <c r="O104" i="11"/>
  <c r="M68" i="11"/>
  <c r="N67" i="11"/>
  <c r="AD79" i="11"/>
  <c r="AC80" i="11"/>
  <c r="AC81" i="11" s="1"/>
  <c r="AD54" i="11"/>
  <c r="AD57" i="11" s="1"/>
  <c r="AD59" i="11" s="1"/>
  <c r="AD61" i="11" s="1"/>
  <c r="AD78" i="11" s="1"/>
  <c r="AD80" i="11" s="1"/>
  <c r="I26" i="12"/>
  <c r="H26" i="12"/>
  <c r="O178" i="44"/>
  <c r="O198" i="44" s="1"/>
  <c r="O179" i="44"/>
  <c r="O199" i="44" s="1"/>
  <c r="P125" i="44"/>
  <c r="P124" i="44"/>
  <c r="H48" i="41"/>
  <c r="H49" i="41"/>
  <c r="B132" i="29"/>
  <c r="C132" i="29"/>
  <c r="A133" i="29"/>
  <c r="Q74" i="44"/>
  <c r="Q75" i="44"/>
  <c r="BS96" i="14"/>
  <c r="BS118" i="14"/>
  <c r="BS85" i="14"/>
  <c r="BS107" i="14"/>
  <c r="BS63" i="14"/>
  <c r="BC62" i="14"/>
  <c r="BO63" i="14"/>
  <c r="BO118" i="14"/>
  <c r="AY96" i="14"/>
  <c r="AY85" i="14"/>
  <c r="BO96" i="14"/>
  <c r="AY74" i="14"/>
  <c r="BC84" i="14"/>
  <c r="BO85" i="14"/>
  <c r="BC73" i="14"/>
  <c r="BC96" i="14"/>
  <c r="BO107" i="14"/>
  <c r="AY118" i="14"/>
  <c r="BO74" i="14"/>
  <c r="AY63" i="14"/>
  <c r="AH108" i="14"/>
  <c r="AH119" i="14"/>
  <c r="H87" i="14"/>
  <c r="H98" i="14"/>
  <c r="H109" i="14"/>
  <c r="AL97" i="14"/>
  <c r="AL108" i="14"/>
  <c r="AH86" i="14"/>
  <c r="H120" i="14"/>
  <c r="H76" i="14"/>
  <c r="H65" i="14"/>
  <c r="Q61" i="44"/>
  <c r="M67" i="44"/>
  <c r="R75" i="44"/>
  <c r="Q62" i="44"/>
  <c r="R74" i="44"/>
  <c r="AB76" i="14"/>
  <c r="AB120" i="14"/>
  <c r="AB87" i="14"/>
  <c r="AB98" i="14"/>
  <c r="BC107" i="14"/>
  <c r="AB109" i="14"/>
  <c r="AB64" i="14"/>
  <c r="AD69" i="11"/>
  <c r="AC46" i="11"/>
  <c r="AC48" i="11" s="1"/>
  <c r="AC50" i="11" s="1"/>
  <c r="AC74" i="11" s="1"/>
  <c r="AC76" i="11" s="1"/>
  <c r="G41" i="12"/>
  <c r="AF27" i="8"/>
  <c r="AC75" i="11"/>
  <c r="AB76" i="11"/>
  <c r="AB77" i="11" s="1"/>
  <c r="AB105" i="11" s="1"/>
  <c r="AG55" i="8"/>
  <c r="AI55" i="8" s="1"/>
  <c r="S20" i="41"/>
  <c r="BG33" i="40"/>
  <c r="BH33" i="40" s="1"/>
  <c r="R67" i="73" s="1"/>
  <c r="AI27" i="8"/>
  <c r="AJ27" i="8"/>
  <c r="AD43" i="11"/>
  <c r="AD47" i="11" s="1"/>
  <c r="E76" i="41"/>
  <c r="AG56" i="8"/>
  <c r="AI56" i="8" s="1"/>
  <c r="S21" i="41"/>
  <c r="AJ28" i="8"/>
  <c r="AK28" i="8" s="1"/>
  <c r="AS28" i="8" s="1"/>
  <c r="M76" i="41"/>
  <c r="L85" i="41"/>
  <c r="AQ55" i="8"/>
  <c r="N76" i="73" s="1"/>
  <c r="N85" i="73" s="1"/>
  <c r="AY107" i="14" l="1"/>
  <c r="AC11" i="60"/>
  <c r="H11" i="60"/>
  <c r="H12" i="60"/>
  <c r="AC12" i="60"/>
  <c r="AC27" i="60"/>
  <c r="AD28" i="60"/>
  <c r="AD27" i="60"/>
  <c r="AC28" i="60"/>
  <c r="Y18" i="60"/>
  <c r="R18" i="60"/>
  <c r="I113" i="2"/>
  <c r="FO113" i="2" s="1"/>
  <c r="EU137" i="3" s="1"/>
  <c r="V113" i="17"/>
  <c r="W113" i="17" s="1"/>
  <c r="X113" i="17" s="1"/>
  <c r="Y113" i="17" s="1"/>
  <c r="X113" i="28"/>
  <c r="M21" i="40"/>
  <c r="L22" i="40"/>
  <c r="P22" i="40" s="1"/>
  <c r="G57" i="73" s="1"/>
  <c r="G61" i="73" s="1"/>
  <c r="W126" i="28"/>
  <c r="W122" i="28"/>
  <c r="AX16" i="39"/>
  <c r="AZ16" i="39" s="1"/>
  <c r="F29" i="12"/>
  <c r="P161" i="44"/>
  <c r="P162" i="44"/>
  <c r="G66" i="14"/>
  <c r="BN119" i="14"/>
  <c r="BR97" i="14"/>
  <c r="AG87" i="14"/>
  <c r="AH87" i="14" s="1"/>
  <c r="AX108" i="14"/>
  <c r="AK109" i="14"/>
  <c r="G99" i="14"/>
  <c r="AK75" i="14"/>
  <c r="AL74" i="14"/>
  <c r="BN108" i="14"/>
  <c r="BO108" i="14" s="1"/>
  <c r="BR64" i="14"/>
  <c r="BS64" i="14" s="1"/>
  <c r="AG120" i="14"/>
  <c r="BR119" i="14"/>
  <c r="AK98" i="14"/>
  <c r="AX86" i="14"/>
  <c r="AX97" i="14"/>
  <c r="BN97" i="14"/>
  <c r="AG98" i="14"/>
  <c r="AH98" i="14" s="1"/>
  <c r="AH97" i="14"/>
  <c r="G77" i="14"/>
  <c r="AX119" i="14"/>
  <c r="AK120" i="14"/>
  <c r="AX64" i="14"/>
  <c r="BR75" i="14"/>
  <c r="BS75" i="14" s="1"/>
  <c r="BS74" i="14"/>
  <c r="BN86" i="14"/>
  <c r="BR108" i="14"/>
  <c r="BS108" i="14" s="1"/>
  <c r="G110" i="14"/>
  <c r="BR86" i="14"/>
  <c r="G121" i="14"/>
  <c r="G88" i="14"/>
  <c r="H88" i="14" s="1"/>
  <c r="BN75" i="14"/>
  <c r="AX75" i="14"/>
  <c r="AG109" i="14"/>
  <c r="BN64" i="14"/>
  <c r="AG64" i="14"/>
  <c r="AH63" i="14"/>
  <c r="AK64" i="14"/>
  <c r="AL63" i="14"/>
  <c r="AX17" i="39"/>
  <c r="AZ17" i="39" s="1"/>
  <c r="I24" i="12"/>
  <c r="AU65" i="14"/>
  <c r="AU120" i="14"/>
  <c r="AU109" i="14"/>
  <c r="AT87" i="14"/>
  <c r="AU86" i="14"/>
  <c r="AT121" i="14"/>
  <c r="AT98" i="14"/>
  <c r="AU97" i="14"/>
  <c r="AT66" i="14"/>
  <c r="AT110" i="14"/>
  <c r="AT76" i="14"/>
  <c r="AU75" i="14"/>
  <c r="AX18" i="39"/>
  <c r="AZ18" i="39" s="1"/>
  <c r="G29" i="12"/>
  <c r="K29" i="12"/>
  <c r="J24" i="12"/>
  <c r="V114" i="17"/>
  <c r="W114" i="17" s="1"/>
  <c r="X114" i="17" s="1"/>
  <c r="Y114" i="17" s="1"/>
  <c r="I114" i="2"/>
  <c r="D114" i="28" s="1"/>
  <c r="V110" i="17"/>
  <c r="W110" i="17" s="1"/>
  <c r="X110" i="17" s="1"/>
  <c r="Y110" i="17" s="1"/>
  <c r="I119" i="2"/>
  <c r="FO119" i="2" s="1"/>
  <c r="EU143" i="3" s="1"/>
  <c r="X114" i="28"/>
  <c r="I120" i="2"/>
  <c r="FO120" i="2" s="1"/>
  <c r="EU144" i="3" s="1"/>
  <c r="I110" i="2"/>
  <c r="D110" i="28" s="1"/>
  <c r="V118" i="17"/>
  <c r="W118" i="17" s="1"/>
  <c r="X118" i="17" s="1"/>
  <c r="Y118" i="17" s="1"/>
  <c r="V120" i="17"/>
  <c r="W120" i="17" s="1"/>
  <c r="X120" i="17" s="1"/>
  <c r="Y120" i="17" s="1"/>
  <c r="X110" i="28"/>
  <c r="X119" i="28"/>
  <c r="V119" i="17"/>
  <c r="W119" i="17" s="1"/>
  <c r="X119" i="17" s="1"/>
  <c r="Y119" i="17" s="1"/>
  <c r="I118" i="2"/>
  <c r="D118" i="28" s="1"/>
  <c r="X118" i="28"/>
  <c r="X120" i="28"/>
  <c r="V117" i="17"/>
  <c r="W117" i="17" s="1"/>
  <c r="X117" i="17" s="1"/>
  <c r="Y117" i="17" s="1"/>
  <c r="V116" i="17"/>
  <c r="W116" i="17" s="1"/>
  <c r="X116" i="17" s="1"/>
  <c r="Y116" i="17" s="1"/>
  <c r="V112" i="17"/>
  <c r="W112" i="17" s="1"/>
  <c r="X112" i="17" s="1"/>
  <c r="Y112" i="17" s="1"/>
  <c r="I112" i="2"/>
  <c r="FO112" i="2" s="1"/>
  <c r="EU136" i="3" s="1"/>
  <c r="V115" i="17"/>
  <c r="W115" i="17" s="1"/>
  <c r="X115" i="17" s="1"/>
  <c r="Y115" i="17" s="1"/>
  <c r="I116" i="2"/>
  <c r="FO116" i="2" s="1"/>
  <c r="EU140" i="3" s="1"/>
  <c r="I117" i="2"/>
  <c r="D117" i="28" s="1"/>
  <c r="I115" i="2"/>
  <c r="D115" i="28" s="1"/>
  <c r="X116" i="28"/>
  <c r="X117" i="28"/>
  <c r="V121" i="17"/>
  <c r="W121" i="17" s="1"/>
  <c r="X121" i="17" s="1"/>
  <c r="Y121" i="17" s="1"/>
  <c r="I121" i="2"/>
  <c r="FO121" i="2" s="1"/>
  <c r="EU145" i="3" s="1"/>
  <c r="X112" i="28"/>
  <c r="X121" i="28"/>
  <c r="X115" i="28"/>
  <c r="V111" i="17"/>
  <c r="W111" i="17" s="1"/>
  <c r="X111" i="17" s="1"/>
  <c r="Y111" i="17" s="1"/>
  <c r="I111" i="2"/>
  <c r="Z15" i="39"/>
  <c r="AB15" i="39" s="1"/>
  <c r="AD15" i="39" s="1"/>
  <c r="X111" i="28"/>
  <c r="CP13" i="39"/>
  <c r="CR13" i="39" s="1"/>
  <c r="T110" i="18"/>
  <c r="U110" i="18" s="1"/>
  <c r="P14" i="27"/>
  <c r="V110" i="19"/>
  <c r="W110" i="19" s="1"/>
  <c r="J14" i="27"/>
  <c r="L68" i="11"/>
  <c r="L69" i="11" s="1"/>
  <c r="M69" i="11"/>
  <c r="K86" i="11" s="1"/>
  <c r="K103" i="11"/>
  <c r="W137" i="28" s="1"/>
  <c r="K24" i="12"/>
  <c r="P49" i="73"/>
  <c r="P48" i="73"/>
  <c r="J29" i="12"/>
  <c r="AX20" i="39"/>
  <c r="AZ20" i="39" s="1"/>
  <c r="E24" i="12"/>
  <c r="E29" i="12"/>
  <c r="S67" i="41"/>
  <c r="AG75" i="14"/>
  <c r="AH74" i="14"/>
  <c r="H29" i="12"/>
  <c r="AX21" i="39"/>
  <c r="AZ21" i="39" s="1"/>
  <c r="H24" i="12"/>
  <c r="H77" i="41"/>
  <c r="H86" i="41" s="1"/>
  <c r="H77" i="73"/>
  <c r="H86" i="73" s="1"/>
  <c r="AK86" i="14"/>
  <c r="AL85" i="14"/>
  <c r="W129" i="28"/>
  <c r="W131" i="28"/>
  <c r="W130" i="28"/>
  <c r="W132" i="28"/>
  <c r="W124" i="28"/>
  <c r="W133" i="28"/>
  <c r="W128" i="28"/>
  <c r="W123" i="28"/>
  <c r="W127" i="28"/>
  <c r="W125" i="28"/>
  <c r="I29" i="12"/>
  <c r="DB14" i="39"/>
  <c r="CR14" i="39"/>
  <c r="J14" i="39"/>
  <c r="S148" i="51"/>
  <c r="R144" i="51"/>
  <c r="E13" i="27"/>
  <c r="U103" i="18"/>
  <c r="U104" i="18"/>
  <c r="U98" i="18"/>
  <c r="U101" i="18"/>
  <c r="U109" i="18"/>
  <c r="U105" i="18"/>
  <c r="U106" i="18"/>
  <c r="U108" i="18"/>
  <c r="U107" i="18"/>
  <c r="U132" i="29"/>
  <c r="T132" i="29"/>
  <c r="BE85" i="14"/>
  <c r="BE107" i="14"/>
  <c r="BE63" i="14"/>
  <c r="BE74" i="14"/>
  <c r="BE96" i="14"/>
  <c r="BE118" i="14"/>
  <c r="S167" i="36"/>
  <c r="AD88" i="14"/>
  <c r="AD65" i="14"/>
  <c r="AD121" i="14"/>
  <c r="AD99" i="14"/>
  <c r="AD110" i="14"/>
  <c r="AD76" i="14"/>
  <c r="S168" i="36"/>
  <c r="S164" i="36"/>
  <c r="S158" i="36"/>
  <c r="S165" i="36"/>
  <c r="S162" i="36"/>
  <c r="S163" i="36"/>
  <c r="S161" i="36"/>
  <c r="S169" i="36"/>
  <c r="S166" i="36"/>
  <c r="S160" i="36"/>
  <c r="AC106" i="11"/>
  <c r="S175" i="36" s="1"/>
  <c r="AA89" i="11"/>
  <c r="AA97" i="11" s="1"/>
  <c r="J42" i="12" s="1"/>
  <c r="M95" i="11"/>
  <c r="K12" i="12" s="1"/>
  <c r="K26" i="12" s="1"/>
  <c r="P42" i="12"/>
  <c r="F44" i="12"/>
  <c r="AY19" i="39"/>
  <c r="AY16" i="39"/>
  <c r="K25" i="8"/>
  <c r="M30" i="40"/>
  <c r="L29" i="40"/>
  <c r="V122" i="29"/>
  <c r="V131" i="29"/>
  <c r="V130" i="29"/>
  <c r="V129" i="29"/>
  <c r="V128" i="29"/>
  <c r="V127" i="29"/>
  <c r="V126" i="29"/>
  <c r="V125" i="29"/>
  <c r="V124" i="29"/>
  <c r="V123" i="29"/>
  <c r="Z14" i="39"/>
  <c r="AB14" i="39" s="1"/>
  <c r="U159" i="35"/>
  <c r="U160" i="35"/>
  <c r="U161" i="35"/>
  <c r="U162" i="35"/>
  <c r="U163" i="35"/>
  <c r="U164" i="35"/>
  <c r="U165" i="35"/>
  <c r="U166" i="35"/>
  <c r="U158" i="35"/>
  <c r="U167" i="35"/>
  <c r="U168" i="35"/>
  <c r="U169" i="35"/>
  <c r="W146" i="34"/>
  <c r="W147" i="34"/>
  <c r="W148" i="34"/>
  <c r="W149" i="34"/>
  <c r="W157" i="34"/>
  <c r="W150" i="34"/>
  <c r="W151" i="34"/>
  <c r="W152" i="34"/>
  <c r="W153" i="34"/>
  <c r="W156" i="34"/>
  <c r="W154" i="34"/>
  <c r="W155" i="34"/>
  <c r="Q13" i="27"/>
  <c r="G40" i="12"/>
  <c r="X98" i="11"/>
  <c r="Q42" i="12" s="1"/>
  <c r="X90" i="11"/>
  <c r="E44" i="12"/>
  <c r="Y86" i="11"/>
  <c r="Y94" i="11" s="1"/>
  <c r="AA86" i="11"/>
  <c r="Z88" i="11"/>
  <c r="Z96" i="11" s="1"/>
  <c r="AB86" i="11"/>
  <c r="AB69" i="11"/>
  <c r="AB103" i="11" s="1"/>
  <c r="AD81" i="11"/>
  <c r="P178" i="44"/>
  <c r="P198" i="44" s="1"/>
  <c r="R141" i="44"/>
  <c r="Q141" i="44"/>
  <c r="Q140" i="44"/>
  <c r="R140" i="44"/>
  <c r="P179" i="44"/>
  <c r="P199" i="44" s="1"/>
  <c r="Q124" i="44"/>
  <c r="Q125" i="44"/>
  <c r="R9" i="44"/>
  <c r="R10" i="44"/>
  <c r="P49" i="41"/>
  <c r="R62" i="44" s="1"/>
  <c r="P48" i="41"/>
  <c r="R61" i="44" s="1"/>
  <c r="B133" i="29"/>
  <c r="C133" i="29"/>
  <c r="A134" i="29"/>
  <c r="N18" i="60"/>
  <c r="K131" i="44"/>
  <c r="BS86" i="14"/>
  <c r="BS119" i="14"/>
  <c r="BS97" i="14"/>
  <c r="AY64" i="14"/>
  <c r="BO97" i="14"/>
  <c r="BC74" i="14"/>
  <c r="BO86" i="14"/>
  <c r="AY108" i="14"/>
  <c r="BO64" i="14"/>
  <c r="BC97" i="14"/>
  <c r="BC85" i="14"/>
  <c r="BO119" i="14"/>
  <c r="BO75" i="14"/>
  <c r="AY86" i="14"/>
  <c r="BC63" i="14"/>
  <c r="AY119" i="14"/>
  <c r="H77" i="14"/>
  <c r="H99" i="14"/>
  <c r="H66" i="14"/>
  <c r="AL109" i="14"/>
  <c r="AH120" i="14"/>
  <c r="AH109" i="14"/>
  <c r="AL98" i="14"/>
  <c r="AL120" i="14"/>
  <c r="H121" i="14"/>
  <c r="H110" i="14"/>
  <c r="K118" i="44"/>
  <c r="M131" i="44"/>
  <c r="N67" i="44"/>
  <c r="Q17" i="44"/>
  <c r="BC118" i="14"/>
  <c r="AB110" i="14"/>
  <c r="AB88" i="14"/>
  <c r="AB77" i="14"/>
  <c r="AB65" i="14"/>
  <c r="BC108" i="14"/>
  <c r="AB121" i="14"/>
  <c r="AB99" i="14"/>
  <c r="AD46" i="11"/>
  <c r="AD48" i="11" s="1"/>
  <c r="AD50" i="11" s="1"/>
  <c r="AD74" i="11" s="1"/>
  <c r="AD76" i="11" s="1"/>
  <c r="AD75" i="11"/>
  <c r="E85" i="41"/>
  <c r="AC77" i="11"/>
  <c r="AC105" i="11" s="1"/>
  <c r="AJ55" i="8"/>
  <c r="AK55" i="8" s="1"/>
  <c r="AS55" i="8" s="1"/>
  <c r="P76" i="73" s="1"/>
  <c r="AK27" i="8"/>
  <c r="AR27" i="8"/>
  <c r="G76" i="73" s="1"/>
  <c r="G85" i="73" s="1"/>
  <c r="P17" i="44"/>
  <c r="N76" i="41"/>
  <c r="AR55" i="8"/>
  <c r="O76" i="73" s="1"/>
  <c r="O85" i="73" s="1"/>
  <c r="M85" i="41"/>
  <c r="AY75" i="14" l="1"/>
  <c r="AY97" i="14"/>
  <c r="J28" i="60"/>
  <c r="C5" i="60"/>
  <c r="AD12" i="60"/>
  <c r="E18" i="60"/>
  <c r="AD11" i="60"/>
  <c r="T12" i="60"/>
  <c r="C18" i="60"/>
  <c r="T11" i="60"/>
  <c r="J27" i="60"/>
  <c r="I12" i="60"/>
  <c r="I11" i="60"/>
  <c r="I27" i="60"/>
  <c r="I28" i="60"/>
  <c r="D113" i="28"/>
  <c r="R19" i="60"/>
  <c r="S19" i="60"/>
  <c r="Z18" i="60"/>
  <c r="X126" i="28"/>
  <c r="M20" i="40"/>
  <c r="L21" i="40"/>
  <c r="P21" i="40" s="1"/>
  <c r="F57" i="73" s="1"/>
  <c r="F61" i="73" s="1"/>
  <c r="AY18" i="39"/>
  <c r="R25" i="8" s="1"/>
  <c r="T25" i="8" s="1"/>
  <c r="AY17" i="39"/>
  <c r="M25" i="8" s="1"/>
  <c r="O25" i="8" s="1"/>
  <c r="Q162" i="44"/>
  <c r="Q161" i="44"/>
  <c r="K166" i="44"/>
  <c r="BN76" i="14"/>
  <c r="AX98" i="14"/>
  <c r="BR120" i="14"/>
  <c r="BN109" i="14"/>
  <c r="AX109" i="14"/>
  <c r="AG110" i="14"/>
  <c r="AK121" i="14"/>
  <c r="AX87" i="14"/>
  <c r="AG88" i="14"/>
  <c r="G111" i="14"/>
  <c r="G89" i="14"/>
  <c r="BR98" i="14"/>
  <c r="AX76" i="14"/>
  <c r="BR109" i="14"/>
  <c r="AG121" i="14"/>
  <c r="G122" i="14"/>
  <c r="AX120" i="14"/>
  <c r="AK99" i="14"/>
  <c r="AK76" i="14"/>
  <c r="AL75" i="14"/>
  <c r="BN87" i="14"/>
  <c r="BN120" i="14"/>
  <c r="BR87" i="14"/>
  <c r="G78" i="14"/>
  <c r="G100" i="14"/>
  <c r="AK65" i="14"/>
  <c r="AL64" i="14"/>
  <c r="BR65" i="14"/>
  <c r="AK110" i="14"/>
  <c r="G67" i="14"/>
  <c r="BR76" i="14"/>
  <c r="AG99" i="14"/>
  <c r="AG65" i="14"/>
  <c r="AH64" i="14"/>
  <c r="BN98" i="14"/>
  <c r="BN65" i="14"/>
  <c r="AX65" i="14"/>
  <c r="AY21" i="39"/>
  <c r="R7" i="73" s="1"/>
  <c r="H46" i="73" s="1"/>
  <c r="AU66" i="14"/>
  <c r="AU110" i="14"/>
  <c r="AU121" i="14"/>
  <c r="AT122" i="14"/>
  <c r="AT99" i="14"/>
  <c r="AU98" i="14"/>
  <c r="AT77" i="14"/>
  <c r="AU76" i="14"/>
  <c r="AT88" i="14"/>
  <c r="AU87" i="14"/>
  <c r="AT67" i="14"/>
  <c r="AT111" i="14"/>
  <c r="AY20" i="39"/>
  <c r="Q7" i="73" s="1"/>
  <c r="G46" i="73" s="1"/>
  <c r="FO114" i="2"/>
  <c r="EU138" i="3" s="1"/>
  <c r="D120" i="28"/>
  <c r="D119" i="28"/>
  <c r="FO110" i="2"/>
  <c r="EU134" i="3" s="1"/>
  <c r="FO118" i="2"/>
  <c r="EU142" i="3" s="1"/>
  <c r="FO117" i="2"/>
  <c r="EU141" i="3" s="1"/>
  <c r="D116" i="28"/>
  <c r="D112" i="28"/>
  <c r="FO115" i="2"/>
  <c r="EU139" i="3" s="1"/>
  <c r="E15" i="39"/>
  <c r="D121" i="28"/>
  <c r="D111" i="28"/>
  <c r="F15" i="39"/>
  <c r="H15" i="39" s="1"/>
  <c r="J15" i="39" s="1"/>
  <c r="D14" i="27"/>
  <c r="D15" i="27" s="1"/>
  <c r="E15" i="27" s="1"/>
  <c r="FO111" i="2"/>
  <c r="EU135" i="3" s="1"/>
  <c r="Y122" i="17"/>
  <c r="E18" i="27" s="1"/>
  <c r="X123" i="28"/>
  <c r="X128" i="28"/>
  <c r="X124" i="28"/>
  <c r="X132" i="28"/>
  <c r="X130" i="28"/>
  <c r="X131" i="28"/>
  <c r="X125" i="28"/>
  <c r="X127" i="28"/>
  <c r="X137" i="28"/>
  <c r="L103" i="11"/>
  <c r="W147" i="28" s="1"/>
  <c r="J86" i="11"/>
  <c r="J94" i="11" s="1"/>
  <c r="H11" i="12" s="1"/>
  <c r="H25" i="12" s="1"/>
  <c r="M103" i="11"/>
  <c r="W169" i="28" s="1"/>
  <c r="Q14" i="27"/>
  <c r="Q17" i="27" s="1"/>
  <c r="P15" i="27"/>
  <c r="Q15" i="27" s="1"/>
  <c r="K14" i="27"/>
  <c r="K17" i="27" s="1"/>
  <c r="J15" i="27"/>
  <c r="K15" i="27" s="1"/>
  <c r="W136" i="28"/>
  <c r="U122" i="18"/>
  <c r="Q18" i="27" s="1"/>
  <c r="W138" i="28"/>
  <c r="W139" i="28"/>
  <c r="W140" i="28"/>
  <c r="W141" i="28"/>
  <c r="W134" i="28"/>
  <c r="W143" i="28"/>
  <c r="W144" i="28"/>
  <c r="W145" i="28"/>
  <c r="W135" i="28"/>
  <c r="W142" i="28"/>
  <c r="K3" i="73"/>
  <c r="J16" i="73"/>
  <c r="K16" i="73"/>
  <c r="K17" i="73"/>
  <c r="P7" i="73"/>
  <c r="F46" i="73" s="1"/>
  <c r="M7" i="73"/>
  <c r="C46" i="73" s="1"/>
  <c r="L7" i="73"/>
  <c r="P85" i="73"/>
  <c r="AG76" i="14"/>
  <c r="AH75" i="14"/>
  <c r="AK87" i="14"/>
  <c r="AL86" i="14"/>
  <c r="X129" i="28"/>
  <c r="X122" i="28"/>
  <c r="X133" i="28"/>
  <c r="AD14" i="39"/>
  <c r="Q144" i="51"/>
  <c r="R148" i="51"/>
  <c r="K172" i="44"/>
  <c r="K192" i="44" s="1"/>
  <c r="K185" i="44"/>
  <c r="K205" i="44" s="1"/>
  <c r="V132" i="29"/>
  <c r="T133" i="29"/>
  <c r="U133" i="29"/>
  <c r="BE119" i="14"/>
  <c r="BE97" i="14"/>
  <c r="BE75" i="14"/>
  <c r="BE64" i="14"/>
  <c r="BE108" i="14"/>
  <c r="BE86" i="14"/>
  <c r="S176" i="36"/>
  <c r="S173" i="36"/>
  <c r="AD77" i="14"/>
  <c r="AD111" i="14"/>
  <c r="AD100" i="14"/>
  <c r="AD122" i="14"/>
  <c r="AD66" i="14"/>
  <c r="AD89" i="14"/>
  <c r="S177" i="36"/>
  <c r="S181" i="36"/>
  <c r="S179" i="36"/>
  <c r="S172" i="36"/>
  <c r="S174" i="36"/>
  <c r="S170" i="36"/>
  <c r="S180" i="36"/>
  <c r="S178" i="36"/>
  <c r="S171" i="36"/>
  <c r="AD106" i="11"/>
  <c r="S193" i="36" s="1"/>
  <c r="AB89" i="11"/>
  <c r="AB97" i="11" s="1"/>
  <c r="K42" i="12" s="1"/>
  <c r="Q44" i="12"/>
  <c r="Q52" i="12"/>
  <c r="Q54" i="12" s="1"/>
  <c r="P44" i="12"/>
  <c r="P52" i="12"/>
  <c r="P54" i="12" s="1"/>
  <c r="O44" i="12"/>
  <c r="O52" i="12"/>
  <c r="O54" i="12" s="1"/>
  <c r="C25" i="8"/>
  <c r="M7" i="41"/>
  <c r="W25" i="8"/>
  <c r="Y25" i="8" s="1"/>
  <c r="Q7" i="41"/>
  <c r="F46" i="41" s="1"/>
  <c r="P25" i="8"/>
  <c r="M31" i="40"/>
  <c r="L30" i="40"/>
  <c r="H25" i="8"/>
  <c r="J25" i="8" s="1"/>
  <c r="L25" i="8" s="1"/>
  <c r="AN25" i="8" s="1"/>
  <c r="N7" i="41"/>
  <c r="C46" i="41" s="1"/>
  <c r="G44" i="12"/>
  <c r="U175" i="35"/>
  <c r="U176" i="35"/>
  <c r="U177" i="35"/>
  <c r="U178" i="35"/>
  <c r="U179" i="35"/>
  <c r="U180" i="35"/>
  <c r="U181" i="35"/>
  <c r="U173" i="35"/>
  <c r="U174" i="35"/>
  <c r="U170" i="35"/>
  <c r="U171" i="35"/>
  <c r="U172" i="35"/>
  <c r="W159" i="34"/>
  <c r="W160" i="34"/>
  <c r="W161" i="34"/>
  <c r="W162" i="34"/>
  <c r="W163" i="34"/>
  <c r="W164" i="34"/>
  <c r="W158" i="34"/>
  <c r="W165" i="34"/>
  <c r="W166" i="34"/>
  <c r="W167" i="34"/>
  <c r="W168" i="34"/>
  <c r="W169" i="34"/>
  <c r="AD103" i="11"/>
  <c r="AC103" i="11"/>
  <c r="Y90" i="11"/>
  <c r="H40" i="12"/>
  <c r="Y98" i="11"/>
  <c r="R42" i="12" s="1"/>
  <c r="Z86" i="11"/>
  <c r="AA88" i="11"/>
  <c r="AA90" i="11" s="1"/>
  <c r="Q179" i="44"/>
  <c r="Q199" i="44" s="1"/>
  <c r="Q178" i="44"/>
  <c r="Q198" i="44" s="1"/>
  <c r="R124" i="44"/>
  <c r="R125" i="44"/>
  <c r="A135" i="29"/>
  <c r="C134" i="29"/>
  <c r="B134" i="29"/>
  <c r="L131" i="44"/>
  <c r="BS120" i="14"/>
  <c r="BS109" i="14"/>
  <c r="BS87" i="14"/>
  <c r="BS76" i="14"/>
  <c r="BS98" i="14"/>
  <c r="BC64" i="14"/>
  <c r="BC86" i="14"/>
  <c r="BC75" i="14"/>
  <c r="AY120" i="14"/>
  <c r="BC98" i="14"/>
  <c r="BO98" i="14"/>
  <c r="AY87" i="14"/>
  <c r="BO76" i="14"/>
  <c r="BO65" i="14"/>
  <c r="BO87" i="14"/>
  <c r="AY65" i="14"/>
  <c r="AY109" i="14"/>
  <c r="AY76" i="14"/>
  <c r="BO120" i="14"/>
  <c r="AY98" i="14"/>
  <c r="BO109" i="14"/>
  <c r="AL99" i="14"/>
  <c r="AH110" i="14"/>
  <c r="H67" i="14"/>
  <c r="H122" i="14"/>
  <c r="AH88" i="14"/>
  <c r="H57" i="14"/>
  <c r="H89" i="14"/>
  <c r="H78" i="14"/>
  <c r="AH99" i="14"/>
  <c r="H100" i="14"/>
  <c r="AL110" i="14"/>
  <c r="AL121" i="14"/>
  <c r="AH121" i="14"/>
  <c r="H111" i="14"/>
  <c r="N131" i="44"/>
  <c r="O67" i="44"/>
  <c r="R17" i="44"/>
  <c r="AB122" i="14"/>
  <c r="AB78" i="14"/>
  <c r="BC119" i="14"/>
  <c r="AB100" i="14"/>
  <c r="BC109" i="14"/>
  <c r="AB89" i="14"/>
  <c r="AB111" i="14"/>
  <c r="AB66" i="14"/>
  <c r="AD77" i="11"/>
  <c r="AS27" i="8"/>
  <c r="H76" i="73" s="1"/>
  <c r="H85" i="73" s="1"/>
  <c r="G76" i="41"/>
  <c r="I41" i="12"/>
  <c r="O16" i="44"/>
  <c r="O76" i="41"/>
  <c r="N85" i="41"/>
  <c r="P76" i="41"/>
  <c r="J11" i="60" l="1"/>
  <c r="F18" i="60"/>
  <c r="D18" i="60"/>
  <c r="J12" i="60"/>
  <c r="Q18" i="60"/>
  <c r="T19" i="60"/>
  <c r="AA18" i="60"/>
  <c r="M19" i="40"/>
  <c r="L20" i="40"/>
  <c r="P20" i="40" s="1"/>
  <c r="E57" i="73" s="1"/>
  <c r="E61" i="73" s="1"/>
  <c r="O7" i="73"/>
  <c r="E46" i="73" s="1"/>
  <c r="O7" i="41"/>
  <c r="D46" i="41" s="1"/>
  <c r="N7" i="73"/>
  <c r="D46" i="73" s="1"/>
  <c r="P7" i="41"/>
  <c r="E46" i="41" s="1"/>
  <c r="O7" i="44" s="1"/>
  <c r="R161" i="44"/>
  <c r="L166" i="44"/>
  <c r="N166" i="44"/>
  <c r="R162" i="44"/>
  <c r="S7" i="41"/>
  <c r="H46" i="41" s="1"/>
  <c r="R7" i="44" s="1"/>
  <c r="AG25" i="8"/>
  <c r="AI25" i="8" s="1"/>
  <c r="G90" i="14"/>
  <c r="AK111" i="14"/>
  <c r="BN121" i="14"/>
  <c r="G123" i="14"/>
  <c r="AG66" i="14"/>
  <c r="AH65" i="14"/>
  <c r="AG111" i="14"/>
  <c r="BR66" i="14"/>
  <c r="G112" i="14"/>
  <c r="H112" i="14" s="1"/>
  <c r="AG122" i="14"/>
  <c r="AX110" i="14"/>
  <c r="BN66" i="14"/>
  <c r="BN88" i="14"/>
  <c r="BS65" i="14"/>
  <c r="BR110" i="14"/>
  <c r="BN110" i="14"/>
  <c r="AG100" i="14"/>
  <c r="AG89" i="14"/>
  <c r="AK66" i="14"/>
  <c r="AL65" i="14"/>
  <c r="AK77" i="14"/>
  <c r="AL76" i="14"/>
  <c r="AX77" i="14"/>
  <c r="BR121" i="14"/>
  <c r="BS121" i="14" s="1"/>
  <c r="BR77" i="14"/>
  <c r="AX88" i="14"/>
  <c r="AX66" i="14"/>
  <c r="BN99" i="14"/>
  <c r="G101" i="14"/>
  <c r="H101" i="14" s="1"/>
  <c r="AK100" i="14"/>
  <c r="BR99" i="14"/>
  <c r="AX99" i="14"/>
  <c r="AK122" i="14"/>
  <c r="G79" i="14"/>
  <c r="AX121" i="14"/>
  <c r="BN77" i="14"/>
  <c r="G68" i="14"/>
  <c r="BR88" i="14"/>
  <c r="AU67" i="14"/>
  <c r="AU111" i="14"/>
  <c r="AU122" i="14"/>
  <c r="R7" i="41"/>
  <c r="G46" i="41" s="1"/>
  <c r="AB25" i="8"/>
  <c r="AD25" i="8" s="1"/>
  <c r="AT78" i="14"/>
  <c r="AU77" i="14"/>
  <c r="AT123" i="14"/>
  <c r="AT112" i="14"/>
  <c r="AT68" i="14"/>
  <c r="AT100" i="14"/>
  <c r="AU99" i="14"/>
  <c r="AT89" i="14"/>
  <c r="AU88" i="14"/>
  <c r="K94" i="11"/>
  <c r="I11" i="12" s="1"/>
  <c r="I25" i="12" s="1"/>
  <c r="W146" i="28"/>
  <c r="E14" i="27"/>
  <c r="E17" i="27" s="1"/>
  <c r="W155" i="28"/>
  <c r="W157" i="28"/>
  <c r="W156" i="28"/>
  <c r="W151" i="28"/>
  <c r="W149" i="28"/>
  <c r="W154" i="28"/>
  <c r="W153" i="28"/>
  <c r="W150" i="28"/>
  <c r="W148" i="28"/>
  <c r="W152" i="28"/>
  <c r="X136" i="28"/>
  <c r="X142" i="28"/>
  <c r="X135" i="28"/>
  <c r="X145" i="28"/>
  <c r="X144" i="28"/>
  <c r="X143" i="28"/>
  <c r="X134" i="28"/>
  <c r="X140" i="28"/>
  <c r="X141" i="28"/>
  <c r="X139" i="28"/>
  <c r="X138" i="28"/>
  <c r="W165" i="28"/>
  <c r="W163" i="28"/>
  <c r="W166" i="28"/>
  <c r="W161" i="28"/>
  <c r="W160" i="28"/>
  <c r="W159" i="28"/>
  <c r="W162" i="28"/>
  <c r="W164" i="28"/>
  <c r="W167" i="28"/>
  <c r="W158" i="28"/>
  <c r="W168" i="28"/>
  <c r="M166" i="44"/>
  <c r="L3" i="73"/>
  <c r="L5" i="73"/>
  <c r="K5" i="73"/>
  <c r="AG77" i="14"/>
  <c r="AH76" i="14"/>
  <c r="AK88" i="14"/>
  <c r="AL87" i="14"/>
  <c r="F16" i="39"/>
  <c r="H16" i="39" s="1"/>
  <c r="C74" i="41"/>
  <c r="C74" i="73"/>
  <c r="M5" i="41"/>
  <c r="M3" i="41"/>
  <c r="P144" i="51"/>
  <c r="Q148" i="51"/>
  <c r="M7" i="44"/>
  <c r="P7" i="44"/>
  <c r="N9" i="60"/>
  <c r="L34" i="44"/>
  <c r="L80" i="44"/>
  <c r="X37" i="60" s="1"/>
  <c r="L185" i="44"/>
  <c r="L205" i="44" s="1"/>
  <c r="S191" i="36"/>
  <c r="T134" i="29"/>
  <c r="U134" i="29"/>
  <c r="V133" i="29"/>
  <c r="BE87" i="14"/>
  <c r="BE109" i="14"/>
  <c r="BE65" i="14"/>
  <c r="BE76" i="14"/>
  <c r="BC99" i="14"/>
  <c r="BE98" i="14"/>
  <c r="BE120" i="14"/>
  <c r="S184" i="36"/>
  <c r="S186" i="36"/>
  <c r="S188" i="36"/>
  <c r="S187" i="36"/>
  <c r="AD90" i="14"/>
  <c r="AD68" i="14"/>
  <c r="AD67" i="14"/>
  <c r="AD123" i="14"/>
  <c r="AD101" i="14"/>
  <c r="AD112" i="14"/>
  <c r="AD78" i="14"/>
  <c r="S190" i="36"/>
  <c r="S185" i="36"/>
  <c r="S192" i="36"/>
  <c r="S183" i="36"/>
  <c r="S182" i="36"/>
  <c r="S189" i="36"/>
  <c r="AD105" i="11"/>
  <c r="U192" i="35" s="1"/>
  <c r="AB88" i="11"/>
  <c r="AB90" i="11" s="1"/>
  <c r="R44" i="12"/>
  <c r="R52" i="12"/>
  <c r="R54" i="12" s="1"/>
  <c r="H44" i="12"/>
  <c r="R179" i="44"/>
  <c r="R199" i="44" s="1"/>
  <c r="R178" i="44"/>
  <c r="R198" i="44" s="1"/>
  <c r="Q25" i="8"/>
  <c r="AO25" i="8" s="1"/>
  <c r="U25" i="8"/>
  <c r="M32" i="40"/>
  <c r="L31" i="40"/>
  <c r="E25" i="8"/>
  <c r="X169" i="28"/>
  <c r="X147" i="28"/>
  <c r="W175" i="34"/>
  <c r="W176" i="34"/>
  <c r="W177" i="34"/>
  <c r="W178" i="34"/>
  <c r="W179" i="34"/>
  <c r="W180" i="34"/>
  <c r="W181" i="34"/>
  <c r="W172" i="34"/>
  <c r="W170" i="34"/>
  <c r="W171" i="34"/>
  <c r="W173" i="34"/>
  <c r="W174" i="34"/>
  <c r="W191" i="34"/>
  <c r="W192" i="34"/>
  <c r="W193" i="34"/>
  <c r="W190" i="34"/>
  <c r="W182" i="34"/>
  <c r="W183" i="34"/>
  <c r="W184" i="34"/>
  <c r="W188" i="34"/>
  <c r="W185" i="34"/>
  <c r="W189" i="34"/>
  <c r="W186" i="34"/>
  <c r="W187" i="34"/>
  <c r="AA96" i="11"/>
  <c r="J41" i="12" s="1"/>
  <c r="AB94" i="11"/>
  <c r="K40" i="12" s="1"/>
  <c r="Z94" i="11"/>
  <c r="Z90" i="11"/>
  <c r="AA94" i="11"/>
  <c r="J40" i="12" s="1"/>
  <c r="N185" i="44"/>
  <c r="B135" i="29"/>
  <c r="A136" i="29"/>
  <c r="C135" i="29"/>
  <c r="BS66" i="14"/>
  <c r="BS88" i="14"/>
  <c r="BS110" i="14"/>
  <c r="BS99" i="14"/>
  <c r="BS77" i="14"/>
  <c r="BO99" i="14"/>
  <c r="BO121" i="14"/>
  <c r="BO77" i="14"/>
  <c r="BO88" i="14"/>
  <c r="AY88" i="14"/>
  <c r="BO110" i="14"/>
  <c r="AY121" i="14"/>
  <c r="BC87" i="14"/>
  <c r="AY99" i="14"/>
  <c r="BC65" i="14"/>
  <c r="BO66" i="14"/>
  <c r="BC76" i="14"/>
  <c r="AY66" i="14"/>
  <c r="AL111" i="14"/>
  <c r="AH100" i="14"/>
  <c r="AH122" i="14"/>
  <c r="AH57" i="14"/>
  <c r="AL122" i="14"/>
  <c r="AH89" i="14"/>
  <c r="H79" i="14"/>
  <c r="H123" i="14"/>
  <c r="AL100" i="14"/>
  <c r="H68" i="14"/>
  <c r="H69" i="14"/>
  <c r="AL57" i="14"/>
  <c r="H90" i="14"/>
  <c r="AH111" i="14"/>
  <c r="P67" i="44"/>
  <c r="AB67" i="14"/>
  <c r="AB101" i="14"/>
  <c r="AB90" i="14"/>
  <c r="BC120" i="14"/>
  <c r="AB123" i="14"/>
  <c r="BC110" i="14"/>
  <c r="AB79" i="14"/>
  <c r="AB112" i="14"/>
  <c r="O131" i="44"/>
  <c r="H76" i="41"/>
  <c r="G85" i="41"/>
  <c r="P85" i="41"/>
  <c r="O85" i="41"/>
  <c r="AY110" i="14" l="1"/>
  <c r="AY77" i="14"/>
  <c r="O9" i="60"/>
  <c r="G18" i="60"/>
  <c r="T9" i="60"/>
  <c r="Q9" i="60"/>
  <c r="R9" i="60"/>
  <c r="AB18" i="60"/>
  <c r="M18" i="40"/>
  <c r="L18" i="40" s="1"/>
  <c r="P18" i="40" s="1"/>
  <c r="C57" i="73" s="1"/>
  <c r="C61" i="73" s="1"/>
  <c r="L19" i="40"/>
  <c r="P19" i="40" s="1"/>
  <c r="D57" i="73" s="1"/>
  <c r="D61" i="73" s="1"/>
  <c r="L150" i="44"/>
  <c r="D39" i="60" s="1"/>
  <c r="N39" i="60"/>
  <c r="N7" i="44"/>
  <c r="O166" i="44"/>
  <c r="BN111" i="14"/>
  <c r="BN67" i="14"/>
  <c r="AX100" i="14"/>
  <c r="AX89" i="14"/>
  <c r="AK67" i="14"/>
  <c r="AL66" i="14"/>
  <c r="AG67" i="14"/>
  <c r="AH66" i="14"/>
  <c r="BR89" i="14"/>
  <c r="AX111" i="14"/>
  <c r="AX122" i="14"/>
  <c r="BR100" i="14"/>
  <c r="BS100" i="14" s="1"/>
  <c r="BR111" i="14"/>
  <c r="BS111" i="14" s="1"/>
  <c r="AG123" i="14"/>
  <c r="G124" i="14"/>
  <c r="G80" i="14"/>
  <c r="AK101" i="14"/>
  <c r="BR78" i="14"/>
  <c r="BN122" i="14"/>
  <c r="G102" i="14"/>
  <c r="H102" i="14" s="1"/>
  <c r="BN78" i="14"/>
  <c r="AK112" i="14"/>
  <c r="BN100" i="14"/>
  <c r="BR122" i="14"/>
  <c r="AG90" i="14"/>
  <c r="AH90" i="14" s="1"/>
  <c r="G113" i="14"/>
  <c r="H113" i="14" s="1"/>
  <c r="AX67" i="14"/>
  <c r="AX78" i="14"/>
  <c r="AG101" i="14"/>
  <c r="AH101" i="14" s="1"/>
  <c r="AK123" i="14"/>
  <c r="BR67" i="14"/>
  <c r="G91" i="14"/>
  <c r="BN89" i="14"/>
  <c r="BO89" i="14" s="1"/>
  <c r="AK78" i="14"/>
  <c r="AL77" i="14"/>
  <c r="AG112" i="14"/>
  <c r="AU68" i="14"/>
  <c r="Q7" i="44"/>
  <c r="AU112" i="14"/>
  <c r="AU69" i="14"/>
  <c r="AU123" i="14"/>
  <c r="AT90" i="14"/>
  <c r="AU89" i="14"/>
  <c r="AT101" i="14"/>
  <c r="AU100" i="14"/>
  <c r="AT124" i="14"/>
  <c r="AT113" i="14"/>
  <c r="AT79" i="14"/>
  <c r="AU78" i="14"/>
  <c r="X146" i="28"/>
  <c r="X155" i="28"/>
  <c r="N7" i="60"/>
  <c r="N5" i="60"/>
  <c r="X153" i="28"/>
  <c r="X150" i="28"/>
  <c r="X148" i="28"/>
  <c r="X151" i="28"/>
  <c r="X149" i="28"/>
  <c r="X154" i="28"/>
  <c r="X157" i="28"/>
  <c r="X152" i="28"/>
  <c r="X156" i="28"/>
  <c r="X165" i="28"/>
  <c r="X159" i="28"/>
  <c r="X163" i="28"/>
  <c r="X166" i="28"/>
  <c r="F17" i="39"/>
  <c r="H17" i="39" s="1"/>
  <c r="X168" i="28"/>
  <c r="X158" i="28"/>
  <c r="X167" i="28"/>
  <c r="X164" i="28"/>
  <c r="X162" i="28"/>
  <c r="X160" i="28"/>
  <c r="X161" i="28"/>
  <c r="AG78" i="14"/>
  <c r="AH77" i="14"/>
  <c r="AK89" i="14"/>
  <c r="AL88" i="14"/>
  <c r="J16" i="39"/>
  <c r="D74" i="41"/>
  <c r="D74" i="73"/>
  <c r="O144" i="51"/>
  <c r="P148" i="51"/>
  <c r="L78" i="44"/>
  <c r="X34" i="60" s="1"/>
  <c r="AU57" i="14"/>
  <c r="T135" i="29"/>
  <c r="U135" i="29"/>
  <c r="V134" i="29"/>
  <c r="BE121" i="14"/>
  <c r="BE99" i="14"/>
  <c r="BE77" i="14"/>
  <c r="BE66" i="14"/>
  <c r="BE110" i="14"/>
  <c r="BE88" i="14"/>
  <c r="AD80" i="14"/>
  <c r="AD79" i="14"/>
  <c r="AD113" i="14"/>
  <c r="AD102" i="14"/>
  <c r="AD124" i="14"/>
  <c r="AD92" i="14"/>
  <c r="AD91" i="14"/>
  <c r="U185" i="35"/>
  <c r="U190" i="35"/>
  <c r="U188" i="35"/>
  <c r="U187" i="35"/>
  <c r="U186" i="35"/>
  <c r="U189" i="35"/>
  <c r="U191" i="35"/>
  <c r="U184" i="35"/>
  <c r="U183" i="35"/>
  <c r="U193" i="35"/>
  <c r="U182" i="35"/>
  <c r="V25" i="8"/>
  <c r="AP25" i="8" s="1"/>
  <c r="G25" i="8"/>
  <c r="Z25" i="8"/>
  <c r="L32" i="40"/>
  <c r="M33" i="40"/>
  <c r="AA98" i="11"/>
  <c r="T42" i="12" s="1"/>
  <c r="AB96" i="11"/>
  <c r="K41" i="12" s="1"/>
  <c r="I40" i="12"/>
  <c r="Z98" i="11"/>
  <c r="S42" i="12" s="1"/>
  <c r="O185" i="44"/>
  <c r="O205" i="44" s="1"/>
  <c r="C136" i="29"/>
  <c r="A137" i="29"/>
  <c r="B136" i="29"/>
  <c r="BS78" i="14"/>
  <c r="BS89" i="14"/>
  <c r="BS122" i="14"/>
  <c r="BS67" i="14"/>
  <c r="BS57" i="14"/>
  <c r="BC77" i="14"/>
  <c r="BC66" i="14"/>
  <c r="BC88" i="14"/>
  <c r="AY78" i="14"/>
  <c r="AY122" i="14"/>
  <c r="BO78" i="14"/>
  <c r="BC100" i="14"/>
  <c r="BO122" i="14"/>
  <c r="BO57" i="14"/>
  <c r="AY100" i="14"/>
  <c r="BO111" i="14"/>
  <c r="AY89" i="14"/>
  <c r="BO100" i="14"/>
  <c r="BO67" i="14"/>
  <c r="AY111" i="14"/>
  <c r="AY57" i="14"/>
  <c r="H91" i="14"/>
  <c r="H124" i="14"/>
  <c r="H80" i="14"/>
  <c r="H81" i="14"/>
  <c r="AH123" i="14"/>
  <c r="AL123" i="14"/>
  <c r="AL112" i="14"/>
  <c r="AL101" i="14"/>
  <c r="AH112" i="14"/>
  <c r="P131" i="44"/>
  <c r="R67" i="44"/>
  <c r="Q67" i="44"/>
  <c r="BC111" i="14"/>
  <c r="AB91" i="14"/>
  <c r="AB124" i="14"/>
  <c r="AB68" i="14"/>
  <c r="AB69" i="14"/>
  <c r="BC121" i="14"/>
  <c r="AB113" i="14"/>
  <c r="AB102" i="14"/>
  <c r="AB80" i="14"/>
  <c r="AB81" i="14"/>
  <c r="Q16" i="44"/>
  <c r="H85" i="41"/>
  <c r="AY67" i="14" l="1"/>
  <c r="S9" i="60"/>
  <c r="H18" i="60"/>
  <c r="P9" i="60"/>
  <c r="AD18" i="60"/>
  <c r="AC18" i="60"/>
  <c r="S18" i="60"/>
  <c r="P166" i="44"/>
  <c r="BN90" i="14"/>
  <c r="BO90" i="14" s="1"/>
  <c r="AX79" i="14"/>
  <c r="AX123" i="14"/>
  <c r="AK68" i="14"/>
  <c r="AL67" i="14"/>
  <c r="AG124" i="14"/>
  <c r="AX68" i="14"/>
  <c r="AX112" i="14"/>
  <c r="AX90" i="14"/>
  <c r="AK113" i="14"/>
  <c r="BR112" i="14"/>
  <c r="AX101" i="14"/>
  <c r="AG113" i="14"/>
  <c r="G92" i="14"/>
  <c r="BN79" i="14"/>
  <c r="BR79" i="14"/>
  <c r="BR68" i="14"/>
  <c r="BS68" i="14" s="1"/>
  <c r="AK79" i="14"/>
  <c r="AL78" i="14"/>
  <c r="AK102" i="14"/>
  <c r="BR90" i="14"/>
  <c r="G114" i="14"/>
  <c r="H114" i="14" s="1"/>
  <c r="AK124" i="14"/>
  <c r="AL124" i="14" s="1"/>
  <c r="AG91" i="14"/>
  <c r="AH91" i="14" s="1"/>
  <c r="BN68" i="14"/>
  <c r="G103" i="14"/>
  <c r="BR123" i="14"/>
  <c r="BS123" i="14" s="1"/>
  <c r="AG68" i="14"/>
  <c r="AH67" i="14"/>
  <c r="BN112" i="14"/>
  <c r="BO112" i="14" s="1"/>
  <c r="AG102" i="14"/>
  <c r="AH102" i="14" s="1"/>
  <c r="BR101" i="14"/>
  <c r="BN101" i="14"/>
  <c r="BN123" i="14"/>
  <c r="BO123" i="14" s="1"/>
  <c r="G125" i="14"/>
  <c r="H125" i="14" s="1"/>
  <c r="AU124" i="14"/>
  <c r="AU113" i="14"/>
  <c r="AT125" i="14"/>
  <c r="AT91" i="14"/>
  <c r="AU90" i="14"/>
  <c r="AT80" i="14"/>
  <c r="AU79" i="14"/>
  <c r="AT102" i="14"/>
  <c r="AU101" i="14"/>
  <c r="AT114" i="14"/>
  <c r="F18" i="39"/>
  <c r="H18" i="39" s="1"/>
  <c r="J18" i="39" s="1"/>
  <c r="F19" i="39"/>
  <c r="H19" i="39" s="1"/>
  <c r="J17" i="39"/>
  <c r="N3" i="73" s="1"/>
  <c r="D42" i="73" s="1"/>
  <c r="N3" i="41"/>
  <c r="C42" i="41" s="1"/>
  <c r="M3" i="73"/>
  <c r="C42" i="73" s="1"/>
  <c r="AG79" i="14"/>
  <c r="AH78" i="14"/>
  <c r="AK90" i="14"/>
  <c r="AL89" i="14"/>
  <c r="E74" i="41"/>
  <c r="E74" i="73"/>
  <c r="L33" i="40"/>
  <c r="AJ25" i="8" s="1"/>
  <c r="AK25" i="8" s="1"/>
  <c r="AS25" i="8" s="1"/>
  <c r="T143" i="51"/>
  <c r="N144" i="51"/>
  <c r="O148" i="51"/>
  <c r="T136" i="29"/>
  <c r="U136" i="29"/>
  <c r="V135" i="29"/>
  <c r="BE89" i="14"/>
  <c r="BE111" i="14"/>
  <c r="BE68" i="14"/>
  <c r="BE67" i="14"/>
  <c r="BE78" i="14"/>
  <c r="BE100" i="14"/>
  <c r="BE122" i="14"/>
  <c r="AD125" i="14"/>
  <c r="AD104" i="14"/>
  <c r="AD103" i="14"/>
  <c r="AD114" i="14"/>
  <c r="J44" i="12"/>
  <c r="T44" i="12"/>
  <c r="T52" i="12"/>
  <c r="T54" i="12" s="1"/>
  <c r="S44" i="12"/>
  <c r="S52" i="12"/>
  <c r="S54" i="12" s="1"/>
  <c r="AE25" i="8"/>
  <c r="AF25" i="8" s="1"/>
  <c r="AR25" i="8" s="1"/>
  <c r="AA25" i="8"/>
  <c r="AQ25" i="8" s="1"/>
  <c r="AM25" i="8"/>
  <c r="AB98" i="11"/>
  <c r="I44" i="12"/>
  <c r="P185" i="44"/>
  <c r="P205" i="44" s="1"/>
  <c r="C137" i="29"/>
  <c r="A138" i="29"/>
  <c r="B137" i="29"/>
  <c r="BS101" i="14"/>
  <c r="BS112" i="14"/>
  <c r="BS90" i="14"/>
  <c r="BS79" i="14"/>
  <c r="BC89" i="14"/>
  <c r="AY112" i="14"/>
  <c r="BO79" i="14"/>
  <c r="BC67" i="14"/>
  <c r="BO68" i="14"/>
  <c r="BO69" i="14"/>
  <c r="AY101" i="14"/>
  <c r="AY123" i="14"/>
  <c r="BC78" i="14"/>
  <c r="BO101" i="14"/>
  <c r="AY79" i="14"/>
  <c r="BC101" i="14"/>
  <c r="AY90" i="14"/>
  <c r="BC57" i="14"/>
  <c r="AH113" i="14"/>
  <c r="AL102" i="14"/>
  <c r="H92" i="14"/>
  <c r="H93" i="14"/>
  <c r="AL113" i="14"/>
  <c r="AH124" i="14"/>
  <c r="H103" i="14"/>
  <c r="AB103" i="14"/>
  <c r="AB114" i="14"/>
  <c r="BC112" i="14"/>
  <c r="AB125" i="14"/>
  <c r="BC122" i="14"/>
  <c r="AB92" i="14"/>
  <c r="AB93" i="14"/>
  <c r="Q131" i="44"/>
  <c r="R16" i="44"/>
  <c r="AY69" i="14" l="1"/>
  <c r="I18" i="60"/>
  <c r="T18" i="60"/>
  <c r="BS69" i="14"/>
  <c r="AY68" i="14"/>
  <c r="Q166" i="44"/>
  <c r="G104" i="14"/>
  <c r="G115" i="14"/>
  <c r="AX102" i="14"/>
  <c r="BR80" i="14"/>
  <c r="BS80" i="14" s="1"/>
  <c r="BR113" i="14"/>
  <c r="BS113" i="14" s="1"/>
  <c r="AG125" i="14"/>
  <c r="AH125" i="14" s="1"/>
  <c r="AG103" i="14"/>
  <c r="AH103" i="14" s="1"/>
  <c r="G126" i="14"/>
  <c r="H126" i="14" s="1"/>
  <c r="BR91" i="14"/>
  <c r="AK114" i="14"/>
  <c r="AL68" i="14"/>
  <c r="AL69" i="14"/>
  <c r="BN124" i="14"/>
  <c r="BN113" i="14"/>
  <c r="AK103" i="14"/>
  <c r="AX91" i="14"/>
  <c r="AX124" i="14"/>
  <c r="BN102" i="14"/>
  <c r="AG92" i="14"/>
  <c r="AH93" i="14" s="1"/>
  <c r="AH68" i="14"/>
  <c r="AH69" i="14"/>
  <c r="AK80" i="14"/>
  <c r="AL79" i="14"/>
  <c r="BN80" i="14"/>
  <c r="BO80" i="14" s="1"/>
  <c r="AX113" i="14"/>
  <c r="BR124" i="14"/>
  <c r="BS124" i="14" s="1"/>
  <c r="AX80" i="14"/>
  <c r="BR102" i="14"/>
  <c r="BS102" i="14" s="1"/>
  <c r="AK125" i="14"/>
  <c r="AL125" i="14" s="1"/>
  <c r="AG114" i="14"/>
  <c r="AH114" i="14" s="1"/>
  <c r="BN91" i="14"/>
  <c r="BO91" i="14" s="1"/>
  <c r="AU125" i="14"/>
  <c r="AU114" i="14"/>
  <c r="AT103" i="14"/>
  <c r="AU102" i="14"/>
  <c r="AT92" i="14"/>
  <c r="AU91" i="14"/>
  <c r="AT115" i="14"/>
  <c r="AT126" i="14"/>
  <c r="AU80" i="14"/>
  <c r="AU81" i="14"/>
  <c r="M3" i="44"/>
  <c r="O3" i="41"/>
  <c r="D42" i="41" s="1"/>
  <c r="J19" i="39"/>
  <c r="P3" i="73" s="1"/>
  <c r="O3" i="73"/>
  <c r="AG80" i="14"/>
  <c r="AH79" i="14"/>
  <c r="AK91" i="14"/>
  <c r="AL90" i="14"/>
  <c r="F74" i="41"/>
  <c r="F74" i="73"/>
  <c r="G74" i="41"/>
  <c r="G74" i="73"/>
  <c r="P3" i="41"/>
  <c r="E42" i="41" s="1"/>
  <c r="H74" i="41"/>
  <c r="H74" i="73"/>
  <c r="T147" i="51"/>
  <c r="S143" i="51"/>
  <c r="M144" i="51"/>
  <c r="N148" i="51"/>
  <c r="L32" i="44"/>
  <c r="O14" i="14"/>
  <c r="I53" i="11"/>
  <c r="T137" i="29"/>
  <c r="U137" i="29"/>
  <c r="V136" i="29"/>
  <c r="BE123" i="14"/>
  <c r="BC102" i="14"/>
  <c r="BE101" i="14"/>
  <c r="BE80" i="14"/>
  <c r="BE79" i="14"/>
  <c r="BE112" i="14"/>
  <c r="BE90" i="14"/>
  <c r="AD116" i="14"/>
  <c r="AD115" i="14"/>
  <c r="AD126" i="14"/>
  <c r="K44" i="12"/>
  <c r="U42" i="12"/>
  <c r="Q185" i="44"/>
  <c r="Q205" i="44" s="1"/>
  <c r="A139" i="29"/>
  <c r="C138" i="29"/>
  <c r="B138" i="29"/>
  <c r="BS91" i="14"/>
  <c r="BO124" i="14"/>
  <c r="BO113" i="14"/>
  <c r="AY80" i="14"/>
  <c r="AY81" i="14"/>
  <c r="BC68" i="14"/>
  <c r="BC69" i="14"/>
  <c r="BC90" i="14"/>
  <c r="BC79" i="14"/>
  <c r="BO102" i="14"/>
  <c r="AH92" i="14"/>
  <c r="H115" i="14"/>
  <c r="H104" i="14"/>
  <c r="H105" i="14"/>
  <c r="AL103" i="14"/>
  <c r="AL114" i="14"/>
  <c r="AB115" i="14"/>
  <c r="AB126" i="14"/>
  <c r="BC123" i="14"/>
  <c r="AB104" i="14"/>
  <c r="AB105" i="14"/>
  <c r="BC113" i="14"/>
  <c r="R131" i="44"/>
  <c r="AY102" i="14" l="1"/>
  <c r="AY124" i="14"/>
  <c r="AY113" i="14"/>
  <c r="AY91" i="14"/>
  <c r="J18" i="60"/>
  <c r="O5" i="60"/>
  <c r="BS81" i="14"/>
  <c r="L148" i="44"/>
  <c r="D37" i="60" s="1"/>
  <c r="N37" i="60"/>
  <c r="BO81" i="14"/>
  <c r="R166" i="44"/>
  <c r="BN114" i="14"/>
  <c r="BO114" i="14" s="1"/>
  <c r="BR92" i="14"/>
  <c r="AX114" i="14"/>
  <c r="AG115" i="14"/>
  <c r="BN125" i="14"/>
  <c r="G127" i="14"/>
  <c r="H127" i="14" s="1"/>
  <c r="BN103" i="14"/>
  <c r="BO103" i="14" s="1"/>
  <c r="AK126" i="14"/>
  <c r="AL80" i="14"/>
  <c r="AL81" i="14"/>
  <c r="AX103" i="14"/>
  <c r="AG104" i="14"/>
  <c r="AH104" i="14" s="1"/>
  <c r="BR103" i="14"/>
  <c r="BS103" i="14" s="1"/>
  <c r="AX125" i="14"/>
  <c r="G116" i="14"/>
  <c r="H116" i="14" s="1"/>
  <c r="O57" i="14"/>
  <c r="O58" i="14" s="1"/>
  <c r="O59" i="14" s="1"/>
  <c r="O60" i="14" s="1"/>
  <c r="O61" i="14" s="1"/>
  <c r="O62" i="14" s="1"/>
  <c r="O63" i="14" s="1"/>
  <c r="O64" i="14" s="1"/>
  <c r="O65" i="14" s="1"/>
  <c r="O66" i="14" s="1"/>
  <c r="O67" i="14" s="1"/>
  <c r="O68" i="14" s="1"/>
  <c r="AX92" i="14"/>
  <c r="BR125" i="14"/>
  <c r="BS125" i="14" s="1"/>
  <c r="AG126" i="14"/>
  <c r="AH126" i="14" s="1"/>
  <c r="BN92" i="14"/>
  <c r="AK104" i="14"/>
  <c r="AK115" i="14"/>
  <c r="AL115" i="14" s="1"/>
  <c r="BR114" i="14"/>
  <c r="BS114" i="14" s="1"/>
  <c r="AU115" i="14"/>
  <c r="AT127" i="14"/>
  <c r="AT116" i="14"/>
  <c r="AT104" i="14"/>
  <c r="AU103" i="14"/>
  <c r="AU92" i="14"/>
  <c r="AU93" i="14"/>
  <c r="AU126" i="14"/>
  <c r="N3" i="44"/>
  <c r="O3" i="44"/>
  <c r="Q3" i="41"/>
  <c r="F42" i="41" s="1"/>
  <c r="L22" i="44"/>
  <c r="AH80" i="14"/>
  <c r="AH81" i="14"/>
  <c r="AK92" i="14"/>
  <c r="AL91" i="14"/>
  <c r="E42" i="73"/>
  <c r="F42" i="73"/>
  <c r="R143" i="51"/>
  <c r="S147" i="51"/>
  <c r="L144" i="51"/>
  <c r="M148" i="51"/>
  <c r="I54" i="11"/>
  <c r="I57" i="11" s="1"/>
  <c r="J53" i="11"/>
  <c r="O15" i="14"/>
  <c r="T138" i="29"/>
  <c r="U138" i="29"/>
  <c r="V137" i="29"/>
  <c r="BE92" i="14"/>
  <c r="BE91" i="14"/>
  <c r="BE113" i="14"/>
  <c r="BE102" i="14"/>
  <c r="BE124" i="14"/>
  <c r="AD128" i="14"/>
  <c r="AD127" i="14"/>
  <c r="U44" i="12"/>
  <c r="U52" i="12"/>
  <c r="U54" i="12" s="1"/>
  <c r="R185" i="44"/>
  <c r="R205" i="44" s="1"/>
  <c r="A140" i="29"/>
  <c r="C139" i="29"/>
  <c r="B139" i="29"/>
  <c r="BS92" i="14"/>
  <c r="BS93" i="14"/>
  <c r="BC91" i="14"/>
  <c r="BO125" i="14"/>
  <c r="AY92" i="14"/>
  <c r="AY93" i="14"/>
  <c r="BO92" i="14"/>
  <c r="BO93" i="14"/>
  <c r="BC80" i="14"/>
  <c r="BC81" i="14"/>
  <c r="AH115" i="14"/>
  <c r="AL126" i="14"/>
  <c r="AL104" i="14"/>
  <c r="AL105" i="14"/>
  <c r="BC114" i="14"/>
  <c r="BC124" i="14"/>
  <c r="AB116" i="14"/>
  <c r="AB117" i="14"/>
  <c r="AB127" i="14"/>
  <c r="AY114" i="14" l="1"/>
  <c r="AY125" i="14"/>
  <c r="AY103" i="14"/>
  <c r="N24" i="60"/>
  <c r="P5" i="60"/>
  <c r="Q5" i="60"/>
  <c r="AH105" i="14"/>
  <c r="H117" i="14"/>
  <c r="O69" i="14"/>
  <c r="O70" i="14" s="1"/>
  <c r="O71" i="14" s="1"/>
  <c r="O72" i="14" s="1"/>
  <c r="O73" i="14" s="1"/>
  <c r="O74" i="14" s="1"/>
  <c r="O75" i="14" s="1"/>
  <c r="O76" i="14" s="1"/>
  <c r="O77" i="14" s="1"/>
  <c r="O78" i="14" s="1"/>
  <c r="O79" i="14" s="1"/>
  <c r="O80" i="14" s="1"/>
  <c r="AG127" i="14"/>
  <c r="BN104" i="14"/>
  <c r="BO105" i="14" s="1"/>
  <c r="AG116" i="14"/>
  <c r="AX104" i="14"/>
  <c r="BR126" i="14"/>
  <c r="G128" i="14"/>
  <c r="AX126" i="14"/>
  <c r="BN126" i="14"/>
  <c r="BO126" i="14" s="1"/>
  <c r="AX115" i="14"/>
  <c r="BR115" i="14"/>
  <c r="BR104" i="14"/>
  <c r="BN115" i="14"/>
  <c r="BO115" i="14" s="1"/>
  <c r="AK116" i="14"/>
  <c r="AK127" i="14"/>
  <c r="AU127" i="14"/>
  <c r="AU105" i="14"/>
  <c r="AU104" i="14"/>
  <c r="AT128" i="14"/>
  <c r="AU117" i="14"/>
  <c r="AU116" i="14"/>
  <c r="P3" i="44"/>
  <c r="I59" i="11"/>
  <c r="I61" i="11" s="1"/>
  <c r="I78" i="11" s="1"/>
  <c r="I80" i="11" s="1"/>
  <c r="I81" i="11" s="1"/>
  <c r="M152" i="51"/>
  <c r="AL93" i="14"/>
  <c r="AL92" i="14"/>
  <c r="R147" i="51"/>
  <c r="Q143" i="51"/>
  <c r="L148" i="51"/>
  <c r="K144" i="51"/>
  <c r="L137" i="44"/>
  <c r="O16" i="14"/>
  <c r="K53" i="11"/>
  <c r="R57" i="14"/>
  <c r="P57" i="14"/>
  <c r="J54" i="11"/>
  <c r="J57" i="11" s="1"/>
  <c r="BC103" i="14"/>
  <c r="V138" i="29"/>
  <c r="T139" i="29"/>
  <c r="U139" i="29"/>
  <c r="BE125" i="14"/>
  <c r="BE104" i="14"/>
  <c r="BE103" i="14"/>
  <c r="BE114" i="14"/>
  <c r="AD24" i="14"/>
  <c r="AD27" i="14"/>
  <c r="AD25" i="14"/>
  <c r="AD26" i="14"/>
  <c r="AD28" i="14"/>
  <c r="AD29" i="14"/>
  <c r="C140" i="29"/>
  <c r="B140" i="29"/>
  <c r="A141" i="29"/>
  <c r="BS115" i="14"/>
  <c r="BS104" i="14"/>
  <c r="BS105" i="14"/>
  <c r="BS126" i="14"/>
  <c r="AY104" i="14"/>
  <c r="BO104" i="14"/>
  <c r="BC92" i="14"/>
  <c r="BC93" i="14"/>
  <c r="AH116" i="14"/>
  <c r="AH117" i="14"/>
  <c r="H128" i="14"/>
  <c r="AH127" i="14"/>
  <c r="AL116" i="14"/>
  <c r="AL117" i="14"/>
  <c r="BC125" i="14"/>
  <c r="AB128" i="14"/>
  <c r="R98" i="73" l="1"/>
  <c r="R98" i="41"/>
  <c r="Q98" i="73"/>
  <c r="Q98" i="41"/>
  <c r="O98" i="73"/>
  <c r="O98" i="41"/>
  <c r="N98" i="73"/>
  <c r="N98" i="41"/>
  <c r="P98" i="73"/>
  <c r="P98" i="41"/>
  <c r="M98" i="73"/>
  <c r="M98" i="41"/>
  <c r="AY105" i="14"/>
  <c r="AY115" i="14"/>
  <c r="AY126" i="14"/>
  <c r="D24" i="60"/>
  <c r="R5" i="60"/>
  <c r="AU128" i="14"/>
  <c r="AX127" i="14"/>
  <c r="AK128" i="14"/>
  <c r="AL128" i="14" s="1"/>
  <c r="AG128" i="14"/>
  <c r="O81" i="14"/>
  <c r="O82" i="14" s="1"/>
  <c r="O83" i="14" s="1"/>
  <c r="O84" i="14" s="1"/>
  <c r="O85" i="14" s="1"/>
  <c r="O86" i="14" s="1"/>
  <c r="O87" i="14" s="1"/>
  <c r="O88" i="14" s="1"/>
  <c r="O89" i="14" s="1"/>
  <c r="O90" i="14" s="1"/>
  <c r="O91" i="14" s="1"/>
  <c r="O92" i="14" s="1"/>
  <c r="BR116" i="14"/>
  <c r="BS116" i="14" s="1"/>
  <c r="BR127" i="14"/>
  <c r="BS127" i="14" s="1"/>
  <c r="AL127" i="14"/>
  <c r="AX116" i="14"/>
  <c r="BN116" i="14"/>
  <c r="BO116" i="14" s="1"/>
  <c r="BN127" i="14"/>
  <c r="BO127" i="14" s="1"/>
  <c r="AT29" i="14"/>
  <c r="AT28" i="14"/>
  <c r="J59" i="11"/>
  <c r="J61" i="11" s="1"/>
  <c r="J78" i="11" s="1"/>
  <c r="T152" i="51"/>
  <c r="W33" i="40" s="1"/>
  <c r="X33" i="40" s="1"/>
  <c r="S152" i="51"/>
  <c r="W32" i="40" s="1"/>
  <c r="X32" i="40" s="1"/>
  <c r="R152" i="51"/>
  <c r="W31" i="40" s="1"/>
  <c r="X31" i="40" s="1"/>
  <c r="Q152" i="51"/>
  <c r="W30" i="40" s="1"/>
  <c r="X30" i="40" s="1"/>
  <c r="P58" i="41" s="1"/>
  <c r="E84" i="41" s="1"/>
  <c r="O15" i="44" s="1"/>
  <c r="P152" i="51"/>
  <c r="W29" i="40" s="1"/>
  <c r="X29" i="40" s="1"/>
  <c r="O152" i="51"/>
  <c r="W28" i="40" s="1"/>
  <c r="X28" i="40" s="1"/>
  <c r="N152" i="51"/>
  <c r="W27" i="40" s="1"/>
  <c r="X27" i="40" s="1"/>
  <c r="K148" i="51"/>
  <c r="J144" i="51"/>
  <c r="Q147" i="51"/>
  <c r="P143" i="51"/>
  <c r="J79" i="11"/>
  <c r="G89" i="11"/>
  <c r="I106" i="11"/>
  <c r="R58" i="14"/>
  <c r="P58" i="14"/>
  <c r="K54" i="11"/>
  <c r="K57" i="11" s="1"/>
  <c r="R69" i="14"/>
  <c r="O17" i="14"/>
  <c r="L53" i="11"/>
  <c r="BC105" i="14"/>
  <c r="V139" i="29"/>
  <c r="T140" i="29"/>
  <c r="U140" i="29"/>
  <c r="BE116" i="14"/>
  <c r="BE115" i="14"/>
  <c r="BC104" i="14"/>
  <c r="BC115" i="14"/>
  <c r="BE126" i="14"/>
  <c r="B141" i="29"/>
  <c r="A142" i="29"/>
  <c r="C141" i="29"/>
  <c r="AY116" i="14"/>
  <c r="AH128" i="14"/>
  <c r="BC116" i="14"/>
  <c r="BC126" i="14"/>
  <c r="AY117" i="14" l="1"/>
  <c r="AY127" i="14"/>
  <c r="Q17" i="60"/>
  <c r="R106" i="41"/>
  <c r="R70" i="44" s="1"/>
  <c r="R106" i="73"/>
  <c r="Q106" i="41"/>
  <c r="Q70" i="44" s="1"/>
  <c r="Q106" i="73"/>
  <c r="BO117" i="14"/>
  <c r="BS117" i="14"/>
  <c r="BN128" i="14"/>
  <c r="O93" i="14"/>
  <c r="AX128" i="14"/>
  <c r="BR128" i="14"/>
  <c r="Z119" i="2"/>
  <c r="U119" i="31" s="1"/>
  <c r="Z113" i="2"/>
  <c r="U113" i="31" s="1"/>
  <c r="Z110" i="2"/>
  <c r="U110" i="31" s="1"/>
  <c r="Z120" i="2"/>
  <c r="U120" i="31" s="1"/>
  <c r="Z114" i="2"/>
  <c r="U114" i="31" s="1"/>
  <c r="Z111" i="2"/>
  <c r="U111" i="31" s="1"/>
  <c r="Z112" i="2"/>
  <c r="U112" i="31" s="1"/>
  <c r="Z116" i="2"/>
  <c r="U116" i="31" s="1"/>
  <c r="Z121" i="2"/>
  <c r="U121" i="31" s="1"/>
  <c r="Z115" i="2"/>
  <c r="U115" i="31" s="1"/>
  <c r="Z118" i="2"/>
  <c r="U118" i="31" s="1"/>
  <c r="Z117" i="2"/>
  <c r="U117" i="31" s="1"/>
  <c r="K59" i="11"/>
  <c r="K61" i="11" s="1"/>
  <c r="K78" i="11" s="1"/>
  <c r="K80" i="11" s="1"/>
  <c r="N58" i="73"/>
  <c r="D84" i="73" s="1"/>
  <c r="P58" i="73"/>
  <c r="F84" i="73" s="1"/>
  <c r="N58" i="41"/>
  <c r="O58" i="73"/>
  <c r="E84" i="73" s="1"/>
  <c r="Q58" i="73"/>
  <c r="G84" i="73" s="1"/>
  <c r="R58" i="73"/>
  <c r="H84" i="73" s="1"/>
  <c r="S58" i="41"/>
  <c r="H84" i="41" s="1"/>
  <c r="R15" i="44" s="1"/>
  <c r="R58" i="41"/>
  <c r="G84" i="41" s="1"/>
  <c r="Q15" i="44" s="1"/>
  <c r="M58" i="73"/>
  <c r="C84" i="73" s="1"/>
  <c r="O58" i="41"/>
  <c r="D84" i="41" s="1"/>
  <c r="N15" i="44" s="1"/>
  <c r="Q58" i="41"/>
  <c r="F84" i="41" s="1"/>
  <c r="P15" i="44" s="1"/>
  <c r="L58" i="73"/>
  <c r="M58" i="41"/>
  <c r="O130" i="44"/>
  <c r="O143" i="51"/>
  <c r="P147" i="51"/>
  <c r="J148" i="51"/>
  <c r="I144" i="51"/>
  <c r="P70" i="14"/>
  <c r="R70" i="14"/>
  <c r="P59" i="14"/>
  <c r="R59" i="14"/>
  <c r="K79" i="11"/>
  <c r="J80" i="11"/>
  <c r="J81" i="11" s="1"/>
  <c r="L54" i="11"/>
  <c r="L57" i="11" s="1"/>
  <c r="R81" i="14"/>
  <c r="O18" i="14"/>
  <c r="M53" i="11"/>
  <c r="G97" i="11"/>
  <c r="E14" i="12" s="1"/>
  <c r="V140" i="29"/>
  <c r="T141" i="29"/>
  <c r="U141" i="29"/>
  <c r="BC117" i="14"/>
  <c r="BE128" i="14"/>
  <c r="BE127" i="14"/>
  <c r="C142" i="29"/>
  <c r="A143" i="29"/>
  <c r="B142" i="29"/>
  <c r="BS128" i="14"/>
  <c r="BO128" i="14"/>
  <c r="BC127" i="14"/>
  <c r="AY128" i="14" l="1"/>
  <c r="G17" i="60"/>
  <c r="AC21" i="60"/>
  <c r="AD21" i="60"/>
  <c r="S17" i="60"/>
  <c r="T17" i="60"/>
  <c r="R17" i="60"/>
  <c r="P17" i="60"/>
  <c r="O105" i="14"/>
  <c r="O106" i="14" s="1"/>
  <c r="O107" i="14" s="1"/>
  <c r="O108" i="14" s="1"/>
  <c r="O109" i="14" s="1"/>
  <c r="O110" i="14" s="1"/>
  <c r="O111" i="14" s="1"/>
  <c r="O112" i="14" s="1"/>
  <c r="O113" i="14" s="1"/>
  <c r="O114" i="14" s="1"/>
  <c r="O115" i="14" s="1"/>
  <c r="O116" i="14" s="1"/>
  <c r="O94" i="14"/>
  <c r="O95" i="14" s="1"/>
  <c r="O96" i="14" s="1"/>
  <c r="O97" i="14" s="1"/>
  <c r="O98" i="14" s="1"/>
  <c r="O99" i="14" s="1"/>
  <c r="O100" i="14" s="1"/>
  <c r="O101" i="14" s="1"/>
  <c r="O102" i="14" s="1"/>
  <c r="O103" i="14" s="1"/>
  <c r="O104" i="14" s="1"/>
  <c r="O27" i="14"/>
  <c r="C84" i="41"/>
  <c r="M15" i="44" s="1"/>
  <c r="N17" i="60"/>
  <c r="V119" i="31"/>
  <c r="V117" i="31"/>
  <c r="V115" i="31"/>
  <c r="V116" i="31"/>
  <c r="V112" i="31"/>
  <c r="V111" i="31"/>
  <c r="V114" i="31"/>
  <c r="V120" i="31"/>
  <c r="V110" i="31"/>
  <c r="V118" i="31"/>
  <c r="V121" i="31"/>
  <c r="V113" i="31"/>
  <c r="AA117" i="2"/>
  <c r="T117" i="20"/>
  <c r="U117" i="20" s="1"/>
  <c r="V117" i="20" s="1"/>
  <c r="W117" i="20" s="1"/>
  <c r="AA118" i="2"/>
  <c r="T118" i="20"/>
  <c r="U118" i="20" s="1"/>
  <c r="V118" i="20" s="1"/>
  <c r="W118" i="20" s="1"/>
  <c r="AA115" i="2"/>
  <c r="T115" i="20"/>
  <c r="U115" i="20" s="1"/>
  <c r="V115" i="20" s="1"/>
  <c r="W115" i="20" s="1"/>
  <c r="AA121" i="2"/>
  <c r="T121" i="20"/>
  <c r="U121" i="20" s="1"/>
  <c r="V121" i="20" s="1"/>
  <c r="W121" i="20" s="1"/>
  <c r="AA116" i="2"/>
  <c r="T116" i="20"/>
  <c r="U116" i="20" s="1"/>
  <c r="V116" i="20" s="1"/>
  <c r="W116" i="20" s="1"/>
  <c r="AA112" i="2"/>
  <c r="T112" i="20"/>
  <c r="U112" i="20" s="1"/>
  <c r="V112" i="20" s="1"/>
  <c r="W112" i="20" s="1"/>
  <c r="AA111" i="2"/>
  <c r="T111" i="20"/>
  <c r="U111" i="20" s="1"/>
  <c r="V111" i="20" s="1"/>
  <c r="W111" i="20" s="1"/>
  <c r="AA114" i="2"/>
  <c r="T114" i="20"/>
  <c r="U114" i="20" s="1"/>
  <c r="V114" i="20" s="1"/>
  <c r="W114" i="20" s="1"/>
  <c r="AA120" i="2"/>
  <c r="T120" i="20"/>
  <c r="U120" i="20" s="1"/>
  <c r="V120" i="20" s="1"/>
  <c r="W120" i="20" s="1"/>
  <c r="AA110" i="2"/>
  <c r="T110" i="20"/>
  <c r="U110" i="20" s="1"/>
  <c r="AA113" i="2"/>
  <c r="T113" i="20"/>
  <c r="U113" i="20" s="1"/>
  <c r="V113" i="20" s="1"/>
  <c r="W113" i="20" s="1"/>
  <c r="AA119" i="2"/>
  <c r="T119" i="20"/>
  <c r="U119" i="20" s="1"/>
  <c r="V119" i="20" s="1"/>
  <c r="W119" i="20" s="1"/>
  <c r="L59" i="11"/>
  <c r="L61" i="11" s="1"/>
  <c r="L78" i="11" s="1"/>
  <c r="L80" i="11" s="1"/>
  <c r="N130" i="44"/>
  <c r="P130" i="44"/>
  <c r="R130" i="44"/>
  <c r="Q130" i="44"/>
  <c r="I148" i="51"/>
  <c r="H144" i="51"/>
  <c r="N143" i="51"/>
  <c r="O147" i="51"/>
  <c r="E28" i="12"/>
  <c r="E31" i="12" s="1"/>
  <c r="O14" i="12"/>
  <c r="E17" i="12"/>
  <c r="L79" i="11"/>
  <c r="H89" i="11"/>
  <c r="J106" i="11"/>
  <c r="M54" i="11"/>
  <c r="M57" i="11" s="1"/>
  <c r="P60" i="14"/>
  <c r="R60" i="14"/>
  <c r="R93" i="14"/>
  <c r="O19" i="14"/>
  <c r="N53" i="11"/>
  <c r="K81" i="11"/>
  <c r="I89" i="11" s="1"/>
  <c r="P71" i="14"/>
  <c r="R71" i="14"/>
  <c r="P82" i="14"/>
  <c r="R82" i="14"/>
  <c r="T142" i="29"/>
  <c r="U142" i="29"/>
  <c r="V141" i="29"/>
  <c r="BE24" i="14"/>
  <c r="BE25" i="14"/>
  <c r="BE27" i="14"/>
  <c r="BE26" i="14"/>
  <c r="BE28" i="14"/>
  <c r="BE29" i="14"/>
  <c r="B143" i="29"/>
  <c r="A144" i="29"/>
  <c r="C143" i="29"/>
  <c r="BC128" i="14"/>
  <c r="R108" i="73" l="1"/>
  <c r="R108" i="41"/>
  <c r="R72" i="44" s="1"/>
  <c r="AD24" i="60" s="1"/>
  <c r="Q108" i="73"/>
  <c r="Q108" i="41"/>
  <c r="Q72" i="44" s="1"/>
  <c r="AC24" i="60" s="1"/>
  <c r="O108" i="73"/>
  <c r="O108" i="41"/>
  <c r="O72" i="44" s="1"/>
  <c r="AA24" i="60" s="1"/>
  <c r="P108" i="73"/>
  <c r="P108" i="41"/>
  <c r="P72" i="44" s="1"/>
  <c r="AB24" i="60" s="1"/>
  <c r="N108" i="73"/>
  <c r="N108" i="41"/>
  <c r="N72" i="44" s="1"/>
  <c r="Z24" i="60" s="1"/>
  <c r="M108" i="73"/>
  <c r="M108" i="41"/>
  <c r="J17" i="60"/>
  <c r="H17" i="60"/>
  <c r="I17" i="60"/>
  <c r="F17" i="60"/>
  <c r="O17" i="60"/>
  <c r="P165" i="44"/>
  <c r="O117" i="14"/>
  <c r="O118" i="14" s="1"/>
  <c r="O119" i="14" s="1"/>
  <c r="O120" i="14" s="1"/>
  <c r="O121" i="14" s="1"/>
  <c r="O122" i="14" s="1"/>
  <c r="O123" i="14" s="1"/>
  <c r="O124" i="14" s="1"/>
  <c r="O125" i="14" s="1"/>
  <c r="O126" i="14" s="1"/>
  <c r="O127" i="14" s="1"/>
  <c r="O128" i="14" s="1"/>
  <c r="M130" i="44"/>
  <c r="L130" i="44"/>
  <c r="AJ15" i="39"/>
  <c r="AO15" i="39" s="1"/>
  <c r="V110" i="20"/>
  <c r="W110" i="20" s="1"/>
  <c r="W122" i="20" s="1"/>
  <c r="X18" i="27" s="1"/>
  <c r="W14" i="27"/>
  <c r="Q165" i="44"/>
  <c r="M59" i="11"/>
  <c r="M61" i="11" s="1"/>
  <c r="M78" i="11" s="1"/>
  <c r="R165" i="44"/>
  <c r="O165" i="44"/>
  <c r="M143" i="51"/>
  <c r="N147" i="51"/>
  <c r="G144" i="51"/>
  <c r="H148" i="51"/>
  <c r="O28" i="12"/>
  <c r="O31" i="12" s="1"/>
  <c r="O17" i="12"/>
  <c r="L81" i="11"/>
  <c r="J89" i="11" s="1"/>
  <c r="J97" i="11" s="1"/>
  <c r="H14" i="12" s="1"/>
  <c r="M79" i="11"/>
  <c r="P72" i="14"/>
  <c r="R72" i="14"/>
  <c r="N54" i="11"/>
  <c r="N57" i="11" s="1"/>
  <c r="R105" i="14"/>
  <c r="O53" i="11"/>
  <c r="P83" i="14"/>
  <c r="R83" i="14"/>
  <c r="K106" i="11"/>
  <c r="U132" i="31"/>
  <c r="U133" i="31"/>
  <c r="U122" i="31"/>
  <c r="U123" i="31"/>
  <c r="U124" i="31"/>
  <c r="U125" i="31"/>
  <c r="U126" i="31"/>
  <c r="U127" i="31"/>
  <c r="U129" i="31"/>
  <c r="U128" i="31"/>
  <c r="U130" i="31"/>
  <c r="U131" i="31"/>
  <c r="P94" i="14"/>
  <c r="R94" i="14"/>
  <c r="H97" i="11"/>
  <c r="F14" i="12" s="1"/>
  <c r="I97" i="11"/>
  <c r="G14" i="12" s="1"/>
  <c r="R61" i="14"/>
  <c r="P61" i="14"/>
  <c r="T143" i="29"/>
  <c r="U143" i="29"/>
  <c r="V142" i="29"/>
  <c r="A145" i="29"/>
  <c r="B144" i="29"/>
  <c r="C144" i="29"/>
  <c r="E17" i="60" l="1"/>
  <c r="D17" i="60"/>
  <c r="L165" i="44"/>
  <c r="N165" i="44"/>
  <c r="M165" i="44"/>
  <c r="AL15" i="39"/>
  <c r="X14" i="27"/>
  <c r="X17" i="27" s="1"/>
  <c r="W15" i="27"/>
  <c r="X15" i="27" s="1"/>
  <c r="N59" i="11"/>
  <c r="N61" i="11" s="1"/>
  <c r="N78" i="11" s="1"/>
  <c r="N80" i="11" s="1"/>
  <c r="G148" i="51"/>
  <c r="F144" i="51"/>
  <c r="F148" i="51" s="1"/>
  <c r="L143" i="51"/>
  <c r="M147" i="51"/>
  <c r="M151" i="51" s="1"/>
  <c r="H28" i="12"/>
  <c r="R14" i="12"/>
  <c r="R17" i="12" s="1"/>
  <c r="F28" i="12"/>
  <c r="P14" i="12"/>
  <c r="G28" i="12"/>
  <c r="Q14" i="12"/>
  <c r="Q17" i="12" s="1"/>
  <c r="L106" i="11"/>
  <c r="U157" i="31" s="1"/>
  <c r="V126" i="31"/>
  <c r="O54" i="11"/>
  <c r="O57" i="11" s="1"/>
  <c r="V125" i="31"/>
  <c r="R117" i="14"/>
  <c r="P62" i="14"/>
  <c r="R62" i="14"/>
  <c r="V124" i="31"/>
  <c r="V123" i="31"/>
  <c r="V122" i="31"/>
  <c r="V133" i="31"/>
  <c r="V132" i="31"/>
  <c r="P106" i="14"/>
  <c r="R106" i="14"/>
  <c r="P95" i="14"/>
  <c r="R95" i="14"/>
  <c r="U135" i="31"/>
  <c r="U141" i="31"/>
  <c r="U140" i="31"/>
  <c r="U144" i="31"/>
  <c r="U134" i="31"/>
  <c r="U136" i="31"/>
  <c r="U137" i="31"/>
  <c r="U139" i="31"/>
  <c r="U145" i="31"/>
  <c r="U142" i="31"/>
  <c r="U138" i="31"/>
  <c r="U143" i="31"/>
  <c r="V131" i="31"/>
  <c r="P84" i="14"/>
  <c r="R84" i="14"/>
  <c r="V130" i="31"/>
  <c r="M80" i="11"/>
  <c r="M81" i="11" s="1"/>
  <c r="N79" i="11"/>
  <c r="V128" i="31"/>
  <c r="V129" i="31"/>
  <c r="P73" i="14"/>
  <c r="R73" i="14"/>
  <c r="V127" i="31"/>
  <c r="T144" i="29"/>
  <c r="U144" i="29"/>
  <c r="V143" i="29"/>
  <c r="B145" i="29"/>
  <c r="A146" i="29"/>
  <c r="C145" i="29"/>
  <c r="AN15" i="39" l="1"/>
  <c r="C24" i="8" s="1"/>
  <c r="C29" i="8" s="1"/>
  <c r="O59" i="11"/>
  <c r="O61" i="11" s="1"/>
  <c r="O78" i="11" s="1"/>
  <c r="O80" i="11" s="1"/>
  <c r="T151" i="51"/>
  <c r="O33" i="40" s="1"/>
  <c r="P33" i="40" s="1"/>
  <c r="S151" i="51"/>
  <c r="O32" i="40" s="1"/>
  <c r="P32" i="40" s="1"/>
  <c r="R151" i="51"/>
  <c r="O31" i="40" s="1"/>
  <c r="P31" i="40" s="1"/>
  <c r="Q151" i="51"/>
  <c r="O30" i="40" s="1"/>
  <c r="P30" i="40" s="1"/>
  <c r="P151" i="51"/>
  <c r="O29" i="40" s="1"/>
  <c r="P29" i="40" s="1"/>
  <c r="O151" i="51"/>
  <c r="O28" i="40" s="1"/>
  <c r="P28" i="40" s="1"/>
  <c r="N151" i="51"/>
  <c r="O27" i="40" s="1"/>
  <c r="P27" i="40" s="1"/>
  <c r="C27" i="40"/>
  <c r="D27" i="40" s="1"/>
  <c r="F24" i="8" s="1"/>
  <c r="F29" i="8" s="1"/>
  <c r="K143" i="51"/>
  <c r="L147" i="51"/>
  <c r="P17" i="12"/>
  <c r="P28" i="12"/>
  <c r="P31" i="12" s="1"/>
  <c r="L29" i="44"/>
  <c r="N34" i="60" s="1"/>
  <c r="O79" i="11"/>
  <c r="U152" i="31"/>
  <c r="U153" i="31"/>
  <c r="U150" i="31"/>
  <c r="U156" i="31"/>
  <c r="U149" i="31"/>
  <c r="U151" i="31"/>
  <c r="U154" i="31"/>
  <c r="U155" i="31"/>
  <c r="U147" i="31"/>
  <c r="U146" i="31"/>
  <c r="U148" i="31"/>
  <c r="V135" i="31"/>
  <c r="N81" i="11"/>
  <c r="L89" i="11" s="1"/>
  <c r="V157" i="31"/>
  <c r="P96" i="14"/>
  <c r="R96" i="14"/>
  <c r="R63" i="14"/>
  <c r="P63" i="14"/>
  <c r="AJ16" i="39"/>
  <c r="P74" i="14"/>
  <c r="R74" i="14"/>
  <c r="V143" i="31"/>
  <c r="V138" i="31"/>
  <c r="V142" i="31"/>
  <c r="R118" i="14"/>
  <c r="P118" i="14"/>
  <c r="V145" i="31"/>
  <c r="V139" i="31"/>
  <c r="K89" i="11"/>
  <c r="K97" i="11" s="1"/>
  <c r="I14" i="12" s="1"/>
  <c r="M106" i="11"/>
  <c r="V137" i="31"/>
  <c r="V136" i="31"/>
  <c r="V134" i="31"/>
  <c r="P107" i="14"/>
  <c r="R107" i="14"/>
  <c r="V144" i="31"/>
  <c r="V140" i="31"/>
  <c r="P85" i="14"/>
  <c r="R85" i="14"/>
  <c r="V141" i="31"/>
  <c r="V144" i="29"/>
  <c r="T145" i="29"/>
  <c r="U145" i="29"/>
  <c r="C146" i="29"/>
  <c r="B146" i="29"/>
  <c r="A147" i="29"/>
  <c r="L6" i="73" l="1"/>
  <c r="M6" i="41"/>
  <c r="V156" i="31"/>
  <c r="V146" i="31"/>
  <c r="V148" i="31"/>
  <c r="V155" i="31"/>
  <c r="L145" i="44"/>
  <c r="D34" i="60" s="1"/>
  <c r="L57" i="73"/>
  <c r="M57" i="73"/>
  <c r="C83" i="73" s="1"/>
  <c r="R57" i="73"/>
  <c r="N57" i="73"/>
  <c r="D83" i="73" s="1"/>
  <c r="O57" i="73"/>
  <c r="E83" i="73" s="1"/>
  <c r="P57" i="73"/>
  <c r="F83" i="73" s="1"/>
  <c r="Q57" i="73"/>
  <c r="G83" i="73" s="1"/>
  <c r="H27" i="40"/>
  <c r="L56" i="73" s="1"/>
  <c r="AL16" i="39"/>
  <c r="AO16" i="39"/>
  <c r="E24" i="8"/>
  <c r="G24" i="8" s="1"/>
  <c r="AM24" i="8" s="1"/>
  <c r="Q57" i="41"/>
  <c r="F83" i="41" s="1"/>
  <c r="P14" i="44" s="1"/>
  <c r="R57" i="41"/>
  <c r="G83" i="41" s="1"/>
  <c r="Q14" i="44" s="1"/>
  <c r="S57" i="41"/>
  <c r="H83" i="41" s="1"/>
  <c r="R14" i="44" s="1"/>
  <c r="M57" i="41"/>
  <c r="N57" i="41"/>
  <c r="O57" i="41"/>
  <c r="D83" i="41" s="1"/>
  <c r="N14" i="44" s="1"/>
  <c r="P57" i="41"/>
  <c r="E83" i="41" s="1"/>
  <c r="O14" i="44" s="1"/>
  <c r="J143" i="51"/>
  <c r="K147" i="51"/>
  <c r="I28" i="12"/>
  <c r="S14" i="12"/>
  <c r="O81" i="11"/>
  <c r="M89" i="11" s="1"/>
  <c r="M97" i="11" s="1"/>
  <c r="K14" i="12" s="1"/>
  <c r="V152" i="31"/>
  <c r="V149" i="31"/>
  <c r="V153" i="31"/>
  <c r="V150" i="31"/>
  <c r="V154" i="31"/>
  <c r="V151" i="31"/>
  <c r="V147" i="31"/>
  <c r="N106" i="11"/>
  <c r="U181" i="31" s="1"/>
  <c r="P108" i="14"/>
  <c r="R108" i="14"/>
  <c r="P86" i="14"/>
  <c r="R86" i="14"/>
  <c r="AJ17" i="39"/>
  <c r="AO17" i="39" s="1"/>
  <c r="P119" i="14"/>
  <c r="R119" i="14"/>
  <c r="L97" i="11"/>
  <c r="J14" i="12" s="1"/>
  <c r="R64" i="14"/>
  <c r="P64" i="14"/>
  <c r="U165" i="31"/>
  <c r="U167" i="31"/>
  <c r="U166" i="31"/>
  <c r="U158" i="31"/>
  <c r="U168" i="31"/>
  <c r="U160" i="31"/>
  <c r="U162" i="31"/>
  <c r="U169" i="31"/>
  <c r="U164" i="31"/>
  <c r="U163" i="31"/>
  <c r="U161" i="31"/>
  <c r="U159" i="31"/>
  <c r="P75" i="14"/>
  <c r="R75" i="14"/>
  <c r="P97" i="14"/>
  <c r="R97" i="14"/>
  <c r="T146" i="29"/>
  <c r="U146" i="29"/>
  <c r="V145" i="29"/>
  <c r="A148" i="29"/>
  <c r="C147" i="29"/>
  <c r="B147" i="29"/>
  <c r="C58" i="14"/>
  <c r="D57" i="14"/>
  <c r="Q16" i="60" l="1"/>
  <c r="P16" i="60"/>
  <c r="T16" i="60"/>
  <c r="S16" i="60"/>
  <c r="R16" i="60"/>
  <c r="C83" i="41"/>
  <c r="M14" i="44" s="1"/>
  <c r="N16" i="60"/>
  <c r="N8" i="60"/>
  <c r="AN16" i="39"/>
  <c r="N6" i="41" s="1"/>
  <c r="C45" i="41" s="1"/>
  <c r="H83" i="73"/>
  <c r="M56" i="41"/>
  <c r="C28" i="40"/>
  <c r="D28" i="40" s="1"/>
  <c r="K24" i="8" s="1"/>
  <c r="K29" i="8" s="1"/>
  <c r="AL17" i="39"/>
  <c r="E29" i="8"/>
  <c r="J147" i="51"/>
  <c r="I143" i="51"/>
  <c r="J28" i="12"/>
  <c r="T14" i="12"/>
  <c r="U14" i="12"/>
  <c r="K28" i="12"/>
  <c r="S28" i="12"/>
  <c r="S31" i="12" s="1"/>
  <c r="S17" i="12"/>
  <c r="O106" i="11"/>
  <c r="AJ18" i="39"/>
  <c r="U173" i="31"/>
  <c r="U180" i="31"/>
  <c r="U172" i="31"/>
  <c r="U176" i="31"/>
  <c r="U177" i="31"/>
  <c r="U174" i="31"/>
  <c r="U175" i="31"/>
  <c r="U171" i="31"/>
  <c r="U178" i="31"/>
  <c r="U170" i="31"/>
  <c r="U179" i="31"/>
  <c r="V159" i="31"/>
  <c r="G29" i="8"/>
  <c r="V161" i="31"/>
  <c r="V181" i="31"/>
  <c r="P109" i="14"/>
  <c r="R109" i="14"/>
  <c r="P76" i="14"/>
  <c r="R76" i="14"/>
  <c r="V163" i="31"/>
  <c r="V164" i="31"/>
  <c r="V169" i="31"/>
  <c r="V162" i="31"/>
  <c r="V160" i="31"/>
  <c r="V168" i="31"/>
  <c r="V158" i="31"/>
  <c r="P98" i="14"/>
  <c r="R98" i="14"/>
  <c r="V166" i="31"/>
  <c r="P87" i="14"/>
  <c r="R87" i="14"/>
  <c r="V165" i="31"/>
  <c r="P65" i="14"/>
  <c r="R65" i="14"/>
  <c r="V167" i="31"/>
  <c r="R120" i="14"/>
  <c r="P120" i="14"/>
  <c r="T147" i="29"/>
  <c r="U147" i="29"/>
  <c r="V146" i="29"/>
  <c r="A149" i="29"/>
  <c r="C148" i="29"/>
  <c r="B148" i="29"/>
  <c r="C59" i="14"/>
  <c r="D58" i="14"/>
  <c r="O16" i="60" l="1"/>
  <c r="M61" i="41"/>
  <c r="M6" i="73"/>
  <c r="C45" i="73" s="1"/>
  <c r="H24" i="8"/>
  <c r="H29" i="8" s="1"/>
  <c r="AN17" i="39"/>
  <c r="N6" i="73" s="1"/>
  <c r="D45" i="73" s="1"/>
  <c r="V179" i="31"/>
  <c r="V176" i="31"/>
  <c r="U193" i="31"/>
  <c r="U185" i="31"/>
  <c r="H28" i="40"/>
  <c r="C29" i="40"/>
  <c r="D29" i="40" s="1"/>
  <c r="P24" i="8" s="1"/>
  <c r="P29" i="8" s="1"/>
  <c r="AL18" i="39"/>
  <c r="AO18" i="39"/>
  <c r="I147" i="51"/>
  <c r="H143" i="51"/>
  <c r="M6" i="44"/>
  <c r="U17" i="12"/>
  <c r="U28" i="12"/>
  <c r="U31" i="12" s="1"/>
  <c r="T28" i="12"/>
  <c r="T31" i="12" s="1"/>
  <c r="T17" i="12"/>
  <c r="U188" i="31"/>
  <c r="U187" i="31"/>
  <c r="U182" i="31"/>
  <c r="U186" i="31"/>
  <c r="U183" i="31"/>
  <c r="U191" i="31"/>
  <c r="U184" i="31"/>
  <c r="U192" i="31"/>
  <c r="U190" i="31"/>
  <c r="U189" i="31"/>
  <c r="V177" i="31"/>
  <c r="V180" i="31"/>
  <c r="V173" i="31"/>
  <c r="V172" i="31"/>
  <c r="V174" i="31"/>
  <c r="V178" i="31"/>
  <c r="V171" i="31"/>
  <c r="V175" i="31"/>
  <c r="V170" i="31"/>
  <c r="P77" i="14"/>
  <c r="R77" i="14"/>
  <c r="R121" i="14"/>
  <c r="P121" i="14"/>
  <c r="AM29" i="8"/>
  <c r="P99" i="14"/>
  <c r="R99" i="14"/>
  <c r="P66" i="14"/>
  <c r="R66" i="14"/>
  <c r="P110" i="14"/>
  <c r="R110" i="14"/>
  <c r="AJ19" i="39"/>
  <c r="P88" i="14"/>
  <c r="R88" i="14"/>
  <c r="T148" i="29"/>
  <c r="U148" i="29"/>
  <c r="V147" i="29"/>
  <c r="A150" i="29"/>
  <c r="C149" i="29"/>
  <c r="B149" i="29"/>
  <c r="C60" i="14"/>
  <c r="D59" i="14"/>
  <c r="O8" i="60" l="1"/>
  <c r="J24" i="8"/>
  <c r="J29" i="8" s="1"/>
  <c r="M24" i="8"/>
  <c r="O24" i="8" s="1"/>
  <c r="O6" i="41"/>
  <c r="D45" i="41" s="1"/>
  <c r="C30" i="40"/>
  <c r="D30" i="40" s="1"/>
  <c r="U24" i="8" s="1"/>
  <c r="U29" i="8" s="1"/>
  <c r="V185" i="31"/>
  <c r="M56" i="73"/>
  <c r="N56" i="41"/>
  <c r="AN18" i="39"/>
  <c r="AL19" i="39"/>
  <c r="AO19" i="39"/>
  <c r="G143" i="51"/>
  <c r="H147" i="51"/>
  <c r="V182" i="31"/>
  <c r="V187" i="31"/>
  <c r="V184" i="31"/>
  <c r="V188" i="31"/>
  <c r="V190" i="31"/>
  <c r="V192" i="31"/>
  <c r="V189" i="31"/>
  <c r="V186" i="31"/>
  <c r="V191" i="31"/>
  <c r="V193" i="31"/>
  <c r="V183" i="31"/>
  <c r="AJ20" i="39"/>
  <c r="P67" i="14"/>
  <c r="R67" i="14"/>
  <c r="P111" i="14"/>
  <c r="R111" i="14"/>
  <c r="P89" i="14"/>
  <c r="R89" i="14"/>
  <c r="P122" i="14"/>
  <c r="R122" i="14"/>
  <c r="P78" i="14"/>
  <c r="R78" i="14"/>
  <c r="P100" i="14"/>
  <c r="R100" i="14"/>
  <c r="T149" i="29"/>
  <c r="U149" i="29"/>
  <c r="V148" i="29"/>
  <c r="C150" i="29"/>
  <c r="A151" i="29"/>
  <c r="B150" i="29"/>
  <c r="C61" i="14"/>
  <c r="D60" i="14"/>
  <c r="N61" i="41" l="1"/>
  <c r="L24" i="8"/>
  <c r="L29" i="8" s="1"/>
  <c r="M29" i="8"/>
  <c r="N6" i="44"/>
  <c r="AN19" i="39"/>
  <c r="P6" i="73" s="1"/>
  <c r="F45" i="73" s="1"/>
  <c r="P6" i="41"/>
  <c r="E45" i="41" s="1"/>
  <c r="O6" i="73"/>
  <c r="E45" i="73" s="1"/>
  <c r="L61" i="73"/>
  <c r="R24" i="8"/>
  <c r="R29" i="8" s="1"/>
  <c r="C31" i="40"/>
  <c r="D31" i="40" s="1"/>
  <c r="Z24" i="8" s="1"/>
  <c r="Z29" i="8" s="1"/>
  <c r="AL20" i="39"/>
  <c r="AO20" i="39"/>
  <c r="G147" i="51"/>
  <c r="F143" i="51"/>
  <c r="F147" i="51" s="1"/>
  <c r="AJ21" i="39"/>
  <c r="AO21" i="39" s="1"/>
  <c r="R123" i="14"/>
  <c r="P123" i="14"/>
  <c r="N15" i="60"/>
  <c r="P112" i="14"/>
  <c r="R112" i="14"/>
  <c r="P79" i="14"/>
  <c r="R79" i="14"/>
  <c r="R68" i="14"/>
  <c r="P68" i="14"/>
  <c r="P69" i="14"/>
  <c r="P101" i="14"/>
  <c r="R101" i="14"/>
  <c r="O29" i="8"/>
  <c r="Q24" i="8"/>
  <c r="P90" i="14"/>
  <c r="R90" i="14"/>
  <c r="T150" i="29"/>
  <c r="U150" i="29"/>
  <c r="V149" i="29"/>
  <c r="C151" i="29"/>
  <c r="B151" i="29"/>
  <c r="A152" i="29"/>
  <c r="C62" i="14"/>
  <c r="D61" i="14"/>
  <c r="P8" i="60" l="1"/>
  <c r="N20" i="60"/>
  <c r="AN24" i="8"/>
  <c r="AN29" i="8" s="1"/>
  <c r="O6" i="44"/>
  <c r="W24" i="8"/>
  <c r="Y24" i="8" s="1"/>
  <c r="Q6" i="41"/>
  <c r="F45" i="41" s="1"/>
  <c r="C32" i="40"/>
  <c r="D32" i="40" s="1"/>
  <c r="AE24" i="8" s="1"/>
  <c r="AE29" i="8" s="1"/>
  <c r="AN20" i="39"/>
  <c r="H31" i="40"/>
  <c r="T24" i="8"/>
  <c r="T29" i="8" s="1"/>
  <c r="AL21" i="39"/>
  <c r="R80" i="14"/>
  <c r="P80" i="14"/>
  <c r="P81" i="14"/>
  <c r="Q29" i="8"/>
  <c r="AO24" i="8"/>
  <c r="P91" i="14"/>
  <c r="R91" i="14"/>
  <c r="P113" i="14"/>
  <c r="R113" i="14"/>
  <c r="P102" i="14"/>
  <c r="R102" i="14"/>
  <c r="L18" i="44"/>
  <c r="R124" i="14"/>
  <c r="P124" i="14"/>
  <c r="V150" i="29"/>
  <c r="T151" i="29"/>
  <c r="U151" i="29"/>
  <c r="A153" i="29"/>
  <c r="C152" i="29"/>
  <c r="B152" i="29"/>
  <c r="C63" i="14"/>
  <c r="D62" i="14"/>
  <c r="Q8" i="60" l="1"/>
  <c r="C73" i="41"/>
  <c r="C78" i="41" s="1"/>
  <c r="C73" i="73"/>
  <c r="C78" i="73" s="1"/>
  <c r="P6" i="44"/>
  <c r="AN21" i="39"/>
  <c r="S6" i="41" s="1"/>
  <c r="H45" i="41" s="1"/>
  <c r="R6" i="44" s="1"/>
  <c r="H32" i="40"/>
  <c r="R56" i="41" s="1"/>
  <c r="R61" i="41" s="1"/>
  <c r="W29" i="8"/>
  <c r="P56" i="73"/>
  <c r="D73" i="73"/>
  <c r="D78" i="73" s="1"/>
  <c r="Q56" i="41"/>
  <c r="Q61" i="41" s="1"/>
  <c r="Q6" i="73"/>
  <c r="G45" i="73" s="1"/>
  <c r="AB24" i="8"/>
  <c r="AD24" i="8" s="1"/>
  <c r="AD29" i="8" s="1"/>
  <c r="R6" i="41"/>
  <c r="G45" i="41" s="1"/>
  <c r="V24" i="8"/>
  <c r="AP24" i="8" s="1"/>
  <c r="C33" i="40"/>
  <c r="D33" i="40" s="1"/>
  <c r="H33" i="40" s="1"/>
  <c r="R92" i="14"/>
  <c r="P92" i="14"/>
  <c r="P93" i="14"/>
  <c r="Y29" i="8"/>
  <c r="AA24" i="8"/>
  <c r="P103" i="14"/>
  <c r="R103" i="14"/>
  <c r="D73" i="41"/>
  <c r="AO29" i="8"/>
  <c r="P114" i="14"/>
  <c r="R114" i="14"/>
  <c r="R125" i="14"/>
  <c r="P125" i="14"/>
  <c r="T152" i="29"/>
  <c r="U152" i="29"/>
  <c r="V151" i="29"/>
  <c r="C153" i="29"/>
  <c r="A154" i="29"/>
  <c r="B153" i="29"/>
  <c r="C64" i="14"/>
  <c r="D63" i="14"/>
  <c r="T8" i="60" l="1"/>
  <c r="R8" i="60"/>
  <c r="C82" i="41"/>
  <c r="C87" i="41" s="1"/>
  <c r="Q6" i="44"/>
  <c r="Q56" i="73"/>
  <c r="R6" i="73"/>
  <c r="H45" i="73" s="1"/>
  <c r="AG24" i="8"/>
  <c r="AG29" i="8" s="1"/>
  <c r="E73" i="73"/>
  <c r="E78" i="73" s="1"/>
  <c r="R56" i="73"/>
  <c r="AF24" i="8"/>
  <c r="AR24" i="8" s="1"/>
  <c r="AB29" i="8"/>
  <c r="V29" i="8"/>
  <c r="E73" i="41"/>
  <c r="E78" i="41" s="1"/>
  <c r="AP29" i="8"/>
  <c r="S56" i="41"/>
  <c r="AJ24" i="8"/>
  <c r="P115" i="14"/>
  <c r="R115" i="14"/>
  <c r="R104" i="14"/>
  <c r="P104" i="14"/>
  <c r="P105" i="14"/>
  <c r="P126" i="14"/>
  <c r="R126" i="14"/>
  <c r="D78" i="41"/>
  <c r="AQ24" i="8"/>
  <c r="AA29" i="8"/>
  <c r="T153" i="29"/>
  <c r="U153" i="29"/>
  <c r="V152" i="29"/>
  <c r="B154" i="29"/>
  <c r="C154" i="29"/>
  <c r="A155" i="29"/>
  <c r="C65" i="14"/>
  <c r="D64" i="14"/>
  <c r="S8" i="60" l="1"/>
  <c r="S61" i="41"/>
  <c r="M13" i="44"/>
  <c r="AI24" i="8"/>
  <c r="AI29" i="8" s="1"/>
  <c r="F73" i="73"/>
  <c r="F78" i="73" s="1"/>
  <c r="G73" i="73"/>
  <c r="G78" i="73" s="1"/>
  <c r="R61" i="73"/>
  <c r="AF29" i="8"/>
  <c r="AJ29" i="8"/>
  <c r="AR29" i="8"/>
  <c r="G73" i="41"/>
  <c r="R116" i="14"/>
  <c r="P116" i="14"/>
  <c r="P117" i="14"/>
  <c r="R127" i="14"/>
  <c r="P127" i="14"/>
  <c r="F73" i="41"/>
  <c r="AQ29" i="8"/>
  <c r="T154" i="29"/>
  <c r="U154" i="29"/>
  <c r="V153" i="29"/>
  <c r="B155" i="29"/>
  <c r="C155" i="29"/>
  <c r="A156" i="29"/>
  <c r="C66" i="14"/>
  <c r="D65" i="14"/>
  <c r="O15" i="60" l="1"/>
  <c r="M18" i="44"/>
  <c r="AK24" i="8"/>
  <c r="AK29" i="8" s="1"/>
  <c r="F78" i="41"/>
  <c r="F82" i="41"/>
  <c r="R128" i="14"/>
  <c r="R29" i="14" s="1"/>
  <c r="P128" i="14"/>
  <c r="G82" i="41"/>
  <c r="G78" i="41"/>
  <c r="T155" i="29"/>
  <c r="U155" i="29"/>
  <c r="V154" i="29"/>
  <c r="C156" i="29"/>
  <c r="A157" i="29"/>
  <c r="B156" i="29"/>
  <c r="C67" i="14"/>
  <c r="D66" i="14"/>
  <c r="R96" i="73" l="1"/>
  <c r="R96" i="41"/>
  <c r="R22" i="44" s="1"/>
  <c r="O20" i="60"/>
  <c r="R27" i="14"/>
  <c r="AS24" i="8"/>
  <c r="AS29" i="8" s="1"/>
  <c r="Q13" i="44"/>
  <c r="G87" i="41"/>
  <c r="P13" i="44"/>
  <c r="F87" i="41"/>
  <c r="R24" i="14"/>
  <c r="R25" i="14"/>
  <c r="R28" i="14"/>
  <c r="R26" i="14"/>
  <c r="T156" i="29"/>
  <c r="U156" i="29"/>
  <c r="V155" i="29"/>
  <c r="C157" i="29"/>
  <c r="A158" i="29"/>
  <c r="B157" i="29"/>
  <c r="C68" i="14"/>
  <c r="D67" i="14"/>
  <c r="O96" i="73" l="1"/>
  <c r="O96" i="41"/>
  <c r="O22" i="44" s="1"/>
  <c r="Q96" i="73"/>
  <c r="Q96" i="41"/>
  <c r="Q22" i="44" s="1"/>
  <c r="N96" i="73"/>
  <c r="N96" i="41"/>
  <c r="N22" i="44" s="1"/>
  <c r="M96" i="73"/>
  <c r="M96" i="41"/>
  <c r="M22" i="44" s="1"/>
  <c r="O24" i="60" s="1"/>
  <c r="P96" i="73"/>
  <c r="P96" i="41"/>
  <c r="P22" i="44" s="1"/>
  <c r="T24" i="60"/>
  <c r="R137" i="44"/>
  <c r="J24" i="60" s="1"/>
  <c r="S15" i="60"/>
  <c r="R15" i="60"/>
  <c r="H73" i="73"/>
  <c r="H78" i="73" s="1"/>
  <c r="H73" i="41"/>
  <c r="H82" i="41" s="1"/>
  <c r="P18" i="44"/>
  <c r="Q18" i="44"/>
  <c r="T157" i="29"/>
  <c r="U157" i="29"/>
  <c r="V156" i="29"/>
  <c r="A159" i="29"/>
  <c r="C158" i="29"/>
  <c r="B158" i="29"/>
  <c r="D68" i="14"/>
  <c r="R24" i="60" l="1"/>
  <c r="P137" i="44"/>
  <c r="H24" i="60" s="1"/>
  <c r="P24" i="60"/>
  <c r="N137" i="44"/>
  <c r="F24" i="60" s="1"/>
  <c r="S24" i="60"/>
  <c r="Q137" i="44"/>
  <c r="I24" i="60" s="1"/>
  <c r="Q24" i="60"/>
  <c r="O137" i="44"/>
  <c r="G24" i="60" s="1"/>
  <c r="R20" i="60"/>
  <c r="S20" i="60"/>
  <c r="H82" i="73"/>
  <c r="H87" i="73" s="1"/>
  <c r="H78" i="41"/>
  <c r="H87" i="41"/>
  <c r="R13" i="44"/>
  <c r="T158" i="29"/>
  <c r="U158" i="29"/>
  <c r="V157" i="29"/>
  <c r="C159" i="29"/>
  <c r="B159" i="29"/>
  <c r="A160" i="29"/>
  <c r="C70" i="14"/>
  <c r="D69" i="14"/>
  <c r="T15" i="60" l="1"/>
  <c r="R18" i="44"/>
  <c r="T159" i="29"/>
  <c r="U159" i="29"/>
  <c r="V158" i="29"/>
  <c r="C160" i="29"/>
  <c r="B160" i="29"/>
  <c r="A161" i="29"/>
  <c r="C71" i="14"/>
  <c r="D70" i="14"/>
  <c r="T20" i="60" l="1"/>
  <c r="V159" i="29"/>
  <c r="T160" i="29"/>
  <c r="U160" i="29"/>
  <c r="B161" i="29"/>
  <c r="A162" i="29"/>
  <c r="C161" i="29"/>
  <c r="C72" i="14"/>
  <c r="D71" i="14"/>
  <c r="T161" i="29" l="1"/>
  <c r="U161" i="29"/>
  <c r="V160" i="29"/>
  <c r="A163" i="29"/>
  <c r="B162" i="29"/>
  <c r="C162" i="29"/>
  <c r="D72" i="14"/>
  <c r="C73" i="14"/>
  <c r="T162" i="29" l="1"/>
  <c r="U162" i="29"/>
  <c r="V161" i="29"/>
  <c r="C163" i="29"/>
  <c r="B163" i="29"/>
  <c r="A164" i="29"/>
  <c r="C74" i="14"/>
  <c r="D73" i="14"/>
  <c r="T163" i="29" l="1"/>
  <c r="U163" i="29"/>
  <c r="V162" i="29"/>
  <c r="C164" i="29"/>
  <c r="B164" i="29"/>
  <c r="A165" i="29"/>
  <c r="C75" i="14"/>
  <c r="D74" i="14"/>
  <c r="T164" i="29" l="1"/>
  <c r="U164" i="29"/>
  <c r="V163" i="29"/>
  <c r="C165" i="29"/>
  <c r="B165" i="29"/>
  <c r="A166" i="29"/>
  <c r="C76" i="14"/>
  <c r="D75" i="14"/>
  <c r="T165" i="29" l="1"/>
  <c r="U165" i="29"/>
  <c r="V164" i="29"/>
  <c r="B166" i="29"/>
  <c r="A167" i="29"/>
  <c r="C166" i="29"/>
  <c r="C77" i="14"/>
  <c r="D76" i="14"/>
  <c r="T166" i="29" l="1"/>
  <c r="U166" i="29"/>
  <c r="V165" i="29"/>
  <c r="C167" i="29"/>
  <c r="B167" i="29"/>
  <c r="A168" i="29"/>
  <c r="D77" i="14"/>
  <c r="C78" i="14"/>
  <c r="T167" i="29" l="1"/>
  <c r="U167" i="29"/>
  <c r="V166" i="29"/>
  <c r="C168" i="29"/>
  <c r="B168" i="29"/>
  <c r="A169" i="29"/>
  <c r="C79" i="14"/>
  <c r="D78" i="14"/>
  <c r="T168" i="29" l="1"/>
  <c r="U168" i="29"/>
  <c r="V167" i="29"/>
  <c r="C169" i="29"/>
  <c r="B169" i="29"/>
  <c r="A170" i="29"/>
  <c r="C80" i="14"/>
  <c r="D79" i="14"/>
  <c r="V168" i="29" l="1"/>
  <c r="T169" i="29"/>
  <c r="U169" i="29"/>
  <c r="B170" i="29"/>
  <c r="C170" i="29"/>
  <c r="A171" i="29"/>
  <c r="D80" i="14"/>
  <c r="V169" i="29" l="1"/>
  <c r="T170" i="29"/>
  <c r="U170" i="29"/>
  <c r="C171" i="29"/>
  <c r="B171" i="29"/>
  <c r="A172" i="29"/>
  <c r="D81" i="14"/>
  <c r="C82" i="14"/>
  <c r="T171" i="29" l="1"/>
  <c r="U171" i="29"/>
  <c r="V170" i="29"/>
  <c r="A173" i="29"/>
  <c r="B172" i="29"/>
  <c r="C172" i="29"/>
  <c r="C83" i="14"/>
  <c r="D82" i="14"/>
  <c r="T172" i="29" l="1"/>
  <c r="U172" i="29"/>
  <c r="V171" i="29"/>
  <c r="A174" i="29"/>
  <c r="C173" i="29"/>
  <c r="B173" i="29"/>
  <c r="C84" i="14"/>
  <c r="D83" i="14"/>
  <c r="T173" i="29" l="1"/>
  <c r="U173" i="29"/>
  <c r="V172" i="29"/>
  <c r="B174" i="29"/>
  <c r="A175" i="29"/>
  <c r="C174" i="29"/>
  <c r="C85" i="14"/>
  <c r="D84" i="14"/>
  <c r="T174" i="29" l="1"/>
  <c r="U174" i="29"/>
  <c r="V173" i="29"/>
  <c r="B175" i="29"/>
  <c r="A176" i="29"/>
  <c r="C175" i="29"/>
  <c r="D85" i="14"/>
  <c r="C86" i="14"/>
  <c r="T175" i="29" l="1"/>
  <c r="U175" i="29"/>
  <c r="V174" i="29"/>
  <c r="B176" i="29"/>
  <c r="C176" i="29"/>
  <c r="A177" i="29"/>
  <c r="C87" i="14"/>
  <c r="D86" i="14"/>
  <c r="T176" i="29" l="1"/>
  <c r="U176" i="29"/>
  <c r="V175" i="29"/>
  <c r="B177" i="29"/>
  <c r="C177" i="29"/>
  <c r="A178" i="29"/>
  <c r="C88" i="14"/>
  <c r="D87" i="14"/>
  <c r="T177" i="29" l="1"/>
  <c r="U177" i="29"/>
  <c r="V176" i="29"/>
  <c r="C178" i="29"/>
  <c r="A179" i="29"/>
  <c r="B178" i="29"/>
  <c r="C89" i="14"/>
  <c r="D88" i="14"/>
  <c r="T178" i="29" l="1"/>
  <c r="U178" i="29"/>
  <c r="V177" i="29"/>
  <c r="C179" i="29"/>
  <c r="A180" i="29"/>
  <c r="B179" i="29"/>
  <c r="D89" i="14"/>
  <c r="C90" i="14"/>
  <c r="T179" i="29" l="1"/>
  <c r="U179" i="29"/>
  <c r="V178" i="29"/>
  <c r="C180" i="29"/>
  <c r="A181" i="29"/>
  <c r="B180" i="29"/>
  <c r="C91" i="14"/>
  <c r="D90" i="14"/>
  <c r="T180" i="29" l="1"/>
  <c r="U180" i="29"/>
  <c r="V179" i="29"/>
  <c r="A182" i="29"/>
  <c r="C181" i="29"/>
  <c r="B181" i="29"/>
  <c r="C92" i="14"/>
  <c r="D91" i="14"/>
  <c r="T181" i="29" l="1"/>
  <c r="U181" i="29"/>
  <c r="V180" i="29"/>
  <c r="A183" i="29"/>
  <c r="C182" i="29"/>
  <c r="B182" i="29"/>
  <c r="D92" i="14"/>
  <c r="V181" i="29" l="1"/>
  <c r="T182" i="29"/>
  <c r="U182" i="29"/>
  <c r="C183" i="29"/>
  <c r="B183" i="29"/>
  <c r="A184" i="29"/>
  <c r="D93" i="14"/>
  <c r="C94" i="14"/>
  <c r="T183" i="29" l="1"/>
  <c r="U183" i="29"/>
  <c r="V182" i="29"/>
  <c r="A185" i="29"/>
  <c r="C184" i="29"/>
  <c r="B184" i="29"/>
  <c r="D94" i="14"/>
  <c r="C95" i="14"/>
  <c r="T184" i="29" l="1"/>
  <c r="U184" i="29"/>
  <c r="V183" i="29"/>
  <c r="A186" i="29"/>
  <c r="B185" i="29"/>
  <c r="C185" i="29"/>
  <c r="D95" i="14"/>
  <c r="C96" i="14"/>
  <c r="T185" i="29" l="1"/>
  <c r="U185" i="29"/>
  <c r="V184" i="29"/>
  <c r="A187" i="29"/>
  <c r="C186" i="29"/>
  <c r="B186" i="29"/>
  <c r="D96" i="14"/>
  <c r="C97" i="14"/>
  <c r="T186" i="29" l="1"/>
  <c r="U186" i="29"/>
  <c r="V185" i="29"/>
  <c r="A188" i="29"/>
  <c r="C187" i="29"/>
  <c r="B187" i="29"/>
  <c r="D97" i="14"/>
  <c r="C98" i="14"/>
  <c r="T187" i="29" l="1"/>
  <c r="U187" i="29"/>
  <c r="V186" i="29"/>
  <c r="B188" i="29"/>
  <c r="C188" i="29"/>
  <c r="A189" i="29"/>
  <c r="C99" i="14"/>
  <c r="D98" i="14"/>
  <c r="T188" i="29" l="1"/>
  <c r="U188" i="29"/>
  <c r="V187" i="29"/>
  <c r="A190" i="29"/>
  <c r="C189" i="29"/>
  <c r="B189" i="29"/>
  <c r="C100" i="14"/>
  <c r="D99" i="14"/>
  <c r="V188" i="29" l="1"/>
  <c r="T189" i="29"/>
  <c r="U189" i="29"/>
  <c r="A191" i="29"/>
  <c r="C190" i="29"/>
  <c r="B190" i="29"/>
  <c r="C101" i="14"/>
  <c r="D100" i="14"/>
  <c r="T190" i="29" l="1"/>
  <c r="U190" i="29"/>
  <c r="V189" i="29"/>
  <c r="A192" i="29"/>
  <c r="C191" i="29"/>
  <c r="B191" i="29"/>
  <c r="C102" i="14"/>
  <c r="D101" i="14"/>
  <c r="T191" i="29" l="1"/>
  <c r="U191" i="29"/>
  <c r="V190" i="29"/>
  <c r="C192" i="29"/>
  <c r="B192" i="29"/>
  <c r="A193" i="29"/>
  <c r="C103" i="14"/>
  <c r="D102" i="14"/>
  <c r="T192" i="29" l="1"/>
  <c r="U192" i="29"/>
  <c r="V191" i="29"/>
  <c r="C193" i="29"/>
  <c r="B193" i="29"/>
  <c r="P15" i="39" s="1"/>
  <c r="R15" i="39" s="1"/>
  <c r="T15" i="39" s="1"/>
  <c r="C104" i="14"/>
  <c r="D103" i="14"/>
  <c r="P5" i="39" l="1"/>
  <c r="R5" i="39" s="1"/>
  <c r="T5" i="39" s="1"/>
  <c r="T193" i="29"/>
  <c r="P6" i="39"/>
  <c r="R6" i="39" s="1"/>
  <c r="T6" i="39" s="1"/>
  <c r="C4" i="73" s="1"/>
  <c r="P7" i="39"/>
  <c r="R7" i="39" s="1"/>
  <c r="T7" i="39" s="1"/>
  <c r="P8" i="39"/>
  <c r="R8" i="39" s="1"/>
  <c r="T8" i="39" s="1"/>
  <c r="P9" i="39"/>
  <c r="R9" i="39" s="1"/>
  <c r="T9" i="39" s="1"/>
  <c r="P10" i="39"/>
  <c r="R10" i="39" s="1"/>
  <c r="T10" i="39" s="1"/>
  <c r="P11" i="39"/>
  <c r="R11" i="39" s="1"/>
  <c r="T11" i="39" s="1"/>
  <c r="U193" i="29"/>
  <c r="P12" i="39"/>
  <c r="R12" i="39" s="1"/>
  <c r="T12" i="39" s="1"/>
  <c r="P13" i="39"/>
  <c r="R13" i="39" s="1"/>
  <c r="P14" i="39"/>
  <c r="R14" i="39" s="1"/>
  <c r="P19" i="39"/>
  <c r="R19" i="39" s="1"/>
  <c r="P18" i="39"/>
  <c r="R18" i="39" s="1"/>
  <c r="P16" i="39"/>
  <c r="R16" i="39" s="1"/>
  <c r="V192" i="29"/>
  <c r="D104" i="14"/>
  <c r="I4" i="73" l="1"/>
  <c r="I12" i="73" s="1"/>
  <c r="H4" i="73"/>
  <c r="H12" i="73" s="1"/>
  <c r="G4" i="73"/>
  <c r="G12" i="73" s="1"/>
  <c r="F4" i="73"/>
  <c r="F12" i="73" s="1"/>
  <c r="D4" i="73"/>
  <c r="D12" i="73" s="1"/>
  <c r="C12" i="73"/>
  <c r="E4" i="73"/>
  <c r="E12" i="73" s="1"/>
  <c r="T18" i="39"/>
  <c r="T19" i="39"/>
  <c r="T14" i="39"/>
  <c r="T16" i="39"/>
  <c r="T13" i="39"/>
  <c r="V193" i="29"/>
  <c r="O4" i="73" l="1"/>
  <c r="J4" i="73"/>
  <c r="J12" i="73" s="1"/>
  <c r="K4" i="73"/>
  <c r="K12" i="73" s="1"/>
  <c r="P4" i="73"/>
  <c r="L4" i="73"/>
  <c r="M4" i="73"/>
  <c r="M4" i="41"/>
  <c r="Q4" i="41"/>
  <c r="F43" i="41" s="1"/>
  <c r="N4" i="41"/>
  <c r="C43" i="41" s="1"/>
  <c r="P4" i="41"/>
  <c r="E43" i="41" s="1"/>
  <c r="P17" i="39"/>
  <c r="R17" i="39" s="1"/>
  <c r="P20" i="39"/>
  <c r="R20" i="39" s="1"/>
  <c r="P21" i="39"/>
  <c r="R21" i="39" s="1"/>
  <c r="O4" i="44" l="1"/>
  <c r="M4" i="44"/>
  <c r="P4" i="44"/>
  <c r="N6" i="60"/>
  <c r="C43" i="73"/>
  <c r="F43" i="73"/>
  <c r="T17" i="39"/>
  <c r="T20" i="39"/>
  <c r="T21" i="39"/>
  <c r="O6" i="60" l="1"/>
  <c r="Q6" i="60"/>
  <c r="R6" i="60"/>
  <c r="M119" i="44"/>
  <c r="L119" i="44"/>
  <c r="O119" i="44"/>
  <c r="P119" i="44"/>
  <c r="R4" i="73"/>
  <c r="R4" i="41"/>
  <c r="G43" i="41" s="1"/>
  <c r="Q4" i="73"/>
  <c r="E43" i="73"/>
  <c r="N4" i="73"/>
  <c r="O4" i="41"/>
  <c r="D43" i="41" s="1"/>
  <c r="S4" i="41"/>
  <c r="D6" i="60" l="1"/>
  <c r="E6" i="60"/>
  <c r="H6" i="60"/>
  <c r="G6" i="60"/>
  <c r="M173" i="44"/>
  <c r="L173" i="44"/>
  <c r="L193" i="44" s="1"/>
  <c r="P173" i="44"/>
  <c r="O173" i="44"/>
  <c r="Q4" i="44"/>
  <c r="N4" i="44"/>
  <c r="H43" i="73"/>
  <c r="D43" i="73"/>
  <c r="G43" i="73"/>
  <c r="H43" i="41"/>
  <c r="R4" i="44" s="1"/>
  <c r="P6" i="60" l="1"/>
  <c r="S6" i="60"/>
  <c r="T6" i="60"/>
  <c r="M193" i="44"/>
  <c r="P193" i="44"/>
  <c r="N119" i="44"/>
  <c r="Q119" i="44"/>
  <c r="R119" i="44"/>
  <c r="J6" i="60" l="1"/>
  <c r="I6" i="60"/>
  <c r="F6" i="60"/>
  <c r="N173" i="44"/>
  <c r="N193" i="44" s="1"/>
  <c r="Q173" i="44"/>
  <c r="Q193" i="44" s="1"/>
  <c r="R173" i="44"/>
  <c r="O193" i="44" l="1"/>
  <c r="R193" i="44"/>
  <c r="L24" i="44"/>
  <c r="N26" i="60" l="1"/>
  <c r="L139" i="44"/>
  <c r="AT23" i="14"/>
  <c r="AT24" i="14"/>
  <c r="M106" i="73" s="1"/>
  <c r="AT25" i="14"/>
  <c r="AT26" i="14"/>
  <c r="AT27" i="14"/>
  <c r="AT31" i="14"/>
  <c r="G23" i="14"/>
  <c r="G24" i="14"/>
  <c r="G25" i="14"/>
  <c r="G26" i="14"/>
  <c r="G27" i="14"/>
  <c r="G28" i="14"/>
  <c r="G29" i="14"/>
  <c r="C23" i="14"/>
  <c r="C24" i="14"/>
  <c r="M93" i="73" s="1"/>
  <c r="C25" i="14"/>
  <c r="C26" i="14"/>
  <c r="C27" i="14"/>
  <c r="D26" i="60" l="1"/>
  <c r="P106" i="41"/>
  <c r="P70" i="44" s="1"/>
  <c r="P106" i="73"/>
  <c r="P93" i="41"/>
  <c r="P19" i="44" s="1"/>
  <c r="P93" i="73"/>
  <c r="N93" i="41"/>
  <c r="N19" i="44" s="1"/>
  <c r="N93" i="73"/>
  <c r="O106" i="41"/>
  <c r="O70" i="44" s="1"/>
  <c r="O106" i="73"/>
  <c r="O93" i="41"/>
  <c r="O19" i="44" s="1"/>
  <c r="O93" i="73"/>
  <c r="N106" i="41"/>
  <c r="N70" i="44" s="1"/>
  <c r="N106" i="73"/>
  <c r="M106" i="41"/>
  <c r="M70" i="44" s="1"/>
  <c r="M72" i="44"/>
  <c r="M74" i="44"/>
  <c r="M75" i="44"/>
  <c r="M93" i="41"/>
  <c r="M19" i="44" s="1"/>
  <c r="L177" i="44"/>
  <c r="L197" i="44" s="1"/>
  <c r="L184" i="44"/>
  <c r="L204" i="44" s="1"/>
  <c r="G31" i="14"/>
  <c r="H24" i="14"/>
  <c r="AU25" i="14"/>
  <c r="H25" i="14"/>
  <c r="AU27" i="14"/>
  <c r="AU28" i="14"/>
  <c r="H26" i="14"/>
  <c r="H28" i="14"/>
  <c r="AU26" i="14"/>
  <c r="D26" i="14"/>
  <c r="D24" i="14"/>
  <c r="D25" i="14"/>
  <c r="AK23" i="14"/>
  <c r="AK24" i="14"/>
  <c r="AK25" i="14"/>
  <c r="AK26" i="14"/>
  <c r="AK27" i="14"/>
  <c r="AK28" i="14"/>
  <c r="AK29" i="14"/>
  <c r="AU29" i="14"/>
  <c r="AG23" i="14"/>
  <c r="AG24" i="14"/>
  <c r="AG25" i="14"/>
  <c r="AG26" i="14"/>
  <c r="AG27" i="14"/>
  <c r="AG28" i="14"/>
  <c r="AG29" i="14"/>
  <c r="H27" i="14"/>
  <c r="H29" i="14"/>
  <c r="D27" i="14"/>
  <c r="AU24" i="14"/>
  <c r="Z21" i="60" l="1"/>
  <c r="Y21" i="60"/>
  <c r="P21" i="60"/>
  <c r="AA21" i="60"/>
  <c r="Q21" i="60"/>
  <c r="R21" i="60"/>
  <c r="AB21" i="60"/>
  <c r="P134" i="44"/>
  <c r="O134" i="44"/>
  <c r="N134" i="44"/>
  <c r="Y27" i="60"/>
  <c r="M140" i="44"/>
  <c r="Y24" i="60"/>
  <c r="M137" i="44"/>
  <c r="Y28" i="60"/>
  <c r="M141" i="44"/>
  <c r="M134" i="44"/>
  <c r="O21" i="60"/>
  <c r="AG31" i="14"/>
  <c r="AK31" i="14"/>
  <c r="AL26" i="14"/>
  <c r="AL27" i="14"/>
  <c r="AL24" i="14"/>
  <c r="AL29" i="14"/>
  <c r="AH27" i="14"/>
  <c r="AL28" i="14"/>
  <c r="AL25" i="14"/>
  <c r="AH24" i="14"/>
  <c r="AH25" i="14"/>
  <c r="AH29" i="14"/>
  <c r="BN23" i="14"/>
  <c r="BN24" i="14"/>
  <c r="BN25" i="14"/>
  <c r="BN26" i="14"/>
  <c r="BN27" i="14"/>
  <c r="BN28" i="14"/>
  <c r="BN29" i="14"/>
  <c r="O23" i="14"/>
  <c r="O24" i="14"/>
  <c r="O25" i="14"/>
  <c r="O26" i="14"/>
  <c r="O28" i="14"/>
  <c r="O29" i="14"/>
  <c r="BB23" i="14"/>
  <c r="BB24" i="14"/>
  <c r="BB25" i="14"/>
  <c r="BB26" i="14"/>
  <c r="BB27" i="14"/>
  <c r="BB28" i="14"/>
  <c r="BB29" i="14"/>
  <c r="AX23" i="14"/>
  <c r="AX24" i="14"/>
  <c r="AX25" i="14"/>
  <c r="AX26" i="14"/>
  <c r="AX27" i="14"/>
  <c r="AX28" i="14"/>
  <c r="AX29" i="14"/>
  <c r="AH26" i="14"/>
  <c r="BR23" i="14"/>
  <c r="BR24" i="14"/>
  <c r="BR25" i="14"/>
  <c r="BR26" i="14"/>
  <c r="BR27" i="14"/>
  <c r="BR28" i="14"/>
  <c r="BR29" i="14"/>
  <c r="AH28" i="14"/>
  <c r="K23" i="14"/>
  <c r="M107" i="73" l="1"/>
  <c r="M107" i="41"/>
  <c r="M71" i="44" s="1"/>
  <c r="Q107" i="41"/>
  <c r="Q71" i="44" s="1"/>
  <c r="Q107" i="73"/>
  <c r="R107" i="73"/>
  <c r="R107" i="41"/>
  <c r="R71" i="44" s="1"/>
  <c r="O107" i="41"/>
  <c r="O71" i="44" s="1"/>
  <c r="O107" i="73"/>
  <c r="P107" i="41"/>
  <c r="P71" i="44" s="1"/>
  <c r="P107" i="73"/>
  <c r="N107" i="73"/>
  <c r="N107" i="41"/>
  <c r="N71" i="44" s="1"/>
  <c r="G21" i="60"/>
  <c r="E24" i="60"/>
  <c r="F21" i="60"/>
  <c r="E21" i="60"/>
  <c r="H21" i="60"/>
  <c r="E28" i="60"/>
  <c r="M179" i="44"/>
  <c r="E27" i="60"/>
  <c r="M178" i="44"/>
  <c r="M185" i="44"/>
  <c r="BB31" i="14"/>
  <c r="BN31" i="14"/>
  <c r="AX31" i="14"/>
  <c r="BR31" i="14"/>
  <c r="O31" i="14"/>
  <c r="BO24" i="14"/>
  <c r="BS28" i="14"/>
  <c r="BO28" i="14"/>
  <c r="BS24" i="14"/>
  <c r="BC25" i="14"/>
  <c r="BS27" i="14"/>
  <c r="AY28" i="14"/>
  <c r="P29" i="14"/>
  <c r="BS29" i="14"/>
  <c r="BS26" i="14"/>
  <c r="AY29" i="14"/>
  <c r="BC26" i="14"/>
  <c r="AY25" i="14"/>
  <c r="P25" i="14"/>
  <c r="P27" i="14"/>
  <c r="BC24" i="14"/>
  <c r="BC28" i="14"/>
  <c r="BS25" i="14"/>
  <c r="BO25" i="14"/>
  <c r="BO27" i="14"/>
  <c r="BO26" i="14"/>
  <c r="AY27" i="14"/>
  <c r="P26" i="14"/>
  <c r="P24" i="14"/>
  <c r="BC29" i="14"/>
  <c r="BO29" i="14"/>
  <c r="BC27" i="14"/>
  <c r="AY26" i="14"/>
  <c r="AY24" i="14"/>
  <c r="P28" i="14"/>
  <c r="AB23" i="60" l="1"/>
  <c r="AA23" i="60"/>
  <c r="AD23" i="60"/>
  <c r="AC23" i="60"/>
  <c r="Y23" i="60"/>
  <c r="Z23" i="60"/>
  <c r="M199" i="44"/>
  <c r="N199" i="44"/>
  <c r="N205" i="44"/>
  <c r="M205" i="44"/>
  <c r="M198" i="44"/>
  <c r="N198" i="44"/>
  <c r="K122" i="44"/>
  <c r="C9" i="60" l="1"/>
  <c r="K159" i="44"/>
  <c r="AB57" i="14" l="1"/>
  <c r="K129" i="44"/>
  <c r="C16" i="60" l="1"/>
  <c r="K164" i="44"/>
  <c r="K133" i="44"/>
  <c r="AA23" i="14"/>
  <c r="C20" i="60" l="1"/>
  <c r="M24" i="44"/>
  <c r="N24" i="44"/>
  <c r="P26" i="60" l="1"/>
  <c r="O26" i="60"/>
  <c r="M139" i="44"/>
  <c r="N139" i="44"/>
  <c r="F26" i="60" l="1"/>
  <c r="E26" i="60"/>
  <c r="M177" i="44"/>
  <c r="M197" i="44" s="1"/>
  <c r="M184" i="44"/>
  <c r="M204" i="44" s="1"/>
  <c r="N177" i="44"/>
  <c r="N184" i="44"/>
  <c r="O24" i="44"/>
  <c r="Q26" i="60" l="1"/>
  <c r="N197" i="44"/>
  <c r="N204" i="44"/>
  <c r="O139" i="44"/>
  <c r="P24" i="44"/>
  <c r="G26" i="60" l="1"/>
  <c r="R26" i="60"/>
  <c r="P139" i="44"/>
  <c r="O184" i="44"/>
  <c r="O204" i="44" s="1"/>
  <c r="O177" i="44"/>
  <c r="O197" i="44" s="1"/>
  <c r="Q24" i="44"/>
  <c r="H26" i="60" l="1"/>
  <c r="S26" i="60"/>
  <c r="P177" i="44"/>
  <c r="P197" i="44" s="1"/>
  <c r="P184" i="44"/>
  <c r="P204" i="44" s="1"/>
  <c r="Q139" i="44"/>
  <c r="R24" i="44"/>
  <c r="I26" i="60" l="1"/>
  <c r="T26" i="60"/>
  <c r="Q184" i="44"/>
  <c r="Q204" i="44" s="1"/>
  <c r="Q177" i="44"/>
  <c r="Q197" i="44" s="1"/>
  <c r="R139" i="44"/>
  <c r="AA24" i="14"/>
  <c r="J26" i="60" l="1"/>
  <c r="R184" i="44"/>
  <c r="R204" i="44" s="1"/>
  <c r="R177" i="44"/>
  <c r="R197" i="44" s="1"/>
  <c r="AB24" i="14"/>
  <c r="AA25" i="14" l="1"/>
  <c r="AB25" i="14" s="1"/>
  <c r="AA26" i="14"/>
  <c r="AA27" i="14"/>
  <c r="AA28" i="14"/>
  <c r="AA29" i="14"/>
  <c r="AA31" i="14" l="1"/>
  <c r="AB26" i="14"/>
  <c r="AB27" i="14"/>
  <c r="AB28" i="14"/>
  <c r="AB29" i="14"/>
  <c r="L23" i="44" l="1"/>
  <c r="V14" i="14"/>
  <c r="U57" i="14" s="1"/>
  <c r="K102" i="41"/>
  <c r="K23" i="44"/>
  <c r="M25" i="60" l="1"/>
  <c r="N25" i="60"/>
  <c r="U58" i="14"/>
  <c r="V57" i="14"/>
  <c r="K28" i="44"/>
  <c r="V15" i="14"/>
  <c r="U69" i="14" s="1"/>
  <c r="M31" i="60" l="1"/>
  <c r="N31" i="60"/>
  <c r="M30" i="60"/>
  <c r="U70" i="14"/>
  <c r="U59" i="14"/>
  <c r="V58" i="14"/>
  <c r="X69" i="14"/>
  <c r="X57" i="14"/>
  <c r="V16" i="14"/>
  <c r="U81" i="14" s="1"/>
  <c r="U82" i="14" l="1"/>
  <c r="V59" i="14"/>
  <c r="U60" i="14"/>
  <c r="U71" i="14"/>
  <c r="V70" i="14"/>
  <c r="X58" i="14"/>
  <c r="X81" i="14"/>
  <c r="X70" i="14"/>
  <c r="V17" i="14"/>
  <c r="U93" i="14" s="1"/>
  <c r="U72" i="14" l="1"/>
  <c r="V71" i="14"/>
  <c r="U61" i="14"/>
  <c r="V60" i="14"/>
  <c r="U94" i="14"/>
  <c r="U83" i="14"/>
  <c r="V82" i="14"/>
  <c r="X93" i="14"/>
  <c r="X71" i="14"/>
  <c r="X59" i="14"/>
  <c r="X82" i="14"/>
  <c r="V18" i="14"/>
  <c r="U105" i="14" s="1"/>
  <c r="U62" i="14" l="1"/>
  <c r="V61" i="14"/>
  <c r="U106" i="14"/>
  <c r="V83" i="14"/>
  <c r="U84" i="14"/>
  <c r="U95" i="14"/>
  <c r="V94" i="14"/>
  <c r="U73" i="14"/>
  <c r="V72" i="14"/>
  <c r="X83" i="14"/>
  <c r="X60" i="14"/>
  <c r="X72" i="14"/>
  <c r="X105" i="14"/>
  <c r="X94" i="14"/>
  <c r="V19" i="14"/>
  <c r="U117" i="14" s="1"/>
  <c r="U118" i="14" l="1"/>
  <c r="U107" i="14"/>
  <c r="V106" i="14"/>
  <c r="U74" i="14"/>
  <c r="V73" i="14"/>
  <c r="V95" i="14"/>
  <c r="U96" i="14"/>
  <c r="U85" i="14"/>
  <c r="V84" i="14"/>
  <c r="U63" i="14"/>
  <c r="V62" i="14"/>
  <c r="X95" i="14"/>
  <c r="X106" i="14"/>
  <c r="X61" i="14"/>
  <c r="X84" i="14"/>
  <c r="X73" i="14"/>
  <c r="X117" i="14"/>
  <c r="V107" i="14" l="1"/>
  <c r="U108" i="14"/>
  <c r="V96" i="14"/>
  <c r="U97" i="14"/>
  <c r="U75" i="14"/>
  <c r="V74" i="14"/>
  <c r="U64" i="14"/>
  <c r="V63" i="14"/>
  <c r="U86" i="14"/>
  <c r="V85" i="14"/>
  <c r="U119" i="14"/>
  <c r="V118" i="14"/>
  <c r="X118" i="14"/>
  <c r="X62" i="14"/>
  <c r="X74" i="14"/>
  <c r="X107" i="14"/>
  <c r="X85" i="14"/>
  <c r="X96" i="14"/>
  <c r="U120" i="14" l="1"/>
  <c r="V119" i="14"/>
  <c r="U65" i="14"/>
  <c r="V64" i="14"/>
  <c r="U98" i="14"/>
  <c r="V97" i="14"/>
  <c r="U109" i="14"/>
  <c r="V108" i="14"/>
  <c r="U87" i="14"/>
  <c r="V86" i="14"/>
  <c r="V75" i="14"/>
  <c r="U76" i="14"/>
  <c r="X108" i="14"/>
  <c r="X63" i="14"/>
  <c r="X86" i="14"/>
  <c r="X75" i="14"/>
  <c r="X97" i="14"/>
  <c r="X119" i="14"/>
  <c r="U88" i="14" l="1"/>
  <c r="V87" i="14"/>
  <c r="V65" i="14"/>
  <c r="U66" i="14"/>
  <c r="V76" i="14"/>
  <c r="U77" i="14"/>
  <c r="U110" i="14"/>
  <c r="V109" i="14"/>
  <c r="U99" i="14"/>
  <c r="V98" i="14"/>
  <c r="V120" i="14"/>
  <c r="U121" i="14"/>
  <c r="X76" i="14"/>
  <c r="X87" i="14"/>
  <c r="X64" i="14"/>
  <c r="X120" i="14"/>
  <c r="X98" i="14"/>
  <c r="X109" i="14"/>
  <c r="V77" i="14" l="1"/>
  <c r="U78" i="14"/>
  <c r="U111" i="14"/>
  <c r="V110" i="14"/>
  <c r="U122" i="14"/>
  <c r="V121" i="14"/>
  <c r="V99" i="14"/>
  <c r="U100" i="14"/>
  <c r="U67" i="14"/>
  <c r="V66" i="14"/>
  <c r="U89" i="14"/>
  <c r="V88" i="14"/>
  <c r="X99" i="14"/>
  <c r="X110" i="14"/>
  <c r="X77" i="14"/>
  <c r="X88" i="14"/>
  <c r="X121" i="14"/>
  <c r="X65" i="14"/>
  <c r="V89" i="14" l="1"/>
  <c r="U90" i="14"/>
  <c r="V67" i="14"/>
  <c r="U68" i="14"/>
  <c r="U101" i="14"/>
  <c r="V100" i="14"/>
  <c r="U112" i="14"/>
  <c r="V111" i="14"/>
  <c r="U79" i="14"/>
  <c r="V78" i="14"/>
  <c r="V122" i="14"/>
  <c r="U123" i="14"/>
  <c r="X66" i="14"/>
  <c r="X122" i="14"/>
  <c r="X89" i="14"/>
  <c r="X78" i="14"/>
  <c r="X111" i="14"/>
  <c r="X100" i="14"/>
  <c r="U23" i="14"/>
  <c r="V123" i="14" l="1"/>
  <c r="U124" i="14"/>
  <c r="U113" i="14"/>
  <c r="V112" i="14"/>
  <c r="V101" i="14"/>
  <c r="U102" i="14"/>
  <c r="U91" i="14"/>
  <c r="V90" i="14"/>
  <c r="V79" i="14"/>
  <c r="U80" i="14"/>
  <c r="V68" i="14"/>
  <c r="V69" i="14"/>
  <c r="L33" i="44"/>
  <c r="N38" i="60" s="1"/>
  <c r="X112" i="14"/>
  <c r="X79" i="14"/>
  <c r="X90" i="14"/>
  <c r="X123" i="14"/>
  <c r="X101" i="14"/>
  <c r="X68" i="14"/>
  <c r="X67" i="14"/>
  <c r="N44" i="60" l="1"/>
  <c r="V91" i="14"/>
  <c r="U92" i="14"/>
  <c r="X92" i="14" s="1"/>
  <c r="U125" i="14"/>
  <c r="V124" i="14"/>
  <c r="V80" i="14"/>
  <c r="V81" i="14"/>
  <c r="U103" i="14"/>
  <c r="V102" i="14"/>
  <c r="U114" i="14"/>
  <c r="V113" i="14"/>
  <c r="X80" i="14"/>
  <c r="X124" i="14"/>
  <c r="X102" i="14"/>
  <c r="X91" i="14"/>
  <c r="U24" i="14"/>
  <c r="V24" i="14" s="1"/>
  <c r="X113" i="14"/>
  <c r="U25" i="14"/>
  <c r="U104" i="14" l="1"/>
  <c r="X104" i="14" s="1"/>
  <c r="V103" i="14"/>
  <c r="U126" i="14"/>
  <c r="V125" i="14"/>
  <c r="V92" i="14"/>
  <c r="V93" i="14"/>
  <c r="U115" i="14"/>
  <c r="V114" i="14"/>
  <c r="V25" i="14"/>
  <c r="U26" i="14"/>
  <c r="V26" i="14" s="1"/>
  <c r="X114" i="14"/>
  <c r="X103" i="14"/>
  <c r="X125" i="14"/>
  <c r="U27" i="14"/>
  <c r="U116" i="14" l="1"/>
  <c r="X116" i="14" s="1"/>
  <c r="V115" i="14"/>
  <c r="V126" i="14"/>
  <c r="U127" i="14"/>
  <c r="V104" i="14"/>
  <c r="V105" i="14"/>
  <c r="V27" i="14"/>
  <c r="X115" i="14"/>
  <c r="X126" i="14"/>
  <c r="U128" i="14" l="1"/>
  <c r="V128" i="14" s="1"/>
  <c r="V127" i="14"/>
  <c r="V116" i="14"/>
  <c r="V117" i="14"/>
  <c r="X127" i="14"/>
  <c r="U28" i="14"/>
  <c r="X128" i="14" l="1"/>
  <c r="K73" i="44"/>
  <c r="K38" i="44"/>
  <c r="X24" i="14"/>
  <c r="X26" i="14"/>
  <c r="X25" i="14"/>
  <c r="X27" i="14"/>
  <c r="X28" i="14"/>
  <c r="X29" i="14"/>
  <c r="V28" i="14"/>
  <c r="K113" i="41"/>
  <c r="U29" i="14"/>
  <c r="V29" i="14" s="1"/>
  <c r="F110" i="37"/>
  <c r="K110" i="37" s="1"/>
  <c r="R97" i="73" l="1"/>
  <c r="R97" i="41"/>
  <c r="R23" i="44" s="1"/>
  <c r="T25" i="60" s="1"/>
  <c r="Q97" i="73"/>
  <c r="Q97" i="41"/>
  <c r="Q23" i="44" s="1"/>
  <c r="S25" i="60" s="1"/>
  <c r="P97" i="73"/>
  <c r="P102" i="73" s="1"/>
  <c r="P97" i="41"/>
  <c r="P23" i="44" s="1"/>
  <c r="R25" i="60" s="1"/>
  <c r="N97" i="73"/>
  <c r="N102" i="73" s="1"/>
  <c r="N97" i="41"/>
  <c r="N23" i="44" s="1"/>
  <c r="P25" i="60" s="1"/>
  <c r="O97" i="73"/>
  <c r="O102" i="73" s="1"/>
  <c r="O97" i="41"/>
  <c r="O23" i="44" s="1"/>
  <c r="Q25" i="60" s="1"/>
  <c r="M97" i="73"/>
  <c r="M102" i="73" s="1"/>
  <c r="M97" i="41"/>
  <c r="M23" i="44" s="1"/>
  <c r="O25" i="60" s="1"/>
  <c r="W25" i="60"/>
  <c r="M110" i="37"/>
  <c r="K138" i="44"/>
  <c r="K77" i="44"/>
  <c r="U31" i="14"/>
  <c r="F111" i="37"/>
  <c r="K111" i="37" s="1"/>
  <c r="W30" i="60" l="1"/>
  <c r="W31" i="60"/>
  <c r="C25" i="60"/>
  <c r="M111" i="37"/>
  <c r="K183" i="44"/>
  <c r="K203" i="44" s="1"/>
  <c r="K176" i="44"/>
  <c r="K196" i="44" s="1"/>
  <c r="K144" i="44"/>
  <c r="L156" i="44" s="1"/>
  <c r="K143" i="44"/>
  <c r="F112" i="37"/>
  <c r="K112" i="37" s="1"/>
  <c r="C31" i="60" l="1"/>
  <c r="C30" i="60"/>
  <c r="M112" i="37"/>
  <c r="F113" i="37"/>
  <c r="K113" i="37" s="1"/>
  <c r="M113" i="37" l="1"/>
  <c r="F114" i="37"/>
  <c r="K114" i="37" s="1"/>
  <c r="M114" i="37" l="1"/>
  <c r="F115" i="37"/>
  <c r="K115" i="37" s="1"/>
  <c r="M115" i="37" l="1"/>
  <c r="F116" i="37"/>
  <c r="K116" i="37" s="1"/>
  <c r="M116" i="37" l="1"/>
  <c r="F117" i="37"/>
  <c r="K117" i="37" s="1"/>
  <c r="M117" i="37" l="1"/>
  <c r="F118" i="37"/>
  <c r="K118" i="37" s="1"/>
  <c r="M118" i="37" l="1"/>
  <c r="F119" i="37"/>
  <c r="K119" i="37" s="1"/>
  <c r="M119" i="37" l="1"/>
  <c r="F120" i="37"/>
  <c r="K120" i="37" s="1"/>
  <c r="M120" i="37" l="1"/>
  <c r="F121" i="37"/>
  <c r="K121" i="37" s="1"/>
  <c r="M121" i="37" l="1"/>
  <c r="L81" i="44"/>
  <c r="L149" i="44" l="1"/>
  <c r="D38" i="60" s="1"/>
  <c r="X38" i="60"/>
  <c r="X44" i="60" l="1"/>
  <c r="D44" i="60"/>
  <c r="L155" i="44"/>
  <c r="BH23" i="14"/>
  <c r="BK57" i="14" l="1"/>
  <c r="BK58" i="14" l="1"/>
  <c r="F134" i="37"/>
  <c r="K134" i="37" s="1"/>
  <c r="L73" i="44"/>
  <c r="BI57" i="14"/>
  <c r="F122" i="37"/>
  <c r="K122" i="37" s="1"/>
  <c r="X25" i="60" l="1"/>
  <c r="X31" i="60" s="1"/>
  <c r="M122" i="37"/>
  <c r="M134" i="37"/>
  <c r="BK69" i="14"/>
  <c r="BK81" i="14"/>
  <c r="BK59" i="14"/>
  <c r="F146" i="37"/>
  <c r="K146" i="37" s="1"/>
  <c r="L138" i="44"/>
  <c r="F135" i="37"/>
  <c r="K135" i="37" s="1"/>
  <c r="BI70" i="14"/>
  <c r="BI58" i="14"/>
  <c r="F123" i="37"/>
  <c r="K123" i="37" s="1"/>
  <c r="D25" i="60" l="1"/>
  <c r="M123" i="37"/>
  <c r="M146" i="37"/>
  <c r="M135" i="37"/>
  <c r="BK105" i="14"/>
  <c r="BK60" i="14"/>
  <c r="F148" i="37"/>
  <c r="K148" i="37" s="1"/>
  <c r="BK82" i="14"/>
  <c r="BI71" i="14"/>
  <c r="BK70" i="14"/>
  <c r="BK93" i="14"/>
  <c r="F158" i="37"/>
  <c r="K158" i="37" s="1"/>
  <c r="BI82" i="14"/>
  <c r="F147" i="37"/>
  <c r="K147" i="37" s="1"/>
  <c r="L144" i="44"/>
  <c r="F170" i="37"/>
  <c r="K170" i="37" s="1"/>
  <c r="F124" i="37"/>
  <c r="K124" i="37" s="1"/>
  <c r="BI59" i="14"/>
  <c r="D31" i="60" l="1"/>
  <c r="M148" i="37"/>
  <c r="M124" i="37"/>
  <c r="M170" i="37"/>
  <c r="M147" i="37"/>
  <c r="M158" i="37"/>
  <c r="BI83" i="14"/>
  <c r="F136" i="37"/>
  <c r="K136" i="37" s="1"/>
  <c r="BI95" i="14"/>
  <c r="BK94" i="14"/>
  <c r="BI72" i="14"/>
  <c r="BK71" i="14"/>
  <c r="BI84" i="14"/>
  <c r="BK83" i="14"/>
  <c r="BI94" i="14"/>
  <c r="BK117" i="14"/>
  <c r="F159" i="37"/>
  <c r="K159" i="37" s="1"/>
  <c r="BK61" i="14"/>
  <c r="BK106" i="14"/>
  <c r="F182" i="37"/>
  <c r="K182" i="37" s="1"/>
  <c r="BI60" i="14"/>
  <c r="F125" i="37"/>
  <c r="K125" i="37" s="1"/>
  <c r="BI106" i="14"/>
  <c r="F171" i="37"/>
  <c r="K171" i="37" s="1"/>
  <c r="M159" i="37" l="1"/>
  <c r="M182" i="37"/>
  <c r="M125" i="37"/>
  <c r="M136" i="37"/>
  <c r="M171" i="37"/>
  <c r="F137" i="37"/>
  <c r="K137" i="37" s="1"/>
  <c r="F160" i="37"/>
  <c r="K160" i="37" s="1"/>
  <c r="F149" i="37"/>
  <c r="K149" i="37" s="1"/>
  <c r="BK62" i="14"/>
  <c r="BK118" i="14"/>
  <c r="F150" i="37"/>
  <c r="K150" i="37" s="1"/>
  <c r="BK84" i="14"/>
  <c r="F138" i="37"/>
  <c r="K138" i="37" s="1"/>
  <c r="BK72" i="14"/>
  <c r="BK95" i="14"/>
  <c r="BK107" i="14"/>
  <c r="BI61" i="14"/>
  <c r="F126" i="37"/>
  <c r="K126" i="37" s="1"/>
  <c r="BI118" i="14"/>
  <c r="F183" i="37"/>
  <c r="K183" i="37" s="1"/>
  <c r="BI107" i="14"/>
  <c r="F172" i="37"/>
  <c r="K172" i="37" s="1"/>
  <c r="M150" i="37" l="1"/>
  <c r="M172" i="37"/>
  <c r="M149" i="37"/>
  <c r="M138" i="37"/>
  <c r="M160" i="37"/>
  <c r="M137" i="37"/>
  <c r="M126" i="37"/>
  <c r="M183" i="37"/>
  <c r="BK108" i="14"/>
  <c r="BI73" i="14"/>
  <c r="F162" i="37"/>
  <c r="K162" i="37" s="1"/>
  <c r="BK96" i="14"/>
  <c r="F161" i="37"/>
  <c r="K161" i="37" s="1"/>
  <c r="F139" i="37"/>
  <c r="K139" i="37" s="1"/>
  <c r="BK73" i="14"/>
  <c r="BI96" i="14"/>
  <c r="BI86" i="14"/>
  <c r="BK85" i="14"/>
  <c r="BI85" i="14"/>
  <c r="BK119" i="14"/>
  <c r="BK63" i="14"/>
  <c r="BI108" i="14"/>
  <c r="F173" i="37"/>
  <c r="K173" i="37" s="1"/>
  <c r="BI62" i="14"/>
  <c r="F127" i="37"/>
  <c r="K127" i="37" s="1"/>
  <c r="F184" i="37"/>
  <c r="K184" i="37" s="1"/>
  <c r="BI119" i="14"/>
  <c r="M162" i="37" l="1"/>
  <c r="M173" i="37"/>
  <c r="M184" i="37"/>
  <c r="M127" i="37"/>
  <c r="M139" i="37"/>
  <c r="M161" i="37"/>
  <c r="BI97" i="14"/>
  <c r="BI74" i="14"/>
  <c r="BK120" i="14"/>
  <c r="BK86" i="14"/>
  <c r="BI75" i="14"/>
  <c r="BK74" i="14"/>
  <c r="BI98" i="14"/>
  <c r="BK97" i="14"/>
  <c r="BK109" i="14"/>
  <c r="F151" i="37"/>
  <c r="K151" i="37" s="1"/>
  <c r="BK64" i="14"/>
  <c r="BI87" i="14"/>
  <c r="F128" i="37"/>
  <c r="K128" i="37" s="1"/>
  <c r="BI63" i="14"/>
  <c r="BI109" i="14"/>
  <c r="F174" i="37"/>
  <c r="K174" i="37" s="1"/>
  <c r="F185" i="37"/>
  <c r="K185" i="37" s="1"/>
  <c r="BI120" i="14"/>
  <c r="M185" i="37" l="1"/>
  <c r="M174" i="37"/>
  <c r="M128" i="37"/>
  <c r="M151" i="37"/>
  <c r="F140" i="37"/>
  <c r="K140" i="37" s="1"/>
  <c r="F163" i="37"/>
  <c r="K163" i="37" s="1"/>
  <c r="BK110" i="14"/>
  <c r="BK98" i="14"/>
  <c r="BK75" i="14"/>
  <c r="BI88" i="14"/>
  <c r="BK87" i="14"/>
  <c r="BK121" i="14"/>
  <c r="BK65" i="14"/>
  <c r="F152" i="37"/>
  <c r="K152" i="37" s="1"/>
  <c r="F175" i="37"/>
  <c r="K175" i="37" s="1"/>
  <c r="BI110" i="14"/>
  <c r="BI64" i="14"/>
  <c r="F129" i="37"/>
  <c r="K129" i="37" s="1"/>
  <c r="F186" i="37"/>
  <c r="K186" i="37" s="1"/>
  <c r="BI121" i="14"/>
  <c r="M129" i="37" l="1"/>
  <c r="M175" i="37"/>
  <c r="M152" i="37"/>
  <c r="M140" i="37"/>
  <c r="M186" i="37"/>
  <c r="M163" i="37"/>
  <c r="BI99" i="14"/>
  <c r="F164" i="37"/>
  <c r="K164" i="37" s="1"/>
  <c r="F153" i="37"/>
  <c r="K153" i="37" s="1"/>
  <c r="BK66" i="14"/>
  <c r="BK122" i="14"/>
  <c r="BI89" i="14"/>
  <c r="BK88" i="14"/>
  <c r="BI77" i="14"/>
  <c r="BK76" i="14"/>
  <c r="BI100" i="14"/>
  <c r="BK99" i="14"/>
  <c r="BI76" i="14"/>
  <c r="F141" i="37"/>
  <c r="K141" i="37" s="1"/>
  <c r="BK111" i="14"/>
  <c r="F176" i="37"/>
  <c r="K176" i="37" s="1"/>
  <c r="BI111" i="14"/>
  <c r="BI65" i="14"/>
  <c r="F130" i="37"/>
  <c r="K130" i="37" s="1"/>
  <c r="BI122" i="14"/>
  <c r="F187" i="37"/>
  <c r="K187" i="37" s="1"/>
  <c r="M141" i="37" l="1"/>
  <c r="M187" i="37"/>
  <c r="M130" i="37"/>
  <c r="M153" i="37"/>
  <c r="M164" i="37"/>
  <c r="M176" i="37"/>
  <c r="F165" i="37"/>
  <c r="K165" i="37" s="1"/>
  <c r="F154" i="37"/>
  <c r="K154" i="37" s="1"/>
  <c r="BK112" i="14"/>
  <c r="BK100" i="14"/>
  <c r="BK77" i="14"/>
  <c r="BK89" i="14"/>
  <c r="F142" i="37"/>
  <c r="K142" i="37" s="1"/>
  <c r="BK123" i="14"/>
  <c r="BK68" i="14"/>
  <c r="BK67" i="14"/>
  <c r="BI123" i="14"/>
  <c r="F188" i="37"/>
  <c r="K188" i="37" s="1"/>
  <c r="F131" i="37"/>
  <c r="K131" i="37" s="1"/>
  <c r="BI66" i="14"/>
  <c r="BI112" i="14"/>
  <c r="F177" i="37"/>
  <c r="K177" i="37" s="1"/>
  <c r="M188" i="37" l="1"/>
  <c r="M177" i="37"/>
  <c r="M165" i="37"/>
  <c r="M131" i="37"/>
  <c r="M142" i="37"/>
  <c r="M154" i="37"/>
  <c r="F155" i="37"/>
  <c r="K155" i="37" s="1"/>
  <c r="BI90" i="14"/>
  <c r="BI101" i="14"/>
  <c r="F166" i="37"/>
  <c r="K166" i="37" s="1"/>
  <c r="BK124" i="14"/>
  <c r="BK90" i="14"/>
  <c r="BI79" i="14"/>
  <c r="BK78" i="14"/>
  <c r="F167" i="37"/>
  <c r="K167" i="37" s="1"/>
  <c r="BK101" i="14"/>
  <c r="F143" i="37"/>
  <c r="K143" i="37" s="1"/>
  <c r="BI78" i="14"/>
  <c r="BK113" i="14"/>
  <c r="F178" i="37"/>
  <c r="K178" i="37" s="1"/>
  <c r="BI113" i="14"/>
  <c r="BI124" i="14"/>
  <c r="F189" i="37"/>
  <c r="K189" i="37" s="1"/>
  <c r="F132" i="37"/>
  <c r="K132" i="37" s="1"/>
  <c r="BI67" i="14"/>
  <c r="M132" i="37" l="1"/>
  <c r="M189" i="37"/>
  <c r="M155" i="37"/>
  <c r="M167" i="37"/>
  <c r="M178" i="37"/>
  <c r="M166" i="37"/>
  <c r="M143" i="37"/>
  <c r="BI91" i="14"/>
  <c r="F144" i="37"/>
  <c r="K144" i="37" s="1"/>
  <c r="F156" i="37"/>
  <c r="K156" i="37" s="1"/>
  <c r="BK114" i="14"/>
  <c r="BI103" i="14"/>
  <c r="BK102" i="14"/>
  <c r="BK80" i="14"/>
  <c r="BK79" i="14"/>
  <c r="BK92" i="14"/>
  <c r="BK91" i="14"/>
  <c r="BI102" i="14"/>
  <c r="BK125" i="14"/>
  <c r="BI125" i="14"/>
  <c r="F190" i="37"/>
  <c r="K190" i="37" s="1"/>
  <c r="BI68" i="14"/>
  <c r="F133" i="37"/>
  <c r="K133" i="37" s="1"/>
  <c r="BI69" i="14"/>
  <c r="F179" i="37"/>
  <c r="K179" i="37" s="1"/>
  <c r="BI114" i="14"/>
  <c r="M179" i="37" l="1"/>
  <c r="M144" i="37"/>
  <c r="M133" i="37"/>
  <c r="M190" i="37"/>
  <c r="M156" i="37"/>
  <c r="F168" i="37"/>
  <c r="K168" i="37" s="1"/>
  <c r="F145" i="37"/>
  <c r="K145" i="37" s="1"/>
  <c r="BI81" i="14"/>
  <c r="BI80" i="14"/>
  <c r="BI92" i="14"/>
  <c r="BK126" i="14"/>
  <c r="BK104" i="14"/>
  <c r="BK103" i="14"/>
  <c r="BI93" i="14"/>
  <c r="F157" i="37"/>
  <c r="K157" i="37" s="1"/>
  <c r="BK116" i="14"/>
  <c r="BK115" i="14"/>
  <c r="F191" i="37"/>
  <c r="K191" i="37" s="1"/>
  <c r="BI126" i="14"/>
  <c r="F180" i="37"/>
  <c r="K180" i="37" s="1"/>
  <c r="BI115" i="14"/>
  <c r="M191" i="37" l="1"/>
  <c r="M180" i="37"/>
  <c r="M157" i="37"/>
  <c r="M145" i="37"/>
  <c r="M168" i="37"/>
  <c r="F169" i="37"/>
  <c r="K169" i="37" s="1"/>
  <c r="BI104" i="14"/>
  <c r="BI105" i="14"/>
  <c r="BK128" i="14"/>
  <c r="BK127" i="14"/>
  <c r="BI116" i="14"/>
  <c r="F181" i="37"/>
  <c r="K181" i="37" s="1"/>
  <c r="BI117" i="14"/>
  <c r="BI127" i="14"/>
  <c r="F192" i="37"/>
  <c r="K192" i="37" s="1"/>
  <c r="M181" i="37" l="1"/>
  <c r="M192" i="37"/>
  <c r="M169" i="37"/>
  <c r="BK24" i="14"/>
  <c r="BK25" i="14"/>
  <c r="BK26" i="14"/>
  <c r="BK27" i="14"/>
  <c r="BK28" i="14"/>
  <c r="BK29" i="14"/>
  <c r="BI128" i="14"/>
  <c r="F193" i="37"/>
  <c r="K193" i="37" s="1"/>
  <c r="BH26" i="14"/>
  <c r="BH25" i="14"/>
  <c r="BH24" i="14"/>
  <c r="BH28" i="14"/>
  <c r="BH27" i="14"/>
  <c r="BH29" i="14"/>
  <c r="R109" i="73" l="1"/>
  <c r="R113" i="73" s="1"/>
  <c r="R109" i="41"/>
  <c r="R73" i="44" s="1"/>
  <c r="Q109" i="73"/>
  <c r="Q113" i="73" s="1"/>
  <c r="Q109" i="41"/>
  <c r="Q73" i="44" s="1"/>
  <c r="P109" i="73"/>
  <c r="P113" i="73" s="1"/>
  <c r="P109" i="41"/>
  <c r="P73" i="44" s="1"/>
  <c r="O109" i="73"/>
  <c r="O113" i="73" s="1"/>
  <c r="O109" i="41"/>
  <c r="O73" i="44" s="1"/>
  <c r="N109" i="73"/>
  <c r="N113" i="73" s="1"/>
  <c r="N109" i="41"/>
  <c r="N73" i="44" s="1"/>
  <c r="M109" i="73"/>
  <c r="M113" i="73" s="1"/>
  <c r="M109" i="41"/>
  <c r="M73" i="44" s="1"/>
  <c r="M193" i="37"/>
  <c r="BH31" i="14"/>
  <c r="BI26" i="14"/>
  <c r="BI29" i="14"/>
  <c r="BI25" i="14"/>
  <c r="BI27" i="14"/>
  <c r="BI28" i="14"/>
  <c r="BI24" i="14"/>
  <c r="Y25" i="60" l="1"/>
  <c r="Y31" i="60" s="1"/>
  <c r="M138" i="44"/>
  <c r="E25" i="60" s="1"/>
  <c r="Z25" i="60"/>
  <c r="Z31" i="60" s="1"/>
  <c r="N138" i="44"/>
  <c r="F25" i="60" s="1"/>
  <c r="AA25" i="60"/>
  <c r="AA31" i="60" s="1"/>
  <c r="O138" i="44"/>
  <c r="G25" i="60" s="1"/>
  <c r="AB25" i="60"/>
  <c r="AB31" i="60" s="1"/>
  <c r="P138" i="44"/>
  <c r="H25" i="60" s="1"/>
  <c r="AC25" i="60"/>
  <c r="AC31" i="60" s="1"/>
  <c r="Q138" i="44"/>
  <c r="I25" i="60" s="1"/>
  <c r="AD25" i="60"/>
  <c r="AD31" i="60" s="1"/>
  <c r="R138" i="44"/>
  <c r="J25" i="60" s="1"/>
  <c r="R28" i="12"/>
  <c r="R31" i="12" s="1"/>
  <c r="Q28" i="12"/>
  <c r="P35" i="10"/>
  <c r="Q35" i="10"/>
  <c r="R35" i="10"/>
  <c r="S35" i="10"/>
  <c r="Q46" i="10"/>
  <c r="S51" i="10"/>
  <c r="S46" i="10" l="1"/>
  <c r="R51" i="10"/>
  <c r="R46" i="10"/>
  <c r="P56" i="10"/>
  <c r="P46" i="10"/>
  <c r="S19" i="10"/>
  <c r="S14" i="10"/>
  <c r="P14" i="10"/>
  <c r="P15" i="10" s="1"/>
  <c r="R19" i="10"/>
  <c r="L161" i="10" s="1"/>
  <c r="R14" i="10"/>
  <c r="Q19" i="10"/>
  <c r="K161" i="10" s="1"/>
  <c r="Q14" i="10"/>
  <c r="P51" i="10"/>
  <c r="H29" i="40"/>
  <c r="Q31" i="12"/>
  <c r="H30" i="40"/>
  <c r="S24" i="10"/>
  <c r="S54" i="10"/>
  <c r="Q49" i="10"/>
  <c r="Q51" i="10"/>
  <c r="P19" i="10"/>
  <c r="S56" i="10"/>
  <c r="R24" i="10"/>
  <c r="R56" i="10"/>
  <c r="Q24" i="10"/>
  <c r="Q56" i="10"/>
  <c r="P24" i="10"/>
  <c r="M157" i="10" l="1"/>
  <c r="N56" i="73"/>
  <c r="O56" i="73"/>
  <c r="P25" i="10"/>
  <c r="J165" i="10"/>
  <c r="S22" i="10"/>
  <c r="M161" i="10"/>
  <c r="P20" i="10"/>
  <c r="Q20" i="10" s="1"/>
  <c r="R20" i="10" s="1"/>
  <c r="S20" i="10" s="1"/>
  <c r="T20" i="10" s="1"/>
  <c r="U20" i="10" s="1"/>
  <c r="V20" i="10" s="1"/>
  <c r="W20" i="10" s="1"/>
  <c r="X20" i="10" s="1"/>
  <c r="J161" i="10"/>
  <c r="K165" i="10"/>
  <c r="L165" i="10"/>
  <c r="M165" i="10"/>
  <c r="P54" i="10"/>
  <c r="Q61" i="73"/>
  <c r="G82" i="73"/>
  <c r="G87" i="73" s="1"/>
  <c r="P61" i="73"/>
  <c r="F82" i="73"/>
  <c r="F87" i="73" s="1"/>
  <c r="M61" i="73"/>
  <c r="C82" i="73"/>
  <c r="C87" i="73" s="1"/>
  <c r="P56" i="41"/>
  <c r="P61" i="41" s="1"/>
  <c r="O56" i="41"/>
  <c r="D82" i="41" s="1"/>
  <c r="Q25" i="10"/>
  <c r="R25" i="10" s="1"/>
  <c r="S25" i="10" s="1"/>
  <c r="T25" i="10" s="1"/>
  <c r="U25" i="10" s="1"/>
  <c r="V25" i="10" s="1"/>
  <c r="W25" i="10" s="1"/>
  <c r="X25" i="10" s="1"/>
  <c r="Q22" i="10"/>
  <c r="R22" i="10"/>
  <c r="P59" i="10"/>
  <c r="R54" i="10"/>
  <c r="P43" i="10"/>
  <c r="Q15" i="10"/>
  <c r="R15" i="10" s="1"/>
  <c r="S15" i="10" s="1"/>
  <c r="P49" i="10"/>
  <c r="S27" i="10"/>
  <c r="Q59" i="10"/>
  <c r="R17" i="10"/>
  <c r="R11" i="10"/>
  <c r="L157" i="10"/>
  <c r="P17" i="10"/>
  <c r="P11" i="10"/>
  <c r="J157" i="10"/>
  <c r="S49" i="10"/>
  <c r="S43" i="10"/>
  <c r="S17" i="10"/>
  <c r="S11" i="10"/>
  <c r="P27" i="10"/>
  <c r="Q27" i="10"/>
  <c r="R59" i="10"/>
  <c r="R27" i="10"/>
  <c r="S59" i="10"/>
  <c r="Q43" i="10"/>
  <c r="P22" i="10"/>
  <c r="Q17" i="10"/>
  <c r="Q11" i="10"/>
  <c r="K157" i="10"/>
  <c r="Q54" i="10"/>
  <c r="R49" i="10"/>
  <c r="R43" i="10"/>
  <c r="P12" i="10" l="1"/>
  <c r="Q12" i="10" s="1"/>
  <c r="R12" i="10" s="1"/>
  <c r="S12" i="10" s="1"/>
  <c r="T12" i="10" s="1"/>
  <c r="U12" i="10" s="1"/>
  <c r="V12" i="10" s="1"/>
  <c r="W12" i="10" s="1"/>
  <c r="X12" i="10" s="1"/>
  <c r="R77" i="10"/>
  <c r="S77" i="10"/>
  <c r="Q77" i="10"/>
  <c r="P77" i="10"/>
  <c r="T15" i="10"/>
  <c r="U15" i="10" s="1"/>
  <c r="V15" i="10" s="1"/>
  <c r="W15" i="10" s="1"/>
  <c r="X15" i="10" s="1"/>
  <c r="S18" i="10"/>
  <c r="E82" i="41"/>
  <c r="E87" i="41" s="1"/>
  <c r="O61" i="41"/>
  <c r="E82" i="73"/>
  <c r="E87" i="73" s="1"/>
  <c r="O61" i="73"/>
  <c r="D82" i="73"/>
  <c r="D87" i="73" s="1"/>
  <c r="N61" i="73"/>
  <c r="D87" i="41"/>
  <c r="N13" i="44"/>
  <c r="P18" i="10"/>
  <c r="P23" i="10"/>
  <c r="P28" i="10"/>
  <c r="P15" i="60" l="1"/>
  <c r="O13" i="44"/>
  <c r="N18" i="44"/>
  <c r="P80" i="10"/>
  <c r="P82" i="10"/>
  <c r="P83" i="10"/>
  <c r="P81" i="10"/>
  <c r="Q28" i="10"/>
  <c r="Q18" i="10"/>
  <c r="Q23" i="10"/>
  <c r="P20" i="60" l="1"/>
  <c r="Q15" i="60"/>
  <c r="O18" i="44"/>
  <c r="P90" i="10"/>
  <c r="Q80" i="10"/>
  <c r="Q83" i="10"/>
  <c r="Q82" i="10"/>
  <c r="Q81" i="10"/>
  <c r="P89" i="10"/>
  <c r="R23" i="10"/>
  <c r="R28" i="10"/>
  <c r="R18" i="10"/>
  <c r="Q20" i="60" l="1"/>
  <c r="Q90" i="10"/>
  <c r="R80" i="10"/>
  <c r="R81" i="10"/>
  <c r="R83" i="10"/>
  <c r="R82" i="10"/>
  <c r="Q89" i="10"/>
  <c r="S28" i="10"/>
  <c r="S23" i="10"/>
  <c r="S81" i="10" l="1"/>
  <c r="S80" i="10"/>
  <c r="S82" i="10"/>
  <c r="S83" i="10"/>
  <c r="R90" i="10"/>
  <c r="R89" i="10"/>
  <c r="T18" i="10"/>
  <c r="T28" i="10"/>
  <c r="T23" i="10"/>
  <c r="T80" i="10" l="1"/>
  <c r="T81" i="10"/>
  <c r="T83" i="10"/>
  <c r="T90" i="10" s="1"/>
  <c r="T82" i="10"/>
  <c r="T89" i="10" s="1"/>
  <c r="S90" i="10"/>
  <c r="S89" i="10"/>
  <c r="U23" i="10"/>
  <c r="U18" i="10"/>
  <c r="U28" i="10"/>
  <c r="V18" i="10" l="1"/>
  <c r="V28" i="10"/>
  <c r="V23" i="10"/>
  <c r="DH5" i="39" l="1"/>
  <c r="DJ5" i="39" s="1"/>
  <c r="DL5" i="39" s="1"/>
  <c r="X18" i="10"/>
  <c r="W18" i="10"/>
  <c r="W28" i="10"/>
  <c r="X28" i="10"/>
  <c r="W23" i="10"/>
  <c r="X23" i="10"/>
  <c r="DS6" i="39" l="1"/>
  <c r="DS9" i="39"/>
  <c r="DS8" i="39"/>
  <c r="DS7" i="39"/>
  <c r="DS11" i="39"/>
  <c r="DS12" i="39"/>
  <c r="DS10" i="39"/>
  <c r="DS13" i="39"/>
  <c r="DS14" i="39"/>
  <c r="DU10" i="39" l="1"/>
  <c r="DX10" i="39"/>
  <c r="DU6" i="39"/>
  <c r="DX6" i="39"/>
  <c r="DU12" i="39"/>
  <c r="DX12" i="39"/>
  <c r="DU7" i="39"/>
  <c r="DX7" i="39"/>
  <c r="DU8" i="39"/>
  <c r="DX8" i="39"/>
  <c r="DU11" i="39"/>
  <c r="DX11" i="39"/>
  <c r="DU9" i="39"/>
  <c r="DX9" i="39"/>
  <c r="DU14" i="39"/>
  <c r="DX14" i="39"/>
  <c r="DU13" i="39"/>
  <c r="DX13" i="39"/>
  <c r="DW7" i="39" l="1"/>
  <c r="AY19" i="40"/>
  <c r="AZ19" i="40" s="1"/>
  <c r="BD19" i="40" s="1"/>
  <c r="D66" i="73" s="1"/>
  <c r="D69" i="73" s="1"/>
  <c r="DW9" i="39"/>
  <c r="AY21" i="40"/>
  <c r="AZ21" i="40" s="1"/>
  <c r="BD21" i="40" s="1"/>
  <c r="F66" i="73" s="1"/>
  <c r="F69" i="73" s="1"/>
  <c r="DW8" i="39"/>
  <c r="AY20" i="40"/>
  <c r="AZ20" i="40" s="1"/>
  <c r="BD20" i="40" s="1"/>
  <c r="E66" i="73" s="1"/>
  <c r="E69" i="73" s="1"/>
  <c r="DW6" i="39"/>
  <c r="C19" i="73" s="1"/>
  <c r="C23" i="73" s="1"/>
  <c r="AY18" i="40"/>
  <c r="AZ18" i="40" s="1"/>
  <c r="BD18" i="40" s="1"/>
  <c r="C66" i="73" s="1"/>
  <c r="C69" i="73" s="1"/>
  <c r="DW10" i="39"/>
  <c r="G19" i="73" s="1"/>
  <c r="G23" i="73" s="1"/>
  <c r="AY22" i="40"/>
  <c r="AZ22" i="40" s="1"/>
  <c r="BD22" i="40" s="1"/>
  <c r="G66" i="73" s="1"/>
  <c r="G69" i="73" s="1"/>
  <c r="DW11" i="39"/>
  <c r="H19" i="73" s="1"/>
  <c r="AY23" i="40"/>
  <c r="AZ23" i="40" s="1"/>
  <c r="BD23" i="40" s="1"/>
  <c r="H66" i="73" s="1"/>
  <c r="H69" i="73" s="1"/>
  <c r="DW12" i="39"/>
  <c r="I19" i="73" s="1"/>
  <c r="I23" i="73" s="1"/>
  <c r="AY24" i="40"/>
  <c r="AZ24" i="40" s="1"/>
  <c r="BD24" i="40" s="1"/>
  <c r="I66" i="73" s="1"/>
  <c r="I69" i="73" s="1"/>
  <c r="DW14" i="39"/>
  <c r="AY25" i="40"/>
  <c r="AZ25" i="40" s="1"/>
  <c r="BD25" i="40" s="1"/>
  <c r="J66" i="73" s="1"/>
  <c r="J69" i="73" s="1"/>
  <c r="F19" i="73"/>
  <c r="F23" i="73" s="1"/>
  <c r="E19" i="73"/>
  <c r="E23" i="73" s="1"/>
  <c r="D19" i="73"/>
  <c r="D23" i="73" s="1"/>
  <c r="DW13" i="39"/>
  <c r="AY26" i="40"/>
  <c r="AZ26" i="40" s="1"/>
  <c r="BD26" i="40" s="1"/>
  <c r="K66" i="73" s="1"/>
  <c r="K69" i="73" s="1"/>
  <c r="K19" i="73" l="1"/>
  <c r="K23" i="73" s="1"/>
  <c r="J19" i="73"/>
  <c r="J23" i="73" s="1"/>
  <c r="EP15" i="39" l="1"/>
  <c r="EQ15" i="39" s="1"/>
  <c r="BV23" i="14"/>
  <c r="ER15" i="39" l="1"/>
  <c r="EQ16" i="39"/>
  <c r="EQ17" i="39" s="1"/>
  <c r="EQ18" i="39" s="1"/>
  <c r="EQ19" i="39" s="1"/>
  <c r="EQ20" i="39" s="1"/>
  <c r="EQ21" i="39" s="1"/>
  <c r="L22" i="73"/>
  <c r="BV14" i="14"/>
  <c r="L84" i="44"/>
  <c r="X42" i="60" s="1"/>
  <c r="X43" i="60" s="1"/>
  <c r="L85" i="44"/>
  <c r="M22" i="41" l="1"/>
  <c r="L76" i="44"/>
  <c r="BV57" i="14"/>
  <c r="EP16" i="39"/>
  <c r="ER16" i="39" s="1"/>
  <c r="M22" i="73" s="1"/>
  <c r="BV15" i="14"/>
  <c r="X29" i="60" l="1"/>
  <c r="N22" i="41"/>
  <c r="BV69" i="14"/>
  <c r="EP17" i="39"/>
  <c r="ER17" i="39" s="1"/>
  <c r="N22" i="73" s="1"/>
  <c r="BV16" i="14"/>
  <c r="M76" i="44"/>
  <c r="M113" i="41"/>
  <c r="BV58" i="14"/>
  <c r="BW57" i="14"/>
  <c r="L77" i="44"/>
  <c r="X13" i="60"/>
  <c r="X30" i="60" l="1"/>
  <c r="Y29" i="60"/>
  <c r="K50" i="41"/>
  <c r="M63" i="44" s="1"/>
  <c r="O22" i="41"/>
  <c r="K50" i="73"/>
  <c r="N76" i="44"/>
  <c r="N113" i="41"/>
  <c r="BV81" i="14"/>
  <c r="BV17" i="14"/>
  <c r="EP18" i="39"/>
  <c r="ER18" i="39" s="1"/>
  <c r="O22" i="73" s="1"/>
  <c r="BV59" i="14"/>
  <c r="BW58" i="14"/>
  <c r="M77" i="44"/>
  <c r="BV70" i="14"/>
  <c r="Y30" i="60" l="1"/>
  <c r="Z29" i="60"/>
  <c r="Y13" i="60"/>
  <c r="L50" i="41"/>
  <c r="N63" i="44" s="1"/>
  <c r="P22" i="41"/>
  <c r="M50" i="41" s="1"/>
  <c r="L50" i="73"/>
  <c r="BV82" i="14"/>
  <c r="O76" i="44"/>
  <c r="O113" i="41"/>
  <c r="BV71" i="14"/>
  <c r="BW70" i="14"/>
  <c r="N77" i="44"/>
  <c r="BV60" i="14"/>
  <c r="BW59" i="14"/>
  <c r="BV93" i="14"/>
  <c r="BV18" i="14"/>
  <c r="EP19" i="39"/>
  <c r="ER19" i="39" s="1"/>
  <c r="P22" i="73" s="1"/>
  <c r="Z30" i="60" l="1"/>
  <c r="AA29" i="60"/>
  <c r="Z13" i="60"/>
  <c r="Q22" i="41"/>
  <c r="N50" i="41" s="1"/>
  <c r="M50" i="73"/>
  <c r="O63" i="44"/>
  <c r="BV72" i="14"/>
  <c r="BW71" i="14"/>
  <c r="BV61" i="14"/>
  <c r="BW60" i="14"/>
  <c r="P76" i="44"/>
  <c r="P113" i="41"/>
  <c r="BV105" i="14"/>
  <c r="BV19" i="14"/>
  <c r="EP20" i="39"/>
  <c r="ER20" i="39" s="1"/>
  <c r="Q22" i="73" s="1"/>
  <c r="BV94" i="14"/>
  <c r="BV83" i="14"/>
  <c r="BW82" i="14"/>
  <c r="O77" i="44"/>
  <c r="AA30" i="60" l="1"/>
  <c r="AB29" i="60"/>
  <c r="AA13" i="60"/>
  <c r="R22" i="41"/>
  <c r="O50" i="41" s="1"/>
  <c r="N50" i="73"/>
  <c r="BV84" i="14"/>
  <c r="BW83" i="14"/>
  <c r="BV62" i="14"/>
  <c r="BW61" i="14"/>
  <c r="P77" i="44"/>
  <c r="Q76" i="44"/>
  <c r="Q113" i="41"/>
  <c r="BV73" i="14"/>
  <c r="BW72" i="14"/>
  <c r="P63" i="44"/>
  <c r="BV95" i="14"/>
  <c r="BW94" i="14"/>
  <c r="BV117" i="14"/>
  <c r="EP21" i="39"/>
  <c r="ER21" i="39" s="1"/>
  <c r="R22" i="73" s="1"/>
  <c r="BV106" i="14"/>
  <c r="AB30" i="60" l="1"/>
  <c r="AC29" i="60"/>
  <c r="AB13" i="60"/>
  <c r="O50" i="73"/>
  <c r="S22" i="41"/>
  <c r="BV74" i="14"/>
  <c r="BW73" i="14"/>
  <c r="R76" i="44"/>
  <c r="R113" i="41"/>
  <c r="BV63" i="14"/>
  <c r="BW62" i="14"/>
  <c r="Q63" i="44"/>
  <c r="BV107" i="14"/>
  <c r="BW106" i="14"/>
  <c r="BV118" i="14"/>
  <c r="BV96" i="14"/>
  <c r="BW95" i="14"/>
  <c r="Q77" i="44"/>
  <c r="BV85" i="14"/>
  <c r="BW84" i="14"/>
  <c r="AC30" i="60" l="1"/>
  <c r="AD29" i="60"/>
  <c r="AC13" i="60"/>
  <c r="P50" i="41"/>
  <c r="R63" i="44" s="1"/>
  <c r="P50" i="73"/>
  <c r="BV108" i="14"/>
  <c r="BW107" i="14"/>
  <c r="R77" i="44"/>
  <c r="BV97" i="14"/>
  <c r="BW96" i="14"/>
  <c r="BV86" i="14"/>
  <c r="BW85" i="14"/>
  <c r="BV119" i="14"/>
  <c r="BW118" i="14"/>
  <c r="BV75" i="14"/>
  <c r="BW74" i="14"/>
  <c r="BV64" i="14"/>
  <c r="BW63" i="14"/>
  <c r="AD30" i="60" l="1"/>
  <c r="AD13" i="60"/>
  <c r="BV87" i="14"/>
  <c r="BW86" i="14"/>
  <c r="BV109" i="14"/>
  <c r="BW108" i="14"/>
  <c r="BV76" i="14"/>
  <c r="BW75" i="14"/>
  <c r="BV65" i="14"/>
  <c r="BW64" i="14"/>
  <c r="BV120" i="14"/>
  <c r="BW119" i="14"/>
  <c r="BV98" i="14"/>
  <c r="BW97" i="14"/>
  <c r="BV99" i="14" l="1"/>
  <c r="BW98" i="14"/>
  <c r="BV110" i="14"/>
  <c r="BW109" i="14"/>
  <c r="BV66" i="14"/>
  <c r="BW65" i="14"/>
  <c r="BV88" i="14"/>
  <c r="BW87" i="14"/>
  <c r="BV121" i="14"/>
  <c r="BW120" i="14"/>
  <c r="BV77" i="14"/>
  <c r="BW76" i="14"/>
  <c r="BV78" i="14" l="1"/>
  <c r="BW77" i="14"/>
  <c r="BV111" i="14"/>
  <c r="BW110" i="14"/>
  <c r="BV100" i="14"/>
  <c r="BW99" i="14"/>
  <c r="BV122" i="14"/>
  <c r="BW121" i="14"/>
  <c r="BV89" i="14"/>
  <c r="BW88" i="14"/>
  <c r="BV67" i="14"/>
  <c r="BW66" i="14"/>
  <c r="BV101" i="14" l="1"/>
  <c r="BW100" i="14"/>
  <c r="BV112" i="14"/>
  <c r="BW111" i="14"/>
  <c r="BV68" i="14"/>
  <c r="BW67" i="14"/>
  <c r="BV123" i="14"/>
  <c r="BW122" i="14"/>
  <c r="BV79" i="14"/>
  <c r="BW78" i="14"/>
  <c r="BV90" i="14"/>
  <c r="BW89" i="14"/>
  <c r="BV124" i="14" l="1"/>
  <c r="BW123" i="14"/>
  <c r="BW68" i="14"/>
  <c r="BW69" i="14"/>
  <c r="BV80" i="14"/>
  <c r="BW79" i="14"/>
  <c r="BV102" i="14"/>
  <c r="BW101" i="14"/>
  <c r="BV91" i="14"/>
  <c r="BW90" i="14"/>
  <c r="BV113" i="14"/>
  <c r="BW112" i="14"/>
  <c r="L37" i="44" l="1"/>
  <c r="BV103" i="14"/>
  <c r="BW102" i="14"/>
  <c r="BV114" i="14"/>
  <c r="BW113" i="14"/>
  <c r="BW80" i="14"/>
  <c r="BW81" i="14"/>
  <c r="BV92" i="14"/>
  <c r="BW91" i="14"/>
  <c r="BV125" i="14"/>
  <c r="BW124" i="14"/>
  <c r="CC15" i="39"/>
  <c r="CD15" i="39" s="1"/>
  <c r="L153" i="44" l="1"/>
  <c r="D42" i="60" s="1"/>
  <c r="D43" i="60" s="1"/>
  <c r="N42" i="60"/>
  <c r="N43" i="60" s="1"/>
  <c r="CE15" i="39"/>
  <c r="CD16" i="39"/>
  <c r="CD17" i="39" s="1"/>
  <c r="CD18" i="39" s="1"/>
  <c r="CD19" i="39" s="1"/>
  <c r="CD20" i="39" s="1"/>
  <c r="CD21" i="39" s="1"/>
  <c r="L126" i="41"/>
  <c r="BV115" i="14"/>
  <c r="BW114" i="14"/>
  <c r="BV104" i="14"/>
  <c r="BW103" i="14"/>
  <c r="BW92" i="14"/>
  <c r="BW93" i="14"/>
  <c r="BV126" i="14"/>
  <c r="BW125" i="14"/>
  <c r="L11" i="73"/>
  <c r="M11" i="41" l="1"/>
  <c r="BV116" i="14"/>
  <c r="BW115" i="14"/>
  <c r="BV127" i="14"/>
  <c r="BW126" i="14"/>
  <c r="BW104" i="14"/>
  <c r="BW105" i="14"/>
  <c r="L38" i="44"/>
  <c r="L27" i="44"/>
  <c r="N29" i="60" l="1"/>
  <c r="N30" i="60" s="1"/>
  <c r="M12" i="41"/>
  <c r="L12" i="73"/>
  <c r="BV128" i="14"/>
  <c r="BW127" i="14"/>
  <c r="BW116" i="14"/>
  <c r="BW117" i="14"/>
  <c r="L154" i="44"/>
  <c r="N13" i="60"/>
  <c r="L28" i="44"/>
  <c r="L142" i="44"/>
  <c r="D29" i="60" l="1"/>
  <c r="D30" i="60" s="1"/>
  <c r="N14" i="60"/>
  <c r="BW128" i="14"/>
  <c r="BV24" i="14"/>
  <c r="BW24" i="14" s="1"/>
  <c r="BV25" i="14"/>
  <c r="BV26" i="14"/>
  <c r="BV28" i="14"/>
  <c r="BV27" i="14"/>
  <c r="BV29" i="14"/>
  <c r="L143" i="44"/>
  <c r="L126" i="44"/>
  <c r="L12" i="44"/>
  <c r="D13" i="60" l="1"/>
  <c r="BW25" i="14"/>
  <c r="BW29" i="14"/>
  <c r="BW27" i="14"/>
  <c r="BW28" i="14"/>
  <c r="BV31" i="14"/>
  <c r="BW26" i="14"/>
  <c r="L180" i="44"/>
  <c r="L200" i="44" s="1"/>
  <c r="AO23" i="14" l="1"/>
  <c r="C10" i="44" l="1"/>
  <c r="C12" i="44" s="1"/>
  <c r="C12" i="41"/>
  <c r="K10" i="44"/>
  <c r="H10" i="44"/>
  <c r="H12" i="44" s="1"/>
  <c r="E10" i="44"/>
  <c r="E12" i="44" s="1"/>
  <c r="J10" i="44"/>
  <c r="J125" i="44" s="1"/>
  <c r="G10" i="44"/>
  <c r="G12" i="44" s="1"/>
  <c r="I10" i="44"/>
  <c r="I12" i="44" s="1"/>
  <c r="D10" i="44"/>
  <c r="D12" i="44" s="1"/>
  <c r="F10" i="44"/>
  <c r="F12" i="44" s="1"/>
  <c r="E12" i="41"/>
  <c r="F12" i="41"/>
  <c r="I12" i="41"/>
  <c r="H12" i="41"/>
  <c r="J12" i="41"/>
  <c r="G12" i="41"/>
  <c r="D12" i="41"/>
  <c r="K12" i="41"/>
  <c r="M12" i="60" l="1"/>
  <c r="K125" i="44"/>
  <c r="K12" i="44"/>
  <c r="J12" i="44"/>
  <c r="J179" i="44"/>
  <c r="J127" i="44"/>
  <c r="I125" i="44"/>
  <c r="I162" i="44" s="1"/>
  <c r="M14" i="60" l="1"/>
  <c r="C12" i="60"/>
  <c r="K179" i="44"/>
  <c r="L199" i="44" s="1"/>
  <c r="K127" i="44"/>
  <c r="K162" i="44"/>
  <c r="L162" i="44"/>
  <c r="J162" i="44"/>
  <c r="I127" i="44"/>
  <c r="I179" i="44"/>
  <c r="I199" i="44" s="1"/>
  <c r="C14" i="60" l="1"/>
  <c r="K199" i="44"/>
  <c r="J199" i="44"/>
  <c r="GC62" i="2"/>
  <c r="H62" i="44" l="1"/>
  <c r="H64" i="44" s="1"/>
  <c r="H23" i="41"/>
  <c r="EJ11" i="39"/>
  <c r="EK11" i="39" s="1"/>
  <c r="BN10" i="40"/>
  <c r="BN37" i="40" s="1"/>
  <c r="BP37" i="40" s="1"/>
  <c r="H21" i="73" l="1"/>
  <c r="H23" i="73" s="1"/>
  <c r="BN23" i="40"/>
  <c r="G62" i="44"/>
  <c r="G64" i="44" s="1"/>
  <c r="G23" i="41"/>
  <c r="BR10" i="40"/>
  <c r="BP10" i="40"/>
  <c r="D23" i="41"/>
  <c r="D62" i="44"/>
  <c r="D64" i="44" s="1"/>
  <c r="F23" i="41"/>
  <c r="F62" i="44"/>
  <c r="F64" i="44" s="1"/>
  <c r="C62" i="44"/>
  <c r="C64" i="44" s="1"/>
  <c r="C23" i="41"/>
  <c r="E62" i="44"/>
  <c r="E64" i="44" s="1"/>
  <c r="E23" i="41"/>
  <c r="BP28" i="40" l="1"/>
  <c r="L68" i="73"/>
  <c r="F56" i="8" l="1"/>
  <c r="M68" i="41"/>
  <c r="BO28" i="40"/>
  <c r="M68" i="73" s="1"/>
  <c r="BP29" i="40"/>
  <c r="N68" i="41" l="1"/>
  <c r="K56" i="8"/>
  <c r="BO29" i="40"/>
  <c r="N68" i="73" s="1"/>
  <c r="BP30" i="40"/>
  <c r="G56" i="8"/>
  <c r="AM56" i="8" l="1"/>
  <c r="L56" i="8"/>
  <c r="BP31" i="40"/>
  <c r="BO30" i="40"/>
  <c r="O68" i="73" s="1"/>
  <c r="O68" i="41"/>
  <c r="P56" i="8"/>
  <c r="Q56" i="8" l="1"/>
  <c r="U56" i="8"/>
  <c r="P68" i="41"/>
  <c r="BO31" i="40"/>
  <c r="P68" i="73" s="1"/>
  <c r="BP32" i="40"/>
  <c r="AN56" i="8"/>
  <c r="BP33" i="40" l="1"/>
  <c r="BO33" i="40" s="1"/>
  <c r="R68" i="73" s="1"/>
  <c r="BO32" i="40"/>
  <c r="Q68" i="73" s="1"/>
  <c r="K77" i="41"/>
  <c r="K77" i="73"/>
  <c r="Z56" i="8"/>
  <c r="Q68" i="41"/>
  <c r="V56" i="8"/>
  <c r="AO56" i="8"/>
  <c r="AJ56" i="8" l="1"/>
  <c r="S68" i="41"/>
  <c r="AA56" i="8"/>
  <c r="K86" i="73"/>
  <c r="L77" i="41"/>
  <c r="L77" i="73"/>
  <c r="K86" i="41"/>
  <c r="X19" i="60"/>
  <c r="AE56" i="8"/>
  <c r="R68" i="41"/>
  <c r="AP56" i="8"/>
  <c r="M68" i="44" l="1"/>
  <c r="L86" i="41"/>
  <c r="AQ56" i="8"/>
  <c r="AK56" i="8"/>
  <c r="L86" i="73"/>
  <c r="M77" i="73"/>
  <c r="M77" i="41"/>
  <c r="AF56" i="8"/>
  <c r="L132" i="44"/>
  <c r="D19" i="60" l="1"/>
  <c r="Y19" i="60"/>
  <c r="L167" i="44"/>
  <c r="M86" i="41"/>
  <c r="N68" i="44"/>
  <c r="M132" i="44"/>
  <c r="M86" i="73"/>
  <c r="AS56" i="8"/>
  <c r="N77" i="73"/>
  <c r="N77" i="41"/>
  <c r="L186" i="44"/>
  <c r="L206" i="44" s="1"/>
  <c r="AR56" i="8"/>
  <c r="E19" i="60" l="1"/>
  <c r="Z19" i="60"/>
  <c r="M167" i="44"/>
  <c r="N86" i="41"/>
  <c r="N132" i="44"/>
  <c r="M186" i="44"/>
  <c r="M206" i="44" s="1"/>
  <c r="O77" i="73"/>
  <c r="O77" i="41"/>
  <c r="O68" i="44"/>
  <c r="N86" i="73"/>
  <c r="P77" i="41"/>
  <c r="P77" i="73"/>
  <c r="F19" i="60" l="1"/>
  <c r="AA19" i="60"/>
  <c r="N167" i="44"/>
  <c r="O86" i="73"/>
  <c r="O86" i="41"/>
  <c r="P68" i="44"/>
  <c r="O132" i="44"/>
  <c r="N186" i="44"/>
  <c r="N206" i="44" s="1"/>
  <c r="P86" i="73"/>
  <c r="P86" i="41"/>
  <c r="G19" i="60" l="1"/>
  <c r="AB19" i="60"/>
  <c r="O167" i="44"/>
  <c r="R68" i="44"/>
  <c r="P132" i="44"/>
  <c r="O186" i="44"/>
  <c r="O206" i="44" s="1"/>
  <c r="Q68" i="44"/>
  <c r="H19" i="60" l="1"/>
  <c r="AC19" i="60"/>
  <c r="AD19" i="60"/>
  <c r="P167" i="44"/>
  <c r="Q132" i="44"/>
  <c r="P186" i="44"/>
  <c r="P206" i="44" s="1"/>
  <c r="R132" i="44"/>
  <c r="I19" i="60" l="1"/>
  <c r="J19" i="60"/>
  <c r="Q167" i="44"/>
  <c r="R167" i="44"/>
  <c r="R186" i="44"/>
  <c r="Q186" i="44"/>
  <c r="Q206" i="44" s="1"/>
  <c r="R206" i="44" l="1"/>
  <c r="K42" i="11" l="1"/>
  <c r="K69" i="14"/>
  <c r="L42" i="11"/>
  <c r="K17" i="14"/>
  <c r="K57" i="14"/>
  <c r="J42" i="11"/>
  <c r="J43" i="11" s="1"/>
  <c r="J47" i="11" s="1"/>
  <c r="K70" i="14" l="1"/>
  <c r="L70" i="14" s="1"/>
  <c r="K71" i="14"/>
  <c r="N21" i="44"/>
  <c r="M21" i="44"/>
  <c r="K43" i="11"/>
  <c r="K47" i="11" s="1"/>
  <c r="L43" i="11"/>
  <c r="L47" i="11" s="1"/>
  <c r="P21" i="44"/>
  <c r="L71" i="14"/>
  <c r="K58" i="14"/>
  <c r="K18" i="14"/>
  <c r="M42" i="11"/>
  <c r="J46" i="11"/>
  <c r="L57" i="14"/>
  <c r="K93" i="14"/>
  <c r="K81" i="14"/>
  <c r="P23" i="60" l="1"/>
  <c r="P31" i="60" s="1"/>
  <c r="O23" i="60"/>
  <c r="O31" i="60" s="1"/>
  <c r="R23" i="60"/>
  <c r="R31" i="60" s="1"/>
  <c r="K72" i="14"/>
  <c r="K46" i="11"/>
  <c r="N136" i="44"/>
  <c r="M136" i="44"/>
  <c r="L46" i="11"/>
  <c r="P136" i="44"/>
  <c r="K82" i="14"/>
  <c r="K94" i="14"/>
  <c r="M43" i="11"/>
  <c r="M47" i="11" s="1"/>
  <c r="K19" i="14"/>
  <c r="N42" i="11"/>
  <c r="K105" i="14"/>
  <c r="J48" i="11"/>
  <c r="J50" i="11" s="1"/>
  <c r="J74" i="11" s="1"/>
  <c r="O21" i="44"/>
  <c r="L58" i="14"/>
  <c r="K59" i="14"/>
  <c r="E23" i="60" l="1"/>
  <c r="F23" i="60"/>
  <c r="K48" i="11"/>
  <c r="K50" i="11" s="1"/>
  <c r="K74" i="11" s="1"/>
  <c r="K76" i="11" s="1"/>
  <c r="Q23" i="60"/>
  <c r="H23" i="60"/>
  <c r="H31" i="60" s="1"/>
  <c r="P144" i="44"/>
  <c r="K73" i="14"/>
  <c r="L72" i="14"/>
  <c r="N144" i="44"/>
  <c r="L48" i="11"/>
  <c r="L50" i="11" s="1"/>
  <c r="L74" i="11" s="1"/>
  <c r="M144" i="44"/>
  <c r="N43" i="11"/>
  <c r="N47" i="11" s="1"/>
  <c r="K60" i="14"/>
  <c r="L59" i="14"/>
  <c r="M46" i="11"/>
  <c r="K95" i="14"/>
  <c r="L94" i="14"/>
  <c r="Q21" i="44"/>
  <c r="K117" i="14"/>
  <c r="O42" i="11"/>
  <c r="K74" i="14"/>
  <c r="L73" i="14"/>
  <c r="O136" i="44"/>
  <c r="J76" i="11"/>
  <c r="J77" i="11" s="1"/>
  <c r="K75" i="11"/>
  <c r="K83" i="14"/>
  <c r="L82" i="14"/>
  <c r="K106" i="14"/>
  <c r="F31" i="60" l="1"/>
  <c r="E31" i="60"/>
  <c r="G23" i="60"/>
  <c r="L75" i="11"/>
  <c r="Q31" i="60"/>
  <c r="S23" i="60"/>
  <c r="K77" i="11"/>
  <c r="I88" i="11" s="1"/>
  <c r="I90" i="11" s="1"/>
  <c r="L76" i="11"/>
  <c r="M75" i="11"/>
  <c r="H88" i="11"/>
  <c r="J105" i="11"/>
  <c r="O144" i="44"/>
  <c r="O43" i="11"/>
  <c r="O47" i="11" s="1"/>
  <c r="K118" i="14"/>
  <c r="N46" i="11"/>
  <c r="L83" i="14"/>
  <c r="K84" i="14"/>
  <c r="Q136" i="44"/>
  <c r="R21" i="44"/>
  <c r="L60" i="14"/>
  <c r="K61" i="14"/>
  <c r="L106" i="14"/>
  <c r="K107" i="14"/>
  <c r="K96" i="14"/>
  <c r="L95" i="14"/>
  <c r="M48" i="11"/>
  <c r="M50" i="11" s="1"/>
  <c r="M74" i="11" s="1"/>
  <c r="L74" i="14"/>
  <c r="K75" i="14"/>
  <c r="G31" i="60" l="1"/>
  <c r="I23" i="60"/>
  <c r="L77" i="11"/>
  <c r="L105" i="11" s="1"/>
  <c r="S148" i="30" s="1"/>
  <c r="T23" i="60"/>
  <c r="K105" i="11"/>
  <c r="S136" i="30" s="1"/>
  <c r="L75" i="14"/>
  <c r="K76" i="14"/>
  <c r="S126" i="30"/>
  <c r="S132" i="30"/>
  <c r="S130" i="30"/>
  <c r="S131" i="30"/>
  <c r="S129" i="30"/>
  <c r="S125" i="30"/>
  <c r="S124" i="30"/>
  <c r="S123" i="30"/>
  <c r="S122" i="30"/>
  <c r="S127" i="30"/>
  <c r="S128" i="30"/>
  <c r="S133" i="30"/>
  <c r="L84" i="14"/>
  <c r="K85" i="14"/>
  <c r="I96" i="11"/>
  <c r="H90" i="11"/>
  <c r="H96" i="11"/>
  <c r="L107" i="14"/>
  <c r="K108" i="14"/>
  <c r="K62" i="14"/>
  <c r="L61" i="14"/>
  <c r="R136" i="44"/>
  <c r="N48" i="11"/>
  <c r="N50" i="11" s="1"/>
  <c r="N74" i="11" s="1"/>
  <c r="L118" i="14"/>
  <c r="K119" i="14"/>
  <c r="O46" i="11"/>
  <c r="M76" i="11"/>
  <c r="M77" i="11" s="1"/>
  <c r="N75" i="11"/>
  <c r="K97" i="14"/>
  <c r="L96" i="14"/>
  <c r="J88" i="11" l="1"/>
  <c r="J90" i="11" s="1"/>
  <c r="J23" i="60"/>
  <c r="S145" i="30"/>
  <c r="S139" i="30"/>
  <c r="S144" i="30"/>
  <c r="S143" i="30"/>
  <c r="S134" i="30"/>
  <c r="S141" i="30"/>
  <c r="S135" i="30"/>
  <c r="S142" i="30"/>
  <c r="S138" i="30"/>
  <c r="S140" i="30"/>
  <c r="S137" i="30"/>
  <c r="T123" i="30"/>
  <c r="T125" i="30"/>
  <c r="T129" i="30"/>
  <c r="T131" i="30"/>
  <c r="T130" i="30"/>
  <c r="T132" i="30"/>
  <c r="T126" i="30"/>
  <c r="T133" i="30"/>
  <c r="T124" i="30"/>
  <c r="T128" i="30"/>
  <c r="T148" i="30"/>
  <c r="T127" i="30"/>
  <c r="T136" i="30"/>
  <c r="T122" i="30"/>
  <c r="S156" i="30"/>
  <c r="S154" i="30"/>
  <c r="S155" i="30"/>
  <c r="S157" i="30"/>
  <c r="S151" i="30"/>
  <c r="S149" i="30"/>
  <c r="S147" i="30"/>
  <c r="S146" i="30"/>
  <c r="S152" i="30"/>
  <c r="S153" i="30"/>
  <c r="S150" i="30"/>
  <c r="K63" i="14"/>
  <c r="L62" i="14"/>
  <c r="L108" i="14"/>
  <c r="K109" i="14"/>
  <c r="I98" i="11"/>
  <c r="G13" i="12"/>
  <c r="O48" i="11"/>
  <c r="O50" i="11" s="1"/>
  <c r="O74" i="11" s="1"/>
  <c r="O76" i="11" s="1"/>
  <c r="K120" i="14"/>
  <c r="L119" i="14"/>
  <c r="L76" i="14"/>
  <c r="K77" i="14"/>
  <c r="K88" i="11"/>
  <c r="M105" i="11"/>
  <c r="L97" i="14"/>
  <c r="K98" i="14"/>
  <c r="F13" i="12"/>
  <c r="H98" i="11"/>
  <c r="N76" i="11"/>
  <c r="N77" i="11" s="1"/>
  <c r="L88" i="11" s="1"/>
  <c r="O75" i="11"/>
  <c r="K86" i="14"/>
  <c r="L85" i="14"/>
  <c r="J96" i="11" l="1"/>
  <c r="J98" i="11" s="1"/>
  <c r="T139" i="30"/>
  <c r="T145" i="30"/>
  <c r="T134" i="30"/>
  <c r="T144" i="30"/>
  <c r="T143" i="30"/>
  <c r="T141" i="30"/>
  <c r="T135" i="30"/>
  <c r="T138" i="30"/>
  <c r="T140" i="30"/>
  <c r="T142" i="30"/>
  <c r="T137" i="30"/>
  <c r="Z16" i="39"/>
  <c r="AB16" i="39" s="1"/>
  <c r="AD16" i="39" s="1"/>
  <c r="N5" i="41" s="1"/>
  <c r="T150" i="30"/>
  <c r="T152" i="30"/>
  <c r="T146" i="30"/>
  <c r="T147" i="30"/>
  <c r="T151" i="30"/>
  <c r="T149" i="30"/>
  <c r="T155" i="30"/>
  <c r="T153" i="30"/>
  <c r="T157" i="30"/>
  <c r="T154" i="30"/>
  <c r="T156" i="30"/>
  <c r="F17" i="12"/>
  <c r="F27" i="12"/>
  <c r="F31" i="12" s="1"/>
  <c r="L120" i="14"/>
  <c r="K121" i="14"/>
  <c r="K99" i="14"/>
  <c r="L98" i="14"/>
  <c r="G27" i="12"/>
  <c r="G31" i="12" s="1"/>
  <c r="G17" i="12"/>
  <c r="K110" i="14"/>
  <c r="L109" i="14"/>
  <c r="L86" i="14"/>
  <c r="K87" i="14"/>
  <c r="K78" i="14"/>
  <c r="L77" i="14"/>
  <c r="N105" i="11"/>
  <c r="S164" i="30"/>
  <c r="S165" i="30"/>
  <c r="S163" i="30"/>
  <c r="S169" i="30"/>
  <c r="S162" i="30"/>
  <c r="S161" i="30"/>
  <c r="S166" i="30"/>
  <c r="S168" i="30"/>
  <c r="S159" i="30"/>
  <c r="S167" i="30"/>
  <c r="S160" i="30"/>
  <c r="S158" i="30"/>
  <c r="O77" i="11"/>
  <c r="M88" i="11" s="1"/>
  <c r="K90" i="11"/>
  <c r="K96" i="11"/>
  <c r="L96" i="11"/>
  <c r="K64" i="14"/>
  <c r="L63" i="14"/>
  <c r="H13" i="12" l="1"/>
  <c r="H27" i="12" s="1"/>
  <c r="H31" i="12" s="1"/>
  <c r="Z17" i="39"/>
  <c r="AB17" i="39" s="1"/>
  <c r="AD17" i="39" s="1"/>
  <c r="O5" i="41" s="1"/>
  <c r="M5" i="73"/>
  <c r="C44" i="73" s="1"/>
  <c r="Z18" i="39"/>
  <c r="AB18" i="39" s="1"/>
  <c r="AD18" i="39" s="1"/>
  <c r="P5" i="41" s="1"/>
  <c r="T158" i="30"/>
  <c r="T167" i="30"/>
  <c r="T166" i="30"/>
  <c r="T159" i="30"/>
  <c r="T163" i="30"/>
  <c r="T161" i="30"/>
  <c r="T162" i="30"/>
  <c r="T169" i="30"/>
  <c r="T160" i="30"/>
  <c r="T168" i="30"/>
  <c r="T165" i="30"/>
  <c r="T164" i="30"/>
  <c r="M96" i="11"/>
  <c r="O105" i="11"/>
  <c r="S188" i="30" s="1"/>
  <c r="K111" i="14"/>
  <c r="L110" i="14"/>
  <c r="S171" i="30"/>
  <c r="S181" i="30"/>
  <c r="S170" i="30"/>
  <c r="S174" i="30"/>
  <c r="S177" i="30"/>
  <c r="S180" i="30"/>
  <c r="S175" i="30"/>
  <c r="S173" i="30"/>
  <c r="S178" i="30"/>
  <c r="S176" i="30"/>
  <c r="S179" i="30"/>
  <c r="S172" i="30"/>
  <c r="K65" i="14"/>
  <c r="L64" i="14"/>
  <c r="J13" i="12"/>
  <c r="C44" i="41"/>
  <c r="K98" i="11"/>
  <c r="I13" i="12"/>
  <c r="L99" i="14"/>
  <c r="K100" i="14"/>
  <c r="L121" i="14"/>
  <c r="K122" i="14"/>
  <c r="K79" i="14"/>
  <c r="L78" i="14"/>
  <c r="K88" i="14"/>
  <c r="L87" i="14"/>
  <c r="H17" i="12" l="1"/>
  <c r="N5" i="73"/>
  <c r="D44" i="73" s="1"/>
  <c r="D44" i="41"/>
  <c r="S193" i="30"/>
  <c r="S187" i="30"/>
  <c r="S192" i="30"/>
  <c r="S184" i="30"/>
  <c r="S182" i="30"/>
  <c r="E44" i="41"/>
  <c r="S186" i="30"/>
  <c r="S190" i="30"/>
  <c r="O5" i="73"/>
  <c r="Z19" i="39"/>
  <c r="AB19" i="39" s="1"/>
  <c r="AD19" i="39" s="1"/>
  <c r="P5" i="73" s="1"/>
  <c r="T172" i="30"/>
  <c r="T176" i="30"/>
  <c r="T178" i="30"/>
  <c r="T179" i="30"/>
  <c r="T173" i="30"/>
  <c r="T175" i="30"/>
  <c r="K13" i="12"/>
  <c r="T177" i="30"/>
  <c r="T174" i="30"/>
  <c r="T180" i="30"/>
  <c r="T170" i="30"/>
  <c r="T181" i="30"/>
  <c r="T171" i="30"/>
  <c r="T188" i="30"/>
  <c r="S189" i="30"/>
  <c r="S191" i="30"/>
  <c r="S183" i="30"/>
  <c r="S185" i="30"/>
  <c r="I17" i="12"/>
  <c r="I27" i="12"/>
  <c r="I31" i="12" s="1"/>
  <c r="L100" i="14"/>
  <c r="K101" i="14"/>
  <c r="L88" i="14"/>
  <c r="K89" i="14"/>
  <c r="L79" i="14"/>
  <c r="K80" i="14"/>
  <c r="M5" i="44"/>
  <c r="L122" i="14"/>
  <c r="K123" i="14"/>
  <c r="J27" i="12"/>
  <c r="K66" i="14"/>
  <c r="L65" i="14"/>
  <c r="K112" i="14"/>
  <c r="L111" i="14"/>
  <c r="O7" i="60" l="1"/>
  <c r="O5" i="44"/>
  <c r="N5" i="44"/>
  <c r="T193" i="30"/>
  <c r="T192" i="30"/>
  <c r="T184" i="30"/>
  <c r="T182" i="30"/>
  <c r="T187" i="30"/>
  <c r="T186" i="30"/>
  <c r="E44" i="73"/>
  <c r="Q5" i="41"/>
  <c r="T190" i="30"/>
  <c r="Z20" i="39"/>
  <c r="AB20" i="39" s="1"/>
  <c r="AD20" i="39" s="1"/>
  <c r="Q5" i="73" s="1"/>
  <c r="G44" i="73" s="1"/>
  <c r="K27" i="12"/>
  <c r="T185" i="30"/>
  <c r="T183" i="30"/>
  <c r="T191" i="30"/>
  <c r="T189" i="30"/>
  <c r="L80" i="14"/>
  <c r="L81" i="14"/>
  <c r="L89" i="14"/>
  <c r="K90" i="14"/>
  <c r="L112" i="14"/>
  <c r="K113" i="14"/>
  <c r="F44" i="73"/>
  <c r="L101" i="14"/>
  <c r="K102" i="14"/>
  <c r="K67" i="14"/>
  <c r="L66" i="14"/>
  <c r="K124" i="14"/>
  <c r="L123" i="14"/>
  <c r="P7" i="60" l="1"/>
  <c r="Q7" i="60"/>
  <c r="F44" i="41"/>
  <c r="R5" i="41"/>
  <c r="Z21" i="39"/>
  <c r="AB21" i="39" s="1"/>
  <c r="AD21" i="39" s="1"/>
  <c r="K125" i="14"/>
  <c r="L124" i="14"/>
  <c r="L90" i="14"/>
  <c r="K91" i="14"/>
  <c r="K103" i="14"/>
  <c r="L102" i="14"/>
  <c r="L67" i="14"/>
  <c r="K68" i="14"/>
  <c r="K114" i="14"/>
  <c r="L113" i="14"/>
  <c r="P5" i="44" l="1"/>
  <c r="G44" i="41"/>
  <c r="S5" i="41"/>
  <c r="R5" i="73"/>
  <c r="L103" i="14"/>
  <c r="K104" i="14"/>
  <c r="K92" i="14"/>
  <c r="L91" i="14"/>
  <c r="K115" i="14"/>
  <c r="L114" i="14"/>
  <c r="L68" i="14"/>
  <c r="L69" i="14"/>
  <c r="L125" i="14"/>
  <c r="K126" i="14"/>
  <c r="R7" i="60" l="1"/>
  <c r="Q5" i="44"/>
  <c r="H44" i="73"/>
  <c r="H44" i="41"/>
  <c r="L115" i="14"/>
  <c r="K116" i="14"/>
  <c r="K127" i="14"/>
  <c r="L126" i="14"/>
  <c r="L104" i="14"/>
  <c r="L105" i="14"/>
  <c r="L92" i="14"/>
  <c r="L93" i="14"/>
  <c r="S7" i="60" l="1"/>
  <c r="R5" i="44"/>
  <c r="L116" i="14"/>
  <c r="L117" i="14"/>
  <c r="K128" i="14"/>
  <c r="L127" i="14"/>
  <c r="T7" i="60" l="1"/>
  <c r="L128" i="14"/>
  <c r="K24" i="14"/>
  <c r="L24" i="14" s="1"/>
  <c r="K25" i="14"/>
  <c r="K26" i="14"/>
  <c r="K27" i="14"/>
  <c r="K28" i="14"/>
  <c r="K29" i="14"/>
  <c r="L25" i="14" l="1"/>
  <c r="L29" i="14"/>
  <c r="L26" i="14"/>
  <c r="L27" i="14"/>
  <c r="L28" i="14"/>
  <c r="K31" i="14"/>
  <c r="O46" i="10" l="1"/>
  <c r="O49" i="10" s="1"/>
  <c r="O51" i="10"/>
  <c r="I161" i="10" s="1"/>
  <c r="O56" i="10"/>
  <c r="I165" i="10" s="1"/>
  <c r="O59" i="10" l="1"/>
  <c r="O54" i="10"/>
  <c r="O77" i="10" s="1"/>
  <c r="I157" i="10"/>
  <c r="O43" i="10"/>
  <c r="H163" i="10"/>
  <c r="H164" i="10" s="1"/>
  <c r="M177" i="10" s="1"/>
  <c r="M175" i="10" s="1"/>
  <c r="H167" i="10"/>
  <c r="H168" i="10" s="1"/>
  <c r="N177" i="10" s="1"/>
  <c r="H157" i="10"/>
  <c r="H161" i="10"/>
  <c r="H162" i="10"/>
  <c r="H165" i="10" l="1"/>
  <c r="N98" i="10"/>
  <c r="N105" i="10" s="1"/>
  <c r="N96" i="10"/>
  <c r="N78" i="10"/>
  <c r="N94" i="10"/>
  <c r="N97" i="10"/>
  <c r="N95" i="10"/>
  <c r="N110" i="10" s="1"/>
  <c r="H159" i="10"/>
  <c r="H160" i="10" s="1"/>
  <c r="L177" i="10" s="1"/>
  <c r="N84" i="10"/>
  <c r="N77" i="10"/>
  <c r="N128" i="10"/>
  <c r="N126" i="10"/>
  <c r="H158" i="10"/>
  <c r="N127" i="10"/>
  <c r="N125" i="10"/>
  <c r="O47" i="10"/>
  <c r="N174" i="10"/>
  <c r="N175" i="10"/>
  <c r="N172" i="10"/>
  <c r="N173" i="10"/>
  <c r="H166" i="10"/>
  <c r="O57" i="10"/>
  <c r="M174" i="10"/>
  <c r="M172" i="10"/>
  <c r="M173" i="10"/>
  <c r="O52" i="10"/>
  <c r="O128" i="10" l="1"/>
  <c r="O126" i="10"/>
  <c r="O50" i="10"/>
  <c r="O127" i="10"/>
  <c r="O125" i="10"/>
  <c r="P47" i="10"/>
  <c r="I158" i="10"/>
  <c r="O55" i="10"/>
  <c r="I163" i="10" s="1"/>
  <c r="I164" i="10" s="1"/>
  <c r="P177" i="10" s="1"/>
  <c r="P52" i="10"/>
  <c r="I162" i="10"/>
  <c r="O44" i="10"/>
  <c r="P44" i="10" s="1"/>
  <c r="Q44" i="10" s="1"/>
  <c r="R44" i="10" s="1"/>
  <c r="S44" i="10" s="1"/>
  <c r="T44" i="10" s="1"/>
  <c r="U44" i="10" s="1"/>
  <c r="V44" i="10" s="1"/>
  <c r="W44" i="10" s="1"/>
  <c r="X44" i="10" s="1"/>
  <c r="N85" i="10"/>
  <c r="N91" i="10"/>
  <c r="N135" i="10" s="1"/>
  <c r="N118" i="10"/>
  <c r="N104" i="10"/>
  <c r="N134" i="10" s="1"/>
  <c r="N112" i="10"/>
  <c r="N111" i="10"/>
  <c r="N103" i="10"/>
  <c r="N133" i="10" s="1"/>
  <c r="N146" i="10"/>
  <c r="L174" i="10"/>
  <c r="G183" i="10" s="1"/>
  <c r="L175" i="10"/>
  <c r="G184" i="10" s="1"/>
  <c r="L173" i="10"/>
  <c r="G182" i="10" s="1"/>
  <c r="L172" i="10"/>
  <c r="G181" i="10" s="1"/>
  <c r="I166" i="10"/>
  <c r="O60" i="10"/>
  <c r="I167" i="10" s="1"/>
  <c r="I168" i="10" s="1"/>
  <c r="Q177" i="10" s="1"/>
  <c r="P57" i="10"/>
  <c r="N109" i="10"/>
  <c r="N99" i="10"/>
  <c r="Q173" i="10" l="1"/>
  <c r="Q174" i="10"/>
  <c r="Q175" i="10"/>
  <c r="Q172" i="10"/>
  <c r="N139" i="10"/>
  <c r="N151" i="10" s="1"/>
  <c r="BC27" i="40" s="1"/>
  <c r="N120" i="10"/>
  <c r="N119" i="10"/>
  <c r="G189" i="10"/>
  <c r="G186" i="10"/>
  <c r="G190" i="10"/>
  <c r="E36" i="12" s="1"/>
  <c r="P128" i="10"/>
  <c r="P126" i="10"/>
  <c r="J158" i="10"/>
  <c r="P50" i="10"/>
  <c r="P127" i="10"/>
  <c r="P125" i="10"/>
  <c r="Q47" i="10"/>
  <c r="G192" i="10"/>
  <c r="E38" i="12" s="1"/>
  <c r="E53" i="12" s="1"/>
  <c r="BL110" i="2"/>
  <c r="BL112" i="2"/>
  <c r="BL114" i="2"/>
  <c r="BL116" i="2"/>
  <c r="BL118" i="2"/>
  <c r="BL120" i="2"/>
  <c r="BL121" i="2"/>
  <c r="BL111" i="2"/>
  <c r="BL113" i="2"/>
  <c r="BL115" i="2"/>
  <c r="BL117" i="2"/>
  <c r="BL119" i="2"/>
  <c r="T116" i="35"/>
  <c r="T118" i="35"/>
  <c r="T117" i="35"/>
  <c r="T110" i="35"/>
  <c r="T111" i="35"/>
  <c r="T119" i="35"/>
  <c r="T112" i="35"/>
  <c r="T120" i="35"/>
  <c r="T113" i="35"/>
  <c r="T121" i="35"/>
  <c r="T114" i="35"/>
  <c r="T115" i="35"/>
  <c r="G191" i="10"/>
  <c r="E37" i="12" s="1"/>
  <c r="E52" i="12" s="1"/>
  <c r="O84" i="10"/>
  <c r="O98" i="10"/>
  <c r="O105" i="10" s="1"/>
  <c r="O96" i="10"/>
  <c r="O78" i="10"/>
  <c r="O94" i="10"/>
  <c r="O97" i="10"/>
  <c r="O95" i="10"/>
  <c r="O110" i="10" s="1"/>
  <c r="I159" i="10"/>
  <c r="I160" i="10" s="1"/>
  <c r="O177" i="10" s="1"/>
  <c r="P55" i="10"/>
  <c r="J163" i="10" s="1"/>
  <c r="J164" i="10" s="1"/>
  <c r="S177" i="10" s="1"/>
  <c r="Q52" i="10"/>
  <c r="J162" i="10"/>
  <c r="N140" i="10"/>
  <c r="P173" i="10"/>
  <c r="P174" i="10"/>
  <c r="P175" i="10"/>
  <c r="P172" i="10"/>
  <c r="N117" i="10"/>
  <c r="J166" i="10"/>
  <c r="P60" i="10"/>
  <c r="J167" i="10" s="1"/>
  <c r="J168" i="10" s="1"/>
  <c r="T177" i="10" s="1"/>
  <c r="Q57" i="10"/>
  <c r="N138" i="10"/>
  <c r="N150" i="10" s="1"/>
  <c r="AU27" i="40" s="1"/>
  <c r="O146" i="10"/>
  <c r="V121" i="35" l="1"/>
  <c r="V116" i="35"/>
  <c r="V113" i="35"/>
  <c r="V115" i="35"/>
  <c r="V111" i="35"/>
  <c r="V120" i="35"/>
  <c r="V119" i="35"/>
  <c r="V110" i="35"/>
  <c r="V118" i="35"/>
  <c r="V114" i="35"/>
  <c r="V112" i="35"/>
  <c r="V117" i="35"/>
  <c r="BN121" i="2"/>
  <c r="T121" i="24"/>
  <c r="U121" i="24" s="1"/>
  <c r="V121" i="24" s="1"/>
  <c r="W121" i="24" s="1"/>
  <c r="O111" i="10"/>
  <c r="O103" i="10"/>
  <c r="O133" i="10" s="1"/>
  <c r="R47" i="10"/>
  <c r="Q128" i="10"/>
  <c r="Q126" i="10"/>
  <c r="K158" i="10"/>
  <c r="Q50" i="10"/>
  <c r="Q127" i="10"/>
  <c r="Q125" i="10"/>
  <c r="O85" i="10"/>
  <c r="O91" i="10"/>
  <c r="O135" i="10" s="1"/>
  <c r="BN119" i="2"/>
  <c r="T119" i="24"/>
  <c r="U119" i="24" s="1"/>
  <c r="V119" i="24" s="1"/>
  <c r="W119" i="24" s="1"/>
  <c r="BN117" i="2"/>
  <c r="T117" i="24"/>
  <c r="U117" i="24" s="1"/>
  <c r="V117" i="24" s="1"/>
  <c r="W117" i="24" s="1"/>
  <c r="BN115" i="2"/>
  <c r="T115" i="24"/>
  <c r="U115" i="24" s="1"/>
  <c r="V115" i="24" s="1"/>
  <c r="W115" i="24" s="1"/>
  <c r="J159" i="10"/>
  <c r="J160" i="10" s="1"/>
  <c r="R177" i="10" s="1"/>
  <c r="P84" i="10"/>
  <c r="P98" i="10"/>
  <c r="P105" i="10" s="1"/>
  <c r="P96" i="10"/>
  <c r="P78" i="10"/>
  <c r="P94" i="10"/>
  <c r="P97" i="10"/>
  <c r="P95" i="10"/>
  <c r="P110" i="10" s="1"/>
  <c r="BX111" i="2"/>
  <c r="BX113" i="2"/>
  <c r="BX110" i="2"/>
  <c r="BX112" i="2"/>
  <c r="BX114" i="2"/>
  <c r="BX116" i="2"/>
  <c r="BX118" i="2"/>
  <c r="BX120" i="2"/>
  <c r="BX119" i="2"/>
  <c r="BX121" i="2"/>
  <c r="BX115" i="2"/>
  <c r="BX117" i="2"/>
  <c r="N111" i="37"/>
  <c r="N119" i="37"/>
  <c r="N112" i="37"/>
  <c r="N120" i="37"/>
  <c r="N113" i="37"/>
  <c r="N121" i="37"/>
  <c r="N114" i="37"/>
  <c r="N115" i="37"/>
  <c r="N116" i="37"/>
  <c r="N117" i="37"/>
  <c r="N110" i="37"/>
  <c r="N118" i="37"/>
  <c r="BN113" i="2"/>
  <c r="T113" i="24"/>
  <c r="U113" i="24" s="1"/>
  <c r="V113" i="24" s="1"/>
  <c r="W113" i="24" s="1"/>
  <c r="BN111" i="2"/>
  <c r="T111" i="24"/>
  <c r="U111" i="24" s="1"/>
  <c r="V111" i="24" s="1"/>
  <c r="W111" i="24" s="1"/>
  <c r="G194" i="10"/>
  <c r="E35" i="12"/>
  <c r="P146" i="10"/>
  <c r="T172" i="10"/>
  <c r="T173" i="10"/>
  <c r="T174" i="10"/>
  <c r="T175" i="10"/>
  <c r="BN120" i="2"/>
  <c r="T120" i="24"/>
  <c r="U120" i="24" s="1"/>
  <c r="V120" i="24" s="1"/>
  <c r="W120" i="24" s="1"/>
  <c r="K162" i="10"/>
  <c r="Q55" i="10"/>
  <c r="K163" i="10" s="1"/>
  <c r="K164" i="10" s="1"/>
  <c r="V177" i="10" s="1"/>
  <c r="R52" i="10"/>
  <c r="BN118" i="2"/>
  <c r="T118" i="24"/>
  <c r="U118" i="24" s="1"/>
  <c r="V118" i="24" s="1"/>
  <c r="W118" i="24" s="1"/>
  <c r="BR111" i="2"/>
  <c r="BR113" i="2"/>
  <c r="BR115" i="2"/>
  <c r="BR117" i="2"/>
  <c r="BR119" i="2"/>
  <c r="BR121" i="2"/>
  <c r="BR110" i="2"/>
  <c r="BR112" i="2"/>
  <c r="BR114" i="2"/>
  <c r="BR116" i="2"/>
  <c r="BR118" i="2"/>
  <c r="BR120" i="2"/>
  <c r="R115" i="36"/>
  <c r="R116" i="36"/>
  <c r="R110" i="36"/>
  <c r="R118" i="36"/>
  <c r="R111" i="36"/>
  <c r="R119" i="36"/>
  <c r="R112" i="36"/>
  <c r="R120" i="36"/>
  <c r="R114" i="36"/>
  <c r="R113" i="36"/>
  <c r="R117" i="36"/>
  <c r="R121" i="36"/>
  <c r="BF110" i="2"/>
  <c r="BF112" i="2"/>
  <c r="BF114" i="2"/>
  <c r="BF116" i="2"/>
  <c r="BF118" i="2"/>
  <c r="BF120" i="2"/>
  <c r="BF121" i="2"/>
  <c r="BF111" i="2"/>
  <c r="BF113" i="2"/>
  <c r="BF115" i="2"/>
  <c r="BF117" i="2"/>
  <c r="BF119" i="2"/>
  <c r="S173" i="10"/>
  <c r="S174" i="10"/>
  <c r="S175" i="10"/>
  <c r="S172" i="10"/>
  <c r="BN116" i="2"/>
  <c r="T116" i="24"/>
  <c r="U116" i="24" s="1"/>
  <c r="V116" i="24" s="1"/>
  <c r="W116" i="24" s="1"/>
  <c r="R57" i="10"/>
  <c r="K166" i="10"/>
  <c r="Q60" i="10"/>
  <c r="K167" i="10" s="1"/>
  <c r="K168" i="10" s="1"/>
  <c r="W177" i="10" s="1"/>
  <c r="O173" i="10"/>
  <c r="H182" i="10" s="1"/>
  <c r="O174" i="10"/>
  <c r="H183" i="10" s="1"/>
  <c r="O175" i="10"/>
  <c r="H184" i="10" s="1"/>
  <c r="O172" i="10"/>
  <c r="H181" i="10" s="1"/>
  <c r="BN114" i="2"/>
  <c r="T114" i="24"/>
  <c r="U114" i="24" s="1"/>
  <c r="V114" i="24" s="1"/>
  <c r="W114" i="24" s="1"/>
  <c r="O118" i="10"/>
  <c r="P118" i="10"/>
  <c r="BN112" i="2"/>
  <c r="T112" i="24"/>
  <c r="U112" i="24" s="1"/>
  <c r="V112" i="24" s="1"/>
  <c r="W112" i="24" s="1"/>
  <c r="E51" i="12"/>
  <c r="O104" i="10"/>
  <c r="O134" i="10" s="1"/>
  <c r="O112" i="10"/>
  <c r="BN110" i="2"/>
  <c r="T110" i="24"/>
  <c r="U110" i="24" s="1"/>
  <c r="O109" i="10"/>
  <c r="O99" i="10"/>
  <c r="CX15" i="39" l="1"/>
  <c r="CZ15" i="39" s="1"/>
  <c r="DB15" i="39" s="1"/>
  <c r="M17" i="41" s="1"/>
  <c r="S57" i="10"/>
  <c r="L166" i="10"/>
  <c r="R60" i="10"/>
  <c r="L167" i="10" s="1"/>
  <c r="L168" i="10" s="1"/>
  <c r="Z177" i="10" s="1"/>
  <c r="BH114" i="2"/>
  <c r="V114" i="34"/>
  <c r="V114" i="23"/>
  <c r="W114" i="23" s="1"/>
  <c r="X114" i="23" s="1"/>
  <c r="Y114" i="23" s="1"/>
  <c r="BT118" i="2"/>
  <c r="R118" i="25"/>
  <c r="S118" i="25" s="1"/>
  <c r="T118" i="25" s="1"/>
  <c r="U118" i="25" s="1"/>
  <c r="O111" i="37"/>
  <c r="BY117" i="2"/>
  <c r="N117" i="26"/>
  <c r="O117" i="26" s="1"/>
  <c r="P117" i="26" s="1"/>
  <c r="Q117" i="26" s="1"/>
  <c r="P103" i="10"/>
  <c r="P133" i="10" s="1"/>
  <c r="P138" i="10" s="1"/>
  <c r="P150" i="10" s="1"/>
  <c r="AU29" i="40" s="1"/>
  <c r="P111" i="10"/>
  <c r="BH119" i="2"/>
  <c r="V119" i="34"/>
  <c r="V119" i="23"/>
  <c r="W119" i="23" s="1"/>
  <c r="X119" i="23" s="1"/>
  <c r="Y119" i="23" s="1"/>
  <c r="BH112" i="2"/>
  <c r="V112" i="34"/>
  <c r="V112" i="23"/>
  <c r="W112" i="23" s="1"/>
  <c r="X112" i="23" s="1"/>
  <c r="Y112" i="23" s="1"/>
  <c r="O139" i="10"/>
  <c r="O151" i="10" s="1"/>
  <c r="BC28" i="40" s="1"/>
  <c r="T137" i="35"/>
  <c r="T139" i="35"/>
  <c r="T145" i="35"/>
  <c r="T138" i="35"/>
  <c r="T134" i="35"/>
  <c r="T140" i="35"/>
  <c r="T142" i="35"/>
  <c r="T141" i="35"/>
  <c r="T135" i="35"/>
  <c r="T143" i="35"/>
  <c r="T136" i="35"/>
  <c r="T144" i="35"/>
  <c r="BH110" i="2"/>
  <c r="V110" i="34"/>
  <c r="V110" i="23"/>
  <c r="W110" i="23" s="1"/>
  <c r="BT114" i="2"/>
  <c r="R114" i="25"/>
  <c r="S114" i="25" s="1"/>
  <c r="T114" i="25" s="1"/>
  <c r="U114" i="25" s="1"/>
  <c r="BY115" i="2"/>
  <c r="N115" i="26"/>
  <c r="O115" i="26" s="1"/>
  <c r="P115" i="26" s="1"/>
  <c r="Q115" i="26" s="1"/>
  <c r="BT116" i="2"/>
  <c r="R116" i="25"/>
  <c r="S116" i="25" s="1"/>
  <c r="T116" i="25" s="1"/>
  <c r="U116" i="25" s="1"/>
  <c r="BT112" i="2"/>
  <c r="R112" i="25"/>
  <c r="S112" i="25" s="1"/>
  <c r="T112" i="25" s="1"/>
  <c r="U112" i="25" s="1"/>
  <c r="E50" i="12"/>
  <c r="E54" i="12" s="1"/>
  <c r="E39" i="12"/>
  <c r="BY121" i="2"/>
  <c r="N121" i="26"/>
  <c r="O121" i="26" s="1"/>
  <c r="P121" i="26" s="1"/>
  <c r="Q121" i="26" s="1"/>
  <c r="P91" i="10"/>
  <c r="P135" i="10" s="1"/>
  <c r="P85" i="10"/>
  <c r="O140" i="10"/>
  <c r="T117" i="36"/>
  <c r="BT110" i="2"/>
  <c r="R110" i="25"/>
  <c r="S110" i="25" s="1"/>
  <c r="BY119" i="2"/>
  <c r="N119" i="26"/>
  <c r="O119" i="26" s="1"/>
  <c r="P119" i="26" s="1"/>
  <c r="Q119" i="26" s="1"/>
  <c r="R173" i="10"/>
  <c r="I182" i="10" s="1"/>
  <c r="I190" i="10" s="1"/>
  <c r="G36" i="12" s="1"/>
  <c r="R175" i="10"/>
  <c r="I184" i="10" s="1"/>
  <c r="I192" i="10" s="1"/>
  <c r="G38" i="12" s="1"/>
  <c r="G53" i="12" s="1"/>
  <c r="R172" i="10"/>
  <c r="I181" i="10" s="1"/>
  <c r="I189" i="10" s="1"/>
  <c r="R174" i="10"/>
  <c r="I183" i="10" s="1"/>
  <c r="I191" i="10" s="1"/>
  <c r="G37" i="12" s="1"/>
  <c r="G52" i="12" s="1"/>
  <c r="T130" i="35"/>
  <c r="T123" i="35"/>
  <c r="T131" i="35"/>
  <c r="T124" i="35"/>
  <c r="T132" i="35"/>
  <c r="T126" i="35"/>
  <c r="T125" i="35"/>
  <c r="T133" i="35"/>
  <c r="T127" i="35"/>
  <c r="T128" i="35"/>
  <c r="T129" i="35"/>
  <c r="T122" i="35"/>
  <c r="O120" i="10"/>
  <c r="O118" i="37"/>
  <c r="BY120" i="2"/>
  <c r="N120" i="26"/>
  <c r="O120" i="26" s="1"/>
  <c r="P120" i="26" s="1"/>
  <c r="Q120" i="26" s="1"/>
  <c r="T121" i="36"/>
  <c r="T113" i="36"/>
  <c r="BT121" i="2"/>
  <c r="R121" i="25"/>
  <c r="S121" i="25" s="1"/>
  <c r="T121" i="25" s="1"/>
  <c r="U121" i="25" s="1"/>
  <c r="T114" i="36"/>
  <c r="BT119" i="2"/>
  <c r="R119" i="25"/>
  <c r="S119" i="25" s="1"/>
  <c r="T119" i="25" s="1"/>
  <c r="U119" i="25" s="1"/>
  <c r="O110" i="37"/>
  <c r="BY118" i="2"/>
  <c r="N118" i="26"/>
  <c r="O118" i="26" s="1"/>
  <c r="P118" i="26" s="1"/>
  <c r="Q118" i="26" s="1"/>
  <c r="K159" i="10"/>
  <c r="K160" i="10" s="1"/>
  <c r="U177" i="10" s="1"/>
  <c r="Q84" i="10"/>
  <c r="Q98" i="10"/>
  <c r="Q105" i="10" s="1"/>
  <c r="Q96" i="10"/>
  <c r="Q78" i="10"/>
  <c r="Q94" i="10"/>
  <c r="Q97" i="10"/>
  <c r="Q95" i="10"/>
  <c r="Q110" i="10" s="1"/>
  <c r="BT117" i="2"/>
  <c r="R117" i="25"/>
  <c r="S117" i="25" s="1"/>
  <c r="T117" i="25" s="1"/>
  <c r="U117" i="25" s="1"/>
  <c r="O117" i="37"/>
  <c r="BH117" i="2"/>
  <c r="V117" i="23"/>
  <c r="W117" i="23" s="1"/>
  <c r="X117" i="23" s="1"/>
  <c r="Y117" i="23" s="1"/>
  <c r="V117" i="34"/>
  <c r="T112" i="36"/>
  <c r="BT115" i="2"/>
  <c r="R115" i="25"/>
  <c r="S115" i="25" s="1"/>
  <c r="T115" i="25" s="1"/>
  <c r="U115" i="25" s="1"/>
  <c r="O116" i="37"/>
  <c r="BY114" i="2"/>
  <c r="N114" i="26"/>
  <c r="O114" i="26" s="1"/>
  <c r="P114" i="26" s="1"/>
  <c r="Q114" i="26" s="1"/>
  <c r="T120" i="36"/>
  <c r="BY116" i="2"/>
  <c r="N116" i="26"/>
  <c r="O116" i="26" s="1"/>
  <c r="P116" i="26" s="1"/>
  <c r="Q116" i="26" s="1"/>
  <c r="BH115" i="2"/>
  <c r="V115" i="23"/>
  <c r="W115" i="23" s="1"/>
  <c r="X115" i="23" s="1"/>
  <c r="Y115" i="23" s="1"/>
  <c r="V115" i="34"/>
  <c r="T119" i="36"/>
  <c r="BT113" i="2"/>
  <c r="R113" i="25"/>
  <c r="S113" i="25" s="1"/>
  <c r="T113" i="25" s="1"/>
  <c r="U113" i="25" s="1"/>
  <c r="O115" i="37"/>
  <c r="BY112" i="2"/>
  <c r="N112" i="26"/>
  <c r="O112" i="26" s="1"/>
  <c r="P112" i="26" s="1"/>
  <c r="Q112" i="26" s="1"/>
  <c r="H186" i="10"/>
  <c r="H189" i="10"/>
  <c r="BH113" i="2"/>
  <c r="V113" i="34"/>
  <c r="V113" i="23"/>
  <c r="W113" i="23" s="1"/>
  <c r="X113" i="23" s="1"/>
  <c r="Y113" i="23" s="1"/>
  <c r="T111" i="36"/>
  <c r="BT111" i="2"/>
  <c r="R111" i="25"/>
  <c r="S111" i="25" s="1"/>
  <c r="T111" i="25" s="1"/>
  <c r="U111" i="25" s="1"/>
  <c r="O114" i="37"/>
  <c r="BY110" i="2"/>
  <c r="N110" i="26"/>
  <c r="O110" i="26" s="1"/>
  <c r="Q146" i="10"/>
  <c r="S47" i="10"/>
  <c r="R128" i="10"/>
  <c r="R126" i="10"/>
  <c r="L158" i="10"/>
  <c r="R50" i="10"/>
  <c r="R127" i="10"/>
  <c r="R125" i="10"/>
  <c r="O113" i="37"/>
  <c r="BY111" i="2"/>
  <c r="N111" i="26"/>
  <c r="O111" i="26" s="1"/>
  <c r="P111" i="26" s="1"/>
  <c r="Q111" i="26" s="1"/>
  <c r="O138" i="10"/>
  <c r="O150" i="10" s="1"/>
  <c r="AU28" i="40" s="1"/>
  <c r="H192" i="10"/>
  <c r="F38" i="12" s="1"/>
  <c r="F53" i="12" s="1"/>
  <c r="T118" i="36"/>
  <c r="BH121" i="2"/>
  <c r="V121" i="34"/>
  <c r="V121" i="23"/>
  <c r="W121" i="23" s="1"/>
  <c r="X121" i="23" s="1"/>
  <c r="Y121" i="23" s="1"/>
  <c r="T110" i="36"/>
  <c r="O117" i="10"/>
  <c r="H190" i="10"/>
  <c r="F36" i="12" s="1"/>
  <c r="BH120" i="2"/>
  <c r="V120" i="34"/>
  <c r="V120" i="23"/>
  <c r="W120" i="23" s="1"/>
  <c r="X120" i="23" s="1"/>
  <c r="Y120" i="23" s="1"/>
  <c r="T116" i="36"/>
  <c r="L162" i="10"/>
  <c r="R55" i="10"/>
  <c r="L163" i="10" s="1"/>
  <c r="L164" i="10" s="1"/>
  <c r="Y177" i="10" s="1"/>
  <c r="S52" i="10"/>
  <c r="O120" i="37"/>
  <c r="O119" i="10"/>
  <c r="P119" i="10"/>
  <c r="W175" i="10"/>
  <c r="W172" i="10"/>
  <c r="W174" i="10"/>
  <c r="W173" i="10"/>
  <c r="BH118" i="2"/>
  <c r="V118" i="34"/>
  <c r="V118" i="23"/>
  <c r="W118" i="23" s="1"/>
  <c r="X118" i="23" s="1"/>
  <c r="Y118" i="23" s="1"/>
  <c r="T115" i="36"/>
  <c r="V175" i="10"/>
  <c r="V172" i="10"/>
  <c r="V173" i="10"/>
  <c r="V174" i="10"/>
  <c r="O112" i="37"/>
  <c r="P104" i="10"/>
  <c r="P134" i="10" s="1"/>
  <c r="P139" i="10" s="1"/>
  <c r="P151" i="10" s="1"/>
  <c r="BC29" i="40" s="1"/>
  <c r="P112" i="10"/>
  <c r="BH111" i="2"/>
  <c r="V111" i="34"/>
  <c r="V111" i="23"/>
  <c r="W111" i="23" s="1"/>
  <c r="X111" i="23" s="1"/>
  <c r="Y111" i="23" s="1"/>
  <c r="O121" i="37"/>
  <c r="BY113" i="2"/>
  <c r="N113" i="26"/>
  <c r="O113" i="26" s="1"/>
  <c r="P113" i="26" s="1"/>
  <c r="Q113" i="26" s="1"/>
  <c r="H191" i="10"/>
  <c r="F37" i="12" s="1"/>
  <c r="F52" i="12" s="1"/>
  <c r="AZ14" i="27"/>
  <c r="V110" i="24"/>
  <c r="W110" i="24" s="1"/>
  <c r="W122" i="24" s="1"/>
  <c r="BA18" i="27" s="1"/>
  <c r="BH116" i="2"/>
  <c r="V116" i="23"/>
  <c r="W116" i="23" s="1"/>
  <c r="X116" i="23" s="1"/>
  <c r="Y116" i="23" s="1"/>
  <c r="V116" i="34"/>
  <c r="BT120" i="2"/>
  <c r="R120" i="25"/>
  <c r="S120" i="25" s="1"/>
  <c r="T120" i="25" s="1"/>
  <c r="U120" i="25" s="1"/>
  <c r="O119" i="37"/>
  <c r="P109" i="10"/>
  <c r="P117" i="10" s="1"/>
  <c r="P99" i="10"/>
  <c r="L17" i="73" l="1"/>
  <c r="V131" i="35"/>
  <c r="V136" i="35"/>
  <c r="V123" i="35"/>
  <c r="V143" i="35"/>
  <c r="V130" i="35"/>
  <c r="V135" i="35"/>
  <c r="V141" i="35"/>
  <c r="V142" i="35"/>
  <c r="V140" i="35"/>
  <c r="V134" i="35"/>
  <c r="V138" i="35"/>
  <c r="V122" i="35"/>
  <c r="V129" i="35"/>
  <c r="V145" i="35"/>
  <c r="V128" i="35"/>
  <c r="V139" i="35"/>
  <c r="V127" i="35"/>
  <c r="V137" i="35"/>
  <c r="V133" i="35"/>
  <c r="V125" i="35"/>
  <c r="V126" i="35"/>
  <c r="V132" i="35"/>
  <c r="V124" i="35"/>
  <c r="V144" i="35"/>
  <c r="I186" i="10"/>
  <c r="X120" i="34"/>
  <c r="X119" i="34"/>
  <c r="X121" i="34"/>
  <c r="R136" i="36"/>
  <c r="R144" i="36"/>
  <c r="R137" i="36"/>
  <c r="R138" i="36"/>
  <c r="R141" i="36"/>
  <c r="R145" i="36"/>
  <c r="R140" i="36"/>
  <c r="R139" i="36"/>
  <c r="R134" i="36"/>
  <c r="R142" i="36"/>
  <c r="R143" i="36"/>
  <c r="R135" i="36"/>
  <c r="X113" i="34"/>
  <c r="X7" i="60"/>
  <c r="R127" i="36"/>
  <c r="R128" i="36"/>
  <c r="R123" i="36"/>
  <c r="R126" i="36"/>
  <c r="R125" i="36"/>
  <c r="R131" i="36"/>
  <c r="R124" i="36"/>
  <c r="R132" i="36"/>
  <c r="R129" i="36"/>
  <c r="R122" i="36"/>
  <c r="R130" i="36"/>
  <c r="R133" i="36"/>
  <c r="BA14" i="27"/>
  <c r="BA17" i="27" s="1"/>
  <c r="AZ15" i="27"/>
  <c r="BA15" i="27" s="1"/>
  <c r="P140" i="10"/>
  <c r="F51" i="12"/>
  <c r="Q118" i="10"/>
  <c r="Q112" i="10"/>
  <c r="Q120" i="10" s="1"/>
  <c r="Q104" i="10"/>
  <c r="Q134" i="10" s="1"/>
  <c r="Q139" i="10" s="1"/>
  <c r="Q151" i="10" s="1"/>
  <c r="BC30" i="40" s="1"/>
  <c r="AT14" i="27"/>
  <c r="X110" i="23"/>
  <c r="Y110" i="23" s="1"/>
  <c r="Y122" i="23" s="1"/>
  <c r="AU18" i="27" s="1"/>
  <c r="L159" i="10"/>
  <c r="L160" i="10" s="1"/>
  <c r="X177" i="10" s="1"/>
  <c r="R84" i="10"/>
  <c r="R98" i="10"/>
  <c r="R105" i="10" s="1"/>
  <c r="R96" i="10"/>
  <c r="R97" i="10"/>
  <c r="R95" i="10"/>
  <c r="R110" i="10" s="1"/>
  <c r="R118" i="10" s="1"/>
  <c r="R78" i="10"/>
  <c r="R94" i="10"/>
  <c r="I194" i="10"/>
  <c r="G35" i="12"/>
  <c r="Q109" i="10"/>
  <c r="Q99" i="10"/>
  <c r="V124" i="34"/>
  <c r="V132" i="34"/>
  <c r="V133" i="34"/>
  <c r="V125" i="34"/>
  <c r="V126" i="34"/>
  <c r="V127" i="34"/>
  <c r="V128" i="34"/>
  <c r="V129" i="34"/>
  <c r="V122" i="34"/>
  <c r="V130" i="34"/>
  <c r="V123" i="34"/>
  <c r="V131" i="34"/>
  <c r="H194" i="10"/>
  <c r="F35" i="12"/>
  <c r="X110" i="34"/>
  <c r="Q103" i="10"/>
  <c r="Q133" i="10" s="1"/>
  <c r="Q111" i="10"/>
  <c r="P120" i="10"/>
  <c r="BO14" i="27"/>
  <c r="P110" i="26"/>
  <c r="Q110" i="26" s="1"/>
  <c r="Q122" i="26" s="1"/>
  <c r="BP18" i="27" s="1"/>
  <c r="M162" i="10"/>
  <c r="S55" i="10"/>
  <c r="M163" i="10" s="1"/>
  <c r="M164" i="10" s="1"/>
  <c r="AB177" i="10" s="1"/>
  <c r="T52" i="10"/>
  <c r="R146" i="10"/>
  <c r="N129" i="37"/>
  <c r="N123" i="37"/>
  <c r="N131" i="37"/>
  <c r="N133" i="37"/>
  <c r="N122" i="37"/>
  <c r="N126" i="37"/>
  <c r="N130" i="37"/>
  <c r="N124" i="37"/>
  <c r="N125" i="37"/>
  <c r="N127" i="37"/>
  <c r="N132" i="37"/>
  <c r="N128" i="37"/>
  <c r="G51" i="12"/>
  <c r="X116" i="34"/>
  <c r="Y175" i="10"/>
  <c r="Y172" i="10"/>
  <c r="Y173" i="10"/>
  <c r="Y174" i="10"/>
  <c r="S125" i="10"/>
  <c r="T47" i="10"/>
  <c r="S128" i="10"/>
  <c r="S126" i="10"/>
  <c r="M158" i="10"/>
  <c r="S50" i="10"/>
  <c r="S127" i="10"/>
  <c r="Q91" i="10"/>
  <c r="Q135" i="10" s="1"/>
  <c r="Q140" i="10" s="1"/>
  <c r="Q85" i="10"/>
  <c r="DS15" i="39"/>
  <c r="X114" i="34"/>
  <c r="X118" i="34"/>
  <c r="U175" i="10"/>
  <c r="J184" i="10" s="1"/>
  <c r="U172" i="10"/>
  <c r="J181" i="10" s="1"/>
  <c r="U173" i="10"/>
  <c r="J182" i="10" s="1"/>
  <c r="U174" i="10"/>
  <c r="J183" i="10" s="1"/>
  <c r="X112" i="34"/>
  <c r="Z174" i="10"/>
  <c r="Z175" i="10"/>
  <c r="Z172" i="10"/>
  <c r="Z173" i="10"/>
  <c r="V140" i="34"/>
  <c r="V141" i="34"/>
  <c r="V134" i="34"/>
  <c r="V142" i="34"/>
  <c r="V135" i="34"/>
  <c r="V143" i="34"/>
  <c r="V136" i="34"/>
  <c r="V144" i="34"/>
  <c r="V137" i="34"/>
  <c r="V145" i="34"/>
  <c r="V138" i="34"/>
  <c r="V139" i="34"/>
  <c r="X117" i="34"/>
  <c r="DH15" i="39"/>
  <c r="X111" i="34"/>
  <c r="X115" i="34"/>
  <c r="BG14" i="27"/>
  <c r="T110" i="25"/>
  <c r="U110" i="25" s="1"/>
  <c r="U122" i="25" s="1"/>
  <c r="BH18" i="27" s="1"/>
  <c r="T57" i="10"/>
  <c r="S60" i="10"/>
  <c r="M167" i="10" s="1"/>
  <c r="M168" i="10" s="1"/>
  <c r="AC177" i="10" s="1"/>
  <c r="M166" i="10"/>
  <c r="CX16" i="39" l="1"/>
  <c r="CZ16" i="39" s="1"/>
  <c r="DB16" i="39" s="1"/>
  <c r="M17" i="73" s="1"/>
  <c r="K44" i="73" s="1"/>
  <c r="CX17" i="39"/>
  <c r="CZ17" i="39" s="1"/>
  <c r="DB17" i="39" s="1"/>
  <c r="N17" i="73" s="1"/>
  <c r="L44" i="73" s="1"/>
  <c r="T168" i="35"/>
  <c r="T161" i="35"/>
  <c r="T169" i="35"/>
  <c r="T162" i="35"/>
  <c r="T163" i="35"/>
  <c r="T166" i="35"/>
  <c r="T164" i="35"/>
  <c r="T158" i="35"/>
  <c r="T165" i="35"/>
  <c r="T159" i="35"/>
  <c r="T167" i="35"/>
  <c r="T160" i="35"/>
  <c r="U57" i="10"/>
  <c r="N166" i="10"/>
  <c r="T60" i="10"/>
  <c r="N167" i="10" s="1"/>
  <c r="N168" i="10" s="1"/>
  <c r="AF177" i="10" s="1"/>
  <c r="BH14" i="27"/>
  <c r="BH17" i="27" s="1"/>
  <c r="BG15" i="27"/>
  <c r="BH15" i="27" s="1"/>
  <c r="X137" i="34"/>
  <c r="O122" i="37"/>
  <c r="X130" i="34"/>
  <c r="T131" i="36"/>
  <c r="T145" i="36"/>
  <c r="R104" i="10"/>
  <c r="R134" i="10" s="1"/>
  <c r="R139" i="10" s="1"/>
  <c r="R151" i="10" s="1"/>
  <c r="BC31" i="40" s="1"/>
  <c r="R112" i="10"/>
  <c r="T125" i="36"/>
  <c r="T141" i="36"/>
  <c r="O133" i="37"/>
  <c r="O131" i="37"/>
  <c r="X129" i="34"/>
  <c r="R103" i="10"/>
  <c r="R133" i="10" s="1"/>
  <c r="R138" i="10" s="1"/>
  <c r="R150" i="10" s="1"/>
  <c r="AU31" i="40" s="1"/>
  <c r="R111" i="10"/>
  <c r="R119" i="10" s="1"/>
  <c r="T126" i="36"/>
  <c r="T138" i="36"/>
  <c r="T123" i="36"/>
  <c r="T137" i="36"/>
  <c r="X135" i="34"/>
  <c r="J186" i="10"/>
  <c r="J189" i="10"/>
  <c r="O129" i="37"/>
  <c r="AB174" i="10"/>
  <c r="AB175" i="10"/>
  <c r="AB173" i="10"/>
  <c r="AB172" i="10"/>
  <c r="X127" i="34"/>
  <c r="R91" i="10"/>
  <c r="R135" i="10" s="1"/>
  <c r="R140" i="10" s="1"/>
  <c r="R85" i="10"/>
  <c r="T128" i="36"/>
  <c r="T144" i="36"/>
  <c r="N135" i="37"/>
  <c r="N136" i="37"/>
  <c r="N141" i="37"/>
  <c r="N143" i="37"/>
  <c r="N144" i="37"/>
  <c r="N137" i="37"/>
  <c r="N145" i="37"/>
  <c r="N138" i="37"/>
  <c r="N140" i="37"/>
  <c r="N139" i="37"/>
  <c r="N142" i="37"/>
  <c r="N134" i="37"/>
  <c r="X126" i="34"/>
  <c r="X175" i="10"/>
  <c r="K184" i="10" s="1"/>
  <c r="K192" i="10" s="1"/>
  <c r="I38" i="12" s="1"/>
  <c r="I53" i="12" s="1"/>
  <c r="X172" i="10"/>
  <c r="K181" i="10" s="1"/>
  <c r="X173" i="10"/>
  <c r="K182" i="10" s="1"/>
  <c r="K190" i="10" s="1"/>
  <c r="I36" i="12" s="1"/>
  <c r="X174" i="10"/>
  <c r="K183" i="10" s="1"/>
  <c r="K191" i="10" s="1"/>
  <c r="I37" i="12" s="1"/>
  <c r="I52" i="12" s="1"/>
  <c r="T127" i="36"/>
  <c r="T136" i="36"/>
  <c r="X134" i="34"/>
  <c r="Q119" i="10"/>
  <c r="X125" i="34"/>
  <c r="L120" i="44"/>
  <c r="X136" i="34"/>
  <c r="O123" i="37"/>
  <c r="X142" i="34"/>
  <c r="X133" i="34"/>
  <c r="AT15" i="27"/>
  <c r="AU15" i="27" s="1"/>
  <c r="AU14" i="27"/>
  <c r="AU17" i="27" s="1"/>
  <c r="O128" i="37"/>
  <c r="CN15" i="39"/>
  <c r="CP15" i="39" s="1"/>
  <c r="CR15" i="39" s="1"/>
  <c r="X124" i="34"/>
  <c r="X144" i="34"/>
  <c r="X143" i="34"/>
  <c r="T125" i="10"/>
  <c r="U47" i="10"/>
  <c r="T128" i="10"/>
  <c r="T146" i="10" s="1"/>
  <c r="N158" i="10"/>
  <c r="T50" i="10"/>
  <c r="T127" i="10"/>
  <c r="T126" i="10"/>
  <c r="N162" i="10"/>
  <c r="T55" i="10"/>
  <c r="N163" i="10" s="1"/>
  <c r="N164" i="10" s="1"/>
  <c r="AE177" i="10" s="1"/>
  <c r="U52" i="10"/>
  <c r="J192" i="10"/>
  <c r="H38" i="12" s="1"/>
  <c r="H53" i="12" s="1"/>
  <c r="O132" i="37"/>
  <c r="T156" i="35"/>
  <c r="T151" i="35"/>
  <c r="T150" i="35"/>
  <c r="T149" i="35"/>
  <c r="T157" i="35"/>
  <c r="T152" i="35"/>
  <c r="T153" i="35"/>
  <c r="T146" i="35"/>
  <c r="T154" i="35"/>
  <c r="T147" i="35"/>
  <c r="T155" i="35"/>
  <c r="T148" i="35"/>
  <c r="T133" i="36"/>
  <c r="T135" i="36"/>
  <c r="J190" i="10"/>
  <c r="H36" i="12" s="1"/>
  <c r="Q138" i="10"/>
  <c r="Q150" i="10" s="1"/>
  <c r="AU30" i="40" s="1"/>
  <c r="X140" i="34"/>
  <c r="DU15" i="39"/>
  <c r="DX15" i="39"/>
  <c r="O127" i="37"/>
  <c r="N153" i="37"/>
  <c r="N146" i="37"/>
  <c r="N154" i="37"/>
  <c r="N147" i="37"/>
  <c r="N155" i="37"/>
  <c r="N148" i="37"/>
  <c r="N156" i="37"/>
  <c r="N157" i="37"/>
  <c r="N149" i="37"/>
  <c r="N150" i="37"/>
  <c r="N151" i="37"/>
  <c r="N152" i="37"/>
  <c r="T130" i="36"/>
  <c r="T143" i="36"/>
  <c r="J191" i="10"/>
  <c r="H37" i="12" s="1"/>
  <c r="H52" i="12" s="1"/>
  <c r="BP14" i="27"/>
  <c r="BP17" i="27" s="1"/>
  <c r="BO15" i="27"/>
  <c r="BP15" i="27" s="1"/>
  <c r="DJ15" i="39"/>
  <c r="DM15" i="39"/>
  <c r="O125" i="37"/>
  <c r="F50" i="12"/>
  <c r="F54" i="12" s="1"/>
  <c r="F39" i="12"/>
  <c r="G50" i="12"/>
  <c r="G54" i="12" s="1"/>
  <c r="G39" i="12"/>
  <c r="T122" i="36"/>
  <c r="T142" i="36"/>
  <c r="X122" i="34"/>
  <c r="S146" i="10"/>
  <c r="X128" i="34"/>
  <c r="X141" i="34"/>
  <c r="X132" i="34"/>
  <c r="AC174" i="10"/>
  <c r="AC172" i="10"/>
  <c r="AC173" i="10"/>
  <c r="AC175" i="10"/>
  <c r="X139" i="34"/>
  <c r="O124" i="37"/>
  <c r="T129" i="36"/>
  <c r="T134" i="36"/>
  <c r="X131" i="34"/>
  <c r="R109" i="10"/>
  <c r="R99" i="10"/>
  <c r="T132" i="36"/>
  <c r="T139" i="36"/>
  <c r="X138" i="34"/>
  <c r="O130" i="37"/>
  <c r="X145" i="34"/>
  <c r="S95" i="10"/>
  <c r="S110" i="10" s="1"/>
  <c r="M159" i="10"/>
  <c r="M160" i="10" s="1"/>
  <c r="AA177" i="10" s="1"/>
  <c r="S84" i="10"/>
  <c r="S98" i="10"/>
  <c r="S105" i="10" s="1"/>
  <c r="S96" i="10"/>
  <c r="S78" i="10"/>
  <c r="S94" i="10"/>
  <c r="S97" i="10"/>
  <c r="O126" i="37"/>
  <c r="X123" i="34"/>
  <c r="T124" i="36"/>
  <c r="T140" i="36"/>
  <c r="Q117" i="10"/>
  <c r="D7" i="60" l="1"/>
  <c r="O17" i="41"/>
  <c r="L44" i="41" s="1"/>
  <c r="N58" i="44" s="1"/>
  <c r="N17" i="41"/>
  <c r="K44" i="41" s="1"/>
  <c r="M58" i="44" s="1"/>
  <c r="V157" i="35"/>
  <c r="V155" i="35"/>
  <c r="V154" i="35"/>
  <c r="V149" i="35"/>
  <c r="V150" i="35"/>
  <c r="V151" i="35"/>
  <c r="V156" i="35"/>
  <c r="V160" i="35"/>
  <c r="V167" i="35"/>
  <c r="V159" i="35"/>
  <c r="V165" i="35"/>
  <c r="V158" i="35"/>
  <c r="V148" i="35"/>
  <c r="V164" i="35"/>
  <c r="V166" i="35"/>
  <c r="V147" i="35"/>
  <c r="V163" i="35"/>
  <c r="V162" i="35"/>
  <c r="V146" i="35"/>
  <c r="V169" i="35"/>
  <c r="V153" i="35"/>
  <c r="V161" i="35"/>
  <c r="V152" i="35"/>
  <c r="V168" i="35"/>
  <c r="K186" i="10"/>
  <c r="DH16" i="39"/>
  <c r="DM16" i="39" s="1"/>
  <c r="O136" i="37"/>
  <c r="V57" i="10"/>
  <c r="U60" i="10"/>
  <c r="L174" i="44"/>
  <c r="L194" i="44" s="1"/>
  <c r="O135" i="37"/>
  <c r="S103" i="10"/>
  <c r="S133" i="10" s="1"/>
  <c r="S138" i="10" s="1"/>
  <c r="S150" i="10" s="1"/>
  <c r="AU32" i="40" s="1"/>
  <c r="S111" i="10"/>
  <c r="R117" i="10"/>
  <c r="O146" i="37"/>
  <c r="O153" i="37"/>
  <c r="S99" i="10"/>
  <c r="S109" i="10"/>
  <c r="S117" i="10" s="1"/>
  <c r="O147" i="37"/>
  <c r="O154" i="37"/>
  <c r="V151" i="34"/>
  <c r="V152" i="34"/>
  <c r="V153" i="34"/>
  <c r="V147" i="34"/>
  <c r="V154" i="34"/>
  <c r="V146" i="34"/>
  <c r="V155" i="34"/>
  <c r="V148" i="34"/>
  <c r="V156" i="34"/>
  <c r="V149" i="34"/>
  <c r="V157" i="34"/>
  <c r="V150" i="34"/>
  <c r="S91" i="10"/>
  <c r="S135" i="10" s="1"/>
  <c r="S140" i="10" s="1"/>
  <c r="S85" i="10"/>
  <c r="AA174" i="10"/>
  <c r="L183" i="10" s="1"/>
  <c r="AA175" i="10"/>
  <c r="L184" i="10" s="1"/>
  <c r="AA172" i="10"/>
  <c r="L181" i="10" s="1"/>
  <c r="L189" i="10" s="1"/>
  <c r="AA173" i="10"/>
  <c r="L182" i="10" s="1"/>
  <c r="L190" i="10" s="1"/>
  <c r="J36" i="12" s="1"/>
  <c r="O134" i="37"/>
  <c r="H51" i="12"/>
  <c r="U55" i="10"/>
  <c r="V52" i="10"/>
  <c r="R156" i="36"/>
  <c r="R150" i="36"/>
  <c r="R151" i="36"/>
  <c r="R152" i="36"/>
  <c r="R146" i="36"/>
  <c r="R154" i="36"/>
  <c r="R149" i="36"/>
  <c r="R153" i="36"/>
  <c r="R157" i="36"/>
  <c r="R147" i="36"/>
  <c r="R155" i="36"/>
  <c r="R148" i="36"/>
  <c r="O142" i="37"/>
  <c r="DS16" i="39"/>
  <c r="AE173" i="10"/>
  <c r="AE174" i="10"/>
  <c r="AE175" i="10"/>
  <c r="AE172" i="10"/>
  <c r="S118" i="10"/>
  <c r="CN17" i="39"/>
  <c r="CP17" i="39" s="1"/>
  <c r="CR17" i="39" s="1"/>
  <c r="O139" i="37"/>
  <c r="R165" i="36"/>
  <c r="R161" i="36"/>
  <c r="R169" i="36"/>
  <c r="R163" i="36"/>
  <c r="R164" i="36"/>
  <c r="R158" i="36"/>
  <c r="R166" i="36"/>
  <c r="R159" i="36"/>
  <c r="R167" i="36"/>
  <c r="R160" i="36"/>
  <c r="R168" i="36"/>
  <c r="R162" i="36"/>
  <c r="O152" i="37"/>
  <c r="O151" i="37"/>
  <c r="AY27" i="40"/>
  <c r="AZ27" i="40" s="1"/>
  <c r="DW15" i="39"/>
  <c r="O140" i="37"/>
  <c r="O150" i="37"/>
  <c r="O138" i="37"/>
  <c r="AQ27" i="40"/>
  <c r="AR27" i="40" s="1"/>
  <c r="DL15" i="39"/>
  <c r="M16" i="41"/>
  <c r="L16" i="73"/>
  <c r="O145" i="37"/>
  <c r="O157" i="37"/>
  <c r="T95" i="10"/>
  <c r="T110" i="10" s="1"/>
  <c r="T118" i="10" s="1"/>
  <c r="N159" i="10"/>
  <c r="N160" i="10" s="1"/>
  <c r="AD177" i="10" s="1"/>
  <c r="T84" i="10"/>
  <c r="T98" i="10"/>
  <c r="T105" i="10" s="1"/>
  <c r="T78" i="10"/>
  <c r="T94" i="10"/>
  <c r="T97" i="10"/>
  <c r="T96" i="10"/>
  <c r="O137" i="37"/>
  <c r="DH17" i="39"/>
  <c r="O149" i="37"/>
  <c r="O156" i="37"/>
  <c r="O144" i="37"/>
  <c r="I51" i="12"/>
  <c r="CN16" i="39"/>
  <c r="CP16" i="39" s="1"/>
  <c r="CR16" i="39" s="1"/>
  <c r="O148" i="37"/>
  <c r="O143" i="37"/>
  <c r="J194" i="10"/>
  <c r="H35" i="12"/>
  <c r="AF173" i="10"/>
  <c r="AF174" i="10"/>
  <c r="AF175" i="10"/>
  <c r="AF172" i="10"/>
  <c r="S104" i="10"/>
  <c r="S134" i="10" s="1"/>
  <c r="S112" i="10"/>
  <c r="S120" i="10" s="1"/>
  <c r="O155" i="37"/>
  <c r="V47" i="10"/>
  <c r="U50" i="10"/>
  <c r="O141" i="37"/>
  <c r="K189" i="10"/>
  <c r="R120" i="10"/>
  <c r="Z7" i="60" l="1"/>
  <c r="Y7" i="60"/>
  <c r="U78" i="10"/>
  <c r="CX18" i="39"/>
  <c r="CZ18" i="39" s="1"/>
  <c r="DB18" i="39" s="1"/>
  <c r="O17" i="73" s="1"/>
  <c r="M44" i="73" s="1"/>
  <c r="CX19" i="39"/>
  <c r="CZ19" i="39" s="1"/>
  <c r="DB19" i="39" s="1"/>
  <c r="P17" i="73" s="1"/>
  <c r="N44" i="73" s="1"/>
  <c r="DJ16" i="39"/>
  <c r="AQ28" i="40" s="1"/>
  <c r="AR28" i="40" s="1"/>
  <c r="N176" i="37"/>
  <c r="N177" i="37"/>
  <c r="N170" i="37"/>
  <c r="N180" i="37"/>
  <c r="N178" i="37"/>
  <c r="N171" i="37"/>
  <c r="N173" i="37"/>
  <c r="N179" i="37"/>
  <c r="N172" i="37"/>
  <c r="N181" i="37"/>
  <c r="N174" i="37"/>
  <c r="N175" i="37"/>
  <c r="J51" i="12"/>
  <c r="T190" i="35"/>
  <c r="T188" i="35"/>
  <c r="T182" i="35"/>
  <c r="T189" i="35"/>
  <c r="T183" i="35"/>
  <c r="T193" i="35"/>
  <c r="T191" i="35"/>
  <c r="T184" i="35"/>
  <c r="T192" i="35"/>
  <c r="T185" i="35"/>
  <c r="T186" i="35"/>
  <c r="T187" i="35"/>
  <c r="V180" i="34"/>
  <c r="V173" i="34"/>
  <c r="V181" i="34"/>
  <c r="V174" i="34"/>
  <c r="V176" i="34"/>
  <c r="V175" i="34"/>
  <c r="V177" i="34"/>
  <c r="V170" i="34"/>
  <c r="V178" i="34"/>
  <c r="V171" i="34"/>
  <c r="V179" i="34"/>
  <c r="V172" i="34"/>
  <c r="T168" i="36"/>
  <c r="T155" i="36"/>
  <c r="L192" i="10"/>
  <c r="J38" i="12" s="1"/>
  <c r="J53" i="12" s="1"/>
  <c r="X156" i="34"/>
  <c r="T160" i="36"/>
  <c r="T147" i="36"/>
  <c r="L191" i="10"/>
  <c r="J37" i="12" s="1"/>
  <c r="J52" i="12" s="1"/>
  <c r="X148" i="34"/>
  <c r="V167" i="34"/>
  <c r="V160" i="34"/>
  <c r="V168" i="34"/>
  <c r="V161" i="34"/>
  <c r="V169" i="34"/>
  <c r="V163" i="34"/>
  <c r="V162" i="34"/>
  <c r="V164" i="34"/>
  <c r="V165" i="34"/>
  <c r="V158" i="34"/>
  <c r="V166" i="34"/>
  <c r="V159" i="34"/>
  <c r="T167" i="36"/>
  <c r="T157" i="36"/>
  <c r="X155" i="34"/>
  <c r="S119" i="10"/>
  <c r="DJ17" i="39"/>
  <c r="DM17" i="39"/>
  <c r="T159" i="36"/>
  <c r="T153" i="36"/>
  <c r="X146" i="34"/>
  <c r="C54" i="8"/>
  <c r="E54" i="8" s="1"/>
  <c r="L19" i="73"/>
  <c r="M19" i="41"/>
  <c r="T166" i="36"/>
  <c r="N16" i="73"/>
  <c r="O16" i="41"/>
  <c r="T149" i="36"/>
  <c r="X154" i="34"/>
  <c r="J35" i="12"/>
  <c r="F54" i="8"/>
  <c r="BD27" i="40"/>
  <c r="T158" i="36"/>
  <c r="T174" i="35"/>
  <c r="T175" i="35"/>
  <c r="T176" i="35"/>
  <c r="T172" i="35"/>
  <c r="T177" i="35"/>
  <c r="T173" i="35"/>
  <c r="T170" i="35"/>
  <c r="T178" i="35"/>
  <c r="T179" i="35"/>
  <c r="T171" i="35"/>
  <c r="T180" i="35"/>
  <c r="T181" i="35"/>
  <c r="T154" i="36"/>
  <c r="X147" i="34"/>
  <c r="X153" i="34"/>
  <c r="T152" i="36"/>
  <c r="X152" i="34"/>
  <c r="T103" i="10"/>
  <c r="T133" i="10" s="1"/>
  <c r="T138" i="10" s="1"/>
  <c r="T150" i="10" s="1"/>
  <c r="AU33" i="40" s="1"/>
  <c r="T111" i="10"/>
  <c r="T119" i="10" s="1"/>
  <c r="N164" i="37"/>
  <c r="N165" i="37"/>
  <c r="N166" i="37"/>
  <c r="N159" i="37"/>
  <c r="N167" i="37"/>
  <c r="N160" i="37"/>
  <c r="N168" i="37"/>
  <c r="N161" i="37"/>
  <c r="N162" i="37"/>
  <c r="N169" i="37"/>
  <c r="N158" i="37"/>
  <c r="N163" i="37"/>
  <c r="T104" i="10"/>
  <c r="T134" i="10" s="1"/>
  <c r="T139" i="10" s="1"/>
  <c r="T151" i="10" s="1"/>
  <c r="BC33" i="40" s="1"/>
  <c r="T112" i="10"/>
  <c r="T120" i="10" s="1"/>
  <c r="T151" i="36"/>
  <c r="X151" i="34"/>
  <c r="N16" i="41"/>
  <c r="M16" i="73"/>
  <c r="T163" i="36"/>
  <c r="T169" i="36"/>
  <c r="T109" i="10"/>
  <c r="T117" i="10" s="1"/>
  <c r="T99" i="10"/>
  <c r="T161" i="36"/>
  <c r="T150" i="36"/>
  <c r="N120" i="44"/>
  <c r="T165" i="36"/>
  <c r="T156" i="36"/>
  <c r="V60" i="10"/>
  <c r="W57" i="10"/>
  <c r="T146" i="36"/>
  <c r="DX16" i="39"/>
  <c r="DU16" i="39"/>
  <c r="W52" i="10"/>
  <c r="V55" i="10"/>
  <c r="DS17" i="39"/>
  <c r="T91" i="10"/>
  <c r="T135" i="10" s="1"/>
  <c r="T140" i="10" s="1"/>
  <c r="T85" i="10"/>
  <c r="AD174" i="10"/>
  <c r="M183" i="10" s="1"/>
  <c r="M191" i="10" s="1"/>
  <c r="K37" i="12" s="1"/>
  <c r="K52" i="12" s="1"/>
  <c r="AD175" i="10"/>
  <c r="M184" i="10" s="1"/>
  <c r="M192" i="10" s="1"/>
  <c r="K38" i="12" s="1"/>
  <c r="K53" i="12" s="1"/>
  <c r="AD172" i="10"/>
  <c r="M181" i="10" s="1"/>
  <c r="AD173" i="10"/>
  <c r="M182" i="10" s="1"/>
  <c r="M190" i="10" s="1"/>
  <c r="K36" i="12" s="1"/>
  <c r="M120" i="44"/>
  <c r="X150" i="34"/>
  <c r="T164" i="36"/>
  <c r="H50" i="12"/>
  <c r="H54" i="12" s="1"/>
  <c r="H39" i="12"/>
  <c r="C53" i="8"/>
  <c r="M18" i="41"/>
  <c r="L18" i="73"/>
  <c r="X157" i="34"/>
  <c r="DS18" i="39"/>
  <c r="V50" i="10"/>
  <c r="W47" i="10"/>
  <c r="S139" i="10"/>
  <c r="S151" i="10" s="1"/>
  <c r="BC32" i="40" s="1"/>
  <c r="K194" i="10"/>
  <c r="I35" i="12"/>
  <c r="F53" i="8"/>
  <c r="AV27" i="40"/>
  <c r="T162" i="36"/>
  <c r="T148" i="36"/>
  <c r="L186" i="10"/>
  <c r="X149" i="34"/>
  <c r="E7" i="60" l="1"/>
  <c r="F7" i="60"/>
  <c r="P17" i="41"/>
  <c r="M44" i="41" s="1"/>
  <c r="O58" i="44" s="1"/>
  <c r="Q17" i="41"/>
  <c r="N44" i="41" s="1"/>
  <c r="P58" i="44" s="1"/>
  <c r="V193" i="35"/>
  <c r="V183" i="35"/>
  <c r="V189" i="35"/>
  <c r="V182" i="35"/>
  <c r="V188" i="35"/>
  <c r="V171" i="35"/>
  <c r="V179" i="35"/>
  <c r="V190" i="35"/>
  <c r="V178" i="35"/>
  <c r="V170" i="35"/>
  <c r="V173" i="35"/>
  <c r="V187" i="35"/>
  <c r="V186" i="35"/>
  <c r="V177" i="35"/>
  <c r="V172" i="35"/>
  <c r="V185" i="35"/>
  <c r="V181" i="35"/>
  <c r="V180" i="35"/>
  <c r="V176" i="35"/>
  <c r="V192" i="35"/>
  <c r="V175" i="35"/>
  <c r="V184" i="35"/>
  <c r="V174" i="35"/>
  <c r="V191" i="35"/>
  <c r="DL16" i="39"/>
  <c r="N18" i="41" s="1"/>
  <c r="K45" i="41" s="1"/>
  <c r="F57" i="8"/>
  <c r="R193" i="36"/>
  <c r="R185" i="36"/>
  <c r="R182" i="36"/>
  <c r="R189" i="36"/>
  <c r="R192" i="36"/>
  <c r="R187" i="36"/>
  <c r="R188" i="36"/>
  <c r="R190" i="36"/>
  <c r="R191" i="36"/>
  <c r="R183" i="36"/>
  <c r="R184" i="36"/>
  <c r="R186" i="36"/>
  <c r="CN18" i="39"/>
  <c r="CP18" i="39" s="1"/>
  <c r="CR18" i="39" s="1"/>
  <c r="X179" i="34"/>
  <c r="O168" i="37"/>
  <c r="X159" i="34"/>
  <c r="X171" i="34"/>
  <c r="W55" i="10"/>
  <c r="X52" i="10"/>
  <c r="X55" i="10" s="1"/>
  <c r="O160" i="37"/>
  <c r="AQ29" i="40"/>
  <c r="AR29" i="40" s="1"/>
  <c r="DL17" i="39"/>
  <c r="X166" i="34"/>
  <c r="X178" i="34"/>
  <c r="X170" i="34"/>
  <c r="O159" i="37"/>
  <c r="X165" i="34"/>
  <c r="X177" i="34"/>
  <c r="O175" i="37"/>
  <c r="O166" i="37"/>
  <c r="X164" i="34"/>
  <c r="X175" i="34"/>
  <c r="O174" i="37"/>
  <c r="DU17" i="39"/>
  <c r="DX17" i="39"/>
  <c r="AY28" i="40"/>
  <c r="AZ28" i="40" s="1"/>
  <c r="DW16" i="39"/>
  <c r="V182" i="34"/>
  <c r="V190" i="34"/>
  <c r="V183" i="34"/>
  <c r="V191" i="34"/>
  <c r="V184" i="34"/>
  <c r="V192" i="34"/>
  <c r="V185" i="34"/>
  <c r="V193" i="34"/>
  <c r="V186" i="34"/>
  <c r="V187" i="34"/>
  <c r="V188" i="34"/>
  <c r="V189" i="34"/>
  <c r="O165" i="37"/>
  <c r="X162" i="34"/>
  <c r="X176" i="34"/>
  <c r="O181" i="37"/>
  <c r="X8" i="60"/>
  <c r="O164" i="37"/>
  <c r="L42" i="41"/>
  <c r="R178" i="36"/>
  <c r="R177" i="36"/>
  <c r="R181" i="36"/>
  <c r="R173" i="36"/>
  <c r="R171" i="36"/>
  <c r="R179" i="36"/>
  <c r="R172" i="36"/>
  <c r="R180" i="36"/>
  <c r="R174" i="36"/>
  <c r="R175" i="36"/>
  <c r="R176" i="36"/>
  <c r="R170" i="36"/>
  <c r="X163" i="34"/>
  <c r="X174" i="34"/>
  <c r="O172" i="37"/>
  <c r="DH19" i="39"/>
  <c r="L42" i="73"/>
  <c r="X169" i="34"/>
  <c r="X181" i="34"/>
  <c r="O179" i="37"/>
  <c r="X173" i="34"/>
  <c r="O173" i="37"/>
  <c r="K51" i="12"/>
  <c r="E53" i="8"/>
  <c r="C57" i="8"/>
  <c r="W50" i="10"/>
  <c r="X47" i="10"/>
  <c r="X50" i="10" s="1"/>
  <c r="X161" i="34"/>
  <c r="V78" i="10"/>
  <c r="M174" i="44"/>
  <c r="M194" i="44" s="1"/>
  <c r="N189" i="37"/>
  <c r="N182" i="37"/>
  <c r="N187" i="37"/>
  <c r="N190" i="37"/>
  <c r="N188" i="37"/>
  <c r="N183" i="37"/>
  <c r="N191" i="37"/>
  <c r="N184" i="37"/>
  <c r="N192" i="37"/>
  <c r="N185" i="37"/>
  <c r="N186" i="37"/>
  <c r="N193" i="37"/>
  <c r="M66" i="41"/>
  <c r="L66" i="73"/>
  <c r="X168" i="34"/>
  <c r="X180" i="34"/>
  <c r="O171" i="37"/>
  <c r="L23" i="73"/>
  <c r="N174" i="44"/>
  <c r="X9" i="60"/>
  <c r="X160" i="34"/>
  <c r="O178" i="37"/>
  <c r="X167" i="34"/>
  <c r="O180" i="37"/>
  <c r="O161" i="37"/>
  <c r="I39" i="12"/>
  <c r="I50" i="12"/>
  <c r="I54" i="12" s="1"/>
  <c r="O167" i="37"/>
  <c r="X158" i="34"/>
  <c r="M65" i="41"/>
  <c r="L65" i="73"/>
  <c r="O158" i="37"/>
  <c r="J39" i="12"/>
  <c r="J50" i="12"/>
  <c r="J54" i="12" s="1"/>
  <c r="G54" i="8"/>
  <c r="AM54" i="8" s="1"/>
  <c r="O170" i="37"/>
  <c r="M186" i="10"/>
  <c r="M189" i="10"/>
  <c r="O163" i="37"/>
  <c r="DU18" i="39"/>
  <c r="DX18" i="39"/>
  <c r="DH18" i="39"/>
  <c r="M23" i="41"/>
  <c r="K42" i="73"/>
  <c r="O169" i="37"/>
  <c r="L194" i="10"/>
  <c r="O177" i="37"/>
  <c r="AV28" i="40"/>
  <c r="K53" i="8"/>
  <c r="X5" i="60"/>
  <c r="W60" i="10"/>
  <c r="X57" i="10"/>
  <c r="X60" i="10" s="1"/>
  <c r="K42" i="41"/>
  <c r="O162" i="37"/>
  <c r="X172" i="34"/>
  <c r="O176" i="37"/>
  <c r="AA7" i="60" l="1"/>
  <c r="AB7" i="60"/>
  <c r="CX21" i="39"/>
  <c r="CZ21" i="39" s="1"/>
  <c r="DB21" i="39" s="1"/>
  <c r="R17" i="73" s="1"/>
  <c r="P44" i="73" s="1"/>
  <c r="CX20" i="39"/>
  <c r="CZ20" i="39" s="1"/>
  <c r="DB20" i="39" s="1"/>
  <c r="Q17" i="73" s="1"/>
  <c r="O44" i="73" s="1"/>
  <c r="X14" i="60"/>
  <c r="H53" i="8"/>
  <c r="J53" i="8" s="1"/>
  <c r="M18" i="73"/>
  <c r="K45" i="73" s="1"/>
  <c r="P120" i="44"/>
  <c r="N194" i="44"/>
  <c r="M69" i="41"/>
  <c r="O187" i="37"/>
  <c r="W78" i="10"/>
  <c r="T171" i="36"/>
  <c r="X192" i="34"/>
  <c r="P16" i="41"/>
  <c r="O16" i="73"/>
  <c r="X185" i="34"/>
  <c r="DJ19" i="39"/>
  <c r="DM19" i="39"/>
  <c r="O189" i="37"/>
  <c r="T181" i="36"/>
  <c r="X184" i="34"/>
  <c r="M194" i="10"/>
  <c r="K35" i="12"/>
  <c r="O183" i="37"/>
  <c r="G53" i="8"/>
  <c r="E57" i="8"/>
  <c r="T177" i="36"/>
  <c r="X191" i="34"/>
  <c r="T180" i="36"/>
  <c r="L121" i="44"/>
  <c r="CN19" i="39"/>
  <c r="CP19" i="39" s="1"/>
  <c r="CR19" i="39" s="1"/>
  <c r="O182" i="37"/>
  <c r="T173" i="36"/>
  <c r="DJ18" i="39"/>
  <c r="DM18" i="39"/>
  <c r="L122" i="44"/>
  <c r="T178" i="36"/>
  <c r="X183" i="34"/>
  <c r="T186" i="36"/>
  <c r="X190" i="34"/>
  <c r="T184" i="36"/>
  <c r="T183" i="36"/>
  <c r="X16" i="60"/>
  <c r="AY30" i="40"/>
  <c r="AZ30" i="40" s="1"/>
  <c r="DW18" i="39"/>
  <c r="O193" i="37"/>
  <c r="N57" i="44"/>
  <c r="M53" i="8"/>
  <c r="O18" i="41"/>
  <c r="N18" i="73"/>
  <c r="T191" i="36"/>
  <c r="X182" i="34"/>
  <c r="DS19" i="39"/>
  <c r="O186" i="37"/>
  <c r="AV29" i="40"/>
  <c r="P53" i="8"/>
  <c r="T190" i="36"/>
  <c r="T188" i="36"/>
  <c r="O185" i="37"/>
  <c r="T170" i="36"/>
  <c r="O192" i="37"/>
  <c r="T176" i="36"/>
  <c r="M59" i="44"/>
  <c r="T187" i="36"/>
  <c r="M57" i="44"/>
  <c r="O184" i="37"/>
  <c r="T175" i="36"/>
  <c r="X189" i="34"/>
  <c r="H54" i="8"/>
  <c r="J54" i="8" s="1"/>
  <c r="N19" i="41"/>
  <c r="M19" i="73"/>
  <c r="T192" i="36"/>
  <c r="O191" i="37"/>
  <c r="T174" i="36"/>
  <c r="X188" i="34"/>
  <c r="BD28" i="40"/>
  <c r="K54" i="8"/>
  <c r="K57" i="8" s="1"/>
  <c r="T189" i="36"/>
  <c r="CN20" i="39"/>
  <c r="CP20" i="39" s="1"/>
  <c r="CR20" i="39" s="1"/>
  <c r="T182" i="36"/>
  <c r="O120" i="44"/>
  <c r="DS20" i="39"/>
  <c r="O188" i="37"/>
  <c r="T172" i="36"/>
  <c r="X186" i="34"/>
  <c r="T185" i="36"/>
  <c r="N65" i="41"/>
  <c r="M65" i="73"/>
  <c r="X187" i="34"/>
  <c r="L118" i="44"/>
  <c r="L69" i="73"/>
  <c r="O190" i="37"/>
  <c r="X78" i="10"/>
  <c r="T179" i="36"/>
  <c r="X193" i="34"/>
  <c r="AY29" i="40"/>
  <c r="AZ29" i="40" s="1"/>
  <c r="DW17" i="39"/>
  <c r="T193" i="36"/>
  <c r="D5" i="60" l="1"/>
  <c r="Y8" i="60"/>
  <c r="G7" i="60"/>
  <c r="D8" i="60"/>
  <c r="D9" i="60"/>
  <c r="H7" i="60"/>
  <c r="Z5" i="60"/>
  <c r="Y5" i="60"/>
  <c r="R17" i="41"/>
  <c r="O44" i="41" s="1"/>
  <c r="Q58" i="44" s="1"/>
  <c r="S17" i="41"/>
  <c r="P44" i="41" s="1"/>
  <c r="R58" i="44" s="1"/>
  <c r="P174" i="44"/>
  <c r="DH20" i="39"/>
  <c r="DM20" i="39" s="1"/>
  <c r="H57" i="8"/>
  <c r="DS21" i="39"/>
  <c r="CN21" i="39"/>
  <c r="CP21" i="39" s="1"/>
  <c r="CR21" i="39" s="1"/>
  <c r="AQ31" i="40"/>
  <c r="AR31" i="40" s="1"/>
  <c r="DL19" i="39"/>
  <c r="L53" i="8"/>
  <c r="AN53" i="8" s="1"/>
  <c r="J57" i="8"/>
  <c r="P16" i="73"/>
  <c r="Q16" i="41"/>
  <c r="N66" i="41"/>
  <c r="M66" i="73"/>
  <c r="K46" i="73"/>
  <c r="K51" i="73" s="1"/>
  <c r="M23" i="73"/>
  <c r="K46" i="41"/>
  <c r="N23" i="41"/>
  <c r="L129" i="44"/>
  <c r="DU20" i="39"/>
  <c r="DX20" i="39"/>
  <c r="R54" i="8"/>
  <c r="T54" i="8" s="1"/>
  <c r="P19" i="41"/>
  <c r="M46" i="41" s="1"/>
  <c r="O19" i="73"/>
  <c r="M46" i="73" s="1"/>
  <c r="L175" i="44"/>
  <c r="L195" i="44" s="1"/>
  <c r="L158" i="44"/>
  <c r="K39" i="12"/>
  <c r="K50" i="12"/>
  <c r="K54" i="12" s="1"/>
  <c r="L54" i="8"/>
  <c r="AN54" i="8" s="1"/>
  <c r="M118" i="44"/>
  <c r="U54" i="8"/>
  <c r="BD30" i="40"/>
  <c r="DH21" i="39"/>
  <c r="L45" i="73"/>
  <c r="L176" i="44"/>
  <c r="L196" i="44" s="1"/>
  <c r="L159" i="44"/>
  <c r="AM53" i="8"/>
  <c r="G57" i="8"/>
  <c r="M42" i="73"/>
  <c r="M42" i="41"/>
  <c r="O174" i="44"/>
  <c r="O194" i="44" s="1"/>
  <c r="M54" i="8"/>
  <c r="O54" i="8" s="1"/>
  <c r="O19" i="41"/>
  <c r="L46" i="41" s="1"/>
  <c r="N19" i="73"/>
  <c r="L46" i="73" s="1"/>
  <c r="P54" i="8"/>
  <c r="P57" i="8" s="1"/>
  <c r="BD29" i="40"/>
  <c r="O53" i="8"/>
  <c r="L172" i="44"/>
  <c r="L192" i="44" s="1"/>
  <c r="L127" i="44"/>
  <c r="R16" i="41"/>
  <c r="Q16" i="73"/>
  <c r="AQ30" i="40"/>
  <c r="AR30" i="40" s="1"/>
  <c r="DL18" i="39"/>
  <c r="L45" i="41"/>
  <c r="M121" i="44"/>
  <c r="O65" i="41"/>
  <c r="N65" i="73"/>
  <c r="DX19" i="39"/>
  <c r="DU19" i="39"/>
  <c r="N118" i="44"/>
  <c r="D14" i="60" l="1"/>
  <c r="E5" i="60"/>
  <c r="D16" i="60"/>
  <c r="F5" i="60"/>
  <c r="E8" i="60"/>
  <c r="AD7" i="60"/>
  <c r="AC7" i="60"/>
  <c r="R120" i="44"/>
  <c r="DJ20" i="39"/>
  <c r="DL20" i="39" s="1"/>
  <c r="M57" i="8"/>
  <c r="L51" i="73"/>
  <c r="O42" i="41"/>
  <c r="N59" i="44"/>
  <c r="L51" i="41"/>
  <c r="R53" i="8"/>
  <c r="P18" i="41"/>
  <c r="O18" i="73"/>
  <c r="V54" i="8"/>
  <c r="AP54" i="8" s="1"/>
  <c r="U53" i="8"/>
  <c r="U57" i="8" s="1"/>
  <c r="AV30" i="40"/>
  <c r="O57" i="8"/>
  <c r="Q53" i="8"/>
  <c r="N23" i="73"/>
  <c r="O57" i="44"/>
  <c r="P66" i="41"/>
  <c r="O66" i="73"/>
  <c r="S16" i="41"/>
  <c r="R16" i="73"/>
  <c r="DJ21" i="39"/>
  <c r="DM21" i="39"/>
  <c r="AY32" i="40"/>
  <c r="AZ32" i="40" s="1"/>
  <c r="DW20" i="39"/>
  <c r="M172" i="44"/>
  <c r="M192" i="44" s="1"/>
  <c r="DU21" i="39"/>
  <c r="DX21" i="39"/>
  <c r="N172" i="44"/>
  <c r="O66" i="41"/>
  <c r="N66" i="73"/>
  <c r="N69" i="73" s="1"/>
  <c r="L164" i="44"/>
  <c r="L183" i="44"/>
  <c r="L203" i="44" s="1"/>
  <c r="L57" i="8"/>
  <c r="W53" i="8"/>
  <c r="Q18" i="41"/>
  <c r="N45" i="41" s="1"/>
  <c r="P18" i="73"/>
  <c r="N45" i="73" s="1"/>
  <c r="M175" i="44"/>
  <c r="M195" i="44" s="1"/>
  <c r="M158" i="44"/>
  <c r="AY31" i="40"/>
  <c r="AZ31" i="40" s="1"/>
  <c r="DW19" i="39"/>
  <c r="N69" i="41"/>
  <c r="M69" i="73"/>
  <c r="N60" i="44"/>
  <c r="AM57" i="8"/>
  <c r="K74" i="73"/>
  <c r="K83" i="73" s="1"/>
  <c r="K74" i="41"/>
  <c r="K83" i="41" s="1"/>
  <c r="M66" i="44" s="1"/>
  <c r="Z53" i="8"/>
  <c r="AV31" i="40"/>
  <c r="Q54" i="8"/>
  <c r="AO54" i="8" s="1"/>
  <c r="N42" i="41"/>
  <c r="O42" i="73"/>
  <c r="Q120" i="44"/>
  <c r="P194" i="44"/>
  <c r="O23" i="41"/>
  <c r="O60" i="44"/>
  <c r="M60" i="44"/>
  <c r="K51" i="41"/>
  <c r="N42" i="73"/>
  <c r="J7" i="60" l="1"/>
  <c r="I7" i="60"/>
  <c r="Z8" i="60"/>
  <c r="Y9" i="60"/>
  <c r="Z9" i="60"/>
  <c r="AA9" i="60"/>
  <c r="AA5" i="60"/>
  <c r="R174" i="44"/>
  <c r="Y16" i="60"/>
  <c r="AQ32" i="40"/>
  <c r="AR32" i="40" s="1"/>
  <c r="AV32" i="40" s="1"/>
  <c r="M129" i="44"/>
  <c r="AB53" i="8"/>
  <c r="R18" i="41"/>
  <c r="Q18" i="73"/>
  <c r="W54" i="8"/>
  <c r="Y54" i="8" s="1"/>
  <c r="P19" i="73"/>
  <c r="N46" i="73" s="1"/>
  <c r="N51" i="73" s="1"/>
  <c r="Q19" i="41"/>
  <c r="N46" i="41" s="1"/>
  <c r="M74" i="73"/>
  <c r="M83" i="73" s="1"/>
  <c r="M74" i="41"/>
  <c r="M83" i="41" s="1"/>
  <c r="O66" i="44" s="1"/>
  <c r="M122" i="44"/>
  <c r="M64" i="44"/>
  <c r="Z54" i="8"/>
  <c r="Z57" i="8" s="1"/>
  <c r="BD31" i="40"/>
  <c r="AN57" i="8"/>
  <c r="K73" i="73"/>
  <c r="K73" i="41"/>
  <c r="O122" i="44"/>
  <c r="N122" i="44"/>
  <c r="Q174" i="44"/>
  <c r="Q194" i="44" s="1"/>
  <c r="N192" i="44"/>
  <c r="O65" i="73"/>
  <c r="P65" i="41"/>
  <c r="M45" i="73"/>
  <c r="M51" i="73" s="1"/>
  <c r="O23" i="73"/>
  <c r="AY33" i="40"/>
  <c r="AZ33" i="40" s="1"/>
  <c r="DW21" i="39"/>
  <c r="O118" i="44"/>
  <c r="P65" i="73"/>
  <c r="Q65" i="41"/>
  <c r="AB54" i="8"/>
  <c r="AD54" i="8" s="1"/>
  <c r="Q19" i="73"/>
  <c r="O46" i="73" s="1"/>
  <c r="R19" i="41"/>
  <c r="O46" i="41" s="1"/>
  <c r="M45" i="41"/>
  <c r="P23" i="41"/>
  <c r="T53" i="8"/>
  <c r="R57" i="8"/>
  <c r="P57" i="44"/>
  <c r="N121" i="44"/>
  <c r="N64" i="44"/>
  <c r="P59" i="44"/>
  <c r="BD32" i="40"/>
  <c r="AE54" i="8"/>
  <c r="AQ33" i="40"/>
  <c r="AR33" i="40" s="1"/>
  <c r="DL21" i="39"/>
  <c r="P42" i="41"/>
  <c r="P42" i="73"/>
  <c r="L74" i="41"/>
  <c r="L83" i="41" s="1"/>
  <c r="N66" i="44" s="1"/>
  <c r="L74" i="73"/>
  <c r="L83" i="73" s="1"/>
  <c r="AO53" i="8"/>
  <c r="Q57" i="8"/>
  <c r="Y53" i="8"/>
  <c r="O69" i="41"/>
  <c r="Q57" i="44"/>
  <c r="Y14" i="60" l="1"/>
  <c r="Z14" i="60"/>
  <c r="E16" i="60"/>
  <c r="E9" i="60"/>
  <c r="F9" i="60"/>
  <c r="G9" i="60"/>
  <c r="G5" i="60"/>
  <c r="F8" i="60"/>
  <c r="AC5" i="60"/>
  <c r="AB8" i="60"/>
  <c r="AB5" i="60"/>
  <c r="Z16" i="60"/>
  <c r="AA16" i="60"/>
  <c r="AE53" i="8"/>
  <c r="AE57" i="8" s="1"/>
  <c r="W57" i="8"/>
  <c r="P23" i="73"/>
  <c r="AA54" i="8"/>
  <c r="AQ54" i="8" s="1"/>
  <c r="N74" i="41" s="1"/>
  <c r="Q23" i="41"/>
  <c r="N129" i="44"/>
  <c r="AO57" i="8"/>
  <c r="L73" i="41"/>
  <c r="L73" i="73"/>
  <c r="AF54" i="8"/>
  <c r="AR54" i="8" s="1"/>
  <c r="M176" i="44"/>
  <c r="M196" i="44" s="1"/>
  <c r="M159" i="44"/>
  <c r="O176" i="44"/>
  <c r="O159" i="44"/>
  <c r="Q65" i="73"/>
  <c r="R65" i="41"/>
  <c r="O172" i="44"/>
  <c r="O192" i="44" s="1"/>
  <c r="P60" i="44"/>
  <c r="Q66" i="73"/>
  <c r="R66" i="41"/>
  <c r="AG54" i="8"/>
  <c r="AI54" i="8" s="1"/>
  <c r="R19" i="73"/>
  <c r="P46" i="73" s="1"/>
  <c r="S19" i="41"/>
  <c r="P46" i="41" s="1"/>
  <c r="R60" i="44" s="1"/>
  <c r="AJ54" i="8"/>
  <c r="BD33" i="40"/>
  <c r="K78" i="41"/>
  <c r="K82" i="41"/>
  <c r="K78" i="73"/>
  <c r="K82" i="73"/>
  <c r="K87" i="73" s="1"/>
  <c r="O45" i="73"/>
  <c r="O51" i="73" s="1"/>
  <c r="Q23" i="73"/>
  <c r="P121" i="44"/>
  <c r="V53" i="8"/>
  <c r="T57" i="8"/>
  <c r="AA53" i="8"/>
  <c r="Y57" i="8"/>
  <c r="O59" i="44"/>
  <c r="M51" i="41"/>
  <c r="P66" i="73"/>
  <c r="P69" i="73" s="1"/>
  <c r="Q66" i="41"/>
  <c r="Q69" i="41" s="1"/>
  <c r="O45" i="41"/>
  <c r="R23" i="41"/>
  <c r="R57" i="44"/>
  <c r="N175" i="44"/>
  <c r="N195" i="44" s="1"/>
  <c r="N158" i="44"/>
  <c r="O69" i="73"/>
  <c r="AD53" i="8"/>
  <c r="AB57" i="8"/>
  <c r="X15" i="60"/>
  <c r="P69" i="41"/>
  <c r="AG53" i="8"/>
  <c r="S18" i="41"/>
  <c r="R18" i="73"/>
  <c r="P118" i="44"/>
  <c r="Q60" i="44"/>
  <c r="R194" i="44"/>
  <c r="O129" i="44"/>
  <c r="N176" i="44"/>
  <c r="N159" i="44"/>
  <c r="AV33" i="40"/>
  <c r="AJ53" i="8"/>
  <c r="N51" i="41"/>
  <c r="M164" i="44"/>
  <c r="M183" i="44"/>
  <c r="M203" i="44" s="1"/>
  <c r="AD9" i="60" l="1"/>
  <c r="AC9" i="60"/>
  <c r="H5" i="60"/>
  <c r="G16" i="60"/>
  <c r="H8" i="60"/>
  <c r="F16" i="60"/>
  <c r="AA8" i="60"/>
  <c r="AD5" i="60"/>
  <c r="AB9" i="60"/>
  <c r="X20" i="60"/>
  <c r="P64" i="44"/>
  <c r="N74" i="73"/>
  <c r="N83" i="73" s="1"/>
  <c r="N196" i="44"/>
  <c r="AK54" i="8"/>
  <c r="AS54" i="8" s="1"/>
  <c r="P74" i="73" s="1"/>
  <c r="AJ57" i="8"/>
  <c r="N83" i="41"/>
  <c r="P66" i="44" s="1"/>
  <c r="O74" i="41"/>
  <c r="O83" i="41" s="1"/>
  <c r="Q66" i="44" s="1"/>
  <c r="O74" i="73"/>
  <c r="O83" i="73" s="1"/>
  <c r="L78" i="73"/>
  <c r="L82" i="73"/>
  <c r="L87" i="73" s="1"/>
  <c r="L78" i="41"/>
  <c r="L82" i="41"/>
  <c r="Q59" i="44"/>
  <c r="O51" i="41"/>
  <c r="K87" i="41"/>
  <c r="M65" i="44"/>
  <c r="R69" i="41"/>
  <c r="Q122" i="44"/>
  <c r="P45" i="73"/>
  <c r="P51" i="73" s="1"/>
  <c r="R23" i="73"/>
  <c r="S66" i="41"/>
  <c r="R66" i="73"/>
  <c r="Q69" i="73"/>
  <c r="AG57" i="8"/>
  <c r="AI53" i="8"/>
  <c r="O121" i="44"/>
  <c r="O64" i="44"/>
  <c r="P175" i="44"/>
  <c r="P122" i="44"/>
  <c r="AF53" i="8"/>
  <c r="AD57" i="8"/>
  <c r="R65" i="73"/>
  <c r="S65" i="41"/>
  <c r="O196" i="44"/>
  <c r="P172" i="44"/>
  <c r="P192" i="44" s="1"/>
  <c r="P45" i="41"/>
  <c r="S23" i="41"/>
  <c r="AQ53" i="8"/>
  <c r="AA57" i="8"/>
  <c r="O183" i="44"/>
  <c r="O164" i="44"/>
  <c r="AP53" i="8"/>
  <c r="V57" i="8"/>
  <c r="R122" i="44"/>
  <c r="L128" i="44"/>
  <c r="N164" i="44"/>
  <c r="N183" i="44"/>
  <c r="N203" i="44" s="1"/>
  <c r="AA14" i="60" l="1"/>
  <c r="D15" i="60"/>
  <c r="I9" i="60"/>
  <c r="J9" i="60"/>
  <c r="AC8" i="60"/>
  <c r="H9" i="60"/>
  <c r="G8" i="60"/>
  <c r="AB14" i="60"/>
  <c r="AB16" i="60"/>
  <c r="Y15" i="60"/>
  <c r="AC16" i="60"/>
  <c r="P158" i="44"/>
  <c r="P74" i="41"/>
  <c r="P83" i="41" s="1"/>
  <c r="R66" i="44" s="1"/>
  <c r="P83" i="73"/>
  <c r="P129" i="44"/>
  <c r="O203" i="44"/>
  <c r="AF57" i="8"/>
  <c r="AR53" i="8"/>
  <c r="M128" i="44"/>
  <c r="M69" i="44"/>
  <c r="S69" i="41"/>
  <c r="R159" i="44"/>
  <c r="R176" i="44"/>
  <c r="P159" i="44"/>
  <c r="P176" i="44"/>
  <c r="P196" i="44" s="1"/>
  <c r="R69" i="73"/>
  <c r="AP57" i="8"/>
  <c r="M73" i="41"/>
  <c r="M73" i="73"/>
  <c r="O158" i="44"/>
  <c r="O175" i="44"/>
  <c r="O195" i="44" s="1"/>
  <c r="AI57" i="8"/>
  <c r="AK53" i="8"/>
  <c r="N65" i="44"/>
  <c r="L87" i="41"/>
  <c r="L133" i="44"/>
  <c r="L163" i="44"/>
  <c r="L182" i="44"/>
  <c r="L202" i="44" s="1"/>
  <c r="Q129" i="44"/>
  <c r="Q176" i="44"/>
  <c r="Q159" i="44"/>
  <c r="AQ57" i="8"/>
  <c r="N73" i="41"/>
  <c r="N73" i="73"/>
  <c r="R59" i="44"/>
  <c r="P51" i="41"/>
  <c r="Q121" i="44"/>
  <c r="Q64" i="44"/>
  <c r="AC14" i="60" l="1"/>
  <c r="D20" i="60"/>
  <c r="I16" i="60"/>
  <c r="E15" i="60"/>
  <c r="I8" i="60"/>
  <c r="H16" i="60"/>
  <c r="AD8" i="60"/>
  <c r="Y20" i="60"/>
  <c r="Z15" i="60"/>
  <c r="AD16" i="60"/>
  <c r="P183" i="44"/>
  <c r="P203" i="44" s="1"/>
  <c r="R129" i="44"/>
  <c r="P195" i="44"/>
  <c r="P164" i="44"/>
  <c r="R196" i="44"/>
  <c r="M163" i="44"/>
  <c r="M182" i="44"/>
  <c r="M202" i="44" s="1"/>
  <c r="M133" i="44"/>
  <c r="N128" i="44"/>
  <c r="N69" i="44"/>
  <c r="N78" i="73"/>
  <c r="N82" i="73"/>
  <c r="N87" i="73" s="1"/>
  <c r="Q196" i="44"/>
  <c r="Q183" i="44"/>
  <c r="Q164" i="44"/>
  <c r="AR57" i="8"/>
  <c r="O73" i="41"/>
  <c r="O73" i="73"/>
  <c r="N78" i="41"/>
  <c r="N82" i="41"/>
  <c r="M78" i="73"/>
  <c r="M82" i="73"/>
  <c r="M87" i="73" s="1"/>
  <c r="R121" i="44"/>
  <c r="R64" i="44"/>
  <c r="AK57" i="8"/>
  <c r="AS53" i="8"/>
  <c r="Q158" i="44"/>
  <c r="Q175" i="44"/>
  <c r="Q195" i="44" s="1"/>
  <c r="M78" i="41"/>
  <c r="M82" i="41"/>
  <c r="E20" i="60" l="1"/>
  <c r="AD14" i="60"/>
  <c r="J16" i="60"/>
  <c r="J8" i="60"/>
  <c r="F15" i="60"/>
  <c r="Z20" i="60"/>
  <c r="Q203" i="44"/>
  <c r="R164" i="44"/>
  <c r="R183" i="44"/>
  <c r="R203" i="44" s="1"/>
  <c r="AS57" i="8"/>
  <c r="P73" i="73"/>
  <c r="P73" i="41"/>
  <c r="R158" i="44"/>
  <c r="R175" i="44"/>
  <c r="R195" i="44" s="1"/>
  <c r="P65" i="44"/>
  <c r="N87" i="41"/>
  <c r="O78" i="41"/>
  <c r="O82" i="41"/>
  <c r="O65" i="44"/>
  <c r="M87" i="41"/>
  <c r="N133" i="44"/>
  <c r="N163" i="44"/>
  <c r="N182" i="44"/>
  <c r="N202" i="44" s="1"/>
  <c r="O78" i="73"/>
  <c r="O82" i="73"/>
  <c r="O87" i="73" s="1"/>
  <c r="F20" i="60" l="1"/>
  <c r="AA15" i="60"/>
  <c r="AB15" i="60"/>
  <c r="P128" i="44"/>
  <c r="P69" i="44"/>
  <c r="P78" i="41"/>
  <c r="P82" i="41"/>
  <c r="O128" i="44"/>
  <c r="O69" i="44"/>
  <c r="Q65" i="44"/>
  <c r="O87" i="41"/>
  <c r="P78" i="73"/>
  <c r="P82" i="73"/>
  <c r="P87" i="73" s="1"/>
  <c r="G15" i="60" l="1"/>
  <c r="H15" i="60"/>
  <c r="AA20" i="60"/>
  <c r="AB20" i="60"/>
  <c r="AC15" i="60"/>
  <c r="Q128" i="44"/>
  <c r="Q69" i="44"/>
  <c r="O163" i="44"/>
  <c r="O182" i="44"/>
  <c r="O202" i="44" s="1"/>
  <c r="O133" i="44"/>
  <c r="R65" i="44"/>
  <c r="P87" i="41"/>
  <c r="P133" i="44"/>
  <c r="P163" i="44"/>
  <c r="P182" i="44"/>
  <c r="G20" i="60" l="1"/>
  <c r="H20" i="60"/>
  <c r="I15" i="60"/>
  <c r="AC20" i="60"/>
  <c r="AD15" i="60"/>
  <c r="P202" i="44"/>
  <c r="R128" i="44"/>
  <c r="R69" i="44"/>
  <c r="Q163" i="44"/>
  <c r="Q133" i="44"/>
  <c r="Q182" i="44"/>
  <c r="Q202" i="44" s="1"/>
  <c r="I20" i="60" l="1"/>
  <c r="J15" i="60"/>
  <c r="AD20" i="60"/>
  <c r="R133" i="44"/>
  <c r="R163" i="44"/>
  <c r="R182" i="44"/>
  <c r="R202" i="44" s="1"/>
  <c r="J20" i="60" l="1"/>
  <c r="AO58" i="14" l="1"/>
  <c r="AO59" i="14" l="1"/>
  <c r="AO60" i="14" s="1"/>
  <c r="AO61" i="14" s="1"/>
  <c r="AO62" i="14" s="1"/>
  <c r="AO63" i="14" s="1"/>
  <c r="AO64" i="14" s="1"/>
  <c r="AO65" i="14" s="1"/>
  <c r="AO66" i="14" s="1"/>
  <c r="AO67" i="14" s="1"/>
  <c r="AO68" i="14" s="1"/>
  <c r="AO14" i="14"/>
  <c r="AO24" i="14"/>
  <c r="AP24" i="14" s="1"/>
  <c r="CC16" i="39" l="1"/>
  <c r="CE16" i="39" s="1"/>
  <c r="AO15" i="14"/>
  <c r="CC17" i="39" l="1"/>
  <c r="CE17" i="39" s="1"/>
  <c r="AO16" i="14"/>
  <c r="AO69" i="14"/>
  <c r="M11" i="73"/>
  <c r="N11" i="41"/>
  <c r="M27" i="44"/>
  <c r="M102" i="41"/>
  <c r="O29" i="60" l="1"/>
  <c r="M142" i="44"/>
  <c r="M28" i="44"/>
  <c r="N27" i="44"/>
  <c r="N102" i="41"/>
  <c r="C50" i="41"/>
  <c r="N12" i="41"/>
  <c r="AO81" i="14"/>
  <c r="AO17" i="14"/>
  <c r="CC18" i="39"/>
  <c r="CE18" i="39" s="1"/>
  <c r="C50" i="73"/>
  <c r="C51" i="73" s="1"/>
  <c r="M12" i="73"/>
  <c r="AO70" i="14"/>
  <c r="AP69" i="14"/>
  <c r="N11" i="73"/>
  <c r="O11" i="41"/>
  <c r="E29" i="60" l="1"/>
  <c r="O30" i="60"/>
  <c r="P29" i="60"/>
  <c r="AO93" i="14"/>
  <c r="AO18" i="14"/>
  <c r="CC19" i="39"/>
  <c r="CE19" i="39" s="1"/>
  <c r="O11" i="73"/>
  <c r="P11" i="41"/>
  <c r="AO82" i="14"/>
  <c r="D50" i="73"/>
  <c r="D51" i="73" s="1"/>
  <c r="N12" i="73"/>
  <c r="O27" i="44"/>
  <c r="O102" i="41"/>
  <c r="D50" i="41"/>
  <c r="O12" i="41"/>
  <c r="AP70" i="14"/>
  <c r="AO71" i="14"/>
  <c r="M11" i="44"/>
  <c r="C51" i="41"/>
  <c r="N142" i="44"/>
  <c r="N28" i="44"/>
  <c r="M143" i="44"/>
  <c r="E30" i="60" l="1"/>
  <c r="F29" i="60"/>
  <c r="P30" i="60"/>
  <c r="Q29" i="60"/>
  <c r="O13" i="60"/>
  <c r="N143" i="44"/>
  <c r="N11" i="44"/>
  <c r="D51" i="41"/>
  <c r="M126" i="44"/>
  <c r="M12" i="44"/>
  <c r="E50" i="41"/>
  <c r="P12" i="41"/>
  <c r="P11" i="73"/>
  <c r="Q11" i="41"/>
  <c r="AP82" i="14"/>
  <c r="AO83" i="14"/>
  <c r="E50" i="73"/>
  <c r="E51" i="73" s="1"/>
  <c r="O12" i="73"/>
  <c r="P27" i="44"/>
  <c r="P102" i="41"/>
  <c r="AO105" i="14"/>
  <c r="AO19" i="14"/>
  <c r="CC20" i="39"/>
  <c r="CE20" i="39" s="1"/>
  <c r="O142" i="44"/>
  <c r="O28" i="44"/>
  <c r="AP71" i="14"/>
  <c r="AO72" i="14"/>
  <c r="AO94" i="14"/>
  <c r="F30" i="60" l="1"/>
  <c r="E13" i="60"/>
  <c r="G29" i="60"/>
  <c r="Q30" i="60"/>
  <c r="O14" i="60"/>
  <c r="R29" i="60"/>
  <c r="P13" i="60"/>
  <c r="P142" i="44"/>
  <c r="P28" i="44"/>
  <c r="AP94" i="14"/>
  <c r="AO95" i="14"/>
  <c r="AO84" i="14"/>
  <c r="AP83" i="14"/>
  <c r="F50" i="41"/>
  <c r="Q12" i="41"/>
  <c r="O143" i="44"/>
  <c r="O11" i="44"/>
  <c r="E51" i="41"/>
  <c r="M180" i="44"/>
  <c r="M200" i="44" s="1"/>
  <c r="M127" i="44"/>
  <c r="N126" i="44"/>
  <c r="N12" i="44"/>
  <c r="AO106" i="14"/>
  <c r="Q27" i="44"/>
  <c r="AP72" i="14"/>
  <c r="AO73" i="14"/>
  <c r="F50" i="73"/>
  <c r="F51" i="73" s="1"/>
  <c r="P12" i="73"/>
  <c r="Q11" i="73"/>
  <c r="R11" i="41"/>
  <c r="AO117" i="14"/>
  <c r="CC21" i="39"/>
  <c r="CE21" i="39" s="1"/>
  <c r="E14" i="60" l="1"/>
  <c r="G30" i="60"/>
  <c r="F13" i="60"/>
  <c r="H29" i="60"/>
  <c r="R30" i="60"/>
  <c r="S29" i="60"/>
  <c r="Q13" i="60"/>
  <c r="P14" i="60"/>
  <c r="R11" i="73"/>
  <c r="S11" i="41"/>
  <c r="AP84" i="14"/>
  <c r="AO85" i="14"/>
  <c r="Q142" i="44"/>
  <c r="N180" i="44"/>
  <c r="N200" i="44" s="1"/>
  <c r="N127" i="44"/>
  <c r="R27" i="44"/>
  <c r="G50" i="41"/>
  <c r="P11" i="44"/>
  <c r="F51" i="41"/>
  <c r="P143" i="44"/>
  <c r="G50" i="73"/>
  <c r="AP95" i="14"/>
  <c r="AO96" i="14"/>
  <c r="AP73" i="14"/>
  <c r="AO74" i="14"/>
  <c r="AO118" i="14"/>
  <c r="O126" i="44"/>
  <c r="O12" i="44"/>
  <c r="AP106" i="14"/>
  <c r="AO107" i="14"/>
  <c r="H30" i="60" l="1"/>
  <c r="F14" i="60"/>
  <c r="I29" i="60"/>
  <c r="G13" i="60"/>
  <c r="T29" i="60"/>
  <c r="Q14" i="60"/>
  <c r="R13" i="60"/>
  <c r="Q11" i="44"/>
  <c r="AP85" i="14"/>
  <c r="AO86" i="14"/>
  <c r="AP74" i="14"/>
  <c r="AO75" i="14"/>
  <c r="H50" i="41"/>
  <c r="H50" i="73"/>
  <c r="R142" i="44"/>
  <c r="O180" i="44"/>
  <c r="O200" i="44" s="1"/>
  <c r="O127" i="44"/>
  <c r="AO97" i="14"/>
  <c r="AP96" i="14"/>
  <c r="AO108" i="14"/>
  <c r="AP107" i="14"/>
  <c r="AO119" i="14"/>
  <c r="AP118" i="14"/>
  <c r="P126" i="44"/>
  <c r="P12" i="44"/>
  <c r="G14" i="60" l="1"/>
  <c r="J29" i="60"/>
  <c r="H13" i="60"/>
  <c r="R14" i="60"/>
  <c r="S13" i="60"/>
  <c r="AP75" i="14"/>
  <c r="AO76" i="14"/>
  <c r="AP119" i="14"/>
  <c r="AO120" i="14"/>
  <c r="AO109" i="14"/>
  <c r="AP108" i="14"/>
  <c r="AO98" i="14"/>
  <c r="AP97" i="14"/>
  <c r="R11" i="44"/>
  <c r="Q126" i="44"/>
  <c r="P180" i="44"/>
  <c r="P200" i="44" s="1"/>
  <c r="P127" i="44"/>
  <c r="AO87" i="14"/>
  <c r="AP86" i="14"/>
  <c r="H14" i="60" l="1"/>
  <c r="I13" i="60"/>
  <c r="T13" i="60"/>
  <c r="R126" i="44"/>
  <c r="Q180" i="44"/>
  <c r="Q200" i="44" s="1"/>
  <c r="AO99" i="14"/>
  <c r="AP98" i="14"/>
  <c r="AP109" i="14"/>
  <c r="AO110" i="14"/>
  <c r="AO77" i="14"/>
  <c r="AP76" i="14"/>
  <c r="AP87" i="14"/>
  <c r="AO88" i="14"/>
  <c r="AP120" i="14"/>
  <c r="AO121" i="14"/>
  <c r="J13" i="60" l="1"/>
  <c r="AP99" i="14"/>
  <c r="AO100" i="14"/>
  <c r="AP121" i="14"/>
  <c r="AO122" i="14"/>
  <c r="AP77" i="14"/>
  <c r="AO78" i="14"/>
  <c r="AP88" i="14"/>
  <c r="AO89" i="14"/>
  <c r="AP110" i="14"/>
  <c r="AO111" i="14"/>
  <c r="R180" i="44"/>
  <c r="R200" i="44" s="1"/>
  <c r="AP100" i="14" l="1"/>
  <c r="AO101" i="14"/>
  <c r="AO112" i="14"/>
  <c r="AP111" i="14"/>
  <c r="AP122" i="14"/>
  <c r="AO123" i="14"/>
  <c r="AP78" i="14"/>
  <c r="AO79" i="14"/>
  <c r="AP89" i="14"/>
  <c r="AO90" i="14"/>
  <c r="AP79" i="14" l="1"/>
  <c r="AO80" i="14"/>
  <c r="AO124" i="14"/>
  <c r="AP123" i="14"/>
  <c r="AP90" i="14"/>
  <c r="AO91" i="14"/>
  <c r="AP101" i="14"/>
  <c r="AO102" i="14"/>
  <c r="AP112" i="14"/>
  <c r="AO113" i="14"/>
  <c r="AP91" i="14" l="1"/>
  <c r="AO92" i="14"/>
  <c r="AP102" i="14"/>
  <c r="AO103" i="14"/>
  <c r="AP80" i="14"/>
  <c r="AP81" i="14"/>
  <c r="AP124" i="14"/>
  <c r="AO125" i="14"/>
  <c r="AP113" i="14"/>
  <c r="AO114" i="14"/>
  <c r="AP114" i="14" l="1"/>
  <c r="AO115" i="14"/>
  <c r="AP125" i="14"/>
  <c r="AO126" i="14"/>
  <c r="AP92" i="14"/>
  <c r="AP93" i="14"/>
  <c r="AP103" i="14"/>
  <c r="AO104" i="14"/>
  <c r="AP104" i="14" l="1"/>
  <c r="AP105" i="14"/>
  <c r="AP126" i="14"/>
  <c r="AO127" i="14"/>
  <c r="AP115" i="14"/>
  <c r="AO116" i="14"/>
  <c r="AP116" i="14" l="1"/>
  <c r="AP117" i="14"/>
  <c r="AP127" i="14"/>
  <c r="AO128" i="14"/>
  <c r="AP128" i="14" l="1"/>
  <c r="AO25" i="14"/>
  <c r="AP25" i="14" s="1"/>
  <c r="AO26" i="14"/>
  <c r="AO27" i="14"/>
  <c r="AO28" i="14"/>
  <c r="AO29" i="14"/>
  <c r="AP29" i="14" l="1"/>
  <c r="AP27" i="14"/>
  <c r="AP28" i="14"/>
  <c r="AO31" i="14"/>
  <c r="AP26" i="14"/>
  <c r="N20" i="42" l="1"/>
  <c r="O4" i="42" s="1"/>
  <c r="O20" i="42" l="1"/>
  <c r="N21" i="42"/>
  <c r="O5" i="42"/>
  <c r="O21" i="42" l="1"/>
  <c r="N22" i="42"/>
  <c r="O6" i="42"/>
  <c r="O22" i="42" l="1"/>
  <c r="N23" i="42"/>
  <c r="O7" i="42"/>
  <c r="O23" i="42" l="1"/>
  <c r="N11" i="42"/>
  <c r="N12" i="42"/>
  <c r="N24" i="42"/>
  <c r="O8" i="42"/>
  <c r="N27" i="42"/>
  <c r="C18" i="14"/>
  <c r="C105" i="14" l="1"/>
  <c r="N20" i="11"/>
  <c r="N21" i="11" s="1"/>
  <c r="N25" i="11" s="1"/>
  <c r="O11" i="42"/>
  <c r="O12" i="42"/>
  <c r="O24" i="42"/>
  <c r="O27" i="42" s="1"/>
  <c r="D19" i="14" l="1"/>
  <c r="C19" i="14" s="1"/>
  <c r="D105" i="14"/>
  <c r="C106" i="14"/>
  <c r="N24" i="11"/>
  <c r="O20" i="11" l="1"/>
  <c r="O21" i="11" s="1"/>
  <c r="O25" i="11" s="1"/>
  <c r="C117" i="14"/>
  <c r="C118" i="14" s="1"/>
  <c r="N26" i="11"/>
  <c r="N28" i="11" s="1"/>
  <c r="N66" i="11" s="1"/>
  <c r="N68" i="11" s="1"/>
  <c r="N69" i="11" s="1"/>
  <c r="L86" i="11" s="1"/>
  <c r="D106" i="14"/>
  <c r="C107" i="14"/>
  <c r="L130" i="73" l="1"/>
  <c r="O118" i="41"/>
  <c r="O30" i="44" s="1"/>
  <c r="O123" i="41"/>
  <c r="O35" i="44" s="1"/>
  <c r="P124" i="73"/>
  <c r="Q130" i="73"/>
  <c r="P135" i="73"/>
  <c r="Q135" i="41"/>
  <c r="Q83" i="44" s="1"/>
  <c r="AC41" i="60" s="1"/>
  <c r="P120" i="41"/>
  <c r="P32" i="44" s="1"/>
  <c r="M121" i="41"/>
  <c r="M33" i="44" s="1"/>
  <c r="O133" i="41"/>
  <c r="O81" i="44" s="1"/>
  <c r="AA38" i="60" s="1"/>
  <c r="P136" i="73"/>
  <c r="R119" i="41"/>
  <c r="R31" i="44" s="1"/>
  <c r="P136" i="41"/>
  <c r="P84" i="44" s="1"/>
  <c r="AB42" i="60" s="1"/>
  <c r="R119" i="73"/>
  <c r="O121" i="41"/>
  <c r="O33" i="44" s="1"/>
  <c r="P121" i="73"/>
  <c r="R123" i="41"/>
  <c r="R35" i="44" s="1"/>
  <c r="L125" i="73"/>
  <c r="M130" i="41"/>
  <c r="N130" i="73"/>
  <c r="N124" i="41"/>
  <c r="N36" i="44" s="1"/>
  <c r="R122" i="41"/>
  <c r="R34" i="44" s="1"/>
  <c r="P130" i="73"/>
  <c r="P135" i="41"/>
  <c r="P83" i="44" s="1"/>
  <c r="AB41" i="60" s="1"/>
  <c r="Q131" i="73"/>
  <c r="P120" i="73"/>
  <c r="N121" i="41"/>
  <c r="N33" i="44" s="1"/>
  <c r="O133" i="73"/>
  <c r="N119" i="73"/>
  <c r="O132" i="41"/>
  <c r="O80" i="44" s="1"/>
  <c r="AA37" i="60" s="1"/>
  <c r="L133" i="73"/>
  <c r="L117" i="73"/>
  <c r="M130" i="73"/>
  <c r="M123" i="41"/>
  <c r="M35" i="44" s="1"/>
  <c r="P118" i="73"/>
  <c r="O124" i="41"/>
  <c r="O36" i="44" s="1"/>
  <c r="Q130" i="41"/>
  <c r="Q123" i="73"/>
  <c r="R135" i="41"/>
  <c r="R83" i="44" s="1"/>
  <c r="AD41" i="60" s="1"/>
  <c r="Q120" i="41"/>
  <c r="Q32" i="44" s="1"/>
  <c r="N121" i="73"/>
  <c r="P133" i="41"/>
  <c r="P81" i="44" s="1"/>
  <c r="AB38" i="60" s="1"/>
  <c r="Q136" i="41"/>
  <c r="Q84" i="44" s="1"/>
  <c r="AC42" i="60" s="1"/>
  <c r="M125" i="41"/>
  <c r="M37" i="44" s="1"/>
  <c r="Q123" i="41"/>
  <c r="Q35" i="44" s="1"/>
  <c r="R132" i="73"/>
  <c r="P125" i="41"/>
  <c r="P37" i="44" s="1"/>
  <c r="O130" i="41"/>
  <c r="M119" i="41"/>
  <c r="M31" i="44" s="1"/>
  <c r="M136" i="41"/>
  <c r="M84" i="44" s="1"/>
  <c r="Y42" i="60" s="1"/>
  <c r="L131" i="73"/>
  <c r="N122" i="41"/>
  <c r="N34" i="44" s="1"/>
  <c r="M131" i="73"/>
  <c r="N135" i="73"/>
  <c r="O124" i="73"/>
  <c r="P130" i="41"/>
  <c r="Q120" i="73"/>
  <c r="O121" i="73"/>
  <c r="P133" i="73"/>
  <c r="Q136" i="73"/>
  <c r="M125" i="73"/>
  <c r="O135" i="41"/>
  <c r="O83" i="44" s="1"/>
  <c r="AA41" i="60" s="1"/>
  <c r="Q133" i="41"/>
  <c r="Q81" i="44" s="1"/>
  <c r="AC38" i="60" s="1"/>
  <c r="N125" i="41"/>
  <c r="N37" i="44" s="1"/>
  <c r="P121" i="41"/>
  <c r="P33" i="44" s="1"/>
  <c r="N122" i="73"/>
  <c r="Q125" i="41"/>
  <c r="Q37" i="44" s="1"/>
  <c r="L118" i="73"/>
  <c r="O122" i="41"/>
  <c r="O34" i="44" s="1"/>
  <c r="M131" i="41"/>
  <c r="M79" i="44" s="1"/>
  <c r="Y36" i="60" s="1"/>
  <c r="N123" i="73"/>
  <c r="P124" i="41"/>
  <c r="P36" i="44" s="1"/>
  <c r="Q133" i="73"/>
  <c r="L119" i="73"/>
  <c r="O122" i="73"/>
  <c r="P122" i="41"/>
  <c r="P34" i="44" s="1"/>
  <c r="N132" i="73"/>
  <c r="O134" i="41"/>
  <c r="O82" i="44" s="1"/>
  <c r="AA40" i="60" s="1"/>
  <c r="O135" i="73"/>
  <c r="P131" i="41"/>
  <c r="P79" i="44" s="1"/>
  <c r="AB36" i="60" s="1"/>
  <c r="R135" i="73"/>
  <c r="L135" i="73"/>
  <c r="L120" i="73"/>
  <c r="M134" i="73"/>
  <c r="P118" i="41"/>
  <c r="P30" i="44" s="1"/>
  <c r="P123" i="41"/>
  <c r="P35" i="44" s="1"/>
  <c r="P132" i="73"/>
  <c r="Q131" i="41"/>
  <c r="Q79" i="44" s="1"/>
  <c r="AC36" i="60" s="1"/>
  <c r="R134" i="73"/>
  <c r="N117" i="73"/>
  <c r="P119" i="41"/>
  <c r="P31" i="44" s="1"/>
  <c r="L134" i="73"/>
  <c r="N118" i="73"/>
  <c r="M134" i="41"/>
  <c r="M82" i="44" s="1"/>
  <c r="Y40" i="60" s="1"/>
  <c r="N135" i="41"/>
  <c r="N83" i="44" s="1"/>
  <c r="Z41" i="60" s="1"/>
  <c r="O134" i="73"/>
  <c r="R130" i="73"/>
  <c r="R123" i="73"/>
  <c r="R132" i="41"/>
  <c r="R80" i="44" s="1"/>
  <c r="AD37" i="60" s="1"/>
  <c r="M117" i="41"/>
  <c r="Q121" i="73"/>
  <c r="R133" i="41"/>
  <c r="R81" i="44" s="1"/>
  <c r="AD38" i="60" s="1"/>
  <c r="N119" i="41"/>
  <c r="N31" i="44" s="1"/>
  <c r="O125" i="73"/>
  <c r="Q132" i="41"/>
  <c r="Q80" i="44" s="1"/>
  <c r="AC37" i="60" s="1"/>
  <c r="Q121" i="41"/>
  <c r="Q33" i="44" s="1"/>
  <c r="M119" i="73"/>
  <c r="L124" i="73"/>
  <c r="N118" i="41"/>
  <c r="N30" i="44" s="1"/>
  <c r="M132" i="73"/>
  <c r="Q122" i="73"/>
  <c r="P123" i="73"/>
  <c r="P134" i="41"/>
  <c r="P82" i="44" s="1"/>
  <c r="AB40" i="60" s="1"/>
  <c r="R134" i="41"/>
  <c r="R82" i="44" s="1"/>
  <c r="AD40" i="60" s="1"/>
  <c r="N117" i="41"/>
  <c r="L136" i="73"/>
  <c r="M120" i="73"/>
  <c r="P119" i="73"/>
  <c r="L123" i="73"/>
  <c r="L132" i="73"/>
  <c r="M124" i="41"/>
  <c r="M36" i="44" s="1"/>
  <c r="M135" i="41"/>
  <c r="M83" i="44" s="1"/>
  <c r="Y41" i="60" s="1"/>
  <c r="N134" i="73"/>
  <c r="O131" i="73"/>
  <c r="R130" i="41"/>
  <c r="Q132" i="73"/>
  <c r="L122" i="73"/>
  <c r="N130" i="41"/>
  <c r="P122" i="73"/>
  <c r="O130" i="73"/>
  <c r="Q118" i="73"/>
  <c r="P132" i="41"/>
  <c r="P80" i="44" s="1"/>
  <c r="AB37" i="60" s="1"/>
  <c r="Q134" i="73"/>
  <c r="M120" i="41"/>
  <c r="M32" i="44" s="1"/>
  <c r="O117" i="41"/>
  <c r="M118" i="73"/>
  <c r="M135" i="73"/>
  <c r="N131" i="41"/>
  <c r="N79" i="44" s="1"/>
  <c r="Z36" i="60" s="1"/>
  <c r="N132" i="41"/>
  <c r="N80" i="44" s="1"/>
  <c r="Z37" i="60" s="1"/>
  <c r="O131" i="41"/>
  <c r="O79" i="44" s="1"/>
  <c r="AA36" i="60" s="1"/>
  <c r="R118" i="41"/>
  <c r="R30" i="44" s="1"/>
  <c r="Q134" i="41"/>
  <c r="Q82" i="44" s="1"/>
  <c r="AC40" i="60" s="1"/>
  <c r="N120" i="41"/>
  <c r="N32" i="44" s="1"/>
  <c r="P117" i="73"/>
  <c r="M133" i="41"/>
  <c r="M81" i="44" s="1"/>
  <c r="Y38" i="60" s="1"/>
  <c r="N136" i="41"/>
  <c r="N84" i="44" s="1"/>
  <c r="Z42" i="60" s="1"/>
  <c r="O119" i="41"/>
  <c r="O31" i="44" s="1"/>
  <c r="R125" i="73"/>
  <c r="M133" i="73"/>
  <c r="N136" i="73"/>
  <c r="O119" i="73"/>
  <c r="R125" i="41"/>
  <c r="R37" i="44" s="1"/>
  <c r="O120" i="41"/>
  <c r="O32" i="44" s="1"/>
  <c r="Q119" i="41"/>
  <c r="Q31" i="44" s="1"/>
  <c r="O136" i="41"/>
  <c r="O84" i="44" s="1"/>
  <c r="AA42" i="60" s="1"/>
  <c r="R131" i="73"/>
  <c r="R121" i="41"/>
  <c r="R33" i="44" s="1"/>
  <c r="Q125" i="73"/>
  <c r="M118" i="41"/>
  <c r="M30" i="44" s="1"/>
  <c r="O118" i="73"/>
  <c r="O123" i="73"/>
  <c r="N131" i="73"/>
  <c r="Q118" i="41"/>
  <c r="Q30" i="44" s="1"/>
  <c r="Q124" i="73"/>
  <c r="R124" i="73"/>
  <c r="N120" i="73"/>
  <c r="P117" i="41"/>
  <c r="L121" i="73"/>
  <c r="O136" i="73"/>
  <c r="M121" i="73"/>
  <c r="P134" i="73"/>
  <c r="R120" i="41"/>
  <c r="R32" i="44" s="1"/>
  <c r="R118" i="73"/>
  <c r="M136" i="73"/>
  <c r="O117" i="73"/>
  <c r="M122" i="41"/>
  <c r="M34" i="44" s="1"/>
  <c r="M132" i="41"/>
  <c r="M80" i="44" s="1"/>
  <c r="Y37" i="60" s="1"/>
  <c r="N124" i="73"/>
  <c r="N134" i="41"/>
  <c r="N82" i="44" s="1"/>
  <c r="Z40" i="60" s="1"/>
  <c r="R122" i="73"/>
  <c r="Q124" i="41"/>
  <c r="Q36" i="44" s="1"/>
  <c r="Q135" i="73"/>
  <c r="N133" i="41"/>
  <c r="N81" i="44" s="1"/>
  <c r="Z38" i="60" s="1"/>
  <c r="Q119" i="73"/>
  <c r="N125" i="73"/>
  <c r="R131" i="41"/>
  <c r="R79" i="44" s="1"/>
  <c r="AD36" i="60" s="1"/>
  <c r="M117" i="73"/>
  <c r="R133" i="73"/>
  <c r="O125" i="41"/>
  <c r="O37" i="44" s="1"/>
  <c r="M124" i="73"/>
  <c r="P125" i="73"/>
  <c r="R121" i="73"/>
  <c r="M122" i="73"/>
  <c r="M123" i="73"/>
  <c r="N123" i="41"/>
  <c r="N35" i="44" s="1"/>
  <c r="Q122" i="41"/>
  <c r="Q34" i="44" s="1"/>
  <c r="O132" i="73"/>
  <c r="P131" i="73"/>
  <c r="R124" i="41"/>
  <c r="R36" i="44" s="1"/>
  <c r="O120" i="73"/>
  <c r="N133" i="73"/>
  <c r="R120" i="73"/>
  <c r="R136" i="41"/>
  <c r="R84" i="44" s="1"/>
  <c r="AD42" i="60" s="1"/>
  <c r="R136" i="73"/>
  <c r="O42" i="60"/>
  <c r="M153" i="44"/>
  <c r="E42" i="60" s="1"/>
  <c r="N103" i="11"/>
  <c r="W175" i="28" s="1"/>
  <c r="O67" i="11"/>
  <c r="C108" i="14"/>
  <c r="D107" i="14"/>
  <c r="O24" i="11"/>
  <c r="D118" i="14"/>
  <c r="C119" i="14"/>
  <c r="L90" i="11"/>
  <c r="L94" i="11"/>
  <c r="M150" i="44" l="1"/>
  <c r="E39" i="60" s="1"/>
  <c r="O39" i="60"/>
  <c r="P126" i="73"/>
  <c r="N78" i="44"/>
  <c r="Z34" i="60" s="1"/>
  <c r="N137" i="41"/>
  <c r="N85" i="44" s="1"/>
  <c r="P42" i="60"/>
  <c r="N153" i="44"/>
  <c r="F42" i="60" s="1"/>
  <c r="O78" i="44"/>
  <c r="AA34" i="60" s="1"/>
  <c r="O137" i="41"/>
  <c r="O85" i="44" s="1"/>
  <c r="L126" i="73"/>
  <c r="O35" i="60"/>
  <c r="M146" i="44"/>
  <c r="E35" i="60" s="1"/>
  <c r="N148" i="44"/>
  <c r="F37" i="60" s="1"/>
  <c r="P37" i="60"/>
  <c r="R42" i="60"/>
  <c r="P153" i="44"/>
  <c r="H42" i="60" s="1"/>
  <c r="Q38" i="60"/>
  <c r="O149" i="44"/>
  <c r="G38" i="60" s="1"/>
  <c r="Q42" i="60"/>
  <c r="O153" i="44"/>
  <c r="G42" i="60" s="1"/>
  <c r="T38" i="60"/>
  <c r="R149" i="44"/>
  <c r="J38" i="60" s="1"/>
  <c r="T35" i="60"/>
  <c r="R146" i="44"/>
  <c r="J35" i="60" s="1"/>
  <c r="R78" i="44"/>
  <c r="AD34" i="60" s="1"/>
  <c r="R137" i="41"/>
  <c r="R85" i="44" s="1"/>
  <c r="P35" i="60"/>
  <c r="N146" i="44"/>
  <c r="F35" i="60" s="1"/>
  <c r="Q151" i="44"/>
  <c r="I40" i="60" s="1"/>
  <c r="S40" i="60"/>
  <c r="R148" i="44"/>
  <c r="J37" i="60" s="1"/>
  <c r="T37" i="60"/>
  <c r="R39" i="60"/>
  <c r="P150" i="44"/>
  <c r="H39" i="60" s="1"/>
  <c r="T36" i="60"/>
  <c r="R147" i="44"/>
  <c r="J36" i="60" s="1"/>
  <c r="M126" i="73"/>
  <c r="R36" i="60"/>
  <c r="P147" i="44"/>
  <c r="H36" i="60" s="1"/>
  <c r="P38" i="60"/>
  <c r="N149" i="44"/>
  <c r="F38" i="60" s="1"/>
  <c r="Q149" i="44"/>
  <c r="I38" i="60" s="1"/>
  <c r="S38" i="60"/>
  <c r="N126" i="73"/>
  <c r="O148" i="44"/>
  <c r="G37" i="60" s="1"/>
  <c r="Q37" i="60"/>
  <c r="O41" i="60"/>
  <c r="M152" i="44"/>
  <c r="E41" i="60" s="1"/>
  <c r="O38" i="60"/>
  <c r="M149" i="44"/>
  <c r="E38" i="60" s="1"/>
  <c r="S36" i="60"/>
  <c r="Q147" i="44"/>
  <c r="I36" i="60" s="1"/>
  <c r="T42" i="60"/>
  <c r="R153" i="44"/>
  <c r="J42" i="60" s="1"/>
  <c r="O126" i="73"/>
  <c r="R41" i="60"/>
  <c r="P152" i="44"/>
  <c r="H41" i="60" s="1"/>
  <c r="P137" i="41"/>
  <c r="P85" i="44" s="1"/>
  <c r="P78" i="44"/>
  <c r="AB34" i="60" s="1"/>
  <c r="Q148" i="44"/>
  <c r="I37" i="60" s="1"/>
  <c r="S37" i="60"/>
  <c r="P148" i="44"/>
  <c r="H37" i="60" s="1"/>
  <c r="R37" i="60"/>
  <c r="T41" i="60"/>
  <c r="R152" i="44"/>
  <c r="J41" i="60" s="1"/>
  <c r="P29" i="44"/>
  <c r="P126" i="41"/>
  <c r="O29" i="44"/>
  <c r="O126" i="41"/>
  <c r="P36" i="60"/>
  <c r="N147" i="44"/>
  <c r="F36" i="60" s="1"/>
  <c r="P137" i="73"/>
  <c r="M148" i="44"/>
  <c r="E37" i="60" s="1"/>
  <c r="O37" i="60"/>
  <c r="R40" i="60"/>
  <c r="P151" i="44"/>
  <c r="H40" i="60" s="1"/>
  <c r="R150" i="44"/>
  <c r="J39" i="60" s="1"/>
  <c r="T39" i="60"/>
  <c r="S41" i="60"/>
  <c r="Q152" i="44"/>
  <c r="I41" i="60" s="1"/>
  <c r="R35" i="60"/>
  <c r="P146" i="44"/>
  <c r="H35" i="60" s="1"/>
  <c r="O150" i="44"/>
  <c r="G39" i="60" s="1"/>
  <c r="Q39" i="60"/>
  <c r="Q137" i="41"/>
  <c r="Q85" i="44" s="1"/>
  <c r="Q78" i="44"/>
  <c r="AC34" i="60" s="1"/>
  <c r="P41" i="60"/>
  <c r="N152" i="44"/>
  <c r="F41" i="60" s="1"/>
  <c r="Q137" i="73"/>
  <c r="M29" i="44"/>
  <c r="M38" i="44" s="1"/>
  <c r="M126" i="41"/>
  <c r="N150" i="44"/>
  <c r="F39" i="60" s="1"/>
  <c r="P39" i="60"/>
  <c r="Q41" i="60"/>
  <c r="O152" i="44"/>
  <c r="G41" i="60" s="1"/>
  <c r="N137" i="73"/>
  <c r="P40" i="60"/>
  <c r="N151" i="44"/>
  <c r="F40" i="60" s="1"/>
  <c r="S35" i="60"/>
  <c r="Q146" i="44"/>
  <c r="I35" i="60" s="1"/>
  <c r="Q36" i="60"/>
  <c r="O147" i="44"/>
  <c r="G36" i="60" s="1"/>
  <c r="N126" i="41"/>
  <c r="N29" i="44"/>
  <c r="Q153" i="44"/>
  <c r="I42" i="60" s="1"/>
  <c r="S42" i="60"/>
  <c r="M78" i="44"/>
  <c r="Y34" i="60" s="1"/>
  <c r="M137" i="41"/>
  <c r="M85" i="44" s="1"/>
  <c r="O151" i="44"/>
  <c r="G40" i="60" s="1"/>
  <c r="Q40" i="60"/>
  <c r="Q150" i="44"/>
  <c r="I39" i="60" s="1"/>
  <c r="S39" i="60"/>
  <c r="O137" i="73"/>
  <c r="M151" i="44"/>
  <c r="E40" i="60" s="1"/>
  <c r="O40" i="60"/>
  <c r="Q35" i="60"/>
  <c r="O146" i="44"/>
  <c r="G35" i="60" s="1"/>
  <c r="R137" i="73"/>
  <c r="P149" i="44"/>
  <c r="H38" i="60" s="1"/>
  <c r="R38" i="60"/>
  <c r="O36" i="60"/>
  <c r="M147" i="44"/>
  <c r="E36" i="60" s="1"/>
  <c r="M137" i="73"/>
  <c r="T40" i="60"/>
  <c r="R151" i="44"/>
  <c r="J40" i="60" s="1"/>
  <c r="L137" i="73"/>
  <c r="W174" i="28"/>
  <c r="X174" i="28" s="1"/>
  <c r="W176" i="28"/>
  <c r="X176" i="28" s="1"/>
  <c r="W179" i="28"/>
  <c r="X179" i="28" s="1"/>
  <c r="W172" i="28"/>
  <c r="W181" i="28"/>
  <c r="X181" i="28" s="1"/>
  <c r="W173" i="28"/>
  <c r="W171" i="28"/>
  <c r="X171" i="28" s="1"/>
  <c r="W178" i="28"/>
  <c r="W170" i="28"/>
  <c r="W180" i="28"/>
  <c r="X180" i="28" s="1"/>
  <c r="W177" i="28"/>
  <c r="X177" i="28" s="1"/>
  <c r="O26" i="11"/>
  <c r="O28" i="11" s="1"/>
  <c r="O66" i="11" s="1"/>
  <c r="O68" i="11" s="1"/>
  <c r="O69" i="11" s="1"/>
  <c r="M86" i="11" s="1"/>
  <c r="M90" i="11" s="1"/>
  <c r="D108" i="14"/>
  <c r="C109" i="14"/>
  <c r="D119" i="14"/>
  <c r="C120" i="14"/>
  <c r="J11" i="12"/>
  <c r="L98" i="11"/>
  <c r="X175" i="28"/>
  <c r="AC43" i="60" l="1"/>
  <c r="AC44" i="60"/>
  <c r="AD43" i="60"/>
  <c r="AD44" i="60"/>
  <c r="AA44" i="60"/>
  <c r="AA43" i="60"/>
  <c r="Y44" i="60"/>
  <c r="Y43" i="60"/>
  <c r="AB43" i="60"/>
  <c r="AB44" i="60"/>
  <c r="Z44" i="60"/>
  <c r="Z43" i="60"/>
  <c r="O34" i="60"/>
  <c r="M145" i="44"/>
  <c r="O38" i="44"/>
  <c r="Q34" i="60"/>
  <c r="O145" i="44"/>
  <c r="P34" i="60"/>
  <c r="N145" i="44"/>
  <c r="N38" i="44"/>
  <c r="P38" i="44"/>
  <c r="R34" i="60"/>
  <c r="P145" i="44"/>
  <c r="X172" i="28"/>
  <c r="X173" i="28"/>
  <c r="X170" i="28"/>
  <c r="X178" i="28"/>
  <c r="O103" i="11"/>
  <c r="W189" i="28" s="1"/>
  <c r="X189" i="28" s="1"/>
  <c r="M94" i="11"/>
  <c r="K11" i="12" s="1"/>
  <c r="K17" i="12" s="1"/>
  <c r="C110" i="14"/>
  <c r="D109" i="14"/>
  <c r="D120" i="14"/>
  <c r="C121" i="14"/>
  <c r="J17" i="12"/>
  <c r="J25" i="12"/>
  <c r="J31" i="12" s="1"/>
  <c r="E34" i="60" l="1"/>
  <c r="M155" i="44"/>
  <c r="M154" i="44"/>
  <c r="O44" i="60"/>
  <c r="O43" i="60"/>
  <c r="R43" i="60"/>
  <c r="R44" i="60"/>
  <c r="H34" i="60"/>
  <c r="P154" i="44"/>
  <c r="P155" i="44"/>
  <c r="P156" i="44" s="1"/>
  <c r="Q156" i="44" s="1"/>
  <c r="P43" i="60"/>
  <c r="P44" i="60"/>
  <c r="G34" i="60"/>
  <c r="O155" i="44"/>
  <c r="O154" i="44"/>
  <c r="F34" i="60"/>
  <c r="N155" i="44"/>
  <c r="N154" i="44"/>
  <c r="Q43" i="60"/>
  <c r="Q44" i="60"/>
  <c r="F20" i="39"/>
  <c r="H20" i="39" s="1"/>
  <c r="J20" i="39" s="1"/>
  <c r="Q3" i="73" s="1"/>
  <c r="W185" i="28"/>
  <c r="W192" i="28"/>
  <c r="W191" i="28"/>
  <c r="W186" i="28"/>
  <c r="X186" i="28" s="1"/>
  <c r="W193" i="28"/>
  <c r="X193" i="28" s="1"/>
  <c r="W184" i="28"/>
  <c r="W182" i="28"/>
  <c r="W190" i="28"/>
  <c r="X190" i="28" s="1"/>
  <c r="W187" i="28"/>
  <c r="W183" i="28"/>
  <c r="W188" i="28"/>
  <c r="K25" i="12"/>
  <c r="K31" i="12" s="1"/>
  <c r="M98" i="11"/>
  <c r="C111" i="14"/>
  <c r="D110" i="14"/>
  <c r="D121" i="14"/>
  <c r="C122" i="14"/>
  <c r="R3" i="41" l="1"/>
  <c r="F44" i="60"/>
  <c r="F43" i="60"/>
  <c r="G44" i="60"/>
  <c r="G43" i="60"/>
  <c r="H44" i="60"/>
  <c r="H43" i="60"/>
  <c r="E43" i="60"/>
  <c r="E44" i="60"/>
  <c r="X185" i="28"/>
  <c r="X192" i="28"/>
  <c r="X191" i="28"/>
  <c r="X182" i="28"/>
  <c r="X188" i="28"/>
  <c r="X187" i="28"/>
  <c r="X184" i="28"/>
  <c r="X183" i="28"/>
  <c r="C112" i="14"/>
  <c r="D111" i="14"/>
  <c r="D122" i="14"/>
  <c r="C123" i="14"/>
  <c r="R12" i="41"/>
  <c r="G42" i="41"/>
  <c r="G42" i="73"/>
  <c r="G51" i="73" s="1"/>
  <c r="Q12" i="73"/>
  <c r="F21" i="39" l="1"/>
  <c r="H21" i="39" s="1"/>
  <c r="J21" i="39" s="1"/>
  <c r="R3" i="73" s="1"/>
  <c r="R12" i="73" s="1"/>
  <c r="C113" i="14"/>
  <c r="D112" i="14"/>
  <c r="Q3" i="44"/>
  <c r="G51" i="41"/>
  <c r="D123" i="14"/>
  <c r="C124" i="14"/>
  <c r="S3" i="41" l="1"/>
  <c r="S12" i="41" s="1"/>
  <c r="H42" i="73"/>
  <c r="H51" i="73" s="1"/>
  <c r="D113" i="14"/>
  <c r="C114" i="14"/>
  <c r="S5" i="60"/>
  <c r="Q12" i="44"/>
  <c r="Q118" i="44"/>
  <c r="D124" i="14"/>
  <c r="C125" i="14"/>
  <c r="I5" i="60" l="1"/>
  <c r="H42" i="41"/>
  <c r="H51" i="41" s="1"/>
  <c r="C115" i="14"/>
  <c r="D115" i="14" s="1"/>
  <c r="D114" i="14"/>
  <c r="S14" i="60"/>
  <c r="D125" i="14"/>
  <c r="C126" i="14"/>
  <c r="Q127" i="44"/>
  <c r="I14" i="60" l="1"/>
  <c r="R3" i="44"/>
  <c r="C116" i="14"/>
  <c r="D126" i="14"/>
  <c r="C127" i="14"/>
  <c r="R118" i="44" l="1"/>
  <c r="J5" i="60" s="1"/>
  <c r="T5" i="60"/>
  <c r="R12" i="44"/>
  <c r="Q117" i="41"/>
  <c r="Q29" i="44" s="1"/>
  <c r="D116" i="14"/>
  <c r="Q117" i="73"/>
  <c r="Q126" i="73" s="1"/>
  <c r="D117" i="14"/>
  <c r="D127" i="14"/>
  <c r="C128" i="14"/>
  <c r="R127" i="44" l="1"/>
  <c r="J14" i="60"/>
  <c r="T14" i="60"/>
  <c r="S34" i="60"/>
  <c r="Q126" i="41"/>
  <c r="D128" i="14"/>
  <c r="R117" i="41"/>
  <c r="R117" i="73"/>
  <c r="R126" i="73" s="1"/>
  <c r="C28" i="14"/>
  <c r="C29" i="14"/>
  <c r="Q145" i="44"/>
  <c r="Q38" i="44"/>
  <c r="S43" i="60" l="1"/>
  <c r="S44" i="60"/>
  <c r="I34" i="60"/>
  <c r="R93" i="41"/>
  <c r="R19" i="44" s="1"/>
  <c r="R93" i="73"/>
  <c r="R102" i="73" s="1"/>
  <c r="Q93" i="41"/>
  <c r="Q102" i="41" s="1"/>
  <c r="Q93" i="73"/>
  <c r="Q102" i="73" s="1"/>
  <c r="D29" i="14"/>
  <c r="Q154" i="44"/>
  <c r="Q155" i="44"/>
  <c r="D28" i="14"/>
  <c r="C31" i="14"/>
  <c r="R29" i="44"/>
  <c r="R126" i="41"/>
  <c r="I44" i="60" l="1"/>
  <c r="I43" i="60"/>
  <c r="T34" i="60"/>
  <c r="T44" i="60" s="1"/>
  <c r="R102" i="41"/>
  <c r="Q19" i="44"/>
  <c r="T21" i="60"/>
  <c r="R28" i="44"/>
  <c r="R134" i="44"/>
  <c r="R145" i="44"/>
  <c r="R38" i="44"/>
  <c r="T43" i="60" l="1"/>
  <c r="J34" i="60"/>
  <c r="S21" i="60"/>
  <c r="S31" i="60" s="1"/>
  <c r="Q28" i="44"/>
  <c r="Q134" i="44"/>
  <c r="J21" i="60"/>
  <c r="R144" i="44"/>
  <c r="R143" i="44"/>
  <c r="R172" i="44"/>
  <c r="T30" i="60"/>
  <c r="T31" i="60"/>
  <c r="R154" i="44"/>
  <c r="R155" i="44"/>
  <c r="P157" i="44" s="1"/>
  <c r="Q157" i="44" s="1"/>
  <c r="J44" i="60" l="1"/>
  <c r="J43" i="60"/>
  <c r="I21" i="60"/>
  <c r="S30" i="60"/>
  <c r="Q144" i="44"/>
  <c r="Q172" i="44"/>
  <c r="Q192" i="44" s="1"/>
  <c r="Q143" i="44"/>
  <c r="J31" i="60"/>
  <c r="J30" i="60"/>
  <c r="I31" i="60" l="1"/>
  <c r="I30" i="60"/>
  <c r="R192" i="4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<sst xmlns="http://schemas.openxmlformats.org/spreadsheetml/2006/main" count="4518" uniqueCount="880">
  <si>
    <t>Total Elexicon</t>
  </si>
  <si>
    <t>Veridian</t>
  </si>
  <si>
    <t>Whitby</t>
  </si>
  <si>
    <t>kWh</t>
  </si>
  <si>
    <t>2024 Actual</t>
  </si>
  <si>
    <t>2025 Actual</t>
  </si>
  <si>
    <t>2026 Forecast</t>
  </si>
  <si>
    <t>2027 Forecast</t>
  </si>
  <si>
    <t>2028 Forecast</t>
  </si>
  <si>
    <t>2029 Forecast</t>
  </si>
  <si>
    <t>2030 Forecast</t>
  </si>
  <si>
    <t>2031 Forecast</t>
  </si>
  <si>
    <t>Residential</t>
  </si>
  <si>
    <t>Residential Seasonal</t>
  </si>
  <si>
    <t>GS&lt;50</t>
  </si>
  <si>
    <t>GS 50 - 2,999</t>
  </si>
  <si>
    <t>GS 3,000 - 4,999</t>
  </si>
  <si>
    <t>Large Use</t>
  </si>
  <si>
    <t>Street Light</t>
  </si>
  <si>
    <t>Sentinel Light</t>
  </si>
  <si>
    <t>USL</t>
  </si>
  <si>
    <t>Total kWh</t>
  </si>
  <si>
    <t>Total kW</t>
  </si>
  <si>
    <t>Total Customers/Devices</t>
  </si>
  <si>
    <t>Total Metered Customers</t>
  </si>
  <si>
    <t>Year-End Customers</t>
  </si>
  <si>
    <t>Date</t>
  </si>
  <si>
    <t>Year</t>
  </si>
  <si>
    <t>Month</t>
  </si>
  <si>
    <t>VRZ_ResidentialkWh</t>
  </si>
  <si>
    <t>VRZ_ResidentialkWh CDM</t>
  </si>
  <si>
    <t>VRZ_ResidentialkWh_No_CDM</t>
  </si>
  <si>
    <t>VRZ_Residential_EV</t>
  </si>
  <si>
    <t>VRZ_Residential_Heating</t>
  </si>
  <si>
    <t>VRZ_ResidentialkWh_No_CDM_AL</t>
  </si>
  <si>
    <t>VRZ_SeasonalReskWh</t>
  </si>
  <si>
    <t>VRZ_SeasonalReskWh CDM</t>
  </si>
  <si>
    <t>VRZ_SeasonalReskWh_No_CDM</t>
  </si>
  <si>
    <t>VRZ_Seasonal_EV</t>
  </si>
  <si>
    <t>VRZ_Seasonal_Heating</t>
  </si>
  <si>
    <t>VRZ_SeasonalReskWh_No_CDM_AL</t>
  </si>
  <si>
    <t>VRZ_GSlt50kWh</t>
  </si>
  <si>
    <t>VRZ_GSlt50kWh CDM</t>
  </si>
  <si>
    <t>VRZ_GSlt50kWh_No_CDM</t>
  </si>
  <si>
    <t>VRZ_GSlt50_EV</t>
  </si>
  <si>
    <t>VRZ_GSlt50_Heating</t>
  </si>
  <si>
    <t>VRZ_GSlt50kWh_No_CDM_AL</t>
  </si>
  <si>
    <t>VRZ_GS50to2999kWh</t>
  </si>
  <si>
    <t>VRZ_GS50to2999kWh CDM</t>
  </si>
  <si>
    <t>VRZ_GS50to2999kWh_No_CDM</t>
  </si>
  <si>
    <t>VRZ_GS50to2999_EV</t>
  </si>
  <si>
    <t>VRZ_GS50to2999_Heating</t>
  </si>
  <si>
    <t>VRZ_GS50to2999kWh_No_CDM_AL</t>
  </si>
  <si>
    <t>VRZ_GS3000to4999kWh</t>
  </si>
  <si>
    <t>VRZ_GS3000to4999kWh CDM</t>
  </si>
  <si>
    <t>VRZ_GS3000to4999kWh_No_CDM</t>
  </si>
  <si>
    <t>VRZ_GS3000to4999_EV</t>
  </si>
  <si>
    <t>VRZ_GS3000to4999kWh_No_CDM_AL</t>
  </si>
  <si>
    <t>VRZ_LargeUsekWh</t>
  </si>
  <si>
    <t>VRZ_LargeUsekWh CDM</t>
  </si>
  <si>
    <t>VRZ_LargeUsekWh_No_CDM</t>
  </si>
  <si>
    <t>VRZ_LargeUse_EV</t>
  </si>
  <si>
    <t>VRZ_LargeUsekWh_No_CDM_AL</t>
  </si>
  <si>
    <t>VRZ_StreetLgtkWh</t>
  </si>
  <si>
    <t>VRZ_SentinelLgtkWh</t>
  </si>
  <si>
    <t>VRZ_USLkWh</t>
  </si>
  <si>
    <t>VRZ_GS50to2999kW</t>
  </si>
  <si>
    <t>VRZ_GS3000to4999kW</t>
  </si>
  <si>
    <t>VRZ_LargeUsekW</t>
  </si>
  <si>
    <t>VRZ_StreetLgtkW</t>
  </si>
  <si>
    <t>VRZ_SentinelLgtkW</t>
  </si>
  <si>
    <t>VRZ_ResidentialCustomers</t>
  </si>
  <si>
    <t>VRZ_SeasonalResCustomers</t>
  </si>
  <si>
    <t>VRZ_GSlt50Customers</t>
  </si>
  <si>
    <t>VRZ_GS50-2999Customers</t>
  </si>
  <si>
    <t>VRZ_GS3000-4999Customers</t>
  </si>
  <si>
    <t>VRZ_LargeUseCustomers</t>
  </si>
  <si>
    <t>VRZ_StreetLgtDevices</t>
  </si>
  <si>
    <t>VRZ_SentinelLgtDevices</t>
  </si>
  <si>
    <t>VRZ_USLConnections</t>
  </si>
  <si>
    <t>WRZ_ResidentialkWh</t>
  </si>
  <si>
    <t>WRZ_ResidentialkWh CDM</t>
  </si>
  <si>
    <t>WRZ_ResidentialkWh_No_CDM</t>
  </si>
  <si>
    <t>WRZ_Residential_EV</t>
  </si>
  <si>
    <t>WRZ_Residential_Heating</t>
  </si>
  <si>
    <t>WRZ_ResidentialkWh_No_CDM_AL</t>
  </si>
  <si>
    <t>WRZ_GSlt50kWh</t>
  </si>
  <si>
    <t>WRZ_GSlt50kWh CDM</t>
  </si>
  <si>
    <t>WRZ_GSlt50kWh_No_CDM</t>
  </si>
  <si>
    <t>WRZ_GSlt50_EV</t>
  </si>
  <si>
    <t>WRZ_GSlt50_Heating</t>
  </si>
  <si>
    <t>WRZ_GSlt50kWh_No_CDM_AL</t>
  </si>
  <si>
    <t>WRZ_GS50to2999kWh</t>
  </si>
  <si>
    <t>WRZ_GS50to2999kWh CDM</t>
  </si>
  <si>
    <t>WRZ_GS50to2999kWh_No_CDM</t>
  </si>
  <si>
    <t>WRZ_GS50to2999_EV</t>
  </si>
  <si>
    <t>WRZ_GS50to2999_Heating</t>
  </si>
  <si>
    <t>WRZ_GS50to2999kWh_No_CDM_AL</t>
  </si>
  <si>
    <t>WRZ_GS3000to4999kWh</t>
  </si>
  <si>
    <t>WRZ_GS3000to4999kWh CDM</t>
  </si>
  <si>
    <t>WRZ_GS3000to4999kWh_No_CDM</t>
  </si>
  <si>
    <t>WRZ_GS3000to4999kWh_No_CDM_AL</t>
  </si>
  <si>
    <t>WRZ_StreetLgtkWh</t>
  </si>
  <si>
    <t>WRZ_SentinelLgtkWh</t>
  </si>
  <si>
    <t>WRZ_USLkWh</t>
  </si>
  <si>
    <t>WRZ_GS50-2999kW</t>
  </si>
  <si>
    <t>WRZ_GS3000-4999kW</t>
  </si>
  <si>
    <t>WRZ_StreetLgtkW</t>
  </si>
  <si>
    <t>WRZ_SentinelLgtkW</t>
  </si>
  <si>
    <t>WRZ_ResidentialCustomers</t>
  </si>
  <si>
    <t>WRZ_GSlt50Customers</t>
  </si>
  <si>
    <t>WRZ_GS50-2999Customers</t>
  </si>
  <si>
    <t>WRZ_GS3000-4999Customers</t>
  </si>
  <si>
    <t>WRZ_StreetLgtDevices</t>
  </si>
  <si>
    <t>WRZ_SentinelLgtDevices</t>
  </si>
  <si>
    <t>WRZ_USLConnections</t>
  </si>
  <si>
    <t>HDD20</t>
  </si>
  <si>
    <t>CDD20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</si>
  <si>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</si>
  <si>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</si>
  <si>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</si>
  <si>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</si>
  <si>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</si>
  <si>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</si>
  <si>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</si>
  <si>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</si>
  <si>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HDD10</t>
  </si>
  <si>
    <t>CDD10</t>
  </si>
  <si>
    <t>HDD8</t>
  </si>
  <si>
    <t>CDD8</t>
  </si>
  <si>
    <t>ON_FTEAdj</t>
  </si>
  <si>
    <t>ON_FTE</t>
  </si>
  <si>
    <t>Osh_FTEAdj</t>
  </si>
  <si>
    <t>Osh_FTE</t>
  </si>
  <si>
    <t>Bellville_FTEAdj</t>
  </si>
  <si>
    <t>Bellville_FTE</t>
  </si>
  <si>
    <t>OntarioGDP</t>
  </si>
  <si>
    <t>ServiceIndGDP</t>
  </si>
  <si>
    <t>ManufacturingGDP</t>
  </si>
  <si>
    <t>Transport&amp;WH_GDP</t>
  </si>
  <si>
    <t>OEA_GDP</t>
  </si>
  <si>
    <t>OEA_ManufacturingGDP</t>
  </si>
  <si>
    <t>OEA_TransEquipGDP</t>
  </si>
  <si>
    <t>OEA_ServicesIndGDP</t>
  </si>
  <si>
    <t>OEA_TransWH_GDP</t>
  </si>
  <si>
    <t>Month Days</t>
  </si>
  <si>
    <t>Peak Days</t>
  </si>
  <si>
    <t>Jan</t>
  </si>
  <si>
    <t>Feb</t>
  </si>
  <si>
    <t>Mar</t>
  </si>
  <si>
    <t>Apr</t>
  </si>
  <si>
    <t>May</t>
  </si>
  <si>
    <t>Jun</t>
  </si>
  <si>
    <t>Jul</t>
  </si>
  <si>
    <t>Aug</t>
  </si>
  <si>
    <t>Sept</t>
  </si>
  <si>
    <t>Oct</t>
  </si>
  <si>
    <t>Nov</t>
  </si>
  <si>
    <t>Dec</t>
  </si>
  <si>
    <t>Spring</t>
  </si>
  <si>
    <t>Fall</t>
  </si>
  <si>
    <t>Shoulder</t>
  </si>
  <si>
    <t>Trend</t>
  </si>
  <si>
    <t>COVID</t>
  </si>
  <si>
    <t>COVID_AM</t>
  </si>
  <si>
    <t>COVID_WFH</t>
  </si>
  <si>
    <t>COVID2020</t>
  </si>
  <si>
    <t>CovHDD20</t>
  </si>
  <si>
    <t>CovCDD20</t>
  </si>
  <si>
    <t>CovHDD18</t>
  </si>
  <si>
    <t>CovCDD18</t>
  </si>
  <si>
    <t>CovHDD16</t>
  </si>
  <si>
    <t>CovCDD16</t>
  </si>
  <si>
    <t>CovHDD14</t>
  </si>
  <si>
    <t>CovCDD14</t>
  </si>
  <si>
    <t>CovHDD12</t>
  </si>
  <si>
    <t>CovCDD12</t>
  </si>
  <si>
    <t>CovHDD10</t>
  </si>
  <si>
    <t>CovCDD10</t>
  </si>
  <si>
    <t>CovHDD8</t>
  </si>
  <si>
    <t>CovCDD8</t>
  </si>
  <si>
    <t>CWFHHDD20</t>
  </si>
  <si>
    <t>CWFHCDD20</t>
  </si>
  <si>
    <t>CWFHHDD18</t>
  </si>
  <si>
    <t>CWFHCDD18</t>
  </si>
  <si>
    <t>CWFHHDD16</t>
  </si>
  <si>
    <t>CWFHCDD16</t>
  </si>
  <si>
    <t>CWFHHDD14</t>
  </si>
  <si>
    <t>CWFHCDD14</t>
  </si>
  <si>
    <t>CWFHHDD12</t>
  </si>
  <si>
    <t>CWFHCDD12</t>
  </si>
  <si>
    <t>CWFHHDD10</t>
  </si>
  <si>
    <t>CWFHCDD10</t>
  </si>
  <si>
    <t>CWFHHDD8</t>
  </si>
  <si>
    <t>CWFHCDD8</t>
  </si>
  <si>
    <t>AvgVRZ_ResidentialkWh</t>
  </si>
  <si>
    <t>AvgVRZ_SeasonalReskWh</t>
  </si>
  <si>
    <t>AvgVRZ_GSlt50kWh</t>
  </si>
  <si>
    <t>AvgVRZ_GS50to2999kWh</t>
  </si>
  <si>
    <t>AvgVRZ_GS3000to4999kWh</t>
  </si>
  <si>
    <t>AvgVRZ_LargeUsekWh</t>
  </si>
  <si>
    <t>AvgVRZ_StreetLgtkWh</t>
  </si>
  <si>
    <t>AvgVRZ_SentinelLgtkWh</t>
  </si>
  <si>
    <t>AvgVRZ_USLkWh</t>
  </si>
  <si>
    <t>AvgWRZ_ResidentialkWh</t>
  </si>
  <si>
    <t>AvgWRZ_GSlt50kWh</t>
  </si>
  <si>
    <t>AvgWRZ_GS50to2999kWh</t>
  </si>
  <si>
    <t>AvgWRZ_GS3000to4999kWh</t>
  </si>
  <si>
    <t>AvgWRZ_StreetLgtkWh</t>
  </si>
  <si>
    <t>AvgWRZ_SentinelLgtkWh</t>
  </si>
  <si>
    <t>AvgWRZ_USLkWh</t>
  </si>
  <si>
    <t>Avg.Temp</t>
  </si>
  <si>
    <t>June</t>
  </si>
  <si>
    <t>July</t>
  </si>
  <si>
    <t>August</t>
  </si>
  <si>
    <t>10 Year Average</t>
  </si>
  <si>
    <t>Oshawa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</si>
  <si>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</si>
  <si>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</si>
  <si>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</si>
  <si>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</si>
  <si>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</si>
  <si>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</si>
  <si>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</si>
  <si>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</si>
  <si>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HDD</t>
  </si>
  <si>
    <t>CDD</t>
  </si>
  <si>
    <t>ON Employment</t>
  </si>
  <si>
    <t>Belleville</t>
  </si>
  <si>
    <t>GDP (StatCan)</t>
  </si>
  <si>
    <t>GDP (Ontario Economic Accounts)</t>
  </si>
  <si>
    <t>Seasonally Adjusted</t>
  </si>
  <si>
    <t>Unadjusted</t>
  </si>
  <si>
    <t>Ontario</t>
  </si>
  <si>
    <t>ServiceInd</t>
  </si>
  <si>
    <t>Manufacturing</t>
  </si>
  <si>
    <t>Transport&amp;WH</t>
  </si>
  <si>
    <t>Total (40)</t>
  </si>
  <si>
    <t>Manufacturing (11)</t>
  </si>
  <si>
    <t>Transportation Equipment (21)</t>
  </si>
  <si>
    <t>Services Producing Industries (25)</t>
  </si>
  <si>
    <t>Transportation and Warehousing (28)</t>
  </si>
  <si>
    <t>14-10-0459-01</t>
  </si>
  <si>
    <t>36-10-0402-01</t>
  </si>
  <si>
    <t>Table 15</t>
  </si>
  <si>
    <t>Q1</t>
  </si>
  <si>
    <t>Q2</t>
  </si>
  <si>
    <t>Latest Figures as of March 31, 2026</t>
  </si>
  <si>
    <t>Other</t>
  </si>
  <si>
    <t>Q3</t>
  </si>
  <si>
    <t>BMO</t>
  </si>
  <si>
    <t>RBC</t>
  </si>
  <si>
    <t>Scotia</t>
  </si>
  <si>
    <t>TD</t>
  </si>
  <si>
    <t>ON Budget</t>
  </si>
  <si>
    <t>Average Used</t>
  </si>
  <si>
    <t>GDP</t>
  </si>
  <si>
    <t>Q4</t>
  </si>
  <si>
    <t>FTE</t>
  </si>
  <si>
    <t>https://economics.bmo.com/media/filer_public/18/db/18db5b76-7708-403f-9823-365f6676176a/outlookprovincial.pdf</t>
  </si>
  <si>
    <t>https://www.rbc.com/en/economics/wp-content/uploads/sites/23/2025/12/Provincial-Forecast-Tables-Q4-20251.pdf</t>
  </si>
  <si>
    <t>https://www.scotiabank.com/ca/en/about/economics/economics-publications/post.other-publications.global-outlook-and-forecast-tables.scotiabank%27s-forecast-tables.2026.march-24--2026.html</t>
  </si>
  <si>
    <t>https://economics.td.com/provincial-economic-forecast#on</t>
  </si>
  <si>
    <t>https://budget.ontario.ca/2026/chapter-2.html</t>
  </si>
  <si>
    <t>Table 2.1</t>
  </si>
  <si>
    <t>All industries  [T001] 10</t>
  </si>
  <si>
    <t>Service-producing industries  [T003] 11</t>
  </si>
  <si>
    <t>Manufacturing  [31-33]</t>
  </si>
  <si>
    <t>Transportation and warehousing  [48-49]</t>
  </si>
  <si>
    <t>11. Manufacturing</t>
  </si>
  <si>
    <t>21.      Transportation Equipment</t>
  </si>
  <si>
    <t>25. Services Producing Industries</t>
  </si>
  <si>
    <t>28. Transportation and Warehousing</t>
  </si>
  <si>
    <t>Implementation Year</t>
  </si>
  <si>
    <t>Savings Year</t>
  </si>
  <si>
    <t>Residential - VRZ</t>
  </si>
  <si>
    <t>Residential Seasonal - VRZ</t>
  </si>
  <si>
    <t>GS&lt;50 kW - VRZ</t>
  </si>
  <si>
    <t>GS 50 to 2,999 kW - VRZ</t>
  </si>
  <si>
    <t>GS 3,000 to 4,999 kW - VRZ</t>
  </si>
  <si>
    <t>Large Use - VRZ</t>
  </si>
  <si>
    <t>Unmetered Scattered Load - VRZ</t>
  </si>
  <si>
    <t>Sentinel Lighting - VRZ</t>
  </si>
  <si>
    <t>Street Lighting - VRZ</t>
  </si>
  <si>
    <t>Residential - WRZ</t>
  </si>
  <si>
    <t>GS&lt;50 kW - WRZ</t>
  </si>
  <si>
    <t>GS 50-2,999 kw - WRZ</t>
  </si>
  <si>
    <t>GS 3,000-4,999 kw - WRZ</t>
  </si>
  <si>
    <t>Street Lighting - WRZ</t>
  </si>
  <si>
    <t>GS&gt;50 kW - WRZ</t>
  </si>
  <si>
    <t>Total</t>
  </si>
  <si>
    <t>Persisting</t>
  </si>
  <si>
    <t>to</t>
  </si>
  <si>
    <t>Predicted</t>
  </si>
  <si>
    <t>EV &amp; Heating</t>
  </si>
  <si>
    <t>Predicted with EV&amp;H</t>
  </si>
  <si>
    <t>Difference</t>
  </si>
  <si>
    <t>Model 1: Prais-Winsten, using observations 2016:01-2025:12 (T = 120)</t>
  </si>
  <si>
    <t>Dependent variable: VRZ_ResidentialkWh_No_CDM_AL</t>
  </si>
  <si>
    <t>rho = 0.382048</t>
  </si>
  <si>
    <t>coefficient</t>
  </si>
  <si>
    <t>std. error</t>
  </si>
  <si>
    <t>t-ratio</t>
  </si>
  <si>
    <t>p-value</t>
  </si>
  <si>
    <t>const</t>
  </si>
  <si>
    <t>MonthDays</t>
  </si>
  <si>
    <t>Statistics based on the rho-differenced data</t>
  </si>
  <si>
    <t>Sum squared resid</t>
  </si>
  <si>
    <t>S.E. of regression</t>
  </si>
  <si>
    <t>R-squared</t>
  </si>
  <si>
    <t>Adjusted R-squared</t>
  </si>
  <si>
    <t>F(7, 112)</t>
  </si>
  <si>
    <t>P-value(F)</t>
  </si>
  <si>
    <t>rho</t>
  </si>
  <si>
    <t>Durbin-Watson</t>
  </si>
  <si>
    <t>Statistics based on the original data</t>
  </si>
  <si>
    <t>Mean dependent var</t>
  </si>
  <si>
    <t>S.D. dependent var</t>
  </si>
  <si>
    <t>Model 2: Prais-Winsten, using observations 2016:01-2025:12 (T = 120)</t>
  </si>
  <si>
    <t>Dependent variable: VRZ_SeasonalReskWh_No_CDM_AL</t>
  </si>
  <si>
    <t>rho = 0.26251</t>
  </si>
  <si>
    <t>F(6, 113)</t>
  </si>
  <si>
    <t>Model 4: Prais-Winsten, using observations 2016:01-2025:12 (T = 120)</t>
  </si>
  <si>
    <t>Model 3: Prais-Winsten, using observations 2016:01-2025:12 (T = 120)</t>
  </si>
  <si>
    <t>Dependent variable: VRZ_GSlt50kWh_No_CDM_AL</t>
  </si>
  <si>
    <t>rho = 0.804817</t>
  </si>
  <si>
    <t>rho = 0.838557</t>
  </si>
  <si>
    <t>F(4, 115)</t>
  </si>
  <si>
    <t>F(5, 114)</t>
  </si>
  <si>
    <t>Model 6: Prais-Winsten, using observations 2016:01-2025:12 (T = 120)</t>
  </si>
  <si>
    <t>Dependent variable: VRZ_GS50to2999kWh_No_CDM_AL</t>
  </si>
  <si>
    <t>rho = 0.162284</t>
  </si>
  <si>
    <t>EV</t>
  </si>
  <si>
    <t>Predicted with EV</t>
  </si>
  <si>
    <t>Model 18: Prais-Winsten, using observations 2016:01-2025:12 (T = 120)</t>
  </si>
  <si>
    <t>Dependent variable: VRZ_GS3000to4999kWh_No_CDM_AL</t>
  </si>
  <si>
    <t>rho = 0.782277</t>
  </si>
  <si>
    <t>PeakDays</t>
  </si>
  <si>
    <t>F(2, 117)</t>
  </si>
  <si>
    <t>Model 9: Prais-Winsten, using observations 2016:01-2025:12 (T = 120)</t>
  </si>
  <si>
    <t>Model 8: Prais-Winsten, using observations 2016:01-2025:12 (T = 120)</t>
  </si>
  <si>
    <t>Dependent variable: VRZ_LargeUsekWh_No_CDM_AL</t>
  </si>
  <si>
    <t>rho = 0.324095</t>
  </si>
  <si>
    <t>rho = 0.332978</t>
  </si>
  <si>
    <t>F(3, 116)</t>
  </si>
  <si>
    <t>Model 10: Prais-Winsten, using observations 2016:01-2025:12 (T = 120)</t>
  </si>
  <si>
    <t>Dependent variable: WRZ_ResidentialkWh_No_CDM_AL</t>
  </si>
  <si>
    <t>rho = 0.36714</t>
  </si>
  <si>
    <t>Model 14: Prais-Winsten, using observations 2016:01-2025:12 (T = 120)</t>
  </si>
  <si>
    <t>Model 11: Prais-Winsten, using observations 2016:01-2025:12 (T = 120)</t>
  </si>
  <si>
    <t>Dependent variable: WRZ_GSlt50kWh_No_CDM_AL</t>
  </si>
  <si>
    <t>rho = 0.378775</t>
  </si>
  <si>
    <t>rho = 0.363</t>
  </si>
  <si>
    <t>Model 16: Prais-Winsten, using observations 2016:01-2025:12 (T = 120)</t>
  </si>
  <si>
    <t>Model 15: Prais-Winsten, using observations 2016:01-2025:12 (T = 120)</t>
  </si>
  <si>
    <t>Dependent variable: WRZ_GS50to2999kWh_No_CDM_AL</t>
  </si>
  <si>
    <t>rho = 0.641605</t>
  </si>
  <si>
    <t>rho = 0.625431</t>
  </si>
  <si>
    <t>Model 17: Prais-Winsten, using observations 2016:01-2025:12 (T = 120)</t>
  </si>
  <si>
    <t>Dependent variable: WRZ_GS3000to4999kWh_No_CDM_AL</t>
  </si>
  <si>
    <t>rho = 0.647257</t>
  </si>
  <si>
    <t>WRZ_GS30004999Customers</t>
  </si>
  <si>
    <t>Veridian Rate Zone</t>
  </si>
  <si>
    <t>Whitby Rate Zone</t>
  </si>
  <si>
    <t>VRZ Residential</t>
  </si>
  <si>
    <t>Absolute</t>
  </si>
  <si>
    <t>VRZ Residential Seasonal</t>
  </si>
  <si>
    <t>VRZ GS &lt; 50 kWh</t>
  </si>
  <si>
    <t>VRZ GS 50-2,999 kWh</t>
  </si>
  <si>
    <t>VRZ GS 3,000-4,999 kWh</t>
  </si>
  <si>
    <t>VRZ Large User</t>
  </si>
  <si>
    <t>WRZ Residential kWh</t>
  </si>
  <si>
    <t>WRZ GS &lt; 50 kWh</t>
  </si>
  <si>
    <t>WRZ GS 50-2,999 kWh</t>
  </si>
  <si>
    <t>WRZ GS 3,000-4,999 kWh</t>
  </si>
  <si>
    <t>Actual</t>
  </si>
  <si>
    <t>Error (%)</t>
  </si>
  <si>
    <t>CDM Added Back</t>
  </si>
  <si>
    <t>Mean Absolute Percentage Error (Annual)</t>
  </si>
  <si>
    <t>Mean Absolute Percentage Error (Monthly)</t>
  </si>
  <si>
    <t>Statscan New zero-emission vehicle registrations, quarterly 20-10-0025-01</t>
  </si>
  <si>
    <t>Fuel type</t>
  </si>
  <si>
    <t>Port Hope, Ontario</t>
  </si>
  <si>
    <t>Clarington</t>
  </si>
  <si>
    <t>Pickering</t>
  </si>
  <si>
    <t>Ajax</t>
  </si>
  <si>
    <t>Uxbridge</t>
  </si>
  <si>
    <t>Scugog</t>
  </si>
  <si>
    <t>Gravenhurst</t>
  </si>
  <si>
    <t>Parry Sound</t>
  </si>
  <si>
    <t>Total Vehicles (All Types)</t>
  </si>
  <si>
    <t>All zero-emission vehicles</t>
  </si>
  <si>
    <t>Battery electric</t>
  </si>
  <si>
    <t>Plug-in hybrid electric</t>
  </si>
  <si>
    <t>Vehicle type</t>
  </si>
  <si>
    <t>Passenger cars</t>
  </si>
  <si>
    <t>Pickup trucks</t>
  </si>
  <si>
    <t>Multi-purpose vehicles</t>
  </si>
  <si>
    <t>Vans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</si>
  <si>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</si>
  <si>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</si>
  <si>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</si>
  <si>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</si>
  <si>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</si>
  <si>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</si>
  <si>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</si>
  <si>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</si>
  <si>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</si>
  <si>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</si>
  <si>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</si>
  <si>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</si>
  <si>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</si>
  <si>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</si>
  <si>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</si>
  <si>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Q4 2020</t>
  </si>
  <si>
    <t>Q1 2021</t>
  </si>
  <si>
    <t>Q2 2021</t>
  </si>
  <si>
    <t>Q3 2021</t>
  </si>
  <si>
    <t>Q4 2021</t>
  </si>
  <si>
    <t>Q1 2022</t>
  </si>
  <si>
    <t>Q2 2022</t>
  </si>
  <si>
    <t>Q3 2022</t>
  </si>
  <si>
    <t>Q4 2022</t>
  </si>
  <si>
    <t>Q1 2023</t>
  </si>
  <si>
    <t>Q2 2023</t>
  </si>
  <si>
    <t>Q3 2023</t>
  </si>
  <si>
    <t>Q4 2023</t>
  </si>
  <si>
    <t>Q1 2024</t>
  </si>
  <si>
    <t>Q2 2024</t>
  </si>
  <si>
    <t>Q3 2024</t>
  </si>
  <si>
    <t>Q4 2024</t>
  </si>
  <si>
    <t>Q1 2025</t>
  </si>
  <si>
    <t>Q2 2025</t>
  </si>
  <si>
    <t>Q3 2025</t>
  </si>
  <si>
    <t>Q4 2025</t>
  </si>
  <si>
    <t>Quarterly Increases</t>
  </si>
  <si>
    <t>Cumulative</t>
  </si>
  <si>
    <t>Avg. Distance</t>
  </si>
  <si>
    <t>Avg. Efficiency</t>
  </si>
  <si>
    <t>km</t>
  </si>
  <si>
    <t>kWh/ 100 km</t>
  </si>
  <si>
    <t>Passenger</t>
  </si>
  <si>
    <t>2-21-050-EV-Charging-Performance-RequiremeWZRs-in-GTHA.pdf (cleanairpartnership.org)</t>
  </si>
  <si>
    <t>Multi-purpose vehicles (SUV)</t>
  </si>
  <si>
    <t>Van</t>
  </si>
  <si>
    <t>Pick-Up Truck</t>
  </si>
  <si>
    <t>Total EVs</t>
  </si>
  <si>
    <t>New</t>
  </si>
  <si>
    <t>Passenger + SUV EVs</t>
  </si>
  <si>
    <t>kWh/EV</t>
  </si>
  <si>
    <t>New kWh</t>
  </si>
  <si>
    <t>Cumulative kWh</t>
  </si>
  <si>
    <t>Van EVs</t>
  </si>
  <si>
    <t>Pickup Trucks</t>
  </si>
  <si>
    <t>Veridian EVs as % of Ontario Evs</t>
  </si>
  <si>
    <t>EVs</t>
  </si>
  <si>
    <t>ON EVs as % of All New Vehicles</t>
  </si>
  <si>
    <t>Passenger EV as % of EV</t>
  </si>
  <si>
    <t>Van EV as % of EV</t>
  </si>
  <si>
    <t>Pickup Truck EV as % of EV</t>
  </si>
  <si>
    <t>Federal EV Target</t>
  </si>
  <si>
    <t>Actual/Forecast % EVs</t>
  </si>
  <si>
    <t>All Vehicles</t>
  </si>
  <si>
    <t>New Incremental kWh</t>
  </si>
  <si>
    <t>Passenger/SUV</t>
  </si>
  <si>
    <t>Pick-up Truck</t>
  </si>
  <si>
    <t>2024 Customer Count</t>
  </si>
  <si>
    <t>EV kWh by Class</t>
  </si>
  <si>
    <t>New Incremental kW</t>
  </si>
  <si>
    <t>Load Factor</t>
  </si>
  <si>
    <t>With half-year</t>
  </si>
  <si>
    <t>Full-Year</t>
  </si>
  <si>
    <t>Cumulative kW</t>
  </si>
  <si>
    <t>Passenger &amp; Multi-Purpose EVs</t>
  </si>
  <si>
    <t>A</t>
  </si>
  <si>
    <t xml:space="preserve">   Cumulative EVs</t>
  </si>
  <si>
    <t>B</t>
  </si>
  <si>
    <t xml:space="preserve">   Cumulative kWh</t>
  </si>
  <si>
    <t>C = ( Bt-1 + A/2 ) * 4,000</t>
  </si>
  <si>
    <t xml:space="preserve">   Incremental kWh</t>
  </si>
  <si>
    <t>D = C - Ct-1</t>
  </si>
  <si>
    <t>E</t>
  </si>
  <si>
    <t>F</t>
  </si>
  <si>
    <t>G = (Ft-1 + E/2) * 5,000</t>
  </si>
  <si>
    <t>H = G - Gt-1</t>
  </si>
  <si>
    <t>Pickup Truck EVs</t>
  </si>
  <si>
    <t>I</t>
  </si>
  <si>
    <t>J</t>
  </si>
  <si>
    <t>K = ( Jt-1 + I) * 6,000</t>
  </si>
  <si>
    <t>L = K - Kt-1</t>
  </si>
  <si>
    <t>2024 Incremental</t>
  </si>
  <si>
    <t>2025 Incremental</t>
  </si>
  <si>
    <t>2026 Incremental</t>
  </si>
  <si>
    <t>2027 Incremental</t>
  </si>
  <si>
    <t>2028 Incremental</t>
  </si>
  <si>
    <t>2029 Incremental</t>
  </si>
  <si>
    <t>2030 Incremental</t>
  </si>
  <si>
    <t>2031 Incremental</t>
  </si>
  <si>
    <t>2024 Cumulative</t>
  </si>
  <si>
    <t>2025 Cumulative</t>
  </si>
  <si>
    <t>2026 Cumulative</t>
  </si>
  <si>
    <t>2027 Cumulative</t>
  </si>
  <si>
    <t>2028 Cumulative</t>
  </si>
  <si>
    <t>2029 Cumulative</t>
  </si>
  <si>
    <t>2030 Cumulative</t>
  </si>
  <si>
    <t>2031 Cumulative</t>
  </si>
  <si>
    <t>Whitby EVs as % of Ontario Evs</t>
  </si>
  <si>
    <t>Small Business</t>
  </si>
  <si>
    <t>Consumption per Year</t>
  </si>
  <si>
    <t>m3/year</t>
  </si>
  <si>
    <t>Typical Enbridge Residential Customer</t>
  </si>
  <si>
    <t>Heating Profile</t>
  </si>
  <si>
    <t>/Month</t>
  </si>
  <si>
    <t>Less summer</t>
  </si>
  <si>
    <t>Convert m3 to GJ</t>
  </si>
  <si>
    <t xml:space="preserve">GJ/m3 </t>
  </si>
  <si>
    <t>https://apps.cer-rec.gc.ca/Conversion/conversion-tables.aspx</t>
  </si>
  <si>
    <t>Convert GJ to kWh</t>
  </si>
  <si>
    <t>kWh/GJ</t>
  </si>
  <si>
    <t>Convert m3 to kWh</t>
  </si>
  <si>
    <t>kWh/m3</t>
  </si>
  <si>
    <t>kWh per Customer</t>
  </si>
  <si>
    <t>kWh/Customer</t>
  </si>
  <si>
    <t>Heat Pump Efficiency</t>
  </si>
  <si>
    <t>Delivered heat kWh-equivalent/kWh</t>
  </si>
  <si>
    <t>https://oee.nrcan.gc.ca/pml-lmp/index.cfm?language_langue=en&amp;action=app.search-recherche&amp;appliance=ASHP1_GH&amp;_gl=1*22c7uc*_ga*MTkyNTkxMzczNi4xNjg5MDg1ODA2*_ga_C2N57Y7DX5*MTcxNTM1MDU3Ni40My4xLjE3MTUzNTA1ODAuMC4wLjA.</t>
  </si>
  <si>
    <t>Heat Pump Utilization</t>
  </si>
  <si>
    <t>% Customers</t>
  </si>
  <si>
    <t>Adj. Consumption</t>
  </si>
  <si>
    <t>Customer Count</t>
  </si>
  <si>
    <t>Increase in customers/year</t>
  </si>
  <si>
    <t>Existing Conversions %</t>
  </si>
  <si>
    <t>New Connection %</t>
  </si>
  <si>
    <t>Existing Connections #</t>
  </si>
  <si>
    <t>New Connections #</t>
  </si>
  <si>
    <t>Total Connections</t>
  </si>
  <si>
    <t>GS 50-3,000</t>
  </si>
  <si>
    <t>GS &gt; 50</t>
  </si>
  <si>
    <t>Residential kWh</t>
  </si>
  <si>
    <t xml:space="preserve">  Winter</t>
  </si>
  <si>
    <t xml:space="preserve">  Summer</t>
  </si>
  <si>
    <t>Seasonally Adjusted kWh</t>
  </si>
  <si>
    <t>Residential Seasonal kWh</t>
  </si>
  <si>
    <t>GS &lt; 50 kWh</t>
  </si>
  <si>
    <t>GS 50-2,999 kWh</t>
  </si>
  <si>
    <t>GS &lt; 50</t>
  </si>
  <si>
    <t xml:space="preserve">GS 50-2,999 </t>
  </si>
  <si>
    <t>Residential Sector</t>
  </si>
  <si>
    <t>Table 21: Heating System Stock by Building Type and Heating System Type</t>
  </si>
  <si>
    <t>Table 8: Space Heating Secondary Energy Use by System Type</t>
  </si>
  <si>
    <t>Total Heating System Stock (thousands)</t>
  </si>
  <si>
    <t>Total Space Heating Energy Use (PJ)</t>
  </si>
  <si>
    <t>Heating System Stock by Building Type (thousands)</t>
  </si>
  <si>
    <t>Energy Use by System Type (PJ)</t>
  </si>
  <si>
    <t>Single Detached</t>
  </si>
  <si>
    <t>Heating Oil – Normal Efficiency</t>
  </si>
  <si>
    <t>Single Attached</t>
  </si>
  <si>
    <t>Heating Oil – Medium Efficiency</t>
  </si>
  <si>
    <t>Apartments</t>
  </si>
  <si>
    <t>Heating Oil – High Efficiency</t>
  </si>
  <si>
    <t>Mobile Homes</t>
  </si>
  <si>
    <t>Natural Gas – Normal Efficiency</t>
  </si>
  <si>
    <t>Natural Gas – Medium Efficiency</t>
  </si>
  <si>
    <t>Shares (%)</t>
  </si>
  <si>
    <t>Natural Gas – High Efficiency</t>
  </si>
  <si>
    <t>Electric</t>
  </si>
  <si>
    <t>Heat Pump</t>
  </si>
  <si>
    <r>
      <t>Other</t>
    </r>
    <r>
      <rPr>
        <vertAlign val="superscript"/>
        <sz val="10"/>
        <rFont val="Arial"/>
        <family val="2"/>
      </rPr>
      <t>1</t>
    </r>
  </si>
  <si>
    <t>Wood</t>
  </si>
  <si>
    <t>Dual Systems</t>
  </si>
  <si>
    <t>Wood/Electric</t>
  </si>
  <si>
    <t>Heating System Stock by Heating System Type (thousands)</t>
  </si>
  <si>
    <t>Wood/Heating Oil</t>
  </si>
  <si>
    <t>Natural Gas/Electric</t>
  </si>
  <si>
    <t>Heating Oil/Electric</t>
  </si>
  <si>
    <t>Activity</t>
  </si>
  <si>
    <r>
      <t>Total Floor Space (million 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</si>
  <si>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Energy Intensity (GJ/m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>)</t>
    </r>
  </si>
  <si>
    <t xml:space="preserve">Heat Gains (PJ) </t>
  </si>
  <si>
    <t>Heating Degree-Day Index</t>
  </si>
  <si>
    <t>Heating Oil</t>
  </si>
  <si>
    <t>Natural Gas</t>
  </si>
  <si>
    <t xml:space="preserve">Commercial/Institutional Sector </t>
  </si>
  <si>
    <t>Ontario¹</t>
  </si>
  <si>
    <t>Table 24: Space Heating Secondary Energy Use and GHG Emissions by Energy Source</t>
  </si>
  <si>
    <t>Energy Use by Energy Source (PJ)</t>
  </si>
  <si>
    <t>Electricity</t>
  </si>
  <si>
    <t>Light Fuel Oil and Kerosene</t>
  </si>
  <si>
    <t>Heavy Fuel Oil</t>
  </si>
  <si>
    <t>Steam</t>
  </si>
  <si>
    <r>
      <t>Other</t>
    </r>
    <r>
      <rPr>
        <vertAlign val="superscript"/>
        <sz val="10"/>
        <rFont val="Arial"/>
        <family val="2"/>
      </rPr>
      <t>2</t>
    </r>
  </si>
  <si>
    <t xml:space="preserve">Activity </t>
  </si>
  <si>
    <r>
      <t>Total Floor Space (million 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</si>
  <si>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Energy Intensity (GJ/m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</si>
  <si>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 xml:space="preserve">Total Space Heating GHG Emissions </t>
    </r>
    <r>
      <rPr>
        <b/>
        <u/>
        <sz val="10"/>
        <rFont val="Arial"/>
        <family val="2"/>
      </rPr>
      <t>Excluding</t>
    </r>
    <r>
      <rPr>
        <b/>
        <sz val="10"/>
        <rFont val="Arial"/>
        <family val="2"/>
      </rPr>
      <t xml:space="preserve"> Electricity (Mt of 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e)</t>
    </r>
  </si>
  <si>
    <r>
      <t>GHG Emissions by Energy Source (Mt of CO</t>
    </r>
    <r>
      <rPr>
        <b/>
        <i/>
        <vertAlign val="subscript"/>
        <sz val="10"/>
        <rFont val="Arial"/>
        <family val="2"/>
      </rPr>
      <t>2</t>
    </r>
    <r>
      <rPr>
        <b/>
        <i/>
        <sz val="10"/>
        <rFont val="Arial"/>
        <family val="2"/>
      </rPr>
      <t>e)</t>
    </r>
  </si>
  <si>
    <t>–</t>
  </si>
  <si>
    <t>GHG Intensity (tonne/TJ)</t>
  </si>
  <si>
    <t xml:space="preserve">Heating Degree-Day Index </t>
  </si>
  <si>
    <t>Electricity %</t>
  </si>
  <si>
    <t>Cumulative Large Load and Customer Additions</t>
  </si>
  <si>
    <t>GS 50-2,999</t>
  </si>
  <si>
    <t>kW</t>
  </si>
  <si>
    <t>Customers</t>
  </si>
  <si>
    <t>GS 3,000-4,999</t>
  </si>
  <si>
    <t>Additional</t>
  </si>
  <si>
    <t>Heating</t>
  </si>
  <si>
    <t>Loads</t>
  </si>
  <si>
    <t>Customer</t>
  </si>
  <si>
    <t>Expansions</t>
  </si>
  <si>
    <t>Normalized</t>
  </si>
  <si>
    <t>Normalized EV&amp;H</t>
  </si>
  <si>
    <t>Model 1: Prais-Winsten, using observations 2015:01-2024:12 (T = 120)</t>
  </si>
  <si>
    <t>rho = 0.495198</t>
  </si>
  <si>
    <t>F(6, 100)</t>
  </si>
  <si>
    <t>Model 2: Prais-Winsten, using observations 2015:02-2024:12 (T = 119)</t>
  </si>
  <si>
    <t>Dependent variable: VRZ_GSlt50kWh_No_CDM</t>
  </si>
  <si>
    <t>rho = 0.766831</t>
  </si>
  <si>
    <t>F(5, 113)</t>
  </si>
  <si>
    <t>Normalized EV</t>
  </si>
  <si>
    <t>F(2, 116)</t>
  </si>
  <si>
    <t>Model 4: Prais-Winsten, using observations 2015:02-2024:12 (T = 119)</t>
  </si>
  <si>
    <t>Dependent variable: VRZ_LargeUsekWh_No_CDM</t>
  </si>
  <si>
    <t>rho = 0.366067</t>
  </si>
  <si>
    <t>F(4, 114)</t>
  </si>
  <si>
    <t>Model 2: Prais-Winsten, using observations 2015:01-2024:12 (T = 120)</t>
  </si>
  <si>
    <t>rho = 0.487982</t>
  </si>
  <si>
    <t>Model 26: Prais-Winsten, using observations 2015:01-2024:12 (T = 120)</t>
  </si>
  <si>
    <t>rho = 0.46494</t>
  </si>
  <si>
    <t>Model 4: Prais-Winsten, using observations 2015:01-2024:12 (T = 120)</t>
  </si>
  <si>
    <t>Dependent variable: WRZ_GS50to2999kWh_No_CDM</t>
  </si>
  <si>
    <t>rho = 0.339005</t>
  </si>
  <si>
    <t>Model 5: Prais-Winsten, using observations 2015:01-2024:12 (T = 120)</t>
  </si>
  <si>
    <t>Dependent variable: WRZ_GS3000to4999kWh_No_CDM</t>
  </si>
  <si>
    <t>rho = 0.620318</t>
  </si>
  <si>
    <t>VRZ Residential kWh</t>
  </si>
  <si>
    <t>VRZ Seasonal Residential kWh</t>
  </si>
  <si>
    <t>VRZ GS&lt;50 kWh</t>
  </si>
  <si>
    <t>VRZ Large Use kWh</t>
  </si>
  <si>
    <t>VRZ Street Light</t>
  </si>
  <si>
    <t>VRZ Sentinel Light</t>
  </si>
  <si>
    <t>VRZ USL</t>
  </si>
  <si>
    <t>WRZ GS&lt;50 kWh</t>
  </si>
  <si>
    <t>WRZ Street Light</t>
  </si>
  <si>
    <t>WRZ Sentinel Light</t>
  </si>
  <si>
    <t>WRZ USL</t>
  </si>
  <si>
    <t>Cumulative Persisting CDM</t>
  </si>
  <si>
    <t>Actual No CDM</t>
  </si>
  <si>
    <t>Normal Predicted 
No CDM</t>
  </si>
  <si>
    <t>Additional Loads</t>
  </si>
  <si>
    <t>Normalized with Additional Loads</t>
  </si>
  <si>
    <t>Normal 
No CDM</t>
  </si>
  <si>
    <t>Additional / Lost Loads</t>
  </si>
  <si>
    <t>Normal Predicted 
No CDM with Additional Loads</t>
  </si>
  <si>
    <t>Lamps / Devices</t>
  </si>
  <si>
    <t>Average per Device</t>
  </si>
  <si>
    <t>Normal Forecast</t>
  </si>
  <si>
    <t>Connections</t>
  </si>
  <si>
    <t>Average per Connection</t>
  </si>
  <si>
    <t>C = A + B</t>
  </si>
  <si>
    <t>D</t>
  </si>
  <si>
    <t>E = B</t>
  </si>
  <si>
    <t>F = D - E</t>
  </si>
  <si>
    <t>G</t>
  </si>
  <si>
    <t>H = F + G</t>
  </si>
  <si>
    <t>I = D + G</t>
  </si>
  <si>
    <t>C = A / B</t>
  </si>
  <si>
    <t>D = B * C</t>
  </si>
  <si>
    <t>Percent of Prior Year</t>
  </si>
  <si>
    <t>Seasonal</t>
  </si>
  <si>
    <t xml:space="preserve">Known </t>
  </si>
  <si>
    <t>St. Lights</t>
  </si>
  <si>
    <t>Sen. Lights</t>
  </si>
  <si>
    <t>Additions</t>
  </si>
  <si>
    <t>Devices</t>
  </si>
  <si>
    <t>Avg. of Envision Durham, Prov. Pop.  Growth in Durham, Historic</t>
  </si>
  <si>
    <t>10-Year Average Only</t>
  </si>
  <si>
    <t>5-Year Average</t>
  </si>
  <si>
    <t>10-Year (-) Growth plus known additions</t>
  </si>
  <si>
    <t>Known Additions Only</t>
  </si>
  <si>
    <t>10-Year Growth</t>
  </si>
  <si>
    <t>5-Year Growth</t>
  </si>
  <si>
    <t>Monthly Averages</t>
  </si>
  <si>
    <t>(Check)</t>
  </si>
  <si>
    <t>Sep</t>
  </si>
  <si>
    <t>In year energy savings (GWh)</t>
  </si>
  <si>
    <t>Energy Efficiency in Ontario:  2023 Conservation and Demand Management Results</t>
  </si>
  <si>
    <t>2021-2023 Actuals from 2021-2024 CDM Framework</t>
  </si>
  <si>
    <t>eDSM Plan</t>
  </si>
  <si>
    <t>In year energy savings (kWh)</t>
  </si>
  <si>
    <t>Target</t>
  </si>
  <si>
    <t>VRZ Share</t>
  </si>
  <si>
    <t>WRZ Share</t>
  </si>
  <si>
    <t>Actual 2021</t>
  </si>
  <si>
    <t>Actual 2021-22</t>
  </si>
  <si>
    <t>Actual 2021-23</t>
  </si>
  <si>
    <t>Actual 2021-24</t>
  </si>
  <si>
    <t>Forecast</t>
  </si>
  <si>
    <t>Progress to Target</t>
  </si>
  <si>
    <t>Retrofit</t>
  </si>
  <si>
    <t>% of provincial kWh</t>
  </si>
  <si>
    <t xml:space="preserve">Energy Performance </t>
  </si>
  <si>
    <t>Energy Management</t>
  </si>
  <si>
    <t>Total by Year</t>
  </si>
  <si>
    <t>Industrial Energy Efficiency</t>
  </si>
  <si>
    <t>New Construction</t>
  </si>
  <si>
    <t>Home Renovation Savings</t>
  </si>
  <si>
    <t>Commercial HVAC DR</t>
  </si>
  <si>
    <t>Peak Perks</t>
  </si>
  <si>
    <t>Existing Building Commissioning program</t>
  </si>
  <si>
    <t>Targeted Greenhouse</t>
  </si>
  <si>
    <t>Local Initiatives</t>
  </si>
  <si>
    <t>Residential Demand Response</t>
  </si>
  <si>
    <t>Energy Affordability Program</t>
  </si>
  <si>
    <t>% of prov. LIM</t>
  </si>
  <si>
    <t>First Nations Program</t>
  </si>
  <si>
    <t>https://www.ieso.ca/en/Sector-Participants/Energy-Efficiency/2021-2024-Conservation-and-Demand-Management-Framework</t>
  </si>
  <si>
    <t>https://www.ieso.ca/Sector-Participants/Energy-Efficiency/2021-2024-Conservation-and-Demand-Management-Framework</t>
  </si>
  <si>
    <t xml:space="preserve">Source: </t>
  </si>
  <si>
    <t>Energy Efficiency in Ontario:  2021-2024 Conservation and Demand Management and Legacy Framework Results</t>
  </si>
  <si>
    <t>https://ieso.ca/Sector-Participants/Energy-Efficiency/2025-2036-Electricity-Demand-Side-Management-Framework</t>
  </si>
  <si>
    <t>Report Ref:</t>
  </si>
  <si>
    <t>Page 11</t>
  </si>
  <si>
    <t>Page 18</t>
  </si>
  <si>
    <t>Page 22/23</t>
  </si>
  <si>
    <t>5-Year Avg.</t>
  </si>
  <si>
    <t>Province</t>
  </si>
  <si>
    <t>Cummulative</t>
  </si>
  <si>
    <t>Elexicon</t>
  </si>
  <si>
    <t>w/ 1/2 Year Adj.</t>
  </si>
  <si>
    <t>Elexicon % Share</t>
  </si>
  <si>
    <t>OEB Open Data (RRR): Section 2.1.5.4 Demand and Revenue</t>
  </si>
  <si>
    <t>Low-Income Measure</t>
  </si>
  <si>
    <t>2021 Used</t>
  </si>
  <si>
    <t>Port Hope</t>
  </si>
  <si>
    <t>VRZ Total</t>
  </si>
  <si>
    <t>VRZ %</t>
  </si>
  <si>
    <t>WRZ %</t>
  </si>
  <si>
    <t>Statistics Canada - Population and dwelling counts: Canada and census subdivisions Table 98-10-0002-01</t>
  </si>
  <si>
    <t>[Census Family Low Income Measure (CFLIM-AT) Table 11-10-0020-01 data not available for BHI service area)</t>
  </si>
  <si>
    <t>Total CDM</t>
  </si>
  <si>
    <t>CDM</t>
  </si>
  <si>
    <t>GS&lt; 50</t>
  </si>
  <si>
    <t>*Allocations based on LRAMVA allocations in 2015-2019 period</t>
  </si>
  <si>
    <t>Average</t>
  </si>
  <si>
    <t>Veridian RZ</t>
  </si>
  <si>
    <t>Whitby RZ</t>
  </si>
  <si>
    <t>GS 50-4,999</t>
  </si>
  <si>
    <t>Street Lights</t>
  </si>
  <si>
    <t>Sentinel Lights</t>
  </si>
  <si>
    <t>Ratio</t>
  </si>
  <si>
    <t>3-Yr MA</t>
  </si>
  <si>
    <t>C = B / A</t>
  </si>
  <si>
    <t>kWh Normalized</t>
  </si>
  <si>
    <t>kW Normalized</t>
  </si>
  <si>
    <t>Avg. Ratio</t>
  </si>
  <si>
    <t>Trend Ratio (5-yr)</t>
  </si>
  <si>
    <t>Total Forecast</t>
  </si>
  <si>
    <t>Trend Ratio (3-Yr. MA)</t>
  </si>
  <si>
    <t>E = D * G</t>
  </si>
  <si>
    <t>H</t>
  </si>
  <si>
    <t>I = E + H</t>
  </si>
  <si>
    <t>E = D * F</t>
  </si>
  <si>
    <t>Divergence</t>
  </si>
  <si>
    <t>5-year change</t>
  </si>
  <si>
    <t>10-year change</t>
  </si>
  <si>
    <t>10-year average used</t>
  </si>
  <si>
    <t>5-year average used</t>
  </si>
  <si>
    <t>2-Year Average Used</t>
  </si>
  <si>
    <t>2024-2031 Forecasted kWh Savings by Rate Class</t>
  </si>
  <si>
    <t>Rate Class</t>
  </si>
  <si>
    <t>CDM Adj Weight</t>
  </si>
  <si>
    <t>Amount</t>
  </si>
  <si>
    <t>C = A * B</t>
  </si>
  <si>
    <t>F = D * E</t>
  </si>
  <si>
    <t>I = G * H</t>
  </si>
  <si>
    <t>K</t>
  </si>
  <si>
    <t>L = J * K</t>
  </si>
  <si>
    <t>M</t>
  </si>
  <si>
    <t>N</t>
  </si>
  <si>
    <t>O = M * N</t>
  </si>
  <si>
    <t>P</t>
  </si>
  <si>
    <t>Q</t>
  </si>
  <si>
    <t>R = P * Q</t>
  </si>
  <si>
    <t>S</t>
  </si>
  <si>
    <t>T</t>
  </si>
  <si>
    <t>U = S * T</t>
  </si>
  <si>
    <t>V</t>
  </si>
  <si>
    <t>W</t>
  </si>
  <si>
    <t>X = V * W</t>
  </si>
  <si>
    <t>F + I</t>
  </si>
  <si>
    <t>F + G + L</t>
  </si>
  <si>
    <t>F + G + J + O</t>
  </si>
  <si>
    <t>F + G + J + M + R</t>
  </si>
  <si>
    <t>F + G + J + M + P + U</t>
  </si>
  <si>
    <t>F + G + J + M + P + S + X</t>
  </si>
  <si>
    <t>Half of 2025 + Half of Current Year + Full Any Year Between 2024 and Current Year</t>
  </si>
  <si>
    <t>TOTAL</t>
  </si>
  <si>
    <t>2025-2031 kW Forcasted Savings by Rate Class</t>
  </si>
  <si>
    <t>2025 Forecast</t>
  </si>
  <si>
    <t>Weather-Normal Forecast</t>
  </si>
  <si>
    <t>% Savings</t>
  </si>
  <si>
    <t>E = C * D</t>
  </si>
  <si>
    <t>H = G / F</t>
  </si>
  <si>
    <t>J = H * I</t>
  </si>
  <si>
    <t>L</t>
  </si>
  <si>
    <t>M = L / K</t>
  </si>
  <si>
    <t>R = Q / P</t>
  </si>
  <si>
    <t>T = R * S</t>
  </si>
  <si>
    <t>U</t>
  </si>
  <si>
    <t>W = V / U</t>
  </si>
  <si>
    <t>X</t>
  </si>
  <si>
    <t>Y = W * X</t>
  </si>
  <si>
    <t>Z</t>
  </si>
  <si>
    <t>AA</t>
  </si>
  <si>
    <t>AB = AA / Z</t>
  </si>
  <si>
    <t>AC</t>
  </si>
  <si>
    <t>AD = AB * AC</t>
  </si>
  <si>
    <t>AE</t>
  </si>
  <si>
    <t>AF</t>
  </si>
  <si>
    <t>AG = AF / AE</t>
  </si>
  <si>
    <t>AH</t>
  </si>
  <si>
    <t>AI = AG * AH</t>
  </si>
  <si>
    <t>O</t>
  </si>
  <si>
    <t>Y</t>
  </si>
  <si>
    <t>AD</t>
  </si>
  <si>
    <t>AI</t>
  </si>
  <si>
    <t>Half of 2024 + Half of Current Year + Full Any Year Between 2024 and Current Year</t>
  </si>
  <si>
    <t>Source</t>
  </si>
  <si>
    <t>Jan 2025 EE</t>
  </si>
  <si>
    <t>https://pub-durhamregion.escribemeetings.com/filestream.ashx?DocumentId=8377</t>
  </si>
  <si>
    <t>Scucog</t>
  </si>
  <si>
    <t>Vision Durham</t>
  </si>
  <si>
    <t>Brock</t>
  </si>
  <si>
    <t>&amp; Nov 2024 Update</t>
  </si>
  <si>
    <t>https://www.belleville.ca/en/do-business/resources/Documents/PLOPA20240090/City-of-Belleville-OP-BL---2021-180-with-Tracked-Changes.pdf
https://opencouncil.ca/wp-content/uploads/2024/08/Belleville-Asset-Management-Plan-Current-Levels-of-Service-June-2024.pdf</t>
  </si>
  <si>
    <t>https://www.porthope.ca/en/business-and-development/resources/Official%20Plan/Official%20Plan%202017%20(9).pdf</t>
  </si>
  <si>
    <t>Envision Durham</t>
  </si>
  <si>
    <t>As Filed</t>
  </si>
  <si>
    <t>https://www.durham.ca/en/doing-business/resources/Documents/PlanningandDevelopment/Envision-Durham/Adopted-Durham-ROP.pdf</t>
  </si>
  <si>
    <t>https://www.durham.ca/en/living-here/resources/Documents/2024-INFO-80-Monitoring-of-Growth-Trends.pdf</t>
  </si>
  <si>
    <t>The City’s population is projected to increase by 6,400 people by 2041 to approximately 58,300 inhabitants, a growth rate of roughly 0.5% per year.</t>
  </si>
  <si>
    <t>City of Belleville Official Plan (August 12, 2024)</t>
  </si>
  <si>
    <t>Asset Management Plan - 1.33% population growth</t>
  </si>
  <si>
    <t>Weighted Average</t>
  </si>
  <si>
    <t>The District is expected to grow to 99,100 residents by 2051, an average growth rate of 1.2% a year</t>
  </si>
  <si>
    <t>2370 Housing growth from 2024 to 2051 in Gravenhurst</t>
  </si>
  <si>
    <t>911 Housing unit growth from 2024 to 2034 in Gravenhurst</t>
  </si>
  <si>
    <t>4,531 population growth from 2017 to 2034</t>
  </si>
  <si>
    <t>2017 Master Plan</t>
  </si>
  <si>
    <t>Ontario Population Estimates</t>
  </si>
  <si>
    <t>49 Census Divisions MOF Population Projections</t>
  </si>
  <si>
    <t>https://data.ontario.ca/dataset/population-projections/resource/03abe0d5-0995-4ce2-ad9d-e904d50106a5</t>
  </si>
  <si>
    <t>Population</t>
  </si>
  <si>
    <t>Population Growth</t>
  </si>
  <si>
    <t xml:space="preserve">DURHAM </t>
  </si>
  <si>
    <t>2016 Actual</t>
  </si>
  <si>
    <t>2017 Actual</t>
  </si>
  <si>
    <t>2018 Actual</t>
  </si>
  <si>
    <t>2019 Actual</t>
  </si>
  <si>
    <t>2020 Actual</t>
  </si>
  <si>
    <t>2021 Actual</t>
  </si>
  <si>
    <t>2022 Actual</t>
  </si>
  <si>
    <t>2023 Actual</t>
  </si>
  <si>
    <t>2025 Normalized</t>
  </si>
  <si>
    <t>CDM Adjustment</t>
  </si>
  <si>
    <t>CDM Adjusted kWh Forecast</t>
  </si>
  <si>
    <t>2025 Normal</t>
  </si>
  <si>
    <t>CDM Adjusted kW Forecast</t>
  </si>
  <si>
    <t>Customers / Devices</t>
  </si>
  <si>
    <t>Customers / Devices - Year End</t>
  </si>
  <si>
    <t>Veridian Summary</t>
  </si>
  <si>
    <t>Year-End</t>
  </si>
  <si>
    <t>Whitby Summary</t>
  </si>
  <si>
    <t>Elexicon Summary</t>
  </si>
  <si>
    <t>Averge kWh/kW per Customers / Device</t>
  </si>
  <si>
    <t>Averge kW/kW per Customers / Device</t>
  </si>
  <si>
    <t>Spring (removed)</t>
  </si>
  <si>
    <t>Osh_FTEAdj (removed)</t>
  </si>
  <si>
    <t>Fall (removed)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</si>
</sst>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6">
    <numFmt numFmtId="5" formatCode="&quot;$&quot;#,##0;\-&quot;$&quot;#,##0"/>
    <numFmt numFmtId="6" formatCode="&quot;$&quot;#,##0;[Red]\-&quot;$&quot;#,##0"/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_(* #,##0.0_);_(* \(#,##0.0\);_(* &quot;-&quot;??_);_(@_)"/>
    <numFmt numFmtId="169" formatCode="d\-mmm\-yyyy"/>
    <numFmt numFmtId="170" formatCode="0.0"/>
    <numFmt numFmtId="171" formatCode="&quot;$&quot;#,##0.00"/>
    <numFmt numFmtId="172" formatCode="0.0000"/>
    <numFmt numFmtId="173" formatCode="#,##0.0_);\(#,##0.0\)"/>
    <numFmt numFmtId="174" formatCode="&quot;$&quot;_(#,##0.00_);&quot;$&quot;\(#,##0.00\)"/>
    <numFmt numFmtId="175" formatCode="_(&quot;$&quot;* #,##0.00000000000000000_);_(&quot;$&quot;* \(#,##0.00000000000000000\);_(&quot;$&quot;* &quot;-&quot;??_);_(@_)"/>
    <numFmt numFmtId="176" formatCode="_-&quot;£&quot;* #,##0.00_-;\-&quot;£&quot;* #,##0.00_-;_-&quot;£&quot;* &quot;-&quot;??_-;_-@_-"/>
    <numFmt numFmtId="177" formatCode="#,##0.0_)\x;\(#,##0.0\)\x"/>
    <numFmt numFmtId="178" formatCode="_(&quot;$&quot;* #,##0.00000000_);_(&quot;$&quot;* \(#,##0.00000000\);_(&quot;$&quot;* &quot;-&quot;??_);_(@_)"/>
    <numFmt numFmtId="179" formatCode="_(&quot;$&quot;* #,##0.00000000000_);_(&quot;$&quot;* \(#,##0.00000000000\);_(&quot;$&quot;* &quot;-&quot;??_);_(@_)"/>
    <numFmt numFmtId="180" formatCode="_(&quot;$&quot;* #,##0.000000000000_);_(&quot;$&quot;* \(#,##0.000000000000\);_(&quot;$&quot;* &quot;-&quot;??_);_(@_)"/>
    <numFmt numFmtId="181" formatCode="_-&quot;£&quot;* #,##0_-;\-&quot;£&quot;* #,##0_-;_-&quot;£&quot;* &quot;-&quot;_-;_-@_-"/>
    <numFmt numFmtId="182" formatCode="#,##0.0_)_x;\(#,##0.0\)_x"/>
    <numFmt numFmtId="183" formatCode="_(* #,##0.0_);_(* \(#,##0.0\);_(* &quot;-&quot;?_);_(@_)"/>
    <numFmt numFmtId="184" formatCode="#,##0.0_)_x;\(#,##0.0\)_x;0.0_)_x;@_)_x"/>
    <numFmt numFmtId="185" formatCode="_(&quot;$&quot;* #,##0.00000000000000_);_(&quot;$&quot;* \(#,##0.00000000000000\);_(&quot;$&quot;* &quot;-&quot;??_);_(@_)"/>
    <numFmt numFmtId="186" formatCode="0.0_)\%;\(0.0\)\%"/>
    <numFmt numFmtId="187" formatCode="_(&quot;$&quot;* #,##0.000000000000000_);_(&quot;$&quot;* \(#,##0.000000000000000\);_(&quot;$&quot;* &quot;-&quot;??_);_(@_)"/>
    <numFmt numFmtId="188" formatCode="#,##0.0_)_%;\(#,##0.0\)_%"/>
    <numFmt numFmtId="189" formatCode="_(* #,##0.000_);_(* \(#,##0.000\);_(* &quot;-&quot;??_);_(@_)"/>
    <numFmt numFmtId="190" formatCode="#,##0.0_);\(#,##0.0\);0_._0_)"/>
    <numFmt numFmtId="191" formatCode="0.000000"/>
    <numFmt numFmtId="192" formatCode="[&gt;1]&quot;10Q: &quot;0&quot; qtrs&quot;;&quot;10Q: &quot;0&quot; qtr&quot;"/>
    <numFmt numFmtId="193" formatCode="0.0%;[Red]\(0.0%\)"/>
    <numFmt numFmtId="194" formatCode="#,##0.0\ \ \ _);\(#,##0.0\)\ \ "/>
    <numFmt numFmtId="195" formatCode="_-* #,##0.00\ _F_-;\-* #,##0.00\ _F_-;_-* &quot;-&quot;??\ _F_-;_-@_-"/>
    <numFmt numFmtId="196" formatCode="m\-d\-yy"/>
    <numFmt numFmtId="197" formatCode="&quot;£&quot;#,##0.00_);[Red]\(&quot;£&quot;#,##0.00\)"/>
    <numFmt numFmtId="198" formatCode="0.0_)"/>
    <numFmt numFmtId="199" formatCode="#,###.0#"/>
    <numFmt numFmtId="200" formatCode="#,###.#"/>
    <numFmt numFmtId="201" formatCode="0000\ \-\ 0000"/>
    <numFmt numFmtId="202" formatCode="[Red][&gt;0.0000001]\+#,##0.?#;[Red][&lt;-0.0000001]\-#,##0.?#;[Green]&quot;=  &quot;"/>
    <numFmt numFmtId="203" formatCode="#.#######\x"/>
    <numFmt numFmtId="204" formatCode="0.00000E+00"/>
    <numFmt numFmtId="205" formatCode="_(* #,##0.0_);_(* \(#,##0.0\);_(* &quot;-&quot;_);_(@_)"/>
    <numFmt numFmtId="206" formatCode="_-* #,##0.00\ _D_M_-;\-* #,##0.00\ _D_M_-;_-* &quot;-&quot;??\ _D_M_-;_-@_-"/>
    <numFmt numFmtId="207" formatCode="#,##0.00_%_);\(#,##0.00\)_%;**;@_%_)"/>
    <numFmt numFmtId="208" formatCode="0.000\x"/>
    <numFmt numFmtId="209" formatCode="_(&quot;$&quot;* #,##0.0_);_(&quot;$&quot;* \(#,##0.0\);_(&quot;$&quot;* &quot;-&quot;_);_(@_)"/>
    <numFmt numFmtId="210" formatCode="_(&quot;$&quot;* #,##0_);_(&quot;$&quot;* \(#,##0\);_(&quot;$&quot;* &quot;-&quot;??_);_(@_)"/>
    <numFmt numFmtId="211" formatCode="&quot;$&quot;#,##0.00_%_);\(&quot;$&quot;#,##0.00\)_%;**;@_%_)"/>
    <numFmt numFmtId="212" formatCode="&quot;$&quot;#,##0.00_%_);\(&quot;$&quot;#,##0.00\)_%;&quot;$&quot;###0.00_%_);@_%_)"/>
    <numFmt numFmtId="213" formatCode="&quot;$&quot;#,##0.00_);[Red]\(&quot;$&quot;#,##0.00\);&quot;--  &quot;;_(@_)"/>
    <numFmt numFmtId="214" formatCode="_(\§\ #,##0_)\ ;[Red]\(\§\ #,##0\)\ ;&quot; - &quot;;_(@\ _)"/>
    <numFmt numFmtId="215" formatCode="_(\§\ #,##0.00_);[Red]\(\§\ #,##0.00\);&quot; - &quot;_0_0;_(@_)"/>
    <numFmt numFmtId="216" formatCode="###0.00_)"/>
    <numFmt numFmtId="217" formatCode="m/d/yy_%_)"/>
    <numFmt numFmtId="218" formatCode="mmm\-d\-yyyy"/>
    <numFmt numFmtId="219" formatCode="mmm\-dd\-yyyy"/>
    <numFmt numFmtId="220" formatCode="mmm\-yyyy"/>
    <numFmt numFmtId="221" formatCode="m/d/yy_%_);;**"/>
    <numFmt numFmtId="222" formatCode="#,##0.0_);[Red]\(#,##0.0\)"/>
    <numFmt numFmtId="223" formatCode="_([$€-2]* #,##0.00_);_([$€-2]* \(#,##0.00\);_([$€-2]* &quot;-&quot;??_)"/>
    <numFmt numFmtId="224" formatCode="&quot;$&quot;#,##0.000_);[Red]\(&quot;$&quot;#,##0.000\)"/>
    <numFmt numFmtId="225" formatCode="0.0000000000000"/>
    <numFmt numFmtId="226" formatCode="0_)"/>
    <numFmt numFmtId="227" formatCode="[$-409]d\-mmm\-yy;@"/>
    <numFmt numFmtId="228" formatCode="#,##0.00_);[Red]\(#,##0.00\);\-\-\ \ \ "/>
    <numFmt numFmtId="229" formatCode="General_)"/>
    <numFmt numFmtId="230" formatCode="&quot;&quot;"/>
    <numFmt numFmtId="231" formatCode="#,##0.0\ ;\(#,##0.0\ \)"/>
    <numFmt numFmtId="232" formatCode="0.0%;0.0%;\-\ "/>
    <numFmt numFmtId="233" formatCode="0.0%\ ;\(0.0%\)"/>
    <numFmt numFmtId="234" formatCode="_ * #,##0.00_)\ _$_ ;_ * \(#,##0.00\)\ _$_ ;_ * &quot;-&quot;??_)\ _$_ ;_ @_ "/>
    <numFmt numFmtId="235" formatCode="#,##0.00000\ ;\(#,##0.00000\ \)"/>
    <numFmt numFmtId="236" formatCode="0.000000000000"/>
    <numFmt numFmtId="237" formatCode="_ * #,##0.00_)\ &quot;$&quot;_ ;_ * \(#,##0.00\)\ &quot;$&quot;_ ;_ * &quot;-&quot;??_)\ &quot;$&quot;_ ;_ @_ "/>
    <numFmt numFmtId="238" formatCode="#,##0.0000\ ;\(#,##0.0000\ \)"/>
    <numFmt numFmtId="239" formatCode="0.000%\ ;\(0.000%\)"/>
    <numFmt numFmtId="240" formatCode="#,##0.0\x_)_);\(#,##0.0\x\)_);#,##0.0\x_)_);@_%_)"/>
    <numFmt numFmtId="241" formatCode="_(* #,##0.00000_);_(* \(#,##0.00000\);_(* &quot;-&quot;?_);_(@_)"/>
    <numFmt numFmtId="242" formatCode="0.00_)"/>
    <numFmt numFmtId="243" formatCode="#,##0.000_);[Red]\(#,##0.000\)"/>
    <numFmt numFmtId="244" formatCode="0_);\(0\)"/>
    <numFmt numFmtId="245" formatCode="[$-1009]d\-mmm\-yy;@"/>
    <numFmt numFmtId="246" formatCode="#,##0.0_);[Red]\(#,##0.0\);&quot;--  &quot;"/>
    <numFmt numFmtId="247" formatCode="#,##0.00&quot;x&quot;_);[Red]\(#,##0.00&quot;x&quot;\)"/>
    <numFmt numFmtId="248" formatCode="#,##0_);\(#,##0\);&quot;-  &quot;"/>
    <numFmt numFmtId="249" formatCode="#,##0.0_);\(#,##0.0\);&quot;-  &quot;"/>
    <numFmt numFmtId="250" formatCode="#,##0.0_);\(#,##0.0\);\-_)"/>
    <numFmt numFmtId="251" formatCode="0.00000000"/>
    <numFmt numFmtId="252" formatCode="#,##0.0%_);[Red]\(#,##0.0%\)"/>
    <numFmt numFmtId="253" formatCode="#,##0.00%_);[Red]\(#,##0.00%\)"/>
    <numFmt numFmtId="254" formatCode="0.0%_);\(0.0%\);&quot;-  &quot;"/>
    <numFmt numFmtId="255" formatCode="#,##0.0\%_);\(#,##0.0\%\);#,##0.0\%_);@_%_)"/>
    <numFmt numFmtId="256" formatCode="mm/dd/yy"/>
    <numFmt numFmtId="257" formatCode="0.00\ ;\-0.00\ ;&quot;- &quot;"/>
    <numFmt numFmtId="258" formatCode="#,##0.0000"/>
    <numFmt numFmtId="259" formatCode="#,##0\ ;[Red]\(#,##0\);\ \-\ "/>
    <numFmt numFmtId="260" formatCode="#,##0.00_);\(#,##0.00\);#,##0.00_);@_)"/>
    <numFmt numFmtId="261" formatCode="[White]General"/>
    <numFmt numFmtId="262" formatCode="#,###.##"/>
    <numFmt numFmtId="263" formatCode="&quot;$&quot;#,##0.000000_);[Red]\(&quot;$&quot;#,##0.000000\)"/>
    <numFmt numFmtId="264" formatCode="&quot;Table &quot;0"/>
    <numFmt numFmtId="265" formatCode="_(General_)"/>
    <numFmt numFmtId="266" formatCode="0.00\ "/>
    <numFmt numFmtId="267" formatCode="_-&quot;L.&quot;\ * #,##0.00_-;\-&quot;L.&quot;\ * #,##0.00_-;_-&quot;L.&quot;\ * &quot;-&quot;??_-;_-@_-"/>
    <numFmt numFmtId="268" formatCode="0_%_);\(0\)_%;0_%_);@_%_)"/>
    <numFmt numFmtId="269" formatCode="0,000\x"/>
    <numFmt numFmtId="270" formatCode="yyyy&quot;A&quot;"/>
    <numFmt numFmtId="271" formatCode="_-* #,##0\ _D_M_-;\-* #,##0\ _D_M_-;_-* &quot;-&quot;\ _D_M_-;_-@_-"/>
    <numFmt numFmtId="272" formatCode="&quot;@ &quot;0.00"/>
    <numFmt numFmtId="273" formatCode="&quot;Yes&quot;_%_);&quot;Error&quot;_%_);&quot;No&quot;_%_);&quot;--&quot;_%_)"/>
    <numFmt numFmtId="274" formatCode="0.000%"/>
    <numFmt numFmtId="275" formatCode="_(* #,##0_);_(* \(#,##0\);_(* &quot;-&quot;?_);_(@_)"/>
    <numFmt numFmtId="276" formatCode="#,##0.000"/>
    <numFmt numFmtId="277" formatCode="_-* #,##0.000_-;\-* #,##0.000_-;_-* &quot;-&quot;??_-;_-@_-"/>
    <numFmt numFmtId="278" formatCode="_-* #,##0.000000_-;\-* #,##0.000000_-;_-* &quot;-&quot;??_-;_-@_-"/>
    <numFmt numFmtId="279" formatCode="#,##0.0"/>
    <numFmt numFmtId="280" formatCode="_-* #,##0.0000_-;\-* #,##0.0000_-;_-* &quot;-&quot;??_-;_-@_-"/>
    <numFmt numFmtId="281" formatCode="0.0000%"/>
    <numFmt numFmtId="282" formatCode="_-* #,##0.0_-;\-* #,##0.0_-;_-* &quot;-&quot;??_-;_-@_-"/>
  </numFmts>
  <fonts count="22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name val="Times New Roman"/>
      <family val="1"/>
    </font>
    <font>
      <sz val="11"/>
      <color indexed="8"/>
      <name val="Calibri"/>
      <family val="2"/>
    </font>
    <font>
      <b/>
      <sz val="10"/>
      <name val="Times New Roman"/>
      <family val="1"/>
    </font>
    <font>
      <sz val="10"/>
      <name val="Arial"/>
      <family val="2"/>
    </font>
    <font>
      <sz val="10"/>
      <color rgb="FFC00000"/>
      <name val="Times New Roman"/>
      <family val="1"/>
    </font>
    <font>
      <sz val="1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color theme="5"/>
      <name val="Aptos Narrow"/>
      <family val="2"/>
      <scheme val="minor"/>
    </font>
    <font>
      <sz val="11"/>
      <color rgb="FFC00000"/>
      <name val="Aptos Narrow"/>
      <family val="2"/>
      <scheme val="minor"/>
    </font>
    <font>
      <sz val="10"/>
      <name val="Aptos Narrow"/>
      <family val="2"/>
      <scheme val="minor"/>
    </font>
    <font>
      <sz val="12"/>
      <color rgb="FF505050"/>
      <name val="Aptos Narrow"/>
      <family val="2"/>
      <scheme val="minor"/>
    </font>
    <font>
      <sz val="12"/>
      <color rgb="FF000000"/>
      <name val="Aptos Narrow"/>
      <family val="2"/>
      <scheme val="minor"/>
    </font>
    <font>
      <sz val="10"/>
      <color rgb="FF000000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1"/>
      <name val="Arial"/>
      <family val="2"/>
    </font>
    <font>
      <b/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4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1"/>
      <color rgb="FF00000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1"/>
      <color rgb="FFFF0000"/>
      <name val="Arial"/>
      <family val="2"/>
    </font>
    <font>
      <b/>
      <sz val="10"/>
      <color rgb="FFFF0000"/>
      <name val="Arial"/>
      <family val="2"/>
    </font>
    <font>
      <sz val="11"/>
      <color rgb="FF9C6500"/>
      <name val="Aptos Narrow"/>
      <family val="2"/>
      <scheme val="minor"/>
    </font>
    <font>
      <sz val="10"/>
      <name val="Verdana"/>
      <family val="2"/>
    </font>
    <font>
      <sz val="10"/>
      <name val="Helv"/>
      <charset val="204"/>
    </font>
    <font>
      <sz val="10"/>
      <name val="Frutiger 45 Light"/>
    </font>
    <font>
      <sz val="8"/>
      <color indexed="12"/>
      <name val="Arial"/>
      <family val="2"/>
    </font>
    <font>
      <sz val="10"/>
      <name val="Book Antiqua"/>
      <family val="1"/>
    </font>
    <font>
      <sz val="10"/>
      <name val="Geneva"/>
      <family val="2"/>
    </font>
    <font>
      <sz val="12"/>
      <name val="Times New Roman"/>
      <family val="1"/>
    </font>
    <font>
      <b/>
      <sz val="8"/>
      <name val="Arial"/>
      <family val="2"/>
    </font>
    <font>
      <sz val="12"/>
      <color theme="1"/>
      <name val="Times New Roman"/>
      <family val="2"/>
    </font>
    <font>
      <b/>
      <sz val="12"/>
      <color indexed="8"/>
      <name val="Times New Roman"/>
      <family val="1"/>
    </font>
    <font>
      <sz val="10"/>
      <name val="Arial Narrow"/>
      <family val="2"/>
    </font>
    <font>
      <sz val="8"/>
      <color indexed="8"/>
      <name val="Times New Roman"/>
      <family val="1"/>
    </font>
    <font>
      <sz val="10"/>
      <color indexed="8"/>
      <name val="Times New Roman"/>
      <family val="1"/>
    </font>
    <font>
      <sz val="12"/>
      <name val="Arial"/>
      <family val="2"/>
    </font>
    <font>
      <sz val="9"/>
      <name val="Times New Roman"/>
      <family val="1"/>
    </font>
    <font>
      <sz val="11"/>
      <color rgb="FF9C0006"/>
      <name val="Arial"/>
      <family val="2"/>
    </font>
    <font>
      <sz val="8"/>
      <color indexed="13"/>
      <name val="Arial"/>
      <family val="2"/>
    </font>
    <font>
      <sz val="10"/>
      <color indexed="8"/>
      <name val="Helvetica-Narrow"/>
      <family val="2"/>
    </font>
    <font>
      <sz val="10"/>
      <color indexed="12"/>
      <name val="Arial"/>
      <family val="2"/>
    </font>
    <font>
      <b/>
      <sz val="12"/>
      <name val="Times New Roman"/>
      <family val="1"/>
    </font>
    <font>
      <sz val="8"/>
      <name val="Times New Roman"/>
      <family val="1"/>
    </font>
    <font>
      <b/>
      <sz val="7"/>
      <name val="Arial"/>
      <family val="2"/>
    </font>
    <font>
      <b/>
      <sz val="11"/>
      <color rgb="FFFA7D00"/>
      <name val="Arial"/>
      <family val="2"/>
    </font>
    <font>
      <sz val="10"/>
      <name val="MS Sans Serif"/>
      <family val="2"/>
    </font>
    <font>
      <sz val="11"/>
      <color indexed="12"/>
      <name val="Arial"/>
      <family val="2"/>
    </font>
    <font>
      <sz val="10"/>
      <color indexed="39"/>
      <name val="Century Schoolbook"/>
      <family val="1"/>
    </font>
    <font>
      <sz val="10"/>
      <name val="Sabon"/>
    </font>
    <font>
      <sz val="12"/>
      <color theme="1"/>
      <name val="Calibri"/>
      <family val="2"/>
    </font>
    <font>
      <sz val="8"/>
      <name val="Palatino"/>
      <family val="1"/>
    </font>
    <font>
      <sz val="12"/>
      <color indexed="8"/>
      <name val="Arial"/>
      <family val="2"/>
    </font>
    <font>
      <sz val="8"/>
      <name val="Arial"/>
      <family val="2"/>
    </font>
    <font>
      <sz val="10"/>
      <color indexed="24"/>
      <name val="Arial"/>
      <family val="2"/>
    </font>
    <font>
      <sz val="11"/>
      <name val="Times New Roman"/>
      <family val="1"/>
    </font>
    <font>
      <i/>
      <sz val="9"/>
      <name val="MS Sans Serif"/>
      <family val="2"/>
    </font>
    <font>
      <sz val="24"/>
      <name val="MS Sans Serif"/>
      <family val="2"/>
    </font>
    <font>
      <sz val="11"/>
      <color indexed="12"/>
      <name val="Book Antiqua"/>
      <family val="1"/>
    </font>
    <font>
      <sz val="8"/>
      <color indexed="16"/>
      <name val="Palatino"/>
      <family val="1"/>
    </font>
    <font>
      <sz val="8"/>
      <name val="Helv"/>
    </font>
    <font>
      <u val="doubleAccounting"/>
      <sz val="10"/>
      <name val="Times New Roman"/>
      <family val="1"/>
    </font>
    <font>
      <sz val="1"/>
      <color indexed="8"/>
      <name val="Courier"/>
      <family val="3"/>
    </font>
    <font>
      <u val="doubleAccounting"/>
      <sz val="10"/>
      <name val="Arial"/>
      <family val="2"/>
    </font>
    <font>
      <sz val="9"/>
      <name val="Arial Narrow"/>
      <family val="2"/>
    </font>
    <font>
      <i/>
      <sz val="11"/>
      <color rgb="FF7F7F7F"/>
      <name val="Arial"/>
      <family val="2"/>
    </font>
    <font>
      <sz val="14"/>
      <color indexed="32"/>
      <name val="Times New Roman"/>
      <family val="1"/>
    </font>
    <font>
      <u/>
      <sz val="8"/>
      <color rgb="FF800080"/>
      <name val="Aptos Narrow"/>
      <family val="2"/>
      <scheme val="minor"/>
    </font>
    <font>
      <sz val="7"/>
      <name val="Palatino"/>
      <family val="1"/>
    </font>
    <font>
      <sz val="11"/>
      <color rgb="FF006100"/>
      <name val="Arial"/>
      <family val="2"/>
    </font>
    <font>
      <sz val="8"/>
      <name val="Courier"/>
      <family val="3"/>
    </font>
    <font>
      <sz val="9"/>
      <name val="Futura UBS Bk"/>
      <family val="2"/>
    </font>
    <font>
      <sz val="6"/>
      <color indexed="16"/>
      <name val="Palatino"/>
      <family val="1"/>
    </font>
    <font>
      <sz val="14"/>
      <color indexed="8"/>
      <name val="Times New Roman"/>
      <family val="1"/>
    </font>
    <font>
      <b/>
      <sz val="18"/>
      <color indexed="24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theme="3"/>
      <name val="Calibri"/>
      <family val="2"/>
    </font>
    <font>
      <b/>
      <sz val="9"/>
      <name val="Times New Roman"/>
      <family val="1"/>
    </font>
    <font>
      <b/>
      <i/>
      <sz val="22"/>
      <name val="Times New Roman"/>
      <family val="1"/>
    </font>
    <font>
      <b/>
      <sz val="10"/>
      <name val="Helv"/>
    </font>
    <font>
      <u/>
      <sz val="8"/>
      <color rgb="FF0000FF"/>
      <name val="Aptos Narrow"/>
      <family val="2"/>
      <scheme val="minor"/>
    </font>
    <font>
      <u/>
      <sz val="10"/>
      <color indexed="12"/>
      <name val="Arial"/>
      <family val="2"/>
    </font>
    <font>
      <u/>
      <sz val="10"/>
      <color indexed="12"/>
      <name val="Times New Roman"/>
      <family val="1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u/>
      <sz val="9.35"/>
      <color theme="10"/>
      <name val="Calibri"/>
      <family val="2"/>
    </font>
    <font>
      <sz val="11"/>
      <color rgb="FF3F3F76"/>
      <name val="Arial"/>
      <family val="2"/>
    </font>
    <font>
      <sz val="9"/>
      <color indexed="12"/>
      <name val="Helvetica"/>
      <family val="2"/>
    </font>
    <font>
      <sz val="8"/>
      <name val="Arial Narrow"/>
      <family val="2"/>
    </font>
    <font>
      <sz val="10"/>
      <color indexed="9"/>
      <name val="Frutiger 45 Light"/>
      <family val="2"/>
    </font>
    <font>
      <sz val="10"/>
      <color indexed="16"/>
      <name val="Arial Narrow"/>
      <family val="2"/>
    </font>
    <font>
      <b/>
      <sz val="10"/>
      <name val="MS Sans Serif"/>
      <family val="2"/>
    </font>
    <font>
      <u/>
      <sz val="10"/>
      <color indexed="36"/>
      <name val="Arial"/>
      <family val="2"/>
    </font>
    <font>
      <sz val="10"/>
      <color indexed="12"/>
      <name val="CG Times (WN)"/>
    </font>
    <font>
      <sz val="11"/>
      <color rgb="FFFA7D00"/>
      <name val="Arial"/>
      <family val="2"/>
    </font>
    <font>
      <sz val="8"/>
      <color indexed="10"/>
      <name val="Times New Roman"/>
      <family val="1"/>
    </font>
    <font>
      <i/>
      <sz val="9"/>
      <color indexed="20"/>
      <name val="Arial Narrow"/>
      <family val="2"/>
    </font>
    <font>
      <sz val="11"/>
      <color rgb="FF9C650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8"/>
      <color indexed="23"/>
      <name val="Arial Narrow"/>
      <family val="2"/>
    </font>
    <font>
      <b/>
      <i/>
      <sz val="16"/>
      <name val="Helv"/>
    </font>
    <font>
      <sz val="11"/>
      <color rgb="FF000000"/>
      <name val="Aptos Narrow"/>
      <family val="2"/>
      <scheme val="minor"/>
    </font>
    <font>
      <i/>
      <sz val="9"/>
      <name val="Arial"/>
      <family val="2"/>
    </font>
    <font>
      <sz val="10"/>
      <name val="Palatino"/>
      <family val="1"/>
    </font>
    <font>
      <sz val="11"/>
      <color indexed="8"/>
      <name val="Arial"/>
      <family val="2"/>
    </font>
    <font>
      <sz val="9"/>
      <name val="Frutiger 45 Light"/>
      <family val="2"/>
    </font>
    <font>
      <sz val="9"/>
      <color indexed="12"/>
      <name val="Frutiger 45 Light"/>
      <family val="2"/>
    </font>
    <font>
      <b/>
      <sz val="9"/>
      <name val="Frutiger 45 Light"/>
      <family val="2"/>
    </font>
    <font>
      <sz val="9"/>
      <color indexed="56"/>
      <name val="Frutiger 45 Light"/>
      <family val="2"/>
    </font>
    <font>
      <b/>
      <sz val="11"/>
      <color rgb="FF3F3F3F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22"/>
      <name val="UBSHeadline"/>
      <family val="1"/>
    </font>
    <font>
      <sz val="10"/>
      <name val="Tms Rmn"/>
    </font>
    <font>
      <i/>
      <sz val="8"/>
      <name val="Arial"/>
      <family val="2"/>
    </font>
    <font>
      <sz val="8"/>
      <color indexed="32"/>
      <name val="Arial"/>
      <family val="2"/>
    </font>
    <font>
      <sz val="8"/>
      <color indexed="10"/>
      <name val="Arial"/>
      <family val="2"/>
    </font>
    <font>
      <i/>
      <sz val="8"/>
      <color indexed="14"/>
      <name val="Arial"/>
      <family val="2"/>
    </font>
    <font>
      <sz val="9.5"/>
      <color indexed="23"/>
      <name val="Helvetica-Black"/>
    </font>
    <font>
      <b/>
      <sz val="12"/>
      <name val="MS Sans Serif"/>
      <family val="2"/>
    </font>
    <font>
      <u val="singleAccounting"/>
      <sz val="10"/>
      <name val="Arial"/>
      <family val="2"/>
    </font>
    <font>
      <u val="singleAccounting"/>
      <sz val="10"/>
      <name val="Times New Roman"/>
      <family val="1"/>
    </font>
    <font>
      <vertAlign val="superscript"/>
      <sz val="12"/>
      <name val="Helv"/>
    </font>
    <font>
      <i/>
      <sz val="8"/>
      <name val="Times New Roman"/>
      <family val="1"/>
    </font>
    <font>
      <sz val="11"/>
      <name val="돋움"/>
      <family val="3"/>
    </font>
    <font>
      <b/>
      <sz val="15"/>
      <name val="Arial"/>
      <family val="2"/>
    </font>
    <font>
      <b/>
      <sz val="14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.5"/>
      <name val="Arial"/>
      <family val="2"/>
    </font>
    <font>
      <sz val="7"/>
      <name val="Times New Roman"/>
      <family val="1"/>
    </font>
    <font>
      <b/>
      <sz val="10"/>
      <name val="Arial Narrow"/>
      <family val="2"/>
    </font>
    <font>
      <sz val="10"/>
      <color indexed="9"/>
      <name val="Arial Narrow"/>
      <family val="2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1"/>
      <name val="Times New Roman"/>
      <family val="1"/>
    </font>
    <font>
      <b/>
      <sz val="14"/>
      <color indexed="16"/>
      <name val="Sabon"/>
    </font>
    <font>
      <b/>
      <sz val="12"/>
      <name val="Helv"/>
    </font>
    <font>
      <b/>
      <sz val="14"/>
      <color indexed="9"/>
      <name val="Times New Roman"/>
      <family val="1"/>
    </font>
    <font>
      <b/>
      <sz val="14"/>
      <name val="Times New Roman"/>
      <family val="1"/>
    </font>
    <font>
      <b/>
      <sz val="12"/>
      <color theme="1"/>
      <name val="Calibri"/>
      <family val="2"/>
    </font>
    <font>
      <u/>
      <sz val="8"/>
      <color indexed="8"/>
      <name val="Arial"/>
      <family val="2"/>
    </font>
    <font>
      <sz val="16"/>
      <name val="WarburgLogo"/>
      <family val="1"/>
    </font>
    <font>
      <sz val="8"/>
      <color indexed="12"/>
      <name val="Times New Roman"/>
      <family val="1"/>
    </font>
    <font>
      <sz val="8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b/>
      <sz val="10"/>
      <color theme="0"/>
      <name val="Arial"/>
      <family val="2"/>
    </font>
    <font>
      <sz val="10"/>
      <color rgb="FFFF0000"/>
      <name val="Times New Roman"/>
      <family val="1"/>
    </font>
    <font>
      <b/>
      <sz val="11"/>
      <color rgb="FF000000"/>
      <name val="Arial"/>
      <family val="2"/>
    </font>
    <font>
      <sz val="11"/>
      <color theme="4"/>
      <name val="Aptos Narrow"/>
      <family val="2"/>
      <scheme val="minor"/>
    </font>
    <font>
      <sz val="10"/>
      <color theme="0"/>
      <name val="Arial"/>
      <family val="2"/>
    </font>
    <font>
      <sz val="10"/>
      <color rgb="FFC00000"/>
      <name val="Arial"/>
      <family val="2"/>
    </font>
    <font>
      <b/>
      <sz val="10"/>
      <color theme="0"/>
      <name val="Times New Roman"/>
      <family val="1"/>
    </font>
    <font>
      <b/>
      <i/>
      <sz val="10"/>
      <color theme="0"/>
      <name val="Arial"/>
      <family val="2"/>
    </font>
    <font>
      <b/>
      <sz val="10"/>
      <color theme="1"/>
      <name val="Times New Roman"/>
      <family val="1"/>
    </font>
    <font>
      <b/>
      <sz val="10"/>
      <color theme="1"/>
      <name val="Arial"/>
      <family val="2"/>
    </font>
    <font>
      <sz val="18"/>
      <color theme="3"/>
      <name val="Aptos Display"/>
      <family val="2"/>
      <scheme val="major"/>
    </font>
    <font>
      <sz val="11"/>
      <color rgb="FF9C5700"/>
      <name val="Aptos Narrow"/>
      <family val="2"/>
      <scheme val="minor"/>
    </font>
    <font>
      <b/>
      <i/>
      <sz val="10"/>
      <name val="Arial"/>
      <family val="2"/>
    </font>
    <font>
      <vertAlign val="superscript"/>
      <sz val="10"/>
      <name val="Arial"/>
      <family val="2"/>
    </font>
    <font>
      <vertAlign val="superscript"/>
      <sz val="10"/>
      <color indexed="8"/>
      <name val="Arial"/>
      <family val="2"/>
    </font>
    <font>
      <b/>
      <vertAlign val="superscript"/>
      <sz val="10"/>
      <color indexed="8"/>
      <name val="Arial"/>
      <family val="2"/>
    </font>
    <font>
      <i/>
      <sz val="11"/>
      <color theme="1"/>
      <name val="Arial"/>
      <family val="2"/>
    </font>
    <font>
      <i/>
      <sz val="11"/>
      <color rgb="FFFF0000"/>
      <name val="Arial"/>
      <family val="2"/>
    </font>
    <font>
      <b/>
      <vertAlign val="superscript"/>
      <sz val="10"/>
      <name val="Arial"/>
      <family val="2"/>
    </font>
    <font>
      <b/>
      <u/>
      <sz val="10"/>
      <name val="Arial"/>
      <family val="2"/>
    </font>
    <font>
      <b/>
      <vertAlign val="subscript"/>
      <sz val="10"/>
      <name val="Arial"/>
      <family val="2"/>
    </font>
    <font>
      <b/>
      <i/>
      <vertAlign val="subscript"/>
      <sz val="10"/>
      <name val="Arial"/>
      <family val="2"/>
    </font>
    <font>
      <b/>
      <sz val="18"/>
      <color theme="3"/>
      <name val="Aptos Display"/>
      <family val="2"/>
      <scheme val="major"/>
    </font>
    <font>
      <i/>
      <sz val="10"/>
      <color rgb="FFFF0000"/>
      <name val="Times New Roman"/>
      <family val="1"/>
    </font>
    <font>
      <sz val="10"/>
      <color theme="1"/>
      <name val="Times New Roman"/>
      <family val="1"/>
    </font>
    <font>
      <i/>
      <sz val="10"/>
      <name val="Arial"/>
      <family val="2"/>
    </font>
    <font>
      <sz val="10"/>
      <name val="Arial"/>
      <family val="2"/>
    </font>
    <font>
      <i/>
      <sz val="11"/>
      <color theme="0"/>
      <name val="Aptos Narrow"/>
      <family val="2"/>
      <scheme val="minor"/>
    </font>
  </fonts>
  <fills count="9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gray125">
        <fgColor indexed="8"/>
      </patternFill>
    </fill>
    <fill>
      <patternFill patternType="solid">
        <fgColor indexed="32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15"/>
      </patternFill>
    </fill>
    <fill>
      <patternFill patternType="lightGray">
        <fgColor indexed="12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gray0625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22"/>
        <bgColor indexed="14"/>
      </patternFill>
    </fill>
    <fill>
      <patternFill patternType="solid">
        <fgColor indexed="6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2"/>
      </patternFill>
    </fill>
    <fill>
      <patternFill patternType="solid">
        <fgColor indexed="16"/>
        <bgColor indexed="64"/>
      </patternFill>
    </fill>
    <fill>
      <patternFill patternType="solid">
        <fgColor indexed="9"/>
      </patternFill>
    </fill>
    <fill>
      <patternFill patternType="solid">
        <fgColor indexed="38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4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2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/>
      <top/>
      <bottom style="thin">
        <color indexed="22"/>
      </bottom>
      <diagonal/>
    </border>
    <border>
      <left/>
      <right/>
      <top/>
      <bottom style="dotted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hair">
        <color auto="1"/>
      </right>
      <top/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medium">
        <color indexed="14"/>
      </left>
      <right style="medium">
        <color indexed="14"/>
      </right>
      <top style="medium">
        <color indexed="14"/>
      </top>
      <bottom style="medium">
        <color indexed="14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30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2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51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9" fillId="0" borderId="0"/>
    <xf numFmtId="9" fontId="1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9" fillId="0" borderId="0"/>
    <xf numFmtId="0" fontId="19" fillId="0" borderId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37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6" borderId="0" applyNumberFormat="0" applyBorder="0" applyAlignment="0" applyProtection="0"/>
    <xf numFmtId="0" fontId="32" fillId="47" borderId="0" applyNumberFormat="0" applyBorder="0" applyAlignment="0" applyProtection="0"/>
    <xf numFmtId="0" fontId="32" fillId="44" borderId="0" applyNumberFormat="0" applyBorder="0" applyAlignment="0" applyProtection="0"/>
    <xf numFmtId="0" fontId="32" fillId="45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53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4" borderId="0" applyNumberFormat="0" applyBorder="0" applyAlignment="0" applyProtection="0"/>
    <xf numFmtId="0" fontId="33" fillId="38" borderId="0" applyNumberFormat="0" applyBorder="0" applyAlignment="0" applyProtection="0"/>
    <xf numFmtId="0" fontId="34" fillId="55" borderId="19" applyNumberFormat="0" applyAlignment="0" applyProtection="0"/>
    <xf numFmtId="0" fontId="35" fillId="56" borderId="20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39" borderId="0" applyNumberFormat="0" applyBorder="0" applyAlignment="0" applyProtection="0"/>
    <xf numFmtId="0" fontId="39" fillId="0" borderId="21" applyNumberFormat="0" applyFill="0" applyAlignment="0" applyProtection="0"/>
    <xf numFmtId="0" fontId="40" fillId="0" borderId="22" applyNumberFormat="0" applyFill="0" applyAlignment="0" applyProtection="0"/>
    <xf numFmtId="0" fontId="41" fillId="0" borderId="23" applyNumberFormat="0" applyFill="0" applyAlignment="0" applyProtection="0"/>
    <xf numFmtId="0" fontId="41" fillId="0" borderId="0" applyNumberFormat="0" applyFill="0" applyBorder="0" applyAlignment="0" applyProtection="0"/>
    <xf numFmtId="0" fontId="42" fillId="42" borderId="19" applyNumberFormat="0" applyAlignment="0" applyProtection="0"/>
    <xf numFmtId="0" fontId="43" fillId="0" borderId="24" applyNumberFormat="0" applyFill="0" applyAlignment="0" applyProtection="0"/>
    <xf numFmtId="0" fontId="44" fillId="57" borderId="0" applyNumberFormat="0" applyBorder="0" applyAlignment="0" applyProtection="0"/>
    <xf numFmtId="0" fontId="36" fillId="0" borderId="0"/>
    <xf numFmtId="0" fontId="36" fillId="0" borderId="0"/>
    <xf numFmtId="0" fontId="1" fillId="0" borderId="0"/>
    <xf numFmtId="0" fontId="19" fillId="0" borderId="0"/>
    <xf numFmtId="0" fontId="1" fillId="0" borderId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45" fillId="55" borderId="26" applyNumberFormat="0" applyAlignment="0" applyProtection="0"/>
    <xf numFmtId="9" fontId="1" fillId="0" borderId="0" applyFont="0" applyFill="0" applyBorder="0" applyAlignment="0" applyProtection="0"/>
    <xf numFmtId="0" fontId="19" fillId="59" borderId="16" applyNumberFormat="0" applyProtection="0">
      <alignment horizontal="left" vertical="center"/>
    </xf>
    <xf numFmtId="0" fontId="19" fillId="59" borderId="16" applyNumberFormat="0" applyProtection="0">
      <alignment horizontal="left" vertical="center"/>
    </xf>
    <xf numFmtId="0" fontId="46" fillId="0" borderId="0" applyNumberFormat="0" applyFill="0" applyBorder="0" applyAlignment="0" applyProtection="0"/>
    <xf numFmtId="0" fontId="47" fillId="0" borderId="27" applyNumberFormat="0" applyFill="0" applyAlignment="0" applyProtection="0"/>
    <xf numFmtId="0" fontId="48" fillId="0" borderId="0" applyNumberFormat="0" applyFill="0" applyBorder="0" applyAlignment="0" applyProtection="0"/>
    <xf numFmtId="0" fontId="34" fillId="55" borderId="19" applyNumberFormat="0" applyAlignment="0" applyProtection="0"/>
    <xf numFmtId="0" fontId="42" fillId="42" borderId="19" applyNumberForma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45" fillId="55" borderId="26" applyNumberFormat="0" applyAlignment="0" applyProtection="0"/>
    <xf numFmtId="0" fontId="47" fillId="0" borderId="27" applyNumberFormat="0" applyFill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9" fillId="59" borderId="16" applyNumberFormat="0" applyProtection="0">
      <alignment horizontal="left" vertical="center"/>
    </xf>
    <xf numFmtId="0" fontId="19" fillId="59" borderId="16" applyNumberFormat="0" applyProtection="0">
      <alignment horizontal="left" vertical="center"/>
    </xf>
    <xf numFmtId="0" fontId="34" fillId="55" borderId="19" applyNumberFormat="0" applyAlignment="0" applyProtection="0"/>
    <xf numFmtId="0" fontId="42" fillId="42" borderId="19" applyNumberForma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45" fillId="55" borderId="26" applyNumberFormat="0" applyAlignment="0" applyProtection="0"/>
    <xf numFmtId="0" fontId="47" fillId="0" borderId="27" applyNumberFormat="0" applyFill="0" applyAlignment="0" applyProtection="0"/>
    <xf numFmtId="0" fontId="34" fillId="55" borderId="19" applyNumberFormat="0" applyAlignment="0" applyProtection="0"/>
    <xf numFmtId="0" fontId="42" fillId="42" borderId="19" applyNumberForma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45" fillId="55" borderId="26" applyNumberFormat="0" applyAlignment="0" applyProtection="0"/>
    <xf numFmtId="0" fontId="47" fillId="0" borderId="27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59" borderId="16" applyNumberFormat="0" applyProtection="0">
      <alignment horizontal="left" vertical="center"/>
    </xf>
    <xf numFmtId="0" fontId="19" fillId="59" borderId="16" applyNumberFormat="0" applyProtection="0">
      <alignment horizontal="left" vertical="center"/>
    </xf>
    <xf numFmtId="43" fontId="1" fillId="0" borderId="0" applyFont="0" applyFill="0" applyBorder="0" applyAlignment="0" applyProtection="0"/>
    <xf numFmtId="0" fontId="63" fillId="0" borderId="0"/>
    <xf numFmtId="0" fontId="29" fillId="0" borderId="0"/>
    <xf numFmtId="43" fontId="63" fillId="0" borderId="0" applyFont="0" applyFill="0" applyBorder="0" applyAlignment="0" applyProtection="0"/>
    <xf numFmtId="0" fontId="29" fillId="0" borderId="0"/>
    <xf numFmtId="0" fontId="1" fillId="0" borderId="0"/>
    <xf numFmtId="0" fontId="19" fillId="0" borderId="0"/>
    <xf numFmtId="0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0" fontId="64" fillId="0" borderId="0"/>
    <xf numFmtId="0" fontId="65" fillId="0" borderId="0" applyFont="0" applyFill="0" applyBorder="0" applyAlignment="0" applyProtection="0"/>
    <xf numFmtId="174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75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39" fontId="19" fillId="0" borderId="0" applyFont="0" applyFill="0" applyBorder="0" applyAlignment="0" applyProtection="0"/>
    <xf numFmtId="0" fontId="64" fillId="0" borderId="0"/>
    <xf numFmtId="0" fontId="19" fillId="0" borderId="0">
      <alignment vertical="top"/>
    </xf>
    <xf numFmtId="0" fontId="65" fillId="0" borderId="0" applyNumberFormat="0" applyFill="0">
      <alignment horizontal="left" vertical="center" wrapText="1"/>
    </xf>
    <xf numFmtId="177" fontId="19" fillId="0" borderId="0" applyFont="0" applyFill="0" applyBorder="0" applyAlignment="0" applyProtection="0"/>
    <xf numFmtId="178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82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4" fontId="19" fillId="0" borderId="0" applyFont="0" applyFill="0" applyBorder="0" applyProtection="0">
      <alignment horizontal="right"/>
    </xf>
    <xf numFmtId="185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186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87" fontId="16" fillId="0" borderId="0" applyFont="0" applyFill="0" applyBorder="0" applyAlignment="0" applyProtection="0"/>
    <xf numFmtId="187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19" fillId="0" borderId="0"/>
    <xf numFmtId="0" fontId="19" fillId="0" borderId="0"/>
    <xf numFmtId="9" fontId="66" fillId="0" borderId="0">
      <alignment horizontal="right"/>
    </xf>
    <xf numFmtId="9" fontId="65" fillId="0" borderId="0">
      <alignment horizontal="right"/>
    </xf>
    <xf numFmtId="0" fontId="19" fillId="60" borderId="19" applyNumberFormat="0">
      <alignment horizontal="centerContinuous" vertical="center" wrapText="1"/>
    </xf>
    <xf numFmtId="0" fontId="19" fillId="61" borderId="19" applyNumberFormat="0">
      <alignment horizontal="left" vertical="center"/>
    </xf>
    <xf numFmtId="43" fontId="67" fillId="0" borderId="0" applyFont="0" applyFill="0" applyBorder="0" applyAlignment="0" applyProtection="0"/>
    <xf numFmtId="0" fontId="19" fillId="0" borderId="0"/>
    <xf numFmtId="9" fontId="68" fillId="0" borderId="0" applyFont="0" applyFill="0" applyBorder="0" applyAlignment="0" applyProtection="0"/>
    <xf numFmtId="10" fontId="6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36" fillId="0" borderId="0"/>
    <xf numFmtId="191" fontId="65" fillId="0" borderId="0" applyNumberFormat="0" applyFill="0">
      <alignment horizontal="left" vertical="center" wrapText="1"/>
    </xf>
    <xf numFmtId="5" fontId="68" fillId="0" borderId="0" applyFont="0" applyFill="0" applyBorder="0" applyAlignment="0" applyProtection="0"/>
    <xf numFmtId="8" fontId="68" fillId="0" borderId="0" applyFont="0" applyFill="0" applyBorder="0" applyAlignment="0" applyProtection="0"/>
    <xf numFmtId="173" fontId="19" fillId="0" borderId="0"/>
    <xf numFmtId="192" fontId="70" fillId="0" borderId="0" applyFill="0" applyBorder="0" applyAlignment="0" applyProtection="0">
      <alignment horizontal="right"/>
    </xf>
    <xf numFmtId="0" fontId="17" fillId="37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" fillId="11" borderId="0" applyNumberFormat="0" applyBorder="0" applyAlignment="0" applyProtection="0"/>
    <xf numFmtId="0" fontId="5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3" fillId="11" borderId="0" applyNumberFormat="0" applyBorder="0" applyAlignment="0" applyProtection="0"/>
    <xf numFmtId="0" fontId="1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7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5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3" fillId="15" borderId="0" applyNumberFormat="0" applyBorder="0" applyAlignment="0" applyProtection="0"/>
    <xf numFmtId="0" fontId="1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7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5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3" fillId="19" borderId="0" applyNumberFormat="0" applyBorder="0" applyAlignment="0" applyProtection="0"/>
    <xf numFmtId="0" fontId="1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7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5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3" fillId="23" borderId="0" applyNumberFormat="0" applyBorder="0" applyAlignment="0" applyProtection="0"/>
    <xf numFmtId="0" fontId="1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7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5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3" fillId="27" borderId="0" applyNumberFormat="0" applyBorder="0" applyAlignment="0" applyProtection="0"/>
    <xf numFmtId="0" fontId="1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7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53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3" fillId="31" borderId="0" applyNumberFormat="0" applyBorder="0" applyAlignment="0" applyProtection="0"/>
    <xf numFmtId="0" fontId="1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7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6" borderId="0" applyNumberFormat="0" applyBorder="0" applyAlignment="0" applyProtection="0"/>
    <xf numFmtId="0" fontId="1" fillId="12" borderId="0" applyNumberFormat="0" applyBorder="0" applyAlignment="0" applyProtection="0"/>
    <xf numFmtId="0" fontId="53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3" fillId="12" borderId="0" applyNumberFormat="0" applyBorder="0" applyAlignment="0" applyProtection="0"/>
    <xf numFmtId="0" fontId="1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7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53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3" fillId="16" borderId="0" applyNumberFormat="0" applyBorder="0" applyAlignment="0" applyProtection="0"/>
    <xf numFmtId="0" fontId="1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7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53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53" fillId="20" borderId="0" applyNumberFormat="0" applyBorder="0" applyAlignment="0" applyProtection="0"/>
    <xf numFmtId="0" fontId="1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7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53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53" fillId="24" borderId="0" applyNumberFormat="0" applyBorder="0" applyAlignment="0" applyProtection="0"/>
    <xf numFmtId="0" fontId="1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7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5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3" fillId="28" borderId="0" applyNumberFormat="0" applyBorder="0" applyAlignment="0" applyProtection="0"/>
    <xf numFmtId="0" fontId="1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7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5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53" fillId="32" borderId="0" applyNumberFormat="0" applyBorder="0" applyAlignment="0" applyProtection="0"/>
    <xf numFmtId="0" fontId="1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7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47" borderId="0" applyNumberFormat="0" applyBorder="0" applyAlignment="0" applyProtection="0"/>
    <xf numFmtId="0" fontId="32" fillId="44" borderId="0" applyNumberFormat="0" applyBorder="0" applyAlignment="0" applyProtection="0"/>
    <xf numFmtId="0" fontId="32" fillId="45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193" fontId="19" fillId="0" borderId="18">
      <alignment horizontal="right"/>
    </xf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42" fontId="72" fillId="0" borderId="0" applyFont="0"/>
    <xf numFmtId="42" fontId="72" fillId="0" borderId="30" applyFont="0"/>
    <xf numFmtId="41" fontId="72" fillId="0" borderId="0" applyFont="0"/>
    <xf numFmtId="194" fontId="73" fillId="0" borderId="18">
      <alignment horizontal="right"/>
    </xf>
    <xf numFmtId="194" fontId="73" fillId="0" borderId="18" applyFill="0">
      <alignment horizontal="right"/>
    </xf>
    <xf numFmtId="3" fontId="19" fillId="0" borderId="18" applyFill="0">
      <alignment horizontal="right"/>
    </xf>
    <xf numFmtId="195" fontId="73" fillId="0" borderId="18" applyFill="0">
      <alignment horizontal="right"/>
    </xf>
    <xf numFmtId="196" fontId="31" fillId="62" borderId="31">
      <alignment horizontal="center" vertical="center"/>
    </xf>
    <xf numFmtId="0" fontId="19" fillId="0" borderId="0"/>
    <xf numFmtId="173" fontId="74" fillId="0" borderId="0"/>
    <xf numFmtId="0" fontId="19" fillId="0" borderId="0"/>
    <xf numFmtId="197" fontId="19" fillId="0" borderId="18">
      <alignment horizontal="right"/>
      <protection locked="0"/>
    </xf>
    <xf numFmtId="6" fontId="73" fillId="0" borderId="18" applyNumberFormat="0" applyFont="0" applyBorder="0" applyProtection="0">
      <alignment horizontal="right"/>
    </xf>
    <xf numFmtId="198" fontId="75" fillId="63" borderId="32"/>
    <xf numFmtId="0" fontId="1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1" fontId="79" fillId="64" borderId="13" applyNumberFormat="0" applyBorder="0" applyAlignment="0">
      <alignment horizontal="center" vertical="top" wrapText="1"/>
      <protection hidden="1"/>
    </xf>
    <xf numFmtId="0" fontId="80" fillId="65" borderId="0"/>
    <xf numFmtId="0" fontId="81" fillId="0" borderId="0" applyAlignment="0"/>
    <xf numFmtId="0" fontId="82" fillId="0" borderId="15" applyNumberFormat="0" applyFill="0" applyAlignment="0" applyProtection="0"/>
    <xf numFmtId="0" fontId="83" fillId="0" borderId="33" applyNumberFormat="0" applyFont="0" applyFill="0" applyAlignment="0" applyProtection="0"/>
    <xf numFmtId="0" fontId="84" fillId="0" borderId="34" applyNumberFormat="0" applyFont="0" applyFill="0" applyAlignment="0" applyProtection="0">
      <alignment horizontal="centerContinuous"/>
    </xf>
    <xf numFmtId="0" fontId="68" fillId="0" borderId="15" applyNumberFormat="0" applyFont="0" applyFill="0" applyAlignment="0" applyProtection="0"/>
    <xf numFmtId="0" fontId="68" fillId="0" borderId="13" applyNumberFormat="0" applyFont="0" applyFill="0" applyAlignment="0" applyProtection="0"/>
    <xf numFmtId="0" fontId="68" fillId="0" borderId="14" applyNumberFormat="0" applyFont="0" applyFill="0" applyAlignment="0" applyProtection="0"/>
    <xf numFmtId="0" fontId="68" fillId="0" borderId="12" applyNumberFormat="0" applyFont="0" applyFill="0" applyAlignment="0" applyProtection="0"/>
    <xf numFmtId="0" fontId="16" fillId="0" borderId="0">
      <alignment horizontal="right"/>
    </xf>
    <xf numFmtId="0" fontId="69" fillId="0" borderId="0" applyFont="0" applyFill="0" applyBorder="0" applyAlignment="0" applyProtection="0"/>
    <xf numFmtId="199" fontId="16" fillId="0" borderId="0" applyFill="0" applyBorder="0" applyAlignment="0"/>
    <xf numFmtId="200" fontId="16" fillId="0" borderId="0" applyFill="0" applyBorder="0" applyAlignment="0"/>
    <xf numFmtId="171" fontId="16" fillId="0" borderId="0" applyFill="0" applyBorder="0" applyAlignment="0"/>
    <xf numFmtId="201" fontId="16" fillId="0" borderId="0" applyFill="0" applyBorder="0" applyAlignment="0"/>
    <xf numFmtId="171" fontId="19" fillId="0" borderId="0" applyFill="0" applyBorder="0" applyAlignment="0"/>
    <xf numFmtId="199" fontId="16" fillId="0" borderId="0" applyFill="0" applyBorder="0" applyAlignment="0"/>
    <xf numFmtId="201" fontId="19" fillId="0" borderId="0" applyFill="0" applyBorder="0" applyAlignment="0"/>
    <xf numFmtId="200" fontId="16" fillId="0" borderId="0" applyFill="0" applyBorder="0" applyAlignment="0"/>
    <xf numFmtId="0" fontId="34" fillId="55" borderId="19" applyNumberFormat="0" applyAlignment="0" applyProtection="0"/>
    <xf numFmtId="0" fontId="85" fillId="7" borderId="4" applyNumberFormat="0" applyAlignment="0" applyProtection="0"/>
    <xf numFmtId="0" fontId="85" fillId="7" borderId="4" applyNumberFormat="0" applyAlignment="0" applyProtection="0"/>
    <xf numFmtId="0" fontId="85" fillId="7" borderId="4" applyNumberFormat="0" applyAlignment="0" applyProtection="0"/>
    <xf numFmtId="0" fontId="85" fillId="7" borderId="4" applyNumberFormat="0" applyAlignment="0" applyProtection="0"/>
    <xf numFmtId="0" fontId="85" fillId="7" borderId="4" applyNumberFormat="0" applyAlignment="0" applyProtection="0"/>
    <xf numFmtId="0" fontId="9" fillId="7" borderId="4" applyNumberFormat="0" applyAlignment="0" applyProtection="0"/>
    <xf numFmtId="0" fontId="9" fillId="7" borderId="4" applyNumberFormat="0" applyAlignment="0" applyProtection="0"/>
    <xf numFmtId="173" fontId="83" fillId="66" borderId="0" applyNumberFormat="0" applyFont="0" applyBorder="0" applyAlignment="0">
      <alignment horizontal="left"/>
    </xf>
    <xf numFmtId="0" fontId="43" fillId="0" borderId="24" applyNumberFormat="0" applyFill="0" applyAlignment="0" applyProtection="0"/>
    <xf numFmtId="202" fontId="19" fillId="0" borderId="0" applyFont="0" applyFill="0" applyBorder="0" applyProtection="0">
      <alignment horizontal="center" vertical="center"/>
    </xf>
    <xf numFmtId="0" fontId="58" fillId="8" borderId="7" applyNumberFormat="0" applyAlignment="0" applyProtection="0"/>
    <xf numFmtId="0" fontId="58" fillId="8" borderId="7" applyNumberFormat="0" applyAlignment="0" applyProtection="0"/>
    <xf numFmtId="0" fontId="58" fillId="8" borderId="7" applyNumberFormat="0" applyAlignment="0" applyProtection="0"/>
    <xf numFmtId="0" fontId="58" fillId="8" borderId="7" applyNumberFormat="0" applyAlignment="0" applyProtection="0"/>
    <xf numFmtId="0" fontId="58" fillId="8" borderId="7" applyNumberFormat="0" applyAlignment="0" applyProtection="0"/>
    <xf numFmtId="0" fontId="58" fillId="8" borderId="7" applyNumberFormat="0" applyAlignment="0" applyProtection="0"/>
    <xf numFmtId="0" fontId="58" fillId="8" borderId="7" applyNumberFormat="0" applyAlignment="0" applyProtection="0"/>
    <xf numFmtId="0" fontId="11" fillId="8" borderId="7" applyNumberFormat="0" applyAlignment="0" applyProtection="0"/>
    <xf numFmtId="0" fontId="11" fillId="8" borderId="7" applyNumberFormat="0" applyAlignment="0" applyProtection="0"/>
    <xf numFmtId="203" fontId="19" fillId="0" borderId="0" applyNumberFormat="0" applyFont="0" applyFill="0" applyAlignment="0" applyProtection="0"/>
    <xf numFmtId="0" fontId="82" fillId="0" borderId="15" applyNumberFormat="0" applyFill="0" applyProtection="0">
      <alignment horizontal="left" vertical="center"/>
    </xf>
    <xf numFmtId="0" fontId="86" fillId="0" borderId="0">
      <alignment horizontal="center" wrapText="1"/>
      <protection hidden="1"/>
    </xf>
    <xf numFmtId="0" fontId="87" fillId="0" borderId="0">
      <alignment horizontal="right"/>
    </xf>
    <xf numFmtId="170" fontId="70" fillId="0" borderId="0" applyBorder="0">
      <alignment horizontal="right"/>
    </xf>
    <xf numFmtId="170" fontId="70" fillId="0" borderId="33" applyAlignment="0">
      <alignment horizontal="right"/>
    </xf>
    <xf numFmtId="204" fontId="16" fillId="0" borderId="0"/>
    <xf numFmtId="204" fontId="16" fillId="0" borderId="0"/>
    <xf numFmtId="204" fontId="16" fillId="0" borderId="0"/>
    <xf numFmtId="204" fontId="16" fillId="0" borderId="0"/>
    <xf numFmtId="204" fontId="16" fillId="0" borderId="0"/>
    <xf numFmtId="204" fontId="16" fillId="0" borderId="0"/>
    <xf numFmtId="204" fontId="16" fillId="0" borderId="0"/>
    <xf numFmtId="204" fontId="16" fillId="0" borderId="0"/>
    <xf numFmtId="41" fontId="88" fillId="0" borderId="0" applyFont="0" applyBorder="0">
      <alignment horizontal="right"/>
    </xf>
    <xf numFmtId="199" fontId="16" fillId="0" borderId="0" applyFont="0" applyFill="0" applyBorder="0" applyAlignment="0" applyProtection="0"/>
    <xf numFmtId="205" fontId="19" fillId="0" borderId="0" applyFont="0"/>
    <xf numFmtId="0" fontId="89" fillId="0" borderId="0" applyFont="0" applyFill="0" applyBorder="0" applyProtection="0">
      <alignment horizontal="right"/>
    </xf>
    <xf numFmtId="0" fontId="89" fillId="0" borderId="0" applyFont="0" applyFill="0" applyBorder="0" applyProtection="0">
      <alignment horizontal="right"/>
    </xf>
    <xf numFmtId="172" fontId="19" fillId="0" borderId="0" applyFont="0" applyFill="0" applyBorder="0" applyAlignment="0" applyProtection="0">
      <alignment horizontal="right"/>
    </xf>
    <xf numFmtId="206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>
      <alignment horizontal="right"/>
    </xf>
    <xf numFmtId="166" fontId="19" fillId="0" borderId="0" applyFont="0" applyFill="0" applyBorder="0" applyAlignment="0" applyProtection="0">
      <alignment horizontal="right"/>
    </xf>
    <xf numFmtId="166" fontId="19" fillId="0" borderId="0" applyFont="0" applyFill="0" applyBorder="0" applyAlignment="0" applyProtection="0">
      <alignment horizontal="right"/>
    </xf>
    <xf numFmtId="166" fontId="19" fillId="0" borderId="0" applyFont="0" applyFill="0" applyBorder="0" applyAlignment="0" applyProtection="0">
      <alignment horizontal="right"/>
    </xf>
    <xf numFmtId="43" fontId="19" fillId="0" borderId="0" applyFont="0" applyFill="0" applyBorder="0" applyAlignment="0" applyProtection="0"/>
    <xf numFmtId="43" fontId="90" fillId="0" borderId="0" applyFont="0" applyFill="0" applyBorder="0" applyAlignment="0" applyProtection="0"/>
    <xf numFmtId="166" fontId="19" fillId="0" borderId="0" applyFont="0" applyFill="0" applyBorder="0" applyAlignment="0" applyProtection="0">
      <alignment horizontal="right"/>
    </xf>
    <xf numFmtId="166" fontId="19" fillId="0" borderId="0" applyFont="0" applyFill="0" applyBorder="0" applyAlignment="0" applyProtection="0">
      <alignment horizontal="right"/>
    </xf>
    <xf numFmtId="166" fontId="19" fillId="0" borderId="0" applyFont="0" applyFill="0" applyBorder="0" applyAlignment="0" applyProtection="0">
      <alignment horizontal="right"/>
    </xf>
    <xf numFmtId="166" fontId="19" fillId="0" borderId="0" applyFont="0" applyFill="0" applyBorder="0" applyAlignment="0" applyProtection="0">
      <alignment horizontal="right"/>
    </xf>
    <xf numFmtId="43" fontId="86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7" fontId="9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94" fillId="0" borderId="0" applyFont="0" applyFill="0" applyBorder="0" applyAlignment="0" applyProtection="0"/>
    <xf numFmtId="173" fontId="95" fillId="0" borderId="0"/>
    <xf numFmtId="0" fontId="96" fillId="0" borderId="0"/>
    <xf numFmtId="0" fontId="19" fillId="58" borderId="25" applyNumberFormat="0" applyFont="0" applyAlignment="0" applyProtection="0"/>
    <xf numFmtId="0" fontId="97" fillId="67" borderId="0">
      <alignment horizontal="center" vertical="center" wrapText="1"/>
    </xf>
    <xf numFmtId="208" fontId="19" fillId="0" borderId="0" applyFill="0" applyBorder="0">
      <alignment horizontal="right"/>
      <protection locked="0"/>
    </xf>
    <xf numFmtId="200" fontId="16" fillId="0" borderId="0" applyFont="0" applyFill="0" applyBorder="0" applyAlignment="0" applyProtection="0"/>
    <xf numFmtId="209" fontId="52" fillId="0" borderId="0">
      <alignment horizontal="right"/>
    </xf>
    <xf numFmtId="8" fontId="98" fillId="0" borderId="35">
      <protection locked="0"/>
    </xf>
    <xf numFmtId="0" fontId="89" fillId="0" borderId="0" applyFont="0" applyFill="0" applyBorder="0" applyProtection="0">
      <alignment horizontal="right"/>
    </xf>
    <xf numFmtId="182" fontId="19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6" fillId="0" borderId="0" applyFont="0" applyFill="0" applyBorder="0" applyAlignment="0" applyProtection="0"/>
    <xf numFmtId="1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2" fillId="0" borderId="0" applyFont="0" applyFill="0" applyBorder="0" applyAlignment="0" applyProtection="0"/>
    <xf numFmtId="44" fontId="19" fillId="0" borderId="0" applyFont="0" applyFill="0" applyBorder="0" applyAlignment="0" applyProtection="0"/>
    <xf numFmtId="210" fontId="19" fillId="0" borderId="0" applyFont="0" applyFill="0" applyBorder="0" applyAlignment="0" applyProtection="0">
      <alignment horizontal="right"/>
    </xf>
    <xf numFmtId="210" fontId="19" fillId="0" borderId="0" applyFont="0" applyFill="0" applyBorder="0" applyAlignment="0" applyProtection="0">
      <alignment horizontal="right"/>
    </xf>
    <xf numFmtId="210" fontId="19" fillId="0" borderId="0" applyFont="0" applyFill="0" applyBorder="0" applyAlignment="0" applyProtection="0">
      <alignment horizontal="right"/>
    </xf>
    <xf numFmtId="210" fontId="19" fillId="0" borderId="0" applyFont="0" applyFill="0" applyBorder="0" applyAlignment="0" applyProtection="0">
      <alignment horizontal="right"/>
    </xf>
    <xf numFmtId="44" fontId="1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210" fontId="19" fillId="0" borderId="0" applyFont="0" applyFill="0" applyBorder="0" applyAlignment="0" applyProtection="0">
      <alignment horizontal="right"/>
    </xf>
    <xf numFmtId="210" fontId="19" fillId="0" borderId="0" applyFont="0" applyFill="0" applyBorder="0" applyAlignment="0" applyProtection="0">
      <alignment horizontal="right"/>
    </xf>
    <xf numFmtId="210" fontId="19" fillId="0" borderId="0" applyFont="0" applyFill="0" applyBorder="0" applyAlignment="0" applyProtection="0">
      <alignment horizontal="right"/>
    </xf>
    <xf numFmtId="210" fontId="19" fillId="0" borderId="0" applyFont="0" applyFill="0" applyBorder="0" applyAlignment="0" applyProtection="0">
      <alignment horizontal="right"/>
    </xf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211" fontId="9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12" fontId="16" fillId="0" borderId="0" applyFont="0" applyFill="0" applyBorder="0" applyProtection="0">
      <alignment horizontal="right"/>
    </xf>
    <xf numFmtId="213" fontId="93" fillId="0" borderId="36" applyFont="0" applyFill="0" applyBorder="0" applyAlignment="0" applyProtection="0"/>
    <xf numFmtId="214" fontId="73" fillId="0" borderId="0" applyFont="0" applyFill="0" applyBorder="0" applyAlignment="0" applyProtection="0">
      <alignment vertical="center"/>
    </xf>
    <xf numFmtId="215" fontId="73" fillId="0" borderId="0" applyFont="0" applyFill="0" applyBorder="0" applyAlignment="0" applyProtection="0">
      <alignment vertical="center"/>
    </xf>
    <xf numFmtId="0" fontId="86" fillId="0" borderId="0" applyFont="0" applyFill="0" applyBorder="0" applyAlignment="0">
      <protection locked="0"/>
    </xf>
    <xf numFmtId="0" fontId="69" fillId="0" borderId="0" applyFont="0" applyFill="0" applyBorder="0" applyAlignment="0" applyProtection="0"/>
    <xf numFmtId="216" fontId="64" fillId="0" borderId="37" applyNumberFormat="0" applyFill="0">
      <alignment horizontal="right"/>
    </xf>
    <xf numFmtId="216" fontId="64" fillId="0" borderId="37" applyNumberFormat="0" applyFill="0">
      <alignment horizontal="right"/>
    </xf>
    <xf numFmtId="1" fontId="100" fillId="0" borderId="0"/>
    <xf numFmtId="217" fontId="83" fillId="0" borderId="0" applyFont="0" applyFill="0" applyBorder="0" applyProtection="0">
      <alignment horizontal="right"/>
    </xf>
    <xf numFmtId="218" fontId="66" fillId="65" borderId="17" applyFont="0" applyFill="0" applyBorder="0" applyAlignment="0" applyProtection="0"/>
    <xf numFmtId="219" fontId="93" fillId="0" borderId="0" applyFont="0" applyFill="0" applyBorder="0" applyAlignment="0" applyProtection="0"/>
    <xf numFmtId="219" fontId="93" fillId="0" borderId="0" applyFont="0" applyFill="0" applyBorder="0" applyAlignment="0" applyProtection="0"/>
    <xf numFmtId="220" fontId="70" fillId="0" borderId="15" applyFont="0" applyFill="0" applyBorder="0" applyAlignment="0" applyProtection="0"/>
    <xf numFmtId="174" fontId="19" fillId="0" borderId="0" applyFont="0" applyFill="0" applyBorder="0" applyAlignment="0" applyProtection="0"/>
    <xf numFmtId="221" fontId="91" fillId="0" borderId="0" applyFont="0" applyFill="0" applyBorder="0" applyAlignment="0" applyProtection="0"/>
    <xf numFmtId="14" fontId="36" fillId="0" borderId="0" applyFill="0" applyBorder="0" applyAlignment="0"/>
    <xf numFmtId="0" fontId="19" fillId="0" borderId="0">
      <alignment horizontal="left" vertical="top"/>
    </xf>
    <xf numFmtId="42" fontId="101" fillId="0" borderId="0"/>
    <xf numFmtId="0" fontId="93" fillId="0" borderId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02" fillId="0" borderId="0">
      <protection locked="0"/>
    </xf>
    <xf numFmtId="0" fontId="19" fillId="0" borderId="0"/>
    <xf numFmtId="42" fontId="16" fillId="0" borderId="0"/>
    <xf numFmtId="170" fontId="19" fillId="0" borderId="38" applyNumberFormat="0" applyFont="0" applyFill="0" applyAlignment="0" applyProtection="0"/>
    <xf numFmtId="170" fontId="19" fillId="0" borderId="38" applyNumberFormat="0" applyFont="0" applyFill="0" applyAlignment="0" applyProtection="0"/>
    <xf numFmtId="170" fontId="19" fillId="0" borderId="38" applyNumberFormat="0" applyFont="0" applyFill="0" applyAlignment="0" applyProtection="0"/>
    <xf numFmtId="42" fontId="103" fillId="0" borderId="0" applyFill="0" applyBorder="0" applyAlignment="0" applyProtection="0"/>
    <xf numFmtId="1" fontId="83" fillId="0" borderId="0"/>
    <xf numFmtId="222" fontId="104" fillId="0" borderId="0">
      <protection locked="0"/>
    </xf>
    <xf numFmtId="222" fontId="104" fillId="0" borderId="0">
      <protection locked="0"/>
    </xf>
    <xf numFmtId="199" fontId="16" fillId="0" borderId="0" applyFill="0" applyBorder="0" applyAlignment="0"/>
    <xf numFmtId="200" fontId="16" fillId="0" borderId="0" applyFill="0" applyBorder="0" applyAlignment="0"/>
    <xf numFmtId="199" fontId="16" fillId="0" borderId="0" applyFill="0" applyBorder="0" applyAlignment="0"/>
    <xf numFmtId="201" fontId="19" fillId="0" borderId="0" applyFill="0" applyBorder="0" applyAlignment="0"/>
    <xf numFmtId="200" fontId="16" fillId="0" borderId="0" applyFill="0" applyBorder="0" applyAlignment="0"/>
    <xf numFmtId="0" fontId="42" fillId="42" borderId="19" applyNumberFormat="0" applyAlignment="0" applyProtection="0"/>
    <xf numFmtId="223" fontId="65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224" fontId="86" fillId="68" borderId="13">
      <alignment horizontal="left"/>
    </xf>
    <xf numFmtId="1" fontId="106" fillId="69" borderId="11" applyNumberFormat="0" applyBorder="0" applyAlignment="0">
      <alignment horizontal="centerContinuous" vertical="center"/>
      <protection locked="0"/>
    </xf>
    <xf numFmtId="225" fontId="19" fillId="0" borderId="0">
      <protection locked="0"/>
    </xf>
    <xf numFmtId="203" fontId="19" fillId="0" borderId="0">
      <protection locked="0"/>
    </xf>
    <xf numFmtId="2" fontId="94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Fill="0" applyBorder="0" applyProtection="0">
      <alignment horizontal="left"/>
    </xf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38" fontId="93" fillId="70" borderId="0" applyNumberFormat="0" applyBorder="0" applyAlignment="0" applyProtection="0"/>
    <xf numFmtId="0" fontId="110" fillId="0" borderId="0" applyNumberFormat="0">
      <alignment horizontal="right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71" borderId="16" applyNumberFormat="0" applyFont="0" applyBorder="0" applyAlignment="0" applyProtection="0"/>
    <xf numFmtId="177" fontId="19" fillId="0" borderId="0" applyFont="0" applyFill="0" applyBorder="0" applyAlignment="0" applyProtection="0">
      <alignment horizontal="right"/>
    </xf>
    <xf numFmtId="173" fontId="111" fillId="71" borderId="0" applyNumberFormat="0" applyFont="0" applyAlignment="0"/>
    <xf numFmtId="0" fontId="112" fillId="0" borderId="0" applyProtection="0">
      <alignment horizontal="right"/>
    </xf>
    <xf numFmtId="0" fontId="56" fillId="0" borderId="39" applyNumberFormat="0" applyAlignment="0" applyProtection="0">
      <alignment horizontal="left" vertical="center"/>
    </xf>
    <xf numFmtId="0" fontId="56" fillId="0" borderId="28">
      <alignment horizontal="left" vertical="center"/>
    </xf>
    <xf numFmtId="49" fontId="113" fillId="0" borderId="0">
      <alignment horizontal="centerContinuous"/>
    </xf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114" fillId="0" borderId="0" applyNumberFormat="0" applyFill="0" applyBorder="0" applyAlignment="0" applyProtection="0"/>
    <xf numFmtId="0" fontId="115" fillId="0" borderId="0" applyProtection="0">
      <alignment horizontal="left"/>
    </xf>
    <xf numFmtId="0" fontId="115" fillId="0" borderId="0" applyProtection="0">
      <alignment horizontal="left"/>
    </xf>
    <xf numFmtId="0" fontId="115" fillId="0" borderId="0" applyProtection="0">
      <alignment horizontal="left"/>
    </xf>
    <xf numFmtId="0" fontId="115" fillId="0" borderId="0" applyProtection="0">
      <alignment horizontal="left"/>
    </xf>
    <xf numFmtId="0" fontId="3" fillId="0" borderId="2" applyNumberFormat="0" applyFill="0" applyAlignment="0" applyProtection="0"/>
    <xf numFmtId="0" fontId="115" fillId="0" borderId="0" applyProtection="0">
      <alignment horizontal="left"/>
    </xf>
    <xf numFmtId="0" fontId="116" fillId="0" borderId="0" applyProtection="0">
      <alignment horizontal="left"/>
    </xf>
    <xf numFmtId="0" fontId="116" fillId="0" borderId="0" applyProtection="0">
      <alignment horizontal="left"/>
    </xf>
    <xf numFmtId="0" fontId="116" fillId="0" borderId="0" applyProtection="0">
      <alignment horizontal="left"/>
    </xf>
    <xf numFmtId="0" fontId="116" fillId="0" borderId="0" applyProtection="0">
      <alignment horizontal="left"/>
    </xf>
    <xf numFmtId="0" fontId="117" fillId="0" borderId="3" applyNumberFormat="0" applyFill="0" applyAlignment="0" applyProtection="0"/>
    <xf numFmtId="0" fontId="4" fillId="0" borderId="3" applyNumberFormat="0" applyFill="0" applyAlignment="0" applyProtection="0"/>
    <xf numFmtId="0" fontId="116" fillId="0" borderId="0" applyProtection="0">
      <alignment horizontal="left"/>
    </xf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18" fillId="0" borderId="0"/>
    <xf numFmtId="0" fontId="77" fillId="0" borderId="0"/>
    <xf numFmtId="226" fontId="72" fillId="0" borderId="0">
      <alignment horizontal="centerContinuous"/>
    </xf>
    <xf numFmtId="0" fontId="119" fillId="0" borderId="40" applyNumberFormat="0" applyFill="0" applyBorder="0" applyAlignment="0" applyProtection="0">
      <alignment horizontal="left"/>
    </xf>
    <xf numFmtId="226" fontId="72" fillId="0" borderId="41">
      <alignment horizontal="center"/>
    </xf>
    <xf numFmtId="0" fontId="19" fillId="0" borderId="0" applyNumberFormat="0" applyFill="0" applyBorder="0" applyProtection="0">
      <alignment wrapText="1"/>
    </xf>
    <xf numFmtId="0" fontId="19" fillId="0" borderId="0" applyNumberFormat="0" applyFill="0" applyBorder="0" applyProtection="0">
      <alignment horizontal="justify" vertical="top" wrapText="1"/>
    </xf>
    <xf numFmtId="0" fontId="120" fillId="0" borderId="29">
      <alignment horizontal="left" vertical="center"/>
    </xf>
    <xf numFmtId="0" fontId="120" fillId="72" borderId="0">
      <alignment horizontal="centerContinuous" wrapText="1"/>
    </xf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/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227" fontId="122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/>
    <xf numFmtId="0" fontId="19" fillId="0" borderId="0">
      <alignment horizontal="right"/>
    </xf>
    <xf numFmtId="10" fontId="93" fillId="65" borderId="16" applyNumberFormat="0" applyBorder="0" applyAlignment="0" applyProtection="0"/>
    <xf numFmtId="0" fontId="127" fillId="6" borderId="4" applyNumberFormat="0" applyAlignment="0" applyProtection="0"/>
    <xf numFmtId="0" fontId="127" fillId="6" borderId="4" applyNumberFormat="0" applyAlignment="0" applyProtection="0"/>
    <xf numFmtId="0" fontId="127" fillId="6" borderId="4" applyNumberFormat="0" applyAlignment="0" applyProtection="0"/>
    <xf numFmtId="0" fontId="127" fillId="6" borderId="4" applyNumberFormat="0" applyAlignment="0" applyProtection="0"/>
    <xf numFmtId="0" fontId="127" fillId="6" borderId="4" applyNumberFormat="0" applyAlignment="0" applyProtection="0"/>
    <xf numFmtId="0" fontId="7" fillId="6" borderId="4" applyNumberFormat="0" applyAlignment="0" applyProtection="0"/>
    <xf numFmtId="228" fontId="86" fillId="0" borderId="0" applyNumberFormat="0" applyFill="0" applyBorder="0" applyAlignment="0" applyProtection="0"/>
    <xf numFmtId="0" fontId="19" fillId="0" borderId="0" applyNumberFormat="0" applyFill="0" applyBorder="0" applyAlignment="0">
      <protection locked="0"/>
    </xf>
    <xf numFmtId="0" fontId="128" fillId="65" borderId="0" applyNumberFormat="0" applyFont="0" applyBorder="0" applyAlignment="0">
      <alignment horizontal="right"/>
      <protection locked="0"/>
    </xf>
    <xf numFmtId="0" fontId="129" fillId="57" borderId="0" applyNumberFormat="0" applyFont="0" applyBorder="0" applyAlignment="0">
      <alignment horizontal="right" vertical="top"/>
      <protection locked="0"/>
    </xf>
    <xf numFmtId="229" fontId="19" fillId="65" borderId="42" applyNumberFormat="0" applyFont="0" applyBorder="0" applyAlignment="0">
      <alignment horizontal="right" vertical="center"/>
      <protection locked="0"/>
    </xf>
    <xf numFmtId="0" fontId="129" fillId="57" borderId="0" applyNumberFormat="0" applyFont="0" applyBorder="0" applyAlignment="0">
      <alignment horizontal="right" vertical="top"/>
      <protection locked="0"/>
    </xf>
    <xf numFmtId="0" fontId="86" fillId="0" borderId="0" applyFill="0" applyBorder="0">
      <alignment horizontal="right"/>
      <protection locked="0"/>
    </xf>
    <xf numFmtId="230" fontId="130" fillId="0" borderId="43" applyFont="0" applyFill="0" applyBorder="0" applyAlignment="0" applyProtection="0"/>
    <xf numFmtId="231" fontId="19" fillId="0" borderId="0" applyFill="0" applyBorder="0">
      <alignment horizontal="right"/>
      <protection locked="0"/>
    </xf>
    <xf numFmtId="0" fontId="131" fillId="0" borderId="0" applyFill="0" applyBorder="0"/>
    <xf numFmtId="0" fontId="132" fillId="73" borderId="44">
      <alignment horizontal="left" vertical="center" wrapText="1"/>
    </xf>
    <xf numFmtId="0" fontId="69" fillId="0" borderId="0" applyNumberFormat="0" applyFill="0" applyBorder="0" applyProtection="0">
      <alignment horizontal="left" vertical="center"/>
    </xf>
    <xf numFmtId="0" fontId="133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6" fillId="74" borderId="0" applyNumberFormat="0" applyFont="0" applyBorder="0" applyProtection="0"/>
    <xf numFmtId="2" fontId="134" fillId="0" borderId="15"/>
    <xf numFmtId="199" fontId="16" fillId="0" borderId="0" applyFill="0" applyBorder="0" applyAlignment="0"/>
    <xf numFmtId="200" fontId="16" fillId="0" borderId="0" applyFill="0" applyBorder="0" applyAlignment="0"/>
    <xf numFmtId="199" fontId="16" fillId="0" borderId="0" applyFill="0" applyBorder="0" applyAlignment="0"/>
    <xf numFmtId="201" fontId="19" fillId="0" borderId="0" applyFill="0" applyBorder="0" applyAlignment="0"/>
    <xf numFmtId="200" fontId="16" fillId="0" borderId="0" applyFill="0" applyBorder="0" applyAlignment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14" fontId="70" fillId="0" borderId="15" applyFont="0" applyFill="0" applyBorder="0" applyAlignment="0" applyProtection="0"/>
    <xf numFmtId="3" fontId="19" fillId="0" borderId="0"/>
    <xf numFmtId="1" fontId="136" fillId="0" borderId="0"/>
    <xf numFmtId="232" fontId="137" fillId="75" borderId="0" applyBorder="0" applyAlignment="0">
      <alignment horizontal="right"/>
    </xf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3" fontId="19" fillId="0" borderId="0" applyFont="0" applyFill="0" applyBorder="0" applyAlignment="0" applyProtection="0"/>
    <xf numFmtId="234" fontId="1" fillId="0" borderId="0" applyFont="0" applyFill="0" applyBorder="0" applyAlignment="0" applyProtection="0"/>
    <xf numFmtId="235" fontId="19" fillId="0" borderId="0" applyFont="0" applyFill="0" applyBorder="0" applyAlignment="0" applyProtection="0"/>
    <xf numFmtId="14" fontId="68" fillId="0" borderId="0" applyFont="0" applyFill="0" applyBorder="0" applyAlignment="0" applyProtection="0"/>
    <xf numFmtId="3" fontId="69" fillId="0" borderId="0"/>
    <xf numFmtId="3" fontId="69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6" fontId="19" fillId="0" borderId="0" applyFont="0" applyFill="0" applyBorder="0" applyAlignment="0" applyProtection="0"/>
    <xf numFmtId="237" fontId="1" fillId="0" borderId="0" applyFont="0" applyFill="0" applyBorder="0" applyAlignment="0" applyProtection="0"/>
    <xf numFmtId="238" fontId="19" fillId="0" borderId="0" applyFont="0" applyFill="0" applyBorder="0" applyAlignment="0" applyProtection="0"/>
    <xf numFmtId="239" fontId="19" fillId="0" borderId="0">
      <protection locked="0"/>
    </xf>
    <xf numFmtId="220" fontId="93" fillId="65" borderId="0">
      <alignment horizontal="center"/>
    </xf>
    <xf numFmtId="240" fontId="91" fillId="0" borderId="0" applyFont="0" applyFill="0" applyBorder="0" applyProtection="0">
      <alignment horizontal="right"/>
    </xf>
    <xf numFmtId="2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9" fillId="0" borderId="0" applyFont="0" applyFill="0" applyBorder="0" applyProtection="0">
      <alignment horizontal="right"/>
    </xf>
    <xf numFmtId="0" fontId="89" fillId="0" borderId="0" applyFont="0" applyFill="0" applyBorder="0" applyProtection="0">
      <alignment horizontal="right"/>
    </xf>
    <xf numFmtId="0" fontId="89" fillId="0" borderId="0" applyFont="0" applyFill="0" applyBorder="0" applyProtection="0">
      <alignment horizontal="right"/>
    </xf>
    <xf numFmtId="0" fontId="19" fillId="0" borderId="0" applyFont="0" applyFill="0" applyBorder="0" applyProtection="0">
      <alignment horizontal="right"/>
    </xf>
    <xf numFmtId="170" fontId="19" fillId="0" borderId="0" applyFont="0" applyFill="0" applyBorder="0" applyProtection="0">
      <alignment horizontal="right"/>
    </xf>
    <xf numFmtId="0" fontId="19" fillId="0" borderId="45" applyBorder="0" applyAlignment="0" applyProtection="0">
      <alignment horizontal="center"/>
    </xf>
    <xf numFmtId="0" fontId="138" fillId="5" borderId="0" applyNumberFormat="0" applyBorder="0" applyAlignment="0" applyProtection="0"/>
    <xf numFmtId="0" fontId="138" fillId="5" borderId="0" applyNumberFormat="0" applyBorder="0" applyAlignment="0" applyProtection="0"/>
    <xf numFmtId="0" fontId="138" fillId="5" borderId="0" applyNumberFormat="0" applyBorder="0" applyAlignment="0" applyProtection="0"/>
    <xf numFmtId="0" fontId="138" fillId="5" borderId="0" applyNumberFormat="0" applyBorder="0" applyAlignment="0" applyProtection="0"/>
    <xf numFmtId="0" fontId="138" fillId="5" borderId="0" applyNumberFormat="0" applyBorder="0" applyAlignment="0" applyProtection="0"/>
    <xf numFmtId="0" fontId="138" fillId="5" borderId="0" applyNumberFormat="0" applyBorder="0" applyAlignment="0" applyProtection="0"/>
    <xf numFmtId="0" fontId="138" fillId="5" borderId="0" applyNumberFormat="0" applyBorder="0" applyAlignment="0" applyProtection="0"/>
    <xf numFmtId="0" fontId="62" fillId="5" borderId="0" applyNumberFormat="0" applyBorder="0" applyAlignment="0" applyProtection="0"/>
    <xf numFmtId="0" fontId="62" fillId="5" borderId="0" applyNumberFormat="0" applyBorder="0" applyAlignment="0" applyProtection="0"/>
    <xf numFmtId="0" fontId="81" fillId="0" borderId="0"/>
    <xf numFmtId="229" fontId="73" fillId="0" borderId="0" applyNumberFormat="0" applyFont="0" applyFill="0" applyBorder="0" applyAlignment="0" applyProtection="0">
      <alignment vertical="center"/>
    </xf>
    <xf numFmtId="37" fontId="139" fillId="0" borderId="0"/>
    <xf numFmtId="0" fontId="140" fillId="0" borderId="0"/>
    <xf numFmtId="0" fontId="52" fillId="76" borderId="0" applyNumberFormat="0" applyBorder="0" applyAlignment="0">
      <alignment horizontal="right"/>
      <protection hidden="1"/>
    </xf>
    <xf numFmtId="229" fontId="141" fillId="0" borderId="0" applyNumberFormat="0" applyFill="0" applyBorder="0" applyAlignment="0" applyProtection="0">
      <alignment vertical="center"/>
    </xf>
    <xf numFmtId="1" fontId="69" fillId="0" borderId="0"/>
    <xf numFmtId="242" fontId="142" fillId="0" borderId="0"/>
    <xf numFmtId="37" fontId="66" fillId="77" borderId="0" applyFont="0" applyFill="0" applyBorder="0" applyAlignment="0" applyProtection="0"/>
    <xf numFmtId="222" fontId="19" fillId="0" borderId="0" applyFont="0" applyFill="0" applyBorder="0" applyAlignment="0"/>
    <xf numFmtId="243" fontId="93" fillId="0" borderId="0" applyFont="0" applyFill="0" applyBorder="0" applyAlignment="0"/>
    <xf numFmtId="244" fontId="93" fillId="0" borderId="0" applyFont="0" applyFill="0" applyBorder="0" applyAlignment="0"/>
    <xf numFmtId="243" fontId="93" fillId="0" borderId="0" applyFont="0" applyFill="0" applyBorder="0" applyAlignment="0"/>
    <xf numFmtId="245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6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9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16"/>
    <xf numFmtId="0" fontId="36" fillId="0" borderId="0">
      <alignment vertical="top"/>
    </xf>
    <xf numFmtId="0" fontId="36" fillId="0" borderId="0">
      <alignment vertical="top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86" fillId="0" borderId="0"/>
    <xf numFmtId="0" fontId="1" fillId="0" borderId="0"/>
    <xf numFmtId="0" fontId="86" fillId="0" borderId="0"/>
    <xf numFmtId="0" fontId="8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50" fillId="0" borderId="0"/>
    <xf numFmtId="0" fontId="19" fillId="0" borderId="0"/>
    <xf numFmtId="0" fontId="50" fillId="0" borderId="0"/>
    <xf numFmtId="0" fontId="86" fillId="0" borderId="0"/>
    <xf numFmtId="0" fontId="19" fillId="0" borderId="0"/>
    <xf numFmtId="227" fontId="19" fillId="0" borderId="0"/>
    <xf numFmtId="0" fontId="86" fillId="0" borderId="0"/>
    <xf numFmtId="0" fontId="86" fillId="0" borderId="0"/>
    <xf numFmtId="227" fontId="19" fillId="0" borderId="0"/>
    <xf numFmtId="0" fontId="50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7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7" fillId="0" borderId="0"/>
    <xf numFmtId="0" fontId="110" fillId="0" borderId="0"/>
    <xf numFmtId="0" fontId="19" fillId="0" borderId="0"/>
    <xf numFmtId="227" fontId="19" fillId="0" borderId="0"/>
    <xf numFmtId="227" fontId="19" fillId="0" borderId="0"/>
    <xf numFmtId="0" fontId="19" fillId="0" borderId="0"/>
    <xf numFmtId="0" fontId="8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227" fontId="19" fillId="0" borderId="0"/>
    <xf numFmtId="0" fontId="8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9" fillId="0" borderId="0"/>
    <xf numFmtId="0" fontId="19" fillId="0" borderId="0"/>
    <xf numFmtId="0" fontId="86" fillId="0" borderId="0"/>
    <xf numFmtId="0" fontId="63" fillId="0" borderId="0"/>
    <xf numFmtId="0" fontId="86" fillId="0" borderId="0"/>
    <xf numFmtId="0" fontId="86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7" fillId="0" borderId="0"/>
    <xf numFmtId="0" fontId="86" fillId="0" borderId="0"/>
    <xf numFmtId="0" fontId="63" fillId="0" borderId="0"/>
    <xf numFmtId="0" fontId="63" fillId="0" borderId="0"/>
    <xf numFmtId="0" fontId="86" fillId="0" borderId="0"/>
    <xf numFmtId="0" fontId="8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3" fillId="0" borderId="0"/>
    <xf numFmtId="0" fontId="1" fillId="0" borderId="0"/>
    <xf numFmtId="0" fontId="86" fillId="0" borderId="0"/>
    <xf numFmtId="0" fontId="19" fillId="0" borderId="0"/>
    <xf numFmtId="0" fontId="63" fillId="0" borderId="0"/>
    <xf numFmtId="0" fontId="19" fillId="0" borderId="0"/>
    <xf numFmtId="0" fontId="19" fillId="0" borderId="0"/>
    <xf numFmtId="0" fontId="6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3" fillId="0" borderId="0"/>
    <xf numFmtId="0" fontId="19" fillId="0" borderId="0"/>
    <xf numFmtId="0" fontId="86" fillId="0" borderId="0"/>
    <xf numFmtId="0" fontId="63" fillId="0" borderId="0"/>
    <xf numFmtId="0" fontId="19" fillId="0" borderId="0"/>
    <xf numFmtId="0" fontId="19" fillId="0" borderId="0"/>
    <xf numFmtId="0" fontId="7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8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86" fillId="0" borderId="0"/>
    <xf numFmtId="0" fontId="86" fillId="0" borderId="0"/>
    <xf numFmtId="0" fontId="8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" fillId="0" borderId="0"/>
    <xf numFmtId="227" fontId="19" fillId="0" borderId="0"/>
    <xf numFmtId="227" fontId="19" fillId="0" borderId="0"/>
    <xf numFmtId="0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3" fillId="0" borderId="0"/>
    <xf numFmtId="0" fontId="143" fillId="0" borderId="0"/>
    <xf numFmtId="227" fontId="19" fillId="0" borderId="0"/>
    <xf numFmtId="227" fontId="19" fillId="0" borderId="0"/>
    <xf numFmtId="0" fontId="7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45" fontId="1" fillId="0" borderId="0"/>
    <xf numFmtId="0" fontId="1" fillId="0" borderId="0"/>
    <xf numFmtId="0" fontId="92" fillId="0" borderId="0"/>
    <xf numFmtId="227" fontId="19" fillId="0" borderId="0"/>
    <xf numFmtId="0" fontId="19" fillId="0" borderId="0"/>
    <xf numFmtId="227" fontId="19" fillId="0" borderId="0"/>
    <xf numFmtId="0" fontId="63" fillId="0" borderId="0"/>
    <xf numFmtId="0" fontId="1" fillId="0" borderId="0"/>
    <xf numFmtId="0" fontId="63" fillId="0" borderId="0"/>
    <xf numFmtId="227" fontId="19" fillId="0" borderId="0"/>
    <xf numFmtId="227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0" fontId="1" fillId="0" borderId="0"/>
    <xf numFmtId="227" fontId="19" fillId="0" borderId="0"/>
    <xf numFmtId="227" fontId="19" fillId="0" borderId="0"/>
    <xf numFmtId="227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27" fontId="19" fillId="0" borderId="0"/>
    <xf numFmtId="0" fontId="19" fillId="0" borderId="0"/>
    <xf numFmtId="0" fontId="8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9" fillId="0" borderId="0"/>
    <xf numFmtId="0" fontId="8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9" fillId="0" borderId="0"/>
    <xf numFmtId="227" fontId="19" fillId="0" borderId="0"/>
    <xf numFmtId="227" fontId="19" fillId="0" borderId="0"/>
    <xf numFmtId="227" fontId="19" fillId="0" borderId="0"/>
    <xf numFmtId="0" fontId="19" fillId="0" borderId="0">
      <alignment wrapText="1"/>
    </xf>
    <xf numFmtId="0" fontId="19" fillId="0" borderId="0">
      <alignment wrapText="1"/>
    </xf>
    <xf numFmtId="0" fontId="7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9" fillId="0" borderId="0"/>
    <xf numFmtId="227" fontId="19" fillId="0" borderId="0"/>
    <xf numFmtId="0" fontId="19" fillId="0" borderId="0"/>
    <xf numFmtId="0" fontId="1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9" fillId="0" borderId="0"/>
    <xf numFmtId="227" fontId="19" fillId="0" borderId="0"/>
    <xf numFmtId="227" fontId="19" fillId="0" borderId="0"/>
    <xf numFmtId="227" fontId="19" fillId="0" borderId="0"/>
    <xf numFmtId="0" fontId="53" fillId="0" borderId="0"/>
    <xf numFmtId="0" fontId="53" fillId="0" borderId="0"/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53" fillId="0" borderId="0"/>
    <xf numFmtId="0" fontId="53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" fillId="0" borderId="0"/>
    <xf numFmtId="227" fontId="19" fillId="0" borderId="0"/>
    <xf numFmtId="0" fontId="86" fillId="0" borderId="0"/>
    <xf numFmtId="0" fontId="19" fillId="0" borderId="0">
      <alignment wrapText="1"/>
    </xf>
    <xf numFmtId="227" fontId="19" fillId="0" borderId="0"/>
    <xf numFmtId="227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9" fillId="0" borderId="0">
      <alignment wrapText="1"/>
    </xf>
    <xf numFmtId="0" fontId="8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5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9" fillId="0" borderId="0"/>
    <xf numFmtId="0" fontId="19" fillId="0" borderId="0"/>
    <xf numFmtId="0" fontId="50" fillId="0" borderId="0"/>
    <xf numFmtId="0" fontId="3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8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0"/>
    <xf numFmtId="0" fontId="36" fillId="0" borderId="0"/>
    <xf numFmtId="227" fontId="19" fillId="0" borderId="0"/>
    <xf numFmtId="0" fontId="19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63" fillId="0" borderId="0"/>
    <xf numFmtId="245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9" fillId="0" borderId="0"/>
    <xf numFmtId="0" fontId="1" fillId="0" borderId="0"/>
    <xf numFmtId="0" fontId="19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9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45" fontId="1" fillId="0" borderId="0"/>
    <xf numFmtId="0" fontId="36" fillId="0" borderId="0"/>
    <xf numFmtId="0" fontId="19" fillId="0" borderId="0"/>
    <xf numFmtId="0" fontId="19" fillId="0" borderId="0"/>
    <xf numFmtId="0" fontId="93" fillId="0" borderId="0"/>
    <xf numFmtId="0" fontId="1" fillId="0" borderId="0"/>
    <xf numFmtId="0" fontId="86" fillId="0" borderId="0"/>
    <xf numFmtId="246" fontId="93" fillId="0" borderId="0" applyFont="0" applyFill="0" applyBorder="0" applyAlignment="0" applyProtection="0">
      <alignment horizontal="right"/>
    </xf>
    <xf numFmtId="246" fontId="93" fillId="0" borderId="0" applyFont="0" applyFill="0" applyBorder="0" applyAlignment="0" applyProtection="0">
      <alignment horizontal="right"/>
    </xf>
    <xf numFmtId="246" fontId="93" fillId="0" borderId="0" applyFont="0" applyFill="0" applyBorder="0" applyAlignment="0" applyProtection="0">
      <alignment horizontal="right"/>
    </xf>
    <xf numFmtId="246" fontId="93" fillId="0" borderId="0" applyFont="0" applyFill="0" applyBorder="0" applyAlignment="0" applyProtection="0">
      <alignment horizontal="right"/>
    </xf>
    <xf numFmtId="246" fontId="93" fillId="0" borderId="0" applyFont="0" applyFill="0" applyBorder="0" applyAlignment="0" applyProtection="0">
      <alignment horizontal="right"/>
    </xf>
    <xf numFmtId="246" fontId="93" fillId="0" borderId="0" applyFont="0" applyFill="0" applyBorder="0" applyAlignment="0" applyProtection="0">
      <alignment horizontal="right"/>
    </xf>
    <xf numFmtId="246" fontId="93" fillId="0" borderId="0" applyFont="0" applyFill="0" applyBorder="0" applyAlignment="0" applyProtection="0">
      <alignment horizontal="right"/>
    </xf>
    <xf numFmtId="246" fontId="93" fillId="0" borderId="0" applyFont="0" applyFill="0" applyBorder="0" applyAlignment="0" applyProtection="0">
      <alignment horizontal="right"/>
    </xf>
    <xf numFmtId="0" fontId="144" fillId="0" borderId="0"/>
    <xf numFmtId="0" fontId="19" fillId="0" borderId="0"/>
    <xf numFmtId="0" fontId="145" fillId="0" borderId="0"/>
    <xf numFmtId="247" fontId="93" fillId="0" borderId="0" applyFont="0" applyFill="0" applyBorder="0" applyAlignment="0" applyProtection="0"/>
    <xf numFmtId="0" fontId="71" fillId="9" borderId="8" applyNumberFormat="0" applyFont="0" applyAlignment="0" applyProtection="0"/>
    <xf numFmtId="0" fontId="1" fillId="9" borderId="8" applyNumberFormat="0" applyFont="0" applyAlignment="0" applyProtection="0"/>
    <xf numFmtId="0" fontId="53" fillId="9" borderId="8" applyNumberFormat="0" applyFont="0" applyAlignment="0" applyProtection="0"/>
    <xf numFmtId="0" fontId="1" fillId="9" borderId="8" applyNumberFormat="0" applyFont="0" applyAlignment="0" applyProtection="0"/>
    <xf numFmtId="0" fontId="53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46" fillId="9" borderId="8" applyNumberFormat="0" applyFont="0" applyAlignment="0" applyProtection="0"/>
    <xf numFmtId="0" fontId="146" fillId="9" borderId="8" applyNumberFormat="0" applyFont="0" applyAlignment="0" applyProtection="0"/>
    <xf numFmtId="0" fontId="146" fillId="9" borderId="8" applyNumberFormat="0" applyFont="0" applyAlignment="0" applyProtection="0"/>
    <xf numFmtId="0" fontId="146" fillId="9" borderId="8" applyNumberFormat="0" applyFont="0" applyAlignment="0" applyProtection="0"/>
    <xf numFmtId="0" fontId="146" fillId="9" borderId="8" applyNumberFormat="0" applyFont="0" applyAlignment="0" applyProtection="0"/>
    <xf numFmtId="0" fontId="146" fillId="9" borderId="8" applyNumberFormat="0" applyFont="0" applyAlignment="0" applyProtection="0"/>
    <xf numFmtId="0" fontId="71" fillId="9" borderId="8" applyNumberFormat="0" applyFont="0" applyAlignment="0" applyProtection="0"/>
    <xf numFmtId="0" fontId="1" fillId="9" borderId="8" applyNumberFormat="0" applyFont="0" applyAlignment="0" applyProtection="0"/>
    <xf numFmtId="0" fontId="71" fillId="9" borderId="8" applyNumberFormat="0" applyFont="0" applyAlignment="0" applyProtection="0"/>
    <xf numFmtId="0" fontId="1" fillId="9" borderId="8" applyNumberFormat="0" applyFont="0" applyAlignment="0" applyProtection="0"/>
    <xf numFmtId="0" fontId="71" fillId="9" borderId="8" applyNumberFormat="0" applyFont="0" applyAlignment="0" applyProtection="0"/>
    <xf numFmtId="0" fontId="1" fillId="9" borderId="8" applyNumberFormat="0" applyFont="0" applyAlignment="0" applyProtection="0"/>
    <xf numFmtId="0" fontId="7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248" fontId="147" fillId="0" borderId="0" applyBorder="0" applyProtection="0">
      <alignment horizontal="right"/>
    </xf>
    <xf numFmtId="248" fontId="148" fillId="78" borderId="0" applyBorder="0" applyProtection="0">
      <alignment horizontal="right"/>
    </xf>
    <xf numFmtId="248" fontId="149" fillId="0" borderId="28" applyBorder="0"/>
    <xf numFmtId="248" fontId="147" fillId="0" borderId="0" applyBorder="0" applyProtection="0">
      <alignment horizontal="right"/>
    </xf>
    <xf numFmtId="249" fontId="147" fillId="0" borderId="0" applyBorder="0" applyProtection="0">
      <alignment horizontal="right"/>
    </xf>
    <xf numFmtId="249" fontId="150" fillId="78" borderId="0" applyProtection="0">
      <alignment horizontal="right"/>
    </xf>
    <xf numFmtId="37" fontId="65" fillId="0" borderId="0" applyFill="0" applyBorder="0" applyProtection="0">
      <alignment horizontal="right"/>
    </xf>
    <xf numFmtId="183" fontId="66" fillId="0" borderId="0" applyFont="0" applyFill="0" applyBorder="0" applyProtection="0">
      <alignment horizontal="right"/>
    </xf>
    <xf numFmtId="250" fontId="147" fillId="0" borderId="0" applyFill="0" applyBorder="0" applyProtection="0"/>
    <xf numFmtId="0" fontId="80" fillId="65" borderId="0">
      <alignment horizontal="right"/>
    </xf>
    <xf numFmtId="0" fontId="19" fillId="0" borderId="0">
      <alignment horizontal="right"/>
    </xf>
    <xf numFmtId="0" fontId="151" fillId="7" borderId="5" applyNumberFormat="0" applyAlignment="0" applyProtection="0"/>
    <xf numFmtId="0" fontId="151" fillId="7" borderId="5" applyNumberFormat="0" applyAlignment="0" applyProtection="0"/>
    <xf numFmtId="0" fontId="151" fillId="7" borderId="5" applyNumberFormat="0" applyAlignment="0" applyProtection="0"/>
    <xf numFmtId="0" fontId="151" fillId="7" borderId="5" applyNumberFormat="0" applyAlignment="0" applyProtection="0"/>
    <xf numFmtId="0" fontId="151" fillId="7" borderId="5" applyNumberFormat="0" applyAlignment="0" applyProtection="0"/>
    <xf numFmtId="0" fontId="8" fillId="7" borderId="5" applyNumberFormat="0" applyAlignment="0" applyProtection="0"/>
    <xf numFmtId="0" fontId="8" fillId="7" borderId="5" applyNumberFormat="0" applyAlignment="0" applyProtection="0"/>
    <xf numFmtId="0" fontId="152" fillId="0" borderId="0" applyProtection="0">
      <alignment horizontal="left"/>
    </xf>
    <xf numFmtId="0" fontId="152" fillId="0" borderId="0" applyFill="0" applyBorder="0" applyProtection="0">
      <alignment horizontal="left"/>
    </xf>
    <xf numFmtId="0" fontId="153" fillId="0" borderId="0" applyFill="0" applyBorder="0" applyProtection="0">
      <alignment horizontal="left"/>
    </xf>
    <xf numFmtId="1" fontId="154" fillId="0" borderId="0" applyProtection="0">
      <alignment horizontal="right" vertical="center"/>
    </xf>
    <xf numFmtId="229" fontId="155" fillId="0" borderId="15">
      <alignment vertical="center"/>
    </xf>
    <xf numFmtId="2" fontId="83" fillId="0" borderId="0"/>
    <xf numFmtId="167" fontId="156" fillId="0" borderId="0" applyFill="0" applyBorder="0" applyAlignment="0" applyProtection="0"/>
    <xf numFmtId="171" fontId="19" fillId="0" borderId="0" applyFont="0" applyFill="0" applyBorder="0" applyAlignment="0" applyProtection="0"/>
    <xf numFmtId="251" fontId="16" fillId="0" borderId="0" applyFont="0" applyFill="0" applyBorder="0" applyAlignment="0" applyProtection="0"/>
    <xf numFmtId="252" fontId="157" fillId="65" borderId="16" applyFill="0" applyBorder="0" applyAlignment="0" applyProtection="0">
      <alignment horizontal="right"/>
      <protection locked="0"/>
    </xf>
    <xf numFmtId="253" fontId="157" fillId="70" borderId="0" applyFill="0" applyBorder="0" applyAlignment="0" applyProtection="0">
      <protection hidden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254" fontId="147" fillId="0" borderId="0" applyBorder="0" applyProtection="0">
      <alignment horizontal="right"/>
    </xf>
    <xf numFmtId="254" fontId="148" fillId="78" borderId="0" applyProtection="0">
      <alignment horizontal="right"/>
    </xf>
    <xf numFmtId="254" fontId="147" fillId="0" borderId="0" applyFont="0" applyBorder="0" applyProtection="0">
      <alignment horizontal="right"/>
    </xf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5" fontId="83" fillId="0" borderId="0" applyFont="0" applyFill="0" applyBorder="0" applyProtection="0">
      <alignment horizontal="right"/>
    </xf>
    <xf numFmtId="9" fontId="19" fillId="0" borderId="0"/>
    <xf numFmtId="256" fontId="19" fillId="0" borderId="0" applyFill="0" applyBorder="0">
      <alignment horizontal="right"/>
      <protection locked="0"/>
    </xf>
    <xf numFmtId="1" fontId="69" fillId="0" borderId="0"/>
    <xf numFmtId="239" fontId="19" fillId="0" borderId="0">
      <protection locked="0"/>
    </xf>
    <xf numFmtId="167" fontId="19" fillId="0" borderId="0" applyFont="0" applyFill="0" applyBorder="0" applyAlignment="0" applyProtection="0"/>
    <xf numFmtId="199" fontId="16" fillId="0" borderId="0" applyFill="0" applyBorder="0" applyAlignment="0"/>
    <xf numFmtId="200" fontId="16" fillId="0" borderId="0" applyFill="0" applyBorder="0" applyAlignment="0"/>
    <xf numFmtId="199" fontId="16" fillId="0" borderId="0" applyFill="0" applyBorder="0" applyAlignment="0"/>
    <xf numFmtId="201" fontId="19" fillId="0" borderId="0" applyFill="0" applyBorder="0" applyAlignment="0"/>
    <xf numFmtId="200" fontId="16" fillId="0" borderId="0" applyFill="0" applyBorder="0" applyAlignment="0"/>
    <xf numFmtId="10" fontId="83" fillId="0" borderId="0"/>
    <xf numFmtId="10" fontId="83" fillId="73" borderId="0"/>
    <xf numFmtId="9" fontId="83" fillId="0" borderId="0" applyFont="0" applyFill="0" applyBorder="0" applyAlignment="0" applyProtection="0"/>
    <xf numFmtId="170" fontId="36" fillId="0" borderId="0"/>
    <xf numFmtId="257" fontId="158" fillId="70" borderId="0" applyBorder="0" applyAlignment="0">
      <protection hidden="1"/>
    </xf>
    <xf numFmtId="1" fontId="158" fillId="70" borderId="0">
      <alignment horizontal="center"/>
    </xf>
    <xf numFmtId="0" fontId="86" fillId="0" borderId="0" applyNumberFormat="0" applyFont="0" applyFill="0" applyBorder="0" applyAlignment="0" applyProtection="0">
      <alignment horizontal="left"/>
    </xf>
    <xf numFmtId="15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0" fontId="132" fillId="0" borderId="33">
      <alignment horizontal="center"/>
    </xf>
    <xf numFmtId="3" fontId="86" fillId="0" borderId="0" applyFont="0" applyFill="0" applyBorder="0" applyAlignment="0" applyProtection="0"/>
    <xf numFmtId="0" fontId="86" fillId="79" borderId="0" applyNumberFormat="0" applyFont="0" applyBorder="0" applyAlignment="0" applyProtection="0"/>
    <xf numFmtId="0" fontId="86" fillId="0" borderId="0">
      <alignment horizontal="right"/>
      <protection locked="0"/>
    </xf>
    <xf numFmtId="222" fontId="159" fillId="0" borderId="0" applyNumberFormat="0" applyFill="0" applyBorder="0" applyAlignment="0" applyProtection="0">
      <alignment horizontal="left"/>
    </xf>
    <xf numFmtId="0" fontId="160" fillId="68" borderId="0"/>
    <xf numFmtId="0" fontId="69" fillId="0" borderId="0" applyNumberFormat="0" applyFill="0" applyBorder="0" applyProtection="0">
      <alignment horizontal="right" vertical="center"/>
    </xf>
    <xf numFmtId="0" fontId="161" fillId="0" borderId="46">
      <alignment vertical="center"/>
    </xf>
    <xf numFmtId="258" fontId="19" fillId="0" borderId="0" applyFill="0" applyBorder="0">
      <alignment horizontal="right"/>
      <protection hidden="1"/>
    </xf>
    <xf numFmtId="0" fontId="162" fillId="67" borderId="16">
      <alignment horizontal="center" vertical="center" wrapText="1"/>
      <protection hidden="1"/>
    </xf>
    <xf numFmtId="0" fontId="86" fillId="80" borderId="47"/>
    <xf numFmtId="0" fontId="16" fillId="81" borderId="0" applyNumberFormat="0" applyFont="0" applyBorder="0" applyAlignment="0" applyProtection="0"/>
    <xf numFmtId="42" fontId="163" fillId="0" borderId="0" applyFill="0" applyBorder="0" applyAlignment="0" applyProtection="0"/>
    <xf numFmtId="41" fontId="164" fillId="0" borderId="0"/>
    <xf numFmtId="0" fontId="93" fillId="0" borderId="0"/>
    <xf numFmtId="0" fontId="165" fillId="0" borderId="0">
      <alignment horizontal="right"/>
    </xf>
    <xf numFmtId="0" fontId="100" fillId="0" borderId="0">
      <alignment horizontal="left"/>
    </xf>
    <xf numFmtId="167" fontId="166" fillId="0" borderId="41"/>
    <xf numFmtId="259" fontId="73" fillId="75" borderId="0" applyFont="0" applyBorder="0"/>
    <xf numFmtId="0" fontId="16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9" fillId="0" borderId="0">
      <alignment vertical="top"/>
    </xf>
    <xf numFmtId="41" fontId="19" fillId="0" borderId="0" applyFont="0" applyFill="0" applyBorder="0" applyAlignment="0" applyProtection="0"/>
    <xf numFmtId="0" fontId="52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6" fillId="0" borderId="0">
      <alignment vertical="top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6" fillId="0" borderId="0">
      <alignment vertical="top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44" fontId="19" fillId="0" borderId="0" applyFont="0" applyFill="0" applyBorder="0" applyAlignment="0" applyProtection="0"/>
    <xf numFmtId="0" fontId="16" fillId="0" borderId="0">
      <alignment vertical="top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68" fillId="81" borderId="16" applyNumberFormat="0" applyProtection="0">
      <alignment horizontal="center" vertical="center"/>
    </xf>
    <xf numFmtId="0" fontId="16" fillId="0" borderId="0">
      <alignment vertical="top"/>
    </xf>
    <xf numFmtId="0" fontId="31" fillId="81" borderId="16" applyNumberFormat="0" applyProtection="0">
      <alignment horizontal="center" vertical="center" wrapText="1"/>
    </xf>
    <xf numFmtId="0" fontId="31" fillId="81" borderId="16" applyNumberFormat="0" applyProtection="0">
      <alignment horizontal="center" vertical="center"/>
    </xf>
    <xf numFmtId="0" fontId="31" fillId="81" borderId="16" applyNumberFormat="0" applyProtection="0">
      <alignment horizontal="center" vertical="center" wrapText="1"/>
    </xf>
    <xf numFmtId="0" fontId="169" fillId="0" borderId="0" applyNumberFormat="0" applyFill="0" applyBorder="0" applyAlignment="0" applyProtection="0"/>
    <xf numFmtId="0" fontId="31" fillId="60" borderId="16" applyNumberFormat="0" applyProtection="0">
      <alignment horizontal="left" vertical="center" wrapText="1"/>
    </xf>
    <xf numFmtId="0" fontId="16" fillId="0" borderId="0">
      <alignment vertical="top"/>
    </xf>
    <xf numFmtId="0" fontId="16" fillId="0" borderId="0">
      <alignment vertical="top"/>
    </xf>
    <xf numFmtId="0" fontId="56" fillId="0" borderId="0" applyNumberFormat="0" applyFill="0" applyBorder="0" applyAlignment="0" applyProtection="0"/>
    <xf numFmtId="245" fontId="31" fillId="82" borderId="16" applyNumberFormat="0" applyProtection="0">
      <alignment horizontal="center" vertical="center" wrapText="1"/>
    </xf>
    <xf numFmtId="0" fontId="19" fillId="59" borderId="16" applyNumberFormat="0" applyProtection="0">
      <alignment horizontal="left" vertical="center" wrapText="1"/>
    </xf>
    <xf numFmtId="0" fontId="16" fillId="0" borderId="0">
      <alignment vertical="top"/>
    </xf>
    <xf numFmtId="0" fontId="31" fillId="60" borderId="16" applyNumberFormat="0" applyProtection="0">
      <alignment horizontal="left" vertical="center" wrapText="1"/>
    </xf>
    <xf numFmtId="0" fontId="16" fillId="0" borderId="0">
      <alignment vertical="top"/>
    </xf>
    <xf numFmtId="0" fontId="16" fillId="0" borderId="0">
      <alignment vertical="top"/>
    </xf>
    <xf numFmtId="0" fontId="170" fillId="83" borderId="0" applyNumberFormat="0" applyBorder="0" applyAlignment="0" applyProtection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43" fontId="65" fillId="0" borderId="0" applyFont="0" applyFill="0" applyBorder="0" applyAlignment="0" applyProtection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176" fontId="19" fillId="0" borderId="0" applyFont="0" applyFill="0" applyBorder="0" applyAlignment="0" applyProtection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44" fontId="19" fillId="0" borderId="0" applyFont="0" applyFill="0" applyBorder="0" applyAlignment="0" applyProtection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260" fontId="83" fillId="0" borderId="0" applyFont="0" applyFill="0" applyBorder="0" applyAlignment="0" applyProtection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260" fontId="83" fillId="0" borderId="0" applyFont="0" applyFill="0" applyBorder="0" applyAlignment="0" applyProtection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6" fillId="0" borderId="0" applyNumberFormat="0" applyBorder="0" applyAlignment="0"/>
    <xf numFmtId="0" fontId="171" fillId="0" borderId="0" applyNumberFormat="0" applyBorder="0" applyAlignment="0"/>
    <xf numFmtId="0" fontId="172" fillId="0" borderId="0" applyNumberFormat="0" applyBorder="0" applyAlignment="0"/>
    <xf numFmtId="0" fontId="82" fillId="0" borderId="0" applyNumberFormat="0" applyFill="0" applyBorder="0" applyProtection="0">
      <alignment horizontal="left" vertical="center"/>
    </xf>
    <xf numFmtId="0" fontId="82" fillId="0" borderId="28" applyNumberFormat="0" applyFill="0" applyProtection="0">
      <alignment horizontal="left" vertical="center"/>
    </xf>
    <xf numFmtId="261" fontId="73" fillId="84" borderId="0" applyNumberFormat="0" applyFont="0" applyBorder="0">
      <alignment horizontal="center" vertical="center"/>
      <protection locked="0"/>
    </xf>
    <xf numFmtId="9" fontId="19" fillId="0" borderId="0"/>
    <xf numFmtId="0" fontId="84" fillId="0" borderId="0" applyFill="0" applyBorder="0" applyProtection="0">
      <alignment horizontal="center" vertical="center"/>
    </xf>
    <xf numFmtId="0" fontId="173" fillId="0" borderId="0" applyBorder="0" applyProtection="0">
      <alignment vertical="center"/>
    </xf>
    <xf numFmtId="170" fontId="19" fillId="0" borderId="15" applyBorder="0" applyProtection="0">
      <alignment horizontal="right" vertical="center"/>
    </xf>
    <xf numFmtId="0" fontId="174" fillId="85" borderId="0" applyBorder="0" applyProtection="0">
      <alignment horizontal="centerContinuous" vertical="center"/>
    </xf>
    <xf numFmtId="0" fontId="174" fillId="83" borderId="15" applyBorder="0" applyProtection="0">
      <alignment horizontal="centerContinuous" vertical="center"/>
    </xf>
    <xf numFmtId="0" fontId="175" fillId="0" borderId="0"/>
    <xf numFmtId="0" fontId="84" fillId="0" borderId="0" applyFill="0" applyBorder="0" applyProtection="0"/>
    <xf numFmtId="0" fontId="145" fillId="0" borderId="0"/>
    <xf numFmtId="0" fontId="176" fillId="0" borderId="0" applyFill="0" applyBorder="0" applyProtection="0">
      <alignment horizontal="left"/>
    </xf>
    <xf numFmtId="0" fontId="177" fillId="0" borderId="0" applyFill="0" applyBorder="0" applyProtection="0">
      <alignment horizontal="left" vertical="top"/>
    </xf>
    <xf numFmtId="0" fontId="18" fillId="0" borderId="0">
      <alignment horizontal="centerContinuous"/>
    </xf>
    <xf numFmtId="229" fontId="19" fillId="59" borderId="48" applyNumberFormat="0" applyAlignment="0">
      <alignment vertical="center"/>
    </xf>
    <xf numFmtId="229" fontId="178" fillId="86" borderId="49" applyNumberFormat="0" applyBorder="0" applyAlignment="0" applyProtection="0">
      <alignment vertical="center"/>
    </xf>
    <xf numFmtId="229" fontId="19" fillId="59" borderId="48" applyNumberFormat="0" applyProtection="0">
      <alignment horizontal="centerContinuous" vertical="center"/>
    </xf>
    <xf numFmtId="229" fontId="179" fillId="87" borderId="0" applyNumberFormat="0" applyBorder="0" applyAlignment="0" applyProtection="0">
      <alignment vertical="center"/>
    </xf>
    <xf numFmtId="229" fontId="19" fillId="86" borderId="0" applyBorder="0" applyAlignment="0" applyProtection="0">
      <alignment vertical="center"/>
    </xf>
    <xf numFmtId="49" fontId="65" fillId="0" borderId="15">
      <alignment vertical="center"/>
    </xf>
    <xf numFmtId="0" fontId="180" fillId="0" borderId="0"/>
    <xf numFmtId="0" fontId="181" fillId="0" borderId="0"/>
    <xf numFmtId="49" fontId="36" fillId="0" borderId="0" applyFill="0" applyBorder="0" applyAlignment="0"/>
    <xf numFmtId="262" fontId="16" fillId="0" borderId="0" applyFill="0" applyBorder="0" applyAlignment="0"/>
    <xf numFmtId="263" fontId="16" fillId="0" borderId="0" applyFill="0" applyBorder="0" applyAlignment="0"/>
    <xf numFmtId="0" fontId="68" fillId="0" borderId="0" applyNumberFormat="0" applyFont="0" applyFill="0" applyBorder="0" applyProtection="0">
      <alignment horizontal="left" vertical="top" wrapText="1"/>
    </xf>
    <xf numFmtId="18" fontId="93" fillId="0" borderId="0" applyFill="0" applyBorder="0" applyAlignment="0" applyProtection="0"/>
    <xf numFmtId="0" fontId="16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40" fontId="182" fillId="0" borderId="0"/>
    <xf numFmtId="0" fontId="183" fillId="0" borderId="0" applyNumberFormat="0" applyBorder="0" applyAlignment="0" applyProtection="0"/>
    <xf numFmtId="0" fontId="183" fillId="0" borderId="0" applyNumberFormat="0" applyBorder="0" applyAlignment="0" applyProtection="0"/>
    <xf numFmtId="0" fontId="184" fillId="0" borderId="0">
      <alignment horizontal="left"/>
    </xf>
    <xf numFmtId="264" fontId="185" fillId="83" borderId="0" applyNumberFormat="0" applyProtection="0">
      <alignment horizontal="left" vertical="center"/>
    </xf>
    <xf numFmtId="0" fontId="186" fillId="0" borderId="0" applyNumberFormat="0" applyProtection="0">
      <alignment horizontal="left" vertical="center"/>
    </xf>
    <xf numFmtId="0" fontId="86" fillId="0" borderId="0" applyBorder="0"/>
    <xf numFmtId="1" fontId="16" fillId="72" borderId="0" applyNumberFormat="0" applyFont="0" applyBorder="0" applyProtection="0">
      <alignment horizontal="left"/>
    </xf>
    <xf numFmtId="265" fontId="19" fillId="0" borderId="0" applyNumberFormat="0" applyFill="0" applyBorder="0" applyProtection="0">
      <alignment vertical="top"/>
    </xf>
    <xf numFmtId="0" fontId="1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187" fillId="0" borderId="9" applyNumberFormat="0" applyFill="0" applyAlignment="0" applyProtection="0"/>
    <xf numFmtId="39" fontId="19" fillId="0" borderId="30">
      <protection locked="0"/>
    </xf>
    <xf numFmtId="6" fontId="18" fillId="0" borderId="30" applyFill="0" applyAlignment="0" applyProtection="0"/>
    <xf numFmtId="170" fontId="70" fillId="0" borderId="50"/>
    <xf numFmtId="0" fontId="188" fillId="0" borderId="0">
      <alignment horizontal="fill"/>
    </xf>
    <xf numFmtId="266" fontId="158" fillId="70" borderId="13" applyBorder="0">
      <alignment horizontal="right" vertical="center"/>
      <protection locked="0"/>
    </xf>
    <xf numFmtId="42" fontId="19" fillId="0" borderId="0" applyFont="0" applyFill="0" applyBorder="0" applyAlignment="0" applyProtection="0"/>
    <xf numFmtId="267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265" fontId="189" fillId="86" borderId="0" applyNumberFormat="0" applyBorder="0" applyProtection="0">
      <alignment horizontal="centerContinuous"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90" fillId="0" borderId="0"/>
    <xf numFmtId="1" fontId="190" fillId="0" borderId="0"/>
    <xf numFmtId="268" fontId="83" fillId="0" borderId="0" applyFont="0" applyFill="0" applyBorder="0" applyProtection="0">
      <alignment horizontal="right"/>
    </xf>
    <xf numFmtId="269" fontId="19" fillId="0" borderId="0"/>
    <xf numFmtId="270" fontId="147" fillId="0" borderId="0" applyFill="0" applyBorder="0" applyProtection="0"/>
    <xf numFmtId="0" fontId="19" fillId="0" borderId="0">
      <alignment horizontal="center"/>
    </xf>
    <xf numFmtId="271" fontId="65" fillId="0" borderId="15">
      <alignment horizontal="right"/>
    </xf>
    <xf numFmtId="272" fontId="19" fillId="0" borderId="0" applyFont="0" applyFill="0" applyBorder="0" applyAlignment="0" applyProtection="0"/>
    <xf numFmtId="273" fontId="75" fillId="0" borderId="0" applyFont="0" applyFill="0" applyBorder="0" applyProtection="0">
      <alignment horizontal="right"/>
    </xf>
    <xf numFmtId="0" fontId="19" fillId="0" borderId="0"/>
    <xf numFmtId="43" fontId="19" fillId="0" borderId="0" applyFont="0" applyFill="0" applyBorder="0" applyAlignment="0" applyProtection="0"/>
    <xf numFmtId="245" fontId="19" fillId="0" borderId="0"/>
    <xf numFmtId="0" fontId="55" fillId="0" borderId="0"/>
    <xf numFmtId="0" fontId="29" fillId="0" borderId="0"/>
    <xf numFmtId="193" fontId="19" fillId="0" borderId="53">
      <alignment horizontal="right"/>
    </xf>
    <xf numFmtId="194" fontId="73" fillId="0" borderId="53">
      <alignment horizontal="right"/>
    </xf>
    <xf numFmtId="194" fontId="73" fillId="0" borderId="53" applyFill="0">
      <alignment horizontal="right"/>
    </xf>
    <xf numFmtId="3" fontId="19" fillId="0" borderId="53" applyFill="0">
      <alignment horizontal="right"/>
    </xf>
    <xf numFmtId="195" fontId="73" fillId="0" borderId="53" applyFill="0">
      <alignment horizontal="right"/>
    </xf>
    <xf numFmtId="197" fontId="19" fillId="0" borderId="53">
      <alignment horizontal="right"/>
      <protection locked="0"/>
    </xf>
    <xf numFmtId="6" fontId="73" fillId="0" borderId="53" applyNumberFormat="0" applyFont="0" applyBorder="0" applyProtection="0">
      <alignment horizontal="right"/>
    </xf>
    <xf numFmtId="1" fontId="79" fillId="64" borderId="54" applyNumberFormat="0" applyBorder="0" applyAlignment="0">
      <alignment horizontal="center" vertical="top" wrapText="1"/>
      <protection hidden="1"/>
    </xf>
    <xf numFmtId="0" fontId="82" fillId="0" borderId="51" applyNumberFormat="0" applyFill="0" applyAlignment="0" applyProtection="0"/>
    <xf numFmtId="0" fontId="68" fillId="0" borderId="51" applyNumberFormat="0" applyFont="0" applyFill="0" applyAlignment="0" applyProtection="0"/>
    <xf numFmtId="0" fontId="68" fillId="0" borderId="54" applyNumberFormat="0" applyFont="0" applyFill="0" applyAlignment="0" applyProtection="0"/>
    <xf numFmtId="218" fontId="66" fillId="65" borderId="52" applyFont="0" applyFill="0" applyBorder="0" applyAlignment="0" applyProtection="0"/>
    <xf numFmtId="220" fontId="70" fillId="0" borderId="51" applyFont="0" applyFill="0" applyBorder="0" applyAlignment="0" applyProtection="0"/>
    <xf numFmtId="224" fontId="86" fillId="68" borderId="54">
      <alignment horizontal="left"/>
    </xf>
    <xf numFmtId="2" fontId="134" fillId="0" borderId="51"/>
    <xf numFmtId="14" fontId="70" fillId="0" borderId="51" applyFont="0" applyFill="0" applyBorder="0" applyAlignment="0" applyProtection="0"/>
    <xf numFmtId="170" fontId="19" fillId="0" borderId="51" applyBorder="0" applyProtection="0">
      <alignment horizontal="right" vertical="center"/>
    </xf>
    <xf numFmtId="43" fontId="1" fillId="0" borderId="0" applyFont="0" applyFill="0" applyBorder="0" applyAlignment="0" applyProtection="0"/>
    <xf numFmtId="0" fontId="174" fillId="83" borderId="51" applyBorder="0" applyProtection="0">
      <alignment horizontal="centerContinuous" vertical="center"/>
    </xf>
    <xf numFmtId="49" fontId="65" fillId="0" borderId="51">
      <alignment vertical="center"/>
    </xf>
    <xf numFmtId="266" fontId="158" fillId="70" borderId="54" applyBorder="0">
      <alignment horizontal="right" vertical="center"/>
      <protection locked="0"/>
    </xf>
    <xf numFmtId="271" fontId="65" fillId="0" borderId="51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2" fillId="73" borderId="55">
      <alignment horizontal="left" vertical="center" wrapText="1"/>
    </xf>
    <xf numFmtId="8" fontId="98" fillId="0" borderId="35">
      <protection locked="0"/>
    </xf>
    <xf numFmtId="198" fontId="75" fillId="63" borderId="32"/>
    <xf numFmtId="229" fontId="178" fillId="86" borderId="49" applyNumberFormat="0" applyBorder="0" applyAlignment="0" applyProtection="0">
      <alignment vertical="center"/>
    </xf>
    <xf numFmtId="170" fontId="70" fillId="0" borderId="50"/>
    <xf numFmtId="9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6" fillId="0" borderId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4" fillId="55" borderId="57" applyNumberFormat="0" applyAlignment="0" applyProtection="0"/>
    <xf numFmtId="0" fontId="41" fillId="0" borderId="23" applyNumberFormat="0" applyFill="0" applyAlignment="0" applyProtection="0"/>
    <xf numFmtId="0" fontId="42" fillId="42" borderId="57" applyNumberFormat="0" applyAlignment="0" applyProtection="0"/>
    <xf numFmtId="0" fontId="19" fillId="58" borderId="58" applyNumberFormat="0" applyFont="0" applyAlignment="0" applyProtection="0"/>
    <xf numFmtId="0" fontId="19" fillId="58" borderId="58" applyNumberFormat="0" applyFont="0" applyAlignment="0" applyProtection="0"/>
    <xf numFmtId="0" fontId="45" fillId="55" borderId="59" applyNumberFormat="0" applyAlignment="0" applyProtection="0"/>
    <xf numFmtId="0" fontId="47" fillId="0" borderId="60" applyNumberFormat="0" applyFill="0" applyAlignment="0" applyProtection="0"/>
    <xf numFmtId="0" fontId="34" fillId="55" borderId="57" applyNumberFormat="0" applyAlignment="0" applyProtection="0"/>
    <xf numFmtId="0" fontId="42" fillId="42" borderId="57" applyNumberFormat="0" applyAlignment="0" applyProtection="0"/>
    <xf numFmtId="0" fontId="19" fillId="58" borderId="58" applyNumberFormat="0" applyFont="0" applyAlignment="0" applyProtection="0"/>
    <xf numFmtId="0" fontId="19" fillId="58" borderId="58" applyNumberFormat="0" applyFont="0" applyAlignment="0" applyProtection="0"/>
    <xf numFmtId="0" fontId="45" fillId="55" borderId="59" applyNumberFormat="0" applyAlignment="0" applyProtection="0"/>
    <xf numFmtId="0" fontId="47" fillId="0" borderId="60" applyNumberFormat="0" applyFill="0" applyAlignment="0" applyProtection="0"/>
    <xf numFmtId="0" fontId="19" fillId="59" borderId="56" applyNumberFormat="0" applyProtection="0">
      <alignment horizontal="left" vertical="center"/>
    </xf>
    <xf numFmtId="0" fontId="19" fillId="59" borderId="56" applyNumberFormat="0" applyProtection="0">
      <alignment horizontal="left" vertical="center"/>
    </xf>
    <xf numFmtId="0" fontId="34" fillId="55" borderId="57" applyNumberFormat="0" applyAlignment="0" applyProtection="0"/>
    <xf numFmtId="0" fontId="42" fillId="42" borderId="57" applyNumberFormat="0" applyAlignment="0" applyProtection="0"/>
    <xf numFmtId="0" fontId="19" fillId="58" borderId="58" applyNumberFormat="0" applyFont="0" applyAlignment="0" applyProtection="0"/>
    <xf numFmtId="0" fontId="19" fillId="58" borderId="58" applyNumberFormat="0" applyFont="0" applyAlignment="0" applyProtection="0"/>
    <xf numFmtId="0" fontId="45" fillId="55" borderId="59" applyNumberFormat="0" applyAlignment="0" applyProtection="0"/>
    <xf numFmtId="0" fontId="47" fillId="0" borderId="60" applyNumberFormat="0" applyFill="0" applyAlignment="0" applyProtection="0"/>
    <xf numFmtId="0" fontId="34" fillId="55" borderId="57" applyNumberFormat="0" applyAlignment="0" applyProtection="0"/>
    <xf numFmtId="0" fontId="42" fillId="42" borderId="57" applyNumberFormat="0" applyAlignment="0" applyProtection="0"/>
    <xf numFmtId="0" fontId="19" fillId="58" borderId="58" applyNumberFormat="0" applyFont="0" applyAlignment="0" applyProtection="0"/>
    <xf numFmtId="0" fontId="19" fillId="58" borderId="58" applyNumberFormat="0" applyFont="0" applyAlignment="0" applyProtection="0"/>
    <xf numFmtId="0" fontId="45" fillId="55" borderId="59" applyNumberFormat="0" applyAlignment="0" applyProtection="0"/>
    <xf numFmtId="0" fontId="47" fillId="0" borderId="60" applyNumberFormat="0" applyFill="0" applyAlignment="0" applyProtection="0"/>
    <xf numFmtId="0" fontId="29" fillId="0" borderId="0"/>
    <xf numFmtId="0" fontId="29" fillId="0" borderId="0"/>
    <xf numFmtId="3" fontId="56" fillId="36" borderId="54">
      <alignment horizontal="center" vertical="center"/>
      <protection locked="0"/>
    </xf>
    <xf numFmtId="9" fontId="1" fillId="0" borderId="0" applyFont="0" applyFill="0" applyBorder="0" applyAlignment="0" applyProtection="0"/>
    <xf numFmtId="0" fontId="203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204" fillId="5" borderId="0" applyNumberFormat="0" applyBorder="0" applyAlignment="0" applyProtection="0"/>
    <xf numFmtId="0" fontId="7" fillId="6" borderId="4" applyNumberFormat="0" applyAlignment="0" applyProtection="0"/>
    <xf numFmtId="0" fontId="8" fillId="7" borderId="5" applyNumberFormat="0" applyAlignment="0" applyProtection="0"/>
    <xf numFmtId="0" fontId="9" fillId="7" borderId="4" applyNumberFormat="0" applyAlignment="0" applyProtection="0"/>
    <xf numFmtId="0" fontId="10" fillId="0" borderId="6" applyNumberFormat="0" applyFill="0" applyAlignment="0" applyProtection="0"/>
    <xf numFmtId="0" fontId="11" fillId="8" borderId="7" applyNumberFormat="0" applyAlignment="0" applyProtection="0"/>
    <xf numFmtId="0" fontId="12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3" fillId="0" borderId="0" applyNumberFormat="0" applyFill="0" applyBorder="0" applyAlignment="0" applyProtection="0"/>
    <xf numFmtId="0" fontId="14" fillId="0" borderId="9" applyNumberFormat="0" applyFill="0" applyAlignment="0" applyProtection="0"/>
    <xf numFmtId="0" fontId="15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5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21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86" applyNumberFormat="0" applyFill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59" borderId="56" applyNumberFormat="0" applyProtection="0">
      <alignment horizontal="left" vertical="center"/>
    </xf>
    <xf numFmtId="0" fontId="19" fillId="59" borderId="56" applyNumberFormat="0" applyProtection="0">
      <alignment horizontal="left" vertical="center"/>
    </xf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1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5" fontId="68" fillId="0" borderId="0" applyFont="0" applyFill="0" applyBorder="0" applyAlignment="0" applyProtection="0"/>
    <xf numFmtId="8" fontId="68" fillId="0" borderId="0" applyFont="0" applyFill="0" applyBorder="0" applyAlignment="0" applyProtection="0"/>
    <xf numFmtId="42" fontId="72" fillId="0" borderId="0" applyFont="0"/>
    <xf numFmtId="42" fontId="72" fillId="0" borderId="87" applyFont="0"/>
    <xf numFmtId="41" fontId="72" fillId="0" borderId="0" applyFont="0"/>
    <xf numFmtId="6" fontId="73" fillId="0" borderId="53" applyNumberFormat="0" applyFont="0" applyBorder="0" applyProtection="0">
      <alignment horizontal="right"/>
    </xf>
    <xf numFmtId="198" fontId="75" fillId="63" borderId="88"/>
    <xf numFmtId="0" fontId="83" fillId="0" borderId="89" applyNumberFormat="0" applyFont="0" applyFill="0" applyAlignment="0" applyProtection="0"/>
    <xf numFmtId="0" fontId="84" fillId="0" borderId="90" applyNumberFormat="0" applyFont="0" applyFill="0" applyAlignment="0" applyProtection="0">
      <alignment horizontal="centerContinuous"/>
    </xf>
    <xf numFmtId="0" fontId="68" fillId="0" borderId="65" applyNumberFormat="0" applyFont="0" applyFill="0" applyAlignment="0" applyProtection="0"/>
    <xf numFmtId="170" fontId="70" fillId="0" borderId="89" applyAlignment="0">
      <alignment horizontal="right"/>
    </xf>
    <xf numFmtId="41" fontId="88" fillId="0" borderId="0" applyFont="0" applyBorder="0">
      <alignment horizontal="right"/>
    </xf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8" fontId="98" fillId="0" borderId="91">
      <protection locked="0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13" fontId="93" fillId="0" borderId="92" applyFont="0" applyFill="0" applyBorder="0" applyAlignment="0" applyProtection="0"/>
    <xf numFmtId="216" fontId="64" fillId="0" borderId="93" applyNumberFormat="0" applyFill="0">
      <alignment horizontal="right"/>
    </xf>
    <xf numFmtId="216" fontId="64" fillId="0" borderId="93" applyNumberFormat="0" applyFill="0">
      <alignment horizontal="right"/>
    </xf>
    <xf numFmtId="42" fontId="101" fillId="0" borderId="0"/>
    <xf numFmtId="42" fontId="16" fillId="0" borderId="0"/>
    <xf numFmtId="42" fontId="103" fillId="0" borderId="0" applyFill="0" applyBorder="0" applyAlignment="0" applyProtection="0"/>
    <xf numFmtId="1" fontId="106" fillId="69" borderId="66" applyNumberFormat="0" applyBorder="0" applyAlignment="0">
      <alignment horizontal="centerContinuous" vertical="center"/>
      <protection locked="0"/>
    </xf>
    <xf numFmtId="167" fontId="19" fillId="71" borderId="56" applyNumberFormat="0" applyFont="0" applyBorder="0" applyAlignment="0" applyProtection="0"/>
    <xf numFmtId="0" fontId="56" fillId="0" borderId="61">
      <alignment horizontal="left" vertical="center"/>
    </xf>
    <xf numFmtId="226" fontId="72" fillId="0" borderId="94">
      <alignment horizontal="center"/>
    </xf>
    <xf numFmtId="10" fontId="93" fillId="65" borderId="56" applyNumberFormat="0" applyBorder="0" applyAlignment="0" applyProtection="0"/>
    <xf numFmtId="0" fontId="132" fillId="73" borderId="95">
      <alignment horizontal="left" vertical="center" wrapText="1"/>
    </xf>
    <xf numFmtId="0" fontId="19" fillId="0" borderId="56"/>
    <xf numFmtId="248" fontId="149" fillId="0" borderId="61" applyBorder="0"/>
    <xf numFmtId="252" fontId="157" fillId="65" borderId="56" applyFill="0" applyBorder="0" applyAlignment="0" applyProtection="0">
      <alignment horizontal="right"/>
      <protection locked="0"/>
    </xf>
    <xf numFmtId="0" fontId="132" fillId="0" borderId="89">
      <alignment horizontal="center"/>
    </xf>
    <xf numFmtId="0" fontId="162" fillId="67" borderId="56">
      <alignment horizontal="center" vertical="center" wrapText="1"/>
      <protection hidden="1"/>
    </xf>
    <xf numFmtId="42" fontId="163" fillId="0" borderId="0" applyFill="0" applyBorder="0" applyAlignment="0" applyProtection="0"/>
    <xf numFmtId="41" fontId="164" fillId="0" borderId="0"/>
    <xf numFmtId="167" fontId="166" fillId="0" borderId="94"/>
    <xf numFmtId="41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68" fillId="81" borderId="56" applyNumberFormat="0" applyProtection="0">
      <alignment horizontal="center" vertical="center"/>
    </xf>
    <xf numFmtId="0" fontId="31" fillId="81" borderId="56" applyNumberFormat="0" applyProtection="0">
      <alignment horizontal="center" vertical="center" wrapText="1"/>
    </xf>
    <xf numFmtId="0" fontId="31" fillId="81" borderId="56" applyNumberFormat="0" applyProtection="0">
      <alignment horizontal="center" vertical="center"/>
    </xf>
    <xf numFmtId="0" fontId="31" fillId="81" borderId="56" applyNumberFormat="0" applyProtection="0">
      <alignment horizontal="center" vertical="center" wrapText="1"/>
    </xf>
    <xf numFmtId="0" fontId="31" fillId="60" borderId="56" applyNumberFormat="0" applyProtection="0">
      <alignment horizontal="left" vertical="center" wrapText="1"/>
    </xf>
    <xf numFmtId="245" fontId="31" fillId="82" borderId="56" applyNumberFormat="0" applyProtection="0">
      <alignment horizontal="center" vertical="center" wrapText="1"/>
    </xf>
    <xf numFmtId="0" fontId="19" fillId="59" borderId="56" applyNumberFormat="0" applyProtection="0">
      <alignment horizontal="left" vertical="center" wrapText="1"/>
    </xf>
    <xf numFmtId="0" fontId="31" fillId="60" borderId="56" applyNumberFormat="0" applyProtection="0">
      <alignment horizontal="left" vertical="center" wrapText="1"/>
    </xf>
    <xf numFmtId="43" fontId="65" fillId="0" borderId="0" applyFont="0" applyFill="0" applyBorder="0" applyAlignment="0" applyProtection="0"/>
    <xf numFmtId="44" fontId="19" fillId="0" borderId="0" applyFont="0" applyFill="0" applyBorder="0" applyAlignment="0" applyProtection="0"/>
    <xf numFmtId="229" fontId="19" fillId="59" borderId="96" applyNumberFormat="0" applyAlignment="0">
      <alignment vertical="center"/>
    </xf>
    <xf numFmtId="229" fontId="178" fillId="86" borderId="97" applyNumberFormat="0" applyBorder="0" applyAlignment="0" applyProtection="0">
      <alignment vertical="center"/>
    </xf>
    <xf numFmtId="229" fontId="19" fillId="59" borderId="96" applyNumberFormat="0" applyProtection="0">
      <alignment horizontal="centerContinuous" vertical="center"/>
    </xf>
    <xf numFmtId="39" fontId="19" fillId="0" borderId="87">
      <protection locked="0"/>
    </xf>
    <xf numFmtId="6" fontId="18" fillId="0" borderId="87" applyFill="0" applyAlignment="0" applyProtection="0"/>
    <xf numFmtId="170" fontId="70" fillId="0" borderId="98"/>
    <xf numFmtId="43" fontId="19" fillId="0" borderId="0" applyFont="0" applyFill="0" applyBorder="0" applyAlignment="0" applyProtection="0"/>
    <xf numFmtId="6" fontId="73" fillId="0" borderId="53" applyNumberFormat="0" applyFont="0" applyBorder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2" fillId="73" borderId="95">
      <alignment horizontal="left" vertical="center" wrapText="1"/>
    </xf>
    <xf numFmtId="8" fontId="98" fillId="0" borderId="91">
      <protection locked="0"/>
    </xf>
    <xf numFmtId="198" fontId="75" fillId="63" borderId="88"/>
    <xf numFmtId="229" fontId="178" fillId="86" borderId="97" applyNumberFormat="0" applyBorder="0" applyAlignment="0" applyProtection="0">
      <alignment vertical="center"/>
    </xf>
    <xf numFmtId="170" fontId="70" fillId="0" borderId="98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4" fillId="55" borderId="19" applyNumberFormat="0" applyAlignment="0" applyProtection="0"/>
    <xf numFmtId="0" fontId="41" fillId="0" borderId="86" applyNumberFormat="0" applyFill="0" applyAlignment="0" applyProtection="0"/>
    <xf numFmtId="0" fontId="42" fillId="42" borderId="19" applyNumberForma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45" fillId="55" borderId="26" applyNumberFormat="0" applyAlignment="0" applyProtection="0"/>
    <xf numFmtId="0" fontId="47" fillId="0" borderId="27" applyNumberFormat="0" applyFill="0" applyAlignment="0" applyProtection="0"/>
    <xf numFmtId="0" fontId="34" fillId="55" borderId="19" applyNumberFormat="0" applyAlignment="0" applyProtection="0"/>
    <xf numFmtId="0" fontId="42" fillId="42" borderId="19" applyNumberForma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45" fillId="55" borderId="26" applyNumberFormat="0" applyAlignment="0" applyProtection="0"/>
    <xf numFmtId="0" fontId="47" fillId="0" borderId="27" applyNumberFormat="0" applyFill="0" applyAlignment="0" applyProtection="0"/>
    <xf numFmtId="0" fontId="34" fillId="55" borderId="19" applyNumberFormat="0" applyAlignment="0" applyProtection="0"/>
    <xf numFmtId="0" fontId="42" fillId="42" borderId="19" applyNumberForma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45" fillId="55" borderId="26" applyNumberFormat="0" applyAlignment="0" applyProtection="0"/>
    <xf numFmtId="0" fontId="47" fillId="0" borderId="27" applyNumberFormat="0" applyFill="0" applyAlignment="0" applyProtection="0"/>
    <xf numFmtId="0" fontId="34" fillId="55" borderId="19" applyNumberFormat="0" applyAlignment="0" applyProtection="0"/>
    <xf numFmtId="0" fontId="42" fillId="42" borderId="19" applyNumberForma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45" fillId="55" borderId="26" applyNumberFormat="0" applyAlignment="0" applyProtection="0"/>
    <xf numFmtId="0" fontId="47" fillId="0" borderId="27" applyNumberFormat="0" applyFill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55" borderId="106" applyNumberFormat="0" applyAlignment="0" applyProtection="0"/>
    <xf numFmtId="0" fontId="42" fillId="42" borderId="106" applyNumberFormat="0" applyAlignment="0" applyProtection="0"/>
    <xf numFmtId="0" fontId="19" fillId="58" borderId="107" applyNumberFormat="0" applyFont="0" applyAlignment="0" applyProtection="0"/>
    <xf numFmtId="0" fontId="19" fillId="58" borderId="107" applyNumberFormat="0" applyFont="0" applyAlignment="0" applyProtection="0"/>
    <xf numFmtId="0" fontId="45" fillId="55" borderId="108" applyNumberFormat="0" applyAlignment="0" applyProtection="0"/>
    <xf numFmtId="0" fontId="47" fillId="0" borderId="109" applyNumberFormat="0" applyFill="0" applyAlignment="0" applyProtection="0"/>
    <xf numFmtId="0" fontId="34" fillId="55" borderId="106" applyNumberFormat="0" applyAlignment="0" applyProtection="0"/>
    <xf numFmtId="0" fontId="42" fillId="42" borderId="106" applyNumberFormat="0" applyAlignment="0" applyProtection="0"/>
    <xf numFmtId="0" fontId="19" fillId="58" borderId="107" applyNumberFormat="0" applyFont="0" applyAlignment="0" applyProtection="0"/>
    <xf numFmtId="0" fontId="19" fillId="58" borderId="107" applyNumberFormat="0" applyFont="0" applyAlignment="0" applyProtection="0"/>
    <xf numFmtId="0" fontId="45" fillId="55" borderId="108" applyNumberFormat="0" applyAlignment="0" applyProtection="0"/>
    <xf numFmtId="0" fontId="47" fillId="0" borderId="109" applyNumberFormat="0" applyFill="0" applyAlignment="0" applyProtection="0"/>
    <xf numFmtId="0" fontId="34" fillId="55" borderId="106" applyNumberFormat="0" applyAlignment="0" applyProtection="0"/>
    <xf numFmtId="0" fontId="42" fillId="42" borderId="106" applyNumberFormat="0" applyAlignment="0" applyProtection="0"/>
    <xf numFmtId="0" fontId="19" fillId="58" borderId="107" applyNumberFormat="0" applyFont="0" applyAlignment="0" applyProtection="0"/>
    <xf numFmtId="0" fontId="19" fillId="58" borderId="107" applyNumberFormat="0" applyFont="0" applyAlignment="0" applyProtection="0"/>
    <xf numFmtId="0" fontId="45" fillId="55" borderId="108" applyNumberFormat="0" applyAlignment="0" applyProtection="0"/>
    <xf numFmtId="0" fontId="47" fillId="0" borderId="109" applyNumberFormat="0" applyFill="0" applyAlignment="0" applyProtection="0"/>
    <xf numFmtId="0" fontId="34" fillId="55" borderId="106" applyNumberFormat="0" applyAlignment="0" applyProtection="0"/>
    <xf numFmtId="0" fontId="42" fillId="42" borderId="106" applyNumberFormat="0" applyAlignment="0" applyProtection="0"/>
    <xf numFmtId="0" fontId="19" fillId="58" borderId="107" applyNumberFormat="0" applyFont="0" applyAlignment="0" applyProtection="0"/>
    <xf numFmtId="0" fontId="19" fillId="58" borderId="107" applyNumberFormat="0" applyFont="0" applyAlignment="0" applyProtection="0"/>
    <xf numFmtId="0" fontId="45" fillId="55" borderId="108" applyNumberFormat="0" applyAlignment="0" applyProtection="0"/>
    <xf numFmtId="0" fontId="47" fillId="0" borderId="109" applyNumberFormat="0" applyFill="0" applyAlignment="0" applyProtection="0"/>
    <xf numFmtId="0" fontId="19" fillId="60" borderId="106" applyNumberFormat="0">
      <alignment horizontal="centerContinuous" vertical="center" wrapText="1"/>
    </xf>
    <xf numFmtId="0" fontId="19" fillId="61" borderId="106" applyNumberFormat="0">
      <alignment horizontal="left" vertical="center"/>
    </xf>
    <xf numFmtId="42" fontId="72" fillId="0" borderId="110" applyFont="0"/>
    <xf numFmtId="198" fontId="75" fillId="63" borderId="111"/>
    <xf numFmtId="0" fontId="68" fillId="0" borderId="100" applyNumberFormat="0" applyFont="0" applyFill="0" applyAlignment="0" applyProtection="0"/>
    <xf numFmtId="0" fontId="34" fillId="55" borderId="106" applyNumberFormat="0" applyAlignment="0" applyProtection="0"/>
    <xf numFmtId="0" fontId="19" fillId="58" borderId="107" applyNumberFormat="0" applyFont="0" applyAlignment="0" applyProtection="0"/>
    <xf numFmtId="8" fontId="98" fillId="0" borderId="112">
      <protection locked="0"/>
    </xf>
    <xf numFmtId="0" fontId="42" fillId="42" borderId="106" applyNumberFormat="0" applyAlignment="0" applyProtection="0"/>
    <xf numFmtId="1" fontId="106" fillId="69" borderId="101" applyNumberFormat="0" applyBorder="0" applyAlignment="0">
      <alignment horizontal="centerContinuous" vertical="center"/>
      <protection locked="0"/>
    </xf>
    <xf numFmtId="0" fontId="56" fillId="0" borderId="63" applyNumberFormat="0" applyAlignment="0" applyProtection="0">
      <alignment horizontal="left" vertical="center"/>
    </xf>
    <xf numFmtId="0" fontId="56" fillId="0" borderId="99">
      <alignment horizontal="left" vertical="center"/>
    </xf>
    <xf numFmtId="229" fontId="19" fillId="65" borderId="42" applyNumberFormat="0" applyFont="0" applyBorder="0" applyAlignment="0">
      <alignment horizontal="right" vertical="center"/>
      <protection locked="0"/>
    </xf>
    <xf numFmtId="0" fontId="132" fillId="73" borderId="113">
      <alignment horizontal="left" vertical="center" wrapText="1"/>
    </xf>
    <xf numFmtId="248" fontId="149" fillId="0" borderId="99" applyBorder="0"/>
    <xf numFmtId="0" fontId="161" fillId="0" borderId="46">
      <alignment vertical="center"/>
    </xf>
    <xf numFmtId="0" fontId="86" fillId="80" borderId="47"/>
    <xf numFmtId="39" fontId="19" fillId="0" borderId="110">
      <protection locked="0"/>
    </xf>
    <xf numFmtId="6" fontId="18" fillId="0" borderId="110" applyFill="0" applyAlignment="0" applyProtection="0"/>
    <xf numFmtId="8" fontId="98" fillId="0" borderId="112">
      <protection locked="0"/>
    </xf>
    <xf numFmtId="198" fontId="75" fillId="63" borderId="111"/>
    <xf numFmtId="44" fontId="1" fillId="0" borderId="0" applyFont="0" applyFill="0" applyBorder="0" applyAlignment="0" applyProtection="0"/>
  </cellStyleXfs>
  <cellXfs count="865">
    <xf numFmtId="0" fontId="0" fillId="0" borderId="0" xfId="0"/>
    <xf numFmtId="0" fontId="0" fillId="0" borderId="0" xfId="0" applyAlignment="1">
      <alignment wrapText="1"/>
    </xf>
    <xf numFmtId="17" fontId="0" fillId="0" borderId="0" xfId="0" applyNumberFormat="1"/>
    <xf numFmtId="165" fontId="0" fillId="0" borderId="0" xfId="1" applyNumberFormat="1" applyFont="1"/>
    <xf numFmtId="17" fontId="0" fillId="0" borderId="0" xfId="0" applyNumberFormat="1" applyAlignment="1">
      <alignment wrapText="1"/>
    </xf>
    <xf numFmtId="165" fontId="0" fillId="0" borderId="0" xfId="1" applyNumberFormat="1" applyFont="1" applyAlignment="1">
      <alignment wrapText="1"/>
    </xf>
    <xf numFmtId="0" fontId="0" fillId="0" borderId="0" xfId="1" applyNumberFormat="1" applyFont="1" applyAlignment="1">
      <alignment wrapText="1"/>
    </xf>
    <xf numFmtId="165" fontId="0" fillId="2" borderId="0" xfId="1" applyNumberFormat="1" applyFont="1" applyFill="1" applyAlignment="1">
      <alignment wrapText="1"/>
    </xf>
    <xf numFmtId="2" fontId="0" fillId="0" borderId="0" xfId="0" applyNumberFormat="1"/>
    <xf numFmtId="0" fontId="16" fillId="0" borderId="0" xfId="3"/>
    <xf numFmtId="3" fontId="16" fillId="0" borderId="0" xfId="3" applyNumberFormat="1"/>
    <xf numFmtId="0" fontId="20" fillId="0" borderId="0" xfId="3" applyFont="1"/>
    <xf numFmtId="0" fontId="21" fillId="0" borderId="0" xfId="3" applyFont="1"/>
    <xf numFmtId="164" fontId="0" fillId="0" borderId="0" xfId="5" applyFont="1" applyAlignment="1">
      <alignment horizontal="center"/>
    </xf>
    <xf numFmtId="164" fontId="0" fillId="0" borderId="0" xfId="5" applyFont="1"/>
    <xf numFmtId="164" fontId="21" fillId="0" borderId="0" xfId="5" applyFont="1"/>
    <xf numFmtId="0" fontId="0" fillId="0" borderId="0" xfId="0" applyAlignment="1">
      <alignment horizontal="center"/>
    </xf>
    <xf numFmtId="167" fontId="0" fillId="0" borderId="0" xfId="0" applyNumberFormat="1"/>
    <xf numFmtId="167" fontId="0" fillId="0" borderId="0" xfId="2" applyNumberFormat="1" applyFont="1"/>
    <xf numFmtId="17" fontId="21" fillId="0" borderId="0" xfId="0" applyNumberFormat="1" applyFont="1"/>
    <xf numFmtId="164" fontId="23" fillId="0" borderId="0" xfId="5" applyFont="1"/>
    <xf numFmtId="17" fontId="23" fillId="0" borderId="0" xfId="0" applyNumberFormat="1" applyFont="1"/>
    <xf numFmtId="0" fontId="23" fillId="0" borderId="0" xfId="0" applyFont="1"/>
    <xf numFmtId="164" fontId="24" fillId="0" borderId="0" xfId="5" applyFont="1"/>
    <xf numFmtId="164" fontId="0" fillId="0" borderId="0" xfId="5" applyFont="1" applyAlignment="1"/>
    <xf numFmtId="166" fontId="0" fillId="0" borderId="0" xfId="5" applyNumberFormat="1" applyFont="1"/>
    <xf numFmtId="10" fontId="0" fillId="0" borderId="0" xfId="2" applyNumberFormat="1" applyFont="1"/>
    <xf numFmtId="166" fontId="23" fillId="0" borderId="0" xfId="5" applyNumberFormat="1" applyFont="1"/>
    <xf numFmtId="17" fontId="24" fillId="0" borderId="0" xfId="0" applyNumberFormat="1" applyFont="1"/>
    <xf numFmtId="0" fontId="24" fillId="0" borderId="0" xfId="0" applyFont="1"/>
    <xf numFmtId="166" fontId="24" fillId="0" borderId="0" xfId="5" applyNumberFormat="1" applyFont="1"/>
    <xf numFmtId="0" fontId="0" fillId="0" borderId="14" xfId="0" applyBorder="1"/>
    <xf numFmtId="0" fontId="21" fillId="0" borderId="0" xfId="0" applyFont="1" applyAlignment="1">
      <alignment horizontal="center"/>
    </xf>
    <xf numFmtId="167" fontId="0" fillId="0" borderId="0" xfId="7" applyNumberFormat="1" applyFont="1" applyBorder="1"/>
    <xf numFmtId="0" fontId="25" fillId="0" borderId="0" xfId="6" applyFont="1"/>
    <xf numFmtId="167" fontId="0" fillId="0" borderId="0" xfId="7" applyNumberFormat="1" applyFont="1" applyFill="1" applyBorder="1"/>
    <xf numFmtId="0" fontId="27" fillId="0" borderId="0" xfId="0" applyFont="1" applyAlignment="1">
      <alignment horizontal="right" vertical="center"/>
    </xf>
    <xf numFmtId="0" fontId="22" fillId="0" borderId="0" xfId="8"/>
    <xf numFmtId="10" fontId="0" fillId="0" borderId="0" xfId="0" applyNumberFormat="1"/>
    <xf numFmtId="10" fontId="0" fillId="0" borderId="14" xfId="0" applyNumberFormat="1" applyBorder="1"/>
    <xf numFmtId="17" fontId="27" fillId="0" borderId="0" xfId="0" applyNumberFormat="1" applyFont="1" applyAlignment="1">
      <alignment horizontal="left" vertical="center" wrapText="1"/>
    </xf>
    <xf numFmtId="4" fontId="27" fillId="0" borderId="0" xfId="0" applyNumberFormat="1" applyFont="1" applyAlignment="1">
      <alignment horizontal="right" vertical="center"/>
    </xf>
    <xf numFmtId="4" fontId="28" fillId="0" borderId="0" xfId="0" applyNumberFormat="1" applyFont="1" applyAlignment="1">
      <alignment horizontal="left" vertical="center"/>
    </xf>
    <xf numFmtId="169" fontId="25" fillId="0" borderId="0" xfId="6" applyNumberFormat="1" applyFont="1"/>
    <xf numFmtId="10" fontId="25" fillId="0" borderId="0" xfId="6" applyNumberFormat="1" applyFont="1"/>
    <xf numFmtId="17" fontId="0" fillId="35" borderId="0" xfId="0" applyNumberFormat="1" applyFill="1" applyAlignment="1">
      <alignment wrapText="1"/>
    </xf>
    <xf numFmtId="165" fontId="0" fillId="35" borderId="0" xfId="1" applyNumberFormat="1" applyFont="1" applyFill="1" applyAlignment="1">
      <alignment wrapText="1"/>
    </xf>
    <xf numFmtId="165" fontId="0" fillId="0" borderId="0" xfId="0" applyNumberFormat="1"/>
    <xf numFmtId="165" fontId="0" fillId="0" borderId="0" xfId="1" applyNumberFormat="1" applyFont="1" applyBorder="1"/>
    <xf numFmtId="15" fontId="0" fillId="0" borderId="0" xfId="0" applyNumberFormat="1"/>
    <xf numFmtId="3" fontId="200" fillId="90" borderId="75" xfId="6" applyNumberFormat="1" applyFont="1" applyFill="1" applyBorder="1"/>
    <xf numFmtId="3" fontId="19" fillId="36" borderId="0" xfId="6" applyNumberFormat="1" applyFill="1"/>
    <xf numFmtId="167" fontId="19" fillId="36" borderId="0" xfId="7" applyNumberFormat="1" applyFont="1" applyFill="1"/>
    <xf numFmtId="0" fontId="193" fillId="90" borderId="70" xfId="6" applyFont="1" applyFill="1" applyBorder="1" applyAlignment="1">
      <alignment horizontal="center" vertical="center" wrapText="1"/>
    </xf>
    <xf numFmtId="0" fontId="193" fillId="90" borderId="69" xfId="6" applyFont="1" applyFill="1" applyBorder="1" applyAlignment="1">
      <alignment horizontal="center" vertical="center" wrapText="1"/>
    </xf>
    <xf numFmtId="0" fontId="193" fillId="90" borderId="68" xfId="6" applyFont="1" applyFill="1" applyBorder="1" applyAlignment="1">
      <alignment horizontal="center" vertical="center"/>
    </xf>
    <xf numFmtId="3" fontId="193" fillId="90" borderId="75" xfId="6" applyNumberFormat="1" applyFont="1" applyFill="1" applyBorder="1"/>
    <xf numFmtId="0" fontId="193" fillId="90" borderId="78" xfId="6" applyFont="1" applyFill="1" applyBorder="1" applyAlignment="1">
      <alignment horizontal="center"/>
    </xf>
    <xf numFmtId="0" fontId="31" fillId="36" borderId="77" xfId="6" applyFont="1" applyFill="1" applyBorder="1" applyAlignment="1">
      <alignment horizontal="center"/>
    </xf>
    <xf numFmtId="3" fontId="19" fillId="36" borderId="71" xfId="6" applyNumberFormat="1" applyFill="1" applyBorder="1"/>
    <xf numFmtId="0" fontId="193" fillId="90" borderId="70" xfId="6" applyFont="1" applyFill="1" applyBorder="1" applyAlignment="1">
      <alignment vertical="center"/>
    </xf>
    <xf numFmtId="0" fontId="200" fillId="90" borderId="69" xfId="6" applyFont="1" applyFill="1" applyBorder="1" applyAlignment="1">
      <alignment vertical="center"/>
    </xf>
    <xf numFmtId="0" fontId="193" fillId="90" borderId="69" xfId="6" applyFont="1" applyFill="1" applyBorder="1" applyAlignment="1">
      <alignment vertical="center"/>
    </xf>
    <xf numFmtId="0" fontId="193" fillId="90" borderId="68" xfId="6" applyFont="1" applyFill="1" applyBorder="1" applyAlignment="1">
      <alignment horizontal="center"/>
    </xf>
    <xf numFmtId="0" fontId="56" fillId="36" borderId="0" xfId="6" applyFont="1" applyFill="1"/>
    <xf numFmtId="9" fontId="19" fillId="0" borderId="0" xfId="4568" applyFont="1"/>
    <xf numFmtId="166" fontId="19" fillId="0" borderId="0" xfId="4" applyNumberFormat="1" applyFont="1" applyAlignment="1">
      <alignment horizontal="center"/>
    </xf>
    <xf numFmtId="166" fontId="51" fillId="0" borderId="0" xfId="4" applyNumberFormat="1" applyFont="1" applyFill="1"/>
    <xf numFmtId="278" fontId="51" fillId="0" borderId="0" xfId="4569" applyNumberFormat="1" applyFont="1"/>
    <xf numFmtId="166" fontId="61" fillId="0" borderId="0" xfId="4" applyNumberFormat="1" applyFont="1" applyFill="1"/>
    <xf numFmtId="278" fontId="61" fillId="0" borderId="0" xfId="4569" applyNumberFormat="1" applyFont="1" applyFill="1"/>
    <xf numFmtId="278" fontId="51" fillId="0" borderId="0" xfId="4569" applyNumberFormat="1" applyFont="1" applyFill="1"/>
    <xf numFmtId="278" fontId="61" fillId="0" borderId="0" xfId="4569" applyNumberFormat="1" applyFont="1"/>
    <xf numFmtId="166" fontId="51" fillId="0" borderId="0" xfId="4" applyNumberFormat="1" applyFont="1"/>
    <xf numFmtId="165" fontId="31" fillId="0" borderId="0" xfId="4569" applyNumberFormat="1" applyFont="1" applyAlignment="1">
      <alignment horizontal="center"/>
    </xf>
    <xf numFmtId="191" fontId="31" fillId="0" borderId="0" xfId="6" applyNumberFormat="1" applyFont="1" applyAlignment="1">
      <alignment horizontal="center"/>
    </xf>
    <xf numFmtId="0" fontId="31" fillId="0" borderId="0" xfId="6" applyFont="1" applyAlignment="1">
      <alignment horizontal="center"/>
    </xf>
    <xf numFmtId="0" fontId="51" fillId="0" borderId="0" xfId="6" applyFont="1"/>
    <xf numFmtId="3" fontId="51" fillId="0" borderId="0" xfId="6" applyNumberFormat="1" applyFont="1"/>
    <xf numFmtId="0" fontId="197" fillId="0" borderId="0" xfId="6" applyFont="1" applyAlignment="1">
      <alignment horizontal="right"/>
    </xf>
    <xf numFmtId="0" fontId="197" fillId="0" borderId="0" xfId="6" applyFont="1" applyAlignment="1">
      <alignment horizontal="center" vertical="center" wrapText="1"/>
    </xf>
    <xf numFmtId="0" fontId="193" fillId="0" borderId="0" xfId="6" applyFont="1"/>
    <xf numFmtId="0" fontId="197" fillId="36" borderId="0" xfId="6" applyFont="1" applyFill="1" applyAlignment="1">
      <alignment horizontal="center" vertical="center" wrapText="1"/>
    </xf>
    <xf numFmtId="0" fontId="193" fillId="36" borderId="0" xfId="6" applyFont="1" applyFill="1" applyAlignment="1">
      <alignment horizontal="center"/>
    </xf>
    <xf numFmtId="0" fontId="53" fillId="36" borderId="0" xfId="1851" applyFont="1" applyFill="1"/>
    <xf numFmtId="0" fontId="19" fillId="36" borderId="0" xfId="6" applyFill="1"/>
    <xf numFmtId="0" fontId="193" fillId="90" borderId="0" xfId="6" applyFont="1" applyFill="1" applyAlignment="1">
      <alignment horizontal="center" vertical="center" wrapText="1"/>
    </xf>
    <xf numFmtId="0" fontId="193" fillId="90" borderId="0" xfId="6" applyFont="1" applyFill="1" applyAlignment="1">
      <alignment horizontal="center" vertical="center"/>
    </xf>
    <xf numFmtId="0" fontId="197" fillId="90" borderId="0" xfId="6" applyFont="1" applyFill="1" applyAlignment="1">
      <alignment horizontal="center" vertical="center" wrapText="1"/>
    </xf>
    <xf numFmtId="170" fontId="24" fillId="0" borderId="0" xfId="0" applyNumberFormat="1" applyFont="1"/>
    <xf numFmtId="165" fontId="24" fillId="0" borderId="0" xfId="1" applyNumberFormat="1" applyFont="1"/>
    <xf numFmtId="165" fontId="196" fillId="0" borderId="0" xfId="1" applyNumberFormat="1" applyFont="1"/>
    <xf numFmtId="167" fontId="53" fillId="0" borderId="0" xfId="59" applyNumberFormat="1" applyFont="1"/>
    <xf numFmtId="0" fontId="53" fillId="0" borderId="0" xfId="59" applyFont="1"/>
    <xf numFmtId="3" fontId="53" fillId="0" borderId="0" xfId="59" applyNumberFormat="1" applyFont="1"/>
    <xf numFmtId="0" fontId="53" fillId="0" borderId="0" xfId="59" applyFont="1" applyAlignment="1">
      <alignment horizontal="right"/>
    </xf>
    <xf numFmtId="0" fontId="59" fillId="90" borderId="0" xfId="59" applyFont="1" applyFill="1" applyAlignment="1">
      <alignment horizontal="right"/>
    </xf>
    <xf numFmtId="0" fontId="59" fillId="90" borderId="0" xfId="59" applyFont="1" applyFill="1"/>
    <xf numFmtId="0" fontId="19" fillId="0" borderId="0" xfId="3" applyFont="1"/>
    <xf numFmtId="172" fontId="0" fillId="0" borderId="0" xfId="0" applyNumberFormat="1"/>
    <xf numFmtId="277" fontId="0" fillId="0" borderId="0" xfId="1" applyNumberFormat="1" applyFont="1"/>
    <xf numFmtId="0" fontId="55" fillId="0" borderId="0" xfId="6" applyFont="1"/>
    <xf numFmtId="165" fontId="30" fillId="0" borderId="0" xfId="1" applyNumberFormat="1" applyFont="1" applyFill="1" applyBorder="1"/>
    <xf numFmtId="165" fontId="54" fillId="0" borderId="0" xfId="1" applyNumberFormat="1" applyFont="1" applyBorder="1"/>
    <xf numFmtId="165" fontId="55" fillId="0" borderId="0" xfId="1" applyNumberFormat="1" applyFont="1" applyBorder="1"/>
    <xf numFmtId="165" fontId="57" fillId="0" borderId="0" xfId="1" applyNumberFormat="1" applyFont="1" applyBorder="1" applyAlignment="1">
      <alignment horizontal="right" vertical="center"/>
    </xf>
    <xf numFmtId="0" fontId="54" fillId="0" borderId="67" xfId="1851" applyFont="1" applyBorder="1"/>
    <xf numFmtId="10" fontId="53" fillId="0" borderId="75" xfId="2" applyNumberFormat="1" applyFont="1" applyBorder="1"/>
    <xf numFmtId="0" fontId="53" fillId="0" borderId="74" xfId="1851" applyFont="1" applyBorder="1"/>
    <xf numFmtId="10" fontId="53" fillId="0" borderId="71" xfId="2" applyNumberFormat="1" applyFont="1" applyBorder="1"/>
    <xf numFmtId="165" fontId="53" fillId="0" borderId="71" xfId="1851" applyNumberFormat="1" applyFont="1" applyBorder="1"/>
    <xf numFmtId="0" fontId="53" fillId="0" borderId="71" xfId="1851" applyFont="1" applyBorder="1"/>
    <xf numFmtId="0" fontId="53" fillId="0" borderId="67" xfId="1851" applyFont="1" applyBorder="1"/>
    <xf numFmtId="165" fontId="53" fillId="0" borderId="0" xfId="1" applyNumberFormat="1" applyFont="1" applyBorder="1"/>
    <xf numFmtId="3" fontId="195" fillId="0" borderId="0" xfId="1851" applyNumberFormat="1" applyFont="1" applyAlignment="1">
      <alignment horizontal="right" vertical="center"/>
    </xf>
    <xf numFmtId="3" fontId="54" fillId="0" borderId="0" xfId="1851" applyNumberFormat="1" applyFont="1"/>
    <xf numFmtId="0" fontId="55" fillId="0" borderId="0" xfId="1851" applyFont="1"/>
    <xf numFmtId="166" fontId="55" fillId="88" borderId="0" xfId="4575" applyNumberFormat="1" applyFont="1" applyFill="1" applyBorder="1"/>
    <xf numFmtId="166" fontId="55" fillId="0" borderId="0" xfId="4575" applyNumberFormat="1" applyFont="1" applyBorder="1"/>
    <xf numFmtId="170" fontId="53" fillId="0" borderId="0" xfId="1851" applyNumberFormat="1" applyFont="1" applyAlignment="1">
      <alignment horizontal="center"/>
    </xf>
    <xf numFmtId="0" fontId="55" fillId="0" borderId="51" xfId="1851" applyFont="1" applyBorder="1"/>
    <xf numFmtId="166" fontId="30" fillId="0" borderId="51" xfId="1851" applyNumberFormat="1" applyFont="1" applyBorder="1"/>
    <xf numFmtId="0" fontId="30" fillId="0" borderId="51" xfId="1851" applyFont="1" applyBorder="1"/>
    <xf numFmtId="10" fontId="30" fillId="0" borderId="0" xfId="4574" applyNumberFormat="1" applyFont="1" applyFill="1" applyBorder="1"/>
    <xf numFmtId="10" fontId="30" fillId="0" borderId="14" xfId="4572" applyNumberFormat="1" applyFont="1" applyBorder="1" applyAlignment="1">
      <alignment horizontal="right" vertical="center"/>
    </xf>
    <xf numFmtId="166" fontId="30" fillId="0" borderId="0" xfId="1851" applyNumberFormat="1" applyFont="1"/>
    <xf numFmtId="0" fontId="30" fillId="0" borderId="0" xfId="1851" applyFont="1"/>
    <xf numFmtId="10" fontId="55" fillId="0" borderId="0" xfId="4572" applyNumberFormat="1" applyFont="1"/>
    <xf numFmtId="0" fontId="55" fillId="0" borderId="14" xfId="1851" applyFont="1" applyBorder="1"/>
    <xf numFmtId="0" fontId="30" fillId="0" borderId="14" xfId="1851" applyFont="1" applyBorder="1"/>
    <xf numFmtId="10" fontId="30" fillId="0" borderId="0" xfId="4574" applyNumberFormat="1" applyFont="1"/>
    <xf numFmtId="10" fontId="30" fillId="0" borderId="14" xfId="4574" applyNumberFormat="1" applyFont="1" applyBorder="1"/>
    <xf numFmtId="10" fontId="55" fillId="0" borderId="0" xfId="4574" applyNumberFormat="1" applyFont="1" applyBorder="1"/>
    <xf numFmtId="166" fontId="30" fillId="0" borderId="14" xfId="1851" applyNumberFormat="1" applyFont="1" applyBorder="1"/>
    <xf numFmtId="166" fontId="55" fillId="0" borderId="0" xfId="4575" applyNumberFormat="1" applyFont="1" applyBorder="1" applyAlignment="1">
      <alignment vertical="top" wrapText="1"/>
    </xf>
    <xf numFmtId="0" fontId="55" fillId="0" borderId="0" xfId="1851" applyFont="1" applyAlignment="1">
      <alignment horizontal="center"/>
    </xf>
    <xf numFmtId="0" fontId="30" fillId="0" borderId="14" xfId="1851" applyFont="1" applyBorder="1" applyAlignment="1">
      <alignment horizontal="center"/>
    </xf>
    <xf numFmtId="0" fontId="30" fillId="0" borderId="0" xfId="4575" applyNumberFormat="1" applyFont="1" applyBorder="1"/>
    <xf numFmtId="189" fontId="30" fillId="0" borderId="0" xfId="5" applyNumberFormat="1" applyFont="1"/>
    <xf numFmtId="0" fontId="55" fillId="88" borderId="0" xfId="1851" applyFont="1" applyFill="1"/>
    <xf numFmtId="10" fontId="55" fillId="0" borderId="0" xfId="1851" applyNumberFormat="1" applyFont="1"/>
    <xf numFmtId="10" fontId="55" fillId="0" borderId="0" xfId="1851" applyNumberFormat="1" applyFont="1" applyAlignment="1">
      <alignment horizontal="center"/>
    </xf>
    <xf numFmtId="0" fontId="54" fillId="0" borderId="0" xfId="1851" applyFont="1" applyAlignment="1">
      <alignment horizontal="center"/>
    </xf>
    <xf numFmtId="166" fontId="1" fillId="0" borderId="0" xfId="1851" applyNumberFormat="1"/>
    <xf numFmtId="0" fontId="30" fillId="0" borderId="0" xfId="0" applyFont="1"/>
    <xf numFmtId="170" fontId="12" fillId="0" borderId="0" xfId="0" applyNumberFormat="1" applyFont="1"/>
    <xf numFmtId="0" fontId="194" fillId="0" borderId="0" xfId="0" applyFont="1"/>
    <xf numFmtId="0" fontId="193" fillId="90" borderId="0" xfId="6" applyFont="1" applyFill="1" applyAlignment="1">
      <alignment horizontal="center"/>
    </xf>
    <xf numFmtId="10" fontId="20" fillId="0" borderId="0" xfId="7" applyNumberFormat="1" applyFont="1"/>
    <xf numFmtId="168" fontId="20" fillId="0" borderId="0" xfId="4" applyNumberFormat="1" applyFont="1"/>
    <xf numFmtId="164" fontId="16" fillId="0" borderId="0" xfId="3" applyNumberFormat="1"/>
    <xf numFmtId="10" fontId="1" fillId="0" borderId="14" xfId="1851" applyNumberFormat="1" applyBorder="1"/>
    <xf numFmtId="10" fontId="1" fillId="0" borderId="0" xfId="1851" applyNumberFormat="1"/>
    <xf numFmtId="10" fontId="1" fillId="0" borderId="0" xfId="2" applyNumberFormat="1" applyBorder="1"/>
    <xf numFmtId="167" fontId="1" fillId="0" borderId="51" xfId="1851" applyNumberFormat="1" applyBorder="1"/>
    <xf numFmtId="167" fontId="0" fillId="89" borderId="0" xfId="4572" applyNumberFormat="1" applyFont="1" applyFill="1" applyBorder="1"/>
    <xf numFmtId="167" fontId="1" fillId="0" borderId="14" xfId="1851" applyNumberFormat="1" applyBorder="1"/>
    <xf numFmtId="167" fontId="1" fillId="0" borderId="0" xfId="1851" applyNumberFormat="1"/>
    <xf numFmtId="0" fontId="14" fillId="0" borderId="51" xfId="1851" applyFont="1" applyBorder="1"/>
    <xf numFmtId="0" fontId="14" fillId="0" borderId="0" xfId="1851" applyFont="1"/>
    <xf numFmtId="168" fontId="1" fillId="0" borderId="0" xfId="1851" applyNumberFormat="1"/>
    <xf numFmtId="43" fontId="1" fillId="0" borderId="0" xfId="1851" applyNumberFormat="1"/>
    <xf numFmtId="166" fontId="0" fillId="89" borderId="14" xfId="4573" applyNumberFormat="1" applyFont="1" applyFill="1" applyBorder="1"/>
    <xf numFmtId="166" fontId="0" fillId="89" borderId="0" xfId="4573" applyNumberFormat="1" applyFont="1" applyFill="1" applyBorder="1"/>
    <xf numFmtId="0" fontId="14" fillId="0" borderId="0" xfId="1851" applyFont="1" applyAlignment="1">
      <alignment vertical="center"/>
    </xf>
    <xf numFmtId="0" fontId="1" fillId="0" borderId="0" xfId="1851"/>
    <xf numFmtId="166" fontId="53" fillId="36" borderId="0" xfId="1851" applyNumberFormat="1" applyFont="1" applyFill="1"/>
    <xf numFmtId="166" fontId="54" fillId="36" borderId="0" xfId="1851" applyNumberFormat="1" applyFont="1" applyFill="1"/>
    <xf numFmtId="166" fontId="54" fillId="36" borderId="51" xfId="1851" applyNumberFormat="1" applyFont="1" applyFill="1" applyBorder="1"/>
    <xf numFmtId="0" fontId="54" fillId="36" borderId="51" xfId="1851" applyFont="1" applyFill="1" applyBorder="1"/>
    <xf numFmtId="166" fontId="53" fillId="36" borderId="14" xfId="5" applyNumberFormat="1" applyFont="1" applyFill="1" applyBorder="1"/>
    <xf numFmtId="166" fontId="53" fillId="36" borderId="0" xfId="5" applyNumberFormat="1" applyFont="1" applyFill="1" applyBorder="1"/>
    <xf numFmtId="0" fontId="193" fillId="90" borderId="51" xfId="6" applyFont="1" applyFill="1" applyBorder="1" applyAlignment="1">
      <alignment horizontal="center" vertical="center"/>
    </xf>
    <xf numFmtId="9" fontId="0" fillId="89" borderId="0" xfId="4572" applyFont="1" applyFill="1"/>
    <xf numFmtId="10" fontId="1" fillId="89" borderId="0" xfId="1851" applyNumberFormat="1" applyFill="1"/>
    <xf numFmtId="3" fontId="1" fillId="0" borderId="0" xfId="1851" applyNumberFormat="1"/>
    <xf numFmtId="165" fontId="14" fillId="0" borderId="0" xfId="1851" applyNumberFormat="1" applyFont="1"/>
    <xf numFmtId="9" fontId="0" fillId="0" borderId="0" xfId="4572" applyFont="1" applyAlignment="1">
      <alignment horizontal="center"/>
    </xf>
    <xf numFmtId="165" fontId="1" fillId="0" borderId="0" xfId="1851" applyNumberFormat="1"/>
    <xf numFmtId="167" fontId="0" fillId="0" borderId="51" xfId="4572" applyNumberFormat="1" applyFont="1" applyBorder="1"/>
    <xf numFmtId="167" fontId="0" fillId="0" borderId="0" xfId="4572" applyNumberFormat="1" applyFont="1" applyBorder="1"/>
    <xf numFmtId="166" fontId="1" fillId="0" borderId="14" xfId="1851" applyNumberFormat="1" applyBorder="1"/>
    <xf numFmtId="0" fontId="1" fillId="0" borderId="14" xfId="1851" applyBorder="1"/>
    <xf numFmtId="164" fontId="1" fillId="0" borderId="0" xfId="1851" applyNumberFormat="1"/>
    <xf numFmtId="9" fontId="0" fillId="0" borderId="0" xfId="4572" applyFont="1"/>
    <xf numFmtId="166" fontId="14" fillId="0" borderId="0" xfId="1851" applyNumberFormat="1" applyFont="1"/>
    <xf numFmtId="0" fontId="1" fillId="0" borderId="0" xfId="1851" applyAlignment="1">
      <alignment horizontal="center"/>
    </xf>
    <xf numFmtId="274" fontId="0" fillId="0" borderId="0" xfId="4572" applyNumberFormat="1" applyFont="1" applyAlignment="1">
      <alignment horizontal="center"/>
    </xf>
    <xf numFmtId="167" fontId="0" fillId="0" borderId="0" xfId="4572" applyNumberFormat="1" applyFont="1"/>
    <xf numFmtId="166" fontId="0" fillId="0" borderId="51" xfId="4573" applyNumberFormat="1" applyFont="1" applyBorder="1"/>
    <xf numFmtId="0" fontId="1" fillId="0" borderId="51" xfId="1851" applyBorder="1"/>
    <xf numFmtId="0" fontId="14" fillId="0" borderId="51" xfId="1851" applyFont="1" applyBorder="1" applyAlignment="1">
      <alignment vertical="center"/>
    </xf>
    <xf numFmtId="166" fontId="0" fillId="0" borderId="14" xfId="4573" applyNumberFormat="1" applyFont="1" applyBorder="1"/>
    <xf numFmtId="166" fontId="0" fillId="0" borderId="0" xfId="4573" applyNumberFormat="1" applyFont="1" applyFill="1" applyBorder="1"/>
    <xf numFmtId="166" fontId="0" fillId="0" borderId="0" xfId="4573" applyNumberFormat="1" applyFont="1" applyBorder="1"/>
    <xf numFmtId="9" fontId="1" fillId="0" borderId="0" xfId="1851" applyNumberFormat="1"/>
    <xf numFmtId="166" fontId="1" fillId="0" borderId="0" xfId="1851" applyNumberFormat="1" applyAlignment="1">
      <alignment horizontal="left"/>
    </xf>
    <xf numFmtId="166" fontId="0" fillId="0" borderId="0" xfId="4573" applyNumberFormat="1" applyFont="1"/>
    <xf numFmtId="165" fontId="19" fillId="0" borderId="0" xfId="1" applyNumberFormat="1" applyFont="1"/>
    <xf numFmtId="166" fontId="0" fillId="0" borderId="0" xfId="4" applyNumberFormat="1" applyFont="1" applyFill="1" applyAlignment="1">
      <alignment horizontal="right"/>
    </xf>
    <xf numFmtId="170" fontId="0" fillId="0" borderId="0" xfId="0" applyNumberFormat="1"/>
    <xf numFmtId="10" fontId="53" fillId="0" borderId="0" xfId="2" applyNumberFormat="1" applyFont="1" applyBorder="1"/>
    <xf numFmtId="167" fontId="53" fillId="0" borderId="0" xfId="1851" applyNumberFormat="1" applyFont="1"/>
    <xf numFmtId="167" fontId="21" fillId="0" borderId="0" xfId="2" applyNumberFormat="1" applyFont="1"/>
    <xf numFmtId="165" fontId="11" fillId="34" borderId="10" xfId="1" applyNumberFormat="1" applyFont="1" applyFill="1" applyBorder="1" applyAlignment="1" applyProtection="1">
      <alignment horizontal="center" vertical="center" wrapText="1"/>
      <protection locked="0"/>
    </xf>
    <xf numFmtId="165" fontId="21" fillId="0" borderId="0" xfId="1" applyNumberFormat="1" applyFont="1"/>
    <xf numFmtId="165" fontId="21" fillId="0" borderId="0" xfId="3" applyNumberFormat="1" applyFont="1"/>
    <xf numFmtId="0" fontId="21" fillId="0" borderId="0" xfId="3" applyFont="1" applyAlignment="1">
      <alignment horizontal="right"/>
    </xf>
    <xf numFmtId="166" fontId="21" fillId="0" borderId="0" xfId="3" applyNumberFormat="1" applyFont="1"/>
    <xf numFmtId="0" fontId="11" fillId="34" borderId="10" xfId="3" applyFont="1" applyFill="1" applyBorder="1" applyAlignment="1" applyProtection="1">
      <alignment horizontal="center" vertical="center" wrapText="1"/>
      <protection locked="0"/>
    </xf>
    <xf numFmtId="0" fontId="21" fillId="0" borderId="0" xfId="3" applyFont="1" applyAlignment="1">
      <alignment horizontal="center" vertical="center" wrapText="1"/>
    </xf>
    <xf numFmtId="10" fontId="21" fillId="0" borderId="0" xfId="2" applyNumberFormat="1" applyFont="1"/>
    <xf numFmtId="165" fontId="1" fillId="0" borderId="0" xfId="4" applyNumberFormat="1" applyFont="1"/>
    <xf numFmtId="165" fontId="1" fillId="0" borderId="0" xfId="1" applyNumberFormat="1" applyFont="1"/>
    <xf numFmtId="166" fontId="1" fillId="0" borderId="0" xfId="4" applyNumberFormat="1" applyFont="1"/>
    <xf numFmtId="0" fontId="11" fillId="34" borderId="10" xfId="0" applyFont="1" applyFill="1" applyBorder="1" applyAlignment="1" applyProtection="1">
      <alignment horizontal="center" vertical="center" wrapText="1"/>
      <protection locked="0"/>
    </xf>
    <xf numFmtId="165" fontId="16" fillId="0" borderId="0" xfId="1" applyNumberFormat="1" applyFont="1"/>
    <xf numFmtId="0" fontId="53" fillId="0" borderId="0" xfId="1851" applyFont="1"/>
    <xf numFmtId="166" fontId="53" fillId="0" borderId="0" xfId="1851" applyNumberFormat="1" applyFont="1"/>
    <xf numFmtId="3" fontId="53" fillId="0" borderId="0" xfId="1851" applyNumberFormat="1" applyFont="1"/>
    <xf numFmtId="166" fontId="53" fillId="0" borderId="51" xfId="1851" applyNumberFormat="1" applyFont="1" applyBorder="1"/>
    <xf numFmtId="0" fontId="53" fillId="0" borderId="51" xfId="1851" applyFont="1" applyBorder="1"/>
    <xf numFmtId="9" fontId="53" fillId="0" borderId="0" xfId="1851" applyNumberFormat="1" applyFont="1"/>
    <xf numFmtId="167" fontId="53" fillId="0" borderId="0" xfId="4572" applyNumberFormat="1" applyFont="1" applyFill="1" applyBorder="1"/>
    <xf numFmtId="0" fontId="54" fillId="0" borderId="0" xfId="1851" applyFont="1"/>
    <xf numFmtId="166" fontId="53" fillId="0" borderId="14" xfId="1851" applyNumberFormat="1" applyFont="1" applyBorder="1"/>
    <xf numFmtId="10" fontId="53" fillId="0" borderId="0" xfId="4572" applyNumberFormat="1" applyFont="1"/>
    <xf numFmtId="167" fontId="53" fillId="0" borderId="0" xfId="4572" applyNumberFormat="1" applyFont="1"/>
    <xf numFmtId="165" fontId="53" fillId="0" borderId="14" xfId="1851" applyNumberFormat="1" applyFont="1" applyBorder="1"/>
    <xf numFmtId="165" fontId="53" fillId="0" borderId="0" xfId="4573" applyNumberFormat="1" applyFont="1" applyBorder="1"/>
    <xf numFmtId="0" fontId="53" fillId="0" borderId="14" xfId="1851" applyFont="1" applyBorder="1"/>
    <xf numFmtId="166" fontId="53" fillId="0" borderId="14" xfId="4575" applyNumberFormat="1" applyFont="1" applyBorder="1"/>
    <xf numFmtId="166" fontId="53" fillId="0" borderId="0" xfId="4575" applyNumberFormat="1" applyFont="1" applyBorder="1"/>
    <xf numFmtId="166" fontId="53" fillId="0" borderId="0" xfId="4575" applyNumberFormat="1" applyFont="1"/>
    <xf numFmtId="10" fontId="53" fillId="0" borderId="0" xfId="1851" applyNumberFormat="1" applyFont="1"/>
    <xf numFmtId="43" fontId="0" fillId="0" borderId="0" xfId="1" applyFont="1"/>
    <xf numFmtId="166" fontId="0" fillId="0" borderId="0" xfId="0" applyNumberFormat="1"/>
    <xf numFmtId="0" fontId="0" fillId="36" borderId="0" xfId="0" applyFill="1"/>
    <xf numFmtId="279" fontId="19" fillId="36" borderId="0" xfId="6" applyNumberFormat="1" applyFill="1"/>
    <xf numFmtId="279" fontId="19" fillId="36" borderId="71" xfId="6" applyNumberFormat="1" applyFill="1" applyBorder="1"/>
    <xf numFmtId="167" fontId="19" fillId="36" borderId="0" xfId="2" applyNumberFormat="1" applyFont="1" applyFill="1" applyBorder="1"/>
    <xf numFmtId="167" fontId="19" fillId="36" borderId="71" xfId="2" applyNumberFormat="1" applyFont="1" applyFill="1" applyBorder="1"/>
    <xf numFmtId="17" fontId="0" fillId="91" borderId="0" xfId="0" applyNumberFormat="1" applyFill="1" applyAlignment="1">
      <alignment wrapText="1"/>
    </xf>
    <xf numFmtId="165" fontId="0" fillId="91" borderId="0" xfId="1" applyNumberFormat="1" applyFont="1" applyFill="1" applyAlignment="1">
      <alignment wrapText="1"/>
    </xf>
    <xf numFmtId="0" fontId="0" fillId="91" borderId="0" xfId="0" applyFill="1"/>
    <xf numFmtId="280" fontId="0" fillId="0" borderId="0" xfId="1" applyNumberFormat="1" applyFont="1"/>
    <xf numFmtId="10" fontId="53" fillId="36" borderId="0" xfId="2" applyNumberFormat="1" applyFont="1" applyFill="1"/>
    <xf numFmtId="167" fontId="19" fillId="36" borderId="0" xfId="2" applyNumberFormat="1" applyFont="1" applyFill="1"/>
    <xf numFmtId="0" fontId="0" fillId="0" borderId="67" xfId="0" applyBorder="1"/>
    <xf numFmtId="0" fontId="0" fillId="0" borderId="71" xfId="0" applyBorder="1"/>
    <xf numFmtId="165" fontId="0" fillId="0" borderId="71" xfId="0" applyNumberFormat="1" applyBorder="1"/>
    <xf numFmtId="17" fontId="0" fillId="0" borderId="0" xfId="0" applyNumberFormat="1" applyAlignment="1">
      <alignment horizontal="center"/>
    </xf>
    <xf numFmtId="167" fontId="0" fillId="0" borderId="0" xfId="2" applyNumberFormat="1" applyFont="1" applyBorder="1"/>
    <xf numFmtId="0" fontId="0" fillId="0" borderId="74" xfId="0" applyBorder="1"/>
    <xf numFmtId="0" fontId="0" fillId="0" borderId="75" xfId="0" applyBorder="1"/>
    <xf numFmtId="280" fontId="0" fillId="0" borderId="0" xfId="0" applyNumberFormat="1"/>
    <xf numFmtId="280" fontId="0" fillId="0" borderId="0" xfId="1" applyNumberFormat="1" applyFont="1" applyBorder="1"/>
    <xf numFmtId="1" fontId="0" fillId="0" borderId="0" xfId="0" applyNumberFormat="1"/>
    <xf numFmtId="165" fontId="0" fillId="0" borderId="0" xfId="1" applyNumberFormat="1" applyFont="1" applyFill="1" applyBorder="1"/>
    <xf numFmtId="165" fontId="0" fillId="0" borderId="75" xfId="0" applyNumberFormat="1" applyBorder="1"/>
    <xf numFmtId="0" fontId="31" fillId="36" borderId="79" xfId="6" applyFont="1" applyFill="1" applyBorder="1" applyAlignment="1">
      <alignment horizontal="center"/>
    </xf>
    <xf numFmtId="165" fontId="0" fillId="89" borderId="0" xfId="1" applyNumberFormat="1" applyFont="1" applyFill="1"/>
    <xf numFmtId="0" fontId="0" fillId="0" borderId="82" xfId="0" applyBorder="1"/>
    <xf numFmtId="0" fontId="0" fillId="0" borderId="81" xfId="0" applyBorder="1"/>
    <xf numFmtId="9" fontId="0" fillId="0" borderId="0" xfId="4606" applyFont="1" applyAlignment="1">
      <alignment horizontal="center"/>
    </xf>
    <xf numFmtId="0" fontId="1" fillId="0" borderId="80" xfId="1851" applyBorder="1"/>
    <xf numFmtId="167" fontId="0" fillId="0" borderId="51" xfId="4606" applyNumberFormat="1" applyFont="1" applyBorder="1"/>
    <xf numFmtId="167" fontId="0" fillId="0" borderId="0" xfId="4606" applyNumberFormat="1" applyFont="1" applyBorder="1"/>
    <xf numFmtId="9" fontId="0" fillId="0" borderId="0" xfId="4606" applyFont="1"/>
    <xf numFmtId="167" fontId="0" fillId="0" borderId="0" xfId="4606" applyNumberFormat="1" applyFont="1"/>
    <xf numFmtId="274" fontId="0" fillId="0" borderId="0" xfId="4606" applyNumberFormat="1" applyFont="1" applyAlignment="1">
      <alignment horizontal="center"/>
    </xf>
    <xf numFmtId="167" fontId="1" fillId="0" borderId="80" xfId="1851" applyNumberFormat="1" applyBorder="1"/>
    <xf numFmtId="167" fontId="0" fillId="89" borderId="14" xfId="4606" applyNumberFormat="1" applyFont="1" applyFill="1" applyBorder="1"/>
    <xf numFmtId="166" fontId="0" fillId="0" borderId="80" xfId="4573" applyNumberFormat="1" applyFont="1" applyBorder="1"/>
    <xf numFmtId="10" fontId="1" fillId="0" borderId="0" xfId="4606" applyNumberFormat="1" applyBorder="1"/>
    <xf numFmtId="0" fontId="31" fillId="0" borderId="0" xfId="0" applyFont="1" applyAlignment="1">
      <alignment horizontal="right"/>
    </xf>
    <xf numFmtId="0" fontId="53" fillId="0" borderId="0" xfId="0" applyFont="1" applyAlignment="1">
      <alignment horizontal="right"/>
    </xf>
    <xf numFmtId="0" fontId="53" fillId="0" borderId="0" xfId="0" applyFont="1"/>
    <xf numFmtId="165" fontId="53" fillId="0" borderId="0" xfId="1" applyNumberFormat="1" applyFont="1"/>
    <xf numFmtId="0" fontId="51" fillId="0" borderId="0" xfId="0" applyFont="1"/>
    <xf numFmtId="170" fontId="60" fillId="0" borderId="0" xfId="0" applyNumberFormat="1" applyFont="1"/>
    <xf numFmtId="170" fontId="53" fillId="0" borderId="0" xfId="0" applyNumberFormat="1" applyFont="1"/>
    <xf numFmtId="15" fontId="201" fillId="0" borderId="0" xfId="0" applyNumberFormat="1" applyFont="1" applyAlignment="1">
      <alignment horizontal="right" vertical="center"/>
    </xf>
    <xf numFmtId="15" fontId="14" fillId="0" borderId="0" xfId="0" applyNumberFormat="1" applyFont="1" applyAlignment="1">
      <alignment horizontal="right" vertical="center"/>
    </xf>
    <xf numFmtId="15" fontId="0" fillId="0" borderId="0" xfId="0" applyNumberFormat="1" applyAlignment="1">
      <alignment horizontal="center"/>
    </xf>
    <xf numFmtId="167" fontId="0" fillId="0" borderId="51" xfId="0" applyNumberFormat="1" applyBorder="1"/>
    <xf numFmtId="10" fontId="0" fillId="0" borderId="51" xfId="0" applyNumberFormat="1" applyBorder="1"/>
    <xf numFmtId="10" fontId="0" fillId="0" borderId="80" xfId="0" applyNumberFormat="1" applyBorder="1"/>
    <xf numFmtId="0" fontId="14" fillId="0" borderId="0" xfId="0" applyFont="1"/>
    <xf numFmtId="10" fontId="0" fillId="0" borderId="0" xfId="2" applyNumberFormat="1" applyFont="1" applyBorder="1"/>
    <xf numFmtId="165" fontId="14" fillId="0" borderId="0" xfId="1" applyNumberFormat="1" applyFont="1" applyBorder="1"/>
    <xf numFmtId="0" fontId="54" fillId="0" borderId="81" xfId="1851" applyFont="1" applyBorder="1"/>
    <xf numFmtId="0" fontId="53" fillId="0" borderId="82" xfId="1851" applyFont="1" applyBorder="1"/>
    <xf numFmtId="165" fontId="53" fillId="0" borderId="0" xfId="1851" applyNumberFormat="1" applyFont="1"/>
    <xf numFmtId="167" fontId="53" fillId="0" borderId="0" xfId="2" applyNumberFormat="1" applyFont="1"/>
    <xf numFmtId="9" fontId="53" fillId="0" borderId="14" xfId="4574" applyFont="1" applyBorder="1"/>
    <xf numFmtId="9" fontId="53" fillId="0" borderId="14" xfId="1851" applyNumberFormat="1" applyFont="1" applyBorder="1"/>
    <xf numFmtId="3" fontId="0" fillId="36" borderId="0" xfId="0" applyNumberFormat="1" applyFill="1"/>
    <xf numFmtId="274" fontId="0" fillId="0" borderId="0" xfId="0" applyNumberFormat="1"/>
    <xf numFmtId="9" fontId="16" fillId="0" borderId="0" xfId="2" applyFont="1"/>
    <xf numFmtId="281" fontId="16" fillId="0" borderId="0" xfId="2" applyNumberFormat="1" applyFont="1"/>
    <xf numFmtId="10" fontId="53" fillId="0" borderId="0" xfId="2" applyNumberFormat="1" applyFont="1"/>
    <xf numFmtId="0" fontId="1" fillId="0" borderId="0" xfId="1851" applyAlignment="1">
      <alignment horizontal="center" vertical="center" wrapText="1"/>
    </xf>
    <xf numFmtId="167" fontId="0" fillId="89" borderId="0" xfId="4572" applyNumberFormat="1" applyFont="1" applyFill="1"/>
    <xf numFmtId="165" fontId="55" fillId="0" borderId="14" xfId="1" applyNumberFormat="1" applyFont="1" applyBorder="1"/>
    <xf numFmtId="165" fontId="55" fillId="88" borderId="0" xfId="1" applyNumberFormat="1" applyFont="1" applyFill="1" applyBorder="1"/>
    <xf numFmtId="165" fontId="55" fillId="88" borderId="14" xfId="1" applyNumberFormat="1" applyFont="1" applyFill="1" applyBorder="1"/>
    <xf numFmtId="165" fontId="30" fillId="0" borderId="51" xfId="1" applyNumberFormat="1" applyFont="1" applyBorder="1"/>
    <xf numFmtId="165" fontId="30" fillId="0" borderId="80" xfId="1" applyNumberFormat="1" applyFont="1" applyBorder="1"/>
    <xf numFmtId="0" fontId="169" fillId="0" borderId="0" xfId="0" applyFont="1"/>
    <xf numFmtId="0" fontId="19" fillId="0" borderId="0" xfId="0" applyFont="1" applyAlignment="1">
      <alignment horizontal="left"/>
    </xf>
    <xf numFmtId="0" fontId="0" fillId="0" borderId="0" xfId="0" applyAlignment="1">
      <alignment horizontal="right"/>
    </xf>
    <xf numFmtId="0" fontId="56" fillId="0" borderId="0" xfId="0" applyFont="1"/>
    <xf numFmtId="0" fontId="76" fillId="0" borderId="0" xfId="0" applyFont="1"/>
    <xf numFmtId="0" fontId="56" fillId="0" borderId="0" xfId="0" applyFont="1" applyAlignment="1">
      <alignment horizontal="right"/>
    </xf>
    <xf numFmtId="0" fontId="31" fillId="0" borderId="0" xfId="0" applyFont="1"/>
    <xf numFmtId="0" fontId="31" fillId="0" borderId="0" xfId="0" applyFont="1" applyAlignment="1">
      <alignment horizontal="left"/>
    </xf>
    <xf numFmtId="279" fontId="0" fillId="0" borderId="0" xfId="0" applyNumberFormat="1"/>
    <xf numFmtId="0" fontId="205" fillId="0" borderId="0" xfId="0" applyFont="1" applyAlignment="1">
      <alignment horizontal="left"/>
    </xf>
    <xf numFmtId="0" fontId="50" fillId="0" borderId="0" xfId="4648"/>
    <xf numFmtId="0" fontId="19" fillId="0" borderId="0" xfId="4648" applyFont="1" applyAlignment="1">
      <alignment horizontal="left"/>
    </xf>
    <xf numFmtId="0" fontId="50" fillId="0" borderId="0" xfId="4648" applyAlignment="1">
      <alignment horizontal="right"/>
    </xf>
    <xf numFmtId="0" fontId="76" fillId="0" borderId="0" xfId="4648" applyFont="1"/>
    <xf numFmtId="0" fontId="56" fillId="0" borderId="0" xfId="4648" applyFont="1" applyAlignment="1">
      <alignment horizontal="right"/>
    </xf>
    <xf numFmtId="0" fontId="31" fillId="0" borderId="0" xfId="4648" applyFont="1" applyAlignment="1">
      <alignment horizontal="left"/>
    </xf>
    <xf numFmtId="279" fontId="31" fillId="0" borderId="0" xfId="4648" applyNumberFormat="1" applyFont="1"/>
    <xf numFmtId="279" fontId="50" fillId="0" borderId="0" xfId="4648" applyNumberFormat="1"/>
    <xf numFmtId="0" fontId="50" fillId="0" borderId="0" xfId="4648" applyAlignment="1">
      <alignment horizontal="left"/>
    </xf>
    <xf numFmtId="3" fontId="50" fillId="0" borderId="0" xfId="4648" applyNumberFormat="1"/>
    <xf numFmtId="170" fontId="50" fillId="0" borderId="0" xfId="4648" applyNumberFormat="1"/>
    <xf numFmtId="0" fontId="205" fillId="0" borderId="0" xfId="4648" applyFont="1" applyAlignment="1">
      <alignment horizontal="left"/>
    </xf>
    <xf numFmtId="9" fontId="0" fillId="0" borderId="0" xfId="2" applyFont="1"/>
    <xf numFmtId="279" fontId="14" fillId="0" borderId="0" xfId="0" applyNumberFormat="1" applyFont="1"/>
    <xf numFmtId="0" fontId="50" fillId="0" borderId="0" xfId="4650"/>
    <xf numFmtId="0" fontId="19" fillId="0" borderId="0" xfId="4650" applyFont="1" applyAlignment="1">
      <alignment horizontal="left"/>
    </xf>
    <xf numFmtId="0" fontId="169" fillId="0" borderId="0" xfId="4650" applyFont="1"/>
    <xf numFmtId="0" fontId="50" fillId="0" borderId="0" xfId="4650" applyAlignment="1">
      <alignment horizontal="right"/>
    </xf>
    <xf numFmtId="0" fontId="56" fillId="0" borderId="0" xfId="4650" applyFont="1"/>
    <xf numFmtId="0" fontId="76" fillId="0" borderId="0" xfId="4650" applyFont="1"/>
    <xf numFmtId="0" fontId="56" fillId="0" borderId="0" xfId="4650" applyFont="1" applyAlignment="1">
      <alignment horizontal="right"/>
    </xf>
    <xf numFmtId="0" fontId="31" fillId="0" borderId="0" xfId="4650" applyFont="1"/>
    <xf numFmtId="0" fontId="31" fillId="0" borderId="0" xfId="4650" applyFont="1" applyAlignment="1">
      <alignment horizontal="left"/>
    </xf>
    <xf numFmtId="170" fontId="31" fillId="0" borderId="0" xfId="4650" applyNumberFormat="1" applyFont="1"/>
    <xf numFmtId="0" fontId="205" fillId="0" borderId="0" xfId="4650" applyFont="1" applyAlignment="1">
      <alignment horizontal="left" indent="1"/>
    </xf>
    <xf numFmtId="170" fontId="50" fillId="0" borderId="0" xfId="4650" applyNumberFormat="1"/>
    <xf numFmtId="0" fontId="19" fillId="0" borderId="0" xfId="4650" applyFont="1" applyAlignment="1">
      <alignment horizontal="left" indent="2"/>
    </xf>
    <xf numFmtId="0" fontId="50" fillId="0" borderId="0" xfId="4650" applyAlignment="1">
      <alignment horizontal="left" indent="2"/>
    </xf>
    <xf numFmtId="0" fontId="50" fillId="0" borderId="0" xfId="4650" applyAlignment="1">
      <alignment horizontal="left"/>
    </xf>
    <xf numFmtId="2" fontId="171" fillId="0" borderId="0" xfId="4650" applyNumberFormat="1" applyFont="1" applyAlignment="1">
      <alignment horizontal="left"/>
    </xf>
    <xf numFmtId="1" fontId="36" fillId="0" borderId="0" xfId="4650" applyNumberFormat="1" applyFont="1" applyAlignment="1">
      <alignment horizontal="left" indent="2"/>
    </xf>
    <xf numFmtId="2" fontId="31" fillId="0" borderId="0" xfId="4650" applyNumberFormat="1" applyFont="1"/>
    <xf numFmtId="0" fontId="56" fillId="0" borderId="0" xfId="4651" applyFont="1"/>
    <xf numFmtId="0" fontId="14" fillId="0" borderId="0" xfId="1851" applyFont="1" applyAlignment="1">
      <alignment horizontal="center"/>
    </xf>
    <xf numFmtId="165" fontId="209" fillId="0" borderId="0" xfId="1" applyNumberFormat="1" applyFont="1" applyAlignment="1">
      <alignment horizontal="left"/>
    </xf>
    <xf numFmtId="170" fontId="210" fillId="0" borderId="0" xfId="0" applyNumberFormat="1" applyFont="1" applyAlignment="1">
      <alignment horizontal="left"/>
    </xf>
    <xf numFmtId="0" fontId="193" fillId="90" borderId="80" xfId="6" applyFont="1" applyFill="1" applyBorder="1" applyAlignment="1">
      <alignment horizontal="center" vertical="center"/>
    </xf>
    <xf numFmtId="166" fontId="54" fillId="36" borderId="80" xfId="1851" applyNumberFormat="1" applyFont="1" applyFill="1" applyBorder="1"/>
    <xf numFmtId="0" fontId="19" fillId="0" borderId="0" xfId="0" applyFont="1"/>
    <xf numFmtId="0" fontId="169" fillId="0" borderId="0" xfId="0" applyFont="1" applyAlignment="1">
      <alignment vertical="center"/>
    </xf>
    <xf numFmtId="279" fontId="31" fillId="0" borderId="0" xfId="0" applyNumberFormat="1" applyFont="1" applyAlignment="1">
      <alignment horizontal="right"/>
    </xf>
    <xf numFmtId="279" fontId="0" fillId="0" borderId="0" xfId="0" applyNumberFormat="1" applyAlignment="1">
      <alignment horizontal="right"/>
    </xf>
    <xf numFmtId="170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4" fontId="31" fillId="0" borderId="0" xfId="0" applyNumberFormat="1" applyFont="1" applyAlignment="1">
      <alignment horizontal="right"/>
    </xf>
    <xf numFmtId="0" fontId="19" fillId="0" borderId="0" xfId="0" applyFont="1" applyAlignment="1">
      <alignment horizontal="right"/>
    </xf>
    <xf numFmtId="2" fontId="31" fillId="0" borderId="0" xfId="0" applyNumberFormat="1" applyFont="1"/>
    <xf numFmtId="167" fontId="14" fillId="0" borderId="0" xfId="2" applyNumberFormat="1" applyFont="1" applyBorder="1"/>
    <xf numFmtId="165" fontId="14" fillId="0" borderId="0" xfId="0" applyNumberFormat="1" applyFont="1"/>
    <xf numFmtId="280" fontId="14" fillId="0" borderId="0" xfId="1" applyNumberFormat="1" applyFont="1"/>
    <xf numFmtId="16" fontId="0" fillId="0" borderId="0" xfId="0" applyNumberFormat="1"/>
    <xf numFmtId="9" fontId="14" fillId="0" borderId="0" xfId="2" applyFont="1"/>
    <xf numFmtId="0" fontId="54" fillId="0" borderId="14" xfId="1851" applyFont="1" applyBorder="1" applyAlignment="1">
      <alignment horizontal="center"/>
    </xf>
    <xf numFmtId="1" fontId="53" fillId="0" borderId="0" xfId="1851" applyNumberFormat="1" applyFont="1"/>
    <xf numFmtId="1" fontId="53" fillId="0" borderId="14" xfId="1851" applyNumberFormat="1" applyFont="1" applyBorder="1"/>
    <xf numFmtId="168" fontId="30" fillId="0" borderId="51" xfId="5" applyNumberFormat="1" applyFont="1" applyBorder="1"/>
    <xf numFmtId="168" fontId="30" fillId="0" borderId="80" xfId="5" applyNumberFormat="1" applyFont="1" applyBorder="1"/>
    <xf numFmtId="0" fontId="53" fillId="0" borderId="81" xfId="1851" applyFont="1" applyBorder="1"/>
    <xf numFmtId="0" fontId="55" fillId="0" borderId="0" xfId="0" applyFont="1"/>
    <xf numFmtId="0" fontId="53" fillId="0" borderId="0" xfId="1851" applyFont="1" applyAlignment="1">
      <alignment horizontal="center"/>
    </xf>
    <xf numFmtId="0" fontId="202" fillId="0" borderId="0" xfId="1851" applyFont="1" applyAlignment="1">
      <alignment horizontal="center"/>
    </xf>
    <xf numFmtId="0" fontId="19" fillId="0" borderId="0" xfId="1851" applyFont="1"/>
    <xf numFmtId="1" fontId="19" fillId="0" borderId="0" xfId="1851" applyNumberFormat="1" applyFont="1"/>
    <xf numFmtId="168" fontId="53" fillId="0" borderId="0" xfId="4" applyNumberFormat="1" applyFont="1" applyFill="1" applyBorder="1"/>
    <xf numFmtId="166" fontId="53" fillId="0" borderId="0" xfId="4" applyNumberFormat="1" applyFont="1" applyFill="1" applyBorder="1"/>
    <xf numFmtId="167" fontId="53" fillId="0" borderId="0" xfId="7" applyNumberFormat="1" applyFont="1" applyFill="1" applyBorder="1"/>
    <xf numFmtId="0" fontId="31" fillId="0" borderId="0" xfId="1851" applyFont="1"/>
    <xf numFmtId="168" fontId="54" fillId="0" borderId="0" xfId="1851" applyNumberFormat="1" applyFont="1"/>
    <xf numFmtId="166" fontId="54" fillId="0" borderId="0" xfId="4" applyNumberFormat="1" applyFont="1" applyFill="1" applyBorder="1"/>
    <xf numFmtId="167" fontId="54" fillId="0" borderId="0" xfId="7" applyNumberFormat="1" applyFont="1" applyFill="1" applyBorder="1"/>
    <xf numFmtId="0" fontId="55" fillId="0" borderId="0" xfId="0" applyFont="1" applyAlignment="1">
      <alignment vertical="center"/>
    </xf>
    <xf numFmtId="0" fontId="53" fillId="0" borderId="0" xfId="1851" applyFont="1" applyAlignment="1">
      <alignment horizontal="right"/>
    </xf>
    <xf numFmtId="0" fontId="53" fillId="0" borderId="75" xfId="1851" applyFont="1" applyBorder="1"/>
    <xf numFmtId="167" fontId="0" fillId="89" borderId="0" xfId="2" applyNumberFormat="1" applyFont="1" applyFill="1"/>
    <xf numFmtId="167" fontId="1" fillId="0" borderId="0" xfId="2" applyNumberFormat="1"/>
    <xf numFmtId="43" fontId="20" fillId="0" borderId="0" xfId="1" applyFont="1"/>
    <xf numFmtId="43" fontId="20" fillId="0" borderId="0" xfId="7" applyNumberFormat="1" applyFont="1"/>
    <xf numFmtId="167" fontId="0" fillId="0" borderId="0" xfId="2" applyNumberFormat="1" applyFont="1" applyFill="1"/>
    <xf numFmtId="166" fontId="21" fillId="0" borderId="0" xfId="5" applyNumberFormat="1" applyFont="1"/>
    <xf numFmtId="0" fontId="199" fillId="90" borderId="0" xfId="6" applyFont="1" applyFill="1" applyAlignment="1">
      <alignment horizontal="right"/>
    </xf>
    <xf numFmtId="3" fontId="16" fillId="0" borderId="0" xfId="6" applyNumberFormat="1" applyFont="1"/>
    <xf numFmtId="10" fontId="16" fillId="0" borderId="0" xfId="4571" applyNumberFormat="1" applyFont="1"/>
    <xf numFmtId="10" fontId="194" fillId="0" borderId="0" xfId="2" applyNumberFormat="1" applyFont="1"/>
    <xf numFmtId="0" fontId="16" fillId="0" borderId="0" xfId="6" applyFont="1"/>
    <xf numFmtId="3" fontId="194" fillId="0" borderId="0" xfId="6" applyNumberFormat="1" applyFont="1"/>
    <xf numFmtId="0" fontId="16" fillId="0" borderId="14" xfId="3" applyBorder="1"/>
    <xf numFmtId="10" fontId="194" fillId="89" borderId="0" xfId="4571" applyNumberFormat="1" applyFont="1" applyFill="1"/>
    <xf numFmtId="3" fontId="194" fillId="89" borderId="0" xfId="6" applyNumberFormat="1" applyFont="1" applyFill="1"/>
    <xf numFmtId="165" fontId="194" fillId="0" borderId="0" xfId="1" applyNumberFormat="1" applyFont="1"/>
    <xf numFmtId="0" fontId="194" fillId="0" borderId="0" xfId="6" applyFont="1"/>
    <xf numFmtId="0" fontId="21" fillId="0" borderId="0" xfId="0" applyFont="1"/>
    <xf numFmtId="0" fontId="199" fillId="90" borderId="0" xfId="6" applyFont="1" applyFill="1" applyAlignment="1">
      <alignment horizontal="center" wrapText="1"/>
    </xf>
    <xf numFmtId="0" fontId="194" fillId="0" borderId="14" xfId="3" applyFont="1" applyBorder="1"/>
    <xf numFmtId="276" fontId="216" fillId="0" borderId="0" xfId="6" applyNumberFormat="1" applyFont="1" applyAlignment="1">
      <alignment horizontal="center"/>
    </xf>
    <xf numFmtId="282" fontId="194" fillId="0" borderId="0" xfId="1" applyNumberFormat="1" applyFont="1"/>
    <xf numFmtId="166" fontId="217" fillId="0" borderId="0" xfId="4" applyNumberFormat="1" applyFont="1"/>
    <xf numFmtId="167" fontId="217" fillId="0" borderId="0" xfId="7" applyNumberFormat="1" applyFont="1"/>
    <xf numFmtId="0" fontId="194" fillId="0" borderId="67" xfId="3" applyFont="1" applyBorder="1"/>
    <xf numFmtId="9" fontId="16" fillId="0" borderId="0" xfId="3" applyNumberFormat="1"/>
    <xf numFmtId="10" fontId="194" fillId="0" borderId="0" xfId="4571" applyNumberFormat="1" applyFont="1"/>
    <xf numFmtId="10" fontId="217" fillId="0" borderId="0" xfId="7" applyNumberFormat="1" applyFont="1"/>
    <xf numFmtId="0" fontId="194" fillId="0" borderId="0" xfId="3" applyFont="1"/>
    <xf numFmtId="165" fontId="16" fillId="0" borderId="0" xfId="3" applyNumberFormat="1"/>
    <xf numFmtId="166" fontId="1" fillId="0" borderId="0" xfId="5" applyNumberFormat="1" applyFont="1" applyFill="1"/>
    <xf numFmtId="279" fontId="194" fillId="0" borderId="0" xfId="6" applyNumberFormat="1" applyFont="1"/>
    <xf numFmtId="275" fontId="1" fillId="0" borderId="0" xfId="1851" applyNumberFormat="1"/>
    <xf numFmtId="0" fontId="1" fillId="0" borderId="0" xfId="1851" quotePrefix="1"/>
    <xf numFmtId="166" fontId="0" fillId="0" borderId="0" xfId="5" applyNumberFormat="1" applyFont="1" applyFill="1"/>
    <xf numFmtId="0" fontId="22" fillId="0" borderId="0" xfId="8" applyFill="1"/>
    <xf numFmtId="9" fontId="0" fillId="0" borderId="0" xfId="4572" applyFont="1" applyFill="1"/>
    <xf numFmtId="183" fontId="192" fillId="0" borderId="0" xfId="1851" applyNumberFormat="1" applyFont="1"/>
    <xf numFmtId="165" fontId="0" fillId="0" borderId="0" xfId="1" applyNumberFormat="1" applyFont="1" applyFill="1"/>
    <xf numFmtId="167" fontId="14" fillId="0" borderId="0" xfId="1851" applyNumberFormat="1" applyFont="1"/>
    <xf numFmtId="168" fontId="14" fillId="0" borderId="0" xfId="5" applyNumberFormat="1" applyFont="1" applyFill="1"/>
    <xf numFmtId="10" fontId="0" fillId="0" borderId="0" xfId="4572" applyNumberFormat="1" applyFont="1" applyFill="1" applyAlignment="1">
      <alignment vertical="center"/>
    </xf>
    <xf numFmtId="170" fontId="1" fillId="0" borderId="0" xfId="1851" applyNumberFormat="1"/>
    <xf numFmtId="10" fontId="1" fillId="0" borderId="0" xfId="2" applyNumberFormat="1" applyFill="1"/>
    <xf numFmtId="11" fontId="0" fillId="0" borderId="0" xfId="1" applyNumberFormat="1" applyFont="1"/>
    <xf numFmtId="167" fontId="0" fillId="0" borderId="0" xfId="4572" applyNumberFormat="1" applyFont="1" applyFill="1"/>
    <xf numFmtId="11" fontId="0" fillId="0" borderId="0" xfId="0" applyNumberFormat="1"/>
    <xf numFmtId="165" fontId="1" fillId="0" borderId="0" xfId="1" applyNumberFormat="1" applyFill="1"/>
    <xf numFmtId="0" fontId="1" fillId="0" borderId="0" xfId="1851" applyAlignment="1">
      <alignment horizontal="center" wrapText="1"/>
    </xf>
    <xf numFmtId="166" fontId="14" fillId="0" borderId="0" xfId="5" applyNumberFormat="1" applyFont="1" applyFill="1"/>
    <xf numFmtId="0" fontId="49" fillId="0" borderId="0" xfId="1851" applyFont="1"/>
    <xf numFmtId="9" fontId="0" fillId="0" borderId="0" xfId="7" applyFont="1" applyFill="1"/>
    <xf numFmtId="0" fontId="53" fillId="0" borderId="51" xfId="0" applyFont="1" applyBorder="1" applyAlignment="1">
      <alignment wrapText="1"/>
    </xf>
    <xf numFmtId="0" fontId="53" fillId="0" borderId="119" xfId="0" applyFont="1" applyBorder="1" applyAlignment="1">
      <alignment wrapText="1"/>
    </xf>
    <xf numFmtId="3" fontId="53" fillId="0" borderId="67" xfId="1851" applyNumberFormat="1" applyFont="1" applyBorder="1"/>
    <xf numFmtId="3" fontId="53" fillId="0" borderId="74" xfId="1851" applyNumberFormat="1" applyFont="1" applyBorder="1"/>
    <xf numFmtId="0" fontId="15" fillId="90" borderId="81" xfId="0" applyFont="1" applyFill="1" applyBorder="1" applyAlignment="1">
      <alignment horizontal="center"/>
    </xf>
    <xf numFmtId="0" fontId="11" fillId="90" borderId="82" xfId="0" applyFont="1" applyFill="1" applyBorder="1" applyAlignment="1">
      <alignment horizontal="center"/>
    </xf>
    <xf numFmtId="2" fontId="1" fillId="0" borderId="51" xfId="1851" applyNumberFormat="1" applyBorder="1"/>
    <xf numFmtId="165" fontId="53" fillId="0" borderId="82" xfId="1" applyNumberFormat="1" applyFont="1" applyBorder="1"/>
    <xf numFmtId="165" fontId="53" fillId="0" borderId="115" xfId="1" applyNumberFormat="1" applyFont="1" applyBorder="1"/>
    <xf numFmtId="165" fontId="53" fillId="0" borderId="114" xfId="1" applyNumberFormat="1" applyFont="1" applyBorder="1"/>
    <xf numFmtId="165" fontId="53" fillId="0" borderId="81" xfId="1" applyNumberFormat="1" applyFont="1" applyBorder="1"/>
    <xf numFmtId="165" fontId="53" fillId="0" borderId="0" xfId="0" applyNumberFormat="1" applyFont="1"/>
    <xf numFmtId="165" fontId="53" fillId="0" borderId="75" xfId="1" applyNumberFormat="1" applyFont="1" applyBorder="1"/>
    <xf numFmtId="165" fontId="53" fillId="0" borderId="104" xfId="1" applyNumberFormat="1" applyFont="1" applyBorder="1"/>
    <xf numFmtId="165" fontId="53" fillId="0" borderId="74" xfId="1" applyNumberFormat="1" applyFont="1" applyBorder="1"/>
    <xf numFmtId="165" fontId="53" fillId="0" borderId="71" xfId="1" applyNumberFormat="1" applyFont="1" applyBorder="1"/>
    <xf numFmtId="165" fontId="53" fillId="0" borderId="14" xfId="1" applyNumberFormat="1" applyFont="1" applyBorder="1"/>
    <xf numFmtId="165" fontId="53" fillId="0" borderId="67" xfId="1" applyNumberFormat="1" applyFont="1" applyBorder="1"/>
    <xf numFmtId="0" fontId="53" fillId="0" borderId="0" xfId="0" applyFont="1" applyAlignment="1">
      <alignment wrapText="1"/>
    </xf>
    <xf numFmtId="0" fontId="53" fillId="0" borderId="103" xfId="0" applyFont="1" applyBorder="1" applyAlignment="1">
      <alignment wrapText="1"/>
    </xf>
    <xf numFmtId="0" fontId="53" fillId="0" borderId="119" xfId="1851" applyFont="1" applyBorder="1"/>
    <xf numFmtId="165" fontId="53" fillId="0" borderId="105" xfId="1" applyNumberFormat="1" applyFont="1" applyBorder="1"/>
    <xf numFmtId="17" fontId="53" fillId="0" borderId="77" xfId="1851" applyNumberFormat="1" applyFont="1" applyBorder="1"/>
    <xf numFmtId="1" fontId="53" fillId="0" borderId="118" xfId="1851" applyNumberFormat="1" applyFont="1" applyBorder="1"/>
    <xf numFmtId="17" fontId="53" fillId="0" borderId="117" xfId="1851" applyNumberFormat="1" applyFont="1" applyBorder="1"/>
    <xf numFmtId="17" fontId="53" fillId="0" borderId="78" xfId="1851" applyNumberFormat="1" applyFont="1" applyBorder="1"/>
    <xf numFmtId="1" fontId="53" fillId="0" borderId="116" xfId="1851" applyNumberFormat="1" applyFont="1" applyBorder="1"/>
    <xf numFmtId="1" fontId="53" fillId="0" borderId="84" xfId="1851" applyNumberFormat="1" applyFont="1" applyBorder="1"/>
    <xf numFmtId="17" fontId="53" fillId="0" borderId="83" xfId="1851" applyNumberFormat="1" applyFont="1" applyBorder="1"/>
    <xf numFmtId="17" fontId="53" fillId="0" borderId="79" xfId="1851" applyNumberFormat="1" applyFont="1" applyBorder="1"/>
    <xf numFmtId="0" fontId="53" fillId="0" borderId="0" xfId="1851" applyFont="1" applyAlignment="1">
      <alignment horizontal="center" vertical="center" wrapText="1"/>
    </xf>
    <xf numFmtId="0" fontId="205" fillId="36" borderId="77" xfId="6" applyFont="1" applyFill="1" applyBorder="1" applyAlignment="1">
      <alignment horizontal="center"/>
    </xf>
    <xf numFmtId="3" fontId="19" fillId="36" borderId="85" xfId="6" applyNumberFormat="1" applyFill="1" applyBorder="1"/>
    <xf numFmtId="3" fontId="19" fillId="36" borderId="82" xfId="6" applyNumberFormat="1" applyFill="1" applyBorder="1"/>
    <xf numFmtId="0" fontId="14" fillId="36" borderId="0" xfId="0" applyFont="1" applyFill="1"/>
    <xf numFmtId="0" fontId="193" fillId="90" borderId="72" xfId="6" applyFont="1" applyFill="1" applyBorder="1" applyAlignment="1">
      <alignment horizontal="center" vertical="center" wrapText="1"/>
    </xf>
    <xf numFmtId="0" fontId="193" fillId="90" borderId="73" xfId="6" applyFont="1" applyFill="1" applyBorder="1" applyAlignment="1">
      <alignment horizontal="center" vertical="center" wrapText="1"/>
    </xf>
    <xf numFmtId="0" fontId="193" fillId="90" borderId="76" xfId="6" applyFont="1" applyFill="1" applyBorder="1" applyAlignment="1">
      <alignment horizontal="center" vertical="center" wrapText="1"/>
    </xf>
    <xf numFmtId="167" fontId="0" fillId="36" borderId="0" xfId="2" applyNumberFormat="1" applyFont="1" applyFill="1"/>
    <xf numFmtId="0" fontId="1" fillId="0" borderId="0" xfId="1851" applyAlignment="1">
      <alignment horizontal="center" vertical="center"/>
    </xf>
    <xf numFmtId="9" fontId="19" fillId="0" borderId="0" xfId="2" applyFont="1"/>
    <xf numFmtId="167" fontId="19" fillId="0" borderId="0" xfId="2" applyNumberFormat="1" applyFont="1"/>
    <xf numFmtId="9" fontId="1" fillId="0" borderId="0" xfId="2"/>
    <xf numFmtId="165" fontId="1" fillId="0" borderId="0" xfId="1" applyNumberFormat="1"/>
    <xf numFmtId="165" fontId="0" fillId="0" borderId="0" xfId="1" applyNumberFormat="1" applyFont="1" applyAlignment="1"/>
    <xf numFmtId="282" fontId="0" fillId="0" borderId="0" xfId="1" applyNumberFormat="1" applyFont="1"/>
    <xf numFmtId="3" fontId="54" fillId="0" borderId="0" xfId="59" applyNumberFormat="1" applyFont="1"/>
    <xf numFmtId="0" fontId="54" fillId="0" borderId="0" xfId="59" applyFont="1"/>
    <xf numFmtId="0" fontId="193" fillId="90" borderId="0" xfId="6" applyFont="1" applyFill="1"/>
    <xf numFmtId="0" fontId="197" fillId="90" borderId="0" xfId="6" applyFont="1" applyFill="1" applyAlignment="1">
      <alignment horizontal="center"/>
    </xf>
    <xf numFmtId="0" fontId="197" fillId="36" borderId="0" xfId="6" applyFont="1" applyFill="1" applyAlignment="1">
      <alignment horizontal="center"/>
    </xf>
    <xf numFmtId="0" fontId="198" fillId="36" borderId="0" xfId="6" applyFont="1" applyFill="1" applyAlignment="1">
      <alignment horizontal="center"/>
    </xf>
    <xf numFmtId="3" fontId="198" fillId="36" borderId="0" xfId="6" applyNumberFormat="1" applyFont="1" applyFill="1" applyAlignment="1">
      <alignment horizontal="center"/>
    </xf>
    <xf numFmtId="0" fontId="19" fillId="36" borderId="0" xfId="3" applyFont="1" applyFill="1"/>
    <xf numFmtId="0" fontId="19" fillId="0" borderId="0" xfId="3" applyFont="1" applyAlignment="1">
      <alignment horizontal="center" vertical="center"/>
    </xf>
    <xf numFmtId="0" fontId="19" fillId="0" borderId="0" xfId="3" applyFont="1" applyAlignment="1">
      <alignment horizontal="center"/>
    </xf>
    <xf numFmtId="0" fontId="19" fillId="36" borderId="0" xfId="6" applyFill="1" applyAlignment="1">
      <alignment horizontal="center"/>
    </xf>
    <xf numFmtId="3" fontId="19" fillId="36" borderId="0" xfId="6" applyNumberFormat="1" applyFill="1" applyAlignment="1">
      <alignment horizontal="center"/>
    </xf>
    <xf numFmtId="3" fontId="19" fillId="0" borderId="0" xfId="6" applyNumberFormat="1" applyAlignment="1">
      <alignment horizontal="center"/>
    </xf>
    <xf numFmtId="0" fontId="198" fillId="0" borderId="0" xfId="3" applyFont="1"/>
    <xf numFmtId="0" fontId="198" fillId="0" borderId="0" xfId="3" applyFont="1" applyAlignment="1">
      <alignment horizontal="center"/>
    </xf>
    <xf numFmtId="3" fontId="198" fillId="0" borderId="0" xfId="3" applyNumberFormat="1" applyFont="1" applyAlignment="1">
      <alignment horizontal="center"/>
    </xf>
    <xf numFmtId="166" fontId="198" fillId="0" borderId="0" xfId="4" applyNumberFormat="1" applyFont="1" applyAlignment="1">
      <alignment horizontal="center"/>
    </xf>
    <xf numFmtId="166" fontId="198" fillId="0" borderId="0" xfId="4" applyNumberFormat="1" applyFont="1"/>
    <xf numFmtId="0" fontId="19" fillId="0" borderId="0" xfId="6"/>
    <xf numFmtId="3" fontId="19" fillId="0" borderId="0" xfId="6" applyNumberFormat="1"/>
    <xf numFmtId="3" fontId="19" fillId="0" borderId="0" xfId="3" applyNumberFormat="1" applyFont="1"/>
    <xf numFmtId="0" fontId="193" fillId="90" borderId="0" xfId="3" applyFont="1" applyFill="1"/>
    <xf numFmtId="0" fontId="19" fillId="0" borderId="0" xfId="6" applyAlignment="1">
      <alignment horizontal="center"/>
    </xf>
    <xf numFmtId="191" fontId="19" fillId="0" borderId="0" xfId="6" applyNumberFormat="1"/>
    <xf numFmtId="191" fontId="19" fillId="0" borderId="0" xfId="3" applyNumberFormat="1" applyFont="1"/>
    <xf numFmtId="0" fontId="31" fillId="0" borderId="0" xfId="3" applyFont="1" applyAlignment="1">
      <alignment horizontal="center"/>
    </xf>
    <xf numFmtId="43" fontId="19" fillId="0" borderId="0" xfId="3" applyNumberFormat="1" applyFont="1"/>
    <xf numFmtId="9" fontId="19" fillId="0" borderId="0" xfId="6" applyNumberFormat="1"/>
    <xf numFmtId="164" fontId="19" fillId="0" borderId="0" xfId="3" applyNumberFormat="1" applyFont="1"/>
    <xf numFmtId="166" fontId="30" fillId="0" borderId="51" xfId="5" applyNumberFormat="1" applyFont="1" applyBorder="1"/>
    <xf numFmtId="166" fontId="30" fillId="0" borderId="80" xfId="5" applyNumberFormat="1" applyFont="1" applyBorder="1"/>
    <xf numFmtId="1" fontId="0" fillId="0" borderId="0" xfId="1" applyNumberFormat="1" applyFont="1"/>
    <xf numFmtId="43" fontId="53" fillId="0" borderId="0" xfId="1" applyFont="1"/>
    <xf numFmtId="43" fontId="30" fillId="0" borderId="0" xfId="1" applyFont="1"/>
    <xf numFmtId="0" fontId="58" fillId="90" borderId="72" xfId="1851" applyFont="1" applyFill="1" applyBorder="1" applyAlignment="1">
      <alignment horizontal="center" vertical="center"/>
    </xf>
    <xf numFmtId="0" fontId="58" fillId="90" borderId="73" xfId="1851" applyFont="1" applyFill="1" applyBorder="1" applyAlignment="1">
      <alignment horizontal="center" vertical="center"/>
    </xf>
    <xf numFmtId="0" fontId="58" fillId="90" borderId="76" xfId="1851" applyFont="1" applyFill="1" applyBorder="1" applyAlignment="1">
      <alignment horizontal="center" vertical="center"/>
    </xf>
    <xf numFmtId="165" fontId="0" fillId="36" borderId="0" xfId="1" applyNumberFormat="1" applyFont="1" applyFill="1"/>
    <xf numFmtId="0" fontId="53" fillId="0" borderId="120" xfId="1851" applyFont="1" applyBorder="1"/>
    <xf numFmtId="166" fontId="217" fillId="0" borderId="0" xfId="4" applyNumberFormat="1" applyFont="1" applyFill="1"/>
    <xf numFmtId="10" fontId="217" fillId="0" borderId="0" xfId="7" applyNumberFormat="1" applyFont="1" applyFill="1"/>
    <xf numFmtId="165" fontId="16" fillId="0" borderId="0" xfId="1" applyNumberFormat="1" applyFont="1" applyFill="1"/>
    <xf numFmtId="167" fontId="217" fillId="0" borderId="0" xfId="7" applyNumberFormat="1" applyFont="1" applyFill="1"/>
    <xf numFmtId="43" fontId="194" fillId="0" borderId="0" xfId="1" applyFont="1"/>
    <xf numFmtId="3" fontId="218" fillId="0" borderId="0" xfId="6" applyNumberFormat="1" applyFont="1"/>
    <xf numFmtId="0" fontId="0" fillId="0" borderId="85" xfId="0" applyBorder="1"/>
    <xf numFmtId="0" fontId="22" fillId="0" borderId="0" xfId="8" applyBorder="1"/>
    <xf numFmtId="3" fontId="0" fillId="0" borderId="0" xfId="0" applyNumberFormat="1"/>
    <xf numFmtId="280" fontId="14" fillId="91" borderId="0" xfId="1" applyNumberFormat="1" applyFont="1" applyFill="1" applyBorder="1"/>
    <xf numFmtId="167" fontId="14" fillId="91" borderId="0" xfId="2" applyNumberFormat="1" applyFont="1" applyFill="1" applyBorder="1"/>
    <xf numFmtId="165" fontId="0" fillId="2" borderId="0" xfId="1" applyNumberFormat="1" applyFont="1" applyFill="1" applyBorder="1"/>
    <xf numFmtId="17" fontId="11" fillId="90" borderId="0" xfId="0" applyNumberFormat="1" applyFont="1" applyFill="1" applyAlignment="1">
      <alignment horizontal="center"/>
    </xf>
    <xf numFmtId="165" fontId="11" fillId="90" borderId="0" xfId="1" applyNumberFormat="1" applyFont="1" applyFill="1" applyAlignment="1">
      <alignment horizontal="center"/>
    </xf>
    <xf numFmtId="0" fontId="11" fillId="90" borderId="0" xfId="0" applyFont="1" applyFill="1" applyAlignment="1">
      <alignment horizontal="center"/>
    </xf>
    <xf numFmtId="165" fontId="0" fillId="0" borderId="0" xfId="1" applyNumberFormat="1" applyFont="1" applyFill="1" applyAlignment="1">
      <alignment wrapText="1"/>
    </xf>
    <xf numFmtId="0" fontId="19" fillId="92" borderId="0" xfId="0" applyFont="1" applyFill="1" applyAlignment="1">
      <alignment wrapText="1"/>
    </xf>
    <xf numFmtId="165" fontId="19" fillId="92" borderId="0" xfId="1" applyNumberFormat="1" applyFont="1" applyFill="1"/>
    <xf numFmtId="0" fontId="0" fillId="92" borderId="0" xfId="0" applyFill="1"/>
    <xf numFmtId="0" fontId="0" fillId="0" borderId="0" xfId="1" applyNumberFormat="1" applyFont="1" applyFill="1" applyAlignment="1">
      <alignment wrapText="1"/>
    </xf>
    <xf numFmtId="17" fontId="0" fillId="2" borderId="0" xfId="0" applyNumberFormat="1" applyFill="1" applyAlignment="1">
      <alignment wrapText="1"/>
    </xf>
    <xf numFmtId="0" fontId="0" fillId="2" borderId="0" xfId="0" applyFill="1" applyAlignment="1">
      <alignment wrapText="1"/>
    </xf>
    <xf numFmtId="0" fontId="0" fillId="2" borderId="0" xfId="0" applyFill="1"/>
    <xf numFmtId="165" fontId="0" fillId="2" borderId="0" xfId="1" applyNumberFormat="1" applyFont="1" applyFill="1"/>
    <xf numFmtId="165" fontId="0" fillId="2" borderId="0" xfId="0" applyNumberFormat="1" applyFill="1"/>
    <xf numFmtId="43" fontId="0" fillId="2" borderId="0" xfId="0" applyNumberFormat="1" applyFill="1"/>
    <xf numFmtId="167" fontId="0" fillId="2" borderId="0" xfId="2" applyNumberFormat="1" applyFont="1" applyFill="1"/>
    <xf numFmtId="17" fontId="0" fillId="93" borderId="0" xfId="0" applyNumberFormat="1" applyFill="1" applyAlignment="1">
      <alignment wrapText="1"/>
    </xf>
    <xf numFmtId="165" fontId="0" fillId="93" borderId="0" xfId="1" applyNumberFormat="1" applyFont="1" applyFill="1" applyAlignment="1">
      <alignment wrapText="1"/>
    </xf>
    <xf numFmtId="0" fontId="0" fillId="93" borderId="0" xfId="0" applyFill="1"/>
    <xf numFmtId="17" fontId="0" fillId="94" borderId="0" xfId="0" applyNumberFormat="1" applyFill="1" applyAlignment="1">
      <alignment wrapText="1"/>
    </xf>
    <xf numFmtId="165" fontId="0" fillId="94" borderId="0" xfId="1" applyNumberFormat="1" applyFont="1" applyFill="1" applyAlignment="1">
      <alignment wrapText="1"/>
    </xf>
    <xf numFmtId="0" fontId="0" fillId="94" borderId="0" xfId="0" applyFill="1"/>
    <xf numFmtId="165" fontId="0" fillId="94" borderId="0" xfId="1" applyNumberFormat="1" applyFont="1" applyFill="1"/>
    <xf numFmtId="43" fontId="0" fillId="94" borderId="0" xfId="1" applyFont="1" applyFill="1"/>
    <xf numFmtId="17" fontId="0" fillId="95" borderId="0" xfId="0" applyNumberFormat="1" applyFill="1" applyAlignment="1">
      <alignment wrapText="1"/>
    </xf>
    <xf numFmtId="165" fontId="0" fillId="95" borderId="0" xfId="1" applyNumberFormat="1" applyFont="1" applyFill="1" applyAlignment="1">
      <alignment wrapText="1"/>
    </xf>
    <xf numFmtId="0" fontId="0" fillId="95" borderId="0" xfId="0" applyFill="1"/>
    <xf numFmtId="11" fontId="11" fillId="90" borderId="0" xfId="0" applyNumberFormat="1" applyFont="1" applyFill="1" applyAlignment="1">
      <alignment horizontal="center"/>
    </xf>
    <xf numFmtId="0" fontId="15" fillId="90" borderId="85" xfId="0" applyFont="1" applyFill="1" applyBorder="1" applyAlignment="1">
      <alignment horizontal="center"/>
    </xf>
    <xf numFmtId="0" fontId="11" fillId="90" borderId="114" xfId="0" applyFont="1" applyFill="1" applyBorder="1" applyAlignment="1">
      <alignment horizontal="center"/>
    </xf>
    <xf numFmtId="0" fontId="11" fillId="90" borderId="85" xfId="0" applyFont="1" applyFill="1" applyBorder="1" applyAlignment="1">
      <alignment horizontal="center"/>
    </xf>
    <xf numFmtId="165" fontId="0" fillId="0" borderId="104" xfId="0" applyNumberFormat="1" applyBorder="1"/>
    <xf numFmtId="0" fontId="58" fillId="90" borderId="72" xfId="1851" applyFont="1" applyFill="1" applyBorder="1" applyAlignment="1">
      <alignment horizontal="center" vertical="center" wrapText="1"/>
    </xf>
    <xf numFmtId="0" fontId="58" fillId="90" borderId="73" xfId="1851" applyFont="1" applyFill="1" applyBorder="1" applyAlignment="1">
      <alignment horizontal="center" vertical="center" wrapText="1"/>
    </xf>
    <xf numFmtId="0" fontId="58" fillId="90" borderId="76" xfId="1851" applyFont="1" applyFill="1" applyBorder="1" applyAlignment="1">
      <alignment horizontal="center" vertical="center" wrapText="1"/>
    </xf>
    <xf numFmtId="0" fontId="53" fillId="0" borderId="0" xfId="1851" applyFont="1" applyAlignment="1">
      <alignment horizontal="left" vertical="center"/>
    </xf>
    <xf numFmtId="165" fontId="0" fillId="93" borderId="0" xfId="1" applyNumberFormat="1" applyFont="1" applyFill="1"/>
    <xf numFmtId="165" fontId="0" fillId="95" borderId="0" xfId="1" applyNumberFormat="1" applyFont="1" applyFill="1"/>
    <xf numFmtId="0" fontId="53" fillId="0" borderId="85" xfId="1851" applyFont="1" applyBorder="1"/>
    <xf numFmtId="0" fontId="53" fillId="0" borderId="67" xfId="1851" applyFont="1" applyBorder="1" applyAlignment="1">
      <alignment wrapText="1"/>
    </xf>
    <xf numFmtId="165" fontId="53" fillId="0" borderId="85" xfId="1" applyNumberFormat="1" applyFont="1" applyBorder="1"/>
    <xf numFmtId="17" fontId="53" fillId="0" borderId="121" xfId="1851" applyNumberFormat="1" applyFont="1" applyBorder="1"/>
    <xf numFmtId="165" fontId="53" fillId="0" borderId="120" xfId="1" applyNumberFormat="1" applyFont="1" applyBorder="1"/>
    <xf numFmtId="0" fontId="19" fillId="89" borderId="0" xfId="4648" applyFont="1" applyFill="1" applyAlignment="1">
      <alignment horizontal="left"/>
    </xf>
    <xf numFmtId="279" fontId="50" fillId="89" borderId="0" xfId="4648" applyNumberFormat="1" applyFill="1"/>
    <xf numFmtId="170" fontId="50" fillId="89" borderId="0" xfId="4648" applyNumberFormat="1" applyFill="1"/>
    <xf numFmtId="0" fontId="50" fillId="89" borderId="0" xfId="4648" applyFill="1"/>
    <xf numFmtId="0" fontId="0" fillId="89" borderId="0" xfId="0" applyFill="1"/>
    <xf numFmtId="43" fontId="16" fillId="0" borderId="0" xfId="3" applyNumberFormat="1"/>
    <xf numFmtId="17" fontId="201" fillId="0" borderId="0" xfId="0" applyNumberFormat="1" applyFont="1" applyAlignment="1">
      <alignment horizontal="right" vertical="center"/>
    </xf>
    <xf numFmtId="0" fontId="0" fillId="36" borderId="0" xfId="0" applyFill="1" applyAlignment="1">
      <alignment horizontal="center" vertical="center" wrapText="1"/>
    </xf>
    <xf numFmtId="167" fontId="194" fillId="0" borderId="0" xfId="2" applyNumberFormat="1" applyFont="1"/>
    <xf numFmtId="0" fontId="193" fillId="90" borderId="122" xfId="6" applyFont="1" applyFill="1" applyBorder="1" applyAlignment="1">
      <alignment horizontal="center" vertical="center" wrapText="1"/>
    </xf>
    <xf numFmtId="165" fontId="50" fillId="0" borderId="0" xfId="4569" applyNumberFormat="1" applyFont="1"/>
    <xf numFmtId="0" fontId="53" fillId="0" borderId="0" xfId="1851" applyFont="1" applyAlignment="1">
      <alignment wrapText="1"/>
    </xf>
    <xf numFmtId="0" fontId="53" fillId="0" borderId="80" xfId="0" applyFont="1" applyBorder="1" applyAlignment="1">
      <alignment wrapText="1"/>
    </xf>
    <xf numFmtId="0" fontId="55" fillId="0" borderId="0" xfId="3" applyFont="1"/>
    <xf numFmtId="167" fontId="55" fillId="0" borderId="0" xfId="4570" applyNumberFormat="1" applyFont="1"/>
    <xf numFmtId="167" fontId="30" fillId="0" borderId="0" xfId="4570" applyNumberFormat="1" applyFont="1"/>
    <xf numFmtId="0" fontId="30" fillId="0" borderId="0" xfId="3" applyFont="1"/>
    <xf numFmtId="10" fontId="0" fillId="36" borderId="0" xfId="2" applyNumberFormat="1" applyFont="1" applyFill="1"/>
    <xf numFmtId="274" fontId="0" fillId="0" borderId="0" xfId="2" applyNumberFormat="1" applyFont="1"/>
    <xf numFmtId="0" fontId="0" fillId="0" borderId="120" xfId="0" applyBorder="1"/>
    <xf numFmtId="0" fontId="0" fillId="0" borderId="119" xfId="0" applyBorder="1"/>
    <xf numFmtId="0" fontId="1" fillId="0" borderId="120" xfId="1851" applyBorder="1"/>
    <xf numFmtId="0" fontId="1" fillId="0" borderId="119" xfId="1851" applyBorder="1"/>
    <xf numFmtId="0" fontId="14" fillId="0" borderId="120" xfId="1851" applyFont="1" applyBorder="1"/>
    <xf numFmtId="165" fontId="0" fillId="0" borderId="120" xfId="0" applyNumberFormat="1" applyBorder="1"/>
    <xf numFmtId="0" fontId="193" fillId="90" borderId="119" xfId="6" applyFont="1" applyFill="1" applyBorder="1" applyAlignment="1">
      <alignment horizontal="center" vertical="center"/>
    </xf>
    <xf numFmtId="0" fontId="53" fillId="36" borderId="120" xfId="1851" applyFont="1" applyFill="1" applyBorder="1"/>
    <xf numFmtId="166" fontId="53" fillId="36" borderId="120" xfId="5" applyNumberFormat="1" applyFont="1" applyFill="1" applyBorder="1"/>
    <xf numFmtId="0" fontId="53" fillId="36" borderId="119" xfId="1851" applyFont="1" applyFill="1" applyBorder="1"/>
    <xf numFmtId="166" fontId="54" fillId="36" borderId="119" xfId="1851" applyNumberFormat="1" applyFont="1" applyFill="1" applyBorder="1"/>
    <xf numFmtId="0" fontId="54" fillId="36" borderId="120" xfId="1851" applyFont="1" applyFill="1" applyBorder="1"/>
    <xf numFmtId="0" fontId="54" fillId="0" borderId="120" xfId="1851" applyFont="1" applyBorder="1" applyAlignment="1">
      <alignment horizontal="center"/>
    </xf>
    <xf numFmtId="165" fontId="55" fillId="0" borderId="120" xfId="1" applyNumberFormat="1" applyFont="1" applyBorder="1"/>
    <xf numFmtId="1" fontId="53" fillId="0" borderId="120" xfId="5" applyNumberFormat="1" applyFont="1" applyBorder="1"/>
    <xf numFmtId="1" fontId="53" fillId="0" borderId="120" xfId="1851" applyNumberFormat="1" applyFont="1" applyBorder="1"/>
    <xf numFmtId="165" fontId="55" fillId="88" borderId="120" xfId="1" applyNumberFormat="1" applyFont="1" applyFill="1" applyBorder="1"/>
    <xf numFmtId="165" fontId="30" fillId="0" borderId="119" xfId="1" applyNumberFormat="1" applyFont="1" applyBorder="1"/>
    <xf numFmtId="168" fontId="30" fillId="0" borderId="119" xfId="5" applyNumberFormat="1" applyFont="1" applyBorder="1"/>
    <xf numFmtId="166" fontId="30" fillId="0" borderId="119" xfId="5" applyNumberFormat="1" applyFont="1" applyBorder="1"/>
    <xf numFmtId="0" fontId="30" fillId="0" borderId="120" xfId="1851" applyFont="1" applyBorder="1"/>
    <xf numFmtId="0" fontId="55" fillId="0" borderId="120" xfId="1851" applyFont="1" applyBorder="1"/>
    <xf numFmtId="0" fontId="55" fillId="0" borderId="120" xfId="1851" applyFont="1" applyBorder="1" applyAlignment="1">
      <alignment horizontal="right"/>
    </xf>
    <xf numFmtId="0" fontId="53" fillId="0" borderId="120" xfId="1851" applyFont="1" applyBorder="1" applyAlignment="1">
      <alignment horizontal="right"/>
    </xf>
    <xf numFmtId="0" fontId="55" fillId="0" borderId="120" xfId="1851" applyFont="1" applyBorder="1" applyAlignment="1">
      <alignment horizontal="center"/>
    </xf>
    <xf numFmtId="166" fontId="30" fillId="0" borderId="120" xfId="1851" applyNumberFormat="1" applyFont="1" applyBorder="1"/>
    <xf numFmtId="10" fontId="30" fillId="0" borderId="120" xfId="4574" applyNumberFormat="1" applyFont="1" applyBorder="1"/>
    <xf numFmtId="0" fontId="55" fillId="0" borderId="119" xfId="1851" applyFont="1" applyBorder="1"/>
    <xf numFmtId="0" fontId="55" fillId="0" borderId="80" xfId="1851" applyFont="1" applyBorder="1"/>
    <xf numFmtId="166" fontId="30" fillId="0" borderId="80" xfId="1851" applyNumberFormat="1" applyFont="1" applyBorder="1"/>
    <xf numFmtId="0" fontId="55" fillId="88" borderId="120" xfId="1851" applyFont="1" applyFill="1" applyBorder="1"/>
    <xf numFmtId="0" fontId="53" fillId="0" borderId="80" xfId="1851" applyFont="1" applyBorder="1"/>
    <xf numFmtId="0" fontId="53" fillId="0" borderId="85" xfId="1851" applyFont="1" applyBorder="1" applyAlignment="1">
      <alignment horizontal="center"/>
    </xf>
    <xf numFmtId="166" fontId="53" fillId="0" borderId="85" xfId="5" applyNumberFormat="1" applyFont="1" applyBorder="1"/>
    <xf numFmtId="10" fontId="53" fillId="0" borderId="85" xfId="4572" applyNumberFormat="1" applyFont="1" applyBorder="1"/>
    <xf numFmtId="0" fontId="58" fillId="90" borderId="102" xfId="1851" applyFont="1" applyFill="1" applyBorder="1" applyAlignment="1">
      <alignment horizontal="center"/>
    </xf>
    <xf numFmtId="0" fontId="0" fillId="0" borderId="85" xfId="2" applyNumberFormat="1" applyFont="1" applyBorder="1"/>
    <xf numFmtId="3" fontId="219" fillId="36" borderId="71" xfId="6" applyNumberFormat="1" applyFont="1" applyFill="1" applyBorder="1"/>
    <xf numFmtId="3" fontId="193" fillId="90" borderId="123" xfId="6" applyNumberFormat="1" applyFont="1" applyFill="1" applyBorder="1"/>
    <xf numFmtId="3" fontId="200" fillId="90" borderId="123" xfId="6" applyNumberFormat="1" applyFont="1" applyFill="1" applyBorder="1"/>
    <xf numFmtId="0" fontId="53" fillId="0" borderId="123" xfId="1851" applyFont="1" applyBorder="1"/>
    <xf numFmtId="165" fontId="53" fillId="0" borderId="123" xfId="1" applyNumberFormat="1" applyFont="1" applyBorder="1"/>
    <xf numFmtId="0" fontId="31" fillId="0" borderId="123" xfId="4648" applyFont="1" applyBorder="1"/>
    <xf numFmtId="0" fontId="31" fillId="0" borderId="123" xfId="4650" applyFont="1" applyBorder="1"/>
    <xf numFmtId="0" fontId="31" fillId="0" borderId="123" xfId="0" applyFont="1" applyBorder="1" applyAlignment="1">
      <alignment horizontal="right"/>
    </xf>
    <xf numFmtId="0" fontId="0" fillId="0" borderId="123" xfId="0" applyBorder="1"/>
    <xf numFmtId="165" fontId="0" fillId="0" borderId="123" xfId="0" applyNumberFormat="1" applyBorder="1"/>
    <xf numFmtId="10" fontId="53" fillId="0" borderId="123" xfId="2" applyNumberFormat="1" applyFont="1" applyBorder="1"/>
    <xf numFmtId="167" fontId="0" fillId="0" borderId="123" xfId="2" applyNumberFormat="1" applyFont="1" applyBorder="1"/>
    <xf numFmtId="0" fontId="15" fillId="90" borderId="124" xfId="0" applyFont="1" applyFill="1" applyBorder="1"/>
    <xf numFmtId="0" fontId="0" fillId="0" borderId="124" xfId="0" applyBorder="1"/>
    <xf numFmtId="11" fontId="0" fillId="0" borderId="124" xfId="1" applyNumberFormat="1" applyFont="1" applyBorder="1"/>
    <xf numFmtId="165" fontId="0" fillId="0" borderId="124" xfId="1" applyNumberFormat="1" applyFont="1" applyBorder="1"/>
    <xf numFmtId="43" fontId="0" fillId="0" borderId="124" xfId="1" applyFont="1" applyBorder="1"/>
    <xf numFmtId="280" fontId="0" fillId="0" borderId="124" xfId="1" applyNumberFormat="1" applyFont="1" applyBorder="1"/>
    <xf numFmtId="0" fontId="0" fillId="0" borderId="125" xfId="0" applyBorder="1"/>
    <xf numFmtId="0" fontId="0" fillId="0" borderId="126" xfId="0" applyBorder="1"/>
    <xf numFmtId="0" fontId="0" fillId="0" borderId="127" xfId="0" applyBorder="1"/>
    <xf numFmtId="11" fontId="0" fillId="0" borderId="124" xfId="0" applyNumberFormat="1" applyBorder="1"/>
    <xf numFmtId="172" fontId="0" fillId="0" borderId="124" xfId="0" applyNumberFormat="1" applyBorder="1"/>
    <xf numFmtId="280" fontId="0" fillId="89" borderId="124" xfId="1" applyNumberFormat="1" applyFont="1" applyFill="1" applyBorder="1"/>
    <xf numFmtId="277" fontId="0" fillId="0" borderId="124" xfId="1" applyNumberFormat="1" applyFont="1" applyBorder="1"/>
    <xf numFmtId="0" fontId="53" fillId="0" borderId="128" xfId="1851" applyFont="1" applyBorder="1"/>
    <xf numFmtId="17" fontId="53" fillId="0" borderId="124" xfId="1851" applyNumberFormat="1" applyFont="1" applyBorder="1"/>
    <xf numFmtId="1" fontId="53" fillId="0" borderId="124" xfId="1851" applyNumberFormat="1" applyFont="1" applyBorder="1"/>
    <xf numFmtId="0" fontId="1" fillId="0" borderId="128" xfId="1851" applyBorder="1"/>
    <xf numFmtId="0" fontId="1" fillId="0" borderId="129" xfId="1851" applyBorder="1"/>
    <xf numFmtId="0" fontId="1" fillId="0" borderId="129" xfId="1851" applyBorder="1" applyAlignment="1">
      <alignment horizontal="left"/>
    </xf>
    <xf numFmtId="0" fontId="1" fillId="0" borderId="124" xfId="1851" applyBorder="1"/>
    <xf numFmtId="0" fontId="14" fillId="0" borderId="129" xfId="1851" applyFont="1" applyBorder="1" applyAlignment="1">
      <alignment vertical="center"/>
    </xf>
    <xf numFmtId="166" fontId="0" fillId="0" borderId="129" xfId="4573" applyNumberFormat="1" applyFont="1" applyBorder="1"/>
    <xf numFmtId="166" fontId="1" fillId="91" borderId="129" xfId="1851" applyNumberFormat="1" applyFill="1" applyBorder="1"/>
    <xf numFmtId="166" fontId="1" fillId="91" borderId="130" xfId="1851" applyNumberFormat="1" applyFill="1" applyBorder="1"/>
    <xf numFmtId="166" fontId="1" fillId="0" borderId="129" xfId="1851" applyNumberFormat="1" applyBorder="1"/>
    <xf numFmtId="0" fontId="14" fillId="0" borderId="129" xfId="1851" applyFont="1" applyBorder="1"/>
    <xf numFmtId="167" fontId="0" fillId="0" borderId="129" xfId="4606" applyNumberFormat="1" applyFont="1" applyBorder="1"/>
    <xf numFmtId="167" fontId="0" fillId="89" borderId="129" xfId="4606" applyNumberFormat="1" applyFont="1" applyFill="1" applyBorder="1"/>
    <xf numFmtId="167" fontId="0" fillId="89" borderId="130" xfId="4606" applyNumberFormat="1" applyFont="1" applyFill="1" applyBorder="1"/>
    <xf numFmtId="164" fontId="1" fillId="0" borderId="129" xfId="1851" applyNumberFormat="1" applyBorder="1"/>
    <xf numFmtId="166" fontId="0" fillId="0" borderId="130" xfId="4573" applyNumberFormat="1" applyFont="1" applyBorder="1"/>
    <xf numFmtId="0" fontId="14" fillId="0" borderId="128" xfId="1851" applyFont="1" applyBorder="1"/>
    <xf numFmtId="167" fontId="1" fillId="0" borderId="129" xfId="1851" applyNumberFormat="1" applyBorder="1"/>
    <xf numFmtId="167" fontId="1" fillId="0" borderId="130" xfId="1851" applyNumberFormat="1" applyBorder="1"/>
    <xf numFmtId="167" fontId="0" fillId="0" borderId="129" xfId="4572" applyNumberFormat="1" applyFont="1" applyBorder="1"/>
    <xf numFmtId="167" fontId="0" fillId="89" borderId="129" xfId="4572" applyNumberFormat="1" applyFont="1" applyFill="1" applyBorder="1"/>
    <xf numFmtId="167" fontId="0" fillId="89" borderId="130" xfId="4572" applyNumberFormat="1" applyFont="1" applyFill="1" applyBorder="1"/>
    <xf numFmtId="0" fontId="15" fillId="90" borderId="131" xfId="0" applyFont="1" applyFill="1" applyBorder="1" applyAlignment="1">
      <alignment horizontal="center"/>
    </xf>
    <xf numFmtId="0" fontId="15" fillId="90" borderId="129" xfId="0" applyFont="1" applyFill="1" applyBorder="1" applyAlignment="1">
      <alignment horizontal="center"/>
    </xf>
    <xf numFmtId="0" fontId="193" fillId="90" borderId="125" xfId="6" applyFont="1" applyFill="1" applyBorder="1" applyAlignment="1">
      <alignment horizontal="center" vertical="center"/>
    </xf>
    <xf numFmtId="0" fontId="193" fillId="90" borderId="126" xfId="6" applyFont="1" applyFill="1" applyBorder="1" applyAlignment="1">
      <alignment horizontal="center" vertical="center"/>
    </xf>
    <xf numFmtId="0" fontId="193" fillId="90" borderId="127" xfId="6" applyFont="1" applyFill="1" applyBorder="1" applyAlignment="1">
      <alignment horizontal="center" vertical="center"/>
    </xf>
    <xf numFmtId="0" fontId="53" fillId="36" borderId="128" xfId="1851" applyFont="1" applyFill="1" applyBorder="1"/>
    <xf numFmtId="0" fontId="53" fillId="36" borderId="129" xfId="1851" applyFont="1" applyFill="1" applyBorder="1"/>
    <xf numFmtId="166" fontId="53" fillId="36" borderId="128" xfId="5" applyNumberFormat="1" applyFont="1" applyFill="1" applyBorder="1"/>
    <xf numFmtId="166" fontId="53" fillId="36" borderId="129" xfId="5" applyNumberFormat="1" applyFont="1" applyFill="1" applyBorder="1"/>
    <xf numFmtId="166" fontId="53" fillId="36" borderId="130" xfId="5" applyNumberFormat="1" applyFont="1" applyFill="1" applyBorder="1"/>
    <xf numFmtId="0" fontId="54" fillId="0" borderId="128" xfId="1851" applyFont="1" applyBorder="1" applyAlignment="1">
      <alignment horizontal="center"/>
    </xf>
    <xf numFmtId="0" fontId="54" fillId="0" borderId="129" xfId="1851" applyFont="1" applyBorder="1" applyAlignment="1">
      <alignment horizontal="center"/>
    </xf>
    <xf numFmtId="0" fontId="54" fillId="0" borderId="130" xfId="1851" applyFont="1" applyBorder="1" applyAlignment="1">
      <alignment horizontal="center"/>
    </xf>
    <xf numFmtId="0" fontId="55" fillId="0" borderId="128" xfId="1851" applyFont="1" applyBorder="1"/>
    <xf numFmtId="0" fontId="55" fillId="0" borderId="129" xfId="1851" applyFont="1" applyBorder="1"/>
    <xf numFmtId="0" fontId="55" fillId="0" borderId="130" xfId="1851" applyFont="1" applyBorder="1"/>
    <xf numFmtId="0" fontId="53" fillId="0" borderId="129" xfId="1851" applyFont="1" applyBorder="1"/>
    <xf numFmtId="166" fontId="53" fillId="0" borderId="129" xfId="4575" applyNumberFormat="1" applyFont="1" applyBorder="1"/>
    <xf numFmtId="166" fontId="53" fillId="0" borderId="130" xfId="4575" applyNumberFormat="1" applyFont="1" applyBorder="1"/>
    <xf numFmtId="0" fontId="54" fillId="0" borderId="129" xfId="1851" applyFont="1" applyBorder="1"/>
    <xf numFmtId="0" fontId="53" fillId="0" borderId="130" xfId="1851" applyFont="1" applyBorder="1"/>
    <xf numFmtId="0" fontId="55" fillId="0" borderId="129" xfId="1851" applyFont="1" applyBorder="1" applyAlignment="1">
      <alignment horizontal="center"/>
    </xf>
    <xf numFmtId="0" fontId="58" fillId="90" borderId="134" xfId="1851" applyFont="1" applyFill="1" applyBorder="1" applyAlignment="1">
      <alignment horizontal="center" vertical="center"/>
    </xf>
    <xf numFmtId="0" fontId="58" fillId="90" borderId="124" xfId="1851" applyFont="1" applyFill="1" applyBorder="1" applyAlignment="1">
      <alignment horizontal="center" vertical="center" wrapText="1"/>
    </xf>
    <xf numFmtId="0" fontId="58" fillId="90" borderId="135" xfId="1851" applyFont="1" applyFill="1" applyBorder="1" applyAlignment="1">
      <alignment horizontal="center" vertical="center"/>
    </xf>
    <xf numFmtId="0" fontId="58" fillId="90" borderId="127" xfId="1851" applyFont="1" applyFill="1" applyBorder="1" applyAlignment="1">
      <alignment horizontal="center" vertical="center"/>
    </xf>
    <xf numFmtId="0" fontId="58" fillId="90" borderId="125" xfId="1851" applyFont="1" applyFill="1" applyBorder="1" applyAlignment="1">
      <alignment horizontal="center" vertical="center"/>
    </xf>
    <xf numFmtId="0" fontId="59" fillId="90" borderId="133" xfId="1851" applyFont="1" applyFill="1" applyBorder="1" applyAlignment="1">
      <alignment horizontal="center" vertical="center"/>
    </xf>
    <xf numFmtId="0" fontId="58" fillId="90" borderId="134" xfId="1851" applyFont="1" applyFill="1" applyBorder="1" applyAlignment="1">
      <alignment horizontal="center"/>
    </xf>
    <xf numFmtId="0" fontId="58" fillId="90" borderId="124" xfId="1851" applyFont="1" applyFill="1" applyBorder="1" applyAlignment="1">
      <alignment horizontal="center"/>
    </xf>
    <xf numFmtId="0" fontId="58" fillId="90" borderId="135" xfId="1851" applyFont="1" applyFill="1" applyBorder="1" applyAlignment="1">
      <alignment horizontal="center"/>
    </xf>
    <xf numFmtId="0" fontId="58" fillId="90" borderId="127" xfId="1851" applyFont="1" applyFill="1" applyBorder="1" applyAlignment="1">
      <alignment horizontal="center"/>
    </xf>
    <xf numFmtId="0" fontId="58" fillId="90" borderId="125" xfId="1851" applyFont="1" applyFill="1" applyBorder="1" applyAlignment="1">
      <alignment horizontal="center"/>
    </xf>
    <xf numFmtId="0" fontId="53" fillId="0" borderId="133" xfId="1851" applyFont="1" applyBorder="1" applyAlignment="1">
      <alignment vertical="center" wrapText="1"/>
    </xf>
    <xf numFmtId="166" fontId="53" fillId="0" borderId="134" xfId="5" applyNumberFormat="1" applyFont="1" applyFill="1" applyBorder="1" applyAlignment="1">
      <alignment horizontal="right" vertical="center"/>
    </xf>
    <xf numFmtId="0" fontId="55" fillId="0" borderId="124" xfId="6" applyFont="1" applyBorder="1" applyAlignment="1">
      <alignment horizontal="right" vertical="center"/>
    </xf>
    <xf numFmtId="166" fontId="53" fillId="0" borderId="135" xfId="5" applyNumberFormat="1" applyFont="1" applyBorder="1" applyAlignment="1">
      <alignment horizontal="right" vertical="center"/>
    </xf>
    <xf numFmtId="166" fontId="53" fillId="0" borderId="127" xfId="5" applyNumberFormat="1" applyFont="1" applyFill="1" applyBorder="1" applyAlignment="1">
      <alignment horizontal="right" vertical="center"/>
    </xf>
    <xf numFmtId="166" fontId="53" fillId="0" borderId="125" xfId="5" applyNumberFormat="1" applyFont="1" applyBorder="1" applyAlignment="1">
      <alignment horizontal="right" vertical="center"/>
    </xf>
    <xf numFmtId="165" fontId="53" fillId="0" borderId="134" xfId="4573" applyNumberFormat="1" applyFont="1" applyBorder="1"/>
    <xf numFmtId="165" fontId="53" fillId="0" borderId="124" xfId="4573" applyNumberFormat="1" applyFont="1" applyBorder="1"/>
    <xf numFmtId="166" fontId="53" fillId="0" borderId="124" xfId="1851" applyNumberFormat="1" applyFont="1" applyBorder="1"/>
    <xf numFmtId="166" fontId="53" fillId="0" borderId="135" xfId="1851" applyNumberFormat="1" applyFont="1" applyBorder="1"/>
    <xf numFmtId="0" fontId="53" fillId="0" borderId="131" xfId="1851" applyFont="1" applyBorder="1" applyAlignment="1">
      <alignment vertical="center" wrapText="1"/>
    </xf>
    <xf numFmtId="170" fontId="55" fillId="0" borderId="124" xfId="6" applyNumberFormat="1" applyFont="1" applyBorder="1" applyAlignment="1">
      <alignment horizontal="right" vertical="center"/>
    </xf>
    <xf numFmtId="0" fontId="58" fillId="90" borderId="136" xfId="1851" applyFont="1" applyFill="1" applyBorder="1" applyAlignment="1">
      <alignment wrapText="1"/>
    </xf>
    <xf numFmtId="166" fontId="58" fillId="90" borderId="137" xfId="5" applyNumberFormat="1" applyFont="1" applyFill="1" applyBorder="1"/>
    <xf numFmtId="0" fontId="58" fillId="90" borderId="138" xfId="6" applyFont="1" applyFill="1" applyBorder="1"/>
    <xf numFmtId="166" fontId="58" fillId="90" borderId="139" xfId="5" applyNumberFormat="1" applyFont="1" applyFill="1" applyBorder="1"/>
    <xf numFmtId="166" fontId="58" fillId="90" borderId="140" xfId="5" applyNumberFormat="1" applyFont="1" applyFill="1" applyBorder="1"/>
    <xf numFmtId="166" fontId="58" fillId="90" borderId="141" xfId="5" applyNumberFormat="1" applyFont="1" applyFill="1" applyBorder="1"/>
    <xf numFmtId="165" fontId="58" fillId="90" borderId="137" xfId="4573" applyNumberFormat="1" applyFont="1" applyFill="1" applyBorder="1"/>
    <xf numFmtId="165" fontId="58" fillId="90" borderId="138" xfId="4573" applyNumberFormat="1" applyFont="1" applyFill="1" applyBorder="1"/>
    <xf numFmtId="165" fontId="58" fillId="90" borderId="139" xfId="4573" applyNumberFormat="1" applyFont="1" applyFill="1" applyBorder="1"/>
    <xf numFmtId="0" fontId="59" fillId="90" borderId="133" xfId="1851" applyFont="1" applyFill="1" applyBorder="1" applyAlignment="1">
      <alignment vertical="center" wrapText="1"/>
    </xf>
    <xf numFmtId="0" fontId="58" fillId="90" borderId="134" xfId="1851" applyFont="1" applyFill="1" applyBorder="1" applyAlignment="1">
      <alignment horizontal="center" vertical="center" wrapText="1"/>
    </xf>
    <xf numFmtId="0" fontId="58" fillId="90" borderId="135" xfId="1851" applyFont="1" applyFill="1" applyBorder="1" applyAlignment="1">
      <alignment horizontal="center" vertical="center" wrapText="1"/>
    </xf>
    <xf numFmtId="0" fontId="58" fillId="90" borderId="127" xfId="1851" applyFont="1" applyFill="1" applyBorder="1" applyAlignment="1">
      <alignment horizontal="center" vertical="center" wrapText="1"/>
    </xf>
    <xf numFmtId="166" fontId="53" fillId="0" borderId="134" xfId="1851" applyNumberFormat="1" applyFont="1" applyBorder="1" applyAlignment="1">
      <alignment vertical="top"/>
    </xf>
    <xf numFmtId="166" fontId="55" fillId="0" borderId="124" xfId="6" applyNumberFormat="1" applyFont="1" applyBorder="1"/>
    <xf numFmtId="167" fontId="53" fillId="0" borderId="124" xfId="4572" applyNumberFormat="1" applyFont="1" applyBorder="1" applyAlignment="1">
      <alignment vertical="top"/>
    </xf>
    <xf numFmtId="166" fontId="53" fillId="0" borderId="124" xfId="1851" applyNumberFormat="1" applyFont="1" applyBorder="1" applyAlignment="1">
      <alignment vertical="top"/>
    </xf>
    <xf numFmtId="166" fontId="53" fillId="0" borderId="135" xfId="1851" applyNumberFormat="1" applyFont="1" applyBorder="1" applyAlignment="1">
      <alignment vertical="top"/>
    </xf>
    <xf numFmtId="166" fontId="53" fillId="0" borderId="127" xfId="1851" applyNumberFormat="1" applyFont="1" applyBorder="1" applyAlignment="1">
      <alignment vertical="top"/>
    </xf>
    <xf numFmtId="166" fontId="53" fillId="0" borderId="142" xfId="1851" applyNumberFormat="1" applyFont="1" applyBorder="1" applyAlignment="1">
      <alignment vertical="top"/>
    </xf>
    <xf numFmtId="166" fontId="53" fillId="0" borderId="143" xfId="1851" applyNumberFormat="1" applyFont="1" applyBorder="1" applyAlignment="1">
      <alignment vertical="top"/>
    </xf>
    <xf numFmtId="166" fontId="53" fillId="0" borderId="130" xfId="1851" applyNumberFormat="1" applyFont="1" applyBorder="1" applyAlignment="1">
      <alignment vertical="top"/>
    </xf>
    <xf numFmtId="166" fontId="58" fillId="90" borderId="137" xfId="1851" applyNumberFormat="1" applyFont="1" applyFill="1" applyBorder="1"/>
    <xf numFmtId="166" fontId="58" fillId="90" borderId="138" xfId="1851" applyNumberFormat="1" applyFont="1" applyFill="1" applyBorder="1"/>
    <xf numFmtId="167" fontId="58" fillId="90" borderId="138" xfId="4572" applyNumberFormat="1" applyFont="1" applyFill="1" applyBorder="1"/>
    <xf numFmtId="166" fontId="58" fillId="90" borderId="138" xfId="5" applyNumberFormat="1" applyFont="1" applyFill="1" applyBorder="1"/>
    <xf numFmtId="166" fontId="58" fillId="90" borderId="140" xfId="1851" applyNumberFormat="1" applyFont="1" applyFill="1" applyBorder="1"/>
    <xf numFmtId="0" fontId="31" fillId="36" borderId="142" xfId="6" applyFont="1" applyFill="1" applyBorder="1" applyAlignment="1">
      <alignment horizontal="center"/>
    </xf>
    <xf numFmtId="0" fontId="0" fillId="0" borderId="128" xfId="0" applyBorder="1"/>
    <xf numFmtId="0" fontId="25" fillId="0" borderId="129" xfId="0" applyFont="1" applyBorder="1" applyAlignment="1">
      <alignment horizontal="center"/>
    </xf>
    <xf numFmtId="0" fontId="0" fillId="0" borderId="129" xfId="0" applyBorder="1"/>
    <xf numFmtId="0" fontId="0" fillId="0" borderId="129" xfId="0" applyBorder="1" applyAlignment="1">
      <alignment horizontal="center"/>
    </xf>
    <xf numFmtId="0" fontId="21" fillId="0" borderId="129" xfId="0" applyFont="1" applyBorder="1"/>
    <xf numFmtId="0" fontId="0" fillId="0" borderId="130" xfId="0" applyBorder="1" applyAlignment="1">
      <alignment horizontal="center"/>
    </xf>
    <xf numFmtId="0" fontId="0" fillId="0" borderId="130" xfId="0" applyBorder="1"/>
    <xf numFmtId="0" fontId="11" fillId="90" borderId="128" xfId="0" applyFont="1" applyFill="1" applyBorder="1" applyAlignment="1">
      <alignment horizontal="center"/>
    </xf>
    <xf numFmtId="0" fontId="11" fillId="90" borderId="129" xfId="0" applyFont="1" applyFill="1" applyBorder="1" applyAlignment="1">
      <alignment horizontal="center"/>
    </xf>
    <xf numFmtId="0" fontId="11" fillId="90" borderId="132" xfId="0" applyFont="1" applyFill="1" applyBorder="1" applyAlignment="1">
      <alignment horizontal="center"/>
    </xf>
    <xf numFmtId="0" fontId="220" fillId="90" borderId="124" xfId="0" applyFont="1" applyFill="1" applyBorder="1"/>
    <xf numFmtId="0" fontId="192" fillId="0" borderId="124" xfId="0" applyFont="1" applyBorder="1"/>
    <xf numFmtId="165" fontId="192" fillId="0" borderId="124" xfId="1" applyNumberFormat="1" applyFont="1" applyBorder="1"/>
    <xf numFmtId="43" fontId="192" fillId="0" borderId="124" xfId="1" applyFont="1" applyBorder="1"/>
    <xf numFmtId="280" fontId="192" fillId="0" borderId="124" xfId="1" applyNumberFormat="1" applyFont="1" applyBorder="1"/>
    <xf numFmtId="280" fontId="192" fillId="89" borderId="124" xfId="1" applyNumberFormat="1" applyFont="1" applyFill="1" applyBorder="1"/>
    <xf numFmtId="0" fontId="192" fillId="0" borderId="0" xfId="0" applyFont="1"/>
    <xf numFmtId="165" fontId="192" fillId="0" borderId="0" xfId="1" applyNumberFormat="1" applyFont="1"/>
    <xf numFmtId="43" fontId="192" fillId="0" borderId="0" xfId="1" applyFont="1"/>
    <xf numFmtId="277" fontId="192" fillId="0" borderId="0" xfId="1" applyNumberFormat="1" applyFont="1"/>
    <xf numFmtId="0" fontId="192" fillId="0" borderId="125" xfId="0" applyFont="1" applyBorder="1"/>
    <xf numFmtId="0" fontId="192" fillId="0" borderId="126" xfId="0" applyFont="1" applyBorder="1"/>
    <xf numFmtId="0" fontId="192" fillId="0" borderId="127" xfId="0" applyFont="1" applyBorder="1"/>
    <xf numFmtId="11" fontId="192" fillId="0" borderId="124" xfId="0" applyNumberFormat="1" applyFont="1" applyBorder="1"/>
    <xf numFmtId="172" fontId="192" fillId="0" borderId="124" xfId="0" applyNumberFormat="1" applyFont="1" applyBorder="1"/>
    <xf numFmtId="0" fontId="55" fillId="0" borderId="120" xfId="3" applyFont="1" applyBorder="1"/>
    <xf numFmtId="0" fontId="30" fillId="0" borderId="120" xfId="3" applyFont="1" applyBorder="1"/>
    <xf numFmtId="0" fontId="14" fillId="36" borderId="0" xfId="0" applyFont="1" applyFill="1" applyAlignment="1">
      <alignment horizontal="center"/>
    </xf>
    <xf numFmtId="0" fontId="0" fillId="0" borderId="0" xfId="0" applyAlignment="1">
      <alignment horizontal="center"/>
    </xf>
    <xf numFmtId="164" fontId="0" fillId="0" borderId="0" xfId="5" applyFont="1" applyAlignment="1">
      <alignment horizontal="center"/>
    </xf>
    <xf numFmtId="164" fontId="26" fillId="0" borderId="0" xfId="5" applyFont="1" applyAlignment="1">
      <alignment horizontal="center"/>
    </xf>
    <xf numFmtId="0" fontId="26" fillId="0" borderId="0" xfId="0" applyFont="1" applyAlignment="1">
      <alignment horizontal="center"/>
    </xf>
    <xf numFmtId="0" fontId="53" fillId="0" borderId="0" xfId="59" applyFont="1"/>
    <xf numFmtId="0" fontId="59" fillId="90" borderId="0" xfId="59" applyFont="1" applyFill="1" applyAlignment="1">
      <alignment horizontal="center"/>
    </xf>
    <xf numFmtId="0" fontId="30" fillId="0" borderId="0" xfId="3" applyFont="1" applyAlignment="1">
      <alignment horizontal="center"/>
    </xf>
    <xf numFmtId="0" fontId="30" fillId="0" borderId="120" xfId="3" applyFont="1" applyBorder="1" applyAlignment="1">
      <alignment horizontal="center"/>
    </xf>
    <xf numFmtId="0" fontId="53" fillId="0" borderId="68" xfId="0" applyFont="1" applyBorder="1" applyAlignment="1">
      <alignment horizontal="center"/>
    </xf>
    <xf numFmtId="0" fontId="53" fillId="0" borderId="69" xfId="0" applyFont="1" applyBorder="1" applyAlignment="1">
      <alignment horizontal="center"/>
    </xf>
    <xf numFmtId="0" fontId="53" fillId="0" borderId="70" xfId="0" applyFont="1" applyBorder="1" applyAlignment="1">
      <alignment horizontal="center"/>
    </xf>
    <xf numFmtId="0" fontId="53" fillId="0" borderId="120" xfId="0" applyFont="1" applyBorder="1" applyAlignment="1">
      <alignment horizontal="center" wrapText="1"/>
    </xf>
    <xf numFmtId="0" fontId="53" fillId="0" borderId="0" xfId="0" applyFont="1" applyAlignment="1">
      <alignment horizontal="center" wrapText="1"/>
    </xf>
    <xf numFmtId="0" fontId="53" fillId="0" borderId="71" xfId="0" applyFont="1" applyBorder="1" applyAlignment="1">
      <alignment horizontal="center" wrapText="1"/>
    </xf>
    <xf numFmtId="0" fontId="53" fillId="0" borderId="67" xfId="0" applyFont="1" applyBorder="1" applyAlignment="1">
      <alignment horizontal="center" wrapText="1"/>
    </xf>
    <xf numFmtId="0" fontId="53" fillId="0" borderId="102" xfId="0" applyFont="1" applyBorder="1" applyAlignment="1">
      <alignment horizontal="center" wrapText="1"/>
    </xf>
    <xf numFmtId="0" fontId="53" fillId="0" borderId="14" xfId="0" applyFont="1" applyBorder="1" applyAlignment="1">
      <alignment horizontal="center" wrapText="1"/>
    </xf>
    <xf numFmtId="0" fontId="54" fillId="0" borderId="0" xfId="0" applyFont="1" applyAlignment="1">
      <alignment horizontal="center"/>
    </xf>
    <xf numFmtId="0" fontId="54" fillId="0" borderId="62" xfId="0" applyFont="1" applyBorder="1" applyAlignment="1">
      <alignment horizontal="center"/>
    </xf>
    <xf numFmtId="0" fontId="54" fillId="0" borderId="63" xfId="0" applyFont="1" applyBorder="1" applyAlignment="1">
      <alignment horizontal="center"/>
    </xf>
    <xf numFmtId="0" fontId="54" fillId="0" borderId="64" xfId="0" applyFont="1" applyBorder="1" applyAlignment="1">
      <alignment horizontal="center"/>
    </xf>
    <xf numFmtId="0" fontId="53" fillId="0" borderId="81" xfId="0" applyFont="1" applyBorder="1" applyAlignment="1">
      <alignment horizontal="center"/>
    </xf>
    <xf numFmtId="0" fontId="53" fillId="0" borderId="85" xfId="0" applyFont="1" applyBorder="1" applyAlignment="1">
      <alignment horizontal="center"/>
    </xf>
    <xf numFmtId="0" fontId="53" fillId="0" borderId="82" xfId="0" applyFont="1" applyBorder="1" applyAlignment="1">
      <alignment horizontal="center"/>
    </xf>
    <xf numFmtId="10" fontId="1" fillId="0" borderId="128" xfId="1851" applyNumberFormat="1" applyBorder="1" applyAlignment="1">
      <alignment horizontal="center" vertical="center"/>
    </xf>
    <xf numFmtId="10" fontId="1" fillId="0" borderId="120" xfId="1851" applyNumberFormat="1" applyBorder="1" applyAlignment="1">
      <alignment horizontal="center" vertical="center"/>
    </xf>
    <xf numFmtId="10" fontId="1" fillId="0" borderId="119" xfId="1851" applyNumberFormat="1" applyBorder="1" applyAlignment="1">
      <alignment horizontal="center" vertical="center"/>
    </xf>
    <xf numFmtId="0" fontId="1" fillId="0" borderId="120" xfId="1851" applyBorder="1" applyAlignment="1">
      <alignment horizontal="center"/>
    </xf>
    <xf numFmtId="0" fontId="1" fillId="0" borderId="128" xfId="1851" applyBorder="1" applyAlignment="1">
      <alignment horizontal="center" vertical="center" wrapText="1"/>
    </xf>
    <xf numFmtId="0" fontId="1" fillId="0" borderId="120" xfId="1851" applyBorder="1" applyAlignment="1">
      <alignment horizontal="center" vertical="center" wrapText="1"/>
    </xf>
    <xf numFmtId="0" fontId="1" fillId="0" borderId="119" xfId="1851" applyBorder="1" applyAlignment="1">
      <alignment horizontal="center" vertical="center" wrapText="1"/>
    </xf>
    <xf numFmtId="0" fontId="1" fillId="0" borderId="0" xfId="1851" applyAlignment="1">
      <alignment horizontal="center"/>
    </xf>
    <xf numFmtId="0" fontId="1" fillId="0" borderId="0" xfId="1851" applyAlignment="1">
      <alignment horizontal="center" vertical="center" wrapText="1"/>
    </xf>
    <xf numFmtId="10" fontId="1" fillId="0" borderId="0" xfId="1851" applyNumberFormat="1" applyAlignment="1">
      <alignment horizontal="center" vertical="center"/>
    </xf>
    <xf numFmtId="0" fontId="1" fillId="0" borderId="0" xfId="1851" applyAlignment="1">
      <alignment horizontal="center" vertical="center"/>
    </xf>
    <xf numFmtId="10" fontId="0" fillId="0" borderId="0" xfId="4572" applyNumberFormat="1" applyFont="1" applyFill="1" applyAlignment="1">
      <alignment horizontal="center" vertical="center"/>
    </xf>
    <xf numFmtId="0" fontId="29" fillId="0" borderId="0" xfId="1851" applyFont="1" applyAlignment="1">
      <alignment horizontal="center"/>
    </xf>
    <xf numFmtId="0" fontId="14" fillId="0" borderId="123" xfId="0" applyFont="1" applyBorder="1" applyAlignment="1">
      <alignment horizontal="center"/>
    </xf>
    <xf numFmtId="0" fontId="193" fillId="90" borderId="128" xfId="6" applyFont="1" applyFill="1" applyBorder="1" applyAlignment="1">
      <alignment horizontal="center" vertical="center"/>
    </xf>
    <xf numFmtId="0" fontId="193" fillId="90" borderId="129" xfId="6" applyFont="1" applyFill="1" applyBorder="1" applyAlignment="1">
      <alignment horizontal="center" vertical="center"/>
    </xf>
    <xf numFmtId="0" fontId="193" fillId="90" borderId="130" xfId="6" applyFont="1" applyFill="1" applyBorder="1" applyAlignment="1">
      <alignment horizontal="center" vertical="center"/>
    </xf>
    <xf numFmtId="0" fontId="193" fillId="90" borderId="125" xfId="6" applyFont="1" applyFill="1" applyBorder="1" applyAlignment="1">
      <alignment horizontal="center" vertical="center"/>
    </xf>
    <xf numFmtId="0" fontId="193" fillId="90" borderId="126" xfId="6" applyFont="1" applyFill="1" applyBorder="1" applyAlignment="1">
      <alignment horizontal="center" vertical="center"/>
    </xf>
    <xf numFmtId="0" fontId="193" fillId="90" borderId="127" xfId="6" applyFont="1" applyFill="1" applyBorder="1" applyAlignment="1">
      <alignment horizontal="center" vertical="center"/>
    </xf>
    <xf numFmtId="0" fontId="193" fillId="90" borderId="0" xfId="6" applyFont="1" applyFill="1" applyAlignment="1">
      <alignment horizontal="center"/>
    </xf>
    <xf numFmtId="0" fontId="199" fillId="90" borderId="0" xfId="6" applyFont="1" applyFill="1" applyAlignment="1">
      <alignment horizontal="center" wrapText="1"/>
    </xf>
    <xf numFmtId="0" fontId="199" fillId="90" borderId="0" xfId="6" applyFont="1" applyFill="1" applyAlignment="1">
      <alignment horizontal="center"/>
    </xf>
    <xf numFmtId="0" fontId="18" fillId="0" borderId="0" xfId="3" applyFont="1" applyAlignment="1">
      <alignment horizontal="center"/>
    </xf>
    <xf numFmtId="0" fontId="53" fillId="0" borderId="0" xfId="1851" applyFont="1" applyAlignment="1">
      <alignment horizontal="center"/>
    </xf>
    <xf numFmtId="0" fontId="30" fillId="0" borderId="128" xfId="1851" applyFont="1" applyBorder="1" applyAlignment="1">
      <alignment horizontal="center"/>
    </xf>
    <xf numFmtId="0" fontId="30" fillId="0" borderId="129" xfId="1851" applyFont="1" applyBorder="1" applyAlignment="1">
      <alignment horizontal="center"/>
    </xf>
    <xf numFmtId="0" fontId="30" fillId="0" borderId="130" xfId="1851" applyFont="1" applyBorder="1" applyAlignment="1">
      <alignment horizontal="center"/>
    </xf>
    <xf numFmtId="0" fontId="53" fillId="0" borderId="128" xfId="1851" applyFont="1" applyBorder="1" applyAlignment="1">
      <alignment horizontal="center"/>
    </xf>
    <xf numFmtId="0" fontId="53" fillId="0" borderId="129" xfId="1851" applyFont="1" applyBorder="1" applyAlignment="1">
      <alignment horizontal="center"/>
    </xf>
    <xf numFmtId="0" fontId="53" fillId="0" borderId="130" xfId="1851" applyFont="1" applyBorder="1" applyAlignment="1">
      <alignment horizontal="center"/>
    </xf>
    <xf numFmtId="0" fontId="54" fillId="0" borderId="128" xfId="1851" applyFont="1" applyBorder="1" applyAlignment="1">
      <alignment horizontal="center"/>
    </xf>
    <xf numFmtId="0" fontId="54" fillId="0" borderId="129" xfId="1851" applyFont="1" applyBorder="1" applyAlignment="1">
      <alignment horizontal="center"/>
    </xf>
    <xf numFmtId="0" fontId="54" fillId="0" borderId="130" xfId="1851" applyFont="1" applyBorder="1" applyAlignment="1">
      <alignment horizontal="center"/>
    </xf>
    <xf numFmtId="0" fontId="58" fillId="90" borderId="62" xfId="1851" applyFont="1" applyFill="1" applyBorder="1" applyAlignment="1">
      <alignment horizontal="center"/>
    </xf>
    <xf numFmtId="0" fontId="58" fillId="90" borderId="63" xfId="1851" applyFont="1" applyFill="1" applyBorder="1" applyAlignment="1">
      <alignment horizontal="center"/>
    </xf>
    <xf numFmtId="0" fontId="59" fillId="90" borderId="81" xfId="1851" applyFont="1" applyFill="1" applyBorder="1" applyAlignment="1">
      <alignment horizontal="center"/>
    </xf>
    <xf numFmtId="0" fontId="59" fillId="90" borderId="85" xfId="1851" applyFont="1" applyFill="1" applyBorder="1" applyAlignment="1">
      <alignment horizontal="center"/>
    </xf>
    <xf numFmtId="0" fontId="58" fillId="90" borderId="67" xfId="1851" applyFont="1" applyFill="1" applyBorder="1" applyAlignment="1">
      <alignment horizontal="center"/>
    </xf>
    <xf numFmtId="0" fontId="58" fillId="90" borderId="0" xfId="1851" applyFont="1" applyFill="1" applyAlignment="1">
      <alignment horizontal="center"/>
    </xf>
    <xf numFmtId="244" fontId="58" fillId="90" borderId="69" xfId="1851" applyNumberFormat="1" applyFont="1" applyFill="1" applyBorder="1" applyAlignment="1">
      <alignment horizontal="center" vertical="center" wrapText="1"/>
    </xf>
    <xf numFmtId="244" fontId="58" fillId="90" borderId="68" xfId="1851" applyNumberFormat="1" applyFont="1" applyFill="1" applyBorder="1" applyAlignment="1">
      <alignment horizontal="center" vertical="center" wrapText="1"/>
    </xf>
    <xf numFmtId="244" fontId="58" fillId="90" borderId="70" xfId="1851" applyNumberFormat="1" applyFont="1" applyFill="1" applyBorder="1" applyAlignment="1">
      <alignment horizontal="center" vertical="center" wrapText="1"/>
    </xf>
    <xf numFmtId="0" fontId="58" fillId="90" borderId="51" xfId="1851" applyFont="1" applyFill="1" applyBorder="1" applyAlignment="1">
      <alignment horizontal="center"/>
    </xf>
    <xf numFmtId="0" fontId="58" fillId="90" borderId="103" xfId="1851" applyFont="1" applyFill="1" applyBorder="1" applyAlignment="1">
      <alignment horizontal="center"/>
    </xf>
    <xf numFmtId="0" fontId="58" fillId="90" borderId="68" xfId="1851" applyFont="1" applyFill="1" applyBorder="1" applyAlignment="1">
      <alignment horizontal="center" vertical="center"/>
    </xf>
    <xf numFmtId="0" fontId="58" fillId="90" borderId="133" xfId="1851" applyFont="1" applyFill="1" applyBorder="1" applyAlignment="1">
      <alignment horizontal="center" vertical="center"/>
    </xf>
    <xf numFmtId="0" fontId="58" fillId="90" borderId="72" xfId="1851" applyFont="1" applyFill="1" applyBorder="1" applyAlignment="1">
      <alignment horizontal="center" vertical="center"/>
    </xf>
    <xf numFmtId="0" fontId="58" fillId="90" borderId="73" xfId="1851" applyFont="1" applyFill="1" applyBorder="1" applyAlignment="1">
      <alignment horizontal="center" vertical="center"/>
    </xf>
    <xf numFmtId="0" fontId="58" fillId="90" borderId="76" xfId="1851" applyFont="1" applyFill="1" applyBorder="1" applyAlignment="1">
      <alignment horizontal="center" vertical="center"/>
    </xf>
    <xf numFmtId="0" fontId="58" fillId="90" borderId="69" xfId="1851" applyFont="1" applyFill="1" applyBorder="1" applyAlignment="1">
      <alignment horizontal="center" vertical="center"/>
    </xf>
    <xf numFmtId="0" fontId="58" fillId="90" borderId="102" xfId="1851" applyFont="1" applyFill="1" applyBorder="1" applyAlignment="1">
      <alignment horizontal="center"/>
    </xf>
  </cellXfs>
  <cellStyles count="5514">
    <cellStyle name="-" xfId="136" xr:uid="{8514AF00-345D-4AFF-BEF6-5D42FE309850}"/>
    <cellStyle name=" 3]_x000d__x000a_Zoomed=1_x000d__x000a_Row=0_x000d__x000a_Column=0_x000d__x000a_Height=300_x000d__x000a_Width=300_x000d__x000a_FontName=細明體_x000d__x000a_FontStyle=0_x000d__x000a_FontSize=9_x000d__x000a_PrtFontName=Co" xfId="104" xr:uid="{8627A226-90D8-43EA-A3AD-10F960B436CA}"/>
    <cellStyle name="$" xfId="147" xr:uid="{043F02A9-67AC-41E0-B3A1-2B2D9BDCDF92}"/>
    <cellStyle name="$ &amp; ¢" xfId="148" xr:uid="{27DE8ECB-84B3-4ED8-856C-6827D898F468}"/>
    <cellStyle name="$ &amp; ¢ 2" xfId="4676" xr:uid="{FFA58D6F-9647-4024-ACE4-2E6783A63F8E}"/>
    <cellStyle name="$ 2" xfId="4675" xr:uid="{B168B616-4EEB-460C-8004-F6076897A3EF}"/>
    <cellStyle name="%" xfId="142" xr:uid="{E358C829-9307-4985-8833-7C0F02F338F1}"/>
    <cellStyle name="%.00" xfId="143" xr:uid="{D2FD3620-AFB5-4943-9351-D68CD34DE62E}"/>
    <cellStyle name="(Heading)" xfId="138" xr:uid="{F300BF5E-4F74-40DC-9359-45DEEBC1FE28}"/>
    <cellStyle name="(Heading) 2" xfId="5492" xr:uid="{13C5757C-576D-4EA0-8082-07A4E3573AB6}"/>
    <cellStyle name="(Lefting)" xfId="139" xr:uid="{3BC24F6F-1897-480F-8882-D6CF6376097F}"/>
    <cellStyle name="(Lefting) 2" xfId="5493" xr:uid="{AB2756D2-BC98-444D-82B6-9984BE3A42ED}"/>
    <cellStyle name="(z*¯_x000f_°(”,¯?À(¢,¯?Ð(°,¯?à(Â,¯?ð(Ô,¯?" xfId="140" xr:uid="{9BD17B13-0435-4992-B7BA-B0B66252F494}"/>
    <cellStyle name="(z*¯_x000f_°(”,¯?À(¢,¯?Ð(°,¯?à(Â,¯?ð(Ô,¯? 2" xfId="4674" xr:uid="{CFB0FBB4-FB1E-42B9-9916-5C1CBEF78CD9}"/>
    <cellStyle name="******************************************" xfId="141" xr:uid="{39E77E8E-F99D-43DC-8EE0-95EA44C03110}"/>
    <cellStyle name="_CNMD_Valuation Model_20081212_v2" xfId="105" xr:uid="{12BD316C-596E-400D-BF96-B13DC31B7C15}"/>
    <cellStyle name="_Comma" xfId="106" xr:uid="{704B6787-4781-4F27-B967-DE48462AC85B}"/>
    <cellStyle name="_Comps 4" xfId="107" xr:uid="{DE91D700-2C29-4987-85C7-EBED38398172}"/>
    <cellStyle name="_Cont Analysis" xfId="108" xr:uid="{0D32D8A1-501A-4BA1-9673-48170E010410}"/>
    <cellStyle name="_Currency" xfId="109" xr:uid="{B7F0E912-1051-4F1C-8894-509B4DE271E1}"/>
    <cellStyle name="_Currency_Analysis" xfId="110" xr:uid="{35F5DAC3-3063-4903-A6EA-44789AC3B046}"/>
    <cellStyle name="_Currency_Smartportfolio model" xfId="111" xr:uid="{69357543-EE99-4FFF-9F63-29A83FC81D8A}"/>
    <cellStyle name="_Currency_Smartportfolio model_DB-merged files" xfId="112" xr:uid="{6BD90072-A021-47EB-B649-5E22F9425B94}"/>
    <cellStyle name="_CurrencySpace" xfId="113" xr:uid="{2BDB6D76-9B27-4557-A862-5CE64B25F5C8}"/>
    <cellStyle name="_Gamma Valuation - 8" xfId="114" xr:uid="{96FF6DE3-29F4-4A21-AD0D-2FDB6B40940F}"/>
    <cellStyle name="_ITRN" xfId="115" xr:uid="{89893122-0419-4FE6-A058-9D63FCEB770E}"/>
    <cellStyle name="-_Merger Model 17 Nov 04" xfId="137" xr:uid="{6040F9FC-3AB3-41C1-9EE1-AB6B6885877F}"/>
    <cellStyle name="_Merger Model_KN&amp;Fzio_v2.30 - Street" xfId="116" xr:uid="{3E8F3DDC-1407-4CCE-94CA-DAD1680889DD}"/>
    <cellStyle name="_Multiple" xfId="117" xr:uid="{499AB631-A70E-4795-B0C0-D419EB3FA71A}"/>
    <cellStyle name="_Multiple_Analysis" xfId="118" xr:uid="{611542D9-5B02-4C55-B9EC-2E16BE14D37B}"/>
    <cellStyle name="_Multiple_Analysis_DB-merged files" xfId="119" xr:uid="{A9729D50-7244-46EF-A115-C713C7D1CEFA}"/>
    <cellStyle name="_Multiple_Smartportfolio model" xfId="120" xr:uid="{0ACEDDC9-4148-4E2A-8FDE-24C4361AA707}"/>
    <cellStyle name="_Multiple_Smartportfolio model_DB-merged files" xfId="121" xr:uid="{6AAFE7E7-5564-454A-84E3-E8EE956243B8}"/>
    <cellStyle name="_MultipleSpace" xfId="122" xr:uid="{F478E62F-2912-4A62-98F0-3EFC5EA401D4}"/>
    <cellStyle name="_MultipleSpace_Analysis" xfId="123" xr:uid="{4C99DD2E-97ED-4CDE-970B-7FF80EF80B8C}"/>
    <cellStyle name="_MultipleSpace_csc" xfId="124" xr:uid="{3D101EB8-580C-4AA3-A4C5-3D1DF193DAD2}"/>
    <cellStyle name="_MultipleSpace_Smartportfolio model" xfId="125" xr:uid="{0731AA81-1242-49BC-8EAA-1BA5D5636E64}"/>
    <cellStyle name="_MultipleSpace_Smartportfolio model_DB-merged files" xfId="126" xr:uid="{E46B0666-784E-4C77-AA74-55CA984148A5}"/>
    <cellStyle name="_MultipleSpace_Smartportfolio model_DB-merged files 2" xfId="4673" xr:uid="{D9290DF3-7337-4167-861D-1D7E5F739840}"/>
    <cellStyle name="_Percent" xfId="127" xr:uid="{683D5C6F-A88E-4525-BEFE-A5A7F4BFE390}"/>
    <cellStyle name="_Percent_Analysis" xfId="128" xr:uid="{E556E2EB-887A-4703-86D8-3F76EC0663E4}"/>
    <cellStyle name="_Percent_Smartportfolio model" xfId="129" xr:uid="{2DC47153-3D71-4673-90DF-BC13CDC1050F}"/>
    <cellStyle name="_Percent_Smartportfolio model_DB-merged files" xfId="130" xr:uid="{A2ACEA60-2DCA-43A2-BF4E-00CA70D4228F}"/>
    <cellStyle name="_PercentSpace" xfId="131" xr:uid="{416FCF8D-76E8-4DEB-BABC-A6867147ED59}"/>
    <cellStyle name="_PercentSpace_Analysis" xfId="132" xr:uid="{ACD9E496-1744-4971-9CC0-98197C6B06C3}"/>
    <cellStyle name="_PercentSpace_Smartportfolio model" xfId="133" xr:uid="{E0232EC8-2E57-4E52-B12B-2F1D412F449F}"/>
    <cellStyle name="_Sepracor Riders_Clean" xfId="134" xr:uid="{0E932B4C-ED1B-4531-AD6A-DDBD10B3EE2A}"/>
    <cellStyle name="_SIAL_Model_5.22.09 v71" xfId="135" xr:uid="{21261F34-6983-4779-A575-0B0F8F80ED37}"/>
    <cellStyle name="&lt;9#_x000f_¾Èƒé1ƒÃ_x0002_;M_x0014_}$‹E_x0010_‹_x0004_ˆ…Àt_x001b_Pÿ_x0015_ x¦" xfId="144" xr:uid="{3DCCDF18-CCBD-47DC-A84C-0948000F7EB6}"/>
    <cellStyle name="=C:\WINNT\SYSTEM32\COMMAND.COM" xfId="145" xr:uid="{89F28961-05A8-4766-A11A-8BF11E73568B}"/>
    <cellStyle name="=C:\WINNT35\SYSTEM32\COMMAND.COM" xfId="146" xr:uid="{0AFBBEBA-EC3D-455B-8CBC-14302C595C9C}"/>
    <cellStyle name="1,comma" xfId="149" xr:uid="{0287EC6E-1393-44A5-9942-BC6F5274FBBC}"/>
    <cellStyle name="10Q" xfId="150" xr:uid="{D928BFCA-CFAA-4704-BA40-5D34F5A0AA65}"/>
    <cellStyle name="20 % - Accent1" xfId="151" xr:uid="{26CC5399-7959-4E68-9A5E-C30D992623D1}"/>
    <cellStyle name="20 % - Accent2" xfId="152" xr:uid="{387193E6-0C44-487C-A907-58BE3809BC92}"/>
    <cellStyle name="20 % - Accent3" xfId="153" xr:uid="{F3EFC7B5-8E36-4564-A25E-EEBCE2522584}"/>
    <cellStyle name="20 % - Accent4" xfId="154" xr:uid="{0D6993F0-D042-4518-9CD7-D044A5775FD8}"/>
    <cellStyle name="20 % - Accent5" xfId="155" xr:uid="{20EBC93E-6880-4C8C-97C5-6C7D6FF05195}"/>
    <cellStyle name="20 % - Accent6" xfId="156" xr:uid="{5DF4ED5E-B969-4A80-8A50-063CB254EE6C}"/>
    <cellStyle name="20% - Accent1" xfId="4625" builtinId="30" customBuiltin="1"/>
    <cellStyle name="20% - Accent1 2" xfId="18" xr:uid="{C33A3C86-913D-4B5D-8412-51186DE724F2}"/>
    <cellStyle name="20% - Accent1 2 10" xfId="157" xr:uid="{26F5A637-31D7-4B7E-BB6C-FD61095EFC2F}"/>
    <cellStyle name="20% - Accent1 2 2" xfId="158" xr:uid="{E8863876-2D2E-449C-9206-81522A02D963}"/>
    <cellStyle name="20% - Accent1 2 2 2" xfId="159" xr:uid="{9714BDDC-DBF6-4C69-82D3-2A5B8409DFCB}"/>
    <cellStyle name="20% - Accent1 2 2 3" xfId="160" xr:uid="{430C0B51-BF45-4F31-818F-0FC657CE8C32}"/>
    <cellStyle name="20% - Accent1 2 3" xfId="161" xr:uid="{056657C6-14EA-4FE1-9122-0F80E1EAF95D}"/>
    <cellStyle name="20% - Accent1 2 3 2" xfId="162" xr:uid="{751AB741-8CBB-412D-9E0E-4C9424F816AC}"/>
    <cellStyle name="20% - Accent1 2 4" xfId="163" xr:uid="{50339CB1-DF46-410E-B79B-1DC94FCE6CA3}"/>
    <cellStyle name="20% - Accent1 2 5" xfId="164" xr:uid="{19858DE1-8090-4412-A3FE-D086EDD2162A}"/>
    <cellStyle name="20% - Accent1 2 6" xfId="165" xr:uid="{084B3A55-35CC-48FE-99F6-99FA2BEAF9E6}"/>
    <cellStyle name="20% - Accent1 2 7" xfId="166" xr:uid="{6E0D8B8E-964D-4A5B-8373-70D3BD4FDEA0}"/>
    <cellStyle name="20% - Accent1 2 8" xfId="167" xr:uid="{DBF9A90E-E50C-41D7-BAD2-AD469D77F555}"/>
    <cellStyle name="20% - Accent1 2 9" xfId="168" xr:uid="{80E90B77-79DC-4A43-95E9-C6D199ADC5F2}"/>
    <cellStyle name="20% - Accent1 3" xfId="169" xr:uid="{E08569E7-57F8-4305-B8DA-01D14FEBBE8B}"/>
    <cellStyle name="20% - Accent1 3 2" xfId="170" xr:uid="{69F8DA42-C4A3-412D-B441-167EC7F10A33}"/>
    <cellStyle name="20% - Accent1 3 2 2" xfId="171" xr:uid="{5095DD82-6441-451A-8FAB-D45F864D2D07}"/>
    <cellStyle name="20% - Accent1 3 2 2 2" xfId="172" xr:uid="{BA7FD674-1068-4CCD-B762-FE0FF2E23C51}"/>
    <cellStyle name="20% - Accent1 3 2 2 2 2" xfId="173" xr:uid="{C1F7BFA5-60CB-4074-9642-EDED2C3F0B02}"/>
    <cellStyle name="20% - Accent1 3 2 2 3" xfId="174" xr:uid="{072CA48B-319E-454A-8EE3-B9A2C237BD99}"/>
    <cellStyle name="20% - Accent1 3 2 3" xfId="175" xr:uid="{4918723D-DA23-4D64-BF30-9F910875266C}"/>
    <cellStyle name="20% - Accent1 3 2 3 2" xfId="176" xr:uid="{3F2A8175-EF7B-4713-A55D-BBB92C66D757}"/>
    <cellStyle name="20% - Accent1 3 2 4" xfId="177" xr:uid="{EDF41390-105F-4967-9A73-528D1455DF5C}"/>
    <cellStyle name="20% - Accent1 3 3" xfId="178" xr:uid="{0C695798-1A9B-4B1A-A5FF-A44CF683B732}"/>
    <cellStyle name="20% - Accent1 3 3 2" xfId="179" xr:uid="{F4DDE7E9-16AF-49D4-9C94-4AA579A056C4}"/>
    <cellStyle name="20% - Accent1 3 3 2 2" xfId="180" xr:uid="{8804C0AE-3720-44A0-8939-9186E7AD0AD4}"/>
    <cellStyle name="20% - Accent1 3 3 2 2 2" xfId="181" xr:uid="{E11AAC08-94E4-4866-B328-99354C368AF0}"/>
    <cellStyle name="20% - Accent1 3 3 2 3" xfId="182" xr:uid="{822F5707-10CE-4825-AC3F-F1339D98EE96}"/>
    <cellStyle name="20% - Accent1 3 3 3" xfId="183" xr:uid="{78188845-D1A3-465F-A9F6-8E8AAA775031}"/>
    <cellStyle name="20% - Accent1 3 3 3 2" xfId="184" xr:uid="{AA70AB1E-9EE0-4329-AD20-EB5DF7E321B7}"/>
    <cellStyle name="20% - Accent1 3 3 4" xfId="185" xr:uid="{D4981984-BC51-4ECA-AF7D-528899B81B59}"/>
    <cellStyle name="20% - Accent1 3 4" xfId="186" xr:uid="{9DFB819E-91D1-4037-B35C-0B8FEB739229}"/>
    <cellStyle name="20% - Accent1 3 4 2" xfId="187" xr:uid="{F72D7ADF-497F-47A4-B7D2-F00A10A8B809}"/>
    <cellStyle name="20% - Accent1 3 4 2 2" xfId="188" xr:uid="{FDCBB335-7427-4D8E-9E6E-97AC3935BCAA}"/>
    <cellStyle name="20% - Accent1 3 4 3" xfId="189" xr:uid="{352FB33B-A252-4542-998F-664858D2733B}"/>
    <cellStyle name="20% - Accent1 3 5" xfId="190" xr:uid="{E116206D-A6FC-40C4-BE74-5B4296429493}"/>
    <cellStyle name="20% - Accent1 3 5 2" xfId="191" xr:uid="{3FB67A02-7A39-46A9-B5B0-5B33519A97F5}"/>
    <cellStyle name="20% - Accent1 3 6" xfId="192" xr:uid="{16E7AFE4-8D1D-4E64-8C65-1A89B20E25B4}"/>
    <cellStyle name="20% - Accent1 4" xfId="193" xr:uid="{91E18E36-B73F-4988-B44C-608DC4203A60}"/>
    <cellStyle name="20% - Accent1 5" xfId="194" xr:uid="{A1AFFA2B-18BE-4DD0-AB0B-BE0C05D7E6D4}"/>
    <cellStyle name="20% - Accent1 6" xfId="195" xr:uid="{D486BA1F-3EB0-44B4-BE9A-E34E54436198}"/>
    <cellStyle name="20% - Accent1 7" xfId="196" xr:uid="{2F73B03C-7A57-47F6-8FE6-CFE65F3556A3}"/>
    <cellStyle name="20% - Accent1 8" xfId="197" xr:uid="{75BD9343-15CE-461B-85E7-BB934D10A454}"/>
    <cellStyle name="20% - Accent1 9" xfId="198" xr:uid="{D5765053-F404-4E75-8AC1-08864E1A1041}"/>
    <cellStyle name="20% - Accent2" xfId="4629" builtinId="34" customBuiltin="1"/>
    <cellStyle name="20% - Accent2 2" xfId="19" xr:uid="{A85EADCA-AD17-47A4-BFDA-6942CD9A709D}"/>
    <cellStyle name="20% - Accent2 2 10" xfId="199" xr:uid="{E268DC5A-A3D5-47C5-9B6E-A4105CA3E6B0}"/>
    <cellStyle name="20% - Accent2 2 2" xfId="200" xr:uid="{9FD77E06-761A-47EB-A2B7-6D202D0E6F7E}"/>
    <cellStyle name="20% - Accent2 2 2 2" xfId="201" xr:uid="{E62856B7-88B2-4EF9-82FB-9118EFEA82AB}"/>
    <cellStyle name="20% - Accent2 2 2 3" xfId="202" xr:uid="{5846394A-F734-4F80-95FC-3E68F85DFCA0}"/>
    <cellStyle name="20% - Accent2 2 3" xfId="203" xr:uid="{BF66B27D-31C2-4D51-BAD6-D2EC9327D3FE}"/>
    <cellStyle name="20% - Accent2 2 3 2" xfId="204" xr:uid="{006F5643-2CCB-418C-99DF-39D384813EB1}"/>
    <cellStyle name="20% - Accent2 2 4" xfId="205" xr:uid="{B9E92B75-C625-4C17-B8B0-35F3ACD3E5D0}"/>
    <cellStyle name="20% - Accent2 2 5" xfId="206" xr:uid="{5514A7A5-24CE-4DCA-8A3C-FDE0A7DB1A5A}"/>
    <cellStyle name="20% - Accent2 2 6" xfId="207" xr:uid="{46C72102-38EC-428B-AE32-54B835683AC4}"/>
    <cellStyle name="20% - Accent2 2 7" xfId="208" xr:uid="{3F99C1BF-F7C1-4636-A774-CE811634DE19}"/>
    <cellStyle name="20% - Accent2 2 8" xfId="209" xr:uid="{83F9E269-763D-4881-AC18-70E0C85C0A14}"/>
    <cellStyle name="20% - Accent2 2 9" xfId="210" xr:uid="{5C68A094-E062-49E0-A66D-EB695B75CD4F}"/>
    <cellStyle name="20% - Accent2 3" xfId="211" xr:uid="{24AC4367-E9A3-4388-A6F1-9151EF78CC88}"/>
    <cellStyle name="20% - Accent2 3 2" xfId="212" xr:uid="{D0F07DAE-3FCF-4A7C-A8E2-57EC50880458}"/>
    <cellStyle name="20% - Accent2 3 2 2" xfId="213" xr:uid="{92C09179-9BEC-4BFF-91C1-69F68C9DE0D6}"/>
    <cellStyle name="20% - Accent2 3 2 2 2" xfId="214" xr:uid="{12F80DB1-115B-4673-88FB-9DA9491392BC}"/>
    <cellStyle name="20% - Accent2 3 2 2 2 2" xfId="215" xr:uid="{4ECA8D7C-A18A-43AF-A88B-015917BE068C}"/>
    <cellStyle name="20% - Accent2 3 2 2 3" xfId="216" xr:uid="{C461EB62-845A-4635-8D46-E4246CA37D5C}"/>
    <cellStyle name="20% - Accent2 3 2 3" xfId="217" xr:uid="{C9F8DDB8-3CFA-4BBC-B375-D51BFA53CF15}"/>
    <cellStyle name="20% - Accent2 3 2 3 2" xfId="218" xr:uid="{7673462C-E114-4148-B5D4-33E856C118E6}"/>
    <cellStyle name="20% - Accent2 3 2 4" xfId="219" xr:uid="{BCB45059-A8F8-471A-9090-B4976F70C650}"/>
    <cellStyle name="20% - Accent2 3 3" xfId="220" xr:uid="{D10EAE3C-DBD3-479A-9FEB-F5A13214957F}"/>
    <cellStyle name="20% - Accent2 3 3 2" xfId="221" xr:uid="{01F7D34C-2C2A-4139-AFF2-CC57275A734F}"/>
    <cellStyle name="20% - Accent2 3 3 2 2" xfId="222" xr:uid="{CFAE46E3-B109-4AB6-BCCB-2546C45DBDB7}"/>
    <cellStyle name="20% - Accent2 3 3 2 2 2" xfId="223" xr:uid="{884171D2-8FD4-4396-AAF8-B60196CE0286}"/>
    <cellStyle name="20% - Accent2 3 3 2 3" xfId="224" xr:uid="{DCB3C1F9-F89E-4C8A-8809-07EA2B2E6C82}"/>
    <cellStyle name="20% - Accent2 3 3 3" xfId="225" xr:uid="{12551501-19BE-4BF3-B0FB-5BC75C3F3C0B}"/>
    <cellStyle name="20% - Accent2 3 3 3 2" xfId="226" xr:uid="{811F72CB-58CA-42A5-B29F-650DA8C7B87E}"/>
    <cellStyle name="20% - Accent2 3 3 4" xfId="227" xr:uid="{39E243AE-383A-4D93-8781-DF7AB90F42E6}"/>
    <cellStyle name="20% - Accent2 3 4" xfId="228" xr:uid="{F6ED4ED7-3E08-40EA-8AD4-198DE66BC56D}"/>
    <cellStyle name="20% - Accent2 3 4 2" xfId="229" xr:uid="{AC06B51E-2A5A-4732-8BE8-FF8CF52B47BA}"/>
    <cellStyle name="20% - Accent2 3 4 2 2" xfId="230" xr:uid="{99AC829A-DC12-4DDC-87BB-DE0F59670A0C}"/>
    <cellStyle name="20% - Accent2 3 4 3" xfId="231" xr:uid="{9602E52D-1FDB-4408-925C-C9E2A900777A}"/>
    <cellStyle name="20% - Accent2 3 5" xfId="232" xr:uid="{0D1C5682-73E9-4202-840E-6B11E1D9546A}"/>
    <cellStyle name="20% - Accent2 3 5 2" xfId="233" xr:uid="{1AC7CC2E-DF88-4378-98A1-AFBA37D896DF}"/>
    <cellStyle name="20% - Accent2 3 6" xfId="234" xr:uid="{C082F21B-1E6F-49FB-9642-BD57B80C40C6}"/>
    <cellStyle name="20% - Accent2 4" xfId="235" xr:uid="{42FF0A60-D34A-4939-BB3B-8E3521B4C317}"/>
    <cellStyle name="20% - Accent2 5" xfId="236" xr:uid="{41C56FA3-7FAB-4D82-B700-E47484CA6557}"/>
    <cellStyle name="20% - Accent2 6" xfId="237" xr:uid="{99048AFC-9DAE-4BBF-B065-90C46BDCAB04}"/>
    <cellStyle name="20% - Accent2 7" xfId="238" xr:uid="{93121B73-1887-4DC2-8122-065BB1959B31}"/>
    <cellStyle name="20% - Accent2 8" xfId="239" xr:uid="{F0E46CE6-6B90-4F42-90E6-068900648118}"/>
    <cellStyle name="20% - Accent2 9" xfId="240" xr:uid="{4D6373D3-7944-4FFF-9DD3-428AA499C641}"/>
    <cellStyle name="20% - Accent3" xfId="4633" builtinId="38" customBuiltin="1"/>
    <cellStyle name="20% - Accent3 2" xfId="20" xr:uid="{A1AC19CE-678D-4F4A-B3E3-EFFB5843EE31}"/>
    <cellStyle name="20% - Accent3 2 10" xfId="241" xr:uid="{65D21317-3397-4BFE-A1C1-60A85C7E94C2}"/>
    <cellStyle name="20% - Accent3 2 2" xfId="242" xr:uid="{042BB75C-C9FC-4C8E-B05C-4784B817B3B0}"/>
    <cellStyle name="20% - Accent3 2 2 2" xfId="243" xr:uid="{44D89E3C-7CB8-4323-A623-42214AC24AC9}"/>
    <cellStyle name="20% - Accent3 2 2 3" xfId="244" xr:uid="{36439ADF-6578-47F1-878B-5B31B4263A77}"/>
    <cellStyle name="20% - Accent3 2 3" xfId="245" xr:uid="{889A89D1-6E85-485A-B288-5752E5339259}"/>
    <cellStyle name="20% - Accent3 2 3 2" xfId="246" xr:uid="{8849D927-6248-4B69-8F5E-7A23E1576867}"/>
    <cellStyle name="20% - Accent3 2 4" xfId="247" xr:uid="{BD0CD108-9EB2-4423-BBF4-0F3929EBCD37}"/>
    <cellStyle name="20% - Accent3 2 5" xfId="248" xr:uid="{61A017C1-C8AD-49D4-87A4-CF33BFDC0406}"/>
    <cellStyle name="20% - Accent3 2 6" xfId="249" xr:uid="{0CD3E3D1-6E87-41C2-8524-13A8BCC27745}"/>
    <cellStyle name="20% - Accent3 2 7" xfId="250" xr:uid="{9C052B15-9ABD-4950-BD08-E97A71C8A12D}"/>
    <cellStyle name="20% - Accent3 2 8" xfId="251" xr:uid="{6030E746-A2C1-4F66-9147-9C7D9D429EE2}"/>
    <cellStyle name="20% - Accent3 2 9" xfId="252" xr:uid="{A243A217-96A9-4979-9726-8B93FCEF85DA}"/>
    <cellStyle name="20% - Accent3 3" xfId="253" xr:uid="{FFB25CFE-5FD1-40AB-AA4B-BD3DC3ABDEFC}"/>
    <cellStyle name="20% - Accent3 3 2" xfId="254" xr:uid="{41B07B2F-016D-4F44-A68A-0010B7C23E09}"/>
    <cellStyle name="20% - Accent3 3 2 2" xfId="255" xr:uid="{94803197-E437-4BFD-BB3B-98E4D1FB447E}"/>
    <cellStyle name="20% - Accent3 3 2 2 2" xfId="256" xr:uid="{729C875A-9114-4BE7-A650-BD419B1FE614}"/>
    <cellStyle name="20% - Accent3 3 2 2 2 2" xfId="257" xr:uid="{B4AA69FE-75F2-4938-A039-6AAE3601170B}"/>
    <cellStyle name="20% - Accent3 3 2 2 3" xfId="258" xr:uid="{D0992E0E-F484-494B-909B-68ADAF71E80A}"/>
    <cellStyle name="20% - Accent3 3 2 3" xfId="259" xr:uid="{2E56F4AB-5F27-4F8A-9970-A092F3F48265}"/>
    <cellStyle name="20% - Accent3 3 2 3 2" xfId="260" xr:uid="{88C5CB21-3C62-45FE-B480-F37350375581}"/>
    <cellStyle name="20% - Accent3 3 2 4" xfId="261" xr:uid="{225DD005-CF5E-4AC0-A73E-91EE6CD07A6D}"/>
    <cellStyle name="20% - Accent3 3 3" xfId="262" xr:uid="{51047039-40A6-4A5E-ADB1-45D0B4D3B8EE}"/>
    <cellStyle name="20% - Accent3 3 3 2" xfId="263" xr:uid="{47F107B5-1568-48F8-A077-EC5B13C0E6EC}"/>
    <cellStyle name="20% - Accent3 3 3 2 2" xfId="264" xr:uid="{EADAF46E-2368-44EA-84B5-A040DBFE10E6}"/>
    <cellStyle name="20% - Accent3 3 3 2 2 2" xfId="265" xr:uid="{AB101AF5-9D6B-4B05-8BE2-007DF9D76623}"/>
    <cellStyle name="20% - Accent3 3 3 2 3" xfId="266" xr:uid="{77508F2D-0355-401F-BD5E-2D470629EFD1}"/>
    <cellStyle name="20% - Accent3 3 3 3" xfId="267" xr:uid="{7A28F9AB-D4EF-4375-84ED-1EEECB61E0CC}"/>
    <cellStyle name="20% - Accent3 3 3 3 2" xfId="268" xr:uid="{5B86658E-FE2B-4869-88D6-ED0B14C3191C}"/>
    <cellStyle name="20% - Accent3 3 3 4" xfId="269" xr:uid="{2183CEEA-5A72-40A9-B5A7-11C72827B821}"/>
    <cellStyle name="20% - Accent3 3 4" xfId="270" xr:uid="{3D14F2BF-0808-43B0-AB6A-58911BA07F5B}"/>
    <cellStyle name="20% - Accent3 3 4 2" xfId="271" xr:uid="{A4D746C0-149B-439A-89BB-868CC611E56F}"/>
    <cellStyle name="20% - Accent3 3 4 2 2" xfId="272" xr:uid="{22869A86-CC23-40A8-85E4-918BAB6CAFDD}"/>
    <cellStyle name="20% - Accent3 3 4 3" xfId="273" xr:uid="{EA21C6DD-CE9E-41D1-A0B1-0F9928DEB1F8}"/>
    <cellStyle name="20% - Accent3 3 5" xfId="274" xr:uid="{B2A5950E-AE1C-4BB4-A3EF-F8A184881EFB}"/>
    <cellStyle name="20% - Accent3 3 5 2" xfId="275" xr:uid="{7EB4820B-537D-4A04-8651-D2A1ED3CB7AB}"/>
    <cellStyle name="20% - Accent3 3 6" xfId="276" xr:uid="{F832901F-6015-4D5C-BC0E-53AF0D692CBF}"/>
    <cellStyle name="20% - Accent3 4" xfId="277" xr:uid="{B6AB356F-FC63-491B-A886-6FD780A9CECB}"/>
    <cellStyle name="20% - Accent3 5" xfId="278" xr:uid="{B9208186-D8BA-4E68-BBF5-426664FB8DC4}"/>
    <cellStyle name="20% - Accent3 6" xfId="279" xr:uid="{2934C204-F5BB-4B02-A65C-20E1A93CEC61}"/>
    <cellStyle name="20% - Accent3 7" xfId="280" xr:uid="{77F204F6-B348-4DCA-8E2D-2B9E967EA8E4}"/>
    <cellStyle name="20% - Accent3 8" xfId="281" xr:uid="{25896773-CC92-404D-81FD-6F60B506A3BB}"/>
    <cellStyle name="20% - Accent3 9" xfId="282" xr:uid="{C79DF2B3-8A33-49C4-8D0A-52EE068B3111}"/>
    <cellStyle name="20% - Accent4" xfId="4637" builtinId="42" customBuiltin="1"/>
    <cellStyle name="20% - Accent4 2" xfId="21" xr:uid="{64F3BB83-8AFE-443D-963D-D82EC5EDA125}"/>
    <cellStyle name="20% - Accent4 2 10" xfId="283" xr:uid="{C391883D-ADBC-4E89-8A51-86087C89FC58}"/>
    <cellStyle name="20% - Accent4 2 2" xfId="284" xr:uid="{74CD4825-DD36-4C10-A88B-6C4C0AF8E139}"/>
    <cellStyle name="20% - Accent4 2 2 2" xfId="285" xr:uid="{05BEBC4C-9B12-4A36-9613-AD89726C495E}"/>
    <cellStyle name="20% - Accent4 2 2 3" xfId="286" xr:uid="{F84319D5-DF8C-44F6-A12D-AF4D11FC6253}"/>
    <cellStyle name="20% - Accent4 2 3" xfId="287" xr:uid="{EB607E42-B123-4DEF-8910-B47C9518CDBB}"/>
    <cellStyle name="20% - Accent4 2 3 2" xfId="288" xr:uid="{BA897FB5-4DE8-4714-ACC7-CF3B268C0D43}"/>
    <cellStyle name="20% - Accent4 2 4" xfId="289" xr:uid="{A0944B9F-16C5-44E9-AD34-B660784BDFF5}"/>
    <cellStyle name="20% - Accent4 2 5" xfId="290" xr:uid="{B7C7B041-DA74-495F-8D41-F5C07AD35E0E}"/>
    <cellStyle name="20% - Accent4 2 6" xfId="291" xr:uid="{68A08446-5DDB-45CA-B416-7F7A440F609D}"/>
    <cellStyle name="20% - Accent4 2 7" xfId="292" xr:uid="{7AF88D0A-1D14-47A4-9C1A-20B29DB7E5BD}"/>
    <cellStyle name="20% - Accent4 2 8" xfId="293" xr:uid="{014D3B4C-022B-41F2-883F-97545CEA762E}"/>
    <cellStyle name="20% - Accent4 2 9" xfId="294" xr:uid="{8B2FA61E-5545-476F-8AA7-131D18AEC7C8}"/>
    <cellStyle name="20% - Accent4 3" xfId="295" xr:uid="{DC5A292F-BB98-4344-A6D4-4F1E48A0E08B}"/>
    <cellStyle name="20% - Accent4 3 2" xfId="296" xr:uid="{45ACC7B6-5C36-4ADA-A601-62BA224D1F5F}"/>
    <cellStyle name="20% - Accent4 3 2 2" xfId="297" xr:uid="{1607915F-1379-46F0-A982-2BB600356E14}"/>
    <cellStyle name="20% - Accent4 3 2 2 2" xfId="298" xr:uid="{5E7E419C-E5E2-4A99-B5BC-76CFE8F0A0C7}"/>
    <cellStyle name="20% - Accent4 3 2 2 2 2" xfId="299" xr:uid="{F45D6E4D-5D55-43E9-86A6-F5C0535DA26F}"/>
    <cellStyle name="20% - Accent4 3 2 2 3" xfId="300" xr:uid="{B33CD3A1-AA4C-4D57-8528-5C2C4D78D3F1}"/>
    <cellStyle name="20% - Accent4 3 2 3" xfId="301" xr:uid="{22492B32-25FE-4012-AB32-F92A10D45C5E}"/>
    <cellStyle name="20% - Accent4 3 2 3 2" xfId="302" xr:uid="{F7A17C12-3F45-48A8-A8F0-A59DF159C23C}"/>
    <cellStyle name="20% - Accent4 3 2 4" xfId="303" xr:uid="{95E5E722-2865-496B-BEE7-326C28F3BC36}"/>
    <cellStyle name="20% - Accent4 3 3" xfId="304" xr:uid="{D0F6F264-D13D-408A-914C-F9C2DCAA9DFE}"/>
    <cellStyle name="20% - Accent4 3 3 2" xfId="305" xr:uid="{8022C5A6-0A3F-4B19-9A08-7A039EBA3D44}"/>
    <cellStyle name="20% - Accent4 3 3 2 2" xfId="306" xr:uid="{6937145A-8D30-4038-ABB5-E3BF23CCF928}"/>
    <cellStyle name="20% - Accent4 3 3 2 2 2" xfId="307" xr:uid="{4EBAA94A-2A75-454B-9F23-AFAFDE863466}"/>
    <cellStyle name="20% - Accent4 3 3 2 3" xfId="308" xr:uid="{41128F9C-E279-4C86-B302-73AE904B6189}"/>
    <cellStyle name="20% - Accent4 3 3 3" xfId="309" xr:uid="{C3B52B6C-C75B-4622-B9EA-9B94F934386B}"/>
    <cellStyle name="20% - Accent4 3 3 3 2" xfId="310" xr:uid="{B5DFB49C-6CC4-43E0-96B2-FD9BD9C719B8}"/>
    <cellStyle name="20% - Accent4 3 3 4" xfId="311" xr:uid="{5CEDDF13-2744-4563-B5FA-7690ECA38533}"/>
    <cellStyle name="20% - Accent4 3 4" xfId="312" xr:uid="{844AFB5E-7C10-446A-9005-EEED42AA2230}"/>
    <cellStyle name="20% - Accent4 3 4 2" xfId="313" xr:uid="{D0B97003-003F-4D95-975F-7A9C660C9F23}"/>
    <cellStyle name="20% - Accent4 3 4 2 2" xfId="314" xr:uid="{D8F4363D-C30D-4970-81FC-79C4EB28636B}"/>
    <cellStyle name="20% - Accent4 3 4 3" xfId="315" xr:uid="{A258CA99-146F-42BF-9E3A-E5FCC2F31D11}"/>
    <cellStyle name="20% - Accent4 3 5" xfId="316" xr:uid="{9301633B-903B-4E94-87CB-49D004CA2D88}"/>
    <cellStyle name="20% - Accent4 3 5 2" xfId="317" xr:uid="{9C84D426-5084-452A-8C6D-6699DE807095}"/>
    <cellStyle name="20% - Accent4 3 6" xfId="318" xr:uid="{69AEB5AE-FE58-4724-889F-E5F8DB5009CD}"/>
    <cellStyle name="20% - Accent4 4" xfId="319" xr:uid="{1479A29D-E198-498D-9432-C7C1D2BEA38D}"/>
    <cellStyle name="20% - Accent4 5" xfId="320" xr:uid="{91D3508F-871D-47B8-92F4-5FA5176FBBC2}"/>
    <cellStyle name="20% - Accent4 6" xfId="321" xr:uid="{7D1CC92B-BC12-4A17-A2D2-8745D637BA20}"/>
    <cellStyle name="20% - Accent4 7" xfId="322" xr:uid="{CD7CC3FA-9281-491A-B564-B8FE34063AAF}"/>
    <cellStyle name="20% - Accent4 8" xfId="323" xr:uid="{ADD3C590-C4BC-4F80-AFFF-B6129578FD1B}"/>
    <cellStyle name="20% - Accent4 9" xfId="324" xr:uid="{5D4C092E-900F-4475-93E4-B4BD71EFCB83}"/>
    <cellStyle name="20% - Accent5" xfId="4641" builtinId="46" customBuiltin="1"/>
    <cellStyle name="20% - Accent5 2" xfId="22" xr:uid="{F7B142F0-31E4-4870-8C2F-EB126C7A5315}"/>
    <cellStyle name="20% - Accent5 2 10" xfId="325" xr:uid="{44759993-9D3A-431F-A3E3-ACAD7EE444AA}"/>
    <cellStyle name="20% - Accent5 2 2" xfId="326" xr:uid="{A5EACA06-1888-4359-84FC-FB9FBE5CEFA2}"/>
    <cellStyle name="20% - Accent5 2 2 2" xfId="327" xr:uid="{E69874DB-476F-43EE-A5FD-A0CB08D6DFE1}"/>
    <cellStyle name="20% - Accent5 2 2 3" xfId="328" xr:uid="{3B2C3E47-8ED2-4D18-A7A3-5D4BB19C63C4}"/>
    <cellStyle name="20% - Accent5 2 3" xfId="329" xr:uid="{9BBDF190-A474-462E-B73D-4B75A4433CCC}"/>
    <cellStyle name="20% - Accent5 2 3 2" xfId="330" xr:uid="{811E9A3D-B999-4078-A6A4-E56F9CC2A448}"/>
    <cellStyle name="20% - Accent5 2 4" xfId="331" xr:uid="{DD8148CA-3E3B-4D86-87D6-58031C3F278A}"/>
    <cellStyle name="20% - Accent5 2 5" xfId="332" xr:uid="{CA4057BA-A82C-4D5D-89D4-39B65E2F36DF}"/>
    <cellStyle name="20% - Accent5 2 6" xfId="333" xr:uid="{EBD837DD-0AAB-4F3C-BA46-247B35ADFCAF}"/>
    <cellStyle name="20% - Accent5 2 7" xfId="334" xr:uid="{7201EF50-F657-46AA-AE1D-74C81360C01D}"/>
    <cellStyle name="20% - Accent5 2 8" xfId="335" xr:uid="{80D75F3A-2B4C-4A7A-912A-22C6EA4366F4}"/>
    <cellStyle name="20% - Accent5 2 9" xfId="336" xr:uid="{D3FD39B6-707E-4F16-A20B-3F0289973817}"/>
    <cellStyle name="20% - Accent5 3" xfId="337" xr:uid="{837AB91C-6B66-46B1-B129-249F558D1A93}"/>
    <cellStyle name="20% - Accent5 3 2" xfId="338" xr:uid="{06F8A512-BE18-40BB-9EDE-AA49C2DAE41B}"/>
    <cellStyle name="20% - Accent5 3 2 2" xfId="339" xr:uid="{756BA9E7-24FC-4A20-BCEE-633AF919E53C}"/>
    <cellStyle name="20% - Accent5 3 2 2 2" xfId="340" xr:uid="{F6563582-B784-4C7D-865F-81FD4BD8585D}"/>
    <cellStyle name="20% - Accent5 3 2 2 2 2" xfId="341" xr:uid="{966DDFEB-CDBE-491B-8BD0-1B1F8F7F3FF0}"/>
    <cellStyle name="20% - Accent5 3 2 2 3" xfId="342" xr:uid="{814F39EF-302B-4E6A-ABED-D38997601F30}"/>
    <cellStyle name="20% - Accent5 3 2 3" xfId="343" xr:uid="{87DEFCFE-5D1A-4A98-92C5-3956AB6EC28A}"/>
    <cellStyle name="20% - Accent5 3 2 3 2" xfId="344" xr:uid="{131831AD-DE13-4FC9-93FC-06F0A940FFC7}"/>
    <cellStyle name="20% - Accent5 3 2 4" xfId="345" xr:uid="{24B55095-0CD5-488C-91E1-BC00491F6BFD}"/>
    <cellStyle name="20% - Accent5 3 3" xfId="346" xr:uid="{BC31FE91-BB0F-4130-A41E-F88850B7620A}"/>
    <cellStyle name="20% - Accent5 3 3 2" xfId="347" xr:uid="{6AB79870-030B-45DF-ADB6-197C4F6C3594}"/>
    <cellStyle name="20% - Accent5 3 3 2 2" xfId="348" xr:uid="{79D24772-60DA-4BA2-9E9F-3C63244CA78F}"/>
    <cellStyle name="20% - Accent5 3 3 2 2 2" xfId="349" xr:uid="{185589EB-BEFF-4650-94CE-2E4CB1362C8D}"/>
    <cellStyle name="20% - Accent5 3 3 2 3" xfId="350" xr:uid="{8E71B746-C0C9-464D-8B0F-753621E2B6B6}"/>
    <cellStyle name="20% - Accent5 3 3 3" xfId="351" xr:uid="{89B5B733-D011-46FD-BA03-C09AFE54EA5A}"/>
    <cellStyle name="20% - Accent5 3 3 3 2" xfId="352" xr:uid="{7269290F-8A26-4117-BF65-BA4237279890}"/>
    <cellStyle name="20% - Accent5 3 3 4" xfId="353" xr:uid="{2D7F3FAA-93AA-4FF5-A3D8-67E76C125B38}"/>
    <cellStyle name="20% - Accent5 3 4" xfId="354" xr:uid="{EA66D9C4-6B12-4035-88F5-CB3EDA45DDD6}"/>
    <cellStyle name="20% - Accent5 3 4 2" xfId="355" xr:uid="{FE9996CB-6D6D-48BE-8B6F-8C726537ADA8}"/>
    <cellStyle name="20% - Accent5 3 4 2 2" xfId="356" xr:uid="{512629D1-4D75-4407-828E-D3C590DE02D6}"/>
    <cellStyle name="20% - Accent5 3 4 3" xfId="357" xr:uid="{0A438477-06B9-4797-8479-FF78B6D527B9}"/>
    <cellStyle name="20% - Accent5 3 5" xfId="358" xr:uid="{D93F2D8C-C663-489B-A016-F8F3D6CB5918}"/>
    <cellStyle name="20% - Accent5 3 5 2" xfId="359" xr:uid="{BB61E607-485C-4C2A-9D46-1B70788BC93B}"/>
    <cellStyle name="20% - Accent5 3 6" xfId="360" xr:uid="{393481A2-5F02-41DA-9FD1-BB073ACD74E9}"/>
    <cellStyle name="20% - Accent5 4" xfId="361" xr:uid="{9FD2113E-8447-41B6-BBA9-669E31853663}"/>
    <cellStyle name="20% - Accent5 5" xfId="362" xr:uid="{C15D71AA-199A-49DF-AD60-A2E9A84F5964}"/>
    <cellStyle name="20% - Accent5 6" xfId="363" xr:uid="{9DC35990-D957-4366-9258-5D994232B086}"/>
    <cellStyle name="20% - Accent5 7" xfId="364" xr:uid="{B8EC2BB1-0000-49A5-944D-CFA513B91C24}"/>
    <cellStyle name="20% - Accent5 8" xfId="365" xr:uid="{5C06A952-B021-47E6-BE54-C4AF13114B69}"/>
    <cellStyle name="20% - Accent5 9" xfId="366" xr:uid="{F351FADD-E0AE-4369-8002-CD6925A5D238}"/>
    <cellStyle name="20% - Accent6" xfId="4645" builtinId="50" customBuiltin="1"/>
    <cellStyle name="20% - Accent6 2" xfId="23" xr:uid="{D00C90E7-7833-499B-B8EB-8407B2758DFF}"/>
    <cellStyle name="20% - Accent6 2 10" xfId="367" xr:uid="{C7F18ADF-27AA-4AA4-B8CF-F4FAA0646261}"/>
    <cellStyle name="20% - Accent6 2 2" xfId="368" xr:uid="{D9507513-265B-4E81-9E6E-224C977BFB03}"/>
    <cellStyle name="20% - Accent6 2 2 2" xfId="369" xr:uid="{B8E31DBC-735C-4399-9FB2-A0C47442E12E}"/>
    <cellStyle name="20% - Accent6 2 2 3" xfId="370" xr:uid="{4392F249-78A0-4E32-9158-0CEF355F70E6}"/>
    <cellStyle name="20% - Accent6 2 3" xfId="371" xr:uid="{E5BA55DC-DB17-4668-8F48-91C31C806864}"/>
    <cellStyle name="20% - Accent6 2 3 2" xfId="372" xr:uid="{95B62926-8CBB-4FE1-BAFF-1CB7BB6C6A12}"/>
    <cellStyle name="20% - Accent6 2 4" xfId="373" xr:uid="{5F0251F0-EDBA-4A66-BD7F-87E21EC2731E}"/>
    <cellStyle name="20% - Accent6 2 5" xfId="374" xr:uid="{C13AB25B-FE90-4FB2-8ECD-24B6CAE22031}"/>
    <cellStyle name="20% - Accent6 2 6" xfId="375" xr:uid="{D051A171-87CD-4537-BDE1-BBBCAEB624BA}"/>
    <cellStyle name="20% - Accent6 2 7" xfId="376" xr:uid="{56A76C39-E615-4C5C-A197-A5EA6EC04A82}"/>
    <cellStyle name="20% - Accent6 2 8" xfId="377" xr:uid="{A56F3472-F352-4EE6-8367-41DDFF602AB7}"/>
    <cellStyle name="20% - Accent6 2 9" xfId="378" xr:uid="{078EB7EB-4848-4321-8118-FAD07FAFA3D3}"/>
    <cellStyle name="20% - Accent6 3" xfId="379" xr:uid="{EB5345E1-D686-4B48-ACFA-D4B0974E1DFB}"/>
    <cellStyle name="20% - Accent6 3 2" xfId="380" xr:uid="{45AE598C-A65A-4F99-9A9E-7B17FD698D30}"/>
    <cellStyle name="20% - Accent6 3 2 2" xfId="381" xr:uid="{D47A2739-3FB5-4053-8966-C1E69B490579}"/>
    <cellStyle name="20% - Accent6 3 2 2 2" xfId="382" xr:uid="{33D0366D-2D84-4466-9AAA-32CCDC5C088E}"/>
    <cellStyle name="20% - Accent6 3 2 2 2 2" xfId="383" xr:uid="{73084340-2656-455B-9578-AFAC4960E494}"/>
    <cellStyle name="20% - Accent6 3 2 2 3" xfId="384" xr:uid="{37BAC430-40E6-4B8E-B3DC-3A4D2158BD44}"/>
    <cellStyle name="20% - Accent6 3 2 3" xfId="385" xr:uid="{8EA0959D-90E7-4458-AD6A-075993D98CFC}"/>
    <cellStyle name="20% - Accent6 3 2 3 2" xfId="386" xr:uid="{E668E83B-E255-4DE8-9362-CF3C1DCA247B}"/>
    <cellStyle name="20% - Accent6 3 2 4" xfId="387" xr:uid="{E77FF8BB-A1A2-473B-9DE4-A758C2BA2B71}"/>
    <cellStyle name="20% - Accent6 3 3" xfId="388" xr:uid="{4D79ABD9-34A2-4F8E-A48D-F485B520C1E2}"/>
    <cellStyle name="20% - Accent6 3 3 2" xfId="389" xr:uid="{56238C2F-D8F3-4F94-876E-722A6C519A81}"/>
    <cellStyle name="20% - Accent6 3 3 2 2" xfId="390" xr:uid="{CA269749-7290-4693-BB31-267D87B7F2DF}"/>
    <cellStyle name="20% - Accent6 3 3 2 2 2" xfId="391" xr:uid="{86E8E9BD-AA0F-4C52-AE8C-9FA69A2663EE}"/>
    <cellStyle name="20% - Accent6 3 3 2 3" xfId="392" xr:uid="{B0DE90E7-4607-476A-B902-27FDCB062C32}"/>
    <cellStyle name="20% - Accent6 3 3 3" xfId="393" xr:uid="{4C1E7CCF-EE51-4C36-B240-15436DD52F54}"/>
    <cellStyle name="20% - Accent6 3 3 3 2" xfId="394" xr:uid="{5AF28A09-DDBB-4555-81A2-0308DA7822E5}"/>
    <cellStyle name="20% - Accent6 3 3 4" xfId="395" xr:uid="{76FC39A9-01D6-4310-8392-BE73A7DD5A20}"/>
    <cellStyle name="20% - Accent6 3 4" xfId="396" xr:uid="{0C54AF7F-1386-4B84-98D5-A4BA8F5C282A}"/>
    <cellStyle name="20% - Accent6 3 4 2" xfId="397" xr:uid="{CE619382-0390-4282-B149-D9C1C5E8E67A}"/>
    <cellStyle name="20% - Accent6 3 4 2 2" xfId="398" xr:uid="{74C84BB0-C91E-4875-9C9F-EC45BD1BC904}"/>
    <cellStyle name="20% - Accent6 3 4 3" xfId="399" xr:uid="{A6B996F0-9367-4AA2-841E-1331733268BE}"/>
    <cellStyle name="20% - Accent6 3 5" xfId="400" xr:uid="{5639965D-4450-40C4-BB8D-E5E02196DB97}"/>
    <cellStyle name="20% - Accent6 3 5 2" xfId="401" xr:uid="{C312F4E2-BE10-46C2-9687-3A61AF919ADE}"/>
    <cellStyle name="20% - Accent6 3 6" xfId="402" xr:uid="{7405A4E6-246D-47AD-8EDB-0E22BED36994}"/>
    <cellStyle name="20% - Accent6 4" xfId="403" xr:uid="{3F7B6E2C-540B-4178-97CB-F7EF9334A886}"/>
    <cellStyle name="20% - Accent6 5" xfId="404" xr:uid="{78BD04C3-73F9-451A-A89E-3F5464F40B08}"/>
    <cellStyle name="20% - Accent6 6" xfId="405" xr:uid="{B02AB8F8-8BA5-4FD1-BD55-62952DCB99C2}"/>
    <cellStyle name="20% - Accent6 7" xfId="406" xr:uid="{7B8C2C0C-60CE-4577-9FF2-B9EB6DF2E709}"/>
    <cellStyle name="20% - Accent6 8" xfId="407" xr:uid="{CAD74178-749D-414C-9410-720208FC186B}"/>
    <cellStyle name="20% - Accent6 9" xfId="408" xr:uid="{29A12E7F-B389-4F69-AE11-9F54B2065245}"/>
    <cellStyle name="40 % - Accent1" xfId="409" xr:uid="{FEC69E21-CDCA-46C7-B155-513A2CC0E95C}"/>
    <cellStyle name="40 % - Accent2" xfId="410" xr:uid="{06D1F738-503A-4BB6-8F8A-A0AFAD977DF7}"/>
    <cellStyle name="40 % - Accent3" xfId="411" xr:uid="{98EC5EDA-BC0E-417B-813F-9A93356CBB0B}"/>
    <cellStyle name="40 % - Accent4" xfId="412" xr:uid="{88AEBD26-1095-4E12-9641-C1571A9C961F}"/>
    <cellStyle name="40 % - Accent5" xfId="413" xr:uid="{FCE2D8BA-B869-4F0C-AF12-B73FEB6867D8}"/>
    <cellStyle name="40 % - Accent6" xfId="414" xr:uid="{BF99B5A9-8892-4298-A283-DA6B7FF72E46}"/>
    <cellStyle name="40% - Accent1" xfId="4626" builtinId="31" customBuiltin="1"/>
    <cellStyle name="40% - Accent1 2" xfId="24" xr:uid="{B3D1F9F8-35AB-463B-A211-4EC3D7A66579}"/>
    <cellStyle name="40% - Accent1 2 10" xfId="415" xr:uid="{CE391CF6-C10A-4E64-AD5C-9D8ED3377AA8}"/>
    <cellStyle name="40% - Accent1 2 2" xfId="416" xr:uid="{60C11674-1BAD-4C94-ADEE-828A0F0C0334}"/>
    <cellStyle name="40% - Accent1 2 2 2" xfId="417" xr:uid="{5B9A941A-EE54-4F35-8B3B-4A366949AEBD}"/>
    <cellStyle name="40% - Accent1 2 2 3" xfId="418" xr:uid="{49AB0E94-B41E-4A09-AEA3-10385521CBE9}"/>
    <cellStyle name="40% - Accent1 2 3" xfId="419" xr:uid="{801D6303-EEDC-4B90-A1A4-3784C1868933}"/>
    <cellStyle name="40% - Accent1 2 3 2" xfId="420" xr:uid="{9AF7F003-C986-4FFC-9085-A5CB435385BD}"/>
    <cellStyle name="40% - Accent1 2 4" xfId="421" xr:uid="{C47252CB-2B48-4BCF-8911-61A5F5504992}"/>
    <cellStyle name="40% - Accent1 2 5" xfId="422" xr:uid="{5FC67DB8-B4EA-4E89-8E54-B1FEBE029C94}"/>
    <cellStyle name="40% - Accent1 2 6" xfId="423" xr:uid="{0F8CFBD3-9649-45DD-84E8-112B4EBDFBC5}"/>
    <cellStyle name="40% - Accent1 2 7" xfId="424" xr:uid="{EE57D631-2A59-4295-8AC0-CFE83A7582F0}"/>
    <cellStyle name="40% - Accent1 2 8" xfId="425" xr:uid="{DD89B456-68B5-4856-AE74-5017707410B9}"/>
    <cellStyle name="40% - Accent1 2 9" xfId="426" xr:uid="{CD35221E-B4CC-4BFC-8CD8-BC3112218550}"/>
    <cellStyle name="40% - Accent1 3" xfId="427" xr:uid="{9EDB6A15-BEBC-42BF-BD7C-B4522154C61B}"/>
    <cellStyle name="40% - Accent1 3 2" xfId="428" xr:uid="{61307A23-A2BC-4997-B16C-9C14A8C9F3C7}"/>
    <cellStyle name="40% - Accent1 3 2 2" xfId="429" xr:uid="{220F036A-82CA-440A-AFB5-7FA93CF1E511}"/>
    <cellStyle name="40% - Accent1 3 2 2 2" xfId="430" xr:uid="{991BD61F-3668-4B9C-B4F1-A1736B6DC50B}"/>
    <cellStyle name="40% - Accent1 3 2 2 2 2" xfId="431" xr:uid="{8DF0CE17-55E0-429B-936B-3829FC625743}"/>
    <cellStyle name="40% - Accent1 3 2 2 3" xfId="432" xr:uid="{9152F355-CB75-43F5-ACAB-7F2B3BEA12DF}"/>
    <cellStyle name="40% - Accent1 3 2 3" xfId="433" xr:uid="{47F0D016-ACF9-43CC-96EA-78C4CF48219C}"/>
    <cellStyle name="40% - Accent1 3 2 3 2" xfId="434" xr:uid="{DC3256C8-7A98-48FD-A961-47FB8856E21B}"/>
    <cellStyle name="40% - Accent1 3 2 4" xfId="435" xr:uid="{37F547C5-8F34-4CE4-8D46-B0158402CABA}"/>
    <cellStyle name="40% - Accent1 3 3" xfId="436" xr:uid="{87739464-8D96-4EBC-B182-D4159715A34B}"/>
    <cellStyle name="40% - Accent1 3 3 2" xfId="437" xr:uid="{2C4AC2A6-8C0A-4EA1-A7B4-25FB1C50868C}"/>
    <cellStyle name="40% - Accent1 3 3 2 2" xfId="438" xr:uid="{EFE43A7C-8B04-4E64-9BF0-C58BE04DB1B5}"/>
    <cellStyle name="40% - Accent1 3 3 2 2 2" xfId="439" xr:uid="{3F9BBAF1-D822-4EB0-BF6A-5E4EB66FE1E4}"/>
    <cellStyle name="40% - Accent1 3 3 2 3" xfId="440" xr:uid="{63A0710B-D509-45CB-8B73-3EE226502FAD}"/>
    <cellStyle name="40% - Accent1 3 3 3" xfId="441" xr:uid="{A055487B-C5DE-4641-8FA8-32AD4215C67A}"/>
    <cellStyle name="40% - Accent1 3 3 3 2" xfId="442" xr:uid="{51D2F277-69E6-4E71-B536-196143985783}"/>
    <cellStyle name="40% - Accent1 3 3 4" xfId="443" xr:uid="{EF3C993A-41A1-41CA-A476-BE01622BC14A}"/>
    <cellStyle name="40% - Accent1 3 4" xfId="444" xr:uid="{22A90252-4EE4-42D2-9094-F017A3D42ABA}"/>
    <cellStyle name="40% - Accent1 3 4 2" xfId="445" xr:uid="{380A78BC-D073-4282-A78F-AADAF6FCA2C6}"/>
    <cellStyle name="40% - Accent1 3 4 2 2" xfId="446" xr:uid="{526E07F9-EA2C-4A7C-8B51-B909516722E2}"/>
    <cellStyle name="40% - Accent1 3 4 3" xfId="447" xr:uid="{4D1D473B-59C9-4383-81E9-B0EED7A8E779}"/>
    <cellStyle name="40% - Accent1 3 5" xfId="448" xr:uid="{7D076B2A-BA00-4A47-9E50-D1F0C9BBB29F}"/>
    <cellStyle name="40% - Accent1 3 5 2" xfId="449" xr:uid="{A0FEE6E8-EB9E-4C7B-8654-0BA06F3B35A6}"/>
    <cellStyle name="40% - Accent1 3 6" xfId="450" xr:uid="{F4D9059F-7666-4C15-A277-265EF0A9920B}"/>
    <cellStyle name="40% - Accent1 4" xfId="451" xr:uid="{3E7CE196-D624-43D7-932D-6E25F9124080}"/>
    <cellStyle name="40% - Accent1 5" xfId="452" xr:uid="{50E8279C-82DD-4BE5-82C9-E9D8069D840E}"/>
    <cellStyle name="40% - Accent1 6" xfId="453" xr:uid="{3662720F-FFF3-4222-833F-F0BBD7CDC1E7}"/>
    <cellStyle name="40% - Accent1 7" xfId="454" xr:uid="{3DD50331-D811-4705-88D3-8B39F748D6A3}"/>
    <cellStyle name="40% - Accent1 8" xfId="455" xr:uid="{A216E7AE-AB9A-490D-9044-3ED14A4AAE73}"/>
    <cellStyle name="40% - Accent1 9" xfId="456" xr:uid="{7CE9E41E-1170-4740-8772-81EAE6A9D2E0}"/>
    <cellStyle name="40% - Accent2" xfId="4630" builtinId="35" customBuiltin="1"/>
    <cellStyle name="40% - Accent2 2" xfId="25" xr:uid="{1D6A3622-132B-49F9-8A80-FE264A52A5DE}"/>
    <cellStyle name="40% - Accent2 2 10" xfId="457" xr:uid="{969ED407-2540-4A34-A94E-8C6EE0FA6A74}"/>
    <cellStyle name="40% - Accent2 2 2" xfId="458" xr:uid="{B9788CCF-FCD4-469D-BF04-2D17C617F9EF}"/>
    <cellStyle name="40% - Accent2 2 2 2" xfId="459" xr:uid="{5B43165C-9E9D-4B45-873F-BF3A15120D99}"/>
    <cellStyle name="40% - Accent2 2 2 3" xfId="460" xr:uid="{47C86261-E4B1-4431-B93E-5340EF44118C}"/>
    <cellStyle name="40% - Accent2 2 3" xfId="461" xr:uid="{583563E0-CCA8-42F5-9E13-BE4CE7B1A55D}"/>
    <cellStyle name="40% - Accent2 2 3 2" xfId="462" xr:uid="{F1DD1982-BE02-4D2D-AB4C-F452626DE75F}"/>
    <cellStyle name="40% - Accent2 2 4" xfId="463" xr:uid="{FC297381-E705-4C95-85A0-9D7500A6394D}"/>
    <cellStyle name="40% - Accent2 2 5" xfId="464" xr:uid="{A7AF1763-8233-466F-AA99-828A76224B02}"/>
    <cellStyle name="40% - Accent2 2 6" xfId="465" xr:uid="{C2B07D0D-88CC-4AA0-8F2D-8C7E1255085B}"/>
    <cellStyle name="40% - Accent2 2 7" xfId="466" xr:uid="{EDAEAD85-D109-40F7-911D-27AA43F10FF3}"/>
    <cellStyle name="40% - Accent2 2 8" xfId="467" xr:uid="{9AB7E488-D84E-497E-BD8F-CAB49050FDEE}"/>
    <cellStyle name="40% - Accent2 2 9" xfId="468" xr:uid="{845219BE-629B-4982-94B8-7E2ED2693ECB}"/>
    <cellStyle name="40% - Accent2 3" xfId="469" xr:uid="{B668A458-77B1-45A5-9FEE-A9C1AF27B5EB}"/>
    <cellStyle name="40% - Accent2 3 2" xfId="470" xr:uid="{D3AA715F-8638-48E5-A06C-688E6462D778}"/>
    <cellStyle name="40% - Accent2 3 2 2" xfId="471" xr:uid="{231B069C-41F4-48C3-BACB-148D11B4F10E}"/>
    <cellStyle name="40% - Accent2 3 2 2 2" xfId="472" xr:uid="{D80F4C0E-259A-4A8A-94FD-F54544CAF274}"/>
    <cellStyle name="40% - Accent2 3 2 2 2 2" xfId="473" xr:uid="{4E1E0A77-9F05-4AE5-B48F-6890CB3A8E6A}"/>
    <cellStyle name="40% - Accent2 3 2 2 3" xfId="474" xr:uid="{6730D9B7-0D8E-48E4-AAAA-C2E3D63DD272}"/>
    <cellStyle name="40% - Accent2 3 2 3" xfId="475" xr:uid="{0EEAAF6E-C810-48A1-B131-B4507F985F77}"/>
    <cellStyle name="40% - Accent2 3 2 3 2" xfId="476" xr:uid="{A885F303-4360-4345-ABC3-ABD5CA73F2E6}"/>
    <cellStyle name="40% - Accent2 3 2 4" xfId="477" xr:uid="{60CBB7AF-95CC-4A9E-8ABE-540CE5427318}"/>
    <cellStyle name="40% - Accent2 3 3" xfId="478" xr:uid="{1BC6568F-5D2C-4F84-BAAA-18B8805439DF}"/>
    <cellStyle name="40% - Accent2 3 3 2" xfId="479" xr:uid="{C5855BC6-BBBA-4A21-AE24-00E9DAA0FC0A}"/>
    <cellStyle name="40% - Accent2 3 3 2 2" xfId="480" xr:uid="{7A4307DC-3B32-4A30-B38C-CAE552FD96BA}"/>
    <cellStyle name="40% - Accent2 3 3 2 2 2" xfId="481" xr:uid="{24DA36B3-94BA-4659-A03C-1AE507240716}"/>
    <cellStyle name="40% - Accent2 3 3 2 3" xfId="482" xr:uid="{FE32DFD1-DE7D-490E-8194-FBDBE6089643}"/>
    <cellStyle name="40% - Accent2 3 3 3" xfId="483" xr:uid="{342B1075-56AB-4520-A057-D4A35083A5AF}"/>
    <cellStyle name="40% - Accent2 3 3 3 2" xfId="484" xr:uid="{7D4F9995-4ACA-4567-A4EA-22EDB0978FD9}"/>
    <cellStyle name="40% - Accent2 3 3 4" xfId="485" xr:uid="{A9E5E33F-E0B4-41B2-AC49-A623B5012A6C}"/>
    <cellStyle name="40% - Accent2 3 4" xfId="486" xr:uid="{5CD4F224-D629-4A8B-8F15-A31947A9DA76}"/>
    <cellStyle name="40% - Accent2 3 4 2" xfId="487" xr:uid="{60775C94-F093-4027-AE96-968754140820}"/>
    <cellStyle name="40% - Accent2 3 4 2 2" xfId="488" xr:uid="{A193DBE5-5C1C-416F-A48B-7369D66E3616}"/>
    <cellStyle name="40% - Accent2 3 4 3" xfId="489" xr:uid="{4546300C-69A5-40F3-ACDB-64179CCE207C}"/>
    <cellStyle name="40% - Accent2 3 5" xfId="490" xr:uid="{5F9F614D-6E93-4306-9F83-CEC1AD3153B0}"/>
    <cellStyle name="40% - Accent2 3 5 2" xfId="491" xr:uid="{62F5F645-38C0-44F2-97C7-B6FC15A36927}"/>
    <cellStyle name="40% - Accent2 3 6" xfId="492" xr:uid="{96DEFEAB-09A6-491B-9981-22AE50A45611}"/>
    <cellStyle name="40% - Accent2 4" xfId="493" xr:uid="{069A3856-C001-4A14-A2CF-F2300C950B71}"/>
    <cellStyle name="40% - Accent2 5" xfId="494" xr:uid="{B6F285F7-62A8-459E-89AD-78F4BD220F6D}"/>
    <cellStyle name="40% - Accent2 6" xfId="495" xr:uid="{30A0FA73-1EB1-4C4D-9428-B3B73978E28E}"/>
    <cellStyle name="40% - Accent2 7" xfId="496" xr:uid="{68A35311-EFEE-4BD1-B56D-C1DD66321619}"/>
    <cellStyle name="40% - Accent2 8" xfId="497" xr:uid="{F065790B-3DDE-42A2-88E1-711F6C220449}"/>
    <cellStyle name="40% - Accent2 9" xfId="498" xr:uid="{469CF47C-7202-4BA1-B54F-5FA04C25BD1B}"/>
    <cellStyle name="40% - Accent3" xfId="4634" builtinId="39" customBuiltin="1"/>
    <cellStyle name="40% - Accent3 2" xfId="26" xr:uid="{D83CFA98-334E-4D44-B5B7-20E565B6159D}"/>
    <cellStyle name="40% - Accent3 2 10" xfId="499" xr:uid="{23B9E60B-BCFF-481C-B192-053CEAAB207D}"/>
    <cellStyle name="40% - Accent3 2 2" xfId="500" xr:uid="{1A81B734-A963-4A83-93F5-07E21E85007B}"/>
    <cellStyle name="40% - Accent3 2 2 2" xfId="501" xr:uid="{C43E7C8E-E62F-49A2-AD70-A1A4DD62075C}"/>
    <cellStyle name="40% - Accent3 2 2 3" xfId="502" xr:uid="{8F9DB390-4399-4E76-8150-77066C02D9D6}"/>
    <cellStyle name="40% - Accent3 2 3" xfId="503" xr:uid="{86C8D77C-DD62-413F-9B68-F62100B6E6BC}"/>
    <cellStyle name="40% - Accent3 2 3 2" xfId="504" xr:uid="{E2BE68CF-1036-40BA-9F32-1FC058357D66}"/>
    <cellStyle name="40% - Accent3 2 4" xfId="505" xr:uid="{70DD2531-9159-4B7B-BBC7-B4CAA4B2175A}"/>
    <cellStyle name="40% - Accent3 2 5" xfId="506" xr:uid="{0E9BFBFB-C067-42AE-BDE4-E91108FAC59A}"/>
    <cellStyle name="40% - Accent3 2 6" xfId="507" xr:uid="{8D09BAD0-E680-41D7-A49A-E7CDBBDB08CF}"/>
    <cellStyle name="40% - Accent3 2 7" xfId="508" xr:uid="{8921445B-5B91-469C-A104-41D412EBEC6F}"/>
    <cellStyle name="40% - Accent3 2 8" xfId="509" xr:uid="{2EDCE505-7F68-469F-AE63-E5296FBFF5D3}"/>
    <cellStyle name="40% - Accent3 2 9" xfId="510" xr:uid="{34898DC2-3299-462C-B5CD-BAC748F86B59}"/>
    <cellStyle name="40% - Accent3 3" xfId="511" xr:uid="{B745116A-FB2A-4693-9E38-FAE7DCDDB8B7}"/>
    <cellStyle name="40% - Accent3 3 2" xfId="512" xr:uid="{0FC14332-BEF0-4E24-AD3E-110F882ABB26}"/>
    <cellStyle name="40% - Accent3 3 2 2" xfId="513" xr:uid="{7AE0033D-6E34-43D6-A583-C152694F0127}"/>
    <cellStyle name="40% - Accent3 3 2 2 2" xfId="514" xr:uid="{FAB47E20-0DA8-4004-97E9-751F946E3DBC}"/>
    <cellStyle name="40% - Accent3 3 2 2 2 2" xfId="515" xr:uid="{F051E418-F1AC-4307-8F51-B63F6C8436FF}"/>
    <cellStyle name="40% - Accent3 3 2 2 3" xfId="516" xr:uid="{C58431BF-F3D0-4D0F-8595-EAA95FA5AF07}"/>
    <cellStyle name="40% - Accent3 3 2 3" xfId="517" xr:uid="{55656892-009E-4FBA-B2EC-4EEA7F5EDD8F}"/>
    <cellStyle name="40% - Accent3 3 2 3 2" xfId="518" xr:uid="{D9818CAE-3ECC-40B9-BB51-E63F4E87B5A6}"/>
    <cellStyle name="40% - Accent3 3 2 4" xfId="519" xr:uid="{3AEE0944-694D-42D9-89AF-467B3BEEF3E8}"/>
    <cellStyle name="40% - Accent3 3 3" xfId="520" xr:uid="{CDEBFE22-5CCC-419B-B0E1-C3058CD9B2BF}"/>
    <cellStyle name="40% - Accent3 3 3 2" xfId="521" xr:uid="{43BB93C7-F7B2-470C-99ED-BE4703A24FB2}"/>
    <cellStyle name="40% - Accent3 3 3 2 2" xfId="522" xr:uid="{9D9AC77F-AEF7-4B0C-80FA-6300E670D91D}"/>
    <cellStyle name="40% - Accent3 3 3 2 2 2" xfId="523" xr:uid="{DD3D3F74-81B7-442D-A691-C1E198B8FF4B}"/>
    <cellStyle name="40% - Accent3 3 3 2 3" xfId="524" xr:uid="{AD641F9E-C49D-4F0D-BA2A-4E082EAA49AB}"/>
    <cellStyle name="40% - Accent3 3 3 3" xfId="525" xr:uid="{9B82F965-02A6-4E1C-819C-BAB1D20A8D90}"/>
    <cellStyle name="40% - Accent3 3 3 3 2" xfId="526" xr:uid="{DE638EE8-B3A1-46EC-9329-AB07B16FF22B}"/>
    <cellStyle name="40% - Accent3 3 3 4" xfId="527" xr:uid="{A8EB6C26-B5AD-4D85-8B7B-80BCA4540723}"/>
    <cellStyle name="40% - Accent3 3 4" xfId="528" xr:uid="{DA8CDCFB-24B9-4996-9CC0-A3C27B51064C}"/>
    <cellStyle name="40% - Accent3 3 4 2" xfId="529" xr:uid="{93FA0226-4A44-47D8-A3DD-C33F7F55A8CD}"/>
    <cellStyle name="40% - Accent3 3 4 2 2" xfId="530" xr:uid="{F5A90DC8-FB4E-4C7F-8A12-7DBFA2728C0F}"/>
    <cellStyle name="40% - Accent3 3 4 3" xfId="531" xr:uid="{41DD2737-8765-45A3-B6FC-3123139B8D01}"/>
    <cellStyle name="40% - Accent3 3 5" xfId="532" xr:uid="{6F08380C-E453-42CA-AC35-B6FCFFE248DC}"/>
    <cellStyle name="40% - Accent3 3 5 2" xfId="533" xr:uid="{A9655755-90D3-4F38-A4BE-16C143C938FE}"/>
    <cellStyle name="40% - Accent3 3 6" xfId="534" xr:uid="{BDF9087C-82F3-46AE-9281-A5C138C6589E}"/>
    <cellStyle name="40% - Accent3 4" xfId="535" xr:uid="{EF530710-1699-4A5F-8131-B9DFBAB95C74}"/>
    <cellStyle name="40% - Accent3 5" xfId="536" xr:uid="{7AB160A5-75BC-4A06-B5DE-007FBA28D4AA}"/>
    <cellStyle name="40% - Accent3 6" xfId="537" xr:uid="{D195E62B-67C5-4F8A-8489-A5DCC21CC903}"/>
    <cellStyle name="40% - Accent3 7" xfId="538" xr:uid="{2001FC58-8862-4C48-BF47-522FD226E5D5}"/>
    <cellStyle name="40% - Accent3 8" xfId="539" xr:uid="{A0A95C0A-621F-4981-AAC7-5684BF8B340A}"/>
    <cellStyle name="40% - Accent3 9" xfId="540" xr:uid="{50562A67-77BA-4C28-9BD9-77AF65162A2F}"/>
    <cellStyle name="40% - Accent4" xfId="4638" builtinId="43" customBuiltin="1"/>
    <cellStyle name="40% - Accent4 2" xfId="27" xr:uid="{BEFAB2ED-6199-4A9D-BBCB-ECE3B1AFEF69}"/>
    <cellStyle name="40% - Accent4 2 10" xfId="541" xr:uid="{DD219927-2795-49C0-9CE9-5C6445DDC7C1}"/>
    <cellStyle name="40% - Accent4 2 2" xfId="542" xr:uid="{6D49FE0B-49DF-4A74-B470-C03F21C77A17}"/>
    <cellStyle name="40% - Accent4 2 2 2" xfId="543" xr:uid="{F0212AA5-8A49-4D27-B4D3-BF0E8AC29805}"/>
    <cellStyle name="40% - Accent4 2 2 3" xfId="544" xr:uid="{5378E179-CC40-4D84-BC9C-89A17827687A}"/>
    <cellStyle name="40% - Accent4 2 3" xfId="545" xr:uid="{C716568F-4EB7-4331-B75C-90E604B55E7F}"/>
    <cellStyle name="40% - Accent4 2 3 2" xfId="546" xr:uid="{84AB17C2-1BA5-4C79-9DE7-7A4B219BD4A0}"/>
    <cellStyle name="40% - Accent4 2 4" xfId="547" xr:uid="{20811856-2A37-42A3-86B8-799885CEA5E0}"/>
    <cellStyle name="40% - Accent4 2 5" xfId="548" xr:uid="{8992E6F2-EE6F-4062-A390-EE8EC641340D}"/>
    <cellStyle name="40% - Accent4 2 6" xfId="549" xr:uid="{56BBF5C5-1EDB-4E77-862D-196544157E2E}"/>
    <cellStyle name="40% - Accent4 2 7" xfId="550" xr:uid="{BB562227-743E-4A4C-95AB-C72FAC9B5438}"/>
    <cellStyle name="40% - Accent4 2 8" xfId="551" xr:uid="{552D72F5-3649-42F8-96BC-96CA3EBBCEBD}"/>
    <cellStyle name="40% - Accent4 2 9" xfId="552" xr:uid="{DFE278AA-CAEF-4ECB-B623-08742B3ADBA7}"/>
    <cellStyle name="40% - Accent4 3" xfId="553" xr:uid="{7259C3DD-1DF0-40AC-A805-9C28932F5531}"/>
    <cellStyle name="40% - Accent4 3 2" xfId="554" xr:uid="{EC775024-4178-48B8-A7E7-E08D67E32626}"/>
    <cellStyle name="40% - Accent4 3 2 2" xfId="555" xr:uid="{B0BF5024-630E-4A77-8EB5-4ABFF321B4EE}"/>
    <cellStyle name="40% - Accent4 3 2 2 2" xfId="556" xr:uid="{9B81AFED-B4C0-494B-B614-FEAACD65EEC0}"/>
    <cellStyle name="40% - Accent4 3 2 2 2 2" xfId="557" xr:uid="{2A2F5025-39B4-49A3-BF9D-2801B918CA46}"/>
    <cellStyle name="40% - Accent4 3 2 2 3" xfId="558" xr:uid="{1E9B54FD-F31E-42EA-9F3C-D777AABAF37E}"/>
    <cellStyle name="40% - Accent4 3 2 3" xfId="559" xr:uid="{347EF86F-EE50-4FD1-9664-51FA4462B95D}"/>
    <cellStyle name="40% - Accent4 3 2 3 2" xfId="560" xr:uid="{1942C9E1-3A4B-438C-B68C-B51A3C77162B}"/>
    <cellStyle name="40% - Accent4 3 2 4" xfId="561" xr:uid="{E928530C-822A-4BA0-AF28-A676D6143406}"/>
    <cellStyle name="40% - Accent4 3 3" xfId="562" xr:uid="{FC2059E6-0B3D-4C93-B003-D4758ED1448E}"/>
    <cellStyle name="40% - Accent4 3 3 2" xfId="563" xr:uid="{82F53FF1-46B3-49AD-9FDF-A4818C7EA83C}"/>
    <cellStyle name="40% - Accent4 3 3 2 2" xfId="564" xr:uid="{AD90C5C9-7FA9-439D-A0A6-994C5E8FE8D3}"/>
    <cellStyle name="40% - Accent4 3 3 2 2 2" xfId="565" xr:uid="{14A8615B-A40F-41BB-99A4-B152A04C8200}"/>
    <cellStyle name="40% - Accent4 3 3 2 3" xfId="566" xr:uid="{459AC365-9332-4528-981A-29E4A74BC905}"/>
    <cellStyle name="40% - Accent4 3 3 3" xfId="567" xr:uid="{E4EDE91E-A6B2-4996-B4DF-F25F5FFAF1DA}"/>
    <cellStyle name="40% - Accent4 3 3 3 2" xfId="568" xr:uid="{B56829B9-9B82-47DE-B07D-5E09468570FD}"/>
    <cellStyle name="40% - Accent4 3 3 4" xfId="569" xr:uid="{425AED79-E193-4A34-9C87-5AD2DCE50A25}"/>
    <cellStyle name="40% - Accent4 3 4" xfId="570" xr:uid="{E51FBCAA-3D66-4545-8A43-C07187BF339E}"/>
    <cellStyle name="40% - Accent4 3 4 2" xfId="571" xr:uid="{B7B6E972-78B2-4DE6-AED5-E76D7BBD5B74}"/>
    <cellStyle name="40% - Accent4 3 4 2 2" xfId="572" xr:uid="{5E728806-016F-4203-9048-6FDDDA692C51}"/>
    <cellStyle name="40% - Accent4 3 4 3" xfId="573" xr:uid="{F61A79D3-E372-463A-A77C-DBC08030B519}"/>
    <cellStyle name="40% - Accent4 3 5" xfId="574" xr:uid="{4CCEFB45-71D4-4B16-B58E-839257FA2BB9}"/>
    <cellStyle name="40% - Accent4 3 5 2" xfId="575" xr:uid="{2D39EF80-98A1-452B-A3BC-6F9AE948D8ED}"/>
    <cellStyle name="40% - Accent4 3 6" xfId="576" xr:uid="{C335E3A4-FFCF-460B-A2BD-996B38AFFD8A}"/>
    <cellStyle name="40% - Accent4 4" xfId="577" xr:uid="{EB58253C-7FDF-4F30-91ED-26ACE1885C7A}"/>
    <cellStyle name="40% - Accent4 5" xfId="578" xr:uid="{65FF9881-47D3-4C7E-9E11-04ED49F75DE4}"/>
    <cellStyle name="40% - Accent4 6" xfId="579" xr:uid="{16E43CAF-8F64-4E93-9B52-FD582BB2CA40}"/>
    <cellStyle name="40% - Accent4 7" xfId="580" xr:uid="{A00071E8-285B-42BA-AC72-794181AEC993}"/>
    <cellStyle name="40% - Accent4 8" xfId="581" xr:uid="{B9AC9507-0E82-4B07-AC01-4E8F6CC72CBD}"/>
    <cellStyle name="40% - Accent4 9" xfId="582" xr:uid="{8ACF2A00-D8AF-43A4-ACF2-DE4B09E24937}"/>
    <cellStyle name="40% - Accent5" xfId="4642" builtinId="47" customBuiltin="1"/>
    <cellStyle name="40% - Accent5 2" xfId="28" xr:uid="{0C29C782-6C53-4191-BEF7-BB55B3A96FFA}"/>
    <cellStyle name="40% - Accent5 2 10" xfId="583" xr:uid="{EDA74888-12DA-4031-BD2F-8A366F9686F9}"/>
    <cellStyle name="40% - Accent5 2 2" xfId="584" xr:uid="{C946B7AC-04A0-4832-9FE2-F67FD3212B35}"/>
    <cellStyle name="40% - Accent5 2 2 2" xfId="585" xr:uid="{380FCD0A-CC70-4AD5-82D8-EC84C5D24A44}"/>
    <cellStyle name="40% - Accent5 2 2 3" xfId="586" xr:uid="{F6D9DCDF-500F-40A6-AA4E-9162C5F04D7A}"/>
    <cellStyle name="40% - Accent5 2 3" xfId="587" xr:uid="{987FC0BD-A6B0-46DC-86C4-DC551CF7F8BB}"/>
    <cellStyle name="40% - Accent5 2 3 2" xfId="588" xr:uid="{6B932B96-5268-4A57-B4CC-7E30A33915E6}"/>
    <cellStyle name="40% - Accent5 2 4" xfId="589" xr:uid="{F1A5FA90-FE09-4D2B-93C5-14AD0522AFC6}"/>
    <cellStyle name="40% - Accent5 2 5" xfId="590" xr:uid="{D6FF1804-A6A3-4771-A6D7-6F6F825A5BBC}"/>
    <cellStyle name="40% - Accent5 2 6" xfId="591" xr:uid="{CC91B4F2-EC7F-4146-8F6C-6B8ECCA66D18}"/>
    <cellStyle name="40% - Accent5 2 7" xfId="592" xr:uid="{ED767F6A-A90A-4C88-AD1E-9B065A81A75D}"/>
    <cellStyle name="40% - Accent5 2 8" xfId="593" xr:uid="{7CD5F783-6AB0-477E-A197-4CCC0863F006}"/>
    <cellStyle name="40% - Accent5 2 9" xfId="594" xr:uid="{B8567923-F374-4094-ADFD-43171DBF2919}"/>
    <cellStyle name="40% - Accent5 3" xfId="595" xr:uid="{22C5117B-101B-4F8D-B86C-B2A1EFDF7B0B}"/>
    <cellStyle name="40% - Accent5 3 2" xfId="596" xr:uid="{45EF5650-A756-4E02-A836-98471F3D343C}"/>
    <cellStyle name="40% - Accent5 3 2 2" xfId="597" xr:uid="{52FA0FBE-1672-4D00-BA73-B29B16C54F2F}"/>
    <cellStyle name="40% - Accent5 3 2 2 2" xfId="598" xr:uid="{629B188D-8E22-4516-A497-0E319C3BB628}"/>
    <cellStyle name="40% - Accent5 3 2 2 2 2" xfId="599" xr:uid="{FF9E03D4-0A4C-4201-B66B-29BD1104B125}"/>
    <cellStyle name="40% - Accent5 3 2 2 3" xfId="600" xr:uid="{CC42ADC0-504C-49E9-B55B-6B2956C0C30D}"/>
    <cellStyle name="40% - Accent5 3 2 3" xfId="601" xr:uid="{E9423868-E494-428A-AF94-9D36453E2C0D}"/>
    <cellStyle name="40% - Accent5 3 2 3 2" xfId="602" xr:uid="{D56F9B9A-794F-4A43-89CF-DA58E7EFF667}"/>
    <cellStyle name="40% - Accent5 3 2 4" xfId="603" xr:uid="{96EA52E1-91B8-431A-9AD2-C66C58688DEF}"/>
    <cellStyle name="40% - Accent5 3 3" xfId="604" xr:uid="{B66E3EFB-64DA-4AFC-A698-F33B250E475C}"/>
    <cellStyle name="40% - Accent5 3 3 2" xfId="605" xr:uid="{4443A111-08C8-4818-A8A2-48D366677C95}"/>
    <cellStyle name="40% - Accent5 3 3 2 2" xfId="606" xr:uid="{720D2EE5-F9C9-47DC-9407-7DAC497F3A4E}"/>
    <cellStyle name="40% - Accent5 3 3 2 2 2" xfId="607" xr:uid="{D62DE3B4-182B-4E67-A325-4E259EF11FB8}"/>
    <cellStyle name="40% - Accent5 3 3 2 3" xfId="608" xr:uid="{3DC5CC5A-6315-4825-8F27-F99527B36748}"/>
    <cellStyle name="40% - Accent5 3 3 3" xfId="609" xr:uid="{AF546682-032F-446B-B752-84088B943542}"/>
    <cellStyle name="40% - Accent5 3 3 3 2" xfId="610" xr:uid="{6467F0CE-556C-4F71-85E4-30C1CFAC64B3}"/>
    <cellStyle name="40% - Accent5 3 3 4" xfId="611" xr:uid="{C9263FDC-EB9A-43D9-B8B8-FE4AACC925BB}"/>
    <cellStyle name="40% - Accent5 3 4" xfId="612" xr:uid="{B24BBEE0-98E5-4AD5-9DB9-6B57A254C681}"/>
    <cellStyle name="40% - Accent5 3 4 2" xfId="613" xr:uid="{BB073CA8-7CC3-46F5-8075-56A45DE3CCFC}"/>
    <cellStyle name="40% - Accent5 3 4 2 2" xfId="614" xr:uid="{A69EEF18-7FE4-40EB-BEA9-51AD940B725E}"/>
    <cellStyle name="40% - Accent5 3 4 3" xfId="615" xr:uid="{9ED1666A-6C1A-46FF-A7C4-48A1647DDA28}"/>
    <cellStyle name="40% - Accent5 3 5" xfId="616" xr:uid="{678F3A88-BF20-4C9F-B33F-CDEDB432C4CF}"/>
    <cellStyle name="40% - Accent5 3 5 2" xfId="617" xr:uid="{BE17476F-A2E6-4826-B39F-8C1FCA573091}"/>
    <cellStyle name="40% - Accent5 3 6" xfId="618" xr:uid="{59B93074-1082-4490-B364-64C594479413}"/>
    <cellStyle name="40% - Accent5 4" xfId="619" xr:uid="{13486BFF-0DC6-49F2-B909-53363E9540A3}"/>
    <cellStyle name="40% - Accent5 5" xfId="620" xr:uid="{C22C2B52-74AE-4BDE-B346-954F27312316}"/>
    <cellStyle name="40% - Accent5 6" xfId="621" xr:uid="{4713D5E2-C018-494C-A154-3E9E71F963FA}"/>
    <cellStyle name="40% - Accent5 7" xfId="622" xr:uid="{70A0BA7F-FE90-4266-8C18-F36D93041B76}"/>
    <cellStyle name="40% - Accent5 8" xfId="623" xr:uid="{D7BBB935-28F1-457D-9C85-8C18B21E2C4F}"/>
    <cellStyle name="40% - Accent5 9" xfId="624" xr:uid="{9D144452-1C05-48DC-AEA6-CF12F0119F7F}"/>
    <cellStyle name="40% - Accent6" xfId="4646" builtinId="51" customBuiltin="1"/>
    <cellStyle name="40% - Accent6 2" xfId="29" xr:uid="{9BB3FDFF-9D08-4171-86CB-35795027831A}"/>
    <cellStyle name="40% - Accent6 2 10" xfId="625" xr:uid="{1744020F-C49E-4DDF-847E-0C8E30627358}"/>
    <cellStyle name="40% - Accent6 2 2" xfId="626" xr:uid="{5F2893E2-D92B-43C3-B6CF-740770921789}"/>
    <cellStyle name="40% - Accent6 2 2 2" xfId="627" xr:uid="{91A5C0B8-E2BB-426B-8D6B-AB2BEBBE36FC}"/>
    <cellStyle name="40% - Accent6 2 2 3" xfId="628" xr:uid="{F8295364-1E52-4849-B5AC-30FCCC302368}"/>
    <cellStyle name="40% - Accent6 2 3" xfId="629" xr:uid="{7A3487DC-7AFF-442F-8EF0-29E5D6441B8E}"/>
    <cellStyle name="40% - Accent6 2 3 2" xfId="630" xr:uid="{BFBF28A0-58F6-4D29-B1A4-30BC1BC5A445}"/>
    <cellStyle name="40% - Accent6 2 4" xfId="631" xr:uid="{6944C8B2-E1A8-42E5-B272-BE5CEF9036F9}"/>
    <cellStyle name="40% - Accent6 2 5" xfId="632" xr:uid="{BDFF1994-DB31-4208-8295-7CA9C4B15376}"/>
    <cellStyle name="40% - Accent6 2 6" xfId="633" xr:uid="{8281BF27-8B7E-446E-BCB6-445C3A132B1E}"/>
    <cellStyle name="40% - Accent6 2 7" xfId="634" xr:uid="{EB63B23B-57C2-41D4-B46C-C0EB9DFA879A}"/>
    <cellStyle name="40% - Accent6 2 8" xfId="635" xr:uid="{5507CA7E-E308-4206-AB34-243B792221AA}"/>
    <cellStyle name="40% - Accent6 2 9" xfId="636" xr:uid="{3051CDAE-A497-4379-A354-1E7FAD1E2022}"/>
    <cellStyle name="40% - Accent6 3" xfId="637" xr:uid="{CE91D58A-AE3B-46E0-93CF-7B9B4E794D22}"/>
    <cellStyle name="40% - Accent6 3 2" xfId="638" xr:uid="{FC25F3D4-E419-4CB8-BAEC-60BCB83289E4}"/>
    <cellStyle name="40% - Accent6 3 2 2" xfId="639" xr:uid="{963684D9-73F4-4296-8F81-1ACEA6277BE8}"/>
    <cellStyle name="40% - Accent6 3 2 2 2" xfId="640" xr:uid="{12E96A6D-4095-43B3-A277-E3CDF6683F9D}"/>
    <cellStyle name="40% - Accent6 3 2 2 2 2" xfId="641" xr:uid="{8CB2C353-EC09-4D9E-B927-576A749C1DF6}"/>
    <cellStyle name="40% - Accent6 3 2 2 3" xfId="642" xr:uid="{7C4EFB12-67CA-4A70-AF34-C867F67B71DE}"/>
    <cellStyle name="40% - Accent6 3 2 3" xfId="643" xr:uid="{FDA6858E-C187-4AAA-8AD4-158A7A57F1DB}"/>
    <cellStyle name="40% - Accent6 3 2 3 2" xfId="644" xr:uid="{7088D8A0-9A36-4865-90E7-F3A310799E85}"/>
    <cellStyle name="40% - Accent6 3 2 4" xfId="645" xr:uid="{594130EF-278E-4CD6-BCA8-BD09A7D47988}"/>
    <cellStyle name="40% - Accent6 3 3" xfId="646" xr:uid="{B98B97C3-8280-460A-BF1F-8AEE921C4FB9}"/>
    <cellStyle name="40% - Accent6 3 3 2" xfId="647" xr:uid="{82CD6272-79FA-4E07-96B9-921118A38C2A}"/>
    <cellStyle name="40% - Accent6 3 3 2 2" xfId="648" xr:uid="{83368DAF-1B55-4978-9699-B12C43BD118E}"/>
    <cellStyle name="40% - Accent6 3 3 2 2 2" xfId="649" xr:uid="{111710B5-005E-4D86-A94A-1648A4D10ECC}"/>
    <cellStyle name="40% - Accent6 3 3 2 3" xfId="650" xr:uid="{7BF09036-4E97-41E4-9185-DFC032168069}"/>
    <cellStyle name="40% - Accent6 3 3 3" xfId="651" xr:uid="{1C898899-6DFD-495B-AF9A-A5A52978E3A8}"/>
    <cellStyle name="40% - Accent6 3 3 3 2" xfId="652" xr:uid="{FE07B869-89B5-4297-A0F2-8AB32857F5CE}"/>
    <cellStyle name="40% - Accent6 3 3 4" xfId="653" xr:uid="{6BF85262-F842-4BEC-A68F-FE28B5A3D1B6}"/>
    <cellStyle name="40% - Accent6 3 4" xfId="654" xr:uid="{62E4AFA1-4398-48DD-B4CA-0DB5D90A8A21}"/>
    <cellStyle name="40% - Accent6 3 4 2" xfId="655" xr:uid="{281760EB-EA56-4E31-9994-94C662549D18}"/>
    <cellStyle name="40% - Accent6 3 4 2 2" xfId="656" xr:uid="{ECFD381D-07F5-41CD-93ED-3A33A90144E4}"/>
    <cellStyle name="40% - Accent6 3 4 3" xfId="657" xr:uid="{8E221011-72E1-4B3E-A1AF-0918E87710A1}"/>
    <cellStyle name="40% - Accent6 3 5" xfId="658" xr:uid="{13431017-CB5F-494F-A8FF-F52A7F8ED5AB}"/>
    <cellStyle name="40% - Accent6 3 5 2" xfId="659" xr:uid="{A8D073DB-7B9C-49A1-BCA8-2D289955320C}"/>
    <cellStyle name="40% - Accent6 3 6" xfId="660" xr:uid="{967A5B12-B9A6-4F52-8B96-F0A36F12C25D}"/>
    <cellStyle name="40% - Accent6 4" xfId="661" xr:uid="{BD2A6875-25BF-4DD5-9C90-A6019633969F}"/>
    <cellStyle name="40% - Accent6 5" xfId="662" xr:uid="{801515F6-0CBE-4BD9-84E5-BACDBB11197A}"/>
    <cellStyle name="40% - Accent6 6" xfId="663" xr:uid="{6AEC4420-FDBE-4087-B0D4-8EA5BF3C5320}"/>
    <cellStyle name="40% - Accent6 7" xfId="664" xr:uid="{96276A76-1939-4248-91CD-24CB2412098C}"/>
    <cellStyle name="40% - Accent6 8" xfId="665" xr:uid="{F9346E5F-563C-4A79-A02D-EFA82AD0BF5C}"/>
    <cellStyle name="40% - Accent6 9" xfId="666" xr:uid="{67C08E09-CFD0-4EEA-9C9C-799BB2E8BF6C}"/>
    <cellStyle name="60 % - Accent1" xfId="667" xr:uid="{D21180D1-7362-42FA-A2B4-902334AE6558}"/>
    <cellStyle name="60 % - Accent2" xfId="668" xr:uid="{422CA254-A7C7-4E20-8B4B-5D13C2AB69A1}"/>
    <cellStyle name="60 % - Accent3" xfId="669" xr:uid="{ABE6B161-ACEE-4E3F-AB0B-E4CCE4CB4B59}"/>
    <cellStyle name="60 % - Accent4" xfId="670" xr:uid="{13D0D347-719B-47A1-AFE9-45110292742A}"/>
    <cellStyle name="60 % - Accent5" xfId="671" xr:uid="{2D6E176E-7596-45BB-AF38-410218485454}"/>
    <cellStyle name="60 % - Accent6" xfId="672" xr:uid="{0DDD1704-6115-41BC-AAAE-64B2E4B4AF0C}"/>
    <cellStyle name="60% - Accent1" xfId="4627" builtinId="32" customBuiltin="1"/>
    <cellStyle name="60% - Accent1 2" xfId="30" xr:uid="{F635546E-1786-48DE-8A80-FF0265590B2E}"/>
    <cellStyle name="60% - Accent1 2 2" xfId="673" xr:uid="{CE08E576-6A93-4A2C-8DFE-78DF2CEB16D4}"/>
    <cellStyle name="60% - Accent1 2 3" xfId="674" xr:uid="{354BD399-7E94-4BD7-BE28-9BB3011CD963}"/>
    <cellStyle name="60% - Accent1 2 4" xfId="675" xr:uid="{A80A1E93-504F-443A-A967-4C1BEDC458CB}"/>
    <cellStyle name="60% - Accent1 2 5" xfId="676" xr:uid="{AA48D3D2-4280-44C1-8589-D33A25A2DD5B}"/>
    <cellStyle name="60% - Accent1 2 6" xfId="677" xr:uid="{684EF20A-2ED5-441D-912A-E108C2B6206E}"/>
    <cellStyle name="60% - Accent1 2 7" xfId="678" xr:uid="{1119AA68-8044-4511-9989-9FC231B5895C}"/>
    <cellStyle name="60% - Accent1 2 8" xfId="679" xr:uid="{2CC54135-9AFE-425A-99FB-A9C94ECC3E40}"/>
    <cellStyle name="60% - Accent1 2 9" xfId="680" xr:uid="{D7D6F644-DE5F-4218-9EFD-D6F19A2038AD}"/>
    <cellStyle name="60% - Accent1 3" xfId="681" xr:uid="{917CCE4A-07A3-486D-874E-7A5536B5F988}"/>
    <cellStyle name="60% - Accent2" xfId="4631" builtinId="36" customBuiltin="1"/>
    <cellStyle name="60% - Accent2 2" xfId="31" xr:uid="{3310E8D2-B5AD-4751-AF1D-A44F49862E25}"/>
    <cellStyle name="60% - Accent2 2 2" xfId="682" xr:uid="{70201F00-9296-404E-99DD-41DE9E5EA13D}"/>
    <cellStyle name="60% - Accent2 2 3" xfId="683" xr:uid="{2F433140-61D7-41B5-9D15-FFF7DE1EFB60}"/>
    <cellStyle name="60% - Accent2 2 4" xfId="684" xr:uid="{6B9E0F9A-8F7E-4712-B5FE-A1CD2991E777}"/>
    <cellStyle name="60% - Accent2 2 5" xfId="685" xr:uid="{2527D1B4-E685-4301-BD4F-DAE139CA96C2}"/>
    <cellStyle name="60% - Accent2 2 6" xfId="686" xr:uid="{0959BF7C-BD15-4ACA-9682-DBA9F4055521}"/>
    <cellStyle name="60% - Accent2 2 7" xfId="687" xr:uid="{D4AD8E6B-30BB-40FC-8C8D-375953D242B3}"/>
    <cellStyle name="60% - Accent2 2 8" xfId="688" xr:uid="{CD1CD0FF-F5A2-4B35-B446-C7D019163178}"/>
    <cellStyle name="60% - Accent2 2 9" xfId="689" xr:uid="{24050FCD-3A26-4217-94FF-9A454B7C845D}"/>
    <cellStyle name="60% - Accent2 3" xfId="690" xr:uid="{CDD9CB98-BB0F-4313-ABC7-CE64A0C5ADB1}"/>
    <cellStyle name="60% - Accent3" xfId="4635" builtinId="40" customBuiltin="1"/>
    <cellStyle name="60% - Accent3 2" xfId="32" xr:uid="{F591985F-0FD7-40AE-8175-939ED256DDED}"/>
    <cellStyle name="60% - Accent3 2 2" xfId="691" xr:uid="{066C8080-1119-4C08-B764-2966D33A2E1B}"/>
    <cellStyle name="60% - Accent3 2 3" xfId="692" xr:uid="{D3F925BA-6AE2-4FF8-B5CD-F2242DBE8237}"/>
    <cellStyle name="60% - Accent3 2 4" xfId="693" xr:uid="{330560BE-C3E9-4934-9284-CDF51205EFC0}"/>
    <cellStyle name="60% - Accent3 2 5" xfId="694" xr:uid="{FAA6694E-32FB-4280-A825-866A76D5A7B0}"/>
    <cellStyle name="60% - Accent3 2 6" xfId="695" xr:uid="{4F16243F-506E-464B-80BB-F5ADCC4AA319}"/>
    <cellStyle name="60% - Accent3 2 7" xfId="696" xr:uid="{F23F5C2A-2B57-4F31-8380-9A10AEB1466C}"/>
    <cellStyle name="60% - Accent3 2 8" xfId="697" xr:uid="{73A198CD-9769-477A-9218-6AF605CA164F}"/>
    <cellStyle name="60% - Accent3 2 9" xfId="698" xr:uid="{B3778AB4-00B5-445B-8EDF-35601D8E4F50}"/>
    <cellStyle name="60% - Accent3 3" xfId="699" xr:uid="{9A7FCB96-FB80-485D-BB56-C45BDF9F1FC9}"/>
    <cellStyle name="60% - Accent4" xfId="4639" builtinId="44" customBuiltin="1"/>
    <cellStyle name="60% - Accent4 2" xfId="33" xr:uid="{9A16DB27-E9CB-4A50-8F9C-8B8585C60897}"/>
    <cellStyle name="60% - Accent4 2 2" xfId="700" xr:uid="{FECB0C8F-9AF3-4444-AD2F-F98D3044CB4D}"/>
    <cellStyle name="60% - Accent4 2 3" xfId="701" xr:uid="{8F309754-88AA-40A0-AE41-FFF6AF37B106}"/>
    <cellStyle name="60% - Accent4 2 4" xfId="702" xr:uid="{8D0E2EAC-7CC1-4B36-A971-87F96C88897A}"/>
    <cellStyle name="60% - Accent4 2 5" xfId="703" xr:uid="{9459027E-8936-487A-B29A-055BF720B90A}"/>
    <cellStyle name="60% - Accent4 2 6" xfId="704" xr:uid="{971441D2-2499-40A0-8222-CF379310F48A}"/>
    <cellStyle name="60% - Accent4 2 7" xfId="705" xr:uid="{3CA4AACA-5C81-4ADA-ACF7-4C030346CC35}"/>
    <cellStyle name="60% - Accent4 2 8" xfId="706" xr:uid="{37595C5F-2623-47F0-973C-CD6294054501}"/>
    <cellStyle name="60% - Accent4 2 9" xfId="707" xr:uid="{D2958D05-7608-4381-BDE9-5485ECC86DF0}"/>
    <cellStyle name="60% - Accent4 3" xfId="708" xr:uid="{D60C6168-DD7C-43ED-9BB7-B2730B24E92A}"/>
    <cellStyle name="60% - Accent5" xfId="4643" builtinId="48" customBuiltin="1"/>
    <cellStyle name="60% - Accent5 2" xfId="34" xr:uid="{2663B94C-A1C3-4E2D-A951-8586443C0E85}"/>
    <cellStyle name="60% - Accent5 2 2" xfId="709" xr:uid="{12EB6087-00E2-4F66-9B43-0573F4C2945E}"/>
    <cellStyle name="60% - Accent5 2 3" xfId="710" xr:uid="{09D7B8CE-A3E4-481A-8328-4B8CD13453DB}"/>
    <cellStyle name="60% - Accent5 2 4" xfId="711" xr:uid="{848209D3-EDE3-40CF-BD40-B6D26B9634DE}"/>
    <cellStyle name="60% - Accent5 2 5" xfId="712" xr:uid="{7FFD0881-794B-401A-BC49-B37A57DEF9D6}"/>
    <cellStyle name="60% - Accent5 2 6" xfId="713" xr:uid="{794D3B2B-5176-4752-86E6-2EB426CDE240}"/>
    <cellStyle name="60% - Accent5 2 7" xfId="714" xr:uid="{6A81F772-93D6-476B-BCD4-05B687355224}"/>
    <cellStyle name="60% - Accent5 2 8" xfId="715" xr:uid="{F0BAD884-99EF-4C92-80EF-CD0070004663}"/>
    <cellStyle name="60% - Accent5 2 9" xfId="716" xr:uid="{2923161F-6AD1-4D0B-9B40-61EEBBBFB210}"/>
    <cellStyle name="60% - Accent5 3" xfId="717" xr:uid="{46AD9284-0844-417F-BE68-D46310404380}"/>
    <cellStyle name="60% - Accent6" xfId="4647" builtinId="52" customBuiltin="1"/>
    <cellStyle name="60% - Accent6 2" xfId="35" xr:uid="{DF146A5B-BBBE-4312-8313-EA54CD94E6D0}"/>
    <cellStyle name="60% - Accent6 2 2" xfId="718" xr:uid="{088AFF91-62AD-495B-87C1-8F5E220B54F4}"/>
    <cellStyle name="60% - Accent6 2 3" xfId="719" xr:uid="{877A6CFF-4AF4-4568-B4C2-580218A6E258}"/>
    <cellStyle name="60% - Accent6 2 4" xfId="720" xr:uid="{741A6366-A113-45B2-A4D3-E4EA47197C00}"/>
    <cellStyle name="60% - Accent6 2 5" xfId="721" xr:uid="{33953D18-F601-47B5-A489-293F68F8DDB7}"/>
    <cellStyle name="60% - Accent6 2 6" xfId="722" xr:uid="{44BB398C-C970-4DC8-9FFF-F3C6363007DD}"/>
    <cellStyle name="60% - Accent6 2 7" xfId="723" xr:uid="{6925824C-3639-4585-A83F-CC73A9589DA5}"/>
    <cellStyle name="60% - Accent6 2 8" xfId="724" xr:uid="{E689D203-CFA8-44A4-9AEE-504499FE58E2}"/>
    <cellStyle name="60% - Accent6 2 9" xfId="725" xr:uid="{06C8BBB0-C86F-452A-BF7B-695FA6A58F30}"/>
    <cellStyle name="60% - Accent6 3" xfId="726" xr:uid="{44DFE998-D4BB-4E28-A104-3229D6164BE3}"/>
    <cellStyle name="A%" xfId="727" xr:uid="{2A48527B-DB6D-4A7A-9CA2-4C2017872B0B}"/>
    <cellStyle name="A% 2" xfId="4538" xr:uid="{507993EF-D150-4408-AB3B-710DB64BC956}"/>
    <cellStyle name="Accent1" xfId="4624" builtinId="29" customBuiltin="1"/>
    <cellStyle name="Accent1 2" xfId="36" xr:uid="{1EF805EC-ECD6-45CB-B76C-18A45ACB3EF2}"/>
    <cellStyle name="Accent1 2 2" xfId="728" xr:uid="{37E79EF3-5E95-4651-BF28-776C7C6D57AE}"/>
    <cellStyle name="Accent1 2 3" xfId="729" xr:uid="{90A9C207-71EE-41EC-BD43-6C7524E9032D}"/>
    <cellStyle name="Accent1 2 4" xfId="730" xr:uid="{DD450E14-F824-4E8B-9D0A-EDE76763B214}"/>
    <cellStyle name="Accent1 2 5" xfId="731" xr:uid="{D3882E9F-0183-4FBA-884F-48E49CF57755}"/>
    <cellStyle name="Accent1 2 6" xfId="732" xr:uid="{B8485A51-E5C6-474F-B4A2-CE534CF76759}"/>
    <cellStyle name="Accent1 2 7" xfId="733" xr:uid="{19E9CB45-77C1-4B59-85E4-F55E9121CFFB}"/>
    <cellStyle name="Accent1 2 8" xfId="734" xr:uid="{0915E710-F098-49A5-A784-E5391F5483B2}"/>
    <cellStyle name="Accent1 2 9" xfId="735" xr:uid="{18536B21-707B-4361-98EB-EAD9C31AD1E5}"/>
    <cellStyle name="Accent1 3" xfId="736" xr:uid="{24AE6A42-7A4B-4490-8839-EE63F3A73E1D}"/>
    <cellStyle name="Accent2" xfId="4628" builtinId="33" customBuiltin="1"/>
    <cellStyle name="Accent2 2" xfId="37" xr:uid="{B38E2418-52AC-436F-AA12-7B626907284D}"/>
    <cellStyle name="Accent2 2 2" xfId="737" xr:uid="{F6A0B69E-4A58-421E-B457-1E3D9D20616F}"/>
    <cellStyle name="Accent2 2 3" xfId="738" xr:uid="{526FB980-5543-427D-A945-B8611AD290AB}"/>
    <cellStyle name="Accent2 2 4" xfId="739" xr:uid="{456A8B62-12E9-4834-B40D-CE82851A762D}"/>
    <cellStyle name="Accent2 2 5" xfId="740" xr:uid="{F61CA31D-558E-400B-9632-A98D5B23D6D1}"/>
    <cellStyle name="Accent2 2 6" xfId="741" xr:uid="{E94713ED-CB20-4B7F-8617-87A70C5A9FEB}"/>
    <cellStyle name="Accent2 2 7" xfId="742" xr:uid="{41D33553-5A66-4D25-8D7A-8F9A968A6FCA}"/>
    <cellStyle name="Accent2 2 8" xfId="743" xr:uid="{3967CA87-C87C-4F9E-B864-6D7E1B1CEB68}"/>
    <cellStyle name="Accent2 2 9" xfId="744" xr:uid="{BBEA71C2-7D0E-4E3F-86DC-2BE02F12B08F}"/>
    <cellStyle name="Accent2 3" xfId="745" xr:uid="{415C4B1C-7BC3-4399-B6F6-0340F9ACAE56}"/>
    <cellStyle name="Accent3" xfId="4632" builtinId="37" customBuiltin="1"/>
    <cellStyle name="Accent3 2" xfId="38" xr:uid="{065EB785-DCD0-4701-A102-7D213071AF38}"/>
    <cellStyle name="Accent3 2 2" xfId="746" xr:uid="{D5DB45CF-908A-44E8-BFB3-DDBD244B00E8}"/>
    <cellStyle name="Accent3 2 3" xfId="747" xr:uid="{FDE9F82A-4F78-4ACB-B91B-7A98B39619C5}"/>
    <cellStyle name="Accent3 2 4" xfId="748" xr:uid="{D280512C-FC29-4F03-A4FA-263918F1EE01}"/>
    <cellStyle name="Accent3 2 5" xfId="749" xr:uid="{E4F81CF1-9587-49E3-A2D2-E2CDA9C097A9}"/>
    <cellStyle name="Accent3 2 6" xfId="750" xr:uid="{08F057B8-1D2F-451F-B8B5-213BC369FEA5}"/>
    <cellStyle name="Accent3 2 7" xfId="751" xr:uid="{25533618-50E0-4968-A21D-4C3A76C0A286}"/>
    <cellStyle name="Accent3 2 8" xfId="752" xr:uid="{E631632B-6C9C-4C99-BEF7-6DDA7F04634D}"/>
    <cellStyle name="Accent3 2 9" xfId="753" xr:uid="{9B032C28-E09E-48EF-A248-19FF6E770A2F}"/>
    <cellStyle name="Accent3 3" xfId="754" xr:uid="{5D7D1CB3-8B21-4508-98CD-C177E423B4E8}"/>
    <cellStyle name="Accent4" xfId="4636" builtinId="41" customBuiltin="1"/>
    <cellStyle name="Accent4 2" xfId="39" xr:uid="{034D9CEF-78B0-4273-BD7D-3BAF8D732DF2}"/>
    <cellStyle name="Accent4 2 2" xfId="755" xr:uid="{4FFCE8D5-0C99-494E-8E9F-B1B5841EC17E}"/>
    <cellStyle name="Accent4 2 3" xfId="756" xr:uid="{2F690BBB-93E7-4E13-A874-47B3214FF423}"/>
    <cellStyle name="Accent4 2 4" xfId="757" xr:uid="{AFD76C3D-2DE3-4797-935D-DC0E7E3F36A9}"/>
    <cellStyle name="Accent4 2 5" xfId="758" xr:uid="{3ED2BB0B-A48A-4190-AE2F-829A5DDF95BF}"/>
    <cellStyle name="Accent4 2 6" xfId="759" xr:uid="{6C3239BD-0911-4C1A-B709-9E4DD1D32F8D}"/>
    <cellStyle name="Accent4 2 7" xfId="760" xr:uid="{6E2AA6D0-9649-4856-937C-D8391C4D7814}"/>
    <cellStyle name="Accent4 2 8" xfId="761" xr:uid="{4B8C5073-C19B-40CC-9BCC-D6D66E77C643}"/>
    <cellStyle name="Accent4 2 9" xfId="762" xr:uid="{11267439-D14E-423F-B3EC-1943001D9118}"/>
    <cellStyle name="Accent4 3" xfId="763" xr:uid="{AC36C9CA-CF59-4E48-BD87-808B03261A16}"/>
    <cellStyle name="Accent5" xfId="4640" builtinId="45" customBuiltin="1"/>
    <cellStyle name="Accent5 2" xfId="40" xr:uid="{EA8CF8C2-B35E-4E2E-91C9-2AA1319CEEEC}"/>
    <cellStyle name="Accent5 2 2" xfId="764" xr:uid="{D1A85F73-5AD1-48C3-BAB0-840CF1C1252D}"/>
    <cellStyle name="Accent5 2 3" xfId="765" xr:uid="{D2CBD76D-B3DE-47BC-ACFB-92296879F3AF}"/>
    <cellStyle name="Accent5 2 4" xfId="766" xr:uid="{C86BFACA-E06D-4D5C-A8E6-B050A0BDB3E5}"/>
    <cellStyle name="Accent5 2 5" xfId="767" xr:uid="{C7533D3D-4CD1-43E7-8A31-C4F44361205B}"/>
    <cellStyle name="Accent5 2 6" xfId="768" xr:uid="{F283B425-8511-4E4F-AB26-860A455B7EF9}"/>
    <cellStyle name="Accent5 2 7" xfId="769" xr:uid="{D9F50338-C6E9-4681-BD3C-CB064731CD6A}"/>
    <cellStyle name="Accent5 2 8" xfId="770" xr:uid="{F49A951E-7E5D-4AD4-B893-3080B4F54583}"/>
    <cellStyle name="Accent5 2 9" xfId="771" xr:uid="{685E5DD6-FC4C-485A-8877-14A211E60178}"/>
    <cellStyle name="Accent5 3" xfId="772" xr:uid="{90E94EAC-BFC0-4620-BF05-F1E576B8BDE1}"/>
    <cellStyle name="Accent6" xfId="4644" builtinId="49" customBuiltin="1"/>
    <cellStyle name="Accent6 2" xfId="41" xr:uid="{58AA162D-B5C9-4F31-AD73-A51EA9592F70}"/>
    <cellStyle name="Accent6 2 2" xfId="773" xr:uid="{C71A6F63-7E84-4C73-BE7C-A61FED2634C2}"/>
    <cellStyle name="Accent6 2 3" xfId="774" xr:uid="{5C2C9888-4885-4AC0-A80F-35411532D14C}"/>
    <cellStyle name="Accent6 2 4" xfId="775" xr:uid="{18A11C7D-3B3C-4E8D-94F4-001ED50930A7}"/>
    <cellStyle name="Accent6 2 5" xfId="776" xr:uid="{83C248F9-EDE0-4C04-9E92-11CC1DAC75CF}"/>
    <cellStyle name="Accent6 2 6" xfId="777" xr:uid="{934844A7-90AC-4C72-8FA6-415609D5197E}"/>
    <cellStyle name="Accent6 2 7" xfId="778" xr:uid="{4492307A-FB57-4064-91D8-04E5BA6DD6AE}"/>
    <cellStyle name="Accent6 2 8" xfId="779" xr:uid="{2AC77810-97C4-48ED-8D87-DBE8250846F5}"/>
    <cellStyle name="Accent6 2 9" xfId="780" xr:uid="{8B72406B-F3E4-4EA6-81A2-68CF1C70C8B2}"/>
    <cellStyle name="Accent6 3" xfId="781" xr:uid="{D4405531-BC77-4D59-BEF3-47FDCBD87D08}"/>
    <cellStyle name="Accounting w/$" xfId="782" xr:uid="{405E331B-42C6-47A1-99B4-78AC64F60511}"/>
    <cellStyle name="Accounting w/$ 2" xfId="4677" xr:uid="{FBD79165-C5AF-415D-A5D4-8EAAD9670E36}"/>
    <cellStyle name="Accounting w/$ Total" xfId="783" xr:uid="{89FC31A4-5F7A-49E7-997D-A405F2C30738}"/>
    <cellStyle name="Accounting w/$ Total 2" xfId="5494" xr:uid="{FA5B4597-F310-40C1-B423-2EEF5E1C842B}"/>
    <cellStyle name="Accounting w/$ Total 3" xfId="4678" xr:uid="{C0C3CCD4-8A83-4FE6-9C74-539962D7C1EC}"/>
    <cellStyle name="Accounting w/o $" xfId="784" xr:uid="{9DDD8981-D2DE-42D0-AF00-BCF2ABB1E5E1}"/>
    <cellStyle name="Accounting w/o $ 2" xfId="4679" xr:uid="{6F181E78-F2A7-4CDA-8D85-503A64E22D52}"/>
    <cellStyle name="Acinput" xfId="785" xr:uid="{5C1FF746-9990-4DAF-9676-5D9852237716}"/>
    <cellStyle name="Acinput 2" xfId="4539" xr:uid="{6DFDF79A-E868-411A-8D6E-4BC2A245070D}"/>
    <cellStyle name="Acinput,," xfId="786" xr:uid="{6D805A49-3C8C-4A19-A6F8-C81E7CCD3E1F}"/>
    <cellStyle name="Acinput,, 2" xfId="4540" xr:uid="{7A3F899D-1F8A-4A9F-BA27-6928C0C39252}"/>
    <cellStyle name="Acoutput" xfId="787" xr:uid="{9B2EB7C0-00AD-4EF1-B1E9-ECD24BCB7958}"/>
    <cellStyle name="Acoutput 2" xfId="4541" xr:uid="{2227E2A2-D9E2-44B3-84AA-0AC50B5984E0}"/>
    <cellStyle name="Acoutput,," xfId="788" xr:uid="{4BEC59C8-EB69-48AB-B27B-321680C2D504}"/>
    <cellStyle name="Acoutput,, 2" xfId="4542" xr:uid="{B3A1B2BC-750F-423F-9B7A-B168EEE2E781}"/>
    <cellStyle name="Actual Date" xfId="789" xr:uid="{D9444F8D-1A1A-48EE-B278-0C9C8B40123E}"/>
    <cellStyle name="AFE" xfId="790" xr:uid="{ABDB5C54-1A02-492C-A477-5C263740211D}"/>
    <cellStyle name="al" xfId="791" xr:uid="{50E0FD02-48EE-4D50-9507-C188CED2C325}"/>
    <cellStyle name="Amount_EQU_RIGH.XLS_Equity market_Preferred Securities " xfId="792" xr:uid="{6148732F-5C86-4387-B825-3AE08A86D212}"/>
    <cellStyle name="Apershare" xfId="793" xr:uid="{27288515-6E5D-4124-9C03-5E178F7D2F43}"/>
    <cellStyle name="Apershare 2" xfId="4543" xr:uid="{983DB5CE-3BAB-4C20-8552-E680CF01880D}"/>
    <cellStyle name="Aprice" xfId="794" xr:uid="{A34D08E5-C456-4196-AA2A-215E1AF3C8EE}"/>
    <cellStyle name="Aprice 2" xfId="4544" xr:uid="{E6046BE5-47C5-4318-A55A-0CA1CB0ED80D}"/>
    <cellStyle name="Aprice 2 2" xfId="5428" xr:uid="{8B504F0F-B8B4-434C-8B6E-91B0092D2476}"/>
    <cellStyle name="Aprice 3" xfId="4680" xr:uid="{84CD6FD1-98A3-47D0-B31D-D60A1C1F9B72}"/>
    <cellStyle name="ar" xfId="795" xr:uid="{BC292EEA-88F6-4D59-8AEE-A92F1B1BCD61}"/>
    <cellStyle name="ar 2" xfId="4565" xr:uid="{C3CF555E-42ED-4E64-9627-50915D26E3FB}"/>
    <cellStyle name="ar 2 2" xfId="5512" xr:uid="{2EEFB5DB-0957-4CBA-A461-DB3B4BB89662}"/>
    <cellStyle name="ar 2 3" xfId="5435" xr:uid="{74D4B33B-E22E-4946-9190-A78E5C8FF22A}"/>
    <cellStyle name="ar 3" xfId="5495" xr:uid="{3B30246E-FF98-46FE-B263-B749C6E9AB36}"/>
    <cellStyle name="ar 4" xfId="4681" xr:uid="{F182BCD7-78A8-4C19-B993-9460722A960E}"/>
    <cellStyle name="Arial 10" xfId="796" xr:uid="{203513D9-85DA-4A07-8BA3-30653DB5797D}"/>
    <cellStyle name="Arial 12" xfId="797" xr:uid="{5F3FC04E-775F-43A3-88EF-BAEC60A83D44}"/>
    <cellStyle name="Availability" xfId="798" xr:uid="{11A8D1E6-EC72-44A7-A216-8D8BC20273FE}"/>
    <cellStyle name="Bad" xfId="4613" builtinId="27" customBuiltin="1"/>
    <cellStyle name="Bad 2" xfId="42" xr:uid="{8E0A2E30-D9B4-4CEE-A428-EDEB0CC3A8F6}"/>
    <cellStyle name="Bad 2 2" xfId="799" xr:uid="{20A783AC-3708-4CA7-BA24-E113D012F1C1}"/>
    <cellStyle name="Bad 2 3" xfId="800" xr:uid="{F14BFCFA-2EF3-47B6-B0D3-EA6A7ACF0DA1}"/>
    <cellStyle name="Bad 2 4" xfId="801" xr:uid="{FA2010BF-9B05-43A3-8615-99BE3A88DEE2}"/>
    <cellStyle name="Bad 2 5" xfId="802" xr:uid="{E0C4F743-AE8C-4E5E-BD87-EC7710E6AE94}"/>
    <cellStyle name="Bad 2 6" xfId="803" xr:uid="{03460C17-85D8-4BF7-9DD3-6BABE623CF07}"/>
    <cellStyle name="Bad 2 7" xfId="804" xr:uid="{E71681B7-8860-4904-A37B-F06446F68BE4}"/>
    <cellStyle name="Bad 2 8" xfId="805" xr:uid="{CF1BB8F9-AC64-4CDF-BEBA-A9AB9F2AAFFF}"/>
    <cellStyle name="Bad 2 9" xfId="806" xr:uid="{59172369-FCE0-49F2-9E7C-D0F23A08279C}"/>
    <cellStyle name="Bad 3" xfId="807" xr:uid="{19692084-337A-40CF-A51E-24043BE578B0}"/>
    <cellStyle name="Band 2" xfId="808" xr:uid="{4D952D98-61EF-4E4B-B4C2-420D7BB02EBA}"/>
    <cellStyle name="Band 2 2" xfId="4545" xr:uid="{1F325396-CE7D-41DF-BB88-DC8707A6E142}"/>
    <cellStyle name="Blank" xfId="809" xr:uid="{F4648FE6-E0A0-484A-859E-E66D5AAC3BE1}"/>
    <cellStyle name="Blue" xfId="810" xr:uid="{20373D04-8A71-4870-B4E1-70D38869AFFF}"/>
    <cellStyle name="Bold/Border" xfId="811" xr:uid="{0D7E9A43-8A20-4F15-8101-E9923F10D4CB}"/>
    <cellStyle name="Bold/Border 2" xfId="4546" xr:uid="{62DBD8CF-3FAC-410B-A30B-B7B5ED6F1180}"/>
    <cellStyle name="Border Heavy" xfId="812" xr:uid="{9E4E45B2-6401-40F4-BFE2-2644F21A8904}"/>
    <cellStyle name="Border Heavy 2" xfId="4682" xr:uid="{82D2EF39-3CF9-41E4-A33F-68FD7FC877CF}"/>
    <cellStyle name="Border Thin" xfId="813" xr:uid="{5E7EF84A-B5FE-4B6E-A30D-8AE9DF92B549}"/>
    <cellStyle name="Border Thin 2" xfId="4683" xr:uid="{C6650F1B-9942-47CE-896B-24ED268AE5FF}"/>
    <cellStyle name="Border, Bottom" xfId="814" xr:uid="{1DC42466-A729-4016-8711-A1CC1347CB0B}"/>
    <cellStyle name="Border, Bottom 2" xfId="4547" xr:uid="{CDD160FC-8CB7-487B-9E01-5A00291DC281}"/>
    <cellStyle name="Border, Left" xfId="815" xr:uid="{FE2968E8-D00F-44B3-ADD2-4420C2339CAA}"/>
    <cellStyle name="Border, Left 2" xfId="4548" xr:uid="{5FF38318-8AE4-4439-A8D9-50216BABDE0E}"/>
    <cellStyle name="Border, Right" xfId="816" xr:uid="{86A3F78A-856F-4A2E-9A5F-8E3EBA7E5044}"/>
    <cellStyle name="Border, Top" xfId="817" xr:uid="{A82FEA3F-E162-4927-AEF5-6676DFED6AD9}"/>
    <cellStyle name="Border, Top 2" xfId="5496" xr:uid="{E9C7135F-8062-4CB2-801C-8248872A60B7}"/>
    <cellStyle name="Border, Top 3" xfId="4684" xr:uid="{A8598BAF-D141-4ADA-9838-DF0DED70C5F0}"/>
    <cellStyle name="BritPound" xfId="818" xr:uid="{F950D170-E208-4B42-B938-4DDD48C4378D}"/>
    <cellStyle name="Bullet" xfId="819" xr:uid="{1F3F81DC-089F-47E3-809A-83F39C1C8EC3}"/>
    <cellStyle name="Calc Currency (0)" xfId="820" xr:uid="{F850A35E-11A4-45F3-A651-21B7C0DC3C37}"/>
    <cellStyle name="Calc Currency (2)" xfId="821" xr:uid="{CB1B81DA-68B6-4FB7-A422-647A5206E5B2}"/>
    <cellStyle name="Calc Percent (0)" xfId="822" xr:uid="{59EB49F8-F33D-4074-AD72-8CB7E2DD186F}"/>
    <cellStyle name="Calc Percent (1)" xfId="823" xr:uid="{6B6B3ADB-4106-4F8B-88EC-8686129DA671}"/>
    <cellStyle name="Calc Percent (2)" xfId="824" xr:uid="{D101B0FF-484E-4FE7-8BA5-561077013BC4}"/>
    <cellStyle name="Calc Units (0)" xfId="825" xr:uid="{DE915928-2A82-45D6-8472-4664642EBF13}"/>
    <cellStyle name="Calc Units (1)" xfId="826" xr:uid="{50D900FF-C660-4A55-8F23-A96F422A8F8F}"/>
    <cellStyle name="Calc Units (2)" xfId="827" xr:uid="{684FA0A7-6E9A-432C-971D-B10F43BC6059}"/>
    <cellStyle name="Calcul" xfId="828" xr:uid="{BAFE56F2-CAA1-4BCA-8703-8133CF63EC51}"/>
    <cellStyle name="Calcul 2" xfId="5497" xr:uid="{F5DFC886-890B-45EA-BA58-1059AA435EBB}"/>
    <cellStyle name="Calculation" xfId="4617" builtinId="22" customBuiltin="1"/>
    <cellStyle name="Calculation 2" xfId="43" xr:uid="{E24E84B9-33ED-4891-B683-0AD5E8C38ED3}"/>
    <cellStyle name="Calculation 2 10" xfId="4576" xr:uid="{C1BA1F51-4D28-4C87-ACC0-4759AA9FD30C}"/>
    <cellStyle name="Calculation 2 10 2" xfId="5441" xr:uid="{6A045B16-872C-4775-AC74-6D38ED3455C5}"/>
    <cellStyle name="Calculation 2 11" xfId="5468" xr:uid="{5656B4FC-9A49-4872-8DA5-029F90407A34}"/>
    <cellStyle name="Calculation 2 2" xfId="71" xr:uid="{B73B869B-6CC7-43BE-A177-E1DBCEB4EEA0}"/>
    <cellStyle name="Calculation 2 2 2" xfId="88" xr:uid="{0BEAD4F1-E918-4B25-A776-783E52C9011D}"/>
    <cellStyle name="Calculation 2 2 2 2" xfId="4597" xr:uid="{776162A6-666F-4853-805A-731A05F6A7BB}"/>
    <cellStyle name="Calculation 2 2 2 2 2" xfId="5460" xr:uid="{B39290E9-0003-476B-8AD3-49242935C47E}"/>
    <cellStyle name="Calculation 2 2 2 3" xfId="5486" xr:uid="{7D0FA09B-DBE7-4B55-A034-0DE166983626}"/>
    <cellStyle name="Calculation 2 2 3" xfId="4583" xr:uid="{413C6FB2-A981-4141-B4C2-4A81EF9F7F65}"/>
    <cellStyle name="Calculation 2 2 3 2" xfId="5448" xr:uid="{765382DC-586D-4981-BB01-1A1552533A0E}"/>
    <cellStyle name="Calculation 2 2 4" xfId="5474" xr:uid="{AC4972DE-049F-4638-BAC9-0CF44B2AA0E7}"/>
    <cellStyle name="Calculation 2 3" xfId="82" xr:uid="{BDEA3234-B8B6-4D69-B2C8-AFAC6F4ACB55}"/>
    <cellStyle name="Calculation 2 3 2" xfId="4591" xr:uid="{39A77A64-B252-47BD-95D6-E9107DB03BA0}"/>
    <cellStyle name="Calculation 2 3 2 2" xfId="5454" xr:uid="{7BDFF851-D505-4519-B7C5-F49CA1FC91EC}"/>
    <cellStyle name="Calculation 2 3 3" xfId="5480" xr:uid="{C57ECF9A-4C52-4EC6-8C75-8E278252D964}"/>
    <cellStyle name="Calculation 2 4" xfId="829" xr:uid="{8A5E01CA-794D-4BF9-882E-0225DBACAA0D}"/>
    <cellStyle name="Calculation 2 5" xfId="830" xr:uid="{3CC428DF-1A22-4E89-8A15-EB880E4B40F5}"/>
    <cellStyle name="Calculation 2 6" xfId="831" xr:uid="{F89ABEAB-FB23-4757-A3B7-5DD166C4E106}"/>
    <cellStyle name="Calculation 2 7" xfId="832" xr:uid="{AD553956-A717-430E-A7CB-A69C5FCA7F7D}"/>
    <cellStyle name="Calculation 2 8" xfId="833" xr:uid="{4F15B36D-EDA1-4D25-AE8E-0C3DBD158A1E}"/>
    <cellStyle name="Calculation 2 9" xfId="834" xr:uid="{DE10D49D-DD5E-4580-9860-2783DA35DCF6}"/>
    <cellStyle name="Calculation 3" xfId="835" xr:uid="{9789A696-D6AC-4563-A7C8-635732CEE4F1}"/>
    <cellStyle name="Case" xfId="836" xr:uid="{B24EB7D0-35D7-4360-8C54-636D14B428E1}"/>
    <cellStyle name="Cellule liée" xfId="837" xr:uid="{25237913-916B-44F6-8D02-AE58A3294BD2}"/>
    <cellStyle name="Check" xfId="838" xr:uid="{FC20D9BB-2C9C-41C9-A91F-0282640168FB}"/>
    <cellStyle name="Check Cell" xfId="4619" builtinId="23" customBuiltin="1"/>
    <cellStyle name="Check Cell 2" xfId="44" xr:uid="{EFF7A6AE-7CBF-42DA-B670-1C4D03FDAFE0}"/>
    <cellStyle name="Check Cell 2 2" xfId="839" xr:uid="{DF24A29A-6AE5-4CD8-BC02-4922A7C6732E}"/>
    <cellStyle name="Check Cell 2 3" xfId="840" xr:uid="{9FF2D8A0-4F17-46A8-8EF7-ADB915364D8C}"/>
    <cellStyle name="Check Cell 2 4" xfId="841" xr:uid="{0EE84BB7-86B0-48A1-B976-27DCE34EA1C9}"/>
    <cellStyle name="Check Cell 2 5" xfId="842" xr:uid="{C9AF611A-C9D5-403A-9364-82D36FF0BE7B}"/>
    <cellStyle name="Check Cell 2 6" xfId="843" xr:uid="{98456F87-530B-41AA-B395-443527503B43}"/>
    <cellStyle name="Check Cell 2 7" xfId="844" xr:uid="{D5C91B3C-72E9-49E1-8ECE-50391EF93B8B}"/>
    <cellStyle name="Check Cell 2 8" xfId="845" xr:uid="{1F384DCE-B4DB-43FB-B510-03B52D9395E6}"/>
    <cellStyle name="Check Cell 2 9" xfId="846" xr:uid="{326D7C02-FE23-40C0-9704-18B67113571B}"/>
    <cellStyle name="Check Cell 3" xfId="847" xr:uid="{A0C66003-ED2A-4C3F-B826-ADA254B3BCFB}"/>
    <cellStyle name="Chiffre" xfId="848" xr:uid="{C18FDEC1-32F5-48CB-AF9B-DEAEF3CB65C2}"/>
    <cellStyle name="Colhead_left" xfId="849" xr:uid="{E65F847B-BAF3-4191-B891-B0A04A9EF261}"/>
    <cellStyle name="ColHeading" xfId="850" xr:uid="{4E4F62CA-D1D2-49C4-9104-198769280AC1}"/>
    <cellStyle name="Column Title" xfId="851" xr:uid="{1B80D441-6CF4-43B1-AC41-F3947F054890}"/>
    <cellStyle name="ColumnHeadings" xfId="852" xr:uid="{30DFCE96-91B9-4D06-A8AF-80F35D78324F}"/>
    <cellStyle name="ColumnHeadings2" xfId="853" xr:uid="{6B6F270F-EB11-4D85-A3A8-3C34B46E0B34}"/>
    <cellStyle name="ColumnHeadings2 2" xfId="4685" xr:uid="{7B659C8F-5CFD-44CE-993C-E083500FC947}"/>
    <cellStyle name="Comma" xfId="1" builtinId="3"/>
    <cellStyle name="Comma  - Style1" xfId="854" xr:uid="{7A17AF32-C7C2-45B7-8782-BC4E2C22109F}"/>
    <cellStyle name="Comma  - Style2" xfId="855" xr:uid="{E2A7960E-7BA1-4ACB-96DB-D7A254BCEEF2}"/>
    <cellStyle name="Comma  - Style3" xfId="856" xr:uid="{DF49297C-B065-4B45-984B-33A08BCEADA5}"/>
    <cellStyle name="Comma  - Style4" xfId="857" xr:uid="{DEEEC332-A3EA-45A3-9B2D-C8310A8A2E8C}"/>
    <cellStyle name="Comma  - Style5" xfId="858" xr:uid="{129125A0-8FB3-49BC-A1F2-7F10AD2260AA}"/>
    <cellStyle name="Comma  - Style6" xfId="859" xr:uid="{ADE99F14-5983-424C-A86A-3B7C2CAB3EFF}"/>
    <cellStyle name="Comma  - Style7" xfId="860" xr:uid="{1958C8E9-9915-49BB-B5EC-7362ACEA4983}"/>
    <cellStyle name="Comma  - Style8" xfId="861" xr:uid="{2FE602F6-AE1A-4D24-BD5B-8D8BC34CB8B1}"/>
    <cellStyle name="Comma ," xfId="862" xr:uid="{F75879A5-2047-4844-AC85-F377FA86CA98}"/>
    <cellStyle name="Comma , 2" xfId="4686" xr:uid="{18EF2060-947F-4F0E-B268-427010896F35}"/>
    <cellStyle name="Comma [00]" xfId="863" xr:uid="{844A6156-C380-4777-B7E0-9452D0BD3A87}"/>
    <cellStyle name="Comma [1]" xfId="864" xr:uid="{6E7C6EDC-A053-4DED-9CD7-6519554E37B1}"/>
    <cellStyle name="Comma [2]" xfId="865" xr:uid="{F26F4C5E-3987-41D2-9116-DFC6E5134924}"/>
    <cellStyle name="Comma [3]" xfId="866" xr:uid="{532FA6AF-6630-40E0-9956-919E85F92066}"/>
    <cellStyle name="Comma 0" xfId="867" xr:uid="{CFF78AB3-678F-413A-A302-93975DABEFED}"/>
    <cellStyle name="Comma 0*" xfId="868" xr:uid="{CA9A4584-DA18-4AEB-8D7A-33425818CB56}"/>
    <cellStyle name="Comma 10" xfId="869" xr:uid="{85A0447A-8DCD-4614-9224-1FDBDF23CF32}"/>
    <cellStyle name="Comma 10 2" xfId="870" xr:uid="{75346A8D-9853-438E-8D3E-9741031FAB25}"/>
    <cellStyle name="Comma 10 2 2" xfId="4688" xr:uid="{D5312842-7BD9-41FA-9FF1-0580D9522E74}"/>
    <cellStyle name="Comma 10 3" xfId="871" xr:uid="{04939816-E4A4-4733-88FE-7AE480D041CD}"/>
    <cellStyle name="Comma 10 3 2" xfId="4689" xr:uid="{2E148D5B-FC1F-45D3-A01A-F5D59BB88E74}"/>
    <cellStyle name="Comma 10 4" xfId="872" xr:uid="{62310DA7-F8B2-45F5-8FAB-D8BCAF2572B5}"/>
    <cellStyle name="Comma 10 4 2" xfId="4690" xr:uid="{EA45E0F7-FE5A-4AF5-946E-81286E341061}"/>
    <cellStyle name="Comma 10 5" xfId="873" xr:uid="{6F042064-17D8-4349-9391-C82FDD5BF7C9}"/>
    <cellStyle name="Comma 10 5 2" xfId="4691" xr:uid="{A59E07B3-5B36-4840-BD1F-BDBEBB242A35}"/>
    <cellStyle name="Comma 10 6" xfId="4687" xr:uid="{9D2B1904-771C-441C-93C3-1A207AC012AB}"/>
    <cellStyle name="Comma 11" xfId="874" xr:uid="{0272E95B-9C1E-4230-AE2C-A543C98B307B}"/>
    <cellStyle name="Comma 11 2" xfId="4692" xr:uid="{34705000-5C59-494B-94D5-E426A2F9BC5E}"/>
    <cellStyle name="Comma 12" xfId="875" xr:uid="{7E525758-3172-4773-9A6E-5D82B83AE42A}"/>
    <cellStyle name="Comma 12 2" xfId="4693" xr:uid="{47B669B1-60FD-42A3-8685-C338BE15B661}"/>
    <cellStyle name="Comma 13" xfId="98" xr:uid="{2AB6CFCC-7408-45BC-90F1-2ED2FCB87796}"/>
    <cellStyle name="Comma 13 2" xfId="4671" xr:uid="{E922D08E-8C8C-42F4-B289-6DD3C342F707}"/>
    <cellStyle name="Comma 14" xfId="4555" xr:uid="{DCEFCAB0-44EB-495C-85CF-FA1A74011A8A}"/>
    <cellStyle name="Comma 14 2" xfId="5429" xr:uid="{94BD718A-71A1-46BE-959D-426BA3082C47}"/>
    <cellStyle name="Comma 15" xfId="4560" xr:uid="{01DE9760-73F0-4F96-82A1-80BBD95D959C}"/>
    <cellStyle name="Comma 15 2" xfId="5430" xr:uid="{57DC3FC0-E8D1-46F5-8C8E-92CD9A096918}"/>
    <cellStyle name="Comma 16" xfId="4562" xr:uid="{18958A87-412B-4177-868E-337C963A32E7}"/>
    <cellStyle name="Comma 16 2" xfId="5432" xr:uid="{A8CC13D0-2509-4776-9699-571628A2C83E}"/>
    <cellStyle name="Comma 17" xfId="4561" xr:uid="{42509738-72EC-4FD2-BC7E-884CD5AFBC74}"/>
    <cellStyle name="Comma 17 2" xfId="5431" xr:uid="{F9DC2F3D-8FCB-4DE3-BFA6-20235571CEA7}"/>
    <cellStyle name="Comma 18" xfId="4653" xr:uid="{8E7ABFF1-39DB-45B2-B97D-278E28447942}"/>
    <cellStyle name="Comma 19" xfId="4655" xr:uid="{BAD23CFE-8C4A-42B2-98C9-0EAD301A02E3}"/>
    <cellStyle name="Comma 2" xfId="4" xr:uid="{4B6498B4-4939-4F4A-98D0-DF2FED6E9C19}"/>
    <cellStyle name="Comma 2 10" xfId="876" xr:uid="{ECBC141D-7D97-4572-BA24-5060DBA503E1}"/>
    <cellStyle name="Comma 2 10 2" xfId="4694" xr:uid="{65F4B49F-A84B-4AD2-94AB-701BB26D1361}"/>
    <cellStyle name="Comma 2 11" xfId="877" xr:uid="{0DA2E158-E8BF-48E3-B027-5980B468B755}"/>
    <cellStyle name="Comma 2 11 2" xfId="878" xr:uid="{D4E4CE6C-8ABE-4F7E-8AFD-FC0A4A6991CC}"/>
    <cellStyle name="Comma 2 11 2 2" xfId="879" xr:uid="{4EC03710-ECB2-436D-9FCB-2DD607EC2DED}"/>
    <cellStyle name="Comma 2 11 2 2 2" xfId="4697" xr:uid="{58F94D20-11CB-451E-8AF5-980C531BCFF0}"/>
    <cellStyle name="Comma 2 11 2 3" xfId="4696" xr:uid="{EE138C54-AC71-4510-95CD-F3743345C867}"/>
    <cellStyle name="Comma 2 11 3" xfId="880" xr:uid="{00CFDDBC-B291-4635-9544-5C774FE9B95A}"/>
    <cellStyle name="Comma 2 11 3 2" xfId="4698" xr:uid="{BC653B10-1825-4322-9268-D6FE164E0CF3}"/>
    <cellStyle name="Comma 2 11 4" xfId="4695" xr:uid="{E032127A-903C-4E7A-8275-E314EB15BC78}"/>
    <cellStyle name="Comma 2 12" xfId="881" xr:uid="{1FB3C7A5-581A-41A3-B95B-92F71C82F59E}"/>
    <cellStyle name="Comma 2 12 2" xfId="882" xr:uid="{F17E91A1-12B0-415F-9BF1-9DE3EC2F46F0}"/>
    <cellStyle name="Comma 2 12 2 2" xfId="4700" xr:uid="{64898AD3-2C81-4D1A-99D3-D6C570831E83}"/>
    <cellStyle name="Comma 2 12 3" xfId="4699" xr:uid="{F2817533-BAD4-4F2C-A572-5FEDD78FC706}"/>
    <cellStyle name="Comma 2 13" xfId="883" xr:uid="{8099079D-3EB5-4623-A665-37006E3E47FE}"/>
    <cellStyle name="Comma 2 13 2" xfId="4701" xr:uid="{7B624CBA-1591-4939-81FD-6E16E962034F}"/>
    <cellStyle name="Comma 2 14" xfId="884" xr:uid="{4D3C2411-A65B-4E02-B359-A7005D2462C1}"/>
    <cellStyle name="Comma 2 14 2" xfId="4702" xr:uid="{2919F866-F86E-45D9-B886-D09275096520}"/>
    <cellStyle name="Comma 2 15" xfId="885" xr:uid="{26E16E16-8D6B-4032-A797-AAF3D7D29EA9}"/>
    <cellStyle name="Comma 2 15 2" xfId="4703" xr:uid="{93EE231C-60AF-4738-AF3A-1B871BB3643A}"/>
    <cellStyle name="Comma 2 16" xfId="886" xr:uid="{E08ADE78-9A97-457E-9B31-9D35676D048C}"/>
    <cellStyle name="Comma 2 16 2" xfId="4704" xr:uid="{19848A42-FEC7-44F5-9436-0D5B5F551E24}"/>
    <cellStyle name="Comma 2 17" xfId="887" xr:uid="{9EEF0AF8-7E05-42EA-9E5A-7542E91CAEA1}"/>
    <cellStyle name="Comma 2 17 2" xfId="4705" xr:uid="{5C0A6CC0-C9DB-466A-B876-5EF3E89957D2}"/>
    <cellStyle name="Comma 2 18" xfId="888" xr:uid="{F023559A-223F-4A40-924E-833E7A03DB29}"/>
    <cellStyle name="Comma 2 18 2" xfId="4706" xr:uid="{154889DC-0CE3-44FC-A10A-D79645F044E0}"/>
    <cellStyle name="Comma 2 19" xfId="889" xr:uid="{72B13C9B-3454-4990-99CA-5AAB5047C363}"/>
    <cellStyle name="Comma 2 19 2" xfId="4707" xr:uid="{8CA6A2DA-DBBC-4824-9516-03EAE4E9F67B}"/>
    <cellStyle name="Comma 2 2" xfId="10" xr:uid="{FB6B5636-FB5A-4DC1-B7A0-8B1B9397D8D6}"/>
    <cellStyle name="Comma 2 2 10" xfId="890" xr:uid="{23FAFA2D-6EF1-4983-B53D-18950A703164}"/>
    <cellStyle name="Comma 2 2 10 2" xfId="4708" xr:uid="{146F8C82-330C-42C0-AF32-18D04C070F1A}"/>
    <cellStyle name="Comma 2 2 11" xfId="891" xr:uid="{5199FDA9-54EC-42E3-ABEE-25838586C6EE}"/>
    <cellStyle name="Comma 2 2 11 2" xfId="4709" xr:uid="{ECE7419F-6E0E-44FD-85B2-FBFF10886FFD}"/>
    <cellStyle name="Comma 2 2 12" xfId="4659" xr:uid="{0E11639E-D4EC-4AD6-8CBE-5E12B8A30A32}"/>
    <cellStyle name="Comma 2 2 2" xfId="892" xr:uid="{1B6A6659-5BB3-4AC6-964C-51A44E926B36}"/>
    <cellStyle name="Comma 2 2 2 2" xfId="893" xr:uid="{429FCE40-8285-4DCB-A442-F243C3CBAD67}"/>
    <cellStyle name="Comma 2 2 2 2 2" xfId="4711" xr:uid="{0B42F2D5-A6B9-4AC1-9072-D33665DC957E}"/>
    <cellStyle name="Comma 2 2 2 3" xfId="4710" xr:uid="{8A0D42D3-6655-4609-9D24-77AC5C36CE9B}"/>
    <cellStyle name="Comma 2 2 3" xfId="894" xr:uid="{3439138E-D5C7-4DCD-B4ED-952D72554909}"/>
    <cellStyle name="Comma 2 2 3 2" xfId="4712" xr:uid="{1E44731B-2660-451E-81FC-25F38A76024C}"/>
    <cellStyle name="Comma 2 2 4" xfId="895" xr:uid="{F918287E-F376-4442-ABCC-16E9AE6F7F14}"/>
    <cellStyle name="Comma 2 2 5" xfId="896" xr:uid="{F6051B6E-B78C-4FF3-9595-0386B2DF0D52}"/>
    <cellStyle name="Comma 2 2 6" xfId="897" xr:uid="{ECF920C7-0189-41D2-8BFE-5A4179593CE2}"/>
    <cellStyle name="Comma 2 2 7" xfId="898" xr:uid="{3E729EE7-A53F-4790-8677-695CC8206C2F}"/>
    <cellStyle name="Comma 2 2 8" xfId="899" xr:uid="{35554DB0-A1BD-45A6-AB20-A9FAAE2F1CCE}"/>
    <cellStyle name="Comma 2 2 8 2" xfId="4713" xr:uid="{3B22DADB-B87A-47A4-A9C9-496C310151C7}"/>
    <cellStyle name="Comma 2 2 9" xfId="900" xr:uid="{EEFF9DA4-2F28-492A-AE2C-B54D9CE25C41}"/>
    <cellStyle name="Comma 2 2 9 2" xfId="4714" xr:uid="{87503969-DBBA-413C-83F8-244BF9D8A521}"/>
    <cellStyle name="Comma 2 20" xfId="9" xr:uid="{084DB556-853B-4FAF-92B7-F9525FCE380D}"/>
    <cellStyle name="Comma 2 20 2" xfId="4658" xr:uid="{0B3D903A-03CA-4CF8-A1D0-E5B2EBEFC7A4}"/>
    <cellStyle name="Comma 2 21" xfId="4656" xr:uid="{09F8A21D-3236-484F-9E6C-949AB40F7663}"/>
    <cellStyle name="Comma 2 3" xfId="5" xr:uid="{72B8D713-4C1E-471D-B735-3A2667BE7E0E}"/>
    <cellStyle name="Comma 2 3 10" xfId="4657" xr:uid="{72B87F2F-5C09-47EF-9F73-62F0394084F9}"/>
    <cellStyle name="Comma 2 3 2" xfId="901" xr:uid="{3DFF6D49-DC1B-44D0-B3CF-C0F6D790D825}"/>
    <cellStyle name="Comma 2 3 3" xfId="902" xr:uid="{1DA746EE-B7C4-4432-AC34-86ACF0BF8832}"/>
    <cellStyle name="Comma 2 3 4" xfId="903" xr:uid="{453DAAAC-C478-4533-B72A-926B01594064}"/>
    <cellStyle name="Comma 2 3 5" xfId="904" xr:uid="{C841ACE9-368B-4D21-815C-78F04FA7B94C}"/>
    <cellStyle name="Comma 2 3 6" xfId="905" xr:uid="{106BE542-B0EA-41AE-B513-AB9A7CB506C6}"/>
    <cellStyle name="Comma 2 3 6 2" xfId="4715" xr:uid="{EE276A52-E7BC-410D-BA0B-BA29EC16EAEC}"/>
    <cellStyle name="Comma 2 3 7" xfId="906" xr:uid="{106C02A9-9B08-4A23-B7F8-EFDA9ED00D6F}"/>
    <cellStyle name="Comma 2 3 7 2" xfId="4716" xr:uid="{0E9AD8B5-1F64-49FE-BE73-7C6358CE42BF}"/>
    <cellStyle name="Comma 2 3 8" xfId="907" xr:uid="{B424710D-62F8-4080-BE4A-8F6FA51643DE}"/>
    <cellStyle name="Comma 2 3 8 2" xfId="4717" xr:uid="{5BC3160C-5723-4BC3-97FE-029DFF08AFA7}"/>
    <cellStyle name="Comma 2 3 9" xfId="46" xr:uid="{5AE69A69-E382-42A6-8CB3-D1B701DA21A8}"/>
    <cellStyle name="Comma 2 3 9 2" xfId="4663" xr:uid="{A79F580B-EE89-4719-AD2A-21A4A001F464}"/>
    <cellStyle name="Comma 2 4" xfId="908" xr:uid="{AC18A5F1-843B-4791-BD2A-FDB023CBD80B}"/>
    <cellStyle name="Comma 2 4 2" xfId="909" xr:uid="{193B7716-BF8F-4647-8D26-C55F2F8D6330}"/>
    <cellStyle name="Comma 2 4 2 2" xfId="4719" xr:uid="{1C8FA466-0142-450C-B13D-1D67C2C201BD}"/>
    <cellStyle name="Comma 2 4 3" xfId="910" xr:uid="{9D9FDD4C-659B-4020-A4EB-66B938B81DA3}"/>
    <cellStyle name="Comma 2 4 3 2" xfId="4720" xr:uid="{30C85663-A5F7-4FFF-8AD5-E612507E0FC0}"/>
    <cellStyle name="Comma 2 4 4" xfId="4718" xr:uid="{3B0FF214-BE4D-497B-9361-F1C0E2FA2CBD}"/>
    <cellStyle name="Comma 2 5" xfId="911" xr:uid="{0701449E-653C-4CE1-82B7-EB2127EDBA79}"/>
    <cellStyle name="Comma 2 5 2" xfId="912" xr:uid="{BE6F1ADC-9A37-4864-B747-257A14BC6499}"/>
    <cellStyle name="Comma 2 5 2 2" xfId="913" xr:uid="{574BD4DA-10B5-41B5-98E3-858A6BB61E1E}"/>
    <cellStyle name="Comma 2 5 2 2 2" xfId="914" xr:uid="{B6EFF29B-B6A7-4FAC-BCD6-74535EA76FE4}"/>
    <cellStyle name="Comma 2 5 2 2 2 2" xfId="915" xr:uid="{55909285-317C-41B0-B89A-E2D9C5504781}"/>
    <cellStyle name="Comma 2 5 2 2 2 2 2" xfId="4725" xr:uid="{9508DC76-6189-4165-AA60-FE5A2C0A9793}"/>
    <cellStyle name="Comma 2 5 2 2 2 3" xfId="4724" xr:uid="{5DF54751-0EFD-4D66-A75F-4AFC4135CEE6}"/>
    <cellStyle name="Comma 2 5 2 2 3" xfId="916" xr:uid="{5E4C9194-8004-49C2-9825-0CFA9B5C6398}"/>
    <cellStyle name="Comma 2 5 2 2 3 2" xfId="4726" xr:uid="{D467C2D1-97A2-4F83-8664-DAACD2CB7005}"/>
    <cellStyle name="Comma 2 5 2 2 4" xfId="4723" xr:uid="{F6F456CC-B897-4994-BDD5-AB7E7D5AEEDA}"/>
    <cellStyle name="Comma 2 5 2 3" xfId="917" xr:uid="{195CB0C1-90EF-4CC0-A69B-1F135ABE4687}"/>
    <cellStyle name="Comma 2 5 2 3 2" xfId="918" xr:uid="{E725A080-7350-4065-AAA9-630DC3FF59C1}"/>
    <cellStyle name="Comma 2 5 2 3 2 2" xfId="4728" xr:uid="{639A1A6C-B6DC-4C82-B8AE-C4D1ECCB9743}"/>
    <cellStyle name="Comma 2 5 2 3 3" xfId="4727" xr:uid="{A650EC61-04F8-4B42-947F-9D61EB6991F5}"/>
    <cellStyle name="Comma 2 5 2 4" xfId="919" xr:uid="{F3DBD7A9-2E5F-4359-B0D5-C9B6E28D5B15}"/>
    <cellStyle name="Comma 2 5 2 4 2" xfId="4729" xr:uid="{81C02925-C695-42B8-96C7-AD51FFEF8A5E}"/>
    <cellStyle name="Comma 2 5 2 5" xfId="4722" xr:uid="{578F88DC-9817-4AC2-A5FA-E06150DDD7E9}"/>
    <cellStyle name="Comma 2 5 3" xfId="920" xr:uid="{F734620E-81A3-4DFD-8303-DB37B4338874}"/>
    <cellStyle name="Comma 2 5 3 2" xfId="921" xr:uid="{86CBC56B-A6D7-4FE4-B081-FCB33B7482C0}"/>
    <cellStyle name="Comma 2 5 3 2 2" xfId="922" xr:uid="{4B7F609E-5CE0-46CC-959D-8F8F366367FF}"/>
    <cellStyle name="Comma 2 5 3 2 2 2" xfId="923" xr:uid="{CC0828D4-3C9F-41A9-A47D-C7859002E57F}"/>
    <cellStyle name="Comma 2 5 3 2 2 2 2" xfId="4733" xr:uid="{7B58FE38-CA83-44F9-84B8-14167300CA32}"/>
    <cellStyle name="Comma 2 5 3 2 2 3" xfId="4732" xr:uid="{1CA10DF8-FA46-497B-9CA9-CE07FEEBBBE6}"/>
    <cellStyle name="Comma 2 5 3 2 3" xfId="924" xr:uid="{9E5AD203-AA56-4811-AA81-3AB214D4A150}"/>
    <cellStyle name="Comma 2 5 3 2 3 2" xfId="4734" xr:uid="{B545A368-4E95-4942-8B6E-6CDF240617E7}"/>
    <cellStyle name="Comma 2 5 3 2 4" xfId="4731" xr:uid="{0506A5D9-D086-4FF5-BACC-251AC6EAFB49}"/>
    <cellStyle name="Comma 2 5 3 3" xfId="925" xr:uid="{5B373419-9A0B-4116-AD4D-2AEBC79B80E2}"/>
    <cellStyle name="Comma 2 5 3 3 2" xfId="926" xr:uid="{5496A884-94CF-4BF9-A018-6B30A6532470}"/>
    <cellStyle name="Comma 2 5 3 3 2 2" xfId="4736" xr:uid="{123F52DB-FF11-45F9-9C1F-388B9D6F0BE1}"/>
    <cellStyle name="Comma 2 5 3 3 3" xfId="4735" xr:uid="{7F901BD0-18BA-419E-B26F-D17D933F574A}"/>
    <cellStyle name="Comma 2 5 3 4" xfId="927" xr:uid="{684E00E7-61B9-4DC5-A3B9-B3A6F572D5F6}"/>
    <cellStyle name="Comma 2 5 3 4 2" xfId="4737" xr:uid="{1057DA26-1C19-48BF-B128-83961CFAE244}"/>
    <cellStyle name="Comma 2 5 3 5" xfId="4730" xr:uid="{F0125B5E-6AA3-4488-914C-C07BC6EF3089}"/>
    <cellStyle name="Comma 2 5 4" xfId="928" xr:uid="{1B619FE7-BC9C-4001-90E8-F9D3F1E547A4}"/>
    <cellStyle name="Comma 2 5 4 2" xfId="929" xr:uid="{8B4DE2CD-4409-4572-904D-A008976EF717}"/>
    <cellStyle name="Comma 2 5 4 2 2" xfId="930" xr:uid="{6C73003A-589E-4375-AEF5-9C5658B130AB}"/>
    <cellStyle name="Comma 2 5 4 2 2 2" xfId="4740" xr:uid="{BB1C629E-7FF4-4AAF-B102-E28162DB290F}"/>
    <cellStyle name="Comma 2 5 4 2 3" xfId="4739" xr:uid="{1BD7FC29-D2A2-40E6-A7A1-6F64152E5951}"/>
    <cellStyle name="Comma 2 5 4 3" xfId="931" xr:uid="{B4F40504-6727-4010-8AAE-51FD7F0D391D}"/>
    <cellStyle name="Comma 2 5 4 3 2" xfId="4741" xr:uid="{DBD4A184-CBC5-41D8-9466-EB2627F242E1}"/>
    <cellStyle name="Comma 2 5 4 4" xfId="4738" xr:uid="{E8743585-BE12-4771-A8AA-76356B1C9BF1}"/>
    <cellStyle name="Comma 2 5 5" xfId="932" xr:uid="{6C6F8E47-286A-4593-80A6-319B283FB200}"/>
    <cellStyle name="Comma 2 5 5 2" xfId="933" xr:uid="{8F62A030-C2EF-46DC-8F76-76DA21427B29}"/>
    <cellStyle name="Comma 2 5 5 2 2" xfId="4743" xr:uid="{58319DBA-8175-48D7-A573-3B436EA3C63C}"/>
    <cellStyle name="Comma 2 5 5 3" xfId="4742" xr:uid="{26004874-78F1-4B0B-9769-BBD89766EBEF}"/>
    <cellStyle name="Comma 2 5 6" xfId="934" xr:uid="{056CC9ED-6062-4390-88D2-BE7D4E1B4791}"/>
    <cellStyle name="Comma 2 5 6 2" xfId="4744" xr:uid="{FEBF7C17-E362-4A21-B0A9-0CC9EB82E717}"/>
    <cellStyle name="Comma 2 5 7" xfId="4721" xr:uid="{A4EFDC06-D78F-4C70-8FE8-BD254EC8BA38}"/>
    <cellStyle name="Comma 2 6" xfId="935" xr:uid="{5F8AC86A-1EF3-416F-875C-CF98C30A23D2}"/>
    <cellStyle name="Comma 2 6 2" xfId="936" xr:uid="{DFAE818C-B971-4618-BDAC-4555ED2809D7}"/>
    <cellStyle name="Comma 2 6 2 2" xfId="937" xr:uid="{FE308103-1DC6-4E5C-930C-43C7D1690CD2}"/>
    <cellStyle name="Comma 2 6 2 2 2" xfId="938" xr:uid="{F2E0EA6A-C9BC-4245-8C57-A4F7FD7EEBAB}"/>
    <cellStyle name="Comma 2 6 2 2 2 2" xfId="4748" xr:uid="{9F7FB0F9-F154-405F-B11C-CBFFB2342674}"/>
    <cellStyle name="Comma 2 6 2 2 3" xfId="4747" xr:uid="{30345C91-71ED-447A-979F-5DA28D384CF0}"/>
    <cellStyle name="Comma 2 6 2 3" xfId="939" xr:uid="{CDF2BE55-DCEA-4595-BBF8-1EFCDABF4304}"/>
    <cellStyle name="Comma 2 6 2 3 2" xfId="4749" xr:uid="{FF2CB8C3-7769-435E-B1E3-ACC33C8EE666}"/>
    <cellStyle name="Comma 2 6 2 4" xfId="4746" xr:uid="{D939A9EC-F365-4C81-9061-2EF960B221BD}"/>
    <cellStyle name="Comma 2 6 3" xfId="940" xr:uid="{84DE7136-4567-44C2-9B6D-8A1ACF5B2042}"/>
    <cellStyle name="Comma 2 6 3 2" xfId="941" xr:uid="{C4343538-080B-464C-A5F4-820DFB95C180}"/>
    <cellStyle name="Comma 2 6 3 2 2" xfId="4751" xr:uid="{010452AD-95A7-428C-8043-DCFFD24CB4D3}"/>
    <cellStyle name="Comma 2 6 3 3" xfId="4750" xr:uid="{C052FC40-E2D9-427C-A12D-81E41546BA1E}"/>
    <cellStyle name="Comma 2 6 4" xfId="942" xr:uid="{294C9F06-0A6B-4CF9-89FF-5F266B16475B}"/>
    <cellStyle name="Comma 2 6 4 2" xfId="4752" xr:uid="{99413FCB-737F-496B-BF58-A16E3F48DD8A}"/>
    <cellStyle name="Comma 2 6 5" xfId="4745" xr:uid="{3C61EA58-3C3D-4B3C-95EB-0520A5D04E0B}"/>
    <cellStyle name="Comma 2 7" xfId="943" xr:uid="{21D1BE6B-AB34-4CB1-8254-975F46E50C64}"/>
    <cellStyle name="Comma 2 7 2" xfId="944" xr:uid="{1819C8B9-6BA8-4791-95B0-F3FF631D3EC4}"/>
    <cellStyle name="Comma 2 7 2 2" xfId="945" xr:uid="{5692433E-94C3-4AF0-BD68-61E1F5DFDE71}"/>
    <cellStyle name="Comma 2 7 2 2 2" xfId="946" xr:uid="{77100EAE-B0E2-4A5A-B2ED-B1B12F0A271D}"/>
    <cellStyle name="Comma 2 7 2 2 2 2" xfId="4756" xr:uid="{85571264-C207-40AF-B530-A36B7A3BEB04}"/>
    <cellStyle name="Comma 2 7 2 2 3" xfId="4755" xr:uid="{442F17F2-F59A-4222-9967-6FE41038E0F8}"/>
    <cellStyle name="Comma 2 7 2 3" xfId="947" xr:uid="{5A513B91-2E8A-4D38-BA16-CE7F8179D434}"/>
    <cellStyle name="Comma 2 7 2 3 2" xfId="4757" xr:uid="{777E08C1-10F5-4AA5-A761-E3C51468FDC9}"/>
    <cellStyle name="Comma 2 7 2 4" xfId="4754" xr:uid="{849630EE-57C5-42A2-AE31-AC1946534331}"/>
    <cellStyle name="Comma 2 7 3" xfId="948" xr:uid="{A26E27CD-59C3-4D64-B9F6-D1CA8121575E}"/>
    <cellStyle name="Comma 2 7 3 2" xfId="949" xr:uid="{9ADB0D17-3DB6-4617-A2E7-584806C713A2}"/>
    <cellStyle name="Comma 2 7 3 2 2" xfId="4759" xr:uid="{197F5B2E-5F31-4CCD-8852-FEE4DD52FE14}"/>
    <cellStyle name="Comma 2 7 3 3" xfId="4758" xr:uid="{E70483FE-AF15-4321-A366-44799FA65529}"/>
    <cellStyle name="Comma 2 7 4" xfId="950" xr:uid="{0D794C6C-21F2-428D-A944-D086064D2C8B}"/>
    <cellStyle name="Comma 2 7 4 2" xfId="4760" xr:uid="{74182144-2026-4E18-82D0-1473F6E2A92D}"/>
    <cellStyle name="Comma 2 7 5" xfId="4753" xr:uid="{A1091F22-67CD-4DC3-AC0F-F9F624A4C95B}"/>
    <cellStyle name="Comma 2 8" xfId="951" xr:uid="{CD1F14DB-D6AF-4C06-B621-6B5AC895151A}"/>
    <cellStyle name="Comma 2 8 2" xfId="4761" xr:uid="{6B920F61-46EC-4C5F-BD7E-2006998B8A1F}"/>
    <cellStyle name="Comma 2 9" xfId="952" xr:uid="{43C11D1B-E137-4B1C-813F-486980E8FEB7}"/>
    <cellStyle name="Comma 2 9 2" xfId="953" xr:uid="{B0F82F10-3601-4A65-98B5-D00398BAAAE4}"/>
    <cellStyle name="Comma 2 9 2 2" xfId="954" xr:uid="{7D239DF7-CEE1-4A32-A52A-9BF08238D6B7}"/>
    <cellStyle name="Comma 2 9 2 2 2" xfId="4764" xr:uid="{90AC871A-EC6C-4EF5-89CE-9361737EFEDD}"/>
    <cellStyle name="Comma 2 9 2 3" xfId="4763" xr:uid="{6922CBAF-2495-46E8-916E-0F379F5B3AD6}"/>
    <cellStyle name="Comma 2 9 3" xfId="955" xr:uid="{D788DAB9-8FF6-4B6B-9C5F-2D88C0CD03F0}"/>
    <cellStyle name="Comma 2 9 3 2" xfId="4765" xr:uid="{BF1609ED-9D37-4571-AE19-844B3CBE6E87}"/>
    <cellStyle name="Comma 2 9 4" xfId="4762" xr:uid="{B2B6243A-B1B6-4D95-A752-682F490B8B68}"/>
    <cellStyle name="Comma 2*" xfId="956" xr:uid="{921092B2-284B-4177-87D8-B0256C300DC4}"/>
    <cellStyle name="Comma 20" xfId="5467" xr:uid="{F0EC81E1-2F10-496B-B0A9-18CC1AB9D951}"/>
    <cellStyle name="Comma 21" xfId="4654" xr:uid="{93D4043F-5F82-49C4-98B4-6EA6FCF6C72A}"/>
    <cellStyle name="Comma 3" xfId="11" xr:uid="{32B0BA37-77A7-422D-B6EF-99B5F1D45809}"/>
    <cellStyle name="Comma 3 10" xfId="4660" xr:uid="{EDA3347F-58FB-428C-AED6-D5BB61CC37F1}"/>
    <cellStyle name="Comma 3 2" xfId="47" xr:uid="{3A3DACC3-A6B1-49E5-BDAB-BDFE475AA562}"/>
    <cellStyle name="Comma 3 2 2" xfId="957" xr:uid="{F06A520C-AECE-41F1-A1A3-86C0BFBDD901}"/>
    <cellStyle name="Comma 3 2 2 2" xfId="4766" xr:uid="{E105D679-3A98-46C6-B9C5-CE6C0026C2A0}"/>
    <cellStyle name="Comma 3 2 3" xfId="4664" xr:uid="{F29C4459-A2D1-4508-B556-5F174D6B193F}"/>
    <cellStyle name="Comma 3 3" xfId="958" xr:uid="{A9093E25-7496-4D11-878E-992ACACADFCD}"/>
    <cellStyle name="Comma 3 3 2" xfId="959" xr:uid="{6B5DE82E-BA54-485B-AC1A-8E02C07E2A60}"/>
    <cellStyle name="Comma 3 3 2 2" xfId="960" xr:uid="{F893B241-0158-4D12-A23D-F22A4D48E70C}"/>
    <cellStyle name="Comma 3 3 2 2 2" xfId="4769" xr:uid="{D32DDA30-1FDB-4128-8886-7B31DCCE288C}"/>
    <cellStyle name="Comma 3 3 2 3" xfId="4768" xr:uid="{24687D58-E54F-4D83-A776-099170AF9D8C}"/>
    <cellStyle name="Comma 3 3 3" xfId="961" xr:uid="{69CD6741-0D77-4FE0-B1BF-C754C10ABD3C}"/>
    <cellStyle name="Comma 3 3 3 2" xfId="4770" xr:uid="{FC935A26-D3F9-4696-86E6-B06AFBAC1E86}"/>
    <cellStyle name="Comma 3 3 4" xfId="962" xr:uid="{7706B1AE-48F2-496D-B015-B1DFCCF03ABB}"/>
    <cellStyle name="Comma 3 3 4 2" xfId="4771" xr:uid="{1E622132-6189-4603-AD4A-282A9BF9D301}"/>
    <cellStyle name="Comma 3 3 5" xfId="4767" xr:uid="{972624FF-2E4C-4FA1-88E4-A863CB2908B8}"/>
    <cellStyle name="Comma 3 4" xfId="963" xr:uid="{D80D5DE5-A7E6-40FA-BA28-6589E03BC504}"/>
    <cellStyle name="Comma 3 4 2" xfId="964" xr:uid="{1F2B56A8-E5E7-4096-8AD3-D9BEFF6C9EE4}"/>
    <cellStyle name="Comma 3 4 2 2" xfId="4773" xr:uid="{C4F4D4A6-F3C0-4503-95D3-82BCE89F2C9F}"/>
    <cellStyle name="Comma 3 4 3" xfId="965" xr:uid="{457CF3D6-35FA-498A-8754-424DE4AC2DC3}"/>
    <cellStyle name="Comma 3 4 3 2" xfId="4774" xr:uid="{2C3E0650-17E5-432C-89C0-0C67EAF9C722}"/>
    <cellStyle name="Comma 3 4 4" xfId="4772" xr:uid="{0BA21BCB-6B03-4C4A-8A86-93537CC4801C}"/>
    <cellStyle name="Comma 3 5" xfId="966" xr:uid="{89006FA2-A4FE-41A5-B748-2B204E317809}"/>
    <cellStyle name="Comma 3 5 2" xfId="4775" xr:uid="{C14280DD-3894-4C0E-9EFB-6CCA1072FE70}"/>
    <cellStyle name="Comma 3 6" xfId="967" xr:uid="{086EFAE0-0E20-47C1-9744-CA32371B10C5}"/>
    <cellStyle name="Comma 3 6 2" xfId="4776" xr:uid="{7307F840-ABE6-41FE-A775-CE59565DAA8F}"/>
    <cellStyle name="Comma 3 7" xfId="968" xr:uid="{80CE6A97-2695-4F1B-9A4B-101A597AC7A8}"/>
    <cellStyle name="Comma 3 7 2" xfId="4777" xr:uid="{5071231D-D040-4EB4-9AC7-FBE037EB87B0}"/>
    <cellStyle name="Comma 3 8" xfId="969" xr:uid="{F8892DF2-042A-409A-B3D3-AABA585D2FCE}"/>
    <cellStyle name="Comma 3 8 2" xfId="4778" xr:uid="{0684DFD1-F5A8-4232-86E7-07866F398444}"/>
    <cellStyle name="Comma 3 9" xfId="970" xr:uid="{16264485-C843-4DEB-9DA6-80C798A8C800}"/>
    <cellStyle name="Comma 3 9 2" xfId="4779" xr:uid="{B57FB84A-4984-404F-B8C8-9198C722B3E6}"/>
    <cellStyle name="Comma 4" xfId="45" xr:uid="{16D396C8-9B19-4C9D-B85F-F54A3CE224DB}"/>
    <cellStyle name="Comma 4 10" xfId="971" xr:uid="{6FAF88DD-52CD-4F6C-A2DD-D874F12EF187}"/>
    <cellStyle name="Comma 4 10 2" xfId="4780" xr:uid="{0528B8FC-EB24-457A-B3CB-A64DC9DD289F}"/>
    <cellStyle name="Comma 4 11" xfId="972" xr:uid="{830EEFA1-E966-4219-874A-ACFB85212153}"/>
    <cellStyle name="Comma 4 11 2" xfId="4781" xr:uid="{21054F6E-4C37-4A0D-98A2-8066FC75D247}"/>
    <cellStyle name="Comma 4 12" xfId="973" xr:uid="{D5DCB5CB-E602-4ED8-A321-A02370FC7975}"/>
    <cellStyle name="Comma 4 12 2" xfId="4782" xr:uid="{4868735F-9036-492D-9F8C-B0037C644D57}"/>
    <cellStyle name="Comma 4 13" xfId="974" xr:uid="{4504624A-4F03-4056-B3DC-2EA139A10703}"/>
    <cellStyle name="Comma 4 13 2" xfId="4783" xr:uid="{28679A9D-26EB-455B-92FD-77C8732ECB7A}"/>
    <cellStyle name="Comma 4 14" xfId="975" xr:uid="{79C9AE9D-0FF6-410B-A31E-29D04E37F352}"/>
    <cellStyle name="Comma 4 14 2" xfId="4784" xr:uid="{CA917614-F450-40F7-ABE0-72BB452DF6E7}"/>
    <cellStyle name="Comma 4 15" xfId="4662" xr:uid="{9D04E378-CBB1-4D20-BAED-BE523787C941}"/>
    <cellStyle name="Comma 4 2" xfId="976" xr:uid="{8E4A2FE3-4D64-4189-AD4F-DD5AC297ABE5}"/>
    <cellStyle name="Comma 4 2 2" xfId="977" xr:uid="{F285EDA3-1D39-4C3F-B84E-B1182E75467F}"/>
    <cellStyle name="Comma 4 2 2 2" xfId="978" xr:uid="{130DCF11-6922-420C-8704-185E20A58D13}"/>
    <cellStyle name="Comma 4 2 2 2 2" xfId="979" xr:uid="{98D0614C-0148-4487-9AFF-680BC128BD99}"/>
    <cellStyle name="Comma 4 2 2 2 2 2" xfId="4788" xr:uid="{5E99E178-A52D-47DF-9D52-B28A8F3683B0}"/>
    <cellStyle name="Comma 4 2 2 2 3" xfId="4787" xr:uid="{B7D18B35-6D49-40B6-9241-BA0355990095}"/>
    <cellStyle name="Comma 4 2 2 3" xfId="980" xr:uid="{128F91CD-2A1E-4AD1-A898-71FAF3B6E6E2}"/>
    <cellStyle name="Comma 4 2 2 3 2" xfId="4789" xr:uid="{4599AD41-6F8B-472D-87FE-4719FC7D642A}"/>
    <cellStyle name="Comma 4 2 2 4" xfId="4786" xr:uid="{C8D0E082-405D-4E15-871F-27BB1D11EAAC}"/>
    <cellStyle name="Comma 4 2 3" xfId="981" xr:uid="{DDFCEF53-1471-40EB-8C33-31F01482567E}"/>
    <cellStyle name="Comma 4 2 3 2" xfId="982" xr:uid="{DBD56DD4-27BD-4ECE-9F53-8F560412D0DB}"/>
    <cellStyle name="Comma 4 2 3 2 2" xfId="4791" xr:uid="{7A201F12-FBF9-4CFB-8B6D-2C1A63FEE30A}"/>
    <cellStyle name="Comma 4 2 3 3" xfId="4790" xr:uid="{8E9C88A2-0849-4763-91D4-16FA36E07B94}"/>
    <cellStyle name="Comma 4 2 4" xfId="983" xr:uid="{F751908D-2AC1-47D8-AD9F-A22AFA312CE7}"/>
    <cellStyle name="Comma 4 2 4 2" xfId="4792" xr:uid="{F5401B92-BCE0-4840-B67C-FF19357974FB}"/>
    <cellStyle name="Comma 4 2 5" xfId="984" xr:uid="{36B1EF26-2067-4606-A459-89B39B8B2B92}"/>
    <cellStyle name="Comma 4 2 5 2" xfId="4793" xr:uid="{5A32E2B9-F41C-4FAF-AD33-8B7895327C73}"/>
    <cellStyle name="Comma 4 2 6" xfId="4785" xr:uid="{E5F4FE26-4F30-438D-9625-B589550C8C63}"/>
    <cellStyle name="Comma 4 3" xfId="985" xr:uid="{34E00099-BA13-463D-99F5-4DB834C356D4}"/>
    <cellStyle name="Comma 4 3 2" xfId="986" xr:uid="{9B9F4B31-C798-47D8-B845-856729F228D1}"/>
    <cellStyle name="Comma 4 3 2 2" xfId="987" xr:uid="{6D5FD6A8-78D4-4DA5-8A22-A3A153FD68F4}"/>
    <cellStyle name="Comma 4 3 2 2 2" xfId="988" xr:uid="{75978518-3785-4825-A524-04D3F73C9C07}"/>
    <cellStyle name="Comma 4 3 2 2 2 2" xfId="4797" xr:uid="{E1BC1530-522C-459E-A7AA-4615AA8D5875}"/>
    <cellStyle name="Comma 4 3 2 2 3" xfId="4796" xr:uid="{BDC36DD6-80DF-4054-850E-AFFAC7C9575A}"/>
    <cellStyle name="Comma 4 3 2 3" xfId="989" xr:uid="{EAB536C9-E645-4C55-AAFD-E1DE2518D518}"/>
    <cellStyle name="Comma 4 3 2 3 2" xfId="4798" xr:uid="{5F2E76B9-D585-4AA3-8C88-314DC2F5F014}"/>
    <cellStyle name="Comma 4 3 2 4" xfId="4795" xr:uid="{2BC7F8E7-5135-45D9-97D3-BB771F797202}"/>
    <cellStyle name="Comma 4 3 3" xfId="990" xr:uid="{EF6004D3-E2BB-4AA4-9142-B36EF7699BAD}"/>
    <cellStyle name="Comma 4 3 3 2" xfId="991" xr:uid="{A7C90AC4-9948-4A9B-A55B-9A64BABA9F75}"/>
    <cellStyle name="Comma 4 3 3 2 2" xfId="4800" xr:uid="{1EB84948-D6A9-4399-B032-A000E6F404CC}"/>
    <cellStyle name="Comma 4 3 3 3" xfId="4799" xr:uid="{FFC48B31-6D1E-4BEA-946C-1AAB2D023BBF}"/>
    <cellStyle name="Comma 4 3 4" xfId="992" xr:uid="{2C07540D-F9CC-4E8C-A400-32C096141432}"/>
    <cellStyle name="Comma 4 3 4 2" xfId="4801" xr:uid="{FC03FD45-8AB1-4B57-AC76-B74A266A7084}"/>
    <cellStyle name="Comma 4 3 5" xfId="4794" xr:uid="{A8848557-6326-4644-96CE-7981A1FFF61D}"/>
    <cellStyle name="Comma 4 4" xfId="993" xr:uid="{3A7796EF-A10A-4FD1-806D-A33487A7489E}"/>
    <cellStyle name="Comma 4 4 2" xfId="994" xr:uid="{51D45214-AE1F-433D-A7BE-3686DB88F683}"/>
    <cellStyle name="Comma 4 4 2 2" xfId="995" xr:uid="{A90F2D06-8095-4BE4-96EF-F5EDF1052933}"/>
    <cellStyle name="Comma 4 4 2 2 2" xfId="996" xr:uid="{9299E2ED-0935-4E48-8A0F-13A74089207C}"/>
    <cellStyle name="Comma 4 4 2 2 2 2" xfId="4805" xr:uid="{641B7121-A0BF-4205-8D30-739D1FBB0695}"/>
    <cellStyle name="Comma 4 4 2 2 3" xfId="4804" xr:uid="{CE8C0E0E-3620-4E39-A3FF-3FBCBF70E928}"/>
    <cellStyle name="Comma 4 4 2 3" xfId="997" xr:uid="{C2BC8400-A9CC-4E44-8F36-006E9A4EBB57}"/>
    <cellStyle name="Comma 4 4 2 3 2" xfId="4806" xr:uid="{10EE5582-4C06-4ABD-8D25-143184D4559E}"/>
    <cellStyle name="Comma 4 4 2 4" xfId="4803" xr:uid="{E6000CA1-94A9-411B-8B41-AF627DCAC97B}"/>
    <cellStyle name="Comma 4 4 3" xfId="998" xr:uid="{BB1FCA67-FC2F-4C64-ACEF-C354EAD5A4B9}"/>
    <cellStyle name="Comma 4 4 3 2" xfId="999" xr:uid="{214F624E-5CA2-48A0-B6A9-26077A7C264F}"/>
    <cellStyle name="Comma 4 4 3 2 2" xfId="4808" xr:uid="{8B07326E-2B63-4FE6-A364-DD2A3AF69C91}"/>
    <cellStyle name="Comma 4 4 3 3" xfId="4807" xr:uid="{28EAF424-317A-4E0B-BEEC-D02328EDBA3F}"/>
    <cellStyle name="Comma 4 4 4" xfId="1000" xr:uid="{05299E22-5662-42A7-9DF9-FEED3E9A32B8}"/>
    <cellStyle name="Comma 4 4 4 2" xfId="4809" xr:uid="{0EB724BD-8E1B-4348-A2A1-741431E3F631}"/>
    <cellStyle name="Comma 4 4 5" xfId="4802" xr:uid="{64C71AE5-394B-47A6-B5BD-0820DA8CE829}"/>
    <cellStyle name="Comma 4 5" xfId="1001" xr:uid="{E25F9A22-83C2-4224-9BB2-6D22D3B3BBDF}"/>
    <cellStyle name="Comma 4 5 2" xfId="1002" xr:uid="{FD9D697F-AB5A-4600-8FF1-9CA7B29AC5E3}"/>
    <cellStyle name="Comma 4 5 2 2" xfId="1003" xr:uid="{55E4EDD6-ED6A-49F0-9937-C181FFC93926}"/>
    <cellStyle name="Comma 4 5 2 2 2" xfId="4812" xr:uid="{BCC78824-0B3D-4205-B51C-1FF3F337BC42}"/>
    <cellStyle name="Comma 4 5 2 3" xfId="4811" xr:uid="{9768516C-0C47-48A5-8870-0E955204E205}"/>
    <cellStyle name="Comma 4 5 3" xfId="1004" xr:uid="{9EFA4C7C-E0A3-413E-BDEF-E76EC4C0D53A}"/>
    <cellStyle name="Comma 4 5 3 2" xfId="4813" xr:uid="{C97FD968-AAF1-4F64-A6FB-8C4AF382D215}"/>
    <cellStyle name="Comma 4 5 4" xfId="4810" xr:uid="{F3C69E74-4CA6-472E-AA2C-BA5C07F26A0E}"/>
    <cellStyle name="Comma 4 6" xfId="1005" xr:uid="{E385302B-8835-4F84-ADAA-5FE4D1E7F0A0}"/>
    <cellStyle name="Comma 4 6 2" xfId="1006" xr:uid="{DF3CDA8C-1F05-415F-A62C-6BCA8B49EF5A}"/>
    <cellStyle name="Comma 4 6 2 2" xfId="1007" xr:uid="{A9918FD8-BB52-48FD-B578-0990E7CA966D}"/>
    <cellStyle name="Comma 4 6 2 2 2" xfId="4816" xr:uid="{39B65036-65CB-4CFD-BD55-57EBEED5A893}"/>
    <cellStyle name="Comma 4 6 2 3" xfId="4815" xr:uid="{58E2FAF0-959B-4DAD-8D0D-BB7594914039}"/>
    <cellStyle name="Comma 4 6 3" xfId="1008" xr:uid="{347E498D-D4EA-44B5-B903-E39F93FC6FD0}"/>
    <cellStyle name="Comma 4 6 3 2" xfId="4817" xr:uid="{EE1F7A42-C3F3-4867-9FC7-A3273AF4F82B}"/>
    <cellStyle name="Comma 4 6 4" xfId="4814" xr:uid="{9533D64B-A4A0-4426-A2F7-274E87780F11}"/>
    <cellStyle name="Comma 4 7" xfId="1009" xr:uid="{E030E531-8D08-4412-A18C-5CC2E78F9271}"/>
    <cellStyle name="Comma 4 7 2" xfId="1010" xr:uid="{0EA98EDC-874D-4D86-AA3A-1A4F70B5B3C4}"/>
    <cellStyle name="Comma 4 7 2 2" xfId="4819" xr:uid="{0133B71D-5E9D-46A7-8F2D-279B405D7A40}"/>
    <cellStyle name="Comma 4 7 3" xfId="4818" xr:uid="{D4E40119-FD99-46F8-BD0A-E06288FAC967}"/>
    <cellStyle name="Comma 4 8" xfId="1011" xr:uid="{FC5DB5BA-498B-4DFE-A36B-DD658D4B9F02}"/>
    <cellStyle name="Comma 4 8 2" xfId="4820" xr:uid="{AEFE79B5-9305-4309-8457-429ACECA167F}"/>
    <cellStyle name="Comma 4 9" xfId="1012" xr:uid="{8F07F55B-112C-4A82-BA1E-AF560499A33F}"/>
    <cellStyle name="Comma 4 9 2" xfId="4821" xr:uid="{C650971C-2163-448E-8E0B-C682A9BFF436}"/>
    <cellStyle name="Comma 44" xfId="4575" xr:uid="{CF9055AC-2106-4AE3-9DFF-A9BC5903025B}"/>
    <cellStyle name="Comma 44 2" xfId="5440" xr:uid="{1C7C9578-B21B-4962-846C-E485F386F9D4}"/>
    <cellStyle name="Comma 5" xfId="94" xr:uid="{5583AE9C-6430-4781-928B-3A0A8EA44F29}"/>
    <cellStyle name="Comma 5 10" xfId="1013" xr:uid="{ACE96AE4-04EC-49E1-9AE9-2B29C0BFFD2E}"/>
    <cellStyle name="Comma 5 10 2" xfId="4822" xr:uid="{29703FCF-07DE-4BD9-A231-35A3D7DA6A47}"/>
    <cellStyle name="Comma 5 11" xfId="1014" xr:uid="{51690CAE-9D7A-4923-8D9C-9EAA35DC09EA}"/>
    <cellStyle name="Comma 5 11 2" xfId="4823" xr:uid="{32322B02-BB3E-456D-81DD-69A7512EA94B}"/>
    <cellStyle name="Comma 5 12" xfId="1015" xr:uid="{B497AFA2-95A3-47E8-8FAB-6D031CD05FD0}"/>
    <cellStyle name="Comma 5 12 2" xfId="4824" xr:uid="{6AD01523-6195-457B-8349-20AC0F09C27A}"/>
    <cellStyle name="Comma 5 13" xfId="4667" xr:uid="{4D4B814D-C4F0-4C26-98A6-631E5D1DB202}"/>
    <cellStyle name="Comma 5 14" xfId="4569" xr:uid="{03989070-D247-4BAD-8452-E6D782B2AE8C}"/>
    <cellStyle name="Comma 5 14 2" xfId="5438" xr:uid="{4011DA3B-0451-4915-9227-82653502600B}"/>
    <cellStyle name="Comma 5 2" xfId="1016" xr:uid="{11F7DA0B-37D1-4894-A693-A5FAAF521CEC}"/>
    <cellStyle name="Comma 5 2 2" xfId="1017" xr:uid="{36049CF7-F9E8-4A05-A4E4-7FD7F23675DD}"/>
    <cellStyle name="Comma 5 2 2 2" xfId="1018" xr:uid="{2D6C47CB-1595-4568-A8A6-4BD00DFD9636}"/>
    <cellStyle name="Comma 5 2 2 2 2" xfId="1019" xr:uid="{4D8499B3-09C5-455A-879E-1D0BBBD27AC9}"/>
    <cellStyle name="Comma 5 2 2 2 2 2" xfId="4828" xr:uid="{43ADC66F-15E2-47D4-A54A-5C87D8CAFA96}"/>
    <cellStyle name="Comma 5 2 2 2 3" xfId="4827" xr:uid="{11D71A76-2C11-4F8F-B20F-58BE49E846B4}"/>
    <cellStyle name="Comma 5 2 2 3" xfId="1020" xr:uid="{1B515A3C-42C1-4AD8-A702-46E7555BAD5A}"/>
    <cellStyle name="Comma 5 2 2 3 2" xfId="4829" xr:uid="{4C718061-A73E-4BB6-80AE-3DBEB60E0A7B}"/>
    <cellStyle name="Comma 5 2 2 4" xfId="4826" xr:uid="{51CE9DC7-C278-4618-9AC1-B195EBF4F32D}"/>
    <cellStyle name="Comma 5 2 3" xfId="1021" xr:uid="{F4D16C59-5F93-4399-B278-36C197CC2042}"/>
    <cellStyle name="Comma 5 2 3 2" xfId="1022" xr:uid="{1ACDB970-6535-4ED8-98D6-B3FB0F76CB87}"/>
    <cellStyle name="Comma 5 2 3 2 2" xfId="4831" xr:uid="{C8895DC2-513F-42FB-A904-CE7132018CD6}"/>
    <cellStyle name="Comma 5 2 3 3" xfId="4830" xr:uid="{CC02E3D2-A901-4766-9D47-C8EC8B092D8A}"/>
    <cellStyle name="Comma 5 2 4" xfId="1023" xr:uid="{603298F8-50EA-4357-9527-3775DC2C13F9}"/>
    <cellStyle name="Comma 5 2 4 2" xfId="4832" xr:uid="{3B833F6B-1EA5-4395-AA67-48D16A349616}"/>
    <cellStyle name="Comma 5 2 5" xfId="4825" xr:uid="{2B8C553F-2122-4BBC-ADE7-E47704D70F5E}"/>
    <cellStyle name="Comma 5 3" xfId="1024" xr:uid="{1C51C699-534C-408D-BF36-C4B932AA6663}"/>
    <cellStyle name="Comma 5 3 2" xfId="1025" xr:uid="{08AF60B0-442C-4932-A404-515FE33F4F6D}"/>
    <cellStyle name="Comma 5 3 2 2" xfId="1026" xr:uid="{8B181C39-E660-4837-9E3B-B372D16BE47F}"/>
    <cellStyle name="Comma 5 3 2 2 2" xfId="1027" xr:uid="{53E81D7C-25C8-4588-A65E-A539A76B0232}"/>
    <cellStyle name="Comma 5 3 2 2 2 2" xfId="4836" xr:uid="{DB9D6730-D4DB-4A47-ABA7-BBED3D330B31}"/>
    <cellStyle name="Comma 5 3 2 2 3" xfId="4835" xr:uid="{6D6D700D-B6B5-4F2E-861F-AFBA8894FA0C}"/>
    <cellStyle name="Comma 5 3 2 3" xfId="1028" xr:uid="{5BFE0778-EA6A-472F-AE03-659D633AA309}"/>
    <cellStyle name="Comma 5 3 2 3 2" xfId="4837" xr:uid="{C65C7A63-A638-4828-80D9-E563BA3F634E}"/>
    <cellStyle name="Comma 5 3 2 4" xfId="4834" xr:uid="{409E6E81-251C-48B3-B607-553B1D29E789}"/>
    <cellStyle name="Comma 5 3 3" xfId="1029" xr:uid="{0FA4247B-E200-464C-914B-3DE8E48A79F9}"/>
    <cellStyle name="Comma 5 3 3 2" xfId="1030" xr:uid="{7572FECB-268F-4E48-9FA2-A04232FC0D5E}"/>
    <cellStyle name="Comma 5 3 3 2 2" xfId="4839" xr:uid="{19BB36B9-E37F-41B7-9C32-69845BD9A5D8}"/>
    <cellStyle name="Comma 5 3 3 3" xfId="4838" xr:uid="{9852454E-CEBA-419E-A069-773797F269BA}"/>
    <cellStyle name="Comma 5 3 4" xfId="1031" xr:uid="{6CB154DB-3E41-4773-BFFF-F1ACD6D84B3D}"/>
    <cellStyle name="Comma 5 3 4 2" xfId="4840" xr:uid="{915FC4CD-A77B-4B8B-9202-DEE7942D6DF0}"/>
    <cellStyle name="Comma 5 3 5" xfId="4833" xr:uid="{6A1AE339-5CD2-444F-9A18-46763EFC74A7}"/>
    <cellStyle name="Comma 5 4" xfId="1032" xr:uid="{0EB4AE27-A422-4913-8812-982981A63A50}"/>
    <cellStyle name="Comma 5 4 2" xfId="1033" xr:uid="{15C40B5F-E97D-4815-A114-B17874547282}"/>
    <cellStyle name="Comma 5 4 2 2" xfId="1034" xr:uid="{17F8DD65-0B6E-4360-9FD0-6A916FE3A537}"/>
    <cellStyle name="Comma 5 4 2 2 2" xfId="4843" xr:uid="{229BE8F1-B4E0-488B-ADCC-CC2356E37AFE}"/>
    <cellStyle name="Comma 5 4 2 3" xfId="4842" xr:uid="{F162D3BE-EBA1-4F59-8A58-DD0F8CDF1068}"/>
    <cellStyle name="Comma 5 4 3" xfId="1035" xr:uid="{0F26F70E-2691-4623-BEF4-C4A5F67658A5}"/>
    <cellStyle name="Comma 5 4 3 2" xfId="4844" xr:uid="{18C3FEA4-02E5-41D6-AAF1-380BA364B0A7}"/>
    <cellStyle name="Comma 5 4 4" xfId="4841" xr:uid="{49377E0C-2363-4112-B86B-E5A293BC6922}"/>
    <cellStyle name="Comma 5 5" xfId="1036" xr:uid="{E04EF8A0-D414-4C2F-9065-EC9EE657281B}"/>
    <cellStyle name="Comma 5 5 2" xfId="1037" xr:uid="{1C1FE72B-D294-4D26-8153-0250580BCFD8}"/>
    <cellStyle name="Comma 5 5 2 2" xfId="1038" xr:uid="{8090B36C-9615-4B32-B4D8-2E5B0E7D3643}"/>
    <cellStyle name="Comma 5 5 2 2 2" xfId="4847" xr:uid="{26AD4C30-82EC-4855-87BB-F39A0ED2CF92}"/>
    <cellStyle name="Comma 5 5 2 3" xfId="4846" xr:uid="{20EE220F-2899-4E25-9B19-2CD545352EC3}"/>
    <cellStyle name="Comma 5 5 3" xfId="1039" xr:uid="{4E1111D4-ADCC-4989-A863-46D7172FE4EA}"/>
    <cellStyle name="Comma 5 5 3 2" xfId="4848" xr:uid="{CBD60FE3-5330-486E-B669-7FF4CA65A90E}"/>
    <cellStyle name="Comma 5 5 4" xfId="4845" xr:uid="{635533AD-D25E-4578-A1CA-68F49EF50E9E}"/>
    <cellStyle name="Comma 5 6" xfId="1040" xr:uid="{E351910C-F509-4AA5-8AF3-0AC6F752E10A}"/>
    <cellStyle name="Comma 5 6 2" xfId="1041" xr:uid="{9F362D4C-7A0B-4AB2-9399-F9D0CF1064DB}"/>
    <cellStyle name="Comma 5 6 2 2" xfId="4850" xr:uid="{408A4F3B-4A35-4687-AD6C-EB7E5F2FDA5E}"/>
    <cellStyle name="Comma 5 6 3" xfId="4849" xr:uid="{6D1394B7-7BF5-45C2-8289-AA2C2120DFFE}"/>
    <cellStyle name="Comma 5 7" xfId="1042" xr:uid="{42AE22AF-AFF7-48D4-AE70-197A03ABF457}"/>
    <cellStyle name="Comma 5 7 2" xfId="4851" xr:uid="{FC3E1CAF-69FB-43E1-81D7-FFFDAC67E343}"/>
    <cellStyle name="Comma 5 8" xfId="1043" xr:uid="{8994FD43-67FB-4894-BDD8-D77DD45D6802}"/>
    <cellStyle name="Comma 5 8 2" xfId="4852" xr:uid="{D8D48DE6-CF6D-4EAB-BD30-D60A552010E0}"/>
    <cellStyle name="Comma 5 9" xfId="1044" xr:uid="{046F95F1-D26E-454B-A2EB-48E589F4EBCE}"/>
    <cellStyle name="Comma 5 9 2" xfId="4853" xr:uid="{8132D92D-1974-4660-8AF4-066415BD0C90}"/>
    <cellStyle name="Comma 6" xfId="95" xr:uid="{BFB6400E-B9C8-4F7B-9F04-EAD819F033FF}"/>
    <cellStyle name="Comma 6 2" xfId="1045" xr:uid="{F4E97AAE-8A24-4CBC-8B87-303ACFF63A47}"/>
    <cellStyle name="Comma 6 2 2" xfId="4854" xr:uid="{8B5609F1-DE5B-4B90-BB45-E3A3FC7ABF7A}"/>
    <cellStyle name="Comma 6 3" xfId="1046" xr:uid="{C6FC1ED6-9E37-4506-8382-6BF9700755C4}"/>
    <cellStyle name="Comma 6 3 2" xfId="4855" xr:uid="{41D279D7-106F-4705-8FA6-292333EB2D9D}"/>
    <cellStyle name="Comma 6 4" xfId="1047" xr:uid="{29668C48-B054-4E0A-94ED-56EFA7937DEC}"/>
    <cellStyle name="Comma 6 4 2" xfId="4856" xr:uid="{EF8F5CC7-2559-40F9-A022-BBB520BEF393}"/>
    <cellStyle name="Comma 6 5" xfId="1048" xr:uid="{748C091C-812A-4281-B53F-7767FADD17F1}"/>
    <cellStyle name="Comma 6 5 2" xfId="4857" xr:uid="{CE057436-964B-42A7-843B-524CD26439F2}"/>
    <cellStyle name="Comma 6 6" xfId="1049" xr:uid="{53D96DAA-9702-4DDB-BEA2-08798C9905BD}"/>
    <cellStyle name="Comma 6 6 2" xfId="4858" xr:uid="{5E9AE43E-7792-4040-A881-27607759BF3C}"/>
    <cellStyle name="Comma 6 7" xfId="101" xr:uid="{4AABFF6E-8ED4-4B31-8971-FA8957896F3D}"/>
    <cellStyle name="Comma 6 7 2" xfId="4672" xr:uid="{5CFA4BA5-9554-40BF-ACFC-16D414D1D46B}"/>
    <cellStyle name="Comma 6 8" xfId="4668" xr:uid="{845EA0B9-57BE-4954-AA48-70777187600D}"/>
    <cellStyle name="Comma 7" xfId="1050" xr:uid="{CC7900DE-4F06-40AA-9584-22543CE46D36}"/>
    <cellStyle name="Comma 7 2" xfId="1051" xr:uid="{425BB966-55AC-489E-B92E-70BF2C4640D7}"/>
    <cellStyle name="Comma 7 2 2" xfId="1052" xr:uid="{077C312D-FF6B-4D69-B617-B0FB9FF2E4A5}"/>
    <cellStyle name="Comma 7 2 2 2" xfId="1053" xr:uid="{3985E649-13FB-4CC1-A898-31AFFF4C5274}"/>
    <cellStyle name="Comma 7 2 2 2 2" xfId="4862" xr:uid="{B7EAC151-BB9D-4829-A754-63AC5A00FD59}"/>
    <cellStyle name="Comma 7 2 2 3" xfId="4861" xr:uid="{93B0654B-710B-44A7-9AB2-B876E25E3507}"/>
    <cellStyle name="Comma 7 2 3" xfId="1054" xr:uid="{6065C99C-5B15-4606-A95F-77D30C7A1ED5}"/>
    <cellStyle name="Comma 7 2 3 2" xfId="4863" xr:uid="{81654300-B1DB-4AD1-821A-01C97F38834A}"/>
    <cellStyle name="Comma 7 2 4" xfId="4860" xr:uid="{0D4BD750-49C8-40B9-BBB9-C87D67BCC22A}"/>
    <cellStyle name="Comma 7 3" xfId="1055" xr:uid="{52F6FDF6-3017-45AF-B15C-EED16A480827}"/>
    <cellStyle name="Comma 7 3 2" xfId="1056" xr:uid="{8DDCAA2F-32C4-41B2-B2E6-86F041A2C75A}"/>
    <cellStyle name="Comma 7 3 2 2" xfId="4865" xr:uid="{EEA09736-05F7-404C-BA1E-2BB0814D72F8}"/>
    <cellStyle name="Comma 7 3 3" xfId="4864" xr:uid="{55D519E5-0A21-43E9-8CB8-2B66527B8829}"/>
    <cellStyle name="Comma 7 4" xfId="1057" xr:uid="{3AA98786-2FA9-43FE-B1D2-5399A3180164}"/>
    <cellStyle name="Comma 7 4 2" xfId="4866" xr:uid="{9A41A984-A4FD-4C1C-8F24-45658E59FD6C}"/>
    <cellStyle name="Comma 7 5" xfId="1058" xr:uid="{8922C42E-BB12-4F67-B42A-1B804C9947C1}"/>
    <cellStyle name="Comma 7 5 2" xfId="4867" xr:uid="{6CA5D65A-4748-47A8-8BEC-78AB14E47294}"/>
    <cellStyle name="Comma 7 6" xfId="1059" xr:uid="{D520BB6F-FBBE-4644-B3A4-520B5D827C96}"/>
    <cellStyle name="Comma 7 6 2" xfId="4868" xr:uid="{8712AD7D-9C4E-4255-8763-4593F6FE78F1}"/>
    <cellStyle name="Comma 7 7" xfId="1060" xr:uid="{B0F0D81E-EF50-45E3-B305-9D173C7FCE70}"/>
    <cellStyle name="Comma 7 7 2" xfId="4869" xr:uid="{243F5071-33C0-495F-B825-B950C4BE1B76}"/>
    <cellStyle name="Comma 7 8" xfId="1061" xr:uid="{E2553093-4443-4FC8-8A26-B979001122D3}"/>
    <cellStyle name="Comma 7 8 2" xfId="4870" xr:uid="{3D8EAA9B-D036-4BCF-BA64-795FE4AAF62D}"/>
    <cellStyle name="Comma 7 9" xfId="4859" xr:uid="{B250FD79-6213-4FA0-9104-8FF657C6265E}"/>
    <cellStyle name="Comma 8" xfId="1062" xr:uid="{6FA18642-D467-40D1-8CE8-E3C58CFAD5E6}"/>
    <cellStyle name="Comma 8 2" xfId="1063" xr:uid="{DBA67465-5633-4574-B362-84A7BC55827D}"/>
    <cellStyle name="Comma 8 2 2" xfId="1064" xr:uid="{F4929292-1C98-4CA0-B3E4-EDE195FCD4D0}"/>
    <cellStyle name="Comma 8 2 2 2" xfId="4873" xr:uid="{8EA8EB32-16F6-439A-8E7D-62F034349D2C}"/>
    <cellStyle name="Comma 8 2 3" xfId="4872" xr:uid="{EA5F3074-7122-4CFB-957B-419910EB730C}"/>
    <cellStyle name="Comma 8 3" xfId="1065" xr:uid="{F8AD69FD-B95D-4170-A244-14EC8DDB4397}"/>
    <cellStyle name="Comma 8 3 2" xfId="4874" xr:uid="{41C81715-A66C-4D86-9C63-617D76259C42}"/>
    <cellStyle name="Comma 8 4" xfId="1066" xr:uid="{5C3CAEC8-9566-44F5-B98F-FA17073A789D}"/>
    <cellStyle name="Comma 8 4 2" xfId="4875" xr:uid="{7525D168-2EDA-482C-B6A9-A411FFE7693E}"/>
    <cellStyle name="Comma 8 5" xfId="1067" xr:uid="{9547E4C1-A7AD-42EF-8CF6-451BCA063DE5}"/>
    <cellStyle name="Comma 8 5 2" xfId="4876" xr:uid="{52BF87C7-7D4C-4B5A-9075-1387CDDE17EE}"/>
    <cellStyle name="Comma 8 6" xfId="1068" xr:uid="{7424885A-AE1D-47E6-A551-F25A988289E6}"/>
    <cellStyle name="Comma 8 6 2" xfId="4877" xr:uid="{62E7A5D7-1BB2-479F-9543-C9857F9697BA}"/>
    <cellStyle name="Comma 8 7" xfId="1069" xr:uid="{C3BD87F8-6269-4A67-AA8B-0E97D300E50A}"/>
    <cellStyle name="Comma 8 7 2" xfId="4878" xr:uid="{A1B427D8-B0E5-49B3-A846-AB7DAE3146FF}"/>
    <cellStyle name="Comma 8 8" xfId="4573" xr:uid="{E1CE924F-C705-4018-8995-A6F4FA39ECCE}"/>
    <cellStyle name="Comma 8 8 2" xfId="5439" xr:uid="{5D3EF769-F82C-4FD2-876A-0A56B96613C0}"/>
    <cellStyle name="Comma 8 9" xfId="4871" xr:uid="{3C6C2191-1696-4886-B263-D1C06C386DA5}"/>
    <cellStyle name="Comma 9" xfId="1070" xr:uid="{0CF79EA5-6F1B-48F5-9209-D90CB43711CF}"/>
    <cellStyle name="Comma 9 2" xfId="1071" xr:uid="{E34D9654-6A0D-4084-8991-694DEFF150BD}"/>
    <cellStyle name="Comma 9 2 2" xfId="4880" xr:uid="{296C11E5-CACE-4048-8C96-BACB15334F8E}"/>
    <cellStyle name="Comma 9 3" xfId="1072" xr:uid="{57F5CD72-827B-4C69-A0B5-F4F299EB87A0}"/>
    <cellStyle name="Comma 9 3 2" xfId="4881" xr:uid="{0993D1AE-41F7-4F30-AA81-FB28DE3E7508}"/>
    <cellStyle name="Comma 9 4" xfId="1073" xr:uid="{E66B34D0-44CF-4387-8059-EA331854ABE2}"/>
    <cellStyle name="Comma 9 4 2" xfId="4882" xr:uid="{8959A82E-070E-407E-947C-6D3548606277}"/>
    <cellStyle name="Comma 9 5" xfId="1074" xr:uid="{40F84E82-C7AD-492E-B161-0542C3154ACB}"/>
    <cellStyle name="Comma 9 5 2" xfId="4883" xr:uid="{FC2093A4-CF1A-436D-B52C-952A44B7B0FD}"/>
    <cellStyle name="Comma 9 6" xfId="4879" xr:uid="{840E57FD-D355-4BD0-B297-6C9DA435A646}"/>
    <cellStyle name="Comma0" xfId="1075" xr:uid="{2742FED0-54CB-4704-94E5-284373F813C4}"/>
    <cellStyle name="Comma2 (0)" xfId="1076" xr:uid="{23F715BE-C47D-4F9E-81D4-048B7DBB5983}"/>
    <cellStyle name="Comment" xfId="1077" xr:uid="{4C933B83-F413-4B0D-84A4-B5BF1E14E547}"/>
    <cellStyle name="Commentaire" xfId="1078" xr:uid="{67978737-460A-4E7F-B26B-9F1E7B4DE704}"/>
    <cellStyle name="Commentaire 2" xfId="5498" xr:uid="{F9D35311-74A3-4C56-A71A-E66B0513100D}"/>
    <cellStyle name="Company" xfId="1079" xr:uid="{068D4DBE-145B-4F96-A258-A76E02DCFA3C}"/>
    <cellStyle name="CurRatio" xfId="1080" xr:uid="{CCC07E80-3FF1-44E0-A823-F16230F13CCD}"/>
    <cellStyle name="Currency--" xfId="1602" xr:uid="{C1BCD7DC-EA38-4D1A-A674-A053511B3500}"/>
    <cellStyle name="Currency [00]" xfId="1081" xr:uid="{357EB9F9-BD96-452F-AED3-2F90A946415F}"/>
    <cellStyle name="Currency [1]" xfId="1082" xr:uid="{A31E34BA-E8DC-4C61-8003-567A2011AABC}"/>
    <cellStyle name="Currency [2]" xfId="1083" xr:uid="{C529452C-8E36-41F5-8DE8-749B8988F6A8}"/>
    <cellStyle name="Currency [2] 2" xfId="4564" xr:uid="{17F6FF26-D17A-407D-A677-A1DDDE4515B2}"/>
    <cellStyle name="Currency [2] 2 2" xfId="5511" xr:uid="{8F019C06-86F5-4EDE-A17A-059461A93043}"/>
    <cellStyle name="Currency [2] 2 3" xfId="5434" xr:uid="{B25FF0F3-5E1B-4DA4-AB36-CE0FFB4A6844}"/>
    <cellStyle name="Currency [2] 3" xfId="5499" xr:uid="{724543D1-122A-42D0-A73C-0516122A505C}"/>
    <cellStyle name="Currency [2] 4" xfId="4884" xr:uid="{FF0B8491-273B-4C03-BBD9-C2CC9CE5FDDE}"/>
    <cellStyle name="Currency [3]" xfId="1084" xr:uid="{26E4F162-37B4-4A5D-84E1-5C2FF53879CD}"/>
    <cellStyle name="Currency 0" xfId="1085" xr:uid="{2B38DA27-74A1-45FF-BE72-A5DDC8DA0330}"/>
    <cellStyle name="Currency 10" xfId="1086" xr:uid="{C75EA178-CEC2-49BD-AE4A-619BDB18E627}"/>
    <cellStyle name="Currency 10 2" xfId="1087" xr:uid="{0FB9C1DA-F8B3-434E-B23B-41DD88482E81}"/>
    <cellStyle name="Currency 10 2 2" xfId="1088" xr:uid="{0A2C0832-1C5E-4C68-B890-143686C5740E}"/>
    <cellStyle name="Currency 10 2 2 2" xfId="1089" xr:uid="{0AEA0C54-79CE-4C53-AC9E-BFA3789F9E90}"/>
    <cellStyle name="Currency 10 2 2 2 2" xfId="1090" xr:uid="{553410B9-0DE2-49ED-A4BF-4EECAABDA81D}"/>
    <cellStyle name="Currency 10 2 2 2 2 2" xfId="4889" xr:uid="{603E1E7C-B01D-417A-9FE1-E875D018BB4D}"/>
    <cellStyle name="Currency 10 2 2 2 3" xfId="4888" xr:uid="{51BDB5C4-6B07-4B94-BD6A-4DBD82EE7FE3}"/>
    <cellStyle name="Currency 10 2 2 3" xfId="1091" xr:uid="{1A856755-B05F-4DCE-B77A-061CC0652548}"/>
    <cellStyle name="Currency 10 2 2 3 2" xfId="4890" xr:uid="{CC22D5BE-B168-4419-B61F-647351D2A658}"/>
    <cellStyle name="Currency 10 2 2 4" xfId="4887" xr:uid="{820E2481-555E-40AC-9052-206B07EC3147}"/>
    <cellStyle name="Currency 10 2 3" xfId="1092" xr:uid="{AAB12CC0-7024-41A4-9496-17D101C356D2}"/>
    <cellStyle name="Currency 10 2 3 2" xfId="1093" xr:uid="{AD3F280A-188E-4DC0-9AFA-37DEACE2433C}"/>
    <cellStyle name="Currency 10 2 3 2 2" xfId="4892" xr:uid="{13AC2F5E-20AA-4CF5-84B1-30E7A3FA25ED}"/>
    <cellStyle name="Currency 10 2 3 3" xfId="4891" xr:uid="{A8C3F9E2-E7EE-4FBB-8EB1-A659AD62F8F8}"/>
    <cellStyle name="Currency 10 2 4" xfId="1094" xr:uid="{6602AA00-9698-43BB-8CC1-28CBFAB171F6}"/>
    <cellStyle name="Currency 10 2 4 2" xfId="4893" xr:uid="{0160858D-51FB-49A9-A90C-16461636D083}"/>
    <cellStyle name="Currency 10 2 5" xfId="4886" xr:uid="{E6584A28-38D5-49FB-BDB2-D12F43A3B099}"/>
    <cellStyle name="Currency 10 3" xfId="1095" xr:uid="{1BA7249B-855B-4F31-B522-56AA757113EF}"/>
    <cellStyle name="Currency 10 3 2" xfId="1096" xr:uid="{B6EE4573-D979-4C83-A3B4-9AA5F9C8A3CC}"/>
    <cellStyle name="Currency 10 3 2 2" xfId="1097" xr:uid="{733914EC-013D-4C0B-A5DC-FB5AA56BF5A3}"/>
    <cellStyle name="Currency 10 3 2 2 2" xfId="1098" xr:uid="{B164D575-20F1-4C6E-A487-123BA8F4C2BE}"/>
    <cellStyle name="Currency 10 3 2 2 2 2" xfId="4897" xr:uid="{A8BB31AE-7394-4003-8E91-B4FE50A0ACEE}"/>
    <cellStyle name="Currency 10 3 2 2 3" xfId="4896" xr:uid="{BE61A9A2-04D8-4301-AB68-7C13AD326C7E}"/>
    <cellStyle name="Currency 10 3 2 3" xfId="1099" xr:uid="{71C3C1DE-E542-4612-8167-A289B1AAF4B6}"/>
    <cellStyle name="Currency 10 3 2 3 2" xfId="4898" xr:uid="{DDE24CD9-8DDF-4783-AE9A-1FA93C581AFC}"/>
    <cellStyle name="Currency 10 3 2 4" xfId="4895" xr:uid="{8B02DAA3-5240-4ADD-8211-60C818185425}"/>
    <cellStyle name="Currency 10 3 3" xfId="1100" xr:uid="{A11060D9-B0AF-4850-BA47-2B8FAD5CCDEE}"/>
    <cellStyle name="Currency 10 3 3 2" xfId="1101" xr:uid="{6BBEB5C8-A2A6-4A00-81BD-ABD1D10CE5B5}"/>
    <cellStyle name="Currency 10 3 3 2 2" xfId="4900" xr:uid="{BC37EFE8-A3C3-4604-BB31-B5D6705ECCD6}"/>
    <cellStyle name="Currency 10 3 3 3" xfId="4899" xr:uid="{7E99D341-F504-4776-9DD0-AEBA4D9E4D42}"/>
    <cellStyle name="Currency 10 3 4" xfId="1102" xr:uid="{363C4687-DF80-4F60-9FD0-27A541E9C439}"/>
    <cellStyle name="Currency 10 3 4 2" xfId="4901" xr:uid="{7361FC0E-93E5-4E52-9481-9C4FCC10CABF}"/>
    <cellStyle name="Currency 10 3 5" xfId="4894" xr:uid="{FF75B91E-286C-48D7-A5B5-7E89DCF45653}"/>
    <cellStyle name="Currency 10 4" xfId="1103" xr:uid="{1F1EF8CD-5189-4221-A4F1-BA2F85F169D7}"/>
    <cellStyle name="Currency 10 4 2" xfId="1104" xr:uid="{A91892C0-2469-4246-808C-F35310E97DC4}"/>
    <cellStyle name="Currency 10 4 2 2" xfId="1105" xr:uid="{F55FE871-263B-414E-A039-AEB96723C245}"/>
    <cellStyle name="Currency 10 4 2 2 2" xfId="4904" xr:uid="{7FAAC9CA-8010-43B0-A706-958804C289BA}"/>
    <cellStyle name="Currency 10 4 2 3" xfId="4903" xr:uid="{E9257A29-0F01-4353-A401-339CB9DCEA68}"/>
    <cellStyle name="Currency 10 4 3" xfId="1106" xr:uid="{0C77867E-EF81-4687-B52C-06824DB8A437}"/>
    <cellStyle name="Currency 10 4 3 2" xfId="4905" xr:uid="{F77EF45C-1688-45A4-877C-BC83D1D054B9}"/>
    <cellStyle name="Currency 10 4 4" xfId="4902" xr:uid="{79C33B72-BB5C-4F83-99F6-4739AC964F9B}"/>
    <cellStyle name="Currency 10 5" xfId="1107" xr:uid="{3C78ED82-3EB5-4CE9-8551-AFFBC78DD3BB}"/>
    <cellStyle name="Currency 10 5 2" xfId="1108" xr:uid="{C6BB36BD-E3A3-4ECE-8866-2398FC9432B0}"/>
    <cellStyle name="Currency 10 5 2 2" xfId="4907" xr:uid="{733E50B3-B595-4B81-82D7-D84B287B761E}"/>
    <cellStyle name="Currency 10 5 3" xfId="4906" xr:uid="{AD488FEF-B260-4645-888F-EE016F6CF924}"/>
    <cellStyle name="Currency 10 6" xfId="1109" xr:uid="{64D9EE07-6519-4B7C-B5BC-A79690F6C977}"/>
    <cellStyle name="Currency 10 6 2" xfId="4908" xr:uid="{8C3F17CA-EB67-4A3C-AE86-79C9EE2FC60A}"/>
    <cellStyle name="Currency 10 7" xfId="4885" xr:uid="{EC8B8409-0C2D-495B-A426-ED64E792FB11}"/>
    <cellStyle name="Currency 11" xfId="1110" xr:uid="{CAF6DE66-EE31-4591-902C-3880C22D5A70}"/>
    <cellStyle name="Currency 11 2" xfId="1111" xr:uid="{CC124994-2793-45A7-B270-6FAC008A4F29}"/>
    <cellStyle name="Currency 11 2 2" xfId="1112" xr:uid="{9E051C97-DD74-4198-B112-BBEA396938C6}"/>
    <cellStyle name="Currency 11 2 2 2" xfId="1113" xr:uid="{5EC0675B-4984-456B-894B-D2FD86D51546}"/>
    <cellStyle name="Currency 11 2 2 2 2" xfId="1114" xr:uid="{13FA7218-AD05-4C7F-8D4B-B3E88FDE17E8}"/>
    <cellStyle name="Currency 11 2 2 2 2 2" xfId="4913" xr:uid="{AC7F1A38-AB4A-4208-891D-CD0A4BC40749}"/>
    <cellStyle name="Currency 11 2 2 2 3" xfId="4912" xr:uid="{74639B9B-F8F0-4B08-A3D0-2C4FF0278979}"/>
    <cellStyle name="Currency 11 2 2 3" xfId="1115" xr:uid="{E0DC9117-C6DD-477F-9C24-546F6CF28C08}"/>
    <cellStyle name="Currency 11 2 2 3 2" xfId="4914" xr:uid="{C5006206-A9FC-4E7A-B517-7DCBBB9EF975}"/>
    <cellStyle name="Currency 11 2 2 4" xfId="4911" xr:uid="{914B9625-D11E-4A99-8C1E-F79470710184}"/>
    <cellStyle name="Currency 11 2 3" xfId="1116" xr:uid="{35C0A835-D2DF-430B-9987-DE1B403F0C43}"/>
    <cellStyle name="Currency 11 2 3 2" xfId="1117" xr:uid="{880CB20B-863B-4204-BB53-E5F5B0384CB8}"/>
    <cellStyle name="Currency 11 2 3 2 2" xfId="4916" xr:uid="{43ADE07C-1EF3-4F5E-8181-7573B7A87706}"/>
    <cellStyle name="Currency 11 2 3 3" xfId="4915" xr:uid="{FDDFEC30-8D34-433B-AFA8-3CC5C0E46FF6}"/>
    <cellStyle name="Currency 11 2 4" xfId="1118" xr:uid="{AEBE23F0-490F-4B60-B5FD-D36AD34BB103}"/>
    <cellStyle name="Currency 11 2 4 2" xfId="4917" xr:uid="{54C07544-E74B-4F79-9E21-569956C759CC}"/>
    <cellStyle name="Currency 11 2 5" xfId="4910" xr:uid="{C1400BB6-F711-4A93-87B5-23218039EA75}"/>
    <cellStyle name="Currency 11 3" xfId="1119" xr:uid="{4D74C742-CC71-4B42-80C8-5AED5DC0A76B}"/>
    <cellStyle name="Currency 11 3 2" xfId="1120" xr:uid="{3445D4D1-1CF7-4407-ADF2-7F1E1F197CBD}"/>
    <cellStyle name="Currency 11 3 2 2" xfId="1121" xr:uid="{971260FE-629A-4DF9-A8EB-52348A268CC7}"/>
    <cellStyle name="Currency 11 3 2 2 2" xfId="1122" xr:uid="{FD0C4831-EECA-42BB-96A7-193A447FD55B}"/>
    <cellStyle name="Currency 11 3 2 2 2 2" xfId="4921" xr:uid="{96079CD4-68A5-43F3-ABF5-8CAF03B0F0AB}"/>
    <cellStyle name="Currency 11 3 2 2 3" xfId="4920" xr:uid="{ACBFA5D7-0A13-484E-9889-E0F2683EE878}"/>
    <cellStyle name="Currency 11 3 2 3" xfId="1123" xr:uid="{1EC5E6D7-44DE-4C04-8C23-F80FDD700FB6}"/>
    <cellStyle name="Currency 11 3 2 3 2" xfId="4922" xr:uid="{203D1BD7-85FF-46C4-8835-7A636BC7EA7B}"/>
    <cellStyle name="Currency 11 3 2 4" xfId="4919" xr:uid="{C33C37F5-2576-4609-AF43-9ADF334772ED}"/>
    <cellStyle name="Currency 11 3 3" xfId="1124" xr:uid="{1B4BC264-1E1A-40A1-8918-C01947914F64}"/>
    <cellStyle name="Currency 11 3 3 2" xfId="1125" xr:uid="{4CE77248-9C1D-4780-9F63-6F27DE8360F6}"/>
    <cellStyle name="Currency 11 3 3 2 2" xfId="4924" xr:uid="{678F2101-38F3-4691-ADA1-D669B6B9568F}"/>
    <cellStyle name="Currency 11 3 3 3" xfId="4923" xr:uid="{FC414FF8-76FA-443E-84F3-3B4EBA811BE3}"/>
    <cellStyle name="Currency 11 3 4" xfId="1126" xr:uid="{76A56029-98A9-4AC0-B8E3-C66C6B1E88AF}"/>
    <cellStyle name="Currency 11 3 4 2" xfId="4925" xr:uid="{55DD2537-E66E-4330-8669-EE232364AD9B}"/>
    <cellStyle name="Currency 11 3 5" xfId="4918" xr:uid="{2A4DB954-8AB6-4777-B9A7-FC85DCB5ECC0}"/>
    <cellStyle name="Currency 11 4" xfId="1127" xr:uid="{35605F2B-F8A9-406C-997F-866AF29CF9AD}"/>
    <cellStyle name="Currency 11 4 2" xfId="1128" xr:uid="{DE6B6568-C45A-4053-8B92-169DA3E32F26}"/>
    <cellStyle name="Currency 11 4 2 2" xfId="1129" xr:uid="{790C5599-2121-4B1B-AA4B-396030BB5B71}"/>
    <cellStyle name="Currency 11 4 2 2 2" xfId="4928" xr:uid="{41227667-2479-442B-A287-C764AAA82ACE}"/>
    <cellStyle name="Currency 11 4 2 3" xfId="4927" xr:uid="{D2F82CDE-345F-4560-9062-2BAB72B74CA7}"/>
    <cellStyle name="Currency 11 4 3" xfId="1130" xr:uid="{8C9821AB-D1A8-4C0C-9647-D2601DE5FAFE}"/>
    <cellStyle name="Currency 11 4 3 2" xfId="4929" xr:uid="{EECC8D25-80F0-48C9-B039-FEE091C26295}"/>
    <cellStyle name="Currency 11 4 4" xfId="4926" xr:uid="{8FB145F5-8807-4003-9464-49A5D3CEA8EE}"/>
    <cellStyle name="Currency 11 5" xfId="1131" xr:uid="{878ECEE2-21B1-4102-8734-F02A19AE4A9A}"/>
    <cellStyle name="Currency 11 5 2" xfId="1132" xr:uid="{2A834C67-D486-4414-9D01-3E40D43E222B}"/>
    <cellStyle name="Currency 11 5 2 2" xfId="4931" xr:uid="{00A86203-D738-4AF8-A572-E676A3325651}"/>
    <cellStyle name="Currency 11 5 3" xfId="4930" xr:uid="{413BF537-AF55-4ECD-BC7F-5DB3A3E545A9}"/>
    <cellStyle name="Currency 11 6" xfId="1133" xr:uid="{92AE3C7F-ED8C-41EE-9E12-BF277C68A0C8}"/>
    <cellStyle name="Currency 11 6 2" xfId="4932" xr:uid="{5FC32C05-F352-495E-95C3-CBEA839D2C2C}"/>
    <cellStyle name="Currency 11 7" xfId="4909" xr:uid="{21D419A6-1D0C-4C82-B170-7C1745447294}"/>
    <cellStyle name="Currency 12" xfId="1134" xr:uid="{2067DFA6-55E1-4200-82E8-ECE83782C841}"/>
    <cellStyle name="Currency 12 2" xfId="4933" xr:uid="{95BCFC46-0784-45D5-8B27-AC35CBD9A849}"/>
    <cellStyle name="Currency 13" xfId="1135" xr:uid="{0224930C-D8AC-4B78-B157-33891744DBA5}"/>
    <cellStyle name="Currency 13 2" xfId="4934" xr:uid="{E7B7FE25-A573-4E2A-B767-4CF03559675F}"/>
    <cellStyle name="Currency 14" xfId="1136" xr:uid="{7D48EB09-D3F4-4E4F-B00A-27783019B2E1}"/>
    <cellStyle name="Currency 14 2" xfId="1137" xr:uid="{9DA899EC-B3A2-49A6-A717-9AD978330D46}"/>
    <cellStyle name="Currency 14 2 2" xfId="1138" xr:uid="{AA883DB5-1F63-4B56-8031-DA33B078FDD4}"/>
    <cellStyle name="Currency 14 2 2 2" xfId="1139" xr:uid="{B2A38F78-47CF-456C-936F-C4C3AE1D667A}"/>
    <cellStyle name="Currency 14 2 2 2 2" xfId="1140" xr:uid="{12E7B975-7037-4D3D-A0BC-BC599503BB3D}"/>
    <cellStyle name="Currency 14 2 2 2 2 2" xfId="4939" xr:uid="{6AB7D6C9-1E69-41F7-8E90-E7D21C8DDCA4}"/>
    <cellStyle name="Currency 14 2 2 2 3" xfId="4938" xr:uid="{9E3590D2-B829-4618-BD18-251ACF48FC92}"/>
    <cellStyle name="Currency 14 2 2 3" xfId="1141" xr:uid="{AD89144A-07C7-47FE-A6D9-BE4829797DF1}"/>
    <cellStyle name="Currency 14 2 2 3 2" xfId="4940" xr:uid="{E568D4D0-F727-441B-B115-D38FB9150F1E}"/>
    <cellStyle name="Currency 14 2 2 4" xfId="4937" xr:uid="{F9B03000-107B-45CE-8C2B-FEE630D941B6}"/>
    <cellStyle name="Currency 14 2 3" xfId="1142" xr:uid="{F9C2C76F-2A09-4D91-A033-FB1FB7801E3A}"/>
    <cellStyle name="Currency 14 2 3 2" xfId="1143" xr:uid="{679F706E-AB8E-4F52-82E5-03E33E04D596}"/>
    <cellStyle name="Currency 14 2 3 2 2" xfId="4942" xr:uid="{930385FE-72F9-41E3-8CE3-F945B6AB8F28}"/>
    <cellStyle name="Currency 14 2 3 3" xfId="4941" xr:uid="{9C1B6467-DE1D-4F2F-B819-CB3CF4ABEC89}"/>
    <cellStyle name="Currency 14 2 4" xfId="1144" xr:uid="{F24AE3C2-ABDF-4917-8568-829462170AB4}"/>
    <cellStyle name="Currency 14 2 4 2" xfId="4943" xr:uid="{EC22C9A0-B8DE-4633-927A-41B7B7D2A93E}"/>
    <cellStyle name="Currency 14 2 5" xfId="4936" xr:uid="{F558FA78-A212-4590-B01C-E91098D3EEB6}"/>
    <cellStyle name="Currency 14 3" xfId="1145" xr:uid="{0FA04B48-C0E2-4D4D-9CDB-24EB2BFAA3C7}"/>
    <cellStyle name="Currency 14 3 2" xfId="1146" xr:uid="{BD80FDD7-DF16-446D-9F2D-5F82AE2227B2}"/>
    <cellStyle name="Currency 14 3 2 2" xfId="1147" xr:uid="{4E829AD5-4E29-4D5B-BE13-6614314B7A75}"/>
    <cellStyle name="Currency 14 3 2 2 2" xfId="1148" xr:uid="{9D5A2564-BBD4-4A40-8714-D74BDBE1EF44}"/>
    <cellStyle name="Currency 14 3 2 2 2 2" xfId="4947" xr:uid="{EBDECC25-4086-4723-8152-0F60C647EA16}"/>
    <cellStyle name="Currency 14 3 2 2 3" xfId="4946" xr:uid="{5EE7862B-158A-432E-A8EC-3F6AF1A2857F}"/>
    <cellStyle name="Currency 14 3 2 3" xfId="1149" xr:uid="{A88A8977-A44B-49A0-AFBD-099B383A40FD}"/>
    <cellStyle name="Currency 14 3 2 3 2" xfId="4948" xr:uid="{259F4501-AD1E-4F25-A4B9-4C5EF3436034}"/>
    <cellStyle name="Currency 14 3 2 4" xfId="4945" xr:uid="{434F2C8E-6229-4703-A270-ED2588FF67CC}"/>
    <cellStyle name="Currency 14 3 3" xfId="1150" xr:uid="{543D5379-C221-4F2A-92C3-5EE15DB2F18D}"/>
    <cellStyle name="Currency 14 3 3 2" xfId="1151" xr:uid="{3C7618DC-6499-4E58-9364-8BD0477A71E7}"/>
    <cellStyle name="Currency 14 3 3 2 2" xfId="4950" xr:uid="{6891F249-E9A4-454D-8777-C56A57979826}"/>
    <cellStyle name="Currency 14 3 3 3" xfId="4949" xr:uid="{49AADB0C-3F1F-4CE7-B422-439FCBB4E212}"/>
    <cellStyle name="Currency 14 3 4" xfId="1152" xr:uid="{F4B457AA-0840-43FF-AAF2-57ED3BAE565A}"/>
    <cellStyle name="Currency 14 3 4 2" xfId="4951" xr:uid="{2129DAE1-CA58-41CC-899E-3219746A8DBF}"/>
    <cellStyle name="Currency 14 3 5" xfId="4944" xr:uid="{EBD34DDA-165D-43FB-A412-5D66E694C00A}"/>
    <cellStyle name="Currency 14 4" xfId="1153" xr:uid="{F2ACBD16-CB4E-471A-AF22-C9659295C93C}"/>
    <cellStyle name="Currency 14 4 2" xfId="1154" xr:uid="{6924EA88-8600-4FA8-84DD-D74D9C329A06}"/>
    <cellStyle name="Currency 14 4 2 2" xfId="1155" xr:uid="{0874C65C-38DF-4300-984B-1CE1792D7A6F}"/>
    <cellStyle name="Currency 14 4 2 2 2" xfId="1156" xr:uid="{BBC29739-6806-4287-8B1E-26E73F237CA1}"/>
    <cellStyle name="Currency 14 4 2 2 2 2" xfId="4955" xr:uid="{8C1B55B3-CC45-4C81-BE82-B4243ACF2C4A}"/>
    <cellStyle name="Currency 14 4 2 2 3" xfId="4954" xr:uid="{962ACC5B-D5EA-4165-96D5-8422AF1F2AAD}"/>
    <cellStyle name="Currency 14 4 2 3" xfId="1157" xr:uid="{7A600412-6CAF-45EB-B404-120C3BE4477C}"/>
    <cellStyle name="Currency 14 4 2 3 2" xfId="4956" xr:uid="{8B0F0988-CC70-4C9F-BD45-0D2F5A6D9D82}"/>
    <cellStyle name="Currency 14 4 2 4" xfId="4953" xr:uid="{D8307A39-7246-4D4B-85CE-78FB88942979}"/>
    <cellStyle name="Currency 14 4 3" xfId="1158" xr:uid="{DA0BA087-7C0E-4B99-886D-8E305CD18DE9}"/>
    <cellStyle name="Currency 14 4 3 2" xfId="1159" xr:uid="{118AA74C-CBD5-41E5-B6D2-1249E0E9CA1D}"/>
    <cellStyle name="Currency 14 4 3 2 2" xfId="4958" xr:uid="{73C7C727-118C-4CE5-87F6-7E99A7053B99}"/>
    <cellStyle name="Currency 14 4 3 3" xfId="4957" xr:uid="{EC07C02A-F4D1-4317-8958-FE03AD3373F0}"/>
    <cellStyle name="Currency 14 4 4" xfId="1160" xr:uid="{2573D1B5-C743-4AB9-A43E-F674A3D2C71C}"/>
    <cellStyle name="Currency 14 4 4 2" xfId="4959" xr:uid="{9098B05D-6BED-415A-96DA-3AE2B1577A8C}"/>
    <cellStyle name="Currency 14 4 5" xfId="4952" xr:uid="{1C9F463D-9400-43C8-B078-5E8D92425EDF}"/>
    <cellStyle name="Currency 14 5" xfId="1161" xr:uid="{86545AB9-D884-4343-99B3-85C23DFAEAE6}"/>
    <cellStyle name="Currency 14 5 2" xfId="1162" xr:uid="{1D27E05F-DA6F-4D08-ABFA-78D4EAD2E963}"/>
    <cellStyle name="Currency 14 5 2 2" xfId="1163" xr:uid="{BB9CDEBE-580B-4BB2-9F3E-A5FAADE31C26}"/>
    <cellStyle name="Currency 14 5 2 2 2" xfId="4962" xr:uid="{AA4142C5-2359-4CD0-9894-A6143F115BF2}"/>
    <cellStyle name="Currency 14 5 2 3" xfId="4961" xr:uid="{EDE97028-0F54-4CE5-B45D-451ADAA2107E}"/>
    <cellStyle name="Currency 14 5 3" xfId="1164" xr:uid="{7502F647-EC29-40C9-8BBB-8BF3AE360403}"/>
    <cellStyle name="Currency 14 5 3 2" xfId="4963" xr:uid="{251035BA-60B5-48E9-9288-9AF5A0082A9E}"/>
    <cellStyle name="Currency 14 5 4" xfId="4960" xr:uid="{6E1F195D-303D-40AE-925C-12F9BD5F3685}"/>
    <cellStyle name="Currency 14 6" xfId="1165" xr:uid="{84D9F1BD-8DEC-4008-9D7B-40E0171E12DE}"/>
    <cellStyle name="Currency 14 6 2" xfId="1166" xr:uid="{FE403D25-69A6-4A39-9C62-1BC8FDE13176}"/>
    <cellStyle name="Currency 14 6 2 2" xfId="4965" xr:uid="{E818E2C3-9780-46C3-A940-06A65CCBC621}"/>
    <cellStyle name="Currency 14 6 3" xfId="4964" xr:uid="{E69FE275-8320-4E1A-A55C-9A6A3C728EBE}"/>
    <cellStyle name="Currency 14 7" xfId="1167" xr:uid="{FCC0C06D-5F74-4AE5-A6B9-47D7C6459C4B}"/>
    <cellStyle name="Currency 14 7 2" xfId="4966" xr:uid="{18F46E88-F37F-4F4A-86D2-74032CD7907D}"/>
    <cellStyle name="Currency 14 8" xfId="4935" xr:uid="{CD181D8F-5D97-46FB-AC57-8B24B0CF1CB4}"/>
    <cellStyle name="Currency 15" xfId="1168" xr:uid="{D58C6E41-CC82-40DF-819E-85978D1CC563}"/>
    <cellStyle name="Currency 15 2" xfId="1169" xr:uid="{485795A2-45F7-49D2-9E4F-C00E4B3CBB4F}"/>
    <cellStyle name="Currency 15 2 2" xfId="1170" xr:uid="{CCFAF7E7-1F5D-4134-9FD0-98B8D084D7B9}"/>
    <cellStyle name="Currency 15 2 2 2" xfId="1171" xr:uid="{9D2ECEB6-5E5D-4D65-BA94-67C881557EAC}"/>
    <cellStyle name="Currency 15 2 2 2 2" xfId="4970" xr:uid="{17739830-3D56-49A5-8237-C3C3C509C3D1}"/>
    <cellStyle name="Currency 15 2 2 3" xfId="4969" xr:uid="{8CC480AC-EF93-485D-9102-5D2C52F02A25}"/>
    <cellStyle name="Currency 15 2 3" xfId="1172" xr:uid="{60E60D35-3903-4BF1-991D-AB571B73B501}"/>
    <cellStyle name="Currency 15 2 3 2" xfId="4971" xr:uid="{E927753A-F118-45B7-9488-78B0C40814EC}"/>
    <cellStyle name="Currency 15 2 4" xfId="4968" xr:uid="{7198230B-612D-4DD0-A3F5-96FFB509EC01}"/>
    <cellStyle name="Currency 15 3" xfId="1173" xr:uid="{415B7F11-0613-4442-A163-F7E719CB9AE9}"/>
    <cellStyle name="Currency 15 3 2" xfId="1174" xr:uid="{BEB80E82-0322-4F80-93F0-C02FB8CF6DFA}"/>
    <cellStyle name="Currency 15 3 2 2" xfId="4973" xr:uid="{2158B670-2859-4087-9F28-F319BEE9D757}"/>
    <cellStyle name="Currency 15 3 3" xfId="4972" xr:uid="{15638FCF-E927-4C71-8B57-368CB2F7C6DE}"/>
    <cellStyle name="Currency 15 4" xfId="1175" xr:uid="{6F556EE4-E9F6-42E7-A222-865151505E08}"/>
    <cellStyle name="Currency 15 4 2" xfId="4974" xr:uid="{045931D6-DFCB-42CD-98D4-8B55FAEA2672}"/>
    <cellStyle name="Currency 15 5" xfId="4967" xr:uid="{86D043B6-0AFE-4D75-B6F2-35E908CBC7EE}"/>
    <cellStyle name="Currency 16" xfId="1176" xr:uid="{BF5794AC-88F1-4BC7-92A1-F640C2FFDD8E}"/>
    <cellStyle name="Currency 16 2" xfId="1177" xr:uid="{760A97B7-C7C0-4580-B4D1-B40E3883F55E}"/>
    <cellStyle name="Currency 16 2 2" xfId="4976" xr:uid="{9CE65D0F-1222-4BD7-A44F-6402626853E8}"/>
    <cellStyle name="Currency 16 3" xfId="4975" xr:uid="{3261247F-52B6-49A3-9F31-98DD762B8670}"/>
    <cellStyle name="Currency 17" xfId="1178" xr:uid="{9769CE8B-E28D-4EF3-AE31-9E1B3690589B}"/>
    <cellStyle name="Currency 17 2" xfId="4977" xr:uid="{9C4C3E87-F842-42F8-87D4-CD334DEF9820}"/>
    <cellStyle name="Currency 18" xfId="1179" xr:uid="{4E42CA2B-AE82-4185-A798-D87D82A0D4B5}"/>
    <cellStyle name="Currency 18 2" xfId="4978" xr:uid="{5F35CC20-0E43-4C76-94CF-B1BBAE181ACA}"/>
    <cellStyle name="Currency 19" xfId="1180" xr:uid="{F17C8272-F457-48C7-ADEA-77487DA4371D}"/>
    <cellStyle name="Currency 19 2" xfId="1181" xr:uid="{4D4BCEC5-5448-4CA6-B3D1-F7CC8E3C27EE}"/>
    <cellStyle name="Currency 19 2 2" xfId="1182" xr:uid="{C24D501C-E126-47AA-A05C-E7F8FF07D4FC}"/>
    <cellStyle name="Currency 19 2 2 2" xfId="1183" xr:uid="{FB8B632C-C681-491D-9492-340108C435CE}"/>
    <cellStyle name="Currency 19 2 2 2 2" xfId="1184" xr:uid="{3BB0CF69-ABF0-41E7-A4BE-406E7D640065}"/>
    <cellStyle name="Currency 19 2 2 2 2 2" xfId="4983" xr:uid="{DE387299-47E3-458F-A39F-9BF2CD7D18F7}"/>
    <cellStyle name="Currency 19 2 2 2 3" xfId="4982" xr:uid="{CA15989F-3DE8-48D8-A7C6-45C13A385FBE}"/>
    <cellStyle name="Currency 19 2 2 3" xfId="1185" xr:uid="{080F2B37-4839-4111-A204-0D6B883BE6F2}"/>
    <cellStyle name="Currency 19 2 2 3 2" xfId="4984" xr:uid="{E241B183-7C41-4D25-AB8D-72C4C2CF7A78}"/>
    <cellStyle name="Currency 19 2 2 4" xfId="4981" xr:uid="{B7AC74BE-94D8-4A1D-A03E-8E248FD1A10B}"/>
    <cellStyle name="Currency 19 2 3" xfId="1186" xr:uid="{8AD7C1C1-AB40-4C5A-9193-3EB983C01FB9}"/>
    <cellStyle name="Currency 19 2 3 2" xfId="1187" xr:uid="{13889D36-B6A3-4349-B932-4E527CA8631D}"/>
    <cellStyle name="Currency 19 2 3 2 2" xfId="4986" xr:uid="{565CBBC4-BE51-466A-8819-B546F0AF4701}"/>
    <cellStyle name="Currency 19 2 3 3" xfId="4985" xr:uid="{EBCD13E4-7A3D-485A-89C7-0B8214057E2E}"/>
    <cellStyle name="Currency 19 2 4" xfId="1188" xr:uid="{5E95317F-C89D-4696-85C1-D21E65C2AD75}"/>
    <cellStyle name="Currency 19 2 4 2" xfId="4987" xr:uid="{DACC01F0-CF57-43F6-AAD4-9DD8BEACB853}"/>
    <cellStyle name="Currency 19 2 5" xfId="4980" xr:uid="{ECC21004-3B6B-4803-8613-4EDE1C577633}"/>
    <cellStyle name="Currency 19 3" xfId="1189" xr:uid="{64C29A24-E8D5-4198-A7D9-09A8923089EC}"/>
    <cellStyle name="Currency 19 3 2" xfId="1190" xr:uid="{9A1F3D14-8D2F-4117-B691-2342B924A2E1}"/>
    <cellStyle name="Currency 19 3 2 2" xfId="1191" xr:uid="{43FC344B-8BF5-4E13-8D21-8CA17DB3CB76}"/>
    <cellStyle name="Currency 19 3 2 2 2" xfId="1192" xr:uid="{8761E603-A8C0-466D-B2B5-D4AC6501223D}"/>
    <cellStyle name="Currency 19 3 2 2 2 2" xfId="4991" xr:uid="{9B957370-6048-4C76-82EF-8DC8C4A22D7E}"/>
    <cellStyle name="Currency 19 3 2 2 3" xfId="4990" xr:uid="{0A4CDCC0-0DD6-4544-87F2-61681DB9FBF5}"/>
    <cellStyle name="Currency 19 3 2 3" xfId="1193" xr:uid="{C996CF8C-E50A-4306-BC71-24BD095B4B30}"/>
    <cellStyle name="Currency 19 3 2 3 2" xfId="4992" xr:uid="{35DC51D9-433B-4FCD-B3A1-52EE358FA010}"/>
    <cellStyle name="Currency 19 3 2 4" xfId="4989" xr:uid="{2D948CB2-8983-45DD-8ABF-3F3D744BC631}"/>
    <cellStyle name="Currency 19 3 3" xfId="1194" xr:uid="{E385A610-33E8-46E4-B881-173076F15EE9}"/>
    <cellStyle name="Currency 19 3 3 2" xfId="1195" xr:uid="{5CFA31C5-D759-4EEB-A738-2E05434E1F5D}"/>
    <cellStyle name="Currency 19 3 3 2 2" xfId="4994" xr:uid="{5A8E967B-3FA6-4B25-8C3F-289ECA36CD81}"/>
    <cellStyle name="Currency 19 3 3 3" xfId="4993" xr:uid="{4A46448F-E9D5-4038-B93B-1541A1F0BB45}"/>
    <cellStyle name="Currency 19 3 4" xfId="1196" xr:uid="{DF2787B5-B96C-40AB-9722-B65A068984D8}"/>
    <cellStyle name="Currency 19 3 4 2" xfId="4995" xr:uid="{B637392C-8353-47B2-AF93-0F6822AD8535}"/>
    <cellStyle name="Currency 19 3 5" xfId="4988" xr:uid="{D436789B-1B89-4719-ACDB-FA1C1C7F34A3}"/>
    <cellStyle name="Currency 19 4" xfId="1197" xr:uid="{BE14F1AD-2DBB-4F6E-9892-55F849A7F347}"/>
    <cellStyle name="Currency 19 4 2" xfId="1198" xr:uid="{CFCD3D42-7920-4804-9209-81F80DC1FFF9}"/>
    <cellStyle name="Currency 19 4 2 2" xfId="1199" xr:uid="{59AD5302-1744-4786-B748-19D281788E5C}"/>
    <cellStyle name="Currency 19 4 2 2 2" xfId="4998" xr:uid="{89C6F3FF-666E-43C7-9355-0684F7A8941A}"/>
    <cellStyle name="Currency 19 4 2 3" xfId="4997" xr:uid="{5F388F79-40BE-4505-9E8C-4ECD3FD2EF06}"/>
    <cellStyle name="Currency 19 4 3" xfId="1200" xr:uid="{7BB12900-47BE-4417-9EB5-5FA80BC27C1F}"/>
    <cellStyle name="Currency 19 4 3 2" xfId="4999" xr:uid="{EEE67CCD-0BEF-4245-AE91-5F286B1549DB}"/>
    <cellStyle name="Currency 19 4 4" xfId="4996" xr:uid="{6F419773-5A11-4D64-AEDB-446DB72D1ABB}"/>
    <cellStyle name="Currency 19 5" xfId="1201" xr:uid="{C3540AF2-284B-4266-A78E-97F306E132F5}"/>
    <cellStyle name="Currency 19 5 2" xfId="1202" xr:uid="{7161871A-98C9-47E5-BA2E-A2BBB42990D7}"/>
    <cellStyle name="Currency 19 5 2 2" xfId="5001" xr:uid="{27F20869-F7AC-420F-B7CA-DD6177ACCCC4}"/>
    <cellStyle name="Currency 19 5 3" xfId="5000" xr:uid="{2C8F554E-D387-446C-9786-210C4AE19E50}"/>
    <cellStyle name="Currency 19 6" xfId="1203" xr:uid="{77B6B51E-787A-4A8E-B135-1D72CC201E6A}"/>
    <cellStyle name="Currency 19 6 2" xfId="5002" xr:uid="{F9FD5738-0601-4CB3-9A24-5B376B9A943A}"/>
    <cellStyle name="Currency 19 7" xfId="4979" xr:uid="{0ED1AD8F-AD8D-4839-B199-FEFEC9206B16}"/>
    <cellStyle name="Currency 2" xfId="12" xr:uid="{B295F7FA-C06F-4A74-958B-5F0250228030}"/>
    <cellStyle name="Currency-- 2" xfId="5389" xr:uid="{EB166F73-8BBE-4AA8-9EFE-5A40E7294F4C}"/>
    <cellStyle name="Currency 2 10" xfId="1204" xr:uid="{A5D485E2-67EF-46E2-B4E9-8ACF6ECE238D}"/>
    <cellStyle name="Currency 2 10 2" xfId="1205" xr:uid="{72F97BD7-BAD9-4A23-A335-7B0B6906387C}"/>
    <cellStyle name="Currency 2 10 2 2" xfId="1206" xr:uid="{23271F48-63BF-4493-8793-551E346C140F}"/>
    <cellStyle name="Currency 2 10 2 2 2" xfId="5005" xr:uid="{838C0DB4-7DFD-4165-99B6-B83C868AEF54}"/>
    <cellStyle name="Currency 2 10 2 3" xfId="5004" xr:uid="{811DDD17-EA50-415E-8566-9D02F8FFB6F6}"/>
    <cellStyle name="Currency 2 10 3" xfId="1207" xr:uid="{A1D4FD66-B6FD-49F7-A4B6-48327E29A2D8}"/>
    <cellStyle name="Currency 2 10 3 2" xfId="5006" xr:uid="{C77D4DC7-ABB8-4B0D-AF98-862D63107E6F}"/>
    <cellStyle name="Currency 2 10 4" xfId="5003" xr:uid="{449C46F9-EE60-4923-AE6E-F637AE1834D7}"/>
    <cellStyle name="Currency 2 11" xfId="1208" xr:uid="{7F3555B0-37DD-49C2-B78D-39C6D506A5C1}"/>
    <cellStyle name="Currency 2 11 2" xfId="5007" xr:uid="{1F255E09-1F6D-4992-8F58-30D7C013223D}"/>
    <cellStyle name="Currency 2 12" xfId="1209" xr:uid="{01300CAB-AF28-4D39-813A-7B5654505656}"/>
    <cellStyle name="Currency 2 12 2" xfId="5008" xr:uid="{52CD8217-B004-4CF0-A06C-FF992DF3C0A4}"/>
    <cellStyle name="Currency 2 13" xfId="1210" xr:uid="{2274140A-ABF1-4517-994D-01AA359D2488}"/>
    <cellStyle name="Currency 2 13 2" xfId="5009" xr:uid="{44AF9F3C-46DA-4A28-BAB2-3DEAFA9E4E75}"/>
    <cellStyle name="Currency 2 14" xfId="1211" xr:uid="{8043F2CB-2C0C-4FAD-8DC7-ABD00A451E34}"/>
    <cellStyle name="Currency 2 14 2" xfId="5010" xr:uid="{43BCA6FC-AC9C-441C-97C0-B6347D7F4267}"/>
    <cellStyle name="Currency 2 15" xfId="1212" xr:uid="{AC1EB6F0-FF1C-4AE3-8355-002783C1F758}"/>
    <cellStyle name="Currency 2 15 2" xfId="5011" xr:uid="{0FE7FACD-4EEA-4553-A162-7D8B5774D24D}"/>
    <cellStyle name="Currency 2 16" xfId="1213" xr:uid="{80453FCB-A8C4-4468-A055-4B2216C02902}"/>
    <cellStyle name="Currency 2 16 2" xfId="5012" xr:uid="{4B26670C-88FF-4D03-AE76-9896B8F30E19}"/>
    <cellStyle name="Currency 2 17" xfId="1214" xr:uid="{78908B8C-420D-4905-8425-4420B74E688E}"/>
    <cellStyle name="Currency 2 17 2" xfId="5013" xr:uid="{3329044C-9374-4570-8557-0051A7817FA4}"/>
    <cellStyle name="Currency 2 18" xfId="1215" xr:uid="{0D7E40EA-C06F-4D41-BAFB-12AD2D74B00B}"/>
    <cellStyle name="Currency 2 18 2" xfId="5014" xr:uid="{D799E617-E7E7-4F5D-8864-9931D1935FEE}"/>
    <cellStyle name="Currency 2 19" xfId="4661" xr:uid="{8067F6E5-29F6-4338-B07D-A2113C597B8B}"/>
    <cellStyle name="Currency 2 2" xfId="1216" xr:uid="{CF133474-7B58-4063-8357-D82862D2CAA8}"/>
    <cellStyle name="Currency 2 2 10" xfId="1217" xr:uid="{59A50420-AF68-4AC4-B44E-58ED6672D0DA}"/>
    <cellStyle name="Currency 2 2 10 2" xfId="5015" xr:uid="{1D7A81FC-806D-4477-B78A-4227F628BBD9}"/>
    <cellStyle name="Currency 2 2 11" xfId="1218" xr:uid="{AEBCE4D7-1F47-4908-A743-F30CD4D12154}"/>
    <cellStyle name="Currency 2 2 11 2" xfId="5016" xr:uid="{A4B4218D-84D3-4906-BE5C-12A5B734F760}"/>
    <cellStyle name="Currency 2 2 2" xfId="1219" xr:uid="{73AC8F66-DD8C-4B01-AD41-DE1932845532}"/>
    <cellStyle name="Currency 2 2 2 2" xfId="5017" xr:uid="{85D22766-FF0C-46FB-A747-46E238230AE7}"/>
    <cellStyle name="Currency 2 2 3" xfId="1220" xr:uid="{1CB6E180-295D-45F5-AA57-47F50EF1D003}"/>
    <cellStyle name="Currency 2 2 3 2" xfId="5018" xr:uid="{F5813512-D8F4-4231-9C5F-815D0F36D812}"/>
    <cellStyle name="Currency 2 2 4" xfId="1221" xr:uid="{AC622984-BC60-454B-BCD1-3A1CFB9F6B2B}"/>
    <cellStyle name="Currency 2 2 5" xfId="1222" xr:uid="{93DD2FF4-7EAE-4E85-B57E-6842C1B05423}"/>
    <cellStyle name="Currency 2 2 6" xfId="1223" xr:uid="{D7D94F94-1FCD-4211-AD65-7F6FF6D7EDA5}"/>
    <cellStyle name="Currency 2 2 7" xfId="1224" xr:uid="{47AD1F04-E93D-4B20-BAD2-649DA088EF03}"/>
    <cellStyle name="Currency 2 2 8" xfId="1225" xr:uid="{692771E7-D407-4111-9DD5-1010B79BEA7D}"/>
    <cellStyle name="Currency 2 2 8 2" xfId="5019" xr:uid="{134E9A8D-D946-440B-99EB-F3E86CBD06ED}"/>
    <cellStyle name="Currency 2 2 9" xfId="1226" xr:uid="{26065C35-B12F-4B12-93FF-96BF984B6142}"/>
    <cellStyle name="Currency 2 2 9 2" xfId="5020" xr:uid="{19474FBA-3A72-421F-838A-68D7BEAA9E55}"/>
    <cellStyle name="Currency 2 3" xfId="1227" xr:uid="{60F89624-D0CE-4AF0-BAFE-A2EAA3832973}"/>
    <cellStyle name="Currency 2 3 2" xfId="1228" xr:uid="{51508197-5221-45AF-AA9D-B2716F5931BA}"/>
    <cellStyle name="Currency 2 3 3" xfId="1229" xr:uid="{6C829D73-163C-424D-80AF-B0E603194697}"/>
    <cellStyle name="Currency 2 3 4" xfId="1230" xr:uid="{817C3163-F560-4E26-BBDA-7F12A5819A51}"/>
    <cellStyle name="Currency 2 3 5" xfId="1231" xr:uid="{7C4383D2-ED4A-4EE8-B11B-02EBED88C315}"/>
    <cellStyle name="Currency 2 3 6" xfId="5021" xr:uid="{BBCB4E11-3F8D-4D72-B291-2CAB126D20D3}"/>
    <cellStyle name="Currency 2 4" xfId="1232" xr:uid="{ADC89DD4-DC85-4478-B562-DD5AE5CFBFB1}"/>
    <cellStyle name="Currency 2 4 2" xfId="5022" xr:uid="{B2CAC46D-AF6E-4F88-AB3C-354AC063BA0A}"/>
    <cellStyle name="Currency 2 5" xfId="1233" xr:uid="{C510E6A2-BEE9-4EF2-80CD-CAD9774AC4ED}"/>
    <cellStyle name="Currency 2 5 2" xfId="5023" xr:uid="{0CD42726-27EC-42C9-A070-6BB814FDA4D9}"/>
    <cellStyle name="Currency 2 6" xfId="1234" xr:uid="{53202E87-8423-427F-BB9B-5D98BB6E0B33}"/>
    <cellStyle name="Currency 2 6 2" xfId="5024" xr:uid="{336408C6-E583-4542-A42C-1808515FAC68}"/>
    <cellStyle name="Currency 2 7" xfId="1235" xr:uid="{C52F0678-1190-44BC-B0BF-AD1CDC044B97}"/>
    <cellStyle name="Currency 2 7 2" xfId="5025" xr:uid="{11745D4C-5795-4270-AD70-C19F6C878829}"/>
    <cellStyle name="Currency 2 8" xfId="1236" xr:uid="{0A1C10AE-517B-425B-AACC-EE93C779246C}"/>
    <cellStyle name="Currency 2 8 2" xfId="5026" xr:uid="{C24507D4-6FAE-428F-A05A-B5531AF55D95}"/>
    <cellStyle name="Currency 2 9" xfId="1237" xr:uid="{730D79A9-1A25-4766-9084-2A3D67B6466F}"/>
    <cellStyle name="Currency 2 9 2" xfId="5027" xr:uid="{1D3E4086-D7CD-461C-8FD4-7D765DCC8D26}"/>
    <cellStyle name="Currency 2*" xfId="1239" xr:uid="{0FE1426F-1232-4478-BBBF-BB16C5DBC740}"/>
    <cellStyle name="Currency 2_CLdcfmodel" xfId="1238" xr:uid="{2174154B-7B50-46E1-AF0A-A4AE8E268007}"/>
    <cellStyle name="Currency 20" xfId="1240" xr:uid="{9C6E8DA9-9531-49D3-B853-E61335E2C82E}"/>
    <cellStyle name="Currency 20 2" xfId="1241" xr:uid="{DF0990E3-231A-47A1-A259-D2658930C8E4}"/>
    <cellStyle name="Currency 20 2 2" xfId="1242" xr:uid="{0CB3EBC0-9977-47D4-9D1F-6F5A4EDA27D6}"/>
    <cellStyle name="Currency 20 2 2 2" xfId="1243" xr:uid="{552CC6AB-0043-4318-8331-3336EDFA341D}"/>
    <cellStyle name="Currency 20 2 2 2 2" xfId="1244" xr:uid="{4938EEAC-A619-47DB-A018-B5EB44440825}"/>
    <cellStyle name="Currency 20 2 2 2 2 2" xfId="5032" xr:uid="{97B0A3F1-6135-481E-BC12-FE35426291BD}"/>
    <cellStyle name="Currency 20 2 2 2 3" xfId="5031" xr:uid="{343E670E-548B-4532-BED4-872AC208A535}"/>
    <cellStyle name="Currency 20 2 2 3" xfId="1245" xr:uid="{1338A569-3CCA-42B8-8692-89FE927CAE11}"/>
    <cellStyle name="Currency 20 2 2 3 2" xfId="5033" xr:uid="{4B03412F-61B3-464E-B593-FE6D922ACD7D}"/>
    <cellStyle name="Currency 20 2 2 4" xfId="5030" xr:uid="{6C92D603-436A-4139-B448-0D5F84263115}"/>
    <cellStyle name="Currency 20 2 3" xfId="1246" xr:uid="{15F53D9B-368E-45BB-9901-0028CA0C3A5F}"/>
    <cellStyle name="Currency 20 2 3 2" xfId="1247" xr:uid="{B1AD6F86-F0DF-4375-855F-3DD7C1B830D8}"/>
    <cellStyle name="Currency 20 2 3 2 2" xfId="5035" xr:uid="{E972D257-5067-4DE7-A895-2ACEDCA6B7BE}"/>
    <cellStyle name="Currency 20 2 3 3" xfId="5034" xr:uid="{A9A43923-2C85-4A91-A044-F5E90E126770}"/>
    <cellStyle name="Currency 20 2 4" xfId="1248" xr:uid="{4068BBBA-C708-4F69-BCB6-8FB5E589ADC9}"/>
    <cellStyle name="Currency 20 2 4 2" xfId="5036" xr:uid="{4D6A34FD-1546-4A75-8601-39A8C8813912}"/>
    <cellStyle name="Currency 20 2 5" xfId="5029" xr:uid="{0D8F0832-BE8D-4ED4-B331-37F23F74C37A}"/>
    <cellStyle name="Currency 20 3" xfId="1249" xr:uid="{FFF0EF48-B392-436E-9C0C-A5413B4618A3}"/>
    <cellStyle name="Currency 20 3 2" xfId="1250" xr:uid="{6ADF6139-9AD0-43A4-8BFD-527C1F0E99E2}"/>
    <cellStyle name="Currency 20 3 2 2" xfId="1251" xr:uid="{CC380C44-367B-4DEF-AE03-8DEFBC9D0880}"/>
    <cellStyle name="Currency 20 3 2 2 2" xfId="1252" xr:uid="{A9BF74B7-5BF4-48C5-96DB-581D9532E2A0}"/>
    <cellStyle name="Currency 20 3 2 2 2 2" xfId="5040" xr:uid="{4D6187D1-FAA2-47D4-A4B5-76CCFA7AD9D4}"/>
    <cellStyle name="Currency 20 3 2 2 3" xfId="5039" xr:uid="{2DBCA7A1-311C-4B7C-B98B-1431031D42E5}"/>
    <cellStyle name="Currency 20 3 2 3" xfId="1253" xr:uid="{B4CDE881-231A-47B9-B926-858C51228199}"/>
    <cellStyle name="Currency 20 3 2 3 2" xfId="5041" xr:uid="{B2689D15-B978-4A0C-8861-E3F2028FC9D9}"/>
    <cellStyle name="Currency 20 3 2 4" xfId="5038" xr:uid="{18118CA3-CF51-4923-BAF2-A50F308A4C28}"/>
    <cellStyle name="Currency 20 3 3" xfId="1254" xr:uid="{D6053FD8-282C-4EE6-8BBA-5D5B649CF8C8}"/>
    <cellStyle name="Currency 20 3 3 2" xfId="1255" xr:uid="{01A95C7A-D097-4DFE-ADAE-34596FCF934A}"/>
    <cellStyle name="Currency 20 3 3 2 2" xfId="5043" xr:uid="{2D276B9C-C433-4ABC-A14E-BA465C97563A}"/>
    <cellStyle name="Currency 20 3 3 3" xfId="5042" xr:uid="{F3E730FE-1445-45CB-A4C4-A54FBC7BE5CD}"/>
    <cellStyle name="Currency 20 3 4" xfId="1256" xr:uid="{855B0C3C-9623-4978-828F-688E8317A40D}"/>
    <cellStyle name="Currency 20 3 4 2" xfId="5044" xr:uid="{50A2316F-7B91-4246-AEFC-16173B2882AF}"/>
    <cellStyle name="Currency 20 3 5" xfId="5037" xr:uid="{C857BE4B-17E4-426F-97B0-9A164D606F87}"/>
    <cellStyle name="Currency 20 4" xfId="1257" xr:uid="{DBD48A37-1897-42B7-82B9-3D44A4DF7EB8}"/>
    <cellStyle name="Currency 20 4 2" xfId="1258" xr:uid="{0D4930F9-54FB-4F0F-B2F5-B963490DF29B}"/>
    <cellStyle name="Currency 20 4 2 2" xfId="1259" xr:uid="{AC62DF88-2B4B-46BE-9BFC-2820A105146D}"/>
    <cellStyle name="Currency 20 4 2 2 2" xfId="5047" xr:uid="{96670A07-9BD0-4D95-A66F-42287F4E3EE3}"/>
    <cellStyle name="Currency 20 4 2 3" xfId="5046" xr:uid="{62F3F3FB-1C8E-4900-8698-D00CB48EF173}"/>
    <cellStyle name="Currency 20 4 3" xfId="1260" xr:uid="{71036230-FCB5-4873-ACCA-8B30510950B0}"/>
    <cellStyle name="Currency 20 4 3 2" xfId="5048" xr:uid="{F663299C-3D2C-49E7-ADFE-2BE3221C8C2C}"/>
    <cellStyle name="Currency 20 4 4" xfId="5045" xr:uid="{03B599B5-E2AE-4729-8770-2550D215A77F}"/>
    <cellStyle name="Currency 20 5" xfId="1261" xr:uid="{2C3FE5B1-F593-4408-821D-D40777FD06C1}"/>
    <cellStyle name="Currency 20 5 2" xfId="1262" xr:uid="{894D2720-3D3E-47C6-AB6F-656A901DEC8F}"/>
    <cellStyle name="Currency 20 5 2 2" xfId="5050" xr:uid="{F4A46F7B-0E89-41D5-BF70-6AF65B5E06D8}"/>
    <cellStyle name="Currency 20 5 3" xfId="5049" xr:uid="{B6657676-A196-4031-AA59-48DF252AF5EF}"/>
    <cellStyle name="Currency 20 6" xfId="1263" xr:uid="{FD64E92B-BBEC-4FE9-944A-907C64072F9C}"/>
    <cellStyle name="Currency 20 6 2" xfId="5051" xr:uid="{AA69610E-DBC3-48B3-A71A-D2D4B0895932}"/>
    <cellStyle name="Currency 20 7" xfId="5028" xr:uid="{971F38EB-F08F-4F22-84D1-A8D85D3D37A2}"/>
    <cellStyle name="Currency 21" xfId="1264" xr:uid="{7282B663-EB5F-4D61-B644-B3D424FE7547}"/>
    <cellStyle name="Currency 21 2" xfId="1265" xr:uid="{4AA79052-56B8-48A0-A7F9-AACC381EC38C}"/>
    <cellStyle name="Currency 21 2 2" xfId="1266" xr:uid="{32EA3A83-AA20-426A-BDF6-384838B2751B}"/>
    <cellStyle name="Currency 21 2 2 2" xfId="1267" xr:uid="{CEFBB3B1-76CF-4D04-8DF4-F6F06C7145A1}"/>
    <cellStyle name="Currency 21 2 2 2 2" xfId="1268" xr:uid="{8CDEFAB7-2921-497C-B114-AE6A84FFB4AF}"/>
    <cellStyle name="Currency 21 2 2 2 2 2" xfId="5056" xr:uid="{580409CA-5AD4-4962-84CA-4329EA4F198A}"/>
    <cellStyle name="Currency 21 2 2 2 3" xfId="5055" xr:uid="{E8C1D30D-4192-45A6-B26F-850AD023D7EA}"/>
    <cellStyle name="Currency 21 2 2 3" xfId="1269" xr:uid="{876BCE08-5741-4663-A58D-0BA95627D2E3}"/>
    <cellStyle name="Currency 21 2 2 3 2" xfId="5057" xr:uid="{F2ADA6F7-8412-4B1A-A70D-2D2B38EE718A}"/>
    <cellStyle name="Currency 21 2 2 4" xfId="5054" xr:uid="{B21683FC-004E-4D5A-9894-FBFF88D53B4D}"/>
    <cellStyle name="Currency 21 2 3" xfId="1270" xr:uid="{891AE799-0664-4F16-8532-725CA8F7F048}"/>
    <cellStyle name="Currency 21 2 3 2" xfId="1271" xr:uid="{6B0C69C5-50D6-4775-8928-75E5DF9D6E75}"/>
    <cellStyle name="Currency 21 2 3 2 2" xfId="5059" xr:uid="{05728F27-943F-48B0-AA3B-FB05AFC54753}"/>
    <cellStyle name="Currency 21 2 3 3" xfId="5058" xr:uid="{D1E7B267-25A0-4117-B29A-AE73181E8F6E}"/>
    <cellStyle name="Currency 21 2 4" xfId="1272" xr:uid="{2DCD58DD-116C-4834-8453-54C8151D31B2}"/>
    <cellStyle name="Currency 21 2 4 2" xfId="5060" xr:uid="{7093C138-E7DB-4D98-B7E0-9CA2F1271CB2}"/>
    <cellStyle name="Currency 21 2 5" xfId="5053" xr:uid="{5C4435D5-8268-4927-A81F-6358778CA5E3}"/>
    <cellStyle name="Currency 21 3" xfId="1273" xr:uid="{2934A27F-7A2F-4402-9BB9-76DC3F76B389}"/>
    <cellStyle name="Currency 21 3 2" xfId="1274" xr:uid="{ED491CBE-55E5-4C8E-8023-842B451EFCAC}"/>
    <cellStyle name="Currency 21 3 2 2" xfId="1275" xr:uid="{C8CCF209-0B60-4E4F-AAFE-102AC5A78827}"/>
    <cellStyle name="Currency 21 3 2 2 2" xfId="1276" xr:uid="{78EE006E-5AAF-49EB-A5DD-8BA996C8C81A}"/>
    <cellStyle name="Currency 21 3 2 2 2 2" xfId="5064" xr:uid="{67E397B7-1710-49EB-B1F1-00B5DFFF83EF}"/>
    <cellStyle name="Currency 21 3 2 2 3" xfId="5063" xr:uid="{D23A6CEF-9C0D-4E34-B4E4-7BD7122417A2}"/>
    <cellStyle name="Currency 21 3 2 3" xfId="1277" xr:uid="{31064884-2CB5-4C83-AC49-E448CFC1DA88}"/>
    <cellStyle name="Currency 21 3 2 3 2" xfId="5065" xr:uid="{C55D2EDC-C4C4-4D60-ACC9-894B75B9CAF6}"/>
    <cellStyle name="Currency 21 3 2 4" xfId="5062" xr:uid="{A3DFD69B-F214-4F60-859C-C582820988F6}"/>
    <cellStyle name="Currency 21 3 3" xfId="1278" xr:uid="{A1B3B0F5-C7C5-45A5-8D11-50D51F21AC25}"/>
    <cellStyle name="Currency 21 3 3 2" xfId="1279" xr:uid="{916EFD4A-3FC2-43C1-B99C-18372C3956CE}"/>
    <cellStyle name="Currency 21 3 3 2 2" xfId="5067" xr:uid="{30F9BA67-7E32-40CF-8008-E526DFAB57FF}"/>
    <cellStyle name="Currency 21 3 3 3" xfId="5066" xr:uid="{460A52BE-EC02-45AC-9135-EBDF77B12136}"/>
    <cellStyle name="Currency 21 3 4" xfId="1280" xr:uid="{7392ECC1-8579-4758-A019-56D6FC0B33BA}"/>
    <cellStyle name="Currency 21 3 4 2" xfId="5068" xr:uid="{FF5D4E8D-4FD7-41F1-9244-A5A147E73E59}"/>
    <cellStyle name="Currency 21 3 5" xfId="5061" xr:uid="{A0456158-22EC-4DA3-A922-BCD25C8F9FD0}"/>
    <cellStyle name="Currency 21 4" xfId="1281" xr:uid="{58A814C0-3025-4FE2-9885-3E7E17ABD870}"/>
    <cellStyle name="Currency 21 4 2" xfId="1282" xr:uid="{DBCF8709-3D15-4A59-8A4D-3DEC13C66BB5}"/>
    <cellStyle name="Currency 21 4 2 2" xfId="1283" xr:uid="{FC1788A0-B7FC-4CA3-9AA8-22856DD1A105}"/>
    <cellStyle name="Currency 21 4 2 2 2" xfId="5071" xr:uid="{34BB853F-678E-4BDD-8E57-4DBD8817BEAF}"/>
    <cellStyle name="Currency 21 4 2 3" xfId="5070" xr:uid="{2B40E502-637D-4CEC-A06E-9E38027104C6}"/>
    <cellStyle name="Currency 21 4 3" xfId="1284" xr:uid="{BC9DC620-AE4C-4A07-8B7A-61A02CECE577}"/>
    <cellStyle name="Currency 21 4 3 2" xfId="5072" xr:uid="{CF501827-F0E9-4211-B3B5-40B8BB890A34}"/>
    <cellStyle name="Currency 21 4 4" xfId="5069" xr:uid="{BEAA6BCA-0017-4410-8658-939F5810172B}"/>
    <cellStyle name="Currency 21 5" xfId="1285" xr:uid="{A02E2B80-BF62-4866-AF65-0542C85BCE62}"/>
    <cellStyle name="Currency 21 5 2" xfId="1286" xr:uid="{2D76CFFD-C7D6-4A98-833B-E899AB1F3470}"/>
    <cellStyle name="Currency 21 5 2 2" xfId="5074" xr:uid="{CF02091D-5B6B-4FB4-9AE7-1A0A9B2EAEB3}"/>
    <cellStyle name="Currency 21 5 3" xfId="5073" xr:uid="{D2F8B04E-17F6-4DAE-91A1-498585792750}"/>
    <cellStyle name="Currency 21 6" xfId="1287" xr:uid="{C99DB0CE-EA42-483C-93DC-2F38066EF130}"/>
    <cellStyle name="Currency 21 6 2" xfId="5075" xr:uid="{E88F9163-3450-4226-8F32-B92C30B8C019}"/>
    <cellStyle name="Currency 21 7" xfId="5052" xr:uid="{B9DE7AF7-B5E3-43B2-9846-251C76DC554D}"/>
    <cellStyle name="Currency 22" xfId="1288" xr:uid="{342F83DD-200F-4699-9488-1C5F464D99F1}"/>
    <cellStyle name="Currency 22 2" xfId="1289" xr:uid="{A08DF976-E01D-42A1-AF72-371DBE6D1115}"/>
    <cellStyle name="Currency 22 2 2" xfId="1290" xr:uid="{CF33EB86-7BC7-4771-8DCC-187F83A4BCC9}"/>
    <cellStyle name="Currency 22 2 2 2" xfId="1291" xr:uid="{AD1466B6-479F-4E03-85A7-F1AA38CD697E}"/>
    <cellStyle name="Currency 22 2 2 2 2" xfId="1292" xr:uid="{A001B321-9437-4D81-B795-0D9C81634ED3}"/>
    <cellStyle name="Currency 22 2 2 2 2 2" xfId="5080" xr:uid="{3078237A-844A-4D4C-90E0-B5CE99F44865}"/>
    <cellStyle name="Currency 22 2 2 2 3" xfId="5079" xr:uid="{37640ACE-D118-486E-894E-6A54BE4C53F1}"/>
    <cellStyle name="Currency 22 2 2 3" xfId="1293" xr:uid="{E4E3224B-8915-404D-A775-9E909E68EC6F}"/>
    <cellStyle name="Currency 22 2 2 3 2" xfId="5081" xr:uid="{D18FCE81-D154-449D-BD82-54CAD213C14D}"/>
    <cellStyle name="Currency 22 2 2 4" xfId="5078" xr:uid="{E428F339-F7A5-409E-94C9-96E09AA35E6B}"/>
    <cellStyle name="Currency 22 2 3" xfId="1294" xr:uid="{D2BF7BE8-CC23-452E-AEFD-58BFFD850563}"/>
    <cellStyle name="Currency 22 2 3 2" xfId="1295" xr:uid="{7D0039E2-5C2A-4BBC-8A0F-E0B8C6DFFC2D}"/>
    <cellStyle name="Currency 22 2 3 2 2" xfId="5083" xr:uid="{FBF1286B-8D8B-4026-801F-540E44E112EE}"/>
    <cellStyle name="Currency 22 2 3 3" xfId="5082" xr:uid="{9CC40D2B-4110-432B-AA76-F2E0BD73810F}"/>
    <cellStyle name="Currency 22 2 4" xfId="1296" xr:uid="{1EF9F4E6-EB75-4DDF-822F-8530EC2F9773}"/>
    <cellStyle name="Currency 22 2 4 2" xfId="5084" xr:uid="{A5EC4756-5D17-4019-8F8B-404918908420}"/>
    <cellStyle name="Currency 22 2 5" xfId="5077" xr:uid="{0F2D6871-A0F7-401E-AE54-6CC9ADA42972}"/>
    <cellStyle name="Currency 22 3" xfId="1297" xr:uid="{AD77B468-2375-4739-943D-753F4E09E283}"/>
    <cellStyle name="Currency 22 3 2" xfId="1298" xr:uid="{A21B5EDD-4F13-4A77-918C-94D5F4AC560F}"/>
    <cellStyle name="Currency 22 3 2 2" xfId="1299" xr:uid="{01EBB8BC-B586-4B4B-B60A-B6DC487D6949}"/>
    <cellStyle name="Currency 22 3 2 2 2" xfId="1300" xr:uid="{6FE7C975-B881-4823-9795-2317772AB298}"/>
    <cellStyle name="Currency 22 3 2 2 2 2" xfId="5088" xr:uid="{DA140409-AA16-4294-B8F5-8F9E3722A058}"/>
    <cellStyle name="Currency 22 3 2 2 3" xfId="5087" xr:uid="{E1755602-34BF-4F5D-A69B-2E2400AB4263}"/>
    <cellStyle name="Currency 22 3 2 3" xfId="1301" xr:uid="{D3FFFF5E-BAF9-4BA3-B1F1-03A4454CED03}"/>
    <cellStyle name="Currency 22 3 2 3 2" xfId="5089" xr:uid="{AB1EEE1B-D39C-4336-84D9-CFE25D425955}"/>
    <cellStyle name="Currency 22 3 2 4" xfId="5086" xr:uid="{ECCF4C13-EDB9-4A12-A3CE-AC62E6520A45}"/>
    <cellStyle name="Currency 22 3 3" xfId="1302" xr:uid="{A70838AB-6273-4673-87F2-79ADAC875F02}"/>
    <cellStyle name="Currency 22 3 3 2" xfId="1303" xr:uid="{BCC018FD-9F06-4C83-B735-340F1A017C28}"/>
    <cellStyle name="Currency 22 3 3 2 2" xfId="5091" xr:uid="{711ACE38-7826-4C94-A171-74118A6B7285}"/>
    <cellStyle name="Currency 22 3 3 3" xfId="5090" xr:uid="{200F77DC-A548-4012-A334-71844EA6FE00}"/>
    <cellStyle name="Currency 22 3 4" xfId="1304" xr:uid="{B9D6E6D6-A486-4281-9AF7-6C1D6C2D760D}"/>
    <cellStyle name="Currency 22 3 4 2" xfId="5092" xr:uid="{13CFD99C-0B93-4E21-B5CB-AA3D44546ED6}"/>
    <cellStyle name="Currency 22 3 5" xfId="5085" xr:uid="{BE3E6FF0-CF75-49B8-B5D3-16AB8F7F3C50}"/>
    <cellStyle name="Currency 22 4" xfId="1305" xr:uid="{BF9B3E6C-A213-4721-AFB0-75F8AD57D656}"/>
    <cellStyle name="Currency 22 4 2" xfId="1306" xr:uid="{FFFEBCBE-25DD-4302-9F1D-4611950EE3AA}"/>
    <cellStyle name="Currency 22 4 2 2" xfId="1307" xr:uid="{ADB7682D-3B55-4F7B-B73B-31A71DE4A460}"/>
    <cellStyle name="Currency 22 4 2 2 2" xfId="5095" xr:uid="{A293ADDB-D215-45A2-8F53-77CF7D54CCE2}"/>
    <cellStyle name="Currency 22 4 2 3" xfId="5094" xr:uid="{27041DF0-B4FE-4E61-8354-BACBE6EB8B7E}"/>
    <cellStyle name="Currency 22 4 3" xfId="1308" xr:uid="{3AA7C88D-34A8-474F-A424-A21C7B0083E3}"/>
    <cellStyle name="Currency 22 4 3 2" xfId="5096" xr:uid="{873DA422-3BF0-4C9F-9060-41CA6B7A2D9F}"/>
    <cellStyle name="Currency 22 4 4" xfId="5093" xr:uid="{4F0C5DB3-7AE1-4C7C-870A-71911781970F}"/>
    <cellStyle name="Currency 22 5" xfId="1309" xr:uid="{E43EF05F-EA0D-4E85-B87F-407118343813}"/>
    <cellStyle name="Currency 22 5 2" xfId="1310" xr:uid="{0A6C9624-389E-4B09-8868-F9678D849DA1}"/>
    <cellStyle name="Currency 22 5 2 2" xfId="5098" xr:uid="{BEE6FC66-F27B-4B90-966F-795D5F634553}"/>
    <cellStyle name="Currency 22 5 3" xfId="5097" xr:uid="{13475E43-7515-42C2-A81B-BBBB4E03A243}"/>
    <cellStyle name="Currency 22 6" xfId="1311" xr:uid="{013BE73B-56CB-4598-AED5-AC0EADCC7F1F}"/>
    <cellStyle name="Currency 22 6 2" xfId="5099" xr:uid="{FF879029-703E-47D2-9104-C32C1AF79E99}"/>
    <cellStyle name="Currency 22 7" xfId="5076" xr:uid="{D7D8C392-1068-46E6-B67F-924D8CCC1B86}"/>
    <cellStyle name="Currency 23" xfId="1312" xr:uid="{A0082DFD-1830-4FE2-853A-08C520952DEC}"/>
    <cellStyle name="Currency 23 2" xfId="1313" xr:uid="{15E73CFD-BF6E-47D1-934A-AB3EA02642A0}"/>
    <cellStyle name="Currency 23 2 2" xfId="1314" xr:uid="{429099DB-E93D-4B7A-A930-93E5E2C37A76}"/>
    <cellStyle name="Currency 23 2 2 2" xfId="1315" xr:uid="{BBD94DD5-1A62-426E-8885-A3E042AA6932}"/>
    <cellStyle name="Currency 23 2 2 2 2" xfId="1316" xr:uid="{65F514F2-D82B-425E-B652-A39D617796FE}"/>
    <cellStyle name="Currency 23 2 2 2 2 2" xfId="5104" xr:uid="{DE75EB7F-8404-4092-9E33-A61177123912}"/>
    <cellStyle name="Currency 23 2 2 2 3" xfId="5103" xr:uid="{C9354D78-4DA6-4E39-A61F-E3B1E5ACB4D9}"/>
    <cellStyle name="Currency 23 2 2 3" xfId="1317" xr:uid="{8ADADCB1-B485-4E50-BABE-986A56C19C99}"/>
    <cellStyle name="Currency 23 2 2 3 2" xfId="5105" xr:uid="{4AE3476D-06AA-47FD-959A-5FF3FB35C8A2}"/>
    <cellStyle name="Currency 23 2 2 4" xfId="5102" xr:uid="{F47C8172-AAF3-463A-9F3C-6B9CCFF01E0F}"/>
    <cellStyle name="Currency 23 2 3" xfId="1318" xr:uid="{DE5DC4CB-6B64-4D57-B5F0-D657EC0846E6}"/>
    <cellStyle name="Currency 23 2 3 2" xfId="1319" xr:uid="{9840C8CF-F8A1-4E5B-8437-114725B346EA}"/>
    <cellStyle name="Currency 23 2 3 2 2" xfId="5107" xr:uid="{DE8B9256-E1E7-4BAD-B7E8-E4ECAE1B5051}"/>
    <cellStyle name="Currency 23 2 3 3" xfId="5106" xr:uid="{44269F79-F9B8-421F-9415-082657E31E5C}"/>
    <cellStyle name="Currency 23 2 4" xfId="1320" xr:uid="{EE4B70E6-B068-4F82-8A4C-11BD77EC3309}"/>
    <cellStyle name="Currency 23 2 4 2" xfId="5108" xr:uid="{FB308291-8991-4575-A3B7-CD9B1B5727CB}"/>
    <cellStyle name="Currency 23 2 5" xfId="5101" xr:uid="{32F44855-BAB7-465F-BAC4-192CB93B5042}"/>
    <cellStyle name="Currency 23 3" xfId="1321" xr:uid="{B76117DE-BEBF-4701-917D-8C680C24E2F0}"/>
    <cellStyle name="Currency 23 3 2" xfId="1322" xr:uid="{2589FFB2-C6D7-44A3-B969-7F650C2DD39F}"/>
    <cellStyle name="Currency 23 3 2 2" xfId="1323" xr:uid="{5255A774-D403-4EA4-84C9-9A3076A2D66B}"/>
    <cellStyle name="Currency 23 3 2 2 2" xfId="1324" xr:uid="{342AD6E8-7B62-4F8E-A623-15C3247ADBCF}"/>
    <cellStyle name="Currency 23 3 2 2 2 2" xfId="5112" xr:uid="{CD37A2BD-42B0-47DB-A367-83975F2E0C35}"/>
    <cellStyle name="Currency 23 3 2 2 3" xfId="5111" xr:uid="{D479AE4B-C1A9-4AFC-8804-27E3A43A8122}"/>
    <cellStyle name="Currency 23 3 2 3" xfId="1325" xr:uid="{616CD3C2-79B5-4CE5-8878-16A4A0C2109C}"/>
    <cellStyle name="Currency 23 3 2 3 2" xfId="5113" xr:uid="{D7AF3621-5F7C-485B-A640-617A5E754F06}"/>
    <cellStyle name="Currency 23 3 2 4" xfId="5110" xr:uid="{ABEE758B-8DC9-4265-80EC-0A0A88921CAE}"/>
    <cellStyle name="Currency 23 3 3" xfId="1326" xr:uid="{8B4D3729-87BB-4040-8C22-14D02363C019}"/>
    <cellStyle name="Currency 23 3 3 2" xfId="1327" xr:uid="{CB0A4B78-8EBD-4006-B425-284432E7B11A}"/>
    <cellStyle name="Currency 23 3 3 2 2" xfId="5115" xr:uid="{6EC1D500-0EE1-4D9F-B89F-C3F67E7B39ED}"/>
    <cellStyle name="Currency 23 3 3 3" xfId="5114" xr:uid="{08607CCD-7069-4205-B10E-1E3DE60D1C95}"/>
    <cellStyle name="Currency 23 3 4" xfId="1328" xr:uid="{B3102656-8805-44BD-BD19-C1E3F9C764EF}"/>
    <cellStyle name="Currency 23 3 4 2" xfId="5116" xr:uid="{462059AB-06FB-45FF-9915-75EBF0E3804E}"/>
    <cellStyle name="Currency 23 3 5" xfId="5109" xr:uid="{C183C6F8-0C15-410C-861D-F78625A0F5A8}"/>
    <cellStyle name="Currency 23 4" xfId="1329" xr:uid="{378C1556-52AB-4505-BF37-5EC9A3151686}"/>
    <cellStyle name="Currency 23 4 2" xfId="1330" xr:uid="{E960BB63-B84B-4064-B26A-271786F49696}"/>
    <cellStyle name="Currency 23 4 2 2" xfId="1331" xr:uid="{84FD771E-AE9B-491F-9D8F-12CC596E05EE}"/>
    <cellStyle name="Currency 23 4 2 2 2" xfId="5119" xr:uid="{D684EFE9-CB08-4AD4-98E2-670C202DB388}"/>
    <cellStyle name="Currency 23 4 2 3" xfId="5118" xr:uid="{7DA47866-8656-4240-BCC9-C904C948277C}"/>
    <cellStyle name="Currency 23 4 3" xfId="1332" xr:uid="{5A23BBF6-19B5-46D7-8C07-371CC4EBFBF6}"/>
    <cellStyle name="Currency 23 4 3 2" xfId="5120" xr:uid="{B631737A-1B1A-461E-A232-EDB8CDB72A9F}"/>
    <cellStyle name="Currency 23 4 4" xfId="5117" xr:uid="{9C7F3BA1-7747-482A-8449-DEE46C940838}"/>
    <cellStyle name="Currency 23 5" xfId="1333" xr:uid="{A894215D-DA6D-417E-8628-6E67BF616F9E}"/>
    <cellStyle name="Currency 23 5 2" xfId="1334" xr:uid="{C6AC0B47-02E6-4BDC-AA78-B4618F23C356}"/>
    <cellStyle name="Currency 23 5 2 2" xfId="5122" xr:uid="{9515485B-C311-4394-8ADC-EBB050CDEC58}"/>
    <cellStyle name="Currency 23 5 3" xfId="5121" xr:uid="{FFDC8A93-2304-447C-A5F9-2E4A1F6C0B4D}"/>
    <cellStyle name="Currency 23 6" xfId="1335" xr:uid="{C375DB61-B63A-43B3-BC0D-1AF2F6FF766F}"/>
    <cellStyle name="Currency 23 6 2" xfId="5123" xr:uid="{E5D92D89-E7E0-48C7-BFD5-9C7A4EB42FD9}"/>
    <cellStyle name="Currency 23 7" xfId="5100" xr:uid="{09614D80-89B8-4BE3-AEE3-512D83E86285}"/>
    <cellStyle name="Currency 24" xfId="1336" xr:uid="{54DBEE2F-20AD-4B84-B6B4-377DB25012EB}"/>
    <cellStyle name="Currency 24 2" xfId="1337" xr:uid="{1ADA7F18-0593-4EF4-A1DC-741A7953274D}"/>
    <cellStyle name="Currency 24 2 2" xfId="1338" xr:uid="{6334845C-438C-4E3F-B958-A767973AC6F6}"/>
    <cellStyle name="Currency 24 2 2 2" xfId="1339" xr:uid="{2A9FEF71-A3E6-4947-906B-7A8FC934A968}"/>
    <cellStyle name="Currency 24 2 2 2 2" xfId="1340" xr:uid="{0304B336-72E5-4068-98CC-E1FCF81C7BC5}"/>
    <cellStyle name="Currency 24 2 2 2 2 2" xfId="5128" xr:uid="{3BCC4719-C144-4880-B2B7-0482604B6732}"/>
    <cellStyle name="Currency 24 2 2 2 3" xfId="5127" xr:uid="{42196BC2-8230-44D4-9128-5FE87D70C6AA}"/>
    <cellStyle name="Currency 24 2 2 3" xfId="1341" xr:uid="{EFA9BEAF-8C2B-4BDC-A47D-55AB32BF5CCB}"/>
    <cellStyle name="Currency 24 2 2 3 2" xfId="5129" xr:uid="{CF19433E-DA04-4431-8DCA-8CB90C85D467}"/>
    <cellStyle name="Currency 24 2 2 4" xfId="5126" xr:uid="{197820DE-4185-468F-AFD9-3A2268691F20}"/>
    <cellStyle name="Currency 24 2 3" xfId="1342" xr:uid="{C368E582-F50E-432A-AC53-214F7BEC2E8F}"/>
    <cellStyle name="Currency 24 2 3 2" xfId="1343" xr:uid="{A49BCB26-75BC-4E9D-9E5F-E6E41CBAB99A}"/>
    <cellStyle name="Currency 24 2 3 2 2" xfId="5131" xr:uid="{EED26CD8-0D4A-4006-B9A7-B92AEFB695CD}"/>
    <cellStyle name="Currency 24 2 3 3" xfId="5130" xr:uid="{C9DB5630-04C2-4382-A651-6776F732908B}"/>
    <cellStyle name="Currency 24 2 4" xfId="1344" xr:uid="{25D53D36-C2AD-4B40-B998-74B29C78D1E8}"/>
    <cellStyle name="Currency 24 2 4 2" xfId="5132" xr:uid="{E3BE4FCF-2CDD-4425-901D-19C514DE9786}"/>
    <cellStyle name="Currency 24 2 5" xfId="5125" xr:uid="{0693A4B2-C935-4821-BEE6-EF61AFF69F3B}"/>
    <cellStyle name="Currency 24 3" xfId="1345" xr:uid="{1879F1A7-2F48-442C-BE66-D67E12406458}"/>
    <cellStyle name="Currency 24 3 2" xfId="1346" xr:uid="{5F0047EF-6D4C-4884-BF34-DA76936E529E}"/>
    <cellStyle name="Currency 24 3 2 2" xfId="1347" xr:uid="{7B87581B-9530-4CD2-9559-815CD0CE10B9}"/>
    <cellStyle name="Currency 24 3 2 2 2" xfId="1348" xr:uid="{069D9513-DA51-4476-A915-9EAEEA2D2B0F}"/>
    <cellStyle name="Currency 24 3 2 2 2 2" xfId="5136" xr:uid="{5A873C98-BDE8-4A65-BFA8-DD8706D77884}"/>
    <cellStyle name="Currency 24 3 2 2 3" xfId="5135" xr:uid="{BE177F15-773A-4F6F-8DAD-B4D33A5186A7}"/>
    <cellStyle name="Currency 24 3 2 3" xfId="1349" xr:uid="{896A8A08-30C7-4505-8971-E312A2A5C520}"/>
    <cellStyle name="Currency 24 3 2 3 2" xfId="5137" xr:uid="{DBFDB13E-1607-4B26-9FE6-63E787941DC4}"/>
    <cellStyle name="Currency 24 3 2 4" xfId="5134" xr:uid="{D99413F9-F0D9-4A81-A671-F5A6B57F213F}"/>
    <cellStyle name="Currency 24 3 3" xfId="1350" xr:uid="{D999B018-174C-4E0D-BC35-E2A22642B4C3}"/>
    <cellStyle name="Currency 24 3 3 2" xfId="1351" xr:uid="{779A83A0-DE39-4D76-9696-FB6709CF6AC0}"/>
    <cellStyle name="Currency 24 3 3 2 2" xfId="5139" xr:uid="{26456C36-08C1-480B-B3F1-EF34029BFA20}"/>
    <cellStyle name="Currency 24 3 3 3" xfId="5138" xr:uid="{D18EA95A-081B-4AE8-992D-D28BFE0E1E24}"/>
    <cellStyle name="Currency 24 3 4" xfId="1352" xr:uid="{9329C9DD-C84E-4563-80AE-9E54DECEC123}"/>
    <cellStyle name="Currency 24 3 4 2" xfId="5140" xr:uid="{04242908-DF96-46FA-853A-5EC398D81C9D}"/>
    <cellStyle name="Currency 24 3 5" xfId="5133" xr:uid="{82D01E28-7F80-45F2-A2B3-62BBE481AAAD}"/>
    <cellStyle name="Currency 24 4" xfId="1353" xr:uid="{AF17AEE1-B95E-463F-A4C1-A61142BFD457}"/>
    <cellStyle name="Currency 24 4 2" xfId="1354" xr:uid="{01E7531C-CDC5-428F-93D5-D4AAD16E9268}"/>
    <cellStyle name="Currency 24 4 2 2" xfId="1355" xr:uid="{A3DCEF13-AA48-4766-AAFE-0B9B1F42D462}"/>
    <cellStyle name="Currency 24 4 2 2 2" xfId="5143" xr:uid="{82D655E8-1921-4850-968D-7A864DD0FC61}"/>
    <cellStyle name="Currency 24 4 2 3" xfId="5142" xr:uid="{2710079C-87A3-45B8-90D4-E1649B4B0E46}"/>
    <cellStyle name="Currency 24 4 3" xfId="1356" xr:uid="{DAD563B4-5687-4AF8-ACA4-51506CBCB482}"/>
    <cellStyle name="Currency 24 4 3 2" xfId="5144" xr:uid="{C139996E-F881-4826-AE99-0B422DEBCA3C}"/>
    <cellStyle name="Currency 24 4 4" xfId="5141" xr:uid="{0DA6693D-E0D4-4048-9E6B-73359046492F}"/>
    <cellStyle name="Currency 24 5" xfId="1357" xr:uid="{732B156C-EC94-4E67-9FBD-66D004105D7D}"/>
    <cellStyle name="Currency 24 5 2" xfId="1358" xr:uid="{ED9E618D-5A45-4E18-9DFC-4E85F9564BCD}"/>
    <cellStyle name="Currency 24 5 2 2" xfId="5146" xr:uid="{34240FE3-A823-4605-94F6-2831C23BF71C}"/>
    <cellStyle name="Currency 24 5 3" xfId="5145" xr:uid="{AC94BF91-DB5C-4A85-8DFD-EA01F2699DDF}"/>
    <cellStyle name="Currency 24 6" xfId="1359" xr:uid="{647EE076-E337-40E3-A2E1-B68FA643EA42}"/>
    <cellStyle name="Currency 24 6 2" xfId="5147" xr:uid="{87E40C06-CDFA-4DB4-9B0A-7BA8EDB06EA2}"/>
    <cellStyle name="Currency 24 7" xfId="5124" xr:uid="{F07BDC10-E8BD-4872-8268-1E1757B95F30}"/>
    <cellStyle name="Currency 25" xfId="1360" xr:uid="{7CCDB6D1-0C76-48BE-A641-E9C9F2CE3E79}"/>
    <cellStyle name="Currency 25 2" xfId="5148" xr:uid="{FA4C6CB5-C343-4F74-8B0B-F11C79AE815B}"/>
    <cellStyle name="Currency 26" xfId="1361" xr:uid="{C6CBA059-063B-4ADB-A6C8-3703705D19B6}"/>
    <cellStyle name="Currency 26 2" xfId="1362" xr:uid="{234488A8-A6CC-4B8B-8796-22A610705657}"/>
    <cellStyle name="Currency 26 2 2" xfId="1363" xr:uid="{6D8B4C91-358F-496B-B2F1-F57F1BCD2B5E}"/>
    <cellStyle name="Currency 26 2 2 2" xfId="1364" xr:uid="{98CAEE37-BAA6-43ED-B0C5-E232F0841B05}"/>
    <cellStyle name="Currency 26 2 2 2 2" xfId="1365" xr:uid="{10C33234-7079-4FE6-853D-F711D589778E}"/>
    <cellStyle name="Currency 26 2 2 2 2 2" xfId="5153" xr:uid="{E6A21DDF-570F-4EAC-BBCD-8D9D57EF2EB5}"/>
    <cellStyle name="Currency 26 2 2 2 3" xfId="5152" xr:uid="{C3539265-5127-47BB-928A-66A4251673C1}"/>
    <cellStyle name="Currency 26 2 2 3" xfId="1366" xr:uid="{96B6F9E5-A83C-4F84-B574-F583E687FC72}"/>
    <cellStyle name="Currency 26 2 2 3 2" xfId="5154" xr:uid="{3668459B-0DDA-458F-8EBC-6B54D8A8824E}"/>
    <cellStyle name="Currency 26 2 2 4" xfId="5151" xr:uid="{2A70569E-1DA9-48B7-AFDC-E44226F5BCAA}"/>
    <cellStyle name="Currency 26 2 3" xfId="1367" xr:uid="{6C0B8838-7A37-4637-BA42-35EBDFEA6D6A}"/>
    <cellStyle name="Currency 26 2 3 2" xfId="1368" xr:uid="{F1FE3E6D-B714-4577-8FE4-5DF209890E52}"/>
    <cellStyle name="Currency 26 2 3 2 2" xfId="5156" xr:uid="{960DC284-806A-4D9E-82CC-3764C1E64BD0}"/>
    <cellStyle name="Currency 26 2 3 3" xfId="5155" xr:uid="{8A38C3EB-9B1F-4F53-A3A2-6A46E783D0D4}"/>
    <cellStyle name="Currency 26 2 4" xfId="1369" xr:uid="{636B89B7-DF4F-4925-A2ED-6EB7456AB3FF}"/>
    <cellStyle name="Currency 26 2 4 2" xfId="5157" xr:uid="{1718C69A-91B1-4A3A-8A44-A18316C6B573}"/>
    <cellStyle name="Currency 26 2 5" xfId="5150" xr:uid="{815C04F3-493B-4775-A04D-76CD405414BD}"/>
    <cellStyle name="Currency 26 3" xfId="1370" xr:uid="{3554742E-6AE5-4DBD-8A6A-134DD7E8A8EB}"/>
    <cellStyle name="Currency 26 3 2" xfId="1371" xr:uid="{1ACDE7DE-7087-4B35-B4DD-D699D03B230B}"/>
    <cellStyle name="Currency 26 3 2 2" xfId="1372" xr:uid="{50797C7B-2678-496C-9EC3-1CFF266DAB28}"/>
    <cellStyle name="Currency 26 3 2 2 2" xfId="1373" xr:uid="{4900C9B2-0235-470E-ACCC-A1A330A73DDD}"/>
    <cellStyle name="Currency 26 3 2 2 2 2" xfId="5161" xr:uid="{28AC6BCE-F05F-40BE-B928-7CAF8B675DC7}"/>
    <cellStyle name="Currency 26 3 2 2 3" xfId="5160" xr:uid="{CC245E31-304C-4786-A851-A32C16C24875}"/>
    <cellStyle name="Currency 26 3 2 3" xfId="1374" xr:uid="{74AC3620-E55B-423A-87A8-971D3DA6B0EA}"/>
    <cellStyle name="Currency 26 3 2 3 2" xfId="5162" xr:uid="{32647DED-2C4E-4837-A928-3A825BC3AF54}"/>
    <cellStyle name="Currency 26 3 2 4" xfId="5159" xr:uid="{67AFF157-A9DA-44ED-8901-0B8E71F46E20}"/>
    <cellStyle name="Currency 26 3 3" xfId="1375" xr:uid="{C1C1E077-F86A-475A-BEF3-D4F9BE523784}"/>
    <cellStyle name="Currency 26 3 3 2" xfId="1376" xr:uid="{6ACCC942-6B7D-4A54-8986-A3259C0A0395}"/>
    <cellStyle name="Currency 26 3 3 2 2" xfId="5164" xr:uid="{8F0D02AE-258E-4DD7-871D-3A8838666024}"/>
    <cellStyle name="Currency 26 3 3 3" xfId="5163" xr:uid="{921E60C9-C9C5-4BD4-BC2E-7318E3149732}"/>
    <cellStyle name="Currency 26 3 4" xfId="1377" xr:uid="{3153A75A-12A0-4A29-90AD-9DF8B38367A1}"/>
    <cellStyle name="Currency 26 3 4 2" xfId="5165" xr:uid="{74C33037-378B-4623-8723-BDA863EB8277}"/>
    <cellStyle name="Currency 26 3 5" xfId="5158" xr:uid="{4A602BB9-7D42-45CE-9C29-F949A76B6FA8}"/>
    <cellStyle name="Currency 26 4" xfId="1378" xr:uid="{54783CAF-09CD-4FE8-98F7-E3F1D2AD79A3}"/>
    <cellStyle name="Currency 26 4 2" xfId="1379" xr:uid="{773D5970-E19A-4043-9EE3-A9D6A3D28F47}"/>
    <cellStyle name="Currency 26 4 2 2" xfId="1380" xr:uid="{296365D1-9259-4B7A-AF01-31932E554E2F}"/>
    <cellStyle name="Currency 26 4 2 2 2" xfId="5168" xr:uid="{882423CF-7A0D-4A19-AA4A-AE78E2BE5448}"/>
    <cellStyle name="Currency 26 4 2 3" xfId="5167" xr:uid="{8464E725-7A18-434A-A401-BE4F2640587B}"/>
    <cellStyle name="Currency 26 4 3" xfId="1381" xr:uid="{648D1A74-109F-4EF2-B019-1821D1DCAAF6}"/>
    <cellStyle name="Currency 26 4 3 2" xfId="5169" xr:uid="{02E33ADF-A3E9-4B34-9914-58B6376D73FF}"/>
    <cellStyle name="Currency 26 4 4" xfId="5166" xr:uid="{8EE7094F-26BA-4B9B-867A-EF31DF2E750E}"/>
    <cellStyle name="Currency 26 5" xfId="1382" xr:uid="{6677EA93-0F66-4333-8C8D-A3B957E36FDA}"/>
    <cellStyle name="Currency 26 5 2" xfId="1383" xr:uid="{410CB0B3-1722-4D13-B030-759E516BA7E0}"/>
    <cellStyle name="Currency 26 5 2 2" xfId="5171" xr:uid="{912D5576-9F54-4AEF-B865-437C98D0A260}"/>
    <cellStyle name="Currency 26 5 3" xfId="5170" xr:uid="{008DB418-9360-436F-8A0A-49501391E6B9}"/>
    <cellStyle name="Currency 26 6" xfId="1384" xr:uid="{1051F6CF-98DA-4E8B-BB5A-EE6D7BAB7DDA}"/>
    <cellStyle name="Currency 26 6 2" xfId="5172" xr:uid="{210517F1-EA8E-4000-B02C-9DED10E06950}"/>
    <cellStyle name="Currency 26 7" xfId="5149" xr:uid="{A0D1A735-E91E-401C-8815-F3907FCFD32A}"/>
    <cellStyle name="Currency 27" xfId="1385" xr:uid="{EF7A48D3-5A98-4AF7-BA33-C381FFECD346}"/>
    <cellStyle name="Currency 27 2" xfId="1386" xr:uid="{B60F72ED-35D4-4A9C-90DB-4D3E4A7A8615}"/>
    <cellStyle name="Currency 27 2 2" xfId="1387" xr:uid="{28332E60-0403-48A3-8CDC-FEFC1AB60844}"/>
    <cellStyle name="Currency 27 2 2 2" xfId="1388" xr:uid="{4ECD431B-602C-4590-890F-701E8E7BE1E3}"/>
    <cellStyle name="Currency 27 2 2 2 2" xfId="1389" xr:uid="{48D2B89C-1254-4075-A015-6D1B27F60B66}"/>
    <cellStyle name="Currency 27 2 2 2 2 2" xfId="5177" xr:uid="{60F39532-C1D4-4A23-98FC-6B1571810E93}"/>
    <cellStyle name="Currency 27 2 2 2 3" xfId="5176" xr:uid="{EEA96DFB-160A-4B58-A0D8-18528612C30A}"/>
    <cellStyle name="Currency 27 2 2 3" xfId="1390" xr:uid="{27AAEB57-E7C5-4FB6-B496-F8D1E30870D9}"/>
    <cellStyle name="Currency 27 2 2 3 2" xfId="5178" xr:uid="{33928871-B3C1-4695-B76B-AB3A25ED1025}"/>
    <cellStyle name="Currency 27 2 2 4" xfId="5175" xr:uid="{B2AADD07-21B3-4C47-BDF3-650C1EAFC52F}"/>
    <cellStyle name="Currency 27 2 3" xfId="1391" xr:uid="{A57CAF1C-B9BE-4CA8-A029-C8E996C75D12}"/>
    <cellStyle name="Currency 27 2 3 2" xfId="1392" xr:uid="{F6AA87FD-E986-4551-9232-BB7FD99C4459}"/>
    <cellStyle name="Currency 27 2 3 2 2" xfId="5180" xr:uid="{787C51F3-D3C3-4B53-9849-32E2E9C88261}"/>
    <cellStyle name="Currency 27 2 3 3" xfId="5179" xr:uid="{A40198F0-465D-493D-897B-94E1B7B3F3DE}"/>
    <cellStyle name="Currency 27 2 4" xfId="1393" xr:uid="{F9E5B7F9-E9C7-492E-98DA-DDA23471D1B0}"/>
    <cellStyle name="Currency 27 2 4 2" xfId="5181" xr:uid="{F970E2BB-725E-4F81-8296-30200381F1E6}"/>
    <cellStyle name="Currency 27 2 5" xfId="5174" xr:uid="{309DA782-5FD4-46A8-BBD0-85245B6CA569}"/>
    <cellStyle name="Currency 27 3" xfId="1394" xr:uid="{6723665F-4304-4054-BC8B-731ACF803DC7}"/>
    <cellStyle name="Currency 27 3 2" xfId="1395" xr:uid="{82C8886C-9FF5-417F-A3AB-E6E26B547891}"/>
    <cellStyle name="Currency 27 3 2 2" xfId="1396" xr:uid="{0912D63B-89A8-4F99-A876-C0D8540E89ED}"/>
    <cellStyle name="Currency 27 3 2 2 2" xfId="1397" xr:uid="{A64A8152-CC40-4D77-A512-EA8629F69B4E}"/>
    <cellStyle name="Currency 27 3 2 2 2 2" xfId="5185" xr:uid="{15D386B3-53B7-413B-8281-B2CBC9F66C8D}"/>
    <cellStyle name="Currency 27 3 2 2 3" xfId="5184" xr:uid="{A2F3639B-93DF-4CD0-A4FE-7E5F8EF30B4A}"/>
    <cellStyle name="Currency 27 3 2 3" xfId="1398" xr:uid="{1BE1D871-9E49-4EB8-B3EF-D13F0B3E8DBB}"/>
    <cellStyle name="Currency 27 3 2 3 2" xfId="5186" xr:uid="{0ADA51DB-CBC5-4A20-BA3A-6C1DBF3D1211}"/>
    <cellStyle name="Currency 27 3 2 4" xfId="5183" xr:uid="{65BAF2FF-22ED-4CEA-9DA9-C8A6199E48A1}"/>
    <cellStyle name="Currency 27 3 3" xfId="1399" xr:uid="{992D02FA-786A-4D21-A0F7-CDCB6DC062BB}"/>
    <cellStyle name="Currency 27 3 3 2" xfId="1400" xr:uid="{1CF2635C-3ADA-4925-8879-6C892DD8C42D}"/>
    <cellStyle name="Currency 27 3 3 2 2" xfId="5188" xr:uid="{3F3B87A5-D076-422F-B1DD-21B38FF5FB51}"/>
    <cellStyle name="Currency 27 3 3 3" xfId="5187" xr:uid="{CAE3CC48-90C3-44DB-841C-783F2E59EA5B}"/>
    <cellStyle name="Currency 27 3 4" xfId="1401" xr:uid="{94CEB173-E27B-49AE-9975-74494C2BADC9}"/>
    <cellStyle name="Currency 27 3 4 2" xfId="5189" xr:uid="{FA49ECC8-2ECA-4B53-B1C8-5252BF65D2FF}"/>
    <cellStyle name="Currency 27 3 5" xfId="5182" xr:uid="{6B25727B-93AB-47D7-9F3E-EC9669386DFB}"/>
    <cellStyle name="Currency 27 4" xfId="1402" xr:uid="{C92391B1-9954-43FD-B38F-017849B8E131}"/>
    <cellStyle name="Currency 27 4 2" xfId="1403" xr:uid="{04111A03-0E30-4DE0-ADFB-ECEEF53C5684}"/>
    <cellStyle name="Currency 27 4 2 2" xfId="1404" xr:uid="{7A406C5A-5DA7-4700-A444-B0A8778B0DAE}"/>
    <cellStyle name="Currency 27 4 2 2 2" xfId="5192" xr:uid="{66D9D12C-64D9-4478-8336-C241D15CF709}"/>
    <cellStyle name="Currency 27 4 2 3" xfId="5191" xr:uid="{099549DE-CA22-465B-874F-5DD6FB80F47F}"/>
    <cellStyle name="Currency 27 4 3" xfId="1405" xr:uid="{682C8881-5D39-44E7-8039-4B0D02CD27A2}"/>
    <cellStyle name="Currency 27 4 3 2" xfId="5193" xr:uid="{1C280254-F34C-403B-9F8C-BE3974BFD3E9}"/>
    <cellStyle name="Currency 27 4 4" xfId="5190" xr:uid="{7106DFB3-6010-4805-98E2-8FED25509DF2}"/>
    <cellStyle name="Currency 27 5" xfId="1406" xr:uid="{A10B8776-9C7F-4642-B644-C2B1D35E45BF}"/>
    <cellStyle name="Currency 27 5 2" xfId="1407" xr:uid="{2FE42AAD-F964-4192-8A61-D44A75FC4A7B}"/>
    <cellStyle name="Currency 27 5 2 2" xfId="5195" xr:uid="{A4BB9C31-EDF7-4101-9E6C-B537E5A0F1CA}"/>
    <cellStyle name="Currency 27 5 3" xfId="5194" xr:uid="{1FDBCF60-282C-491D-9AFC-53365244C004}"/>
    <cellStyle name="Currency 27 6" xfId="1408" xr:uid="{DB38537C-D208-471A-9B0B-63BE8AAD6E16}"/>
    <cellStyle name="Currency 27 6 2" xfId="5196" xr:uid="{50E22053-AC41-4092-BE2A-9371D2B72517}"/>
    <cellStyle name="Currency 27 7" xfId="5173" xr:uid="{080C80C0-2ADF-4C7F-88F2-31BBB9920E80}"/>
    <cellStyle name="Currency 28" xfId="1409" xr:uid="{55626800-4C08-4A3D-8BC0-DEAF8852454B}"/>
    <cellStyle name="Currency 28 2" xfId="1410" xr:uid="{4714BB51-DA29-4B33-A6A3-E6D71D8825EE}"/>
    <cellStyle name="Currency 28 2 2" xfId="1411" xr:uid="{CE6321EC-1B54-420B-92E6-AC6B15CE7DA3}"/>
    <cellStyle name="Currency 28 2 2 2" xfId="1412" xr:uid="{288C1245-F659-4EA0-BDBC-8B8AA87294CA}"/>
    <cellStyle name="Currency 28 2 2 2 2" xfId="1413" xr:uid="{01A44467-44D7-44A8-B6DE-151D9D086B63}"/>
    <cellStyle name="Currency 28 2 2 2 2 2" xfId="5201" xr:uid="{7C307517-A456-4115-9CC8-B116F32C88F7}"/>
    <cellStyle name="Currency 28 2 2 2 3" xfId="5200" xr:uid="{9A9B0804-DD4A-4C24-BB7E-A7332F351919}"/>
    <cellStyle name="Currency 28 2 2 3" xfId="1414" xr:uid="{8E3F4E03-C0EE-48C6-B67E-CBE2648A6422}"/>
    <cellStyle name="Currency 28 2 2 3 2" xfId="5202" xr:uid="{5D1F86CE-8111-4AFA-A2EC-9254BF1826CE}"/>
    <cellStyle name="Currency 28 2 2 4" xfId="5199" xr:uid="{F8E8DB9F-5D26-44F3-8D93-DDB139BD54DA}"/>
    <cellStyle name="Currency 28 2 3" xfId="1415" xr:uid="{09940485-A9B4-450F-A723-60D90FEA0743}"/>
    <cellStyle name="Currency 28 2 3 2" xfId="1416" xr:uid="{0502F045-3D11-4C8C-AB70-A10204348B4A}"/>
    <cellStyle name="Currency 28 2 3 2 2" xfId="5204" xr:uid="{9DE0280A-AD99-44E6-AE12-A7552C9B0326}"/>
    <cellStyle name="Currency 28 2 3 3" xfId="5203" xr:uid="{D19200C8-1CCC-4687-90B9-7EB4581BF0C5}"/>
    <cellStyle name="Currency 28 2 4" xfId="1417" xr:uid="{53D1D8DD-F52E-462C-8BF9-25D737CDB13B}"/>
    <cellStyle name="Currency 28 2 4 2" xfId="5205" xr:uid="{63CC1974-DA11-4056-88BA-660426530803}"/>
    <cellStyle name="Currency 28 2 5" xfId="5198" xr:uid="{33059E8D-FE5C-49B5-B6B5-390009383B24}"/>
    <cellStyle name="Currency 28 3" xfId="1418" xr:uid="{5BC76F18-70C0-4A2B-B3EB-992F388280B4}"/>
    <cellStyle name="Currency 28 3 2" xfId="1419" xr:uid="{C769DC0C-7109-4DD0-8DE1-57B8C736C556}"/>
    <cellStyle name="Currency 28 3 2 2" xfId="1420" xr:uid="{B9E80968-9277-4C35-BF6D-105B992551B8}"/>
    <cellStyle name="Currency 28 3 2 2 2" xfId="1421" xr:uid="{46B49525-ABA3-4C73-A558-9B9490399C40}"/>
    <cellStyle name="Currency 28 3 2 2 2 2" xfId="5209" xr:uid="{E2B6B35A-EC65-4D26-B444-C5A2631C48CE}"/>
    <cellStyle name="Currency 28 3 2 2 3" xfId="5208" xr:uid="{A2AE96C2-84AB-4F80-A79C-B422ACB59669}"/>
    <cellStyle name="Currency 28 3 2 3" xfId="1422" xr:uid="{EDE04733-DBF3-47F1-8D0D-FBF78ECADD35}"/>
    <cellStyle name="Currency 28 3 2 3 2" xfId="5210" xr:uid="{02933895-FE88-4CCE-9BC8-0231E73D12CE}"/>
    <cellStyle name="Currency 28 3 2 4" xfId="5207" xr:uid="{FF48B745-AB92-4632-B515-E41669998623}"/>
    <cellStyle name="Currency 28 3 3" xfId="1423" xr:uid="{138E65C5-E417-45D0-A93F-5E4B1D9E8C30}"/>
    <cellStyle name="Currency 28 3 3 2" xfId="1424" xr:uid="{89A07B43-CC54-4EF9-AB5B-401076AEDC3F}"/>
    <cellStyle name="Currency 28 3 3 2 2" xfId="5212" xr:uid="{A8FE8298-E473-4B96-A575-463A52E61D1C}"/>
    <cellStyle name="Currency 28 3 3 3" xfId="5211" xr:uid="{6A31D087-8787-4D02-A4C6-A44ED06CA0EC}"/>
    <cellStyle name="Currency 28 3 4" xfId="1425" xr:uid="{187F1127-11EC-4071-8B74-DBE5B6F60E2D}"/>
    <cellStyle name="Currency 28 3 4 2" xfId="5213" xr:uid="{27CE3CCB-4960-4241-89B8-57CBAF62151D}"/>
    <cellStyle name="Currency 28 3 5" xfId="5206" xr:uid="{EB6A898C-56D6-471A-ABC3-1A8AD734E340}"/>
    <cellStyle name="Currency 28 4" xfId="1426" xr:uid="{0C9593F2-B916-4497-A47B-B30488E2D205}"/>
    <cellStyle name="Currency 28 4 2" xfId="1427" xr:uid="{7DC6AF79-06E3-4CF9-AE86-F44FAC21ACC3}"/>
    <cellStyle name="Currency 28 4 2 2" xfId="1428" xr:uid="{BE0F8295-339E-4428-BE4C-A3B56960964E}"/>
    <cellStyle name="Currency 28 4 2 2 2" xfId="5216" xr:uid="{8E49E7BC-BB2D-4B77-8776-9CAEDC0AA793}"/>
    <cellStyle name="Currency 28 4 2 3" xfId="5215" xr:uid="{178393AA-9E45-4D31-8960-9BFD2F3717BE}"/>
    <cellStyle name="Currency 28 4 3" xfId="1429" xr:uid="{019B51DA-B903-42F8-8B50-7F83B9686A24}"/>
    <cellStyle name="Currency 28 4 3 2" xfId="5217" xr:uid="{F812E73F-48AA-45DD-BA48-A8ADE320D135}"/>
    <cellStyle name="Currency 28 4 4" xfId="5214" xr:uid="{EFCB8BA5-8346-4F5A-A03C-EE6162423E73}"/>
    <cellStyle name="Currency 28 5" xfId="1430" xr:uid="{0D1673B9-4A2C-4562-BC99-B2D4B975ED8B}"/>
    <cellStyle name="Currency 28 5 2" xfId="1431" xr:uid="{D5629C80-F5E4-4EE1-81FE-9F02A36DD7FA}"/>
    <cellStyle name="Currency 28 5 2 2" xfId="5219" xr:uid="{B375032E-FB67-440F-94BB-861207D47A01}"/>
    <cellStyle name="Currency 28 5 3" xfId="5218" xr:uid="{8EB6242B-2FC4-49E6-BED4-2B7C03F6B7D0}"/>
    <cellStyle name="Currency 28 6" xfId="1432" xr:uid="{6EDCCC78-0DC5-4F37-B9A6-963D621BEADA}"/>
    <cellStyle name="Currency 28 6 2" xfId="5220" xr:uid="{F18A1317-5B0F-4258-B9E3-131602086681}"/>
    <cellStyle name="Currency 28 7" xfId="5197" xr:uid="{55F3B7EA-C68B-4EF2-AB37-A11BD72AB0D0}"/>
    <cellStyle name="Currency 29" xfId="1433" xr:uid="{5A9AA492-63E6-48AF-B995-75FEFAC45F95}"/>
    <cellStyle name="Currency 29 2" xfId="1434" xr:uid="{ACDEA1E3-DE02-4855-839C-0016454E5C47}"/>
    <cellStyle name="Currency 29 2 2" xfId="1435" xr:uid="{9560C37E-07BF-46E7-9509-2A1E5B113807}"/>
    <cellStyle name="Currency 29 2 2 2" xfId="1436" xr:uid="{33D4E3E8-E87B-42DF-A59F-221F4B512E94}"/>
    <cellStyle name="Currency 29 2 2 2 2" xfId="1437" xr:uid="{62D59FE5-51E1-4D1C-BBC4-C23ED7BFFD39}"/>
    <cellStyle name="Currency 29 2 2 2 2 2" xfId="5225" xr:uid="{8DE2F0B0-B6F6-499E-92E7-300A69560285}"/>
    <cellStyle name="Currency 29 2 2 2 3" xfId="5224" xr:uid="{FF57C831-EB8E-421A-B5B3-B03F81CFEE91}"/>
    <cellStyle name="Currency 29 2 2 3" xfId="1438" xr:uid="{54C001F6-C2E0-4C3D-A4E3-C43B4198279A}"/>
    <cellStyle name="Currency 29 2 2 3 2" xfId="5226" xr:uid="{FD0B06BB-CC70-4AA8-9DBE-A03EB2A835B9}"/>
    <cellStyle name="Currency 29 2 2 4" xfId="5223" xr:uid="{DE53F47D-B6D6-42F9-89DD-7937A6FD3243}"/>
    <cellStyle name="Currency 29 2 3" xfId="1439" xr:uid="{1E742B3F-7538-46AC-B898-27DFB5F41DE6}"/>
    <cellStyle name="Currency 29 2 3 2" xfId="1440" xr:uid="{9658B471-1D68-4DE7-A21E-B4BCC5E4A337}"/>
    <cellStyle name="Currency 29 2 3 2 2" xfId="5228" xr:uid="{4B2F03A7-E096-41B6-B7CE-1A7862137FC7}"/>
    <cellStyle name="Currency 29 2 3 3" xfId="5227" xr:uid="{55D63C19-851E-4ED7-BBEB-E4FF88BF3F90}"/>
    <cellStyle name="Currency 29 2 4" xfId="1441" xr:uid="{21ABA79E-9193-4D70-B368-0E13BC68078E}"/>
    <cellStyle name="Currency 29 2 4 2" xfId="5229" xr:uid="{7D2C51AB-BFE6-40D5-B43C-AD79FF2E4397}"/>
    <cellStyle name="Currency 29 2 5" xfId="5222" xr:uid="{7EDDE905-8203-4A79-AEFF-0399628CBDB5}"/>
    <cellStyle name="Currency 29 3" xfId="1442" xr:uid="{34D6BA1C-74BC-4C48-BBE4-3ECD0E32709A}"/>
    <cellStyle name="Currency 29 3 2" xfId="1443" xr:uid="{F5C879C3-6853-4785-B612-80B4A5DA836F}"/>
    <cellStyle name="Currency 29 3 2 2" xfId="1444" xr:uid="{583E5D0D-D37B-4BD7-AD89-3518AF6BC2C8}"/>
    <cellStyle name="Currency 29 3 2 2 2" xfId="1445" xr:uid="{1DC908ED-E44F-4382-A093-792F1D08DE2E}"/>
    <cellStyle name="Currency 29 3 2 2 2 2" xfId="5233" xr:uid="{BD7B5DD7-FE29-4B49-9F7D-4854E3C70F84}"/>
    <cellStyle name="Currency 29 3 2 2 3" xfId="5232" xr:uid="{0465E065-5C77-4A8E-9F0F-0BB2F6A2709E}"/>
    <cellStyle name="Currency 29 3 2 3" xfId="1446" xr:uid="{5EE5AED8-AB7B-4B37-9EA5-B5E475E698E8}"/>
    <cellStyle name="Currency 29 3 2 3 2" xfId="5234" xr:uid="{66475E5E-FE32-4DE7-AB4B-2427290D5254}"/>
    <cellStyle name="Currency 29 3 2 4" xfId="5231" xr:uid="{9B79A2D4-AD18-41A2-A9EF-3111F24BA8B0}"/>
    <cellStyle name="Currency 29 3 3" xfId="1447" xr:uid="{BD0224FA-F14F-40D2-998E-3C4718906C82}"/>
    <cellStyle name="Currency 29 3 3 2" xfId="1448" xr:uid="{102A93C4-4822-49AE-8F10-36F092FC9DA6}"/>
    <cellStyle name="Currency 29 3 3 2 2" xfId="5236" xr:uid="{12FB7A5B-1D52-4C6A-AC51-F689B837F501}"/>
    <cellStyle name="Currency 29 3 3 3" xfId="5235" xr:uid="{18FBFE31-0CA3-4A5E-8A38-CF513AEBC141}"/>
    <cellStyle name="Currency 29 3 4" xfId="1449" xr:uid="{E67E2A92-68B3-4C36-BBA9-D9091B91F403}"/>
    <cellStyle name="Currency 29 3 4 2" xfId="5237" xr:uid="{CAA6260A-B0AA-4104-9E95-F7C295BED336}"/>
    <cellStyle name="Currency 29 3 5" xfId="5230" xr:uid="{940DACDB-9961-4A7D-98E1-D866B14FEF83}"/>
    <cellStyle name="Currency 29 4" xfId="1450" xr:uid="{CB5BB1FB-A213-4B71-A62B-164370116345}"/>
    <cellStyle name="Currency 29 4 2" xfId="1451" xr:uid="{794C0D78-6FEC-4E8C-B7D9-F8D241C55086}"/>
    <cellStyle name="Currency 29 4 2 2" xfId="1452" xr:uid="{C50DBA85-7C12-4897-8E0A-AE752AAAFCD4}"/>
    <cellStyle name="Currency 29 4 2 2 2" xfId="5240" xr:uid="{68151C60-FBD0-4B6C-A186-35494D1228C9}"/>
    <cellStyle name="Currency 29 4 2 3" xfId="5239" xr:uid="{B3C1A4DD-C6A3-4715-99D7-4D83D6CC0272}"/>
    <cellStyle name="Currency 29 4 3" xfId="1453" xr:uid="{1B04F26E-81B5-49D9-8E53-24173115ED84}"/>
    <cellStyle name="Currency 29 4 3 2" xfId="5241" xr:uid="{A72E521F-9F36-439F-B4A8-B89E5F9ABA5E}"/>
    <cellStyle name="Currency 29 4 4" xfId="5238" xr:uid="{BCF15773-029F-4E80-93DD-D64A0F9D1B2B}"/>
    <cellStyle name="Currency 29 5" xfId="1454" xr:uid="{1C9208BE-CB84-48A6-9920-61A898292812}"/>
    <cellStyle name="Currency 29 5 2" xfId="1455" xr:uid="{BD732132-F3CB-4644-80DE-EA8BE754CC9F}"/>
    <cellStyle name="Currency 29 5 2 2" xfId="5243" xr:uid="{FE38FC14-5437-4909-9E6A-79EB5440C99C}"/>
    <cellStyle name="Currency 29 5 3" xfId="5242" xr:uid="{C0C56AB5-0110-40FE-8222-774058864723}"/>
    <cellStyle name="Currency 29 6" xfId="1456" xr:uid="{4A9E81FE-90D3-41AD-B5E9-861009F6C2FC}"/>
    <cellStyle name="Currency 29 6 2" xfId="5244" xr:uid="{ABDA7770-0D4B-4AB8-9762-92150EB2D00A}"/>
    <cellStyle name="Currency 29 7" xfId="5221" xr:uid="{EB92E70B-4393-480F-8292-78B287074244}"/>
    <cellStyle name="Currency 3" xfId="1457" xr:uid="{42847998-ADD2-4D89-AEEF-3101F87D93E9}"/>
    <cellStyle name="Currency 3 2" xfId="1458" xr:uid="{7082413B-269F-45C9-A286-CEDBB0984D03}"/>
    <cellStyle name="Currency 3 2 2" xfId="1459" xr:uid="{46CAE4B7-61CB-4709-8716-E9F1DFFF9EFF}"/>
    <cellStyle name="Currency 3 2 2 2" xfId="1460" xr:uid="{62788551-9EF9-499A-A4F4-706F84A0447A}"/>
    <cellStyle name="Currency 3 2 2 2 2" xfId="5248" xr:uid="{C3475E46-7D7F-4FFD-A962-73F489CA3562}"/>
    <cellStyle name="Currency 3 2 2 3" xfId="5247" xr:uid="{20A33FEB-70F7-42CF-9E28-B092209EF1F7}"/>
    <cellStyle name="Currency 3 2 3" xfId="1461" xr:uid="{F394493E-A151-4AB1-A133-35F4F0B8510A}"/>
    <cellStyle name="Currency 3 2 3 2" xfId="5249" xr:uid="{CD415432-E52D-4F88-AE8F-4E782B06F444}"/>
    <cellStyle name="Currency 3 2 4" xfId="1462" xr:uid="{138BFF18-E86F-4F4E-8F2F-40B9C5E464D2}"/>
    <cellStyle name="Currency 3 2 4 2" xfId="5250" xr:uid="{C7C138B5-3FB1-4AAE-8CBC-8EA8335BEF1C}"/>
    <cellStyle name="Currency 3 2 5" xfId="1463" xr:uid="{67A4AE16-324F-4B43-97F8-B693D96BD472}"/>
    <cellStyle name="Currency 3 2 5 2" xfId="5251" xr:uid="{DD45334E-EEC8-47E4-9786-0EB9BC46CC9D}"/>
    <cellStyle name="Currency 3 2 6" xfId="5246" xr:uid="{A5296B85-815E-40C2-9277-D12FBA22EC89}"/>
    <cellStyle name="Currency 3 3" xfId="1464" xr:uid="{9CF1980F-3D9A-4188-B314-3AB3E0E1EFA2}"/>
    <cellStyle name="Currency 3 3 2" xfId="5252" xr:uid="{DF47E57B-8766-43E2-ADB8-E7EDBD34D6D7}"/>
    <cellStyle name="Currency 3 4" xfId="1465" xr:uid="{534D48D1-5ED2-49A4-89E1-AC65E6515AE9}"/>
    <cellStyle name="Currency 3 4 2" xfId="5253" xr:uid="{EF036B0A-0E7E-4FBF-B94D-B5DFDD586F6F}"/>
    <cellStyle name="Currency 3 5" xfId="1466" xr:uid="{9495F42C-BFE4-4F36-94B9-6BF7C744115C}"/>
    <cellStyle name="Currency 3 5 2" xfId="5254" xr:uid="{27BEB793-D53E-45C5-AD4E-378124771646}"/>
    <cellStyle name="Currency 3 6" xfId="1467" xr:uid="{EEFEC050-B274-4ED1-9CC6-C5056D8A4B83}"/>
    <cellStyle name="Currency 3 6 2" xfId="5255" xr:uid="{E0BBEBB7-0E5F-4725-B209-105588E068B7}"/>
    <cellStyle name="Currency 3 7" xfId="5245" xr:uid="{65546D5C-3890-4F98-97B0-B62030FDCCC0}"/>
    <cellStyle name="Currency 30" xfId="77" xr:uid="{79794426-7D25-4F8E-8B79-74A749EAC16C}"/>
    <cellStyle name="Currency 30 2" xfId="4666" xr:uid="{042F13B3-01D5-418E-8E22-1541C7BEB838}"/>
    <cellStyle name="Currency 31" xfId="5466" xr:uid="{C11E0384-F522-4086-928D-BAB33492C475}"/>
    <cellStyle name="Currency 32" xfId="5513" xr:uid="{6C90E0C3-26D8-40A9-A5E1-EB7B47C4E5DC}"/>
    <cellStyle name="Currency 4" xfId="1468" xr:uid="{BD331437-CB72-44A0-8CB4-0B9CF8F61DA2}"/>
    <cellStyle name="Currency 4 10" xfId="1469" xr:uid="{83D6C96A-A300-4C9C-B1C6-850BEC1AFF31}"/>
    <cellStyle name="Currency 4 10 2" xfId="5257" xr:uid="{70D3411C-045A-4DEC-A548-7AD340482725}"/>
    <cellStyle name="Currency 4 11" xfId="5256" xr:uid="{71AD8167-5233-4DB6-B8DF-9FECEE919E1E}"/>
    <cellStyle name="Currency 4 2" xfId="1470" xr:uid="{58865B57-A78D-4305-9EE3-493E3DB75488}"/>
    <cellStyle name="Currency 4 2 2" xfId="1471" xr:uid="{01DA74E9-C0CE-4F7E-B885-841E98427EA1}"/>
    <cellStyle name="Currency 4 2 2 2" xfId="1472" xr:uid="{04D5BFA3-904A-4745-BBF4-66B2ABB7B16D}"/>
    <cellStyle name="Currency 4 2 2 2 2" xfId="1473" xr:uid="{6575AC60-CA1E-4A21-8D80-CD3F32901A8F}"/>
    <cellStyle name="Currency 4 2 2 2 2 2" xfId="5261" xr:uid="{CCB88345-A6DF-40D1-AFCE-36F3060ADFA0}"/>
    <cellStyle name="Currency 4 2 2 2 3" xfId="5260" xr:uid="{EA888C66-76B5-40E3-A39B-CA1B5DA6F7AC}"/>
    <cellStyle name="Currency 4 2 2 3" xfId="1474" xr:uid="{6C19F0A9-8A75-4B5C-ACE6-CD9EA5FF5F41}"/>
    <cellStyle name="Currency 4 2 2 3 2" xfId="5262" xr:uid="{ED8A700C-DD45-4C31-B3AB-405925EC20E8}"/>
    <cellStyle name="Currency 4 2 2 4" xfId="5259" xr:uid="{E602E2F6-EFD1-4F2E-931D-B662E7FCC980}"/>
    <cellStyle name="Currency 4 2 3" xfId="1475" xr:uid="{AB3C4D98-7502-47A8-9F27-22E2FD413543}"/>
    <cellStyle name="Currency 4 2 3 2" xfId="1476" xr:uid="{ACDA48FD-FEF4-4728-95DE-795E4E580E07}"/>
    <cellStyle name="Currency 4 2 3 2 2" xfId="5264" xr:uid="{6B7C87C6-9695-4643-864E-B2344D9C66FB}"/>
    <cellStyle name="Currency 4 2 3 3" xfId="5263" xr:uid="{3470DA2B-59E4-44A1-AC7F-4DF68E2CFBC8}"/>
    <cellStyle name="Currency 4 2 4" xfId="1477" xr:uid="{E343F17B-39C1-4A81-9A86-7EC5724079B8}"/>
    <cellStyle name="Currency 4 2 4 2" xfId="5265" xr:uid="{04B55702-459E-44F9-A7D7-3736833BC2DC}"/>
    <cellStyle name="Currency 4 2 5" xfId="5258" xr:uid="{8752BBC8-72A7-418A-BBC9-2A8B665DAE5F}"/>
    <cellStyle name="Currency 4 3" xfId="1478" xr:uid="{4377F12B-0F34-427D-8BFA-614C3B5C17B2}"/>
    <cellStyle name="Currency 4 3 2" xfId="1479" xr:uid="{7029BD96-5314-4E9F-AF62-34CFFEB49D31}"/>
    <cellStyle name="Currency 4 3 2 2" xfId="1480" xr:uid="{8C2D947E-EEAB-44E6-A24B-A5BEC0AFC636}"/>
    <cellStyle name="Currency 4 3 2 2 2" xfId="1481" xr:uid="{15E4674F-03D2-4F76-BB3A-80AB074011FD}"/>
    <cellStyle name="Currency 4 3 2 2 2 2" xfId="5269" xr:uid="{5BCC59BE-C1EB-456D-B41F-9C408CE8791F}"/>
    <cellStyle name="Currency 4 3 2 2 3" xfId="5268" xr:uid="{FD0C571C-70D0-43D8-9968-CE2C1BFA0DB8}"/>
    <cellStyle name="Currency 4 3 2 3" xfId="1482" xr:uid="{E7C56A18-43C7-4FA0-8B01-203EAB0F3A8C}"/>
    <cellStyle name="Currency 4 3 2 3 2" xfId="5270" xr:uid="{29C578CF-7703-4D41-921C-E5DCE7A870CA}"/>
    <cellStyle name="Currency 4 3 2 4" xfId="5267" xr:uid="{9FE7C29D-7774-4B7F-898E-EA396EAF2004}"/>
    <cellStyle name="Currency 4 3 3" xfId="1483" xr:uid="{D696A9A1-77AD-427D-B916-EEF92DE55170}"/>
    <cellStyle name="Currency 4 3 3 2" xfId="1484" xr:uid="{54B18035-5B58-4B45-AD8F-2A8CE64DDC04}"/>
    <cellStyle name="Currency 4 3 3 2 2" xfId="5272" xr:uid="{9E81A274-C51A-4012-9C3D-50A0B7E29ED2}"/>
    <cellStyle name="Currency 4 3 3 3" xfId="5271" xr:uid="{1D67E61D-775C-4E59-A35B-295B0A695B6E}"/>
    <cellStyle name="Currency 4 3 4" xfId="1485" xr:uid="{58304BFA-F199-478C-86A2-802B4FAFE061}"/>
    <cellStyle name="Currency 4 3 4 2" xfId="5273" xr:uid="{19273DB7-935E-461C-8DE7-E739B3E50649}"/>
    <cellStyle name="Currency 4 3 5" xfId="5266" xr:uid="{A9079819-3973-4699-B6D6-F28DE2A94E10}"/>
    <cellStyle name="Currency 4 4" xfId="1486" xr:uid="{740A08F0-B871-46A3-82C5-614377429D8A}"/>
    <cellStyle name="Currency 4 4 2" xfId="1487" xr:uid="{4444202E-283B-4C35-8803-4810690012FA}"/>
    <cellStyle name="Currency 4 4 2 2" xfId="1488" xr:uid="{BDE55FC6-593A-4A4F-8097-A2B19F0D8742}"/>
    <cellStyle name="Currency 4 4 2 2 2" xfId="5276" xr:uid="{F5DF5235-27A0-47E0-A9D3-415F582C5A81}"/>
    <cellStyle name="Currency 4 4 2 3" xfId="5275" xr:uid="{71D5A4A3-DA40-476F-83F3-F2D8E391670A}"/>
    <cellStyle name="Currency 4 4 3" xfId="1489" xr:uid="{914B1E2D-0B25-4A41-B1C2-6395A8AE8A72}"/>
    <cellStyle name="Currency 4 4 3 2" xfId="5277" xr:uid="{BAEA49C9-344B-47DE-89BD-57FBBF13165C}"/>
    <cellStyle name="Currency 4 4 4" xfId="5274" xr:uid="{6BA2B832-5437-47E1-97C6-7FDC3CE4899B}"/>
    <cellStyle name="Currency 4 5" xfId="1490" xr:uid="{ADBDFC73-4A34-432B-9A25-9CB4BB45B8E5}"/>
    <cellStyle name="Currency 4 5 2" xfId="1491" xr:uid="{5E85ABAF-E294-46AC-9E91-3409DB8B06E9}"/>
    <cellStyle name="Currency 4 5 2 2" xfId="1492" xr:uid="{74A8D142-78A7-42A3-827B-AE3D350245F9}"/>
    <cellStyle name="Currency 4 5 2 2 2" xfId="5280" xr:uid="{C7F36424-4FF2-4AD2-9791-B99DE3A214A4}"/>
    <cellStyle name="Currency 4 5 2 3" xfId="5279" xr:uid="{D27E5FDF-7D88-4C02-9AE7-C7A2D3907732}"/>
    <cellStyle name="Currency 4 5 3" xfId="1493" xr:uid="{330ADAF1-4FB0-4E2B-A823-687ED112BA0A}"/>
    <cellStyle name="Currency 4 5 3 2" xfId="5281" xr:uid="{696AD13D-E1BB-4F0B-B280-70178441E074}"/>
    <cellStyle name="Currency 4 5 4" xfId="5278" xr:uid="{A82B4A94-4CB3-4DBD-8CBF-27495854AC2E}"/>
    <cellStyle name="Currency 4 6" xfId="1494" xr:uid="{4A901495-BA57-45DB-AA3D-A875F9FF5F42}"/>
    <cellStyle name="Currency 4 6 2" xfId="1495" xr:uid="{90FF8A8F-A2F3-45C6-A3AF-6D7F1B583EB7}"/>
    <cellStyle name="Currency 4 6 2 2" xfId="1496" xr:uid="{FAE12A2D-5696-4E26-9419-8C09525D9E0C}"/>
    <cellStyle name="Currency 4 6 2 2 2" xfId="5284" xr:uid="{29619C37-8C13-4BC3-B4FC-2170CF751CBD}"/>
    <cellStyle name="Currency 4 6 2 3" xfId="5283" xr:uid="{CF9F4C63-5B8D-4754-994A-176402307B27}"/>
    <cellStyle name="Currency 4 6 3" xfId="1497" xr:uid="{30D46DE1-D51F-4CE9-9CD4-5D93430E6179}"/>
    <cellStyle name="Currency 4 6 3 2" xfId="5285" xr:uid="{7F9B5D9C-94CC-4121-B290-EACA0CDF33B1}"/>
    <cellStyle name="Currency 4 6 4" xfId="5282" xr:uid="{639CC379-CC1C-4E7E-B75F-41F976CD9A20}"/>
    <cellStyle name="Currency 4 7" xfId="1498" xr:uid="{33B1CC34-C003-4A25-A9F1-429A79C27202}"/>
    <cellStyle name="Currency 4 7 2" xfId="1499" xr:uid="{8B84C49D-AD41-411D-BEA4-B65D078543B9}"/>
    <cellStyle name="Currency 4 7 2 2" xfId="5287" xr:uid="{58F42F92-DAF6-4ADA-908A-5B877384AD93}"/>
    <cellStyle name="Currency 4 7 3" xfId="5286" xr:uid="{61E89939-0B6B-42E1-B176-B10B84872085}"/>
    <cellStyle name="Currency 4 8" xfId="1500" xr:uid="{3009CE1F-6AD8-4E59-ACC2-2B77B855A443}"/>
    <cellStyle name="Currency 4 8 2" xfId="5288" xr:uid="{45C40A7A-2CAA-4018-8735-E452CA2CF1F1}"/>
    <cellStyle name="Currency 4 9" xfId="1501" xr:uid="{202A8F61-636D-44A8-A14C-EEA94A1428EF}"/>
    <cellStyle name="Currency 4 9 2" xfId="5289" xr:uid="{48163CC9-9427-4C76-818D-3792783EB581}"/>
    <cellStyle name="Currency 5" xfId="1502" xr:uid="{1B2B3093-4087-4306-AF4B-FD1C684F4E3C}"/>
    <cellStyle name="Currency 5 2" xfId="1503" xr:uid="{DCE1790E-7E31-4577-BED2-A6C025DD25AB}"/>
    <cellStyle name="Currency 5 2 2" xfId="1504" xr:uid="{BB8B74A9-1061-4E9F-AC37-35E932A9E3F0}"/>
    <cellStyle name="Currency 5 2 2 2" xfId="1505" xr:uid="{9725E3AC-BC69-43BB-9FE0-85B596802FFC}"/>
    <cellStyle name="Currency 5 2 2 2 2" xfId="1506" xr:uid="{B4DA165A-1C28-4297-9135-ECCD69C0D1D8}"/>
    <cellStyle name="Currency 5 2 2 2 2 2" xfId="5294" xr:uid="{DA05DA4B-FE50-4D70-961D-495F60D8D789}"/>
    <cellStyle name="Currency 5 2 2 2 3" xfId="5293" xr:uid="{8C268BD6-5141-461A-AA8C-57244EFCAFF7}"/>
    <cellStyle name="Currency 5 2 2 3" xfId="1507" xr:uid="{09EB1794-803F-4955-922E-9B743EBBBDE2}"/>
    <cellStyle name="Currency 5 2 2 3 2" xfId="5295" xr:uid="{E53BED84-33B0-4C4D-86FC-F32339FF4E7D}"/>
    <cellStyle name="Currency 5 2 2 4" xfId="5292" xr:uid="{6C2BEBD7-DEEB-4FB8-8FFF-42AD475D48A9}"/>
    <cellStyle name="Currency 5 2 3" xfId="1508" xr:uid="{3900FA03-95A4-410C-A19F-52ED4257CCBD}"/>
    <cellStyle name="Currency 5 2 3 2" xfId="1509" xr:uid="{C79036A7-6D47-41C7-9BF0-153980A79FB0}"/>
    <cellStyle name="Currency 5 2 3 2 2" xfId="5297" xr:uid="{842FEFF4-E113-45B8-9FA8-259F7C1AFA72}"/>
    <cellStyle name="Currency 5 2 3 3" xfId="5296" xr:uid="{5B6D0F41-21FE-4912-A01D-FE8F166FE37F}"/>
    <cellStyle name="Currency 5 2 4" xfId="1510" xr:uid="{92313A13-5A1A-4B48-8B0D-03F16D0A987B}"/>
    <cellStyle name="Currency 5 2 4 2" xfId="5298" xr:uid="{45481735-71E5-446A-B001-0450963E0D5D}"/>
    <cellStyle name="Currency 5 2 5" xfId="5291" xr:uid="{DA88DBBA-075D-4331-8F77-3DCA37DEE988}"/>
    <cellStyle name="Currency 5 3" xfId="1511" xr:uid="{53867F65-A3E3-4B98-A7B2-076B722D0704}"/>
    <cellStyle name="Currency 5 3 2" xfId="1512" xr:uid="{AB96DABC-6BAD-455D-A105-FC935B85A353}"/>
    <cellStyle name="Currency 5 3 2 2" xfId="1513" xr:uid="{D8A628BF-78E9-4C99-8583-622A8C8FBB0C}"/>
    <cellStyle name="Currency 5 3 2 2 2" xfId="1514" xr:uid="{E8B48983-F1D5-4FB0-8789-E83DFF66450C}"/>
    <cellStyle name="Currency 5 3 2 2 2 2" xfId="5302" xr:uid="{08B175A0-351B-471A-8B06-E08EE6294C70}"/>
    <cellStyle name="Currency 5 3 2 2 3" xfId="5301" xr:uid="{EE6C1B99-1506-4C90-8A61-A9083A1DEDC9}"/>
    <cellStyle name="Currency 5 3 2 3" xfId="1515" xr:uid="{D9CD927A-7E5C-4AE4-947B-83C5F0F1892B}"/>
    <cellStyle name="Currency 5 3 2 3 2" xfId="5303" xr:uid="{99BC831A-A285-4CCB-97F4-B6144AC1C1AA}"/>
    <cellStyle name="Currency 5 3 2 4" xfId="5300" xr:uid="{AADC9C63-BC44-4E00-89EE-44224EC9C991}"/>
    <cellStyle name="Currency 5 3 3" xfId="1516" xr:uid="{ED587D9E-3F70-4558-AADA-51D2A7225D28}"/>
    <cellStyle name="Currency 5 3 3 2" xfId="1517" xr:uid="{6B4A6AA7-650C-43B5-A553-68386C9C76EC}"/>
    <cellStyle name="Currency 5 3 3 2 2" xfId="5305" xr:uid="{F7D03F0F-3B5F-4AF7-8F64-D449563724A3}"/>
    <cellStyle name="Currency 5 3 3 3" xfId="5304" xr:uid="{454A1A1D-378F-4B91-B4C7-FE46ADF4815A}"/>
    <cellStyle name="Currency 5 3 4" xfId="1518" xr:uid="{BFC42C87-A7AE-4464-83AA-A3D36C4AFC10}"/>
    <cellStyle name="Currency 5 3 4 2" xfId="5306" xr:uid="{84052BC3-CC66-4A1F-A44E-412E8A00F535}"/>
    <cellStyle name="Currency 5 3 5" xfId="5299" xr:uid="{EC741839-6FB0-40C2-952F-A51D4C8106D9}"/>
    <cellStyle name="Currency 5 4" xfId="1519" xr:uid="{75D458F3-080D-43BC-A221-6CB521BE5FEA}"/>
    <cellStyle name="Currency 5 4 2" xfId="1520" xr:uid="{DCF7BF55-9571-4290-9B42-BADF4E1D2A28}"/>
    <cellStyle name="Currency 5 4 2 2" xfId="1521" xr:uid="{BEE14BBD-92B4-4BBC-A3CA-E860AD6A24A0}"/>
    <cellStyle name="Currency 5 4 2 2 2" xfId="5309" xr:uid="{0DA82B57-E00C-4CB7-822A-4F71243EA1BA}"/>
    <cellStyle name="Currency 5 4 2 3" xfId="5308" xr:uid="{9CAFAED4-F5DC-44BC-83E8-BB0DE850F7BC}"/>
    <cellStyle name="Currency 5 4 3" xfId="1522" xr:uid="{F730B742-8E44-4E0C-9E7F-2BD124B62E1D}"/>
    <cellStyle name="Currency 5 4 3 2" xfId="5310" xr:uid="{90C875EB-3984-41BF-97D7-E38E753388CD}"/>
    <cellStyle name="Currency 5 4 4" xfId="5307" xr:uid="{9097F415-95AC-4DD7-A327-50B6A329638B}"/>
    <cellStyle name="Currency 5 5" xfId="1523" xr:uid="{910D7914-F578-487A-99A9-4BD555C31BBC}"/>
    <cellStyle name="Currency 5 5 2" xfId="1524" xr:uid="{86BD6B22-602C-4664-8AF6-F08B8646AE4A}"/>
    <cellStyle name="Currency 5 5 2 2" xfId="5312" xr:uid="{525369B3-490A-4263-BB95-60BC24B7C672}"/>
    <cellStyle name="Currency 5 5 3" xfId="5311" xr:uid="{1F063020-9CEE-4035-987B-96B070FF94A6}"/>
    <cellStyle name="Currency 5 6" xfId="1525" xr:uid="{AB5C0EE3-D8DA-4554-9469-9A38506E97D7}"/>
    <cellStyle name="Currency 5 6 2" xfId="5313" xr:uid="{9FCC86B9-4374-4102-BE38-C321CBFBA875}"/>
    <cellStyle name="Currency 5 7" xfId="5290" xr:uid="{DECBACC8-265F-4D14-B0C5-7240206A8092}"/>
    <cellStyle name="Currency 6" xfId="1526" xr:uid="{4B874F8F-0566-416C-9C93-69FE6836DFAF}"/>
    <cellStyle name="Currency 6 2" xfId="1527" xr:uid="{2AC43E5A-93F0-40E0-9D8D-62073E2A9C85}"/>
    <cellStyle name="Currency 6 2 2" xfId="1528" xr:uid="{5DE83E54-8340-4B82-A56D-AFF7453B38E1}"/>
    <cellStyle name="Currency 6 2 2 2" xfId="1529" xr:uid="{1231FE39-C181-4CF7-81DC-B5397DD904B1}"/>
    <cellStyle name="Currency 6 2 2 2 2" xfId="1530" xr:uid="{F7EC0061-945B-43D1-92C2-D95F1B0C899A}"/>
    <cellStyle name="Currency 6 2 2 2 2 2" xfId="5318" xr:uid="{FE3540B6-821A-4C7C-B802-682C52A88FD2}"/>
    <cellStyle name="Currency 6 2 2 2 3" xfId="5317" xr:uid="{8BEC7E59-7DA3-4A3C-BD04-EC39A973C90A}"/>
    <cellStyle name="Currency 6 2 2 3" xfId="1531" xr:uid="{2E4FD551-AE98-439E-95D6-D81BE16BFA4B}"/>
    <cellStyle name="Currency 6 2 2 3 2" xfId="5319" xr:uid="{2CA7C4BF-65DF-4EFB-A0E0-D817695C8CBF}"/>
    <cellStyle name="Currency 6 2 2 4" xfId="5316" xr:uid="{4CA6855D-19C5-4595-B470-05BABE8A26D3}"/>
    <cellStyle name="Currency 6 2 3" xfId="1532" xr:uid="{68E89D38-B951-43CD-A2BE-8A1D7D199244}"/>
    <cellStyle name="Currency 6 2 3 2" xfId="1533" xr:uid="{A8ED3FA0-DE6C-4EB0-8DD9-3CC4FFA1A9EA}"/>
    <cellStyle name="Currency 6 2 3 2 2" xfId="5321" xr:uid="{D777314C-7EAB-4317-AAF6-F6B66E2D0E11}"/>
    <cellStyle name="Currency 6 2 3 3" xfId="5320" xr:uid="{A945CF8E-DF3E-4167-9F5F-F04715FF6FF2}"/>
    <cellStyle name="Currency 6 2 4" xfId="1534" xr:uid="{905DFEE5-67E1-4B1F-88E7-2E339A8F70A1}"/>
    <cellStyle name="Currency 6 2 4 2" xfId="5322" xr:uid="{D0892782-C5EA-4A81-B93F-0BAADA8F9216}"/>
    <cellStyle name="Currency 6 2 5" xfId="5315" xr:uid="{12DDC504-0FED-46F0-B94F-F22144E68DEF}"/>
    <cellStyle name="Currency 6 3" xfId="1535" xr:uid="{4FDD893A-D878-4B4C-84D6-7A892BDD9E53}"/>
    <cellStyle name="Currency 6 3 2" xfId="1536" xr:uid="{D97AA9A4-A39E-4612-A644-28A2A03B7CA8}"/>
    <cellStyle name="Currency 6 3 2 2" xfId="1537" xr:uid="{D86E0309-FDF7-4292-A950-3FA14FAFD784}"/>
    <cellStyle name="Currency 6 3 2 2 2" xfId="1538" xr:uid="{3BA9B0EE-318F-4E73-A8C5-B615CB874645}"/>
    <cellStyle name="Currency 6 3 2 2 2 2" xfId="5326" xr:uid="{70CFBEA2-A8C4-41C5-B816-A8DFC01FD0EB}"/>
    <cellStyle name="Currency 6 3 2 2 3" xfId="5325" xr:uid="{F04AC2C8-63CA-4C7A-A979-42AA60C6B031}"/>
    <cellStyle name="Currency 6 3 2 3" xfId="1539" xr:uid="{676D37A9-C2AB-4933-ABBC-970A7C9BB264}"/>
    <cellStyle name="Currency 6 3 2 3 2" xfId="5327" xr:uid="{8081E9AE-63B8-4A23-87B9-D99380CE37F6}"/>
    <cellStyle name="Currency 6 3 2 4" xfId="5324" xr:uid="{B17BD372-C4C5-493D-A17A-441E82787837}"/>
    <cellStyle name="Currency 6 3 3" xfId="1540" xr:uid="{4B70D591-0F0B-4D71-8ACC-AE6327127A88}"/>
    <cellStyle name="Currency 6 3 3 2" xfId="1541" xr:uid="{41A86307-D927-48AF-A154-204E636FAD7D}"/>
    <cellStyle name="Currency 6 3 3 2 2" xfId="5329" xr:uid="{6A63E449-6D02-4F27-9030-14D4C9D2D323}"/>
    <cellStyle name="Currency 6 3 3 3" xfId="5328" xr:uid="{D525CD48-7076-42D1-A812-C3E6911CEDEA}"/>
    <cellStyle name="Currency 6 3 4" xfId="1542" xr:uid="{56A20129-DF94-480E-A28F-7456ECE78C3A}"/>
    <cellStyle name="Currency 6 3 4 2" xfId="5330" xr:uid="{47D36E8D-58AF-49E2-9995-C50B9F72A018}"/>
    <cellStyle name="Currency 6 3 5" xfId="5323" xr:uid="{06A2E863-F102-4468-9DD4-47C2740670FC}"/>
    <cellStyle name="Currency 6 4" xfId="1543" xr:uid="{0EFCA22D-571C-41CD-9FFB-F1ECA6E194EB}"/>
    <cellStyle name="Currency 6 4 2" xfId="1544" xr:uid="{4F08D915-B516-417D-97AE-497A56076787}"/>
    <cellStyle name="Currency 6 4 2 2" xfId="1545" xr:uid="{F85FA973-B47B-40CA-9FAA-4E501E0D3B32}"/>
    <cellStyle name="Currency 6 4 2 2 2" xfId="5333" xr:uid="{2DB234E4-3071-4283-B618-152F944BAD57}"/>
    <cellStyle name="Currency 6 4 2 3" xfId="5332" xr:uid="{4A279BF0-C4C9-4A77-B074-B143EE46CD30}"/>
    <cellStyle name="Currency 6 4 3" xfId="1546" xr:uid="{5FEAAEAF-D104-4F18-A084-FF76712EA1E2}"/>
    <cellStyle name="Currency 6 4 3 2" xfId="5334" xr:uid="{B7C42DB9-59CE-45A3-B86F-28CD89D58CCD}"/>
    <cellStyle name="Currency 6 4 4" xfId="5331" xr:uid="{1E65BACA-7A0D-491D-A84F-0966605AF198}"/>
    <cellStyle name="Currency 6 5" xfId="1547" xr:uid="{CF5DAAFA-DB63-45CD-A2DD-A127E90E0960}"/>
    <cellStyle name="Currency 6 5 2" xfId="1548" xr:uid="{685EB677-C9A2-4E89-BED7-F400AB363F1E}"/>
    <cellStyle name="Currency 6 5 2 2" xfId="5336" xr:uid="{7161695C-4C94-40B3-B759-23F7F5EC2FB9}"/>
    <cellStyle name="Currency 6 5 3" xfId="5335" xr:uid="{FB9D63C9-7086-4C42-895E-0DC7D61A73A4}"/>
    <cellStyle name="Currency 6 6" xfId="1549" xr:uid="{E115EEFB-EF28-40DB-B8DB-D267B275F65C}"/>
    <cellStyle name="Currency 6 6 2" xfId="5337" xr:uid="{1C17AA78-5CCE-4392-A77B-E02E500762D3}"/>
    <cellStyle name="Currency 6 7" xfId="5314" xr:uid="{7ACD0862-532B-4E99-BB03-EA1F55BA24ED}"/>
    <cellStyle name="Currency 7" xfId="1550" xr:uid="{F6210B73-4500-4800-B55D-773D492D6AB9}"/>
    <cellStyle name="Currency 7 2" xfId="1551" xr:uid="{7091E3E8-A045-4807-B5AE-241BB0E2B404}"/>
    <cellStyle name="Currency 7 2 2" xfId="5339" xr:uid="{4D52DB55-EBA7-4340-8CAE-83D5A9B08DC0}"/>
    <cellStyle name="Currency 7 3" xfId="5338" xr:uid="{0F25C180-9EBA-4B84-9DB7-9591463FFCBB}"/>
    <cellStyle name="Currency 8" xfId="1552" xr:uid="{D02CA1A6-93D8-428B-8DA1-5DC46315FF88}"/>
    <cellStyle name="Currency 8 2" xfId="1553" xr:uid="{8DD8B5C0-FA7B-43FD-8197-3A1AF2622335}"/>
    <cellStyle name="Currency 8 2 2" xfId="1554" xr:uid="{2496CA15-0FED-4359-8359-F80E2AD07F92}"/>
    <cellStyle name="Currency 8 2 2 2" xfId="1555" xr:uid="{87B01AD8-BDF6-4848-A7F3-59FA313F11D8}"/>
    <cellStyle name="Currency 8 2 2 2 2" xfId="1556" xr:uid="{467936E8-4A2A-4E0A-B370-B8B1FFEE76D6}"/>
    <cellStyle name="Currency 8 2 2 2 2 2" xfId="5344" xr:uid="{D1DAA1C4-B38D-429E-9D66-93AB88F27175}"/>
    <cellStyle name="Currency 8 2 2 2 3" xfId="5343" xr:uid="{05A63219-E01D-4C41-A6AF-D5CB8CDE1014}"/>
    <cellStyle name="Currency 8 2 2 3" xfId="1557" xr:uid="{5791AFE6-3093-48B3-B628-0801460C3490}"/>
    <cellStyle name="Currency 8 2 2 3 2" xfId="5345" xr:uid="{74FFCFC2-46A6-48F2-B6FF-EDCF478F6394}"/>
    <cellStyle name="Currency 8 2 2 4" xfId="5342" xr:uid="{FF3BB647-17C6-4D39-8087-B6860CA0C964}"/>
    <cellStyle name="Currency 8 2 3" xfId="1558" xr:uid="{5F409C43-15BD-4765-A1ED-21D4ACFCB9AD}"/>
    <cellStyle name="Currency 8 2 3 2" xfId="1559" xr:uid="{DCA9978B-BCF5-458D-9B37-6FC859924288}"/>
    <cellStyle name="Currency 8 2 3 2 2" xfId="5347" xr:uid="{EE8737A2-EF7C-4622-845F-319754A9E937}"/>
    <cellStyle name="Currency 8 2 3 3" xfId="5346" xr:uid="{4515C097-1E9C-49C9-B7A4-36AED953129C}"/>
    <cellStyle name="Currency 8 2 4" xfId="1560" xr:uid="{BECC5711-7536-484B-A017-BF1CB4171D39}"/>
    <cellStyle name="Currency 8 2 4 2" xfId="5348" xr:uid="{096E7CCD-D932-4824-A16B-AE23B8FFED67}"/>
    <cellStyle name="Currency 8 2 5" xfId="5341" xr:uid="{AFF83EF1-8020-4CB6-9F70-3E571A9450BE}"/>
    <cellStyle name="Currency 8 3" xfId="1561" xr:uid="{FA114175-B5F8-4FC9-8AF6-BEBADA83A48F}"/>
    <cellStyle name="Currency 8 3 2" xfId="1562" xr:uid="{37180819-CD90-468B-B453-0768B37F212A}"/>
    <cellStyle name="Currency 8 3 2 2" xfId="1563" xr:uid="{C624DAD2-6008-42EC-9959-DC975A677EAC}"/>
    <cellStyle name="Currency 8 3 2 2 2" xfId="1564" xr:uid="{F43258B7-EE4E-46FD-9CA3-764D366852DC}"/>
    <cellStyle name="Currency 8 3 2 2 2 2" xfId="5352" xr:uid="{AFD78903-D8D8-4A17-A3C1-DEEF96EE5467}"/>
    <cellStyle name="Currency 8 3 2 2 3" xfId="5351" xr:uid="{9F123FC5-F18B-4A90-98B2-5D014AE8196E}"/>
    <cellStyle name="Currency 8 3 2 3" xfId="1565" xr:uid="{9D77A758-FBF5-4700-8F58-BE53476A9CBD}"/>
    <cellStyle name="Currency 8 3 2 3 2" xfId="5353" xr:uid="{506896FA-0226-4A88-A263-6294A19FEE47}"/>
    <cellStyle name="Currency 8 3 2 4" xfId="5350" xr:uid="{F708BF70-E1A3-4C31-9794-528BB87C0933}"/>
    <cellStyle name="Currency 8 3 3" xfId="1566" xr:uid="{B234F5CC-39E8-4B3C-93F9-5A55675FB764}"/>
    <cellStyle name="Currency 8 3 3 2" xfId="1567" xr:uid="{67445F5B-B085-4463-BBBF-9AA47ABD82A2}"/>
    <cellStyle name="Currency 8 3 3 2 2" xfId="5355" xr:uid="{CF5DA6F8-226F-4C93-8DFB-AC345DB3877A}"/>
    <cellStyle name="Currency 8 3 3 3" xfId="5354" xr:uid="{4A900F49-3826-4ED7-A432-ABB738B95EF7}"/>
    <cellStyle name="Currency 8 3 4" xfId="1568" xr:uid="{3E699330-9476-431D-9DAB-EE1B41B79FC2}"/>
    <cellStyle name="Currency 8 3 4 2" xfId="5356" xr:uid="{570F78B8-3AB2-4605-A944-8DC56A1A1818}"/>
    <cellStyle name="Currency 8 3 5" xfId="5349" xr:uid="{45FD9C02-E3B9-4E8F-81E9-FEF9757A31F1}"/>
    <cellStyle name="Currency 8 4" xfId="1569" xr:uid="{4EFB31DA-77CE-49EC-924C-3C12194EFCA3}"/>
    <cellStyle name="Currency 8 4 2" xfId="1570" xr:uid="{6E30AFFE-36E6-4B36-A9C3-830DB1AB8F44}"/>
    <cellStyle name="Currency 8 4 2 2" xfId="1571" xr:uid="{6D4437CE-E05F-460C-BA38-76E65ECA9C98}"/>
    <cellStyle name="Currency 8 4 2 2 2" xfId="5359" xr:uid="{5670D2A0-F9F6-42BA-B2C8-33E180FA4657}"/>
    <cellStyle name="Currency 8 4 2 3" xfId="5358" xr:uid="{B6C53032-9432-4C97-89E7-610DA40F8FF2}"/>
    <cellStyle name="Currency 8 4 3" xfId="1572" xr:uid="{52D7DD8C-F162-4228-9FA8-E2E29F8032A8}"/>
    <cellStyle name="Currency 8 4 3 2" xfId="5360" xr:uid="{058794F3-5C15-4A11-B9DE-72C3C5C66FF0}"/>
    <cellStyle name="Currency 8 4 4" xfId="5357" xr:uid="{A0970C53-882B-4D53-85FE-909A559B7A61}"/>
    <cellStyle name="Currency 8 5" xfId="1573" xr:uid="{C5AB7FC5-8596-428D-B1BA-33370D28994C}"/>
    <cellStyle name="Currency 8 5 2" xfId="1574" xr:uid="{C1496D68-356C-46DA-AE7A-BD863B8B60C0}"/>
    <cellStyle name="Currency 8 5 2 2" xfId="5362" xr:uid="{84DF5327-C4D3-49AA-9658-F7BA8943B617}"/>
    <cellStyle name="Currency 8 5 3" xfId="5361" xr:uid="{3DCB09FC-C8C7-4705-9165-5946F1547279}"/>
    <cellStyle name="Currency 8 6" xfId="1575" xr:uid="{EF9CC054-53D6-4465-8EF5-F069EDAE682E}"/>
    <cellStyle name="Currency 8 6 2" xfId="5363" xr:uid="{432B7E70-B286-4701-8CD2-CF2824191BC8}"/>
    <cellStyle name="Currency 8 7" xfId="1576" xr:uid="{B2EAB8F5-0EB3-4353-ADB5-71B8664F2F59}"/>
    <cellStyle name="Currency 8 7 2" xfId="5364" xr:uid="{F5927C9D-46BE-4737-A178-70C5E4805BC6}"/>
    <cellStyle name="Currency 8 8" xfId="5340" xr:uid="{10B6AC28-FD4B-4D1F-9415-C479835552F4}"/>
    <cellStyle name="Currency 9" xfId="1577" xr:uid="{A7A8EEC6-A016-43A7-B50E-4710D64E3D16}"/>
    <cellStyle name="Currency 9 2" xfId="1578" xr:uid="{EEB7CC23-1D6F-4A6D-9324-72129AD49FA0}"/>
    <cellStyle name="Currency 9 2 2" xfId="1579" xr:uid="{FDECDAD7-5638-437B-982F-7B1B6BF3D089}"/>
    <cellStyle name="Currency 9 2 2 2" xfId="1580" xr:uid="{C09997A2-7DC5-4C7C-A681-83CFEFD37EFC}"/>
    <cellStyle name="Currency 9 2 2 2 2" xfId="1581" xr:uid="{E3786594-88C2-4DE6-BFDD-E33B37359B6C}"/>
    <cellStyle name="Currency 9 2 2 2 2 2" xfId="5369" xr:uid="{42D52D6B-C45B-447F-AC27-1AAE843982E1}"/>
    <cellStyle name="Currency 9 2 2 2 3" xfId="5368" xr:uid="{31D0D41E-91D3-4D95-B509-F343C0A557A4}"/>
    <cellStyle name="Currency 9 2 2 3" xfId="1582" xr:uid="{1D170FA1-1A02-4548-A234-CC0F988EA55D}"/>
    <cellStyle name="Currency 9 2 2 3 2" xfId="5370" xr:uid="{4C100A9D-EB84-41EA-B75B-CDEBEC39DF6D}"/>
    <cellStyle name="Currency 9 2 2 4" xfId="5367" xr:uid="{C43CDEEC-DAEA-461D-A872-6C960AE3E8DC}"/>
    <cellStyle name="Currency 9 2 3" xfId="1583" xr:uid="{F4149A13-7B9B-4AAC-9EB5-7D7D47854005}"/>
    <cellStyle name="Currency 9 2 3 2" xfId="1584" xr:uid="{68527157-C958-4F4A-B5C6-9E8684C6AAE2}"/>
    <cellStyle name="Currency 9 2 3 2 2" xfId="5372" xr:uid="{07DB03E2-3C29-4CCA-B74D-05611334EBEC}"/>
    <cellStyle name="Currency 9 2 3 3" xfId="5371" xr:uid="{CE388E0F-B6E6-485C-9A3A-BBC306CFEE04}"/>
    <cellStyle name="Currency 9 2 4" xfId="1585" xr:uid="{4CCCC7BC-84DF-4B2B-8885-C0300F4CD68A}"/>
    <cellStyle name="Currency 9 2 4 2" xfId="5373" xr:uid="{24D18840-B5D7-4C1D-998B-1FC634A3501C}"/>
    <cellStyle name="Currency 9 2 5" xfId="5366" xr:uid="{B775E30C-0845-4B09-BA48-0FFE1D7CA0DF}"/>
    <cellStyle name="Currency 9 3" xfId="1586" xr:uid="{17131D22-7057-4D35-94BA-EBBAF6E81F6E}"/>
    <cellStyle name="Currency 9 3 2" xfId="1587" xr:uid="{FDA45DBE-54A2-45D7-96EE-71156081759D}"/>
    <cellStyle name="Currency 9 3 2 2" xfId="1588" xr:uid="{10D783A7-E6C9-415E-9753-D94ED1F0A08E}"/>
    <cellStyle name="Currency 9 3 2 2 2" xfId="1589" xr:uid="{D1930826-0D96-443E-9C18-3BEFF9CAEA23}"/>
    <cellStyle name="Currency 9 3 2 2 2 2" xfId="5377" xr:uid="{7C818879-7617-49EB-9EBC-56A504A48D6A}"/>
    <cellStyle name="Currency 9 3 2 2 3" xfId="5376" xr:uid="{73BA843C-A0B5-4F70-98F1-3CD8543DF4B9}"/>
    <cellStyle name="Currency 9 3 2 3" xfId="1590" xr:uid="{1B120F38-6BD9-4552-9A9B-6B01FE409288}"/>
    <cellStyle name="Currency 9 3 2 3 2" xfId="5378" xr:uid="{F6778416-99FB-4A98-A119-EAE3AD03467A}"/>
    <cellStyle name="Currency 9 3 2 4" xfId="5375" xr:uid="{14CCF8E8-C88F-4FED-B4AF-7AD6CA7CB6A9}"/>
    <cellStyle name="Currency 9 3 3" xfId="1591" xr:uid="{898BC81A-FC93-4193-99D6-20B1AEC128DF}"/>
    <cellStyle name="Currency 9 3 3 2" xfId="1592" xr:uid="{E729EA5A-9F26-4964-A46A-19E6F9CC851A}"/>
    <cellStyle name="Currency 9 3 3 2 2" xfId="5380" xr:uid="{C1C52212-2AEA-4A0B-83C6-3979E81B98E6}"/>
    <cellStyle name="Currency 9 3 3 3" xfId="5379" xr:uid="{37C54ABC-FE24-4A17-9BF5-015AEF56B6B2}"/>
    <cellStyle name="Currency 9 3 4" xfId="1593" xr:uid="{B43364E5-F447-4E14-8717-B5AD9C313927}"/>
    <cellStyle name="Currency 9 3 4 2" xfId="5381" xr:uid="{53AA3182-8014-4D6E-8AF9-486DCF7A0F60}"/>
    <cellStyle name="Currency 9 3 5" xfId="5374" xr:uid="{093889E9-9684-4008-8E2F-E41DB38DB3CF}"/>
    <cellStyle name="Currency 9 4" xfId="1594" xr:uid="{69A6698E-40DC-4614-8BF3-AF566E091645}"/>
    <cellStyle name="Currency 9 4 2" xfId="1595" xr:uid="{8BB096C7-D7D4-473F-B021-473ACEF51905}"/>
    <cellStyle name="Currency 9 4 2 2" xfId="1596" xr:uid="{F8BB1234-0F5F-4944-BC8F-083C7A6CEA20}"/>
    <cellStyle name="Currency 9 4 2 2 2" xfId="5384" xr:uid="{B672E270-CEFA-406D-9BD9-4506B7CBEE1C}"/>
    <cellStyle name="Currency 9 4 2 3" xfId="5383" xr:uid="{1D0386A3-D447-457E-AC2A-3B36DBF68AD7}"/>
    <cellStyle name="Currency 9 4 3" xfId="1597" xr:uid="{A8C8A51B-2CC4-4508-A73C-2A8D9BB1E372}"/>
    <cellStyle name="Currency 9 4 3 2" xfId="5385" xr:uid="{08F96799-FA9E-418A-A621-A71B680580B1}"/>
    <cellStyle name="Currency 9 4 4" xfId="5382" xr:uid="{D19902B7-CA37-4CD6-8EFB-23774D83D681}"/>
    <cellStyle name="Currency 9 5" xfId="1598" xr:uid="{FBEB57A0-46DA-4727-812F-1984FD08D65B}"/>
    <cellStyle name="Currency 9 5 2" xfId="1599" xr:uid="{F2BC8936-28B3-4906-9C8A-46EB5FA2F484}"/>
    <cellStyle name="Currency 9 5 2 2" xfId="5387" xr:uid="{39DAEC5D-0C37-412F-A400-C9877F3C3525}"/>
    <cellStyle name="Currency 9 5 3" xfId="5386" xr:uid="{81D7AF9C-8E17-4314-89BE-C36A6DE8869C}"/>
    <cellStyle name="Currency 9 6" xfId="1600" xr:uid="{34C4BD31-DA10-4ACC-8741-4BF8CCCF2BD9}"/>
    <cellStyle name="Currency 9 6 2" xfId="5388" xr:uid="{AF39281F-3AEC-452E-A6A1-06A07E9A2C77}"/>
    <cellStyle name="Currency 9 7" xfId="5365" xr:uid="{AC7FE3E2-5541-4FCA-8CC0-836AEB745D54}"/>
    <cellStyle name="Currency Per Share" xfId="1601" xr:uid="{F7FF205A-8DE8-450E-BC12-09E83FAF5EBB}"/>
    <cellStyle name="Currency0" xfId="1603" xr:uid="{592484FE-7436-48F0-9548-3934E843F253}"/>
    <cellStyle name="Currency2" xfId="1604" xr:uid="{52CAB664-A077-4101-93CA-4D16364DFECD}"/>
    <cellStyle name="CUS.Work.Area" xfId="1605" xr:uid="{67D2C221-7286-4F66-A277-61B11AB0DA1C}"/>
    <cellStyle name="Dash" xfId="1606" xr:uid="{B4E7617D-3B17-48C7-A7F9-8FA53AF53882}"/>
    <cellStyle name="Data" xfId="1607" xr:uid="{175A5286-5373-4322-8FA4-C10A0B7425FF}"/>
    <cellStyle name="Data 2" xfId="1608" xr:uid="{098733C7-D035-4554-A7F2-FEDD16C3B972}"/>
    <cellStyle name="Data 2 2" xfId="5391" xr:uid="{E3ACA829-0876-4614-9307-A3FE142E2618}"/>
    <cellStyle name="Data 3" xfId="1609" xr:uid="{F5F20689-CB90-4922-A31F-DCC2867499AA}"/>
    <cellStyle name="Data 4" xfId="5390" xr:uid="{4794BFD8-4834-4EB3-B7F4-BCD9FF7B66C9}"/>
    <cellStyle name="Date" xfId="1610" xr:uid="{2A177CF7-C6B5-4542-8139-95A536E5CD36}"/>
    <cellStyle name="Date [mm-dd-yyyy]" xfId="1612" xr:uid="{FFBCA780-E2C4-4690-8D2C-D78031BAA869}"/>
    <cellStyle name="Date [mm-dd-yyyy] 2" xfId="1613" xr:uid="{66D089F8-DE80-488B-BC1A-3544AD942F48}"/>
    <cellStyle name="Date [mm-d-yyyy]" xfId="1611" xr:uid="{4081D9A8-22E3-4234-AC8B-E05FBF8FE770}"/>
    <cellStyle name="Date [mm-d-yyyy] 2" xfId="4549" xr:uid="{822766F4-50F7-4F6A-9072-2F0748DDDC70}"/>
    <cellStyle name="Date [mmm-yyyy]" xfId="1614" xr:uid="{63D01CDA-D669-461F-9492-BA961F5BC845}"/>
    <cellStyle name="Date [mmm-yyyy] 2" xfId="4550" xr:uid="{60AE34FC-76AA-496F-BAA3-4076A8575DCB}"/>
    <cellStyle name="Date Aligned" xfId="1615" xr:uid="{7758EF60-D499-4029-96AF-B4B690C59585}"/>
    <cellStyle name="Date Aligned*" xfId="1616" xr:uid="{D4DE3267-FCE5-45A0-A866-939D30B5BC3B}"/>
    <cellStyle name="Date Short" xfId="1617" xr:uid="{31C84B5F-F5C0-4EA3-A24D-79CDBB93CC46}"/>
    <cellStyle name="date_ Pies " xfId="1618" xr:uid="{9F1BA756-EEEE-4704-B04B-8643A205567B}"/>
    <cellStyle name="DblLineDollarAcct" xfId="1619" xr:uid="{29D60690-3903-4961-B243-08247C28BB64}"/>
    <cellStyle name="DblLineDollarAcct 2" xfId="5392" xr:uid="{FC4E9345-64BA-4952-A9F8-DA76D0C22AEA}"/>
    <cellStyle name="DblLinePercent" xfId="1620" xr:uid="{0E91D38B-D6B5-4917-970B-C3A1FA581DD0}"/>
    <cellStyle name="Dezimal [0]_A17 - 31.03.1998" xfId="1621" xr:uid="{84A3414D-82D0-46AC-A913-16ED76136E41}"/>
    <cellStyle name="Dezimal_A17 - 31.03.1998" xfId="1622" xr:uid="{14153C5B-D86B-4FB5-9370-D13958E178FF}"/>
    <cellStyle name="Dia" xfId="1623" xr:uid="{C43D0C12-33BF-44E9-9090-22F6305A9F18}"/>
    <cellStyle name="Dollar_ Pies " xfId="1624" xr:uid="{04DBD1A8-66B6-45E4-ADCD-EE5AEA8EB86D}"/>
    <cellStyle name="DollarAccounting" xfId="1625" xr:uid="{D2E29ECA-84C8-442C-AC7C-E37CB887FC96}"/>
    <cellStyle name="DollarAccounting 2" xfId="5393" xr:uid="{ED65688A-A761-4522-92AC-634D2C63B3C3}"/>
    <cellStyle name="Dotted Line" xfId="1626" xr:uid="{8C217928-F962-4174-B92E-F6AD63974742}"/>
    <cellStyle name="Dotted Line 2" xfId="1627" xr:uid="{515FA688-9FD9-4833-A30D-5EA9DD54FB79}"/>
    <cellStyle name="Dotted Line 3" xfId="1628" xr:uid="{F2CDE185-5977-454E-BA5C-AE24199323FA}"/>
    <cellStyle name="Double Accounting" xfId="1629" xr:uid="{FAE70770-BAB9-4BEA-95F5-89E871FD2BCD}"/>
    <cellStyle name="Double Accounting 2" xfId="5394" xr:uid="{9BAD516B-9986-4FBC-8E7F-98555C329293}"/>
    <cellStyle name="Duizenden" xfId="1630" xr:uid="{9CD4EDFD-A6FE-417A-A5E0-74F9051EC8AD}"/>
    <cellStyle name="Encabez1" xfId="1631" xr:uid="{E412AA6E-3243-47C2-919D-776CB57C6F7F}"/>
    <cellStyle name="Encabez2" xfId="1632" xr:uid="{3383039F-8CBE-48F9-A070-3F45F840CFEF}"/>
    <cellStyle name="Enter Currency (0)" xfId="1633" xr:uid="{D32333E6-A17E-4794-9C54-C9FD774FA545}"/>
    <cellStyle name="Enter Currency (2)" xfId="1634" xr:uid="{7471617F-350F-44C7-A799-B0EE6BD668FB}"/>
    <cellStyle name="Enter Units (0)" xfId="1635" xr:uid="{F9B34E47-100A-43D8-83F4-DA6D7C1EB3F3}"/>
    <cellStyle name="Enter Units (1)" xfId="1636" xr:uid="{BC681786-FC26-4763-AD29-35EB4430FE6A}"/>
    <cellStyle name="Enter Units (2)" xfId="1637" xr:uid="{53AE4EC8-D250-41F5-AB62-6E681E20B655}"/>
    <cellStyle name="Entrée" xfId="1638" xr:uid="{34D29AE5-67EC-4F0D-9B13-C7C8DFE5657D}"/>
    <cellStyle name="Entrée 2" xfId="5500" xr:uid="{2C4B3576-ABD7-4A5C-9979-729CFFE6061A}"/>
    <cellStyle name="Euro" xfId="1639" xr:uid="{AFF18259-AC5F-4942-91B1-1EBA55B38D38}"/>
    <cellStyle name="Explanatory Text" xfId="4622" builtinId="53" customBuiltin="1"/>
    <cellStyle name="Explanatory Text 2" xfId="48" xr:uid="{CC56DC62-127A-4608-931E-0EC956FF9A82}"/>
    <cellStyle name="Explanatory Text 2 2" xfId="1640" xr:uid="{46F2532C-19BB-43F6-84CF-C933062AB08F}"/>
    <cellStyle name="Explanatory Text 2 3" xfId="1641" xr:uid="{F6D95404-D53B-4885-9D0D-4D104DE11FED}"/>
    <cellStyle name="Explanatory Text 2 4" xfId="1642" xr:uid="{E7EF0F39-7718-4FB8-B50F-D1E8A18B7FEC}"/>
    <cellStyle name="Explanatory Text 2 5" xfId="1643" xr:uid="{DEC1149E-A459-4391-B69F-E03DE2B3DF87}"/>
    <cellStyle name="Explanatory Text 2 6" xfId="1644" xr:uid="{2CC0C57A-F9A1-4F41-ADBD-97C2E614671E}"/>
    <cellStyle name="Explanatory Text 2 7" xfId="1645" xr:uid="{420BB8FC-CFC7-4D6D-978F-ACA52B98C024}"/>
    <cellStyle name="Explanatory Text 2 8" xfId="1646" xr:uid="{CD90C510-A753-466F-8F9F-50E0BEE872A7}"/>
    <cellStyle name="Explanatory Text 2 9" xfId="1647" xr:uid="{95B1B78F-3AFE-4DA9-B93D-F7642829E321}"/>
    <cellStyle name="Explanatory Text 3" xfId="1648" xr:uid="{942582E8-17BA-460F-949E-439A9852FDD6}"/>
    <cellStyle name="fact" xfId="1649" xr:uid="{F871452D-63A6-4201-A475-A6B270ECA364}"/>
    <cellStyle name="fact 2" xfId="4551" xr:uid="{DDB880A2-5368-4878-A9CC-476F5F82A0AD}"/>
    <cellStyle name="FieldName" xfId="1650" xr:uid="{00251D68-3911-409B-8B6A-9E8B401762CD}"/>
    <cellStyle name="FieldName 2" xfId="5501" xr:uid="{75EDEBA7-31BD-4EAB-856E-7AD022F4E1FE}"/>
    <cellStyle name="FieldName 3" xfId="5395" xr:uid="{966A47E5-5BFA-4F7B-9423-18CEB26EAE31}"/>
    <cellStyle name="Fijo" xfId="1651" xr:uid="{EA8FBD4B-BF62-49A6-B8DD-C9D952D2156A}"/>
    <cellStyle name="Financiero" xfId="1652" xr:uid="{57CB048C-ED7D-455C-9B1A-88E8310484AA}"/>
    <cellStyle name="Fixed" xfId="1653" xr:uid="{4EED1234-2E6C-4E24-837E-37EBAE5D525F}"/>
    <cellStyle name="Followed Hyperlink 2" xfId="1654" xr:uid="{7943215B-93E6-4D60-A7FE-CE38F66D6B6B}"/>
    <cellStyle name="Footnote" xfId="1655" xr:uid="{D9114013-EE75-4A47-A123-65873089B072}"/>
    <cellStyle name="Good" xfId="4612" builtinId="26" customBuiltin="1"/>
    <cellStyle name="Good 2" xfId="49" xr:uid="{AA7A5B40-440E-4CA5-A7F8-704296A2CA4B}"/>
    <cellStyle name="Good 2 2" xfId="1656" xr:uid="{79902B6C-3FBD-49C1-97C6-28D0B85F3346}"/>
    <cellStyle name="Good 2 3" xfId="1657" xr:uid="{81CE24F5-371A-4BA7-901D-ADFBDB41016F}"/>
    <cellStyle name="Good 2 4" xfId="1658" xr:uid="{CD56106C-DD52-455A-B618-84D9B03C41C3}"/>
    <cellStyle name="Good 2 5" xfId="1659" xr:uid="{D94F6052-C2FC-472E-91B9-B378EC87A70A}"/>
    <cellStyle name="Good 2 6" xfId="1660" xr:uid="{326F994D-C5BB-40CB-AB7F-0A1F88E1EE0A}"/>
    <cellStyle name="Good 2 7" xfId="1661" xr:uid="{9E4C5BC8-95A4-4A6B-B3DA-7DA1A8089E20}"/>
    <cellStyle name="Good 2 8" xfId="1662" xr:uid="{DB0F6418-4762-4310-984C-B83E603F28AB}"/>
    <cellStyle name="Good 2 9" xfId="1663" xr:uid="{E2BD42DB-CFB7-48D0-85CC-35F95A521E05}"/>
    <cellStyle name="Good 3" xfId="1664" xr:uid="{94A6AB6E-68AE-4917-8346-078F85689EA9}"/>
    <cellStyle name="Grey" xfId="1665" xr:uid="{39E22CF6-7176-4441-A635-77ADBB040481}"/>
    <cellStyle name="GWN Table Body" xfId="1666" xr:uid="{918E966F-2DF2-44D1-88CA-569BF66EFF43}"/>
    <cellStyle name="GWN Table Header" xfId="1667" xr:uid="{DAFFDA65-B70F-4D22-9085-774DF8FE1B19}"/>
    <cellStyle name="GWN Table Left Header" xfId="1668" xr:uid="{5DB742FA-37D4-4EA1-85BA-C311F20CF0C0}"/>
    <cellStyle name="GWN Table Note" xfId="1669" xr:uid="{731A2FCB-EB66-429A-802C-399E547585E2}"/>
    <cellStyle name="GWN Table Title" xfId="1670" xr:uid="{0C37F415-7259-4F8F-A97F-DC230294EFE3}"/>
    <cellStyle name="hard no" xfId="1671" xr:uid="{B4BCB75B-573F-4F84-B93F-2FA4EEBF0367}"/>
    <cellStyle name="hard no 2" xfId="5396" xr:uid="{DA4D247E-0E7B-4940-A02D-098DC98DBF1D}"/>
    <cellStyle name="Hard Percent" xfId="1672" xr:uid="{9CA02632-101F-4621-82AD-16115E4D6659}"/>
    <cellStyle name="hardno" xfId="1673" xr:uid="{1D6D75E5-6D41-476C-A758-64C07BCCF68E}"/>
    <cellStyle name="Header" xfId="1674" xr:uid="{38BD748F-8DB4-4544-964D-9527464AD8D1}"/>
    <cellStyle name="Header1" xfId="1675" xr:uid="{91B7CFD1-C51E-490D-9A23-B563ED42E1E2}"/>
    <cellStyle name="Header1 2" xfId="5502" xr:uid="{D667E220-725A-42F8-84F9-1893CD406AD5}"/>
    <cellStyle name="Header2" xfId="1676" xr:uid="{840E7C4B-A07C-45A3-AF14-76C94DBF28AC}"/>
    <cellStyle name="Header2 2" xfId="5503" xr:uid="{00AB5EF7-F42B-4426-901C-A122B14BB962}"/>
    <cellStyle name="Header2 3" xfId="5397" xr:uid="{8978C48C-1236-46C6-AD76-234CFEE7BBF3}"/>
    <cellStyle name="Heading" xfId="1677" xr:uid="{AFFE794D-44D7-493A-A8E7-FECA9A375549}"/>
    <cellStyle name="Heading 1" xfId="4608" builtinId="16" customBuiltin="1"/>
    <cellStyle name="Heading 1 2" xfId="50" xr:uid="{CCCB9B65-60B2-4C08-A9F2-926A407E3B6D}"/>
    <cellStyle name="Heading 1 2 2" xfId="1678" xr:uid="{C55E57CC-A804-4429-9D81-B2458C3C3522}"/>
    <cellStyle name="Heading 1 2 3" xfId="1679" xr:uid="{94C176B1-87D6-4C1A-AE7F-8BECDB976255}"/>
    <cellStyle name="Heading 1 2 4" xfId="1680" xr:uid="{39A15052-48DD-473E-8925-BAC82CCE0041}"/>
    <cellStyle name="Heading 1 2 5" xfId="1681" xr:uid="{CCC9C418-0A80-4BDA-8960-15769B5928EB}"/>
    <cellStyle name="Heading 1 2 6" xfId="1682" xr:uid="{C92E029B-AA8E-4CD5-8EC9-2BFCF230C940}"/>
    <cellStyle name="Heading 1 3" xfId="1683" xr:uid="{03C718F3-569F-4AFA-9C85-E4147CE58B97}"/>
    <cellStyle name="Heading 2" xfId="4609" builtinId="17" customBuiltin="1"/>
    <cellStyle name="Heading 2 2" xfId="51" xr:uid="{149021F4-4529-40F0-A662-8EF14674B901}"/>
    <cellStyle name="Heading 2 2 2" xfId="1684" xr:uid="{455A38FC-0CD3-4EF5-9E7F-8CB161AA6BAD}"/>
    <cellStyle name="Heading 2 2 3" xfId="1685" xr:uid="{28D16F9D-65C2-4AFD-A99A-CCA5E6DFEE96}"/>
    <cellStyle name="Heading 2 2 4" xfId="1686" xr:uid="{600576FA-37E2-4C56-9E66-E55FFD9391A9}"/>
    <cellStyle name="Heading 2 2 5" xfId="1687" xr:uid="{75DDC686-B0A3-4F1C-9207-8AD00007D548}"/>
    <cellStyle name="Heading 2 2 6" xfId="1688" xr:uid="{16A2C229-143F-40DF-98F0-5DE7332B378E}"/>
    <cellStyle name="Heading 2 3" xfId="1689" xr:uid="{B8CF54D0-BB8A-4941-9694-8F03EB189CED}"/>
    <cellStyle name="Heading 3" xfId="4610" builtinId="18" customBuiltin="1"/>
    <cellStyle name="Heading 3 2" xfId="52" xr:uid="{D6E04422-1882-4493-9FD8-3A9584ED2DA5}"/>
    <cellStyle name="Heading 3 2 2" xfId="1690" xr:uid="{EED41863-5C09-44D2-9EF9-830AE844AD01}"/>
    <cellStyle name="Heading 3 2 3" xfId="1691" xr:uid="{5F2B346C-A1D7-472A-86D0-7FCC28044C88}"/>
    <cellStyle name="Heading 3 2 4" xfId="1692" xr:uid="{ED63F35F-1B45-4504-9C6E-8AB19934F1C9}"/>
    <cellStyle name="Heading 3 2 5" xfId="1693" xr:uid="{F80510E5-D27E-45FC-994D-A11DDAFA6DBF}"/>
    <cellStyle name="Heading 3 2 6" xfId="1694" xr:uid="{99D1341A-AD4F-4683-83F9-355B54FE0C10}"/>
    <cellStyle name="Heading 3 2 7" xfId="1695" xr:uid="{E1629796-8BF0-46FD-B3A6-AB86C3D42800}"/>
    <cellStyle name="Heading 3 2 8" xfId="4577" xr:uid="{A9FA8657-B132-415C-AF5B-8239E65BF24B}"/>
    <cellStyle name="Heading 3 2 8 2" xfId="5442" xr:uid="{EACC04FB-1F6D-49D1-9BF7-E01B1DDC4502}"/>
    <cellStyle name="Heading 3 2 9" xfId="4665" xr:uid="{DAB418D9-88BA-4C0F-AF4D-F1C49307F0D1}"/>
    <cellStyle name="Heading 3 3" xfId="1696" xr:uid="{A929C39C-FE8D-4340-8917-B2502F990E6C}"/>
    <cellStyle name="Heading 4" xfId="4611" builtinId="19" customBuiltin="1"/>
    <cellStyle name="Heading 4 2" xfId="53" xr:uid="{2EBF462D-2DF4-4E50-BD68-BCBC1D5CE3E9}"/>
    <cellStyle name="Heading 4 2 2" xfId="1697" xr:uid="{EDDE33BC-7BC7-453C-95ED-4197D2B0EB23}"/>
    <cellStyle name="Heading 4 3" xfId="1698" xr:uid="{EE0BCD03-8771-4E17-B96B-C24A7CDB5C4F}"/>
    <cellStyle name="Heading2" xfId="1699" xr:uid="{C24981D8-514F-4D68-81C9-DC4C0549AA4E}"/>
    <cellStyle name="Heading3" xfId="1700" xr:uid="{E6CE8ABD-6EFE-4B2A-8898-1002A438BD2B}"/>
    <cellStyle name="HeadingColumn" xfId="1701" xr:uid="{C3DADAF7-D79F-45B1-BBC0-B5B1DF428AC5}"/>
    <cellStyle name="HeadingS" xfId="1702" xr:uid="{A918B8EC-7A45-41A3-B556-0E5CB8968082}"/>
    <cellStyle name="HeadingYear" xfId="1703" xr:uid="{91DFFF05-0D1B-4F35-A056-85514F0E3E66}"/>
    <cellStyle name="HeadingYear 2" xfId="5398" xr:uid="{E86E313F-15F1-4EFC-A47A-F6399F7D15A7}"/>
    <cellStyle name="HeadlineStyle" xfId="1704" xr:uid="{B4223B37-394B-424B-AB63-7D932E9E7D48}"/>
    <cellStyle name="HeadlineStyleJustified" xfId="1705" xr:uid="{544A0B1E-1CCD-483E-916A-0E3BD4F39F07}"/>
    <cellStyle name="Hed Side_Sheet1" xfId="1706" xr:uid="{EFF584F1-EFF3-4743-A55D-D639498F50D0}"/>
    <cellStyle name="Hed Top" xfId="1707" xr:uid="{E5F72891-E3A5-4310-8163-56FA3C92D8D6}"/>
    <cellStyle name="Hyperlink" xfId="8" builtinId="8"/>
    <cellStyle name="Hyperlink 2" xfId="1708" xr:uid="{66AC6897-CA12-4DA6-8449-AA5BEF1F43CF}"/>
    <cellStyle name="Hyperlink 2 10" xfId="1709" xr:uid="{371C77A2-BB9F-40DF-915C-5A12964C26DC}"/>
    <cellStyle name="Hyperlink 2 11" xfId="1710" xr:uid="{AED69C0E-D4FF-421D-BAFD-FDAF891B6BB9}"/>
    <cellStyle name="Hyperlink 2 12" xfId="1711" xr:uid="{AEDB6A1E-C54F-46ED-88EB-C759D7013C05}"/>
    <cellStyle name="Hyperlink 2 13" xfId="1712" xr:uid="{FFF41AD5-B535-4F0E-A633-E7DEA2A86A8C}"/>
    <cellStyle name="Hyperlink 2 2" xfId="1713" xr:uid="{21B76305-7269-4D23-82E2-7D1973B960C4}"/>
    <cellStyle name="Hyperlink 2 2 2" xfId="1714" xr:uid="{A7EDA07C-B94B-422F-B5F6-EA81DC945AB9}"/>
    <cellStyle name="Hyperlink 2 3" xfId="1715" xr:uid="{9D354FF0-BA64-4A98-95AB-FA39EB0B3A8C}"/>
    <cellStyle name="Hyperlink 2 3 2" xfId="1716" xr:uid="{9C204449-584F-44EC-879D-28A7AA2C8F7F}"/>
    <cellStyle name="Hyperlink 2 4" xfId="1717" xr:uid="{75793B92-C023-4730-996D-BB1A382BD410}"/>
    <cellStyle name="Hyperlink 2 5" xfId="1718" xr:uid="{57F8764E-7031-493A-9773-2AE110A8FA08}"/>
    <cellStyle name="Hyperlink 2 6" xfId="1719" xr:uid="{A62578BE-C3EC-4F07-A78A-EFB93AB04C55}"/>
    <cellStyle name="Hyperlink 2 7" xfId="1720" xr:uid="{F617FEEF-2C88-45FC-82A2-E8924A78132F}"/>
    <cellStyle name="Hyperlink 2 8" xfId="1721" xr:uid="{EBB0E235-157C-4D45-AF6A-07C997A41320}"/>
    <cellStyle name="Hyperlink 2 9" xfId="1722" xr:uid="{B9A85B6E-C064-4CBC-8C9E-4BB89BE7DD1C}"/>
    <cellStyle name="Hyperlink 3" xfId="1723" xr:uid="{F0E6540D-EEC8-4250-892D-BD93720F03F5}"/>
    <cellStyle name="Hyperlink 3 10" xfId="1724" xr:uid="{6D8DEA26-B9C0-4FE4-9002-4597A35A846D}"/>
    <cellStyle name="Hyperlink 3 11" xfId="1725" xr:uid="{32C44725-A7DC-416B-8106-16E7567BCDE1}"/>
    <cellStyle name="Hyperlink 3 12" xfId="1726" xr:uid="{B5ADB59E-4DA5-4CDC-9CF6-BEB9CD5C95A9}"/>
    <cellStyle name="Hyperlink 3 2" xfId="1727" xr:uid="{EF719641-F8EE-4030-8D68-CBC786E1F2E5}"/>
    <cellStyle name="Hyperlink 3 3" xfId="1728" xr:uid="{FD8EF4C3-708C-421B-80B9-58192BBC776C}"/>
    <cellStyle name="Hyperlink 3 4" xfId="1729" xr:uid="{424C84AB-9011-4A2A-A53E-3DB360CF0490}"/>
    <cellStyle name="Hyperlink 3 5" xfId="1730" xr:uid="{061E1B88-56DC-4BCA-87FE-3BE4520E39D6}"/>
    <cellStyle name="Hyperlink 3 6" xfId="1731" xr:uid="{05E61F40-CAE9-404C-991C-18E7C290BD7F}"/>
    <cellStyle name="Hyperlink 3 7" xfId="1732" xr:uid="{6080A48B-CD0E-45BC-A129-83046622BF4D}"/>
    <cellStyle name="Hyperlink 3 8" xfId="1733" xr:uid="{67DE6B5B-8A18-436B-8904-FC0600073F20}"/>
    <cellStyle name="Hyperlink 3 9" xfId="1734" xr:uid="{EDB34FC3-1F0E-4491-B8B1-A7C848AB75DF}"/>
    <cellStyle name="Hyperlink 4" xfId="1735" xr:uid="{F83B4305-9CC5-44F8-B17A-873057A54ADE}"/>
    <cellStyle name="Hyperlink 5" xfId="1736" xr:uid="{90B7B39D-DC91-404E-A8DD-A129B0F9ED7A}"/>
    <cellStyle name="InLink_Acquis_CapitalCost " xfId="1737" xr:uid="{AA650807-EF25-4344-A4B7-9B95767FCB04}"/>
    <cellStyle name="Input" xfId="4615" builtinId="20" customBuiltin="1"/>
    <cellStyle name="Input (1dp#)_ Pies " xfId="1738" xr:uid="{FBD448F7-AE4D-4DCE-82DA-A51B87BC8240}"/>
    <cellStyle name="Input [yellow]" xfId="1739" xr:uid="{2E366AF6-E1EB-4BAC-82D1-EF49A5CCE187}"/>
    <cellStyle name="Input [yellow] 2" xfId="5399" xr:uid="{E367FDCE-F7F8-470E-814A-6B3D78D139DB}"/>
    <cellStyle name="Input 2" xfId="54" xr:uid="{71A8B699-7DD4-4AEB-8624-BBFDBC8814D5}"/>
    <cellStyle name="Input 2 10" xfId="4578" xr:uid="{31EB2EBD-5432-403C-B209-149E808B3599}"/>
    <cellStyle name="Input 2 10 2" xfId="5443" xr:uid="{AA010A85-776D-45F5-B69D-84B1DF266A25}"/>
    <cellStyle name="Input 2 11" xfId="5469" xr:uid="{6A91C931-D290-4811-8D23-14B99D4DE122}"/>
    <cellStyle name="Input 2 2" xfId="72" xr:uid="{22B0BFBF-EF51-40EC-BFAA-5576F69B68A0}"/>
    <cellStyle name="Input 2 2 2" xfId="89" xr:uid="{7973505B-4690-491E-828B-063A78898089}"/>
    <cellStyle name="Input 2 2 2 2" xfId="4598" xr:uid="{9031CEAC-66D6-4DC9-ABFD-515AE9FE8D7D}"/>
    <cellStyle name="Input 2 2 2 2 2" xfId="5461" xr:uid="{4C3944CB-1C2A-446F-A655-7FE57056CCA0}"/>
    <cellStyle name="Input 2 2 2 3" xfId="5487" xr:uid="{B1FD8B6F-32F0-4F86-9750-83D93EE3D427}"/>
    <cellStyle name="Input 2 2 3" xfId="4584" xr:uid="{0136F2B0-4370-4AD4-9A69-B052DBBC691F}"/>
    <cellStyle name="Input 2 2 3 2" xfId="5449" xr:uid="{C8A3E1BB-B795-49D3-86B5-D32E144BD510}"/>
    <cellStyle name="Input 2 2 4" xfId="5475" xr:uid="{559EABD8-4084-4906-ABEC-FF6C2C28DDBF}"/>
    <cellStyle name="Input 2 3" xfId="83" xr:uid="{284E1F17-63A1-4961-84A8-776E68A8B485}"/>
    <cellStyle name="Input 2 3 2" xfId="4592" xr:uid="{454FE63F-B326-437E-B48C-610401238C40}"/>
    <cellStyle name="Input 2 3 2 2" xfId="5455" xr:uid="{9AECC515-DEAF-4B9F-81C4-219C3F6C2B71}"/>
    <cellStyle name="Input 2 3 3" xfId="5481" xr:uid="{EDB82C31-C955-4592-8F9B-7D54B150CA02}"/>
    <cellStyle name="Input 2 4" xfId="1740" xr:uid="{D6D30F25-9A20-4C62-8B0F-604CB9B8B039}"/>
    <cellStyle name="Input 2 5" xfId="1741" xr:uid="{A08B7ADB-C858-4940-9694-7BACC8D9C465}"/>
    <cellStyle name="Input 2 6" xfId="1742" xr:uid="{D1436332-8821-4474-AD38-943E3FA3CE41}"/>
    <cellStyle name="Input 2 7" xfId="1743" xr:uid="{829A3B3E-D753-478D-B99D-266BFCC38E63}"/>
    <cellStyle name="Input 2 8" xfId="1744" xr:uid="{F4C9B2D9-1769-4EF6-8DD6-8A2C77180557}"/>
    <cellStyle name="Input 2 9" xfId="1745" xr:uid="{8981A3D2-CBA9-4A4D-B597-EA7A5830E61F}"/>
    <cellStyle name="Input 3" xfId="1746" xr:uid="{F083DC68-7327-4E07-A9AA-412C3EC09208}"/>
    <cellStyle name="InputBlueFont" xfId="1747" xr:uid="{015C3A94-1856-4925-8D46-A17D840B5790}"/>
    <cellStyle name="InputGen" xfId="1748" xr:uid="{57230B91-BC67-4E94-8776-B357D0BA4E22}"/>
    <cellStyle name="InputKeepColour" xfId="1749" xr:uid="{434A1D08-3C86-4F8D-8214-2CFFB5F93C1F}"/>
    <cellStyle name="InputKeepPale" xfId="1750" xr:uid="{464F7FD8-3C3C-4717-8A8D-F9002DBBA989}"/>
    <cellStyle name="InputKeepPale 2" xfId="5504" xr:uid="{DA301718-FB42-4266-B2F5-A923601EF649}"/>
    <cellStyle name="InputVariColour" xfId="1751" xr:uid="{50D361D9-31A3-4D86-A4AB-4FE975C3E83F}"/>
    <cellStyle name="Integer" xfId="1752" xr:uid="{6F8F861A-0EC2-4D6B-8C28-4502152A7769}"/>
    <cellStyle name="Invisible" xfId="1753" xr:uid="{8382B996-D084-440B-87B1-2E92AB58DEFC}"/>
    <cellStyle name="Item" xfId="1754" xr:uid="{1127F93E-9BCE-4D01-9444-09260A221217}"/>
    <cellStyle name="Items_Obligatory" xfId="1755" xr:uid="{ED95C1FF-CA8A-423E-B83B-8D16A6EB4040}"/>
    <cellStyle name="ItemTypeClass" xfId="1756" xr:uid="{6F8D425C-554F-4B91-8136-9D76C92ECD9B}"/>
    <cellStyle name="ItemTypeClass 2" xfId="4563" xr:uid="{24B02CAC-D0F8-4273-B27A-66261740C172}"/>
    <cellStyle name="ItemTypeClass 2 2" xfId="5433" xr:uid="{C5F0D130-75A7-4BD8-8089-9D6011CD6D0C}"/>
    <cellStyle name="ItemTypeClass 3" xfId="5505" xr:uid="{DBDBF2F9-5A2C-4941-95FA-B6A96BDDCE14}"/>
    <cellStyle name="ItemTypeClass 4" xfId="5400" xr:uid="{F94CD174-F3E5-4302-AAAC-B2218B2D2205}"/>
    <cellStyle name="KP_Normal" xfId="1757" xr:uid="{9CEDE2A9-1F58-495C-8C96-94A6E7F6C0D4}"/>
    <cellStyle name="Lien hypertexte visité_index" xfId="1758" xr:uid="{A4155B1F-31E6-42B7-880B-1CC2794081FF}"/>
    <cellStyle name="Lien hypertexte_index" xfId="1759" xr:uid="{2785E369-55E4-465D-B317-D5F3796E8BD7}"/>
    <cellStyle name="ligne_detail" xfId="1760" xr:uid="{16593708-617A-417E-BED1-C9DE81BCEF78}"/>
    <cellStyle name="Line" xfId="1761" xr:uid="{14A7E66E-B182-4241-8790-9519359B4371}"/>
    <cellStyle name="Line 2" xfId="4552" xr:uid="{0307E32E-8958-455D-84DA-3EE549496EB8}"/>
    <cellStyle name="Link Currency (0)" xfId="1762" xr:uid="{6B8B0560-5C30-4702-B007-9D54B023F9C3}"/>
    <cellStyle name="Link Currency (2)" xfId="1763" xr:uid="{8AD7AF67-D114-4769-8577-F5C77759AEAE}"/>
    <cellStyle name="Link Units (0)" xfId="1764" xr:uid="{148341E0-1D37-4B08-9664-2981B160A4B7}"/>
    <cellStyle name="Link Units (1)" xfId="1765" xr:uid="{EEBB8A7B-73B7-45A4-84D1-A452D3B80D5C}"/>
    <cellStyle name="Link Units (2)" xfId="1766" xr:uid="{40CF9873-D77C-4EDC-8075-A6A37208139F}"/>
    <cellStyle name="Linked Cell" xfId="4618" builtinId="24" customBuiltin="1"/>
    <cellStyle name="Linked Cell 2" xfId="55" xr:uid="{479BBD7A-6D39-4246-9EFE-35C2D8419D5D}"/>
    <cellStyle name="Linked Cell 2 2" xfId="1767" xr:uid="{B12EAA00-F687-469A-8299-3659704153CB}"/>
    <cellStyle name="Linked Cell 2 3" xfId="1768" xr:uid="{C01794F5-1DC3-406F-9317-3D7F256176EC}"/>
    <cellStyle name="Linked Cell 2 4" xfId="1769" xr:uid="{1DA30086-3AF2-4E9D-8178-8872D1CCFBFA}"/>
    <cellStyle name="Linked Cell 2 5" xfId="1770" xr:uid="{893C967B-7C7A-45A8-B1F9-6F98C69AB93D}"/>
    <cellStyle name="Linked Cell 2 6" xfId="1771" xr:uid="{1BF76199-36AD-4576-8E7D-5EE2F49B97BD}"/>
    <cellStyle name="Linked Cell 2 7" xfId="1772" xr:uid="{60F71620-CC0B-4708-B71B-DA28F7FC489E}"/>
    <cellStyle name="Linked Cell 2 8" xfId="1773" xr:uid="{76DC2029-311A-497F-A1E1-F2806B915BB7}"/>
    <cellStyle name="Linked Cell 2 9" xfId="1774" xr:uid="{C65E5366-23E1-4839-AFF8-A733052190A6}"/>
    <cellStyle name="Linked Cell 3" xfId="1775" xr:uid="{3EE1D76C-7CB9-4108-A6E8-CA6B64DFC730}"/>
    <cellStyle name="m/d/yy" xfId="1776" xr:uid="{077389F5-D2A2-471E-B4B3-710109CFF18D}"/>
    <cellStyle name="m/d/yy 2" xfId="4553" xr:uid="{2CCEEE08-96B0-4E28-8135-75AD5E54D27E}"/>
    <cellStyle name="m1" xfId="1777" xr:uid="{BB926CC6-2A74-4BC5-8AD1-6CB0754D3484}"/>
    <cellStyle name="Major item" xfId="1778" xr:uid="{29391CFA-1392-4AC8-A4F7-DF4D98A8176F}"/>
    <cellStyle name="Margin" xfId="1779" xr:uid="{A764DE97-D6BE-4D08-AE53-1D3C915CA61A}"/>
    <cellStyle name="Migliaia (0)_Sheet1" xfId="1780" xr:uid="{768A94AC-790A-422B-883D-5D794B4D69C4}"/>
    <cellStyle name="Migliaia_piv_polio" xfId="1781" xr:uid="{5B18B969-932C-4AD3-895B-A6B57D2860EB}"/>
    <cellStyle name="Millares [0]_Asset Mgmt " xfId="1782" xr:uid="{547770D2-7690-43B7-93B4-44B085506812}"/>
    <cellStyle name="Millares_2AV_M_M " xfId="1783" xr:uid="{47C58438-F49D-4C9D-BB8B-ED0EEF4CDB64}"/>
    <cellStyle name="Milliers [0]_CANADA1" xfId="1784" xr:uid="{F7442FBE-B43A-475C-9378-357577B35F4B}"/>
    <cellStyle name="Milliers 2" xfId="1785" xr:uid="{95B2EB70-F8D0-4494-8D3E-2F5F10537077}"/>
    <cellStyle name="Milliers_CANADA1" xfId="1786" xr:uid="{929C83D6-8FA8-4CF3-B61D-2A7D9060FB4A}"/>
    <cellStyle name="mm/dd/yy" xfId="1787" xr:uid="{6E1A749E-77CC-4D35-9317-D1D98F9D9417}"/>
    <cellStyle name="mod1" xfId="1788" xr:uid="{DA859E9D-41D3-4F32-AA13-016C5C29BE88}"/>
    <cellStyle name="modelo1" xfId="1789" xr:uid="{821437E6-FEC0-4394-9A7E-D6F18C013BE3}"/>
    <cellStyle name="Moneda [0]_2AV_M_M " xfId="1790" xr:uid="{816E67A7-A80E-4BE2-8CEC-D38F6B8C0FC1}"/>
    <cellStyle name="Moneda_2AV_M_M " xfId="1791" xr:uid="{8CB42325-6CC4-4E2B-ADED-AEEB7F0D9F0E}"/>
    <cellStyle name="Monétaire [0]_CANADA1" xfId="1792" xr:uid="{506BDB79-068D-460C-9B10-3326F7A4138A}"/>
    <cellStyle name="Monétaire 2" xfId="1793" xr:uid="{E737C84B-915F-48A8-B690-FE09D6C4141A}"/>
    <cellStyle name="Monétaire_CANADA1" xfId="1794" xr:uid="{1596D4C6-A118-4225-82AE-E946C27BD428}"/>
    <cellStyle name="Monetario" xfId="1795" xr:uid="{AC1CA11D-DE9D-4D53-91BA-BC522C6A3E5C}"/>
    <cellStyle name="MonthYears" xfId="1796" xr:uid="{5C8C4F33-3AA0-45AE-B4E0-3A0487BB3476}"/>
    <cellStyle name="Multiple" xfId="1797" xr:uid="{06662FF4-9DC9-4C57-A81C-63F7713DB08E}"/>
    <cellStyle name="Multiple (no x)" xfId="1798" xr:uid="{6CE40D4E-2E25-43B6-939D-1DB893ED6279}"/>
    <cellStyle name="Multiple (x)" xfId="1799" xr:uid="{23B2D583-5768-4FA7-843E-1F3DD8098765}"/>
    <cellStyle name="Multiple [0]" xfId="1800" xr:uid="{99FAD842-6591-4A7A-94B7-CDA0AF89A261}"/>
    <cellStyle name="Multiple [1]" xfId="1801" xr:uid="{7814590C-2A7B-467F-9937-F35F2B013EA6}"/>
    <cellStyle name="Multiple [2]" xfId="1802" xr:uid="{2F6880D8-E0AA-46F9-BB91-AC4ACD6FC533}"/>
    <cellStyle name="Multiple [3]" xfId="1803" xr:uid="{21E91CE8-3CA9-4E5A-AEC1-3669CC92BEED}"/>
    <cellStyle name="Multiple_1030171N" xfId="1804" xr:uid="{0509BA09-279E-475E-B044-51D1024ED4E7}"/>
    <cellStyle name="neg0.0_CapitalCost " xfId="1805" xr:uid="{05D2133A-619A-4A89-A3B6-C6C1B4837EDC}"/>
    <cellStyle name="Neutral" xfId="4614" builtinId="28" customBuiltin="1"/>
    <cellStyle name="Neutral 2" xfId="56" xr:uid="{4B83E71A-D84F-4AB5-BEF3-FDA7044892D9}"/>
    <cellStyle name="Neutral 2 2" xfId="1806" xr:uid="{F71F4EA6-9BDB-44A6-93D3-62BE04E423B6}"/>
    <cellStyle name="Neutral 2 3" xfId="1807" xr:uid="{6924C4CA-04EE-4F9F-9DC1-255FC8F602B3}"/>
    <cellStyle name="Neutral 2 4" xfId="1808" xr:uid="{F63648D0-92DC-4A26-908F-F28297656E9D}"/>
    <cellStyle name="Neutral 2 5" xfId="1809" xr:uid="{BAC7211B-F4E0-4ABF-A8D9-D747E1351F72}"/>
    <cellStyle name="Neutral 2 6" xfId="1810" xr:uid="{2BCA8DE4-3BBB-4673-9ED7-C4D136402531}"/>
    <cellStyle name="Neutral 2 7" xfId="1811" xr:uid="{EE88C945-3A06-4B69-B9F5-F17011D83767}"/>
    <cellStyle name="Neutral 2 8" xfId="1812" xr:uid="{B5127E36-0FA0-4A04-960D-5D1558C35098}"/>
    <cellStyle name="Neutral 2 9" xfId="1813" xr:uid="{E8F1D9A3-F5D5-42DC-B887-16D069CCB9F0}"/>
    <cellStyle name="Neutral 3" xfId="1814" xr:uid="{E739AE1A-6771-4929-9832-E6FC053ED6D3}"/>
    <cellStyle name="New" xfId="1815" xr:uid="{9C4486FE-2351-4E3D-AED0-CD4C3F4ECACD}"/>
    <cellStyle name="Nil" xfId="1816" xr:uid="{FC6B37CD-C8F4-4908-BD20-0A07BD714A3C}"/>
    <cellStyle name="no dec" xfId="1817" xr:uid="{3F2D3EAA-3D2E-404B-9838-9F3637CED142}"/>
    <cellStyle name="No-definido" xfId="1818" xr:uid="{09DAFE14-6CE4-4937-B528-9A10C944DDC4}"/>
    <cellStyle name="Non_Input_Cell_Figures" xfId="1819" xr:uid="{B7482AB5-126A-4624-AEBF-82CDAC57E29E}"/>
    <cellStyle name="NonPrintingArea" xfId="1820" xr:uid="{4F0B4BF9-D41A-4F8E-8CDB-9860A99BB114}"/>
    <cellStyle name="NORAYAS" xfId="1821" xr:uid="{EC6871B9-7F61-428E-9BE2-BA5281F1FD5D}"/>
    <cellStyle name="Normal" xfId="0" builtinId="0"/>
    <cellStyle name="Normal--" xfId="3969" xr:uid="{FEEC4ED6-0422-4EE5-888E-DB6F6B35D653}"/>
    <cellStyle name="Normal - Style1" xfId="1822" xr:uid="{E660AB11-4798-46B3-A3E8-6FC7053FA9D6}"/>
    <cellStyle name="Normal [0]" xfId="1823" xr:uid="{0F98691F-AE0D-4DB0-AFFB-60535A8D8F10}"/>
    <cellStyle name="Normal [1]" xfId="1824" xr:uid="{ADAD41DC-004D-4CF1-B399-966809FD2470}"/>
    <cellStyle name="Normal [3]" xfId="1825" xr:uid="{EA467345-7BC7-4B74-8AF8-0A87DB7E0F20}"/>
    <cellStyle name="Normal [3] 2" xfId="1826" xr:uid="{007BDEF2-4492-4C6B-A71C-A50BA9A3210F}"/>
    <cellStyle name="Normal [3] 3" xfId="1827" xr:uid="{893A1B0A-C546-41EA-93F4-A074BF161C39}"/>
    <cellStyle name="Normal 10" xfId="1828" xr:uid="{14B6B8A4-AFD7-4136-8779-5BD62BCE6D54}"/>
    <cellStyle name="Normal 10 2" xfId="1829" xr:uid="{A853F18B-FCAE-4896-A4C7-46C9D0C54136}"/>
    <cellStyle name="Normal 10 3" xfId="1830" xr:uid="{248B1EDA-93A9-4F06-9D09-0DA55793C55E}"/>
    <cellStyle name="Normal 10 4" xfId="1831" xr:uid="{B7517ABE-BB4D-463C-87B7-44DCABFFEA1B}"/>
    <cellStyle name="Normal 10 5" xfId="1832" xr:uid="{86AE86C6-13B5-48FF-99AA-86D605192335}"/>
    <cellStyle name="Normal 10 6" xfId="1833" xr:uid="{F64E2B45-2423-4C71-ACF3-40A4558506BA}"/>
    <cellStyle name="Normal 10 7" xfId="103" xr:uid="{A0824702-65AB-4BB8-BE69-0888E303D8D7}"/>
    <cellStyle name="Normal 11" xfId="1834" xr:uid="{19D884F0-EAD3-41C0-B3FC-553110B86A3C}"/>
    <cellStyle name="Normal 11 2" xfId="1835" xr:uid="{5DECB7CD-5F16-4209-A10A-CD6CE9448CB1}"/>
    <cellStyle name="Normal 11 2 2" xfId="1836" xr:uid="{6EEDF505-0D0F-4AE0-B5F1-31957DB149AF}"/>
    <cellStyle name="Normal 11 3" xfId="1837" xr:uid="{8712BED8-0B5F-4823-8199-B0F0F13691D0}"/>
    <cellStyle name="Normal 11 4" xfId="1838" xr:uid="{5CB1E21C-63FB-4C67-BDD7-46F0636F5B8C}"/>
    <cellStyle name="Normal 11 5" xfId="1839" xr:uid="{8C37A0AC-1BA0-41E0-8B42-4A68CCED885B}"/>
    <cellStyle name="Normal 11 6" xfId="1840" xr:uid="{CFDD0B90-5BAA-48A5-94A7-CA48E07E2012}"/>
    <cellStyle name="Normal 11 7" xfId="1841" xr:uid="{EE20A382-327A-4D35-9DA5-2A25B0C5B356}"/>
    <cellStyle name="Normal 12" xfId="1842" xr:uid="{4A0F7C29-AF5B-40C9-8518-43776E340052}"/>
    <cellStyle name="Normal 12 2" xfId="1843" xr:uid="{31EB9E6D-4B6C-4B9C-A12B-888F8B49A3B7}"/>
    <cellStyle name="Normal 12 3" xfId="1844" xr:uid="{82A285B8-6872-4D2D-A6E6-155D75450E27}"/>
    <cellStyle name="Normal 12 4" xfId="1845" xr:uid="{B0812EAD-93C0-4073-98F4-11EFB252C714}"/>
    <cellStyle name="Normal 12 5" xfId="1846" xr:uid="{65DD6395-6CEA-4C4C-959C-D5C7107E9A8C}"/>
    <cellStyle name="Normal 13" xfId="1847" xr:uid="{526527C1-B2EB-49AA-9A7C-88992AA018D6}"/>
    <cellStyle name="Normal 13 2" xfId="1848" xr:uid="{306E3C69-62FD-4586-AC76-F41DD4D50D83}"/>
    <cellStyle name="Normal 13 3" xfId="1849" xr:uid="{0CB72182-D33E-4B45-98EB-C8BC1D44F891}"/>
    <cellStyle name="Normal 13 4" xfId="5401" xr:uid="{6E4B7F62-8AA3-4AD6-B9B6-FDD521C73F31}"/>
    <cellStyle name="Normal 14" xfId="1850" xr:uid="{D82075D3-D389-4255-B44F-0EE23C04D605}"/>
    <cellStyle name="Normal 14 2" xfId="1851" xr:uid="{5131FEF2-7D01-4CD9-89B3-263FE78E1DF2}"/>
    <cellStyle name="Normal 14 3" xfId="1852" xr:uid="{B8774A3F-35B3-48F7-A6BB-1122491A8E32}"/>
    <cellStyle name="Normal 15" xfId="1853" xr:uid="{C5DE7007-3A40-4D54-8A28-606472C99795}"/>
    <cellStyle name="Normal 15 2" xfId="1854" xr:uid="{79E42F7C-EDAC-457F-B24E-CA557B74AA76}"/>
    <cellStyle name="Normal 15 2 2" xfId="1855" xr:uid="{0A2C0E80-836A-4D1D-AC9A-302C0FA852ED}"/>
    <cellStyle name="Normal 15 3" xfId="1856" xr:uid="{6B2C3F79-E825-46C2-92AE-F288EC89E12A}"/>
    <cellStyle name="Normal 15 4" xfId="1857" xr:uid="{79BC3667-263A-4CE2-8D57-220FBB010E13}"/>
    <cellStyle name="Normal 16" xfId="1858" xr:uid="{015715E9-2497-4D7A-BF36-F2BCD777ECEF}"/>
    <cellStyle name="Normal 16 2" xfId="1859" xr:uid="{EFFB6821-E917-4D2B-BFC2-AEACA54EDB9B}"/>
    <cellStyle name="Normal 16 3" xfId="1860" xr:uid="{E7524972-9BA0-4656-9B96-C6E117D643B8}"/>
    <cellStyle name="Normal 17" xfId="1861" xr:uid="{BC74B457-D2D9-4271-92A9-FEFB24E8545E}"/>
    <cellStyle name="Normal 18" xfId="1862" xr:uid="{4DD3025D-A6A5-479A-8775-064CBBC96FA9}"/>
    <cellStyle name="Normal 18 2" xfId="1863" xr:uid="{E2B38C81-B59F-4408-BC85-2C9D0B9515A4}"/>
    <cellStyle name="Normal 19" xfId="1864" xr:uid="{9F256676-4E7B-4B78-8870-7641D26EB365}"/>
    <cellStyle name="Normal 2" xfId="3" xr:uid="{8D6F723C-4EB2-4B91-A2F8-4BC89AAE8DA1}"/>
    <cellStyle name="Normal-- 2" xfId="3970" xr:uid="{FD1DFB5A-C2EA-457E-A743-F29D309A7F38}"/>
    <cellStyle name="Normal 2 10" xfId="1865" xr:uid="{D482E6B1-E8F9-4C2D-8982-A8A8A49B6F56}"/>
    <cellStyle name="Normal 2 10 2" xfId="1866" xr:uid="{68E29BE3-1720-4C1C-8522-D2275F5009DB}"/>
    <cellStyle name="Normal 2 11" xfId="1867" xr:uid="{0A8581BC-83B7-4E31-88A6-643B1D9B7C34}"/>
    <cellStyle name="Normal 2 11 2" xfId="1868" xr:uid="{190AFCB7-CD8A-483A-81D7-BBCF84EC33D9}"/>
    <cellStyle name="Normal 2 12" xfId="1869" xr:uid="{D32E5F57-0CD9-40F7-80EF-029BDF9BD849}"/>
    <cellStyle name="Normal 2 12 2" xfId="1870" xr:uid="{48D358EC-684F-49A0-8A77-EEC9975BC6DD}"/>
    <cellStyle name="Normal 2 13" xfId="1871" xr:uid="{5B7F3CDD-5192-4756-80E2-D04FF34DC4ED}"/>
    <cellStyle name="Normal 2 13 2" xfId="1872" xr:uid="{83B79C21-0237-472E-B202-D702C0897FD4}"/>
    <cellStyle name="Normal 2 14" xfId="1873" xr:uid="{19B3DE6D-D655-4DBA-BD7D-3756CDD078A6}"/>
    <cellStyle name="Normal 2 14 2" xfId="1874" xr:uid="{AC497742-AC17-4209-9A38-3C77EA7E51A0}"/>
    <cellStyle name="Normal 2 15" xfId="1875" xr:uid="{0684E31B-775A-4CC9-B402-7FC7C1A57AB7}"/>
    <cellStyle name="Normal 2 15 2" xfId="1876" xr:uid="{0A8A8102-234E-4547-A08C-D694B836BE9C}"/>
    <cellStyle name="Normal 2 16" xfId="1877" xr:uid="{11D0BA80-AC97-49E7-A248-EFF14B11E336}"/>
    <cellStyle name="Normal 2 16 2" xfId="1878" xr:uid="{CA75DD6C-D788-41B6-82C7-260C0261FEF7}"/>
    <cellStyle name="Normal 2 17" xfId="1879" xr:uid="{10740347-9924-4D63-B700-B8A38C9F8878}"/>
    <cellStyle name="Normal 2 17 2" xfId="1880" xr:uid="{3A0A4399-069F-49C5-97EC-75C7BB66954B}"/>
    <cellStyle name="Normal 2 18" xfId="1881" xr:uid="{AAA7F113-6A07-4EE8-AF50-3C81209E82BB}"/>
    <cellStyle name="Normal 2 18 2" xfId="1882" xr:uid="{AD4B9AD9-83ED-4290-BA95-8A0312517316}"/>
    <cellStyle name="Normal 2 19" xfId="1883" xr:uid="{B46A2ECF-8BB5-4883-B0EC-63C9ADDC8A15}"/>
    <cellStyle name="Normal 2 19 2" xfId="1884" xr:uid="{74816F0D-5644-4B17-B91C-C9D5355F3F20}"/>
    <cellStyle name="Normal 2 2" xfId="13" xr:uid="{9D721EFD-76F5-475E-BD0F-E4BD5BAFAA10}"/>
    <cellStyle name="Normal 2 2 2" xfId="58" xr:uid="{35EDA930-F10F-41B4-B570-4B8BD91ED62F}"/>
    <cellStyle name="Normal 2 2 2 2" xfId="1885" xr:uid="{45F700EE-176A-4603-B02A-9A000712FBA0}"/>
    <cellStyle name="Normal 2 2 2 2 2" xfId="6" xr:uid="{10FEF823-0D87-4FEF-BDEB-5EA9EC328337}"/>
    <cellStyle name="Normal 2 2 2 3" xfId="1886" xr:uid="{6A9ABAB9-1EBB-4AA0-8E29-AD8A77BEF46F}"/>
    <cellStyle name="Normal 2 2 2 4" xfId="1887" xr:uid="{62DF6590-9EB8-447D-B4F9-719EA412FC48}"/>
    <cellStyle name="Normal 2 2 2 5" xfId="1888" xr:uid="{4C826FC6-1B9F-4A3A-8E30-978222C596D8}"/>
    <cellStyle name="Normal 2 2 2 6" xfId="1889" xr:uid="{1D0C2397-D0D7-4F32-AEA0-01904FDB04CD}"/>
    <cellStyle name="Normal 2 2 3" xfId="1890" xr:uid="{94C577EE-D9DA-4533-813E-9D3AC28D9218}"/>
    <cellStyle name="Normal 2 2 4" xfId="1891" xr:uid="{B1C88B60-565F-4004-A546-5B1581444D62}"/>
    <cellStyle name="Normal 2 2 4 2" xfId="1892" xr:uid="{9A8F6DC7-5D13-4F8B-8F1D-7265B1DE9378}"/>
    <cellStyle name="Normal 2 2 4 3" xfId="1893" xr:uid="{86ACC824-31A6-4D11-92EB-478ACCC80510}"/>
    <cellStyle name="Normal 2 2 5" xfId="1894" xr:uid="{7D1FA2F6-1F0A-4D84-B8E0-E161E52E07D0}"/>
    <cellStyle name="Normal 2 2 6" xfId="1895" xr:uid="{810884DB-FD2D-47AB-9A9A-3827A1591B26}"/>
    <cellStyle name="Normal 2 20" xfId="1896" xr:uid="{8ECC6AB5-E91F-4C32-922B-4164C9046ADB}"/>
    <cellStyle name="Normal 2 20 2" xfId="1897" xr:uid="{E1800357-0568-4B74-AE52-6D45FBACA995}"/>
    <cellStyle name="Normal 2 21" xfId="1898" xr:uid="{87CF7F56-F53B-4E84-9000-CD1CACCD174F}"/>
    <cellStyle name="Normal 2 21 2" xfId="1899" xr:uid="{9BBAF9ED-B854-4446-89A7-4808D1A0CDFE}"/>
    <cellStyle name="Normal 2 22" xfId="1900" xr:uid="{7E0820AD-7910-449B-B7C1-772C52DC5B71}"/>
    <cellStyle name="Normal 2 22 2" xfId="1901" xr:uid="{7417A227-2E5C-4C7D-A3F8-879B8B0C9E92}"/>
    <cellStyle name="Normal 2 23" xfId="1902" xr:uid="{5413C4C9-2FC0-491D-8032-7E2ACCDC9AAA}"/>
    <cellStyle name="Normal 2 23 2" xfId="1903" xr:uid="{8884D358-5CAD-4777-AAFE-33A784E901AC}"/>
    <cellStyle name="Normal 2 24" xfId="1904" xr:uid="{A0F18D3A-BC5C-4322-86D6-38B18A33842C}"/>
    <cellStyle name="Normal 2 24 2" xfId="1905" xr:uid="{9E0BBE10-2501-41D6-B228-2050A6A85FB3}"/>
    <cellStyle name="Normal 2 24 2 2" xfId="1906" xr:uid="{B68C9785-0944-4530-BE0D-913AD2B24BFF}"/>
    <cellStyle name="Normal 2 24 3" xfId="1907" xr:uid="{59E6FC88-D1D7-42CE-9804-B3F0A2860066}"/>
    <cellStyle name="Normal 2 24 4" xfId="1908" xr:uid="{4300E641-8C7B-4A44-A98E-3F5FEB82C86B}"/>
    <cellStyle name="Normal 2 25" xfId="1909" xr:uid="{8C44D8A5-8B6F-45AE-993C-06F871F96954}"/>
    <cellStyle name="Normal 2 25 2" xfId="1910" xr:uid="{4C05E725-FF02-41A9-88A0-4A1BCF7E3439}"/>
    <cellStyle name="Normal 2 26" xfId="1911" xr:uid="{3C73E89A-F50E-4524-BF61-6E6112445A2D}"/>
    <cellStyle name="Normal 2 26 2" xfId="1912" xr:uid="{061B41B3-2902-4C06-ACA9-5AB8BB73E618}"/>
    <cellStyle name="Normal 2 27" xfId="1913" xr:uid="{147A1F5E-722E-4F16-90F0-817A49502CA1}"/>
    <cellStyle name="Normal 2 27 2" xfId="1914" xr:uid="{01E047A0-1135-445E-956A-E305DDCACE16}"/>
    <cellStyle name="Normal 2 28" xfId="1915" xr:uid="{CC83BF77-C0AF-4713-8F85-BA3916481DF8}"/>
    <cellStyle name="Normal 2 28 2" xfId="1916" xr:uid="{1F560B92-48CE-4481-9843-5D3041D03C97}"/>
    <cellStyle name="Normal 2 29" xfId="1917" xr:uid="{B67B60CE-AFE9-4855-B9DE-802779DB2AD1}"/>
    <cellStyle name="Normal 2 29 2" xfId="1918" xr:uid="{8BCD5EF9-69C3-46DA-BEEA-EBDC12352A81}"/>
    <cellStyle name="Normal 2 3" xfId="57" xr:uid="{7F31EA90-4A4E-4023-BA44-BA2AB9BDAFCB}"/>
    <cellStyle name="Normal 2 3 2" xfId="1919" xr:uid="{3B3BAB2B-495A-4E92-9751-417C59DC7582}"/>
    <cellStyle name="Normal 2 3 3" xfId="1920" xr:uid="{EB4FBE20-1EAA-4F5F-8F33-97AA4869042C}"/>
    <cellStyle name="Normal 2 30" xfId="1921" xr:uid="{B302B665-D5B3-452C-8EE4-A0645FA61B6F}"/>
    <cellStyle name="Normal 2 30 2" xfId="1922" xr:uid="{F089F7D0-1D8D-4819-BB19-1AA621928C57}"/>
    <cellStyle name="Normal 2 31" xfId="1923" xr:uid="{778574B4-6A1A-4A82-A5E3-14490BCEAEA1}"/>
    <cellStyle name="Normal 2 31 2" xfId="1924" xr:uid="{86793EE7-4618-4474-AB8A-11009D1B3764}"/>
    <cellStyle name="Normal 2 32" xfId="1925" xr:uid="{1D97119F-BEB1-4F70-92BB-21F561719445}"/>
    <cellStyle name="Normal 2 33" xfId="1926" xr:uid="{18DB50BA-CF26-4C5A-95EB-64E2A9C84AE4}"/>
    <cellStyle name="Normal 2 34" xfId="1927" xr:uid="{592AE875-77FA-4FFE-82CC-CC93D7FF2488}"/>
    <cellStyle name="Normal 2 35" xfId="1928" xr:uid="{B307E2F3-3A02-4E20-8CBE-ECF09BC4C196}"/>
    <cellStyle name="Normal 2 36" xfId="1929" xr:uid="{4FB1BBD1-83E9-430E-9AF0-2CAD506F4C2E}"/>
    <cellStyle name="Normal 2 37" xfId="1930" xr:uid="{37EA8E5F-92E9-4EC5-8A8C-FA054F4F9CEA}"/>
    <cellStyle name="Normal 2 38" xfId="1931" xr:uid="{F2908ECC-38AA-403F-B154-1D6BAE2FE4CF}"/>
    <cellStyle name="Normal 2 38 2" xfId="1932" xr:uid="{1F2DB4CE-30B8-4142-8336-AAD1A928ADEA}"/>
    <cellStyle name="Normal 2 39" xfId="1933" xr:uid="{FAC53708-A22C-459F-809B-44714EF16BDB}"/>
    <cellStyle name="Normal 2 4" xfId="100" xr:uid="{1A2C10F0-DF37-46C8-B3AF-C104E03C2681}"/>
    <cellStyle name="Normal 2 4 2" xfId="1934" xr:uid="{A270ABC9-EB34-482B-9A15-4764EDBABA0E}"/>
    <cellStyle name="Normal 2 4 3" xfId="1935" xr:uid="{4D445111-824C-4A5B-8952-32D389BB4495}"/>
    <cellStyle name="Normal 2 4 4" xfId="1936" xr:uid="{2E02131D-857A-4B7C-8EC0-CB0609FA721B}"/>
    <cellStyle name="Normal 2 40" xfId="1937" xr:uid="{F3F0A851-48FF-4C67-A3B3-7B5FF72EFDC6}"/>
    <cellStyle name="Normal 2 41" xfId="1938" xr:uid="{C61B02B6-1D15-4BF4-9B9C-65819FC78B1B}"/>
    <cellStyle name="Normal 2 42" xfId="1939" xr:uid="{F4B30EC2-9419-4B39-B2AA-361E57D5EAD4}"/>
    <cellStyle name="Normal 2 43" xfId="1940" xr:uid="{AAA5B949-688C-4A2D-9C31-9BDD4F34015D}"/>
    <cellStyle name="Normal 2 44" xfId="1941" xr:uid="{E0474A8C-9BB6-4DEF-8702-9036936AD116}"/>
    <cellStyle name="Normal 2 45" xfId="1942" xr:uid="{6093F42D-C5F9-479C-9278-38C77E3DDA87}"/>
    <cellStyle name="Normal 2 46" xfId="1943" xr:uid="{E30AC43F-223C-4CCA-96E3-AF8E754BFFFA}"/>
    <cellStyle name="Normal 2 47" xfId="1944" xr:uid="{2F76727B-A76D-4711-8709-17729969E16C}"/>
    <cellStyle name="Normal 2 48" xfId="4537" xr:uid="{6D07D771-6ABC-4D8C-A22B-7A2753C0618D}"/>
    <cellStyle name="Normal 2 48 2" xfId="4604" xr:uid="{D98902BC-A5A8-4887-8DA2-2BB23C828DE8}"/>
    <cellStyle name="Normal 2 5" xfId="102" xr:uid="{C8BF57C0-9130-4161-8398-87634869AFFE}"/>
    <cellStyle name="Normal 2 5 2" xfId="1945" xr:uid="{0FC60033-E108-442B-A7A1-17BDE67BB2D6}"/>
    <cellStyle name="Normal 2 5 3" xfId="1946" xr:uid="{8DCA713A-C889-4FDA-B32D-7305F5437360}"/>
    <cellStyle name="Normal 2 59 2" xfId="4603" xr:uid="{3B576F28-A9AD-492E-BC84-8D3C2670C341}"/>
    <cellStyle name="Normal 2 6" xfId="1947" xr:uid="{DB141B98-EDFE-4DE2-865A-7C5105AADCE2}"/>
    <cellStyle name="Normal 2 6 2" xfId="1948" xr:uid="{5B3A680C-75AC-4660-BC8A-D6F18EFC46D3}"/>
    <cellStyle name="Normal 2 7" xfId="1949" xr:uid="{F0DC541E-BD2A-4807-9A7E-584239B673A2}"/>
    <cellStyle name="Normal 2 7 2" xfId="1950" xr:uid="{2DAC5B9C-563C-4C00-A48C-BCA04528D651}"/>
    <cellStyle name="Normal 2 8" xfId="1951" xr:uid="{09256DFF-7309-4312-99B8-AE1935844D0C}"/>
    <cellStyle name="Normal 2 8 2" xfId="1952" xr:uid="{9107AB34-C8D1-48CD-ACAA-5074E30A73B3}"/>
    <cellStyle name="Normal 2 9" xfId="1953" xr:uid="{956B5020-33F1-432C-A797-93E7621B12E4}"/>
    <cellStyle name="Normal 2 9 2" xfId="1954" xr:uid="{5152FC57-2B43-4827-9267-7A0694D751BA}"/>
    <cellStyle name="Normal 20" xfId="1955" xr:uid="{123E3B87-0FE2-4F1A-B10C-D03E01CF04BB}"/>
    <cellStyle name="Normal 21" xfId="1956" xr:uid="{6D13A214-581D-4F7C-A8AA-D8CE0B46D014}"/>
    <cellStyle name="Normal 22" xfId="1957" xr:uid="{8CA33A2F-E648-420A-9299-7333D1D9393A}"/>
    <cellStyle name="Normal 23" xfId="1958" xr:uid="{19A9C05F-4DC3-43A8-97E5-5697BD5849AF}"/>
    <cellStyle name="Normal 24" xfId="1959" xr:uid="{F73991E3-EC38-47CC-A537-7816255A951D}"/>
    <cellStyle name="Normal 25" xfId="1960" xr:uid="{004628F2-0EC4-41B5-ACF4-5E2E6833F34C}"/>
    <cellStyle name="Normal 25 10" xfId="1961" xr:uid="{683BEEF1-9D7F-46E8-BFAC-9A391C7D2D21}"/>
    <cellStyle name="Normal 25 100" xfId="1962" xr:uid="{FF5A728D-2BBF-49D9-A2E2-63F9C90969BB}"/>
    <cellStyle name="Normal 25 101" xfId="1963" xr:uid="{F71D1239-AE46-4222-BA4B-E57B5819CA4E}"/>
    <cellStyle name="Normal 25 102" xfId="1964" xr:uid="{F62468B1-70DB-4C1A-A4A5-252C507184AA}"/>
    <cellStyle name="Normal 25 103" xfId="1965" xr:uid="{C1FD05A5-41E8-4F90-8C74-49341C77EBB8}"/>
    <cellStyle name="Normal 25 104" xfId="1966" xr:uid="{402D1561-C65C-496B-885E-6BF1836C7AC1}"/>
    <cellStyle name="Normal 25 105" xfId="1967" xr:uid="{278CDB2F-FDC8-44EA-917F-CC28DE8B99ED}"/>
    <cellStyle name="Normal 25 106" xfId="1968" xr:uid="{99DF9697-B329-430A-AEF5-1EA53E1D3411}"/>
    <cellStyle name="Normal 25 107" xfId="1969" xr:uid="{18363D05-0E3C-49FA-94FD-57A60AAF9F93}"/>
    <cellStyle name="Normal 25 108" xfId="1970" xr:uid="{7058D45F-6784-4ECA-98D9-2045204AE41B}"/>
    <cellStyle name="Normal 25 109" xfId="1971" xr:uid="{154D2165-D85B-4947-9AE3-8B34A722B853}"/>
    <cellStyle name="Normal 25 11" xfId="1972" xr:uid="{2AFF61EB-E16B-4BFA-BD68-4E7714F2D62C}"/>
    <cellStyle name="Normal 25 12" xfId="1973" xr:uid="{2EB1EC10-7363-4D2C-995E-3453D5222DE4}"/>
    <cellStyle name="Normal 25 13" xfId="1974" xr:uid="{495B01ED-F81F-4819-8452-FFD764E70141}"/>
    <cellStyle name="Normal 25 14" xfId="1975" xr:uid="{36EE11F0-F729-445E-B256-77E53E0A4660}"/>
    <cellStyle name="Normal 25 15" xfId="1976" xr:uid="{3F340943-4295-44FA-94CE-72443E28BE06}"/>
    <cellStyle name="Normal 25 16" xfId="1977" xr:uid="{11D40F65-F9D1-48D0-A550-21A5AECBD997}"/>
    <cellStyle name="Normal 25 17" xfId="1978" xr:uid="{C073BA7C-E974-48D3-9C6C-2C312F990706}"/>
    <cellStyle name="Normal 25 18" xfId="1979" xr:uid="{6A272B6B-B704-4B07-85FA-8C8340B09F90}"/>
    <cellStyle name="Normal 25 19" xfId="1980" xr:uid="{10C272A5-2949-4D44-AA74-21BDA9A7843B}"/>
    <cellStyle name="Normal 25 2" xfId="1981" xr:uid="{6B3A8A71-B3D3-4765-A2F1-B99884003C1E}"/>
    <cellStyle name="Normal 25 20" xfId="1982" xr:uid="{20ECC733-EEF0-49DB-A126-9AA3314D20BD}"/>
    <cellStyle name="Normal 25 21" xfId="1983" xr:uid="{D014902E-C288-4C81-9A96-19C74D5D7414}"/>
    <cellStyle name="Normal 25 22" xfId="1984" xr:uid="{FF97B489-3085-408D-99B2-AE1DD8221A2A}"/>
    <cellStyle name="Normal 25 23" xfId="1985" xr:uid="{74D09CB9-4E6E-4715-9589-C1ED35751857}"/>
    <cellStyle name="Normal 25 24" xfId="1986" xr:uid="{DFD7C0C3-09CB-4567-AA5A-52378BC99ED0}"/>
    <cellStyle name="Normal 25 25" xfId="1987" xr:uid="{5267B418-5109-4863-A3FD-8600E3678472}"/>
    <cellStyle name="Normal 25 26" xfId="1988" xr:uid="{3D651601-767A-40D5-AF3F-5B0B1B980CBA}"/>
    <cellStyle name="Normal 25 27" xfId="1989" xr:uid="{9FD9A9A3-125F-4FD5-B1E2-A4F9E9D1451A}"/>
    <cellStyle name="Normal 25 28" xfId="1990" xr:uid="{A352CB8A-C15D-44C2-8965-83F0E4D75168}"/>
    <cellStyle name="Normal 25 29" xfId="1991" xr:uid="{45C33A67-FE8F-49EC-981A-7A82C39B7C75}"/>
    <cellStyle name="Normal 25 3" xfId="1992" xr:uid="{4A1CB6C5-6DC5-4961-8F49-838303AE2112}"/>
    <cellStyle name="Normal 25 30" xfId="1993" xr:uid="{C3CD3EBF-1FF4-4461-B98A-0139AF62243D}"/>
    <cellStyle name="Normal 25 31" xfId="1994" xr:uid="{25D99B97-5752-4864-9299-EA78CA5FC6C7}"/>
    <cellStyle name="Normal 25 32" xfId="1995" xr:uid="{0BC5D4FB-C325-49FE-8A2E-CB334B159132}"/>
    <cellStyle name="Normal 25 33" xfId="1996" xr:uid="{D1182906-27AD-4DEA-83CF-CFE3AE3A48B5}"/>
    <cellStyle name="Normal 25 34" xfId="1997" xr:uid="{C8CB6E07-3D07-4DA8-92D1-BC65FE6141C4}"/>
    <cellStyle name="Normal 25 35" xfId="1998" xr:uid="{B4B89290-3BCE-49E5-B9A7-22D698B9F0DD}"/>
    <cellStyle name="Normal 25 36" xfId="1999" xr:uid="{D6CF0D10-B017-4546-A727-99D1D3A6188E}"/>
    <cellStyle name="Normal 25 37" xfId="2000" xr:uid="{72827AD7-1117-4A66-A5C3-7993E8C38DAC}"/>
    <cellStyle name="Normal 25 38" xfId="2001" xr:uid="{C7C136E2-AE2E-457D-AE76-A0BD0D7369E1}"/>
    <cellStyle name="Normal 25 39" xfId="2002" xr:uid="{F174F98A-9B95-4CB7-AA0E-7087C2D58177}"/>
    <cellStyle name="Normal 25 4" xfId="2003" xr:uid="{1E78116D-63BC-4364-BCC5-8677A452AE0D}"/>
    <cellStyle name="Normal 25 40" xfId="2004" xr:uid="{27206682-A7EC-40F0-87A6-504B1EF73F44}"/>
    <cellStyle name="Normal 25 41" xfId="2005" xr:uid="{0BB5E159-49F3-4477-96C8-E410EBAA7A9D}"/>
    <cellStyle name="Normal 25 42" xfId="2006" xr:uid="{A42AB0FC-8BC9-4EED-A9DF-6E118AD3B2C2}"/>
    <cellStyle name="Normal 25 43" xfId="2007" xr:uid="{CE3A77FA-4605-4D22-8769-065A28F34458}"/>
    <cellStyle name="Normal 25 44" xfId="2008" xr:uid="{AD6CCC46-FEE8-45D3-806A-A8AD59A4F188}"/>
    <cellStyle name="Normal 25 45" xfId="2009" xr:uid="{3FF88C6E-1B63-4C8E-9BFA-31DB5889A8BA}"/>
    <cellStyle name="Normal 25 46" xfId="2010" xr:uid="{AE711531-EF68-47DC-B9F9-89D0F9BAA379}"/>
    <cellStyle name="Normal 25 47" xfId="2011" xr:uid="{356C209D-9FEB-42E3-87EF-2E49670123D8}"/>
    <cellStyle name="Normal 25 48" xfId="2012" xr:uid="{A8762600-24DB-4B57-80F9-A88322614115}"/>
    <cellStyle name="Normal 25 49" xfId="2013" xr:uid="{EA9A60AA-D3E1-46CD-B203-0DD256576B88}"/>
    <cellStyle name="Normal 25 5" xfId="2014" xr:uid="{C050D64C-EBCA-404C-936F-69A0279FF047}"/>
    <cellStyle name="Normal 25 50" xfId="2015" xr:uid="{028E3FFB-2B7D-405B-926D-ADFAA78DB66A}"/>
    <cellStyle name="Normal 25 51" xfId="2016" xr:uid="{09732740-C540-473C-A1B4-3FDAFB416380}"/>
    <cellStyle name="Normal 25 52" xfId="2017" xr:uid="{D7895525-332C-4ECE-A6AB-2C27395D26D2}"/>
    <cellStyle name="Normal 25 53" xfId="2018" xr:uid="{FA9C628B-36A0-4113-AEA6-A68D9D66C9D9}"/>
    <cellStyle name="Normal 25 54" xfId="2019" xr:uid="{BFF1E827-832F-416A-9C13-CAFCF8F43DBA}"/>
    <cellStyle name="Normal 25 55" xfId="2020" xr:uid="{1A3D80CC-63FF-4C9A-AC5B-96486F2CBD8B}"/>
    <cellStyle name="Normal 25 56" xfId="2021" xr:uid="{8AF7C5AF-D3F2-4728-A480-38259394AC33}"/>
    <cellStyle name="Normal 25 57" xfId="2022" xr:uid="{A1D10AC1-F46E-42E3-B36F-A7965B59CF50}"/>
    <cellStyle name="Normal 25 58" xfId="2023" xr:uid="{9CEBF28F-C876-4B83-A0E7-A8036B247004}"/>
    <cellStyle name="Normal 25 59" xfId="2024" xr:uid="{884E6473-A87B-41DA-8DCF-C4111C42E7D5}"/>
    <cellStyle name="Normal 25 6" xfId="2025" xr:uid="{CFB256E7-C82D-44FC-A33B-730F8BFBE036}"/>
    <cellStyle name="Normal 25 60" xfId="2026" xr:uid="{DD076106-548A-48C2-9124-D52DBCEE7B87}"/>
    <cellStyle name="Normal 25 61" xfId="2027" xr:uid="{8AB42A37-F055-4130-837F-8C9F53AD5554}"/>
    <cellStyle name="Normal 25 62" xfId="2028" xr:uid="{8A0F700C-A83B-4D10-A922-F7E31E601D95}"/>
    <cellStyle name="Normal 25 63" xfId="2029" xr:uid="{1BEC9A82-9540-4423-8447-01B8336D7C0B}"/>
    <cellStyle name="Normal 25 64" xfId="2030" xr:uid="{88D7C9C1-D7E6-438D-B241-9C28581037CD}"/>
    <cellStyle name="Normal 25 65" xfId="2031" xr:uid="{3A0C9555-5FB4-4695-A39B-3FB6AA443011}"/>
    <cellStyle name="Normal 25 66" xfId="2032" xr:uid="{E5961C26-2C53-441D-BF94-EF6BE0A81F13}"/>
    <cellStyle name="Normal 25 67" xfId="2033" xr:uid="{05695473-30D3-4613-8F94-0A25CD97994A}"/>
    <cellStyle name="Normal 25 68" xfId="2034" xr:uid="{5942C589-A8F9-42CC-85E8-4D471E0747DA}"/>
    <cellStyle name="Normal 25 69" xfId="2035" xr:uid="{839BE953-68F9-49BE-8000-DE53D72B94C2}"/>
    <cellStyle name="Normal 25 7" xfId="2036" xr:uid="{2BB04D6F-C943-456B-975D-2BD9760C1A62}"/>
    <cellStyle name="Normal 25 70" xfId="2037" xr:uid="{3C5B768E-A636-4136-88FC-DD4A35F1673C}"/>
    <cellStyle name="Normal 25 71" xfId="2038" xr:uid="{60BF05AD-E277-439A-BDEB-14B127C581E7}"/>
    <cellStyle name="Normal 25 72" xfId="2039" xr:uid="{28E84C63-90C8-44D8-B916-BB88E612C898}"/>
    <cellStyle name="Normal 25 73" xfId="2040" xr:uid="{04909191-BE8B-4124-98C3-D157081E9B01}"/>
    <cellStyle name="Normal 25 74" xfId="2041" xr:uid="{20A47950-2920-4B26-A69B-6102FD33B281}"/>
    <cellStyle name="Normal 25 75" xfId="2042" xr:uid="{F1AC56C9-0597-4457-8444-BCAC5A5C04A0}"/>
    <cellStyle name="Normal 25 76" xfId="2043" xr:uid="{E82FD68F-00C4-4D6B-94F6-C48A0F0D0298}"/>
    <cellStyle name="Normal 25 77" xfId="2044" xr:uid="{CDC4E353-CED1-4F5B-AF48-85D73D313ED6}"/>
    <cellStyle name="Normal 25 78" xfId="2045" xr:uid="{F8B9DFEC-A617-4A80-BD78-C0A8B24DD194}"/>
    <cellStyle name="Normal 25 79" xfId="2046" xr:uid="{08C16502-355D-4936-9103-8E13536B01C0}"/>
    <cellStyle name="Normal 25 8" xfId="2047" xr:uid="{054E3421-9CEF-48B6-AEE6-D6E79CAED2A7}"/>
    <cellStyle name="Normal 25 80" xfId="2048" xr:uid="{F69EF532-F20F-4946-AA92-F1EE6921E6E2}"/>
    <cellStyle name="Normal 25 81" xfId="2049" xr:uid="{D925FD30-750D-4D1F-AFE6-7433823E69A9}"/>
    <cellStyle name="Normal 25 82" xfId="2050" xr:uid="{C288EE68-4272-480D-9D08-735FA8D9DCBF}"/>
    <cellStyle name="Normal 25 83" xfId="2051" xr:uid="{65A34A65-E73B-4D3F-B7F3-636243A05BB7}"/>
    <cellStyle name="Normal 25 84" xfId="2052" xr:uid="{FCD5303A-E5BF-4A9C-8568-31C23CF48CB2}"/>
    <cellStyle name="Normal 25 85" xfId="2053" xr:uid="{4A62577C-6E7D-49F6-AADC-A0F83D91A083}"/>
    <cellStyle name="Normal 25 86" xfId="2054" xr:uid="{1EC892E9-F62B-4BA4-BEC7-D8DC5F05196B}"/>
    <cellStyle name="Normal 25 87" xfId="2055" xr:uid="{5059D24E-1545-47D0-9F02-7C46003BDBDF}"/>
    <cellStyle name="Normal 25 88" xfId="2056" xr:uid="{48351A8A-4D4A-4E22-A8C1-EA939754E7B2}"/>
    <cellStyle name="Normal 25 89" xfId="2057" xr:uid="{3C2D1DAC-299A-487B-9010-534B87E7F55A}"/>
    <cellStyle name="Normal 25 9" xfId="2058" xr:uid="{CADD7E3F-1C06-440D-AEB3-FC70C4BE7388}"/>
    <cellStyle name="Normal 25 90" xfId="2059" xr:uid="{E4E3DF7D-B494-4DA3-AED1-6598A7FE0CF0}"/>
    <cellStyle name="Normal 25 91" xfId="2060" xr:uid="{428863D0-0C02-42FE-BCF4-7AD39BE02855}"/>
    <cellStyle name="Normal 25 92" xfId="2061" xr:uid="{6C5F0036-4C35-461A-8A8D-D5957F6A70F8}"/>
    <cellStyle name="Normal 25 93" xfId="2062" xr:uid="{9D0F8F4F-55AF-46FC-8857-37F9AA5D706F}"/>
    <cellStyle name="Normal 25 94" xfId="2063" xr:uid="{BBBB3C81-A6FA-4177-9E41-B72FDB017050}"/>
    <cellStyle name="Normal 25 95" xfId="2064" xr:uid="{F2FAA4DE-E160-47D0-8912-D9C1DE784FF4}"/>
    <cellStyle name="Normal 25 96" xfId="2065" xr:uid="{46A3448D-13F1-4CF8-9FD5-5547A331E831}"/>
    <cellStyle name="Normal 25 97" xfId="2066" xr:uid="{3FF944DA-FAC8-4F34-A6AD-0A7BA9A21118}"/>
    <cellStyle name="Normal 25 98" xfId="2067" xr:uid="{1FE9B739-9B68-460C-BE97-96298ABD29E1}"/>
    <cellStyle name="Normal 25 99" xfId="2068" xr:uid="{A8E731ED-24E8-496A-AF09-1DC2A23D72E2}"/>
    <cellStyle name="Normal 26" xfId="2069" xr:uid="{104CA953-5BF6-48F7-9AB7-C5107627D4EF}"/>
    <cellStyle name="Normal 26 10" xfId="2070" xr:uid="{1F23D6CB-8A29-4F54-B3F3-381228014C37}"/>
    <cellStyle name="Normal 26 100" xfId="2071" xr:uid="{A87EEF77-23CC-4BCA-91BE-93E83A438BF3}"/>
    <cellStyle name="Normal 26 101" xfId="2072" xr:uid="{D892DD26-5842-4265-A07B-E5B3EC61BDE0}"/>
    <cellStyle name="Normal 26 102" xfId="2073" xr:uid="{7452EB34-00C3-4399-8D41-61A3C2DA11C1}"/>
    <cellStyle name="Normal 26 103" xfId="2074" xr:uid="{18F98C49-4CAE-407F-BCAD-9CBE27984294}"/>
    <cellStyle name="Normal 26 104" xfId="2075" xr:uid="{E2C4EF66-1769-4387-97F3-ED06F52CAE9D}"/>
    <cellStyle name="Normal 26 105" xfId="2076" xr:uid="{0EE6B04D-35D4-4787-87EA-6241A4DB5CA5}"/>
    <cellStyle name="Normal 26 106" xfId="2077" xr:uid="{2C18598C-483F-4610-9C87-761FEBAF316C}"/>
    <cellStyle name="Normal 26 107" xfId="2078" xr:uid="{1591AD59-16D7-4F15-A053-E6D55DA89F38}"/>
    <cellStyle name="Normal 26 108" xfId="2079" xr:uid="{D4BCD061-CF8F-443B-B0C0-19CB95BB4454}"/>
    <cellStyle name="Normal 26 109" xfId="2080" xr:uid="{4B8E0A74-68EF-4F11-A05F-FCBFAA140FDF}"/>
    <cellStyle name="Normal 26 11" xfId="2081" xr:uid="{FF380C60-5A7D-4DF8-9D18-182F97CA47AA}"/>
    <cellStyle name="Normal 26 12" xfId="2082" xr:uid="{71FE9763-DEDA-4598-9D38-5377C2C02EEE}"/>
    <cellStyle name="Normal 26 13" xfId="2083" xr:uid="{9360A9FC-03E7-495A-987E-89485B9ECF68}"/>
    <cellStyle name="Normal 26 14" xfId="2084" xr:uid="{6A29A946-27D4-434C-8055-6BF2FD2E7688}"/>
    <cellStyle name="Normal 26 15" xfId="2085" xr:uid="{399CE079-D5B7-45C4-A5BA-E558712424DA}"/>
    <cellStyle name="Normal 26 16" xfId="2086" xr:uid="{ECBB082A-D19D-4B57-A4F1-E478B8C9536C}"/>
    <cellStyle name="Normal 26 17" xfId="2087" xr:uid="{FF849789-E35C-42A3-AA52-3FABF609D74C}"/>
    <cellStyle name="Normal 26 18" xfId="2088" xr:uid="{81A10F31-A9B7-4C58-88A0-F5D1862B6160}"/>
    <cellStyle name="Normal 26 19" xfId="2089" xr:uid="{C807D047-0C62-4EC0-9CF7-F8D1FFC60098}"/>
    <cellStyle name="Normal 26 2" xfId="2090" xr:uid="{4642491A-B3D4-45E8-A33D-16F55889DA48}"/>
    <cellStyle name="Normal 26 20" xfId="2091" xr:uid="{50503F83-0ADC-4E92-90B7-6E7872647466}"/>
    <cellStyle name="Normal 26 21" xfId="2092" xr:uid="{CE4E9FD5-7B68-4B7F-AB76-20532B63713B}"/>
    <cellStyle name="Normal 26 22" xfId="2093" xr:uid="{8793EE25-BAB9-4EC0-B05C-4F4BAA26F6DF}"/>
    <cellStyle name="Normal 26 23" xfId="2094" xr:uid="{E13DE66F-3773-4B83-8A66-6178F09BB1DD}"/>
    <cellStyle name="Normal 26 24" xfId="2095" xr:uid="{FD5B22F0-D8DD-4934-A60A-9552DA837BA1}"/>
    <cellStyle name="Normal 26 25" xfId="2096" xr:uid="{D8AF7C15-9FE9-43C9-A819-8F7D4A429FE9}"/>
    <cellStyle name="Normal 26 26" xfId="2097" xr:uid="{5DAC43F2-D2E3-471D-9434-2678D2B78C17}"/>
    <cellStyle name="Normal 26 27" xfId="2098" xr:uid="{0F05D123-7476-4823-9489-C04568E0D89E}"/>
    <cellStyle name="Normal 26 28" xfId="2099" xr:uid="{F19A5356-B611-432B-B129-6CB7B659DF85}"/>
    <cellStyle name="Normal 26 29" xfId="2100" xr:uid="{66C88855-8F6F-48E1-BAE6-442A8331A0BF}"/>
    <cellStyle name="Normal 26 3" xfId="2101" xr:uid="{14DA697F-7E3F-4183-9358-27ADBA957C52}"/>
    <cellStyle name="Normal 26 30" xfId="2102" xr:uid="{D770F6B1-3657-4002-B875-FC150C28381E}"/>
    <cellStyle name="Normal 26 31" xfId="2103" xr:uid="{BCBC14D2-37D3-4776-A5DB-D3486E91FE6C}"/>
    <cellStyle name="Normal 26 32" xfId="2104" xr:uid="{C2E5C114-8CD5-42CC-8E2B-4CDFD2FBF060}"/>
    <cellStyle name="Normal 26 33" xfId="2105" xr:uid="{262FC55D-63EB-4CAE-9854-B44DE2943F96}"/>
    <cellStyle name="Normal 26 34" xfId="2106" xr:uid="{2507FF94-6CA6-4700-8AF9-91CB5E77BF78}"/>
    <cellStyle name="Normal 26 35" xfId="2107" xr:uid="{B68E29CF-5C63-42F5-9ABF-8500FF2E6D42}"/>
    <cellStyle name="Normal 26 36" xfId="2108" xr:uid="{AE1BCAA3-8E3A-4261-8629-DBD5E9257BBD}"/>
    <cellStyle name="Normal 26 37" xfId="2109" xr:uid="{BE9002C1-F521-4245-B56E-51E6CA3CC5D2}"/>
    <cellStyle name="Normal 26 38" xfId="2110" xr:uid="{998BBBD5-9F5F-47DA-9422-F3E21A65C090}"/>
    <cellStyle name="Normal 26 39" xfId="2111" xr:uid="{75A6504D-AEE7-454F-9588-688DBB6FEA58}"/>
    <cellStyle name="Normal 26 4" xfId="2112" xr:uid="{F53CA82E-A5AA-4473-8F48-2CC74B22E68C}"/>
    <cellStyle name="Normal 26 40" xfId="2113" xr:uid="{D41DD382-74C1-4367-AA28-EB70727938A5}"/>
    <cellStyle name="Normal 26 41" xfId="2114" xr:uid="{5CC113F7-9415-4B1E-9CE3-73CB5248F6CB}"/>
    <cellStyle name="Normal 26 42" xfId="2115" xr:uid="{119C10AF-7C6C-41D4-87D4-DB46C1B9B83E}"/>
    <cellStyle name="Normal 26 43" xfId="2116" xr:uid="{C89B3420-FE04-4FC1-9E85-329E6465FD59}"/>
    <cellStyle name="Normal 26 44" xfId="2117" xr:uid="{5B0DF4DD-8B96-403B-B88A-6A083C38564C}"/>
    <cellStyle name="Normal 26 45" xfId="2118" xr:uid="{2CA6E9E2-8FCD-471E-93C0-3F753544D4C0}"/>
    <cellStyle name="Normal 26 46" xfId="2119" xr:uid="{4F7C3CDF-4281-4A85-B07D-8097929BB66E}"/>
    <cellStyle name="Normal 26 47" xfId="2120" xr:uid="{859BB856-F1FE-4BF0-801C-FC248BEB4CA3}"/>
    <cellStyle name="Normal 26 48" xfId="2121" xr:uid="{75C595FC-EBEB-4836-B44B-67EE20526705}"/>
    <cellStyle name="Normal 26 49" xfId="2122" xr:uid="{6E3D9A31-DE89-4444-83C2-121A71E34D5D}"/>
    <cellStyle name="Normal 26 5" xfId="2123" xr:uid="{7794CB0F-E716-4A8D-8753-164602E91684}"/>
    <cellStyle name="Normal 26 50" xfId="2124" xr:uid="{00846A41-03B4-450F-A031-D2E363E36CDB}"/>
    <cellStyle name="Normal 26 51" xfId="2125" xr:uid="{03D1B414-E92D-4984-9699-15F301B7DC48}"/>
    <cellStyle name="Normal 26 52" xfId="2126" xr:uid="{CFFF36D6-5AE4-4C56-8043-9511D7B87B41}"/>
    <cellStyle name="Normal 26 53" xfId="2127" xr:uid="{3D6255AB-B32B-4B77-BCA0-4E7F26BFB911}"/>
    <cellStyle name="Normal 26 54" xfId="2128" xr:uid="{C3465E00-3F8F-453A-88DA-65B38DF60AB6}"/>
    <cellStyle name="Normal 26 55" xfId="2129" xr:uid="{5A810CC7-E088-4ADC-9FDA-BAABD1038612}"/>
    <cellStyle name="Normal 26 56" xfId="2130" xr:uid="{8E51706B-FD9E-4810-9141-B4B938260F7C}"/>
    <cellStyle name="Normal 26 57" xfId="2131" xr:uid="{9F05B172-57B2-4E72-86F2-A785011F8EF0}"/>
    <cellStyle name="Normal 26 58" xfId="2132" xr:uid="{862DAC68-46A3-453B-AF85-D822DE896C78}"/>
    <cellStyle name="Normal 26 59" xfId="2133" xr:uid="{9A819C78-FFCE-45DB-89BB-961B4DE0763D}"/>
    <cellStyle name="Normal 26 6" xfId="2134" xr:uid="{41A2BCEA-3F76-441D-98CE-0BC9D50BD566}"/>
    <cellStyle name="Normal 26 60" xfId="2135" xr:uid="{D60609D8-980A-45E3-BEA0-9623AB7F3757}"/>
    <cellStyle name="Normal 26 61" xfId="2136" xr:uid="{1D686F64-23E1-408B-BB39-6EDF2E2D55E0}"/>
    <cellStyle name="Normal 26 62" xfId="2137" xr:uid="{EAEE45A2-77C9-4B2C-A1EA-B2A730590B2B}"/>
    <cellStyle name="Normal 26 63" xfId="2138" xr:uid="{70BFF31D-B90E-48EA-9BCC-22AD8567DDEA}"/>
    <cellStyle name="Normal 26 64" xfId="2139" xr:uid="{04816503-2EAE-414F-9FCA-3A149FD2F1AE}"/>
    <cellStyle name="Normal 26 65" xfId="2140" xr:uid="{720F151D-BD70-4988-AC7A-81674B82461B}"/>
    <cellStyle name="Normal 26 66" xfId="2141" xr:uid="{5FC0477D-7754-4560-BA9F-3956F5C0DFBF}"/>
    <cellStyle name="Normal 26 67" xfId="2142" xr:uid="{C010EFB7-42EC-4105-B335-EF6AFC65BCC7}"/>
    <cellStyle name="Normal 26 68" xfId="2143" xr:uid="{733263C8-BF4E-4495-B8BB-349E35C43E29}"/>
    <cellStyle name="Normal 26 69" xfId="2144" xr:uid="{96E96018-9D6B-4DDC-A2C8-36014F579A34}"/>
    <cellStyle name="Normal 26 7" xfId="2145" xr:uid="{124C4AF5-E219-4850-AFBC-681CED7953FC}"/>
    <cellStyle name="Normal 26 70" xfId="2146" xr:uid="{EBED3856-DD04-40B6-9580-9812DB1CEF3B}"/>
    <cellStyle name="Normal 26 71" xfId="2147" xr:uid="{8266AA49-26AA-4162-B045-0DEAD4A69BCA}"/>
    <cellStyle name="Normal 26 72" xfId="2148" xr:uid="{CFA73D46-839A-420E-BF2C-CF6D46836EAC}"/>
    <cellStyle name="Normal 26 73" xfId="2149" xr:uid="{E121F50F-E876-4C0E-8E0C-8EAFB8F8DC04}"/>
    <cellStyle name="Normal 26 74" xfId="2150" xr:uid="{22DBE972-3870-44BB-98D4-69E09BBCCECA}"/>
    <cellStyle name="Normal 26 75" xfId="2151" xr:uid="{B8157312-6582-430F-8191-1CFFF66F71BD}"/>
    <cellStyle name="Normal 26 76" xfId="2152" xr:uid="{F7155F6C-F9E5-44E8-8DB0-78C67B457E45}"/>
    <cellStyle name="Normal 26 77" xfId="2153" xr:uid="{8902E565-07AD-44BC-95AA-FB6B461E60F5}"/>
    <cellStyle name="Normal 26 78" xfId="2154" xr:uid="{F474902F-C61B-43E1-A993-E8A094DBD005}"/>
    <cellStyle name="Normal 26 79" xfId="2155" xr:uid="{E3B8EF00-D917-45A8-8E41-696343054F99}"/>
    <cellStyle name="Normal 26 8" xfId="2156" xr:uid="{CC6FBEC7-A26D-44BC-AB17-EA5E54C7AC4C}"/>
    <cellStyle name="Normal 26 80" xfId="2157" xr:uid="{6CE12F0F-1B5C-4AA7-A49C-8551F16C6467}"/>
    <cellStyle name="Normal 26 81" xfId="2158" xr:uid="{1F59F548-A791-4153-AA66-617E50FA2711}"/>
    <cellStyle name="Normal 26 82" xfId="2159" xr:uid="{B6661EE6-42BA-4E33-A39A-44171F237A60}"/>
    <cellStyle name="Normal 26 83" xfId="2160" xr:uid="{F0FC9D42-164B-46BE-A035-AF9A039B4661}"/>
    <cellStyle name="Normal 26 84" xfId="2161" xr:uid="{5A048D2C-0652-4845-AC2F-E5355F47107F}"/>
    <cellStyle name="Normal 26 85" xfId="2162" xr:uid="{D00AAFDE-0633-446E-B8A0-3D071685924F}"/>
    <cellStyle name="Normal 26 86" xfId="2163" xr:uid="{D01C9B3A-8ED3-42B0-86A6-A2A3C273E7B7}"/>
    <cellStyle name="Normal 26 87" xfId="2164" xr:uid="{43F6F06E-F7BE-4802-A8D3-31D3616E666B}"/>
    <cellStyle name="Normal 26 88" xfId="2165" xr:uid="{C8D78B3A-A769-4C83-9565-BD45D1E86DCF}"/>
    <cellStyle name="Normal 26 89" xfId="2166" xr:uid="{E186E6DD-9945-439D-BDE5-4D24161C32EC}"/>
    <cellStyle name="Normal 26 9" xfId="2167" xr:uid="{EBEC4D0A-C049-4E88-96AD-A1B8B6DC304F}"/>
    <cellStyle name="Normal 26 90" xfId="2168" xr:uid="{61C9D723-D191-4049-B881-E3F5159B919E}"/>
    <cellStyle name="Normal 26 91" xfId="2169" xr:uid="{39D9A319-C4EC-47BA-BFD8-B574B1041FAA}"/>
    <cellStyle name="Normal 26 92" xfId="2170" xr:uid="{89F238A7-9A0D-46D1-840F-7D9C25043C63}"/>
    <cellStyle name="Normal 26 93" xfId="2171" xr:uid="{848F155E-6E96-42F8-8D0A-5EE5717FB4C9}"/>
    <cellStyle name="Normal 26 94" xfId="2172" xr:uid="{7F88D71B-A37C-43CC-9745-3C3DEE56D701}"/>
    <cellStyle name="Normal 26 95" xfId="2173" xr:uid="{B5CFD4A1-72EC-4E29-9218-F3A4A996212D}"/>
    <cellStyle name="Normal 26 96" xfId="2174" xr:uid="{FF27688C-CD40-43B1-B185-D36E8B774213}"/>
    <cellStyle name="Normal 26 97" xfId="2175" xr:uid="{527A5D2D-5554-4E42-8F4B-D62255F884A8}"/>
    <cellStyle name="Normal 26 98" xfId="2176" xr:uid="{737F25DC-2727-41D7-BDF1-19DB1E22A5E2}"/>
    <cellStyle name="Normal 26 99" xfId="2177" xr:uid="{99762F03-101A-463D-B406-D22BB92BBBB6}"/>
    <cellStyle name="Normal 27" xfId="2178" xr:uid="{0B218990-923B-445A-BDE5-BB29A334C691}"/>
    <cellStyle name="Normal 27 10" xfId="2179" xr:uid="{2098C7D3-7855-4EC9-ACE7-2B9CEB89DA39}"/>
    <cellStyle name="Normal 27 100" xfId="2180" xr:uid="{AF08B287-AC9F-43E8-AABC-FCC58779B8DD}"/>
    <cellStyle name="Normal 27 101" xfId="2181" xr:uid="{BA9CAA19-D05E-458B-A681-173124A66027}"/>
    <cellStyle name="Normal 27 102" xfId="2182" xr:uid="{388C3CF4-E822-43D6-B052-1FCA962E0172}"/>
    <cellStyle name="Normal 27 103" xfId="2183" xr:uid="{8E9055A3-8AC4-4B65-B52A-92AE9849597D}"/>
    <cellStyle name="Normal 27 104" xfId="2184" xr:uid="{ABCE655C-E981-47CB-AEA6-790EA3EE14C2}"/>
    <cellStyle name="Normal 27 105" xfId="2185" xr:uid="{0031CD85-8AA3-4D91-8918-4EF53A8E426F}"/>
    <cellStyle name="Normal 27 106" xfId="2186" xr:uid="{74980C03-AE12-42CC-B615-CD66EB5A084A}"/>
    <cellStyle name="Normal 27 107" xfId="2187" xr:uid="{72B5283C-C875-411B-85F2-48930AEBF6AC}"/>
    <cellStyle name="Normal 27 108" xfId="2188" xr:uid="{168FD236-CA18-423C-A999-4A797CE35501}"/>
    <cellStyle name="Normal 27 109" xfId="2189" xr:uid="{B4A5370B-8FEF-4F61-A2BE-9E3296062C2E}"/>
    <cellStyle name="Normal 27 11" xfId="2190" xr:uid="{DA0104D5-BF2B-4C6A-B508-32BC81F5082E}"/>
    <cellStyle name="Normal 27 12" xfId="2191" xr:uid="{21142538-34B5-4D36-9B22-00748B285B4D}"/>
    <cellStyle name="Normal 27 13" xfId="2192" xr:uid="{DF856937-44A1-482E-BDE3-5EA6B648F0DE}"/>
    <cellStyle name="Normal 27 14" xfId="2193" xr:uid="{700535F7-822F-407F-8A8F-23B9B6169966}"/>
    <cellStyle name="Normal 27 15" xfId="2194" xr:uid="{5F703009-9A0A-4FF3-AF8F-86D94ADBF19C}"/>
    <cellStyle name="Normal 27 16" xfId="2195" xr:uid="{4AA0FB59-4E63-4586-A1D7-AAB9096EC8D9}"/>
    <cellStyle name="Normal 27 17" xfId="2196" xr:uid="{0BC778F2-D2F9-49FE-A7C2-DA90026DA9C3}"/>
    <cellStyle name="Normal 27 18" xfId="2197" xr:uid="{F16BD766-AA00-4B47-8B02-1415484F261D}"/>
    <cellStyle name="Normal 27 19" xfId="2198" xr:uid="{E16D7D55-3CD4-43D0-9997-78AB4B7798D7}"/>
    <cellStyle name="Normal 27 2" xfId="2199" xr:uid="{5FE571E3-3F6F-4D0E-81F4-D8E60E0A38FB}"/>
    <cellStyle name="Normal 27 20" xfId="2200" xr:uid="{D2E4B7C6-FD32-4813-8EE3-6732B9D2ED90}"/>
    <cellStyle name="Normal 27 21" xfId="2201" xr:uid="{A5F11683-3FDB-428B-9640-0B9938954AC5}"/>
    <cellStyle name="Normal 27 22" xfId="2202" xr:uid="{31F192BB-0AED-42D7-A1D1-C28BE92B5C30}"/>
    <cellStyle name="Normal 27 23" xfId="2203" xr:uid="{78BED489-EB04-4913-AD02-AE6B50BEEAD7}"/>
    <cellStyle name="Normal 27 24" xfId="2204" xr:uid="{9F71AA2F-248B-49E1-9AB5-99E5B39252AE}"/>
    <cellStyle name="Normal 27 25" xfId="2205" xr:uid="{BFBEF306-EE21-4A76-B80B-AC5785AE9056}"/>
    <cellStyle name="Normal 27 26" xfId="2206" xr:uid="{15986A98-C499-435E-8D74-6850F7AABD91}"/>
    <cellStyle name="Normal 27 27" xfId="2207" xr:uid="{E88EE3A5-5668-40C5-8944-A752D96F1C33}"/>
    <cellStyle name="Normal 27 28" xfId="2208" xr:uid="{0A9A3D8F-3C96-455E-BBF3-B52BD0A2731B}"/>
    <cellStyle name="Normal 27 29" xfId="2209" xr:uid="{4B895A09-000E-43A0-8749-0E93E2956F1A}"/>
    <cellStyle name="Normal 27 3" xfId="2210" xr:uid="{3B1B3AD3-C90C-43CA-A395-EF19EB3F0C08}"/>
    <cellStyle name="Normal 27 30" xfId="2211" xr:uid="{C4668539-5A6B-4EA9-962D-081A1C63B2D0}"/>
    <cellStyle name="Normal 27 31" xfId="2212" xr:uid="{A8229BE5-AB3B-4905-899D-C42C8650E672}"/>
    <cellStyle name="Normal 27 32" xfId="2213" xr:uid="{678BB424-6DCC-402C-A5A6-676FCDF6DD42}"/>
    <cellStyle name="Normal 27 33" xfId="2214" xr:uid="{B2E94362-556C-4EC4-9394-C3CFD0304E1A}"/>
    <cellStyle name="Normal 27 34" xfId="2215" xr:uid="{9931615C-B228-45C1-9D6B-4FD3E0848130}"/>
    <cellStyle name="Normal 27 35" xfId="2216" xr:uid="{FCA11079-D0FD-4D3E-8B41-FA88E7AEF95A}"/>
    <cellStyle name="Normal 27 36" xfId="2217" xr:uid="{950457A6-5AA3-4AA9-BFCF-77BB6BC3D6BD}"/>
    <cellStyle name="Normal 27 37" xfId="2218" xr:uid="{26069348-C386-4DB4-87AC-0B6AE2A5479D}"/>
    <cellStyle name="Normal 27 38" xfId="2219" xr:uid="{B516D551-F320-46E5-A67D-34E0731CA526}"/>
    <cellStyle name="Normal 27 39" xfId="2220" xr:uid="{48819C3A-0E04-4762-9F48-CFE2623838E8}"/>
    <cellStyle name="Normal 27 4" xfId="2221" xr:uid="{D316F0D7-E8DD-497C-A0FF-20DD75DD8599}"/>
    <cellStyle name="Normal 27 40" xfId="2222" xr:uid="{D44D8DBB-D868-407B-B523-A06ACB5618FA}"/>
    <cellStyle name="Normal 27 41" xfId="2223" xr:uid="{D0E616EF-AF98-472A-A699-DF86918B2EDA}"/>
    <cellStyle name="Normal 27 42" xfId="2224" xr:uid="{8431C90E-24F5-462B-921D-12EDDA497C0F}"/>
    <cellStyle name="Normal 27 43" xfId="2225" xr:uid="{C0924D4B-7F45-4A7F-A0FE-C2E9C948901F}"/>
    <cellStyle name="Normal 27 44" xfId="2226" xr:uid="{B49CDB4E-DB14-4B54-B3CC-026E96BA96C8}"/>
    <cellStyle name="Normal 27 45" xfId="2227" xr:uid="{AAE74328-B09C-429D-A25E-AE71B0E84DC7}"/>
    <cellStyle name="Normal 27 46" xfId="2228" xr:uid="{F2DCBEEB-AAEF-4B8A-936F-2133E0931AFA}"/>
    <cellStyle name="Normal 27 47" xfId="2229" xr:uid="{BD4DC1CA-54C7-47DE-B099-26CE2E602844}"/>
    <cellStyle name="Normal 27 48" xfId="2230" xr:uid="{CC251597-E031-4147-8844-E1079FB71C39}"/>
    <cellStyle name="Normal 27 49" xfId="2231" xr:uid="{10200E05-B60F-45E4-A80F-AB32016ECE83}"/>
    <cellStyle name="Normal 27 5" xfId="2232" xr:uid="{089B3EE0-197A-4748-B1BB-9152E265C30D}"/>
    <cellStyle name="Normal 27 50" xfId="2233" xr:uid="{294C707D-E4F5-41E5-BC4E-2565458E6E01}"/>
    <cellStyle name="Normal 27 51" xfId="2234" xr:uid="{E445EF2D-253B-44F6-8722-DAA7E717169E}"/>
    <cellStyle name="Normal 27 52" xfId="2235" xr:uid="{21AD8781-961B-443E-B494-83A1FC52AAE6}"/>
    <cellStyle name="Normal 27 53" xfId="2236" xr:uid="{F8CC340E-35F5-4E69-AE8D-A44AA67E3313}"/>
    <cellStyle name="Normal 27 54" xfId="2237" xr:uid="{26E42E74-1940-43FE-B8EA-5833D3BC45A9}"/>
    <cellStyle name="Normal 27 55" xfId="2238" xr:uid="{6858C31E-181C-47CB-8F8E-8FF80A1EBAED}"/>
    <cellStyle name="Normal 27 56" xfId="2239" xr:uid="{6D0A651A-594F-4F87-B5CF-63D70FD9B19B}"/>
    <cellStyle name="Normal 27 57" xfId="2240" xr:uid="{C9717288-3CB6-478C-B42A-C3054C183CD3}"/>
    <cellStyle name="Normal 27 58" xfId="2241" xr:uid="{F71FFBF1-C054-4774-9113-069D6EA5E60E}"/>
    <cellStyle name="Normal 27 59" xfId="2242" xr:uid="{4105282A-6E9B-4834-B430-FB8A47BA464B}"/>
    <cellStyle name="Normal 27 6" xfId="2243" xr:uid="{DFC1CA90-1801-42A9-B237-9CA53EC123BE}"/>
    <cellStyle name="Normal 27 60" xfId="2244" xr:uid="{FD5E4FC2-8D45-47D6-8DFC-B2B364CADA8B}"/>
    <cellStyle name="Normal 27 61" xfId="2245" xr:uid="{885C982B-063D-420F-84AA-1BEC7C8CF5E0}"/>
    <cellStyle name="Normal 27 62" xfId="2246" xr:uid="{6CB0F3C1-22DC-4276-935A-27FCF85EDB8A}"/>
    <cellStyle name="Normal 27 63" xfId="2247" xr:uid="{AAF65668-7778-4C1A-8638-3F3DBAD432E6}"/>
    <cellStyle name="Normal 27 64" xfId="2248" xr:uid="{426889F6-745D-4679-8505-E3F026D7CE7F}"/>
    <cellStyle name="Normal 27 65" xfId="2249" xr:uid="{C4BE9AD8-EA44-4E5A-93A7-88538CAF8915}"/>
    <cellStyle name="Normal 27 66" xfId="2250" xr:uid="{7935C9A5-DBE7-434F-8017-624722E4DD83}"/>
    <cellStyle name="Normal 27 67" xfId="2251" xr:uid="{B59F25EE-D567-465D-B990-62149FB60CED}"/>
    <cellStyle name="Normal 27 68" xfId="2252" xr:uid="{360EB87C-26A5-4EE8-A60B-CAAFDAA8A5B7}"/>
    <cellStyle name="Normal 27 69" xfId="2253" xr:uid="{7981A68D-C768-499D-A522-29A304F53339}"/>
    <cellStyle name="Normal 27 7" xfId="2254" xr:uid="{74E3665E-380C-439B-A2BD-F8D44B1C57E3}"/>
    <cellStyle name="Normal 27 70" xfId="2255" xr:uid="{AE931A0C-BF42-4DBB-B226-D454A19E1B6D}"/>
    <cellStyle name="Normal 27 71" xfId="2256" xr:uid="{4E8E3515-5A28-424F-89F1-BD09F0E12263}"/>
    <cellStyle name="Normal 27 72" xfId="2257" xr:uid="{D18F038E-5AD0-4897-AB5B-A8D8A55FB606}"/>
    <cellStyle name="Normal 27 73" xfId="2258" xr:uid="{CB7FE33B-E539-416F-8F04-62DD804CEDFB}"/>
    <cellStyle name="Normal 27 74" xfId="2259" xr:uid="{FDFBDBAC-C8DF-4C2A-86A8-71E3076F2083}"/>
    <cellStyle name="Normal 27 75" xfId="2260" xr:uid="{634783C3-81DC-44A2-98D8-B1DC479879F8}"/>
    <cellStyle name="Normal 27 76" xfId="2261" xr:uid="{01E3FABD-64E4-4595-9754-3245AB026455}"/>
    <cellStyle name="Normal 27 77" xfId="2262" xr:uid="{154DD5E1-EBE3-44EC-A7E1-8E6F6F391A9F}"/>
    <cellStyle name="Normal 27 78" xfId="2263" xr:uid="{74AB1A73-6715-417E-8106-E7A9AB0A8910}"/>
    <cellStyle name="Normal 27 79" xfId="2264" xr:uid="{D0D665BD-FED1-4DD8-9E31-3D3574700A3C}"/>
    <cellStyle name="Normal 27 8" xfId="2265" xr:uid="{8D49D14C-9929-446F-BDE7-B61513038645}"/>
    <cellStyle name="Normal 27 80" xfId="2266" xr:uid="{4CC4BBB8-F17A-4B96-8092-A4FA944FACB2}"/>
    <cellStyle name="Normal 27 81" xfId="2267" xr:uid="{672954E4-8D29-4920-915B-6327DE473FA5}"/>
    <cellStyle name="Normal 27 82" xfId="2268" xr:uid="{62C0C87C-1B10-4486-A2B3-CF66BD5A1507}"/>
    <cellStyle name="Normal 27 83" xfId="2269" xr:uid="{C2E4357A-63A0-4E7F-A3E1-9877872EE1FC}"/>
    <cellStyle name="Normal 27 84" xfId="2270" xr:uid="{B3F64307-5C95-480F-AD1E-D1676FA07D21}"/>
    <cellStyle name="Normal 27 85" xfId="2271" xr:uid="{9F8B7625-0729-4481-86F4-8C53EB6C7B7A}"/>
    <cellStyle name="Normal 27 86" xfId="2272" xr:uid="{5DCD9B15-0DF8-438A-BF86-654D6ABA6DCD}"/>
    <cellStyle name="Normal 27 87" xfId="2273" xr:uid="{E203E748-A864-4A3F-A51F-EDE8758906FA}"/>
    <cellStyle name="Normal 27 88" xfId="2274" xr:uid="{86A97301-EA71-4810-B6BD-FC8323E1195B}"/>
    <cellStyle name="Normal 27 89" xfId="2275" xr:uid="{4D23ABEA-53DE-49FA-B357-13AF8E97DA8B}"/>
    <cellStyle name="Normal 27 9" xfId="2276" xr:uid="{208723E7-D431-423B-9A5D-1BEFE1E0923B}"/>
    <cellStyle name="Normal 27 90" xfId="2277" xr:uid="{72AD6250-A0A6-42EF-AD70-9E4B070B421F}"/>
    <cellStyle name="Normal 27 91" xfId="2278" xr:uid="{7EF08EED-CF76-442B-93E7-C86F0E1F70C6}"/>
    <cellStyle name="Normal 27 92" xfId="2279" xr:uid="{2A0647FE-6576-43AF-BB9A-D60E8EB87C90}"/>
    <cellStyle name="Normal 27 93" xfId="2280" xr:uid="{5933A8C1-EF75-4E1D-862A-16FB182CBFD2}"/>
    <cellStyle name="Normal 27 94" xfId="2281" xr:uid="{23B469A3-4ECB-4E38-8ADC-307055F0A37D}"/>
    <cellStyle name="Normal 27 95" xfId="2282" xr:uid="{F635BC86-09CA-48EC-9F47-E06ED64E75B2}"/>
    <cellStyle name="Normal 27 96" xfId="2283" xr:uid="{1A7E9E3C-7FF8-4A8A-BA60-E24EB350763A}"/>
    <cellStyle name="Normal 27 97" xfId="2284" xr:uid="{70178BBD-EA3A-491B-8ACB-9D519CAD6877}"/>
    <cellStyle name="Normal 27 98" xfId="2285" xr:uid="{FD70C9E5-70A8-466E-B73B-9CA32AFC0FF1}"/>
    <cellStyle name="Normal 27 99" xfId="2286" xr:uid="{6CC0EAD8-F5BA-4A74-8EF4-5225E820A0BE}"/>
    <cellStyle name="Normal 28" xfId="2287" xr:uid="{76D5F53A-EE67-45CB-9938-EF7C52A33995}"/>
    <cellStyle name="Normal 28 10" xfId="2288" xr:uid="{9FAA4995-09B4-4428-ADF4-5B71141E9D77}"/>
    <cellStyle name="Normal 28 100" xfId="2289" xr:uid="{62B53307-A10C-4A3F-BAD8-C0859253B066}"/>
    <cellStyle name="Normal 28 101" xfId="2290" xr:uid="{309C493A-8B9F-4508-AF85-15D462F726F4}"/>
    <cellStyle name="Normal 28 102" xfId="2291" xr:uid="{5994FDBE-6C07-4CFB-AAC7-F2C58A52058C}"/>
    <cellStyle name="Normal 28 103" xfId="2292" xr:uid="{97EC3972-13CE-4667-957E-93A8D78484B9}"/>
    <cellStyle name="Normal 28 104" xfId="2293" xr:uid="{DA107225-A401-476B-AAFA-604B89713654}"/>
    <cellStyle name="Normal 28 105" xfId="2294" xr:uid="{4D5258DE-E435-4BAE-800E-FFC3CA010005}"/>
    <cellStyle name="Normal 28 106" xfId="2295" xr:uid="{D9DECEB8-BC36-47A6-888D-AF4F8652465B}"/>
    <cellStyle name="Normal 28 107" xfId="2296" xr:uid="{C2F1ED20-B5F5-457F-A01A-6D47AED24DFD}"/>
    <cellStyle name="Normal 28 108" xfId="2297" xr:uid="{A8D17E51-51E3-4E96-A558-3FB7ED55DAA4}"/>
    <cellStyle name="Normal 28 109" xfId="2298" xr:uid="{F96674E6-42F7-4DC6-A955-885EF9B4FF07}"/>
    <cellStyle name="Normal 28 11" xfId="2299" xr:uid="{48057F3A-745E-4828-BD94-3F442D912E7D}"/>
    <cellStyle name="Normal 28 12" xfId="2300" xr:uid="{CA8899E5-0EA0-48EF-8326-9DCDD6D55505}"/>
    <cellStyle name="Normal 28 13" xfId="2301" xr:uid="{47FD2A33-44F8-4BC2-B5D8-15EA5F8003BA}"/>
    <cellStyle name="Normal 28 14" xfId="2302" xr:uid="{29CEDAE8-85C8-4F86-A67D-A5F87A4E3F28}"/>
    <cellStyle name="Normal 28 15" xfId="2303" xr:uid="{FB94630D-53B7-4335-ACD3-CB6E825F1F88}"/>
    <cellStyle name="Normal 28 16" xfId="2304" xr:uid="{1A48A347-7AF8-4E4F-A504-17CA863EAFD8}"/>
    <cellStyle name="Normal 28 17" xfId="2305" xr:uid="{3A4EB181-8375-4C18-951A-2AC57B567353}"/>
    <cellStyle name="Normal 28 18" xfId="2306" xr:uid="{1CDC1938-9ACA-4751-86BF-67C2250C678E}"/>
    <cellStyle name="Normal 28 19" xfId="2307" xr:uid="{8B36ABD8-0147-4A14-9DF1-CADDA4E5B294}"/>
    <cellStyle name="Normal 28 2" xfId="2308" xr:uid="{EFC1E60C-3C2C-46CC-80CE-93342A63B266}"/>
    <cellStyle name="Normal 28 20" xfId="2309" xr:uid="{DC43073A-1785-44F3-959E-F3D10E50B0EF}"/>
    <cellStyle name="Normal 28 21" xfId="2310" xr:uid="{FACC9170-8817-4374-907D-E2CC9EC2E52C}"/>
    <cellStyle name="Normal 28 22" xfId="2311" xr:uid="{2D8D033B-C772-4AEA-A70A-4F369FAF9F23}"/>
    <cellStyle name="Normal 28 23" xfId="2312" xr:uid="{F498C096-6837-47A6-9269-B25327F895E5}"/>
    <cellStyle name="Normal 28 24" xfId="2313" xr:uid="{A10CD864-A054-4F02-9E5E-D14282FA8C99}"/>
    <cellStyle name="Normal 28 25" xfId="2314" xr:uid="{CEA42ED9-63CF-4BE2-B4C6-30BF74466374}"/>
    <cellStyle name="Normal 28 26" xfId="2315" xr:uid="{191A5974-9338-442F-A761-C3EEB5A1E902}"/>
    <cellStyle name="Normal 28 27" xfId="2316" xr:uid="{F3922AD8-1477-471B-A4B9-B20D10FC7CE8}"/>
    <cellStyle name="Normal 28 28" xfId="2317" xr:uid="{2CF8A35E-EF00-49B1-972E-466782B15330}"/>
    <cellStyle name="Normal 28 29" xfId="2318" xr:uid="{728C7872-4ECC-42A4-85DE-D3CE850DA15F}"/>
    <cellStyle name="Normal 28 3" xfId="2319" xr:uid="{7B75E78F-32C0-45D2-B7A9-4CA7F7FA6BAD}"/>
    <cellStyle name="Normal 28 30" xfId="2320" xr:uid="{B4868828-A6A4-4C2C-8B5B-B3F465BC1548}"/>
    <cellStyle name="Normal 28 31" xfId="2321" xr:uid="{946947A6-4357-4C46-868F-21C162C9D42D}"/>
    <cellStyle name="Normal 28 32" xfId="2322" xr:uid="{8AC062C5-DE4B-42BF-A8CC-8B500E40D98B}"/>
    <cellStyle name="Normal 28 33" xfId="2323" xr:uid="{C4937570-78BC-4809-A8C0-D9D8CE6456D1}"/>
    <cellStyle name="Normal 28 34" xfId="2324" xr:uid="{08191389-5B96-4694-9470-80C06DA11459}"/>
    <cellStyle name="Normal 28 35" xfId="2325" xr:uid="{362FC468-9A68-4730-BAFA-A4CD6B43FDE3}"/>
    <cellStyle name="Normal 28 36" xfId="2326" xr:uid="{A45E9C53-2DF1-4738-84DB-1149DD0DAB45}"/>
    <cellStyle name="Normal 28 37" xfId="2327" xr:uid="{30E6212D-6BC8-4335-A9A9-5D670CD2D5F6}"/>
    <cellStyle name="Normal 28 38" xfId="2328" xr:uid="{8C8D7EE1-26F2-4D02-ACE4-6FE5DC14B5CA}"/>
    <cellStyle name="Normal 28 39" xfId="2329" xr:uid="{E827DF70-D88E-4ED0-B370-747A88378751}"/>
    <cellStyle name="Normal 28 4" xfId="2330" xr:uid="{334E8C43-D7A2-4CFA-AEAE-34D4222C957E}"/>
    <cellStyle name="Normal 28 40" xfId="2331" xr:uid="{2E852412-C110-4CA2-8BB2-EF401529439C}"/>
    <cellStyle name="Normal 28 41" xfId="2332" xr:uid="{022C6E73-D77F-45E3-AE53-38823EA34F9C}"/>
    <cellStyle name="Normal 28 42" xfId="2333" xr:uid="{450748D6-3B1E-4671-A18C-65B3665A8F6B}"/>
    <cellStyle name="Normal 28 43" xfId="2334" xr:uid="{57FC21AD-EE11-4F6E-90C2-58298BA4B57A}"/>
    <cellStyle name="Normal 28 44" xfId="2335" xr:uid="{18782B64-245D-4E81-BB9D-DAA4E2E245DA}"/>
    <cellStyle name="Normal 28 45" xfId="2336" xr:uid="{1EBB4680-3E0B-41EB-82FC-1F8CB778A313}"/>
    <cellStyle name="Normal 28 46" xfId="2337" xr:uid="{D75A31AE-5A3B-4B0F-B183-DE0F9B0168B8}"/>
    <cellStyle name="Normal 28 47" xfId="2338" xr:uid="{B6E8389C-BED3-4C59-B74C-18066E51BB74}"/>
    <cellStyle name="Normal 28 48" xfId="2339" xr:uid="{D0D386CA-8D74-4747-8677-C5938B154F62}"/>
    <cellStyle name="Normal 28 49" xfId="2340" xr:uid="{CFE05B2C-3721-43B4-9D62-A20E148203A6}"/>
    <cellStyle name="Normal 28 5" xfId="2341" xr:uid="{19631F53-910C-448D-BC97-21F073F5D019}"/>
    <cellStyle name="Normal 28 50" xfId="2342" xr:uid="{3C6C38C5-4660-49AE-A288-82561D44BD1C}"/>
    <cellStyle name="Normal 28 51" xfId="2343" xr:uid="{83F6BEB7-BAD0-47E9-AF59-28A863E31C7A}"/>
    <cellStyle name="Normal 28 52" xfId="2344" xr:uid="{A6FCBE15-6561-419B-A997-300DF1ECA83F}"/>
    <cellStyle name="Normal 28 53" xfId="2345" xr:uid="{E11ADCA7-148D-4BF9-A155-7B268E5C4692}"/>
    <cellStyle name="Normal 28 54" xfId="2346" xr:uid="{08392083-F22F-465C-97AA-100A3489E2E0}"/>
    <cellStyle name="Normal 28 55" xfId="2347" xr:uid="{C10D9D68-0E9E-4655-8602-B90B51446CF0}"/>
    <cellStyle name="Normal 28 56" xfId="2348" xr:uid="{B2E6D277-3758-40AE-BF7D-793FF7264EA7}"/>
    <cellStyle name="Normal 28 57" xfId="2349" xr:uid="{45EE3992-E37B-424B-95B6-F237884E5108}"/>
    <cellStyle name="Normal 28 58" xfId="2350" xr:uid="{32DF752A-A165-47E5-8E30-AEA652B4FBBB}"/>
    <cellStyle name="Normal 28 59" xfId="2351" xr:uid="{F3A0AED2-42BB-4C1B-9394-DD6913B12E93}"/>
    <cellStyle name="Normal 28 6" xfId="2352" xr:uid="{5775CE92-EE52-4820-A42B-F14A33564F89}"/>
    <cellStyle name="Normal 28 60" xfId="2353" xr:uid="{53BFA86F-50D3-4CBF-BC11-869048F55DD1}"/>
    <cellStyle name="Normal 28 61" xfId="2354" xr:uid="{8BFD90C4-1CDF-4D35-A75E-7D35F1714D90}"/>
    <cellStyle name="Normal 28 62" xfId="2355" xr:uid="{D0E73FCC-01E6-4D2E-BFF5-8A42E93980D6}"/>
    <cellStyle name="Normal 28 63" xfId="2356" xr:uid="{594EAC8E-D17E-49A1-B949-43D99A1DD652}"/>
    <cellStyle name="Normal 28 64" xfId="2357" xr:uid="{0257E3F1-0E8D-43B9-AC09-65128F4E0FC8}"/>
    <cellStyle name="Normal 28 65" xfId="2358" xr:uid="{D9EE0836-AEF5-4148-BB02-BAD55CF5AB38}"/>
    <cellStyle name="Normal 28 66" xfId="2359" xr:uid="{FE2A3D97-6A70-455A-8667-F74C0B58792C}"/>
    <cellStyle name="Normal 28 67" xfId="2360" xr:uid="{2C672BDC-C4C5-4871-88C3-BEFC0B591CC3}"/>
    <cellStyle name="Normal 28 68" xfId="2361" xr:uid="{601FCC1C-77AD-47C6-B92F-E0C570F91D45}"/>
    <cellStyle name="Normal 28 69" xfId="2362" xr:uid="{5306A825-36B4-4D00-BA34-388A09FF4FB9}"/>
    <cellStyle name="Normal 28 7" xfId="2363" xr:uid="{27987FD9-6C9F-459F-A93D-FD97C2A780F0}"/>
    <cellStyle name="Normal 28 70" xfId="2364" xr:uid="{7B9966A4-DBB8-4C32-87B4-7ACB4BF44D29}"/>
    <cellStyle name="Normal 28 71" xfId="2365" xr:uid="{406845E9-8DB0-4CF8-925E-4C9EC879C35B}"/>
    <cellStyle name="Normal 28 72" xfId="2366" xr:uid="{126CEFC9-53A2-4618-ADC5-8D6D96579869}"/>
    <cellStyle name="Normal 28 73" xfId="2367" xr:uid="{C6699DB4-A3CF-4C74-8DFC-E04927C0E335}"/>
    <cellStyle name="Normal 28 74" xfId="2368" xr:uid="{BB0EA052-DC6A-465A-9380-53D70742F32A}"/>
    <cellStyle name="Normal 28 75" xfId="2369" xr:uid="{474B1E00-37EC-4C44-A122-72C9C9D305C0}"/>
    <cellStyle name="Normal 28 76" xfId="2370" xr:uid="{9DD33C2A-F1EA-48AE-A9E0-7A377B1D1C38}"/>
    <cellStyle name="Normal 28 77" xfId="2371" xr:uid="{089D8E69-6D63-4CED-A817-3986797D87EC}"/>
    <cellStyle name="Normal 28 78" xfId="2372" xr:uid="{4CD6E886-F229-4EA0-BDBE-F31859CB4FA4}"/>
    <cellStyle name="Normal 28 79" xfId="2373" xr:uid="{C340BDFB-6AA1-4F99-9871-90554641F921}"/>
    <cellStyle name="Normal 28 8" xfId="2374" xr:uid="{0AA8B1E5-D1F9-4F81-8712-41451DE40549}"/>
    <cellStyle name="Normal 28 80" xfId="2375" xr:uid="{F3EE86B5-6FFF-42EE-A6EF-AD68E87216DD}"/>
    <cellStyle name="Normal 28 81" xfId="2376" xr:uid="{D3C55DE1-D46B-4444-A8C2-979AEC823F5F}"/>
    <cellStyle name="Normal 28 82" xfId="2377" xr:uid="{F781306F-3F9A-4306-990A-D607B5409A25}"/>
    <cellStyle name="Normal 28 83" xfId="2378" xr:uid="{C3C6C3A7-92CE-4E33-A7EB-5E5FF94C7933}"/>
    <cellStyle name="Normal 28 84" xfId="2379" xr:uid="{224757A2-4DFF-4EFE-9AA1-ADAB439A4B3B}"/>
    <cellStyle name="Normal 28 85" xfId="2380" xr:uid="{C8551120-484D-4E81-A265-DA8642CEF57E}"/>
    <cellStyle name="Normal 28 86" xfId="2381" xr:uid="{9A2FB011-7705-4415-9D6F-B04D3CC60F13}"/>
    <cellStyle name="Normal 28 87" xfId="2382" xr:uid="{DC26C424-4020-42BC-8E09-FC414A055AEC}"/>
    <cellStyle name="Normal 28 88" xfId="2383" xr:uid="{FF8BEFBB-3D26-407D-90DB-9AA75DFA87A3}"/>
    <cellStyle name="Normal 28 89" xfId="2384" xr:uid="{D001FD7D-E49B-456D-97F5-BE5D01B42F45}"/>
    <cellStyle name="Normal 28 9" xfId="2385" xr:uid="{061DF025-A5A1-4CE5-8F30-4FAF26762A06}"/>
    <cellStyle name="Normal 28 90" xfId="2386" xr:uid="{B0A9C66A-3BE1-47DF-A9B9-EBDF63B4D586}"/>
    <cellStyle name="Normal 28 91" xfId="2387" xr:uid="{1787DEB7-27DC-4C51-AD14-C23605D0CC7E}"/>
    <cellStyle name="Normal 28 92" xfId="2388" xr:uid="{C3502825-7578-452D-82D8-4CBCCBDC4067}"/>
    <cellStyle name="Normal 28 93" xfId="2389" xr:uid="{5FA96B55-218E-40B0-BE28-E0C97D7608F4}"/>
    <cellStyle name="Normal 28 94" xfId="2390" xr:uid="{3A2F6293-BEEC-477D-B1F9-02995B84AF74}"/>
    <cellStyle name="Normal 28 95" xfId="2391" xr:uid="{7F4E3F19-A2F2-4F2F-B54F-D198BD1DAA85}"/>
    <cellStyle name="Normal 28 96" xfId="2392" xr:uid="{AE2EC7F4-5AC4-4C0F-8863-AAC58189A327}"/>
    <cellStyle name="Normal 28 97" xfId="2393" xr:uid="{19273A4A-5677-4E30-88EC-08B702069D3E}"/>
    <cellStyle name="Normal 28 98" xfId="2394" xr:uid="{576C6FCD-8BF2-4033-8F42-2F328476919A}"/>
    <cellStyle name="Normal 28 99" xfId="2395" xr:uid="{D3D39018-38DA-437D-A621-827649AAC1E5}"/>
    <cellStyle name="Normal 29" xfId="2396" xr:uid="{8F4B64EF-FBE9-4E1C-9B68-8EB9FC278A4B}"/>
    <cellStyle name="Normal 29 10" xfId="2397" xr:uid="{60DA79FF-28EE-4662-B2CB-B35457F6D02A}"/>
    <cellStyle name="Normal 29 100" xfId="2398" xr:uid="{43B7D6EC-EB08-48FF-8C7A-40E3391604BE}"/>
    <cellStyle name="Normal 29 101" xfId="2399" xr:uid="{9C0E77A3-9FC4-412E-83BA-82FA2054D725}"/>
    <cellStyle name="Normal 29 102" xfId="2400" xr:uid="{5225FDC3-6B9A-4237-8B45-B33D71CC7C07}"/>
    <cellStyle name="Normal 29 103" xfId="2401" xr:uid="{14BCD611-4377-478B-ADDE-ACED1B546779}"/>
    <cellStyle name="Normal 29 104" xfId="2402" xr:uid="{64C31A2A-8C10-4383-A4B9-E3FF92973A21}"/>
    <cellStyle name="Normal 29 105" xfId="2403" xr:uid="{5F654773-5AF9-41CF-839F-D8BBC6F85327}"/>
    <cellStyle name="Normal 29 106" xfId="2404" xr:uid="{F00ED3B1-BDAB-46C3-978E-9F99323E7499}"/>
    <cellStyle name="Normal 29 107" xfId="2405" xr:uid="{261CF9CF-6EFF-42C0-9DEF-A42749C3658D}"/>
    <cellStyle name="Normal 29 108" xfId="2406" xr:uid="{DB52124E-C273-4E62-8F0B-F1BC6AE95711}"/>
    <cellStyle name="Normal 29 109" xfId="2407" xr:uid="{259F6F35-118D-4684-B482-7FE617A0661B}"/>
    <cellStyle name="Normal 29 11" xfId="2408" xr:uid="{9E2C6AF1-230E-483D-B679-8C5DE3AE3CBF}"/>
    <cellStyle name="Normal 29 12" xfId="2409" xr:uid="{880D1CCE-CC51-4A9D-B4FC-9FBE4D66AA50}"/>
    <cellStyle name="Normal 29 13" xfId="2410" xr:uid="{52259C22-3FE5-42E7-9E97-F8A84C8D1D12}"/>
    <cellStyle name="Normal 29 14" xfId="2411" xr:uid="{88416260-7C5B-4A74-9602-9BFA61D3FEA1}"/>
    <cellStyle name="Normal 29 15" xfId="2412" xr:uid="{D66C05DA-B41F-48ED-9BF9-FC19105F4623}"/>
    <cellStyle name="Normal 29 16" xfId="2413" xr:uid="{509C649B-2F22-4DB3-BEE7-8741ECFAA76F}"/>
    <cellStyle name="Normal 29 17" xfId="2414" xr:uid="{B845624F-2A52-4E14-864B-AAFDFF3EF29A}"/>
    <cellStyle name="Normal 29 18" xfId="2415" xr:uid="{46FDEA07-9AA8-4A52-9555-C8360930F11D}"/>
    <cellStyle name="Normal 29 19" xfId="2416" xr:uid="{8EE2A8B6-0EEC-4980-8BE2-810971462CE6}"/>
    <cellStyle name="Normal 29 2" xfId="2417" xr:uid="{7CD8AED2-9A4A-4686-9F13-15E060B2C396}"/>
    <cellStyle name="Normal 29 20" xfId="2418" xr:uid="{4BA78A0D-D00A-4573-AC34-D831D1AB183C}"/>
    <cellStyle name="Normal 29 21" xfId="2419" xr:uid="{5B4CDC91-51FC-4F11-A29B-003E2962B5D1}"/>
    <cellStyle name="Normal 29 22" xfId="2420" xr:uid="{CE6D81F0-1953-4248-B168-8DB000FF2BBC}"/>
    <cellStyle name="Normal 29 23" xfId="2421" xr:uid="{6D0916D8-68A8-4551-A0BE-40B8B969BCC2}"/>
    <cellStyle name="Normal 29 24" xfId="2422" xr:uid="{DD6271B8-D426-4703-9339-DF659DE3726E}"/>
    <cellStyle name="Normal 29 25" xfId="2423" xr:uid="{39A7DCCF-D6BA-4236-8DEF-AD5AE37F32AA}"/>
    <cellStyle name="Normal 29 26" xfId="2424" xr:uid="{8958D60E-BC90-4DBD-9794-E2DE0F8B465C}"/>
    <cellStyle name="Normal 29 27" xfId="2425" xr:uid="{047BECD5-BCC6-4DB8-9150-DFA57C4CCD95}"/>
    <cellStyle name="Normal 29 28" xfId="2426" xr:uid="{17E55E9D-9D31-4D28-8747-E9A8E1988692}"/>
    <cellStyle name="Normal 29 29" xfId="2427" xr:uid="{A86B645C-30C5-470C-B001-D7E1624418EE}"/>
    <cellStyle name="Normal 29 3" xfId="2428" xr:uid="{B5F302F0-1A02-48ED-8B08-31B498E7911A}"/>
    <cellStyle name="Normal 29 30" xfId="2429" xr:uid="{7960FCA7-E2D1-404E-99EA-3A8614979C07}"/>
    <cellStyle name="Normal 29 31" xfId="2430" xr:uid="{657AEB51-9A9B-42C5-A67D-29C3147DBC39}"/>
    <cellStyle name="Normal 29 32" xfId="2431" xr:uid="{EFF1FEE6-AF3C-4CC5-B9AD-7C8F8B1FD69A}"/>
    <cellStyle name="Normal 29 33" xfId="2432" xr:uid="{5AE33C93-163A-4A3F-9518-E4A84FB7C2F3}"/>
    <cellStyle name="Normal 29 34" xfId="2433" xr:uid="{20ABB4C4-0149-4F4E-8E72-C818901A7F79}"/>
    <cellStyle name="Normal 29 35" xfId="2434" xr:uid="{480CAB90-A9B5-4330-B2AB-68DE824917B0}"/>
    <cellStyle name="Normal 29 36" xfId="2435" xr:uid="{FF130281-AFA8-4A48-9FAD-DF18BC4F9B13}"/>
    <cellStyle name="Normal 29 37" xfId="2436" xr:uid="{32A719E3-0D40-44F2-B3D2-EC07EDEA1045}"/>
    <cellStyle name="Normal 29 38" xfId="2437" xr:uid="{34121849-493E-46FD-8DD0-EEC844A389ED}"/>
    <cellStyle name="Normal 29 39" xfId="2438" xr:uid="{AC76EDF9-5B78-462E-85D5-0806033D13B3}"/>
    <cellStyle name="Normal 29 4" xfId="2439" xr:uid="{6BF12AD4-A95C-4B34-A684-A5B67EA2B597}"/>
    <cellStyle name="Normal 29 40" xfId="2440" xr:uid="{33374FD3-BDC0-4C92-BB6F-F7EC7F219F7D}"/>
    <cellStyle name="Normal 29 41" xfId="2441" xr:uid="{6F0F7A3C-78B1-45B9-B3E3-EEE81540B36C}"/>
    <cellStyle name="Normal 29 42" xfId="2442" xr:uid="{78D1A299-794E-4A69-85BE-5DD3656BAB47}"/>
    <cellStyle name="Normal 29 43" xfId="2443" xr:uid="{45504FE1-8BCD-46E3-99E5-ADEDCA48526B}"/>
    <cellStyle name="Normal 29 44" xfId="2444" xr:uid="{B8A6EC17-B217-46CF-A8D5-30EAE4224B12}"/>
    <cellStyle name="Normal 29 45" xfId="2445" xr:uid="{704465DF-4719-4F09-AFB4-385D03767971}"/>
    <cellStyle name="Normal 29 46" xfId="2446" xr:uid="{C995A97D-B06F-4D03-AFD5-EAAA6488B912}"/>
    <cellStyle name="Normal 29 47" xfId="2447" xr:uid="{AA590BFD-9C18-462C-A838-7F1B0700DAD0}"/>
    <cellStyle name="Normal 29 48" xfId="2448" xr:uid="{7DC2D390-24F5-4759-9DED-DCAA35E9B002}"/>
    <cellStyle name="Normal 29 49" xfId="2449" xr:uid="{6A849847-852D-48C8-A01B-E2F09DBD988E}"/>
    <cellStyle name="Normal 29 5" xfId="2450" xr:uid="{C91E66D7-9E2E-4B87-9BCC-D2C9A16F374E}"/>
    <cellStyle name="Normal 29 50" xfId="2451" xr:uid="{3E38BBD7-C268-4220-9346-B594BD1C4DDD}"/>
    <cellStyle name="Normal 29 51" xfId="2452" xr:uid="{369457A1-455B-414C-81C7-0C2D7C0AB672}"/>
    <cellStyle name="Normal 29 52" xfId="2453" xr:uid="{7A5AEA43-786D-44CB-BD28-7E1CA93313A1}"/>
    <cellStyle name="Normal 29 53" xfId="2454" xr:uid="{C9184263-2A0B-437A-9B2A-C6EA39542055}"/>
    <cellStyle name="Normal 29 54" xfId="2455" xr:uid="{C8F72933-FE60-425E-ACFA-BA1E47124B89}"/>
    <cellStyle name="Normal 29 55" xfId="2456" xr:uid="{96C2DECC-702D-4092-8723-D0FFEC8BE017}"/>
    <cellStyle name="Normal 29 56" xfId="2457" xr:uid="{B72DF47E-F2F6-470F-9ED2-F05AF652AE79}"/>
    <cellStyle name="Normal 29 57" xfId="2458" xr:uid="{C31FC8E1-61D1-4836-8F23-037D703F1221}"/>
    <cellStyle name="Normal 29 58" xfId="2459" xr:uid="{95112594-26BC-450F-89D0-AAECCDB8CDAF}"/>
    <cellStyle name="Normal 29 59" xfId="2460" xr:uid="{7AE852C7-99BD-4228-81BB-09D3B10C5302}"/>
    <cellStyle name="Normal 29 6" xfId="2461" xr:uid="{1EC4DCC7-F46E-40B9-BE26-34DB9679AB6F}"/>
    <cellStyle name="Normal 29 60" xfId="2462" xr:uid="{7931F656-E9D7-44D1-8E01-D0E319E16853}"/>
    <cellStyle name="Normal 29 61" xfId="2463" xr:uid="{B391B5CB-6E64-426E-8875-68873AA42A3F}"/>
    <cellStyle name="Normal 29 62" xfId="2464" xr:uid="{6A0811F2-92DB-41A8-9A1A-C51A3F9D0618}"/>
    <cellStyle name="Normal 29 63" xfId="2465" xr:uid="{6F5EE3AF-1DC5-4342-A3E2-36C91770DE0D}"/>
    <cellStyle name="Normal 29 64" xfId="2466" xr:uid="{5A8C85AA-9842-46B3-8789-4D796F16F9EC}"/>
    <cellStyle name="Normal 29 65" xfId="2467" xr:uid="{DCA27997-7212-4F50-BD7B-E3D570F1F332}"/>
    <cellStyle name="Normal 29 66" xfId="2468" xr:uid="{A570479D-19F7-497D-A688-8A16BAAB6C58}"/>
    <cellStyle name="Normal 29 67" xfId="2469" xr:uid="{8F76E3EB-7972-4B64-A265-B1953B0D0A23}"/>
    <cellStyle name="Normal 29 68" xfId="2470" xr:uid="{8EA99D7F-0559-4215-8680-84F7C42F9BAB}"/>
    <cellStyle name="Normal 29 69" xfId="2471" xr:uid="{A7A0B9D4-F255-4704-AAEE-E34F21CBC537}"/>
    <cellStyle name="Normal 29 7" xfId="2472" xr:uid="{497E88C4-FF7D-4AE1-B4C2-617D6D9671D5}"/>
    <cellStyle name="Normal 29 70" xfId="2473" xr:uid="{F56DA392-B439-4356-9798-4557A1AAD1CB}"/>
    <cellStyle name="Normal 29 71" xfId="2474" xr:uid="{1DFF3590-AE4D-499C-ABF1-13AD409C1129}"/>
    <cellStyle name="Normal 29 72" xfId="2475" xr:uid="{64D08157-B770-40B6-A1AF-3206B467287E}"/>
    <cellStyle name="Normal 29 73" xfId="2476" xr:uid="{04344F46-4D4E-4AD1-9EA7-C6D5EB3A6B89}"/>
    <cellStyle name="Normal 29 74" xfId="2477" xr:uid="{61250087-9495-44AC-9354-0566482EEC76}"/>
    <cellStyle name="Normal 29 75" xfId="2478" xr:uid="{29B08073-0EB2-41D7-A7C4-45E782F02FB5}"/>
    <cellStyle name="Normal 29 76" xfId="2479" xr:uid="{7C9DD171-A7A4-41FF-AC5E-2417499F5263}"/>
    <cellStyle name="Normal 29 77" xfId="2480" xr:uid="{8D45CB97-D225-4938-9882-983FC5BFBC11}"/>
    <cellStyle name="Normal 29 78" xfId="2481" xr:uid="{B1E3EAEE-F37A-46F4-B623-F141A0D6D614}"/>
    <cellStyle name="Normal 29 79" xfId="2482" xr:uid="{4A8FF96D-1E62-4C0F-AA90-B4FF6F4970C9}"/>
    <cellStyle name="Normal 29 8" xfId="2483" xr:uid="{F0D7C20A-D926-4B50-BE63-DD67CAFE41BD}"/>
    <cellStyle name="Normal 29 80" xfId="2484" xr:uid="{B847B1EB-DD4A-4AFD-BCE7-BB71F46D76E7}"/>
    <cellStyle name="Normal 29 81" xfId="2485" xr:uid="{35E06C05-ADDF-4A85-BFD6-7057029A18EE}"/>
    <cellStyle name="Normal 29 82" xfId="2486" xr:uid="{14DA51BF-C413-41A3-8480-86C3C2E7B02B}"/>
    <cellStyle name="Normal 29 83" xfId="2487" xr:uid="{D9679496-543B-477A-88D2-814DA08280EF}"/>
    <cellStyle name="Normal 29 84" xfId="2488" xr:uid="{8193B717-BC37-471C-A84D-C18391D508E2}"/>
    <cellStyle name="Normal 29 85" xfId="2489" xr:uid="{9BE22BE4-E2B4-470F-A394-0B48C4661F03}"/>
    <cellStyle name="Normal 29 86" xfId="2490" xr:uid="{63D8FD2F-57AF-4F4E-BAE2-6A08EBDFAF4D}"/>
    <cellStyle name="Normal 29 87" xfId="2491" xr:uid="{F3A0FA7B-4C7B-4EE4-A196-90B6B2CB1F9C}"/>
    <cellStyle name="Normal 29 88" xfId="2492" xr:uid="{ED2B81F7-908E-4C43-A329-B6A7FDC3F0BA}"/>
    <cellStyle name="Normal 29 89" xfId="2493" xr:uid="{A28849ED-8B69-431E-967E-57228835A75E}"/>
    <cellStyle name="Normal 29 9" xfId="2494" xr:uid="{1316AC65-7420-4649-AADF-389EF07A46C7}"/>
    <cellStyle name="Normal 29 90" xfId="2495" xr:uid="{5C75D290-BBFD-442E-8578-358555349903}"/>
    <cellStyle name="Normal 29 91" xfId="2496" xr:uid="{F5E41DEF-D29A-4FE5-AC6F-9E3A3647B94E}"/>
    <cellStyle name="Normal 29 92" xfId="2497" xr:uid="{C6970AB5-21E1-4BE0-82FA-F5429766373C}"/>
    <cellStyle name="Normal 29 93" xfId="2498" xr:uid="{32654D26-C37A-432D-94BE-8DC10AF7071C}"/>
    <cellStyle name="Normal 29 94" xfId="2499" xr:uid="{DD3C311F-6449-4A36-98A1-E4013D93C07B}"/>
    <cellStyle name="Normal 29 95" xfId="2500" xr:uid="{CA351033-C788-450B-A862-20FFBC41D447}"/>
    <cellStyle name="Normal 29 96" xfId="2501" xr:uid="{651F3604-F2E2-42C4-B061-AC1295B7FD1E}"/>
    <cellStyle name="Normal 29 97" xfId="2502" xr:uid="{17368AAD-F746-4EC8-87A0-8C082C9E6B93}"/>
    <cellStyle name="Normal 29 98" xfId="2503" xr:uid="{4516BFD2-CA56-4DC3-857F-42132AEF3214}"/>
    <cellStyle name="Normal 29 99" xfId="2504" xr:uid="{8E5DFD4C-6EB2-4B0B-81B3-40F49048388E}"/>
    <cellStyle name="Normal 3" xfId="14" xr:uid="{A9DCB5AA-6FB1-445A-B863-1392C48B4F18}"/>
    <cellStyle name="Normal-- 3" xfId="3971" xr:uid="{25D5A35A-A65B-4D58-84AD-CEA0A662D026}"/>
    <cellStyle name="Normal 3 10" xfId="2505" xr:uid="{4283D120-9FF9-450F-B95F-7AE32D0D6654}"/>
    <cellStyle name="Normal 3 11" xfId="2506" xr:uid="{AA982226-5A38-4929-AA2E-12460A924261}"/>
    <cellStyle name="Normal 3 12" xfId="2507" xr:uid="{2E926D90-77C2-40BC-B5A2-2A4B71A55A02}"/>
    <cellStyle name="Normal 3 13" xfId="2508" xr:uid="{E578987B-5E91-40D5-89C2-BBF0F599A38E}"/>
    <cellStyle name="Normal 3 14" xfId="2509" xr:uid="{DBC08E8E-7FA1-4004-A87B-9E11C4ACB3E4}"/>
    <cellStyle name="Normal 3 15" xfId="2510" xr:uid="{856072CA-1743-4564-BEFA-5CFF70410AC2}"/>
    <cellStyle name="Normal 3 16" xfId="2511" xr:uid="{0F725113-93E5-445C-8A72-5198F6640DD0}"/>
    <cellStyle name="Normal 3 17" xfId="2512" xr:uid="{85EABF3C-5346-4440-BF81-5E5323362021}"/>
    <cellStyle name="Normal 3 18" xfId="2513" xr:uid="{10D369B2-0D03-4437-BFBE-E81D57BDFEF5}"/>
    <cellStyle name="Normal 3 19" xfId="2514" xr:uid="{1205CBE3-3371-4AE9-9A2D-23CC68B567A8}"/>
    <cellStyle name="Normal 3 2" xfId="59" xr:uid="{4D7E6590-8F96-467E-8CBB-58247D3C27B7}"/>
    <cellStyle name="Normal 3 2 2" xfId="2515" xr:uid="{0CD357BC-1CAA-4A67-8634-6B38015DE0C1}"/>
    <cellStyle name="Normal 3 2 2 2" xfId="2516" xr:uid="{649F7A55-387B-43E9-96A8-1BA664050006}"/>
    <cellStyle name="Normal 3 2 3" xfId="2517" xr:uid="{27F30E64-837C-41C3-9CEB-96851817AA72}"/>
    <cellStyle name="Normal 3 2 4" xfId="2518" xr:uid="{C02EC2CC-5054-4FA3-9358-8746D1B8204B}"/>
    <cellStyle name="Normal 3 20" xfId="2519" xr:uid="{F91DF566-E99A-46DC-B456-F1EEEF60D3FB}"/>
    <cellStyle name="Normal 3 21" xfId="2520" xr:uid="{0E75AF15-2EAE-4191-8ABB-BAD20043EFB8}"/>
    <cellStyle name="Normal 3 22" xfId="2521" xr:uid="{76C1342C-1C0B-4812-ADD3-91288E789BF3}"/>
    <cellStyle name="Normal 3 22 2" xfId="2522" xr:uid="{8ECA74E4-7C20-429D-9A02-1B16C608530E}"/>
    <cellStyle name="Normal 3 22 2 2" xfId="2523" xr:uid="{19F096EC-2383-4097-B891-A967E7E91FF0}"/>
    <cellStyle name="Normal 3 22 2 2 2" xfId="2524" xr:uid="{820DF506-8071-4D25-9662-A40919893E6B}"/>
    <cellStyle name="Normal 3 22 2 3" xfId="2525" xr:uid="{3540A766-66F5-431E-A8A5-3BD604208A92}"/>
    <cellStyle name="Normal 3 22 3" xfId="2526" xr:uid="{ACE5B86A-79AB-48A9-B81B-64BF3FCCC79C}"/>
    <cellStyle name="Normal 3 22 3 2" xfId="2527" xr:uid="{FF42872F-E519-4DC0-A742-8569C7DEC28F}"/>
    <cellStyle name="Normal 3 22 4" xfId="2528" xr:uid="{CBDBEF55-9893-4276-B008-AEB6316D66FB}"/>
    <cellStyle name="Normal 3 23" xfId="2529" xr:uid="{25826586-685E-44D8-9734-A5FFBD790F9C}"/>
    <cellStyle name="Normal 3 24" xfId="2530" xr:uid="{70F8E003-BC30-45DD-B06B-F862D0E2B5A4}"/>
    <cellStyle name="Normal 3 24 2" xfId="2531" xr:uid="{24D70A31-A832-4DC9-A724-3A6551FC9AD7}"/>
    <cellStyle name="Normal 3 24 2 2" xfId="2532" xr:uid="{6A922B83-6A47-4CB2-A541-883DD4AA7A17}"/>
    <cellStyle name="Normal 3 24 3" xfId="2533" xr:uid="{2FEA1E31-1111-4CD1-80CA-C75358F05A6B}"/>
    <cellStyle name="Normal 3 25" xfId="2534" xr:uid="{E62C2956-EFB9-4CD6-9F3F-4AF5E4C07D05}"/>
    <cellStyle name="Normal 3 26" xfId="2535" xr:uid="{2B0D1B49-056A-4D6A-ACB2-E9608DA25C28}"/>
    <cellStyle name="Normal 3 27" xfId="2536" xr:uid="{9A47CA6A-437E-4C0F-80D0-4EC4E318C5BD}"/>
    <cellStyle name="Normal 3 28" xfId="2537" xr:uid="{04B1A933-877E-477A-8A6A-E59C3434169F}"/>
    <cellStyle name="Normal 3 29" xfId="2538" xr:uid="{A1FFD6FA-DCBB-491B-941D-3606E57981DA}"/>
    <cellStyle name="Normal 3 3" xfId="2539" xr:uid="{DA795785-DBB4-404F-8521-A0747CF56251}"/>
    <cellStyle name="Normal 3 3 2" xfId="2540" xr:uid="{8058F203-D49B-4ECC-B934-30E178E33477}"/>
    <cellStyle name="Normal 3 3 3" xfId="2541" xr:uid="{CEA09E7C-7A75-429D-812B-C9B8ADDF5002}"/>
    <cellStyle name="Normal 3 3 4" xfId="2542" xr:uid="{3D551FE0-A90A-4D83-A413-6497384DFA6B}"/>
    <cellStyle name="Normal 3 30" xfId="2543" xr:uid="{10152408-336A-40FA-A060-464C69CAAFE5}"/>
    <cellStyle name="Normal 3 31" xfId="2544" xr:uid="{9693A81F-6663-4C80-B641-4686A9301DDF}"/>
    <cellStyle name="Normal 3 32" xfId="2545" xr:uid="{B38D80C9-4673-45B2-9019-38DD6E6CDF13}"/>
    <cellStyle name="Normal 3 33" xfId="2546" xr:uid="{4DC2A9BC-C4F4-4356-B3FA-229FE4072AEE}"/>
    <cellStyle name="Normal 3 34" xfId="2547" xr:uid="{9166A0EC-EDBF-4F42-B149-F514057A1AF3}"/>
    <cellStyle name="Normal 3 35" xfId="2548" xr:uid="{B1E55D03-EE4D-4CD9-AE38-D7E79977BEEE}"/>
    <cellStyle name="Normal 3 36" xfId="2549" xr:uid="{B16BCB41-80A1-4388-A5EA-CB29FD2CEB69}"/>
    <cellStyle name="Normal 3 37" xfId="2550" xr:uid="{E505D129-E5CB-43F2-9242-30525A7F55A7}"/>
    <cellStyle name="Normal 3 38" xfId="2551" xr:uid="{CD0F1ECE-AF7A-4F17-A945-09A7CE3721BD}"/>
    <cellStyle name="Normal 3 39" xfId="2552" xr:uid="{C3DBF47D-B42B-488A-BA00-4AA5C6A88642}"/>
    <cellStyle name="Normal 3 39 2" xfId="2553" xr:uid="{4EAA47BF-6A07-44C8-BAF2-75856E461FBB}"/>
    <cellStyle name="Normal 3 4" xfId="2554" xr:uid="{15CC0905-367B-480E-8871-11627F7C8AFF}"/>
    <cellStyle name="Normal 3 4 2" xfId="2555" xr:uid="{4E7276D1-1894-4839-956C-7571F5FCDDA3}"/>
    <cellStyle name="Normal 3 4 3" xfId="2556" xr:uid="{CE06774A-52F3-4F94-AA98-C790573FD6B9}"/>
    <cellStyle name="Normal 3 40" xfId="2557" xr:uid="{C62BD8E2-3EC1-4B6B-98D6-82E0D841C9A8}"/>
    <cellStyle name="Normal 3 41" xfId="2558" xr:uid="{90190CAA-C481-4659-8FA8-E843E29C0889}"/>
    <cellStyle name="Normal 3 42" xfId="2559" xr:uid="{E20C826D-8099-4C24-A46E-EBB1FBF6F58D}"/>
    <cellStyle name="Normal 3 43" xfId="2560" xr:uid="{F90A1B4A-5B51-4F69-9A37-FBA9D128F087}"/>
    <cellStyle name="Normal 3 44" xfId="2561" xr:uid="{B9C07F8C-9D2E-45BE-ABCE-5B7BDD147188}"/>
    <cellStyle name="Normal 3 45" xfId="2562" xr:uid="{44669CB0-939C-44AB-9F44-50413CDF164E}"/>
    <cellStyle name="Normal 3 46" xfId="2563" xr:uid="{B6F0DD08-A34A-45D5-A2C2-1069192FF792}"/>
    <cellStyle name="Normal 3 47" xfId="2564" xr:uid="{C9C6920A-EC57-42C9-B812-08CC01F811F3}"/>
    <cellStyle name="Normal 3 48" xfId="2565" xr:uid="{34E17B27-1CDB-4308-AA85-963853387764}"/>
    <cellStyle name="Normal 3 49" xfId="2566" xr:uid="{0DFE2EE5-CD72-4428-9C39-CE4A808C6E99}"/>
    <cellStyle name="Normal 3 5" xfId="2567" xr:uid="{AC2CD713-7E4E-4E49-ADD3-63B56F24E1E5}"/>
    <cellStyle name="Normal 3 5 2" xfId="2568" xr:uid="{60267A3C-44A4-4459-AD47-AED07B7D38F8}"/>
    <cellStyle name="Normal 3 50" xfId="2569" xr:uid="{D7E8B74E-06C6-475F-9F03-3B4FEF98DFC8}"/>
    <cellStyle name="Normal 3 51" xfId="2570" xr:uid="{0DEC2439-2CA6-4A88-A10E-74A673A9AC91}"/>
    <cellStyle name="Normal 3 52" xfId="2571" xr:uid="{42F22BD5-FD29-484C-8CC3-62C6F8E5CA8F}"/>
    <cellStyle name="Normal 3 53" xfId="2572" xr:uid="{55115EC1-DEF9-4CC0-BCB6-038FDF7BF2FE}"/>
    <cellStyle name="Normal 3 6" xfId="2573" xr:uid="{3CC7B9BE-13A0-4176-8F5E-3C8D0F5D6CEF}"/>
    <cellStyle name="Normal 3 7" xfId="2574" xr:uid="{CF098E64-0915-4D3E-A20C-4277EEAEAA06}"/>
    <cellStyle name="Normal 3 8" xfId="2575" xr:uid="{2778C2F0-B1A8-43FD-817F-0A29AF9F5AD0}"/>
    <cellStyle name="Normal 3 9" xfId="2576" xr:uid="{49AFFE8C-7E27-4A09-8DD0-06C56E7C260D}"/>
    <cellStyle name="Normal 30" xfId="2577" xr:uid="{1CC2FA74-4518-4016-ACD8-1B7FE3DEB643}"/>
    <cellStyle name="Normal 30 10" xfId="2578" xr:uid="{AA0F89ED-6632-496F-9915-69B9BAEEA694}"/>
    <cellStyle name="Normal 30 100" xfId="2579" xr:uid="{AF1DEB12-B776-48F9-AA9A-115097E49EEF}"/>
    <cellStyle name="Normal 30 101" xfId="2580" xr:uid="{72696D75-46DC-4335-A259-0C5515006BA6}"/>
    <cellStyle name="Normal 30 102" xfId="2581" xr:uid="{16C36E38-7698-4946-879C-D04DCEF7E850}"/>
    <cellStyle name="Normal 30 103" xfId="2582" xr:uid="{C64F9EDE-1897-4629-AF6B-22C48F58D870}"/>
    <cellStyle name="Normal 30 104" xfId="2583" xr:uid="{4999BDFD-8F00-4266-86EA-E22E72EFC765}"/>
    <cellStyle name="Normal 30 105" xfId="2584" xr:uid="{9C964C05-DF2B-4FC7-A5DD-42B023D9795F}"/>
    <cellStyle name="Normal 30 106" xfId="2585" xr:uid="{9D15BE0A-DA07-4D0B-9E90-B97D5E6D1951}"/>
    <cellStyle name="Normal 30 107" xfId="2586" xr:uid="{55616377-D078-49A3-86DB-E2973B197ADB}"/>
    <cellStyle name="Normal 30 108" xfId="2587" xr:uid="{47960AE9-A56A-4D56-B883-228C5E09A1C7}"/>
    <cellStyle name="Normal 30 109" xfId="2588" xr:uid="{AC316AC2-EC4E-48FA-ADA4-D9736BDDB305}"/>
    <cellStyle name="Normal 30 11" xfId="2589" xr:uid="{D73A81F7-EB7F-432F-8902-B8F8150B481C}"/>
    <cellStyle name="Normal 30 12" xfId="2590" xr:uid="{FE73D61C-D81D-44AF-B938-B38BA5E6092F}"/>
    <cellStyle name="Normal 30 13" xfId="2591" xr:uid="{BCB6C6E3-03C8-4D2B-A206-D66EEF4CD075}"/>
    <cellStyle name="Normal 30 14" xfId="2592" xr:uid="{1A9E539D-FB5D-4449-AB8E-F2AAFE02C7B8}"/>
    <cellStyle name="Normal 30 15" xfId="2593" xr:uid="{D1596A5D-1FD7-47DE-BB86-80F3DF488CD2}"/>
    <cellStyle name="Normal 30 16" xfId="2594" xr:uid="{DC87B814-7AE0-4E94-9695-97323F0A3514}"/>
    <cellStyle name="Normal 30 17" xfId="2595" xr:uid="{F3807571-8979-4E55-B11B-41F654D7DEF1}"/>
    <cellStyle name="Normal 30 18" xfId="2596" xr:uid="{F0C197D6-E6F7-4543-B653-ABF5FF8568DA}"/>
    <cellStyle name="Normal 30 19" xfId="2597" xr:uid="{BA6C8804-9CF1-4F7E-AE6B-FF14972B85C7}"/>
    <cellStyle name="Normal 30 2" xfId="2598" xr:uid="{943B790E-9284-4996-8389-5554D4522C2D}"/>
    <cellStyle name="Normal 30 20" xfId="2599" xr:uid="{F33EF82A-F92A-45AB-BEC3-40E0E06CFEC9}"/>
    <cellStyle name="Normal 30 21" xfId="2600" xr:uid="{122B7A35-DF69-4826-B857-414D0895DD82}"/>
    <cellStyle name="Normal 30 22" xfId="2601" xr:uid="{1B6B03DC-834A-4BD8-ABBE-A476C383A351}"/>
    <cellStyle name="Normal 30 23" xfId="2602" xr:uid="{FD7EADFF-353B-40C2-9547-2833CE6A5AC4}"/>
    <cellStyle name="Normal 30 24" xfId="2603" xr:uid="{B07B1FD0-6099-4070-96A9-B72DBA4F79C3}"/>
    <cellStyle name="Normal 30 25" xfId="2604" xr:uid="{45310F8F-E137-4E52-9D8D-207A7862A56E}"/>
    <cellStyle name="Normal 30 26" xfId="2605" xr:uid="{538468C8-05CA-4AC6-9949-F16BB01D54DD}"/>
    <cellStyle name="Normal 30 27" xfId="2606" xr:uid="{D239A039-FA07-41E9-AFA6-AAA61F3B8AAC}"/>
    <cellStyle name="Normal 30 28" xfId="2607" xr:uid="{BEEBBB12-0C1B-4F4A-A239-A9E13B49BFD0}"/>
    <cellStyle name="Normal 30 29" xfId="2608" xr:uid="{E1A5DD8E-2DF5-4064-9FDB-B8C73549248E}"/>
    <cellStyle name="Normal 30 3" xfId="2609" xr:uid="{AFD32EEF-121A-4D6A-BB2D-838EAC3E9610}"/>
    <cellStyle name="Normal 30 30" xfId="2610" xr:uid="{587275DE-E77C-4492-BD26-610FA3CE58F5}"/>
    <cellStyle name="Normal 30 31" xfId="2611" xr:uid="{32B11690-ED89-4F93-8440-FFB3ED7F5C3E}"/>
    <cellStyle name="Normal 30 32" xfId="2612" xr:uid="{9288142B-97E5-4433-84DC-C1E2DF6A0BEC}"/>
    <cellStyle name="Normal 30 33" xfId="2613" xr:uid="{D573F74B-F0DD-4C18-B0D2-CB75E702F77E}"/>
    <cellStyle name="Normal 30 34" xfId="2614" xr:uid="{58DC1514-D9F0-4BDA-9550-B4EE5F7BC5DA}"/>
    <cellStyle name="Normal 30 35" xfId="2615" xr:uid="{0DA51232-626C-4F88-84E8-CC3C463826E4}"/>
    <cellStyle name="Normal 30 36" xfId="2616" xr:uid="{9DC7EA23-E82F-41FC-890B-EE44DB7F238C}"/>
    <cellStyle name="Normal 30 37" xfId="2617" xr:uid="{9548B0C7-BBF6-49D1-8B4F-D7BE13A28091}"/>
    <cellStyle name="Normal 30 38" xfId="2618" xr:uid="{840EE546-418B-4EC8-A4C9-C43DCD679139}"/>
    <cellStyle name="Normal 30 39" xfId="2619" xr:uid="{6588B299-6C3D-4720-9DD4-39E971939975}"/>
    <cellStyle name="Normal 30 4" xfId="2620" xr:uid="{BF332959-7341-44E5-88A0-7984DC6C15BF}"/>
    <cellStyle name="Normal 30 40" xfId="2621" xr:uid="{32C27175-6833-47D0-A2FE-C180729D9EB4}"/>
    <cellStyle name="Normal 30 41" xfId="2622" xr:uid="{D7734F11-8CBD-409D-8630-ABD02AD13848}"/>
    <cellStyle name="Normal 30 42" xfId="2623" xr:uid="{A2A92398-FF4C-45A0-AA9E-950C5E4D3B24}"/>
    <cellStyle name="Normal 30 43" xfId="2624" xr:uid="{67CBA803-5C9D-4D3E-B0BD-692345168F48}"/>
    <cellStyle name="Normal 30 44" xfId="2625" xr:uid="{AE978CB4-2C34-4F86-A42E-D05004BEDFD4}"/>
    <cellStyle name="Normal 30 45" xfId="2626" xr:uid="{E03101D7-8838-4FF7-9120-D98FD5587009}"/>
    <cellStyle name="Normal 30 46" xfId="2627" xr:uid="{844CBBC3-0003-426C-8337-1D12635BCA2A}"/>
    <cellStyle name="Normal 30 47" xfId="2628" xr:uid="{E221CB1F-F689-4874-BA9E-D4956A4C037A}"/>
    <cellStyle name="Normal 30 48" xfId="2629" xr:uid="{44DA5C53-FF33-4CC2-BAAA-773F9B8C7C8D}"/>
    <cellStyle name="Normal 30 49" xfId="2630" xr:uid="{F09A1453-C37A-4A24-BD00-EF3B696D74E4}"/>
    <cellStyle name="Normal 30 5" xfId="2631" xr:uid="{B142FF58-CB22-4A62-9DD2-6CC17129EA8E}"/>
    <cellStyle name="Normal 30 50" xfId="2632" xr:uid="{5CA06ACC-BB1C-4E68-880F-0D8EE5441A11}"/>
    <cellStyle name="Normal 30 51" xfId="2633" xr:uid="{5786A0AB-39DC-4A8D-8384-7F70575D98AE}"/>
    <cellStyle name="Normal 30 52" xfId="2634" xr:uid="{6F0B956B-AD7C-41B4-8094-893910304AF3}"/>
    <cellStyle name="Normal 30 53" xfId="2635" xr:uid="{12AAC558-2473-4324-B7BA-88500B2E84E5}"/>
    <cellStyle name="Normal 30 54" xfId="2636" xr:uid="{55D6ED3A-3BB0-455E-8FEE-967B34A1352D}"/>
    <cellStyle name="Normal 30 55" xfId="2637" xr:uid="{5EBDCCE1-F58C-429E-AC0B-672B3C3B1139}"/>
    <cellStyle name="Normal 30 56" xfId="2638" xr:uid="{F652FD72-0DBA-45D3-AFA1-BF608A34263C}"/>
    <cellStyle name="Normal 30 57" xfId="2639" xr:uid="{4528B9ED-7B42-4717-B90C-A5A13D67B35C}"/>
    <cellStyle name="Normal 30 58" xfId="2640" xr:uid="{4E9B49FE-D26F-44C3-B40E-DE8FFE90D34A}"/>
    <cellStyle name="Normal 30 59" xfId="2641" xr:uid="{73A84F04-6C03-4BF1-9169-F6507422AEB9}"/>
    <cellStyle name="Normal 30 6" xfId="2642" xr:uid="{4A9D7F26-550D-48D5-B605-0E4C2CFCE50F}"/>
    <cellStyle name="Normal 30 60" xfId="2643" xr:uid="{02CF3DC8-0A3B-4315-B627-68DB6BB509BB}"/>
    <cellStyle name="Normal 30 61" xfId="2644" xr:uid="{52ADE87C-5A6F-4028-BE6D-5CE303CFE10D}"/>
    <cellStyle name="Normal 30 62" xfId="2645" xr:uid="{DF6E8931-B347-4D2A-8EE9-065A6CBA0C4D}"/>
    <cellStyle name="Normal 30 63" xfId="2646" xr:uid="{CDF67DD0-1399-4A8A-B868-05DFD1DE01A0}"/>
    <cellStyle name="Normal 30 64" xfId="2647" xr:uid="{B71F37E2-1AFC-4A8F-9C29-743EEE1752B5}"/>
    <cellStyle name="Normal 30 65" xfId="2648" xr:uid="{FDC7978E-97F1-4589-B982-1CAE41002747}"/>
    <cellStyle name="Normal 30 66" xfId="2649" xr:uid="{98B05D81-785E-4B2E-A600-8EBEFE5901D9}"/>
    <cellStyle name="Normal 30 67" xfId="2650" xr:uid="{0EBF59D1-1F78-44E6-A45B-AB0E9EF1039E}"/>
    <cellStyle name="Normal 30 68" xfId="2651" xr:uid="{EF53BB25-1F7A-438D-A5D5-3D86A10B018F}"/>
    <cellStyle name="Normal 30 69" xfId="2652" xr:uid="{B18D466D-5041-4DC6-9158-D9BB597F794C}"/>
    <cellStyle name="Normal 30 7" xfId="2653" xr:uid="{44295AED-377A-4FBA-A9E7-E8198815EF1A}"/>
    <cellStyle name="Normal 30 70" xfId="2654" xr:uid="{26F4B295-CAF8-4315-A30E-1DFCA31CF466}"/>
    <cellStyle name="Normal 30 71" xfId="2655" xr:uid="{56497CED-3D23-4D38-8A93-60C86BB3F139}"/>
    <cellStyle name="Normal 30 72" xfId="2656" xr:uid="{90E6F99E-1CD5-4F87-A458-4E4C2A0C234D}"/>
    <cellStyle name="Normal 30 73" xfId="2657" xr:uid="{17DC6D3F-B67A-4629-AFB5-045C28626DAD}"/>
    <cellStyle name="Normal 30 74" xfId="2658" xr:uid="{FA4581EF-457A-4F21-A29C-2A197022C0B7}"/>
    <cellStyle name="Normal 30 75" xfId="2659" xr:uid="{35CBC03D-A4B0-4FA9-A91E-CF5541ADBE5E}"/>
    <cellStyle name="Normal 30 76" xfId="2660" xr:uid="{ECD62DE6-AEE8-4CE1-9284-1EC7201364A1}"/>
    <cellStyle name="Normal 30 77" xfId="2661" xr:uid="{2561BA07-5CE6-4185-BB02-C78B5ADD68BA}"/>
    <cellStyle name="Normal 30 78" xfId="2662" xr:uid="{2C61D1D0-95AA-403A-A157-606ABFAE5BB6}"/>
    <cellStyle name="Normal 30 79" xfId="2663" xr:uid="{9E301F05-56B7-4399-920A-B3C05DF6FCA1}"/>
    <cellStyle name="Normal 30 8" xfId="2664" xr:uid="{5A63C117-D1F8-48D3-9962-D3568AD5202E}"/>
    <cellStyle name="Normal 30 80" xfId="2665" xr:uid="{592EE7CA-B8C9-40D5-ABFE-12B21C10F618}"/>
    <cellStyle name="Normal 30 81" xfId="2666" xr:uid="{C0F0162C-C3CB-4A02-97A5-D295C032979A}"/>
    <cellStyle name="Normal 30 82" xfId="2667" xr:uid="{D103C864-D386-47B4-A7FC-DC6630D59252}"/>
    <cellStyle name="Normal 30 83" xfId="2668" xr:uid="{D21A1AEB-19AD-48C5-9270-CBEDF2C6A6FD}"/>
    <cellStyle name="Normal 30 84" xfId="2669" xr:uid="{3A4CABA6-226F-47E0-A523-4DA1745C5595}"/>
    <cellStyle name="Normal 30 85" xfId="2670" xr:uid="{23C5F110-ED9E-407C-B3C7-BDABF9059BC6}"/>
    <cellStyle name="Normal 30 86" xfId="2671" xr:uid="{B2A7BB20-105A-495F-A034-1607D01748A1}"/>
    <cellStyle name="Normal 30 87" xfId="2672" xr:uid="{F09C885D-04D2-4B35-9D90-B2D77C0EBA46}"/>
    <cellStyle name="Normal 30 88" xfId="2673" xr:uid="{E498E44E-19B6-442B-AEFE-AB0471A908D3}"/>
    <cellStyle name="Normal 30 89" xfId="2674" xr:uid="{51C196CF-AF8B-40EE-AA61-51922B692ADE}"/>
    <cellStyle name="Normal 30 9" xfId="2675" xr:uid="{234D3733-ADC3-4569-985F-F1D0FCE747EC}"/>
    <cellStyle name="Normal 30 90" xfId="2676" xr:uid="{9798EBA1-31E3-47DE-8E78-FD52267AE9C4}"/>
    <cellStyle name="Normal 30 91" xfId="2677" xr:uid="{AC0BF460-7C39-474A-86B5-EFF4D2E580CA}"/>
    <cellStyle name="Normal 30 92" xfId="2678" xr:uid="{5209CABC-A481-4B30-88D3-2320B84CF308}"/>
    <cellStyle name="Normal 30 93" xfId="2679" xr:uid="{EF34010F-B99E-4019-A0FB-16E1CA5AA007}"/>
    <cellStyle name="Normal 30 94" xfId="2680" xr:uid="{B729E5C4-A61F-4BE4-AA1B-A3B17F0DCE31}"/>
    <cellStyle name="Normal 30 95" xfId="2681" xr:uid="{F9C69F0C-33F0-4336-AF2F-86C07F8C1EC9}"/>
    <cellStyle name="Normal 30 96" xfId="2682" xr:uid="{EF69745B-20D4-4466-BCA3-592151C6D7C1}"/>
    <cellStyle name="Normal 30 97" xfId="2683" xr:uid="{BAF5A8CD-AA1A-4B1C-87C8-201DFCDA6E1E}"/>
    <cellStyle name="Normal 30 98" xfId="2684" xr:uid="{C2E8F164-28BD-4BC8-93E0-792A4B6AD0E4}"/>
    <cellStyle name="Normal 30 99" xfId="2685" xr:uid="{43424C79-9A20-4709-BA3A-4559C162AD4F}"/>
    <cellStyle name="Normal 31" xfId="2686" xr:uid="{80610901-F332-43A5-A92E-40880BBC7E4B}"/>
    <cellStyle name="Normal 31 10" xfId="2687" xr:uid="{AF4A733D-AF47-4576-A09A-9E2A31BE4E47}"/>
    <cellStyle name="Normal 31 100" xfId="2688" xr:uid="{AF165286-3ACF-4B4C-92DD-AEC78400A40A}"/>
    <cellStyle name="Normal 31 101" xfId="2689" xr:uid="{80F83918-1075-48D7-B9AD-3F342F903F57}"/>
    <cellStyle name="Normal 31 102" xfId="2690" xr:uid="{7835798B-D974-4995-A752-88479D30EC7B}"/>
    <cellStyle name="Normal 31 103" xfId="2691" xr:uid="{1EC344D1-DEFE-4A23-B9F4-BF3C599491C8}"/>
    <cellStyle name="Normal 31 104" xfId="2692" xr:uid="{B9DE72F3-0109-4F3C-8110-711FB6CA8758}"/>
    <cellStyle name="Normal 31 105" xfId="2693" xr:uid="{CB765876-AA54-408C-A632-B4120EEBC35B}"/>
    <cellStyle name="Normal 31 106" xfId="2694" xr:uid="{6602CAB5-257C-4E38-BFD1-02B7B1FEAEB8}"/>
    <cellStyle name="Normal 31 107" xfId="2695" xr:uid="{4D217385-FDFF-463A-B185-E8DBC8F27B8D}"/>
    <cellStyle name="Normal 31 108" xfId="2696" xr:uid="{E8400899-6D4C-4752-8F11-4FF84FD2E507}"/>
    <cellStyle name="Normal 31 109" xfId="2697" xr:uid="{309A83B8-C673-4EA8-A997-16A26ECA279A}"/>
    <cellStyle name="Normal 31 11" xfId="2698" xr:uid="{6935C0FC-CA47-4152-9318-1C5C1506FE51}"/>
    <cellStyle name="Normal 31 12" xfId="2699" xr:uid="{8C48A784-7421-4898-A0B6-BF9531CFC07D}"/>
    <cellStyle name="Normal 31 13" xfId="2700" xr:uid="{39122BD8-2FEE-4E21-8B57-B71179DC46C9}"/>
    <cellStyle name="Normal 31 14" xfId="2701" xr:uid="{831371C2-C0FC-43B8-9BE3-4533AFA39B94}"/>
    <cellStyle name="Normal 31 15" xfId="2702" xr:uid="{DA0CE08D-AD95-4FA4-9137-EC432BB4C10D}"/>
    <cellStyle name="Normal 31 16" xfId="2703" xr:uid="{0B89B046-0FDF-4392-BCCA-97AAF6565DF4}"/>
    <cellStyle name="Normal 31 17" xfId="2704" xr:uid="{AF6193C8-9925-495D-8954-B0E47E12BE9A}"/>
    <cellStyle name="Normal 31 18" xfId="2705" xr:uid="{3F70CE7C-A2A9-40A6-B5C3-67A1F9B8C1A9}"/>
    <cellStyle name="Normal 31 19" xfId="2706" xr:uid="{2F8ABE85-CEE0-465F-9100-92FD4667DEA9}"/>
    <cellStyle name="Normal 31 2" xfId="2707" xr:uid="{C6A13497-931D-49FA-A890-EB7D811B3CE4}"/>
    <cellStyle name="Normal 31 20" xfId="2708" xr:uid="{BB882E93-AF17-477C-8491-8AD4583CB4C2}"/>
    <cellStyle name="Normal 31 21" xfId="2709" xr:uid="{3EDCE521-50AC-4D8B-9324-0FC9CAF596EA}"/>
    <cellStyle name="Normal 31 22" xfId="2710" xr:uid="{50B09345-4F9F-4A87-901E-81810E2594E2}"/>
    <cellStyle name="Normal 31 23" xfId="2711" xr:uid="{749CCBE1-9F27-4813-8003-9ED91AB0DADD}"/>
    <cellStyle name="Normal 31 24" xfId="2712" xr:uid="{8820FBF1-9AF0-4114-86DD-F65FB7FA171A}"/>
    <cellStyle name="Normal 31 25" xfId="2713" xr:uid="{04F8955D-1B86-4797-A042-9412AB4EB7AF}"/>
    <cellStyle name="Normal 31 26" xfId="2714" xr:uid="{26902E8D-10B7-4F67-A1C7-27D82224CFBD}"/>
    <cellStyle name="Normal 31 27" xfId="2715" xr:uid="{E5C52B35-39F4-42FE-AB4D-A7796E38CB5E}"/>
    <cellStyle name="Normal 31 28" xfId="2716" xr:uid="{7217C49D-417E-471F-B0C7-DD4150BEFF44}"/>
    <cellStyle name="Normal 31 29" xfId="2717" xr:uid="{4A463944-A034-439A-9329-1A381487CC6E}"/>
    <cellStyle name="Normal 31 3" xfId="2718" xr:uid="{33AF8CFD-1451-4BDC-A0C7-904D032C0C54}"/>
    <cellStyle name="Normal 31 30" xfId="2719" xr:uid="{0AA9F05C-CACD-464D-9748-6A8D60675FBE}"/>
    <cellStyle name="Normal 31 31" xfId="2720" xr:uid="{4AF967E3-AA37-4931-91A1-3BA27C4EEF2A}"/>
    <cellStyle name="Normal 31 32" xfId="2721" xr:uid="{087CF9DD-916E-4DD2-A0F3-6F08AEF9663B}"/>
    <cellStyle name="Normal 31 33" xfId="2722" xr:uid="{63651794-E435-4DD6-9B85-DC8327D89CCF}"/>
    <cellStyle name="Normal 31 34" xfId="2723" xr:uid="{406CD0D9-E0C9-46DD-9D43-C59E097CD13C}"/>
    <cellStyle name="Normal 31 35" xfId="2724" xr:uid="{6E59F645-7130-48A5-AF4F-1D9B2C1B175D}"/>
    <cellStyle name="Normal 31 36" xfId="2725" xr:uid="{88B3B823-7FB8-4F90-9368-59C7094D4D59}"/>
    <cellStyle name="Normal 31 37" xfId="2726" xr:uid="{5852FC6B-E541-4D20-BFDD-227F954CFC12}"/>
    <cellStyle name="Normal 31 38" xfId="2727" xr:uid="{2EBB964B-08CA-463C-9001-6D53E58FBBBB}"/>
    <cellStyle name="Normal 31 39" xfId="2728" xr:uid="{2587D4CD-6C3E-4B25-BE99-4A1C2671652E}"/>
    <cellStyle name="Normal 31 4" xfId="2729" xr:uid="{F2053BBF-5607-4253-BD34-48DB5B67ECB5}"/>
    <cellStyle name="Normal 31 40" xfId="2730" xr:uid="{0C4430AC-A1F6-40FC-8D55-016BD0BEC791}"/>
    <cellStyle name="Normal 31 41" xfId="2731" xr:uid="{2324137B-E060-47A3-BD4F-45B89B629B99}"/>
    <cellStyle name="Normal 31 42" xfId="2732" xr:uid="{532D9B58-CFBA-49B9-A504-757F7F3FE52A}"/>
    <cellStyle name="Normal 31 43" xfId="2733" xr:uid="{47079FB4-BE2A-4964-B8BE-F068847AF795}"/>
    <cellStyle name="Normal 31 44" xfId="2734" xr:uid="{C76B3FD8-1B9A-446E-8121-71AD804EE2F1}"/>
    <cellStyle name="Normal 31 45" xfId="2735" xr:uid="{11FFDD76-D8D1-4B04-B6F9-7F2D69E0F802}"/>
    <cellStyle name="Normal 31 46" xfId="2736" xr:uid="{3EB9CF69-8F12-42A4-B5C4-5FB65106959A}"/>
    <cellStyle name="Normal 31 47" xfId="2737" xr:uid="{26A8D1AD-2DC8-4308-BDDE-5DB98EDBFD79}"/>
    <cellStyle name="Normal 31 48" xfId="2738" xr:uid="{F8605764-C838-44E4-96BD-46F5BC34A6A8}"/>
    <cellStyle name="Normal 31 49" xfId="2739" xr:uid="{27466B66-B794-4E17-A8EE-95A823101574}"/>
    <cellStyle name="Normal 31 5" xfId="2740" xr:uid="{89AB1701-F213-48D2-8673-6CDD9F3C5EFD}"/>
    <cellStyle name="Normal 31 50" xfId="2741" xr:uid="{2F94ECA4-C126-46C6-AE00-5A63C092BB8A}"/>
    <cellStyle name="Normal 31 51" xfId="2742" xr:uid="{B2FF4BED-ACED-4F27-A491-C202BB49B6D9}"/>
    <cellStyle name="Normal 31 52" xfId="2743" xr:uid="{CA2EA1BB-0056-4099-96E1-203845E91618}"/>
    <cellStyle name="Normal 31 53" xfId="2744" xr:uid="{6AFE0D8B-F220-414F-9381-E0C43CE9908C}"/>
    <cellStyle name="Normal 31 54" xfId="2745" xr:uid="{051DEEE4-1387-4EE7-A3F1-A5834AF8384B}"/>
    <cellStyle name="Normal 31 55" xfId="2746" xr:uid="{DA5166DB-C39D-4ED1-A959-4789F2442258}"/>
    <cellStyle name="Normal 31 56" xfId="2747" xr:uid="{0BE58747-ADCB-4C4C-B9D7-FA9FAB6BE97F}"/>
    <cellStyle name="Normal 31 57" xfId="2748" xr:uid="{663537C2-6479-4DE2-86FF-BDFDC9D34874}"/>
    <cellStyle name="Normal 31 58" xfId="2749" xr:uid="{0EEE143C-0381-4006-B9DE-F6A3DCC7CAEC}"/>
    <cellStyle name="Normal 31 59" xfId="2750" xr:uid="{66DFEC51-0DDD-4B5B-90E8-9A08EF31D147}"/>
    <cellStyle name="Normal 31 6" xfId="2751" xr:uid="{48C71A24-046B-4E53-8154-4D5854BF5324}"/>
    <cellStyle name="Normal 31 60" xfId="2752" xr:uid="{DA6D365C-01D6-4B42-8407-9246CAD0088F}"/>
    <cellStyle name="Normal 31 61" xfId="2753" xr:uid="{563713F8-7BAC-4B11-B2A6-6FDCB278378F}"/>
    <cellStyle name="Normal 31 62" xfId="2754" xr:uid="{36D92953-C437-4961-BA7A-7517469685DA}"/>
    <cellStyle name="Normal 31 63" xfId="2755" xr:uid="{80133655-2242-4BB1-9A5D-9EDF76883E91}"/>
    <cellStyle name="Normal 31 64" xfId="2756" xr:uid="{DBC36549-FF2A-4746-ABDD-BF9674DD2B85}"/>
    <cellStyle name="Normal 31 65" xfId="2757" xr:uid="{D1C27409-B2AA-4AE6-9E28-D1D8A3A45795}"/>
    <cellStyle name="Normal 31 66" xfId="2758" xr:uid="{8F760A87-96BD-46BA-B0C6-7948E7E6C99E}"/>
    <cellStyle name="Normal 31 67" xfId="2759" xr:uid="{07AE714D-1F06-4F06-A779-97908F6F0497}"/>
    <cellStyle name="Normal 31 68" xfId="2760" xr:uid="{AFAECD6F-7D97-41AF-909F-989A3DA5D28C}"/>
    <cellStyle name="Normal 31 69" xfId="2761" xr:uid="{547A3DAF-3ABF-4539-AE06-2FF6688C6492}"/>
    <cellStyle name="Normal 31 7" xfId="2762" xr:uid="{EC03E2C6-D869-4432-A419-19AE59DFAAB8}"/>
    <cellStyle name="Normal 31 70" xfId="2763" xr:uid="{44FE5760-24B2-4208-9B2C-C361ACF3F712}"/>
    <cellStyle name="Normal 31 71" xfId="2764" xr:uid="{07252D5E-BA89-4C2C-9EE0-61F7F08BB31E}"/>
    <cellStyle name="Normal 31 72" xfId="2765" xr:uid="{8211C17A-978B-4C1A-96F3-64ACEBE2F0F2}"/>
    <cellStyle name="Normal 31 73" xfId="2766" xr:uid="{BDA3723C-9C53-4F24-B8F5-27C51024DBCA}"/>
    <cellStyle name="Normal 31 74" xfId="2767" xr:uid="{712B2818-AA73-4C6B-9F69-C86E899B87E7}"/>
    <cellStyle name="Normal 31 75" xfId="2768" xr:uid="{861FDE26-E1EE-421D-9CE3-F76393A690B7}"/>
    <cellStyle name="Normal 31 76" xfId="2769" xr:uid="{F9B5E037-3E42-4974-8174-BBBE81307515}"/>
    <cellStyle name="Normal 31 77" xfId="2770" xr:uid="{6CED4D56-C6FA-4461-A8BA-C1C5291DEA79}"/>
    <cellStyle name="Normal 31 78" xfId="2771" xr:uid="{119ED4B6-016B-4305-BFB4-CC55ECDA299F}"/>
    <cellStyle name="Normal 31 79" xfId="2772" xr:uid="{F600A541-0455-4533-926B-17E46010943D}"/>
    <cellStyle name="Normal 31 8" xfId="2773" xr:uid="{A0403CB8-C19F-45C9-A44E-ADB55D059FED}"/>
    <cellStyle name="Normal 31 80" xfId="2774" xr:uid="{D7B87A21-66BB-46C2-9355-1B0C7886C370}"/>
    <cellStyle name="Normal 31 81" xfId="2775" xr:uid="{8D5D34F1-656C-48BB-9523-849C0953909C}"/>
    <cellStyle name="Normal 31 82" xfId="2776" xr:uid="{21A52416-C89E-42EA-9B44-3B6ED0CC3B3A}"/>
    <cellStyle name="Normal 31 83" xfId="2777" xr:uid="{65943F66-9A23-43BB-A469-6D8DC25896A1}"/>
    <cellStyle name="Normal 31 84" xfId="2778" xr:uid="{92D710E8-9D47-46CD-8FA3-BEAAAD6AE8F0}"/>
    <cellStyle name="Normal 31 85" xfId="2779" xr:uid="{949F8EBD-B34D-4B6D-92D1-18ED40E5F052}"/>
    <cellStyle name="Normal 31 86" xfId="2780" xr:uid="{CD409059-7E73-4FCF-A82D-47161869B1C9}"/>
    <cellStyle name="Normal 31 87" xfId="2781" xr:uid="{FBB123E4-6619-4DE4-8C77-5659AEB535CE}"/>
    <cellStyle name="Normal 31 88" xfId="2782" xr:uid="{9A8456D3-3B90-4A10-AA70-C7C24A5D79C7}"/>
    <cellStyle name="Normal 31 89" xfId="2783" xr:uid="{1CECCE0E-9D8C-4C9F-B051-1F615CB8CF5D}"/>
    <cellStyle name="Normal 31 9" xfId="2784" xr:uid="{580EF701-ACE4-4EBD-AADF-6FA9B0928321}"/>
    <cellStyle name="Normal 31 90" xfId="2785" xr:uid="{50A0B8A9-E45B-4740-A0F5-98D5DDA7348B}"/>
    <cellStyle name="Normal 31 91" xfId="2786" xr:uid="{C33C7383-8DAC-42B4-9EB3-8A57183C323F}"/>
    <cellStyle name="Normal 31 92" xfId="2787" xr:uid="{39038115-1676-4EC0-8122-F2D2E516BCED}"/>
    <cellStyle name="Normal 31 93" xfId="2788" xr:uid="{A40959D3-EBA3-494D-817D-24E022900221}"/>
    <cellStyle name="Normal 31 94" xfId="2789" xr:uid="{00ABD276-82F6-4F1B-9FCF-11D1DF8A351D}"/>
    <cellStyle name="Normal 31 95" xfId="2790" xr:uid="{4BABFCA2-A641-4B97-8788-DB3BA6BC1005}"/>
    <cellStyle name="Normal 31 96" xfId="2791" xr:uid="{16887A29-6EFD-406D-A22F-89864158DCA5}"/>
    <cellStyle name="Normal 31 97" xfId="2792" xr:uid="{BC405151-0446-457E-95C2-DB89A6562075}"/>
    <cellStyle name="Normal 31 98" xfId="2793" xr:uid="{4E6738D1-BC6B-4A98-A657-B6D5315C4E55}"/>
    <cellStyle name="Normal 31 99" xfId="2794" xr:uid="{DE396578-47A2-4E16-BDCA-DDE6005C3187}"/>
    <cellStyle name="Normal 32" xfId="2795" xr:uid="{E8C8B788-F88D-4EB2-9E39-B792422776B0}"/>
    <cellStyle name="Normal 32 2" xfId="2796" xr:uid="{C518E628-A430-42CF-9E20-E031207D50B9}"/>
    <cellStyle name="Normal 33" xfId="2797" xr:uid="{50917898-C0AC-42E9-9103-D5A33323DCE1}"/>
    <cellStyle name="Normal 33 2" xfId="2798" xr:uid="{5FBE38EB-61FE-458E-980C-4925D259D6C0}"/>
    <cellStyle name="Normal 34" xfId="2799" xr:uid="{EE15F52A-4E53-4705-BA46-E24CABC31314}"/>
    <cellStyle name="Normal 35" xfId="2800" xr:uid="{86972FA8-784C-4CF8-BEDE-FFC60EB5CA9E}"/>
    <cellStyle name="Normal 35 10" xfId="2801" xr:uid="{92CBC215-EBA1-4ADC-BCFD-B566ACF912A5}"/>
    <cellStyle name="Normal 35 100" xfId="2802" xr:uid="{AC675359-801B-4A65-81BB-DD6C94A41C63}"/>
    <cellStyle name="Normal 35 101" xfId="2803" xr:uid="{130504E8-B13D-43FC-8DDE-81C44A1B40FF}"/>
    <cellStyle name="Normal 35 102" xfId="2804" xr:uid="{D323A072-E3F2-4055-85CF-50CC8C2A0729}"/>
    <cellStyle name="Normal 35 103" xfId="2805" xr:uid="{5BF32EA4-6C3F-45FC-A485-BDA221DC4DAB}"/>
    <cellStyle name="Normal 35 104" xfId="2806" xr:uid="{E17E66EC-274A-497A-B7FB-6A8F9698EB91}"/>
    <cellStyle name="Normal 35 105" xfId="2807" xr:uid="{D003F63B-C821-4F5D-987F-6C33E452380D}"/>
    <cellStyle name="Normal 35 106" xfId="2808" xr:uid="{AD87DE5A-6A76-466A-BED7-4E666F2F5178}"/>
    <cellStyle name="Normal 35 107" xfId="2809" xr:uid="{CF98ED13-002C-4D00-935F-A85CAEB67FC4}"/>
    <cellStyle name="Normal 35 108" xfId="2810" xr:uid="{B6A0DC53-D3D9-4F43-A4FD-9498E9AB1100}"/>
    <cellStyle name="Normal 35 109" xfId="2811" xr:uid="{C012F07E-D505-45A8-B550-2C05C7B0E1F5}"/>
    <cellStyle name="Normal 35 11" xfId="2812" xr:uid="{127E064B-C754-426F-90D9-FA264FE2C24A}"/>
    <cellStyle name="Normal 35 12" xfId="2813" xr:uid="{0A05420C-5D45-48A2-B8C6-82573DACF56C}"/>
    <cellStyle name="Normal 35 13" xfId="2814" xr:uid="{0E4E4715-E067-40C5-84B8-609F042EF975}"/>
    <cellStyle name="Normal 35 14" xfId="2815" xr:uid="{CD10F910-02DA-43E9-ACF0-5CF99CFEAC1B}"/>
    <cellStyle name="Normal 35 15" xfId="2816" xr:uid="{14E39344-7D8E-4454-B8FB-BD08B5B827E6}"/>
    <cellStyle name="Normal 35 16" xfId="2817" xr:uid="{ED762456-57B1-4BE3-BD14-36A780C04916}"/>
    <cellStyle name="Normal 35 17" xfId="2818" xr:uid="{90E02288-7FC7-409D-B1E2-7ED7AE4204BD}"/>
    <cellStyle name="Normal 35 18" xfId="2819" xr:uid="{4857D67C-108E-460A-9F53-878C37A84AD6}"/>
    <cellStyle name="Normal 35 19" xfId="2820" xr:uid="{57D1C1C3-B15B-49B3-88F1-DF502248D755}"/>
    <cellStyle name="Normal 35 2" xfId="2821" xr:uid="{93D8CE57-65A3-4F4F-AEAB-86D60654B8B8}"/>
    <cellStyle name="Normal 35 20" xfId="2822" xr:uid="{A0B13E5E-AC6C-44A8-BAFB-320417BB619E}"/>
    <cellStyle name="Normal 35 21" xfId="2823" xr:uid="{4FB18A3B-06EF-4664-8260-990B43D6F13A}"/>
    <cellStyle name="Normal 35 22" xfId="2824" xr:uid="{0DF7A66A-660A-4946-A438-015E49A2507A}"/>
    <cellStyle name="Normal 35 23" xfId="2825" xr:uid="{BD68A779-6C19-4EBD-8346-2762E49668CB}"/>
    <cellStyle name="Normal 35 24" xfId="2826" xr:uid="{ED8B4308-B085-4C9F-A204-68DF9293BFB0}"/>
    <cellStyle name="Normal 35 25" xfId="2827" xr:uid="{9740ACB5-39A2-4110-8E23-D6D5C420F2FC}"/>
    <cellStyle name="Normal 35 26" xfId="2828" xr:uid="{B5912611-43A9-4AFA-937C-2EA8673FDBA0}"/>
    <cellStyle name="Normal 35 27" xfId="2829" xr:uid="{FFD390E9-E5DC-492A-873C-9778378C92EE}"/>
    <cellStyle name="Normal 35 28" xfId="2830" xr:uid="{7B8F26B9-5717-4971-B225-80A826CBBBC1}"/>
    <cellStyle name="Normal 35 29" xfId="2831" xr:uid="{603953A3-83EC-450A-9AEB-203694F02B58}"/>
    <cellStyle name="Normal 35 3" xfId="2832" xr:uid="{0DA08954-AD5A-44BF-BF94-BC2CB961435C}"/>
    <cellStyle name="Normal 35 30" xfId="2833" xr:uid="{BDF594AD-7D48-41D1-9C06-1FD513975769}"/>
    <cellStyle name="Normal 35 31" xfId="2834" xr:uid="{25423B69-118F-42FF-94F3-00D7E40DA253}"/>
    <cellStyle name="Normal 35 32" xfId="2835" xr:uid="{B404C948-30F6-4B36-8DCB-92E94EF4929C}"/>
    <cellStyle name="Normal 35 33" xfId="2836" xr:uid="{C08549F2-A026-4A44-849D-00F1CECD3A32}"/>
    <cellStyle name="Normal 35 34" xfId="2837" xr:uid="{3AD3515A-39D5-4ACF-AD09-8915D26349F4}"/>
    <cellStyle name="Normal 35 35" xfId="2838" xr:uid="{0E45073D-5683-4D68-B9C2-0DC7344EBDD5}"/>
    <cellStyle name="Normal 35 36" xfId="2839" xr:uid="{0DB36561-0C86-42A3-8DDF-B4EAB6D2826E}"/>
    <cellStyle name="Normal 35 37" xfId="2840" xr:uid="{0644F44B-1E21-4944-9371-927E6B1078F1}"/>
    <cellStyle name="Normal 35 38" xfId="2841" xr:uid="{0360677B-D652-4B9A-BE8F-020658BA728C}"/>
    <cellStyle name="Normal 35 39" xfId="2842" xr:uid="{CA187479-6325-4697-8DA8-9966EBCE7BCF}"/>
    <cellStyle name="Normal 35 4" xfId="2843" xr:uid="{220148E7-A437-4760-B3D9-DAD7960E4FAB}"/>
    <cellStyle name="Normal 35 40" xfId="2844" xr:uid="{11A9BFF1-AB7C-4B8E-A4C6-4644623BB88E}"/>
    <cellStyle name="Normal 35 41" xfId="2845" xr:uid="{0778787F-2C63-43AC-AAB6-7CF2A0FF3B12}"/>
    <cellStyle name="Normal 35 42" xfId="2846" xr:uid="{4D011B7B-070F-4C21-B4CE-715D4E430E18}"/>
    <cellStyle name="Normal 35 43" xfId="2847" xr:uid="{2D0AE1BE-CEE7-4FA8-B300-346DB6C6FA90}"/>
    <cellStyle name="Normal 35 44" xfId="2848" xr:uid="{7FBAABF3-ABA9-40BF-89FC-7C6205C48B8B}"/>
    <cellStyle name="Normal 35 45" xfId="2849" xr:uid="{20379159-6080-453B-985A-F1C32821C664}"/>
    <cellStyle name="Normal 35 46" xfId="2850" xr:uid="{8FF45386-2498-41E4-8513-D08B71F46ED1}"/>
    <cellStyle name="Normal 35 47" xfId="2851" xr:uid="{3CBBFBBC-537A-4F76-8AB3-DC5D3A98D854}"/>
    <cellStyle name="Normal 35 48" xfId="2852" xr:uid="{87239979-2C54-41E8-A6DC-ED81924EFFAA}"/>
    <cellStyle name="Normal 35 49" xfId="2853" xr:uid="{E7E1562B-722A-4F4B-A8F6-B141B5FEEF54}"/>
    <cellStyle name="Normal 35 5" xfId="2854" xr:uid="{C8205A34-70B9-4BFD-A22E-4BBC599E3952}"/>
    <cellStyle name="Normal 35 50" xfId="2855" xr:uid="{C93276E8-F3C1-420B-8956-FA857EE0645E}"/>
    <cellStyle name="Normal 35 51" xfId="2856" xr:uid="{6E7E1D0F-1385-4660-BFDB-6B81D251BAF4}"/>
    <cellStyle name="Normal 35 52" xfId="2857" xr:uid="{74FB8783-4FF9-403F-9D1F-1631FF8E1B4A}"/>
    <cellStyle name="Normal 35 53" xfId="2858" xr:uid="{7D42E0DE-A779-4151-A45C-E01C1A276662}"/>
    <cellStyle name="Normal 35 54" xfId="2859" xr:uid="{F61BC818-DADB-4555-A151-687CF6EA06E1}"/>
    <cellStyle name="Normal 35 55" xfId="2860" xr:uid="{2353E8FE-6DBA-4628-8A75-4D20CE426618}"/>
    <cellStyle name="Normal 35 56" xfId="2861" xr:uid="{C4171446-589A-4ECA-A747-97A33496B220}"/>
    <cellStyle name="Normal 35 57" xfId="2862" xr:uid="{72042BD0-B03E-4263-BD9D-D6BC711357F1}"/>
    <cellStyle name="Normal 35 58" xfId="2863" xr:uid="{79B88CAE-0342-44FC-A8C2-24281F0ADB4A}"/>
    <cellStyle name="Normal 35 59" xfId="2864" xr:uid="{E0DD0C8B-5147-409F-9026-AF196F0466F1}"/>
    <cellStyle name="Normal 35 6" xfId="2865" xr:uid="{1BC91A8E-D46B-48DB-805D-32C975BF5A69}"/>
    <cellStyle name="Normal 35 60" xfId="2866" xr:uid="{A2A0540B-F5BD-4B32-87D6-0DA586CAC916}"/>
    <cellStyle name="Normal 35 61" xfId="2867" xr:uid="{78015F5F-D4C4-4480-AB0A-CBA02D4F70DE}"/>
    <cellStyle name="Normal 35 62" xfId="2868" xr:uid="{3D9F9581-6199-4519-B3D5-994425860E99}"/>
    <cellStyle name="Normal 35 63" xfId="2869" xr:uid="{F404C97F-6DD0-43D8-8A14-D9B2F108C995}"/>
    <cellStyle name="Normal 35 64" xfId="2870" xr:uid="{8999173A-0A87-492F-B55E-7F30CDCD1C91}"/>
    <cellStyle name="Normal 35 65" xfId="2871" xr:uid="{63D59F2A-8027-423C-8E61-D7E94EF5572A}"/>
    <cellStyle name="Normal 35 66" xfId="2872" xr:uid="{3A7F1D80-A160-4CEC-9F6C-4EE71F164574}"/>
    <cellStyle name="Normal 35 67" xfId="2873" xr:uid="{1B60AB84-FB28-442C-84E7-41242B934825}"/>
    <cellStyle name="Normal 35 68" xfId="2874" xr:uid="{AF0CC610-3B36-4377-B70E-386D8CF6C34B}"/>
    <cellStyle name="Normal 35 69" xfId="2875" xr:uid="{442470FA-F415-40F9-A859-89AED50B4313}"/>
    <cellStyle name="Normal 35 7" xfId="2876" xr:uid="{9D0CEBD0-28AD-4302-85AB-8F65FF957DB9}"/>
    <cellStyle name="Normal 35 70" xfId="2877" xr:uid="{BD7BBB28-B977-4F3E-B03B-30A1CDA56FC1}"/>
    <cellStyle name="Normal 35 71" xfId="2878" xr:uid="{6B66E8C9-04A9-4381-8F12-73DD2FDB7C06}"/>
    <cellStyle name="Normal 35 72" xfId="2879" xr:uid="{761175AC-E20E-487B-A0FB-104EF892A921}"/>
    <cellStyle name="Normal 35 73" xfId="2880" xr:uid="{B87C1FF8-4F32-4B6B-B55F-D1384B9AB704}"/>
    <cellStyle name="Normal 35 74" xfId="2881" xr:uid="{952A8E7E-4592-4A72-A3B8-58C3E0140358}"/>
    <cellStyle name="Normal 35 75" xfId="2882" xr:uid="{A81A1B10-3133-4928-BD74-5C926B24B290}"/>
    <cellStyle name="Normal 35 76" xfId="2883" xr:uid="{BDB7D7D3-9677-49D6-9E2F-A10DAFD18842}"/>
    <cellStyle name="Normal 35 77" xfId="2884" xr:uid="{16C9E917-F8BA-40B5-B39B-22094F1D330A}"/>
    <cellStyle name="Normal 35 78" xfId="2885" xr:uid="{467D5757-13BE-4322-9B88-E60C3780E144}"/>
    <cellStyle name="Normal 35 79" xfId="2886" xr:uid="{B22547EE-4A66-491F-8F3B-AC7D09F04A67}"/>
    <cellStyle name="Normal 35 8" xfId="2887" xr:uid="{B728FF6C-F643-47E2-AAEA-539F8E5D28C5}"/>
    <cellStyle name="Normal 35 80" xfId="2888" xr:uid="{71690BF9-6292-4920-B7D7-5FF7C0032D90}"/>
    <cellStyle name="Normal 35 81" xfId="2889" xr:uid="{EC6CBEB8-9B5D-4C76-AE84-D4A7CC29CF27}"/>
    <cellStyle name="Normal 35 82" xfId="2890" xr:uid="{6DDDEE83-0DBA-4406-AC19-487F07637AB1}"/>
    <cellStyle name="Normal 35 83" xfId="2891" xr:uid="{8B33FEDD-6330-4A88-8081-9B6990F80A3F}"/>
    <cellStyle name="Normal 35 84" xfId="2892" xr:uid="{F5132827-12F9-40E5-9AF5-27E5FF9C2543}"/>
    <cellStyle name="Normal 35 85" xfId="2893" xr:uid="{B16BB431-4ECB-41AD-8A4E-4BDD51C4768F}"/>
    <cellStyle name="Normal 35 86" xfId="2894" xr:uid="{8482D1FF-DEA8-404A-8D86-219F76F77945}"/>
    <cellStyle name="Normal 35 87" xfId="2895" xr:uid="{18170D9B-F49E-44FA-A04B-E72E7D803E56}"/>
    <cellStyle name="Normal 35 88" xfId="2896" xr:uid="{4B372FB1-7255-411C-906F-8A3180670653}"/>
    <cellStyle name="Normal 35 89" xfId="2897" xr:uid="{B0A0F89D-AECE-4F6D-BD66-EDE501A38F00}"/>
    <cellStyle name="Normal 35 9" xfId="2898" xr:uid="{1FA3DA0A-933E-4D1B-9261-05E8543EF16D}"/>
    <cellStyle name="Normal 35 90" xfId="2899" xr:uid="{892CAD75-2BB1-4CDE-826B-89CFFF1B7911}"/>
    <cellStyle name="Normal 35 91" xfId="2900" xr:uid="{3E296E36-0EB9-4644-98BD-A96B0BAD2CFF}"/>
    <cellStyle name="Normal 35 92" xfId="2901" xr:uid="{207BC99E-F664-4008-8189-4284692103C5}"/>
    <cellStyle name="Normal 35 93" xfId="2902" xr:uid="{6B2EFC1C-3E92-424F-940F-F76A5264F65F}"/>
    <cellStyle name="Normal 35 94" xfId="2903" xr:uid="{68D3181D-2BC6-4325-B942-79B318158F9B}"/>
    <cellStyle name="Normal 35 95" xfId="2904" xr:uid="{3F0A9BFC-CB2C-43A7-AB51-7BB61B122E51}"/>
    <cellStyle name="Normal 35 96" xfId="2905" xr:uid="{C33501E2-4634-41D2-B62D-F14ADFBFF121}"/>
    <cellStyle name="Normal 35 97" xfId="2906" xr:uid="{67D9D123-E631-48ED-90EA-C9013D3D3131}"/>
    <cellStyle name="Normal 35 98" xfId="2907" xr:uid="{A2C9DF18-212D-426C-9324-8520B2CDFC72}"/>
    <cellStyle name="Normal 35 99" xfId="2908" xr:uid="{16F70919-714E-42F1-A743-84FD6A0C9AD4}"/>
    <cellStyle name="Normal 36" xfId="2909" xr:uid="{55C838FC-96E3-43E3-A34C-1AD203772913}"/>
    <cellStyle name="Normal 36 10" xfId="2910" xr:uid="{45706D36-EF63-48C9-8F7A-938014DB0678}"/>
    <cellStyle name="Normal 36 100" xfId="2911" xr:uid="{2B64D5FA-6C01-4E47-B892-006D6A50EBE0}"/>
    <cellStyle name="Normal 36 101" xfId="2912" xr:uid="{C4441A03-B3B4-4615-B65D-F4F053B8CA63}"/>
    <cellStyle name="Normal 36 102" xfId="2913" xr:uid="{1B1F0716-1CD0-433E-B427-49AC26AEAEA0}"/>
    <cellStyle name="Normal 36 103" xfId="2914" xr:uid="{E99A3BB2-73C6-4CDA-A850-ACD40DE4CBBD}"/>
    <cellStyle name="Normal 36 104" xfId="2915" xr:uid="{E677932D-AFD7-487B-ADCF-FCFB24981D78}"/>
    <cellStyle name="Normal 36 105" xfId="2916" xr:uid="{AF271BCE-8A69-417B-8B4D-A7E3AEC6582C}"/>
    <cellStyle name="Normal 36 106" xfId="2917" xr:uid="{E85D803B-9AF5-49F2-B3E4-5E994B37A929}"/>
    <cellStyle name="Normal 36 107" xfId="2918" xr:uid="{5DEA8E73-E412-4A5A-A27D-22568BD83E02}"/>
    <cellStyle name="Normal 36 108" xfId="2919" xr:uid="{C0F30A9D-8C29-4FE9-A53D-146D42B101C9}"/>
    <cellStyle name="Normal 36 109" xfId="2920" xr:uid="{E3D7814A-0882-41E6-8770-1434D420767D}"/>
    <cellStyle name="Normal 36 11" xfId="2921" xr:uid="{2B70C270-3792-4A34-ACAF-77DB34660142}"/>
    <cellStyle name="Normal 36 12" xfId="2922" xr:uid="{5EC1D371-A01C-43B7-BD58-F6C7218C2423}"/>
    <cellStyle name="Normal 36 13" xfId="2923" xr:uid="{17EC008D-4B7C-4507-B962-D3397C0F6772}"/>
    <cellStyle name="Normal 36 14" xfId="2924" xr:uid="{701FB92A-F3BC-49B6-996F-AE52C0AB238E}"/>
    <cellStyle name="Normal 36 15" xfId="2925" xr:uid="{889056D7-FC21-4938-8134-BD0DDCAF9E57}"/>
    <cellStyle name="Normal 36 16" xfId="2926" xr:uid="{442A7F84-AB55-459D-805F-682107E32CFC}"/>
    <cellStyle name="Normal 36 17" xfId="2927" xr:uid="{D0309B0A-BFEA-4CBC-8B83-6E3BBD6E9B7B}"/>
    <cellStyle name="Normal 36 18" xfId="2928" xr:uid="{3286A2EE-890E-4CC6-BA8B-D6C65C106BBD}"/>
    <cellStyle name="Normal 36 19" xfId="2929" xr:uid="{273E0510-4517-41A3-9B2F-C3F7B70D89F6}"/>
    <cellStyle name="Normal 36 2" xfId="2930" xr:uid="{7887FE24-1CC0-4DF0-A2FC-AB520CA51C5B}"/>
    <cellStyle name="Normal 36 20" xfId="2931" xr:uid="{5F0B38B7-0F56-4F9B-B9F5-602E44F8F444}"/>
    <cellStyle name="Normal 36 21" xfId="2932" xr:uid="{9B417704-74C4-4B3D-83C3-848BC2E88118}"/>
    <cellStyle name="Normal 36 22" xfId="2933" xr:uid="{820EED08-8A9B-4252-8B4F-74AFDB5E408E}"/>
    <cellStyle name="Normal 36 23" xfId="2934" xr:uid="{3EDBED34-8260-40F5-AE7E-918F52C0165E}"/>
    <cellStyle name="Normal 36 24" xfId="2935" xr:uid="{125F7F8F-9D27-4279-9F74-E615A816F7CC}"/>
    <cellStyle name="Normal 36 25" xfId="2936" xr:uid="{6C8363C1-1EE2-4D1B-A3AE-221FF033E988}"/>
    <cellStyle name="Normal 36 26" xfId="2937" xr:uid="{3B3E2E73-3860-47FC-94A5-7F6DF44E75E0}"/>
    <cellStyle name="Normal 36 27" xfId="2938" xr:uid="{F33551C9-321B-43A3-AB5C-86258D237CC4}"/>
    <cellStyle name="Normal 36 28" xfId="2939" xr:uid="{F9805954-08D9-4CF4-BA1A-D8B7A6F6DC30}"/>
    <cellStyle name="Normal 36 29" xfId="2940" xr:uid="{BE294869-DCB6-48A9-A4FB-37007A4EA970}"/>
    <cellStyle name="Normal 36 3" xfId="2941" xr:uid="{5CE12C1E-9CEC-46FE-95C1-B8E1310054D6}"/>
    <cellStyle name="Normal 36 30" xfId="2942" xr:uid="{B5EBF78B-A8C7-4FB1-BD33-5ADD82F08EC3}"/>
    <cellStyle name="Normal 36 31" xfId="2943" xr:uid="{3AB81872-2FE0-4CEE-8A51-0EAF01A0DAB8}"/>
    <cellStyle name="Normal 36 32" xfId="2944" xr:uid="{F9FEB03D-78B2-438D-816D-802DA683773A}"/>
    <cellStyle name="Normal 36 33" xfId="2945" xr:uid="{F594019E-43AF-4EFB-A949-3EDC11C0B53C}"/>
    <cellStyle name="Normal 36 34" xfId="2946" xr:uid="{AFD89A3D-FD48-4B29-94E3-A6435C9C31BC}"/>
    <cellStyle name="Normal 36 35" xfId="2947" xr:uid="{6570F07A-5864-437F-9B05-A6A2BBB1682C}"/>
    <cellStyle name="Normal 36 36" xfId="2948" xr:uid="{1261B7BC-D07B-4881-A1D7-0C8E213E9E3E}"/>
    <cellStyle name="Normal 36 37" xfId="2949" xr:uid="{C4EA7799-D695-445B-B1BD-4A39CAFA9C95}"/>
    <cellStyle name="Normal 36 38" xfId="2950" xr:uid="{3E061FDF-66FA-497E-8984-7B9AA4442481}"/>
    <cellStyle name="Normal 36 39" xfId="2951" xr:uid="{05CFA79F-F575-439A-BF42-21830CDA2737}"/>
    <cellStyle name="Normal 36 4" xfId="2952" xr:uid="{63038727-D7E2-484B-A3D1-3B8743F093B9}"/>
    <cellStyle name="Normal 36 40" xfId="2953" xr:uid="{C64D9E87-CF9C-42AD-A52A-B43FA6C6BA6E}"/>
    <cellStyle name="Normal 36 41" xfId="2954" xr:uid="{3FB5E217-94A9-4297-B883-B7D964D768C9}"/>
    <cellStyle name="Normal 36 42" xfId="2955" xr:uid="{C7BF7197-8B20-4211-B85E-67E531286708}"/>
    <cellStyle name="Normal 36 43" xfId="2956" xr:uid="{44678AC4-5034-4DB6-BF7E-F8B46F5B61FE}"/>
    <cellStyle name="Normal 36 44" xfId="2957" xr:uid="{18FD717D-A7A9-4562-996A-7C89D75D574E}"/>
    <cellStyle name="Normal 36 45" xfId="2958" xr:uid="{78742E6C-2EA2-4B13-A1CC-07709B82F286}"/>
    <cellStyle name="Normal 36 46" xfId="2959" xr:uid="{51F82A61-7AD4-478B-88A0-3DF66959D7EE}"/>
    <cellStyle name="Normal 36 47" xfId="2960" xr:uid="{81C46724-34DA-4E1E-8440-5B7250B564A8}"/>
    <cellStyle name="Normal 36 48" xfId="2961" xr:uid="{BECF7A26-632B-41F5-B498-181F9C194CD1}"/>
    <cellStyle name="Normal 36 49" xfId="2962" xr:uid="{895A560C-770F-44AA-8D4F-B440E90B6161}"/>
    <cellStyle name="Normal 36 5" xfId="2963" xr:uid="{7F63920D-C300-4575-9075-97E6606ADC33}"/>
    <cellStyle name="Normal 36 50" xfId="2964" xr:uid="{B7C6AB34-1F1E-4E59-BA3B-935D1C6E4AAB}"/>
    <cellStyle name="Normal 36 51" xfId="2965" xr:uid="{762B228C-A12F-4F10-BD23-235EED7B587B}"/>
    <cellStyle name="Normal 36 52" xfId="2966" xr:uid="{00EE5A07-4883-424B-8094-DBBBB646DDEF}"/>
    <cellStyle name="Normal 36 53" xfId="2967" xr:uid="{3F500453-E7EF-4D2D-8280-43C912A6F1A6}"/>
    <cellStyle name="Normal 36 54" xfId="2968" xr:uid="{D973D5CE-1B11-400B-BDC2-B12DC5B8B6CD}"/>
    <cellStyle name="Normal 36 55" xfId="2969" xr:uid="{454FFD02-0440-447E-BE1B-AF463F4AEF6A}"/>
    <cellStyle name="Normal 36 56" xfId="2970" xr:uid="{B2542CA7-19C6-4F9D-BB4E-9F4907B590AE}"/>
    <cellStyle name="Normal 36 57" xfId="2971" xr:uid="{FA0C1CCB-1E4A-4D28-93AF-4477BE7A9CE2}"/>
    <cellStyle name="Normal 36 58" xfId="2972" xr:uid="{612194C1-3DA7-4C2F-8B79-551CC540B56B}"/>
    <cellStyle name="Normal 36 59" xfId="2973" xr:uid="{37B8953E-5ED0-4465-912A-84D0D99DFD77}"/>
    <cellStyle name="Normal 36 6" xfId="2974" xr:uid="{FC93322E-B386-4757-AD97-FFC17F242010}"/>
    <cellStyle name="Normal 36 60" xfId="2975" xr:uid="{3D08FC3D-8C51-4308-8527-2966B915C5C5}"/>
    <cellStyle name="Normal 36 61" xfId="2976" xr:uid="{62C398BF-7E4F-4C7E-9A4A-8E9D0AFDF9EF}"/>
    <cellStyle name="Normal 36 62" xfId="2977" xr:uid="{D3AE053F-C040-423E-869A-97C16EB447B1}"/>
    <cellStyle name="Normal 36 63" xfId="2978" xr:uid="{A9FA5D4E-72D7-4285-A073-484A5FAD3CDD}"/>
    <cellStyle name="Normal 36 64" xfId="2979" xr:uid="{8835C5AB-8897-4D0F-8C9B-0F9B457654FE}"/>
    <cellStyle name="Normal 36 65" xfId="2980" xr:uid="{807C6320-E5D4-4962-A5BF-6E37DF151DBF}"/>
    <cellStyle name="Normal 36 66" xfId="2981" xr:uid="{3290EA5E-C509-4B48-89A0-BF04E647180A}"/>
    <cellStyle name="Normal 36 67" xfId="2982" xr:uid="{F30C4F9E-E6D2-4C49-BFCC-56398EB3C639}"/>
    <cellStyle name="Normal 36 68" xfId="2983" xr:uid="{58BCFC59-4E88-4858-8949-4F58ECE041E2}"/>
    <cellStyle name="Normal 36 69" xfId="2984" xr:uid="{0A543889-D474-4B4A-B7BF-80084A9818ED}"/>
    <cellStyle name="Normal 36 7" xfId="2985" xr:uid="{DDF719C4-E766-4356-9D95-16E4A0F20854}"/>
    <cellStyle name="Normal 36 70" xfId="2986" xr:uid="{64FD4C27-0871-4B58-8C70-60B8B06A68E0}"/>
    <cellStyle name="Normal 36 71" xfId="2987" xr:uid="{5E95A1F9-6FF5-4E5A-85BF-D9597533892C}"/>
    <cellStyle name="Normal 36 72" xfId="2988" xr:uid="{1C0CCD1A-55A3-4DD1-AE06-729B157982D5}"/>
    <cellStyle name="Normal 36 73" xfId="2989" xr:uid="{70791949-DA0F-4818-AC09-681642777EB6}"/>
    <cellStyle name="Normal 36 74" xfId="2990" xr:uid="{25BA386A-154E-4D41-A5F2-7F9FCDA3760B}"/>
    <cellStyle name="Normal 36 75" xfId="2991" xr:uid="{12CAD6B8-43EE-42E3-A86E-836CA523568D}"/>
    <cellStyle name="Normal 36 76" xfId="2992" xr:uid="{68F20651-0332-4977-A66B-4866A51565EA}"/>
    <cellStyle name="Normal 36 77" xfId="2993" xr:uid="{46941F86-42A7-4254-AB24-89785D791FE2}"/>
    <cellStyle name="Normal 36 78" xfId="2994" xr:uid="{BC35D74D-0EF9-4EC3-AB73-8B732E581550}"/>
    <cellStyle name="Normal 36 79" xfId="2995" xr:uid="{C9827F91-F001-4EDA-9D71-CBF5406FA6AE}"/>
    <cellStyle name="Normal 36 8" xfId="2996" xr:uid="{451B573C-7646-4B49-89DA-ED441686E9EB}"/>
    <cellStyle name="Normal 36 80" xfId="2997" xr:uid="{7FEBB9E7-C769-4510-80EB-3896F611D0F7}"/>
    <cellStyle name="Normal 36 81" xfId="2998" xr:uid="{AE16BC6B-BA69-46A8-AC73-BB4C2BC4C3B8}"/>
    <cellStyle name="Normal 36 82" xfId="2999" xr:uid="{9491DFC7-1D1D-40B3-BCD8-E046776DC837}"/>
    <cellStyle name="Normal 36 83" xfId="3000" xr:uid="{AC3C4908-D962-43E5-A38C-C8A546ADCBF7}"/>
    <cellStyle name="Normal 36 84" xfId="3001" xr:uid="{DAFBDB46-4559-4058-BFD3-2C89DEF55A50}"/>
    <cellStyle name="Normal 36 85" xfId="3002" xr:uid="{90242991-B774-4758-8EB1-9C928AD46BE9}"/>
    <cellStyle name="Normal 36 86" xfId="3003" xr:uid="{F8624447-3763-49AA-899E-EA5B44A3CFAC}"/>
    <cellStyle name="Normal 36 87" xfId="3004" xr:uid="{87ACB20B-AA81-4C86-B0F5-0A3AA708D1A8}"/>
    <cellStyle name="Normal 36 88" xfId="3005" xr:uid="{DAD11EF7-701C-4C5E-8449-941990CDD903}"/>
    <cellStyle name="Normal 36 89" xfId="3006" xr:uid="{99A4AC1C-29D7-41DF-9F36-80F5176C865B}"/>
    <cellStyle name="Normal 36 9" xfId="3007" xr:uid="{97B4B43E-D3F1-40B2-99BA-2B460F13A220}"/>
    <cellStyle name="Normal 36 90" xfId="3008" xr:uid="{012954E5-6F5D-4B39-80F5-EE73042D56FF}"/>
    <cellStyle name="Normal 36 91" xfId="3009" xr:uid="{5A182BA4-1A46-4912-9A07-231B4AA507A7}"/>
    <cellStyle name="Normal 36 92" xfId="3010" xr:uid="{4950D648-BE68-4961-BB33-C0847B40EF52}"/>
    <cellStyle name="Normal 36 93" xfId="3011" xr:uid="{04764A59-760A-4370-934E-D6E16526E282}"/>
    <cellStyle name="Normal 36 94" xfId="3012" xr:uid="{252811E2-A944-4B69-999C-142BE66A8939}"/>
    <cellStyle name="Normal 36 95" xfId="3013" xr:uid="{4B5A0880-6273-4A1E-8260-A4E9A59E7E85}"/>
    <cellStyle name="Normal 36 96" xfId="3014" xr:uid="{0453741C-C9E7-4816-99CC-D5A25DE96903}"/>
    <cellStyle name="Normal 36 97" xfId="3015" xr:uid="{727D72B8-EC9E-4DE0-B86F-397798EC5969}"/>
    <cellStyle name="Normal 36 98" xfId="3016" xr:uid="{91BD95D2-586F-48FA-8162-4CFEB5FEF0F1}"/>
    <cellStyle name="Normal 36 99" xfId="3017" xr:uid="{7F319A16-999B-4263-A494-09BF4B7E69AE}"/>
    <cellStyle name="Normal 37" xfId="3018" xr:uid="{2B46CD35-84C7-47C1-A2F5-D49756B40EF5}"/>
    <cellStyle name="Normal 38" xfId="3019" xr:uid="{9C882480-5D30-484A-A6CB-1C0154EE9842}"/>
    <cellStyle name="Normal 39" xfId="3020" xr:uid="{719013B1-DDA1-4D5A-8B88-1D04D2341BE2}"/>
    <cellStyle name="Normal 4" xfId="60" xr:uid="{E0E8CB46-ABCB-497A-8827-821804E01B9C}"/>
    <cellStyle name="Normal-- 4" xfId="3972" xr:uid="{F323C5AD-AB18-4BA3-9E3F-3E5C2BD3DD82}"/>
    <cellStyle name="Normal 4 10" xfId="3021" xr:uid="{79A1B091-5683-4D00-84E0-F5D7440FEADA}"/>
    <cellStyle name="Normal 4 10 2" xfId="3022" xr:uid="{E47753C9-C1D9-4626-A82C-95506745D7B4}"/>
    <cellStyle name="Normal 4 100" xfId="3023" xr:uid="{ECFA609C-E844-41CD-9FAD-D7E8C1BA641C}"/>
    <cellStyle name="Normal 4 101" xfId="3024" xr:uid="{E545DB91-A81F-4EC8-A05B-68C82DF2B080}"/>
    <cellStyle name="Normal 4 102" xfId="3025" xr:uid="{7C53C0D7-7EEF-43A9-92A2-8AF0FF83BDBA}"/>
    <cellStyle name="Normal 4 103" xfId="3026" xr:uid="{7125D7AA-D2DE-4519-A9D7-5D55E342EEAC}"/>
    <cellStyle name="Normal 4 104" xfId="3027" xr:uid="{BDE6ACE4-04E9-448C-B5F6-85CBC4A95F68}"/>
    <cellStyle name="Normal 4 105" xfId="3028" xr:uid="{E95AD15E-AFFA-43E7-BEC4-A30E545EB79F}"/>
    <cellStyle name="Normal 4 106" xfId="3029" xr:uid="{994EF53F-0269-4E9A-B7B0-50D07AFE5C19}"/>
    <cellStyle name="Normal 4 107" xfId="3030" xr:uid="{B0B9F3B4-CF90-48FC-ACED-7001ECF8D84D}"/>
    <cellStyle name="Normal 4 108" xfId="3031" xr:uid="{6447AA2D-E8F2-4713-B314-152AF9A6D190}"/>
    <cellStyle name="Normal 4 109" xfId="3032" xr:uid="{54FFCBB1-AD0A-4C72-914C-44BAF0F02CBA}"/>
    <cellStyle name="Normal 4 11" xfId="3033" xr:uid="{E5393A25-0F2A-44FB-A85C-E55F4DCFA35B}"/>
    <cellStyle name="Normal 4 11 2" xfId="3034" xr:uid="{F94783D8-22B0-4893-AC56-EA5438790EEE}"/>
    <cellStyle name="Normal 4 110" xfId="3035" xr:uid="{B9F798C8-D512-49E3-8FC1-3DC4BE70CFAB}"/>
    <cellStyle name="Normal 4 111" xfId="3036" xr:uid="{06FD3CDC-750E-4395-B80E-FF68D63BCA08}"/>
    <cellStyle name="Normal 4 112" xfId="3037" xr:uid="{D9B97205-6D1C-40F4-AA4B-941877987B04}"/>
    <cellStyle name="Normal 4 113" xfId="3038" xr:uid="{C245745B-3C13-41C8-8C4D-ACF2C3B0DAD6}"/>
    <cellStyle name="Normal 4 114" xfId="3039" xr:uid="{331A4012-9F9C-4ACB-80F6-8DB663A48B51}"/>
    <cellStyle name="Normal 4 115" xfId="3040" xr:uid="{6D20340C-3295-44D2-9718-EC7FED932344}"/>
    <cellStyle name="Normal 4 116" xfId="3041" xr:uid="{94137E36-5AF9-4E6A-B246-26FF7083E84D}"/>
    <cellStyle name="Normal 4 117" xfId="3042" xr:uid="{09281C8E-178B-4B7F-B07A-BD347B7216AC}"/>
    <cellStyle name="Normal 4 118" xfId="3043" xr:uid="{B7D9BDD9-46C7-4E38-9B61-2FA6AE8E363E}"/>
    <cellStyle name="Normal 4 119" xfId="3044" xr:uid="{FA5377A7-B971-44CD-85D9-70862BD0C559}"/>
    <cellStyle name="Normal 4 12" xfId="3045" xr:uid="{B178241C-2498-466F-8723-5B0766B91FC3}"/>
    <cellStyle name="Normal 4 12 2" xfId="3046" xr:uid="{1CF2ABEA-A1E7-49F3-BEB0-B92D025A9888}"/>
    <cellStyle name="Normal 4 120" xfId="3047" xr:uid="{D9662711-AC9D-480C-8AD0-4AED3B70B887}"/>
    <cellStyle name="Normal 4 13" xfId="3048" xr:uid="{F4BBE6F0-44E6-4145-9C05-94C0294E4498}"/>
    <cellStyle name="Normal 4 13 2" xfId="3049" xr:uid="{3FD2F7E3-3BAB-4FD5-AF9E-6DEA5F7E9188}"/>
    <cellStyle name="Normal 4 14" xfId="3050" xr:uid="{94208A13-5B82-4C46-9EA6-BAFE714DA7F6}"/>
    <cellStyle name="Normal 4 14 2" xfId="3051" xr:uid="{1AA510DC-B370-4199-9E3C-35B305C5497C}"/>
    <cellStyle name="Normal 4 15" xfId="3052" xr:uid="{6097CCE1-44BB-4590-8024-9CE68164C04D}"/>
    <cellStyle name="Normal 4 15 2" xfId="3053" xr:uid="{0C61D234-F0F2-4A35-96F6-2BA61177BEF2}"/>
    <cellStyle name="Normal 4 16" xfId="3054" xr:uid="{8C991F29-056E-4276-9FA4-E843719753E3}"/>
    <cellStyle name="Normal 4 16 2" xfId="3055" xr:uid="{B63AA6D7-ED3A-430D-8813-55D3221292BD}"/>
    <cellStyle name="Normal 4 17" xfId="3056" xr:uid="{1AC88527-EFF0-4B7F-ACC4-58CCA794F57C}"/>
    <cellStyle name="Normal 4 17 2" xfId="3057" xr:uid="{BFFDBBFA-1712-49BC-ABBA-9371E6F27C01}"/>
    <cellStyle name="Normal 4 18" xfId="3058" xr:uid="{845212F1-F1BB-4244-9A79-533165BD1F1F}"/>
    <cellStyle name="Normal 4 18 2" xfId="3059" xr:uid="{BDD57CCC-7B63-4182-9A52-85A5BF57249D}"/>
    <cellStyle name="Normal 4 19" xfId="3060" xr:uid="{5D16060D-8898-41A0-B418-D30DFD9473A8}"/>
    <cellStyle name="Normal 4 19 2" xfId="3061" xr:uid="{9AA8F8A3-4664-4E94-AC8C-43A9E331AB1F}"/>
    <cellStyle name="Normal 4 2" xfId="3062" xr:uid="{090EFBE6-39B9-4A99-A227-DD16B4D70863}"/>
    <cellStyle name="Normal 4 2 2" xfId="3063" xr:uid="{1C55CBF3-D693-4583-875F-0D852C540934}"/>
    <cellStyle name="Normal 4 2 3" xfId="3064" xr:uid="{33270777-ABAA-466D-8615-FAE3202AA0E5}"/>
    <cellStyle name="Normal 4 2 4" xfId="3065" xr:uid="{207E2D69-B8C4-4B29-9FFD-3EF1A222C01E}"/>
    <cellStyle name="Normal 4 2 5" xfId="3066" xr:uid="{F96D57D6-2F07-4466-A8F4-6F8795A67D0D}"/>
    <cellStyle name="Normal 4 2 6" xfId="3067" xr:uid="{53D10D92-B8F5-47A9-9C46-C3E671123ABB}"/>
    <cellStyle name="Normal 4 2 7" xfId="3068" xr:uid="{734EE394-4A1D-438A-94FE-D65F5B32F399}"/>
    <cellStyle name="Normal 4 2 8" xfId="3069" xr:uid="{28F678F6-406A-49B0-9261-324136D25722}"/>
    <cellStyle name="Normal 4 2 9" xfId="3070" xr:uid="{9277D011-B92F-4597-A55C-CDA71928CB13}"/>
    <cellStyle name="Normal 4 20" xfId="3071" xr:uid="{8E42BBB3-C28B-4E10-AC97-B871CE4D0065}"/>
    <cellStyle name="Normal 4 20 2" xfId="3072" xr:uid="{3847A2B2-E928-4CCE-B31B-ECF1EBE316CC}"/>
    <cellStyle name="Normal 4 21" xfId="3073" xr:uid="{007F86A9-64CA-4809-820D-DB7965A25E94}"/>
    <cellStyle name="Normal 4 21 2" xfId="3074" xr:uid="{9D5164A5-2756-435E-83FC-545872872974}"/>
    <cellStyle name="Normal 4 21 2 2" xfId="3075" xr:uid="{726B3F95-F890-487A-B61C-B03C6D72A3CA}"/>
    <cellStyle name="Normal 4 21 2 2 2" xfId="3076" xr:uid="{F3B0543E-B091-4836-AAD7-4C730B86FBE7}"/>
    <cellStyle name="Normal 4 21 2 2 2 2" xfId="3077" xr:uid="{3D35C161-A3AE-46BE-ADC7-CE3B6A6E93A3}"/>
    <cellStyle name="Normal 4 21 2 2 3" xfId="3078" xr:uid="{9F0370F7-D39C-4972-9527-EE266858EF49}"/>
    <cellStyle name="Normal 4 21 2 3" xfId="3079" xr:uid="{6B457629-8C51-462B-B843-40812B8A5D5B}"/>
    <cellStyle name="Normal 4 21 2 3 2" xfId="3080" xr:uid="{A0F10C49-A59C-4CB6-BCCF-8B9932729817}"/>
    <cellStyle name="Normal 4 21 2 4" xfId="3081" xr:uid="{AC1B2145-1DFF-4D83-89B5-40D6D8107CCF}"/>
    <cellStyle name="Normal 4 21 3" xfId="3082" xr:uid="{D7BECA7A-F215-49A0-82C0-2DD1E3C9340D}"/>
    <cellStyle name="Normal 4 21 3 2" xfId="3083" xr:uid="{2CCBAE07-4606-4722-AA62-850DD6F8C60D}"/>
    <cellStyle name="Normal 4 21 3 2 2" xfId="3084" xr:uid="{CC06FA24-FF01-4680-BCC6-F56D5B159C27}"/>
    <cellStyle name="Normal 4 21 3 2 2 2" xfId="3085" xr:uid="{FB594C60-BD47-4FF6-8B63-47333A68741B}"/>
    <cellStyle name="Normal 4 21 3 2 3" xfId="3086" xr:uid="{5C118470-AE0E-432C-9454-03A06C8A5D1A}"/>
    <cellStyle name="Normal 4 21 3 3" xfId="3087" xr:uid="{CDC04856-7343-4D42-9E83-AF06FEBBB4BA}"/>
    <cellStyle name="Normal 4 21 3 3 2" xfId="3088" xr:uid="{CA7D5FDC-954A-4043-A572-5E515BDF5AFB}"/>
    <cellStyle name="Normal 4 21 3 4" xfId="3089" xr:uid="{8723E309-5F97-4BE5-A80A-62A686156639}"/>
    <cellStyle name="Normal 4 21 4" xfId="3090" xr:uid="{EEDBE8C7-6DDF-4D3A-A8C4-8C58811A4F98}"/>
    <cellStyle name="Normal 4 21 4 2" xfId="3091" xr:uid="{871C9429-9933-40E3-957B-84D623A49D39}"/>
    <cellStyle name="Normal 4 21 4 2 2" xfId="3092" xr:uid="{4F56AD14-E32E-4704-BEA9-E8197658C8A9}"/>
    <cellStyle name="Normal 4 21 4 2 2 2" xfId="3093" xr:uid="{DBFFD3D6-2FEC-42FC-B5C8-E45208DA221B}"/>
    <cellStyle name="Normal 4 21 4 2 3" xfId="3094" xr:uid="{AC1F4D71-8D9C-466B-9598-2EC40EDC42FC}"/>
    <cellStyle name="Normal 4 21 4 3" xfId="3095" xr:uid="{C457634B-BE7E-414F-979A-E355600C4CB8}"/>
    <cellStyle name="Normal 4 21 4 3 2" xfId="3096" xr:uid="{6BE94F1C-5054-4FD1-9DB6-E24D75AD4E3D}"/>
    <cellStyle name="Normal 4 21 4 4" xfId="3097" xr:uid="{2F66E43A-B415-4AE4-B829-D495A68B976A}"/>
    <cellStyle name="Normal 4 21 5" xfId="3098" xr:uid="{DD51A4BC-EC8D-4A91-9601-F1B9CBED7AF8}"/>
    <cellStyle name="Normal 4 21 5 2" xfId="3099" xr:uid="{C9A10DDE-DEA3-461A-9AF0-9A374EFA7820}"/>
    <cellStyle name="Normal 4 21 5 2 2" xfId="3100" xr:uid="{A61F010A-242F-40C9-95ED-7BE97DFD9643}"/>
    <cellStyle name="Normal 4 21 5 3" xfId="3101" xr:uid="{4236629A-DBEF-4CA4-80A5-2E8826A9670D}"/>
    <cellStyle name="Normal 4 21 6" xfId="3102" xr:uid="{03C76DCF-CF80-4315-BCC0-1C72BF560D96}"/>
    <cellStyle name="Normal 4 21 6 2" xfId="3103" xr:uid="{E671584F-127D-4D1F-A583-5E8A04D28B27}"/>
    <cellStyle name="Normal 4 21 7" xfId="3104" xr:uid="{06A5D817-5EFB-40C1-B5A9-DE0B473638E2}"/>
    <cellStyle name="Normal 4 21 8" xfId="3105" xr:uid="{F44A66F5-F6BE-42E5-BE7B-54A3FA7AE7F2}"/>
    <cellStyle name="Normal 4 22" xfId="3106" xr:uid="{9BE06C1D-5964-4E0E-8C21-07E4F628DDC5}"/>
    <cellStyle name="Normal 4 22 2" xfId="3107" xr:uid="{99216B02-51D4-40ED-B4EF-9A69AE8A9550}"/>
    <cellStyle name="Normal 4 22 2 2" xfId="3108" xr:uid="{CEBD45DF-D608-4CD5-8BF9-360209E194CA}"/>
    <cellStyle name="Normal 4 22 2 2 2" xfId="3109" xr:uid="{277F6FC4-153C-46AA-982C-DBCA1F2C3EFC}"/>
    <cellStyle name="Normal 4 22 2 3" xfId="3110" xr:uid="{75BE9285-8732-4783-B5EE-E1CBDE55F539}"/>
    <cellStyle name="Normal 4 22 3" xfId="3111" xr:uid="{B7E01D32-4788-4EB9-B45C-A6F3D644AB81}"/>
    <cellStyle name="Normal 4 22 3 2" xfId="3112" xr:uid="{1EE9069E-B7C6-4938-8DDD-55C906B58803}"/>
    <cellStyle name="Normal 4 22 4" xfId="3113" xr:uid="{077F5847-6161-4D22-A378-D838E5744997}"/>
    <cellStyle name="Normal 4 22 5" xfId="3114" xr:uid="{99C5EA05-0CDC-4C2C-8F61-C5DECAB418A4}"/>
    <cellStyle name="Normal 4 23" xfId="3115" xr:uid="{484B0D60-2CA8-456F-9232-934B2772E770}"/>
    <cellStyle name="Normal 4 23 2" xfId="3116" xr:uid="{7E20C086-1EF0-49AD-AA56-780B3A8A5EF6}"/>
    <cellStyle name="Normal 4 23 2 2" xfId="3117" xr:uid="{FFCF3016-F02A-4A7A-B2BB-BE11FFBE112A}"/>
    <cellStyle name="Normal 4 23 2 2 2" xfId="3118" xr:uid="{3D10209D-3297-47AA-A772-9A1247F6154D}"/>
    <cellStyle name="Normal 4 23 2 3" xfId="3119" xr:uid="{5A177F81-7783-4CAC-B9A6-1CE349CF71C8}"/>
    <cellStyle name="Normal 4 23 3" xfId="3120" xr:uid="{E5925440-E363-4E09-BAE0-00CD4DC96073}"/>
    <cellStyle name="Normal 4 23 3 2" xfId="3121" xr:uid="{415CEE6A-DA81-4556-8E90-5E8FCBE9C2A8}"/>
    <cellStyle name="Normal 4 23 4" xfId="3122" xr:uid="{BFE77DAD-D680-4F94-98F5-4B667AC99328}"/>
    <cellStyle name="Normal 4 23 5" xfId="3123" xr:uid="{86937147-237F-4D86-9882-3624F0AA6D58}"/>
    <cellStyle name="Normal 4 24" xfId="3124" xr:uid="{51E5BFDE-ABB1-461D-8552-76B71435E299}"/>
    <cellStyle name="Normal 4 24 2" xfId="3125" xr:uid="{CEFF616A-84C0-4B14-958C-F9EAD68729B0}"/>
    <cellStyle name="Normal 4 24 2 2" xfId="3126" xr:uid="{41A5C2F1-A17B-4EB2-B5CB-E417ABDDA853}"/>
    <cellStyle name="Normal 4 24 2 2 2" xfId="3127" xr:uid="{15FB14F2-6539-425F-A590-F6624A12273A}"/>
    <cellStyle name="Normal 4 24 2 3" xfId="3128" xr:uid="{0FE15A1E-5B05-493D-99AC-096E93CCEE17}"/>
    <cellStyle name="Normal 4 24 3" xfId="3129" xr:uid="{C5462650-0977-4D0D-92E1-5001FF947DBB}"/>
    <cellStyle name="Normal 4 24 3 2" xfId="3130" xr:uid="{EF6CD47A-4891-496B-B38D-C8E92CFC4121}"/>
    <cellStyle name="Normal 4 24 4" xfId="3131" xr:uid="{C44B4CB1-9E71-41E9-ACB5-C4813E4731B2}"/>
    <cellStyle name="Normal 4 24 5" xfId="3132" xr:uid="{233B30C1-D4E6-41D2-BA4C-756AE2F37DAC}"/>
    <cellStyle name="Normal 4 25" xfId="3133" xr:uid="{0ECA691F-D072-422B-9CE8-3EAAFBAC15D4}"/>
    <cellStyle name="Normal 4 25 2" xfId="3134" xr:uid="{EBCFB946-E3B4-4EE6-9269-2D37F075F018}"/>
    <cellStyle name="Normal 4 25 2 2" xfId="3135" xr:uid="{E5CAAFFF-7EDE-46F6-9EC1-02DCF3823FB6}"/>
    <cellStyle name="Normal 4 25 3" xfId="3136" xr:uid="{1C54AC44-93AB-40F1-BC65-3C1044EDFE8E}"/>
    <cellStyle name="Normal 4 25 4" xfId="3137" xr:uid="{0DAA0FA4-B40B-41F4-BCFB-8DEC9622824A}"/>
    <cellStyle name="Normal 4 26" xfId="3138" xr:uid="{329A5ED9-9EB7-4D6C-824C-5B0B593B05BA}"/>
    <cellStyle name="Normal 4 26 2" xfId="3139" xr:uid="{ED2C8096-1F6F-4DDE-865C-AD49086E2955}"/>
    <cellStyle name="Normal 4 27" xfId="3140" xr:uid="{528C093E-59AB-4A81-83F7-E8DF2A3BC6EF}"/>
    <cellStyle name="Normal 4 27 2" xfId="3141" xr:uid="{49947A72-9419-4D1C-9563-16B967B09A2B}"/>
    <cellStyle name="Normal 4 27 2 2" xfId="3142" xr:uid="{6782C965-BC6A-4429-AD81-95A09CDE75B5}"/>
    <cellStyle name="Normal 4 27 3" xfId="3143" xr:uid="{92E314C5-F939-456D-9926-A8587CBCF31B}"/>
    <cellStyle name="Normal 4 27 4" xfId="3144" xr:uid="{06246B6E-A4C9-44BF-A495-32905D48ADBD}"/>
    <cellStyle name="Normal 4 28" xfId="3145" xr:uid="{544409AE-1848-4223-AFDE-629EDBF8AC6C}"/>
    <cellStyle name="Normal 4 28 2" xfId="3146" xr:uid="{097E3396-FB54-4CA2-AF42-ECB973762DFB}"/>
    <cellStyle name="Normal 4 28 3" xfId="3147" xr:uid="{65250E36-A7C9-42EF-B318-115628CD3962}"/>
    <cellStyle name="Normal 4 29" xfId="3148" xr:uid="{3608422B-978F-4032-8A10-D75BE9C069B9}"/>
    <cellStyle name="Normal 4 29 2" xfId="3149" xr:uid="{BFFE11E0-7E2D-41EA-93D5-8FDAC19F4382}"/>
    <cellStyle name="Normal 4 3" xfId="3150" xr:uid="{5884C0FB-FDFB-43CE-8AD8-2585DF6F4E4A}"/>
    <cellStyle name="Normal 4 3 2" xfId="3151" xr:uid="{15984DC8-119D-4A18-BA1A-FFA130ED4DB0}"/>
    <cellStyle name="Normal 4 3 2 2" xfId="3152" xr:uid="{52DD5203-6A54-4422-8FB8-15CCE7586471}"/>
    <cellStyle name="Normal 4 3 2 2 2" xfId="3153" xr:uid="{073FF470-EDBA-499F-81E1-228A48BEF1B6}"/>
    <cellStyle name="Normal 4 3 2 3" xfId="3154" xr:uid="{81FE78E7-C31B-4125-BB5A-C74E904D70E3}"/>
    <cellStyle name="Normal 4 3 2 4" xfId="3155" xr:uid="{7D75B08D-E5C3-44C3-BD14-40898EC87B1F}"/>
    <cellStyle name="Normal 4 3 3" xfId="3156" xr:uid="{F6F456FB-E06F-4E68-A5B6-1527BA6810BC}"/>
    <cellStyle name="Normal 4 3 4" xfId="3157" xr:uid="{5A4ED28E-268B-41F6-A83C-AE106642076E}"/>
    <cellStyle name="Normal 4 30" xfId="3158" xr:uid="{1E51392C-DBF9-4D63-97D7-E387614D3CD5}"/>
    <cellStyle name="Normal 4 30 2" xfId="3159" xr:uid="{80BE2C76-BD39-4DD8-A6E3-4B580A6A061E}"/>
    <cellStyle name="Normal 4 31" xfId="3160" xr:uid="{C5E12CB7-8185-4214-9821-90607B3031ED}"/>
    <cellStyle name="Normal 4 31 2" xfId="3161" xr:uid="{EFC19C07-733E-4D7A-985A-01CADE920B61}"/>
    <cellStyle name="Normal 4 32" xfId="3162" xr:uid="{5E440FCF-FE7B-40EA-AAA2-D9FDB11F0B6B}"/>
    <cellStyle name="Normal 4 32 2" xfId="3163" xr:uid="{2DEC9970-3F42-456A-9178-27F803C0F703}"/>
    <cellStyle name="Normal 4 33" xfId="3164" xr:uid="{B1BD9E60-AB89-44B0-8087-A5EEE1C3C2CC}"/>
    <cellStyle name="Normal 4 33 2" xfId="3165" xr:uid="{C7AD019F-9E2E-4707-A731-795D92A98C99}"/>
    <cellStyle name="Normal 4 34" xfId="3166" xr:uid="{FA22ADC7-99B4-4513-94AD-C7FC6270552B}"/>
    <cellStyle name="Normal 4 35" xfId="3167" xr:uid="{8F9F8B3C-FD95-40E9-B4C2-47BF326D9359}"/>
    <cellStyle name="Normal 4 36" xfId="3168" xr:uid="{177EE5FD-01DC-4BC1-9DFD-DFC8A74175E6}"/>
    <cellStyle name="Normal 4 37" xfId="3169" xr:uid="{FF09629F-8A2A-43BC-9267-247E5B6F69C9}"/>
    <cellStyle name="Normal 4 38" xfId="3170" xr:uid="{30B6BB27-443C-40BF-AFF7-4F4864799016}"/>
    <cellStyle name="Normal 4 39" xfId="3171" xr:uid="{EAF25B93-DB68-41D1-98F2-EFE998403372}"/>
    <cellStyle name="Normal 4 4" xfId="3172" xr:uid="{FA724A2A-9D80-4371-8976-4954DE4CB1D8}"/>
    <cellStyle name="Normal 4 4 2" xfId="3173" xr:uid="{1E3B536F-8338-42CD-B705-C413462B3E30}"/>
    <cellStyle name="Normal 4 4 3" xfId="3174" xr:uid="{41920133-200C-4667-9D88-D2E4DD2BE8AF}"/>
    <cellStyle name="Normal 4 4 4" xfId="3175" xr:uid="{CA7BC679-3288-4F1A-9712-5DC26550136A}"/>
    <cellStyle name="Normal 4 40" xfId="3176" xr:uid="{83FDFB9C-6292-4709-B8AB-B84CCCAAD3D0}"/>
    <cellStyle name="Normal 4 41" xfId="3177" xr:uid="{F5AECC31-13E0-4201-B412-FD5F202063D3}"/>
    <cellStyle name="Normal 4 42" xfId="3178" xr:uid="{BF4D7222-159C-42AC-BDB4-4E2FAC4E4C98}"/>
    <cellStyle name="Normal 4 43" xfId="3179" xr:uid="{846CBB10-0A69-4B33-9682-AAA9873C7F4A}"/>
    <cellStyle name="Normal 4 44" xfId="3180" xr:uid="{5F157734-286F-4890-B33E-A02845A3419B}"/>
    <cellStyle name="Normal 4 45" xfId="3181" xr:uid="{40E3A2B9-AB53-4C1E-9796-75DDC07840AB}"/>
    <cellStyle name="Normal 4 46" xfId="3182" xr:uid="{D09C0F0A-9308-4917-933E-84A38CBC35AE}"/>
    <cellStyle name="Normal 4 47" xfId="3183" xr:uid="{5F2E0C53-39D4-4238-AB87-29B19FE12FDD}"/>
    <cellStyle name="Normal 4 48" xfId="3184" xr:uid="{D5108238-954C-45AE-B3B9-25E34B4CEC97}"/>
    <cellStyle name="Normal 4 49" xfId="3185" xr:uid="{541C77D8-9381-4659-81A5-399F971BD9A4}"/>
    <cellStyle name="Normal 4 5" xfId="3186" xr:uid="{57E26233-E2E8-4BC3-B0CA-0E4CE0EC3835}"/>
    <cellStyle name="Normal 4 5 2" xfId="3187" xr:uid="{C24AF2E7-BCC5-4714-8619-E5752CC4245B}"/>
    <cellStyle name="Normal 4 50" xfId="3188" xr:uid="{C0E38961-BF68-4408-96B3-D5CC10FE3F1C}"/>
    <cellStyle name="Normal 4 51" xfId="3189" xr:uid="{76573C46-5554-48BD-9C83-9EF49C708690}"/>
    <cellStyle name="Normal 4 52" xfId="3190" xr:uid="{80A63774-0E5C-4573-A123-569A8396BB3B}"/>
    <cellStyle name="Normal 4 53" xfId="3191" xr:uid="{B960F310-7A96-4D61-874E-2A14898296EE}"/>
    <cellStyle name="Normal 4 54" xfId="3192" xr:uid="{CB26326B-05B4-4350-9F37-72303D2CB231}"/>
    <cellStyle name="Normal 4 55" xfId="3193" xr:uid="{82625A85-65C5-4E73-9654-F967EDCDE80B}"/>
    <cellStyle name="Normal 4 56" xfId="3194" xr:uid="{2AF8E483-7DCD-4F47-A090-A36F8BA83162}"/>
    <cellStyle name="Normal 4 57" xfId="3195" xr:uid="{BF3FBFB3-3FE2-4FF4-B063-F5145854F335}"/>
    <cellStyle name="Normal 4 58" xfId="3196" xr:uid="{F1DB225F-FDD6-4075-9CFD-D3E6D5BBCA31}"/>
    <cellStyle name="Normal 4 59" xfId="3197" xr:uid="{66C3517F-1AA3-4385-A7B5-E8EC3DB3D5B6}"/>
    <cellStyle name="Normal 4 6" xfId="3198" xr:uid="{0E0A39DE-695C-413D-AAEB-FDEBF835B8C5}"/>
    <cellStyle name="Normal 4 6 2" xfId="3199" xr:uid="{33C1428D-4996-40E5-9F38-DD9415FD420F}"/>
    <cellStyle name="Normal 4 60" xfId="3200" xr:uid="{AF36880A-E9F4-47C5-8EF4-0E0369C91297}"/>
    <cellStyle name="Normal 4 61" xfId="3201" xr:uid="{7D4FC917-545A-4135-B1F2-95A69A769509}"/>
    <cellStyle name="Normal 4 62" xfId="3202" xr:uid="{C2DB7484-2C7F-407D-8224-05ED8EDA2AF8}"/>
    <cellStyle name="Normal 4 63" xfId="3203" xr:uid="{C575EEAD-E01B-4159-AE93-64E663727148}"/>
    <cellStyle name="Normal 4 64" xfId="3204" xr:uid="{A05EA092-92EE-4182-A37C-888D27561F3E}"/>
    <cellStyle name="Normal 4 65" xfId="3205" xr:uid="{9324B190-403E-46B7-A542-1134B675BE6C}"/>
    <cellStyle name="Normal 4 66" xfId="3206" xr:uid="{3307AC8F-18D2-4937-A293-E4D4F8010DB5}"/>
    <cellStyle name="Normal 4 67" xfId="3207" xr:uid="{426F1C3A-5D33-4345-ABFE-00EABBA2A530}"/>
    <cellStyle name="Normal 4 68" xfId="3208" xr:uid="{0D32DDE2-CD50-42AF-ADAF-15139BBC5470}"/>
    <cellStyle name="Normal 4 69" xfId="3209" xr:uid="{B84528F2-2A0D-43FB-B021-75F6F3DE20DB}"/>
    <cellStyle name="Normal 4 7" xfId="3210" xr:uid="{D4C32353-5ED9-4F3D-BDC0-31C51BE3BA42}"/>
    <cellStyle name="Normal 4 7 2" xfId="3211" xr:uid="{D3542155-EE3B-40BD-AD4D-AAD6D166168F}"/>
    <cellStyle name="Normal 4 70" xfId="3212" xr:uid="{A1EE4C0A-A2C2-4556-BFB9-4354A3453B36}"/>
    <cellStyle name="Normal 4 71" xfId="3213" xr:uid="{A21EA610-E20F-4C37-BDF3-610397AA44EC}"/>
    <cellStyle name="Normal 4 72" xfId="3214" xr:uid="{D93EF730-BF48-4ED6-9264-FFA2BAF96833}"/>
    <cellStyle name="Normal 4 73" xfId="3215" xr:uid="{8875868E-1FCA-44DF-AC51-C88DFCCE82CF}"/>
    <cellStyle name="Normal 4 74" xfId="3216" xr:uid="{E486FF96-D165-4F30-AB17-5B531D6CA983}"/>
    <cellStyle name="Normal 4 75" xfId="3217" xr:uid="{CA9D29DC-010A-4A33-88F8-F389F1CAA324}"/>
    <cellStyle name="Normal 4 76" xfId="3218" xr:uid="{4E4710EF-17F3-409F-A73D-20441DE9E39F}"/>
    <cellStyle name="Normal 4 77" xfId="3219" xr:uid="{A8573CE3-391D-4C89-8CA2-894078A3D045}"/>
    <cellStyle name="Normal 4 78" xfId="3220" xr:uid="{5F2CCE87-53A0-4FBE-9D50-0402EE0A04AB}"/>
    <cellStyle name="Normal 4 79" xfId="3221" xr:uid="{1DC43DF1-7736-4BE7-8A02-B98A402C854F}"/>
    <cellStyle name="Normal 4 8" xfId="3222" xr:uid="{7697C260-0794-40EB-8412-3D2A6690894B}"/>
    <cellStyle name="Normal 4 8 2" xfId="3223" xr:uid="{6169D269-2FAD-4D3A-B26B-62F780D79889}"/>
    <cellStyle name="Normal 4 80" xfId="3224" xr:uid="{112157FC-8E49-4E8F-92B2-CB819BB111DA}"/>
    <cellStyle name="Normal 4 81" xfId="3225" xr:uid="{7AC290EF-6B3E-4A58-B81F-2828DBAA6E2A}"/>
    <cellStyle name="Normal 4 82" xfId="3226" xr:uid="{263787C1-5F8B-46B4-A21A-D26FB0C43C54}"/>
    <cellStyle name="Normal 4 83" xfId="3227" xr:uid="{1B48D803-EE70-4600-8174-87845009F96B}"/>
    <cellStyle name="Normal 4 84" xfId="3228" xr:uid="{9CA8B6B7-5AB3-42BD-9561-5AF3C09B3F8C}"/>
    <cellStyle name="Normal 4 85" xfId="3229" xr:uid="{DD7E035D-4108-4EE8-AB41-B5B0DD234CB9}"/>
    <cellStyle name="Normal 4 86" xfId="3230" xr:uid="{ADBA751B-AF6C-4C8E-B8AA-37F965D6FAE4}"/>
    <cellStyle name="Normal 4 87" xfId="3231" xr:uid="{FC0CD18E-CC0F-457D-B873-2EFF6364E611}"/>
    <cellStyle name="Normal 4 88" xfId="3232" xr:uid="{55F65661-F748-445B-921E-2919A0695B10}"/>
    <cellStyle name="Normal 4 89" xfId="3233" xr:uid="{AC07199F-BB5A-4FCC-8047-23B2E66EBE80}"/>
    <cellStyle name="Normal 4 9" xfId="3234" xr:uid="{4D4A26D0-1764-42D5-8490-C059D8545941}"/>
    <cellStyle name="Normal 4 9 2" xfId="3235" xr:uid="{7B0D2630-4D29-499E-9C6B-8618691B7731}"/>
    <cellStyle name="Normal 4 90" xfId="3236" xr:uid="{2C026F3F-39B7-4D91-9D9C-9CF14F0FD34E}"/>
    <cellStyle name="Normal 4 91" xfId="3237" xr:uid="{F5C18172-D289-4A8F-98F8-4AD4FE46D283}"/>
    <cellStyle name="Normal 4 92" xfId="3238" xr:uid="{A1FEA938-71FB-46AB-AB21-48B9DA60FC84}"/>
    <cellStyle name="Normal 4 93" xfId="3239" xr:uid="{DEADC250-F0A1-4725-99D2-2797AA1C2FEA}"/>
    <cellStyle name="Normal 4 94" xfId="3240" xr:uid="{63437B64-95BF-45EB-912E-B0ADC1C58E7E}"/>
    <cellStyle name="Normal 4 95" xfId="3241" xr:uid="{EEA2B005-9F9E-4AB0-AE23-E1E1EB919AA4}"/>
    <cellStyle name="Normal 4 96" xfId="3242" xr:uid="{78135965-B475-4D7F-B22B-11788974304E}"/>
    <cellStyle name="Normal 4 97" xfId="3243" xr:uid="{B93D9AD5-FDE6-4622-A5C3-F0867200D140}"/>
    <cellStyle name="Normal 4 98" xfId="3244" xr:uid="{419370AB-AA06-4D5F-94C7-F4F90B5A1F51}"/>
    <cellStyle name="Normal 4 99" xfId="3245" xr:uid="{3FDC26CA-FB4B-4A94-9481-D0CD547369E5}"/>
    <cellStyle name="Normal 40" xfId="3246" xr:uid="{A4A2E47A-3CEA-4B0C-B087-AF9C1FE26308}"/>
    <cellStyle name="Normal 41" xfId="3247" xr:uid="{517691CA-2C76-45D6-948C-EEBA89EE523B}"/>
    <cellStyle name="Normal 42" xfId="3248" xr:uid="{D50F006B-EE2E-47A5-9B0C-52BE907F222E}"/>
    <cellStyle name="Normal 43" xfId="3249" xr:uid="{10634890-F454-44F6-BA00-29FDA1B77951}"/>
    <cellStyle name="Normal 44" xfId="3250" xr:uid="{051FC0D6-192F-4799-A76D-96D3BF958004}"/>
    <cellStyle name="Normal 45" xfId="3251" xr:uid="{CF7423FE-D5E8-468F-87FB-DC0985A42280}"/>
    <cellStyle name="Normal 46" xfId="3252" xr:uid="{A84A754A-9A1D-4B0A-AA9C-F1A47FDECADC}"/>
    <cellStyle name="Normal 47" xfId="3253" xr:uid="{259CA805-D56D-49FB-97C3-399F5EA6731B}"/>
    <cellStyle name="Normal 47 10" xfId="3254" xr:uid="{8D9185AC-5CC7-4233-9804-93E70FA4BE04}"/>
    <cellStyle name="Normal 47 11" xfId="3255" xr:uid="{BA848E74-BF5C-4C15-AD45-AD5CFA0BF2D8}"/>
    <cellStyle name="Normal 47 11 2" xfId="3256" xr:uid="{67B0414D-FFB0-434F-8A87-66732C077EF9}"/>
    <cellStyle name="Normal 47 11 3" xfId="3257" xr:uid="{0D798BFD-8C17-43A5-A9D7-E651FCD76FDC}"/>
    <cellStyle name="Normal 47 11 4" xfId="3258" xr:uid="{48A2C4F4-C7AA-4E7A-AD94-1E9F35B26BF3}"/>
    <cellStyle name="Normal 47 11 5" xfId="3259" xr:uid="{AFE3975F-11B6-4B11-A576-F4982292B61E}"/>
    <cellStyle name="Normal 47 11 6" xfId="3260" xr:uid="{8E88C5CD-31DF-4EFE-8542-5325739CAE90}"/>
    <cellStyle name="Normal 47 11 7" xfId="3261" xr:uid="{B3D2D664-A439-44C4-86EC-BC06388C2118}"/>
    <cellStyle name="Normal 47 11 8" xfId="3262" xr:uid="{A2389061-3141-48A5-938D-5A73E5376B04}"/>
    <cellStyle name="Normal 47 12" xfId="3263" xr:uid="{4B5A0FA3-781C-4407-AA51-158907C1A9FF}"/>
    <cellStyle name="Normal 47 13" xfId="3264" xr:uid="{2BBFD0A5-A99A-4004-8665-E8D25AD3E927}"/>
    <cellStyle name="Normal 47 14" xfId="3265" xr:uid="{DF3FBDE2-E27A-4A18-8E09-58E57636BF91}"/>
    <cellStyle name="Normal 47 15" xfId="3266" xr:uid="{21E6C0B9-E986-463E-B4F1-C98966A8C6C9}"/>
    <cellStyle name="Normal 47 16" xfId="3267" xr:uid="{277940FA-0A7D-48E3-A023-3730B67E43E1}"/>
    <cellStyle name="Normal 47 17" xfId="3268" xr:uid="{29F6EA37-1E17-4212-B645-B3CBAE29F5AE}"/>
    <cellStyle name="Normal 47 2" xfId="3269" xr:uid="{C9D0DD54-8D57-40BD-8F28-B0CB9E6E27EC}"/>
    <cellStyle name="Normal 47 3" xfId="3270" xr:uid="{04A52FE6-E4CA-46AE-8737-7BC1B86F4722}"/>
    <cellStyle name="Normal 47 3 2" xfId="3271" xr:uid="{7288CB28-1CB4-47BC-A52D-917A8B69F9F3}"/>
    <cellStyle name="Normal 47 3 3" xfId="3272" xr:uid="{01D7E0EF-F80F-41BF-9A29-A99142626A0F}"/>
    <cellStyle name="Normal 47 3 4" xfId="3273" xr:uid="{4446FDA2-BE6A-44F2-ACFE-D94C5CBF8C56}"/>
    <cellStyle name="Normal 47 3 5" xfId="3274" xr:uid="{151FAF11-9BE8-46BA-80F9-BC12E856B46F}"/>
    <cellStyle name="Normal 47 3 6" xfId="3275" xr:uid="{BBB4B593-BBA8-4734-B29B-482154A7CFDE}"/>
    <cellStyle name="Normal 47 3 7" xfId="3276" xr:uid="{2ED53E69-CFAF-43F1-A901-2E23C3FCAB60}"/>
    <cellStyle name="Normal 47 3 8" xfId="3277" xr:uid="{F9F53ABA-F22D-4BBE-9C6A-D6C1DDEA150F}"/>
    <cellStyle name="Normal 47 4" xfId="3278" xr:uid="{733A4F72-3FA7-44F4-A832-C704691030F7}"/>
    <cellStyle name="Normal 47 4 2" xfId="3279" xr:uid="{C3E98366-04D3-4FB9-BFF3-6E298356E1E4}"/>
    <cellStyle name="Normal 47 4 3" xfId="3280" xr:uid="{E89174F1-86F2-4AFC-8A7F-31BB9BDFDCCB}"/>
    <cellStyle name="Normal 47 4 4" xfId="3281" xr:uid="{909AC8FD-DAD0-4773-A44F-EEE3411AB6C1}"/>
    <cellStyle name="Normal 47 4 5" xfId="3282" xr:uid="{CCC43040-9AC6-4A0D-8024-8CE93DF94E11}"/>
    <cellStyle name="Normal 47 4 6" xfId="3283" xr:uid="{93F5623F-D57A-47ED-BF25-E9046330610F}"/>
    <cellStyle name="Normal 47 4 7" xfId="3284" xr:uid="{2B930CBC-42DC-4346-81CA-D77A382D2DC3}"/>
    <cellStyle name="Normal 47 4 8" xfId="3285" xr:uid="{36BE6DDE-AE29-4091-BE1A-EB4EDA8BF4F9}"/>
    <cellStyle name="Normal 47 5" xfId="3286" xr:uid="{9D550F06-D16D-4223-B2B8-B2C36B0056C1}"/>
    <cellStyle name="Normal 47 5 2" xfId="3287" xr:uid="{21FAAB7C-B809-413B-849A-D83D41B93E4C}"/>
    <cellStyle name="Normal 47 5 3" xfId="3288" xr:uid="{E0B3D4EF-F00D-4540-88B1-543F998EFB19}"/>
    <cellStyle name="Normal 47 5 4" xfId="3289" xr:uid="{9DFF56B2-7304-4293-B988-5874AD646201}"/>
    <cellStyle name="Normal 47 5 5" xfId="3290" xr:uid="{67A49750-3AC0-44E5-89CC-C107C3E4C1A2}"/>
    <cellStyle name="Normal 47 5 6" xfId="3291" xr:uid="{562E2E46-6C22-4B0C-8837-3F13D892DE3F}"/>
    <cellStyle name="Normal 47 5 7" xfId="3292" xr:uid="{81CAD338-343E-4369-A43B-06161F81BA8E}"/>
    <cellStyle name="Normal 47 5 8" xfId="3293" xr:uid="{0BAD8A40-C240-4B5B-ACDE-2D421A116BFD}"/>
    <cellStyle name="Normal 47 6" xfId="3294" xr:uid="{301BD8C9-ED13-4993-8D18-1D6C2A97E298}"/>
    <cellStyle name="Normal 47 6 2" xfId="3295" xr:uid="{6E8E6F2B-FE85-465C-AEC1-13279620EDA4}"/>
    <cellStyle name="Normal 47 6 3" xfId="3296" xr:uid="{936D9AF4-4945-4510-B116-FC2D02A5D289}"/>
    <cellStyle name="Normal 47 6 4" xfId="3297" xr:uid="{B97E86EF-B2A8-44CB-914A-26009D4F39EE}"/>
    <cellStyle name="Normal 47 6 5" xfId="3298" xr:uid="{D12E4CE4-F0F1-4EDA-9477-E6A32025A7D1}"/>
    <cellStyle name="Normal 47 6 6" xfId="3299" xr:uid="{15BED64E-DF2B-4780-9E44-193DCFB251CF}"/>
    <cellStyle name="Normal 47 6 7" xfId="3300" xr:uid="{1A2E8F86-171A-4685-97C3-1295130F00C9}"/>
    <cellStyle name="Normal 47 6 8" xfId="3301" xr:uid="{366ABE72-BF0C-45A8-BDD2-FA3C90454215}"/>
    <cellStyle name="Normal 47 7" xfId="3302" xr:uid="{D1294A57-35EE-4DBA-8F12-B57E6DB5E5FC}"/>
    <cellStyle name="Normal 47 7 2" xfId="3303" xr:uid="{89496D07-D650-4C7F-AE2F-03435073DE92}"/>
    <cellStyle name="Normal 47 7 3" xfId="3304" xr:uid="{74503DEA-2E17-4412-B478-4A5F6217C677}"/>
    <cellStyle name="Normal 47 7 4" xfId="3305" xr:uid="{EA11B7F6-B1B2-419F-A687-4CFD810908F3}"/>
    <cellStyle name="Normal 47 7 5" xfId="3306" xr:uid="{77966A33-FF20-465F-8748-67825CCC145E}"/>
    <cellStyle name="Normal 47 7 6" xfId="3307" xr:uid="{3F1327EF-1CA8-48DE-9FAD-1FE3921C81B2}"/>
    <cellStyle name="Normal 47 7 7" xfId="3308" xr:uid="{5D6D19D2-0A29-4FCA-9613-5CB0D7C1AB8B}"/>
    <cellStyle name="Normal 47 7 8" xfId="3309" xr:uid="{E9FAA32C-482A-4E4E-844F-845918717607}"/>
    <cellStyle name="Normal 47 8" xfId="3310" xr:uid="{BB2F8A9B-402E-429C-B126-53AAF4292198}"/>
    <cellStyle name="Normal 47 8 2" xfId="3311" xr:uid="{02893DD5-85FD-4ADA-AAC6-1FC01D16F80F}"/>
    <cellStyle name="Normal 47 8 3" xfId="3312" xr:uid="{D231659A-E062-4D8C-A30B-08C3FB6F0B1A}"/>
    <cellStyle name="Normal 47 8 4" xfId="3313" xr:uid="{1B7BD9AB-2660-49FB-B4AF-976A8C516638}"/>
    <cellStyle name="Normal 47 8 5" xfId="3314" xr:uid="{99AC8DC0-0AA8-491B-9438-45DD0554A906}"/>
    <cellStyle name="Normal 47 8 6" xfId="3315" xr:uid="{6071C190-B111-4760-87EB-12B9F7B9D53C}"/>
    <cellStyle name="Normal 47 8 7" xfId="3316" xr:uid="{3A8263AC-F5B7-41E6-8A2A-F7C7D175722B}"/>
    <cellStyle name="Normal 47 8 8" xfId="3317" xr:uid="{BB44EF4F-37A5-476E-AB60-8506718CD6A3}"/>
    <cellStyle name="Normal 47 9" xfId="3318" xr:uid="{B04292F1-6394-4F46-9F0C-6F23225CF657}"/>
    <cellStyle name="Normal 48" xfId="3319" xr:uid="{F7AA7D81-24F7-41ED-8F1E-43AE644F3ED7}"/>
    <cellStyle name="Normal 49" xfId="3320" xr:uid="{8F63BB1F-B709-4C77-A48F-D2777E146FC6}"/>
    <cellStyle name="Normal 49 2" xfId="3321" xr:uid="{E18BD54D-7C3B-4620-ABAB-082428950E9B}"/>
    <cellStyle name="Normal 49 2 2" xfId="3322" xr:uid="{8C8CE05D-2EEF-4829-BB45-BAE1D5DD3A89}"/>
    <cellStyle name="Normal 49 2 2 2" xfId="3323" xr:uid="{32E33480-B4F4-4B07-861D-28846C1B6FA3}"/>
    <cellStyle name="Normal 49 2 2 2 2" xfId="3324" xr:uid="{9C00DF45-5DF4-4E39-B5EC-CB199EB16CFB}"/>
    <cellStyle name="Normal 49 2 2 3" xfId="3325" xr:uid="{B227924F-DE8C-42C3-A34D-D2CD1D8C8AF9}"/>
    <cellStyle name="Normal 49 2 3" xfId="3326" xr:uid="{C06A82F1-7440-400D-9C2B-388670CCD62B}"/>
    <cellStyle name="Normal 49 2 3 2" xfId="3327" xr:uid="{B1769341-DAED-435B-B873-7F857FA8F61C}"/>
    <cellStyle name="Normal 49 2 4" xfId="3328" xr:uid="{28BD6426-AF75-48A1-A477-B7D1DAFEAE97}"/>
    <cellStyle name="Normal 49 3" xfId="3329" xr:uid="{EF8801CC-3C93-480E-ADC5-6FF6735C77E6}"/>
    <cellStyle name="Normal 49 3 2" xfId="3330" xr:uid="{B3F4F276-9375-4CFD-B03F-53A436E46FF2}"/>
    <cellStyle name="Normal 49 3 2 2" xfId="3331" xr:uid="{87F4BEF2-7BD9-4C20-B621-46433D5E9D18}"/>
    <cellStyle name="Normal 49 3 2 2 2" xfId="3332" xr:uid="{62B64217-D50D-4F48-B153-E5FB8ADACC68}"/>
    <cellStyle name="Normal 49 3 2 3" xfId="3333" xr:uid="{B8CD5BDF-96A2-45EA-BE56-CC704529B242}"/>
    <cellStyle name="Normal 49 3 3" xfId="3334" xr:uid="{7DAF6AAE-A1FD-4355-99BA-9799CF1E85CA}"/>
    <cellStyle name="Normal 49 3 3 2" xfId="3335" xr:uid="{21C9E996-C692-472E-98F8-936224F95B23}"/>
    <cellStyle name="Normal 49 3 4" xfId="3336" xr:uid="{A1C8D720-8FAF-4704-B836-CB2B6B02F1E6}"/>
    <cellStyle name="Normal 49 4" xfId="3337" xr:uid="{A6A7E16D-917F-4189-90E0-D298EA48AE4F}"/>
    <cellStyle name="Normal 49 4 2" xfId="3338" xr:uid="{A1D75603-F261-4F2E-8D65-851C25E285D4}"/>
    <cellStyle name="Normal 49 4 2 2" xfId="3339" xr:uid="{2093E37D-835B-47BC-8382-9488BE6D65DF}"/>
    <cellStyle name="Normal 49 4 2 2 2" xfId="3340" xr:uid="{4EF1667F-5A47-42B3-89B1-4184A07985CE}"/>
    <cellStyle name="Normal 49 4 2 3" xfId="3341" xr:uid="{6D7A16B4-AA67-49CE-8122-90DEBAC8BF4B}"/>
    <cellStyle name="Normal 49 4 3" xfId="3342" xr:uid="{1B87B724-C3DF-4EC5-ABB5-C0F1A80C0DE1}"/>
    <cellStyle name="Normal 49 4 3 2" xfId="3343" xr:uid="{F6F410F4-260C-4086-967D-27E3977486EB}"/>
    <cellStyle name="Normal 49 4 4" xfId="3344" xr:uid="{2D8E17A2-8C5A-4C4F-98D3-72ECFA599378}"/>
    <cellStyle name="Normal 49 5" xfId="3345" xr:uid="{184EFFE8-9953-4ADE-9637-231D2278B1A9}"/>
    <cellStyle name="Normal 49 5 2" xfId="3346" xr:uid="{03EAEFFC-DE0B-4A29-BF65-732E57D41E83}"/>
    <cellStyle name="Normal 49 5 2 2" xfId="3347" xr:uid="{AFF95104-4F58-41AD-A3BE-6132A9A8DCAB}"/>
    <cellStyle name="Normal 49 5 3" xfId="3348" xr:uid="{10B56EB3-AACE-442C-B064-0275A95FE408}"/>
    <cellStyle name="Normal 49 6" xfId="3349" xr:uid="{F05ED914-9E66-4612-8C03-F694B2420087}"/>
    <cellStyle name="Normal 49 6 2" xfId="3350" xr:uid="{3212A70B-844B-4278-9BF2-2E82225883A6}"/>
    <cellStyle name="Normal 49 7" xfId="3351" xr:uid="{D16A318C-C47E-4F61-801B-C15DB48BE1E4}"/>
    <cellStyle name="Normal 49 8" xfId="3352" xr:uid="{B483B042-B2E5-4631-86CE-084681E157DF}"/>
    <cellStyle name="Normal 5" xfId="61" xr:uid="{6E3C9089-F478-4AA9-A63D-13E97D9EEE9D}"/>
    <cellStyle name="Normal-- 5" xfId="3973" xr:uid="{CCD2CB86-8787-4392-9093-9B5D833EF82C}"/>
    <cellStyle name="Normal 5 10" xfId="3353" xr:uid="{65D1F2EC-9BDD-4178-8542-D03A9CAB49D8}"/>
    <cellStyle name="Normal 5 10 2" xfId="3354" xr:uid="{AF241CC8-4A16-4691-A26A-AC759C7E721E}"/>
    <cellStyle name="Normal 5 100" xfId="3355" xr:uid="{EAD3AD6B-7FBC-4168-A722-18EAC58D4B8A}"/>
    <cellStyle name="Normal 5 101" xfId="3356" xr:uid="{121C2169-7D4C-4F95-B4C1-3179453CC70C}"/>
    <cellStyle name="Normal 5 102" xfId="3357" xr:uid="{8C371795-7B21-4715-B52D-EB9461F316A6}"/>
    <cellStyle name="Normal 5 103" xfId="3358" xr:uid="{7DF9F912-95B1-447B-A0E4-F275ADAC8C35}"/>
    <cellStyle name="Normal 5 104" xfId="3359" xr:uid="{33D7D2B3-4FE8-45A8-901C-09C4D9C55E4D}"/>
    <cellStyle name="Normal 5 105" xfId="3360" xr:uid="{11263F4E-5202-43E2-BA59-B6F928C20CEE}"/>
    <cellStyle name="Normal 5 106" xfId="3361" xr:uid="{F13B09A9-8689-4C61-B10C-9A5CFF9A76F8}"/>
    <cellStyle name="Normal 5 107" xfId="3362" xr:uid="{0F469978-90EA-406A-9F5C-36349F230BFF}"/>
    <cellStyle name="Normal 5 108" xfId="3363" xr:uid="{B020D100-F36A-489B-BFB4-3271EA7D295F}"/>
    <cellStyle name="Normal 5 109" xfId="3364" xr:uid="{C0D22FBF-B4C6-4534-8942-9BDB759725E8}"/>
    <cellStyle name="Normal 5 11" xfId="3365" xr:uid="{87BDADBE-74B5-4BC7-96FF-72B7ECEF1800}"/>
    <cellStyle name="Normal 5 11 2" xfId="3366" xr:uid="{E5E5F000-B848-4873-B1F7-5B5D9144CD0B}"/>
    <cellStyle name="Normal 5 110" xfId="3367" xr:uid="{65C2A21F-B11F-4A44-BB09-E7E29603A79A}"/>
    <cellStyle name="Normal 5 111" xfId="3368" xr:uid="{E238F164-7F96-49DA-AC4C-C8F29252013D}"/>
    <cellStyle name="Normal 5 112" xfId="3369" xr:uid="{B707E752-A5AD-4729-AA0D-F90A9E3782E7}"/>
    <cellStyle name="Normal 5 113" xfId="3370" xr:uid="{7314504D-6EB1-4018-A9EE-E89E55BDF08F}"/>
    <cellStyle name="Normal 5 12" xfId="3371" xr:uid="{8FDEA55E-3FE1-4425-9CA4-77C3AED71207}"/>
    <cellStyle name="Normal 5 12 2" xfId="3372" xr:uid="{750D9FED-02EA-4EB0-894B-B8CD36647AC8}"/>
    <cellStyle name="Normal 5 13" xfId="3373" xr:uid="{A461220C-0094-43CB-AE3A-59B6AB70EC41}"/>
    <cellStyle name="Normal 5 13 2" xfId="3374" xr:uid="{B22D38E6-4FF8-41D1-A301-6EA1414CA493}"/>
    <cellStyle name="Normal 5 14" xfId="3375" xr:uid="{3820C032-B058-4117-9993-A678DF6656B4}"/>
    <cellStyle name="Normal 5 14 2" xfId="3376" xr:uid="{CD19BACF-49FE-432D-A901-837875EAA838}"/>
    <cellStyle name="Normal 5 15" xfId="3377" xr:uid="{F668AAF4-D1DD-4D96-BD0F-587402E9CFB2}"/>
    <cellStyle name="Normal 5 15 2" xfId="3378" xr:uid="{6FA609AE-CC28-476E-A9CE-AE825847DB8C}"/>
    <cellStyle name="Normal 5 16" xfId="3379" xr:uid="{0F0FE986-D922-4BAE-8BE6-22212D13E651}"/>
    <cellStyle name="Normal 5 16 2" xfId="3380" xr:uid="{D0CEADC9-918F-4773-8C4B-EE27CB9F328B}"/>
    <cellStyle name="Normal 5 17" xfId="3381" xr:uid="{D44AEA65-317F-4908-8E88-C2A4797DF742}"/>
    <cellStyle name="Normal 5 17 2" xfId="3382" xr:uid="{99D27DE8-6045-4755-ACC6-C70D55B788C7}"/>
    <cellStyle name="Normal 5 18" xfId="3383" xr:uid="{3390479A-CB84-42BB-9C5C-30672E171936}"/>
    <cellStyle name="Normal 5 18 2" xfId="3384" xr:uid="{EC3CE02E-0E7F-4006-98AD-F40CE04F61DE}"/>
    <cellStyle name="Normal 5 19" xfId="3385" xr:uid="{CB1186BF-2A18-4F7F-976A-D42F95850616}"/>
    <cellStyle name="Normal 5 19 2" xfId="3386" xr:uid="{E2553F86-89E8-46C4-90E7-E9F747DD77B0}"/>
    <cellStyle name="Normal 5 2" xfId="78" xr:uid="{C87CDE24-4238-4B28-BCA7-9B7FBF183412}"/>
    <cellStyle name="Normal 5 2 2" xfId="3387" xr:uid="{E0201798-6F5D-4735-B2E4-8B5782C8586D}"/>
    <cellStyle name="Normal 5 2 3" xfId="3388" xr:uid="{DAE76A50-CE94-4D6B-AAE7-78333C6BFBE8}"/>
    <cellStyle name="Normal 5 2 4" xfId="3389" xr:uid="{944E85CF-6D81-4AF0-959D-1C72894B0A29}"/>
    <cellStyle name="Normal 5 2 5" xfId="3390" xr:uid="{9FD5326D-112A-4C25-94D4-CFEFB0B94470}"/>
    <cellStyle name="Normal 5 20" xfId="3391" xr:uid="{0C3757AD-5226-4F21-9AA8-6E57319F791C}"/>
    <cellStyle name="Normal 5 20 2" xfId="3392" xr:uid="{FD747E48-E25E-4935-B0CF-0E21EEB1C38A}"/>
    <cellStyle name="Normal 5 21" xfId="3393" xr:uid="{FB4FB4B7-F0C6-4115-8C72-42476768BE2B}"/>
    <cellStyle name="Normal 5 21 2" xfId="3394" xr:uid="{F0D58D9E-2206-4C43-9CA7-7FECADB9108A}"/>
    <cellStyle name="Normal 5 22" xfId="3395" xr:uid="{1BD7A222-E42D-464D-A585-C8E2F150FB90}"/>
    <cellStyle name="Normal 5 22 2" xfId="3396" xr:uid="{6ED53875-9441-49EA-8F9B-EA6DC9B2A3E0}"/>
    <cellStyle name="Normal 5 22 2 2" xfId="3397" xr:uid="{D7DFC3A8-CF97-4962-9003-492F480B2190}"/>
    <cellStyle name="Normal 5 22 3" xfId="3398" xr:uid="{0643414B-9153-45F7-95F1-72C163C3D871}"/>
    <cellStyle name="Normal 5 22 4" xfId="3399" xr:uid="{9643C047-1AC9-49B5-BAED-D37AA810542A}"/>
    <cellStyle name="Normal 5 23" xfId="3400" xr:uid="{54AC2C45-4423-4433-91AE-986275FB0C7B}"/>
    <cellStyle name="Normal 5 23 2" xfId="3401" xr:uid="{F2876747-D82D-4CE7-8489-7679DFCB08F5}"/>
    <cellStyle name="Normal 5 24" xfId="3402" xr:uid="{DE419A19-56CD-4209-B712-52EF90375050}"/>
    <cellStyle name="Normal 5 24 2" xfId="3403" xr:uid="{7CD0A9F7-6CAC-4927-8E87-0A62F49EF591}"/>
    <cellStyle name="Normal 5 25" xfId="3404" xr:uid="{B194D0EE-3852-4620-91D2-C08693C3A461}"/>
    <cellStyle name="Normal 5 25 2" xfId="3405" xr:uid="{3411788A-41D5-4149-B9E6-B01E17CC36C4}"/>
    <cellStyle name="Normal 5 26" xfId="3406" xr:uid="{C59A6048-EC8E-4FBC-897D-2A7547FAB4E1}"/>
    <cellStyle name="Normal 5 26 2" xfId="3407" xr:uid="{35401084-A839-48EA-B176-BFDB020A06F3}"/>
    <cellStyle name="Normal 5 27" xfId="3408" xr:uid="{891326CD-F38B-4970-91AE-7717EA849ED6}"/>
    <cellStyle name="Normal 5 27 2" xfId="3409" xr:uid="{7841B549-33C3-447A-9C5C-2C984F5C52C1}"/>
    <cellStyle name="Normal 5 28" xfId="3410" xr:uid="{013232D3-FB83-4E4E-8C84-769DA26FB41B}"/>
    <cellStyle name="Normal 5 28 2" xfId="3411" xr:uid="{551211F0-0632-411A-AC47-0A2E57779F7E}"/>
    <cellStyle name="Normal 5 29" xfId="3412" xr:uid="{D2C705E9-5FCE-43EE-B73C-0377B798210A}"/>
    <cellStyle name="Normal 5 29 2" xfId="3413" xr:uid="{92224143-4B94-4B55-A5DA-26BCCA0E2A41}"/>
    <cellStyle name="Normal 5 3" xfId="3414" xr:uid="{051C4D8D-D01F-495E-B732-38DCE727707D}"/>
    <cellStyle name="Normal 5 3 2" xfId="3415" xr:uid="{682ABFAD-4499-4538-B029-3BBBD69180D7}"/>
    <cellStyle name="Normal 5 30" xfId="3416" xr:uid="{937EF2DD-C5BD-4FC0-A437-283B0A9B3841}"/>
    <cellStyle name="Normal 5 30 2" xfId="3417" xr:uid="{0D9438FA-BB15-4344-A0BA-05914494D3B4}"/>
    <cellStyle name="Normal 5 31" xfId="3418" xr:uid="{74D5EC8B-991E-4B7F-999D-2635AA1FC036}"/>
    <cellStyle name="Normal 5 31 2" xfId="3419" xr:uid="{0442B1F2-1A5C-40A9-8949-4A2431D44066}"/>
    <cellStyle name="Normal 5 32" xfId="3420" xr:uid="{B80FDFD2-9AC8-4D33-A8FE-8CF99F64C0E1}"/>
    <cellStyle name="Normal 5 32 2" xfId="3421" xr:uid="{D5E7F6F6-5698-49E2-B186-6878437E231F}"/>
    <cellStyle name="Normal 5 33" xfId="3422" xr:uid="{0F01E86B-ABEA-47B2-9B47-098198A86EDA}"/>
    <cellStyle name="Normal 5 33 2" xfId="3423" xr:uid="{ADF277ED-9E18-42F0-A7A6-666A74FE26DA}"/>
    <cellStyle name="Normal 5 34" xfId="3424" xr:uid="{7C3AFD80-DC8A-4D1B-AF48-CD6E94BB6D53}"/>
    <cellStyle name="Normal 5 34 2" xfId="3425" xr:uid="{46C99021-C1D2-41BC-9058-8E7910054FAD}"/>
    <cellStyle name="Normal 5 35" xfId="3426" xr:uid="{9B4B1CDE-28B0-4BCD-B02C-ACCC6A3BB08D}"/>
    <cellStyle name="Normal 5 35 2" xfId="3427" xr:uid="{D0FCDB68-F331-44E1-AEB9-C0CCDF447AA5}"/>
    <cellStyle name="Normal 5 36" xfId="3428" xr:uid="{ACD1C6F2-7B3D-4CBB-B1F9-0D7CA5FCC0F0}"/>
    <cellStyle name="Normal 5 36 2" xfId="3429" xr:uid="{AF037F9A-AD1C-496B-B48E-CB5552BFC362}"/>
    <cellStyle name="Normal 5 37" xfId="3430" xr:uid="{D8A4C470-CC99-49D2-8717-6FFB3E60E98C}"/>
    <cellStyle name="Normal 5 37 2" xfId="3431" xr:uid="{783EF924-39FB-4B8A-9A80-260AE926BC8C}"/>
    <cellStyle name="Normal 5 38" xfId="3432" xr:uid="{39E70BCD-FC10-4346-97B6-671539BA1D97}"/>
    <cellStyle name="Normal 5 39" xfId="3433" xr:uid="{8CD579D1-7768-4E4B-8B83-7520A2C4394C}"/>
    <cellStyle name="Normal 5 4" xfId="3434" xr:uid="{0A0FB1B6-E78C-4B14-9802-84B5E76A3023}"/>
    <cellStyle name="Normal 5 4 2" xfId="3435" xr:uid="{1540F84B-4F9B-4D6F-810F-4133AE31647A}"/>
    <cellStyle name="Normal 5 40" xfId="3436" xr:uid="{3F895BA1-26C8-4171-B451-5EFE2B4744D3}"/>
    <cellStyle name="Normal 5 41" xfId="3437" xr:uid="{6D19FCB3-F60B-4D0E-8825-BFEBBE626386}"/>
    <cellStyle name="Normal 5 42" xfId="3438" xr:uid="{24A35F10-B08B-4867-BFAD-B51BA05C7BEB}"/>
    <cellStyle name="Normal 5 43" xfId="3439" xr:uid="{C0EA26E1-4F68-44A9-8EC2-FCE59AD3515B}"/>
    <cellStyle name="Normal 5 44" xfId="3440" xr:uid="{A21D2F78-EE1C-4AE3-A2D9-B7B9445495A8}"/>
    <cellStyle name="Normal 5 45" xfId="3441" xr:uid="{FA6AFDD0-3716-4C37-907D-7FC104A53ED6}"/>
    <cellStyle name="Normal 5 46" xfId="3442" xr:uid="{D349B307-C85E-45A7-9DB6-87F95E00D6D7}"/>
    <cellStyle name="Normal 5 47" xfId="3443" xr:uid="{A85C2784-8A60-4EB4-9A85-9712FC109E55}"/>
    <cellStyle name="Normal 5 48" xfId="3444" xr:uid="{91F355D8-5BEA-41BF-AFD6-DAE4AB819B43}"/>
    <cellStyle name="Normal 5 49" xfId="3445" xr:uid="{3285BA7F-96A9-45FD-8D91-CCF7D226A749}"/>
    <cellStyle name="Normal 5 5" xfId="3446" xr:uid="{2ADE2511-5AA0-4B1E-880F-61628BA2A003}"/>
    <cellStyle name="Normal 5 5 2" xfId="3447" xr:uid="{6A1B81F0-BE4D-41F3-9EC8-630885708BFE}"/>
    <cellStyle name="Normal 5 50" xfId="3448" xr:uid="{DC5334FA-581F-47CB-B43C-F846CC343D86}"/>
    <cellStyle name="Normal 5 51" xfId="3449" xr:uid="{528CE5E3-FDBC-4396-BDB7-EB846C9E9EB7}"/>
    <cellStyle name="Normal 5 52" xfId="3450" xr:uid="{0EFC271D-66F3-444B-ABA7-19D284AFC0F6}"/>
    <cellStyle name="Normal 5 53" xfId="3451" xr:uid="{A1FAD562-8B24-414E-802F-8717106F9E10}"/>
    <cellStyle name="Normal 5 54" xfId="3452" xr:uid="{B8C97A4C-1494-4FFB-AEB7-E02BAA4F9A28}"/>
    <cellStyle name="Normal 5 55" xfId="3453" xr:uid="{9C0A57E9-D449-47E2-9BE3-B9CEF494B75E}"/>
    <cellStyle name="Normal 5 56" xfId="3454" xr:uid="{650DB3E8-7E30-4F6A-B2C7-7D937AE62B7B}"/>
    <cellStyle name="Normal 5 57" xfId="3455" xr:uid="{3CA1164E-1C2D-485D-9649-AC7EC75CA5F3}"/>
    <cellStyle name="Normal 5 58" xfId="3456" xr:uid="{C18F8C87-93D8-47A1-97FF-2B6E8C5E2912}"/>
    <cellStyle name="Normal 5 59" xfId="3457" xr:uid="{B7CE6E77-AD56-4729-A0BD-2C2D36F6B50A}"/>
    <cellStyle name="Normal 5 6" xfId="3458" xr:uid="{597DA534-1E9C-4E46-88B3-AF59E31BACA7}"/>
    <cellStyle name="Normal 5 6 2" xfId="3459" xr:uid="{A28F802B-1149-4D94-931C-08D121A5D851}"/>
    <cellStyle name="Normal 5 60" xfId="3460" xr:uid="{47B3ED29-7A6E-4D54-95E8-4BB268717EDF}"/>
    <cellStyle name="Normal 5 61" xfId="3461" xr:uid="{B5531F63-A7F3-413E-971A-56A2FF29DB91}"/>
    <cellStyle name="Normal 5 62" xfId="3462" xr:uid="{1FDC0326-6ECE-4EDA-B627-99B1677392CF}"/>
    <cellStyle name="Normal 5 63" xfId="3463" xr:uid="{D026B21C-D5E2-4E46-917A-CC354761DABE}"/>
    <cellStyle name="Normal 5 64" xfId="3464" xr:uid="{7C870B04-E5FC-4377-973E-4349DEC100D1}"/>
    <cellStyle name="Normal 5 65" xfId="3465" xr:uid="{43F23B4C-099A-4E35-A8A9-B501D626FF61}"/>
    <cellStyle name="Normal 5 66" xfId="3466" xr:uid="{25FBD3FE-BD75-40BC-B28B-E2A7B3D6E3D6}"/>
    <cellStyle name="Normal 5 67" xfId="3467" xr:uid="{1353051B-A940-4400-B441-06CE9DA119A2}"/>
    <cellStyle name="Normal 5 68" xfId="3468" xr:uid="{72D88B01-DE12-4725-9502-2697F4B816D9}"/>
    <cellStyle name="Normal 5 69" xfId="3469" xr:uid="{0C9811B3-D4B6-48F5-9ADE-DB13540424C4}"/>
    <cellStyle name="Normal 5 7" xfId="3470" xr:uid="{C1759591-7D3C-40FD-A7F0-9124C7CCE7BD}"/>
    <cellStyle name="Normal 5 7 2" xfId="3471" xr:uid="{12DB289A-9F10-4DDC-BD34-60B3765456BB}"/>
    <cellStyle name="Normal 5 70" xfId="3472" xr:uid="{F7FC0D61-E628-45E7-B93C-9407C5512734}"/>
    <cellStyle name="Normal 5 71" xfId="3473" xr:uid="{578ADDDC-C452-49E5-B577-684B3DE76C85}"/>
    <cellStyle name="Normal 5 72" xfId="3474" xr:uid="{E21AEDEB-E986-45A1-BB9D-022D3CF2E0AC}"/>
    <cellStyle name="Normal 5 73" xfId="3475" xr:uid="{F9EE5BE2-F3C3-4BDA-81A8-870E7D0D63D1}"/>
    <cellStyle name="Normal 5 74" xfId="3476" xr:uid="{B18E58FA-1A15-4CC4-9B74-E140063DC4F8}"/>
    <cellStyle name="Normal 5 75" xfId="3477" xr:uid="{A55C1D65-270E-4EB0-8AE1-A4BD5AD863E1}"/>
    <cellStyle name="Normal 5 76" xfId="3478" xr:uid="{2AB5E2A0-11B8-4D78-AC09-15EACD4C8D58}"/>
    <cellStyle name="Normal 5 77" xfId="3479" xr:uid="{E57559DD-58DD-4061-9550-F9D4C7773725}"/>
    <cellStyle name="Normal 5 78" xfId="3480" xr:uid="{5702E255-A5E8-46E1-B24D-B67AE2708660}"/>
    <cellStyle name="Normal 5 79" xfId="3481" xr:uid="{D6D00747-2100-4032-A478-890396203086}"/>
    <cellStyle name="Normal 5 8" xfId="3482" xr:uid="{8497BB97-633A-4058-83D9-01E1D0A84DAA}"/>
    <cellStyle name="Normal 5 8 2" xfId="3483" xr:uid="{83FD232C-B2FC-45F9-A1C9-061F3A56D574}"/>
    <cellStyle name="Normal 5 80" xfId="3484" xr:uid="{7CF696AF-3043-4023-9AFC-3C9065FD7CE9}"/>
    <cellStyle name="Normal 5 81" xfId="3485" xr:uid="{CA39D93E-D510-412E-8E49-3C91AA5A54E2}"/>
    <cellStyle name="Normal 5 82" xfId="3486" xr:uid="{B67A0621-4BFD-48D9-8CBF-45B794BB34EC}"/>
    <cellStyle name="Normal 5 83" xfId="3487" xr:uid="{89EE3D6C-C96B-44EB-B9F0-DDF06AC9702C}"/>
    <cellStyle name="Normal 5 84" xfId="3488" xr:uid="{764C305D-892F-4B63-B652-69E4C3BFF10C}"/>
    <cellStyle name="Normal 5 85" xfId="3489" xr:uid="{74009E8F-F0A9-46B9-874B-1E2E9ECBA556}"/>
    <cellStyle name="Normal 5 86" xfId="3490" xr:uid="{8BAC6795-8E73-42CD-884C-C15369C989B8}"/>
    <cellStyle name="Normal 5 87" xfId="3491" xr:uid="{640F05BD-6CDE-4485-B8DD-A4CC19779436}"/>
    <cellStyle name="Normal 5 88" xfId="3492" xr:uid="{717FE5DF-4644-4B73-A7D5-F951BA999E18}"/>
    <cellStyle name="Normal 5 89" xfId="3493" xr:uid="{64F2D727-34C2-466F-BD95-22AE767CB8FD}"/>
    <cellStyle name="Normal 5 9" xfId="3494" xr:uid="{BF7080C2-6892-479F-825A-D55EA2956320}"/>
    <cellStyle name="Normal 5 9 2" xfId="3495" xr:uid="{D620AB9D-EF1E-4312-8D8B-719038E481FE}"/>
    <cellStyle name="Normal 5 90" xfId="3496" xr:uid="{BFE6044B-5B89-4D62-A47C-69911E16842A}"/>
    <cellStyle name="Normal 5 91" xfId="3497" xr:uid="{204400E8-1B4D-4A81-840B-AE927B40B852}"/>
    <cellStyle name="Normal 5 92" xfId="3498" xr:uid="{08B0C787-FE10-4462-BD51-92068FAC82ED}"/>
    <cellStyle name="Normal 5 93" xfId="3499" xr:uid="{8642F545-5217-4A0A-BE94-63EE01710A45}"/>
    <cellStyle name="Normal 5 94" xfId="3500" xr:uid="{6CCF5BF1-F1C5-4DB9-BE97-50490F2C7E28}"/>
    <cellStyle name="Normal 5 95" xfId="3501" xr:uid="{54A0696C-2EB2-4B57-BC9A-A51896EE818C}"/>
    <cellStyle name="Normal 5 96" xfId="3502" xr:uid="{6396DD0D-CCAC-4804-B17B-0C6C8659CD0C}"/>
    <cellStyle name="Normal 5 97" xfId="3503" xr:uid="{DDB0168D-BD71-4049-ABB8-FE4E4D769449}"/>
    <cellStyle name="Normal 5 98" xfId="3504" xr:uid="{F5C8A747-0EE6-45EB-9AC4-01A7A32C7D9E}"/>
    <cellStyle name="Normal 5 99" xfId="3505" xr:uid="{7717446E-1F63-4632-A523-C65A841EDAA4}"/>
    <cellStyle name="Normal 50" xfId="3506" xr:uid="{D6A75D7B-7F43-42C3-B600-B68396DD870A}"/>
    <cellStyle name="Normal 50 2" xfId="3507" xr:uid="{ADA322C4-3EC7-48C6-A43F-A9D3E7767BC6}"/>
    <cellStyle name="Normal 50 3" xfId="3508" xr:uid="{CF6CA642-72D3-48BD-80BC-A7515F3E39B5}"/>
    <cellStyle name="Normal 50 4" xfId="3509" xr:uid="{EEFA9C18-8011-4D1F-94A1-5D5A922E0900}"/>
    <cellStyle name="Normal 50 5" xfId="3510" xr:uid="{5D526BAC-5D56-4EC8-A147-95DBCFA985D0}"/>
    <cellStyle name="Normal 50 6" xfId="3511" xr:uid="{CB33485B-2F97-4A59-BE0F-1AA60EB9F05A}"/>
    <cellStyle name="Normal 50 7" xfId="3512" xr:uid="{4B847B11-D40A-4900-AAB9-C87510457F45}"/>
    <cellStyle name="Normal 50 8" xfId="3513" xr:uid="{DCBEC734-A9F5-4FB8-B124-1DCA28C6A10F}"/>
    <cellStyle name="Normal 51" xfId="3514" xr:uid="{51227863-E7CA-4671-8A04-AC205F12EB2C}"/>
    <cellStyle name="Normal 51 2" xfId="3515" xr:uid="{171D16A0-0DFB-47BD-8F46-CE9BAFC62E35}"/>
    <cellStyle name="Normal 51 2 2" xfId="3516" xr:uid="{CF84795E-5501-4468-8B37-0D058CF9A79E}"/>
    <cellStyle name="Normal 51 2 2 2" xfId="3517" xr:uid="{1FC9FC4B-B29B-4C9C-9041-1F614F341FB8}"/>
    <cellStyle name="Normal 51 2 2 2 2" xfId="3518" xr:uid="{F86A6BBF-B1B8-40D5-AF68-E06FB5BE3A35}"/>
    <cellStyle name="Normal 51 2 2 3" xfId="3519" xr:uid="{845AC994-D62D-40EC-BBB7-C8D5DEB86DBA}"/>
    <cellStyle name="Normal 51 2 3" xfId="3520" xr:uid="{7445A728-F7FE-4F25-AD77-1E9EA212D326}"/>
    <cellStyle name="Normal 51 2 3 2" xfId="3521" xr:uid="{F5C98681-4F33-4CFB-83A7-40B609973378}"/>
    <cellStyle name="Normal 51 2 4" xfId="3522" xr:uid="{14D29641-2E03-453D-816F-2164AAB1AE6B}"/>
    <cellStyle name="Normal 51 3" xfId="3523" xr:uid="{08841798-02E7-426F-B530-C19C8DDCEC67}"/>
    <cellStyle name="Normal 51 3 2" xfId="3524" xr:uid="{856E9883-9B72-4086-ACEC-757E9D6B49B7}"/>
    <cellStyle name="Normal 51 3 2 2" xfId="3525" xr:uid="{381281C7-39D2-4406-AC04-80FA5A275695}"/>
    <cellStyle name="Normal 51 3 3" xfId="3526" xr:uid="{C5FF8A83-EF85-4397-8C21-E56D3880A6A4}"/>
    <cellStyle name="Normal 51 4" xfId="3527" xr:uid="{6045DDCF-7F52-4042-8EA5-51E1653EDAAA}"/>
    <cellStyle name="Normal 51 4 2" xfId="3528" xr:uid="{4C25684C-BDCA-44E1-BF36-137394C03889}"/>
    <cellStyle name="Normal 51 5" xfId="3529" xr:uid="{24D2D102-C558-456A-A686-4EE714F40C3A}"/>
    <cellStyle name="Normal 51 6" xfId="3530" xr:uid="{94B8ECDF-7CB7-4DCC-99C7-CCC3C9126903}"/>
    <cellStyle name="Normal 51 7" xfId="3531" xr:uid="{38CABAE0-6721-4FC1-BFEB-FDA1A3AB9544}"/>
    <cellStyle name="Normal 51 8" xfId="3532" xr:uid="{A8E8B09F-7334-4207-B90C-06E2139CF96B}"/>
    <cellStyle name="Normal 52" xfId="3533" xr:uid="{01C50BF1-583C-4171-BFBF-F21469578111}"/>
    <cellStyle name="Normal 52 2" xfId="3534" xr:uid="{755CED05-C53B-4401-8DF5-2F22B3D2FB14}"/>
    <cellStyle name="Normal 52 2 2" xfId="3535" xr:uid="{12C013CA-63DD-47FC-A9C5-C31F1A028E34}"/>
    <cellStyle name="Normal 52 3" xfId="3536" xr:uid="{CCA9331D-9AC8-45FC-969C-7EB035CAD1E4}"/>
    <cellStyle name="Normal 52 4" xfId="3537" xr:uid="{84634E78-7F07-436C-AD74-3BBCA12A1486}"/>
    <cellStyle name="Normal 52 5" xfId="3538" xr:uid="{E57E3839-2B6C-4105-B5B9-715F342C3F63}"/>
    <cellStyle name="Normal 52 6" xfId="3539" xr:uid="{F4C1B681-068C-4125-B724-F9E26B95F6D2}"/>
    <cellStyle name="Normal 52 7" xfId="3540" xr:uid="{E9DF8EB3-0639-4A7E-B837-1ABC6FA08447}"/>
    <cellStyle name="Normal 52 8" xfId="3541" xr:uid="{9D07F276-BB3D-4103-84D5-893CAD8868F6}"/>
    <cellStyle name="Normal 53" xfId="3542" xr:uid="{4F6DED13-9530-486A-AB78-C85DE9BCE12E}"/>
    <cellStyle name="Normal 53 2" xfId="3543" xr:uid="{4ED76253-AE38-43C3-B788-3D26594C6FC7}"/>
    <cellStyle name="Normal 53 2 2" xfId="3544" xr:uid="{C5E04926-268E-452A-BB3B-C8F2F59F50CF}"/>
    <cellStyle name="Normal 53 2 2 2" xfId="3545" xr:uid="{AD5929CD-ED31-47A8-B66C-31F21A740D9E}"/>
    <cellStyle name="Normal 53 2 3" xfId="3546" xr:uid="{32931488-7FEC-450C-B038-CE62F25F546B}"/>
    <cellStyle name="Normal 53 3" xfId="3547" xr:uid="{3AE22979-152C-4FB4-A640-0E9BF006B547}"/>
    <cellStyle name="Normal 53 3 2" xfId="3548" xr:uid="{76F28A05-A548-4C71-832A-6F4A1DE4FD00}"/>
    <cellStyle name="Normal 53 4" xfId="3549" xr:uid="{181D5775-F280-445C-9ADA-65ECC5F2CBCE}"/>
    <cellStyle name="Normal 53 5" xfId="3550" xr:uid="{0AE43DE9-B7F0-4C16-A367-EBD8B8DEA36E}"/>
    <cellStyle name="Normal 53 6" xfId="3551" xr:uid="{B0977B3B-D236-482B-8706-638C70F138C5}"/>
    <cellStyle name="Normal 53 7" xfId="3552" xr:uid="{C4BF9AD1-FDB6-497B-8BC1-D71F46CB72E9}"/>
    <cellStyle name="Normal 53 8" xfId="3553" xr:uid="{C13B2F31-B279-4A1A-AD8C-7BBC7ADC0A08}"/>
    <cellStyle name="Normal 54" xfId="3554" xr:uid="{1400636A-6D64-4E88-AED5-E7D262DEC0B5}"/>
    <cellStyle name="Normal 54 2" xfId="3555" xr:uid="{C699A5CB-8C63-4BF2-BF4D-CD9EC452D32C}"/>
    <cellStyle name="Normal 54 3" xfId="3556" xr:uid="{EBC192EA-7EFE-49D9-B218-8DA58C0D0FDA}"/>
    <cellStyle name="Normal 54 4" xfId="3557" xr:uid="{02F684BC-69FA-492C-B7C2-5CDF902C17C4}"/>
    <cellStyle name="Normal 54 5" xfId="3558" xr:uid="{FB0CD47B-81D1-4A01-9B79-97EB75ECAA01}"/>
    <cellStyle name="Normal 54 6" xfId="3559" xr:uid="{C70EA736-CD4B-4B27-89C6-D922BE6C9147}"/>
    <cellStyle name="Normal 54 7" xfId="3560" xr:uid="{F0F0E882-BC6E-4F61-A37A-25A4812D7470}"/>
    <cellStyle name="Normal 54 8" xfId="3561" xr:uid="{1F868C57-4678-4F97-B76C-6F1C3F866C36}"/>
    <cellStyle name="Normal 55" xfId="3562" xr:uid="{0D03FC9C-CF73-4553-81F1-A37336DF4B8C}"/>
    <cellStyle name="Normal 55 2" xfId="3563" xr:uid="{454F127C-A999-43AC-8EC8-6F0FEFE8C2F1}"/>
    <cellStyle name="Normal 55 3" xfId="3564" xr:uid="{370C3D83-C540-4BF4-B1E5-7818817558E1}"/>
    <cellStyle name="Normal 55 4" xfId="3565" xr:uid="{815BC6DC-8085-4964-9C11-F40557B402AF}"/>
    <cellStyle name="Normal 55 5" xfId="3566" xr:uid="{40B0411B-EF2F-4F2C-9AE6-C2158FEA71B4}"/>
    <cellStyle name="Normal 55 6" xfId="3567" xr:uid="{688178AD-3803-4780-BC76-DAA0EEA87609}"/>
    <cellStyle name="Normal 55 7" xfId="3568" xr:uid="{918602BC-755D-4D03-A8C7-4B6275085ED8}"/>
    <cellStyle name="Normal 55 8" xfId="3569" xr:uid="{59EB1EA2-00B5-4000-9DC5-B585EDA8B287}"/>
    <cellStyle name="Normal 56" xfId="3570" xr:uid="{331B9678-2C3A-4F77-9651-8909B6CB6039}"/>
    <cellStyle name="Normal 56 2" xfId="3571" xr:uid="{F7356B92-5E9F-4F86-8184-CCB29CC26021}"/>
    <cellStyle name="Normal 56 3" xfId="3572" xr:uid="{EDF196EF-14BD-425E-9D63-1670D28B97CA}"/>
    <cellStyle name="Normal 56 4" xfId="3573" xr:uid="{DC684A93-832D-43DA-A474-3BE06CCE26A7}"/>
    <cellStyle name="Normal 56 5" xfId="3574" xr:uid="{3C546523-13C1-4F95-B75B-CB637AAE682F}"/>
    <cellStyle name="Normal 56 6" xfId="3575" xr:uid="{BA0773C5-F367-46E1-82CA-6A7A8D71EE4D}"/>
    <cellStyle name="Normal 56 7" xfId="3576" xr:uid="{46A74F7C-D98C-4C16-9093-49F008CC16E1}"/>
    <cellStyle name="Normal 56 8" xfId="3577" xr:uid="{B8906EF8-C555-4EEC-AAEC-E445BF5238F9}"/>
    <cellStyle name="Normal 57" xfId="3578" xr:uid="{01005351-1408-433E-AB5B-D9AB3DDD46E0}"/>
    <cellStyle name="Normal 57 2" xfId="3579" xr:uid="{E07428D3-D162-4FBB-B998-456952083A58}"/>
    <cellStyle name="Normal 57 3" xfId="3580" xr:uid="{109AE42C-FACE-4975-8023-3896407F9E1F}"/>
    <cellStyle name="Normal 57 4" xfId="3581" xr:uid="{13F2B032-CABF-45DE-9704-0FDD1A08E3FD}"/>
    <cellStyle name="Normal 57 5" xfId="3582" xr:uid="{15E98EEE-2695-4BEB-AFBC-E8673CF1FA6D}"/>
    <cellStyle name="Normal 57 6" xfId="3583" xr:uid="{2AE640AB-11F4-4464-A8DE-5662FEAF6012}"/>
    <cellStyle name="Normal 57 7" xfId="3584" xr:uid="{E51ADAA1-AB01-408A-B2D0-744EB37E0DD9}"/>
    <cellStyle name="Normal 57 8" xfId="3585" xr:uid="{7D108540-15EA-4AC8-B21C-DB6AA8EB5341}"/>
    <cellStyle name="Normal 58" xfId="3586" xr:uid="{654C8B51-9EC4-4451-94B6-A2D9EF3D6728}"/>
    <cellStyle name="Normal 58 2" xfId="3587" xr:uid="{A3C4491C-E9A2-40C1-8963-1499437808C4}"/>
    <cellStyle name="Normal 58 3" xfId="3588" xr:uid="{9A1F52C2-B36A-4A50-8769-00D4E3C4937E}"/>
    <cellStyle name="Normal 58 4" xfId="3589" xr:uid="{858F9C20-E86E-4F8D-918F-6BAAFA057CDC}"/>
    <cellStyle name="Normal 58 5" xfId="3590" xr:uid="{5EECB4CA-93F4-4FB0-B7CD-D4E933EF1DED}"/>
    <cellStyle name="Normal 58 6" xfId="3591" xr:uid="{AAD5495E-DFF5-41BF-8A7E-AB8B5E23E8CC}"/>
    <cellStyle name="Normal 58 7" xfId="3592" xr:uid="{A84FDB3B-A539-4B54-8797-C6A1A8FE9815}"/>
    <cellStyle name="Normal 58 8" xfId="3593" xr:uid="{8560DD61-6EBB-42C3-BD52-879E6A7C77A6}"/>
    <cellStyle name="Normal 59" xfId="3594" xr:uid="{D351D271-E87F-49EC-BDF3-7654A96C4DB9}"/>
    <cellStyle name="Normal 59 2" xfId="3595" xr:uid="{AEFF1B93-9D1F-4D51-90B8-02C3E6F3EB57}"/>
    <cellStyle name="Normal 59 3" xfId="3596" xr:uid="{4993A5D4-2730-46BF-81A2-9161F517F3B7}"/>
    <cellStyle name="Normal 59 4" xfId="3597" xr:uid="{F1BE124B-C931-4AEA-AD6C-D35F7526EF06}"/>
    <cellStyle name="Normal 59 5" xfId="3598" xr:uid="{7E2D5F72-3500-4331-9B7E-32806AC04372}"/>
    <cellStyle name="Normal 59 6" xfId="3599" xr:uid="{24815E84-429B-4840-BEAB-0110D7F31CE2}"/>
    <cellStyle name="Normal 59 7" xfId="3600" xr:uid="{0B8581FF-22F5-4872-97A7-47ECBE02B180}"/>
    <cellStyle name="Normal 59 8" xfId="3601" xr:uid="{0E9434A7-35E8-4C84-9345-7A6FC53D9D25}"/>
    <cellStyle name="Normal 6" xfId="99" xr:uid="{C46FD660-0500-4B6D-932C-A0E4990E949B}"/>
    <cellStyle name="Normal-- 6" xfId="3974" xr:uid="{E7C8EC2E-B271-4D91-A21F-F2BB01EEA68B}"/>
    <cellStyle name="Normal 6 10" xfId="3602" xr:uid="{225502CC-273A-4CC7-8CFF-CACC357528E3}"/>
    <cellStyle name="Normal 6 10 2" xfId="3603" xr:uid="{346B9F17-FFF3-4179-9562-2DA020E596DE}"/>
    <cellStyle name="Normal 6 100" xfId="3604" xr:uid="{2137D95C-2992-4DA1-8692-BE5ADA4C7F39}"/>
    <cellStyle name="Normal 6 101" xfId="3605" xr:uid="{91F6B493-E73C-4E67-B370-476FF7845633}"/>
    <cellStyle name="Normal 6 102" xfId="3606" xr:uid="{B0D596B6-ECA9-417B-88E5-5C9E5B7D1A26}"/>
    <cellStyle name="Normal 6 103" xfId="3607" xr:uid="{61A20587-AF9A-4C48-98AD-8DB5303C6AA0}"/>
    <cellStyle name="Normal 6 104" xfId="3608" xr:uid="{E803C1E4-4C3B-4BD8-82E1-CB8ABF262DDA}"/>
    <cellStyle name="Normal 6 105" xfId="3609" xr:uid="{9FB0CCF9-7A68-4D33-9167-9EE3E9A0E56A}"/>
    <cellStyle name="Normal 6 106" xfId="3610" xr:uid="{12E4CB98-878D-4981-91D8-C6D1DD05B73E}"/>
    <cellStyle name="Normal 6 107" xfId="3611" xr:uid="{F4420A77-A0AA-4F55-AF08-4025E0CE57FA}"/>
    <cellStyle name="Normal 6 108" xfId="3612" xr:uid="{254E34A3-7774-4540-9696-41FE5F6E1AD3}"/>
    <cellStyle name="Normal 6 109" xfId="3613" xr:uid="{5C0F15AB-F613-40B3-9224-78540395D0A3}"/>
    <cellStyle name="Normal 6 11" xfId="3614" xr:uid="{FE9983B2-F88B-444F-8650-ED35E9CC6BF5}"/>
    <cellStyle name="Normal 6 11 2" xfId="3615" xr:uid="{10BE6109-8408-4A25-990E-1DA21E689D47}"/>
    <cellStyle name="Normal 6 110" xfId="3616" xr:uid="{AA2D99B3-FECF-411C-BC82-8116A8CC0F19}"/>
    <cellStyle name="Normal 6 111" xfId="3617" xr:uid="{3763B560-6974-4880-8ADC-39D31088B33B}"/>
    <cellStyle name="Normal 6 112" xfId="3618" xr:uid="{FFEA8E85-7960-4BDA-9D9B-ADC2A3B17F2C}"/>
    <cellStyle name="Normal 6 113" xfId="3619" xr:uid="{C3CC7DDE-EE49-4847-A7A6-EB7B41CBE742}"/>
    <cellStyle name="Normal 6 114" xfId="3620" xr:uid="{43EFEA31-F4E7-4B3D-A051-9C0D7342FC52}"/>
    <cellStyle name="Normal 6 115" xfId="3621" xr:uid="{2863DA13-A0E7-4A84-A3B7-0A2F16EF5222}"/>
    <cellStyle name="Normal 6 116" xfId="3622" xr:uid="{9E47AB29-1499-44D5-AAD0-A7ACBDBF5D93}"/>
    <cellStyle name="Normal 6 117" xfId="3623" xr:uid="{015E09DC-B6AF-4F67-B778-9BF140360C1B}"/>
    <cellStyle name="Normal 6 12" xfId="3624" xr:uid="{95939572-22E9-419C-9D0C-69A9E40069B3}"/>
    <cellStyle name="Normal 6 12 2" xfId="3625" xr:uid="{36FA5771-C0B3-485A-85F2-B8979A12DC00}"/>
    <cellStyle name="Normal 6 13" xfId="3626" xr:uid="{AC21C17A-079F-4226-A402-0DAB012D7C89}"/>
    <cellStyle name="Normal 6 13 2" xfId="3627" xr:uid="{12F82379-52F3-4F30-9509-BF8281F0E047}"/>
    <cellStyle name="Normal 6 14" xfId="3628" xr:uid="{0B456399-834D-4970-A5FB-547CAF9F7081}"/>
    <cellStyle name="Normal 6 14 2" xfId="3629" xr:uid="{E6C8A306-A0F5-4B20-8632-384678FA3FFB}"/>
    <cellStyle name="Normal 6 15" xfId="3630" xr:uid="{E7925EC8-9ECF-4788-8D27-9A55299A0CE2}"/>
    <cellStyle name="Normal 6 15 2" xfId="3631" xr:uid="{F94AE9E9-EBB1-46B9-B111-25C69C615D9E}"/>
    <cellStyle name="Normal 6 16" xfId="3632" xr:uid="{A42A5CE5-10EF-4082-AD01-CEB9C573B32F}"/>
    <cellStyle name="Normal 6 16 2" xfId="3633" xr:uid="{B81EBA7C-69AA-4DF1-90A1-91439BE59C21}"/>
    <cellStyle name="Normal 6 17" xfId="3634" xr:uid="{D070DA9B-7DDF-43C7-AF2D-9664EC9A8EC4}"/>
    <cellStyle name="Normal 6 17 2" xfId="3635" xr:uid="{3E5821DC-C06A-4B6F-A00E-6F8AC3807998}"/>
    <cellStyle name="Normal 6 18" xfId="3636" xr:uid="{B6FFBE4B-895D-4942-806B-BE1D9B660C8C}"/>
    <cellStyle name="Normal 6 18 2" xfId="3637" xr:uid="{CEB8B9A9-FA16-427D-9870-810116792DED}"/>
    <cellStyle name="Normal 6 19" xfId="3638" xr:uid="{61309FD1-BC66-4D33-BA8C-4707DF9522B4}"/>
    <cellStyle name="Normal 6 19 2" xfId="3639" xr:uid="{4DF8AAB4-F3F8-4766-B7FE-A51ABBBB7777}"/>
    <cellStyle name="Normal 6 2" xfId="3640" xr:uid="{E01A1D2C-5DB1-4F2F-AA97-9D3F1405F14B}"/>
    <cellStyle name="Normal 6 2 2" xfId="3641" xr:uid="{F3E6F7DC-F065-410A-9209-EDD379FB8417}"/>
    <cellStyle name="Normal 6 2 3" xfId="3642" xr:uid="{3A9D648B-A518-4ADD-A9C9-6C52816AD7CF}"/>
    <cellStyle name="Normal 6 2 4" xfId="3643" xr:uid="{D572766A-76FF-4DA6-9949-91E5E1FB92C3}"/>
    <cellStyle name="Normal 6 2 5" xfId="3644" xr:uid="{85B63EB1-0C5F-4B1E-BD37-BDBDC6265344}"/>
    <cellStyle name="Normal 6 20" xfId="3645" xr:uid="{8474ACE0-BCA5-487A-9655-326259D90B72}"/>
    <cellStyle name="Normal 6 20 2" xfId="3646" xr:uid="{085652C3-68D4-489A-943E-9D78F338E384}"/>
    <cellStyle name="Normal 6 21" xfId="3647" xr:uid="{BE48F5C3-755B-4348-B14C-29977A098A7A}"/>
    <cellStyle name="Normal 6 21 2" xfId="3648" xr:uid="{0528557A-B5F3-4FF7-BB71-2A92A307D4A9}"/>
    <cellStyle name="Normal 6 21 2 2" xfId="3649" xr:uid="{4BBC9BFB-5007-4ADF-BB63-6E36AE47EB6A}"/>
    <cellStyle name="Normal 6 21 3" xfId="3650" xr:uid="{D16D1882-3251-4B10-A04A-7B8B4905E7AC}"/>
    <cellStyle name="Normal 6 21 4" xfId="3651" xr:uid="{198CA43A-B96E-4EBC-A408-A84EDD4C92C6}"/>
    <cellStyle name="Normal 6 22" xfId="3652" xr:uid="{13572460-A9FD-4E33-85B5-D7A8CCCB773E}"/>
    <cellStyle name="Normal 6 22 2" xfId="3653" xr:uid="{4DBED4ED-F046-4BF6-A2BB-9E46219407F6}"/>
    <cellStyle name="Normal 6 22 2 2" xfId="3654" xr:uid="{92C48A85-D0BA-4C90-959E-DEB4E33065C9}"/>
    <cellStyle name="Normal 6 22 3" xfId="3655" xr:uid="{E91D1DD0-1AFA-4A0D-A354-FDF72760E0DB}"/>
    <cellStyle name="Normal 6 22 4" xfId="3656" xr:uid="{E46C8503-AA70-4B00-836E-680433BA63CC}"/>
    <cellStyle name="Normal 6 23" xfId="3657" xr:uid="{C9FCC34E-6C40-4F2D-82A1-B04054C1A5B9}"/>
    <cellStyle name="Normal 6 23 2" xfId="3658" xr:uid="{BC48C02D-481F-4474-B6CC-15A9CF2FC915}"/>
    <cellStyle name="Normal 6 24" xfId="3659" xr:uid="{A84C7F29-EEFD-449E-9A22-03B6E95F96D6}"/>
    <cellStyle name="Normal 6 24 2" xfId="3660" xr:uid="{6FBD85CD-1522-4C3D-9A1E-3544710DE4A3}"/>
    <cellStyle name="Normal 6 25" xfId="3661" xr:uid="{ED74A06E-C9C0-4FA3-AB74-A37A01A5691B}"/>
    <cellStyle name="Normal 6 25 2" xfId="3662" xr:uid="{9A49AE25-2E39-406A-9492-6DA035CA14A1}"/>
    <cellStyle name="Normal 6 26" xfId="3663" xr:uid="{C22C252F-61F1-49EC-832A-01B347CA8675}"/>
    <cellStyle name="Normal 6 26 2" xfId="3664" xr:uid="{1893824A-C4E3-4F6B-8D47-F18FB35C0FD0}"/>
    <cellStyle name="Normal 6 27" xfId="3665" xr:uid="{EA59FB95-8E0B-4FA2-93BC-38BC93D7B90A}"/>
    <cellStyle name="Normal 6 27 2" xfId="3666" xr:uid="{2B116A6E-402E-41B9-8D9B-0F4AB1B6A155}"/>
    <cellStyle name="Normal 6 28" xfId="3667" xr:uid="{52FB4680-8A7F-447E-8A21-D7C6C430067F}"/>
    <cellStyle name="Normal 6 28 2" xfId="3668" xr:uid="{69E957E0-2D96-4C60-BADD-63CAAB34F766}"/>
    <cellStyle name="Normal 6 29" xfId="3669" xr:uid="{78E3AEB0-2771-4331-ABD3-231615E208A5}"/>
    <cellStyle name="Normal 6 29 2" xfId="3670" xr:uid="{62AEFA9A-F9FD-439D-B82A-6A7867D24E33}"/>
    <cellStyle name="Normal 6 3" xfId="3671" xr:uid="{BCE3486F-2AAB-47EF-A176-ED3F6FB24527}"/>
    <cellStyle name="Normal 6 3 2" xfId="3672" xr:uid="{FDE4C21C-42C3-4721-9162-404A00CC7BB7}"/>
    <cellStyle name="Normal 6 3 3" xfId="3673" xr:uid="{B1E45284-10D2-4869-A1EC-8CB1191970C4}"/>
    <cellStyle name="Normal 6 3 4" xfId="3674" xr:uid="{A03CC331-B2E0-4FF4-A37C-D3A2012C24AA}"/>
    <cellStyle name="Normal 6 30" xfId="3675" xr:uid="{562A079E-2F89-4BC6-9AA7-461EB38D025C}"/>
    <cellStyle name="Normal 6 31" xfId="3676" xr:uid="{BD5A37F2-1768-4749-B475-4E8135B7EF6D}"/>
    <cellStyle name="Normal 6 32" xfId="3677" xr:uid="{BAB88571-4E2A-4EC5-A44E-97D4F8B0F6D3}"/>
    <cellStyle name="Normal 6 33" xfId="3678" xr:uid="{CFCAE59B-72FF-439B-8BB9-F6BD250A8810}"/>
    <cellStyle name="Normal 6 34" xfId="3679" xr:uid="{8837FD1E-A027-4F48-9B93-25E970A09C71}"/>
    <cellStyle name="Normal 6 35" xfId="3680" xr:uid="{20E05DE6-13C3-4F40-B768-DE010FD8CF95}"/>
    <cellStyle name="Normal 6 36" xfId="3681" xr:uid="{E764224E-8DED-43C8-9754-8176D691F305}"/>
    <cellStyle name="Normal 6 37" xfId="3682" xr:uid="{40449F95-7495-49DE-A1BF-633E5A13333B}"/>
    <cellStyle name="Normal 6 38" xfId="3683" xr:uid="{E8251524-9931-4E4C-9075-250CF8A658A2}"/>
    <cellStyle name="Normal 6 39" xfId="3684" xr:uid="{CFC3D7EE-01CE-4D6C-A0EE-A126B3F1C393}"/>
    <cellStyle name="Normal 6 4" xfId="3685" xr:uid="{DE07713C-7699-4FDB-A108-896607D2699D}"/>
    <cellStyle name="Normal 6 4 2" xfId="3686" xr:uid="{8AEF737D-E0B9-429E-BCE9-6645232F1FDF}"/>
    <cellStyle name="Normal 6 40" xfId="3687" xr:uid="{E083F067-E126-45DA-A442-0174318B2D0B}"/>
    <cellStyle name="Normal 6 41" xfId="3688" xr:uid="{2162817D-39DA-44ED-8397-CBE2A19C884E}"/>
    <cellStyle name="Normal 6 42" xfId="3689" xr:uid="{50C6BB49-8C0B-48A1-9406-04B1F09A7240}"/>
    <cellStyle name="Normal 6 43" xfId="3690" xr:uid="{1471E402-D495-40A5-8AE6-D183EC9DA392}"/>
    <cellStyle name="Normal 6 44" xfId="3691" xr:uid="{5A92472F-AE59-43AF-BF38-BF3D385C5312}"/>
    <cellStyle name="Normal 6 45" xfId="3692" xr:uid="{58696670-CCF3-45BB-AFEC-9B35117B9704}"/>
    <cellStyle name="Normal 6 46" xfId="3693" xr:uid="{300710BB-641C-4B51-ADCC-3C362246BC59}"/>
    <cellStyle name="Normal 6 47" xfId="3694" xr:uid="{F5038D26-7809-4F6D-A823-FFF89B0622F5}"/>
    <cellStyle name="Normal 6 48" xfId="3695" xr:uid="{420B8C02-F119-4F22-ADE0-D9D641D07C4E}"/>
    <cellStyle name="Normal 6 49" xfId="3696" xr:uid="{2134590D-5143-4553-A2E8-BE8214F90F50}"/>
    <cellStyle name="Normal 6 5" xfId="3697" xr:uid="{42E353A0-7BDF-4172-B23B-D72DD9EF7E08}"/>
    <cellStyle name="Normal 6 5 2" xfId="3698" xr:uid="{13B4EE4D-9B06-4A10-BA38-07D59D68FB75}"/>
    <cellStyle name="Normal 6 50" xfId="3699" xr:uid="{52E9194A-7B27-43AC-AC5F-7CB8747F2595}"/>
    <cellStyle name="Normal 6 51" xfId="3700" xr:uid="{E6A516E1-B274-471E-AE12-22062E7B6AA7}"/>
    <cellStyle name="Normal 6 52" xfId="3701" xr:uid="{5AF1A787-C8DD-424B-88E3-ADF7282C9F46}"/>
    <cellStyle name="Normal 6 53" xfId="3702" xr:uid="{6CA6B85D-CBAD-4EBA-9CE8-FEDAC7E0B48B}"/>
    <cellStyle name="Normal 6 54" xfId="3703" xr:uid="{004772AC-E551-4FBB-903A-1971E0EDAEF6}"/>
    <cellStyle name="Normal 6 55" xfId="3704" xr:uid="{883761D2-415F-441E-BBE6-9D4AB34A7298}"/>
    <cellStyle name="Normal 6 56" xfId="3705" xr:uid="{22C8992A-BB1E-49DE-8B5C-3B99D490069E}"/>
    <cellStyle name="Normal 6 57" xfId="3706" xr:uid="{CFB80702-E853-4719-9B63-33D7736AD360}"/>
    <cellStyle name="Normal 6 58" xfId="3707" xr:uid="{61CEBB58-376E-469D-B85E-E074BADCADC5}"/>
    <cellStyle name="Normal 6 59" xfId="3708" xr:uid="{37FD0E62-B9F6-40A3-BECB-851816CEB041}"/>
    <cellStyle name="Normal 6 6" xfId="3709" xr:uid="{6F74A7C8-D537-4697-B45E-DDBDAFCA5501}"/>
    <cellStyle name="Normal 6 6 2" xfId="3710" xr:uid="{5FFBFD70-E02B-4E82-BACB-B5288F5E1701}"/>
    <cellStyle name="Normal 6 60" xfId="3711" xr:uid="{07A3C551-B5AD-402F-BD1C-49FA7FB45E56}"/>
    <cellStyle name="Normal 6 61" xfId="3712" xr:uid="{FA20F0C1-3B21-4FBF-A092-93FC7F4059B1}"/>
    <cellStyle name="Normal 6 62" xfId="3713" xr:uid="{17DDFCDF-0DDB-475C-92A9-00B65CCFC3CC}"/>
    <cellStyle name="Normal 6 63" xfId="3714" xr:uid="{26B0B7B6-6E03-4524-B8EF-F474CB723AB8}"/>
    <cellStyle name="Normal 6 64" xfId="3715" xr:uid="{1D9C2946-58E0-471B-AB16-10174D45750E}"/>
    <cellStyle name="Normal 6 65" xfId="3716" xr:uid="{4B0713BC-B7BD-430E-BEEA-0C3DA124E4A4}"/>
    <cellStyle name="Normal 6 66" xfId="3717" xr:uid="{5BEDBC81-E5B7-49DA-AD20-9F5B03271FD6}"/>
    <cellStyle name="Normal 6 67" xfId="3718" xr:uid="{8EDE662A-4ED4-4C97-AD4E-D687FB7D7359}"/>
    <cellStyle name="Normal 6 68" xfId="3719" xr:uid="{D57C38D2-7476-4DBA-8C69-531B058FDEDB}"/>
    <cellStyle name="Normal 6 69" xfId="3720" xr:uid="{46451BE0-692B-476F-956A-429C9E08A0A2}"/>
    <cellStyle name="Normal 6 7" xfId="3721" xr:uid="{4456B800-EF73-4283-8395-320AC621039E}"/>
    <cellStyle name="Normal 6 7 2" xfId="3722" xr:uid="{CD62AB26-F23A-4FE2-840D-134529A1FD8D}"/>
    <cellStyle name="Normal 6 70" xfId="3723" xr:uid="{7EB1C1E8-F22D-4C8E-93CF-1AE0364427CA}"/>
    <cellStyle name="Normal 6 71" xfId="3724" xr:uid="{76B9EC22-AC9D-4B29-AB40-00F2A095BB9D}"/>
    <cellStyle name="Normal 6 72" xfId="3725" xr:uid="{5017195B-2BB8-4E72-AEEC-D42363FD2DDA}"/>
    <cellStyle name="Normal 6 73" xfId="3726" xr:uid="{F1EE73AA-0AA5-4702-AB14-8B19D30E0C5F}"/>
    <cellStyle name="Normal 6 74" xfId="3727" xr:uid="{81A7F828-2E80-4CCB-8307-D2E72BA90288}"/>
    <cellStyle name="Normal 6 75" xfId="3728" xr:uid="{76406C07-177D-45A5-9E84-02111D68E475}"/>
    <cellStyle name="Normal 6 76" xfId="3729" xr:uid="{8233455D-2096-43C0-9A48-64ED1B133A52}"/>
    <cellStyle name="Normal 6 77" xfId="3730" xr:uid="{ADF08B92-A33B-4D9C-8BF2-A39D9CE1CA94}"/>
    <cellStyle name="Normal 6 78" xfId="3731" xr:uid="{1DF8E59C-1AB2-42B2-8A1E-44FC77E10BD2}"/>
    <cellStyle name="Normal 6 79" xfId="3732" xr:uid="{A7542267-44CE-47B4-A55C-680665064D37}"/>
    <cellStyle name="Normal 6 8" xfId="3733" xr:uid="{DA2B78FD-46D7-4254-895F-0FC78BDBE693}"/>
    <cellStyle name="Normal 6 8 2" xfId="3734" xr:uid="{868878B1-FA7C-4F1C-9F82-13D8AC85ABCC}"/>
    <cellStyle name="Normal 6 80" xfId="3735" xr:uid="{FA05A03F-7949-4413-A837-D94942BF3DF6}"/>
    <cellStyle name="Normal 6 81" xfId="3736" xr:uid="{AFDDC5B8-D461-4B92-87F5-C121D81371E0}"/>
    <cellStyle name="Normal 6 82" xfId="3737" xr:uid="{1E21DEAF-EF2A-41B6-8958-777ED991B29A}"/>
    <cellStyle name="Normal 6 83" xfId="3738" xr:uid="{55C62DF3-A6CA-4E51-98A9-4893F6ABC80C}"/>
    <cellStyle name="Normal 6 84" xfId="3739" xr:uid="{4B0BE9A0-56BB-483C-90BB-2387C9DBD10B}"/>
    <cellStyle name="Normal 6 85" xfId="3740" xr:uid="{6E05F250-6219-44E8-9AE1-CC3E26B436AE}"/>
    <cellStyle name="Normal 6 86" xfId="3741" xr:uid="{5E33F845-DC59-4585-A274-0C8BAE7F0EC5}"/>
    <cellStyle name="Normal 6 87" xfId="3742" xr:uid="{C1A244DE-809C-452A-A8DF-0DCC1317C4FD}"/>
    <cellStyle name="Normal 6 88" xfId="3743" xr:uid="{CE0A9778-FE61-4B70-985B-27D98C32DFCB}"/>
    <cellStyle name="Normal 6 89" xfId="3744" xr:uid="{1CC89CB1-AD6B-44C4-8B92-ECB30CEB3BCF}"/>
    <cellStyle name="Normal 6 9" xfId="3745" xr:uid="{1A3F7DDF-5F09-4D06-940A-B0C662B16734}"/>
    <cellStyle name="Normal 6 9 2" xfId="3746" xr:uid="{4E916F34-1A3C-46F5-883F-1EBD0F4C5468}"/>
    <cellStyle name="Normal 6 90" xfId="3747" xr:uid="{F88D6EC9-4580-4FF9-992C-378DE02AAA4C}"/>
    <cellStyle name="Normal 6 91" xfId="3748" xr:uid="{2E76339C-95A0-4343-8B40-A856B8C14F09}"/>
    <cellStyle name="Normal 6 92" xfId="3749" xr:uid="{7CA348D1-F064-4CA0-A4F2-4424F1C19B5E}"/>
    <cellStyle name="Normal 6 93" xfId="3750" xr:uid="{9299B31A-E731-4987-8659-05E7FF4400CE}"/>
    <cellStyle name="Normal 6 94" xfId="3751" xr:uid="{4513A569-B35C-4640-A4B9-23C998D27F6A}"/>
    <cellStyle name="Normal 6 95" xfId="3752" xr:uid="{11122FA0-E3BD-44FE-8B1F-2844CB91650A}"/>
    <cellStyle name="Normal 6 96" xfId="3753" xr:uid="{59B7556D-2425-4B7A-938E-F85675B9D8EF}"/>
    <cellStyle name="Normal 6 97" xfId="3754" xr:uid="{24520CD0-15A3-497D-8403-1C230FC34AA3}"/>
    <cellStyle name="Normal 6 98" xfId="3755" xr:uid="{D430A303-1EFD-46C7-A6AB-C4D67FEFD974}"/>
    <cellStyle name="Normal 6 99" xfId="3756" xr:uid="{9AD9B345-02D0-4896-AAD6-484E4802F399}"/>
    <cellStyle name="Normal 60" xfId="4648" xr:uid="{8B6A52BC-A391-4F3E-8E73-206C6698A0EB}"/>
    <cellStyle name="Normal 60 2" xfId="3757" xr:uid="{14815FBC-E8CB-4D4D-A8AE-375C11E08B70}"/>
    <cellStyle name="Normal 60 3" xfId="3758" xr:uid="{B0FD6069-77B8-4DE8-AC01-74189D02354F}"/>
    <cellStyle name="Normal 60 4" xfId="3759" xr:uid="{DBCEE2D0-06F1-47FB-B2B0-252698A2A609}"/>
    <cellStyle name="Normal 60 5" xfId="3760" xr:uid="{530E17B2-AA69-41E1-AA5B-08C6903EBC33}"/>
    <cellStyle name="Normal 60 6" xfId="3761" xr:uid="{2539D5A9-E06F-41EC-BDDE-802DDF8C774C}"/>
    <cellStyle name="Normal 60 7" xfId="3762" xr:uid="{D621C6F3-4919-44A5-944B-C3ED21F77C45}"/>
    <cellStyle name="Normal 60 8" xfId="3763" xr:uid="{78BDB7C2-38FB-4E4E-9B66-919B3EC30598}"/>
    <cellStyle name="Normal 61" xfId="4649" xr:uid="{E6CCAE8A-B25C-42EF-BB13-F1E59AE507B7}"/>
    <cellStyle name="Normal 61 2" xfId="3764" xr:uid="{5EBA9326-2260-4287-B4A1-A6C655EFFFEA}"/>
    <cellStyle name="Normal 61 3" xfId="3765" xr:uid="{91C4C309-7865-4789-9F25-94D392A82F3E}"/>
    <cellStyle name="Normal 61 4" xfId="3766" xr:uid="{725CD4F4-2762-45F1-B1B9-6ED7F5BC3233}"/>
    <cellStyle name="Normal 61 5" xfId="3767" xr:uid="{2C5ADD55-572A-4C67-AFB7-189A6C523BCB}"/>
    <cellStyle name="Normal 61 6" xfId="3768" xr:uid="{4A0739BD-BCE1-47A9-BCE4-46362CE89A9D}"/>
    <cellStyle name="Normal 61 7" xfId="3769" xr:uid="{B1B258AF-03B4-456E-ABAA-7C3D9458BE49}"/>
    <cellStyle name="Normal 61 8" xfId="3770" xr:uid="{854953A0-6486-4307-B981-56E21B634649}"/>
    <cellStyle name="Normal 62" xfId="4650" xr:uid="{3120F2C3-D1E1-48F5-815C-EB0B2C142D6E}"/>
    <cellStyle name="Normal 62 2" xfId="3771" xr:uid="{9773EB0D-EF88-4228-9DA8-E475ECC6A3FE}"/>
    <cellStyle name="Normal 62 3" xfId="3772" xr:uid="{9F0F0AEA-7738-4B80-9B6D-188F1E329B79}"/>
    <cellStyle name="Normal 62 4" xfId="3773" xr:uid="{330C68A5-4C84-41BD-89F3-AC2F45BFBE8B}"/>
    <cellStyle name="Normal 62 5" xfId="3774" xr:uid="{06964F24-6D9C-44D5-BECD-5809732974D6}"/>
    <cellStyle name="Normal 62 6" xfId="3775" xr:uid="{913BC137-5540-474A-8F3F-0B2D62F1E35E}"/>
    <cellStyle name="Normal 62 7" xfId="3776" xr:uid="{D2C3EAD8-C275-4B3F-88E7-333CD9C084FA}"/>
    <cellStyle name="Normal 62 8" xfId="3777" xr:uid="{3009C049-F57C-4F5A-8142-434BE276181D}"/>
    <cellStyle name="Normal 63" xfId="4651" xr:uid="{6B4AB520-5E72-47A5-820D-698BD097ECD1}"/>
    <cellStyle name="Normal 63 2" xfId="3778" xr:uid="{896CECDA-2514-4A17-8211-EE024D0FA84A}"/>
    <cellStyle name="Normal 63 3" xfId="3779" xr:uid="{AB995BD6-828B-453C-8C6A-9D050314FADC}"/>
    <cellStyle name="Normal 63 4" xfId="3780" xr:uid="{AF865557-E2AE-4AE2-B48E-930D2E3358A8}"/>
    <cellStyle name="Normal 63 5" xfId="3781" xr:uid="{AA7A29DC-D5BB-4D93-AB90-20AA0AF47C56}"/>
    <cellStyle name="Normal 63 6" xfId="3782" xr:uid="{7F412D62-3D1D-4FE9-98ED-5DB6561513DC}"/>
    <cellStyle name="Normal 63 7" xfId="3783" xr:uid="{EB961EBF-D67E-40BE-9A21-C515C2DA4C7B}"/>
    <cellStyle name="Normal 63 8" xfId="3784" xr:uid="{746AFD8D-5FE7-44E6-980D-4F0F56223A92}"/>
    <cellStyle name="Normal 64 2" xfId="3785" xr:uid="{E4759C11-0408-411B-A200-40B6AE698360}"/>
    <cellStyle name="Normal 64 3" xfId="3786" xr:uid="{0D979E44-64A3-45F3-91DF-AACBE0098119}"/>
    <cellStyle name="Normal 64 4" xfId="3787" xr:uid="{CA0F1F0D-8269-4787-A68F-E798E7B0B760}"/>
    <cellStyle name="Normal 64 5" xfId="3788" xr:uid="{0E36DEC0-068F-4DDF-AF3C-63A547CB5E8A}"/>
    <cellStyle name="Normal 64 6" xfId="3789" xr:uid="{A4CC95E7-5B6F-4481-9D70-2099803225E0}"/>
    <cellStyle name="Normal 64 7" xfId="3790" xr:uid="{9B23AB9F-A954-4049-94E2-E79E21EF74D4}"/>
    <cellStyle name="Normal 64 8" xfId="3791" xr:uid="{8FF66747-8409-4358-AD8A-7362CF226428}"/>
    <cellStyle name="Normal 65" xfId="3792" xr:uid="{A238571E-7C4A-4F89-91DF-ABE816263668}"/>
    <cellStyle name="Normal 65 2" xfId="3793" xr:uid="{6326CB84-801A-4723-B132-2BF338635C8F}"/>
    <cellStyle name="Normal 65 3" xfId="3794" xr:uid="{B2DDD589-21CB-4379-B3E7-2C1EC583A461}"/>
    <cellStyle name="Normal 65 4" xfId="3795" xr:uid="{C664D5DE-E357-4600-A52A-512765B189B5}"/>
    <cellStyle name="Normal 65 5" xfId="3796" xr:uid="{89959772-9909-40BC-B081-D257A3307105}"/>
    <cellStyle name="Normal 65 6" xfId="3797" xr:uid="{979C9829-5C5B-4930-A038-BBCFF3C4ECDF}"/>
    <cellStyle name="Normal 65 7" xfId="3798" xr:uid="{C4D5B5D4-F0E3-499A-9BDF-47F71F5042D0}"/>
    <cellStyle name="Normal 65 8" xfId="3799" xr:uid="{1ED3BAD6-BC6F-4CE0-98C6-DDAAAA93DCA4}"/>
    <cellStyle name="Normal 67 2" xfId="3800" xr:uid="{D353E319-49CC-4A4F-9D8D-E49BC9E1F4E1}"/>
    <cellStyle name="Normal 67 3" xfId="3801" xr:uid="{91DAC3A1-966B-49FF-B1AC-F8F6D7C78370}"/>
    <cellStyle name="Normal 67 4" xfId="3802" xr:uid="{DBA7714A-8C4E-4911-82FC-969313003734}"/>
    <cellStyle name="Normal 67 5" xfId="3803" xr:uid="{98B747CF-4E63-4AE2-93E3-00AE660A028D}"/>
    <cellStyle name="Normal 67 6" xfId="3804" xr:uid="{59C22B9B-BBD8-474C-A99F-26916DB33528}"/>
    <cellStyle name="Normal 67 7" xfId="3805" xr:uid="{E3A2F4CA-73FC-4C0B-ACA2-BB4E45BE1FA8}"/>
    <cellStyle name="Normal 67 8" xfId="3806" xr:uid="{D9BE0CED-F8F2-443F-89C8-7778BEF351B0}"/>
    <cellStyle name="Normal 69 2" xfId="3807" xr:uid="{51701CE2-691C-476F-B9CF-06FCB510744D}"/>
    <cellStyle name="Normal 69 3" xfId="3808" xr:uid="{8437F95B-26FE-47F0-80E1-E6194EA2A4EB}"/>
    <cellStyle name="Normal 69 4" xfId="3809" xr:uid="{CEBF6682-6EB1-4605-B338-E3BC410D2CAE}"/>
    <cellStyle name="Normal 69 5" xfId="3810" xr:uid="{CA865EFC-FEDF-4098-A122-291259F5D1F0}"/>
    <cellStyle name="Normal 69 6" xfId="3811" xr:uid="{A9A44287-3D5D-4912-92F3-6E9985EBEF38}"/>
    <cellStyle name="Normal 69 7" xfId="3812" xr:uid="{FD48ACEB-A7B6-498E-BA15-73BC4618A69A}"/>
    <cellStyle name="Normal 69 8" xfId="3813" xr:uid="{78707697-FCB0-45C6-B79F-051D38B1186B}"/>
    <cellStyle name="Normal 7" xfId="3814" xr:uid="{49DAC54E-41CC-4A77-ABE4-F4F573B5D105}"/>
    <cellStyle name="Normal-- 7" xfId="3975" xr:uid="{7D8ED03D-7E8F-4D34-93BA-5AAAD8134A19}"/>
    <cellStyle name="Normal 7 10" xfId="3815" xr:uid="{ABCD7608-28A5-4610-9D28-AF9F61E737C8}"/>
    <cellStyle name="Normal 7 11" xfId="3816" xr:uid="{49F0B643-272E-44BE-A9F0-E5F73EDB6802}"/>
    <cellStyle name="Normal 7 12" xfId="3817" xr:uid="{60EFE8EE-F157-4A51-893E-AAA841505BCB}"/>
    <cellStyle name="Normal 7 13" xfId="3818" xr:uid="{65A5C5D3-12A8-41CF-85D5-242700A84DDA}"/>
    <cellStyle name="Normal 7 14" xfId="3819" xr:uid="{B4105E54-BEF0-4405-A31D-6E58D13D4EDA}"/>
    <cellStyle name="Normal 7 15" xfId="3820" xr:uid="{9EC426D3-8C8C-46F2-BD10-36721699E2C1}"/>
    <cellStyle name="Normal 7 16" xfId="3821" xr:uid="{22BC64C6-3467-4A1D-9DEB-AB3AC0886ABF}"/>
    <cellStyle name="Normal 7 17" xfId="3822" xr:uid="{F2A640C3-E0DD-479A-8F18-195591C61772}"/>
    <cellStyle name="Normal 7 18" xfId="3823" xr:uid="{D8570F56-4A31-46FB-8D76-1C305A560E68}"/>
    <cellStyle name="Normal 7 19" xfId="3824" xr:uid="{75F948FD-4289-48E0-9023-71B6E398C558}"/>
    <cellStyle name="Normal 7 2" xfId="3825" xr:uid="{FFD4190E-1953-445A-81D9-E776CCC556A4}"/>
    <cellStyle name="Normal 7 2 2" xfId="3826" xr:uid="{B294E438-0CCF-42A6-B970-D8BC97AE1189}"/>
    <cellStyle name="Normal 7 2 3" xfId="3827" xr:uid="{75740860-0684-4F2C-AFE6-B7F3BE633CE3}"/>
    <cellStyle name="Normal 7 2 4" xfId="3828" xr:uid="{78D24098-132D-40CA-8A4E-C2175BDFDE28}"/>
    <cellStyle name="Normal 7 20" xfId="3829" xr:uid="{7D824DFA-503F-4A85-BA86-06C3BD80DD0A}"/>
    <cellStyle name="Normal 7 21" xfId="3830" xr:uid="{F39DC2D3-F4B2-40A2-8A2E-1CB29628B3EE}"/>
    <cellStyle name="Normal 7 22" xfId="3831" xr:uid="{7A1F0CC4-550E-4115-8A65-3A1C27DB62FA}"/>
    <cellStyle name="Normal 7 23" xfId="3832" xr:uid="{3F29288B-25CD-49DB-9529-0726C8D2427A}"/>
    <cellStyle name="Normal 7 24" xfId="3833" xr:uid="{7F7D258F-DF39-4B89-9A09-81A091A0DF65}"/>
    <cellStyle name="Normal 7 25" xfId="3834" xr:uid="{4C0A923B-C5D0-45B2-B931-03B40853B43C}"/>
    <cellStyle name="Normal 7 26" xfId="3835" xr:uid="{E93B7F36-5805-49BC-B2A9-12D386BC3044}"/>
    <cellStyle name="Normal 7 27" xfId="3836" xr:uid="{4F414E3C-B13E-4BA3-9FE8-9F2E1B003DF9}"/>
    <cellStyle name="Normal 7 28" xfId="3837" xr:uid="{6C0C7E1D-22E1-43F9-A3F8-7275CF420E6D}"/>
    <cellStyle name="Normal 7 29" xfId="3838" xr:uid="{3039C197-0D15-4691-8A46-3EE68ED04DA4}"/>
    <cellStyle name="Normal 7 3" xfId="3839" xr:uid="{31044950-61E9-42F1-8F1E-EE48830AC55F}"/>
    <cellStyle name="Normal 7 30" xfId="3840" xr:uid="{99C701AD-824F-412A-B732-D44CF4204EAF}"/>
    <cellStyle name="Normal 7 31" xfId="3841" xr:uid="{17D3D1C2-CE8C-466D-B693-F803D57F7676}"/>
    <cellStyle name="Normal 7 32" xfId="3842" xr:uid="{591DF8E5-4037-4124-A6C8-956B424C2C1E}"/>
    <cellStyle name="Normal 7 33" xfId="3843" xr:uid="{6FA8E526-A05E-4CC5-960F-7A0FAD35BBA9}"/>
    <cellStyle name="Normal 7 34" xfId="3844" xr:uid="{0C013927-C818-4190-B3A6-3215967A3EA9}"/>
    <cellStyle name="Normal 7 35" xfId="3845" xr:uid="{47FAC447-CF42-4D44-922C-EF2F2E8DABE7}"/>
    <cellStyle name="Normal 7 36" xfId="3846" xr:uid="{2A421128-EB0F-4F4D-BF59-F8AF47D06E1E}"/>
    <cellStyle name="Normal 7 37" xfId="3847" xr:uid="{1E4589F2-121B-4623-A9B0-DB0895C41957}"/>
    <cellStyle name="Normal 7 38" xfId="3848" xr:uid="{E601CE16-23D7-49A2-9076-09389F26251A}"/>
    <cellStyle name="Normal 7 4" xfId="3849" xr:uid="{7F50A142-6084-4DBE-BD6F-0C6A89EE7F74}"/>
    <cellStyle name="Normal 7 5" xfId="3850" xr:uid="{E43FEF1B-F448-401F-9731-330BE28137ED}"/>
    <cellStyle name="Normal 7 6" xfId="3851" xr:uid="{32634A10-7E7D-4138-83C6-351E0594BBC8}"/>
    <cellStyle name="Normal 7 7" xfId="3852" xr:uid="{35F4F2C1-F76F-4BCA-BC89-8BF10DB469B7}"/>
    <cellStyle name="Normal 7 8" xfId="3853" xr:uid="{B8D1D933-E113-4DF8-B112-C4AF28634C5E}"/>
    <cellStyle name="Normal 7 9" xfId="3854" xr:uid="{E3E38F67-AA37-4BE3-B773-90F9E7018866}"/>
    <cellStyle name="Normal 70 2" xfId="3855" xr:uid="{D10BA978-857C-4280-998F-F4EFEF3DE233}"/>
    <cellStyle name="Normal 70 3" xfId="3856" xr:uid="{0D31B595-3FFC-42F6-A795-E143D89CCCC8}"/>
    <cellStyle name="Normal 70 4" xfId="3857" xr:uid="{A60F9F6F-B128-47B5-A2C0-407069415BA7}"/>
    <cellStyle name="Normal 70 5" xfId="3858" xr:uid="{3049C117-73C2-494F-900E-F5B30BD5D49A}"/>
    <cellStyle name="Normal 70 6" xfId="3859" xr:uid="{8A074538-C638-40E1-AACD-EC17BF5F166F}"/>
    <cellStyle name="Normal 70 7" xfId="3860" xr:uid="{54ADE493-DDF0-428B-83F4-3B99A2EAF2DA}"/>
    <cellStyle name="Normal 70 8" xfId="3861" xr:uid="{743BE9CB-B8A6-4928-8528-48293E5A370D}"/>
    <cellStyle name="Normal 71 2" xfId="3862" xr:uid="{2B3E823F-CBBE-4CFF-ACFE-BBC78E212705}"/>
    <cellStyle name="Normal 71 3" xfId="3863" xr:uid="{A0A07695-53C9-4A39-A2C7-E12C2DA42C46}"/>
    <cellStyle name="Normal 71 4" xfId="3864" xr:uid="{0182B775-FDAD-4B54-A514-633F4E0DFE90}"/>
    <cellStyle name="Normal 71 5" xfId="3865" xr:uid="{C33BF030-5490-46FA-BE85-88D80E6BBBFE}"/>
    <cellStyle name="Normal 71 6" xfId="3866" xr:uid="{F977A836-5A9C-4DCF-9C03-4218B7CFF071}"/>
    <cellStyle name="Normal 71 7" xfId="3867" xr:uid="{EC33078B-22CF-4FA5-AE56-EE148E642D96}"/>
    <cellStyle name="Normal 71 8" xfId="3868" xr:uid="{1579967F-F506-44DA-8C6A-BDD82E789734}"/>
    <cellStyle name="Normal 72 2" xfId="3869" xr:uid="{86AFFB2D-C1EB-4024-B249-8F0DC78A9A3D}"/>
    <cellStyle name="Normal 72 3" xfId="3870" xr:uid="{05F78AC2-D355-40E9-98B0-D58CB1126266}"/>
    <cellStyle name="Normal 72 4" xfId="3871" xr:uid="{ACDDA199-B063-4751-A9CA-7A4CB54DC09B}"/>
    <cellStyle name="Normal 72 5" xfId="3872" xr:uid="{17EF9161-9551-4FA2-A134-AA1B5052193D}"/>
    <cellStyle name="Normal 72 6" xfId="3873" xr:uid="{CB6B20FE-61C2-42DF-B1B4-0F4F6BF68D16}"/>
    <cellStyle name="Normal 72 7" xfId="3874" xr:uid="{8861711B-8BAC-45BF-975F-64CAAC4334A7}"/>
    <cellStyle name="Normal 72 8" xfId="3875" xr:uid="{EB3F684E-F266-4987-A1F4-C408FE646056}"/>
    <cellStyle name="Normal 73 2" xfId="3876" xr:uid="{14D17F5C-B60E-449D-A91A-8F9AF8A88D2B}"/>
    <cellStyle name="Normal 73 3" xfId="3877" xr:uid="{F5BDAA20-F4E3-4EB3-BCBC-14C91543640A}"/>
    <cellStyle name="Normal 73 4" xfId="3878" xr:uid="{D151F918-AA4C-4038-8AF1-7013D27F1BAB}"/>
    <cellStyle name="Normal 73 5" xfId="3879" xr:uid="{8B0D3054-EE24-428B-A520-F5E1B49140A9}"/>
    <cellStyle name="Normal 73 6" xfId="3880" xr:uid="{5FD45295-583D-4858-A000-0CEFAEDD121B}"/>
    <cellStyle name="Normal 73 7" xfId="3881" xr:uid="{A185EE51-BB8E-437C-B2AA-4527F401435B}"/>
    <cellStyle name="Normal 73 8" xfId="3882" xr:uid="{A5081FCB-38F2-4306-8919-E04E95B13DC8}"/>
    <cellStyle name="Normal 74 2" xfId="3883" xr:uid="{53211A31-33A9-4ACD-8D1A-E9FAAD9B57AE}"/>
    <cellStyle name="Normal 74 3" xfId="3884" xr:uid="{B6EFCDA9-64BE-46F1-84AA-1A351628B13C}"/>
    <cellStyle name="Normal 74 4" xfId="3885" xr:uid="{AF0A73D0-29F6-40A3-9A7D-60D9ED8EB47E}"/>
    <cellStyle name="Normal 74 5" xfId="3886" xr:uid="{12293D10-B34E-4A4E-86B7-5EEAD8153EEF}"/>
    <cellStyle name="Normal 74 6" xfId="3887" xr:uid="{02B038D3-E24E-4D9D-944E-8449357FE21E}"/>
    <cellStyle name="Normal 74 7" xfId="3888" xr:uid="{3B258BCE-3D36-4047-8F6C-85E65F0C922B}"/>
    <cellStyle name="Normal 74 8" xfId="3889" xr:uid="{4E3D1CC7-3BE7-4C6F-B73A-DDC9E48B02D6}"/>
    <cellStyle name="Normal 75 2" xfId="3890" xr:uid="{A3DE3125-5FE5-4EC8-8C98-429AB7356620}"/>
    <cellStyle name="Normal 75 3" xfId="3891" xr:uid="{8ECE2B01-6052-477A-984E-C850074BCCC7}"/>
    <cellStyle name="Normal 75 4" xfId="3892" xr:uid="{C8106581-35B7-4E1D-8622-0971F8DD993E}"/>
    <cellStyle name="Normal 75 5" xfId="3893" xr:uid="{B0A55F62-4410-455D-9B2F-88E4E4636699}"/>
    <cellStyle name="Normal 75 6" xfId="3894" xr:uid="{C6A672A5-E80B-4076-8A8B-D209166BB011}"/>
    <cellStyle name="Normal 75 7" xfId="3895" xr:uid="{6113AFA3-81EA-4E74-8479-680B6AA90649}"/>
    <cellStyle name="Normal 75 8" xfId="3896" xr:uid="{3ADA3C7C-A845-408B-A658-721F10129C07}"/>
    <cellStyle name="Normal 76" xfId="3897" xr:uid="{AB6B6C9C-E7C3-49A2-95B6-26D9EA76DD9B}"/>
    <cellStyle name="Normal 77" xfId="3898" xr:uid="{1D79C7B2-2B0A-4750-B19A-816617C5161E}"/>
    <cellStyle name="Normal 8" xfId="3899" xr:uid="{42B97243-3E9C-484D-8EF5-6B28BAB80291}"/>
    <cellStyle name="Normal-- 8" xfId="3976" xr:uid="{4E5D89A8-5878-447D-A740-40354BEFA146}"/>
    <cellStyle name="Normal 8 10" xfId="3900" xr:uid="{CF196B38-6A5C-40B4-9DDC-FBCFE72B40CA}"/>
    <cellStyle name="Normal 8 11" xfId="3901" xr:uid="{575E02A7-1B2B-4305-A626-B29E0125FDAB}"/>
    <cellStyle name="Normal 8 12" xfId="3902" xr:uid="{43B30561-99EA-4DDB-A323-784F648827B9}"/>
    <cellStyle name="Normal 8 13" xfId="3903" xr:uid="{D05D2A74-53FD-43E2-B489-B6159544EE4D}"/>
    <cellStyle name="Normal 8 14" xfId="3904" xr:uid="{F7B8FACD-20A2-4790-9063-96760EBA3CBA}"/>
    <cellStyle name="Normal 8 15" xfId="3905" xr:uid="{F4148E3F-2BC6-4229-9B61-0D5C6F4CFD6C}"/>
    <cellStyle name="Normal 8 16" xfId="3906" xr:uid="{4D50193A-B49E-42B7-AD93-8AB6EB772FE1}"/>
    <cellStyle name="Normal 8 17" xfId="3907" xr:uid="{353F9D16-A200-4A26-9CF7-102EA3693F5B}"/>
    <cellStyle name="Normal 8 18" xfId="3908" xr:uid="{D6421DEA-44DB-4784-A60F-50354D798234}"/>
    <cellStyle name="Normal 8 19" xfId="3909" xr:uid="{C412112E-16B1-4A6D-93E1-BEEDC79441A9}"/>
    <cellStyle name="Normal 8 2" xfId="3910" xr:uid="{6BB46500-9304-4D21-8BB1-80BE74EF7395}"/>
    <cellStyle name="Normal 8 2 2" xfId="3911" xr:uid="{644DA7F6-A492-495E-9238-FF0151F808CC}"/>
    <cellStyle name="Normal 8 2 3" xfId="3912" xr:uid="{5E3D23C0-2CC3-4D7B-8D08-9611D395E1C9}"/>
    <cellStyle name="Normal 8 20" xfId="3913" xr:uid="{2527DE92-2B3E-421C-9C51-267B56BF6C02}"/>
    <cellStyle name="Normal 8 21" xfId="3914" xr:uid="{1E62FEAE-6FF5-4E6C-B5ED-2CF880E39DE0}"/>
    <cellStyle name="Normal 8 21 2" xfId="3915" xr:uid="{1454AD58-DA95-4257-9518-2E22EDE4BF2F}"/>
    <cellStyle name="Normal 8 21 2 2" xfId="3916" xr:uid="{DCE3B052-2C5D-4D80-9293-BF0D00E1AA5A}"/>
    <cellStyle name="Normal 8 21 2 2 2" xfId="3917" xr:uid="{46697763-0935-4F01-BD1D-5B01FCB03705}"/>
    <cellStyle name="Normal 8 21 2 3" xfId="3918" xr:uid="{5424D08F-5FD8-4384-9BB2-55F00E4D408F}"/>
    <cellStyle name="Normal 8 21 3" xfId="3919" xr:uid="{8FB20F13-8DD3-47C6-B7AF-7FB7ABFE4D7E}"/>
    <cellStyle name="Normal 8 21 3 2" xfId="3920" xr:uid="{14E872A6-53B9-4B55-95C0-C0E97B105AAF}"/>
    <cellStyle name="Normal 8 21 4" xfId="3921" xr:uid="{35BCD413-79ED-4EDF-AF71-014BDFFB8EF2}"/>
    <cellStyle name="Normal 8 22" xfId="3922" xr:uid="{DB7F97F4-884D-4EFC-9CE5-F64D51B251D5}"/>
    <cellStyle name="Normal 8 22 2" xfId="3923" xr:uid="{00D7FD7C-68C1-4ADA-8E05-822F78781A3A}"/>
    <cellStyle name="Normal 8 22 2 2" xfId="3924" xr:uid="{3BFC68AE-466D-4FE4-8E83-F95719E590C9}"/>
    <cellStyle name="Normal 8 22 2 2 2" xfId="3925" xr:uid="{8A542B71-615F-4F3E-AEED-1DA68F92DBF6}"/>
    <cellStyle name="Normal 8 22 2 3" xfId="3926" xr:uid="{3D3C1346-B1A5-473B-A0D4-E75BABE64D13}"/>
    <cellStyle name="Normal 8 22 3" xfId="3927" xr:uid="{F234F894-A9E8-445A-97DE-5D9BCA7E079C}"/>
    <cellStyle name="Normal 8 22 3 2" xfId="3928" xr:uid="{97E45806-6D96-4820-B3FC-6A9AB2CF0809}"/>
    <cellStyle name="Normal 8 22 4" xfId="3929" xr:uid="{C58F3F43-8DC4-4EDD-BDA1-EC05BC922407}"/>
    <cellStyle name="Normal 8 23" xfId="3930" xr:uid="{E2C7B3BD-A61B-4DD1-9359-DD73C4A87AFF}"/>
    <cellStyle name="Normal 8 23 2" xfId="3931" xr:uid="{9268C726-35C2-439F-A0C5-32137DCE6D9B}"/>
    <cellStyle name="Normal 8 23 2 2" xfId="3932" xr:uid="{08B263D0-411D-4217-A1E4-47E751248AFA}"/>
    <cellStyle name="Normal 8 23 3" xfId="3933" xr:uid="{07124813-3082-4FEE-891D-095FCB9C430D}"/>
    <cellStyle name="Normal 8 24" xfId="3934" xr:uid="{0DBC1252-5EB9-4EF5-8CD3-9620A78C6221}"/>
    <cellStyle name="Normal 8 24 2" xfId="3935" xr:uid="{DA15EC21-23C7-4BAA-99A4-013306820BB5}"/>
    <cellStyle name="Normal 8 25" xfId="3936" xr:uid="{AA650C65-3212-4EB0-B6B4-E96820F5D8C0}"/>
    <cellStyle name="Normal 8 26" xfId="3937" xr:uid="{99149769-1B35-455D-B0D8-C8DE166AB6BE}"/>
    <cellStyle name="Normal 8 27" xfId="3938" xr:uid="{393E986D-8F1F-4ACB-A352-813CC1FB1937}"/>
    <cellStyle name="Normal 8 28" xfId="3939" xr:uid="{1BC74A98-7860-4214-8245-7B5B7DA4B986}"/>
    <cellStyle name="Normal 8 29" xfId="3940" xr:uid="{36D5C55B-1151-4DD9-831D-BEA151EE0A66}"/>
    <cellStyle name="Normal 8 3" xfId="3941" xr:uid="{3C554BD0-2305-4A90-9F4C-5A2CCA86EC00}"/>
    <cellStyle name="Normal 8 3 2" xfId="3942" xr:uid="{AB511A46-8B95-471D-9255-38CFF1A3D7D3}"/>
    <cellStyle name="Normal 8 30" xfId="3943" xr:uid="{A2056A61-D0CD-4ADF-822B-4A65272DF963}"/>
    <cellStyle name="Normal 8 31" xfId="3944" xr:uid="{6CAFC72C-A3D5-4395-98D6-042B3CAA9C4F}"/>
    <cellStyle name="Normal 8 32" xfId="3945" xr:uid="{F3FFFCAC-6C29-494D-8E42-ACCEA07CA54C}"/>
    <cellStyle name="Normal 8 33" xfId="3946" xr:uid="{945B7E2A-44B4-414A-9E04-8809717D5DF5}"/>
    <cellStyle name="Normal 8 34" xfId="3947" xr:uid="{D261000E-70D3-4FFF-AA57-58F137D60E24}"/>
    <cellStyle name="Normal 8 35" xfId="3948" xr:uid="{9398FA2D-8C90-4D14-925C-F7878F5D4E8F}"/>
    <cellStyle name="Normal 8 36" xfId="3949" xr:uid="{E559E98F-E105-47E3-AC28-57B052BBD929}"/>
    <cellStyle name="Normal 8 37" xfId="3950" xr:uid="{BFD8EF2E-FAF4-4360-AA3B-53301FD392E5}"/>
    <cellStyle name="Normal 8 38" xfId="3951" xr:uid="{CC9B5614-6E80-42D6-897E-92DA7118EAE0}"/>
    <cellStyle name="Normal 8 39" xfId="3952" xr:uid="{621AB744-9840-4051-AC54-206C4B108E10}"/>
    <cellStyle name="Normal 8 4" xfId="3953" xr:uid="{57F7256E-0025-466F-8FA5-BF462A601A4B}"/>
    <cellStyle name="Normal 8 40" xfId="3954" xr:uid="{DBF56436-7C82-4AEA-9E50-03F3473343BB}"/>
    <cellStyle name="Normal 8 41" xfId="3955" xr:uid="{92D7E1D2-EF76-4925-93A7-0E98A96FCD26}"/>
    <cellStyle name="Normal 8 42" xfId="3956" xr:uid="{C2FAF861-A1CA-48E6-B201-30EE93898F9F}"/>
    <cellStyle name="Normal 8 5" xfId="3957" xr:uid="{F845A586-7DCB-418B-A058-1E1D2AB2432B}"/>
    <cellStyle name="Normal 8 6" xfId="3958" xr:uid="{9DD1973F-52DD-43BC-8214-DA7AFF4AD0A7}"/>
    <cellStyle name="Normal 8 7" xfId="3959" xr:uid="{0D9397E7-5181-483A-956E-E91B0CC42FAD}"/>
    <cellStyle name="Normal 8 8" xfId="3960" xr:uid="{7A708AE0-8470-410A-AD7B-89BEF8AFD063}"/>
    <cellStyle name="Normal 8 9" xfId="3961" xr:uid="{6C6A2A19-093F-4624-B793-9FE55A1B4778}"/>
    <cellStyle name="Normal 9" xfId="3962" xr:uid="{6492FB79-5088-4F1E-B010-C68A699ABBB4}"/>
    <cellStyle name="Normal 9 2" xfId="3963" xr:uid="{814406D1-35D7-4E62-98EC-AAA600E4FD78}"/>
    <cellStyle name="Normal 9 2 2" xfId="3964" xr:uid="{51F704AE-3C4C-4D45-97FB-6607D397B343}"/>
    <cellStyle name="Normal 9 3" xfId="3965" xr:uid="{2B6BE0D8-BC82-43C2-B64B-2958DBB6C704}"/>
    <cellStyle name="Normal 9 4" xfId="3966" xr:uid="{0BF0DAEA-0A22-460B-88D3-CD8F67451CF4}"/>
    <cellStyle name="Normal 9 5" xfId="3967" xr:uid="{9AE72832-63ED-43B7-B48A-8B23757425D2}"/>
    <cellStyle name="Normal 9 6" xfId="3968" xr:uid="{A9334609-B394-4EDB-B4EB-D95B29D9E471}"/>
    <cellStyle name="Normal2" xfId="3977" xr:uid="{CDBDD32D-CAD3-42AB-B885-21D4A439903B}"/>
    <cellStyle name="Normale_97.98.us" xfId="3978" xr:uid="{5DF638ED-C1EE-4939-8A4B-A4934396EC98}"/>
    <cellStyle name="NormalGB" xfId="3979" xr:uid="{8C6C70F1-F0FC-48DE-975A-26DD301CCE12}"/>
    <cellStyle name="Normalx" xfId="3980" xr:uid="{43B92803-9F7C-4BCC-A9DB-FF1349A924FC}"/>
    <cellStyle name="Note" xfId="4621" builtinId="10" customBuiltin="1"/>
    <cellStyle name="Note 2" xfId="63" xr:uid="{A6C74A04-4E16-4F6E-9159-C48CD6AD6143}"/>
    <cellStyle name="Note 2 10" xfId="3981" xr:uid="{C06C2BB6-B35C-4DF7-9015-B55B24F21ABF}"/>
    <cellStyle name="Note 2 11" xfId="3982" xr:uid="{8BEBCD68-9C4B-4ABF-BC9B-B2A160474F48}"/>
    <cellStyle name="Note 2 12" xfId="4580" xr:uid="{5995CF60-06E9-4CC3-A660-31375DA5262E}"/>
    <cellStyle name="Note 2 12 2" xfId="5445" xr:uid="{81B95E66-08DC-462D-AA69-153CEEA5E3F8}"/>
    <cellStyle name="Note 2 13" xfId="5471" xr:uid="{EE4DB1D3-BC30-43EC-9DC6-3883E3B55049}"/>
    <cellStyle name="Note 2 2" xfId="74" xr:uid="{652D3411-FD82-48E0-AEDC-6316E238BC82}"/>
    <cellStyle name="Note 2 2 2" xfId="91" xr:uid="{F4A49E40-66C7-41A3-9B38-80CF8A185A74}"/>
    <cellStyle name="Note 2 2 2 2" xfId="3983" xr:uid="{3F7113D1-39CF-490A-8A53-7E3F223453FD}"/>
    <cellStyle name="Note 2 2 2 3" xfId="3984" xr:uid="{5F089D2C-F09A-4AF9-8FD0-950FB3E23218}"/>
    <cellStyle name="Note 2 2 2 4" xfId="4600" xr:uid="{151DAAFD-6585-4F0A-A4CE-E1A86DFD8ECE}"/>
    <cellStyle name="Note 2 2 2 4 2" xfId="5463" xr:uid="{11741C9E-718C-4C07-B99D-EE5BCC5373B0}"/>
    <cellStyle name="Note 2 2 2 5" xfId="5489" xr:uid="{29E0F82C-0B72-439F-B4D8-BC75D5C30CBE}"/>
    <cellStyle name="Note 2 2 3" xfId="3985" xr:uid="{A72C3491-E3AF-4370-BB48-324F2CAB02F6}"/>
    <cellStyle name="Note 2 2 4" xfId="3986" xr:uid="{B66CB24E-7CCE-4DDA-B0FD-D0C39399C32D}"/>
    <cellStyle name="Note 2 2 5" xfId="4586" xr:uid="{0496CD05-F965-47F8-A582-A303B3713EDD}"/>
    <cellStyle name="Note 2 2 5 2" xfId="5451" xr:uid="{EDC577DA-F540-4927-9C71-D60A404A0C93}"/>
    <cellStyle name="Note 2 2 6" xfId="5477" xr:uid="{BC62C7E6-6CEB-4CF3-95A2-594B171862A6}"/>
    <cellStyle name="Note 2 3" xfId="85" xr:uid="{F14CE6AA-14D0-4E5D-8A0A-88B4645D9A3D}"/>
    <cellStyle name="Note 2 3 2" xfId="3987" xr:uid="{423227CA-6DEA-491D-8D32-577195EE9AFB}"/>
    <cellStyle name="Note 2 3 3" xfId="4594" xr:uid="{6B1EACAB-7976-483D-820E-F33617FB72F2}"/>
    <cellStyle name="Note 2 3 3 2" xfId="5457" xr:uid="{A148E4B5-B482-403A-B20B-DBA9BF21B42E}"/>
    <cellStyle name="Note 2 3 4" xfId="5483" xr:uid="{AE93FF5F-DEFA-4C18-9EF2-CBE3CCAF6002}"/>
    <cellStyle name="Note 2 4" xfId="3988" xr:uid="{1A700BBA-761D-40EF-819A-8FE207B8D1DA}"/>
    <cellStyle name="Note 2 5" xfId="3989" xr:uid="{CDCDC872-085D-4569-9850-C105AE9E27D1}"/>
    <cellStyle name="Note 2 6" xfId="3990" xr:uid="{64411AA7-54D4-46B3-93EE-EA9C8C5DA79F}"/>
    <cellStyle name="Note 2 7" xfId="3991" xr:uid="{9F7BA4F2-3E11-4510-AD8A-38231127BB16}"/>
    <cellStyle name="Note 2 8" xfId="3992" xr:uid="{5AEC4A08-C69E-4ACC-A4E0-A00E5DFD5DE2}"/>
    <cellStyle name="Note 2 9" xfId="3993" xr:uid="{5D6A3D87-3E93-40FC-BE3A-BA092CEE966F}"/>
    <cellStyle name="Note 3" xfId="62" xr:uid="{63A6FC5A-DBE4-4094-B47B-65354D647E1E}"/>
    <cellStyle name="Note 3 2" xfId="73" xr:uid="{DC26CFD9-3F3D-4335-ADD3-31E83095A5F0}"/>
    <cellStyle name="Note 3 2 2" xfId="90" xr:uid="{B3BF96CE-BA67-4913-B70D-8AAD245AF793}"/>
    <cellStyle name="Note 3 2 2 2" xfId="4599" xr:uid="{11B4E043-EE5F-40D7-BFF4-381C4D3D1F17}"/>
    <cellStyle name="Note 3 2 2 2 2" xfId="5462" xr:uid="{EA938923-3822-4334-9B4B-650F59AE03B7}"/>
    <cellStyle name="Note 3 2 2 3" xfId="5488" xr:uid="{AD833E86-E5BC-4186-8716-96AE747555B8}"/>
    <cellStyle name="Note 3 2 3" xfId="4585" xr:uid="{C3D5E623-09C1-42A9-8B0B-64CF652BD5F2}"/>
    <cellStyle name="Note 3 2 3 2" xfId="5450" xr:uid="{D54889DB-8367-4DF6-A9C8-B766E396C872}"/>
    <cellStyle name="Note 3 2 4" xfId="5476" xr:uid="{ED4CFB51-68DA-4B6F-96EC-B3F64B81F5ED}"/>
    <cellStyle name="Note 3 3" xfId="84" xr:uid="{F10256DC-5963-450B-A9E2-88550D844F95}"/>
    <cellStyle name="Note 3 3 2" xfId="4593" xr:uid="{FFA6FC4A-0BD1-4CCB-936E-1B3B1AD3F8C6}"/>
    <cellStyle name="Note 3 3 2 2" xfId="5456" xr:uid="{B819D0E1-3F58-48CA-94DF-085FA4FF73F3}"/>
    <cellStyle name="Note 3 3 3" xfId="5482" xr:uid="{CECAE744-E161-4E26-A5B0-E01F7453219E}"/>
    <cellStyle name="Note 3 4" xfId="4579" xr:uid="{B19EC4AE-DBD8-4DD8-B37C-559743907547}"/>
    <cellStyle name="Note 3 4 2" xfId="5444" xr:uid="{380B4432-4388-44D6-A67C-AD4968CAF0B0}"/>
    <cellStyle name="Note 3 5" xfId="5470" xr:uid="{BA00C8A5-FCE2-4872-94B0-F50228D1ABF1}"/>
    <cellStyle name="Note 4" xfId="3994" xr:uid="{E6E1F752-8513-4942-A8BE-4B415481BF5A}"/>
    <cellStyle name="Note 4 2" xfId="3995" xr:uid="{B91916E3-296C-4260-BF11-893A1454770E}"/>
    <cellStyle name="Note 5" xfId="3996" xr:uid="{F8138CD1-FF42-4C10-8800-EE9FED7EBF18}"/>
    <cellStyle name="Note 5 2" xfId="3997" xr:uid="{49F1FCED-262C-45F1-98D2-42D68FD54FB7}"/>
    <cellStyle name="Note 6" xfId="3998" xr:uid="{3F2986AD-E9C1-4E04-B56C-9063CDB0EC75}"/>
    <cellStyle name="Note 6 2" xfId="3999" xr:uid="{ED8221F8-EB04-42F3-A49A-4A6E3CBCAB48}"/>
    <cellStyle name="Note 7" xfId="4000" xr:uid="{EED77126-A1C8-4959-8410-7B8CA123E6B8}"/>
    <cellStyle name="Note 7 2" xfId="4001" xr:uid="{53EF0CBE-154B-4289-AE1F-DB5524593EF4}"/>
    <cellStyle name="Note 8" xfId="4002" xr:uid="{BF4F2B6A-59A7-42C9-A171-AA1328745D38}"/>
    <cellStyle name="Note 8 2" xfId="4003" xr:uid="{38C98F14-1DA4-49AC-A36B-1FA380BFA9D7}"/>
    <cellStyle name="Note 8 2 2" xfId="4004" xr:uid="{2376A741-E749-4976-B4EE-87F164585AC9}"/>
    <cellStyle name="Note 8 2 2 2" xfId="4005" xr:uid="{18B3D633-23BF-447B-A488-430D8DB265D3}"/>
    <cellStyle name="Note 8 2 2 2 2" xfId="4006" xr:uid="{07D624EA-C13B-4269-B38B-8D529338C107}"/>
    <cellStyle name="Note 8 2 2 3" xfId="4007" xr:uid="{E2C64549-A51F-4862-9FB4-AB726AD4C685}"/>
    <cellStyle name="Note 8 2 3" xfId="4008" xr:uid="{3B198E39-B1EE-44D5-A0B4-FB707D21E686}"/>
    <cellStyle name="Note 8 2 3 2" xfId="4009" xr:uid="{91D7D9C8-7EA7-48EA-BCB2-D296A19BBFE2}"/>
    <cellStyle name="Note 8 2 4" xfId="4010" xr:uid="{DC018EFB-0632-401D-B387-5D3D066191D5}"/>
    <cellStyle name="Note 8 3" xfId="4011" xr:uid="{BACBED0A-7405-473C-964B-2B64E9347CC0}"/>
    <cellStyle name="Note 8 3 2" xfId="4012" xr:uid="{81F1A71F-5AFE-4518-9603-DB376491DF18}"/>
    <cellStyle name="Note 8 3 2 2" xfId="4013" xr:uid="{E4A44BD0-96B2-4628-AD80-705F370474F0}"/>
    <cellStyle name="Note 8 3 2 2 2" xfId="4014" xr:uid="{63DE2A12-4E5B-4273-B52C-0338FB5FD898}"/>
    <cellStyle name="Note 8 3 2 3" xfId="4015" xr:uid="{B4289794-3402-4122-BCA6-24329AAEB1C5}"/>
    <cellStyle name="Note 8 3 3" xfId="4016" xr:uid="{AF2253A3-0C8A-4CE2-8458-D397DC41A052}"/>
    <cellStyle name="Note 8 3 3 2" xfId="4017" xr:uid="{064B6565-C4F3-4D8C-B804-91B226FB85A4}"/>
    <cellStyle name="Note 8 3 4" xfId="4018" xr:uid="{0B300FEA-2413-4685-BF33-2F1E3F3BB146}"/>
    <cellStyle name="Note 8 4" xfId="4019" xr:uid="{A736968C-5F1F-462B-9C98-78F39DEBDEF4}"/>
    <cellStyle name="Note 8 4 2" xfId="4020" xr:uid="{5D0EAB4F-9B59-4A1E-B0B1-81EDEA8A369F}"/>
    <cellStyle name="Note 8 4 2 2" xfId="4021" xr:uid="{2BB97A5B-8430-4E01-BAF8-BC20FDE674B3}"/>
    <cellStyle name="Note 8 4 3" xfId="4022" xr:uid="{7B90911A-A686-48E8-8317-AE4EDDE43970}"/>
    <cellStyle name="Note 8 5" xfId="4023" xr:uid="{A29A2EBF-514E-44FA-A161-3CF2C1F484EA}"/>
    <cellStyle name="Note 8 5 2" xfId="4024" xr:uid="{89B36689-C22A-490C-B132-8755B6D8755D}"/>
    <cellStyle name="Note 8 6" xfId="4025" xr:uid="{DBE14253-429C-42E9-A9AB-48C6EF9268BD}"/>
    <cellStyle name="Nr 0 dec" xfId="4026" xr:uid="{6C34987F-9CAF-48BF-8130-D5CB170D92AA}"/>
    <cellStyle name="Nr 0 dec - Input" xfId="4027" xr:uid="{01AD22CA-2C8C-410C-AEE8-2F1EF1F46D70}"/>
    <cellStyle name="Nr 0 dec - Subtotal" xfId="4028" xr:uid="{D6E5FABB-90B2-4AA7-88FA-8447924F9612}"/>
    <cellStyle name="Nr 0 dec - Subtotal 2" xfId="5506" xr:uid="{6ED9A283-098D-4EF7-98BA-E96B0489972A}"/>
    <cellStyle name="Nr 0 dec - Subtotal 3" xfId="5402" xr:uid="{37B84C5C-8168-48F1-BBD8-3B2228093305}"/>
    <cellStyle name="Nr 0 dec_Data" xfId="4029" xr:uid="{077AE867-B447-4FBE-B11B-2379DC4C44A0}"/>
    <cellStyle name="Nr 1 dec" xfId="4030" xr:uid="{E98348AA-4078-4FCD-A958-4002236AD793}"/>
    <cellStyle name="Nr 1 dec - Input" xfId="4031" xr:uid="{E59D617E-9110-4FCA-B10E-898003AA62A9}"/>
    <cellStyle name="Nr, 0 dec" xfId="4032" xr:uid="{184AA8E7-B4F3-47E9-BEE2-51965D3F323C}"/>
    <cellStyle name="number" xfId="4033" xr:uid="{1BA4F7CA-B0FB-47BB-A98F-BD542F5C3363}"/>
    <cellStyle name="Number, 1 dec" xfId="4034" xr:uid="{E9C6787A-4980-4611-9E26-A6E977E23D5A}"/>
    <cellStyle name="Output" xfId="4616" builtinId="21" customBuiltin="1"/>
    <cellStyle name="Output (1dp#)" xfId="4035" xr:uid="{016BAB55-5951-44D8-AA0D-2D07E7EEAEC2}"/>
    <cellStyle name="Output (1dpx)_ Pies " xfId="4036" xr:uid="{A0279F24-4C33-461B-8241-6D63E820D680}"/>
    <cellStyle name="Output 2" xfId="64" xr:uid="{A0E9C228-68E0-43E6-A54C-45291D48FCF7}"/>
    <cellStyle name="Output 2 10" xfId="4581" xr:uid="{180CC1E5-2339-4404-B432-21C33B4BEBE7}"/>
    <cellStyle name="Output 2 10 2" xfId="5446" xr:uid="{C4906D9A-9649-495B-A165-FE112F91A558}"/>
    <cellStyle name="Output 2 11" xfId="5472" xr:uid="{66C16F12-AD39-4269-8317-914EDEFC2B88}"/>
    <cellStyle name="Output 2 2" xfId="75" xr:uid="{58AB60B4-415D-4F69-B7CB-6AEA7856C74E}"/>
    <cellStyle name="Output 2 2 2" xfId="92" xr:uid="{C50E172A-9F59-403A-B67B-C9F730623607}"/>
    <cellStyle name="Output 2 2 2 2" xfId="4601" xr:uid="{DE6A5046-A507-46D1-8A82-C6499A642D91}"/>
    <cellStyle name="Output 2 2 2 2 2" xfId="5464" xr:uid="{0058FF5A-53D9-477B-967A-F2D172332678}"/>
    <cellStyle name="Output 2 2 2 3" xfId="5490" xr:uid="{C8399BB7-25D1-4D82-8ADC-472426F17E69}"/>
    <cellStyle name="Output 2 2 3" xfId="4587" xr:uid="{82E7ABFA-85D5-4E69-82B7-10DB05DAF0CE}"/>
    <cellStyle name="Output 2 2 3 2" xfId="5452" xr:uid="{5C4F56E1-6F7C-44B5-B7C9-80761509BEC4}"/>
    <cellStyle name="Output 2 2 4" xfId="5478" xr:uid="{46CAA2B4-A296-4891-87D2-B44E69C3DC4F}"/>
    <cellStyle name="Output 2 3" xfId="86" xr:uid="{6C3DAF16-4DAA-4C7A-8176-FF1FA16D7612}"/>
    <cellStyle name="Output 2 3 2" xfId="4595" xr:uid="{4C1DD413-60BB-4211-A10E-5C549DC2AFBA}"/>
    <cellStyle name="Output 2 3 2 2" xfId="5458" xr:uid="{FCE29350-9E2B-4F73-B134-BB3EA29C87DD}"/>
    <cellStyle name="Output 2 3 3" xfId="5484" xr:uid="{AC36BF89-D3B3-40C0-8B8F-F6C5B3352D30}"/>
    <cellStyle name="Output 2 4" xfId="4037" xr:uid="{BAF89CA8-2A7A-414E-B232-E933AC49F4D7}"/>
    <cellStyle name="Output 2 5" xfId="4038" xr:uid="{7CA546F1-4FA7-4803-AF8C-ED864504E404}"/>
    <cellStyle name="Output 2 6" xfId="4039" xr:uid="{777D2764-1676-4D66-AC5A-67AF05FF465D}"/>
    <cellStyle name="Output 2 7" xfId="4040" xr:uid="{EBB2E2FE-184A-4CA4-A422-82D8F60D3868}"/>
    <cellStyle name="Output 2 8" xfId="4041" xr:uid="{775A46DF-4594-4CFC-BFB2-20B044DED1B9}"/>
    <cellStyle name="Output 2 9" xfId="4042" xr:uid="{AA59B65D-45A1-4943-AA04-12DEE81F9776}"/>
    <cellStyle name="Output 3" xfId="4043" xr:uid="{4D726A75-9082-407C-9BB9-48BA2DEEB37A}"/>
    <cellStyle name="Page Heading" xfId="4044" xr:uid="{07B5353C-32C8-4961-8FA4-24ACD0E4C047}"/>
    <cellStyle name="Page Heading Large" xfId="4045" xr:uid="{5D777E49-9069-4B75-85B3-3AC79C58E288}"/>
    <cellStyle name="Page Heading Small" xfId="4046" xr:uid="{083C6322-A542-4C23-BCC4-46327A4ADFF6}"/>
    <cellStyle name="Page Number" xfId="4047" xr:uid="{066B55FA-D0F5-4280-8A84-EAFBAA0F20CB}"/>
    <cellStyle name="pb_page_heading_LS" xfId="4048" xr:uid="{2C08B78F-7F3B-49B8-80F4-0F7F87839BF1}"/>
    <cellStyle name="Per aandeel" xfId="4049" xr:uid="{F2A5A819-A517-4B5D-8F6D-8BB9B1AAD855}"/>
    <cellStyle name="Percent" xfId="2" builtinId="5"/>
    <cellStyle name="Percent (1)" xfId="4050" xr:uid="{A5AECEF3-8370-40A6-B278-EA50A8AF92B8}"/>
    <cellStyle name="Percent [0]" xfId="4051" xr:uid="{B72F8C8B-1621-4C00-B5F1-67B9BD8F968E}"/>
    <cellStyle name="Percent [00]" xfId="4052" xr:uid="{67F17D8F-B492-4C59-8175-0032E0CA7219}"/>
    <cellStyle name="Percent [1]" xfId="4053" xr:uid="{A2232AEC-CF36-41B4-B7BB-E72A5D25CCAD}"/>
    <cellStyle name="Percent [1] 2" xfId="5403" xr:uid="{522E0D79-C055-44E4-90BE-6B8A498904D1}"/>
    <cellStyle name="Percent [2]" xfId="4054" xr:uid="{F716F238-AB05-4012-BD60-2CDC6955FD5B}"/>
    <cellStyle name="Percent [2] 2" xfId="4055" xr:uid="{209F9DB9-4735-4229-BC91-F0AB68541EEA}"/>
    <cellStyle name="Percent [2] 3" xfId="4056" xr:uid="{A2CAD2B4-78DD-44A2-8C11-F5B1F9BCADAF}"/>
    <cellStyle name="Percent 1 dec" xfId="4057" xr:uid="{0DA48ADF-37E4-4BFA-AF4E-C59642F4AA6F}"/>
    <cellStyle name="Percent 1 dec - Input" xfId="4058" xr:uid="{7BA7489C-1ADF-4F9D-AB37-CB5FAF860C88}"/>
    <cellStyle name="Percent 1 dec_Data" xfId="4059" xr:uid="{77B82D26-AE18-47FA-B753-274786FFEBC5}"/>
    <cellStyle name="Percent 10" xfId="4060" xr:uid="{AF3D3118-6892-42C1-A84A-620109623813}"/>
    <cellStyle name="Percent 10 2" xfId="4574" xr:uid="{0159B36B-D137-4FB8-AA06-2679243FDD09}"/>
    <cellStyle name="Percent 10 3" xfId="4568" xr:uid="{813CC1C8-8CBB-4373-80A4-D7E5232EFE49}"/>
    <cellStyle name="Percent 2" xfId="7" xr:uid="{AE630E8E-4ACB-4E0E-B399-89FAD5573A6C}"/>
    <cellStyle name="Percent 2 10" xfId="4061" xr:uid="{4165FA65-AC2A-4F23-B924-75005BF920F3}"/>
    <cellStyle name="Percent 2 10 2" xfId="4062" xr:uid="{FAA92DAA-D8C1-4746-BE48-D6E759F1F5CF}"/>
    <cellStyle name="Percent 2 10 2 2" xfId="4063" xr:uid="{7407B8D6-A8B2-47EC-B87C-4F457584CB3D}"/>
    <cellStyle name="Percent 2 10 3" xfId="4064" xr:uid="{70A75B18-4EBF-40A6-ABF2-E37D36FE98D9}"/>
    <cellStyle name="Percent 2 11" xfId="4065" xr:uid="{ED0EABCC-2F59-4076-847C-902B0BC54AA5}"/>
    <cellStyle name="Percent 2 12" xfId="4066" xr:uid="{61AE4286-0FD2-4AE2-8B8D-2C7AAD26B8E0}"/>
    <cellStyle name="Percent 2 12 2" xfId="4067" xr:uid="{4D7B880A-5E39-4CC9-BC41-7DA9E35D26FD}"/>
    <cellStyle name="Percent 2 12 2 2" xfId="4068" xr:uid="{30E18CDA-8878-4823-99CD-B6E1DEDFEE87}"/>
    <cellStyle name="Percent 2 12 3" xfId="4069" xr:uid="{18A2ADDB-4C96-4B54-9E76-1F10CE075D26}"/>
    <cellStyle name="Percent 2 13" xfId="4070" xr:uid="{D34255BF-54D4-4143-9E71-5AF810ED227D}"/>
    <cellStyle name="Percent 2 13 2" xfId="4071" xr:uid="{4F0BA749-8F6D-4E8D-BBE1-3A1767E2733B}"/>
    <cellStyle name="Percent 2 14" xfId="4072" xr:uid="{92BFE6CF-4951-4839-B65D-E266738010B9}"/>
    <cellStyle name="Percent 2 15" xfId="4073" xr:uid="{DC432163-EE7E-4FDE-8EDD-D6BB5838D28A}"/>
    <cellStyle name="Percent 2 16" xfId="4074" xr:uid="{F21A37B9-DEFF-4C6E-B243-C9D1B53E2B20}"/>
    <cellStyle name="Percent 2 17" xfId="4075" xr:uid="{B63EEF8B-B255-46C8-A429-36D7B27273A3}"/>
    <cellStyle name="Percent 2 18" xfId="4076" xr:uid="{E532B4AF-501D-4A0C-9F93-BDC3526B265A}"/>
    <cellStyle name="Percent 2 19" xfId="4077" xr:uid="{AEF7F6D9-921C-4C3D-B846-B8C6300BEA81}"/>
    <cellStyle name="Percent 2 2" xfId="16" xr:uid="{5A62949C-4D31-4E5C-8570-A5589FC7CC4B}"/>
    <cellStyle name="Percent 2 2 2" xfId="4078" xr:uid="{97AF18B2-0B4A-4E38-846F-E08CDEDA0CA8}"/>
    <cellStyle name="Percent 2 2 3" xfId="4079" xr:uid="{797E1E42-2AFA-4C15-8FD3-258843400569}"/>
    <cellStyle name="Percent 2 2 4" xfId="4080" xr:uid="{7E352E7D-2175-49F0-8B4C-3A93B2E013FC}"/>
    <cellStyle name="Percent 2 2 4 2" xfId="4081" xr:uid="{D95782E9-09F3-42FB-B22D-6E55D97A678D}"/>
    <cellStyle name="Percent 2 2 4 2 2" xfId="4082" xr:uid="{6BF5ED44-6923-406E-B0D4-C2964DCBBE6A}"/>
    <cellStyle name="Percent 2 2 4 2 2 2" xfId="4083" xr:uid="{BDC395F3-471F-4735-A939-8E4F13EFB6F3}"/>
    <cellStyle name="Percent 2 2 4 2 3" xfId="4084" xr:uid="{1511DA9E-BEC8-4948-973F-CC2961836092}"/>
    <cellStyle name="Percent 2 2 4 3" xfId="4085" xr:uid="{F70F2109-3C00-40BA-B656-1439A024D3CD}"/>
    <cellStyle name="Percent 2 2 4 3 2" xfId="4086" xr:uid="{2B98B694-C500-40E5-BAF7-8D05508C6297}"/>
    <cellStyle name="Percent 2 2 4 4" xfId="4087" xr:uid="{BA596A3D-881F-439D-85E0-90BC6829FC73}"/>
    <cellStyle name="Percent 2 2 5" xfId="4088" xr:uid="{27459DBA-A379-4772-8F71-635D724D85B1}"/>
    <cellStyle name="Percent 2 2 6" xfId="4089" xr:uid="{2D56E486-0175-44D2-B0A4-B57E9F0CDEE7}"/>
    <cellStyle name="Percent 2 20" xfId="15" xr:uid="{C5DB6553-01BA-4BE0-B039-7BDCC9109D9C}"/>
    <cellStyle name="Percent 2 3" xfId="17" xr:uid="{ADD43B24-8F52-4541-A6CD-9DA9211A302A}"/>
    <cellStyle name="Percent 2 4" xfId="4090" xr:uid="{ED86B7DA-0ABA-4571-B3F8-813CB93458D0}"/>
    <cellStyle name="Percent 2 5" xfId="4091" xr:uid="{EF93397E-D8A7-4903-99A7-27AFC7EB951C}"/>
    <cellStyle name="Percent 2 5 2" xfId="4092" xr:uid="{BC679AE4-FF0F-4A2C-BBB9-AC20ACB45FF7}"/>
    <cellStyle name="Percent 2 5 2 2" xfId="4093" xr:uid="{5A239478-FCE5-424F-808E-34B69C8E3B6B}"/>
    <cellStyle name="Percent 2 5 2 2 2" xfId="4094" xr:uid="{D2881FA0-1375-438C-8CB8-B25AE095F7E8}"/>
    <cellStyle name="Percent 2 5 2 2 2 2" xfId="4095" xr:uid="{4452C970-B4EE-4481-985C-8120B0365D0B}"/>
    <cellStyle name="Percent 2 5 2 2 3" xfId="4096" xr:uid="{850B143B-9DC9-4BA5-AEDF-39624CA54824}"/>
    <cellStyle name="Percent 2 5 2 3" xfId="4097" xr:uid="{0AE015B5-268F-402D-98A4-F2C0BF843C63}"/>
    <cellStyle name="Percent 2 5 2 3 2" xfId="4098" xr:uid="{958E28B3-B634-46FB-89C5-74ABAFE13023}"/>
    <cellStyle name="Percent 2 5 2 4" xfId="4099" xr:uid="{891E987D-D125-483C-B0D0-6BFCFD02F7C3}"/>
    <cellStyle name="Percent 2 5 3" xfId="4100" xr:uid="{1BD1A03F-A2F4-450A-94C6-C3D9DE8DC408}"/>
    <cellStyle name="Percent 2 5 3 2" xfId="4101" xr:uid="{BF6B48A3-2E26-4261-A62C-B7D8C7AF1B63}"/>
    <cellStyle name="Percent 2 5 3 2 2" xfId="4102" xr:uid="{4E23A77A-E4F4-42EE-BEF2-ED476FF813F5}"/>
    <cellStyle name="Percent 2 5 3 2 2 2" xfId="4103" xr:uid="{4798CFE5-E009-4580-B24C-03B826B36CE3}"/>
    <cellStyle name="Percent 2 5 3 2 3" xfId="4104" xr:uid="{D856FDFB-43A3-49C6-AAAC-EE6700908B3E}"/>
    <cellStyle name="Percent 2 5 3 3" xfId="4105" xr:uid="{8F2B162E-3BD5-4811-810A-402AD66F6E67}"/>
    <cellStyle name="Percent 2 5 3 3 2" xfId="4106" xr:uid="{08A42E3E-F28F-4AB4-99F4-50410DD0DB65}"/>
    <cellStyle name="Percent 2 5 3 4" xfId="4107" xr:uid="{3B8CF0F3-C933-478A-8704-5ED9718E95FA}"/>
    <cellStyle name="Percent 2 5 4" xfId="4108" xr:uid="{8F51FC8D-4C0A-408F-830A-ABE907C365DC}"/>
    <cellStyle name="Percent 2 5 4 2" xfId="4109" xr:uid="{119A6964-804C-4A58-8EA3-BA6578941792}"/>
    <cellStyle name="Percent 2 5 4 2 2" xfId="4110" xr:uid="{55CD4CCD-E6AD-49D0-83C8-6DD95BAF4494}"/>
    <cellStyle name="Percent 2 5 4 3" xfId="4111" xr:uid="{5EFFAEB5-7B3A-43D3-8BD4-217E9E282051}"/>
    <cellStyle name="Percent 2 5 5" xfId="4112" xr:uid="{7983E232-E85B-4C9F-ACC2-26DDBFD107CE}"/>
    <cellStyle name="Percent 2 5 5 2" xfId="4113" xr:uid="{852B172B-2C27-4306-967A-862EC2D1641B}"/>
    <cellStyle name="Percent 2 5 6" xfId="4114" xr:uid="{C98BEB18-F13F-4DB0-9307-54C36D4E2EE4}"/>
    <cellStyle name="Percent 2 6" xfId="4115" xr:uid="{4EE675EC-C0A8-4680-BC2A-D63D2F03C371}"/>
    <cellStyle name="Percent 2 6 2" xfId="4116" xr:uid="{AA9EACCF-11C2-4305-8E5F-0D9C28CFD44B}"/>
    <cellStyle name="Percent 2 6 2 2" xfId="4117" xr:uid="{2FDD113A-8860-4BAC-9DC8-FC0DC9EB235E}"/>
    <cellStyle name="Percent 2 6 2 2 2" xfId="4118" xr:uid="{4D79C795-486F-450A-93D9-622CC9E6A956}"/>
    <cellStyle name="Percent 2 6 2 2 2 2" xfId="4119" xr:uid="{DF51B77C-1131-4C31-A94C-1CC40B465BA8}"/>
    <cellStyle name="Percent 2 6 2 2 3" xfId="4120" xr:uid="{3731CDB1-89F5-48CE-9127-3686FDA1DC38}"/>
    <cellStyle name="Percent 2 6 2 3" xfId="4121" xr:uid="{5C40629B-B3F2-4994-9C00-4A7DA93E3E04}"/>
    <cellStyle name="Percent 2 6 2 3 2" xfId="4122" xr:uid="{8B0288CF-BD34-456A-851B-2C10489EA139}"/>
    <cellStyle name="Percent 2 6 2 4" xfId="4123" xr:uid="{1EE8AB00-1819-4907-B7C3-C3F30D920C7D}"/>
    <cellStyle name="Percent 2 6 3" xfId="4124" xr:uid="{062F1135-4FDE-41E2-B7EA-7C899FA5B1D7}"/>
    <cellStyle name="Percent 2 6 3 2" xfId="4125" xr:uid="{2C146D30-76E8-49E2-859F-59B59234F8C4}"/>
    <cellStyle name="Percent 2 6 3 2 2" xfId="4126" xr:uid="{6F4CF437-AB14-46C6-B905-0B4E3FDD7B61}"/>
    <cellStyle name="Percent 2 6 3 2 2 2" xfId="4127" xr:uid="{41A27669-DFB0-461B-8E99-8D44B986A924}"/>
    <cellStyle name="Percent 2 6 3 2 3" xfId="4128" xr:uid="{75FED1F1-7194-4BA0-B9EC-EE483F640357}"/>
    <cellStyle name="Percent 2 6 3 3" xfId="4129" xr:uid="{1D3A82F1-44EF-418C-8C4A-AF472F37583C}"/>
    <cellStyle name="Percent 2 6 3 3 2" xfId="4130" xr:uid="{284ECA8E-E8E0-4BC5-9BE5-79E6D0DEE362}"/>
    <cellStyle name="Percent 2 6 3 4" xfId="4131" xr:uid="{9033E65F-C0AD-4937-921E-245C9B0C2AA5}"/>
    <cellStyle name="Percent 2 6 4" xfId="4132" xr:uid="{FAB5F9DC-5F1A-4629-AB62-A2EE1D93B2C8}"/>
    <cellStyle name="Percent 2 6 4 2" xfId="4133" xr:uid="{CEEE0F9E-59DE-4F23-A57D-C4F4BC7D5831}"/>
    <cellStyle name="Percent 2 6 4 2 2" xfId="4134" xr:uid="{8C50EDAE-3100-46BA-94ED-A135038C7445}"/>
    <cellStyle name="Percent 2 6 4 3" xfId="4135" xr:uid="{791C6A92-58D1-4A33-A170-FF514474692A}"/>
    <cellStyle name="Percent 2 6 5" xfId="4136" xr:uid="{76EA41C4-BBF9-4C7D-BB45-CC0D1C8BCDB4}"/>
    <cellStyle name="Percent 2 6 5 2" xfId="4137" xr:uid="{F7AB4796-0BB6-45BE-AE55-3D12C63A0D72}"/>
    <cellStyle name="Percent 2 6 6" xfId="4138" xr:uid="{CD33CE5A-FD37-4E2B-B5D4-73C6A0CACE31}"/>
    <cellStyle name="Percent 2 7" xfId="4139" xr:uid="{B6FDC0A5-49B1-4294-BA89-26A2A2CF8446}"/>
    <cellStyle name="Percent 2 7 2" xfId="4140" xr:uid="{F5033FE7-838F-4B18-8407-391D57ABDBB3}"/>
    <cellStyle name="Percent 2 7 3" xfId="4141" xr:uid="{A45B53E8-E9F9-48CD-9880-E4999AE9FC9C}"/>
    <cellStyle name="Percent 2 7 4" xfId="4142" xr:uid="{D853552D-DBB1-48A1-A2BF-EB9C1376913A}"/>
    <cellStyle name="Percent 2 7 4 2" xfId="4143" xr:uid="{B13115C8-5A94-4EFD-8C34-0633CB02CC00}"/>
    <cellStyle name="Percent 2 7 4 2 2" xfId="4144" xr:uid="{5BE959A8-A002-4462-914C-2924F0D74C9B}"/>
    <cellStyle name="Percent 2 7 4 3" xfId="4145" xr:uid="{A6D33FAD-9483-4788-8171-C0E100F89AEC}"/>
    <cellStyle name="Percent 2 7 5" xfId="4146" xr:uid="{EDAB110B-3C66-4100-8BED-0FB6755A12CA}"/>
    <cellStyle name="Percent 2 7 5 2" xfId="4147" xr:uid="{339523F2-E86A-404A-9C00-AE04AEA2D698}"/>
    <cellStyle name="Percent 2 7 6" xfId="4148" xr:uid="{90FDEB3A-4A3A-4099-9530-EBECF2D5D06E}"/>
    <cellStyle name="Percent 2 8" xfId="4149" xr:uid="{1756EA99-E6D3-43B5-BA2F-59BDCB3F6FC4}"/>
    <cellStyle name="Percent 2 8 2" xfId="4150" xr:uid="{4695D6C3-8256-4893-A70D-585647EB0338}"/>
    <cellStyle name="Percent 2 8 2 2" xfId="4151" xr:uid="{78A3B261-449A-4A2D-BD8E-F8EBBEEEFD33}"/>
    <cellStyle name="Percent 2 8 2 2 2" xfId="4152" xr:uid="{90D8D334-B616-4260-8DFA-B032454D8CAB}"/>
    <cellStyle name="Percent 2 8 2 3" xfId="4153" xr:uid="{CA5A4B41-E9E1-4F1C-B625-741DFCD204AC}"/>
    <cellStyle name="Percent 2 8 3" xfId="4154" xr:uid="{C08CA67E-F1A6-43B7-BB82-1EC317B1D6A7}"/>
    <cellStyle name="Percent 2 8 3 2" xfId="4155" xr:uid="{8314E7E2-00F7-4BED-AF16-B771DBA4B590}"/>
    <cellStyle name="Percent 2 8 4" xfId="4156" xr:uid="{E4135F75-F337-4500-AEA3-E3FC74CB186D}"/>
    <cellStyle name="Percent 2 9" xfId="4157" xr:uid="{25F5C7B3-D8AA-45CD-B4F7-27E2BC8C0270}"/>
    <cellStyle name="Percent 3" xfId="65" xr:uid="{1EF7B4C4-64A0-4124-BA27-73D7B4C1AF3C}"/>
    <cellStyle name="Percent 3 2" xfId="79" xr:uid="{2B4FF6CC-4DE7-4561-9E21-413AB2FB923C}"/>
    <cellStyle name="Percent 3 2 2" xfId="4158" xr:uid="{0F65D946-35B6-4D05-884F-000BD01C6AD6}"/>
    <cellStyle name="Percent 3 2 2 2" xfId="4159" xr:uid="{239974C2-5D07-4DB2-B33E-A04C3CF99FE6}"/>
    <cellStyle name="Percent 3 2 3" xfId="4160" xr:uid="{92A904B6-E3B7-41DD-9F6D-34103DCDCC5E}"/>
    <cellStyle name="Percent 3 2 4" xfId="4161" xr:uid="{54517031-E918-4154-B4CA-E65CF1D7C0BF}"/>
    <cellStyle name="Percent 3 3" xfId="4162" xr:uid="{82264919-6CAD-47FD-A0AF-062DD5137154}"/>
    <cellStyle name="Percent 3 4" xfId="4163" xr:uid="{6EFB9130-C49B-4D3B-9396-F1970123052B}"/>
    <cellStyle name="Percent 3 5" xfId="4570" xr:uid="{82E11ACE-0A03-439B-A829-CD3F996C078D}"/>
    <cellStyle name="Percent 4" xfId="4164" xr:uid="{6EE5FAF2-55CD-4D05-9EE8-DFFAF88C63E6}"/>
    <cellStyle name="Percent 4 2" xfId="4165" xr:uid="{558EBC0B-8389-46DE-85B7-23DCF7752B18}"/>
    <cellStyle name="Percent 4 2 2" xfId="4166" xr:uid="{09C098F1-4098-47D3-9013-1FD3F1849D34}"/>
    <cellStyle name="Percent 4 2 3" xfId="4167" xr:uid="{8FBC631A-FD52-41E1-BF38-568461E8AFF3}"/>
    <cellStyle name="Percent 4 3" xfId="4168" xr:uid="{A7DBE143-7CEF-4ECD-9D51-D1C900D559BA}"/>
    <cellStyle name="Percent 4 3 2" xfId="4169" xr:uid="{75ADB541-01FC-4C95-BE16-105A22E6D655}"/>
    <cellStyle name="Percent 4 3 2 2" xfId="4170" xr:uid="{7694BD90-46FA-41C1-BF98-15C5FCD3A60C}"/>
    <cellStyle name="Percent 4 3 3" xfId="4171" xr:uid="{95A40D75-DD15-4F59-ABF7-39A299489330}"/>
    <cellStyle name="Percent 4 4" xfId="4172" xr:uid="{667832B6-16C0-49B7-BCD6-D4E25426D147}"/>
    <cellStyle name="Percent 43" xfId="4572" xr:uid="{EF48381B-0CE2-477C-B2DC-357E03D2CF36}"/>
    <cellStyle name="Percent 43 2" xfId="4606" xr:uid="{0236A56C-01FB-4A3D-B6D1-5B84583D5468}"/>
    <cellStyle name="Percent 5" xfId="4173" xr:uid="{562154FD-AECE-4181-95A3-00E00702B2CF}"/>
    <cellStyle name="Percent 5 2" xfId="4174" xr:uid="{2DED0EAF-39F2-4C7D-AE98-09E42CD25889}"/>
    <cellStyle name="Percent 5 2 2" xfId="4175" xr:uid="{AF529F84-10B1-4FF4-9E68-44A678FBFC87}"/>
    <cellStyle name="Percent 5 2 2 2" xfId="4176" xr:uid="{B4731D29-F8BD-43BA-8887-BD4EC87C6E77}"/>
    <cellStyle name="Percent 5 2 3" xfId="4177" xr:uid="{A6182DEC-8952-4AB8-BBAF-C686F0D82666}"/>
    <cellStyle name="Percent 5 3" xfId="4571" xr:uid="{5CFD7601-F1DE-4226-B2FE-D473471FBF1F}"/>
    <cellStyle name="Percent 6" xfId="4178" xr:uid="{9422E548-0888-4598-942D-6D65C106C551}"/>
    <cellStyle name="Percent 6 2" xfId="4179" xr:uid="{39AEFBCB-F855-473C-A695-B5E2DFAE8195}"/>
    <cellStyle name="Percent 6 2 2" xfId="4180" xr:uid="{7AA2B2B3-B3A0-47B8-8875-02008D2F157B}"/>
    <cellStyle name="Percent 6 2 2 2" xfId="4181" xr:uid="{A25AB373-AFFD-4283-ACC1-F16255FE3F1E}"/>
    <cellStyle name="Percent 6 2 3" xfId="4182" xr:uid="{458B0BA2-F26A-49C5-B6D8-52EE6ACD9620}"/>
    <cellStyle name="Percent 6 3" xfId="4183" xr:uid="{A2D28116-0593-44EF-A1DE-1CA8E701D01E}"/>
    <cellStyle name="Percent 6 3 2" xfId="4184" xr:uid="{BB5BD867-C20A-45C1-AAE4-91001B004E86}"/>
    <cellStyle name="Percent 6 3 2 2" xfId="4185" xr:uid="{352B0BEB-1A39-452A-A2C2-54093E5C45F3}"/>
    <cellStyle name="Percent 6 3 3" xfId="4186" xr:uid="{4610A398-DC0E-42F8-B88C-5A5225DAB94F}"/>
    <cellStyle name="Percent 7" xfId="4187" xr:uid="{D44F5C33-1B08-4A33-964D-FC2BC11BCB0E}"/>
    <cellStyle name="Percent 7 2" xfId="4188" xr:uid="{016CF1AD-BE55-49FC-A0F8-BBB46A9ABF4D}"/>
    <cellStyle name="Percent 7 2 2" xfId="4189" xr:uid="{D60CB352-6BFF-4689-9316-29C9F030EF63}"/>
    <cellStyle name="Percent 7 2 2 2" xfId="4190" xr:uid="{A332675B-C8DA-4C50-AD52-CAC11A294053}"/>
    <cellStyle name="Percent 7 2 3" xfId="4191" xr:uid="{06C69DC5-3BD9-4F0E-B4C0-A6F8B31D6CBD}"/>
    <cellStyle name="Percent 7 3" xfId="4192" xr:uid="{511A23C2-EED3-4FAA-81D0-933FA352FDAB}"/>
    <cellStyle name="Percent 7 3 2" xfId="4193" xr:uid="{E567C600-8EB5-456B-9458-31827EA8FFB8}"/>
    <cellStyle name="Percent 7 4" xfId="4194" xr:uid="{3BFA7870-A2A6-4D97-91D5-A8C88644DDAD}"/>
    <cellStyle name="Percent 8" xfId="4195" xr:uid="{D15570F9-09B5-423D-9DF0-0745295A7006}"/>
    <cellStyle name="Percent 9" xfId="4196" xr:uid="{08237AF9-F4EC-43A4-BD5B-8B9DA5D90038}"/>
    <cellStyle name="Percent Hard" xfId="4197" xr:uid="{B969CF6F-31EF-4A0D-8D15-BD3BD0D393BD}"/>
    <cellStyle name="percentage" xfId="4198" xr:uid="{325DC945-062B-4231-98E2-5D5152263921}"/>
    <cellStyle name="PercentChange" xfId="4199" xr:uid="{27483493-E222-465E-B4AC-87AE24EC567F}"/>
    <cellStyle name="PLAN1" xfId="4200" xr:uid="{79F34F92-2667-43F7-A1AC-EC46EC89AD61}"/>
    <cellStyle name="Porcentaje" xfId="4201" xr:uid="{78A5A207-FDBC-4D82-BF78-7C2C4BE8CBFA}"/>
    <cellStyle name="Pourcentage_Profit &amp; Loss" xfId="4202" xr:uid="{09E7DD76-AA51-4F56-ADB5-2AF52E6F8B84}"/>
    <cellStyle name="PrePop Currency (0)" xfId="4203" xr:uid="{C2736E97-1EB8-4CE2-8F88-E44C2580ED27}"/>
    <cellStyle name="PrePop Currency (2)" xfId="4204" xr:uid="{0DDDA2D8-F557-4B3B-8EDF-E6760E60D1C8}"/>
    <cellStyle name="PrePop Units (0)" xfId="4205" xr:uid="{F64749C4-189A-499B-A9BD-BC5AF32FB8BD}"/>
    <cellStyle name="PrePop Units (1)" xfId="4206" xr:uid="{EBD9D49D-6C7F-4BDD-9A1A-3FCF62503B0A}"/>
    <cellStyle name="PrePop Units (2)" xfId="4207" xr:uid="{7C5D4FEB-3B33-4553-B245-832E95D39C2F}"/>
    <cellStyle name="Procenten" xfId="4208" xr:uid="{68CB7E17-B0AB-4419-8BF8-BB840C58CCCE}"/>
    <cellStyle name="Procenten estimate" xfId="4209" xr:uid="{77A31FCA-8726-4A3D-8219-0F6446CE3B57}"/>
    <cellStyle name="Procenten_EMI" xfId="4210" xr:uid="{B28FCDC4-898E-4BD9-8C23-31EEA7A7606A}"/>
    <cellStyle name="Profit figure" xfId="4211" xr:uid="{992F3652-1EBE-4563-AE59-B7C62E0D38E0}"/>
    <cellStyle name="Protected" xfId="4212" xr:uid="{0D4F9531-70E3-4720-84C8-78E074E112FB}"/>
    <cellStyle name="ProtectedDates" xfId="4213" xr:uid="{B2FA565A-1875-415B-AF27-41E903F78ABA}"/>
    <cellStyle name="PSChar" xfId="4214" xr:uid="{6E328C88-8566-4CA0-B3D2-79D7CAA48E1B}"/>
    <cellStyle name="PSDate" xfId="4215" xr:uid="{6D5E79C8-8D9F-40A5-AA1D-0397A0F548B1}"/>
    <cellStyle name="PSDec" xfId="4216" xr:uid="{13A0D6AE-9261-4DEB-B3B0-60E8180274B2}"/>
    <cellStyle name="PSHeading" xfId="4217" xr:uid="{92EC7095-C29D-4188-A63B-A9776D3EE299}"/>
    <cellStyle name="PSHeading 2" xfId="5404" xr:uid="{1977DC7F-D3BC-48DF-8FA2-CBBEE3423D47}"/>
    <cellStyle name="PSInt" xfId="4218" xr:uid="{40E2D926-4976-4611-ADEC-416BEA1F0E55}"/>
    <cellStyle name="PSSpacer" xfId="4219" xr:uid="{322E99EC-4057-49EA-A674-EAAA73E08A12}"/>
    <cellStyle name="RatioX" xfId="4220" xr:uid="{E4BADD50-F813-4DB0-93B4-EBD461471CA8}"/>
    <cellStyle name="Red font" xfId="4221" xr:uid="{7AC9A783-DA0D-4A8A-9A79-0D184FCB3726}"/>
    <cellStyle name="ref" xfId="4222" xr:uid="{9373FA74-3AF2-4E33-8094-440977441815}"/>
    <cellStyle name="Right" xfId="4223" xr:uid="{32A83B7E-0951-4B6A-98D9-6F23F72D6DA3}"/>
    <cellStyle name="RZ_head" xfId="4605" xr:uid="{6B1FE29B-110D-44FE-B367-ACB347F47AD0}"/>
    <cellStyle name="Salomon Logo" xfId="4224" xr:uid="{63703685-48D4-4325-9689-AE8A6B00DCBC}"/>
    <cellStyle name="Salomon Logo 2" xfId="5507" xr:uid="{8E197B98-F7F5-4D55-9DC2-713F0D27AB76}"/>
    <cellStyle name="ScripFactor" xfId="4225" xr:uid="{616C9C75-9BD0-4F3F-A7AC-FC753B488C77}"/>
    <cellStyle name="SectionHeading" xfId="4226" xr:uid="{2849F5A4-E717-4444-BC29-D2EAEF6EB3C3}"/>
    <cellStyle name="SectionHeading 2" xfId="5405" xr:uid="{F5B5DE2F-C441-415F-99DD-F2E4BAD1922A}"/>
    <cellStyle name="Shade" xfId="4227" xr:uid="{55DC28AB-D682-4226-9F2C-B1A5DE912540}"/>
    <cellStyle name="Shade 2" xfId="5508" xr:uid="{B922F7C8-F7D2-409C-A5BE-D6AB48CDA8AB}"/>
    <cellStyle name="Shaded" xfId="4228" xr:uid="{7F9ADA7C-1179-4CB5-B0E8-BC2A2021FA4E}"/>
    <cellStyle name="Single Accounting" xfId="4229" xr:uid="{EAE139D4-AA08-49C4-858C-9DB9D60663F9}"/>
    <cellStyle name="Single Accounting 2" xfId="5406" xr:uid="{ACFFDFFB-73C9-4E6C-B8B5-964E6176F081}"/>
    <cellStyle name="SingleLineAcctgn" xfId="4230" xr:uid="{EA61491F-0C01-477A-A46B-948A4A973DCD}"/>
    <cellStyle name="SingleLineAcctgn 2" xfId="5407" xr:uid="{F4BC6C29-80BC-48F8-BD2D-E9B04CE47787}"/>
    <cellStyle name="SingleLinePercent" xfId="4231" xr:uid="{8444E77C-FBC1-419C-8F16-A8C336655013}"/>
    <cellStyle name="Source Superscript" xfId="4232" xr:uid="{608DF418-9482-4F1F-8293-93536C67AAAE}"/>
    <cellStyle name="Source Text" xfId="4233" xr:uid="{C17A97E7-1817-4842-941C-3EF0E234AD46}"/>
    <cellStyle name="ssp " xfId="4234" xr:uid="{738B4405-86DF-4414-8AA6-AFF0410FA18A}"/>
    <cellStyle name="ssp  2" xfId="5408" xr:uid="{DB88D05E-ED46-43AC-9B15-A5FE573F971E}"/>
    <cellStyle name="Standard" xfId="4235" xr:uid="{834CB40B-A939-42FA-992B-5703948088D7}"/>
    <cellStyle name="Style 1" xfId="4236" xr:uid="{B96020EC-A78D-4707-9669-B0670B35E64C}"/>
    <cellStyle name="Style 10" xfId="4237" xr:uid="{26AB95B3-5E73-4A61-9BA5-236E28EEDC5E}"/>
    <cellStyle name="Style 100" xfId="4238" xr:uid="{1F1798FF-F73E-49E3-9CFC-18B072DE09A2}"/>
    <cellStyle name="Style 101" xfId="4239" xr:uid="{E463A884-857F-48E8-B097-1A5AD194354A}"/>
    <cellStyle name="Style 102" xfId="4240" xr:uid="{AF642207-BB23-46BF-A436-BC99A4053EB1}"/>
    <cellStyle name="Style 103" xfId="4241" xr:uid="{358F7CC6-FF16-4D44-9427-3C506AFE3EA1}"/>
    <cellStyle name="Style 104" xfId="4242" xr:uid="{91040E28-4061-46B8-ABC6-1B9F59A9D919}"/>
    <cellStyle name="Style 105" xfId="4243" xr:uid="{E41470B7-F88F-4BD3-800F-1668DEEA565F}"/>
    <cellStyle name="Style 106" xfId="4244" xr:uid="{6E5985FE-8B23-43FA-A65A-98196839C31E}"/>
    <cellStyle name="Style 107" xfId="4245" xr:uid="{E379A8DC-9ECB-4DE3-8109-44E9EEF17696}"/>
    <cellStyle name="Style 108" xfId="4246" xr:uid="{C021E91C-0683-43BA-9711-453B80A42C20}"/>
    <cellStyle name="Style 109" xfId="4247" xr:uid="{8848022B-8A2A-4055-A9BA-FD1B2C52B77D}"/>
    <cellStyle name="Style 11" xfId="4248" xr:uid="{CB6B7DA9-67B9-4B8B-B261-82E82F7174F6}"/>
    <cellStyle name="Style 110" xfId="4249" xr:uid="{DC2D569B-6EA4-4D1D-8F3C-E85EA75F53DE}"/>
    <cellStyle name="Style 111" xfId="4250" xr:uid="{C3EEED84-557E-44F5-9198-4AD1AE07A9CD}"/>
    <cellStyle name="Style 112" xfId="4251" xr:uid="{AA7000F9-F799-4F38-9056-2C0E4DE61020}"/>
    <cellStyle name="Style 113" xfId="4252" xr:uid="{83395454-1744-45E8-BB55-5A7299B6CBC5}"/>
    <cellStyle name="Style 114" xfId="4253" xr:uid="{CC5A5757-3B83-44A8-BD1C-D2F6302AC982}"/>
    <cellStyle name="Style 115" xfId="4254" xr:uid="{7EBD6EAA-CE25-48F6-B2D8-AA9091CE2D7E}"/>
    <cellStyle name="Style 116" xfId="4255" xr:uid="{57F8B763-F450-4533-A1DC-C15451AD3DF5}"/>
    <cellStyle name="Style 117" xfId="4256" xr:uid="{D5D4917D-BCC4-400B-AD37-1D7D89F0B9BE}"/>
    <cellStyle name="Style 118" xfId="4257" xr:uid="{F4F8E28D-610B-4A61-8F8F-965F6B1D881F}"/>
    <cellStyle name="Style 119" xfId="4258" xr:uid="{1FF96BFC-4DBA-4C73-A5CD-DD7D6B959D96}"/>
    <cellStyle name="Style 12" xfId="4259" xr:uid="{BA4E7F27-F3E0-4412-A03E-031461568B79}"/>
    <cellStyle name="Style 120" xfId="4260" xr:uid="{7139BC56-7687-4738-811C-328A2039A674}"/>
    <cellStyle name="Style 121" xfId="4261" xr:uid="{2E75E3E4-6F2A-4BBD-AB4E-F91D02AC87FF}"/>
    <cellStyle name="Style 122" xfId="4262" xr:uid="{83708429-EB9F-4ADA-9B82-5A27B6F57FDF}"/>
    <cellStyle name="Style 123" xfId="4263" xr:uid="{07DA4BC0-44B3-4153-BF5A-36B7ADA1169B}"/>
    <cellStyle name="Style 124" xfId="4264" xr:uid="{9E89FF6F-8744-46DA-B0A5-B79F2F3B4F44}"/>
    <cellStyle name="Style 125" xfId="4265" xr:uid="{21920429-B9BD-423A-B203-9EF8702666CE}"/>
    <cellStyle name="Style 126" xfId="4266" xr:uid="{CE9D8025-BE4A-43E4-B59B-BD4B028C18EB}"/>
    <cellStyle name="Style 127" xfId="4267" xr:uid="{5BD0ACE9-C12D-48E4-9A35-C64E2CDB2682}"/>
    <cellStyle name="Style 128" xfId="4268" xr:uid="{6E795EF0-039D-4FEC-BDB9-265C4C54F8F0}"/>
    <cellStyle name="Style 129" xfId="4269" xr:uid="{8F614581-F9EF-4C3C-B46E-C05948323463}"/>
    <cellStyle name="Style 13" xfId="4270" xr:uid="{96C56508-A0C6-46F9-97F8-9DE38299DF68}"/>
    <cellStyle name="Style 130" xfId="4271" xr:uid="{A920CFF9-6219-4ABB-A53C-ECEF98CD505A}"/>
    <cellStyle name="Style 131" xfId="4272" xr:uid="{68879E4C-8A9A-4D4C-895B-5197738717CF}"/>
    <cellStyle name="Style 132" xfId="4273" xr:uid="{69A85214-A1FC-4B57-BBC1-98B238CF9714}"/>
    <cellStyle name="Style 133" xfId="4274" xr:uid="{14E7AD73-460C-4AA2-ABE6-BF523A7A23F3}"/>
    <cellStyle name="Style 134" xfId="4275" xr:uid="{7C1778DB-12CB-4C97-8EB7-F149969B7496}"/>
    <cellStyle name="Style 135" xfId="4276" xr:uid="{444E5B71-0703-4894-8721-F70CDF43BE7E}"/>
    <cellStyle name="Style 136" xfId="4277" xr:uid="{38EBA2C5-8E6F-413E-B69F-AD2016A518C4}"/>
    <cellStyle name="Style 137" xfId="4278" xr:uid="{816D6A65-0AB2-46C2-8598-015D5E126310}"/>
    <cellStyle name="Style 138" xfId="4279" xr:uid="{7BDBB2F7-177F-45B4-B54E-B5984C8B6604}"/>
    <cellStyle name="Style 139" xfId="4280" xr:uid="{4680B5A9-5EA1-4BDF-BC47-031D1B0B85EB}"/>
    <cellStyle name="Style 14" xfId="4281" xr:uid="{AE99A134-8460-4BEB-8C08-D05AF6A67E60}"/>
    <cellStyle name="Style 140" xfId="4282" xr:uid="{61EFE626-79D9-421A-B181-6BA45283B5D7}"/>
    <cellStyle name="Style 141" xfId="4283" xr:uid="{FA399E20-B116-45EF-80AC-A8EFCA98560F}"/>
    <cellStyle name="Style 142" xfId="4284" xr:uid="{7FD2D7C6-6A74-441E-98E8-3EA2FD583E60}"/>
    <cellStyle name="Style 143" xfId="4285" xr:uid="{046226F5-66B4-4E84-BE8C-95A83FD9E151}"/>
    <cellStyle name="Style 144" xfId="4286" xr:uid="{1DFD4698-A6F4-472B-A03B-14C9F2C2B137}"/>
    <cellStyle name="Style 145" xfId="4287" xr:uid="{F9204039-2A52-4934-B66F-9C35F3E6A52C}"/>
    <cellStyle name="Style 146" xfId="4288" xr:uid="{A2144F20-9A2A-4106-9CB1-3CD0754024D1}"/>
    <cellStyle name="Style 147" xfId="4289" xr:uid="{32E0393D-33DB-4162-88BC-9EBE6B414724}"/>
    <cellStyle name="Style 148" xfId="4290" xr:uid="{7CF27CF3-24C5-44D7-B902-C93B12A3360A}"/>
    <cellStyle name="Style 149" xfId="4291" xr:uid="{C4311CF2-EC4B-4FD9-92B3-2E38FE687C49}"/>
    <cellStyle name="Style 15" xfId="4292" xr:uid="{9E34FA59-8042-4109-BECF-7D32EB6A99DB}"/>
    <cellStyle name="Style 150" xfId="4293" xr:uid="{625267C1-E701-4338-B019-9213C8CA816A}"/>
    <cellStyle name="Style 151" xfId="4294" xr:uid="{30D0B331-C720-4E5F-8F70-CE576C91FE34}"/>
    <cellStyle name="Style 152" xfId="4295" xr:uid="{8455AC03-557D-4A91-B6F4-3B3332D7C07D}"/>
    <cellStyle name="Style 153" xfId="4296" xr:uid="{A33985A8-0E0F-4D64-A307-E16FEF1E3FC8}"/>
    <cellStyle name="Style 154" xfId="4297" xr:uid="{A07C233A-5250-433E-A842-4A2013F471DD}"/>
    <cellStyle name="Style 155" xfId="4298" xr:uid="{193F8902-F3DF-47BF-A00A-1476699C0D44}"/>
    <cellStyle name="Style 156" xfId="4299" xr:uid="{E810C40A-4A0A-41F5-B712-744B07C221E4}"/>
    <cellStyle name="Style 157" xfId="4300" xr:uid="{5B2347BD-DB8A-4722-BD0A-9AA39A9CA645}"/>
    <cellStyle name="Style 158" xfId="4301" xr:uid="{DB3A9913-1499-4EC9-82BA-8246474F83D5}"/>
    <cellStyle name="Style 159" xfId="4302" xr:uid="{0AF2A193-D5FE-45C8-9673-A371B1E7DA3E}"/>
    <cellStyle name="Style 16" xfId="4303" xr:uid="{82C973EE-A694-4970-8D47-FB5FDD351EB2}"/>
    <cellStyle name="Style 160" xfId="4304" xr:uid="{71B97CCF-C2F5-4280-8A7F-334AF7B5ECE9}"/>
    <cellStyle name="Style 161" xfId="4305" xr:uid="{64571A3F-40F1-45C7-B728-644B969C1624}"/>
    <cellStyle name="Style 162" xfId="4306" xr:uid="{8285E57B-0B4A-48C6-BA54-82E4565C1BBA}"/>
    <cellStyle name="Style 163" xfId="4307" xr:uid="{A22DFB63-7C33-45BD-97B8-7F6C4154F393}"/>
    <cellStyle name="Style 164" xfId="4308" xr:uid="{1394E811-FDA9-49D8-91D5-CC0F02827B62}"/>
    <cellStyle name="Style 165" xfId="4309" xr:uid="{1D954F57-9F0A-470F-9759-714FB6DDCFDB}"/>
    <cellStyle name="Style 166" xfId="4310" xr:uid="{15A1C123-3891-43D5-810E-178D4C7C570C}"/>
    <cellStyle name="Style 167" xfId="4311" xr:uid="{4935490E-ECE8-49EB-A880-B944D01934C1}"/>
    <cellStyle name="Style 168" xfId="4312" xr:uid="{EDAF034B-DF5C-4252-B288-DEFA2C9AF718}"/>
    <cellStyle name="Style 168 2" xfId="5409" xr:uid="{3C8BDD6C-D7D3-4850-B597-50E11FC00DA9}"/>
    <cellStyle name="Style 169" xfId="4313" xr:uid="{10BCFF8D-E391-4D32-855B-E50C78A60AB5}"/>
    <cellStyle name="Style 17" xfId="4314" xr:uid="{3BBF0188-AF1D-4EBB-B538-D162B009E196}"/>
    <cellStyle name="Style 170" xfId="4315" xr:uid="{3BA4BB84-D59B-44C6-8850-0A1FB9D3E64B}"/>
    <cellStyle name="Style 171" xfId="4316" xr:uid="{E8B33448-6BEC-4582-9AA8-519362E8ED03}"/>
    <cellStyle name="Style 172" xfId="4317" xr:uid="{EFD6B754-D9D5-4817-92BA-78B8981A2008}"/>
    <cellStyle name="Style 173" xfId="4318" xr:uid="{87F00E25-2989-40F4-AE80-051ECECF9BBE}"/>
    <cellStyle name="Style 174" xfId="4319" xr:uid="{72501044-48EF-4A12-968F-68DABB6097AF}"/>
    <cellStyle name="Style 175" xfId="4320" xr:uid="{B8D6A11C-459F-447C-99BE-074C58D28ABC}"/>
    <cellStyle name="Style 176" xfId="4321" xr:uid="{82CAAE71-5786-46EC-A4EC-4C684E4B894D}"/>
    <cellStyle name="Style 177" xfId="4322" xr:uid="{61A12F53-1EA3-4AC9-9D97-3F06F7472418}"/>
    <cellStyle name="Style 178" xfId="4323" xr:uid="{4FAB7DB1-7A9E-4E9C-8A06-C6E2A1811062}"/>
    <cellStyle name="Style 179" xfId="4324" xr:uid="{7696409C-B347-47DC-A592-0A67D3D8E770}"/>
    <cellStyle name="Style 18" xfId="4325" xr:uid="{0A1B6CB5-AAD4-4E15-AD72-A74612FD6AFD}"/>
    <cellStyle name="Style 180" xfId="4326" xr:uid="{DDD851D0-3224-452D-9009-EFD01F86461E}"/>
    <cellStyle name="Style 181" xfId="4327" xr:uid="{531DF997-260E-4F13-8810-A99EAD71745A}"/>
    <cellStyle name="Style 182" xfId="4328" xr:uid="{51DB97C9-9310-401F-9579-A24DF5B37542}"/>
    <cellStyle name="Style 183" xfId="4329" xr:uid="{F544B633-7485-442C-9E77-97156F5DE414}"/>
    <cellStyle name="Style 184" xfId="4330" xr:uid="{33BEC7ED-CA96-41A8-82BC-C65D789A649A}"/>
    <cellStyle name="Style 185" xfId="4331" xr:uid="{30EC5DCF-B9E3-4695-BDDB-756E4B00210C}"/>
    <cellStyle name="Style 186" xfId="4332" xr:uid="{0A63F684-4F11-4C21-8883-7C580D45F9E3}"/>
    <cellStyle name="Style 187" xfId="4333" xr:uid="{FA2E7F0D-F9AD-4021-BC0D-A9CA84BF1484}"/>
    <cellStyle name="Style 188" xfId="4334" xr:uid="{8A57B9CE-6A66-4530-B552-05BE0CABEB3E}"/>
    <cellStyle name="Style 189" xfId="4335" xr:uid="{42336600-64EE-4714-8822-9EA099A95AE8}"/>
    <cellStyle name="Style 19" xfId="4336" xr:uid="{333F6DD2-6936-4887-9A6D-6A563428438D}"/>
    <cellStyle name="Style 190" xfId="4337" xr:uid="{36921BCF-E87B-4A0C-9EBB-AC4DFAE9D01F}"/>
    <cellStyle name="Style 191" xfId="4338" xr:uid="{B8E950CC-9311-489E-9030-C6DC5B8D232C}"/>
    <cellStyle name="Style 192" xfId="4339" xr:uid="{AFDD998E-9DCE-4A44-A58A-C645939BD15F}"/>
    <cellStyle name="Style 193" xfId="4340" xr:uid="{043F4FF2-8311-4918-AEB1-601F33A0483C}"/>
    <cellStyle name="Style 194" xfId="4341" xr:uid="{9B4630E9-04D8-4229-A499-1598DFCCD3A6}"/>
    <cellStyle name="Style 195" xfId="4342" xr:uid="{D0D46688-70B2-47E0-A87B-7900E5B53DCB}"/>
    <cellStyle name="Style 196" xfId="4343" xr:uid="{63BCC664-41B8-43D2-811A-6DA29BF7319C}"/>
    <cellStyle name="Style 197" xfId="4344" xr:uid="{3C64A322-C007-4880-8DA4-DA6E8162F177}"/>
    <cellStyle name="Style 198" xfId="4345" xr:uid="{B8D44B5E-8EE0-43FA-9D68-24C627E2B787}"/>
    <cellStyle name="Style 199" xfId="4346" xr:uid="{2576EB79-D221-4188-A4F6-F166E60D8A73}"/>
    <cellStyle name="Style 2" xfId="4347" xr:uid="{575EFD32-3640-40AC-B5B1-6EFDAECB5DB3}"/>
    <cellStyle name="Style 2 2" xfId="5410" xr:uid="{541E2E0D-151C-4FAD-B250-EC569A7BA08B}"/>
    <cellStyle name="Style 20" xfId="4348" xr:uid="{81DDB8C4-5E49-45B5-AA3F-3150E69B74EE}"/>
    <cellStyle name="Style 200" xfId="4349" xr:uid="{D0A9210B-092A-4B3B-B668-3F268CE7270F}"/>
    <cellStyle name="Style 201" xfId="4350" xr:uid="{183AAB04-756F-434D-9740-2977C4AD79D8}"/>
    <cellStyle name="Style 202" xfId="4351" xr:uid="{21B8AC51-2F58-4055-96F4-A5F81A51C80D}"/>
    <cellStyle name="Style 203" xfId="4352" xr:uid="{38305352-2345-4314-A34C-384AAF4CC65E}"/>
    <cellStyle name="Style 204" xfId="4353" xr:uid="{6C42CD12-30C5-4D95-9E92-057F4D7A0A5F}"/>
    <cellStyle name="Style 205" xfId="4354" xr:uid="{70317148-6955-4DD0-ADBE-D9EA7447B964}"/>
    <cellStyle name="Style 206" xfId="4355" xr:uid="{6CFEE85F-F246-456F-B324-A1F2E246CD1B}"/>
    <cellStyle name="Style 207" xfId="4356" xr:uid="{AC128BA1-FB2B-4211-97DF-CDB156CEC96E}"/>
    <cellStyle name="Style 208" xfId="4357" xr:uid="{7E849B81-D540-44D1-9CEF-FC74F35394A3}"/>
    <cellStyle name="Style 209" xfId="4358" xr:uid="{900A3C05-B316-4792-BBB4-A2550F5FDCFD}"/>
    <cellStyle name="Style 21" xfId="4359" xr:uid="{696B0CCA-C23C-4986-957E-50B7C04FE868}"/>
    <cellStyle name="Style 21 2" xfId="4360" xr:uid="{E82394BB-EC24-49AB-822A-8D3717BD1B0F}"/>
    <cellStyle name="Style 21 3" xfId="5411" xr:uid="{84E216B7-76D2-4351-8B19-CC811093AD48}"/>
    <cellStyle name="Style 22" xfId="4361" xr:uid="{33D60912-6532-4A42-8ED6-33BB8EC938BA}"/>
    <cellStyle name="Style 22 2" xfId="4362" xr:uid="{2C9AD7FD-848C-47C9-871A-BC3F9C52A3D1}"/>
    <cellStyle name="Style 22 2 2" xfId="5413" xr:uid="{6A0020DD-109F-40EA-83C7-AD2CE0B37938}"/>
    <cellStyle name="Style 22 3" xfId="4363" xr:uid="{3CFF9989-1624-4764-8D19-E94C404F5FC3}"/>
    <cellStyle name="Style 22 3 2" xfId="5414" xr:uid="{6A32CB7B-7125-4823-96E1-1FDE67E2A861}"/>
    <cellStyle name="Style 22 4" xfId="4364" xr:uid="{9E69617E-5FFE-48F3-BE70-A9056335E314}"/>
    <cellStyle name="Style 22 5" xfId="5412" xr:uid="{7ACA6842-3A9D-432D-8F3D-65D90A50627B}"/>
    <cellStyle name="Style 23" xfId="66" xr:uid="{97D44AD7-6F6D-4136-9540-BD08BBD5A35F}"/>
    <cellStyle name="Style 23 2" xfId="67" xr:uid="{12040DAA-4EAF-490E-9774-53D7DD357EC7}"/>
    <cellStyle name="Style 23 2 2" xfId="80" xr:uid="{86769CA1-FF3D-4973-8B35-7DC67CAE9A6F}"/>
    <cellStyle name="Style 23 2 2 2" xfId="97" xr:uid="{E1F4C635-D702-4873-B316-EA540006C1A5}"/>
    <cellStyle name="Style 23 2 2 2 2" xfId="4670" xr:uid="{85EF8053-9AEF-41F9-806C-2860FBD87C5E}"/>
    <cellStyle name="Style 23 2 2 3" xfId="4589" xr:uid="{153985F2-347A-4B15-BFDE-629C6119CDA1}"/>
    <cellStyle name="Style 23 3" xfId="81" xr:uid="{14AEACEC-0EEB-44B9-BA33-C804DD698F72}"/>
    <cellStyle name="Style 23 3 2" xfId="96" xr:uid="{35B86A75-1218-43ED-9159-5502D3AA0C8F}"/>
    <cellStyle name="Style 23 3 2 2" xfId="4669" xr:uid="{637B8905-2481-45D5-9118-F524CD8AF431}"/>
    <cellStyle name="Style 23 3 3" xfId="4590" xr:uid="{36742599-82FA-4C48-B98E-2237D8D02568}"/>
    <cellStyle name="Style 24" xfId="4365" xr:uid="{35ABB096-B3D1-4667-89BA-EDA027E494CE}"/>
    <cellStyle name="Style 24 2" xfId="4366" xr:uid="{DB425FE9-5310-4603-8EB9-DE623A444AAE}"/>
    <cellStyle name="Style 24 3" xfId="4367" xr:uid="{7A7865AC-4CB1-47D8-9804-10E4E2FA6F81}"/>
    <cellStyle name="Style 24 4" xfId="4368" xr:uid="{9E8975B5-4C9C-4867-A3DB-8EF5DAADDCC1}"/>
    <cellStyle name="Style 24 5" xfId="5415" xr:uid="{ABBEA463-B49B-4A6A-A968-92C447874172}"/>
    <cellStyle name="Style 25" xfId="4369" xr:uid="{361F8A9F-6823-44A9-9106-C7C55BE6F15F}"/>
    <cellStyle name="Style 25 2" xfId="4370" xr:uid="{CA234DAD-75B2-4B97-AA04-07F208E48D53}"/>
    <cellStyle name="Style 25 2 2" xfId="5417" xr:uid="{189A6D94-0E07-4C13-8247-9703CAECC058}"/>
    <cellStyle name="Style 25 3" xfId="4371" xr:uid="{54037110-66B7-48CA-9A8D-BCDDEB851A21}"/>
    <cellStyle name="Style 25 4" xfId="5416" xr:uid="{C9F17E8D-B8D9-4EBF-99A8-8DEF7AF9A21B}"/>
    <cellStyle name="Style 26" xfId="4372" xr:uid="{2B45848E-1212-4355-8D99-4F1B1A3743DB}"/>
    <cellStyle name="Style 26 2" xfId="4373" xr:uid="{C18AD104-5D93-4B05-826A-1EC9FAC63CC9}"/>
    <cellStyle name="Style 26 3" xfId="4374" xr:uid="{E3E44FE8-EB03-41A6-8EE2-1DEB8BDA363B}"/>
    <cellStyle name="Style 26 4" xfId="4375" xr:uid="{CCE355B6-EEF7-4592-95AB-62E630DB7DED}"/>
    <cellStyle name="Style 26 5" xfId="5418" xr:uid="{82E6F05C-879B-4EEF-B69A-9396B3B8C43A}"/>
    <cellStyle name="Style 27" xfId="4376" xr:uid="{5E577918-33B8-49B1-8DE2-B617988530EF}"/>
    <cellStyle name="Style 28" xfId="4377" xr:uid="{972DD3F9-33E8-432D-AFA5-9F6256FECBB7}"/>
    <cellStyle name="Style 29" xfId="4378" xr:uid="{6800DE4C-4C34-490C-90B6-DA00112B90ED}"/>
    <cellStyle name="Style 3" xfId="4379" xr:uid="{873D9FA7-BBE1-4849-B7F4-997F08A6379E}"/>
    <cellStyle name="Style 3 2" xfId="5419" xr:uid="{0FE8B1A3-5A81-460E-BFCD-8BDC92F5FB9F}"/>
    <cellStyle name="Style 30" xfId="4380" xr:uid="{9C3A99B4-8EC2-4AE9-8C6E-961C45A5BE39}"/>
    <cellStyle name="Style 31" xfId="4381" xr:uid="{6FFF1685-3FF0-46A1-81EE-77CC02557020}"/>
    <cellStyle name="Style 32" xfId="4382" xr:uid="{71BA0473-894C-4A80-BA41-617BC248E461}"/>
    <cellStyle name="Style 33" xfId="4383" xr:uid="{30E72FE6-637E-45E1-AB70-B8F81D0AFE0D}"/>
    <cellStyle name="Style 34" xfId="4384" xr:uid="{C34EB1D1-52BE-44E1-960A-960266B76C5E}"/>
    <cellStyle name="Style 35" xfId="4385" xr:uid="{E3947363-163F-43CF-B115-3253DBFC9AD0}"/>
    <cellStyle name="Style 36" xfId="4386" xr:uid="{1FC6CE36-E36C-444A-92DD-9246FDA5E8F6}"/>
    <cellStyle name="Style 37" xfId="4387" xr:uid="{4163705B-5B5C-4EB3-A625-12A2B1B990F9}"/>
    <cellStyle name="Style 38" xfId="4388" xr:uid="{4F97AD4E-5151-41E5-8E8E-AE5E873126F9}"/>
    <cellStyle name="Style 39" xfId="4389" xr:uid="{7974E2F7-18B2-463C-9F5E-6164A2331A8F}"/>
    <cellStyle name="Style 4" xfId="4390" xr:uid="{4F5A9962-0ADA-410D-8CA3-9B35B4232B20}"/>
    <cellStyle name="Style 40" xfId="4391" xr:uid="{3090E2AB-3EFD-4E2F-894B-838FEFFF7103}"/>
    <cellStyle name="Style 41" xfId="4392" xr:uid="{B817CD6A-EA13-40C6-A1CD-F86F541B4938}"/>
    <cellStyle name="Style 42" xfId="4393" xr:uid="{040987CF-1C6A-4D55-9433-572F5B261D90}"/>
    <cellStyle name="Style 43" xfId="4394" xr:uid="{547DCB77-9C31-42D0-A354-3817ADF77589}"/>
    <cellStyle name="Style 44" xfId="4395" xr:uid="{B7C8BA52-401F-41C4-8A43-2990EC08F99D}"/>
    <cellStyle name="Style 45" xfId="4396" xr:uid="{D77FEB98-B149-4D93-A3D2-2F7C441DCFB3}"/>
    <cellStyle name="Style 46" xfId="4397" xr:uid="{9460692B-9D4F-4C37-A7A7-EC33B994A317}"/>
    <cellStyle name="Style 47" xfId="4398" xr:uid="{1F5D8640-D82D-4EBC-A41A-A7666B4F4F31}"/>
    <cellStyle name="Style 48" xfId="4399" xr:uid="{94724FDE-EB04-48FA-A086-DDE6F15E4754}"/>
    <cellStyle name="Style 49" xfId="4400" xr:uid="{79869C42-76BE-416C-BFA7-97AB18E3D7F3}"/>
    <cellStyle name="Style 5" xfId="4401" xr:uid="{E23FA980-3804-46B9-9421-090EAEDE44BF}"/>
    <cellStyle name="Style 5 2" xfId="5420" xr:uid="{F5971E22-3C5A-420C-BA8E-E7C30872F9D1}"/>
    <cellStyle name="Style 50" xfId="4402" xr:uid="{E689B9A4-0D44-4AF1-8398-D38A736C5854}"/>
    <cellStyle name="Style 51" xfId="4403" xr:uid="{FB37FA26-1B8D-4893-B4B4-8269EB707767}"/>
    <cellStyle name="Style 52" xfId="4404" xr:uid="{28754D99-13B4-47CD-97DD-FCB16FE040F1}"/>
    <cellStyle name="Style 53" xfId="4405" xr:uid="{1BF2ECB7-E239-48F7-A9D2-1EC533C74AFE}"/>
    <cellStyle name="Style 54" xfId="4406" xr:uid="{23A94051-455B-487D-BABA-1F076D653D50}"/>
    <cellStyle name="Style 55" xfId="4407" xr:uid="{8BA01491-7689-4E9A-AA2C-BEAAE15F0C4D}"/>
    <cellStyle name="Style 56" xfId="4408" xr:uid="{A500DC8D-51BB-4FFD-85AC-7A9FF4E477E8}"/>
    <cellStyle name="Style 57" xfId="4409" xr:uid="{F6DFDDB6-246C-411E-8122-C6251F4D5987}"/>
    <cellStyle name="Style 58" xfId="4410" xr:uid="{617E3018-6E1D-4AD7-AB57-A4859131CCD5}"/>
    <cellStyle name="Style 59" xfId="4411" xr:uid="{9D0F0062-FDD7-449A-A24A-EC0A028A97EE}"/>
    <cellStyle name="Style 6" xfId="4412" xr:uid="{0EE456F0-11E9-4666-88FE-194C4408C6A1}"/>
    <cellStyle name="Style 60" xfId="4413" xr:uid="{6DC5C65C-E525-4B02-BE1C-3A3BCBD4EBEE}"/>
    <cellStyle name="Style 61" xfId="4414" xr:uid="{F18CD4EE-DF05-4044-92A9-B742859F985B}"/>
    <cellStyle name="Style 62" xfId="4415" xr:uid="{84C0B984-2D07-45F8-9A43-B2A0B789EAF0}"/>
    <cellStyle name="Style 63" xfId="4416" xr:uid="{D8BFE7B7-1D76-4024-AA96-3D353B507F92}"/>
    <cellStyle name="Style 64" xfId="4417" xr:uid="{093E8BB6-72CF-4BCD-B17B-33C311B0E53B}"/>
    <cellStyle name="Style 65" xfId="4418" xr:uid="{37384E27-331E-4136-8A71-937DA4BD7073}"/>
    <cellStyle name="Style 66" xfId="4419" xr:uid="{C735DE71-B145-47D6-9AD6-F204D37CEEEB}"/>
    <cellStyle name="Style 67" xfId="4420" xr:uid="{BC1629F1-07A6-4D84-A887-525AE06359DA}"/>
    <cellStyle name="Style 68" xfId="4421" xr:uid="{32EF3F5E-1F64-4F85-8BB5-D7C77D0F7A41}"/>
    <cellStyle name="Style 69" xfId="4422" xr:uid="{530BECE0-A6EB-4D9A-85D4-5431B9921512}"/>
    <cellStyle name="Style 7" xfId="4423" xr:uid="{8B7A81DD-5A3A-40CE-ABDE-275D69B42AAC}"/>
    <cellStyle name="Style 70" xfId="4424" xr:uid="{920CFAE2-8942-43C6-89B1-4A328AFD2AAE}"/>
    <cellStyle name="Style 71" xfId="4425" xr:uid="{0AD7E0EE-DC72-45E7-83AD-ABB8B4E1519A}"/>
    <cellStyle name="Style 72" xfId="4426" xr:uid="{9C5A5E41-0150-4B87-9092-465936E1F434}"/>
    <cellStyle name="Style 73" xfId="4427" xr:uid="{ACD59D8E-372F-464F-B83D-F9E2E38ADD0D}"/>
    <cellStyle name="Style 74" xfId="4428" xr:uid="{EC18747E-568B-4B5A-8942-0AB428EA43B8}"/>
    <cellStyle name="Style 75" xfId="4429" xr:uid="{CEF91E2D-E5F9-42D8-964B-46D4D5A8839B}"/>
    <cellStyle name="Style 76" xfId="4430" xr:uid="{089D83F4-1101-400A-871E-A8905702C025}"/>
    <cellStyle name="Style 77" xfId="4431" xr:uid="{B12C35A0-0675-4F27-87D8-3BDC26DA240C}"/>
    <cellStyle name="Style 78" xfId="4432" xr:uid="{4DC4EEE6-C00B-4443-A2AA-2DE41E055680}"/>
    <cellStyle name="Style 79" xfId="4433" xr:uid="{7B3A7975-DCCC-43B6-BA9A-D6B3F9122CB9}"/>
    <cellStyle name="Style 8" xfId="4434" xr:uid="{F6A3F3F3-7806-4523-81D5-878F4A1045D9}"/>
    <cellStyle name="Style 80" xfId="4435" xr:uid="{F2C899A6-1536-4BBF-ADBB-C8561EED7959}"/>
    <cellStyle name="Style 81" xfId="4436" xr:uid="{A6DC31A1-4520-40B8-AD78-01F6167FD483}"/>
    <cellStyle name="Style 82" xfId="4437" xr:uid="{BA93D3DA-E27A-44A4-8988-F07AA3CD4290}"/>
    <cellStyle name="Style 83" xfId="4438" xr:uid="{7076D69C-074B-4ADF-B6AE-F481554A9A89}"/>
    <cellStyle name="Style 84" xfId="4439" xr:uid="{59A36085-C284-457C-AE3F-F016C7F0D9A5}"/>
    <cellStyle name="Style 85" xfId="4440" xr:uid="{28662A78-4E45-4569-A103-2B36070A4D32}"/>
    <cellStyle name="Style 86" xfId="4441" xr:uid="{F73106B9-5C85-4D10-AFB5-8328A36A9607}"/>
    <cellStyle name="Style 87" xfId="4442" xr:uid="{22A849E5-0143-4B8E-BBC2-1FF9458DE6BB}"/>
    <cellStyle name="Style 88" xfId="4443" xr:uid="{87805764-360A-406E-9E66-48BC31F514C4}"/>
    <cellStyle name="Style 89" xfId="4444" xr:uid="{1D499D33-F2F1-4C53-B2FD-73043E930070}"/>
    <cellStyle name="Style 9" xfId="4445" xr:uid="{855A3B27-3D49-4EB3-8244-9D5646C79067}"/>
    <cellStyle name="Style 90" xfId="4446" xr:uid="{D57C2A40-DF47-4A85-9BAD-60F764E3C76E}"/>
    <cellStyle name="Style 91" xfId="4447" xr:uid="{59771AAD-D2B1-4647-AB97-C24B3ED4C844}"/>
    <cellStyle name="Style 92" xfId="4448" xr:uid="{55B6A87A-C2AF-4A6C-BD6E-2D958D7994B4}"/>
    <cellStyle name="Style 93" xfId="4449" xr:uid="{AAA9AEBD-E4A0-466A-8679-D0B5F625C297}"/>
    <cellStyle name="Style 94" xfId="4450" xr:uid="{9ABBD59A-0E76-4D0B-B6B1-B3CD866128B6}"/>
    <cellStyle name="Style 95" xfId="4451" xr:uid="{5A27CEBA-888F-4726-9D9C-16B0CCFA3796}"/>
    <cellStyle name="Style 96" xfId="4452" xr:uid="{3966D16B-DF9D-43BE-8664-AE48E8073D1F}"/>
    <cellStyle name="Style 97" xfId="4453" xr:uid="{FC5782F1-3C8A-4207-8B86-15E20244C0DD}"/>
    <cellStyle name="Style 98" xfId="4454" xr:uid="{5DF9B3E5-8CD5-45A5-B0C0-DC458C1B34A7}"/>
    <cellStyle name="Style 99" xfId="4455" xr:uid="{9C7AF2AF-BEBD-4C39-B733-D83D0E77CA2A}"/>
    <cellStyle name="STYLE1" xfId="4456" xr:uid="{64B8E299-DE4A-4C4C-8B29-0BF9D6E637A5}"/>
    <cellStyle name="STYLE2" xfId="4457" xr:uid="{E4795AA0-91B4-4F85-B46A-83BBF699CFE8}"/>
    <cellStyle name="STYLE3" xfId="4458" xr:uid="{B2206960-24B5-4556-87EC-D08983606855}"/>
    <cellStyle name="Subhead" xfId="4459" xr:uid="{FCCEE798-D9B7-45BB-A01D-A3672094BC6F}"/>
    <cellStyle name="Subtotal_left" xfId="4460" xr:uid="{BA695E5D-F68A-4EA5-9404-865374EB2728}"/>
    <cellStyle name="SwitchCell" xfId="4461" xr:uid="{C9F35457-C222-45FA-B70A-4C62C5DDC246}"/>
    <cellStyle name="t" xfId="4462" xr:uid="{6DFA92D4-90D2-445D-BCDD-B49A23076E75}"/>
    <cellStyle name="Table Col Head" xfId="4463" xr:uid="{4A7802C0-D7DC-495D-AF68-975CCD6555EF}"/>
    <cellStyle name="Table Head" xfId="4464" xr:uid="{895C5D79-AC3E-4E6C-93D1-D2123386786D}"/>
    <cellStyle name="Table Head Aligned" xfId="4465" xr:uid="{3129DD96-9690-4EF8-8455-9A6C4F165DE8}"/>
    <cellStyle name="Table Head Aligned 2" xfId="4554" xr:uid="{33FE5B01-262F-4B29-8C66-07C37462D711}"/>
    <cellStyle name="Table Head Blue" xfId="4466" xr:uid="{030D4590-21AE-4C55-BD3E-09559FF625F8}"/>
    <cellStyle name="Table Head Green" xfId="4467" xr:uid="{B5939079-DC13-440C-98D3-E5E428D86C7D}"/>
    <cellStyle name="Table Head Green 2" xfId="4556" xr:uid="{108EFD4F-86A8-4FA8-B580-809A29C4FC3D}"/>
    <cellStyle name="Table Head_Val_Sum_Graph" xfId="4468" xr:uid="{3E148B41-A282-4BC9-98B2-365C58F47914}"/>
    <cellStyle name="Table Sub Head" xfId="4469" xr:uid="{D62A4172-4AFD-4031-A1ED-59E369BF0647}"/>
    <cellStyle name="Table Text" xfId="4470" xr:uid="{8386A4B2-8406-4740-A880-D22F637BDCD1}"/>
    <cellStyle name="Table Title" xfId="4471" xr:uid="{9BB1DB04-33D9-4D72-B04F-AB2DAF7516CD}"/>
    <cellStyle name="Table Units" xfId="4472" xr:uid="{B4805D2F-BBA4-4EA6-A9C4-80A4C96A9431}"/>
    <cellStyle name="Table_Header" xfId="4473" xr:uid="{5A378381-8650-41DC-B2E3-98CE65712F54}"/>
    <cellStyle name="TableBorder" xfId="4474" xr:uid="{3A8C54D0-FB5C-41A7-A804-AEEE74F7AFDF}"/>
    <cellStyle name="TableBorder 2" xfId="5421" xr:uid="{740DC0BD-8399-4FE3-85DA-74515F9203B6}"/>
    <cellStyle name="TableColumnHeader" xfId="4475" xr:uid="{F35BE6DE-9B57-469B-8F77-603835DEA780}"/>
    <cellStyle name="TableColumnHeader 2" xfId="4566" xr:uid="{7BA472C8-BF35-4046-9860-2ACDAC481133}"/>
    <cellStyle name="TableColumnHeader 2 2" xfId="5436" xr:uid="{4E8A6CF3-BEB9-48D7-A705-5F48BEB5ED96}"/>
    <cellStyle name="TableColumnHeader 3" xfId="5422" xr:uid="{3D24EFEA-DF12-4491-AFBF-028CD674C27A}"/>
    <cellStyle name="TableHeading" xfId="4476" xr:uid="{59E85D56-5C8B-47B2-A5D8-FB07EA3092E2}"/>
    <cellStyle name="TableHeading 2" xfId="5423" xr:uid="{DB0A83A1-3CC9-4B48-A582-EFAACE898AAD}"/>
    <cellStyle name="TableHighlight" xfId="4477" xr:uid="{AD007B5C-B1F9-46CD-B370-22F20F46CA8B}"/>
    <cellStyle name="TableNote" xfId="4478" xr:uid="{DAB17E46-9B63-4C79-941E-0420D44DE946}"/>
    <cellStyle name="test a style" xfId="4479" xr:uid="{128BEB48-38EA-4C2A-8FDE-37F9C54EE97E}"/>
    <cellStyle name="test a style 2" xfId="4557" xr:uid="{C73581A0-407F-4991-97E8-9B6BCFDD69D1}"/>
    <cellStyle name="Text 1" xfId="4480" xr:uid="{32AAB80B-0423-4B5B-8E71-30CEB7DA28C7}"/>
    <cellStyle name="Text Head 1" xfId="4481" xr:uid="{3742D384-E506-44AC-9F29-EED0DC28D959}"/>
    <cellStyle name="Text Indent A" xfId="4482" xr:uid="{707CE990-9BA3-4E7A-8A87-6623850C3CB6}"/>
    <cellStyle name="Text Indent B" xfId="4483" xr:uid="{54D8D33E-DE98-417D-8A6D-89830FDF67D9}"/>
    <cellStyle name="Text Indent C" xfId="4484" xr:uid="{C3D99236-9F43-48EB-A80A-83DA1EE8C721}"/>
    <cellStyle name="Text Wrap" xfId="4485" xr:uid="{BC43602D-3881-42EB-B587-88BC9BD446F0}"/>
    <cellStyle name="Time" xfId="4486" xr:uid="{E63B60BD-88E0-41D5-93D0-E562D99DD0B4}"/>
    <cellStyle name="Times 10" xfId="4487" xr:uid="{E57A0FB4-FC1B-4CF9-8A27-34F5007D1E44}"/>
    <cellStyle name="Times 12" xfId="4488" xr:uid="{9B6C2856-7781-40BA-BB2C-DFD85FCDCC04}"/>
    <cellStyle name="Times New Roman" xfId="4489" xr:uid="{344B74F0-4D7F-4699-A0F8-8E03E8088A6A}"/>
    <cellStyle name="Title" xfId="4607" builtinId="15" customBuiltin="1"/>
    <cellStyle name="Title 2" xfId="68" xr:uid="{F711D16A-B931-4FB0-82DE-D65A578FE0BB}"/>
    <cellStyle name="Title 2 2" xfId="4490" xr:uid="{3AF5E42E-0254-4B18-A228-8255746C9B5C}"/>
    <cellStyle name="Title 3" xfId="4491" xr:uid="{9652FBA4-26A2-4591-A366-96ADA08A8224}"/>
    <cellStyle name="Title 4" xfId="4652" xr:uid="{CD9F9569-D20B-4691-BD61-3FADE781D861}"/>
    <cellStyle name="title1" xfId="4493" xr:uid="{E4B08EEF-2CFE-419D-86A6-1F2245DDF28B}"/>
    <cellStyle name="title2" xfId="4494" xr:uid="{DA4255E4-EFE5-4205-85F8-9AF489B7D09E}"/>
    <cellStyle name="Title-2" xfId="4492" xr:uid="{1B87602C-07C7-4E14-8F9E-6C4FF1ADEA76}"/>
    <cellStyle name="Titles" xfId="4495" xr:uid="{5E9B88DA-CB58-40CF-B859-3CA09F892FC9}"/>
    <cellStyle name="titre_col" xfId="4496" xr:uid="{5F70BB96-8FAD-4B22-B617-3CC1E92EEF4E}"/>
    <cellStyle name="TOC" xfId="4497" xr:uid="{0417D328-D248-4CFC-902F-B93958ACBB3E}"/>
    <cellStyle name="Total" xfId="4623" builtinId="25" customBuiltin="1"/>
    <cellStyle name="Total 2" xfId="69" xr:uid="{88D57756-AC4C-4339-8B03-48A3E246E25B}"/>
    <cellStyle name="Total 2 10" xfId="4498" xr:uid="{6FE548C1-46CC-4601-B007-1103643C5183}"/>
    <cellStyle name="Total 2 11" xfId="4582" xr:uid="{86C30EB3-730D-4137-BB94-2363B113AF20}"/>
    <cellStyle name="Total 2 11 2" xfId="5447" xr:uid="{B7B62844-9993-475B-B63D-914E3BB4AD95}"/>
    <cellStyle name="Total 2 12" xfId="5473" xr:uid="{89538B4F-209F-4E7E-A611-4B7D3282E457}"/>
    <cellStyle name="Total 2 2" xfId="76" xr:uid="{9AF418D7-A9A9-417A-A886-40A1A6407855}"/>
    <cellStyle name="Total 2 2 2" xfId="93" xr:uid="{FB956A2B-C59D-49CA-A9A2-0650463D94EA}"/>
    <cellStyle name="Total 2 2 2 2" xfId="4602" xr:uid="{6AE56742-46C7-4398-B4FD-C38498962F32}"/>
    <cellStyle name="Total 2 2 2 2 2" xfId="5465" xr:uid="{69353CEF-8E2D-4490-ABDB-71ABFFC72972}"/>
    <cellStyle name="Total 2 2 2 3" xfId="5491" xr:uid="{1D67CFDF-6D1F-4EC4-829D-6EDA899A7EAE}"/>
    <cellStyle name="Total 2 2 3" xfId="4588" xr:uid="{0AE767ED-3756-4A3E-8D6F-47368A440621}"/>
    <cellStyle name="Total 2 2 3 2" xfId="5453" xr:uid="{BDE88C57-9E58-4D3D-86F6-390182A748F3}"/>
    <cellStyle name="Total 2 2 4" xfId="5479" xr:uid="{6AD533BC-4327-45BC-8FCD-4566DBBE8781}"/>
    <cellStyle name="Total 2 3" xfId="87" xr:uid="{380FE874-B480-48F5-BA73-26288A6862EA}"/>
    <cellStyle name="Total 2 3 2" xfId="4596" xr:uid="{A64DD215-D12E-444B-9C73-22EFBBFB7F9D}"/>
    <cellStyle name="Total 2 3 2 2" xfId="5459" xr:uid="{DCFCE8D8-D83A-40FD-9C38-950315D9AF22}"/>
    <cellStyle name="Total 2 3 3" xfId="5485" xr:uid="{66917570-8D54-4AA9-A6EA-E06A4614C944}"/>
    <cellStyle name="Total 2 4" xfId="4499" xr:uid="{B5327D1F-2465-42D3-98C6-86B8E17E7D66}"/>
    <cellStyle name="Total 2 5" xfId="4500" xr:uid="{88460BC0-1C23-47F8-A572-06B703F17BC0}"/>
    <cellStyle name="Total 2 6" xfId="4501" xr:uid="{429D8C80-56CB-47C8-B953-C2BFC7D62B59}"/>
    <cellStyle name="Total 2 7" xfId="4502" xr:uid="{EC3247E4-7C03-4A50-A9C4-282E817C0F04}"/>
    <cellStyle name="Total 2 8" xfId="4503" xr:uid="{B7F565E0-471E-404E-AEC6-A88764E868BC}"/>
    <cellStyle name="Total 2 9" xfId="4504" xr:uid="{C7A89578-FC75-4088-B3C2-DED3EE66A968}"/>
    <cellStyle name="Total 3" xfId="4505" xr:uid="{912B52F1-3930-48AB-9FDC-CE1FD2A4A7AB}"/>
    <cellStyle name="Total 3 2" xfId="5509" xr:uid="{F77EEE98-880F-4BE2-A09D-51D10759378B}"/>
    <cellStyle name="Total 3 3" xfId="5424" xr:uid="{D4C70E3C-6F10-471E-AD75-7140AD3FF27C}"/>
    <cellStyle name="Total Bold" xfId="4506" xr:uid="{45570C03-9691-4504-A7AA-A76EC00B933F}"/>
    <cellStyle name="Total Bold 2" xfId="5510" xr:uid="{1C0E211C-57EE-4156-8F35-E75E089D2DF7}"/>
    <cellStyle name="Total Bold 3" xfId="5425" xr:uid="{CBECF46E-84DE-4457-90F4-70FD050695BD}"/>
    <cellStyle name="Totals" xfId="4507" xr:uid="{E9BE16B0-F6FC-4F85-BA41-F836E91AA6C4}"/>
    <cellStyle name="Totals 2" xfId="4567" xr:uid="{9ED4B7DF-3AF7-4241-904D-8645A739B173}"/>
    <cellStyle name="Totals 2 2" xfId="5437" xr:uid="{FA589D9F-3516-4EFB-A3BD-9D2C64B37CC0}"/>
    <cellStyle name="Totals 3" xfId="5426" xr:uid="{A25322E5-3CFD-4E4C-AE56-45374A30AE67}"/>
    <cellStyle name="Underline_Single" xfId="4508" xr:uid="{2E876AA0-5B49-4AD1-8EA1-F6FE927F05DD}"/>
    <cellStyle name="UnProtectedCalc" xfId="4509" xr:uid="{0D660742-F04D-413D-A9F4-F2F47ACF31F7}"/>
    <cellStyle name="UnProtectedCalc 2" xfId="4558" xr:uid="{0EE5C1B9-F8F6-480E-81BE-3F268530A0E4}"/>
    <cellStyle name="Valuta (0)_Sheet1" xfId="4510" xr:uid="{288735FE-5E54-4E47-A248-A5F84A51C2D8}"/>
    <cellStyle name="Valuta_piv_polio" xfId="4511" xr:uid="{A66FF2A6-AE2C-40AD-A8E1-365469B0108F}"/>
    <cellStyle name="Währung [0]_A17 - 31.03.1998" xfId="4512" xr:uid="{E29A8A55-292A-4944-904D-0BE32B75F44A}"/>
    <cellStyle name="Währung_A17 - 31.03.1998" xfId="4513" xr:uid="{CFA14042-B40E-42AD-AD67-96F9F8CC2D76}"/>
    <cellStyle name="Warburg" xfId="4514" xr:uid="{C6E89C8A-AEF8-4215-ABB8-A495A6449AB2}"/>
    <cellStyle name="Warning Text" xfId="4620" builtinId="11" customBuiltin="1"/>
    <cellStyle name="Warning Text 2" xfId="70" xr:uid="{2CF71194-A27A-40D0-902A-E36067B5589D}"/>
    <cellStyle name="Warning Text 2 2" xfId="4515" xr:uid="{A8A67A65-A564-4167-8D69-B9BE8560BAEA}"/>
    <cellStyle name="Warning Text 2 3" xfId="4516" xr:uid="{E6930CF6-7AA5-419D-8F00-5438B9C216FB}"/>
    <cellStyle name="Warning Text 2 4" xfId="4517" xr:uid="{F60896D7-66AF-4690-B6FB-47D6714D6566}"/>
    <cellStyle name="Warning Text 2 5" xfId="4518" xr:uid="{8B6D3799-4A16-47CC-BDFC-0A784AD81EAE}"/>
    <cellStyle name="Warning Text 2 6" xfId="4519" xr:uid="{62DFAE2D-B6BE-439C-B725-90159BFD20A1}"/>
    <cellStyle name="Warning Text 2 7" xfId="4520" xr:uid="{5E94ED3B-0D7E-43C1-8982-7DB945CFC070}"/>
    <cellStyle name="Warning Text 2 8" xfId="4521" xr:uid="{68099F86-13E7-4478-A452-58D1C9CADC99}"/>
    <cellStyle name="Warning Text 2 9" xfId="4522" xr:uid="{70FB0AEC-077D-4820-AC31-DE13BAFD83DC}"/>
    <cellStyle name="Warning Text 3" xfId="4523" xr:uid="{720D5C2C-C41A-4F03-8207-41B2B3F39EB8}"/>
    <cellStyle name="wild guess" xfId="4524" xr:uid="{DC404245-76A8-4185-8DEE-B8E411A577EF}"/>
    <cellStyle name="Wildguess" xfId="4525" xr:uid="{56AAD5B9-354C-47B9-BDBC-8C0D4E5AAA44}"/>
    <cellStyle name="Year" xfId="4526" xr:uid="{1F20743E-5B1F-4530-9652-BAC748C1389D}"/>
    <cellStyle name="Year Estimate" xfId="4527" xr:uid="{1559D599-3749-4685-8322-64F57821B8D5}"/>
    <cellStyle name="Year, Actual" xfId="4528" xr:uid="{0344B0FA-D7FF-4CE9-BFAA-9906788CD033}"/>
    <cellStyle name="YearE_ Pies " xfId="4529" xr:uid="{CF87C3EF-5016-43FE-89F5-C190F7062856}"/>
    <cellStyle name="YearFormat" xfId="4530" xr:uid="{F9430554-3141-40E3-95E3-576BC1A935D7}"/>
    <cellStyle name="YearFormat 2" xfId="4559" xr:uid="{B5B830D9-3712-4174-868B-6F30C5A3345D}"/>
    <cellStyle name="Yen" xfId="4531" xr:uid="{BC858D39-7286-48D5-A1A1-799220A968DC}"/>
    <cellStyle name="YesNo" xfId="4532" xr:uid="{B8323583-B55B-4FAD-8A92-5B283974CE33}"/>
    <cellStyle name="쬞\?1@" xfId="4533" xr:uid="{89E4934E-8DA2-4290-9EA4-8FF572572053}"/>
    <cellStyle name="千位分隔 2" xfId="4534" xr:uid="{00C23D25-A54B-4734-9F79-0204CC813C10}"/>
    <cellStyle name="千位分隔 2 2" xfId="5427" xr:uid="{C26A9581-804C-485B-A4CF-9B3FD0E08A4D}"/>
    <cellStyle name="常规 2" xfId="4535" xr:uid="{22CBF7A1-A860-4D94-A4EC-0FD0F9EDA2CA}"/>
    <cellStyle name="標準_car_JP" xfId="4536" xr:uid="{F8F5462E-E365-42ED-ACE3-E5FDA3E3C8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eetMetadata" Target="metadata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Weather!$S$1</c:f>
              <c:strCache>
                <c:ptCount val="1"/>
                <c:pt idx="0">
                  <c:v> VRZ_ResidentialkWh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Weather!$Q$14:$Q$145</c:f>
              <c:numCache>
                <c:formatCode>0</c:formatCode>
                <c:ptCount val="132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  <c:pt idx="120">
                  <c:v>-5.6266129032258068</c:v>
                </c:pt>
                <c:pt idx="121">
                  <c:v>-5.7592261904761912</c:v>
                </c:pt>
                <c:pt idx="122">
                  <c:v>1.2700268817204301</c:v>
                </c:pt>
                <c:pt idx="123">
                  <c:v>6.2719444444444443</c:v>
                </c:pt>
                <c:pt idx="124">
                  <c:v>12.868682795698925</c:v>
                </c:pt>
                <c:pt idx="125">
                  <c:v>19.441388888888891</c:v>
                </c:pt>
                <c:pt idx="126">
                  <c:v>22.816599462365595</c:v>
                </c:pt>
                <c:pt idx="127">
                  <c:v>20.383467741935487</c:v>
                </c:pt>
                <c:pt idx="128">
                  <c:v>17.070277777777775</c:v>
                </c:pt>
                <c:pt idx="129">
                  <c:v>10.918682795698926</c:v>
                </c:pt>
                <c:pt idx="130">
                  <c:v>2.6462499999999998</c:v>
                </c:pt>
                <c:pt idx="131">
                  <c:v>-4.0064516129032253</c:v>
                </c:pt>
              </c:numCache>
            </c:numRef>
          </c:xVal>
          <c:yVal>
            <c:numRef>
              <c:f>Weather!$S$14:$S$145</c:f>
              <c:numCache>
                <c:formatCode>_-* #,##0_-;\-* #,##0_-;_-* "-"??_-;_-@_-</c:formatCode>
                <c:ptCount val="132"/>
                <c:pt idx="12">
                  <c:v>84351404.803892285</c:v>
                </c:pt>
                <c:pt idx="13">
                  <c:v>76305256.827142537</c:v>
                </c:pt>
                <c:pt idx="14">
                  <c:v>72844786.655513629</c:v>
                </c:pt>
                <c:pt idx="15">
                  <c:v>64239807.943303466</c:v>
                </c:pt>
                <c:pt idx="16">
                  <c:v>63958037.171408132</c:v>
                </c:pt>
                <c:pt idx="17">
                  <c:v>73391084.5386471</c:v>
                </c:pt>
                <c:pt idx="18">
                  <c:v>96583630.139895052</c:v>
                </c:pt>
                <c:pt idx="19">
                  <c:v>102725683.51117057</c:v>
                </c:pt>
                <c:pt idx="20">
                  <c:v>71436986.026025772</c:v>
                </c:pt>
                <c:pt idx="21">
                  <c:v>61935878.390775234</c:v>
                </c:pt>
                <c:pt idx="22">
                  <c:v>64742977.349493615</c:v>
                </c:pt>
                <c:pt idx="23">
                  <c:v>82597411.819910794</c:v>
                </c:pt>
                <c:pt idx="24">
                  <c:v>80431611.130882367</c:v>
                </c:pt>
                <c:pt idx="25">
                  <c:v>69353400.333466798</c:v>
                </c:pt>
                <c:pt idx="26">
                  <c:v>75699751.055361286</c:v>
                </c:pt>
                <c:pt idx="27">
                  <c:v>60663563.421417959</c:v>
                </c:pt>
                <c:pt idx="28">
                  <c:v>59935314.111009158</c:v>
                </c:pt>
                <c:pt idx="29">
                  <c:v>66835340.77071131</c:v>
                </c:pt>
                <c:pt idx="30">
                  <c:v>83114868.687091783</c:v>
                </c:pt>
                <c:pt idx="31">
                  <c:v>77096964.269862339</c:v>
                </c:pt>
                <c:pt idx="32">
                  <c:v>70602414.11987263</c:v>
                </c:pt>
                <c:pt idx="33">
                  <c:v>60761893.54912287</c:v>
                </c:pt>
                <c:pt idx="34">
                  <c:v>68569104.110036552</c:v>
                </c:pt>
                <c:pt idx="35">
                  <c:v>87431618.858394295</c:v>
                </c:pt>
                <c:pt idx="36">
                  <c:v>88386960.733181074</c:v>
                </c:pt>
                <c:pt idx="37">
                  <c:v>72303102.74749133</c:v>
                </c:pt>
                <c:pt idx="38">
                  <c:v>74007193.097547501</c:v>
                </c:pt>
                <c:pt idx="39">
                  <c:v>68167462.877580613</c:v>
                </c:pt>
                <c:pt idx="40">
                  <c:v>62617818.816704452</c:v>
                </c:pt>
                <c:pt idx="41">
                  <c:v>71839856.426635936</c:v>
                </c:pt>
                <c:pt idx="42">
                  <c:v>100738340.34786299</c:v>
                </c:pt>
                <c:pt idx="43">
                  <c:v>98184402.805218473</c:v>
                </c:pt>
                <c:pt idx="44">
                  <c:v>77321092.571608752</c:v>
                </c:pt>
                <c:pt idx="45">
                  <c:v>65214276.319920994</c:v>
                </c:pt>
                <c:pt idx="46">
                  <c:v>72692428.615771025</c:v>
                </c:pt>
                <c:pt idx="47">
                  <c:v>83176963.075081185</c:v>
                </c:pt>
                <c:pt idx="48">
                  <c:v>89553383.125405446</c:v>
                </c:pt>
                <c:pt idx="49">
                  <c:v>77497855.134735435</c:v>
                </c:pt>
                <c:pt idx="50">
                  <c:v>78461302.814929113</c:v>
                </c:pt>
                <c:pt idx="51">
                  <c:v>65348997.914672956</c:v>
                </c:pt>
                <c:pt idx="52">
                  <c:v>60514641.232131176</c:v>
                </c:pt>
                <c:pt idx="53">
                  <c:v>67376317.869148344</c:v>
                </c:pt>
                <c:pt idx="54">
                  <c:v>103321659.99749188</c:v>
                </c:pt>
                <c:pt idx="55">
                  <c:v>86345194.815284118</c:v>
                </c:pt>
                <c:pt idx="56">
                  <c:v>63203273.228448287</c:v>
                </c:pt>
                <c:pt idx="57">
                  <c:v>62118592.750257298</c:v>
                </c:pt>
                <c:pt idx="58">
                  <c:v>73382108.692806423</c:v>
                </c:pt>
                <c:pt idx="59">
                  <c:v>84687023.918822736</c:v>
                </c:pt>
                <c:pt idx="60">
                  <c:v>82706668.344152927</c:v>
                </c:pt>
                <c:pt idx="61">
                  <c:v>76769592.360837817</c:v>
                </c:pt>
                <c:pt idx="62">
                  <c:v>76389147.832445249</c:v>
                </c:pt>
                <c:pt idx="63">
                  <c:v>70941557.79443942</c:v>
                </c:pt>
                <c:pt idx="64">
                  <c:v>73135111.652509913</c:v>
                </c:pt>
                <c:pt idx="65">
                  <c:v>87460732.876911551</c:v>
                </c:pt>
                <c:pt idx="66">
                  <c:v>122787182.88385804</c:v>
                </c:pt>
                <c:pt idx="67">
                  <c:v>100851149.53129174</c:v>
                </c:pt>
                <c:pt idx="68">
                  <c:v>68469027.706754729</c:v>
                </c:pt>
                <c:pt idx="69">
                  <c:v>67594353.770930931</c:v>
                </c:pt>
                <c:pt idx="70">
                  <c:v>71345802.739334464</c:v>
                </c:pt>
                <c:pt idx="71">
                  <c:v>88143854.208387718</c:v>
                </c:pt>
                <c:pt idx="72">
                  <c:v>89382214.899493799</c:v>
                </c:pt>
                <c:pt idx="73">
                  <c:v>82639101.125377119</c:v>
                </c:pt>
                <c:pt idx="74">
                  <c:v>78231418.402900591</c:v>
                </c:pt>
                <c:pt idx="75">
                  <c:v>67483096.991996661</c:v>
                </c:pt>
                <c:pt idx="76">
                  <c:v>71041030.714692235</c:v>
                </c:pt>
                <c:pt idx="77">
                  <c:v>88028425.06959644</c:v>
                </c:pt>
                <c:pt idx="78">
                  <c:v>93725964.654082611</c:v>
                </c:pt>
                <c:pt idx="79">
                  <c:v>112267155.50191757</c:v>
                </c:pt>
                <c:pt idx="80">
                  <c:v>71595793.486948967</c:v>
                </c:pt>
                <c:pt idx="81">
                  <c:v>66817837.770425297</c:v>
                </c:pt>
                <c:pt idx="82">
                  <c:v>72502051.786005914</c:v>
                </c:pt>
                <c:pt idx="83">
                  <c:v>85335726.017602265</c:v>
                </c:pt>
                <c:pt idx="84">
                  <c:v>97692452.648589015</c:v>
                </c:pt>
                <c:pt idx="85">
                  <c:v>82060318.807384744</c:v>
                </c:pt>
                <c:pt idx="86">
                  <c:v>81183221.217954963</c:v>
                </c:pt>
                <c:pt idx="87">
                  <c:v>68452057.758653119</c:v>
                </c:pt>
                <c:pt idx="88">
                  <c:v>67902336.031759873</c:v>
                </c:pt>
                <c:pt idx="89">
                  <c:v>77016585.429985791</c:v>
                </c:pt>
                <c:pt idx="90">
                  <c:v>98505510.421875596</c:v>
                </c:pt>
                <c:pt idx="91">
                  <c:v>101594229.99135661</c:v>
                </c:pt>
                <c:pt idx="92">
                  <c:v>72566060.695831984</c:v>
                </c:pt>
                <c:pt idx="93">
                  <c:v>65570713.88945774</c:v>
                </c:pt>
                <c:pt idx="94">
                  <c:v>71317477.790488556</c:v>
                </c:pt>
                <c:pt idx="95">
                  <c:v>87050493.841422424</c:v>
                </c:pt>
                <c:pt idx="96">
                  <c:v>85604441.478056669</c:v>
                </c:pt>
                <c:pt idx="97">
                  <c:v>77971015.831358328</c:v>
                </c:pt>
                <c:pt idx="98">
                  <c:v>79970586.293025091</c:v>
                </c:pt>
                <c:pt idx="99">
                  <c:v>67482967.603741363</c:v>
                </c:pt>
                <c:pt idx="100">
                  <c:v>66005952.600992076</c:v>
                </c:pt>
                <c:pt idx="101">
                  <c:v>80141807.560961276</c:v>
                </c:pt>
                <c:pt idx="102">
                  <c:v>102325689.06093302</c:v>
                </c:pt>
                <c:pt idx="103">
                  <c:v>87974898.963614002</c:v>
                </c:pt>
                <c:pt idx="104">
                  <c:v>76739895.077503905</c:v>
                </c:pt>
                <c:pt idx="105">
                  <c:v>71485385.587483674</c:v>
                </c:pt>
                <c:pt idx="106">
                  <c:v>79615104.513507336</c:v>
                </c:pt>
                <c:pt idx="107">
                  <c:v>86927036.956707314</c:v>
                </c:pt>
                <c:pt idx="108">
                  <c:v>92826586.736683786</c:v>
                </c:pt>
                <c:pt idx="109">
                  <c:v>80096326.507686049</c:v>
                </c:pt>
                <c:pt idx="110">
                  <c:v>79371713.763867259</c:v>
                </c:pt>
                <c:pt idx="111">
                  <c:v>69399064.360561281</c:v>
                </c:pt>
                <c:pt idx="112">
                  <c:v>70010680.759579614</c:v>
                </c:pt>
                <c:pt idx="113">
                  <c:v>86079741.116460398</c:v>
                </c:pt>
                <c:pt idx="114">
                  <c:v>110281170.52246517</c:v>
                </c:pt>
                <c:pt idx="115">
                  <c:v>101130442.64103502</c:v>
                </c:pt>
                <c:pt idx="116">
                  <c:v>78833522.245828032</c:v>
                </c:pt>
                <c:pt idx="117">
                  <c:v>69555556.295595959</c:v>
                </c:pt>
                <c:pt idx="118">
                  <c:v>73869093.169131055</c:v>
                </c:pt>
                <c:pt idx="119">
                  <c:v>93095592.686732963</c:v>
                </c:pt>
                <c:pt idx="120">
                  <c:v>96055156.743321911</c:v>
                </c:pt>
                <c:pt idx="121">
                  <c:v>85342808.997986972</c:v>
                </c:pt>
                <c:pt idx="122">
                  <c:v>82309570.818498299</c:v>
                </c:pt>
                <c:pt idx="123">
                  <c:v>71494107.937626392</c:v>
                </c:pt>
                <c:pt idx="124">
                  <c:v>67023639.712755226</c:v>
                </c:pt>
                <c:pt idx="125">
                  <c:v>87940671.388637513</c:v>
                </c:pt>
                <c:pt idx="126">
                  <c:v>118949644.13914311</c:v>
                </c:pt>
                <c:pt idx="127">
                  <c:v>101600986.40014292</c:v>
                </c:pt>
                <c:pt idx="128">
                  <c:v>73315661.379441008</c:v>
                </c:pt>
                <c:pt idx="129">
                  <c:v>69827814.735193655</c:v>
                </c:pt>
                <c:pt idx="130">
                  <c:v>78874824.723936364</c:v>
                </c:pt>
                <c:pt idx="131">
                  <c:v>96290948.59897919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C5-4ACA-B13F-C265865E9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582192"/>
        <c:axId val="523582672"/>
      </c:scatterChart>
      <c:valAx>
        <c:axId val="5235821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672"/>
        <c:crosses val="autoZero"/>
        <c:crossBetween val="midCat"/>
      </c:valAx>
      <c:valAx>
        <c:axId val="52358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Weather!$X$1</c:f>
              <c:strCache>
                <c:ptCount val="1"/>
                <c:pt idx="0">
                  <c:v> VRZ_LargeUsekWh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Weather!$Q$14:$Q$145</c:f>
              <c:numCache>
                <c:formatCode>0</c:formatCode>
                <c:ptCount val="132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  <c:pt idx="120">
                  <c:v>-5.6266129032258068</c:v>
                </c:pt>
                <c:pt idx="121">
                  <c:v>-5.7592261904761912</c:v>
                </c:pt>
                <c:pt idx="122">
                  <c:v>1.2700268817204301</c:v>
                </c:pt>
                <c:pt idx="123">
                  <c:v>6.2719444444444443</c:v>
                </c:pt>
                <c:pt idx="124">
                  <c:v>12.868682795698925</c:v>
                </c:pt>
                <c:pt idx="125">
                  <c:v>19.441388888888891</c:v>
                </c:pt>
                <c:pt idx="126">
                  <c:v>22.816599462365595</c:v>
                </c:pt>
                <c:pt idx="127">
                  <c:v>20.383467741935487</c:v>
                </c:pt>
                <c:pt idx="128">
                  <c:v>17.070277777777775</c:v>
                </c:pt>
                <c:pt idx="129">
                  <c:v>10.918682795698926</c:v>
                </c:pt>
                <c:pt idx="130">
                  <c:v>2.6462499999999998</c:v>
                </c:pt>
                <c:pt idx="131">
                  <c:v>-4.0064516129032253</c:v>
                </c:pt>
              </c:numCache>
            </c:numRef>
          </c:xVal>
          <c:yVal>
            <c:numRef>
              <c:f>Weather!$X$14:$X$145</c:f>
              <c:numCache>
                <c:formatCode>_-* #,##0_-;\-* #,##0_-;_-* "-"??_-;_-@_-</c:formatCode>
                <c:ptCount val="132"/>
                <c:pt idx="12">
                  <c:v>17368267.928497635</c:v>
                </c:pt>
                <c:pt idx="13">
                  <c:v>18389541.442927673</c:v>
                </c:pt>
                <c:pt idx="14">
                  <c:v>18966216.533645697</c:v>
                </c:pt>
                <c:pt idx="15">
                  <c:v>18890287.626626015</c:v>
                </c:pt>
                <c:pt idx="16">
                  <c:v>17847735.834621124</c:v>
                </c:pt>
                <c:pt idx="17">
                  <c:v>15731096.223037537</c:v>
                </c:pt>
                <c:pt idx="18">
                  <c:v>17531536.250830062</c:v>
                </c:pt>
                <c:pt idx="19">
                  <c:v>18870668.100201037</c:v>
                </c:pt>
                <c:pt idx="20">
                  <c:v>17355357.037589509</c:v>
                </c:pt>
                <c:pt idx="21">
                  <c:v>17467110.767072275</c:v>
                </c:pt>
                <c:pt idx="22">
                  <c:v>17791998.228138022</c:v>
                </c:pt>
                <c:pt idx="23">
                  <c:v>18080004.513808846</c:v>
                </c:pt>
                <c:pt idx="24">
                  <c:v>18142660.631230786</c:v>
                </c:pt>
                <c:pt idx="25">
                  <c:v>16556008.081246514</c:v>
                </c:pt>
                <c:pt idx="26">
                  <c:v>19711056.129626252</c:v>
                </c:pt>
                <c:pt idx="27">
                  <c:v>16804176.575052723</c:v>
                </c:pt>
                <c:pt idx="28">
                  <c:v>21044563.808229759</c:v>
                </c:pt>
                <c:pt idx="29">
                  <c:v>19163814.81690371</c:v>
                </c:pt>
                <c:pt idx="30">
                  <c:v>17756376.394644976</c:v>
                </c:pt>
                <c:pt idx="31">
                  <c:v>18007883.035211779</c:v>
                </c:pt>
                <c:pt idx="32">
                  <c:v>17030380.276073333</c:v>
                </c:pt>
                <c:pt idx="33">
                  <c:v>18236031.12867067</c:v>
                </c:pt>
                <c:pt idx="34">
                  <c:v>20482245.892418895</c:v>
                </c:pt>
                <c:pt idx="35">
                  <c:v>19357298.566765208</c:v>
                </c:pt>
                <c:pt idx="36">
                  <c:v>21421028.460837428</c:v>
                </c:pt>
                <c:pt idx="37">
                  <c:v>19587364.251604259</c:v>
                </c:pt>
                <c:pt idx="38">
                  <c:v>22576628.292706475</c:v>
                </c:pt>
                <c:pt idx="39">
                  <c:v>21647895.128084224</c:v>
                </c:pt>
                <c:pt idx="40">
                  <c:v>21165905.862023152</c:v>
                </c:pt>
                <c:pt idx="41">
                  <c:v>18586639.879997209</c:v>
                </c:pt>
                <c:pt idx="42">
                  <c:v>19522591.565550342</c:v>
                </c:pt>
                <c:pt idx="43">
                  <c:v>20458438.489649903</c:v>
                </c:pt>
                <c:pt idx="44">
                  <c:v>19785223.435566645</c:v>
                </c:pt>
                <c:pt idx="45">
                  <c:v>22255781.009230189</c:v>
                </c:pt>
                <c:pt idx="46">
                  <c:v>20660011.968606181</c:v>
                </c:pt>
                <c:pt idx="47">
                  <c:v>20801919.410695367</c:v>
                </c:pt>
                <c:pt idx="48">
                  <c:v>21628065.661692284</c:v>
                </c:pt>
                <c:pt idx="49">
                  <c:v>19825557.796721186</c:v>
                </c:pt>
                <c:pt idx="50">
                  <c:v>20777836.877538312</c:v>
                </c:pt>
                <c:pt idx="51">
                  <c:v>21012631.851871423</c:v>
                </c:pt>
                <c:pt idx="52">
                  <c:v>21885615.667790778</c:v>
                </c:pt>
                <c:pt idx="53">
                  <c:v>22557812.500125293</c:v>
                </c:pt>
                <c:pt idx="54">
                  <c:v>22588764.713467833</c:v>
                </c:pt>
                <c:pt idx="55">
                  <c:v>18974489.888219096</c:v>
                </c:pt>
                <c:pt idx="56">
                  <c:v>21063895.493872304</c:v>
                </c:pt>
                <c:pt idx="57">
                  <c:v>23283894.443648901</c:v>
                </c:pt>
                <c:pt idx="58">
                  <c:v>21908888.906306501</c:v>
                </c:pt>
                <c:pt idx="59">
                  <c:v>22267669.329051502</c:v>
                </c:pt>
                <c:pt idx="60">
                  <c:v>23097936.170742247</c:v>
                </c:pt>
                <c:pt idx="61">
                  <c:v>21251119.900797833</c:v>
                </c:pt>
                <c:pt idx="62">
                  <c:v>23113731.735301938</c:v>
                </c:pt>
                <c:pt idx="63">
                  <c:v>19268481.578037295</c:v>
                </c:pt>
                <c:pt idx="64">
                  <c:v>20554898.119350739</c:v>
                </c:pt>
                <c:pt idx="65">
                  <c:v>22503643.083232198</c:v>
                </c:pt>
                <c:pt idx="66">
                  <c:v>23195381.739776134</c:v>
                </c:pt>
                <c:pt idx="67">
                  <c:v>20882050.671992645</c:v>
                </c:pt>
                <c:pt idx="68">
                  <c:v>21464251.169741906</c:v>
                </c:pt>
                <c:pt idx="69">
                  <c:v>22466136.447204463</c:v>
                </c:pt>
                <c:pt idx="70">
                  <c:v>22286749.855315357</c:v>
                </c:pt>
                <c:pt idx="71">
                  <c:v>22308391.16856432</c:v>
                </c:pt>
                <c:pt idx="72">
                  <c:v>24508274.280805893</c:v>
                </c:pt>
                <c:pt idx="73">
                  <c:v>22453066.100427002</c:v>
                </c:pt>
                <c:pt idx="74">
                  <c:v>24538440.266886871</c:v>
                </c:pt>
                <c:pt idx="75">
                  <c:v>22559427.455029573</c:v>
                </c:pt>
                <c:pt idx="76">
                  <c:v>25498483.700632978</c:v>
                </c:pt>
                <c:pt idx="77">
                  <c:v>24775032.262593575</c:v>
                </c:pt>
                <c:pt idx="78">
                  <c:v>25049134.320176501</c:v>
                </c:pt>
                <c:pt idx="79">
                  <c:v>21902581.671001751</c:v>
                </c:pt>
                <c:pt idx="80">
                  <c:v>22826440.58805418</c:v>
                </c:pt>
                <c:pt idx="81">
                  <c:v>23236779.504159391</c:v>
                </c:pt>
                <c:pt idx="82">
                  <c:v>23141074.981113903</c:v>
                </c:pt>
                <c:pt idx="83">
                  <c:v>22326904.235299665</c:v>
                </c:pt>
                <c:pt idx="84">
                  <c:v>23982893.207945284</c:v>
                </c:pt>
                <c:pt idx="85">
                  <c:v>22900058.646077987</c:v>
                </c:pt>
                <c:pt idx="86">
                  <c:v>26100897.757003956</c:v>
                </c:pt>
                <c:pt idx="87">
                  <c:v>24483012.06417165</c:v>
                </c:pt>
                <c:pt idx="88">
                  <c:v>25452497.305143315</c:v>
                </c:pt>
                <c:pt idx="89">
                  <c:v>25106971.063184302</c:v>
                </c:pt>
                <c:pt idx="90">
                  <c:v>24837780.222544815</c:v>
                </c:pt>
                <c:pt idx="91">
                  <c:v>19251665.209930006</c:v>
                </c:pt>
                <c:pt idx="92">
                  <c:v>23706315.860639367</c:v>
                </c:pt>
                <c:pt idx="93">
                  <c:v>24184378.210640773</c:v>
                </c:pt>
                <c:pt idx="94">
                  <c:v>23364018.813529231</c:v>
                </c:pt>
                <c:pt idx="95">
                  <c:v>23807864.613084797</c:v>
                </c:pt>
                <c:pt idx="96">
                  <c:v>24857943.287138909</c:v>
                </c:pt>
                <c:pt idx="97">
                  <c:v>22985179.948623765</c:v>
                </c:pt>
                <c:pt idx="98">
                  <c:v>26104637.174886715</c:v>
                </c:pt>
                <c:pt idx="99">
                  <c:v>24272703.813536465</c:v>
                </c:pt>
                <c:pt idx="100">
                  <c:v>23191975.403735757</c:v>
                </c:pt>
                <c:pt idx="101">
                  <c:v>25096662.754612759</c:v>
                </c:pt>
                <c:pt idx="102">
                  <c:v>23514897.867622361</c:v>
                </c:pt>
                <c:pt idx="103">
                  <c:v>25583837.275705818</c:v>
                </c:pt>
                <c:pt idx="104">
                  <c:v>26199194.13799078</c:v>
                </c:pt>
                <c:pt idx="105">
                  <c:v>27955350.600693982</c:v>
                </c:pt>
                <c:pt idx="106">
                  <c:v>26346028.982916232</c:v>
                </c:pt>
                <c:pt idx="107">
                  <c:v>25674838.641355388</c:v>
                </c:pt>
                <c:pt idx="108">
                  <c:v>26536637.338150974</c:v>
                </c:pt>
                <c:pt idx="109">
                  <c:v>26638351.69214597</c:v>
                </c:pt>
                <c:pt idx="110">
                  <c:v>27385958.920057841</c:v>
                </c:pt>
                <c:pt idx="111">
                  <c:v>22364713.277121536</c:v>
                </c:pt>
                <c:pt idx="112">
                  <c:v>27072499.504902609</c:v>
                </c:pt>
                <c:pt idx="113">
                  <c:v>26934569.290462855</c:v>
                </c:pt>
                <c:pt idx="114">
                  <c:v>28057884.191029403</c:v>
                </c:pt>
                <c:pt idx="115">
                  <c:v>27259513.625459239</c:v>
                </c:pt>
                <c:pt idx="116">
                  <c:v>27283153.813612446</c:v>
                </c:pt>
                <c:pt idx="117">
                  <c:v>27025613.003958929</c:v>
                </c:pt>
                <c:pt idx="118">
                  <c:v>26783359.53124994</c:v>
                </c:pt>
                <c:pt idx="119">
                  <c:v>26297394.392010696</c:v>
                </c:pt>
                <c:pt idx="120">
                  <c:v>26106914.887487274</c:v>
                </c:pt>
                <c:pt idx="121">
                  <c:v>24964221.487958334</c:v>
                </c:pt>
                <c:pt idx="122">
                  <c:v>27116619.073274631</c:v>
                </c:pt>
                <c:pt idx="123">
                  <c:v>23189419.770418372</c:v>
                </c:pt>
                <c:pt idx="124">
                  <c:v>27433239.177484326</c:v>
                </c:pt>
                <c:pt idx="125">
                  <c:v>28224718.364065059</c:v>
                </c:pt>
                <c:pt idx="126">
                  <c:v>29307714.010320965</c:v>
                </c:pt>
                <c:pt idx="127">
                  <c:v>28127124.699076809</c:v>
                </c:pt>
                <c:pt idx="128">
                  <c:v>26754395.077005759</c:v>
                </c:pt>
                <c:pt idx="129">
                  <c:v>26265982.732311282</c:v>
                </c:pt>
                <c:pt idx="130">
                  <c:v>26100024.255011078</c:v>
                </c:pt>
                <c:pt idx="131">
                  <c:v>26653055.202017762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6B-4A29-9DD5-00417E535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582192"/>
        <c:axId val="523582672"/>
      </c:scatterChart>
      <c:valAx>
        <c:axId val="5235821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672"/>
        <c:crosses val="autoZero"/>
        <c:crossBetween val="midCat"/>
      </c:valAx>
      <c:valAx>
        <c:axId val="52358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Elexicon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'Overall Load Summary'!$B$131</c:f>
              <c:strCache>
                <c:ptCount val="1"/>
                <c:pt idx="0">
                  <c:v>Street Light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Summary'!$C$131:$R$131</c:f>
              <c:numCache>
                <c:formatCode>#,##0</c:formatCode>
                <c:ptCount val="16"/>
                <c:pt idx="0">
                  <c:v>73706.880000000005</c:v>
                </c:pt>
                <c:pt idx="1">
                  <c:v>67629.86</c:v>
                </c:pt>
                <c:pt idx="2">
                  <c:v>52906.29</c:v>
                </c:pt>
                <c:pt idx="3">
                  <c:v>45671.590000000004</c:v>
                </c:pt>
                <c:pt idx="4">
                  <c:v>40981.380000000005</c:v>
                </c:pt>
                <c:pt idx="5">
                  <c:v>40484.25</c:v>
                </c:pt>
                <c:pt idx="6">
                  <c:v>40597.899999999994</c:v>
                </c:pt>
                <c:pt idx="7">
                  <c:v>41371.47</c:v>
                </c:pt>
                <c:pt idx="8">
                  <c:v>42059.850000000006</c:v>
                </c:pt>
                <c:pt idx="9">
                  <c:v>42472.92</c:v>
                </c:pt>
                <c:pt idx="10">
                  <c:v>43004.723352675617</c:v>
                </c:pt>
                <c:pt idx="11">
                  <c:v>43544.269818658286</c:v>
                </c:pt>
                <c:pt idx="12">
                  <c:v>44090.904046101437</c:v>
                </c:pt>
                <c:pt idx="13">
                  <c:v>44644.724030707992</c:v>
                </c:pt>
                <c:pt idx="14">
                  <c:v>45205.829194696213</c:v>
                </c:pt>
                <c:pt idx="15">
                  <c:v>45774.320408562664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F-4C05-8465-AB2F2307CD2F}"/>
            </c:ext>
          </c:extLst>
        </c:ser>
        <c:ser>
          <c:idx val="3"/>
          <c:order val="1"/>
          <c:tx>
            <c:strRef>
              <c:f>'Overall Load Summary'!$B$132</c:f>
              <c:strCache>
                <c:ptCount val="1"/>
                <c:pt idx="0">
                  <c:v>Sentinel Light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Summary'!$C$132:$R$132</c:f>
              <c:numCache>
                <c:formatCode>#,##0</c:formatCode>
                <c:ptCount val="16"/>
                <c:pt idx="0">
                  <c:v>1106</c:v>
                </c:pt>
                <c:pt idx="1">
                  <c:v>1055</c:v>
                </c:pt>
                <c:pt idx="2">
                  <c:v>807</c:v>
                </c:pt>
                <c:pt idx="3">
                  <c:v>715</c:v>
                </c:pt>
                <c:pt idx="4">
                  <c:v>714</c:v>
                </c:pt>
                <c:pt idx="5">
                  <c:v>703</c:v>
                </c:pt>
                <c:pt idx="6">
                  <c:v>696</c:v>
                </c:pt>
                <c:pt idx="7">
                  <c:v>700</c:v>
                </c:pt>
                <c:pt idx="8">
                  <c:v>685</c:v>
                </c:pt>
                <c:pt idx="9">
                  <c:v>674.89724884213422</c:v>
                </c:pt>
                <c:pt idx="10">
                  <c:v>664.52584337587575</c:v>
                </c:pt>
                <c:pt idx="11">
                  <c:v>654.39888952205615</c:v>
                </c:pt>
                <c:pt idx="12">
                  <c:v>644.51221350638025</c:v>
                </c:pt>
                <c:pt idx="13">
                  <c:v>634.86173214226346</c:v>
                </c:pt>
                <c:pt idx="14">
                  <c:v>625.44345118936644</c:v>
                </c:pt>
                <c:pt idx="15">
                  <c:v>616.25346374616186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F-4C05-8465-AB2F2307C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5375"/>
        <c:axId val="358408095"/>
      </c:lineChart>
      <c:catAx>
        <c:axId val="35842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08095"/>
        <c:crosses val="autoZero"/>
        <c:auto val="1"/>
        <c:lblAlgn val="ctr"/>
        <c:lblOffset val="100"/>
        <c:noMultiLvlLbl val="0"/>
      </c:catAx>
      <c:valAx>
        <c:axId val="35840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25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Elexicon Customers / Devices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'Overall Load Summary'!$B$134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Summary'!$C$134:$R$134</c:f>
              <c:numCache>
                <c:formatCode>#,##0</c:formatCode>
                <c:ptCount val="16"/>
                <c:pt idx="0">
                  <c:v>146881.16666666669</c:v>
                </c:pt>
                <c:pt idx="1">
                  <c:v>148116.33333333331</c:v>
                </c:pt>
                <c:pt idx="2">
                  <c:v>149566.66666666669</c:v>
                </c:pt>
                <c:pt idx="3">
                  <c:v>151863.91666666669</c:v>
                </c:pt>
                <c:pt idx="4">
                  <c:v>154099</c:v>
                </c:pt>
                <c:pt idx="5">
                  <c:v>155957.16666666663</c:v>
                </c:pt>
                <c:pt idx="6">
                  <c:v>158174.37500000006</c:v>
                </c:pt>
                <c:pt idx="7">
                  <c:v>160634.54166666669</c:v>
                </c:pt>
                <c:pt idx="8">
                  <c:v>162977</c:v>
                </c:pt>
                <c:pt idx="9">
                  <c:v>164777.83333333337</c:v>
                </c:pt>
                <c:pt idx="10">
                  <c:v>167046.74816336372</c:v>
                </c:pt>
                <c:pt idx="11">
                  <c:v>169458.25400958018</c:v>
                </c:pt>
                <c:pt idx="12">
                  <c:v>172038.07404212866</c:v>
                </c:pt>
                <c:pt idx="13">
                  <c:v>174781.32157125144</c:v>
                </c:pt>
                <c:pt idx="14">
                  <c:v>177631.23361325788</c:v>
                </c:pt>
                <c:pt idx="15">
                  <c:v>180302.73724817738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E3-4C20-9D63-6C1A690C153A}"/>
            </c:ext>
          </c:extLst>
        </c:ser>
        <c:ser>
          <c:idx val="2"/>
          <c:order val="1"/>
          <c:tx>
            <c:strRef>
              <c:f>'Overall Load Summary'!$B$136</c:f>
              <c:strCache>
                <c:ptCount val="1"/>
                <c:pt idx="0">
                  <c:v>GS&lt;50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Summary'!$C$136:$R$136</c:f>
              <c:numCache>
                <c:formatCode>#,##0</c:formatCode>
                <c:ptCount val="16"/>
                <c:pt idx="0">
                  <c:v>11154.625000000002</c:v>
                </c:pt>
                <c:pt idx="1">
                  <c:v>11245.125</c:v>
                </c:pt>
                <c:pt idx="2">
                  <c:v>11336.291666666668</c:v>
                </c:pt>
                <c:pt idx="3">
                  <c:v>11468.083333333338</c:v>
                </c:pt>
                <c:pt idx="4">
                  <c:v>11562.083333333332</c:v>
                </c:pt>
                <c:pt idx="5">
                  <c:v>11641.33333333333</c:v>
                </c:pt>
                <c:pt idx="6">
                  <c:v>11796.791666666662</c:v>
                </c:pt>
                <c:pt idx="7">
                  <c:v>11922.666666666668</c:v>
                </c:pt>
                <c:pt idx="8">
                  <c:v>11966.625</c:v>
                </c:pt>
                <c:pt idx="9">
                  <c:v>11978.45833333333</c:v>
                </c:pt>
                <c:pt idx="10">
                  <c:v>12074.014697782844</c:v>
                </c:pt>
                <c:pt idx="11">
                  <c:v>12170.457163578209</c:v>
                </c:pt>
                <c:pt idx="12">
                  <c:v>12267.750034262957</c:v>
                </c:pt>
                <c:pt idx="13">
                  <c:v>12365.901678946599</c:v>
                </c:pt>
                <c:pt idx="14">
                  <c:v>12464.920557674839</c:v>
                </c:pt>
                <c:pt idx="15">
                  <c:v>12564.815222493282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E3-4C20-9D63-6C1A690C153A}"/>
            </c:ext>
          </c:extLst>
        </c:ser>
        <c:ser>
          <c:idx val="6"/>
          <c:order val="2"/>
          <c:tx>
            <c:strRef>
              <c:f>'Overall Load Summary'!$B$140</c:f>
              <c:strCache>
                <c:ptCount val="1"/>
                <c:pt idx="0">
                  <c:v>Street Light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Summary'!$C$140:$R$140</c:f>
              <c:numCache>
                <c:formatCode>#,##0</c:formatCode>
                <c:ptCount val="16"/>
                <c:pt idx="0">
                  <c:v>41888.125</c:v>
                </c:pt>
                <c:pt idx="1">
                  <c:v>42302.75</c:v>
                </c:pt>
                <c:pt idx="2">
                  <c:v>42951.291666666672</c:v>
                </c:pt>
                <c:pt idx="3">
                  <c:v>43551.458333333328</c:v>
                </c:pt>
                <c:pt idx="4">
                  <c:v>44122.708333333328</c:v>
                </c:pt>
                <c:pt idx="5">
                  <c:v>44702.958333333328</c:v>
                </c:pt>
                <c:pt idx="6">
                  <c:v>45137.958333333328</c:v>
                </c:pt>
                <c:pt idx="7">
                  <c:v>45686.999999999985</c:v>
                </c:pt>
                <c:pt idx="8">
                  <c:v>46425.416666666657</c:v>
                </c:pt>
                <c:pt idx="9">
                  <c:v>47002.83333333335</c:v>
                </c:pt>
                <c:pt idx="10">
                  <c:v>45371.315476027485</c:v>
                </c:pt>
                <c:pt idx="11">
                  <c:v>45774.760399537663</c:v>
                </c:pt>
                <c:pt idx="12">
                  <c:v>46311.327881841258</c:v>
                </c:pt>
                <c:pt idx="13">
                  <c:v>47044.10462146908</c:v>
                </c:pt>
                <c:pt idx="14">
                  <c:v>47725.677813869945</c:v>
                </c:pt>
                <c:pt idx="15">
                  <c:v>48428.093490227366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E3-4C20-9D63-6C1A690C1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2725168"/>
        <c:axId val="292749168"/>
      </c:lineChart>
      <c:catAx>
        <c:axId val="29272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49168"/>
        <c:crosses val="autoZero"/>
        <c:auto val="1"/>
        <c:lblAlgn val="ctr"/>
        <c:lblOffset val="100"/>
        <c:noMultiLvlLbl val="0"/>
      </c:catAx>
      <c:valAx>
        <c:axId val="29274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25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Elexicon Customers / Devices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'Overall Load Summary'!$B$135</c:f>
              <c:strCache>
                <c:ptCount val="1"/>
                <c:pt idx="0">
                  <c:v>Residential Seasonal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Summary'!$C$135:$R$135</c:f>
              <c:numCache>
                <c:formatCode>#,##0</c:formatCode>
                <c:ptCount val="16"/>
                <c:pt idx="0">
                  <c:v>1585.75</c:v>
                </c:pt>
                <c:pt idx="1">
                  <c:v>1577.0416666666661</c:v>
                </c:pt>
                <c:pt idx="2">
                  <c:v>1570.9166666666661</c:v>
                </c:pt>
                <c:pt idx="3">
                  <c:v>1565.125</c:v>
                </c:pt>
                <c:pt idx="4">
                  <c:v>1561</c:v>
                </c:pt>
                <c:pt idx="5">
                  <c:v>1558.8333333333339</c:v>
                </c:pt>
                <c:pt idx="6">
                  <c:v>1559.1666666666661</c:v>
                </c:pt>
                <c:pt idx="7">
                  <c:v>1562.625</c:v>
                </c:pt>
                <c:pt idx="8">
                  <c:v>1561.8333333333339</c:v>
                </c:pt>
                <c:pt idx="9">
                  <c:v>1553.5</c:v>
                </c:pt>
                <c:pt idx="10">
                  <c:v>1549.9606514054349</c:v>
                </c:pt>
                <c:pt idx="11">
                  <c:v>1546.4261219890034</c:v>
                </c:pt>
                <c:pt idx="12">
                  <c:v>1542.8996527115078</c:v>
                </c:pt>
                <c:pt idx="13">
                  <c:v>1539.381225192612</c:v>
                </c:pt>
                <c:pt idx="14">
                  <c:v>1535.8708210938942</c:v>
                </c:pt>
                <c:pt idx="15">
                  <c:v>1532.3684221187507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2-4872-A2D9-7D332684058D}"/>
            </c:ext>
          </c:extLst>
        </c:ser>
        <c:ser>
          <c:idx val="3"/>
          <c:order val="1"/>
          <c:tx>
            <c:strRef>
              <c:f>'Overall Load Summary'!$B$137</c:f>
              <c:strCache>
                <c:ptCount val="1"/>
                <c:pt idx="0">
                  <c:v>GS 50 - 2,999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Summary'!$C$137:$R$137</c:f>
              <c:numCache>
                <c:formatCode>#,##0</c:formatCode>
                <c:ptCount val="16"/>
                <c:pt idx="0">
                  <c:v>1423.1249999999998</c:v>
                </c:pt>
                <c:pt idx="1">
                  <c:v>1436.3333333333337</c:v>
                </c:pt>
                <c:pt idx="2">
                  <c:v>1433.125</c:v>
                </c:pt>
                <c:pt idx="3">
                  <c:v>1406.0833333333337</c:v>
                </c:pt>
                <c:pt idx="4">
                  <c:v>1413.875</c:v>
                </c:pt>
                <c:pt idx="5">
                  <c:v>1443.0833333333337</c:v>
                </c:pt>
                <c:pt idx="6">
                  <c:v>1423.5833333333335</c:v>
                </c:pt>
                <c:pt idx="7">
                  <c:v>1413.791666666667</c:v>
                </c:pt>
                <c:pt idx="8">
                  <c:v>1448.0416666666663</c:v>
                </c:pt>
                <c:pt idx="9">
                  <c:v>1484.5</c:v>
                </c:pt>
                <c:pt idx="10">
                  <c:v>1499.0729547581791</c:v>
                </c:pt>
                <c:pt idx="11">
                  <c:v>1516.0360930283989</c:v>
                </c:pt>
                <c:pt idx="12">
                  <c:v>1527.4345909125102</c:v>
                </c:pt>
                <c:pt idx="13">
                  <c:v>1536.3937428331963</c:v>
                </c:pt>
                <c:pt idx="14">
                  <c:v>1544.8294705350622</c:v>
                </c:pt>
                <c:pt idx="15">
                  <c:v>1553.2035314372349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2-4872-A2D9-7D332684058D}"/>
            </c:ext>
          </c:extLst>
        </c:ser>
        <c:ser>
          <c:idx val="4"/>
          <c:order val="2"/>
          <c:tx>
            <c:strRef>
              <c:f>'Overall Load Summary'!$B$23</c:f>
              <c:strCache>
                <c:ptCount val="1"/>
                <c:pt idx="0">
                  <c:v>GS 3,000 - 4,999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Summary'!$C$23:$R$23</c:f>
              <c:numCache>
                <c:formatCode>#,##0</c:formatCode>
                <c:ptCount val="16"/>
                <c:pt idx="0">
                  <c:v>5</c:v>
                </c:pt>
                <c:pt idx="1">
                  <c:v>5</c:v>
                </c:pt>
                <c:pt idx="2">
                  <c:v>4.4583333333333348</c:v>
                </c:pt>
                <c:pt idx="3">
                  <c:v>4</c:v>
                </c:pt>
                <c:pt idx="4">
                  <c:v>4.5416666666666652</c:v>
                </c:pt>
                <c:pt idx="5">
                  <c:v>5.5416666666666643</c:v>
                </c:pt>
                <c:pt idx="6">
                  <c:v>5.4583333333333357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6.354166666666667</c:v>
                </c:pt>
                <c:pt idx="11">
                  <c:v>8.0958333333333332</c:v>
                </c:pt>
                <c:pt idx="12">
                  <c:v>8.9250000000000007</c:v>
                </c:pt>
                <c:pt idx="13">
                  <c:v>9.2541666666666682</c:v>
                </c:pt>
                <c:pt idx="14">
                  <c:v>9.300000000000006</c:v>
                </c:pt>
                <c:pt idx="15">
                  <c:v>9.300000000000006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12-4872-A2D9-7D332684058D}"/>
            </c:ext>
          </c:extLst>
        </c:ser>
        <c:ser>
          <c:idx val="5"/>
          <c:order val="3"/>
          <c:tx>
            <c:strRef>
              <c:f>'Overall Load Summary'!$B$139</c:f>
              <c:strCache>
                <c:ptCount val="1"/>
                <c:pt idx="0">
                  <c:v>Large Use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Summary'!$C$139:$R$139</c:f>
              <c:numCache>
                <c:formatCode>#,##0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3.5416666666666674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4.5416666666666652</c:v>
                </c:pt>
                <c:pt idx="8">
                  <c:v>5</c:v>
                </c:pt>
                <c:pt idx="9">
                  <c:v>5</c:v>
                </c:pt>
                <c:pt idx="10">
                  <c:v>5.203125</c:v>
                </c:pt>
                <c:pt idx="11">
                  <c:v>5.645833333333333</c:v>
                </c:pt>
                <c:pt idx="12">
                  <c:v>5.9427083333333321</c:v>
                </c:pt>
                <c:pt idx="13">
                  <c:v>5.9999999999999991</c:v>
                </c:pt>
                <c:pt idx="14">
                  <c:v>5.9999999999999991</c:v>
                </c:pt>
                <c:pt idx="15">
                  <c:v>5.9999999999999991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12-4872-A2D9-7D332684058D}"/>
            </c:ext>
          </c:extLst>
        </c:ser>
        <c:ser>
          <c:idx val="7"/>
          <c:order val="4"/>
          <c:tx>
            <c:strRef>
              <c:f>'Overall Load Summary'!$B$141</c:f>
              <c:strCache>
                <c:ptCount val="1"/>
                <c:pt idx="0">
                  <c:v>Sentinel Light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Summary'!$C$141:$R$141</c:f>
              <c:numCache>
                <c:formatCode>#,##0</c:formatCode>
                <c:ptCount val="16"/>
                <c:pt idx="0">
                  <c:v>478</c:v>
                </c:pt>
                <c:pt idx="1">
                  <c:v>477.45833333333331</c:v>
                </c:pt>
                <c:pt idx="2">
                  <c:v>476.45833333333331</c:v>
                </c:pt>
                <c:pt idx="3">
                  <c:v>379.04166666666652</c:v>
                </c:pt>
                <c:pt idx="4">
                  <c:v>292.125</c:v>
                </c:pt>
                <c:pt idx="5">
                  <c:v>291.24999999999994</c:v>
                </c:pt>
                <c:pt idx="6">
                  <c:v>292.37500000000006</c:v>
                </c:pt>
                <c:pt idx="7">
                  <c:v>288.83333333333326</c:v>
                </c:pt>
                <c:pt idx="8">
                  <c:v>283.75000000000006</c:v>
                </c:pt>
                <c:pt idx="9">
                  <c:v>275.58333333333331</c:v>
                </c:pt>
                <c:pt idx="10">
                  <c:v>265.61037880257982</c:v>
                </c:pt>
                <c:pt idx="11">
                  <c:v>260.6350671809364</c:v>
                </c:pt>
                <c:pt idx="12">
                  <c:v>255.28816674176974</c:v>
                </c:pt>
                <c:pt idx="13">
                  <c:v>250.56798032369252</c:v>
                </c:pt>
                <c:pt idx="14">
                  <c:v>246.38951063704306</c:v>
                </c:pt>
                <c:pt idx="15">
                  <c:v>247.70945961422669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12-4872-A2D9-7D332684058D}"/>
            </c:ext>
          </c:extLst>
        </c:ser>
        <c:ser>
          <c:idx val="8"/>
          <c:order val="5"/>
          <c:tx>
            <c:strRef>
              <c:f>'Overall Load Summary'!$B$142</c:f>
              <c:strCache>
                <c:ptCount val="1"/>
                <c:pt idx="0">
                  <c:v>USL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Summary'!$C$142:$R$142</c:f>
              <c:numCache>
                <c:formatCode>#,##0</c:formatCode>
                <c:ptCount val="16"/>
                <c:pt idx="0">
                  <c:v>1209.6250000000005</c:v>
                </c:pt>
                <c:pt idx="1">
                  <c:v>1196.208333333333</c:v>
                </c:pt>
                <c:pt idx="2">
                  <c:v>1194.625</c:v>
                </c:pt>
                <c:pt idx="3">
                  <c:v>1193.291666666667</c:v>
                </c:pt>
                <c:pt idx="4">
                  <c:v>1190.9999999999995</c:v>
                </c:pt>
                <c:pt idx="5">
                  <c:v>1193.1666666666665</c:v>
                </c:pt>
                <c:pt idx="6">
                  <c:v>1193.9166666666665</c:v>
                </c:pt>
                <c:pt idx="7">
                  <c:v>1198.416666666667</c:v>
                </c:pt>
                <c:pt idx="8">
                  <c:v>1166.166666666667</c:v>
                </c:pt>
                <c:pt idx="9">
                  <c:v>1165.3333333333335</c:v>
                </c:pt>
                <c:pt idx="10">
                  <c:v>1167.5048861574255</c:v>
                </c:pt>
                <c:pt idx="11">
                  <c:v>1159.1330055461026</c:v>
                </c:pt>
                <c:pt idx="12">
                  <c:v>1158.6444892513268</c:v>
                </c:pt>
                <c:pt idx="13">
                  <c:v>1159.3385596919243</c:v>
                </c:pt>
                <c:pt idx="14">
                  <c:v>1157.6313914036609</c:v>
                </c:pt>
                <c:pt idx="15">
                  <c:v>1153.4391631280087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12-4872-A2D9-7D3326840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2725168"/>
        <c:axId val="292749168"/>
      </c:lineChart>
      <c:catAx>
        <c:axId val="29272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49168"/>
        <c:crosses val="autoZero"/>
        <c:auto val="1"/>
        <c:lblAlgn val="ctr"/>
        <c:lblOffset val="100"/>
        <c:noMultiLvlLbl val="0"/>
      </c:catAx>
      <c:valAx>
        <c:axId val="29274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25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VRZ 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Weather!$Q$14:$Q$145</c:f>
              <c:numCache>
                <c:formatCode>0</c:formatCode>
                <c:ptCount val="132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  <c:pt idx="120">
                  <c:v>-5.6266129032258068</c:v>
                </c:pt>
                <c:pt idx="121">
                  <c:v>-5.7592261904761912</c:v>
                </c:pt>
                <c:pt idx="122">
                  <c:v>1.2700268817204301</c:v>
                </c:pt>
                <c:pt idx="123">
                  <c:v>6.2719444444444443</c:v>
                </c:pt>
                <c:pt idx="124">
                  <c:v>12.868682795698925</c:v>
                </c:pt>
                <c:pt idx="125">
                  <c:v>19.441388888888891</c:v>
                </c:pt>
                <c:pt idx="126">
                  <c:v>22.816599462365595</c:v>
                </c:pt>
                <c:pt idx="127">
                  <c:v>20.383467741935487</c:v>
                </c:pt>
                <c:pt idx="128">
                  <c:v>17.070277777777775</c:v>
                </c:pt>
                <c:pt idx="129">
                  <c:v>10.918682795698926</c:v>
                </c:pt>
                <c:pt idx="130">
                  <c:v>2.6462499999999998</c:v>
                </c:pt>
                <c:pt idx="131">
                  <c:v>-4.0064516129032253</c:v>
                </c:pt>
              </c:numCache>
            </c:numRef>
          </c:xVal>
          <c:yVal>
            <c:numRef>
              <c:f>Weather!$EU$14:$EU$145</c:f>
              <c:numCache>
                <c:formatCode>_-* #,##0_-;\-* #,##0_-;_-* "-"??_-;_-@_-</c:formatCode>
                <c:ptCount val="132"/>
                <c:pt idx="12">
                  <c:v>797.94584378551588</c:v>
                </c:pt>
                <c:pt idx="13">
                  <c:v>722.66631449012436</c:v>
                </c:pt>
                <c:pt idx="14">
                  <c:v>690.29525864385846</c:v>
                </c:pt>
                <c:pt idx="15">
                  <c:v>610.00283335376878</c:v>
                </c:pt>
                <c:pt idx="16">
                  <c:v>607.38545395754784</c:v>
                </c:pt>
                <c:pt idx="17">
                  <c:v>695.22115419845306</c:v>
                </c:pt>
                <c:pt idx="18">
                  <c:v>910.93115999523593</c:v>
                </c:pt>
                <c:pt idx="19">
                  <c:v>967.80675386012251</c:v>
                </c:pt>
                <c:pt idx="20">
                  <c:v>676.89807840094261</c:v>
                </c:pt>
                <c:pt idx="21">
                  <c:v>588.66581254683513</c:v>
                </c:pt>
                <c:pt idx="22">
                  <c:v>614.72568135239112</c:v>
                </c:pt>
                <c:pt idx="23">
                  <c:v>780.20212720410348</c:v>
                </c:pt>
                <c:pt idx="24">
                  <c:v>764.73257827985401</c:v>
                </c:pt>
                <c:pt idx="25">
                  <c:v>662.69287555013238</c:v>
                </c:pt>
                <c:pt idx="26">
                  <c:v>721.95580287281291</c:v>
                </c:pt>
                <c:pt idx="27">
                  <c:v>583.49432080384406</c:v>
                </c:pt>
                <c:pt idx="28">
                  <c:v>577.38152880688324</c:v>
                </c:pt>
                <c:pt idx="29">
                  <c:v>641.69447783371561</c:v>
                </c:pt>
                <c:pt idx="30">
                  <c:v>792.44895162258797</c:v>
                </c:pt>
                <c:pt idx="31">
                  <c:v>737.44534753549476</c:v>
                </c:pt>
                <c:pt idx="32">
                  <c:v>678.12291995942405</c:v>
                </c:pt>
                <c:pt idx="33">
                  <c:v>588.07280915712624</c:v>
                </c:pt>
                <c:pt idx="34">
                  <c:v>660.51397645751979</c:v>
                </c:pt>
                <c:pt idx="35">
                  <c:v>834.51038659540677</c:v>
                </c:pt>
                <c:pt idx="36">
                  <c:v>841.03273861227001</c:v>
                </c:pt>
                <c:pt idx="37">
                  <c:v>693.10049218489485</c:v>
                </c:pt>
                <c:pt idx="38">
                  <c:v>708.52801527724512</c:v>
                </c:pt>
                <c:pt idx="39">
                  <c:v>654.83946087975789</c:v>
                </c:pt>
                <c:pt idx="40">
                  <c:v>603.91237733692833</c:v>
                </c:pt>
                <c:pt idx="41">
                  <c:v>688.09322873997928</c:v>
                </c:pt>
                <c:pt idx="42">
                  <c:v>951.75913330317519</c:v>
                </c:pt>
                <c:pt idx="43">
                  <c:v>928.01269956829844</c:v>
                </c:pt>
                <c:pt idx="44">
                  <c:v>737.47577508019015</c:v>
                </c:pt>
                <c:pt idx="45">
                  <c:v>627.02971354880447</c:v>
                </c:pt>
                <c:pt idx="46">
                  <c:v>694.90950160262446</c:v>
                </c:pt>
                <c:pt idx="47">
                  <c:v>789.96710499437165</c:v>
                </c:pt>
                <c:pt idx="48">
                  <c:v>843.62611477172811</c:v>
                </c:pt>
                <c:pt idx="49">
                  <c:v>733.70201930864414</c:v>
                </c:pt>
                <c:pt idx="50">
                  <c:v>741.69923967077659</c:v>
                </c:pt>
                <c:pt idx="51">
                  <c:v>622.7935384412101</c:v>
                </c:pt>
                <c:pt idx="52">
                  <c:v>578.78250357505863</c:v>
                </c:pt>
                <c:pt idx="53">
                  <c:v>640.3489906053378</c:v>
                </c:pt>
                <c:pt idx="54">
                  <c:v>963.52136369672849</c:v>
                </c:pt>
                <c:pt idx="55">
                  <c:v>809.75321542566326</c:v>
                </c:pt>
                <c:pt idx="56">
                  <c:v>600.88180664805816</c:v>
                </c:pt>
                <c:pt idx="57">
                  <c:v>590.2471987451479</c:v>
                </c:pt>
                <c:pt idx="58">
                  <c:v>690.1366369628862</c:v>
                </c:pt>
                <c:pt idx="59">
                  <c:v>790.48477446761933</c:v>
                </c:pt>
                <c:pt idx="60">
                  <c:v>767.912780821355</c:v>
                </c:pt>
                <c:pt idx="61">
                  <c:v>714.33079363024467</c:v>
                </c:pt>
                <c:pt idx="62">
                  <c:v>711.36030831170285</c:v>
                </c:pt>
                <c:pt idx="63">
                  <c:v>662.90642023449516</c:v>
                </c:pt>
                <c:pt idx="64">
                  <c:v>683.13081343865895</c:v>
                </c:pt>
                <c:pt idx="65">
                  <c:v>811.58657629402057</c:v>
                </c:pt>
                <c:pt idx="66">
                  <c:v>1125.8867054715959</c:v>
                </c:pt>
                <c:pt idx="67">
                  <c:v>929.77568572592884</c:v>
                </c:pt>
                <c:pt idx="68">
                  <c:v>640.47293932060541</c:v>
                </c:pt>
                <c:pt idx="69">
                  <c:v>630.82687151764969</c:v>
                </c:pt>
                <c:pt idx="70">
                  <c:v>663.14400432383377</c:v>
                </c:pt>
                <c:pt idx="71">
                  <c:v>810.28811143623909</c:v>
                </c:pt>
                <c:pt idx="72">
                  <c:v>816.16649432622739</c:v>
                </c:pt>
                <c:pt idx="73">
                  <c:v>755.83830278285802</c:v>
                </c:pt>
                <c:pt idx="74">
                  <c:v>718.37505242435452</c:v>
                </c:pt>
                <c:pt idx="75">
                  <c:v>624.94845546655074</c:v>
                </c:pt>
                <c:pt idx="76">
                  <c:v>657.92397591007989</c:v>
                </c:pt>
                <c:pt idx="77">
                  <c:v>809.85078477777586</c:v>
                </c:pt>
                <c:pt idx="78">
                  <c:v>859.8166302887671</c:v>
                </c:pt>
                <c:pt idx="79">
                  <c:v>1023.1764253773389</c:v>
                </c:pt>
                <c:pt idx="80">
                  <c:v>662.71191281636891</c:v>
                </c:pt>
                <c:pt idx="81">
                  <c:v>618.68574481151427</c:v>
                </c:pt>
                <c:pt idx="82">
                  <c:v>664.6073153438183</c:v>
                </c:pt>
                <c:pt idx="83">
                  <c:v>776.19611289991371</c:v>
                </c:pt>
                <c:pt idx="84">
                  <c:v>875.10592568193647</c:v>
                </c:pt>
                <c:pt idx="85">
                  <c:v>740.07275377574513</c:v>
                </c:pt>
                <c:pt idx="86">
                  <c:v>733.18212300115295</c:v>
                </c:pt>
                <c:pt idx="87">
                  <c:v>624.07647021422576</c:v>
                </c:pt>
                <c:pt idx="88">
                  <c:v>623.09450915412083</c:v>
                </c:pt>
                <c:pt idx="89">
                  <c:v>703.55063921379224</c:v>
                </c:pt>
                <c:pt idx="90">
                  <c:v>891.46819737364842</c:v>
                </c:pt>
                <c:pt idx="91">
                  <c:v>917.39533815667403</c:v>
                </c:pt>
                <c:pt idx="92">
                  <c:v>661.31473169781304</c:v>
                </c:pt>
                <c:pt idx="93">
                  <c:v>595.66732764203937</c:v>
                </c:pt>
                <c:pt idx="94">
                  <c:v>642.29109316880033</c:v>
                </c:pt>
                <c:pt idx="95">
                  <c:v>775.23887940775512</c:v>
                </c:pt>
                <c:pt idx="96">
                  <c:v>756.80685277446776</c:v>
                </c:pt>
                <c:pt idx="97">
                  <c:v>690.12454099373701</c:v>
                </c:pt>
                <c:pt idx="98">
                  <c:v>707.00316214418194</c:v>
                </c:pt>
                <c:pt idx="99">
                  <c:v>604.06724016136991</c:v>
                </c:pt>
                <c:pt idx="100">
                  <c:v>593.85809866051136</c:v>
                </c:pt>
                <c:pt idx="101">
                  <c:v>718.81827067757911</c:v>
                </c:pt>
                <c:pt idx="102">
                  <c:v>909.92197968812729</c:v>
                </c:pt>
                <c:pt idx="103">
                  <c:v>784.55657440890536</c:v>
                </c:pt>
                <c:pt idx="104">
                  <c:v>685.5974771668632</c:v>
                </c:pt>
                <c:pt idx="105">
                  <c:v>635.26784023757523</c:v>
                </c:pt>
                <c:pt idx="106">
                  <c:v>698.00221685016948</c:v>
                </c:pt>
                <c:pt idx="107">
                  <c:v>758.75326396891035</c:v>
                </c:pt>
                <c:pt idx="108">
                  <c:v>800.36595835874107</c:v>
                </c:pt>
                <c:pt idx="109">
                  <c:v>693.21252558693902</c:v>
                </c:pt>
                <c:pt idx="110">
                  <c:v>688.6688493761402</c:v>
                </c:pt>
                <c:pt idx="111">
                  <c:v>607.39508915981696</c:v>
                </c:pt>
                <c:pt idx="112">
                  <c:v>618.81631250092937</c:v>
                </c:pt>
                <c:pt idx="113">
                  <c:v>756.6501004899784</c:v>
                </c:pt>
                <c:pt idx="114">
                  <c:v>962.43966645507169</c:v>
                </c:pt>
                <c:pt idx="115">
                  <c:v>883.0210036152497</c:v>
                </c:pt>
                <c:pt idx="116">
                  <c:v>691.82817655151007</c:v>
                </c:pt>
                <c:pt idx="117">
                  <c:v>605.51607792114362</c:v>
                </c:pt>
                <c:pt idx="118">
                  <c:v>636.801081616597</c:v>
                </c:pt>
                <c:pt idx="119">
                  <c:v>790.81610239294969</c:v>
                </c:pt>
                <c:pt idx="120">
                  <c:v>805.91157409258938</c:v>
                </c:pt>
                <c:pt idx="121">
                  <c:v>717.62881696425131</c:v>
                </c:pt>
                <c:pt idx="122">
                  <c:v>697.42427848029422</c:v>
                </c:pt>
                <c:pt idx="123">
                  <c:v>612.48550864255594</c:v>
                </c:pt>
                <c:pt idx="124">
                  <c:v>582.13017998483906</c:v>
                </c:pt>
                <c:pt idx="125">
                  <c:v>763.18112970030211</c:v>
                </c:pt>
                <c:pt idx="126">
                  <c:v>1024.186369339353</c:v>
                </c:pt>
                <c:pt idx="127">
                  <c:v>877.0585470043959</c:v>
                </c:pt>
                <c:pt idx="128">
                  <c:v>638.21525601477015</c:v>
                </c:pt>
                <c:pt idx="129">
                  <c:v>601.21764396638503</c:v>
                </c:pt>
                <c:pt idx="130">
                  <c:v>667.03783684990935</c:v>
                </c:pt>
                <c:pt idx="131">
                  <c:v>803.59376813213953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AC-4949-8F58-471EA0084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707583"/>
        <c:axId val="1685702783"/>
      </c:scatterChart>
      <c:valAx>
        <c:axId val="168570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2783"/>
        <c:crosses val="autoZero"/>
        <c:crossBetween val="midCat"/>
      </c:valAx>
      <c:valAx>
        <c:axId val="16857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</a:t>
                </a:r>
                <a:r>
                  <a:rPr lang="en-CA" b="1" baseline="0"/>
                  <a:t> Monthly</a:t>
                </a:r>
                <a:r>
                  <a:rPr lang="en-CA" b="1"/>
                  <a:t>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7583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VRZ Seasonal 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Weather!$Q$14:$Q$145</c:f>
              <c:numCache>
                <c:formatCode>0</c:formatCode>
                <c:ptCount val="132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  <c:pt idx="120">
                  <c:v>-5.6266129032258068</c:v>
                </c:pt>
                <c:pt idx="121">
                  <c:v>-5.7592261904761912</c:v>
                </c:pt>
                <c:pt idx="122">
                  <c:v>1.2700268817204301</c:v>
                </c:pt>
                <c:pt idx="123">
                  <c:v>6.2719444444444443</c:v>
                </c:pt>
                <c:pt idx="124">
                  <c:v>12.868682795698925</c:v>
                </c:pt>
                <c:pt idx="125">
                  <c:v>19.441388888888891</c:v>
                </c:pt>
                <c:pt idx="126">
                  <c:v>22.816599462365595</c:v>
                </c:pt>
                <c:pt idx="127">
                  <c:v>20.383467741935487</c:v>
                </c:pt>
                <c:pt idx="128">
                  <c:v>17.070277777777775</c:v>
                </c:pt>
                <c:pt idx="129">
                  <c:v>10.918682795698926</c:v>
                </c:pt>
                <c:pt idx="130">
                  <c:v>2.6462499999999998</c:v>
                </c:pt>
                <c:pt idx="131">
                  <c:v>-4.0064516129032253</c:v>
                </c:pt>
              </c:numCache>
            </c:numRef>
          </c:xVal>
          <c:yVal>
            <c:numRef>
              <c:f>Weather!$EV$14:$EV$145</c:f>
              <c:numCache>
                <c:formatCode>_-* #,##0_-;\-* #,##0_-;_-* "-"??_-;_-@_-</c:formatCode>
                <c:ptCount val="132"/>
                <c:pt idx="12">
                  <c:v>589.5571110945383</c:v>
                </c:pt>
                <c:pt idx="13">
                  <c:v>564.99278997013653</c:v>
                </c:pt>
                <c:pt idx="14">
                  <c:v>493.91838146299892</c:v>
                </c:pt>
                <c:pt idx="15">
                  <c:v>414.50174092476385</c:v>
                </c:pt>
                <c:pt idx="16">
                  <c:v>404.94480049487652</c:v>
                </c:pt>
                <c:pt idx="17">
                  <c:v>394.68358672415513</c:v>
                </c:pt>
                <c:pt idx="18">
                  <c:v>601.16380388882794</c:v>
                </c:pt>
                <c:pt idx="19">
                  <c:v>592.7820433044318</c:v>
                </c:pt>
                <c:pt idx="20">
                  <c:v>403.80900953384509</c:v>
                </c:pt>
                <c:pt idx="21">
                  <c:v>449.98094993735873</c:v>
                </c:pt>
                <c:pt idx="22">
                  <c:v>369.94824664442189</c:v>
                </c:pt>
                <c:pt idx="23">
                  <c:v>540.66350549915694</c:v>
                </c:pt>
                <c:pt idx="24">
                  <c:v>570.49597171668597</c:v>
                </c:pt>
                <c:pt idx="25">
                  <c:v>521.22997536643391</c:v>
                </c:pt>
                <c:pt idx="26">
                  <c:v>573.19918781797662</c:v>
                </c:pt>
                <c:pt idx="27">
                  <c:v>394.14875962617816</c:v>
                </c:pt>
                <c:pt idx="28">
                  <c:v>452.85780854785037</c:v>
                </c:pt>
                <c:pt idx="29">
                  <c:v>414.5911045989684</c:v>
                </c:pt>
                <c:pt idx="30">
                  <c:v>620.15881363410529</c:v>
                </c:pt>
                <c:pt idx="31">
                  <c:v>631.88472278022209</c:v>
                </c:pt>
                <c:pt idx="32">
                  <c:v>463.89061864286998</c:v>
                </c:pt>
                <c:pt idx="33">
                  <c:v>421.03072384681218</c:v>
                </c:pt>
                <c:pt idx="34">
                  <c:v>477.22061179137529</c:v>
                </c:pt>
                <c:pt idx="35">
                  <c:v>696.13070271304116</c:v>
                </c:pt>
                <c:pt idx="36">
                  <c:v>732.82542228269631</c:v>
                </c:pt>
                <c:pt idx="37">
                  <c:v>596.98962794848114</c:v>
                </c:pt>
                <c:pt idx="38">
                  <c:v>576.16814754744098</c:v>
                </c:pt>
                <c:pt idx="39">
                  <c:v>502.42729019566383</c:v>
                </c:pt>
                <c:pt idx="40">
                  <c:v>415.68926345486204</c:v>
                </c:pt>
                <c:pt idx="41">
                  <c:v>437.45271847792964</c:v>
                </c:pt>
                <c:pt idx="42">
                  <c:v>638.09766544166894</c:v>
                </c:pt>
                <c:pt idx="43">
                  <c:v>643.91495386687427</c:v>
                </c:pt>
                <c:pt idx="44">
                  <c:v>462.63510343046619</c:v>
                </c:pt>
                <c:pt idx="45">
                  <c:v>548.06012790668547</c:v>
                </c:pt>
                <c:pt idx="46">
                  <c:v>521.46832221106138</c:v>
                </c:pt>
                <c:pt idx="47">
                  <c:v>623.47658278803533</c:v>
                </c:pt>
                <c:pt idx="48">
                  <c:v>752.41808767928092</c:v>
                </c:pt>
                <c:pt idx="49">
                  <c:v>661.42508812114067</c:v>
                </c:pt>
                <c:pt idx="50">
                  <c:v>650.01462090549205</c:v>
                </c:pt>
                <c:pt idx="51">
                  <c:v>482.87047391668199</c:v>
                </c:pt>
                <c:pt idx="52">
                  <c:v>491.44277621291661</c:v>
                </c:pt>
                <c:pt idx="53">
                  <c:v>468.4921926828851</c:v>
                </c:pt>
                <c:pt idx="54">
                  <c:v>622.98722706696003</c:v>
                </c:pt>
                <c:pt idx="55">
                  <c:v>620.61475860640871</c:v>
                </c:pt>
                <c:pt idx="56">
                  <c:v>444.88655985634347</c:v>
                </c:pt>
                <c:pt idx="57">
                  <c:v>526.55168820758274</c:v>
                </c:pt>
                <c:pt idx="58">
                  <c:v>572.91634659467502</c:v>
                </c:pt>
                <c:pt idx="59">
                  <c:v>658.82716991670782</c:v>
                </c:pt>
                <c:pt idx="60">
                  <c:v>676.73166938872237</c:v>
                </c:pt>
                <c:pt idx="61">
                  <c:v>655.83918755995569</c:v>
                </c:pt>
                <c:pt idx="62">
                  <c:v>622.05987116374683</c:v>
                </c:pt>
                <c:pt idx="63">
                  <c:v>602.08384859322302</c:v>
                </c:pt>
                <c:pt idx="64">
                  <c:v>623.71989290016643</c:v>
                </c:pt>
                <c:pt idx="65">
                  <c:v>573.89623995728175</c:v>
                </c:pt>
                <c:pt idx="66">
                  <c:v>736.65108677256148</c:v>
                </c:pt>
                <c:pt idx="67">
                  <c:v>704.13863437345935</c:v>
                </c:pt>
                <c:pt idx="68">
                  <c:v>612.09894104726197</c:v>
                </c:pt>
                <c:pt idx="69">
                  <c:v>716.19922583674565</c:v>
                </c:pt>
                <c:pt idx="70">
                  <c:v>584.13916765824808</c:v>
                </c:pt>
                <c:pt idx="71">
                  <c:v>795.67576420684884</c:v>
                </c:pt>
                <c:pt idx="72">
                  <c:v>868.45558282059596</c:v>
                </c:pt>
                <c:pt idx="73">
                  <c:v>850.93392896381044</c:v>
                </c:pt>
                <c:pt idx="74">
                  <c:v>721.18886001465944</c:v>
                </c:pt>
                <c:pt idx="75">
                  <c:v>605.00361564789887</c:v>
                </c:pt>
                <c:pt idx="76">
                  <c:v>614.63429326921118</c:v>
                </c:pt>
                <c:pt idx="77">
                  <c:v>536.29180688104088</c:v>
                </c:pt>
                <c:pt idx="78">
                  <c:v>697.49129428743913</c:v>
                </c:pt>
                <c:pt idx="79">
                  <c:v>732.32626816678226</c:v>
                </c:pt>
                <c:pt idx="80">
                  <c:v>533.74728340815432</c:v>
                </c:pt>
                <c:pt idx="81">
                  <c:v>537.53963436321635</c:v>
                </c:pt>
                <c:pt idx="82">
                  <c:v>592.21025045261581</c:v>
                </c:pt>
                <c:pt idx="83">
                  <c:v>756.18081342255743</c:v>
                </c:pt>
                <c:pt idx="84">
                  <c:v>1010.3725043565739</c:v>
                </c:pt>
                <c:pt idx="85">
                  <c:v>842.77722200070662</c:v>
                </c:pt>
                <c:pt idx="86">
                  <c:v>789.3766001064256</c:v>
                </c:pt>
                <c:pt idx="87">
                  <c:v>610.55809702519286</c:v>
                </c:pt>
                <c:pt idx="88">
                  <c:v>509.45445883758026</c:v>
                </c:pt>
                <c:pt idx="89">
                  <c:v>501.16564088938924</c:v>
                </c:pt>
                <c:pt idx="90">
                  <c:v>674.78138572309456</c:v>
                </c:pt>
                <c:pt idx="91">
                  <c:v>662.18575916698512</c:v>
                </c:pt>
                <c:pt idx="92">
                  <c:v>523.40213636568785</c:v>
                </c:pt>
                <c:pt idx="93">
                  <c:v>627.49963472439993</c:v>
                </c:pt>
                <c:pt idx="94">
                  <c:v>562.12054005388848</c:v>
                </c:pt>
                <c:pt idx="95">
                  <c:v>735.98621302895447</c:v>
                </c:pt>
                <c:pt idx="96">
                  <c:v>786.16993489638253</c:v>
                </c:pt>
                <c:pt idx="97">
                  <c:v>757.66430420846859</c:v>
                </c:pt>
                <c:pt idx="98">
                  <c:v>734.85789914453085</c:v>
                </c:pt>
                <c:pt idx="99">
                  <c:v>557.40048004842424</c:v>
                </c:pt>
                <c:pt idx="100">
                  <c:v>565.81300276898071</c:v>
                </c:pt>
                <c:pt idx="101">
                  <c:v>505.22428082742897</c:v>
                </c:pt>
                <c:pt idx="102">
                  <c:v>703.17112751379443</c:v>
                </c:pt>
                <c:pt idx="103">
                  <c:v>669.5741499076745</c:v>
                </c:pt>
                <c:pt idx="104">
                  <c:v>520.82145598625243</c:v>
                </c:pt>
                <c:pt idx="105">
                  <c:v>572.19634426683479</c:v>
                </c:pt>
                <c:pt idx="106">
                  <c:v>647.06483187123342</c:v>
                </c:pt>
                <c:pt idx="107">
                  <c:v>750.36312961883129</c:v>
                </c:pt>
                <c:pt idx="108">
                  <c:v>835.71215311703872</c:v>
                </c:pt>
                <c:pt idx="109">
                  <c:v>779.72956920701256</c:v>
                </c:pt>
                <c:pt idx="110">
                  <c:v>731.08493786333179</c:v>
                </c:pt>
                <c:pt idx="111">
                  <c:v>569.56589826239826</c:v>
                </c:pt>
                <c:pt idx="112">
                  <c:v>549.66817319103802</c:v>
                </c:pt>
                <c:pt idx="113">
                  <c:v>504.59509905277088</c:v>
                </c:pt>
                <c:pt idx="114">
                  <c:v>700.75151890249379</c:v>
                </c:pt>
                <c:pt idx="115">
                  <c:v>718.43740054139346</c:v>
                </c:pt>
                <c:pt idx="116">
                  <c:v>530.17641905953474</c:v>
                </c:pt>
                <c:pt idx="117">
                  <c:v>598.327394091972</c:v>
                </c:pt>
                <c:pt idx="118">
                  <c:v>585.28975091258235</c:v>
                </c:pt>
                <c:pt idx="119">
                  <c:v>724.3440875908625</c:v>
                </c:pt>
                <c:pt idx="120">
                  <c:v>975.27505044722989</c:v>
                </c:pt>
                <c:pt idx="121">
                  <c:v>872.63972385367663</c:v>
                </c:pt>
                <c:pt idx="122">
                  <c:v>702.87313495201306</c:v>
                </c:pt>
                <c:pt idx="123">
                  <c:v>524.81430768691314</c:v>
                </c:pt>
                <c:pt idx="124">
                  <c:v>579.82280314165007</c:v>
                </c:pt>
                <c:pt idx="125">
                  <c:v>577.065580187573</c:v>
                </c:pt>
                <c:pt idx="126">
                  <c:v>767.43383502358745</c:v>
                </c:pt>
                <c:pt idx="127">
                  <c:v>797.79710786508838</c:v>
                </c:pt>
                <c:pt idx="128">
                  <c:v>518.02741649037489</c:v>
                </c:pt>
                <c:pt idx="129">
                  <c:v>617.74394511738672</c:v>
                </c:pt>
                <c:pt idx="130">
                  <c:v>690.72791649054977</c:v>
                </c:pt>
                <c:pt idx="131">
                  <c:v>948.63712028354928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21-4F23-B9E9-D5C7CD416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707583"/>
        <c:axId val="1685702783"/>
      </c:scatterChart>
      <c:valAx>
        <c:axId val="168570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2783"/>
        <c:crosses val="autoZero"/>
        <c:crossBetween val="midCat"/>
      </c:valAx>
      <c:valAx>
        <c:axId val="16857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</a:t>
                </a:r>
                <a:r>
                  <a:rPr lang="en-CA" b="1" baseline="0"/>
                  <a:t> Monthly</a:t>
                </a:r>
                <a:r>
                  <a:rPr lang="en-CA" b="1"/>
                  <a:t>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7583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VRZ General Service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Weather!$Q$14:$Q$145</c:f>
              <c:numCache>
                <c:formatCode>0</c:formatCode>
                <c:ptCount val="132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  <c:pt idx="120">
                  <c:v>-5.6266129032258068</c:v>
                </c:pt>
                <c:pt idx="121">
                  <c:v>-5.7592261904761912</c:v>
                </c:pt>
                <c:pt idx="122">
                  <c:v>1.2700268817204301</c:v>
                </c:pt>
                <c:pt idx="123">
                  <c:v>6.2719444444444443</c:v>
                </c:pt>
                <c:pt idx="124">
                  <c:v>12.868682795698925</c:v>
                </c:pt>
                <c:pt idx="125">
                  <c:v>19.441388888888891</c:v>
                </c:pt>
                <c:pt idx="126">
                  <c:v>22.816599462365595</c:v>
                </c:pt>
                <c:pt idx="127">
                  <c:v>20.383467741935487</c:v>
                </c:pt>
                <c:pt idx="128">
                  <c:v>17.070277777777775</c:v>
                </c:pt>
                <c:pt idx="129">
                  <c:v>10.918682795698926</c:v>
                </c:pt>
                <c:pt idx="130">
                  <c:v>2.6462499999999998</c:v>
                </c:pt>
                <c:pt idx="131">
                  <c:v>-4.0064516129032253</c:v>
                </c:pt>
              </c:numCache>
            </c:numRef>
          </c:xVal>
          <c:yVal>
            <c:numRef>
              <c:f>Weather!$EW$14:$EW$145</c:f>
              <c:numCache>
                <c:formatCode>_-* #,##0_-;\-* #,##0_-;_-* "-"??_-;_-@_-</c:formatCode>
                <c:ptCount val="132"/>
                <c:pt idx="12">
                  <c:v>2870.6668288131686</c:v>
                </c:pt>
                <c:pt idx="13">
                  <c:v>2672.5998672998135</c:v>
                </c:pt>
                <c:pt idx="14">
                  <c:v>2632.0590527368186</c:v>
                </c:pt>
                <c:pt idx="15">
                  <c:v>2410.3889313443547</c:v>
                </c:pt>
                <c:pt idx="16">
                  <c:v>2371.7745680320154</c:v>
                </c:pt>
                <c:pt idx="17">
                  <c:v>2484.9122418176103</c:v>
                </c:pt>
                <c:pt idx="18">
                  <c:v>2756.1376945627835</c:v>
                </c:pt>
                <c:pt idx="19">
                  <c:v>2879.5601670813789</c:v>
                </c:pt>
                <c:pt idx="20">
                  <c:v>2439.864435515427</c:v>
                </c:pt>
                <c:pt idx="21">
                  <c:v>2308.6366421610905</c:v>
                </c:pt>
                <c:pt idx="22">
                  <c:v>2403.8925125070036</c:v>
                </c:pt>
                <c:pt idx="23">
                  <c:v>2742.9595038824523</c:v>
                </c:pt>
                <c:pt idx="24">
                  <c:v>2790.4520774988005</c:v>
                </c:pt>
                <c:pt idx="25">
                  <c:v>2495.78437200295</c:v>
                </c:pt>
                <c:pt idx="26">
                  <c:v>2750.8030339055563</c:v>
                </c:pt>
                <c:pt idx="27">
                  <c:v>2268.3413145273648</c:v>
                </c:pt>
                <c:pt idx="28">
                  <c:v>2299.7257173269422</c:v>
                </c:pt>
                <c:pt idx="29">
                  <c:v>2353.0305358085566</c:v>
                </c:pt>
                <c:pt idx="30">
                  <c:v>2559.6778301005938</c:v>
                </c:pt>
                <c:pt idx="31">
                  <c:v>2531.3277176892298</c:v>
                </c:pt>
                <c:pt idx="32">
                  <c:v>2373.165486647214</c:v>
                </c:pt>
                <c:pt idx="33">
                  <c:v>2257.2501108163028</c:v>
                </c:pt>
                <c:pt idx="34">
                  <c:v>2451.318448462901</c:v>
                </c:pt>
                <c:pt idx="35">
                  <c:v>2792.0001080304896</c:v>
                </c:pt>
                <c:pt idx="36">
                  <c:v>2994.57292994198</c:v>
                </c:pt>
                <c:pt idx="37">
                  <c:v>2558.6934140439075</c:v>
                </c:pt>
                <c:pt idx="38">
                  <c:v>2656.6243700437467</c:v>
                </c:pt>
                <c:pt idx="39">
                  <c:v>2443.3114116706556</c:v>
                </c:pt>
                <c:pt idx="40">
                  <c:v>2350.0947203399237</c:v>
                </c:pt>
                <c:pt idx="41">
                  <c:v>2399.3114565336637</c:v>
                </c:pt>
                <c:pt idx="42">
                  <c:v>2766.4090442196371</c:v>
                </c:pt>
                <c:pt idx="43">
                  <c:v>2751.6685941102082</c:v>
                </c:pt>
                <c:pt idx="44">
                  <c:v>2394.5458788777619</c:v>
                </c:pt>
                <c:pt idx="45">
                  <c:v>2318.3099233483667</c:v>
                </c:pt>
                <c:pt idx="46">
                  <c:v>2528.812958434507</c:v>
                </c:pt>
                <c:pt idx="47">
                  <c:v>2652.0271319193712</c:v>
                </c:pt>
                <c:pt idx="48">
                  <c:v>2947.2637866427185</c:v>
                </c:pt>
                <c:pt idx="49">
                  <c:v>2641.1118971330156</c:v>
                </c:pt>
                <c:pt idx="50">
                  <c:v>2776.0802313417435</c:v>
                </c:pt>
                <c:pt idx="51">
                  <c:v>2530.0066623184912</c:v>
                </c:pt>
                <c:pt idx="52">
                  <c:v>2392.6398034176918</c:v>
                </c:pt>
                <c:pt idx="53">
                  <c:v>2438.6215484957029</c:v>
                </c:pt>
                <c:pt idx="54">
                  <c:v>2980.5093536092277</c:v>
                </c:pt>
                <c:pt idx="55">
                  <c:v>2761.970610170551</c:v>
                </c:pt>
                <c:pt idx="56">
                  <c:v>2360.4681605768601</c:v>
                </c:pt>
                <c:pt idx="57">
                  <c:v>2370.7963427174213</c:v>
                </c:pt>
                <c:pt idx="58">
                  <c:v>2618.2654715614271</c:v>
                </c:pt>
                <c:pt idx="59">
                  <c:v>2800.2192599177406</c:v>
                </c:pt>
                <c:pt idx="60">
                  <c:v>2876.1744861075745</c:v>
                </c:pt>
                <c:pt idx="61">
                  <c:v>2704.6519394954207</c:v>
                </c:pt>
                <c:pt idx="62">
                  <c:v>2503.0211703338755</c:v>
                </c:pt>
                <c:pt idx="63">
                  <c:v>2006.0341923706883</c:v>
                </c:pt>
                <c:pt idx="64">
                  <c:v>2035.9074721389802</c:v>
                </c:pt>
                <c:pt idx="65">
                  <c:v>2274.2056949408152</c:v>
                </c:pt>
                <c:pt idx="66">
                  <c:v>2799.8796407892105</c:v>
                </c:pt>
                <c:pt idx="67">
                  <c:v>2599.7713441418382</c:v>
                </c:pt>
                <c:pt idx="68">
                  <c:v>2221.6069632312674</c:v>
                </c:pt>
                <c:pt idx="69">
                  <c:v>2216.2335210169581</c:v>
                </c:pt>
                <c:pt idx="70">
                  <c:v>2341.6044205180592</c:v>
                </c:pt>
                <c:pt idx="71">
                  <c:v>2588.2287547144701</c:v>
                </c:pt>
                <c:pt idx="72">
                  <c:v>2541.3411729901331</c:v>
                </c:pt>
                <c:pt idx="73">
                  <c:v>2462.0527141786674</c:v>
                </c:pt>
                <c:pt idx="74">
                  <c:v>2537.5599277740348</c:v>
                </c:pt>
                <c:pt idx="75">
                  <c:v>2120.3755890196185</c:v>
                </c:pt>
                <c:pt idx="76">
                  <c:v>2116.0432235070512</c:v>
                </c:pt>
                <c:pt idx="77">
                  <c:v>2349.7785936938208</c:v>
                </c:pt>
                <c:pt idx="78">
                  <c:v>2537.8434473623938</c:v>
                </c:pt>
                <c:pt idx="79">
                  <c:v>2828.4987173790328</c:v>
                </c:pt>
                <c:pt idx="80">
                  <c:v>2312.3723180366583</c:v>
                </c:pt>
                <c:pt idx="81">
                  <c:v>2251.8463132117904</c:v>
                </c:pt>
                <c:pt idx="82">
                  <c:v>2382.3154537833184</c:v>
                </c:pt>
                <c:pt idx="83">
                  <c:v>2587.4462201618976</c:v>
                </c:pt>
                <c:pt idx="84">
                  <c:v>2852.9950744211792</c:v>
                </c:pt>
                <c:pt idx="85">
                  <c:v>2591.442960563058</c:v>
                </c:pt>
                <c:pt idx="86">
                  <c:v>2656.8051196120987</c:v>
                </c:pt>
                <c:pt idx="87">
                  <c:v>2303.0219082622634</c:v>
                </c:pt>
                <c:pt idx="88">
                  <c:v>2305.9108939425364</c:v>
                </c:pt>
                <c:pt idx="89">
                  <c:v>2405.2550731005954</c:v>
                </c:pt>
                <c:pt idx="90">
                  <c:v>2730.1361404904451</c:v>
                </c:pt>
                <c:pt idx="91">
                  <c:v>2741.3107909265004</c:v>
                </c:pt>
                <c:pt idx="92">
                  <c:v>2309.9721852121252</c:v>
                </c:pt>
                <c:pt idx="93">
                  <c:v>2225.6209598084415</c:v>
                </c:pt>
                <c:pt idx="94">
                  <c:v>2382.1620171960049</c:v>
                </c:pt>
                <c:pt idx="95">
                  <c:v>2669.9863816780849</c:v>
                </c:pt>
                <c:pt idx="96">
                  <c:v>2737.8761232797669</c:v>
                </c:pt>
                <c:pt idx="97">
                  <c:v>2528.8920147157319</c:v>
                </c:pt>
                <c:pt idx="98">
                  <c:v>2692.4678859820601</c:v>
                </c:pt>
                <c:pt idx="99">
                  <c:v>2303.287859084001</c:v>
                </c:pt>
                <c:pt idx="100">
                  <c:v>2310.0668711601361</c:v>
                </c:pt>
                <c:pt idx="101">
                  <c:v>2435.2112585618634</c:v>
                </c:pt>
                <c:pt idx="102">
                  <c:v>2733.5045385040644</c:v>
                </c:pt>
                <c:pt idx="103">
                  <c:v>2485.6136614171519</c:v>
                </c:pt>
                <c:pt idx="104">
                  <c:v>2394.0971662686748</c:v>
                </c:pt>
                <c:pt idx="105">
                  <c:v>2300.8421922247876</c:v>
                </c:pt>
                <c:pt idx="106">
                  <c:v>2440.7345897209834</c:v>
                </c:pt>
                <c:pt idx="107">
                  <c:v>2397.6343387048123</c:v>
                </c:pt>
                <c:pt idx="108">
                  <c:v>2581.7600686588053</c:v>
                </c:pt>
                <c:pt idx="109">
                  <c:v>2340.3851008992688</c:v>
                </c:pt>
                <c:pt idx="110">
                  <c:v>2335.9574251190184</c:v>
                </c:pt>
                <c:pt idx="111">
                  <c:v>2145.7271903580927</c:v>
                </c:pt>
                <c:pt idx="112">
                  <c:v>2181.6240624438783</c:v>
                </c:pt>
                <c:pt idx="113">
                  <c:v>2280.4188164454986</c:v>
                </c:pt>
                <c:pt idx="114">
                  <c:v>2600.5978681303204</c:v>
                </c:pt>
                <c:pt idx="115">
                  <c:v>2477.6655234471605</c:v>
                </c:pt>
                <c:pt idx="116">
                  <c:v>2212.9609399712476</c:v>
                </c:pt>
                <c:pt idx="117">
                  <c:v>2131.6424504551519</c:v>
                </c:pt>
                <c:pt idx="118">
                  <c:v>2187.9463302076642</c:v>
                </c:pt>
                <c:pt idx="119">
                  <c:v>2507.8301309180088</c:v>
                </c:pt>
                <c:pt idx="120">
                  <c:v>2714.3041482327317</c:v>
                </c:pt>
                <c:pt idx="121">
                  <c:v>2464.7114368534508</c:v>
                </c:pt>
                <c:pt idx="122">
                  <c:v>2439.0978906834775</c:v>
                </c:pt>
                <c:pt idx="123">
                  <c:v>2210.0077100480898</c:v>
                </c:pt>
                <c:pt idx="124">
                  <c:v>2122.786345945322</c:v>
                </c:pt>
                <c:pt idx="125">
                  <c:v>2332.0711124106729</c:v>
                </c:pt>
                <c:pt idx="126">
                  <c:v>2711.2581318843622</c:v>
                </c:pt>
                <c:pt idx="127">
                  <c:v>2495.1935570414944</c:v>
                </c:pt>
                <c:pt idx="128">
                  <c:v>2177.1449214041363</c:v>
                </c:pt>
                <c:pt idx="129">
                  <c:v>2133.0556819056928</c:v>
                </c:pt>
                <c:pt idx="130">
                  <c:v>2278.9494304404225</c:v>
                </c:pt>
                <c:pt idx="131">
                  <c:v>2622.1800600147658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61-4C3B-AACA-B8F0B9416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707583"/>
        <c:axId val="1685702783"/>
      </c:scatterChart>
      <c:valAx>
        <c:axId val="168570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2783"/>
        <c:crosses val="autoZero"/>
        <c:crossBetween val="midCat"/>
      </c:valAx>
      <c:valAx>
        <c:axId val="16857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</a:t>
                </a:r>
                <a:r>
                  <a:rPr lang="en-CA" b="1" baseline="0"/>
                  <a:t> Monthly</a:t>
                </a:r>
                <a:r>
                  <a:rPr lang="en-CA" b="1"/>
                  <a:t>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7583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VRZ General Service 50 to 2,999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Weather!$Q$14:$Q$145</c:f>
              <c:numCache>
                <c:formatCode>0</c:formatCode>
                <c:ptCount val="132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  <c:pt idx="120">
                  <c:v>-5.6266129032258068</c:v>
                </c:pt>
                <c:pt idx="121">
                  <c:v>-5.7592261904761912</c:v>
                </c:pt>
                <c:pt idx="122">
                  <c:v>1.2700268817204301</c:v>
                </c:pt>
                <c:pt idx="123">
                  <c:v>6.2719444444444443</c:v>
                </c:pt>
                <c:pt idx="124">
                  <c:v>12.868682795698925</c:v>
                </c:pt>
                <c:pt idx="125">
                  <c:v>19.441388888888891</c:v>
                </c:pt>
                <c:pt idx="126">
                  <c:v>22.816599462365595</c:v>
                </c:pt>
                <c:pt idx="127">
                  <c:v>20.383467741935487</c:v>
                </c:pt>
                <c:pt idx="128">
                  <c:v>17.070277777777775</c:v>
                </c:pt>
                <c:pt idx="129">
                  <c:v>10.918682795698926</c:v>
                </c:pt>
                <c:pt idx="130">
                  <c:v>2.6462499999999998</c:v>
                </c:pt>
                <c:pt idx="131">
                  <c:v>-4.0064516129032253</c:v>
                </c:pt>
              </c:numCache>
            </c:numRef>
          </c:xVal>
          <c:yVal>
            <c:numRef>
              <c:f>Weather!$EX$14:$EX$145</c:f>
              <c:numCache>
                <c:formatCode>_-* #,##0_-;\-* #,##0_-;_-* "-"??_-;_-@_-</c:formatCode>
                <c:ptCount val="132"/>
                <c:pt idx="12">
                  <c:v>77297.977781686568</c:v>
                </c:pt>
                <c:pt idx="13">
                  <c:v>73532.173439465114</c:v>
                </c:pt>
                <c:pt idx="14">
                  <c:v>75552.275363991052</c:v>
                </c:pt>
                <c:pt idx="15">
                  <c:v>71759.303305106179</c:v>
                </c:pt>
                <c:pt idx="16">
                  <c:v>73083.959955525206</c:v>
                </c:pt>
                <c:pt idx="17">
                  <c:v>75776.310713037776</c:v>
                </c:pt>
                <c:pt idx="18">
                  <c:v>77963.081509210009</c:v>
                </c:pt>
                <c:pt idx="19">
                  <c:v>81723.069802126003</c:v>
                </c:pt>
                <c:pt idx="20">
                  <c:v>74480.752739917487</c:v>
                </c:pt>
                <c:pt idx="21">
                  <c:v>72281.130889074135</c:v>
                </c:pt>
                <c:pt idx="22">
                  <c:v>72446.504415746764</c:v>
                </c:pt>
                <c:pt idx="23">
                  <c:v>73295.890508427256</c:v>
                </c:pt>
                <c:pt idx="24">
                  <c:v>76885.90656498044</c:v>
                </c:pt>
                <c:pt idx="25">
                  <c:v>69528.452625713413</c:v>
                </c:pt>
                <c:pt idx="26">
                  <c:v>77101.199720425357</c:v>
                </c:pt>
                <c:pt idx="27">
                  <c:v>68555.022819031292</c:v>
                </c:pt>
                <c:pt idx="28">
                  <c:v>71773.365317322648</c:v>
                </c:pt>
                <c:pt idx="29">
                  <c:v>72241.831341174286</c:v>
                </c:pt>
                <c:pt idx="30">
                  <c:v>73886.321455122627</c:v>
                </c:pt>
                <c:pt idx="31">
                  <c:v>76424.628534806106</c:v>
                </c:pt>
                <c:pt idx="32">
                  <c:v>73438.604949782035</c:v>
                </c:pt>
                <c:pt idx="33">
                  <c:v>71399.268054426953</c:v>
                </c:pt>
                <c:pt idx="34">
                  <c:v>72333.198889620442</c:v>
                </c:pt>
                <c:pt idx="35">
                  <c:v>73784.779452418981</c:v>
                </c:pt>
                <c:pt idx="36">
                  <c:v>79409.487350026364</c:v>
                </c:pt>
                <c:pt idx="37">
                  <c:v>70746.511647640902</c:v>
                </c:pt>
                <c:pt idx="38">
                  <c:v>75631.426189435937</c:v>
                </c:pt>
                <c:pt idx="39">
                  <c:v>72280.100117727547</c:v>
                </c:pt>
                <c:pt idx="40">
                  <c:v>73834.811316478605</c:v>
                </c:pt>
                <c:pt idx="41">
                  <c:v>75138.945693708389</c:v>
                </c:pt>
                <c:pt idx="42">
                  <c:v>80545.840899882169</c:v>
                </c:pt>
                <c:pt idx="43">
                  <c:v>82701.924970642489</c:v>
                </c:pt>
                <c:pt idx="44">
                  <c:v>77256.84593006123</c:v>
                </c:pt>
                <c:pt idx="45">
                  <c:v>75870.629478755029</c:v>
                </c:pt>
                <c:pt idx="46">
                  <c:v>76475.916758660183</c:v>
                </c:pt>
                <c:pt idx="47">
                  <c:v>74901.013707303951</c:v>
                </c:pt>
                <c:pt idx="48">
                  <c:v>83237.119352347465</c:v>
                </c:pt>
                <c:pt idx="49">
                  <c:v>75593.473520750573</c:v>
                </c:pt>
                <c:pt idx="50">
                  <c:v>80741.971256201126</c:v>
                </c:pt>
                <c:pt idx="51">
                  <c:v>73823.547681968499</c:v>
                </c:pt>
                <c:pt idx="52">
                  <c:v>74564.703110449656</c:v>
                </c:pt>
                <c:pt idx="53">
                  <c:v>75345.486676136701</c:v>
                </c:pt>
                <c:pt idx="54">
                  <c:v>84131.518010559856</c:v>
                </c:pt>
                <c:pt idx="55">
                  <c:v>81307.026078916882</c:v>
                </c:pt>
                <c:pt idx="56">
                  <c:v>75341.718843687035</c:v>
                </c:pt>
                <c:pt idx="57">
                  <c:v>74391.103626536918</c:v>
                </c:pt>
                <c:pt idx="58">
                  <c:v>76441.8126051867</c:v>
                </c:pt>
                <c:pt idx="59">
                  <c:v>76592.290350425756</c:v>
                </c:pt>
                <c:pt idx="60">
                  <c:v>80602.951643062392</c:v>
                </c:pt>
                <c:pt idx="61">
                  <c:v>76513.689333636139</c:v>
                </c:pt>
                <c:pt idx="62">
                  <c:v>74761.906292945685</c:v>
                </c:pt>
                <c:pt idx="63">
                  <c:v>62761.645273524598</c:v>
                </c:pt>
                <c:pt idx="64">
                  <c:v>65568.03031421639</c:v>
                </c:pt>
                <c:pt idx="65">
                  <c:v>72893.772619797819</c:v>
                </c:pt>
                <c:pt idx="66">
                  <c:v>82885.325761275366</c:v>
                </c:pt>
                <c:pt idx="67">
                  <c:v>79115.743495647592</c:v>
                </c:pt>
                <c:pt idx="68">
                  <c:v>73032.346462599118</c:v>
                </c:pt>
                <c:pt idx="69">
                  <c:v>72559.761255264937</c:v>
                </c:pt>
                <c:pt idx="70">
                  <c:v>72294.428885146335</c:v>
                </c:pt>
                <c:pt idx="71">
                  <c:v>74562.034003264765</c:v>
                </c:pt>
                <c:pt idx="72">
                  <c:v>76657.60416991885</c:v>
                </c:pt>
                <c:pt idx="73">
                  <c:v>72288.292545944219</c:v>
                </c:pt>
                <c:pt idx="74">
                  <c:v>77127.505896436545</c:v>
                </c:pt>
                <c:pt idx="75">
                  <c:v>69167.404690132302</c:v>
                </c:pt>
                <c:pt idx="76">
                  <c:v>71245.095832737105</c:v>
                </c:pt>
                <c:pt idx="77">
                  <c:v>75978.705872883103</c:v>
                </c:pt>
                <c:pt idx="78">
                  <c:v>77069.532790474157</c:v>
                </c:pt>
                <c:pt idx="79">
                  <c:v>82522.535063662363</c:v>
                </c:pt>
                <c:pt idx="80">
                  <c:v>73760.251692641439</c:v>
                </c:pt>
                <c:pt idx="81">
                  <c:v>72958.613268320318</c:v>
                </c:pt>
                <c:pt idx="82">
                  <c:v>73335.504997288561</c:v>
                </c:pt>
                <c:pt idx="83">
                  <c:v>74102.413265006297</c:v>
                </c:pt>
                <c:pt idx="84">
                  <c:v>79896.264086202893</c:v>
                </c:pt>
                <c:pt idx="85">
                  <c:v>74587.563266497236</c:v>
                </c:pt>
                <c:pt idx="86">
                  <c:v>79857.937108796119</c:v>
                </c:pt>
                <c:pt idx="87">
                  <c:v>72820.329797691273</c:v>
                </c:pt>
                <c:pt idx="88">
                  <c:v>75284.822064121283</c:v>
                </c:pt>
                <c:pt idx="89">
                  <c:v>77183.928363027953</c:v>
                </c:pt>
                <c:pt idx="90">
                  <c:v>81578.082434704746</c:v>
                </c:pt>
                <c:pt idx="91">
                  <c:v>83955.674327178131</c:v>
                </c:pt>
                <c:pt idx="92">
                  <c:v>76186.675068730372</c:v>
                </c:pt>
                <c:pt idx="93">
                  <c:v>74935.000677731921</c:v>
                </c:pt>
                <c:pt idx="94">
                  <c:v>77345.017724892969</c:v>
                </c:pt>
                <c:pt idx="95">
                  <c:v>78733.312786678143</c:v>
                </c:pt>
                <c:pt idx="96">
                  <c:v>82371.228051095139</c:v>
                </c:pt>
                <c:pt idx="97">
                  <c:v>75992.105073415267</c:v>
                </c:pt>
                <c:pt idx="98">
                  <c:v>81470.982194313532</c:v>
                </c:pt>
                <c:pt idx="99">
                  <c:v>73127.668200519664</c:v>
                </c:pt>
                <c:pt idx="100">
                  <c:v>75651.074507412181</c:v>
                </c:pt>
                <c:pt idx="101">
                  <c:v>78386.702903662721</c:v>
                </c:pt>
                <c:pt idx="102">
                  <c:v>82908.802617337846</c:v>
                </c:pt>
                <c:pt idx="103">
                  <c:v>81904.443057809185</c:v>
                </c:pt>
                <c:pt idx="104">
                  <c:v>77430.465128022421</c:v>
                </c:pt>
                <c:pt idx="105">
                  <c:v>76300.359650753657</c:v>
                </c:pt>
                <c:pt idx="106">
                  <c:v>76872.464379777346</c:v>
                </c:pt>
                <c:pt idx="107">
                  <c:v>76533.407937665892</c:v>
                </c:pt>
                <c:pt idx="108">
                  <c:v>84884.104603953441</c:v>
                </c:pt>
                <c:pt idx="109">
                  <c:v>78431.156563173252</c:v>
                </c:pt>
                <c:pt idx="110">
                  <c:v>79822.537870201981</c:v>
                </c:pt>
                <c:pt idx="111">
                  <c:v>76317.76086712761</c:v>
                </c:pt>
                <c:pt idx="112">
                  <c:v>78792.069758684913</c:v>
                </c:pt>
                <c:pt idx="113">
                  <c:v>79672.86084124558</c:v>
                </c:pt>
                <c:pt idx="114">
                  <c:v>86473.739366182199</c:v>
                </c:pt>
                <c:pt idx="115">
                  <c:v>83706.809753940062</c:v>
                </c:pt>
                <c:pt idx="116">
                  <c:v>78820.950343362259</c:v>
                </c:pt>
                <c:pt idx="117">
                  <c:v>76002.801484374155</c:v>
                </c:pt>
                <c:pt idx="118">
                  <c:v>74060.039326353144</c:v>
                </c:pt>
                <c:pt idx="119">
                  <c:v>77276.146881870693</c:v>
                </c:pt>
                <c:pt idx="120">
                  <c:v>83247.438669510957</c:v>
                </c:pt>
                <c:pt idx="121">
                  <c:v>76092.88615269911</c:v>
                </c:pt>
                <c:pt idx="122">
                  <c:v>79426.163382074956</c:v>
                </c:pt>
                <c:pt idx="123">
                  <c:v>74512.4139371536</c:v>
                </c:pt>
                <c:pt idx="124">
                  <c:v>74522.93678164405</c:v>
                </c:pt>
                <c:pt idx="125">
                  <c:v>78546.599050908277</c:v>
                </c:pt>
                <c:pt idx="126">
                  <c:v>86012.026209068732</c:v>
                </c:pt>
                <c:pt idx="127">
                  <c:v>82137.444569939602</c:v>
                </c:pt>
                <c:pt idx="128">
                  <c:v>76760.337292598313</c:v>
                </c:pt>
                <c:pt idx="129">
                  <c:v>75086.305605535905</c:v>
                </c:pt>
                <c:pt idx="130">
                  <c:v>75578.019650199072</c:v>
                </c:pt>
                <c:pt idx="131">
                  <c:v>80580.113182322486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2A-4553-B289-D20FB985D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707583"/>
        <c:axId val="1685702783"/>
      </c:scatterChart>
      <c:valAx>
        <c:axId val="168570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2783"/>
        <c:crosses val="autoZero"/>
        <c:crossBetween val="midCat"/>
      </c:valAx>
      <c:valAx>
        <c:axId val="16857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</a:t>
                </a:r>
                <a:r>
                  <a:rPr lang="en-CA" b="1" baseline="0"/>
                  <a:t> Monthly</a:t>
                </a:r>
                <a:r>
                  <a:rPr lang="en-CA" b="1"/>
                  <a:t>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7583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VRZ General Service 3,000 to 4,999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Weather!$Q$14:$Q$145</c:f>
              <c:numCache>
                <c:formatCode>0</c:formatCode>
                <c:ptCount val="132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  <c:pt idx="120">
                  <c:v>-5.6266129032258068</c:v>
                </c:pt>
                <c:pt idx="121">
                  <c:v>-5.7592261904761912</c:v>
                </c:pt>
                <c:pt idx="122">
                  <c:v>1.2700268817204301</c:v>
                </c:pt>
                <c:pt idx="123">
                  <c:v>6.2719444444444443</c:v>
                </c:pt>
                <c:pt idx="124">
                  <c:v>12.868682795698925</c:v>
                </c:pt>
                <c:pt idx="125">
                  <c:v>19.441388888888891</c:v>
                </c:pt>
                <c:pt idx="126">
                  <c:v>22.816599462365595</c:v>
                </c:pt>
                <c:pt idx="127">
                  <c:v>20.383467741935487</c:v>
                </c:pt>
                <c:pt idx="128">
                  <c:v>17.070277777777775</c:v>
                </c:pt>
                <c:pt idx="129">
                  <c:v>10.918682795698926</c:v>
                </c:pt>
                <c:pt idx="130">
                  <c:v>2.6462499999999998</c:v>
                </c:pt>
                <c:pt idx="131">
                  <c:v>-4.0064516129032253</c:v>
                </c:pt>
              </c:numCache>
            </c:numRef>
          </c:xVal>
          <c:yVal>
            <c:numRef>
              <c:f>Weather!$EY$14:$EY$145</c:f>
              <c:numCache>
                <c:formatCode>_-* #,##0_-;\-* #,##0_-;_-* "-"??_-;_-@_-</c:formatCode>
                <c:ptCount val="132"/>
                <c:pt idx="12">
                  <c:v>1365885.6408978319</c:v>
                </c:pt>
                <c:pt idx="13">
                  <c:v>1242247.8492626073</c:v>
                </c:pt>
                <c:pt idx="14">
                  <c:v>1265187.2472606117</c:v>
                </c:pt>
                <c:pt idx="15">
                  <c:v>1297434.1850788947</c:v>
                </c:pt>
                <c:pt idx="16">
                  <c:v>1142090.0993328288</c:v>
                </c:pt>
                <c:pt idx="17">
                  <c:v>1270954.7730838512</c:v>
                </c:pt>
                <c:pt idx="18">
                  <c:v>1253622.9101385104</c:v>
                </c:pt>
                <c:pt idx="19">
                  <c:v>1465597.5196757179</c:v>
                </c:pt>
                <c:pt idx="20">
                  <c:v>1362661.737373672</c:v>
                </c:pt>
                <c:pt idx="21">
                  <c:v>1315749.7083980178</c:v>
                </c:pt>
                <c:pt idx="22">
                  <c:v>1441398.3778681189</c:v>
                </c:pt>
                <c:pt idx="23">
                  <c:v>1350123.8917980916</c:v>
                </c:pt>
                <c:pt idx="24">
                  <c:v>1409548.1617895837</c:v>
                </c:pt>
                <c:pt idx="25">
                  <c:v>1353886.3041547905</c:v>
                </c:pt>
                <c:pt idx="26">
                  <c:v>1622686.6297896949</c:v>
                </c:pt>
                <c:pt idx="27">
                  <c:v>1469731.4770027553</c:v>
                </c:pt>
                <c:pt idx="28">
                  <c:v>1485339.1534803458</c:v>
                </c:pt>
                <c:pt idx="29">
                  <c:v>1463540.8366685691</c:v>
                </c:pt>
                <c:pt idx="30">
                  <c:v>1382828.2327651191</c:v>
                </c:pt>
                <c:pt idx="31">
                  <c:v>1534234.1178122647</c:v>
                </c:pt>
                <c:pt idx="32">
                  <c:v>1451197.2862100988</c:v>
                </c:pt>
                <c:pt idx="33">
                  <c:v>1555574.5334385859</c:v>
                </c:pt>
                <c:pt idx="34">
                  <c:v>1583665.8633544114</c:v>
                </c:pt>
                <c:pt idx="35">
                  <c:v>1422275.9194069952</c:v>
                </c:pt>
                <c:pt idx="36">
                  <c:v>1519612.0036992321</c:v>
                </c:pt>
                <c:pt idx="37">
                  <c:v>1448195.4251183879</c:v>
                </c:pt>
                <c:pt idx="38">
                  <c:v>1524282.5967027755</c:v>
                </c:pt>
                <c:pt idx="39">
                  <c:v>1512434.4983081701</c:v>
                </c:pt>
                <c:pt idx="40">
                  <c:v>1507760.2468967272</c:v>
                </c:pt>
                <c:pt idx="41">
                  <c:v>1560454.1030313217</c:v>
                </c:pt>
                <c:pt idx="42">
                  <c:v>1415858.7623180859</c:v>
                </c:pt>
                <c:pt idx="43">
                  <c:v>1486908.619008776</c:v>
                </c:pt>
                <c:pt idx="44">
                  <c:v>1403581.180285872</c:v>
                </c:pt>
                <c:pt idx="45">
                  <c:v>1607770.6474850678</c:v>
                </c:pt>
                <c:pt idx="46">
                  <c:v>1834149.1956912018</c:v>
                </c:pt>
                <c:pt idx="47">
                  <c:v>1823412.835359338</c:v>
                </c:pt>
                <c:pt idx="48">
                  <c:v>1919204.4551061869</c:v>
                </c:pt>
                <c:pt idx="49">
                  <c:v>1909770.5306180741</c:v>
                </c:pt>
                <c:pt idx="50">
                  <c:v>2076023.0551831452</c:v>
                </c:pt>
                <c:pt idx="51">
                  <c:v>1966160.9759262409</c:v>
                </c:pt>
                <c:pt idx="52">
                  <c:v>2137382.6590589387</c:v>
                </c:pt>
                <c:pt idx="53">
                  <c:v>1983674.5194063385</c:v>
                </c:pt>
                <c:pt idx="54">
                  <c:v>1874807.7374034738</c:v>
                </c:pt>
                <c:pt idx="55">
                  <c:v>1864054.9614363227</c:v>
                </c:pt>
                <c:pt idx="56">
                  <c:v>1804801.5370639104</c:v>
                </c:pt>
                <c:pt idx="57">
                  <c:v>1909552.7141994622</c:v>
                </c:pt>
                <c:pt idx="58">
                  <c:v>1898098.2408085766</c:v>
                </c:pt>
                <c:pt idx="59">
                  <c:v>1768785.3246509049</c:v>
                </c:pt>
                <c:pt idx="60">
                  <c:v>1860390.0263820649</c:v>
                </c:pt>
                <c:pt idx="61">
                  <c:v>1859664.228525847</c:v>
                </c:pt>
                <c:pt idx="62">
                  <c:v>1886503.2289802704</c:v>
                </c:pt>
                <c:pt idx="63">
                  <c:v>1577712.4246085223</c:v>
                </c:pt>
                <c:pt idx="64">
                  <c:v>1585546.0711379729</c:v>
                </c:pt>
                <c:pt idx="65">
                  <c:v>1642197.1434285652</c:v>
                </c:pt>
                <c:pt idx="66">
                  <c:v>1678691.867574858</c:v>
                </c:pt>
                <c:pt idx="67">
                  <c:v>1594872.7956649021</c:v>
                </c:pt>
                <c:pt idx="68">
                  <c:v>1548184.1233218515</c:v>
                </c:pt>
                <c:pt idx="69">
                  <c:v>1571181.727674955</c:v>
                </c:pt>
                <c:pt idx="70">
                  <c:v>1487966.0888453759</c:v>
                </c:pt>
                <c:pt idx="71">
                  <c:v>1389546.1508388282</c:v>
                </c:pt>
                <c:pt idx="72">
                  <c:v>1438414.7650979788</c:v>
                </c:pt>
                <c:pt idx="73">
                  <c:v>1492480.5055843922</c:v>
                </c:pt>
                <c:pt idx="74">
                  <c:v>1620671.2882830591</c:v>
                </c:pt>
                <c:pt idx="75">
                  <c:v>1471175.4010072362</c:v>
                </c:pt>
                <c:pt idx="76">
                  <c:v>1558566.1519312009</c:v>
                </c:pt>
                <c:pt idx="77">
                  <c:v>1510113.1275097791</c:v>
                </c:pt>
                <c:pt idx="78">
                  <c:v>1393639.6102387363</c:v>
                </c:pt>
                <c:pt idx="79">
                  <c:v>1439267.5167985177</c:v>
                </c:pt>
                <c:pt idx="80">
                  <c:v>1440540.2913795137</c:v>
                </c:pt>
                <c:pt idx="81">
                  <c:v>1380125.0753795155</c:v>
                </c:pt>
                <c:pt idx="82">
                  <c:v>1488603.2900704388</c:v>
                </c:pt>
                <c:pt idx="83">
                  <c:v>1386508.971081011</c:v>
                </c:pt>
                <c:pt idx="84">
                  <c:v>1389744.2906852802</c:v>
                </c:pt>
                <c:pt idx="85">
                  <c:v>1470136.5048770679</c:v>
                </c:pt>
                <c:pt idx="86">
                  <c:v>1691436.2304075428</c:v>
                </c:pt>
                <c:pt idx="87">
                  <c:v>1617302.444724455</c:v>
                </c:pt>
                <c:pt idx="88">
                  <c:v>1686758.6980526319</c:v>
                </c:pt>
                <c:pt idx="89">
                  <c:v>1734772.317466222</c:v>
                </c:pt>
                <c:pt idx="90">
                  <c:v>1702691.7146549495</c:v>
                </c:pt>
                <c:pt idx="91">
                  <c:v>1771858.5857745388</c:v>
                </c:pt>
                <c:pt idx="92">
                  <c:v>1675324.8321738266</c:v>
                </c:pt>
                <c:pt idx="93">
                  <c:v>1676238.8538289773</c:v>
                </c:pt>
                <c:pt idx="94">
                  <c:v>1716430.3667512594</c:v>
                </c:pt>
                <c:pt idx="95">
                  <c:v>1737910.3317780872</c:v>
                </c:pt>
                <c:pt idx="96">
                  <c:v>1946114.492071284</c:v>
                </c:pt>
                <c:pt idx="97">
                  <c:v>1787504.1298682527</c:v>
                </c:pt>
                <c:pt idx="98">
                  <c:v>1969512.8640437927</c:v>
                </c:pt>
                <c:pt idx="99">
                  <c:v>1765044.9099552282</c:v>
                </c:pt>
                <c:pt idx="100">
                  <c:v>1861124.0228572912</c:v>
                </c:pt>
                <c:pt idx="101">
                  <c:v>1916364.5380502257</c:v>
                </c:pt>
                <c:pt idx="102">
                  <c:v>1896679.7263890579</c:v>
                </c:pt>
                <c:pt idx="103">
                  <c:v>1937769.8925519488</c:v>
                </c:pt>
                <c:pt idx="104">
                  <c:v>1541733.7156240919</c:v>
                </c:pt>
                <c:pt idx="105">
                  <c:v>1779637.9779727203</c:v>
                </c:pt>
                <c:pt idx="106">
                  <c:v>1747081.013509671</c:v>
                </c:pt>
                <c:pt idx="107">
                  <c:v>1727206.5936877574</c:v>
                </c:pt>
                <c:pt idx="108">
                  <c:v>1741489.3538013312</c:v>
                </c:pt>
                <c:pt idx="109">
                  <c:v>1618291.3138377983</c:v>
                </c:pt>
                <c:pt idx="110">
                  <c:v>1735018.2960502072</c:v>
                </c:pt>
                <c:pt idx="111">
                  <c:v>1699375.823212286</c:v>
                </c:pt>
                <c:pt idx="112">
                  <c:v>1691711.5118923571</c:v>
                </c:pt>
                <c:pt idx="113">
                  <c:v>1644130.9562128303</c:v>
                </c:pt>
                <c:pt idx="114">
                  <c:v>1648423.9070318185</c:v>
                </c:pt>
                <c:pt idx="115">
                  <c:v>1527098.8297741362</c:v>
                </c:pt>
                <c:pt idx="116">
                  <c:v>1555170.1966523633</c:v>
                </c:pt>
                <c:pt idx="117">
                  <c:v>1650249.8303360976</c:v>
                </c:pt>
                <c:pt idx="118">
                  <c:v>1630758.5492140162</c:v>
                </c:pt>
                <c:pt idx="119">
                  <c:v>1645567.3259422183</c:v>
                </c:pt>
                <c:pt idx="120">
                  <c:v>1773163.9651011005</c:v>
                </c:pt>
                <c:pt idx="121">
                  <c:v>1671772.6551216501</c:v>
                </c:pt>
                <c:pt idx="122">
                  <c:v>1793350.1831228391</c:v>
                </c:pt>
                <c:pt idx="123">
                  <c:v>1691583.2146143285</c:v>
                </c:pt>
                <c:pt idx="124">
                  <c:v>1717569.6110639728</c:v>
                </c:pt>
                <c:pt idx="125">
                  <c:v>1695417.6277072225</c:v>
                </c:pt>
                <c:pt idx="126">
                  <c:v>1678363.0430160589</c:v>
                </c:pt>
                <c:pt idx="127">
                  <c:v>1622122.2170506469</c:v>
                </c:pt>
                <c:pt idx="128">
                  <c:v>1551033.408131785</c:v>
                </c:pt>
                <c:pt idx="129">
                  <c:v>1648240.5496930801</c:v>
                </c:pt>
                <c:pt idx="130">
                  <c:v>1553102.5043979599</c:v>
                </c:pt>
                <c:pt idx="131">
                  <c:v>1657860.8993820634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E3-4B89-919A-5A5E14C94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707583"/>
        <c:axId val="1685702783"/>
      </c:scatterChart>
      <c:valAx>
        <c:axId val="168570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2783"/>
        <c:crosses val="autoZero"/>
        <c:crossBetween val="midCat"/>
      </c:valAx>
      <c:valAx>
        <c:axId val="16857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</a:t>
                </a:r>
                <a:r>
                  <a:rPr lang="en-CA" b="1" baseline="0"/>
                  <a:t> Monthly</a:t>
                </a:r>
                <a:r>
                  <a:rPr lang="en-CA" b="1"/>
                  <a:t>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7583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VRZ Large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Weather!$Q$14:$Q$145</c:f>
              <c:numCache>
                <c:formatCode>0</c:formatCode>
                <c:ptCount val="132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  <c:pt idx="120">
                  <c:v>-5.6266129032258068</c:v>
                </c:pt>
                <c:pt idx="121">
                  <c:v>-5.7592261904761912</c:v>
                </c:pt>
                <c:pt idx="122">
                  <c:v>1.2700268817204301</c:v>
                </c:pt>
                <c:pt idx="123">
                  <c:v>6.2719444444444443</c:v>
                </c:pt>
                <c:pt idx="124">
                  <c:v>12.868682795698925</c:v>
                </c:pt>
                <c:pt idx="125">
                  <c:v>19.441388888888891</c:v>
                </c:pt>
                <c:pt idx="126">
                  <c:v>22.816599462365595</c:v>
                </c:pt>
                <c:pt idx="127">
                  <c:v>20.383467741935487</c:v>
                </c:pt>
                <c:pt idx="128">
                  <c:v>17.070277777777775</c:v>
                </c:pt>
                <c:pt idx="129">
                  <c:v>10.918682795698926</c:v>
                </c:pt>
                <c:pt idx="130">
                  <c:v>2.6462499999999998</c:v>
                </c:pt>
                <c:pt idx="131">
                  <c:v>-4.0064516129032253</c:v>
                </c:pt>
              </c:numCache>
            </c:numRef>
          </c:xVal>
          <c:yVal>
            <c:numRef>
              <c:f>Weather!$EZ$14:$EZ$145</c:f>
              <c:numCache>
                <c:formatCode>_-* #,##0_-;\-* #,##0_-;_-* "-"??_-;_-@_-</c:formatCode>
                <c:ptCount val="132"/>
                <c:pt idx="12">
                  <c:v>5954684.1635379018</c:v>
                </c:pt>
                <c:pt idx="13">
                  <c:v>6301065.2461886881</c:v>
                </c:pt>
                <c:pt idx="14">
                  <c:v>6499246.8542688005</c:v>
                </c:pt>
                <c:pt idx="15">
                  <c:v>6479893.7964363443</c:v>
                </c:pt>
                <c:pt idx="16">
                  <c:v>6138333.1102754874</c:v>
                </c:pt>
                <c:pt idx="17">
                  <c:v>5438743.1509217294</c:v>
                </c:pt>
                <c:pt idx="18">
                  <c:v>6044846.4046933427</c:v>
                </c:pt>
                <c:pt idx="19">
                  <c:v>6497180.2656577742</c:v>
                </c:pt>
                <c:pt idx="20">
                  <c:v>5998033.1559613692</c:v>
                </c:pt>
                <c:pt idx="21">
                  <c:v>6041240.9769630646</c:v>
                </c:pt>
                <c:pt idx="22">
                  <c:v>6155493.3751590848</c:v>
                </c:pt>
                <c:pt idx="23">
                  <c:v>6257452.0482234647</c:v>
                </c:pt>
                <c:pt idx="24">
                  <c:v>6289278.3995339908</c:v>
                </c:pt>
                <c:pt idx="25">
                  <c:v>5766221.1704673385</c:v>
                </c:pt>
                <c:pt idx="26">
                  <c:v>6823730.807522024</c:v>
                </c:pt>
                <c:pt idx="27">
                  <c:v>5860597.9102589525</c:v>
                </c:pt>
                <c:pt idx="28">
                  <c:v>7279887.2755794041</c:v>
                </c:pt>
                <c:pt idx="29">
                  <c:v>6658797.8993988261</c:v>
                </c:pt>
                <c:pt idx="30">
                  <c:v>6195478.7129073543</c:v>
                </c:pt>
                <c:pt idx="31">
                  <c:v>6285141.2140243938</c:v>
                </c:pt>
                <c:pt idx="32">
                  <c:v>5965133.9152396843</c:v>
                </c:pt>
                <c:pt idx="33">
                  <c:v>6372844.4870335683</c:v>
                </c:pt>
                <c:pt idx="34">
                  <c:v>7127409.6958777495</c:v>
                </c:pt>
                <c:pt idx="35">
                  <c:v>6758254.2082546251</c:v>
                </c:pt>
                <c:pt idx="36">
                  <c:v>7313365.8669939162</c:v>
                </c:pt>
                <c:pt idx="37">
                  <c:v>6554791.6247590641</c:v>
                </c:pt>
                <c:pt idx="38">
                  <c:v>7319096.5488958601</c:v>
                </c:pt>
                <c:pt idx="39">
                  <c:v>6869787.0651084771</c:v>
                </c:pt>
                <c:pt idx="40">
                  <c:v>6573149.4288896043</c:v>
                </c:pt>
                <c:pt idx="41">
                  <c:v>5691415.4755483326</c:v>
                </c:pt>
                <c:pt idx="42">
                  <c:v>5831683.3807566306</c:v>
                </c:pt>
                <c:pt idx="43">
                  <c:v>5965546.9007863048</c:v>
                </c:pt>
                <c:pt idx="44">
                  <c:v>5664377.7368547963</c:v>
                </c:pt>
                <c:pt idx="45">
                  <c:v>6196417.4829412149</c:v>
                </c:pt>
                <c:pt idx="46">
                  <c:v>5667606.189376072</c:v>
                </c:pt>
                <c:pt idx="47">
                  <c:v>5595247.820387776</c:v>
                </c:pt>
                <c:pt idx="48">
                  <c:v>5775553.5937301461</c:v>
                </c:pt>
                <c:pt idx="49">
                  <c:v>5328938.4484852673</c:v>
                </c:pt>
                <c:pt idx="50">
                  <c:v>5571020.0396874435</c:v>
                </c:pt>
                <c:pt idx="51">
                  <c:v>5633730.604268617</c:v>
                </c:pt>
                <c:pt idx="52">
                  <c:v>5855988.3792463504</c:v>
                </c:pt>
                <c:pt idx="53">
                  <c:v>6028049.4083278747</c:v>
                </c:pt>
                <c:pt idx="54">
                  <c:v>6039799.2826614054</c:v>
                </c:pt>
                <c:pt idx="55">
                  <c:v>5140242.3973471159</c:v>
                </c:pt>
                <c:pt idx="56">
                  <c:v>5666605.6197583135</c:v>
                </c:pt>
                <c:pt idx="57">
                  <c:v>6225617.1782003576</c:v>
                </c:pt>
                <c:pt idx="58">
                  <c:v>5885877.6148626534</c:v>
                </c:pt>
                <c:pt idx="59">
                  <c:v>5979584.5415467992</c:v>
                </c:pt>
                <c:pt idx="60">
                  <c:v>6174521.2357521234</c:v>
                </c:pt>
                <c:pt idx="61">
                  <c:v>5714075.1681688279</c:v>
                </c:pt>
                <c:pt idx="62">
                  <c:v>6180986.1266976623</c:v>
                </c:pt>
                <c:pt idx="63">
                  <c:v>5220931.5872843098</c:v>
                </c:pt>
                <c:pt idx="64">
                  <c:v>5543793.7225154787</c:v>
                </c:pt>
                <c:pt idx="65">
                  <c:v>6032237.9633886516</c:v>
                </c:pt>
                <c:pt idx="66">
                  <c:v>6206430.6274274448</c:v>
                </c:pt>
                <c:pt idx="67">
                  <c:v>5629355.8603843804</c:v>
                </c:pt>
                <c:pt idx="68">
                  <c:v>5776163.9847245039</c:v>
                </c:pt>
                <c:pt idx="69">
                  <c:v>6027893.3039929513</c:v>
                </c:pt>
                <c:pt idx="70">
                  <c:v>5984304.655923483</c:v>
                </c:pt>
                <c:pt idx="71">
                  <c:v>5990972.9841385316</c:v>
                </c:pt>
                <c:pt idx="72">
                  <c:v>6547484.6079694703</c:v>
                </c:pt>
                <c:pt idx="73">
                  <c:v>6035477.2089062119</c:v>
                </c:pt>
                <c:pt idx="74">
                  <c:v>6558615.3965526447</c:v>
                </c:pt>
                <c:pt idx="75">
                  <c:v>6065656.8396197855</c:v>
                </c:pt>
                <c:pt idx="76">
                  <c:v>6802215.5470521022</c:v>
                </c:pt>
                <c:pt idx="77">
                  <c:v>6623147.3335737167</c:v>
                </c:pt>
                <c:pt idx="78">
                  <c:v>6693467.4940009136</c:v>
                </c:pt>
                <c:pt idx="79">
                  <c:v>5908623.9777386915</c:v>
                </c:pt>
                <c:pt idx="80">
                  <c:v>6141383.3530332642</c:v>
                </c:pt>
                <c:pt idx="81">
                  <c:v>6245762.7280910322</c:v>
                </c:pt>
                <c:pt idx="82">
                  <c:v>6223631.2433611257</c:v>
                </c:pt>
                <c:pt idx="83">
                  <c:v>6021883.2029390316</c:v>
                </c:pt>
                <c:pt idx="84">
                  <c:v>6428687.712735448</c:v>
                </c:pt>
                <c:pt idx="85">
                  <c:v>6158336.1149097001</c:v>
                </c:pt>
                <c:pt idx="86">
                  <c:v>6958902.9352822676</c:v>
                </c:pt>
                <c:pt idx="87">
                  <c:v>6554788.5547152674</c:v>
                </c:pt>
                <c:pt idx="88">
                  <c:v>6797516.9075992601</c:v>
                </c:pt>
                <c:pt idx="89">
                  <c:v>6711492.3897505831</c:v>
                </c:pt>
                <c:pt idx="90">
                  <c:v>6644551.7222317876</c:v>
                </c:pt>
                <c:pt idx="91">
                  <c:v>5248380.0117191616</c:v>
                </c:pt>
                <c:pt idx="92">
                  <c:v>6362399.7170375781</c:v>
                </c:pt>
                <c:pt idx="93">
                  <c:v>6482272.3471790059</c:v>
                </c:pt>
                <c:pt idx="94">
                  <c:v>6277539.5405421965</c:v>
                </c:pt>
                <c:pt idx="95">
                  <c:v>6388858.0330721634</c:v>
                </c:pt>
                <c:pt idx="96">
                  <c:v>6529597.1086533833</c:v>
                </c:pt>
                <c:pt idx="97">
                  <c:v>5951617.6663170727</c:v>
                </c:pt>
                <c:pt idx="98">
                  <c:v>6570944.2173535023</c:v>
                </c:pt>
                <c:pt idx="99">
                  <c:v>6023821.9192854846</c:v>
                </c:pt>
                <c:pt idx="100">
                  <c:v>5667429.8856463442</c:v>
                </c:pt>
                <c:pt idx="101">
                  <c:v>5987663.2815518491</c:v>
                </c:pt>
                <c:pt idx="102">
                  <c:v>5535571.3384351758</c:v>
                </c:pt>
                <c:pt idx="103">
                  <c:v>5881919.3136599241</c:v>
                </c:pt>
                <c:pt idx="104">
                  <c:v>5910097.3502876293</c:v>
                </c:pt>
                <c:pt idx="105">
                  <c:v>6173331.2340147048</c:v>
                </c:pt>
                <c:pt idx="106">
                  <c:v>5743137.9188735494</c:v>
                </c:pt>
                <c:pt idx="107">
                  <c:v>5514910.6361471433</c:v>
                </c:pt>
                <c:pt idx="108">
                  <c:v>5697491.5791075798</c:v>
                </c:pt>
                <c:pt idx="109">
                  <c:v>5720465.7610469935</c:v>
                </c:pt>
                <c:pt idx="110">
                  <c:v>5872618.5177697828</c:v>
                </c:pt>
                <c:pt idx="111">
                  <c:v>4871000.7003229372</c:v>
                </c:pt>
                <c:pt idx="112">
                  <c:v>5815189.2570195664</c:v>
                </c:pt>
                <c:pt idx="113">
                  <c:v>5790234.5252720304</c:v>
                </c:pt>
                <c:pt idx="114">
                  <c:v>6017528.8165257555</c:v>
                </c:pt>
                <c:pt idx="115">
                  <c:v>5860486.0145521369</c:v>
                </c:pt>
                <c:pt idx="116">
                  <c:v>5867845.363323193</c:v>
                </c:pt>
                <c:pt idx="117">
                  <c:v>5818968.5125329047</c:v>
                </c:pt>
                <c:pt idx="118">
                  <c:v>5773149.129131522</c:v>
                </c:pt>
                <c:pt idx="119">
                  <c:v>5678587.4124240875</c:v>
                </c:pt>
                <c:pt idx="120">
                  <c:v>5670055.139558156</c:v>
                </c:pt>
                <c:pt idx="121">
                  <c:v>5447387.9048938388</c:v>
                </c:pt>
                <c:pt idx="122">
                  <c:v>5883738.8671985697</c:v>
                </c:pt>
                <c:pt idx="123">
                  <c:v>5104170.4518687893</c:v>
                </c:pt>
                <c:pt idx="124">
                  <c:v>5958805.7785234507</c:v>
                </c:pt>
                <c:pt idx="125">
                  <c:v>6122973.0610810686</c:v>
                </c:pt>
                <c:pt idx="126">
                  <c:v>6345443.6355737206</c:v>
                </c:pt>
                <c:pt idx="127">
                  <c:v>6115197.2185663609</c:v>
                </c:pt>
                <c:pt idx="128">
                  <c:v>5846522.7393936217</c:v>
                </c:pt>
                <c:pt idx="129">
                  <c:v>5754711.7156961979</c:v>
                </c:pt>
                <c:pt idx="130">
                  <c:v>5727391.4654776286</c:v>
                </c:pt>
                <c:pt idx="131">
                  <c:v>5843869.1001204364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C5-497A-A106-7EA913EE9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707583"/>
        <c:axId val="1685702783"/>
      </c:scatterChart>
      <c:valAx>
        <c:axId val="168570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2783"/>
        <c:crosses val="autoZero"/>
        <c:crossBetween val="midCat"/>
      </c:valAx>
      <c:valAx>
        <c:axId val="16857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</a:t>
                </a:r>
                <a:r>
                  <a:rPr lang="en-CA" b="1" baseline="0"/>
                  <a:t> Monthly</a:t>
                </a:r>
                <a:r>
                  <a:rPr lang="en-CA" b="1"/>
                  <a:t>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7583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WRZ 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Weather!$Q$14:$Q$133</c:f>
              <c:numCache>
                <c:formatCode>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Weather!$FA$14:$FA$133</c:f>
              <c:numCache>
                <c:formatCode>_-* #,##0_-;\-* #,##0_-;_-* "-"??_-;_-@_-</c:formatCode>
                <c:ptCount val="120"/>
                <c:pt idx="12">
                  <c:v>762.77014130927898</c:v>
                </c:pt>
                <c:pt idx="13">
                  <c:v>684.59299951174501</c:v>
                </c:pt>
                <c:pt idx="14">
                  <c:v>668.96960492132052</c:v>
                </c:pt>
                <c:pt idx="15">
                  <c:v>606.8311087660195</c:v>
                </c:pt>
                <c:pt idx="16">
                  <c:v>669.00531483515715</c:v>
                </c:pt>
                <c:pt idx="17">
                  <c:v>814.38579604557617</c:v>
                </c:pt>
                <c:pt idx="18">
                  <c:v>1059.9802180378138</c:v>
                </c:pt>
                <c:pt idx="19">
                  <c:v>1122.3163501876518</c:v>
                </c:pt>
                <c:pt idx="20">
                  <c:v>782.14233985604415</c:v>
                </c:pt>
                <c:pt idx="21">
                  <c:v>626.64787831124181</c:v>
                </c:pt>
                <c:pt idx="22">
                  <c:v>620.88571626681005</c:v>
                </c:pt>
                <c:pt idx="23">
                  <c:v>763.1759747960532</c:v>
                </c:pt>
                <c:pt idx="24">
                  <c:v>737.36286779986017</c:v>
                </c:pt>
                <c:pt idx="25">
                  <c:v>638.17140270515551</c:v>
                </c:pt>
                <c:pt idx="26">
                  <c:v>690.78218676533368</c:v>
                </c:pt>
                <c:pt idx="27">
                  <c:v>593.68594713596178</c:v>
                </c:pt>
                <c:pt idx="28">
                  <c:v>616.98615355731738</c:v>
                </c:pt>
                <c:pt idx="29">
                  <c:v>737.82709955813061</c:v>
                </c:pt>
                <c:pt idx="30">
                  <c:v>915.54988619630592</c:v>
                </c:pt>
                <c:pt idx="31">
                  <c:v>846.84835155612359</c:v>
                </c:pt>
                <c:pt idx="32">
                  <c:v>784.48210260735095</c:v>
                </c:pt>
                <c:pt idx="33">
                  <c:v>637.30157902233395</c:v>
                </c:pt>
                <c:pt idx="34">
                  <c:v>662.91615542072657</c:v>
                </c:pt>
                <c:pt idx="35">
                  <c:v>807.61443206714625</c:v>
                </c:pt>
                <c:pt idx="36">
                  <c:v>783.42746722585628</c:v>
                </c:pt>
                <c:pt idx="37">
                  <c:v>661.50035522745861</c:v>
                </c:pt>
                <c:pt idx="38">
                  <c:v>685.35834586780584</c:v>
                </c:pt>
                <c:pt idx="39">
                  <c:v>646.57325198195292</c:v>
                </c:pt>
                <c:pt idx="40">
                  <c:v>671.72083939569666</c:v>
                </c:pt>
                <c:pt idx="41">
                  <c:v>797.16495994429602</c:v>
                </c:pt>
                <c:pt idx="42">
                  <c:v>1084.118370504453</c:v>
                </c:pt>
                <c:pt idx="43">
                  <c:v>1060.1655085454295</c:v>
                </c:pt>
                <c:pt idx="44">
                  <c:v>842.00284834604895</c:v>
                </c:pt>
                <c:pt idx="45">
                  <c:v>654.64698131493117</c:v>
                </c:pt>
                <c:pt idx="46">
                  <c:v>680.06621272007817</c:v>
                </c:pt>
                <c:pt idx="47">
                  <c:v>770.44060069001478</c:v>
                </c:pt>
                <c:pt idx="48">
                  <c:v>782.27970836430927</c:v>
                </c:pt>
                <c:pt idx="49">
                  <c:v>682.63292358330511</c:v>
                </c:pt>
                <c:pt idx="50">
                  <c:v>698.82636794626524</c:v>
                </c:pt>
                <c:pt idx="51">
                  <c:v>612.52642749511301</c:v>
                </c:pt>
                <c:pt idx="52">
                  <c:v>606.2128802935207</c:v>
                </c:pt>
                <c:pt idx="53">
                  <c:v>726.30051595988584</c:v>
                </c:pt>
                <c:pt idx="54">
                  <c:v>1086.0012913672294</c:v>
                </c:pt>
                <c:pt idx="55">
                  <c:v>915.55427458924328</c:v>
                </c:pt>
                <c:pt idx="56">
                  <c:v>668.42387811299136</c:v>
                </c:pt>
                <c:pt idx="57">
                  <c:v>613.62997896490697</c:v>
                </c:pt>
                <c:pt idx="58">
                  <c:v>668.48854900896015</c:v>
                </c:pt>
                <c:pt idx="59">
                  <c:v>761.18839147745609</c:v>
                </c:pt>
                <c:pt idx="60">
                  <c:v>728.22353474788213</c:v>
                </c:pt>
                <c:pt idx="61">
                  <c:v>675.55944862811862</c:v>
                </c:pt>
                <c:pt idx="62">
                  <c:v>689.10962688632924</c:v>
                </c:pt>
                <c:pt idx="63">
                  <c:v>661.40305016301863</c:v>
                </c:pt>
                <c:pt idx="64">
                  <c:v>734.78684146869864</c:v>
                </c:pt>
                <c:pt idx="65">
                  <c:v>923.9964817017069</c:v>
                </c:pt>
                <c:pt idx="66">
                  <c:v>1261.7137009355808</c:v>
                </c:pt>
                <c:pt idx="67">
                  <c:v>1044.5523611095612</c:v>
                </c:pt>
                <c:pt idx="68">
                  <c:v>712.15136980229443</c:v>
                </c:pt>
                <c:pt idx="69">
                  <c:v>654.4316715550201</c:v>
                </c:pt>
                <c:pt idx="70">
                  <c:v>666.07264143185557</c:v>
                </c:pt>
                <c:pt idx="71">
                  <c:v>793.77061941995009</c:v>
                </c:pt>
                <c:pt idx="72">
                  <c:v>780.56249970038641</c:v>
                </c:pt>
                <c:pt idx="73">
                  <c:v>714.6678876393263</c:v>
                </c:pt>
                <c:pt idx="74">
                  <c:v>697.35741808407238</c:v>
                </c:pt>
                <c:pt idx="75">
                  <c:v>630.47459900127842</c:v>
                </c:pt>
                <c:pt idx="76">
                  <c:v>704.71841779027602</c:v>
                </c:pt>
                <c:pt idx="77">
                  <c:v>905.03232689027936</c:v>
                </c:pt>
                <c:pt idx="78">
                  <c:v>948.63873906521985</c:v>
                </c:pt>
                <c:pt idx="79">
                  <c:v>1120.549318923903</c:v>
                </c:pt>
                <c:pt idx="80">
                  <c:v>729.55827070480188</c:v>
                </c:pt>
                <c:pt idx="81">
                  <c:v>649.21524952087134</c:v>
                </c:pt>
                <c:pt idx="82">
                  <c:v>651.69685461624113</c:v>
                </c:pt>
                <c:pt idx="83">
                  <c:v>750.40661557111287</c:v>
                </c:pt>
                <c:pt idx="84">
                  <c:v>814.98807493537277</c:v>
                </c:pt>
                <c:pt idx="85">
                  <c:v>692.58446109010697</c:v>
                </c:pt>
                <c:pt idx="86">
                  <c:v>699.72100061526612</c:v>
                </c:pt>
                <c:pt idx="87">
                  <c:v>617.90992474369216</c:v>
                </c:pt>
                <c:pt idx="88">
                  <c:v>670.55452341747252</c:v>
                </c:pt>
                <c:pt idx="89">
                  <c:v>785.32341445027009</c:v>
                </c:pt>
                <c:pt idx="90">
                  <c:v>989.48710851322971</c:v>
                </c:pt>
                <c:pt idx="91">
                  <c:v>1012.3714864522409</c:v>
                </c:pt>
                <c:pt idx="92">
                  <c:v>729.23425728433529</c:v>
                </c:pt>
                <c:pt idx="93">
                  <c:v>615.2086335690534</c:v>
                </c:pt>
                <c:pt idx="94">
                  <c:v>638.00716187587614</c:v>
                </c:pt>
                <c:pt idx="95">
                  <c:v>752.52508405445315</c:v>
                </c:pt>
                <c:pt idx="96">
                  <c:v>727.55967315328905</c:v>
                </c:pt>
                <c:pt idx="97">
                  <c:v>657.81725235200895</c:v>
                </c:pt>
                <c:pt idx="98">
                  <c:v>680.52326136507247</c:v>
                </c:pt>
                <c:pt idx="99">
                  <c:v>607.2063374446293</c:v>
                </c:pt>
                <c:pt idx="100">
                  <c:v>638.98193574619154</c:v>
                </c:pt>
                <c:pt idx="101">
                  <c:v>811.97105714406621</c:v>
                </c:pt>
                <c:pt idx="102">
                  <c:v>1006.8270357757943</c:v>
                </c:pt>
                <c:pt idx="103">
                  <c:v>872.16775977995337</c:v>
                </c:pt>
                <c:pt idx="104">
                  <c:v>756.96266246431878</c:v>
                </c:pt>
                <c:pt idx="105">
                  <c:v>655.45988128793329</c:v>
                </c:pt>
                <c:pt idx="106">
                  <c:v>657.37302609603364</c:v>
                </c:pt>
                <c:pt idx="107">
                  <c:v>735.11384212389407</c:v>
                </c:pt>
                <c:pt idx="108">
                  <c:v>757.70386953423213</c:v>
                </c:pt>
                <c:pt idx="109">
                  <c:v>669.45680671636853</c:v>
                </c:pt>
                <c:pt idx="110">
                  <c:v>674.65017322525284</c:v>
                </c:pt>
                <c:pt idx="111">
                  <c:v>613.7901357863019</c:v>
                </c:pt>
                <c:pt idx="112">
                  <c:v>671.24111965335692</c:v>
                </c:pt>
                <c:pt idx="113">
                  <c:v>846.26325214850624</c:v>
                </c:pt>
                <c:pt idx="114">
                  <c:v>1064.2573945651163</c:v>
                </c:pt>
                <c:pt idx="115">
                  <c:v>966.46289263616427</c:v>
                </c:pt>
                <c:pt idx="116">
                  <c:v>775.43301304893726</c:v>
                </c:pt>
                <c:pt idx="117">
                  <c:v>633.22427714000321</c:v>
                </c:pt>
                <c:pt idx="118">
                  <c:v>649.08722858530302</c:v>
                </c:pt>
                <c:pt idx="119">
                  <c:v>781.06404057884436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A3-4B85-9536-0D923CEBA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707583"/>
        <c:axId val="1685702783"/>
      </c:scatterChart>
      <c:valAx>
        <c:axId val="168570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2783"/>
        <c:crosses val="autoZero"/>
        <c:crossBetween val="midCat"/>
      </c:valAx>
      <c:valAx>
        <c:axId val="16857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</a:t>
                </a:r>
                <a:r>
                  <a:rPr lang="en-CA" b="1" baseline="0"/>
                  <a:t> Monthly</a:t>
                </a:r>
                <a:r>
                  <a:rPr lang="en-CA" b="1"/>
                  <a:t>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7583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WRZ General</a:t>
            </a:r>
            <a:r>
              <a:rPr lang="en-CA" b="1" baseline="0"/>
              <a:t> Service &lt; 50 kW</a:t>
            </a:r>
            <a:endParaRPr lang="en-CA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CA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Weather!$Q$14:$Q$133</c:f>
              <c:numCache>
                <c:formatCode>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Weather!$FB$14:$FB$133</c:f>
              <c:numCache>
                <c:formatCode>_-* #,##0_-;\-* #,##0_-;_-* "-"??_-;_-@_-</c:formatCode>
                <c:ptCount val="120"/>
                <c:pt idx="12">
                  <c:v>3518.4011241614344</c:v>
                </c:pt>
                <c:pt idx="13">
                  <c:v>3293.7480316094448</c:v>
                </c:pt>
                <c:pt idx="14">
                  <c:v>3249.5798994259949</c:v>
                </c:pt>
                <c:pt idx="15">
                  <c:v>3022.4398296199133</c:v>
                </c:pt>
                <c:pt idx="16">
                  <c:v>3025.5391144373361</c:v>
                </c:pt>
                <c:pt idx="17">
                  <c:v>3258.2483784529932</c:v>
                </c:pt>
                <c:pt idx="18">
                  <c:v>3593.4189811117812</c:v>
                </c:pt>
                <c:pt idx="19">
                  <c:v>3742.3626313933287</c:v>
                </c:pt>
                <c:pt idx="20">
                  <c:v>3228.9582460036409</c:v>
                </c:pt>
                <c:pt idx="21">
                  <c:v>2975.3629236418224</c:v>
                </c:pt>
                <c:pt idx="22">
                  <c:v>3045.8059443880056</c:v>
                </c:pt>
                <c:pt idx="23">
                  <c:v>3448.3988404373581</c:v>
                </c:pt>
                <c:pt idx="24">
                  <c:v>3509.5818486763487</c:v>
                </c:pt>
                <c:pt idx="25">
                  <c:v>3141.4505886380821</c:v>
                </c:pt>
                <c:pt idx="26">
                  <c:v>3426.2878340933457</c:v>
                </c:pt>
                <c:pt idx="27">
                  <c:v>2845.0655260711028</c:v>
                </c:pt>
                <c:pt idx="28">
                  <c:v>2922.7095246548388</c:v>
                </c:pt>
                <c:pt idx="29">
                  <c:v>3039.4828078455653</c:v>
                </c:pt>
                <c:pt idx="30">
                  <c:v>3298.3427425407322</c:v>
                </c:pt>
                <c:pt idx="31">
                  <c:v>3262.0573002638739</c:v>
                </c:pt>
                <c:pt idx="32">
                  <c:v>3110.0034238723474</c:v>
                </c:pt>
                <c:pt idx="33">
                  <c:v>2908.386044899416</c:v>
                </c:pt>
                <c:pt idx="34">
                  <c:v>3102.5834714887892</c:v>
                </c:pt>
                <c:pt idx="35">
                  <c:v>3512.2171943176781</c:v>
                </c:pt>
                <c:pt idx="36">
                  <c:v>3755.6574239176862</c:v>
                </c:pt>
                <c:pt idx="37">
                  <c:v>3203.6735274326461</c:v>
                </c:pt>
                <c:pt idx="38">
                  <c:v>3358.5448332030896</c:v>
                </c:pt>
                <c:pt idx="39">
                  <c:v>3062.3330510871306</c:v>
                </c:pt>
                <c:pt idx="40">
                  <c:v>3016.0870603221501</c:v>
                </c:pt>
                <c:pt idx="41">
                  <c:v>3110.2411132885923</c:v>
                </c:pt>
                <c:pt idx="42">
                  <c:v>3557.0835911626641</c:v>
                </c:pt>
                <c:pt idx="43">
                  <c:v>3592.0973278105821</c:v>
                </c:pt>
                <c:pt idx="44">
                  <c:v>3133.0425787323493</c:v>
                </c:pt>
                <c:pt idx="45">
                  <c:v>2980.25170135185</c:v>
                </c:pt>
                <c:pt idx="46">
                  <c:v>3220.8755043546662</c:v>
                </c:pt>
                <c:pt idx="47">
                  <c:v>3363.0491906946081</c:v>
                </c:pt>
                <c:pt idx="48">
                  <c:v>3757.1715167515454</c:v>
                </c:pt>
                <c:pt idx="49">
                  <c:v>3345.6327887317852</c:v>
                </c:pt>
                <c:pt idx="50">
                  <c:v>3465.2032401349829</c:v>
                </c:pt>
                <c:pt idx="51">
                  <c:v>2999.8072236307239</c:v>
                </c:pt>
                <c:pt idx="52">
                  <c:v>2899.1229289499615</c:v>
                </c:pt>
                <c:pt idx="53">
                  <c:v>3005.7732785959697</c:v>
                </c:pt>
                <c:pt idx="54">
                  <c:v>3639.1769153070368</c:v>
                </c:pt>
                <c:pt idx="55">
                  <c:v>3387.305841059489</c:v>
                </c:pt>
                <c:pt idx="56">
                  <c:v>2913.3508233952762</c:v>
                </c:pt>
                <c:pt idx="57">
                  <c:v>2863.7292049627367</c:v>
                </c:pt>
                <c:pt idx="58">
                  <c:v>3165.1245095001059</c:v>
                </c:pt>
                <c:pt idx="59">
                  <c:v>3402.3276715535931</c:v>
                </c:pt>
                <c:pt idx="60">
                  <c:v>3472.253151077728</c:v>
                </c:pt>
                <c:pt idx="61">
                  <c:v>3259.5527390068064</c:v>
                </c:pt>
                <c:pt idx="62">
                  <c:v>2985.6126551125021</c:v>
                </c:pt>
                <c:pt idx="63">
                  <c:v>2358.8545664831922</c:v>
                </c:pt>
                <c:pt idx="64">
                  <c:v>2443.9193939174006</c:v>
                </c:pt>
                <c:pt idx="65">
                  <c:v>2795.1424917787986</c:v>
                </c:pt>
                <c:pt idx="66">
                  <c:v>3471.605116937817</c:v>
                </c:pt>
                <c:pt idx="67">
                  <c:v>3201.0800580587338</c:v>
                </c:pt>
                <c:pt idx="68">
                  <c:v>2727.4375464937289</c:v>
                </c:pt>
                <c:pt idx="69">
                  <c:v>2705.2171677369965</c:v>
                </c:pt>
                <c:pt idx="70">
                  <c:v>2804.2166011860782</c:v>
                </c:pt>
                <c:pt idx="71">
                  <c:v>3122.239023002754</c:v>
                </c:pt>
                <c:pt idx="72">
                  <c:v>3102.4494204037892</c:v>
                </c:pt>
                <c:pt idx="73">
                  <c:v>2976.0516345351025</c:v>
                </c:pt>
                <c:pt idx="74">
                  <c:v>3015.3494928198147</c:v>
                </c:pt>
                <c:pt idx="75">
                  <c:v>2528.8045898122059</c:v>
                </c:pt>
                <c:pt idx="76">
                  <c:v>2549.1217935926461</c:v>
                </c:pt>
                <c:pt idx="77">
                  <c:v>2876.0246053993369</c:v>
                </c:pt>
                <c:pt idx="78">
                  <c:v>3092.7752484027328</c:v>
                </c:pt>
                <c:pt idx="79">
                  <c:v>3448.9089087911839</c:v>
                </c:pt>
                <c:pt idx="80">
                  <c:v>2813.2773148524816</c:v>
                </c:pt>
                <c:pt idx="81">
                  <c:v>2737.7295051433134</c:v>
                </c:pt>
                <c:pt idx="82">
                  <c:v>2877.454628033785</c:v>
                </c:pt>
                <c:pt idx="83">
                  <c:v>3115.5799132567067</c:v>
                </c:pt>
                <c:pt idx="84">
                  <c:v>3426.201287520149</c:v>
                </c:pt>
                <c:pt idx="85">
                  <c:v>3125.0114619033957</c:v>
                </c:pt>
                <c:pt idx="86">
                  <c:v>3231.5519302825319</c:v>
                </c:pt>
                <c:pt idx="87">
                  <c:v>2780.7761683530316</c:v>
                </c:pt>
                <c:pt idx="88">
                  <c:v>2748.5800531553014</c:v>
                </c:pt>
                <c:pt idx="89">
                  <c:v>2949.0249865084356</c:v>
                </c:pt>
                <c:pt idx="90">
                  <c:v>3272.4718888660286</c:v>
                </c:pt>
                <c:pt idx="91">
                  <c:v>3357.9829117980726</c:v>
                </c:pt>
                <c:pt idx="92">
                  <c:v>2828.0555087162265</c:v>
                </c:pt>
                <c:pt idx="93">
                  <c:v>2690.9522379751279</c:v>
                </c:pt>
                <c:pt idx="94">
                  <c:v>2866.9035161433885</c:v>
                </c:pt>
                <c:pt idx="95">
                  <c:v>3156.6585492807662</c:v>
                </c:pt>
                <c:pt idx="96">
                  <c:v>3199.4375432955089</c:v>
                </c:pt>
                <c:pt idx="97">
                  <c:v>2952.9547008378509</c:v>
                </c:pt>
                <c:pt idx="98">
                  <c:v>3084.0176165497501</c:v>
                </c:pt>
                <c:pt idx="99">
                  <c:v>2651.0877415882787</c:v>
                </c:pt>
                <c:pt idx="100">
                  <c:v>2712.9773095102828</c:v>
                </c:pt>
                <c:pt idx="101">
                  <c:v>2859.0298874864116</c:v>
                </c:pt>
                <c:pt idx="102">
                  <c:v>3082.78343929625</c:v>
                </c:pt>
                <c:pt idx="103">
                  <c:v>2970.0830098690194</c:v>
                </c:pt>
                <c:pt idx="104">
                  <c:v>3491.8646357795328</c:v>
                </c:pt>
                <c:pt idx="105">
                  <c:v>3426.4510321354451</c:v>
                </c:pt>
                <c:pt idx="106">
                  <c:v>2845.327094857852</c:v>
                </c:pt>
                <c:pt idx="107">
                  <c:v>2972.5352815156743</c:v>
                </c:pt>
                <c:pt idx="108">
                  <c:v>3389.2811572523392</c:v>
                </c:pt>
                <c:pt idx="109">
                  <c:v>2898.1897149502133</c:v>
                </c:pt>
                <c:pt idx="110">
                  <c:v>2890.9788678877399</c:v>
                </c:pt>
                <c:pt idx="111">
                  <c:v>2659.2771862168402</c:v>
                </c:pt>
                <c:pt idx="112">
                  <c:v>2827.0813903669509</c:v>
                </c:pt>
                <c:pt idx="113">
                  <c:v>3011.2692937160627</c:v>
                </c:pt>
                <c:pt idx="114">
                  <c:v>3686.0676936302248</c:v>
                </c:pt>
                <c:pt idx="115">
                  <c:v>3140.6609851127628</c:v>
                </c:pt>
                <c:pt idx="116">
                  <c:v>2823.0103454615955</c:v>
                </c:pt>
                <c:pt idx="117">
                  <c:v>2697.2585869858258</c:v>
                </c:pt>
                <c:pt idx="118">
                  <c:v>2719.945302356457</c:v>
                </c:pt>
                <c:pt idx="119">
                  <c:v>3104.7794334185232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D3-4111-BF4C-49803900B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707583"/>
        <c:axId val="1685702783"/>
      </c:scatterChart>
      <c:valAx>
        <c:axId val="168570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2783"/>
        <c:crosses val="autoZero"/>
        <c:crossBetween val="midCat"/>
      </c:valAx>
      <c:valAx>
        <c:axId val="16857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</a:t>
                </a:r>
                <a:r>
                  <a:rPr lang="en-CA" b="1" baseline="0"/>
                  <a:t> Monthly</a:t>
                </a:r>
                <a:r>
                  <a:rPr lang="en-CA" b="1"/>
                  <a:t>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7583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WRZ General</a:t>
            </a:r>
            <a:r>
              <a:rPr lang="en-CA" b="1" baseline="0"/>
              <a:t> Service 50 to 2,999 kW</a:t>
            </a:r>
            <a:endParaRPr lang="en-CA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CA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Weather!$Q$14:$Q$133</c:f>
              <c:numCache>
                <c:formatCode>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Weather!$FC$14:$FC$133</c:f>
              <c:numCache>
                <c:formatCode>_-* #,##0_-;\-* #,##0_-;_-* "-"??_-;_-@_-</c:formatCode>
                <c:ptCount val="120"/>
                <c:pt idx="12">
                  <c:v>84234.463220239515</c:v>
                </c:pt>
                <c:pt idx="13">
                  <c:v>82535.19609303445</c:v>
                </c:pt>
                <c:pt idx="14">
                  <c:v>80086.986113418126</c:v>
                </c:pt>
                <c:pt idx="15">
                  <c:v>76721.453435033269</c:v>
                </c:pt>
                <c:pt idx="16">
                  <c:v>76023.151924968261</c:v>
                </c:pt>
                <c:pt idx="17">
                  <c:v>78742.873974809379</c:v>
                </c:pt>
                <c:pt idx="18">
                  <c:v>80324.299260270491</c:v>
                </c:pt>
                <c:pt idx="19">
                  <c:v>85727.973327966494</c:v>
                </c:pt>
                <c:pt idx="20">
                  <c:v>80268.706998249734</c:v>
                </c:pt>
                <c:pt idx="21">
                  <c:v>77184.152577062341</c:v>
                </c:pt>
                <c:pt idx="22">
                  <c:v>74938.25839614289</c:v>
                </c:pt>
                <c:pt idx="23">
                  <c:v>76049.982004609919</c:v>
                </c:pt>
                <c:pt idx="24">
                  <c:v>81203.313612894897</c:v>
                </c:pt>
                <c:pt idx="25">
                  <c:v>74139.514315017776</c:v>
                </c:pt>
                <c:pt idx="26">
                  <c:v>77359.242747421406</c:v>
                </c:pt>
                <c:pt idx="27">
                  <c:v>73159.734731702658</c:v>
                </c:pt>
                <c:pt idx="28">
                  <c:v>72819.913923115862</c:v>
                </c:pt>
                <c:pt idx="29">
                  <c:v>76702.461459326951</c:v>
                </c:pt>
                <c:pt idx="30">
                  <c:v>75204.541007076536</c:v>
                </c:pt>
                <c:pt idx="31">
                  <c:v>77715.796621551097</c:v>
                </c:pt>
                <c:pt idx="32">
                  <c:v>79381.340463872111</c:v>
                </c:pt>
                <c:pt idx="33">
                  <c:v>73955.200048952174</c:v>
                </c:pt>
                <c:pt idx="34">
                  <c:v>78391.499376634689</c:v>
                </c:pt>
                <c:pt idx="35">
                  <c:v>79880.923787527601</c:v>
                </c:pt>
                <c:pt idx="36">
                  <c:v>88980.632693126667</c:v>
                </c:pt>
                <c:pt idx="37">
                  <c:v>76991.941678543517</c:v>
                </c:pt>
                <c:pt idx="38">
                  <c:v>77496.713939424852</c:v>
                </c:pt>
                <c:pt idx="39">
                  <c:v>74367.657350352616</c:v>
                </c:pt>
                <c:pt idx="40">
                  <c:v>74019.665925655863</c:v>
                </c:pt>
                <c:pt idx="41">
                  <c:v>75505.253787791575</c:v>
                </c:pt>
                <c:pt idx="42">
                  <c:v>79384.89490414843</c:v>
                </c:pt>
                <c:pt idx="43">
                  <c:v>82694.346018917655</c:v>
                </c:pt>
                <c:pt idx="44">
                  <c:v>81562.396305879971</c:v>
                </c:pt>
                <c:pt idx="45">
                  <c:v>75205.726573575434</c:v>
                </c:pt>
                <c:pt idx="46">
                  <c:v>75104.999871412554</c:v>
                </c:pt>
                <c:pt idx="47">
                  <c:v>75967.954189173703</c:v>
                </c:pt>
                <c:pt idx="48">
                  <c:v>81124.378317971583</c:v>
                </c:pt>
                <c:pt idx="49">
                  <c:v>79362.004000049812</c:v>
                </c:pt>
                <c:pt idx="50">
                  <c:v>77394.432310280739</c:v>
                </c:pt>
                <c:pt idx="51">
                  <c:v>73801.867057112788</c:v>
                </c:pt>
                <c:pt idx="52">
                  <c:v>71005.514970668155</c:v>
                </c:pt>
                <c:pt idx="53">
                  <c:v>72273.760335861414</c:v>
                </c:pt>
                <c:pt idx="54">
                  <c:v>80200.140636358206</c:v>
                </c:pt>
                <c:pt idx="55">
                  <c:v>81235.398388206231</c:v>
                </c:pt>
                <c:pt idx="56">
                  <c:v>74287.428411147994</c:v>
                </c:pt>
                <c:pt idx="57">
                  <c:v>72063.77181526029</c:v>
                </c:pt>
                <c:pt idx="58">
                  <c:v>74714.201490372361</c:v>
                </c:pt>
                <c:pt idx="59">
                  <c:v>77027.429726068352</c:v>
                </c:pt>
                <c:pt idx="60">
                  <c:v>81186.933452031502</c:v>
                </c:pt>
                <c:pt idx="61">
                  <c:v>75833.563317941444</c:v>
                </c:pt>
                <c:pt idx="62">
                  <c:v>73066.273030152472</c:v>
                </c:pt>
                <c:pt idx="63">
                  <c:v>65790.1264781809</c:v>
                </c:pt>
                <c:pt idx="64">
                  <c:v>64052.825152205201</c:v>
                </c:pt>
                <c:pt idx="65">
                  <c:v>75802.292014085717</c:v>
                </c:pt>
                <c:pt idx="66">
                  <c:v>77335.483198485468</c:v>
                </c:pt>
                <c:pt idx="67">
                  <c:v>74796.534516503933</c:v>
                </c:pt>
                <c:pt idx="68">
                  <c:v>68568.606601898267</c:v>
                </c:pt>
                <c:pt idx="69">
                  <c:v>68313.161887294918</c:v>
                </c:pt>
                <c:pt idx="70">
                  <c:v>69276.248206076052</c:v>
                </c:pt>
                <c:pt idx="71">
                  <c:v>76534.20527677334</c:v>
                </c:pt>
                <c:pt idx="72">
                  <c:v>75046.437956551323</c:v>
                </c:pt>
                <c:pt idx="73">
                  <c:v>70666.966602053159</c:v>
                </c:pt>
                <c:pt idx="74">
                  <c:v>72250.497066501965</c:v>
                </c:pt>
                <c:pt idx="75">
                  <c:v>63434.105707551833</c:v>
                </c:pt>
                <c:pt idx="76">
                  <c:v>63651.772813844225</c:v>
                </c:pt>
                <c:pt idx="77">
                  <c:v>69889.865860525417</c:v>
                </c:pt>
                <c:pt idx="78">
                  <c:v>72311.821845711311</c:v>
                </c:pt>
                <c:pt idx="79">
                  <c:v>77927.145913749075</c:v>
                </c:pt>
                <c:pt idx="80">
                  <c:v>68172.22542902948</c:v>
                </c:pt>
                <c:pt idx="81">
                  <c:v>68436.986404332099</c:v>
                </c:pt>
                <c:pt idx="82">
                  <c:v>70012.151903222461</c:v>
                </c:pt>
                <c:pt idx="83">
                  <c:v>73825.705847886726</c:v>
                </c:pt>
                <c:pt idx="84">
                  <c:v>77949.803936907774</c:v>
                </c:pt>
                <c:pt idx="85">
                  <c:v>72312.309789679872</c:v>
                </c:pt>
                <c:pt idx="86">
                  <c:v>76609.995977117069</c:v>
                </c:pt>
                <c:pt idx="87">
                  <c:v>69131.673570049563</c:v>
                </c:pt>
                <c:pt idx="88">
                  <c:v>69620.3563929511</c:v>
                </c:pt>
                <c:pt idx="89">
                  <c:v>71461.231175512454</c:v>
                </c:pt>
                <c:pt idx="90">
                  <c:v>77745.948068607118</c:v>
                </c:pt>
                <c:pt idx="91">
                  <c:v>81624.679805509746</c:v>
                </c:pt>
                <c:pt idx="92">
                  <c:v>73214.296793243295</c:v>
                </c:pt>
                <c:pt idx="93">
                  <c:v>71195.645978184533</c:v>
                </c:pt>
                <c:pt idx="94">
                  <c:v>74148.376442136869</c:v>
                </c:pt>
                <c:pt idx="95">
                  <c:v>79112.013080095305</c:v>
                </c:pt>
                <c:pt idx="96">
                  <c:v>80650.348147516197</c:v>
                </c:pt>
                <c:pt idx="97">
                  <c:v>75739.754636021928</c:v>
                </c:pt>
                <c:pt idx="98">
                  <c:v>79170.795959186755</c:v>
                </c:pt>
                <c:pt idx="99">
                  <c:v>69615.127400825833</c:v>
                </c:pt>
                <c:pt idx="100">
                  <c:v>71280.710228253156</c:v>
                </c:pt>
                <c:pt idx="101">
                  <c:v>74637.651903586127</c:v>
                </c:pt>
                <c:pt idx="102">
                  <c:v>79571.761118642913</c:v>
                </c:pt>
                <c:pt idx="103">
                  <c:v>78609.654911651494</c:v>
                </c:pt>
                <c:pt idx="104">
                  <c:v>75041.487362266402</c:v>
                </c:pt>
                <c:pt idx="105">
                  <c:v>73281.594632159176</c:v>
                </c:pt>
                <c:pt idx="106">
                  <c:v>75068.944072883707</c:v>
                </c:pt>
                <c:pt idx="107">
                  <c:v>76742.092339725001</c:v>
                </c:pt>
                <c:pt idx="108">
                  <c:v>82516.05273558831</c:v>
                </c:pt>
                <c:pt idx="109">
                  <c:v>74650.118459971767</c:v>
                </c:pt>
                <c:pt idx="110">
                  <c:v>75516.220343156558</c:v>
                </c:pt>
                <c:pt idx="111">
                  <c:v>70984.759960059237</c:v>
                </c:pt>
                <c:pt idx="112">
                  <c:v>72714.34309449546</c:v>
                </c:pt>
                <c:pt idx="113">
                  <c:v>75451.692956211889</c:v>
                </c:pt>
                <c:pt idx="114">
                  <c:v>82472.360469265841</c:v>
                </c:pt>
                <c:pt idx="115">
                  <c:v>81723.780131644642</c:v>
                </c:pt>
                <c:pt idx="116">
                  <c:v>76699.757906129511</c:v>
                </c:pt>
                <c:pt idx="117">
                  <c:v>75267.398533455998</c:v>
                </c:pt>
                <c:pt idx="118">
                  <c:v>75485.161105824707</c:v>
                </c:pt>
                <c:pt idx="119">
                  <c:v>82447.646390581111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F2-47D3-B074-40B4158CF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707583"/>
        <c:axId val="1685702783"/>
      </c:scatterChart>
      <c:valAx>
        <c:axId val="168570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2783"/>
        <c:crosses val="autoZero"/>
        <c:crossBetween val="midCat"/>
      </c:valAx>
      <c:valAx>
        <c:axId val="16857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</a:t>
                </a:r>
                <a:r>
                  <a:rPr lang="en-CA" b="1" baseline="0"/>
                  <a:t> Monthly</a:t>
                </a:r>
                <a:r>
                  <a:rPr lang="en-CA" b="1"/>
                  <a:t>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7583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Weather!$Y$1</c:f>
              <c:strCache>
                <c:ptCount val="1"/>
                <c:pt idx="0">
                  <c:v> WRZ_ResidentialkWh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Weather!$Q$14:$Q$145</c:f>
              <c:numCache>
                <c:formatCode>0</c:formatCode>
                <c:ptCount val="132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  <c:pt idx="120">
                  <c:v>-5.6266129032258068</c:v>
                </c:pt>
                <c:pt idx="121">
                  <c:v>-5.7592261904761912</c:v>
                </c:pt>
                <c:pt idx="122">
                  <c:v>1.2700268817204301</c:v>
                </c:pt>
                <c:pt idx="123">
                  <c:v>6.2719444444444443</c:v>
                </c:pt>
                <c:pt idx="124">
                  <c:v>12.868682795698925</c:v>
                </c:pt>
                <c:pt idx="125">
                  <c:v>19.441388888888891</c:v>
                </c:pt>
                <c:pt idx="126">
                  <c:v>22.816599462365595</c:v>
                </c:pt>
                <c:pt idx="127">
                  <c:v>20.383467741935487</c:v>
                </c:pt>
                <c:pt idx="128">
                  <c:v>17.070277777777775</c:v>
                </c:pt>
                <c:pt idx="129">
                  <c:v>10.918682795698926</c:v>
                </c:pt>
                <c:pt idx="130">
                  <c:v>2.6462499999999998</c:v>
                </c:pt>
                <c:pt idx="131">
                  <c:v>-4.0064516129032253</c:v>
                </c:pt>
              </c:numCache>
            </c:numRef>
          </c:xVal>
          <c:yVal>
            <c:numRef>
              <c:f>Weather!$Y$14:$Y$145</c:f>
              <c:numCache>
                <c:formatCode>_-* #,##0_-;\-* #,##0_-;_-* "-"??_-;_-@_-</c:formatCode>
                <c:ptCount val="132"/>
                <c:pt idx="12">
                  <c:v>29474749.559862249</c:v>
                </c:pt>
                <c:pt idx="13">
                  <c:v>26393046.563640803</c:v>
                </c:pt>
                <c:pt idx="14">
                  <c:v>25767519.902783524</c:v>
                </c:pt>
                <c:pt idx="15">
                  <c:v>23310126.27999799</c:v>
                </c:pt>
                <c:pt idx="16">
                  <c:v>25746095.995293856</c:v>
                </c:pt>
                <c:pt idx="17">
                  <c:v>31465507.591429017</c:v>
                </c:pt>
                <c:pt idx="18">
                  <c:v>41146282.504744686</c:v>
                </c:pt>
                <c:pt idx="19">
                  <c:v>43606608.474373631</c:v>
                </c:pt>
                <c:pt idx="20">
                  <c:v>30169775.615706906</c:v>
                </c:pt>
                <c:pt idx="21">
                  <c:v>24014557.459508415</c:v>
                </c:pt>
                <c:pt idx="22">
                  <c:v>23774002.988262866</c:v>
                </c:pt>
                <c:pt idx="23">
                  <c:v>29394224.101253107</c:v>
                </c:pt>
                <c:pt idx="24">
                  <c:v>28109661.463612199</c:v>
                </c:pt>
                <c:pt idx="25">
                  <c:v>24136788.428477325</c:v>
                </c:pt>
                <c:pt idx="26">
                  <c:v>26179931.265620716</c:v>
                </c:pt>
                <c:pt idx="27">
                  <c:v>22284050.018021807</c:v>
                </c:pt>
                <c:pt idx="28">
                  <c:v>23164685.985412475</c:v>
                </c:pt>
                <c:pt idx="29">
                  <c:v>27922666.180007745</c:v>
                </c:pt>
                <c:pt idx="30">
                  <c:v>34948587.693629228</c:v>
                </c:pt>
                <c:pt idx="31">
                  <c:v>32178395.126726512</c:v>
                </c:pt>
                <c:pt idx="32">
                  <c:v>29656980.814740859</c:v>
                </c:pt>
                <c:pt idx="33">
                  <c:v>23753454.971475031</c:v>
                </c:pt>
                <c:pt idx="34">
                  <c:v>24730968.903510712</c:v>
                </c:pt>
                <c:pt idx="35">
                  <c:v>30460020.905452266</c:v>
                </c:pt>
                <c:pt idx="36">
                  <c:v>29626164.073780365</c:v>
                </c:pt>
                <c:pt idx="37">
                  <c:v>24750064.131002389</c:v>
                </c:pt>
                <c:pt idx="38">
                  <c:v>25695491.716988713</c:v>
                </c:pt>
                <c:pt idx="39">
                  <c:v>24135629.067199349</c:v>
                </c:pt>
                <c:pt idx="40">
                  <c:v>25133747.708580349</c:v>
                </c:pt>
                <c:pt idx="41">
                  <c:v>30153452.757604837</c:v>
                </c:pt>
                <c:pt idx="42">
                  <c:v>41659739.647656202</c:v>
                </c:pt>
                <c:pt idx="43">
                  <c:v>40703067.229988225</c:v>
                </c:pt>
                <c:pt idx="44">
                  <c:v>31942199.854438491</c:v>
                </c:pt>
                <c:pt idx="45">
                  <c:v>24406132.598163284</c:v>
                </c:pt>
                <c:pt idx="46">
                  <c:v>25420242.441945475</c:v>
                </c:pt>
                <c:pt idx="47">
                  <c:v>29051844.708637647</c:v>
                </c:pt>
                <c:pt idx="48">
                  <c:v>29705900.183546964</c:v>
                </c:pt>
                <c:pt idx="49">
                  <c:v>25741323.554964509</c:v>
                </c:pt>
                <c:pt idx="50">
                  <c:v>26456255.017160986</c:v>
                </c:pt>
                <c:pt idx="51">
                  <c:v>23006915.515467856</c:v>
                </c:pt>
                <c:pt idx="52">
                  <c:v>22800858.199339963</c:v>
                </c:pt>
                <c:pt idx="53">
                  <c:v>27757632.128276065</c:v>
                </c:pt>
                <c:pt idx="54">
                  <c:v>42550260.533001713</c:v>
                </c:pt>
                <c:pt idx="55">
                  <c:v>35650870.832800739</c:v>
                </c:pt>
                <c:pt idx="56">
                  <c:v>25563190.833288785</c:v>
                </c:pt>
                <c:pt idx="57">
                  <c:v>23360028.451683752</c:v>
                </c:pt>
                <c:pt idx="58">
                  <c:v>25679250.860024676</c:v>
                </c:pt>
                <c:pt idx="59">
                  <c:v>29577153.779500764</c:v>
                </c:pt>
                <c:pt idx="60">
                  <c:v>28305509.674057871</c:v>
                </c:pt>
                <c:pt idx="61">
                  <c:v>26165716.797235411</c:v>
                </c:pt>
                <c:pt idx="62">
                  <c:v>26776013.116319109</c:v>
                </c:pt>
                <c:pt idx="63">
                  <c:v>25667339.784455802</c:v>
                </c:pt>
                <c:pt idx="64">
                  <c:v>28778263.172976941</c:v>
                </c:pt>
                <c:pt idx="65">
                  <c:v>36746109.836148746</c:v>
                </c:pt>
                <c:pt idx="66">
                  <c:v>50964441.662138887</c:v>
                </c:pt>
                <c:pt idx="67">
                  <c:v>41933405.343542948</c:v>
                </c:pt>
                <c:pt idx="68">
                  <c:v>28026755.107709963</c:v>
                </c:pt>
                <c:pt idx="69">
                  <c:v>25644170.859603882</c:v>
                </c:pt>
                <c:pt idx="70">
                  <c:v>26179878.399339963</c:v>
                </c:pt>
                <c:pt idx="71">
                  <c:v>31621279.866213601</c:v>
                </c:pt>
                <c:pt idx="72">
                  <c:v>31268800.304591253</c:v>
                </c:pt>
                <c:pt idx="73">
                  <c:v>28565518.815658789</c:v>
                </c:pt>
                <c:pt idx="74">
                  <c:v>27916587.718786966</c:v>
                </c:pt>
                <c:pt idx="75">
                  <c:v>25149927.52447886</c:v>
                </c:pt>
                <c:pt idx="76">
                  <c:v>28403186.460761525</c:v>
                </c:pt>
                <c:pt idx="77">
                  <c:v>37073022.815946147</c:v>
                </c:pt>
                <c:pt idx="78">
                  <c:v>39052265.120863117</c:v>
                </c:pt>
                <c:pt idx="79">
                  <c:v>46563100.894299023</c:v>
                </c:pt>
                <c:pt idx="80">
                  <c:v>29821638.989248037</c:v>
                </c:pt>
                <c:pt idx="81">
                  <c:v>26436464.309269175</c:v>
                </c:pt>
                <c:pt idx="82">
                  <c:v>26625227.540960491</c:v>
                </c:pt>
                <c:pt idx="83">
                  <c:v>30994728.20835077</c:v>
                </c:pt>
                <c:pt idx="84">
                  <c:v>33775793.761555284</c:v>
                </c:pt>
                <c:pt idx="85">
                  <c:v>28508390.780285154</c:v>
                </c:pt>
                <c:pt idx="86">
                  <c:v>28881009.150468718</c:v>
                </c:pt>
                <c:pt idx="87">
                  <c:v>25359572.170757696</c:v>
                </c:pt>
                <c:pt idx="88">
                  <c:v>27723828.284436386</c:v>
                </c:pt>
                <c:pt idx="89">
                  <c:v>32828932.694461253</c:v>
                </c:pt>
                <c:pt idx="90">
                  <c:v>41892774.541524678</c:v>
                </c:pt>
                <c:pt idx="91">
                  <c:v>42989886.962856412</c:v>
                </c:pt>
                <c:pt idx="92">
                  <c:v>30554547.585402809</c:v>
                </c:pt>
                <c:pt idx="93">
                  <c:v>25564665.257681075</c:v>
                </c:pt>
                <c:pt idx="94">
                  <c:v>26631044.605203841</c:v>
                </c:pt>
                <c:pt idx="95">
                  <c:v>31782769.881968621</c:v>
                </c:pt>
                <c:pt idx="96">
                  <c:v>30720918.129404914</c:v>
                </c:pt>
                <c:pt idx="97">
                  <c:v>27657649.456036061</c:v>
                </c:pt>
                <c:pt idx="98">
                  <c:v>28717640.406705562</c:v>
                </c:pt>
                <c:pt idx="99">
                  <c:v>25481490.434072983</c:v>
                </c:pt>
                <c:pt idx="100">
                  <c:v>26947823.561813563</c:v>
                </c:pt>
                <c:pt idx="101">
                  <c:v>34760571.666032143</c:v>
                </c:pt>
                <c:pt idx="102">
                  <c:v>43580702.199865691</c:v>
                </c:pt>
                <c:pt idx="103">
                  <c:v>37583435.039458387</c:v>
                </c:pt>
                <c:pt idx="104">
                  <c:v>32445353.691993199</c:v>
                </c:pt>
                <c:pt idx="105">
                  <c:v>27910569.867304377</c:v>
                </c:pt>
                <c:pt idx="106">
                  <c:v>28041917.459489185</c:v>
                </c:pt>
                <c:pt idx="107">
                  <c:v>31610341.798306961</c:v>
                </c:pt>
                <c:pt idx="108">
                  <c:v>32611180.688930407</c:v>
                </c:pt>
                <c:pt idx="109">
                  <c:v>28622669.106820058</c:v>
                </c:pt>
                <c:pt idx="110">
                  <c:v>28872392.315176144</c:v>
                </c:pt>
                <c:pt idx="111">
                  <c:v>26120632.779796656</c:v>
                </c:pt>
                <c:pt idx="112">
                  <c:v>28745414.483798049</c:v>
                </c:pt>
                <c:pt idx="113">
                  <c:v>36723805.876219153</c:v>
                </c:pt>
                <c:pt idx="114">
                  <c:v>46669548.80843737</c:v>
                </c:pt>
                <c:pt idx="115">
                  <c:v>42239255.018021896</c:v>
                </c:pt>
                <c:pt idx="116">
                  <c:v>33551861.071688607</c:v>
                </c:pt>
                <c:pt idx="117">
                  <c:v>27080447.729677927</c:v>
                </c:pt>
                <c:pt idx="118">
                  <c:v>27817470.270755176</c:v>
                </c:pt>
                <c:pt idx="119">
                  <c:v>33860346.467262372</c:v>
                </c:pt>
                <c:pt idx="120">
                  <c:v>34152728.529691979</c:v>
                </c:pt>
                <c:pt idx="121">
                  <c:v>30247666.760551002</c:v>
                </c:pt>
                <c:pt idx="122">
                  <c:v>30100233.983786102</c:v>
                </c:pt>
                <c:pt idx="123">
                  <c:v>26798875.188865453</c:v>
                </c:pt>
                <c:pt idx="124">
                  <c:v>27177126.341151681</c:v>
                </c:pt>
                <c:pt idx="125">
                  <c:v>37651081.528132714</c:v>
                </c:pt>
                <c:pt idx="126">
                  <c:v>50247038.62509089</c:v>
                </c:pt>
                <c:pt idx="127">
                  <c:v>42812495.394069269</c:v>
                </c:pt>
                <c:pt idx="128">
                  <c:v>31288190.428725846</c:v>
                </c:pt>
                <c:pt idx="129">
                  <c:v>27883561.171427179</c:v>
                </c:pt>
                <c:pt idx="130">
                  <c:v>29488543.120948911</c:v>
                </c:pt>
                <c:pt idx="131">
                  <c:v>34833186.137038395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94-4479-AC1D-2B67C4076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582192"/>
        <c:axId val="523582672"/>
      </c:scatterChart>
      <c:valAx>
        <c:axId val="5235821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672"/>
        <c:crosses val="autoZero"/>
        <c:crossBetween val="midCat"/>
      </c:valAx>
      <c:valAx>
        <c:axId val="52358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WRZ General</a:t>
            </a:r>
            <a:r>
              <a:rPr lang="en-CA" b="1" baseline="0"/>
              <a:t> Service 3,000 to 4,999 kW</a:t>
            </a:r>
            <a:endParaRPr lang="en-CA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CA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Weather!$Q$14:$Q$133</c:f>
              <c:numCache>
                <c:formatCode>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Weather!$FD$14:$FD$133</c:f>
              <c:numCache>
                <c:formatCode>_-* #,##0_-;\-* #,##0_-;_-* "-"??_-;_-@_-</c:formatCode>
                <c:ptCount val="120"/>
                <c:pt idx="12">
                  <c:v>398353.41017792228</c:v>
                </c:pt>
                <c:pt idx="13">
                  <c:v>331818.14616414765</c:v>
                </c:pt>
                <c:pt idx="14">
                  <c:v>300357.91563038068</c:v>
                </c:pt>
                <c:pt idx="15">
                  <c:v>260013.59766596518</c:v>
                </c:pt>
                <c:pt idx="16">
                  <c:v>210771.01109623109</c:v>
                </c:pt>
                <c:pt idx="17">
                  <c:v>170973.00076525728</c:v>
                </c:pt>
                <c:pt idx="18">
                  <c:v>172365.11383202599</c:v>
                </c:pt>
                <c:pt idx="19">
                  <c:v>194987.52152286202</c:v>
                </c:pt>
                <c:pt idx="20">
                  <c:v>209995.49933039985</c:v>
                </c:pt>
                <c:pt idx="21">
                  <c:v>252419.82494738852</c:v>
                </c:pt>
                <c:pt idx="22">
                  <c:v>257294.39927300552</c:v>
                </c:pt>
                <c:pt idx="23">
                  <c:v>260856.47599005161</c:v>
                </c:pt>
                <c:pt idx="24">
                  <c:v>252310.24009948343</c:v>
                </c:pt>
                <c:pt idx="25">
                  <c:v>209204.23761239715</c:v>
                </c:pt>
                <c:pt idx="26">
                  <c:v>198531.90644729289</c:v>
                </c:pt>
                <c:pt idx="27">
                  <c:v>179915.09948345128</c:v>
                </c:pt>
                <c:pt idx="28">
                  <c:v>165193.42356992536</c:v>
                </c:pt>
                <c:pt idx="29">
                  <c:v>147774.00038262864</c:v>
                </c:pt>
                <c:pt idx="30">
                  <c:v>156899.36866271283</c:v>
                </c:pt>
                <c:pt idx="31">
                  <c:v>177786.23971685476</c:v>
                </c:pt>
                <c:pt idx="32">
                  <c:v>192213.44939735986</c:v>
                </c:pt>
                <c:pt idx="33">
                  <c:v>223621.75722211591</c:v>
                </c:pt>
                <c:pt idx="34">
                  <c:v>237441.60130093741</c:v>
                </c:pt>
                <c:pt idx="35">
                  <c:v>245314.62598048593</c:v>
                </c:pt>
                <c:pt idx="36">
                  <c:v>214459.1880619858</c:v>
                </c:pt>
                <c:pt idx="37">
                  <c:v>162703.217024032</c:v>
                </c:pt>
                <c:pt idx="38">
                  <c:v>137876.15160597747</c:v>
                </c:pt>
                <c:pt idx="39">
                  <c:v>116172.2553226379</c:v>
                </c:pt>
                <c:pt idx="40">
                  <c:v>101236.33520909333</c:v>
                </c:pt>
                <c:pt idx="41">
                  <c:v>87542.399081691168</c:v>
                </c:pt>
                <c:pt idx="42">
                  <c:v>89929.919709695881</c:v>
                </c:pt>
                <c:pt idx="43">
                  <c:v>99294.239047254581</c:v>
                </c:pt>
                <c:pt idx="44">
                  <c:v>104114.39901212232</c:v>
                </c:pt>
                <c:pt idx="45">
                  <c:v>113653.87861668479</c:v>
                </c:pt>
                <c:pt idx="46">
                  <c:v>117360.8231982289</c:v>
                </c:pt>
                <c:pt idx="47">
                  <c:v>118523.33397104776</c:v>
                </c:pt>
                <c:pt idx="48">
                  <c:v>116601.33282316178</c:v>
                </c:pt>
                <c:pt idx="49">
                  <c:v>97790.746763599265</c:v>
                </c:pt>
                <c:pt idx="50">
                  <c:v>92708.806836298681</c:v>
                </c:pt>
                <c:pt idx="51">
                  <c:v>82316.201135131691</c:v>
                </c:pt>
                <c:pt idx="52">
                  <c:v>75427.753332057895</c:v>
                </c:pt>
                <c:pt idx="53">
                  <c:v>67506.998915885459</c:v>
                </c:pt>
                <c:pt idx="54">
                  <c:v>71986.649448377008</c:v>
                </c:pt>
                <c:pt idx="55">
                  <c:v>82468.26732988967</c:v>
                </c:pt>
                <c:pt idx="56">
                  <c:v>89131.898475862516</c:v>
                </c:pt>
                <c:pt idx="57">
                  <c:v>103879.34761813657</c:v>
                </c:pt>
                <c:pt idx="58">
                  <c:v>111918.40124992027</c:v>
                </c:pt>
                <c:pt idx="59">
                  <c:v>122709.8845736879</c:v>
                </c:pt>
                <c:pt idx="60">
                  <c:v>118249.7066513615</c:v>
                </c:pt>
                <c:pt idx="61">
                  <c:v>63850.679165869515</c:v>
                </c:pt>
                <c:pt idx="62">
                  <c:v>98560.366048083655</c:v>
                </c:pt>
                <c:pt idx="63">
                  <c:v>82882.800841783042</c:v>
                </c:pt>
                <c:pt idx="64">
                  <c:v>75552.888846374582</c:v>
                </c:pt>
                <c:pt idx="65">
                  <c:v>68504.798801096869</c:v>
                </c:pt>
                <c:pt idx="66">
                  <c:v>70453.080160704034</c:v>
                </c:pt>
                <c:pt idx="67">
                  <c:v>79678.473949365463</c:v>
                </c:pt>
                <c:pt idx="68">
                  <c:v>87919.801033097378</c:v>
                </c:pt>
                <c:pt idx="69">
                  <c:v>102700.51973726164</c:v>
                </c:pt>
                <c:pt idx="70">
                  <c:v>109581.20017856003</c:v>
                </c:pt>
                <c:pt idx="71">
                  <c:v>118370.40048466295</c:v>
                </c:pt>
                <c:pt idx="72">
                  <c:v>115761.93482558509</c:v>
                </c:pt>
                <c:pt idx="73">
                  <c:v>96238.798546011094</c:v>
                </c:pt>
                <c:pt idx="74">
                  <c:v>95938.281997321596</c:v>
                </c:pt>
                <c:pt idx="75">
                  <c:v>80841.601300937429</c:v>
                </c:pt>
                <c:pt idx="76">
                  <c:v>64455.481155538546</c:v>
                </c:pt>
                <c:pt idx="77">
                  <c:v>51954.240800969324</c:v>
                </c:pt>
                <c:pt idx="78">
                  <c:v>58101.001211657414</c:v>
                </c:pt>
                <c:pt idx="79">
                  <c:v>76227.176200497415</c:v>
                </c:pt>
                <c:pt idx="80">
                  <c:v>78338.001402971742</c:v>
                </c:pt>
                <c:pt idx="81">
                  <c:v>92214.718449078486</c:v>
                </c:pt>
                <c:pt idx="82">
                  <c:v>105438.29475161021</c:v>
                </c:pt>
                <c:pt idx="83">
                  <c:v>122220.60136470887</c:v>
                </c:pt>
                <c:pt idx="84">
                  <c:v>118869.81059881383</c:v>
                </c:pt>
                <c:pt idx="85">
                  <c:v>99323.279765321073</c:v>
                </c:pt>
                <c:pt idx="86">
                  <c:v>99069.801033097378</c:v>
                </c:pt>
                <c:pt idx="87">
                  <c:v>83669.067661501162</c:v>
                </c:pt>
                <c:pt idx="88">
                  <c:v>76168.665901409346</c:v>
                </c:pt>
                <c:pt idx="89">
                  <c:v>68451.001211657407</c:v>
                </c:pt>
                <c:pt idx="90">
                  <c:v>73732.000510171536</c:v>
                </c:pt>
                <c:pt idx="91">
                  <c:v>83618.334289904975</c:v>
                </c:pt>
                <c:pt idx="92">
                  <c:v>92290.000637714416</c:v>
                </c:pt>
                <c:pt idx="93">
                  <c:v>107819.66711306675</c:v>
                </c:pt>
                <c:pt idx="94">
                  <c:v>115229.33486384795</c:v>
                </c:pt>
                <c:pt idx="95">
                  <c:v>124672.99917097123</c:v>
                </c:pt>
                <c:pt idx="96">
                  <c:v>122482.66692175243</c:v>
                </c:pt>
                <c:pt idx="97">
                  <c:v>102035.9989796569</c:v>
                </c:pt>
                <c:pt idx="98">
                  <c:v>100577.00082902877</c:v>
                </c:pt>
                <c:pt idx="99">
                  <c:v>85848.667176838208</c:v>
                </c:pt>
                <c:pt idx="100">
                  <c:v>78149.66519992346</c:v>
                </c:pt>
                <c:pt idx="101">
                  <c:v>70314.999043428339</c:v>
                </c:pt>
                <c:pt idx="102">
                  <c:v>75513.666220266561</c:v>
                </c:pt>
                <c:pt idx="103">
                  <c:v>85329.666475352336</c:v>
                </c:pt>
                <c:pt idx="104">
                  <c:v>94369.000701485857</c:v>
                </c:pt>
                <c:pt idx="105">
                  <c:v>110233.99974491422</c:v>
                </c:pt>
                <c:pt idx="106">
                  <c:v>117619.66711306675</c:v>
                </c:pt>
                <c:pt idx="107">
                  <c:v>127228.33365219053</c:v>
                </c:pt>
                <c:pt idx="108">
                  <c:v>124401.00121165741</c:v>
                </c:pt>
                <c:pt idx="109">
                  <c:v>106835.33256807599</c:v>
                </c:pt>
                <c:pt idx="110">
                  <c:v>101498.66717683821</c:v>
                </c:pt>
                <c:pt idx="111">
                  <c:v>86294.66551878069</c:v>
                </c:pt>
                <c:pt idx="112">
                  <c:v>78750.666411580882</c:v>
                </c:pt>
                <c:pt idx="113">
                  <c:v>70717.667878324079</c:v>
                </c:pt>
                <c:pt idx="114">
                  <c:v>75912.668197181294</c:v>
                </c:pt>
                <c:pt idx="115">
                  <c:v>85721.334736305071</c:v>
                </c:pt>
                <c:pt idx="116">
                  <c:v>94624.331994133026</c:v>
                </c:pt>
                <c:pt idx="117">
                  <c:v>110648.66717683819</c:v>
                </c:pt>
                <c:pt idx="118">
                  <c:v>118447.66596518079</c:v>
                </c:pt>
                <c:pt idx="119">
                  <c:v>128502.66564632357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6D-4B30-B1C5-7683508D2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707583"/>
        <c:axId val="1685702783"/>
      </c:scatterChart>
      <c:valAx>
        <c:axId val="168570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2783"/>
        <c:crosses val="autoZero"/>
        <c:crossBetween val="midCat"/>
      </c:valAx>
      <c:valAx>
        <c:axId val="16857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</a:t>
                </a:r>
                <a:r>
                  <a:rPr lang="en-CA" b="1" baseline="0"/>
                  <a:t> Monthly</a:t>
                </a:r>
                <a:r>
                  <a:rPr lang="en-CA" b="1"/>
                  <a:t>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7583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VRZ Residential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'VRZ Residential'!$D$1</c:f>
              <c:strCache>
                <c:ptCount val="1"/>
                <c:pt idx="0">
                  <c:v>VRZ_ResidentialkWh_No_CDM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Residential'!$A$2:$A$121</c:f>
              <c:numCache>
                <c:formatCode>mmm\-yy</c:formatCode>
                <c:ptCount val="12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</c:numCache>
            </c:numRef>
          </c:cat>
          <c:val>
            <c:numRef>
              <c:f>'VRZ Residential'!$D$2:$D$121</c:f>
              <c:numCache>
                <c:formatCode>_-* #,##0_-;\-* #,##0_-;_-* "-"??_-;_-@_-</c:formatCode>
                <c:ptCount val="120"/>
                <c:pt idx="0">
                  <c:v>85376415.042292222</c:v>
                </c:pt>
                <c:pt idx="1">
                  <c:v>77381302.28981629</c:v>
                </c:pt>
                <c:pt idx="2">
                  <c:v>73971867.342461213</c:v>
                </c:pt>
                <c:pt idx="3">
                  <c:v>65417923.854524866</c:v>
                </c:pt>
                <c:pt idx="4">
                  <c:v>65187188.306903355</c:v>
                </c:pt>
                <c:pt idx="5">
                  <c:v>74671270.898416147</c:v>
                </c:pt>
                <c:pt idx="6">
                  <c:v>97914851.723937914</c:v>
                </c:pt>
                <c:pt idx="7">
                  <c:v>104107940.31948724</c:v>
                </c:pt>
                <c:pt idx="8">
                  <c:v>72870278.058616281</c:v>
                </c:pt>
                <c:pt idx="9">
                  <c:v>63420205.647639558</c:v>
                </c:pt>
                <c:pt idx="10">
                  <c:v>66278339.830631763</c:v>
                </c:pt>
                <c:pt idx="11">
                  <c:v>84183809.525322765</c:v>
                </c:pt>
                <c:pt idx="12">
                  <c:v>82572463.062272534</c:v>
                </c:pt>
                <c:pt idx="13">
                  <c:v>71605605.326121524</c:v>
                </c:pt>
                <c:pt idx="14">
                  <c:v>78063309.109280571</c:v>
                </c:pt>
                <c:pt idx="15">
                  <c:v>63138474.536601804</c:v>
                </c:pt>
                <c:pt idx="16">
                  <c:v>62521578.28745757</c:v>
                </c:pt>
                <c:pt idx="17">
                  <c:v>69532958.008424282</c:v>
                </c:pt>
                <c:pt idx="18">
                  <c:v>85923838.986069322</c:v>
                </c:pt>
                <c:pt idx="19">
                  <c:v>80017287.630104437</c:v>
                </c:pt>
                <c:pt idx="20">
                  <c:v>73634090.541379288</c:v>
                </c:pt>
                <c:pt idx="21">
                  <c:v>63904923.031894088</c:v>
                </c:pt>
                <c:pt idx="22">
                  <c:v>71823486.654072329</c:v>
                </c:pt>
                <c:pt idx="23">
                  <c:v>90797354.463694632</c:v>
                </c:pt>
                <c:pt idx="24">
                  <c:v>91609814.319880843</c:v>
                </c:pt>
                <c:pt idx="25">
                  <c:v>75588564.30997169</c:v>
                </c:pt>
                <c:pt idx="26">
                  <c:v>77355262.635808468</c:v>
                </c:pt>
                <c:pt idx="27">
                  <c:v>71578140.391622186</c:v>
                </c:pt>
                <c:pt idx="28">
                  <c:v>66091104.306526624</c:v>
                </c:pt>
                <c:pt idx="29">
                  <c:v>75375749.892238706</c:v>
                </c:pt>
                <c:pt idx="30">
                  <c:v>104336841.78924637</c:v>
                </c:pt>
                <c:pt idx="31">
                  <c:v>101845512.22238246</c:v>
                </c:pt>
                <c:pt idx="32">
                  <c:v>81044809.964553326</c:v>
                </c:pt>
                <c:pt idx="33">
                  <c:v>69000601.688646168</c:v>
                </c:pt>
                <c:pt idx="34">
                  <c:v>76541361.960276812</c:v>
                </c:pt>
                <c:pt idx="35">
                  <c:v>87088504.395367563</c:v>
                </c:pt>
                <c:pt idx="36">
                  <c:v>93266251.986616805</c:v>
                </c:pt>
                <c:pt idx="37">
                  <c:v>81230146.850309238</c:v>
                </c:pt>
                <c:pt idx="38">
                  <c:v>82213017.384865358</c:v>
                </c:pt>
                <c:pt idx="39">
                  <c:v>69120135.33897163</c:v>
                </c:pt>
                <c:pt idx="40">
                  <c:v>64305201.510792293</c:v>
                </c:pt>
                <c:pt idx="41">
                  <c:v>71186301.002171904</c:v>
                </c:pt>
                <c:pt idx="42">
                  <c:v>107151065.98487787</c:v>
                </c:pt>
                <c:pt idx="43">
                  <c:v>90194023.657032549</c:v>
                </c:pt>
                <c:pt idx="44">
                  <c:v>67071524.924559161</c:v>
                </c:pt>
                <c:pt idx="45">
                  <c:v>66006267.300730608</c:v>
                </c:pt>
                <c:pt idx="46">
                  <c:v>77289206.097642168</c:v>
                </c:pt>
                <c:pt idx="47">
                  <c:v>88613544.178020924</c:v>
                </c:pt>
                <c:pt idx="48">
                  <c:v>86533170.997646317</c:v>
                </c:pt>
                <c:pt idx="49">
                  <c:v>80597002.760103032</c:v>
                </c:pt>
                <c:pt idx="50">
                  <c:v>80217465.977482274</c:v>
                </c:pt>
                <c:pt idx="51">
                  <c:v>74770783.685248256</c:v>
                </c:pt>
                <c:pt idx="52">
                  <c:v>76965245.289090574</c:v>
                </c:pt>
                <c:pt idx="53">
                  <c:v>91291774.259264022</c:v>
                </c:pt>
                <c:pt idx="54">
                  <c:v>126619132.01198232</c:v>
                </c:pt>
                <c:pt idx="55">
                  <c:v>104684006.40518785</c:v>
                </c:pt>
                <c:pt idx="56">
                  <c:v>72302792.326422647</c:v>
                </c:pt>
                <c:pt idx="57">
                  <c:v>71429026.136370674</c:v>
                </c:pt>
                <c:pt idx="58">
                  <c:v>75181382.850546017</c:v>
                </c:pt>
                <c:pt idx="59">
                  <c:v>91980342.065371081</c:v>
                </c:pt>
                <c:pt idx="60">
                  <c:v>93220757.859496057</c:v>
                </c:pt>
                <c:pt idx="61">
                  <c:v>86478583.779347882</c:v>
                </c:pt>
                <c:pt idx="62">
                  <c:v>82071840.750839874</c:v>
                </c:pt>
                <c:pt idx="63">
                  <c:v>71324459.033904463</c:v>
                </c:pt>
                <c:pt idx="64">
                  <c:v>74883332.450568557</c:v>
                </c:pt>
                <c:pt idx="65">
                  <c:v>91871666.499441281</c:v>
                </c:pt>
                <c:pt idx="66">
                  <c:v>97570145.777895957</c:v>
                </c:pt>
                <c:pt idx="67">
                  <c:v>116112276.31969944</c:v>
                </c:pt>
                <c:pt idx="68">
                  <c:v>75441853.998699352</c:v>
                </c:pt>
                <c:pt idx="69">
                  <c:v>70664837.976144195</c:v>
                </c:pt>
                <c:pt idx="70">
                  <c:v>76349991.685693324</c:v>
                </c:pt>
                <c:pt idx="71">
                  <c:v>89184605.611258194</c:v>
                </c:pt>
                <c:pt idx="72">
                  <c:v>101538578.21713223</c:v>
                </c:pt>
                <c:pt idx="73">
                  <c:v>85906766.281489849</c:v>
                </c:pt>
                <c:pt idx="74">
                  <c:v>85029990.597621948</c:v>
                </c:pt>
                <c:pt idx="75">
                  <c:v>72299149.043881983</c:v>
                </c:pt>
                <c:pt idx="76">
                  <c:v>71749749.222550616</c:v>
                </c:pt>
                <c:pt idx="77">
                  <c:v>80864320.526338413</c:v>
                </c:pt>
                <c:pt idx="78">
                  <c:v>102353567.42379011</c:v>
                </c:pt>
                <c:pt idx="79">
                  <c:v>105442608.89883301</c:v>
                </c:pt>
                <c:pt idx="80">
                  <c:v>76414761.508870259</c:v>
                </c:pt>
                <c:pt idx="81">
                  <c:v>69419736.608057901</c:v>
                </c:pt>
                <c:pt idx="82">
                  <c:v>75166822.414650604</c:v>
                </c:pt>
                <c:pt idx="83">
                  <c:v>90900160.371146351</c:v>
                </c:pt>
                <c:pt idx="84">
                  <c:v>89452646.592354313</c:v>
                </c:pt>
                <c:pt idx="85">
                  <c:v>81819262.154344514</c:v>
                </c:pt>
                <c:pt idx="86">
                  <c:v>83818873.824699819</c:v>
                </c:pt>
                <c:pt idx="87">
                  <c:v>71331296.344104633</c:v>
                </c:pt>
                <c:pt idx="88">
                  <c:v>69854322.550043881</c:v>
                </c:pt>
                <c:pt idx="89">
                  <c:v>83990218.718701631</c:v>
                </c:pt>
                <c:pt idx="90">
                  <c:v>106174141.42736192</c:v>
                </c:pt>
                <c:pt idx="91">
                  <c:v>91823392.538731441</c:v>
                </c:pt>
                <c:pt idx="92">
                  <c:v>80588429.861309886</c:v>
                </c:pt>
                <c:pt idx="93">
                  <c:v>75333961.579978198</c:v>
                </c:pt>
                <c:pt idx="94">
                  <c:v>83463721.714690402</c:v>
                </c:pt>
                <c:pt idx="95">
                  <c:v>90775695.366578922</c:v>
                </c:pt>
                <c:pt idx="96">
                  <c:v>96796168.11477837</c:v>
                </c:pt>
                <c:pt idx="97">
                  <c:v>84082061.1679153</c:v>
                </c:pt>
                <c:pt idx="98">
                  <c:v>83373601.706231177</c:v>
                </c:pt>
                <c:pt idx="99">
                  <c:v>73417105.585059851</c:v>
                </c:pt>
                <c:pt idx="100">
                  <c:v>74044875.266212851</c:v>
                </c:pt>
                <c:pt idx="101">
                  <c:v>90130088.905228287</c:v>
                </c:pt>
                <c:pt idx="102">
                  <c:v>114347671.59336773</c:v>
                </c:pt>
                <c:pt idx="103">
                  <c:v>105213096.99407224</c:v>
                </c:pt>
                <c:pt idx="104">
                  <c:v>82932329.880999923</c:v>
                </c:pt>
                <c:pt idx="105">
                  <c:v>73670517.212902501</c:v>
                </c:pt>
                <c:pt idx="106">
                  <c:v>78000207.368572265</c:v>
                </c:pt>
                <c:pt idx="107">
                  <c:v>97242860.168308839</c:v>
                </c:pt>
                <c:pt idx="108">
                  <c:v>100352866.59188363</c:v>
                </c:pt>
                <c:pt idx="109">
                  <c:v>89672423.569045559</c:v>
                </c:pt>
                <c:pt idx="110">
                  <c:v>86671090.112053752</c:v>
                </c:pt>
                <c:pt idx="111">
                  <c:v>75887531.953678712</c:v>
                </c:pt>
                <c:pt idx="112">
                  <c:v>71448968.451304406</c:v>
                </c:pt>
                <c:pt idx="113">
                  <c:v>92397904.849683553</c:v>
                </c:pt>
                <c:pt idx="114">
                  <c:v>123438782.32268602</c:v>
                </c:pt>
                <c:pt idx="115">
                  <c:v>106122029.3061827</c:v>
                </c:pt>
                <c:pt idx="116">
                  <c:v>77868609.00797765</c:v>
                </c:pt>
                <c:pt idx="117">
                  <c:v>74412667.086227164</c:v>
                </c:pt>
                <c:pt idx="118">
                  <c:v>83491581.79746674</c:v>
                </c:pt>
                <c:pt idx="119">
                  <c:v>100939610.39500643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6D-4C23-910E-1DDB30133357}"/>
            </c:ext>
          </c:extLst>
        </c:ser>
        <c:ser>
          <c:idx val="1"/>
          <c:order val="1"/>
          <c:tx>
            <c:strRef>
              <c:f>'VRZ Residential'!$U$1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Residential'!$A$2:$A$121</c:f>
              <c:numCache>
                <c:formatCode>mmm\-yy</c:formatCode>
                <c:ptCount val="12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</c:numCache>
            </c:numRef>
          </c:cat>
          <c:val>
            <c:numRef>
              <c:f>'VRZ Residential'!$W$2:$W$121</c:f>
              <c:numCache>
                <c:formatCode>_-* #,##0_-;\-* #,##0_-;_-* "-"??_-;_-@_-</c:formatCode>
                <c:ptCount val="120"/>
                <c:pt idx="0">
                  <c:v>83350784.600451499</c:v>
                </c:pt>
                <c:pt idx="1">
                  <c:v>76212880.548659682</c:v>
                </c:pt>
                <c:pt idx="2">
                  <c:v>73414687.060977876</c:v>
                </c:pt>
                <c:pt idx="3">
                  <c:v>66634692.144330554</c:v>
                </c:pt>
                <c:pt idx="4">
                  <c:v>67882955.880378619</c:v>
                </c:pt>
                <c:pt idx="5">
                  <c:v>77535831.967504084</c:v>
                </c:pt>
                <c:pt idx="6">
                  <c:v>101972618.27946781</c:v>
                </c:pt>
                <c:pt idx="7">
                  <c:v>105822068.03638409</c:v>
                </c:pt>
                <c:pt idx="8">
                  <c:v>69034787.990651831</c:v>
                </c:pt>
                <c:pt idx="9">
                  <c:v>62955340.002703071</c:v>
                </c:pt>
                <c:pt idx="10">
                  <c:v>66093238.45184806</c:v>
                </c:pt>
                <c:pt idx="11">
                  <c:v>81865596.021183982</c:v>
                </c:pt>
                <c:pt idx="12">
                  <c:v>82132851.410415977</c:v>
                </c:pt>
                <c:pt idx="13">
                  <c:v>72186494.510579959</c:v>
                </c:pt>
                <c:pt idx="14">
                  <c:v>78473279.427245781</c:v>
                </c:pt>
                <c:pt idx="15">
                  <c:v>63284591.566312619</c:v>
                </c:pt>
                <c:pt idx="16">
                  <c:v>63655593.384824611</c:v>
                </c:pt>
                <c:pt idx="17">
                  <c:v>72499930.520980239</c:v>
                </c:pt>
                <c:pt idx="18">
                  <c:v>89330666.272601113</c:v>
                </c:pt>
                <c:pt idx="19">
                  <c:v>80425697.560600594</c:v>
                </c:pt>
                <c:pt idx="20">
                  <c:v>71677480.599970683</c:v>
                </c:pt>
                <c:pt idx="21">
                  <c:v>63063779.917128533</c:v>
                </c:pt>
                <c:pt idx="22">
                  <c:v>70313128.107201695</c:v>
                </c:pt>
                <c:pt idx="23">
                  <c:v>88518944.50866957</c:v>
                </c:pt>
                <c:pt idx="24">
                  <c:v>89271467.634213254</c:v>
                </c:pt>
                <c:pt idx="25">
                  <c:v>75578826.43832989</c:v>
                </c:pt>
                <c:pt idx="26">
                  <c:v>78347129.734757841</c:v>
                </c:pt>
                <c:pt idx="27">
                  <c:v>71321691.194866821</c:v>
                </c:pt>
                <c:pt idx="28">
                  <c:v>70104874.724407703</c:v>
                </c:pt>
                <c:pt idx="29">
                  <c:v>77379286.113326713</c:v>
                </c:pt>
                <c:pt idx="30">
                  <c:v>105815551.42412797</c:v>
                </c:pt>
                <c:pt idx="31">
                  <c:v>104920077.55649233</c:v>
                </c:pt>
                <c:pt idx="32">
                  <c:v>78406734.617243856</c:v>
                </c:pt>
                <c:pt idx="33">
                  <c:v>69482709.755270094</c:v>
                </c:pt>
                <c:pt idx="34">
                  <c:v>74396266.29246901</c:v>
                </c:pt>
                <c:pt idx="35">
                  <c:v>83115807.656751797</c:v>
                </c:pt>
                <c:pt idx="36">
                  <c:v>92095408.123627871</c:v>
                </c:pt>
                <c:pt idx="37">
                  <c:v>79866718.715301946</c:v>
                </c:pt>
                <c:pt idx="38">
                  <c:v>81793345.633360013</c:v>
                </c:pt>
                <c:pt idx="39">
                  <c:v>68905612.644934267</c:v>
                </c:pt>
                <c:pt idx="40">
                  <c:v>64434209.244026713</c:v>
                </c:pt>
                <c:pt idx="41">
                  <c:v>75716418.54329291</c:v>
                </c:pt>
                <c:pt idx="42">
                  <c:v>107836221.2030039</c:v>
                </c:pt>
                <c:pt idx="43">
                  <c:v>90170867.939812213</c:v>
                </c:pt>
                <c:pt idx="44">
                  <c:v>64094985.53741806</c:v>
                </c:pt>
                <c:pt idx="45">
                  <c:v>66995040.270424135</c:v>
                </c:pt>
                <c:pt idx="46">
                  <c:v>76993723.668786258</c:v>
                </c:pt>
                <c:pt idx="47">
                  <c:v>85873247.171697885</c:v>
                </c:pt>
                <c:pt idx="48">
                  <c:v>87003718.832701281</c:v>
                </c:pt>
                <c:pt idx="49">
                  <c:v>82713939.624800161</c:v>
                </c:pt>
                <c:pt idx="50">
                  <c:v>80010538.113737002</c:v>
                </c:pt>
                <c:pt idx="51">
                  <c:v>74986589.966661572</c:v>
                </c:pt>
                <c:pt idx="52">
                  <c:v>77002498.712856069</c:v>
                </c:pt>
                <c:pt idx="53">
                  <c:v>89818349.434488982</c:v>
                </c:pt>
                <c:pt idx="54">
                  <c:v>126526181.73782566</c:v>
                </c:pt>
                <c:pt idx="55">
                  <c:v>101451900.01724485</c:v>
                </c:pt>
                <c:pt idx="56">
                  <c:v>69012024.211919516</c:v>
                </c:pt>
                <c:pt idx="57">
                  <c:v>71167637.93294467</c:v>
                </c:pt>
                <c:pt idx="58">
                  <c:v>73116118.978620693</c:v>
                </c:pt>
                <c:pt idx="59">
                  <c:v>89026329.402955472</c:v>
                </c:pt>
                <c:pt idx="60">
                  <c:v>93131462.905570105</c:v>
                </c:pt>
                <c:pt idx="61">
                  <c:v>87191184.828625888</c:v>
                </c:pt>
                <c:pt idx="62">
                  <c:v>82249577.772197679</c:v>
                </c:pt>
                <c:pt idx="63">
                  <c:v>71651913.28254208</c:v>
                </c:pt>
                <c:pt idx="64">
                  <c:v>75763234.689829513</c:v>
                </c:pt>
                <c:pt idx="65">
                  <c:v>92962018.797883779</c:v>
                </c:pt>
                <c:pt idx="66">
                  <c:v>96362843.210466459</c:v>
                </c:pt>
                <c:pt idx="67">
                  <c:v>116241513.81858848</c:v>
                </c:pt>
                <c:pt idx="68">
                  <c:v>71694333.055471823</c:v>
                </c:pt>
                <c:pt idx="69">
                  <c:v>70998683.612371072</c:v>
                </c:pt>
                <c:pt idx="70">
                  <c:v>78806946.965986133</c:v>
                </c:pt>
                <c:pt idx="71">
                  <c:v>88293137.225571781</c:v>
                </c:pt>
                <c:pt idx="72">
                  <c:v>101828075.80115093</c:v>
                </c:pt>
                <c:pt idx="73">
                  <c:v>86649953.201090991</c:v>
                </c:pt>
                <c:pt idx="74">
                  <c:v>85331937.534973264</c:v>
                </c:pt>
                <c:pt idx="75">
                  <c:v>74094249.874720544</c:v>
                </c:pt>
                <c:pt idx="76">
                  <c:v>75121508.624275073</c:v>
                </c:pt>
                <c:pt idx="77">
                  <c:v>79225554.211795211</c:v>
                </c:pt>
                <c:pt idx="78">
                  <c:v>103656549.82712243</c:v>
                </c:pt>
                <c:pt idx="79">
                  <c:v>105482112.96998528</c:v>
                </c:pt>
                <c:pt idx="80">
                  <c:v>75429265.882817149</c:v>
                </c:pt>
                <c:pt idx="81">
                  <c:v>72670023.49500455</c:v>
                </c:pt>
                <c:pt idx="82">
                  <c:v>77806575.174711779</c:v>
                </c:pt>
                <c:pt idx="83">
                  <c:v>91417026.569486782</c:v>
                </c:pt>
                <c:pt idx="84">
                  <c:v>91481038.598674953</c:v>
                </c:pt>
                <c:pt idx="85">
                  <c:v>84127204.390008479</c:v>
                </c:pt>
                <c:pt idx="86">
                  <c:v>86258621.632344142</c:v>
                </c:pt>
                <c:pt idx="87">
                  <c:v>72954739.484428704</c:v>
                </c:pt>
                <c:pt idx="88">
                  <c:v>72996410.583908603</c:v>
                </c:pt>
                <c:pt idx="89">
                  <c:v>85217781.646244839</c:v>
                </c:pt>
                <c:pt idx="90">
                  <c:v>104286172.26602697</c:v>
                </c:pt>
                <c:pt idx="91">
                  <c:v>90491100.969766691</c:v>
                </c:pt>
                <c:pt idx="92">
                  <c:v>76055654.179564223</c:v>
                </c:pt>
                <c:pt idx="93">
                  <c:v>75701643.736231387</c:v>
                </c:pt>
                <c:pt idx="94">
                  <c:v>80520229.990503415</c:v>
                </c:pt>
                <c:pt idx="95">
                  <c:v>87482761.792881727</c:v>
                </c:pt>
                <c:pt idx="96">
                  <c:v>95224235.071854249</c:v>
                </c:pt>
                <c:pt idx="97">
                  <c:v>86781171.013818875</c:v>
                </c:pt>
                <c:pt idx="98">
                  <c:v>83955912.928712681</c:v>
                </c:pt>
                <c:pt idx="99">
                  <c:v>74716958.321878314</c:v>
                </c:pt>
                <c:pt idx="100">
                  <c:v>73184177.56056115</c:v>
                </c:pt>
                <c:pt idx="101">
                  <c:v>88399931.201221928</c:v>
                </c:pt>
                <c:pt idx="102">
                  <c:v>110499667.52286905</c:v>
                </c:pt>
                <c:pt idx="103">
                  <c:v>101328730.01769364</c:v>
                </c:pt>
                <c:pt idx="104">
                  <c:v>77604708.861618012</c:v>
                </c:pt>
                <c:pt idx="105">
                  <c:v>74756891.63597098</c:v>
                </c:pt>
                <c:pt idx="106">
                  <c:v>78897158.751996398</c:v>
                </c:pt>
                <c:pt idx="107">
                  <c:v>94873662.131143317</c:v>
                </c:pt>
                <c:pt idx="108">
                  <c:v>102212998.88331582</c:v>
                </c:pt>
                <c:pt idx="109">
                  <c:v>92997062.560431629</c:v>
                </c:pt>
                <c:pt idx="110">
                  <c:v>88943547.147010922</c:v>
                </c:pt>
                <c:pt idx="111">
                  <c:v>78817544.737504765</c:v>
                </c:pt>
                <c:pt idx="112">
                  <c:v>73451912.345610842</c:v>
                </c:pt>
                <c:pt idx="113">
                  <c:v>94653800.097395465</c:v>
                </c:pt>
                <c:pt idx="114">
                  <c:v>120803034.47845891</c:v>
                </c:pt>
                <c:pt idx="115">
                  <c:v>103410341.85352902</c:v>
                </c:pt>
                <c:pt idx="116">
                  <c:v>75640998.858028367</c:v>
                </c:pt>
                <c:pt idx="117">
                  <c:v>77557795.385303512</c:v>
                </c:pt>
                <c:pt idx="118">
                  <c:v>85121014.615756512</c:v>
                </c:pt>
                <c:pt idx="119">
                  <c:v>101180291.13034587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6D-4C23-910E-1DDB30133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Monthly Consumption (kWh</a:t>
                </a:r>
                <a:r>
                  <a:rPr lang="en-CA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VRZ Seasonal Residential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'VRZ Seasonal'!$D$1</c:f>
              <c:strCache>
                <c:ptCount val="1"/>
                <c:pt idx="0">
                  <c:v>VRZ_SeasonalReskWh_No_CDM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Seasonal'!$A$2:$A$121</c:f>
              <c:numCache>
                <c:formatCode>mmm\-yy</c:formatCode>
                <c:ptCount val="12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</c:numCache>
            </c:numRef>
          </c:cat>
          <c:val>
            <c:numRef>
              <c:f>'VRZ Seasonal'!$D$2:$D$121</c:f>
              <c:numCache>
                <c:formatCode>_-* #,##0_-;\-* #,##0_-;_-* "-"??_-;_-@_-</c:formatCode>
                <c:ptCount val="120"/>
                <c:pt idx="0">
                  <c:v>936511.47097367409</c:v>
                </c:pt>
                <c:pt idx="1">
                  <c:v>897208.55047257687</c:v>
                </c:pt>
                <c:pt idx="2">
                  <c:v>784095.43057251081</c:v>
                </c:pt>
                <c:pt idx="3">
                  <c:v>657814.26284760027</c:v>
                </c:pt>
                <c:pt idx="4">
                  <c:v>642444.92598512163</c:v>
                </c:pt>
                <c:pt idx="5">
                  <c:v>625968.16854451003</c:v>
                </c:pt>
                <c:pt idx="6">
                  <c:v>953145.21106573672</c:v>
                </c:pt>
                <c:pt idx="7">
                  <c:v>939559.53863752435</c:v>
                </c:pt>
                <c:pt idx="8">
                  <c:v>639835.37560637749</c:v>
                </c:pt>
                <c:pt idx="9">
                  <c:v>712769.82470077625</c:v>
                </c:pt>
                <c:pt idx="10">
                  <c:v>585813.04856144206</c:v>
                </c:pt>
                <c:pt idx="11">
                  <c:v>855870.32920516538</c:v>
                </c:pt>
                <c:pt idx="12">
                  <c:v>902572.16858677357</c:v>
                </c:pt>
                <c:pt idx="13">
                  <c:v>824151.46271689306</c:v>
                </c:pt>
                <c:pt idx="14">
                  <c:v>905798.01654935745</c:v>
                </c:pt>
                <c:pt idx="15">
                  <c:v>622492.27436961059</c:v>
                </c:pt>
                <c:pt idx="16">
                  <c:v>714798.3126420693</c:v>
                </c:pt>
                <c:pt idx="17">
                  <c:v>654017.46750487247</c:v>
                </c:pt>
                <c:pt idx="18">
                  <c:v>977732.0495953029</c:v>
                </c:pt>
                <c:pt idx="19">
                  <c:v>995639.69486070285</c:v>
                </c:pt>
                <c:pt idx="20">
                  <c:v>730511.75170785922</c:v>
                </c:pt>
                <c:pt idx="21">
                  <c:v>662632.18754757429</c:v>
                </c:pt>
                <c:pt idx="22">
                  <c:v>750628.25396351703</c:v>
                </c:pt>
                <c:pt idx="23">
                  <c:v>1094317.4646649007</c:v>
                </c:pt>
                <c:pt idx="24">
                  <c:v>1151879.426258018</c:v>
                </c:pt>
                <c:pt idx="25">
                  <c:v>938268.69859236281</c:v>
                </c:pt>
                <c:pt idx="26">
                  <c:v>905448.24387080339</c:v>
                </c:pt>
                <c:pt idx="27">
                  <c:v>789480.74866078631</c:v>
                </c:pt>
                <c:pt idx="28">
                  <c:v>653117.11443149729</c:v>
                </c:pt>
                <c:pt idx="29">
                  <c:v>687238.22072882729</c:v>
                </c:pt>
                <c:pt idx="30">
                  <c:v>1002345.0827979547</c:v>
                </c:pt>
                <c:pt idx="31">
                  <c:v>1011375.7542069035</c:v>
                </c:pt>
                <c:pt idx="32">
                  <c:v>726568.42993754684</c:v>
                </c:pt>
                <c:pt idx="33">
                  <c:v>860637.08752279799</c:v>
                </c:pt>
                <c:pt idx="34">
                  <c:v>818792.17725840118</c:v>
                </c:pt>
                <c:pt idx="35">
                  <c:v>978858.23497721553</c:v>
                </c:pt>
                <c:pt idx="36">
                  <c:v>1180732.0840907115</c:v>
                </c:pt>
                <c:pt idx="37">
                  <c:v>1037445.2507180091</c:v>
                </c:pt>
                <c:pt idx="38">
                  <c:v>1019060.4219245851</c:v>
                </c:pt>
                <c:pt idx="39">
                  <c:v>756658.03262744064</c:v>
                </c:pt>
                <c:pt idx="40">
                  <c:v>769722.24824348069</c:v>
                </c:pt>
                <c:pt idx="41">
                  <c:v>733424.5276450566</c:v>
                </c:pt>
                <c:pt idx="42">
                  <c:v>974819.26355302567</c:v>
                </c:pt>
                <c:pt idx="43">
                  <c:v>970641.48246042314</c:v>
                </c:pt>
                <c:pt idx="44">
                  <c:v>695468.91469542892</c:v>
                </c:pt>
                <c:pt idx="45">
                  <c:v>822737.01282434806</c:v>
                </c:pt>
                <c:pt idx="46">
                  <c:v>894752.10429423372</c:v>
                </c:pt>
                <c:pt idx="47">
                  <c:v>1028429.2122399808</c:v>
                </c:pt>
                <c:pt idx="48">
                  <c:v>1056378.1359157956</c:v>
                </c:pt>
                <c:pt idx="49">
                  <c:v>1023764.9717810908</c:v>
                </c:pt>
                <c:pt idx="50">
                  <c:v>971035.45888660883</c:v>
                </c:pt>
                <c:pt idx="51">
                  <c:v>939852.88765402115</c:v>
                </c:pt>
                <c:pt idx="52">
                  <c:v>973626.75281715975</c:v>
                </c:pt>
                <c:pt idx="53">
                  <c:v>895852.03057331673</c:v>
                </c:pt>
                <c:pt idx="54">
                  <c:v>1149912.3464519684</c:v>
                </c:pt>
                <c:pt idx="55">
                  <c:v>1099160.4082569701</c:v>
                </c:pt>
                <c:pt idx="56">
                  <c:v>955486.44697477587</c:v>
                </c:pt>
                <c:pt idx="57">
                  <c:v>1117986.99153116</c:v>
                </c:pt>
                <c:pt idx="58">
                  <c:v>911841.24071452534</c:v>
                </c:pt>
                <c:pt idx="59">
                  <c:v>1242049.867926891</c:v>
                </c:pt>
                <c:pt idx="60">
                  <c:v>1355369.6795886769</c:v>
                </c:pt>
                <c:pt idx="61">
                  <c:v>1327740.5738265323</c:v>
                </c:pt>
                <c:pt idx="62">
                  <c:v>1125054.6216228688</c:v>
                </c:pt>
                <c:pt idx="63">
                  <c:v>943603.97253883979</c:v>
                </c:pt>
                <c:pt idx="64">
                  <c:v>958419.74130445695</c:v>
                </c:pt>
                <c:pt idx="65">
                  <c:v>836078.92692754301</c:v>
                </c:pt>
                <c:pt idx="66">
                  <c:v>1087156.4306960222</c:v>
                </c:pt>
                <c:pt idx="67">
                  <c:v>1141208.4345599029</c:v>
                </c:pt>
                <c:pt idx="68">
                  <c:v>831578.26754990488</c:v>
                </c:pt>
                <c:pt idx="69">
                  <c:v>837307.57045977039</c:v>
                </c:pt>
                <c:pt idx="70">
                  <c:v>922268.76337154093</c:v>
                </c:pt>
                <c:pt idx="71">
                  <c:v>1177373.5264989219</c:v>
                </c:pt>
                <c:pt idx="72">
                  <c:v>1573486.7801179711</c:v>
                </c:pt>
                <c:pt idx="73">
                  <c:v>1312765.9861364339</c:v>
                </c:pt>
                <c:pt idx="74">
                  <c:v>1229848.7429658109</c:v>
                </c:pt>
                <c:pt idx="75">
                  <c:v>951453.03453092533</c:v>
                </c:pt>
                <c:pt idx="76">
                  <c:v>794069.68317484157</c:v>
                </c:pt>
                <c:pt idx="77">
                  <c:v>781317.23414655763</c:v>
                </c:pt>
                <c:pt idx="78">
                  <c:v>1052209.1074708784</c:v>
                </c:pt>
                <c:pt idx="79">
                  <c:v>1032789.0557141075</c:v>
                </c:pt>
                <c:pt idx="80">
                  <c:v>816507.33273047267</c:v>
                </c:pt>
                <c:pt idx="81">
                  <c:v>979108.59671497159</c:v>
                </c:pt>
                <c:pt idx="82">
                  <c:v>877282.78951076814</c:v>
                </c:pt>
                <c:pt idx="83">
                  <c:v>1148874.4785381979</c:v>
                </c:pt>
                <c:pt idx="84">
                  <c:v>1227407.8108569772</c:v>
                </c:pt>
                <c:pt idx="85">
                  <c:v>1183092.8110215238</c:v>
                </c:pt>
                <c:pt idx="86">
                  <c:v>1147664.3239889711</c:v>
                </c:pt>
                <c:pt idx="87">
                  <c:v>870659.54983563873</c:v>
                </c:pt>
                <c:pt idx="88">
                  <c:v>883941.36357584014</c:v>
                </c:pt>
                <c:pt idx="89">
                  <c:v>789412.93879285781</c:v>
                </c:pt>
                <c:pt idx="90">
                  <c:v>1098880.6795221823</c:v>
                </c:pt>
                <c:pt idx="91">
                  <c:v>1046544.3963056952</c:v>
                </c:pt>
                <c:pt idx="92">
                  <c:v>814174.1410705091</c:v>
                </c:pt>
                <c:pt idx="93">
                  <c:v>894628.98426119622</c:v>
                </c:pt>
                <c:pt idx="94">
                  <c:v>1011847.6308386413</c:v>
                </c:pt>
                <c:pt idx="95">
                  <c:v>1173567.9347238522</c:v>
                </c:pt>
                <c:pt idx="96">
                  <c:v>1306775.2367573429</c:v>
                </c:pt>
                <c:pt idx="97">
                  <c:v>1218977.2265269631</c:v>
                </c:pt>
                <c:pt idx="98">
                  <c:v>1142685.7578803878</c:v>
                </c:pt>
                <c:pt idx="99">
                  <c:v>890041.64368470781</c:v>
                </c:pt>
                <c:pt idx="100">
                  <c:v>858764.90924879862</c:v>
                </c:pt>
                <c:pt idx="101">
                  <c:v>788177.5447204283</c:v>
                </c:pt>
                <c:pt idx="102">
                  <c:v>1094340.2886860615</c:v>
                </c:pt>
                <c:pt idx="103">
                  <c:v>1121720.2613786294</c:v>
                </c:pt>
                <c:pt idx="104">
                  <c:v>827605.39015193412</c:v>
                </c:pt>
                <c:pt idx="105">
                  <c:v>933789.6197128715</c:v>
                </c:pt>
                <c:pt idx="106">
                  <c:v>913247.10800726654</c:v>
                </c:pt>
                <c:pt idx="107">
                  <c:v>1129976.7766417456</c:v>
                </c:pt>
                <c:pt idx="108">
                  <c:v>1520453.8036472313</c:v>
                </c:pt>
                <c:pt idx="109">
                  <c:v>1359572.6897640282</c:v>
                </c:pt>
                <c:pt idx="110">
                  <c:v>1094373.4711202844</c:v>
                </c:pt>
                <c:pt idx="111">
                  <c:v>816611.06276083679</c:v>
                </c:pt>
                <c:pt idx="112">
                  <c:v>901624.45888526586</c:v>
                </c:pt>
                <c:pt idx="113">
                  <c:v>896759.91161148844</c:v>
                </c:pt>
                <c:pt idx="114">
                  <c:v>1191824.7457916313</c:v>
                </c:pt>
                <c:pt idx="115">
                  <c:v>1238181.1114066171</c:v>
                </c:pt>
                <c:pt idx="116">
                  <c:v>803460.52297657146</c:v>
                </c:pt>
                <c:pt idx="117">
                  <c:v>957503.11493194941</c:v>
                </c:pt>
                <c:pt idx="118">
                  <c:v>1069937.5426438616</c:v>
                </c:pt>
                <c:pt idx="119">
                  <c:v>1468490.2621989343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1-475F-8538-F26A0A63A551}"/>
            </c:ext>
          </c:extLst>
        </c:ser>
        <c:ser>
          <c:idx val="1"/>
          <c:order val="1"/>
          <c:tx>
            <c:strRef>
              <c:f>'VRZ Seasonal'!$S$1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Seasonal'!$A$2:$A$121</c:f>
              <c:numCache>
                <c:formatCode>mmm\-yy</c:formatCode>
                <c:ptCount val="12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</c:numCache>
            </c:numRef>
          </c:cat>
          <c:val>
            <c:numRef>
              <c:f>'VRZ Seasonal'!$S$2:$S$121</c:f>
              <c:numCache>
                <c:formatCode>_-* #,##0_-;\-* #,##0_-;_-* "-"??_-;_-@_-</c:formatCode>
                <c:ptCount val="120"/>
                <c:pt idx="0">
                  <c:v>971359.4063872234</c:v>
                </c:pt>
                <c:pt idx="1">
                  <c:v>839218.70962155762</c:v>
                </c:pt>
                <c:pt idx="2">
                  <c:v>783715.76403760223</c:v>
                </c:pt>
                <c:pt idx="3">
                  <c:v>661472.8160029836</c:v>
                </c:pt>
                <c:pt idx="4">
                  <c:v>620504.24417304189</c:v>
                </c:pt>
                <c:pt idx="5">
                  <c:v>695932.25161748379</c:v>
                </c:pt>
                <c:pt idx="6">
                  <c:v>905668.44512335293</c:v>
                </c:pt>
                <c:pt idx="7">
                  <c:v>935105.35786221782</c:v>
                </c:pt>
                <c:pt idx="8">
                  <c:v>600466.24054470006</c:v>
                </c:pt>
                <c:pt idx="9">
                  <c:v>610638.01309118175</c:v>
                </c:pt>
                <c:pt idx="10">
                  <c:v>654672.47003928875</c:v>
                </c:pt>
                <c:pt idx="11">
                  <c:v>951625.79127717414</c:v>
                </c:pt>
                <c:pt idx="12">
                  <c:v>957045.4413663405</c:v>
                </c:pt>
                <c:pt idx="13">
                  <c:v>772199.20241860009</c:v>
                </c:pt>
                <c:pt idx="14">
                  <c:v>882725.27811931993</c:v>
                </c:pt>
                <c:pt idx="15">
                  <c:v>606290.301951339</c:v>
                </c:pt>
                <c:pt idx="16">
                  <c:v>608103.97086998052</c:v>
                </c:pt>
                <c:pt idx="17">
                  <c:v>677136.26358435908</c:v>
                </c:pt>
                <c:pt idx="18">
                  <c:v>838503.38956551859</c:v>
                </c:pt>
                <c:pt idx="19">
                  <c:v>775210.37706911145</c:v>
                </c:pt>
                <c:pt idx="20">
                  <c:v>636417.58128924202</c:v>
                </c:pt>
                <c:pt idx="21">
                  <c:v>616032.62911469955</c:v>
                </c:pt>
                <c:pt idx="22">
                  <c:v>738070.00967586692</c:v>
                </c:pt>
                <c:pt idx="23">
                  <c:v>1078947.0012060818</c:v>
                </c:pt>
                <c:pt idx="24">
                  <c:v>1092994.7727364649</c:v>
                </c:pt>
                <c:pt idx="25">
                  <c:v>840355.67011988955</c:v>
                </c:pt>
                <c:pt idx="26">
                  <c:v>887206.0075995347</c:v>
                </c:pt>
                <c:pt idx="27">
                  <c:v>758846.74497645756</c:v>
                </c:pt>
                <c:pt idx="28">
                  <c:v>659841.20492237876</c:v>
                </c:pt>
                <c:pt idx="29">
                  <c:v>741021.18963479612</c:v>
                </c:pt>
                <c:pt idx="30">
                  <c:v>975347.72392461053</c:v>
                </c:pt>
                <c:pt idx="31">
                  <c:v>970809.79196158785</c:v>
                </c:pt>
                <c:pt idx="32">
                  <c:v>703128.19742407941</c:v>
                </c:pt>
                <c:pt idx="33">
                  <c:v>721666.59197260649</c:v>
                </c:pt>
                <c:pt idx="34">
                  <c:v>817942.2133759032</c:v>
                </c:pt>
                <c:pt idx="35">
                  <c:v>987286.28697201284</c:v>
                </c:pt>
                <c:pt idx="36">
                  <c:v>1147402.801902472</c:v>
                </c:pt>
                <c:pt idx="37">
                  <c:v>921758.98053330882</c:v>
                </c:pt>
                <c:pt idx="38">
                  <c:v>953558.07690344169</c:v>
                </c:pt>
                <c:pt idx="39">
                  <c:v>720133.00461186061</c:v>
                </c:pt>
                <c:pt idx="40">
                  <c:v>651393.86569154216</c:v>
                </c:pt>
                <c:pt idx="41">
                  <c:v>748415.39101284964</c:v>
                </c:pt>
                <c:pt idx="42">
                  <c:v>1011753.1104652297</c:v>
                </c:pt>
                <c:pt idx="43">
                  <c:v>889727.06166124018</c:v>
                </c:pt>
                <c:pt idx="44">
                  <c:v>628009.7088371038</c:v>
                </c:pt>
                <c:pt idx="45">
                  <c:v>687914.94464704324</c:v>
                </c:pt>
                <c:pt idx="46">
                  <c:v>869768.20229789428</c:v>
                </c:pt>
                <c:pt idx="47">
                  <c:v>1041788.5757557936</c:v>
                </c:pt>
                <c:pt idx="48">
                  <c:v>1055971.0038829963</c:v>
                </c:pt>
                <c:pt idx="49">
                  <c:v>975336.45540083305</c:v>
                </c:pt>
                <c:pt idx="50">
                  <c:v>1010023.6164099785</c:v>
                </c:pt>
                <c:pt idx="51">
                  <c:v>967478.23580106942</c:v>
                </c:pt>
                <c:pt idx="52">
                  <c:v>876651.57842871919</c:v>
                </c:pt>
                <c:pt idx="53">
                  <c:v>860939.11983007018</c:v>
                </c:pt>
                <c:pt idx="54">
                  <c:v>1133384.1752682431</c:v>
                </c:pt>
                <c:pt idx="55">
                  <c:v>969973.68379792885</c:v>
                </c:pt>
                <c:pt idx="56">
                  <c:v>699060.84570305585</c:v>
                </c:pt>
                <c:pt idx="57">
                  <c:v>826030.88105332735</c:v>
                </c:pt>
                <c:pt idx="58">
                  <c:v>867841.65927131881</c:v>
                </c:pt>
                <c:pt idx="59">
                  <c:v>1205237.564399326</c:v>
                </c:pt>
                <c:pt idx="60">
                  <c:v>1284001.1726614493</c:v>
                </c:pt>
                <c:pt idx="61">
                  <c:v>1171923.2490518934</c:v>
                </c:pt>
                <c:pt idx="62">
                  <c:v>1052583.0498872623</c:v>
                </c:pt>
                <c:pt idx="63">
                  <c:v>837261.07615471364</c:v>
                </c:pt>
                <c:pt idx="64">
                  <c:v>812902.38419106195</c:v>
                </c:pt>
                <c:pt idx="65">
                  <c:v>903876.7174270855</c:v>
                </c:pt>
                <c:pt idx="66">
                  <c:v>955689.97713060665</c:v>
                </c:pt>
                <c:pt idx="67">
                  <c:v>1088298.750814083</c:v>
                </c:pt>
                <c:pt idx="68">
                  <c:v>723121.21385889803</c:v>
                </c:pt>
                <c:pt idx="69">
                  <c:v>786656.04110102227</c:v>
                </c:pt>
                <c:pt idx="70">
                  <c:v>984868.00874685287</c:v>
                </c:pt>
                <c:pt idx="71">
                  <c:v>1182076.2357337368</c:v>
                </c:pt>
                <c:pt idx="72">
                  <c:v>1388247.5965324857</c:v>
                </c:pt>
                <c:pt idx="73">
                  <c:v>1098204.0117306074</c:v>
                </c:pt>
                <c:pt idx="74">
                  <c:v>1065559.3006272002</c:v>
                </c:pt>
                <c:pt idx="75">
                  <c:v>850254.04177913885</c:v>
                </c:pt>
                <c:pt idx="76">
                  <c:v>793526.50119060744</c:v>
                </c:pt>
                <c:pt idx="77">
                  <c:v>841143.38640970283</c:v>
                </c:pt>
                <c:pt idx="78">
                  <c:v>1034643.3182794068</c:v>
                </c:pt>
                <c:pt idx="79">
                  <c:v>1049198.2465446673</c:v>
                </c:pt>
                <c:pt idx="80">
                  <c:v>769639.86152568227</c:v>
                </c:pt>
                <c:pt idx="81">
                  <c:v>827579.60333722318</c:v>
                </c:pt>
                <c:pt idx="82">
                  <c:v>926660.78779945197</c:v>
                </c:pt>
                <c:pt idx="83">
                  <c:v>1189514.7028083568</c:v>
                </c:pt>
                <c:pt idx="84">
                  <c:v>1127948.4149611271</c:v>
                </c:pt>
                <c:pt idx="85">
                  <c:v>991171.21466306807</c:v>
                </c:pt>
                <c:pt idx="86">
                  <c:v>1027370.2153342818</c:v>
                </c:pt>
                <c:pt idx="87">
                  <c:v>811669.6696240087</c:v>
                </c:pt>
                <c:pt idx="88">
                  <c:v>788359.79571079474</c:v>
                </c:pt>
                <c:pt idx="89">
                  <c:v>900436.04581159737</c:v>
                </c:pt>
                <c:pt idx="90">
                  <c:v>1068376.8767681997</c:v>
                </c:pt>
                <c:pt idx="91">
                  <c:v>971309.83414506668</c:v>
                </c:pt>
                <c:pt idx="92">
                  <c:v>792207.06151016126</c:v>
                </c:pt>
                <c:pt idx="93">
                  <c:v>832637.4369623058</c:v>
                </c:pt>
                <c:pt idx="94">
                  <c:v>928466.30866266147</c:v>
                </c:pt>
                <c:pt idx="95">
                  <c:v>1063630.0006441039</c:v>
                </c:pt>
                <c:pt idx="96">
                  <c:v>1185207.7975647894</c:v>
                </c:pt>
                <c:pt idx="97">
                  <c:v>1035406.8881262314</c:v>
                </c:pt>
                <c:pt idx="98">
                  <c:v>984569.64725620963</c:v>
                </c:pt>
                <c:pt idx="99">
                  <c:v>826274.53995267185</c:v>
                </c:pt>
                <c:pt idx="100">
                  <c:v>802292.85933825653</c:v>
                </c:pt>
                <c:pt idx="101">
                  <c:v>941254.27799651562</c:v>
                </c:pt>
                <c:pt idx="102">
                  <c:v>1131239.1896802473</c:v>
                </c:pt>
                <c:pt idx="103">
                  <c:v>1065841.9648796618</c:v>
                </c:pt>
                <c:pt idx="104">
                  <c:v>823852.40055689053</c:v>
                </c:pt>
                <c:pt idx="105">
                  <c:v>842093.29365532438</c:v>
                </c:pt>
                <c:pt idx="106">
                  <c:v>901173.19562185335</c:v>
                </c:pt>
                <c:pt idx="107">
                  <c:v>1182269.2264930666</c:v>
                </c:pt>
                <c:pt idx="108">
                  <c:v>1292966.7703907276</c:v>
                </c:pt>
                <c:pt idx="109">
                  <c:v>1126676.2104847301</c:v>
                </c:pt>
                <c:pt idx="110">
                  <c:v>1062505.5503015239</c:v>
                </c:pt>
                <c:pt idx="111">
                  <c:v>892328.57011394785</c:v>
                </c:pt>
                <c:pt idx="112">
                  <c:v>827908.46927477419</c:v>
                </c:pt>
                <c:pt idx="113">
                  <c:v>1004338.1295102132</c:v>
                </c:pt>
                <c:pt idx="114">
                  <c:v>1221624.1470999238</c:v>
                </c:pt>
                <c:pt idx="115">
                  <c:v>1099422.762667963</c:v>
                </c:pt>
                <c:pt idx="116">
                  <c:v>825696.64118608506</c:v>
                </c:pt>
                <c:pt idx="117">
                  <c:v>879668.56514915265</c:v>
                </c:pt>
                <c:pt idx="118">
                  <c:v>997877.30942340754</c:v>
                </c:pt>
                <c:pt idx="119">
                  <c:v>1280491.1458492558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1-475F-8538-F26A0A63A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sz="1000" b="1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Monthly Consumption (kWh</a:t>
                </a:r>
                <a:r>
                  <a:rPr lang="en-CA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sz="1400" b="1"/>
              <a:t>VRZ General Service &lt; 50 kW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37045454545454"/>
          <c:y val="0.13195138888888888"/>
          <c:w val="0.85519772727272725"/>
          <c:h val="0.6457180555555555"/>
        </c:manualLayout>
      </c:layout>
      <c:lineChart>
        <c:grouping val="standard"/>
        <c:varyColors val="0"/>
        <c:ser>
          <c:idx val="0"/>
          <c:order val="0"/>
          <c:tx>
            <c:strRef>
              <c:f>'VRZ GS &lt; 50'!$D$1</c:f>
              <c:strCache>
                <c:ptCount val="1"/>
                <c:pt idx="0">
                  <c:v>VRZ_GSlt50kWh_No_CDM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GS &lt; 50'!$A$2:$A$121</c:f>
              <c:numCache>
                <c:formatCode>mmm\-yy</c:formatCode>
                <c:ptCount val="12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</c:numCache>
            </c:numRef>
          </c:cat>
          <c:val>
            <c:numRef>
              <c:f>'VRZ GS &lt; 50'!$D$2:$D$121</c:f>
              <c:numCache>
                <c:formatCode>_-* #,##0_-;\-* #,##0_-;_-* "-"??_-;_-@_-</c:formatCode>
                <c:ptCount val="120"/>
                <c:pt idx="0">
                  <c:v>25594387.001226746</c:v>
                </c:pt>
                <c:pt idx="1">
                  <c:v>23846717.749293804</c:v>
                </c:pt>
                <c:pt idx="2">
                  <c:v>23502971.311413426</c:v>
                </c:pt>
                <c:pt idx="3">
                  <c:v>21540038.953470275</c:v>
                </c:pt>
                <c:pt idx="4">
                  <c:v>21211175.257671658</c:v>
                </c:pt>
                <c:pt idx="5">
                  <c:v>22239964.56426762</c:v>
                </c:pt>
                <c:pt idx="6">
                  <c:v>24686265.973916437</c:v>
                </c:pt>
                <c:pt idx="7">
                  <c:v>25811417.484328467</c:v>
                </c:pt>
                <c:pt idx="8">
                  <c:v>21886803.918791153</c:v>
                </c:pt>
                <c:pt idx="9">
                  <c:v>20725400.682227511</c:v>
                </c:pt>
                <c:pt idx="10">
                  <c:v>21596970.981115021</c:v>
                </c:pt>
                <c:pt idx="11">
                  <c:v>24661948.89940713</c:v>
                </c:pt>
                <c:pt idx="12">
                  <c:v>25099418.824082334</c:v>
                </c:pt>
                <c:pt idx="13">
                  <c:v>22458315.671468545</c:v>
                </c:pt>
                <c:pt idx="14">
                  <c:v>24763416.611976296</c:v>
                </c:pt>
                <c:pt idx="15">
                  <c:v>20428681.878633447</c:v>
                </c:pt>
                <c:pt idx="16">
                  <c:v>20719953.781686418</c:v>
                </c:pt>
                <c:pt idx="17">
                  <c:v>21209040.734510425</c:v>
                </c:pt>
                <c:pt idx="18">
                  <c:v>23081254.913474578</c:v>
                </c:pt>
                <c:pt idx="19">
                  <c:v>22835107.341274541</c:v>
                </c:pt>
                <c:pt idx="20">
                  <c:v>21417225.225619446</c:v>
                </c:pt>
                <c:pt idx="21">
                  <c:v>20379582.625504989</c:v>
                </c:pt>
                <c:pt idx="22">
                  <c:v>22140921.056129038</c:v>
                </c:pt>
                <c:pt idx="23">
                  <c:v>25228512.976163503</c:v>
                </c:pt>
                <c:pt idx="24">
                  <c:v>27083666.221627753</c:v>
                </c:pt>
                <c:pt idx="25">
                  <c:v>23162572.130632471</c:v>
                </c:pt>
                <c:pt idx="26">
                  <c:v>24071009.260873877</c:v>
                </c:pt>
                <c:pt idx="27">
                  <c:v>22158391.192441177</c:v>
                </c:pt>
                <c:pt idx="28">
                  <c:v>21332397.300205573</c:v>
                </c:pt>
                <c:pt idx="29">
                  <c:v>21798944.2383366</c:v>
                </c:pt>
                <c:pt idx="30">
                  <c:v>25157032.245872322</c:v>
                </c:pt>
                <c:pt idx="31">
                  <c:v>25045687.543591116</c:v>
                </c:pt>
                <c:pt idx="32">
                  <c:v>21814911.593046129</c:v>
                </c:pt>
                <c:pt idx="33">
                  <c:v>21139509.036052082</c:v>
                </c:pt>
                <c:pt idx="34">
                  <c:v>23079843.668392137</c:v>
                </c:pt>
                <c:pt idx="35">
                  <c:v>24226267.850083455</c:v>
                </c:pt>
                <c:pt idx="36">
                  <c:v>26955920.19794986</c:v>
                </c:pt>
                <c:pt idx="37">
                  <c:v>24185101.827363215</c:v>
                </c:pt>
                <c:pt idx="38">
                  <c:v>25451797.580998946</c:v>
                </c:pt>
                <c:pt idx="39">
                  <c:v>23223774.488975544</c:v>
                </c:pt>
                <c:pt idx="40">
                  <c:v>21989356.726660021</c:v>
                </c:pt>
                <c:pt idx="41">
                  <c:v>22438976.178483218</c:v>
                </c:pt>
                <c:pt idx="42">
                  <c:v>27458190.795904491</c:v>
                </c:pt>
                <c:pt idx="43">
                  <c:v>25475496.25134312</c:v>
                </c:pt>
                <c:pt idx="44">
                  <c:v>21798333.345887173</c:v>
                </c:pt>
                <c:pt idx="45">
                  <c:v>21919987.852041505</c:v>
                </c:pt>
                <c:pt idx="46">
                  <c:v>24237065.28145485</c:v>
                </c:pt>
                <c:pt idx="47">
                  <c:v>25952432.100917619</c:v>
                </c:pt>
                <c:pt idx="48">
                  <c:v>26660699.398974162</c:v>
                </c:pt>
                <c:pt idx="49">
                  <c:v>25074828.131062046</c:v>
                </c:pt>
                <c:pt idx="50">
                  <c:v>23209263.801920861</c:v>
                </c:pt>
                <c:pt idx="51">
                  <c:v>18603961.100045763</c:v>
                </c:pt>
                <c:pt idx="52">
                  <c:v>18884059.75782511</c:v>
                </c:pt>
                <c:pt idx="53">
                  <c:v>21097806.23196594</c:v>
                </c:pt>
                <c:pt idx="54">
                  <c:v>25978683.247062691</c:v>
                </c:pt>
                <c:pt idx="55">
                  <c:v>24125878.07363626</c:v>
                </c:pt>
                <c:pt idx="56">
                  <c:v>20619845.029231008</c:v>
                </c:pt>
                <c:pt idx="57">
                  <c:v>20573295.775600422</c:v>
                </c:pt>
                <c:pt idx="58">
                  <c:v>21740626.242299922</c:v>
                </c:pt>
                <c:pt idx="59">
                  <c:v>24034292.216278568</c:v>
                </c:pt>
                <c:pt idx="60">
                  <c:v>23610118.389233749</c:v>
                </c:pt>
                <c:pt idx="61">
                  <c:v>22884369.63617168</c:v>
                </c:pt>
                <c:pt idx="62">
                  <c:v>23597404.158352688</c:v>
                </c:pt>
                <c:pt idx="63">
                  <c:v>19727267.688375518</c:v>
                </c:pt>
                <c:pt idx="64">
                  <c:v>19696306.661338918</c:v>
                </c:pt>
                <c:pt idx="65">
                  <c:v>21882313.153773695</c:v>
                </c:pt>
                <c:pt idx="66">
                  <c:v>23644875.912121467</c:v>
                </c:pt>
                <c:pt idx="67">
                  <c:v>26365379.377595745</c:v>
                </c:pt>
                <c:pt idx="68">
                  <c:v>21564606.144930352</c:v>
                </c:pt>
                <c:pt idx="69">
                  <c:v>21010101.409984861</c:v>
                </c:pt>
                <c:pt idx="70">
                  <c:v>22237922.129628185</c:v>
                </c:pt>
                <c:pt idx="71">
                  <c:v>24164160.250091963</c:v>
                </c:pt>
                <c:pt idx="72">
                  <c:v>26676692.693785701</c:v>
                </c:pt>
                <c:pt idx="73">
                  <c:v>24260657.089631252</c:v>
                </c:pt>
                <c:pt idx="74">
                  <c:v>24902898.587404098</c:v>
                </c:pt>
                <c:pt idx="75">
                  <c:v>21613092.935071915</c:v>
                </c:pt>
                <c:pt idx="76">
                  <c:v>21666530.918725226</c:v>
                </c:pt>
                <c:pt idx="77">
                  <c:v>22627437.100193843</c:v>
                </c:pt>
                <c:pt idx="78">
                  <c:v>25714924.79593445</c:v>
                </c:pt>
                <c:pt idx="79">
                  <c:v>25851474.528700527</c:v>
                </c:pt>
                <c:pt idx="80">
                  <c:v>21810179.87972657</c:v>
                </c:pt>
                <c:pt idx="81">
                  <c:v>21039165.86989582</c:v>
                </c:pt>
                <c:pt idx="82">
                  <c:v>22546170.925253004</c:v>
                </c:pt>
                <c:pt idx="83">
                  <c:v>25300790.952781532</c:v>
                </c:pt>
                <c:pt idx="84">
                  <c:v>25948905.427414812</c:v>
                </c:pt>
                <c:pt idx="85">
                  <c:v>23972631.853497781</c:v>
                </c:pt>
                <c:pt idx="86">
                  <c:v>25527961.143967409</c:v>
                </c:pt>
                <c:pt idx="87">
                  <c:v>21842078.767693579</c:v>
                </c:pt>
                <c:pt idx="88">
                  <c:v>21910406.756236099</c:v>
                </c:pt>
                <c:pt idx="89">
                  <c:v>23101631.604347117</c:v>
                </c:pt>
                <c:pt idx="90">
                  <c:v>25936174.43746119</c:v>
                </c:pt>
                <c:pt idx="91">
                  <c:v>23588473.646848772</c:v>
                </c:pt>
                <c:pt idx="92">
                  <c:v>22724171.777930696</c:v>
                </c:pt>
                <c:pt idx="93">
                  <c:v>21843045.351886019</c:v>
                </c:pt>
                <c:pt idx="94">
                  <c:v>23175385.11304817</c:v>
                </c:pt>
                <c:pt idx="95">
                  <c:v>22770333.314679604</c:v>
                </c:pt>
                <c:pt idx="96">
                  <c:v>24520911.692104168</c:v>
                </c:pt>
                <c:pt idx="97">
                  <c:v>22230147.880891703</c:v>
                </c:pt>
                <c:pt idx="98">
                  <c:v>22189843.570561834</c:v>
                </c:pt>
                <c:pt idx="99">
                  <c:v>20384408.308401879</c:v>
                </c:pt>
                <c:pt idx="100">
                  <c:v>20727064.811263677</c:v>
                </c:pt>
                <c:pt idx="101">
                  <c:v>21667399.384456903</c:v>
                </c:pt>
                <c:pt idx="102">
                  <c:v>24711531.092441339</c:v>
                </c:pt>
                <c:pt idx="103">
                  <c:v>23545255.469318364</c:v>
                </c:pt>
                <c:pt idx="104">
                  <c:v>21031427.533251744</c:v>
                </c:pt>
                <c:pt idx="105">
                  <c:v>20260195.670350991</c:v>
                </c:pt>
                <c:pt idx="106">
                  <c:v>20796976.8552064</c:v>
                </c:pt>
                <c:pt idx="107">
                  <c:v>23839433.224506591</c:v>
                </c:pt>
                <c:pt idx="108">
                  <c:v>25801949.041087992</c:v>
                </c:pt>
                <c:pt idx="109">
                  <c:v>23429136.133489423</c:v>
                </c:pt>
                <c:pt idx="110">
                  <c:v>23185454.774364464</c:v>
                </c:pt>
                <c:pt idx="111">
                  <c:v>21007596.622480456</c:v>
                </c:pt>
                <c:pt idx="112">
                  <c:v>20178322.510245413</c:v>
                </c:pt>
                <c:pt idx="113">
                  <c:v>22167501.959019642</c:v>
                </c:pt>
                <c:pt idx="114">
                  <c:v>25771638.234449137</c:v>
                </c:pt>
                <c:pt idx="115">
                  <c:v>23717646.490865074</c:v>
                </c:pt>
                <c:pt idx="116">
                  <c:v>20694306.764176656</c:v>
                </c:pt>
                <c:pt idx="117">
                  <c:v>20275049.765793916</c:v>
                </c:pt>
                <c:pt idx="118">
                  <c:v>21661604.248788737</c:v>
                </c:pt>
                <c:pt idx="119">
                  <c:v>24923821.47044035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B-42E4-AA7B-D1EB1875FE81}"/>
            </c:ext>
          </c:extLst>
        </c:ser>
        <c:ser>
          <c:idx val="1"/>
          <c:order val="1"/>
          <c:tx>
            <c:strRef>
              <c:f>'VRZ GS &lt; 50'!$Q$1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GS &lt; 50'!$A$2:$A$121</c:f>
              <c:numCache>
                <c:formatCode>mmm\-yy</c:formatCode>
                <c:ptCount val="12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</c:numCache>
            </c:numRef>
          </c:cat>
          <c:val>
            <c:numRef>
              <c:f>'VRZ GS &lt; 50'!$S$2:$S$121</c:f>
              <c:numCache>
                <c:formatCode>_-* #,##0_-;\-* #,##0_-;_-* "-"??_-;_-@_-</c:formatCode>
                <c:ptCount val="120"/>
                <c:pt idx="0">
                  <c:v>25287061.778318726</c:v>
                </c:pt>
                <c:pt idx="1">
                  <c:v>23583924.426128265</c:v>
                </c:pt>
                <c:pt idx="2">
                  <c:v>23596701.681207441</c:v>
                </c:pt>
                <c:pt idx="3">
                  <c:v>22005006.866818935</c:v>
                </c:pt>
                <c:pt idx="4">
                  <c:v>21859935.972594067</c:v>
                </c:pt>
                <c:pt idx="5">
                  <c:v>22512097.578019418</c:v>
                </c:pt>
                <c:pt idx="6">
                  <c:v>25875525.772851266</c:v>
                </c:pt>
                <c:pt idx="7">
                  <c:v>26311916.107024327</c:v>
                </c:pt>
                <c:pt idx="8">
                  <c:v>21885260.291310616</c:v>
                </c:pt>
                <c:pt idx="9">
                  <c:v>21321089.899616476</c:v>
                </c:pt>
                <c:pt idx="10">
                  <c:v>21676475.087755427</c:v>
                </c:pt>
                <c:pt idx="11">
                  <c:v>24664651.847730711</c:v>
                </c:pt>
                <c:pt idx="12">
                  <c:v>24702326.856581625</c:v>
                </c:pt>
                <c:pt idx="13">
                  <c:v>22338533.074455928</c:v>
                </c:pt>
                <c:pt idx="14">
                  <c:v>24487233.506955564</c:v>
                </c:pt>
                <c:pt idx="15">
                  <c:v>20928650.900302287</c:v>
                </c:pt>
                <c:pt idx="16">
                  <c:v>21062610.735668715</c:v>
                </c:pt>
                <c:pt idx="17">
                  <c:v>21682591.074248359</c:v>
                </c:pt>
                <c:pt idx="18">
                  <c:v>24194645.38557066</c:v>
                </c:pt>
                <c:pt idx="19">
                  <c:v>23129132.304148771</c:v>
                </c:pt>
                <c:pt idx="20">
                  <c:v>21836288.44684802</c:v>
                </c:pt>
                <c:pt idx="21">
                  <c:v>21015491.263605274</c:v>
                </c:pt>
                <c:pt idx="22">
                  <c:v>22367081.543998823</c:v>
                </c:pt>
                <c:pt idx="23">
                  <c:v>25927155.088054191</c:v>
                </c:pt>
                <c:pt idx="24">
                  <c:v>26078096.529802453</c:v>
                </c:pt>
                <c:pt idx="25">
                  <c:v>22832845.826660004</c:v>
                </c:pt>
                <c:pt idx="26">
                  <c:v>24153657.764962666</c:v>
                </c:pt>
                <c:pt idx="27">
                  <c:v>22476024.616316147</c:v>
                </c:pt>
                <c:pt idx="28">
                  <c:v>21668968.312884558</c:v>
                </c:pt>
                <c:pt idx="29">
                  <c:v>22406476.539419163</c:v>
                </c:pt>
                <c:pt idx="30">
                  <c:v>26017776.270825807</c:v>
                </c:pt>
                <c:pt idx="31">
                  <c:v>25906138.833378326</c:v>
                </c:pt>
                <c:pt idx="32">
                  <c:v>22501352.967149004</c:v>
                </c:pt>
                <c:pt idx="33">
                  <c:v>21886018.671307486</c:v>
                </c:pt>
                <c:pt idx="34">
                  <c:v>23019268.661768571</c:v>
                </c:pt>
                <c:pt idx="35">
                  <c:v>24348110.648182109</c:v>
                </c:pt>
                <c:pt idx="36">
                  <c:v>26436394.148596186</c:v>
                </c:pt>
                <c:pt idx="37">
                  <c:v>23535249.461954817</c:v>
                </c:pt>
                <c:pt idx="38">
                  <c:v>24658406.249078207</c:v>
                </c:pt>
                <c:pt idx="39">
                  <c:v>21601710.05506292</c:v>
                </c:pt>
                <c:pt idx="40">
                  <c:v>20741334.6376536</c:v>
                </c:pt>
                <c:pt idx="41">
                  <c:v>21854087.609490301</c:v>
                </c:pt>
                <c:pt idx="42">
                  <c:v>26090473.597963918</c:v>
                </c:pt>
                <c:pt idx="43">
                  <c:v>23997518.356286753</c:v>
                </c:pt>
                <c:pt idx="44">
                  <c:v>20811714.521761648</c:v>
                </c:pt>
                <c:pt idx="45">
                  <c:v>21001291.257729452</c:v>
                </c:pt>
                <c:pt idx="46">
                  <c:v>23327085.443496604</c:v>
                </c:pt>
                <c:pt idx="47">
                  <c:v>24694227.830434017</c:v>
                </c:pt>
                <c:pt idx="48">
                  <c:v>24939123.916248381</c:v>
                </c:pt>
                <c:pt idx="49">
                  <c:v>23905086.499056343</c:v>
                </c:pt>
                <c:pt idx="50">
                  <c:v>22054532.191902429</c:v>
                </c:pt>
                <c:pt idx="51">
                  <c:v>19182668.753532343</c:v>
                </c:pt>
                <c:pt idx="52">
                  <c:v>19439609.206345361</c:v>
                </c:pt>
                <c:pt idx="53">
                  <c:v>21815967.43278373</c:v>
                </c:pt>
                <c:pt idx="54">
                  <c:v>26396988.819261692</c:v>
                </c:pt>
                <c:pt idx="55">
                  <c:v>23584668.786390942</c:v>
                </c:pt>
                <c:pt idx="56">
                  <c:v>19702156.599461038</c:v>
                </c:pt>
                <c:pt idx="57">
                  <c:v>20113593.006337773</c:v>
                </c:pt>
                <c:pt idx="58">
                  <c:v>20352880.856637664</c:v>
                </c:pt>
                <c:pt idx="59">
                  <c:v>23144508.4237055</c:v>
                </c:pt>
                <c:pt idx="60">
                  <c:v>24011571.136458807</c:v>
                </c:pt>
                <c:pt idx="61">
                  <c:v>22595473.602652844</c:v>
                </c:pt>
                <c:pt idx="62">
                  <c:v>22264299.954097442</c:v>
                </c:pt>
                <c:pt idx="63">
                  <c:v>20036169.675601356</c:v>
                </c:pt>
                <c:pt idx="64">
                  <c:v>20425313.54005019</c:v>
                </c:pt>
                <c:pt idx="65">
                  <c:v>22161271.641039427</c:v>
                </c:pt>
                <c:pt idx="66">
                  <c:v>22867437.57045754</c:v>
                </c:pt>
                <c:pt idx="67">
                  <c:v>25092571.348022595</c:v>
                </c:pt>
                <c:pt idx="68">
                  <c:v>19936732.82002566</c:v>
                </c:pt>
                <c:pt idx="69">
                  <c:v>20035409.286022771</c:v>
                </c:pt>
                <c:pt idx="70">
                  <c:v>21297949.444067143</c:v>
                </c:pt>
                <c:pt idx="71">
                  <c:v>22714373.090683635</c:v>
                </c:pt>
                <c:pt idx="72">
                  <c:v>26693618.085485708</c:v>
                </c:pt>
                <c:pt idx="73">
                  <c:v>23196234.834462028</c:v>
                </c:pt>
                <c:pt idx="74">
                  <c:v>23598108.73549008</c:v>
                </c:pt>
                <c:pt idx="75">
                  <c:v>21025907.798871852</c:v>
                </c:pt>
                <c:pt idx="76">
                  <c:v>21042455.01508496</c:v>
                </c:pt>
                <c:pt idx="77">
                  <c:v>21272903.909854341</c:v>
                </c:pt>
                <c:pt idx="78">
                  <c:v>24324158.121979676</c:v>
                </c:pt>
                <c:pt idx="79">
                  <c:v>24521222.174753975</c:v>
                </c:pt>
                <c:pt idx="80">
                  <c:v>20798101.886406012</c:v>
                </c:pt>
                <c:pt idx="81">
                  <c:v>20649496.912712511</c:v>
                </c:pt>
                <c:pt idx="82">
                  <c:v>21755230.666785564</c:v>
                </c:pt>
                <c:pt idx="83">
                  <c:v>24068027.966223646</c:v>
                </c:pt>
                <c:pt idx="84">
                  <c:v>25055524.893377621</c:v>
                </c:pt>
                <c:pt idx="85">
                  <c:v>23297945.031426754</c:v>
                </c:pt>
                <c:pt idx="86">
                  <c:v>24466329.601068567</c:v>
                </c:pt>
                <c:pt idx="87">
                  <c:v>21576980.61057654</c:v>
                </c:pt>
                <c:pt idx="88">
                  <c:v>21277044.640823215</c:v>
                </c:pt>
                <c:pt idx="89">
                  <c:v>22562238.966045424</c:v>
                </c:pt>
                <c:pt idx="90">
                  <c:v>25064162.45982841</c:v>
                </c:pt>
                <c:pt idx="91">
                  <c:v>23431276.425025683</c:v>
                </c:pt>
                <c:pt idx="92">
                  <c:v>21687668.0802751</c:v>
                </c:pt>
                <c:pt idx="93">
                  <c:v>21709668.901443824</c:v>
                </c:pt>
                <c:pt idx="94">
                  <c:v>22892743.708101131</c:v>
                </c:pt>
                <c:pt idx="95">
                  <c:v>23807663.253605239</c:v>
                </c:pt>
                <c:pt idx="96">
                  <c:v>25592852.765721355</c:v>
                </c:pt>
                <c:pt idx="97">
                  <c:v>23578005.791562986</c:v>
                </c:pt>
                <c:pt idx="98">
                  <c:v>23579810.283924818</c:v>
                </c:pt>
                <c:pt idx="99">
                  <c:v>21376732.336883251</c:v>
                </c:pt>
                <c:pt idx="100">
                  <c:v>21262992.911106911</c:v>
                </c:pt>
                <c:pt idx="101">
                  <c:v>22716099.173779346</c:v>
                </c:pt>
                <c:pt idx="102">
                  <c:v>25667088.249026634</c:v>
                </c:pt>
                <c:pt idx="103">
                  <c:v>24580635.988847185</c:v>
                </c:pt>
                <c:pt idx="104">
                  <c:v>21740279.116380278</c:v>
                </c:pt>
                <c:pt idx="105">
                  <c:v>21423261.452050187</c:v>
                </c:pt>
                <c:pt idx="106">
                  <c:v>22250697.301396728</c:v>
                </c:pt>
                <c:pt idx="107">
                  <c:v>25201338.141800769</c:v>
                </c:pt>
                <c:pt idx="108">
                  <c:v>26875140.345680818</c:v>
                </c:pt>
                <c:pt idx="109">
                  <c:v>24682352.261000987</c:v>
                </c:pt>
                <c:pt idx="110">
                  <c:v>24400019.665135849</c:v>
                </c:pt>
                <c:pt idx="111">
                  <c:v>21998460.580769002</c:v>
                </c:pt>
                <c:pt idx="112">
                  <c:v>21132586.596685395</c:v>
                </c:pt>
                <c:pt idx="113">
                  <c:v>23360257.15321786</c:v>
                </c:pt>
                <c:pt idx="114">
                  <c:v>26792105.271315366</c:v>
                </c:pt>
                <c:pt idx="115">
                  <c:v>24693665.99837983</c:v>
                </c:pt>
                <c:pt idx="116">
                  <c:v>21382310.475733694</c:v>
                </c:pt>
                <c:pt idx="117">
                  <c:v>21674304.98509993</c:v>
                </c:pt>
                <c:pt idx="118">
                  <c:v>23286161.5489875</c:v>
                </c:pt>
                <c:pt idx="119">
                  <c:v>26336094.106920201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B-42E4-AA7B-D1EB1875F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 algn="ctr">
        <a:defRPr lang="en-US" sz="10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VRZ General Service 50 to 2,999 kW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9739898989899"/>
          <c:y val="0.12106277777777778"/>
          <c:w val="0.84718005050505052"/>
          <c:h val="0.6495508333333333"/>
        </c:manualLayout>
      </c:layout>
      <c:lineChart>
        <c:grouping val="standard"/>
        <c:varyColors val="0"/>
        <c:ser>
          <c:idx val="0"/>
          <c:order val="0"/>
          <c:tx>
            <c:strRef>
              <c:f>'VRZ GS 50-2,999'!$D$1</c:f>
              <c:strCache>
                <c:ptCount val="1"/>
                <c:pt idx="0">
                  <c:v>VRZ_GS50to2999kWh_No_CDM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GS 50-2,999'!$A$2:$A$121</c:f>
              <c:numCache>
                <c:formatCode>mmm\-yy</c:formatCode>
                <c:ptCount val="12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</c:numCache>
            </c:numRef>
          </c:cat>
          <c:val>
            <c:numRef>
              <c:f>'VRZ GS 50-2,999'!$D$2:$D$121</c:f>
              <c:numCache>
                <c:formatCode>_-* #,##0_-;\-* #,##0_-;_-* "-"??_-;_-@_-</c:formatCode>
                <c:ptCount val="120"/>
                <c:pt idx="0">
                  <c:v>82019595.924517915</c:v>
                </c:pt>
                <c:pt idx="1">
                  <c:v>77956359.208072916</c:v>
                </c:pt>
                <c:pt idx="2">
                  <c:v>80028747.679307505</c:v>
                </c:pt>
                <c:pt idx="3">
                  <c:v>75945262.664570689</c:v>
                </c:pt>
                <c:pt idx="4">
                  <c:v>77280197.322971582</c:v>
                </c:pt>
                <c:pt idx="5">
                  <c:v>80057672.268324375</c:v>
                </c:pt>
                <c:pt idx="6">
                  <c:v>82296529.456430227</c:v>
                </c:pt>
                <c:pt idx="7">
                  <c:v>86190597.617975503</c:v>
                </c:pt>
                <c:pt idx="8">
                  <c:v>78484093.199688002</c:v>
                </c:pt>
                <c:pt idx="9">
                  <c:v>76099983.971046835</c:v>
                </c:pt>
                <c:pt idx="10">
                  <c:v>76207685.436664224</c:v>
                </c:pt>
                <c:pt idx="11">
                  <c:v>77033980.924357042</c:v>
                </c:pt>
                <c:pt idx="12">
                  <c:v>81012116.883967727</c:v>
                </c:pt>
                <c:pt idx="13">
                  <c:v>73445222.123628616</c:v>
                </c:pt>
                <c:pt idx="14">
                  <c:v>81650170.503930464</c:v>
                </c:pt>
                <c:pt idx="15">
                  <c:v>72782582.559538245</c:v>
                </c:pt>
                <c:pt idx="16">
                  <c:v>76390785.152737096</c:v>
                </c:pt>
                <c:pt idx="17">
                  <c:v>77082034.041033</c:v>
                </c:pt>
                <c:pt idx="18">
                  <c:v>79033735.183162868</c:v>
                </c:pt>
                <c:pt idx="19">
                  <c:v>81952676.665490463</c:v>
                </c:pt>
                <c:pt idx="20">
                  <c:v>78946500.321015731</c:v>
                </c:pt>
                <c:pt idx="21">
                  <c:v>76944611.206654161</c:v>
                </c:pt>
                <c:pt idx="22">
                  <c:v>78143965.867086679</c:v>
                </c:pt>
                <c:pt idx="23">
                  <c:v>79908916.146969751</c:v>
                </c:pt>
                <c:pt idx="24">
                  <c:v>85722541.594353452</c:v>
                </c:pt>
                <c:pt idx="25">
                  <c:v>76123246.532861605</c:v>
                </c:pt>
                <c:pt idx="26">
                  <c:v>81114704.588170037</c:v>
                </c:pt>
                <c:pt idx="27">
                  <c:v>77267427.025850743</c:v>
                </c:pt>
                <c:pt idx="28">
                  <c:v>78670991.457707956</c:v>
                </c:pt>
                <c:pt idx="29">
                  <c:v>79797560.326718315</c:v>
                </c:pt>
                <c:pt idx="30">
                  <c:v>85257772.592525274</c:v>
                </c:pt>
                <c:pt idx="31">
                  <c:v>87250530.844027832</c:v>
                </c:pt>
                <c:pt idx="32">
                  <c:v>81235573.495459378</c:v>
                </c:pt>
                <c:pt idx="33">
                  <c:v>79512419.693735272</c:v>
                </c:pt>
                <c:pt idx="34">
                  <c:v>79879095.054420561</c:v>
                </c:pt>
                <c:pt idx="35">
                  <c:v>77971955.269303411</c:v>
                </c:pt>
                <c:pt idx="36">
                  <c:v>86497239.860314414</c:v>
                </c:pt>
                <c:pt idx="37">
                  <c:v>78415629.865525275</c:v>
                </c:pt>
                <c:pt idx="38">
                  <c:v>83608311.235796288</c:v>
                </c:pt>
                <c:pt idx="39">
                  <c:v>76308940.453928128</c:v>
                </c:pt>
                <c:pt idx="40">
                  <c:v>76938346.159465671</c:v>
                </c:pt>
                <c:pt idx="41">
                  <c:v>77605851.276420832</c:v>
                </c:pt>
                <c:pt idx="42">
                  <c:v>86501222.434524</c:v>
                </c:pt>
                <c:pt idx="43">
                  <c:v>83448111.098995075</c:v>
                </c:pt>
                <c:pt idx="44">
                  <c:v>77187590.955357417</c:v>
                </c:pt>
                <c:pt idx="45">
                  <c:v>76077301.975405142</c:v>
                </c:pt>
                <c:pt idx="46">
                  <c:v>78034350.367794797</c:v>
                </c:pt>
                <c:pt idx="47">
                  <c:v>78047543.867083848</c:v>
                </c:pt>
                <c:pt idx="48">
                  <c:v>82295613.627566695</c:v>
                </c:pt>
                <c:pt idx="49">
                  <c:v>78273504.188309774</c:v>
                </c:pt>
                <c:pt idx="50">
                  <c:v>76630953.950269327</c:v>
                </c:pt>
                <c:pt idx="51">
                  <c:v>64456209.695909761</c:v>
                </c:pt>
                <c:pt idx="52">
                  <c:v>67469503.193328664</c:v>
                </c:pt>
                <c:pt idx="53">
                  <c:v>75153479.571011558</c:v>
                </c:pt>
                <c:pt idx="54">
                  <c:v>85620541.511397451</c:v>
                </c:pt>
                <c:pt idx="55">
                  <c:v>81884794.517995253</c:v>
                </c:pt>
                <c:pt idx="56">
                  <c:v>75734543.281715289</c:v>
                </c:pt>
                <c:pt idx="57">
                  <c:v>75389591.944220275</c:v>
                </c:pt>
                <c:pt idx="58">
                  <c:v>75258500.469437331</c:v>
                </c:pt>
                <c:pt idx="59">
                  <c:v>77768201.465405151</c:v>
                </c:pt>
                <c:pt idx="60">
                  <c:v>80062479.421799421</c:v>
                </c:pt>
                <c:pt idx="61">
                  <c:v>75601505.954300001</c:v>
                </c:pt>
                <c:pt idx="62">
                  <c:v>80771780.550043195</c:v>
                </c:pt>
                <c:pt idx="63">
                  <c:v>72533551.718385428</c:v>
                </c:pt>
                <c:pt idx="64">
                  <c:v>74813287.715693384</c:v>
                </c:pt>
                <c:pt idx="65">
                  <c:v>79891609.225336611</c:v>
                </c:pt>
                <c:pt idx="66">
                  <c:v>81147795.567303449</c:v>
                </c:pt>
                <c:pt idx="67">
                  <c:v>87006259.468788072</c:v>
                </c:pt>
                <c:pt idx="68">
                  <c:v>77872385.724506244</c:v>
                </c:pt>
                <c:pt idx="69">
                  <c:v>77129413.993492678</c:v>
                </c:pt>
                <c:pt idx="70">
                  <c:v>77631743.33171311</c:v>
                </c:pt>
                <c:pt idx="71">
                  <c:v>78548558.060906678</c:v>
                </c:pt>
                <c:pt idx="72">
                  <c:v>84410403.007073358</c:v>
                </c:pt>
                <c:pt idx="73">
                  <c:v>78540704.11962159</c:v>
                </c:pt>
                <c:pt idx="74">
                  <c:v>83810904.995681524</c:v>
                </c:pt>
                <c:pt idx="75">
                  <c:v>76170064.968385071</c:v>
                </c:pt>
                <c:pt idx="76">
                  <c:v>78484427.001846433</c:v>
                </c:pt>
                <c:pt idx="77">
                  <c:v>80194101.569186047</c:v>
                </c:pt>
                <c:pt idx="78">
                  <c:v>84474104.361136764</c:v>
                </c:pt>
                <c:pt idx="79">
                  <c:v>86642255.905647829</c:v>
                </c:pt>
                <c:pt idx="80">
                  <c:v>78357995.308189183</c:v>
                </c:pt>
                <c:pt idx="81">
                  <c:v>76808375.694675222</c:v>
                </c:pt>
                <c:pt idx="82">
                  <c:v>79007935.605978161</c:v>
                </c:pt>
                <c:pt idx="83">
                  <c:v>80150512.416838348</c:v>
                </c:pt>
                <c:pt idx="84">
                  <c:v>84011788.343112782</c:v>
                </c:pt>
                <c:pt idx="85">
                  <c:v>77651266.034184828</c:v>
                </c:pt>
                <c:pt idx="86">
                  <c:v>83405918.021428466</c:v>
                </c:pt>
                <c:pt idx="87">
                  <c:v>75004611.684332997</c:v>
                </c:pt>
                <c:pt idx="88">
                  <c:v>77737783.312574968</c:v>
                </c:pt>
                <c:pt idx="89">
                  <c:v>80699110.639320776</c:v>
                </c:pt>
                <c:pt idx="90">
                  <c:v>85513520.832899213</c:v>
                </c:pt>
                <c:pt idx="91">
                  <c:v>84634591.159736171</c:v>
                </c:pt>
                <c:pt idx="92">
                  <c:v>80159889.023785233</c:v>
                </c:pt>
                <c:pt idx="93">
                  <c:v>79136189.684440017</c:v>
                </c:pt>
                <c:pt idx="94">
                  <c:v>79876896.52928701</c:v>
                </c:pt>
                <c:pt idx="95">
                  <c:v>79671277.663110197</c:v>
                </c:pt>
                <c:pt idx="96">
                  <c:v>88604857.855760068</c:v>
                </c:pt>
                <c:pt idx="97">
                  <c:v>82091277.202787995</c:v>
                </c:pt>
                <c:pt idx="98">
                  <c:v>83773753.494776964</c:v>
                </c:pt>
                <c:pt idx="99">
                  <c:v>80311723.685840592</c:v>
                </c:pt>
                <c:pt idx="100">
                  <c:v>83138765.607039005</c:v>
                </c:pt>
                <c:pt idx="101">
                  <c:v>84293886.770037785</c:v>
                </c:pt>
                <c:pt idx="102">
                  <c:v>91734225.177624896</c:v>
                </c:pt>
                <c:pt idx="103">
                  <c:v>89036143.308274195</c:v>
                </c:pt>
                <c:pt idx="104">
                  <c:v>84062543.541195795</c:v>
                </c:pt>
                <c:pt idx="105">
                  <c:v>81272329.053957373</c:v>
                </c:pt>
                <c:pt idx="106">
                  <c:v>79404705.497738227</c:v>
                </c:pt>
                <c:pt idx="107">
                  <c:v>83071857.898010999</c:v>
                </c:pt>
                <c:pt idx="108">
                  <c:v>89657491.447063297</c:v>
                </c:pt>
                <c:pt idx="109">
                  <c:v>82104224.158762336</c:v>
                </c:pt>
                <c:pt idx="110">
                  <c:v>85859682.616023034</c:v>
                </c:pt>
                <c:pt idx="111">
                  <c:v>80696944.293937355</c:v>
                </c:pt>
                <c:pt idx="112">
                  <c:v>80857386.408083797</c:v>
                </c:pt>
                <c:pt idx="113">
                  <c:v>85380153.1683373</c:v>
                </c:pt>
                <c:pt idx="114">
                  <c:v>93667096.541675851</c:v>
                </c:pt>
                <c:pt idx="115">
                  <c:v>89611952.025804102</c:v>
                </c:pt>
                <c:pt idx="116">
                  <c:v>83899048.660809964</c:v>
                </c:pt>
                <c:pt idx="117">
                  <c:v>82219504.638061821</c:v>
                </c:pt>
                <c:pt idx="118">
                  <c:v>82909087.556268379</c:v>
                </c:pt>
                <c:pt idx="119">
                  <c:v>88557544.387372404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ED-4A3B-BDD3-80BE0408E8AE}"/>
            </c:ext>
          </c:extLst>
        </c:ser>
        <c:ser>
          <c:idx val="1"/>
          <c:order val="1"/>
          <c:tx>
            <c:strRef>
              <c:f>'VRZ GS 50-2,999'!$S$1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GS 50-2,999'!$A$2:$A$121</c:f>
              <c:numCache>
                <c:formatCode>mmm\-yy</c:formatCode>
                <c:ptCount val="12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</c:numCache>
            </c:numRef>
          </c:cat>
          <c:val>
            <c:numRef>
              <c:f>'VRZ GS 50-2,999'!$U$2:$U$121</c:f>
              <c:numCache>
                <c:formatCode>_-* #,##0_-;\-* #,##0_-;_-* "-"??_-;_-@_-</c:formatCode>
                <c:ptCount val="120"/>
                <c:pt idx="0">
                  <c:v>80524727.469770998</c:v>
                </c:pt>
                <c:pt idx="1">
                  <c:v>76235769.948233321</c:v>
                </c:pt>
                <c:pt idx="2">
                  <c:v>78857144.283866435</c:v>
                </c:pt>
                <c:pt idx="3">
                  <c:v>75216907.747834459</c:v>
                </c:pt>
                <c:pt idx="4">
                  <c:v>76950918.247633174</c:v>
                </c:pt>
                <c:pt idx="5">
                  <c:v>77409809.247227818</c:v>
                </c:pt>
                <c:pt idx="6">
                  <c:v>84950535.206309557</c:v>
                </c:pt>
                <c:pt idx="7">
                  <c:v>85801496.205656707</c:v>
                </c:pt>
                <c:pt idx="8">
                  <c:v>78212415.422214389</c:v>
                </c:pt>
                <c:pt idx="9">
                  <c:v>75888526.792901278</c:v>
                </c:pt>
                <c:pt idx="10">
                  <c:v>74638209.384375885</c:v>
                </c:pt>
                <c:pt idx="11">
                  <c:v>79288893.535809487</c:v>
                </c:pt>
                <c:pt idx="12">
                  <c:v>79798291.516961277</c:v>
                </c:pt>
                <c:pt idx="13">
                  <c:v>73759642.89044629</c:v>
                </c:pt>
                <c:pt idx="14">
                  <c:v>81185120.980364725</c:v>
                </c:pt>
                <c:pt idx="15">
                  <c:v>74151480.779517248</c:v>
                </c:pt>
                <c:pt idx="16">
                  <c:v>75978044.518167347</c:v>
                </c:pt>
                <c:pt idx="17">
                  <c:v>76663446.217300862</c:v>
                </c:pt>
                <c:pt idx="18">
                  <c:v>82346231.103540301</c:v>
                </c:pt>
                <c:pt idx="19">
                  <c:v>80291502.867108271</c:v>
                </c:pt>
                <c:pt idx="20">
                  <c:v>78357219.284954116</c:v>
                </c:pt>
                <c:pt idx="21">
                  <c:v>76362177.432906881</c:v>
                </c:pt>
                <c:pt idx="22">
                  <c:v>76968896.427935585</c:v>
                </c:pt>
                <c:pt idx="23">
                  <c:v>82889185.491922557</c:v>
                </c:pt>
                <c:pt idx="24">
                  <c:v>83509195.046943605</c:v>
                </c:pt>
                <c:pt idx="25">
                  <c:v>75643815.825566843</c:v>
                </c:pt>
                <c:pt idx="26">
                  <c:v>81353519.13252078</c:v>
                </c:pt>
                <c:pt idx="27">
                  <c:v>77704043.778470889</c:v>
                </c:pt>
                <c:pt idx="28">
                  <c:v>79144415.176447928</c:v>
                </c:pt>
                <c:pt idx="29">
                  <c:v>78870776.841003135</c:v>
                </c:pt>
                <c:pt idx="30">
                  <c:v>87014581.347745553</c:v>
                </c:pt>
                <c:pt idx="31">
                  <c:v>86796580.001032665</c:v>
                </c:pt>
                <c:pt idx="32">
                  <c:v>80739468.851492405</c:v>
                </c:pt>
                <c:pt idx="33">
                  <c:v>77997894.432139024</c:v>
                </c:pt>
                <c:pt idx="34">
                  <c:v>79375187.126003876</c:v>
                </c:pt>
                <c:pt idx="35">
                  <c:v>80672969.247451097</c:v>
                </c:pt>
                <c:pt idx="36">
                  <c:v>84972617.693509489</c:v>
                </c:pt>
                <c:pt idx="37">
                  <c:v>77830616.044693306</c:v>
                </c:pt>
                <c:pt idx="38">
                  <c:v>83133682.855892926</c:v>
                </c:pt>
                <c:pt idx="39">
                  <c:v>76718915.639133319</c:v>
                </c:pt>
                <c:pt idx="40">
                  <c:v>76288652.163138896</c:v>
                </c:pt>
                <c:pt idx="41">
                  <c:v>78485477.74761346</c:v>
                </c:pt>
                <c:pt idx="42">
                  <c:v>87750401.865801975</c:v>
                </c:pt>
                <c:pt idx="43">
                  <c:v>83662889.116368189</c:v>
                </c:pt>
                <c:pt idx="44">
                  <c:v>78495590.029715434</c:v>
                </c:pt>
                <c:pt idx="45">
                  <c:v>76586395.365817085</c:v>
                </c:pt>
                <c:pt idx="46">
                  <c:v>80426682.113797039</c:v>
                </c:pt>
                <c:pt idx="47">
                  <c:v>81798707.759866074</c:v>
                </c:pt>
                <c:pt idx="48">
                  <c:v>81751120.507430017</c:v>
                </c:pt>
                <c:pt idx="49">
                  <c:v>78849585.857120559</c:v>
                </c:pt>
                <c:pt idx="50">
                  <c:v>77330160.601803511</c:v>
                </c:pt>
                <c:pt idx="51">
                  <c:v>67096265.860692114</c:v>
                </c:pt>
                <c:pt idx="52">
                  <c:v>69605622.30267033</c:v>
                </c:pt>
                <c:pt idx="53">
                  <c:v>74190721.062401175</c:v>
                </c:pt>
                <c:pt idx="54">
                  <c:v>86651501.78316468</c:v>
                </c:pt>
                <c:pt idx="55">
                  <c:v>81153386.615913942</c:v>
                </c:pt>
                <c:pt idx="56">
                  <c:v>73948783.396421105</c:v>
                </c:pt>
                <c:pt idx="57">
                  <c:v>73605318.04783909</c:v>
                </c:pt>
                <c:pt idx="58">
                  <c:v>73420228.859993339</c:v>
                </c:pt>
                <c:pt idx="59">
                  <c:v>77567568.009587675</c:v>
                </c:pt>
                <c:pt idx="60">
                  <c:v>79649467.711270079</c:v>
                </c:pt>
                <c:pt idx="61">
                  <c:v>75572601.029298902</c:v>
                </c:pt>
                <c:pt idx="62">
                  <c:v>77968153.559231073</c:v>
                </c:pt>
                <c:pt idx="63">
                  <c:v>73264764.347598016</c:v>
                </c:pt>
                <c:pt idx="64">
                  <c:v>75769078.241941944</c:v>
                </c:pt>
                <c:pt idx="65">
                  <c:v>78755493.470719665</c:v>
                </c:pt>
                <c:pt idx="66">
                  <c:v>81349521.7457636</c:v>
                </c:pt>
                <c:pt idx="67">
                  <c:v>85697326.096052811</c:v>
                </c:pt>
                <c:pt idx="68">
                  <c:v>76559066.117484689</c:v>
                </c:pt>
                <c:pt idx="69">
                  <c:v>76651205.648582354</c:v>
                </c:pt>
                <c:pt idx="70">
                  <c:v>76727402.904633865</c:v>
                </c:pt>
                <c:pt idx="71">
                  <c:v>78158517.664160296</c:v>
                </c:pt>
                <c:pt idx="72">
                  <c:v>86444313.068294302</c:v>
                </c:pt>
                <c:pt idx="73">
                  <c:v>78208334.125105083</c:v>
                </c:pt>
                <c:pt idx="74">
                  <c:v>82087367.435824275</c:v>
                </c:pt>
                <c:pt idx="75">
                  <c:v>76948336.570308208</c:v>
                </c:pt>
                <c:pt idx="76">
                  <c:v>79545126.618372276</c:v>
                </c:pt>
                <c:pt idx="77">
                  <c:v>79168094.770655766</c:v>
                </c:pt>
                <c:pt idx="78">
                  <c:v>85739500.341029629</c:v>
                </c:pt>
                <c:pt idx="79">
                  <c:v>86120319.476990998</c:v>
                </c:pt>
                <c:pt idx="80">
                  <c:v>79231445.901200533</c:v>
                </c:pt>
                <c:pt idx="81">
                  <c:v>77112417.79612124</c:v>
                </c:pt>
                <c:pt idx="82">
                  <c:v>78584629.571545467</c:v>
                </c:pt>
                <c:pt idx="83">
                  <c:v>81509076.909861088</c:v>
                </c:pt>
                <c:pt idx="84">
                  <c:v>83890341.035463125</c:v>
                </c:pt>
                <c:pt idx="85">
                  <c:v>79136985.415113837</c:v>
                </c:pt>
                <c:pt idx="86">
                  <c:v>84552327.051723078</c:v>
                </c:pt>
                <c:pt idx="87">
                  <c:v>79367350.332127288</c:v>
                </c:pt>
                <c:pt idx="88">
                  <c:v>80454869.995788768</c:v>
                </c:pt>
                <c:pt idx="89">
                  <c:v>82558540.563027009</c:v>
                </c:pt>
                <c:pt idx="90">
                  <c:v>88124278.571745813</c:v>
                </c:pt>
                <c:pt idx="91">
                  <c:v>84933761.025036067</c:v>
                </c:pt>
                <c:pt idx="92">
                  <c:v>82662006.736577526</c:v>
                </c:pt>
                <c:pt idx="93">
                  <c:v>80805923.169183701</c:v>
                </c:pt>
                <c:pt idx="94">
                  <c:v>81479271.391123131</c:v>
                </c:pt>
                <c:pt idx="95">
                  <c:v>81871909.464126781</c:v>
                </c:pt>
                <c:pt idx="96">
                  <c:v>85411751.575489655</c:v>
                </c:pt>
                <c:pt idx="97">
                  <c:v>80604096.609376967</c:v>
                </c:pt>
                <c:pt idx="98">
                  <c:v>83313792.360131711</c:v>
                </c:pt>
                <c:pt idx="99">
                  <c:v>78843564.090951517</c:v>
                </c:pt>
                <c:pt idx="100">
                  <c:v>82104193.430308133</c:v>
                </c:pt>
                <c:pt idx="101">
                  <c:v>83195543.684153795</c:v>
                </c:pt>
                <c:pt idx="102">
                  <c:v>89726319.404745981</c:v>
                </c:pt>
                <c:pt idx="103">
                  <c:v>87601998.902058572</c:v>
                </c:pt>
                <c:pt idx="104">
                  <c:v>83152065.440232992</c:v>
                </c:pt>
                <c:pt idx="105">
                  <c:v>80581293.941635087</c:v>
                </c:pt>
                <c:pt idx="106">
                  <c:v>80777216.674326763</c:v>
                </c:pt>
                <c:pt idx="107">
                  <c:v>84860476.613276348</c:v>
                </c:pt>
                <c:pt idx="108">
                  <c:v>88093939.57873629</c:v>
                </c:pt>
                <c:pt idx="109">
                  <c:v>82518398.837893486</c:v>
                </c:pt>
                <c:pt idx="110">
                  <c:v>85152853.222392172</c:v>
                </c:pt>
                <c:pt idx="111">
                  <c:v>80282095.628639117</c:v>
                </c:pt>
                <c:pt idx="112">
                  <c:v>80780695.851270571</c:v>
                </c:pt>
                <c:pt idx="113">
                  <c:v>84515489.189283729</c:v>
                </c:pt>
                <c:pt idx="114">
                  <c:v>92203196.537597358</c:v>
                </c:pt>
                <c:pt idx="115">
                  <c:v>88047837.185507119</c:v>
                </c:pt>
                <c:pt idx="116">
                  <c:v>82710026.198643923</c:v>
                </c:pt>
                <c:pt idx="117">
                  <c:v>81586988.657815248</c:v>
                </c:pt>
                <c:pt idx="118">
                  <c:v>82776604.509100959</c:v>
                </c:pt>
                <c:pt idx="119">
                  <c:v>87256950.368493617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ED-4A3B-BDD3-80BE0408E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  <c:min val="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VRZ General Service 3,000 to 4,999 kW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CA"/>
        </a:p>
      </c:txPr>
    </c:title>
    <c:autoTitleDeleted val="0"/>
    <c:plotArea>
      <c:layout>
        <c:manualLayout>
          <c:layoutTarget val="inner"/>
          <c:xMode val="edge"/>
          <c:yMode val="edge"/>
          <c:x val="0.12401616161616162"/>
          <c:y val="0.1287375"/>
          <c:w val="0.85359419191919195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'VRZ GS 3,000-4,999'!$D$1</c:f>
              <c:strCache>
                <c:ptCount val="1"/>
                <c:pt idx="0">
                  <c:v>VRZ_GS3000to4999kWh_No_CDM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GS 3,000-4,999'!$A$2:$A$121</c:f>
              <c:numCache>
                <c:formatCode>mmm\-yy</c:formatCode>
                <c:ptCount val="12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</c:numCache>
            </c:numRef>
          </c:cat>
          <c:val>
            <c:numRef>
              <c:f>'VRZ GS 3,000-4,999'!$D$2:$D$121</c:f>
              <c:numCache>
                <c:formatCode>_-* #,##0_-;\-* #,##0_-;_-* "-"??_-;_-@_-</c:formatCode>
                <c:ptCount val="120"/>
                <c:pt idx="0">
                  <c:v>6829428.2044891594</c:v>
                </c:pt>
                <c:pt idx="1">
                  <c:v>6211239.2463130364</c:v>
                </c:pt>
                <c:pt idx="2">
                  <c:v>6325936.2363030585</c:v>
                </c:pt>
                <c:pt idx="3">
                  <c:v>6487170.9253944736</c:v>
                </c:pt>
                <c:pt idx="4">
                  <c:v>5710450.4966641441</c:v>
                </c:pt>
                <c:pt idx="5">
                  <c:v>6354773.8654192556</c:v>
                </c:pt>
                <c:pt idx="6">
                  <c:v>6268114.5506925518</c:v>
                </c:pt>
                <c:pt idx="7">
                  <c:v>7327987.5983785894</c:v>
                </c:pt>
                <c:pt idx="8">
                  <c:v>6813308.6868683603</c:v>
                </c:pt>
                <c:pt idx="9">
                  <c:v>6578748.5419900892</c:v>
                </c:pt>
                <c:pt idx="10">
                  <c:v>7206991.8893405944</c:v>
                </c:pt>
                <c:pt idx="11">
                  <c:v>6750619.4589904584</c:v>
                </c:pt>
                <c:pt idx="12">
                  <c:v>7047740.8089479189</c:v>
                </c:pt>
                <c:pt idx="13">
                  <c:v>6769431.5207739519</c:v>
                </c:pt>
                <c:pt idx="14">
                  <c:v>8113433.1489484748</c:v>
                </c:pt>
                <c:pt idx="15">
                  <c:v>7348657.3850137768</c:v>
                </c:pt>
                <c:pt idx="16">
                  <c:v>7426695.7674017288</c:v>
                </c:pt>
                <c:pt idx="17">
                  <c:v>7317704.1833428452</c:v>
                </c:pt>
                <c:pt idx="18">
                  <c:v>6914141.1638255948</c:v>
                </c:pt>
                <c:pt idx="19">
                  <c:v>7671170.5890613236</c:v>
                </c:pt>
                <c:pt idx="20">
                  <c:v>7255986.4310504943</c:v>
                </c:pt>
                <c:pt idx="21">
                  <c:v>7777872.6671929294</c:v>
                </c:pt>
                <c:pt idx="22">
                  <c:v>7918329.3167720577</c:v>
                </c:pt>
                <c:pt idx="23">
                  <c:v>7111379.5970349759</c:v>
                </c:pt>
                <c:pt idx="24">
                  <c:v>7471425.6848545587</c:v>
                </c:pt>
                <c:pt idx="25">
                  <c:v>6999611.2214055425</c:v>
                </c:pt>
                <c:pt idx="26">
                  <c:v>7240342.3343381844</c:v>
                </c:pt>
                <c:pt idx="27">
                  <c:v>7058027.6587714627</c:v>
                </c:pt>
                <c:pt idx="28">
                  <c:v>6910567.7982766684</c:v>
                </c:pt>
                <c:pt idx="29">
                  <c:v>7022043.4636409506</c:v>
                </c:pt>
                <c:pt idx="30">
                  <c:v>6253376.2002382157</c:v>
                </c:pt>
                <c:pt idx="31">
                  <c:v>6443270.6823713668</c:v>
                </c:pt>
                <c:pt idx="32">
                  <c:v>5965220.0162149593</c:v>
                </c:pt>
                <c:pt idx="33">
                  <c:v>6699044.3645211207</c:v>
                </c:pt>
                <c:pt idx="34">
                  <c:v>7489442.5490724137</c:v>
                </c:pt>
                <c:pt idx="35">
                  <c:v>7293651.3414373519</c:v>
                </c:pt>
                <c:pt idx="36">
                  <c:v>7676817.8204247477</c:v>
                </c:pt>
                <c:pt idx="37">
                  <c:v>7639082.1224722965</c:v>
                </c:pt>
                <c:pt idx="38">
                  <c:v>8304092.2207325809</c:v>
                </c:pt>
                <c:pt idx="39">
                  <c:v>7864643.9037049636</c:v>
                </c:pt>
                <c:pt idx="40">
                  <c:v>8549530.6362357549</c:v>
                </c:pt>
                <c:pt idx="41">
                  <c:v>7934698.0776253538</c:v>
                </c:pt>
                <c:pt idx="42">
                  <c:v>7499230.9496138953</c:v>
                </c:pt>
                <c:pt idx="43">
                  <c:v>7456219.8457452906</c:v>
                </c:pt>
                <c:pt idx="44">
                  <c:v>7219206.1482556416</c:v>
                </c:pt>
                <c:pt idx="45">
                  <c:v>7638210.8567978488</c:v>
                </c:pt>
                <c:pt idx="46">
                  <c:v>7592392.9632343063</c:v>
                </c:pt>
                <c:pt idx="47">
                  <c:v>7075141.2986036194</c:v>
                </c:pt>
                <c:pt idx="48">
                  <c:v>7596592.6077267649</c:v>
                </c:pt>
                <c:pt idx="49">
                  <c:v>7748600.9521910278</c:v>
                </c:pt>
                <c:pt idx="50">
                  <c:v>8017638.7231661472</c:v>
                </c:pt>
                <c:pt idx="51">
                  <c:v>6836753.8399702618</c:v>
                </c:pt>
                <c:pt idx="52">
                  <c:v>7002828.4808593774</c:v>
                </c:pt>
                <c:pt idx="53">
                  <c:v>7389887.1454285411</c:v>
                </c:pt>
                <c:pt idx="54">
                  <c:v>7694004.3930514287</c:v>
                </c:pt>
                <c:pt idx="55">
                  <c:v>7442739.7131028725</c:v>
                </c:pt>
                <c:pt idx="56">
                  <c:v>7353874.5857787905</c:v>
                </c:pt>
                <c:pt idx="57">
                  <c:v>7594045.0170956114</c:v>
                </c:pt>
                <c:pt idx="58">
                  <c:v>7315833.2701564273</c:v>
                </c:pt>
                <c:pt idx="59">
                  <c:v>6947730.7541941404</c:v>
                </c:pt>
                <c:pt idx="60">
                  <c:v>7311941.7225813912</c:v>
                </c:pt>
                <c:pt idx="61">
                  <c:v>7711149.2788526928</c:v>
                </c:pt>
                <c:pt idx="62">
                  <c:v>8508524.2634860594</c:v>
                </c:pt>
                <c:pt idx="63">
                  <c:v>7846268.8053719243</c:v>
                </c:pt>
                <c:pt idx="64">
                  <c:v>8442233.3229606692</c:v>
                </c:pt>
                <c:pt idx="65">
                  <c:v>8305622.2013037819</c:v>
                </c:pt>
                <c:pt idx="66">
                  <c:v>7781154.4904996082</c:v>
                </c:pt>
                <c:pt idx="67">
                  <c:v>8155849.2618582631</c:v>
                </c:pt>
                <c:pt idx="68">
                  <c:v>8283106.6754321996</c:v>
                </c:pt>
                <c:pt idx="69">
                  <c:v>8050729.6063805036</c:v>
                </c:pt>
                <c:pt idx="70">
                  <c:v>8807569.4662500918</c:v>
                </c:pt>
                <c:pt idx="71">
                  <c:v>8319053.826486066</c:v>
                </c:pt>
                <c:pt idx="72">
                  <c:v>8222653.7198879085</c:v>
                </c:pt>
                <c:pt idx="73">
                  <c:v>8575796.2784495633</c:v>
                </c:pt>
                <c:pt idx="74">
                  <c:v>9725758.3248433731</c:v>
                </c:pt>
                <c:pt idx="75">
                  <c:v>9164713.8534385804</c:v>
                </c:pt>
                <c:pt idx="76">
                  <c:v>9417736.0641271975</c:v>
                </c:pt>
                <c:pt idx="77">
                  <c:v>9541247.7460642233</c:v>
                </c:pt>
                <c:pt idx="78">
                  <c:v>9222913.4543809798</c:v>
                </c:pt>
                <c:pt idx="79">
                  <c:v>9449912.4574642107</c:v>
                </c:pt>
                <c:pt idx="80">
                  <c:v>8795455.3689125944</c:v>
                </c:pt>
                <c:pt idx="81">
                  <c:v>8660567.4114497211</c:v>
                </c:pt>
                <c:pt idx="82">
                  <c:v>8725187.6976522412</c:v>
                </c:pt>
                <c:pt idx="83">
                  <c:v>8689551.6588904355</c:v>
                </c:pt>
                <c:pt idx="84">
                  <c:v>9730572.4603564199</c:v>
                </c:pt>
                <c:pt idx="85">
                  <c:v>8937520.6493412629</c:v>
                </c:pt>
                <c:pt idx="86">
                  <c:v>9847564.3202189635</c:v>
                </c:pt>
                <c:pt idx="87">
                  <c:v>8825224.5497761406</c:v>
                </c:pt>
                <c:pt idx="88">
                  <c:v>9305620.1142864563</c:v>
                </c:pt>
                <c:pt idx="89">
                  <c:v>9581822.6902511287</c:v>
                </c:pt>
                <c:pt idx="90">
                  <c:v>9483398.6319452897</c:v>
                </c:pt>
                <c:pt idx="91">
                  <c:v>9688849.4627597444</c:v>
                </c:pt>
                <c:pt idx="92">
                  <c:v>7708668.5781204598</c:v>
                </c:pt>
                <c:pt idx="93">
                  <c:v>8898189.889863601</c:v>
                </c:pt>
                <c:pt idx="94">
                  <c:v>8735405.0675483551</c:v>
                </c:pt>
                <c:pt idx="95">
                  <c:v>8636032.9684387874</c:v>
                </c:pt>
                <c:pt idx="96">
                  <c:v>8707446.7690066565</c:v>
                </c:pt>
                <c:pt idx="97">
                  <c:v>8091456.5691889916</c:v>
                </c:pt>
                <c:pt idx="98">
                  <c:v>8675091.4802510366</c:v>
                </c:pt>
                <c:pt idx="99">
                  <c:v>8496879.1160614304</c:v>
                </c:pt>
                <c:pt idx="100">
                  <c:v>8458557.5594617855</c:v>
                </c:pt>
                <c:pt idx="101">
                  <c:v>8220654.7810641509</c:v>
                </c:pt>
                <c:pt idx="102">
                  <c:v>8242119.5351590924</c:v>
                </c:pt>
                <c:pt idx="103">
                  <c:v>7635494.1488706814</c:v>
                </c:pt>
                <c:pt idx="104">
                  <c:v>7775850.9832618162</c:v>
                </c:pt>
                <c:pt idx="105">
                  <c:v>8251249.1516804881</c:v>
                </c:pt>
                <c:pt idx="106">
                  <c:v>8153792.7460700814</c:v>
                </c:pt>
                <c:pt idx="107">
                  <c:v>8227836.6297110915</c:v>
                </c:pt>
                <c:pt idx="108">
                  <c:v>8865819.8255055025</c:v>
                </c:pt>
                <c:pt idx="109">
                  <c:v>8358863.2756082509</c:v>
                </c:pt>
                <c:pt idx="110">
                  <c:v>8966750.9156141952</c:v>
                </c:pt>
                <c:pt idx="111">
                  <c:v>8457916.0730716418</c:v>
                </c:pt>
                <c:pt idx="112">
                  <c:v>8587848.0553198643</c:v>
                </c:pt>
                <c:pt idx="113">
                  <c:v>8477088.1385361124</c:v>
                </c:pt>
                <c:pt idx="114">
                  <c:v>8391815.2150802948</c:v>
                </c:pt>
                <c:pt idx="115">
                  <c:v>8110611.085253234</c:v>
                </c:pt>
                <c:pt idx="116">
                  <c:v>7755167.0406589247</c:v>
                </c:pt>
                <c:pt idx="117">
                  <c:v>8241202.7484654002</c:v>
                </c:pt>
                <c:pt idx="118">
                  <c:v>7765512.5219897991</c:v>
                </c:pt>
                <c:pt idx="119">
                  <c:v>8289304.4969103169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BE-43C7-9728-9137E985FB47}"/>
            </c:ext>
          </c:extLst>
        </c:ser>
        <c:ser>
          <c:idx val="1"/>
          <c:order val="1"/>
          <c:tx>
            <c:strRef>
              <c:f>'VRZ GS 3,000-4,999'!$K$1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GS 3,000-4,999'!$A$2:$A$121</c:f>
              <c:numCache>
                <c:formatCode>mmm\-yy</c:formatCode>
                <c:ptCount val="12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</c:numCache>
            </c:numRef>
          </c:cat>
          <c:val>
            <c:numRef>
              <c:f>'VRZ GS 3,000-4,999'!$M$2:$M$121</c:f>
              <c:numCache>
                <c:formatCode>_-* #,##0_-;\-* #,##0_-;_-* "-"??_-;_-@_-</c:formatCode>
                <c:ptCount val="120"/>
                <c:pt idx="0">
                  <c:v>6954139.7550422605</c:v>
                </c:pt>
                <c:pt idx="1">
                  <c:v>6954139.7550422605</c:v>
                </c:pt>
                <c:pt idx="2">
                  <c:v>7127369.4286079258</c:v>
                </c:pt>
                <c:pt idx="3">
                  <c:v>7098106.9617607761</c:v>
                </c:pt>
                <c:pt idx="4">
                  <c:v>7098106.9617607761</c:v>
                </c:pt>
                <c:pt idx="5">
                  <c:v>7271336.6353264395</c:v>
                </c:pt>
                <c:pt idx="6">
                  <c:v>6982126.9779915474</c:v>
                </c:pt>
                <c:pt idx="7">
                  <c:v>7328586.3251228761</c:v>
                </c:pt>
                <c:pt idx="8">
                  <c:v>7155356.6515572127</c:v>
                </c:pt>
                <c:pt idx="9">
                  <c:v>6967875.3973314594</c:v>
                </c:pt>
                <c:pt idx="10">
                  <c:v>7314334.7444627872</c:v>
                </c:pt>
                <c:pt idx="11">
                  <c:v>6967875.3973314594</c:v>
                </c:pt>
                <c:pt idx="12">
                  <c:v>7425572.2863618601</c:v>
                </c:pt>
                <c:pt idx="13">
                  <c:v>6905911.7519212784</c:v>
                </c:pt>
                <c:pt idx="14">
                  <c:v>7598858.9324403452</c:v>
                </c:pt>
                <c:pt idx="15">
                  <c:v>6983904.6224974003</c:v>
                </c:pt>
                <c:pt idx="16">
                  <c:v>7503622.1294508018</c:v>
                </c:pt>
                <c:pt idx="17">
                  <c:v>7503650.6157072121</c:v>
                </c:pt>
                <c:pt idx="18">
                  <c:v>7160461.4053512905</c:v>
                </c:pt>
                <c:pt idx="19">
                  <c:v>7506949.2387390286</c:v>
                </c:pt>
                <c:pt idx="20">
                  <c:v>7160518.3778641112</c:v>
                </c:pt>
                <c:pt idx="21">
                  <c:v>7397022.794208453</c:v>
                </c:pt>
                <c:pt idx="22">
                  <c:v>7570280.9540305268</c:v>
                </c:pt>
                <c:pt idx="23">
                  <c:v>7050620.4195899451</c:v>
                </c:pt>
                <c:pt idx="24">
                  <c:v>7650117.3200157378</c:v>
                </c:pt>
                <c:pt idx="25">
                  <c:v>7130500.0818315661</c:v>
                </c:pt>
                <c:pt idx="26">
                  <c:v>7477031.2114757141</c:v>
                </c:pt>
                <c:pt idx="27">
                  <c:v>7530556.1561501119</c:v>
                </c:pt>
                <c:pt idx="28">
                  <c:v>7703857.6122285957</c:v>
                </c:pt>
                <c:pt idx="29">
                  <c:v>7530699.7211757535</c:v>
                </c:pt>
                <c:pt idx="30">
                  <c:v>7621566.9222791828</c:v>
                </c:pt>
                <c:pt idx="31">
                  <c:v>7794868.3783576665</c:v>
                </c:pt>
                <c:pt idx="32">
                  <c:v>7275251.1401734948</c:v>
                </c:pt>
                <c:pt idx="33">
                  <c:v>7847676.5959591828</c:v>
                </c:pt>
                <c:pt idx="34">
                  <c:v>7847748.3784720041</c:v>
                </c:pt>
                <c:pt idx="35">
                  <c:v>7328131.1402878324</c:v>
                </c:pt>
                <c:pt idx="36">
                  <c:v>7855909.621672567</c:v>
                </c:pt>
                <c:pt idx="37">
                  <c:v>7336246.1017448064</c:v>
                </c:pt>
                <c:pt idx="38">
                  <c:v>7855960.623211029</c:v>
                </c:pt>
                <c:pt idx="39">
                  <c:v>7741028.2822665721</c:v>
                </c:pt>
                <c:pt idx="40">
                  <c:v>7567824.1094701393</c:v>
                </c:pt>
                <c:pt idx="41">
                  <c:v>7914308.9573706985</c:v>
                </c:pt>
                <c:pt idx="42">
                  <c:v>7952961.6931530666</c:v>
                </c:pt>
                <c:pt idx="43">
                  <c:v>7606527.8467909684</c:v>
                </c:pt>
                <c:pt idx="44">
                  <c:v>7779783.0211258642</c:v>
                </c:pt>
                <c:pt idx="45">
                  <c:v>7794089.3066139147</c:v>
                </c:pt>
                <c:pt idx="46">
                  <c:v>7794114.8073831452</c:v>
                </c:pt>
                <c:pt idx="47">
                  <c:v>7794140.3081523757</c:v>
                </c:pt>
                <c:pt idx="48">
                  <c:v>7861142.4073785534</c:v>
                </c:pt>
                <c:pt idx="49">
                  <c:v>7341483.6159764333</c:v>
                </c:pt>
                <c:pt idx="50">
                  <c:v>7861202.8659682972</c:v>
                </c:pt>
                <c:pt idx="51">
                  <c:v>6758000.1714505022</c:v>
                </c:pt>
                <c:pt idx="52">
                  <c:v>6584800.7271797108</c:v>
                </c:pt>
                <c:pt idx="53">
                  <c:v>6931290.3036059104</c:v>
                </c:pt>
                <c:pt idx="54">
                  <c:v>7637893.2644931627</c:v>
                </c:pt>
                <c:pt idx="55">
                  <c:v>7291464.1466567069</c:v>
                </c:pt>
                <c:pt idx="56">
                  <c:v>7464724.0495172422</c:v>
                </c:pt>
                <c:pt idx="57">
                  <c:v>7649898.2764721103</c:v>
                </c:pt>
                <c:pt idx="58">
                  <c:v>7649928.5057669822</c:v>
                </c:pt>
                <c:pt idx="59">
                  <c:v>7649958.7350618541</c:v>
                </c:pt>
                <c:pt idx="60">
                  <c:v>7600268.0324517218</c:v>
                </c:pt>
                <c:pt idx="61">
                  <c:v>7427101.544296314</c:v>
                </c:pt>
                <c:pt idx="62">
                  <c:v>8120083.423969226</c:v>
                </c:pt>
                <c:pt idx="63">
                  <c:v>7711297.6581152929</c:v>
                </c:pt>
                <c:pt idx="64">
                  <c:v>7538131.1699598841</c:v>
                </c:pt>
                <c:pt idx="65">
                  <c:v>7884653.7025014693</c:v>
                </c:pt>
                <c:pt idx="66">
                  <c:v>7881075.1833893768</c:v>
                </c:pt>
                <c:pt idx="67">
                  <c:v>7707908.695233969</c:v>
                </c:pt>
                <c:pt idx="68">
                  <c:v>7707971.8806442255</c:v>
                </c:pt>
                <c:pt idx="69">
                  <c:v>7896819.8363694455</c:v>
                </c:pt>
                <c:pt idx="70">
                  <c:v>8243342.3689110298</c:v>
                </c:pt>
                <c:pt idx="71">
                  <c:v>8070175.8807556229</c:v>
                </c:pt>
                <c:pt idx="72">
                  <c:v>7966734.2327318629</c:v>
                </c:pt>
                <c:pt idx="73">
                  <c:v>7793655.5967174806</c:v>
                </c:pt>
                <c:pt idx="74">
                  <c:v>8486725.328531418</c:v>
                </c:pt>
                <c:pt idx="75">
                  <c:v>8037364.6985131567</c:v>
                </c:pt>
                <c:pt idx="76">
                  <c:v>8210745.409630103</c:v>
                </c:pt>
                <c:pt idx="77">
                  <c:v>8384126.1207470484</c:v>
                </c:pt>
                <c:pt idx="78">
                  <c:v>8057910.2035730304</c:v>
                </c:pt>
                <c:pt idx="79">
                  <c:v>8404520.5882556401</c:v>
                </c:pt>
                <c:pt idx="80">
                  <c:v>8058212.2786755944</c:v>
                </c:pt>
                <c:pt idx="81">
                  <c:v>8059025.2748914147</c:v>
                </c:pt>
                <c:pt idx="82">
                  <c:v>8405635.6595740244</c:v>
                </c:pt>
                <c:pt idx="83">
                  <c:v>8059327.3499939786</c:v>
                </c:pt>
                <c:pt idx="84">
                  <c:v>8332302.5256731911</c:v>
                </c:pt>
                <c:pt idx="85">
                  <c:v>7986056.2312469911</c:v>
                </c:pt>
                <c:pt idx="86">
                  <c:v>8679187.9782147761</c:v>
                </c:pt>
                <c:pt idx="87">
                  <c:v>8047703.7784409234</c:v>
                </c:pt>
                <c:pt idx="88">
                  <c:v>8567605.8518430442</c:v>
                </c:pt>
                <c:pt idx="89">
                  <c:v>8567818.9045481719</c:v>
                </c:pt>
                <c:pt idx="90">
                  <c:v>8256413.0521864919</c:v>
                </c:pt>
                <c:pt idx="91">
                  <c:v>8603085.4520229474</c:v>
                </c:pt>
                <c:pt idx="92">
                  <c:v>8256839.1575967483</c:v>
                </c:pt>
                <c:pt idx="93">
                  <c:v>8462318.7362940125</c:v>
                </c:pt>
                <c:pt idx="94">
                  <c:v>8635761.4625648037</c:v>
                </c:pt>
                <c:pt idx="95">
                  <c:v>8116285.4945729394</c:v>
                </c:pt>
                <c:pt idx="96">
                  <c:v>8690469.6302072853</c:v>
                </c:pt>
                <c:pt idx="97">
                  <c:v>8344294.0407169834</c:v>
                </c:pt>
                <c:pt idx="98">
                  <c:v>8344577.7983580083</c:v>
                </c:pt>
                <c:pt idx="99">
                  <c:v>8719853.2685092688</c:v>
                </c:pt>
                <c:pt idx="100">
                  <c:v>8720137.0261502936</c:v>
                </c:pt>
                <c:pt idx="101">
                  <c:v>8373961.4366599927</c:v>
                </c:pt>
                <c:pt idx="102">
                  <c:v>8733807.4291157331</c:v>
                </c:pt>
                <c:pt idx="103">
                  <c:v>8560861.5131910965</c:v>
                </c:pt>
                <c:pt idx="104">
                  <c:v>8387915.597266457</c:v>
                </c:pt>
                <c:pt idx="105">
                  <c:v>8765050.3924901765</c:v>
                </c:pt>
                <c:pt idx="106">
                  <c:v>8592104.476565538</c:v>
                </c:pt>
                <c:pt idx="107">
                  <c:v>8419158.5606408976</c:v>
                </c:pt>
                <c:pt idx="108">
                  <c:v>8811737.5412143562</c:v>
                </c:pt>
                <c:pt idx="109">
                  <c:v>8292413.6768763382</c:v>
                </c:pt>
                <c:pt idx="110">
                  <c:v>8639238.1803666409</c:v>
                </c:pt>
                <c:pt idx="111">
                  <c:v>8608277.1163948998</c:v>
                </c:pt>
                <c:pt idx="112">
                  <c:v>8608642.2727538757</c:v>
                </c:pt>
                <c:pt idx="113">
                  <c:v>8609007.4291128498</c:v>
                </c:pt>
                <c:pt idx="114">
                  <c:v>8827381.815756347</c:v>
                </c:pt>
                <c:pt idx="115">
                  <c:v>8654517.2985496577</c:v>
                </c:pt>
                <c:pt idx="116">
                  <c:v>8654882.4549086317</c:v>
                </c:pt>
                <c:pt idx="117">
                  <c:v>8882588.6383358091</c:v>
                </c:pt>
                <c:pt idx="118">
                  <c:v>8536494.4475634582</c:v>
                </c:pt>
                <c:pt idx="119">
                  <c:v>8710089.2774880957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BE-43C7-9728-9137E985F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VRZ Large Use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CA"/>
        </a:p>
      </c:txPr>
    </c:title>
    <c:autoTitleDeleted val="0"/>
    <c:plotArea>
      <c:layout>
        <c:manualLayout>
          <c:layoutTarget val="inner"/>
          <c:xMode val="edge"/>
          <c:yMode val="edge"/>
          <c:x val="0.13037045454545454"/>
          <c:y val="0.11815416666666667"/>
          <c:w val="0.85359419191919195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'VRZ Large Use'!$D$1</c:f>
              <c:strCache>
                <c:ptCount val="1"/>
                <c:pt idx="0">
                  <c:v>VRZ_LargeUsekWh_No_CDM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Large Use'!$A$2:$A$121</c:f>
              <c:numCache>
                <c:formatCode>mmm\-yy</c:formatCode>
                <c:ptCount val="12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</c:numCache>
            </c:numRef>
          </c:cat>
          <c:val>
            <c:numRef>
              <c:f>'VRZ Large Use'!$D$2:$D$121</c:f>
              <c:numCache>
                <c:formatCode>_-* #,##0_-;\-* #,##0_-;_-* "-"??_-;_-@_-</c:formatCode>
                <c:ptCount val="120"/>
                <c:pt idx="0">
                  <c:v>17864052.490613706</c:v>
                </c:pt>
                <c:pt idx="1">
                  <c:v>18903195.738566063</c:v>
                </c:pt>
                <c:pt idx="2">
                  <c:v>19497740.562806401</c:v>
                </c:pt>
                <c:pt idx="3">
                  <c:v>19439681.389309034</c:v>
                </c:pt>
                <c:pt idx="4">
                  <c:v>18414999.330826461</c:v>
                </c:pt>
                <c:pt idx="5">
                  <c:v>16316229.452765189</c:v>
                </c:pt>
                <c:pt idx="6">
                  <c:v>18134539.214080028</c:v>
                </c:pt>
                <c:pt idx="7">
                  <c:v>19491540.796973322</c:v>
                </c:pt>
                <c:pt idx="8">
                  <c:v>17994099.467884108</c:v>
                </c:pt>
                <c:pt idx="9">
                  <c:v>18123722.930889193</c:v>
                </c:pt>
                <c:pt idx="10">
                  <c:v>18466480.125477254</c:v>
                </c:pt>
                <c:pt idx="11">
                  <c:v>18772356.144670393</c:v>
                </c:pt>
                <c:pt idx="12">
                  <c:v>18867835.198601972</c:v>
                </c:pt>
                <c:pt idx="13">
                  <c:v>17298663.511402015</c:v>
                </c:pt>
                <c:pt idx="14">
                  <c:v>20471192.422566071</c:v>
                </c:pt>
                <c:pt idx="15">
                  <c:v>17581793.730776858</c:v>
                </c:pt>
                <c:pt idx="16">
                  <c:v>21839661.826738212</c:v>
                </c:pt>
                <c:pt idx="17">
                  <c:v>19976393.698196478</c:v>
                </c:pt>
                <c:pt idx="18">
                  <c:v>18586436.138722062</c:v>
                </c:pt>
                <c:pt idx="19">
                  <c:v>18855423.642073181</c:v>
                </c:pt>
                <c:pt idx="20">
                  <c:v>17895401.745719053</c:v>
                </c:pt>
                <c:pt idx="21">
                  <c:v>19118533.461100705</c:v>
                </c:pt>
                <c:pt idx="22">
                  <c:v>21382229.087633248</c:v>
                </c:pt>
                <c:pt idx="23">
                  <c:v>20274762.624763876</c:v>
                </c:pt>
                <c:pt idx="24">
                  <c:v>22549544.756564576</c:v>
                </c:pt>
                <c:pt idx="25">
                  <c:v>20756840.14507037</c:v>
                </c:pt>
                <c:pt idx="26">
                  <c:v>23787063.783911549</c:v>
                </c:pt>
                <c:pt idx="27">
                  <c:v>22899290.21702826</c:v>
                </c:pt>
                <c:pt idx="28">
                  <c:v>22458260.548706152</c:v>
                </c:pt>
                <c:pt idx="29">
                  <c:v>19919954.16441917</c:v>
                </c:pt>
                <c:pt idx="30">
                  <c:v>20896865.447711267</c:v>
                </c:pt>
                <c:pt idx="31">
                  <c:v>21873671.96954979</c:v>
                </c:pt>
                <c:pt idx="32">
                  <c:v>21241416.513205495</c:v>
                </c:pt>
                <c:pt idx="33">
                  <c:v>23752933.684608001</c:v>
                </c:pt>
                <c:pt idx="34">
                  <c:v>22198124.241722956</c:v>
                </c:pt>
                <c:pt idx="35">
                  <c:v>22380991.281551104</c:v>
                </c:pt>
                <c:pt idx="36">
                  <c:v>23102214.374920584</c:v>
                </c:pt>
                <c:pt idx="37">
                  <c:v>21315753.793941069</c:v>
                </c:pt>
                <c:pt idx="38">
                  <c:v>22284080.158749774</c:v>
                </c:pt>
                <c:pt idx="39">
                  <c:v>22534922.417074468</c:v>
                </c:pt>
                <c:pt idx="40">
                  <c:v>23423953.516985402</c:v>
                </c:pt>
                <c:pt idx="41">
                  <c:v>24112197.633311499</c:v>
                </c:pt>
                <c:pt idx="42">
                  <c:v>24159197.130645622</c:v>
                </c:pt>
                <c:pt idx="43">
                  <c:v>20560969.589388464</c:v>
                </c:pt>
                <c:pt idx="44">
                  <c:v>22666422.479033254</c:v>
                </c:pt>
                <c:pt idx="45">
                  <c:v>24902468.71280143</c:v>
                </c:pt>
                <c:pt idx="46">
                  <c:v>23543510.459450614</c:v>
                </c:pt>
                <c:pt idx="47">
                  <c:v>23918338.166187197</c:v>
                </c:pt>
                <c:pt idx="48">
                  <c:v>24698084.943008494</c:v>
                </c:pt>
                <c:pt idx="49">
                  <c:v>22856300.672675312</c:v>
                </c:pt>
                <c:pt idx="50">
                  <c:v>24723944.506790649</c:v>
                </c:pt>
                <c:pt idx="51">
                  <c:v>20883726.349137239</c:v>
                </c:pt>
                <c:pt idx="52">
                  <c:v>22175174.890061915</c:v>
                </c:pt>
                <c:pt idx="53">
                  <c:v>24128951.853554606</c:v>
                </c:pt>
                <c:pt idx="54">
                  <c:v>24825722.509709779</c:v>
                </c:pt>
                <c:pt idx="55">
                  <c:v>22517423.441537522</c:v>
                </c:pt>
                <c:pt idx="56">
                  <c:v>23104655.938898016</c:v>
                </c:pt>
                <c:pt idx="57">
                  <c:v>24111573.215971805</c:v>
                </c:pt>
                <c:pt idx="58">
                  <c:v>23937218.623693932</c:v>
                </c:pt>
                <c:pt idx="59">
                  <c:v>23963891.936554126</c:v>
                </c:pt>
                <c:pt idx="60">
                  <c:v>26189938.431877881</c:v>
                </c:pt>
                <c:pt idx="61">
                  <c:v>24141908.835624848</c:v>
                </c:pt>
                <c:pt idx="62">
                  <c:v>26234461.586210579</c:v>
                </c:pt>
                <c:pt idx="63">
                  <c:v>24262627.358479142</c:v>
                </c:pt>
                <c:pt idx="64">
                  <c:v>27208862.188208409</c:v>
                </c:pt>
                <c:pt idx="65">
                  <c:v>26492589.334294867</c:v>
                </c:pt>
                <c:pt idx="66">
                  <c:v>26773869.976003654</c:v>
                </c:pt>
                <c:pt idx="67">
                  <c:v>23634495.910954766</c:v>
                </c:pt>
                <c:pt idx="68">
                  <c:v>24565533.412133057</c:v>
                </c:pt>
                <c:pt idx="69">
                  <c:v>24983050.912364129</c:v>
                </c:pt>
                <c:pt idx="70">
                  <c:v>24894524.973444503</c:v>
                </c:pt>
                <c:pt idx="71">
                  <c:v>24087532.811756127</c:v>
                </c:pt>
                <c:pt idx="72">
                  <c:v>25714750.850941792</c:v>
                </c:pt>
                <c:pt idx="73">
                  <c:v>24633344.4596388</c:v>
                </c:pt>
                <c:pt idx="74">
                  <c:v>27835611.741129071</c:v>
                </c:pt>
                <c:pt idx="75">
                  <c:v>26219154.21886107</c:v>
                </c:pt>
                <c:pt idx="76">
                  <c:v>27190067.63039704</c:v>
                </c:pt>
                <c:pt idx="77">
                  <c:v>26845969.559002332</c:v>
                </c:pt>
                <c:pt idx="78">
                  <c:v>26578206.888927151</c:v>
                </c:pt>
                <c:pt idx="79">
                  <c:v>20993520.046876647</c:v>
                </c:pt>
                <c:pt idx="80">
                  <c:v>25449598.868150312</c:v>
                </c:pt>
                <c:pt idx="81">
                  <c:v>25929089.388716023</c:v>
                </c:pt>
                <c:pt idx="82">
                  <c:v>25110158.162168786</c:v>
                </c:pt>
                <c:pt idx="83">
                  <c:v>25555432.132288653</c:v>
                </c:pt>
                <c:pt idx="84">
                  <c:v>26662521.527001314</c:v>
                </c:pt>
                <c:pt idx="85">
                  <c:v>24798406.9429878</c:v>
                </c:pt>
                <c:pt idx="86">
                  <c:v>27926512.923752379</c:v>
                </c:pt>
                <c:pt idx="87">
                  <c:v>26103228.316903759</c:v>
                </c:pt>
                <c:pt idx="88">
                  <c:v>25031148.66160468</c:v>
                </c:pt>
                <c:pt idx="89">
                  <c:v>26944484.766983312</c:v>
                </c:pt>
                <c:pt idx="90">
                  <c:v>25371368.634494543</c:v>
                </c:pt>
                <c:pt idx="91">
                  <c:v>27448956.79707963</c:v>
                </c:pt>
                <c:pt idx="92">
                  <c:v>28072962.413866222</c:v>
                </c:pt>
                <c:pt idx="93">
                  <c:v>29837767.631071053</c:v>
                </c:pt>
                <c:pt idx="94">
                  <c:v>28237094.767794933</c:v>
                </c:pt>
                <c:pt idx="95">
                  <c:v>27574553.180735718</c:v>
                </c:pt>
                <c:pt idx="96">
                  <c:v>28487457.895537898</c:v>
                </c:pt>
                <c:pt idx="97">
                  <c:v>28602328.805234969</c:v>
                </c:pt>
                <c:pt idx="98">
                  <c:v>29363092.588848915</c:v>
                </c:pt>
                <c:pt idx="99">
                  <c:v>24355003.501614686</c:v>
                </c:pt>
                <c:pt idx="100">
                  <c:v>29075946.28509783</c:v>
                </c:pt>
                <c:pt idx="101">
                  <c:v>28951172.626360152</c:v>
                </c:pt>
                <c:pt idx="102">
                  <c:v>30087644.082628775</c:v>
                </c:pt>
                <c:pt idx="103">
                  <c:v>29302430.072760686</c:v>
                </c:pt>
                <c:pt idx="104">
                  <c:v>29339226.816615965</c:v>
                </c:pt>
                <c:pt idx="105">
                  <c:v>29094842.562664524</c:v>
                </c:pt>
                <c:pt idx="106">
                  <c:v>28865745.64565761</c:v>
                </c:pt>
                <c:pt idx="107">
                  <c:v>28392937.062120438</c:v>
                </c:pt>
                <c:pt idx="108">
                  <c:v>28350275.697790779</c:v>
                </c:pt>
                <c:pt idx="109">
                  <c:v>27236939.524469193</c:v>
                </c:pt>
                <c:pt idx="110">
                  <c:v>29418694.335992847</c:v>
                </c:pt>
                <c:pt idx="111">
                  <c:v>25520852.259343944</c:v>
                </c:pt>
                <c:pt idx="112">
                  <c:v>29794028.892617255</c:v>
                </c:pt>
                <c:pt idx="113">
                  <c:v>30614865.305405341</c:v>
                </c:pt>
                <c:pt idx="114">
                  <c:v>31727218.177868605</c:v>
                </c:pt>
                <c:pt idx="115">
                  <c:v>30575986.092831805</c:v>
                </c:pt>
                <c:pt idx="116">
                  <c:v>29232613.696968108</c:v>
                </c:pt>
                <c:pt idx="117">
                  <c:v>28773558.578480989</c:v>
                </c:pt>
                <c:pt idx="118">
                  <c:v>28636957.327388141</c:v>
                </c:pt>
                <c:pt idx="119">
                  <c:v>29219345.500602182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4-4442-BA07-A4897466B059}"/>
            </c:ext>
          </c:extLst>
        </c:ser>
        <c:ser>
          <c:idx val="1"/>
          <c:order val="1"/>
          <c:tx>
            <c:strRef>
              <c:f>'VRZ Large Use'!$O$1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Large Use'!$A$2:$A$121</c:f>
              <c:numCache>
                <c:formatCode>mmm\-yy</c:formatCode>
                <c:ptCount val="12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</c:numCache>
            </c:numRef>
          </c:cat>
          <c:val>
            <c:numRef>
              <c:f>'VRZ Large Use'!$Q$2:$Q$121</c:f>
              <c:numCache>
                <c:formatCode>_-* #,##0_-;\-* #,##0_-;_-* "-"??_-;_-@_-</c:formatCode>
                <c:ptCount val="120"/>
                <c:pt idx="0">
                  <c:v>18570606.43333197</c:v>
                </c:pt>
                <c:pt idx="1">
                  <c:v>18570606.43333197</c:v>
                </c:pt>
                <c:pt idx="2">
                  <c:v>18962478.231524251</c:v>
                </c:pt>
                <c:pt idx="3">
                  <c:v>18775685.325241283</c:v>
                </c:pt>
                <c:pt idx="4">
                  <c:v>18775685.325241283</c:v>
                </c:pt>
                <c:pt idx="5">
                  <c:v>19167557.123433568</c:v>
                </c:pt>
                <c:pt idx="6">
                  <c:v>18749258.996726353</c:v>
                </c:pt>
                <c:pt idx="7">
                  <c:v>19533002.593110919</c:v>
                </c:pt>
                <c:pt idx="8">
                  <c:v>19141130.794918634</c:v>
                </c:pt>
                <c:pt idx="9">
                  <c:v>18658286.004444826</c:v>
                </c:pt>
                <c:pt idx="10">
                  <c:v>19442029.600829393</c:v>
                </c:pt>
                <c:pt idx="11">
                  <c:v>18658286.004444826</c:v>
                </c:pt>
                <c:pt idx="12">
                  <c:v>20151917.212731116</c:v>
                </c:pt>
                <c:pt idx="13">
                  <c:v>18976301.818154264</c:v>
                </c:pt>
                <c:pt idx="14">
                  <c:v>20543789.010923401</c:v>
                </c:pt>
                <c:pt idx="15">
                  <c:v>19473794.834688332</c:v>
                </c:pt>
                <c:pt idx="16">
                  <c:v>20649410.229265183</c:v>
                </c:pt>
                <c:pt idx="17">
                  <c:v>20649410.229265183</c:v>
                </c:pt>
                <c:pt idx="18">
                  <c:v>19886359.26022334</c:v>
                </c:pt>
                <c:pt idx="19">
                  <c:v>20670102.856607907</c:v>
                </c:pt>
                <c:pt idx="20">
                  <c:v>19886359.26022334</c:v>
                </c:pt>
                <c:pt idx="21">
                  <c:v>20681954.781675912</c:v>
                </c:pt>
                <c:pt idx="22">
                  <c:v>21073826.579868197</c:v>
                </c:pt>
                <c:pt idx="23">
                  <c:v>19898211.185291346</c:v>
                </c:pt>
                <c:pt idx="24">
                  <c:v>21582629.080415405</c:v>
                </c:pt>
                <c:pt idx="25">
                  <c:v>20407013.685838554</c:v>
                </c:pt>
                <c:pt idx="26">
                  <c:v>21190757.28222312</c:v>
                </c:pt>
                <c:pt idx="27">
                  <c:v>21531968.143300876</c:v>
                </c:pt>
                <c:pt idx="28">
                  <c:v>21923839.941493161</c:v>
                </c:pt>
                <c:pt idx="29">
                  <c:v>21531968.143300876</c:v>
                </c:pt>
                <c:pt idx="30">
                  <c:v>22111548.128963292</c:v>
                </c:pt>
                <c:pt idx="31">
                  <c:v>22503419.927155577</c:v>
                </c:pt>
                <c:pt idx="32">
                  <c:v>21327804.532578725</c:v>
                </c:pt>
                <c:pt idx="33">
                  <c:v>22839597.446447268</c:v>
                </c:pt>
                <c:pt idx="34">
                  <c:v>22839597.446447268</c:v>
                </c:pt>
                <c:pt idx="35">
                  <c:v>21663982.051870417</c:v>
                </c:pt>
                <c:pt idx="36">
                  <c:v>22890614.4045505</c:v>
                </c:pt>
                <c:pt idx="37">
                  <c:v>21714999.009973649</c:v>
                </c:pt>
                <c:pt idx="38">
                  <c:v>22890614.4045505</c:v>
                </c:pt>
                <c:pt idx="39">
                  <c:v>22870712.778350838</c:v>
                </c:pt>
                <c:pt idx="40">
                  <c:v>22478840.980158556</c:v>
                </c:pt>
                <c:pt idx="41">
                  <c:v>23262584.576543123</c:v>
                </c:pt>
                <c:pt idx="42">
                  <c:v>23509156.184038401</c:v>
                </c:pt>
                <c:pt idx="43">
                  <c:v>22725412.587653834</c:v>
                </c:pt>
                <c:pt idx="44">
                  <c:v>23117284.385846116</c:v>
                </c:pt>
                <c:pt idx="45">
                  <c:v>23208443.798193783</c:v>
                </c:pt>
                <c:pt idx="46">
                  <c:v>23208443.798193783</c:v>
                </c:pt>
                <c:pt idx="47">
                  <c:v>23208443.798193783</c:v>
                </c:pt>
                <c:pt idx="48">
                  <c:v>22921870.835641764</c:v>
                </c:pt>
                <c:pt idx="49">
                  <c:v>21746255.441064913</c:v>
                </c:pt>
                <c:pt idx="50">
                  <c:v>24821508.76416222</c:v>
                </c:pt>
                <c:pt idx="51">
                  <c:v>20392727.88792254</c:v>
                </c:pt>
                <c:pt idx="52">
                  <c:v>20000856.089730255</c:v>
                </c:pt>
                <c:pt idx="53">
                  <c:v>18884961.757594369</c:v>
                </c:pt>
                <c:pt idx="54">
                  <c:v>23395270.97806555</c:v>
                </c:pt>
                <c:pt idx="55">
                  <c:v>22611527.381680984</c:v>
                </c:pt>
                <c:pt idx="56">
                  <c:v>23003399.179873265</c:v>
                </c:pt>
                <c:pt idx="57">
                  <c:v>24185240.259246416</c:v>
                </c:pt>
                <c:pt idx="58">
                  <c:v>24185240.259246416</c:v>
                </c:pt>
                <c:pt idx="59">
                  <c:v>24185240.259246416</c:v>
                </c:pt>
                <c:pt idx="60">
                  <c:v>24581366.080672983</c:v>
                </c:pt>
                <c:pt idx="61">
                  <c:v>24189494.282480698</c:v>
                </c:pt>
                <c:pt idx="62">
                  <c:v>25756981.475249834</c:v>
                </c:pt>
                <c:pt idx="63">
                  <c:v>24574982.477545395</c:v>
                </c:pt>
                <c:pt idx="64">
                  <c:v>24183110.679353114</c:v>
                </c:pt>
                <c:pt idx="65">
                  <c:v>24966854.27573768</c:v>
                </c:pt>
                <c:pt idx="66">
                  <c:v>25657523.801682293</c:v>
                </c:pt>
                <c:pt idx="67">
                  <c:v>25265652.003490012</c:v>
                </c:pt>
                <c:pt idx="68">
                  <c:v>25265652.003490012</c:v>
                </c:pt>
                <c:pt idx="69">
                  <c:v>26470733.451109942</c:v>
                </c:pt>
                <c:pt idx="70">
                  <c:v>27254477.047494508</c:v>
                </c:pt>
                <c:pt idx="71">
                  <c:v>26862605.249302223</c:v>
                </c:pt>
                <c:pt idx="72">
                  <c:v>25965042.685981102</c:v>
                </c:pt>
                <c:pt idx="73">
                  <c:v>25573184.349327281</c:v>
                </c:pt>
                <c:pt idx="74">
                  <c:v>27140685.003634878</c:v>
                </c:pt>
                <c:pt idx="75">
                  <c:v>26413050.489556532</c:v>
                </c:pt>
                <c:pt idx="76">
                  <c:v>26804935.749287274</c:v>
                </c:pt>
                <c:pt idx="77">
                  <c:v>27196821.009018019</c:v>
                </c:pt>
                <c:pt idx="78">
                  <c:v>26541347.879683573</c:v>
                </c:pt>
                <c:pt idx="79">
                  <c:v>27325104.937606599</c:v>
                </c:pt>
                <c:pt idx="80">
                  <c:v>26541374.802760493</c:v>
                </c:pt>
                <c:pt idx="81">
                  <c:v>26545613.785798375</c:v>
                </c:pt>
                <c:pt idx="82">
                  <c:v>27329370.843721401</c:v>
                </c:pt>
                <c:pt idx="83">
                  <c:v>26545640.708875299</c:v>
                </c:pt>
                <c:pt idx="84">
                  <c:v>26622134.874071896</c:v>
                </c:pt>
                <c:pt idx="85">
                  <c:v>25838431.662302714</c:v>
                </c:pt>
                <c:pt idx="86">
                  <c:v>27405959.239687234</c:v>
                </c:pt>
                <c:pt idx="87">
                  <c:v>26229311.030207328</c:v>
                </c:pt>
                <c:pt idx="88">
                  <c:v>27404966.809399564</c:v>
                </c:pt>
                <c:pt idx="89">
                  <c:v>27405007.194014948</c:v>
                </c:pt>
                <c:pt idx="90">
                  <c:v>26843703.121163502</c:v>
                </c:pt>
                <c:pt idx="91">
                  <c:v>27627487.102163453</c:v>
                </c:pt>
                <c:pt idx="92">
                  <c:v>26843783.89039427</c:v>
                </c:pt>
                <c:pt idx="93">
                  <c:v>27440198.885769218</c:v>
                </c:pt>
                <c:pt idx="94">
                  <c:v>27832111.068576887</c:v>
                </c:pt>
                <c:pt idx="95">
                  <c:v>26656536.05861542</c:v>
                </c:pt>
                <c:pt idx="96">
                  <c:v>28176972.924735613</c:v>
                </c:pt>
                <c:pt idx="97">
                  <c:v>27393319.712966431</c:v>
                </c:pt>
                <c:pt idx="98">
                  <c:v>27393410.097581815</c:v>
                </c:pt>
                <c:pt idx="99">
                  <c:v>28359376.48321097</c:v>
                </c:pt>
                <c:pt idx="100">
                  <c:v>28359466.867826354</c:v>
                </c:pt>
                <c:pt idx="101">
                  <c:v>27575813.656057172</c:v>
                </c:pt>
                <c:pt idx="102">
                  <c:v>28443288.106736716</c:v>
                </c:pt>
                <c:pt idx="103">
                  <c:v>28051506.693159815</c:v>
                </c:pt>
                <c:pt idx="104">
                  <c:v>27659725.279582918</c:v>
                </c:pt>
                <c:pt idx="105">
                  <c:v>28637560.409423664</c:v>
                </c:pt>
                <c:pt idx="106">
                  <c:v>28245778.995846763</c:v>
                </c:pt>
                <c:pt idx="107">
                  <c:v>27853997.582269866</c:v>
                </c:pt>
                <c:pt idx="108">
                  <c:v>28928202.029343318</c:v>
                </c:pt>
                <c:pt idx="109">
                  <c:v>27752701.057843391</c:v>
                </c:pt>
                <c:pt idx="110">
                  <c:v>28536559.077304877</c:v>
                </c:pt>
                <c:pt idx="111">
                  <c:v>28336706.909424189</c:v>
                </c:pt>
                <c:pt idx="112">
                  <c:v>28336821.332501113</c:v>
                </c:pt>
                <c:pt idx="113">
                  <c:v>28336935.755578037</c:v>
                </c:pt>
                <c:pt idx="114">
                  <c:v>29014766.078278262</c:v>
                </c:pt>
                <c:pt idx="115">
                  <c:v>28623008.703162901</c:v>
                </c:pt>
                <c:pt idx="116">
                  <c:v>28623123.126239825</c:v>
                </c:pt>
                <c:pt idx="117">
                  <c:v>29360521.68189767</c:v>
                </c:pt>
                <c:pt idx="118">
                  <c:v>28576892.508590024</c:v>
                </c:pt>
                <c:pt idx="119">
                  <c:v>28968878.729859229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4-4442-BA07-A4897466B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WRZ Residential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3055555555558"/>
          <c:y val="0.12029722222222224"/>
          <c:w val="0.84641287878787874"/>
          <c:h val="0.65958833333333333"/>
        </c:manualLayout>
      </c:layout>
      <c:lineChart>
        <c:grouping val="standard"/>
        <c:varyColors val="0"/>
        <c:ser>
          <c:idx val="0"/>
          <c:order val="0"/>
          <c:tx>
            <c:strRef>
              <c:f>'WRZ Residential'!$D$1</c:f>
              <c:strCache>
                <c:ptCount val="1"/>
                <c:pt idx="0">
                  <c:v>WRZ_ResidentialkWh_No_CDM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'WRZ Residential'!$A$2:$A$121</c:f>
              <c:numCache>
                <c:formatCode>mmm\-yy</c:formatCode>
                <c:ptCount val="12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</c:numCache>
            </c:numRef>
          </c:cat>
          <c:val>
            <c:numRef>
              <c:f>'WRZ Residential'!$D$2:$D$121</c:f>
              <c:numCache>
                <c:formatCode>_-* #,##0_-;\-* #,##0_-;_-* "-"??_-;_-@_-</c:formatCode>
                <c:ptCount val="120"/>
                <c:pt idx="0">
                  <c:v>29960911.944665615</c:v>
                </c:pt>
                <c:pt idx="1">
                  <c:v>26909411.130641416</c:v>
                </c:pt>
                <c:pt idx="2">
                  <c:v>26314086.65198138</c:v>
                </c:pt>
                <c:pt idx="3">
                  <c:v>23886895.211393088</c:v>
                </c:pt>
                <c:pt idx="4">
                  <c:v>26353067.108886197</c:v>
                </c:pt>
                <c:pt idx="5">
                  <c:v>32102680.887218602</c:v>
                </c:pt>
                <c:pt idx="6">
                  <c:v>41813657.982731514</c:v>
                </c:pt>
                <c:pt idx="7">
                  <c:v>44304186.134557702</c:v>
                </c:pt>
                <c:pt idx="8">
                  <c:v>30897555.458088223</c:v>
                </c:pt>
                <c:pt idx="9">
                  <c:v>24772539.484086975</c:v>
                </c:pt>
                <c:pt idx="10">
                  <c:v>24562187.195038669</c:v>
                </c:pt>
                <c:pt idx="11">
                  <c:v>30212610.490226153</c:v>
                </c:pt>
                <c:pt idx="12">
                  <c:v>29209278.175967161</c:v>
                </c:pt>
                <c:pt idx="13">
                  <c:v>25296050.784227852</c:v>
                </c:pt>
                <c:pt idx="14">
                  <c:v>27398839.264766809</c:v>
                </c:pt>
                <c:pt idx="15">
                  <c:v>23562603.660563469</c:v>
                </c:pt>
                <c:pt idx="16">
                  <c:v>24502885.271349702</c:v>
                </c:pt>
                <c:pt idx="17">
                  <c:v>29320511.109340541</c:v>
                </c:pt>
                <c:pt idx="18">
                  <c:v>36406078.266357593</c:v>
                </c:pt>
                <c:pt idx="19">
                  <c:v>33695531.342850439</c:v>
                </c:pt>
                <c:pt idx="20">
                  <c:v>31233762.674260356</c:v>
                </c:pt>
                <c:pt idx="21">
                  <c:v>25389882.474390097</c:v>
                </c:pt>
                <c:pt idx="22">
                  <c:v>26427042.049821343</c:v>
                </c:pt>
                <c:pt idx="23">
                  <c:v>32215739.695158463</c:v>
                </c:pt>
                <c:pt idx="24">
                  <c:v>31275860.7753461</c:v>
                </c:pt>
                <c:pt idx="25">
                  <c:v>26429364.692639478</c:v>
                </c:pt>
                <c:pt idx="26">
                  <c:v>27404396.138697155</c:v>
                </c:pt>
                <c:pt idx="27">
                  <c:v>25874137.348979145</c:v>
                </c:pt>
                <c:pt idx="28">
                  <c:v>26901859.850431498</c:v>
                </c:pt>
                <c:pt idx="29">
                  <c:v>31951168.759527341</c:v>
                </c:pt>
                <c:pt idx="30">
                  <c:v>43487059.509650059</c:v>
                </c:pt>
                <c:pt idx="31">
                  <c:v>42559990.952053435</c:v>
                </c:pt>
                <c:pt idx="32">
                  <c:v>33828727.436575055</c:v>
                </c:pt>
                <c:pt idx="33">
                  <c:v>26322264.040371206</c:v>
                </c:pt>
                <c:pt idx="34">
                  <c:v>27365977.74422475</c:v>
                </c:pt>
                <c:pt idx="35">
                  <c:v>31027183.870988276</c:v>
                </c:pt>
                <c:pt idx="36">
                  <c:v>31579914.736934498</c:v>
                </c:pt>
                <c:pt idx="37">
                  <c:v>27623537.657875959</c:v>
                </c:pt>
                <c:pt idx="38">
                  <c:v>28346668.669596348</c:v>
                </c:pt>
                <c:pt idx="39">
                  <c:v>24905528.717427131</c:v>
                </c:pt>
                <c:pt idx="40">
                  <c:v>24707670.950823154</c:v>
                </c:pt>
                <c:pt idx="41">
                  <c:v>29672644.429283168</c:v>
                </c:pt>
                <c:pt idx="42">
                  <c:v>44473472.383532733</c:v>
                </c:pt>
                <c:pt idx="43">
                  <c:v>37582282.23285567</c:v>
                </c:pt>
                <c:pt idx="44">
                  <c:v>27502801.782867629</c:v>
                </c:pt>
                <c:pt idx="45">
                  <c:v>25307838.950786512</c:v>
                </c:pt>
                <c:pt idx="46">
                  <c:v>27635260.908651348</c:v>
                </c:pt>
                <c:pt idx="47">
                  <c:v>31541363.377651349</c:v>
                </c:pt>
                <c:pt idx="48">
                  <c:v>30225099.865594532</c:v>
                </c:pt>
                <c:pt idx="49">
                  <c:v>28085370.737541087</c:v>
                </c:pt>
                <c:pt idx="50">
                  <c:v>28695730.8053938</c:v>
                </c:pt>
                <c:pt idx="51">
                  <c:v>27587121.222299505</c:v>
                </c:pt>
                <c:pt idx="52">
                  <c:v>30698108.359589659</c:v>
                </c:pt>
                <c:pt idx="53">
                  <c:v>38666018.771530479</c:v>
                </c:pt>
                <c:pt idx="54">
                  <c:v>52884414.346289635</c:v>
                </c:pt>
                <c:pt idx="55">
                  <c:v>43853441.776462704</c:v>
                </c:pt>
                <c:pt idx="56">
                  <c:v>29946855.289398734</c:v>
                </c:pt>
                <c:pt idx="57">
                  <c:v>27564334.790061668</c:v>
                </c:pt>
                <c:pt idx="58">
                  <c:v>28100106.078566764</c:v>
                </c:pt>
                <c:pt idx="59">
                  <c:v>33541571.294209413</c:v>
                </c:pt>
                <c:pt idx="60">
                  <c:v>33060529.53418494</c:v>
                </c:pt>
                <c:pt idx="61">
                  <c:v>30340153.167896137</c:v>
                </c:pt>
                <c:pt idx="62">
                  <c:v>29674127.193667971</c:v>
                </c:pt>
                <c:pt idx="63">
                  <c:v>26890372.122003525</c:v>
                </c:pt>
                <c:pt idx="64">
                  <c:v>30126536.180929851</c:v>
                </c:pt>
                <c:pt idx="65">
                  <c:v>38779277.658758134</c:v>
                </c:pt>
                <c:pt idx="66">
                  <c:v>40741425.086318761</c:v>
                </c:pt>
                <c:pt idx="67">
                  <c:v>48235165.982398331</c:v>
                </c:pt>
                <c:pt idx="68">
                  <c:v>31476609.199991003</c:v>
                </c:pt>
                <c:pt idx="69">
                  <c:v>28074339.642655801</c:v>
                </c:pt>
                <c:pt idx="70">
                  <c:v>28246007.996990778</c:v>
                </c:pt>
                <c:pt idx="71">
                  <c:v>32598413.787024714</c:v>
                </c:pt>
                <c:pt idx="72">
                  <c:v>35475683.829534754</c:v>
                </c:pt>
                <c:pt idx="73">
                  <c:v>30208571.870110713</c:v>
                </c:pt>
                <c:pt idx="74">
                  <c:v>30581481.262140367</c:v>
                </c:pt>
                <c:pt idx="75">
                  <c:v>27060335.304275431</c:v>
                </c:pt>
                <c:pt idx="76">
                  <c:v>29424882.43980021</c:v>
                </c:pt>
                <c:pt idx="77">
                  <c:v>34530277.871671163</c:v>
                </c:pt>
                <c:pt idx="78">
                  <c:v>43594410.740580678</c:v>
                </c:pt>
                <c:pt idx="79">
                  <c:v>44691814.183758497</c:v>
                </c:pt>
                <c:pt idx="80">
                  <c:v>32256765.82815098</c:v>
                </c:pt>
                <c:pt idx="81">
                  <c:v>27267174.522275336</c:v>
                </c:pt>
                <c:pt idx="82">
                  <c:v>28333844.891644187</c:v>
                </c:pt>
                <c:pt idx="83">
                  <c:v>33485861.190255057</c:v>
                </c:pt>
                <c:pt idx="84">
                  <c:v>32425030.693477109</c:v>
                </c:pt>
                <c:pt idx="85">
                  <c:v>29362111.603566822</c:v>
                </c:pt>
                <c:pt idx="86">
                  <c:v>30422452.137694888</c:v>
                </c:pt>
                <c:pt idx="87">
                  <c:v>27186651.748520873</c:v>
                </c:pt>
                <c:pt idx="88">
                  <c:v>28653334.459720019</c:v>
                </c:pt>
                <c:pt idx="89">
                  <c:v>36466432.147397168</c:v>
                </c:pt>
                <c:pt idx="90">
                  <c:v>45286912.264689282</c:v>
                </c:pt>
                <c:pt idx="91">
                  <c:v>39289994.687740542</c:v>
                </c:pt>
                <c:pt idx="92">
                  <c:v>34152262.92373392</c:v>
                </c:pt>
                <c:pt idx="93">
                  <c:v>29617828.682503663</c:v>
                </c:pt>
                <c:pt idx="94">
                  <c:v>29749525.858147036</c:v>
                </c:pt>
                <c:pt idx="95">
                  <c:v>33318299.780423377</c:v>
                </c:pt>
                <c:pt idx="96">
                  <c:v>34365090.724822946</c:v>
                </c:pt>
                <c:pt idx="97">
                  <c:v>30382962.44441903</c:v>
                </c:pt>
                <c:pt idx="98">
                  <c:v>30639068.95448155</c:v>
                </c:pt>
                <c:pt idx="99">
                  <c:v>27893692.720808491</c:v>
                </c:pt>
                <c:pt idx="100">
                  <c:v>30524857.726516318</c:v>
                </c:pt>
                <c:pt idx="101">
                  <c:v>38509632.420643851</c:v>
                </c:pt>
                <c:pt idx="102">
                  <c:v>48461758.654568501</c:v>
                </c:pt>
                <c:pt idx="103">
                  <c:v>44037848.165859461</c:v>
                </c:pt>
                <c:pt idx="104">
                  <c:v>35356837.521232605</c:v>
                </c:pt>
                <c:pt idx="105">
                  <c:v>28891807.480928354</c:v>
                </c:pt>
                <c:pt idx="106">
                  <c:v>29635213.323712032</c:v>
                </c:pt>
                <c:pt idx="107">
                  <c:v>35684472.821925662</c:v>
                </c:pt>
                <c:pt idx="108">
                  <c:v>36034907.267739922</c:v>
                </c:pt>
                <c:pt idx="109">
                  <c:v>32142266.904301614</c:v>
                </c:pt>
                <c:pt idx="110">
                  <c:v>32007255.533239383</c:v>
                </c:pt>
                <c:pt idx="111">
                  <c:v>28718318.144021403</c:v>
                </c:pt>
                <c:pt idx="112">
                  <c:v>29108990.702010304</c:v>
                </c:pt>
                <c:pt idx="113">
                  <c:v>39595367.294694006</c:v>
                </c:pt>
                <c:pt idx="114">
                  <c:v>52203745.797354855</c:v>
                </c:pt>
                <c:pt idx="115">
                  <c:v>44781623.9720359</c:v>
                </c:pt>
                <c:pt idx="116">
                  <c:v>33269740.412395149</c:v>
                </c:pt>
                <c:pt idx="117">
                  <c:v>29877532.560799152</c:v>
                </c:pt>
                <c:pt idx="118">
                  <c:v>31494935.916023552</c:v>
                </c:pt>
                <c:pt idx="119">
                  <c:v>36852000.337815709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4-4E22-8592-99D46568AE70}"/>
            </c:ext>
          </c:extLst>
        </c:ser>
        <c:ser>
          <c:idx val="1"/>
          <c:order val="1"/>
          <c:tx>
            <c:strRef>
              <c:f>'WRZ Residential'!$U$1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'WRZ Residential'!$A$2:$A$121</c:f>
              <c:numCache>
                <c:formatCode>mmm\-yy</c:formatCode>
                <c:ptCount val="12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</c:numCache>
            </c:numRef>
          </c:cat>
          <c:val>
            <c:numRef>
              <c:f>'WRZ Residential'!$U$2:$U$121</c:f>
              <c:numCache>
                <c:formatCode>_-* #,##0_-;\-* #,##0_-;_-* "-"??_-;_-@_-</c:formatCode>
                <c:ptCount val="120"/>
                <c:pt idx="0">
                  <c:v>28955354.408298701</c:v>
                </c:pt>
                <c:pt idx="1">
                  <c:v>26365025.904273104</c:v>
                </c:pt>
                <c:pt idx="2">
                  <c:v>26054906.788890138</c:v>
                </c:pt>
                <c:pt idx="3">
                  <c:v>23817989.11938921</c:v>
                </c:pt>
                <c:pt idx="4">
                  <c:v>27092867.914569922</c:v>
                </c:pt>
                <c:pt idx="5">
                  <c:v>32625659.683442689</c:v>
                </c:pt>
                <c:pt idx="6">
                  <c:v>42577674.320714891</c:v>
                </c:pt>
                <c:pt idx="7">
                  <c:v>43969523.277066454</c:v>
                </c:pt>
                <c:pt idx="8">
                  <c:v>29795862.931555621</c:v>
                </c:pt>
                <c:pt idx="9">
                  <c:v>24470874.1059593</c:v>
                </c:pt>
                <c:pt idx="10">
                  <c:v>23664892.84570992</c:v>
                </c:pt>
                <c:pt idx="11">
                  <c:v>28631999.317529567</c:v>
                </c:pt>
                <c:pt idx="12">
                  <c:v>28729979.637416646</c:v>
                </c:pt>
                <c:pt idx="13">
                  <c:v>25079338.59748967</c:v>
                </c:pt>
                <c:pt idx="14">
                  <c:v>27830570.077209514</c:v>
                </c:pt>
                <c:pt idx="15">
                  <c:v>23154116.854453597</c:v>
                </c:pt>
                <c:pt idx="16">
                  <c:v>24653726.071531046</c:v>
                </c:pt>
                <c:pt idx="17">
                  <c:v>30295057.563028496</c:v>
                </c:pt>
                <c:pt idx="18">
                  <c:v>38299772.208917178</c:v>
                </c:pt>
                <c:pt idx="19">
                  <c:v>34671805.656426176</c:v>
                </c:pt>
                <c:pt idx="20">
                  <c:v>29989247.646838322</c:v>
                </c:pt>
                <c:pt idx="21">
                  <c:v>24880576.892375901</c:v>
                </c:pt>
                <c:pt idx="22">
                  <c:v>25164883.737705141</c:v>
                </c:pt>
                <c:pt idx="23">
                  <c:v>30907583.552147016</c:v>
                </c:pt>
                <c:pt idx="24">
                  <c:v>31157917.113568932</c:v>
                </c:pt>
                <c:pt idx="25">
                  <c:v>26310206.398250394</c:v>
                </c:pt>
                <c:pt idx="26">
                  <c:v>27937067.388843652</c:v>
                </c:pt>
                <c:pt idx="27">
                  <c:v>25543161.580990292</c:v>
                </c:pt>
                <c:pt idx="28">
                  <c:v>28665006.951392625</c:v>
                </c:pt>
                <c:pt idx="29">
                  <c:v>33143601.240540922</c:v>
                </c:pt>
                <c:pt idx="30">
                  <c:v>44166696.847359031</c:v>
                </c:pt>
                <c:pt idx="31">
                  <c:v>43844726.101017073</c:v>
                </c:pt>
                <c:pt idx="32">
                  <c:v>32510396.272595566</c:v>
                </c:pt>
                <c:pt idx="33">
                  <c:v>25934542.560794607</c:v>
                </c:pt>
                <c:pt idx="34">
                  <c:v>26602625.116745468</c:v>
                </c:pt>
                <c:pt idx="35">
                  <c:v>29316438.950010791</c:v>
                </c:pt>
                <c:pt idx="36">
                  <c:v>32146018.375731036</c:v>
                </c:pt>
                <c:pt idx="37">
                  <c:v>27774983.682210337</c:v>
                </c:pt>
                <c:pt idx="38">
                  <c:v>29136073.567496434</c:v>
                </c:pt>
                <c:pt idx="39">
                  <c:v>24886941.591752987</c:v>
                </c:pt>
                <c:pt idx="40">
                  <c:v>24463980.773074232</c:v>
                </c:pt>
                <c:pt idx="41">
                  <c:v>31967228.591080345</c:v>
                </c:pt>
                <c:pt idx="42">
                  <c:v>45025106.35576164</c:v>
                </c:pt>
                <c:pt idx="43">
                  <c:v>38785387.93042931</c:v>
                </c:pt>
                <c:pt idx="44">
                  <c:v>27768735.164793439</c:v>
                </c:pt>
                <c:pt idx="45">
                  <c:v>24892475.257373288</c:v>
                </c:pt>
                <c:pt idx="46">
                  <c:v>27545133.348764293</c:v>
                </c:pt>
                <c:pt idx="47">
                  <c:v>30306204.625268087</c:v>
                </c:pt>
                <c:pt idx="48">
                  <c:v>30558915.919683129</c:v>
                </c:pt>
                <c:pt idx="49">
                  <c:v>28878070.285529964</c:v>
                </c:pt>
                <c:pt idx="50">
                  <c:v>29142387.467559345</c:v>
                </c:pt>
                <c:pt idx="51">
                  <c:v>27729290.429828621</c:v>
                </c:pt>
                <c:pt idx="52">
                  <c:v>30643509.643965524</c:v>
                </c:pt>
                <c:pt idx="53">
                  <c:v>37751456.642213382</c:v>
                </c:pt>
                <c:pt idx="54">
                  <c:v>51984930.100710712</c:v>
                </c:pt>
                <c:pt idx="55">
                  <c:v>43164302.012232527</c:v>
                </c:pt>
                <c:pt idx="56">
                  <c:v>29381029.626103796</c:v>
                </c:pt>
                <c:pt idx="57">
                  <c:v>26633258.86608091</c:v>
                </c:pt>
                <c:pt idx="58">
                  <c:v>26794561.294002641</c:v>
                </c:pt>
                <c:pt idx="59">
                  <c:v>31956395.033224888</c:v>
                </c:pt>
                <c:pt idx="60">
                  <c:v>33178623.896056615</c:v>
                </c:pt>
                <c:pt idx="61">
                  <c:v>30798782.892249197</c:v>
                </c:pt>
                <c:pt idx="62">
                  <c:v>29894589.05186256</c:v>
                </c:pt>
                <c:pt idx="63">
                  <c:v>26619172.685865264</c:v>
                </c:pt>
                <c:pt idx="64">
                  <c:v>29904573.203365825</c:v>
                </c:pt>
                <c:pt idx="65">
                  <c:v>39589578.137596361</c:v>
                </c:pt>
                <c:pt idx="66">
                  <c:v>41380864.078174725</c:v>
                </c:pt>
                <c:pt idx="67">
                  <c:v>48456260.921280436</c:v>
                </c:pt>
                <c:pt idx="68">
                  <c:v>31189764.281849507</c:v>
                </c:pt>
                <c:pt idx="69">
                  <c:v>28924351.666488022</c:v>
                </c:pt>
                <c:pt idx="70">
                  <c:v>28694745.150407463</c:v>
                </c:pt>
                <c:pt idx="71">
                  <c:v>31695445.087917328</c:v>
                </c:pt>
                <c:pt idx="72">
                  <c:v>35555752.895321466</c:v>
                </c:pt>
                <c:pt idx="73">
                  <c:v>30268681.797206536</c:v>
                </c:pt>
                <c:pt idx="74">
                  <c:v>30610430.889609799</c:v>
                </c:pt>
                <c:pt idx="75">
                  <c:v>26909233.822012607</c:v>
                </c:pt>
                <c:pt idx="76">
                  <c:v>30798128.231329463</c:v>
                </c:pt>
                <c:pt idx="77">
                  <c:v>34182917.327378973</c:v>
                </c:pt>
                <c:pt idx="78">
                  <c:v>43979504.327788115</c:v>
                </c:pt>
                <c:pt idx="79">
                  <c:v>44634122.056124069</c:v>
                </c:pt>
                <c:pt idx="80">
                  <c:v>31632538.983484294</c:v>
                </c:pt>
                <c:pt idx="81">
                  <c:v>26907695.002579827</c:v>
                </c:pt>
                <c:pt idx="82">
                  <c:v>28347553.291021802</c:v>
                </c:pt>
                <c:pt idx="83">
                  <c:v>32362502.63393081</c:v>
                </c:pt>
                <c:pt idx="84">
                  <c:v>31912008.386699378</c:v>
                </c:pt>
                <c:pt idx="85">
                  <c:v>29110158.581995167</c:v>
                </c:pt>
                <c:pt idx="86">
                  <c:v>30548940.892831795</c:v>
                </c:pt>
                <c:pt idx="87">
                  <c:v>27301552.186774321</c:v>
                </c:pt>
                <c:pt idx="88">
                  <c:v>28528503.37065082</c:v>
                </c:pt>
                <c:pt idx="89">
                  <c:v>36332120.180700809</c:v>
                </c:pt>
                <c:pt idx="90">
                  <c:v>44028971.587152839</c:v>
                </c:pt>
                <c:pt idx="91">
                  <c:v>38908986.134385318</c:v>
                </c:pt>
                <c:pt idx="92">
                  <c:v>32473558.679642651</c:v>
                </c:pt>
                <c:pt idx="93">
                  <c:v>29203448.970361032</c:v>
                </c:pt>
                <c:pt idx="94">
                  <c:v>28691120.821559828</c:v>
                </c:pt>
                <c:pt idx="95">
                  <c:v>30801385.901904728</c:v>
                </c:pt>
                <c:pt idx="96">
                  <c:v>32950458.144991018</c:v>
                </c:pt>
                <c:pt idx="97">
                  <c:v>30048289.958916355</c:v>
                </c:pt>
                <c:pt idx="98">
                  <c:v>29820556.707252979</c:v>
                </c:pt>
                <c:pt idx="99">
                  <c:v>26898051.133364294</c:v>
                </c:pt>
                <c:pt idx="100">
                  <c:v>30174299.850481644</c:v>
                </c:pt>
                <c:pt idx="101">
                  <c:v>37143205.433242738</c:v>
                </c:pt>
                <c:pt idx="102">
                  <c:v>46186771.61203064</c:v>
                </c:pt>
                <c:pt idx="103">
                  <c:v>42666706.423570305</c:v>
                </c:pt>
                <c:pt idx="104">
                  <c:v>33560131.970358118</c:v>
                </c:pt>
                <c:pt idx="105">
                  <c:v>28033241.712142557</c:v>
                </c:pt>
                <c:pt idx="106">
                  <c:v>28560127.629316702</c:v>
                </c:pt>
                <c:pt idx="107">
                  <c:v>32923665.801790088</c:v>
                </c:pt>
                <c:pt idx="108">
                  <c:v>34880617.219031431</c:v>
                </c:pt>
                <c:pt idx="109">
                  <c:v>31557627.785557844</c:v>
                </c:pt>
                <c:pt idx="110">
                  <c:v>31224107.366639815</c:v>
                </c:pt>
                <c:pt idx="111">
                  <c:v>28098652.897131734</c:v>
                </c:pt>
                <c:pt idx="112">
                  <c:v>28697420.41510836</c:v>
                </c:pt>
                <c:pt idx="113">
                  <c:v>39551815.657914713</c:v>
                </c:pt>
                <c:pt idx="114">
                  <c:v>49701439.66679512</c:v>
                </c:pt>
                <c:pt idx="115">
                  <c:v>43150369.709167317</c:v>
                </c:pt>
                <c:pt idx="116">
                  <c:v>32501684.181316078</c:v>
                </c:pt>
                <c:pt idx="117">
                  <c:v>29298985.688088909</c:v>
                </c:pt>
                <c:pt idx="118">
                  <c:v>29971518.552830148</c:v>
                </c:pt>
                <c:pt idx="119">
                  <c:v>34685421.936592035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C4-4E22-8592-99D46568A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WRZ General Service &lt; 50 kW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876691919191918"/>
          <c:y val="0.12168194444444444"/>
          <c:w val="0.86000833333333337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'WRZ GS &lt; 50'!$D$1</c:f>
              <c:strCache>
                <c:ptCount val="1"/>
                <c:pt idx="0">
                  <c:v>WRZ_GSlt50kWh_No_CDM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'WRZ GS &lt; 50'!$A$2:$A$121</c:f>
              <c:numCache>
                <c:formatCode>mmm\-yy</c:formatCode>
                <c:ptCount val="12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</c:numCache>
            </c:numRef>
          </c:cat>
          <c:val>
            <c:numRef>
              <c:f>'WRZ GS &lt; 50'!$D$2:$D$121</c:f>
              <c:numCache>
                <c:formatCode>_-* #,##0_-;\-* #,##0_-;_-* "-"??_-;_-@_-</c:formatCode>
                <c:ptCount val="120"/>
                <c:pt idx="0">
                  <c:v>7678617.2533886498</c:v>
                </c:pt>
                <c:pt idx="1">
                  <c:v>7199584.2390929768</c:v>
                </c:pt>
                <c:pt idx="2">
                  <c:v>7114142.7948183576</c:v>
                </c:pt>
                <c:pt idx="3">
                  <c:v>6627203.0664132619</c:v>
                </c:pt>
                <c:pt idx="4">
                  <c:v>6644336.0235639242</c:v>
                </c:pt>
                <c:pt idx="5">
                  <c:v>7166517.3084073551</c:v>
                </c:pt>
                <c:pt idx="6">
                  <c:v>7916002.5638074912</c:v>
                </c:pt>
                <c:pt idx="7">
                  <c:v>8256899.4190641427</c:v>
                </c:pt>
                <c:pt idx="8">
                  <c:v>7135190.4841065407</c:v>
                </c:pt>
                <c:pt idx="9">
                  <c:v>6584974.0438399557</c:v>
                </c:pt>
                <c:pt idx="10">
                  <c:v>6751282.6928980416</c:v>
                </c:pt>
                <c:pt idx="11">
                  <c:v>7655445.4257709347</c:v>
                </c:pt>
                <c:pt idx="12">
                  <c:v>7796536.0768345082</c:v>
                </c:pt>
                <c:pt idx="13">
                  <c:v>6983444.6585424561</c:v>
                </c:pt>
                <c:pt idx="14">
                  <c:v>7621777.2869406473</c:v>
                </c:pt>
                <c:pt idx="15">
                  <c:v>6333115.861034275</c:v>
                </c:pt>
                <c:pt idx="16">
                  <c:v>6510335.4661686532</c:v>
                </c:pt>
                <c:pt idx="17">
                  <c:v>6775007.1786877653</c:v>
                </c:pt>
                <c:pt idx="18">
                  <c:v>7356953.4872371033</c:v>
                </c:pt>
                <c:pt idx="19">
                  <c:v>7280911.8941889666</c:v>
                </c:pt>
                <c:pt idx="20">
                  <c:v>6946192.6472188877</c:v>
                </c:pt>
                <c:pt idx="21">
                  <c:v>6500242.8103501946</c:v>
                </c:pt>
                <c:pt idx="22">
                  <c:v>6938927.9339846773</c:v>
                </c:pt>
                <c:pt idx="23">
                  <c:v>7860342.0808829637</c:v>
                </c:pt>
                <c:pt idx="24">
                  <c:v>8410168.8579596728</c:v>
                </c:pt>
                <c:pt idx="25">
                  <c:v>7178364.4838007502</c:v>
                </c:pt>
                <c:pt idx="26">
                  <c:v>7529857.5160413282</c:v>
                </c:pt>
                <c:pt idx="27">
                  <c:v>6869833.8112721313</c:v>
                </c:pt>
                <c:pt idx="28">
                  <c:v>6770110.0880697882</c:v>
                </c:pt>
                <c:pt idx="29">
                  <c:v>6985601.5404461809</c:v>
                </c:pt>
                <c:pt idx="30">
                  <c:v>7993952.523872898</c:v>
                </c:pt>
                <c:pt idx="31">
                  <c:v>8077429.5244700667</c:v>
                </c:pt>
                <c:pt idx="32">
                  <c:v>7049345.8021477899</c:v>
                </c:pt>
                <c:pt idx="33">
                  <c:v>6709539.9969768031</c:v>
                </c:pt>
                <c:pt idx="34">
                  <c:v>7255558.8861429505</c:v>
                </c:pt>
                <c:pt idx="35">
                  <c:v>7580312.8758256463</c:v>
                </c:pt>
                <c:pt idx="36">
                  <c:v>8472734.8679011315</c:v>
                </c:pt>
                <c:pt idx="37">
                  <c:v>7548305.1768436972</c:v>
                </c:pt>
                <c:pt idx="38">
                  <c:v>7821830.0137946913</c:v>
                </c:pt>
                <c:pt idx="39">
                  <c:v>6774564.6466993866</c:v>
                </c:pt>
                <c:pt idx="40">
                  <c:v>6550326.6643850282</c:v>
                </c:pt>
                <c:pt idx="41">
                  <c:v>6794550.4962661918</c:v>
                </c:pt>
                <c:pt idx="42">
                  <c:v>8230301.8587098103</c:v>
                </c:pt>
                <c:pt idx="43">
                  <c:v>7664344.0163706075</c:v>
                </c:pt>
                <c:pt idx="44">
                  <c:v>6595097.9264610605</c:v>
                </c:pt>
                <c:pt idx="45">
                  <c:v>6485869.3610397754</c:v>
                </c:pt>
                <c:pt idx="46">
                  <c:v>7171908.378151454</c:v>
                </c:pt>
                <c:pt idx="47">
                  <c:v>7713076.831411995</c:v>
                </c:pt>
                <c:pt idx="48">
                  <c:v>7880857.2352294158</c:v>
                </c:pt>
                <c:pt idx="49">
                  <c:v>7406790.3406031318</c:v>
                </c:pt>
                <c:pt idx="50">
                  <c:v>6792268.7903809408</c:v>
                </c:pt>
                <c:pt idx="51">
                  <c:v>5372684.4175932165</c:v>
                </c:pt>
                <c:pt idx="52">
                  <c:v>5572950.8579296442</c:v>
                </c:pt>
                <c:pt idx="53">
                  <c:v>6381310.3087309944</c:v>
                </c:pt>
                <c:pt idx="54">
                  <c:v>7934932.0956141995</c:v>
                </c:pt>
                <c:pt idx="55">
                  <c:v>7325138.1995243989</c:v>
                </c:pt>
                <c:pt idx="56">
                  <c:v>6248559.4190171296</c:v>
                </c:pt>
                <c:pt idx="57">
                  <c:v>6204866.4437327534</c:v>
                </c:pt>
                <c:pt idx="58">
                  <c:v>6439416.0551902931</c:v>
                </c:pt>
                <c:pt idx="59">
                  <c:v>7178027.5138833318</c:v>
                </c:pt>
                <c:pt idx="60">
                  <c:v>7145716.6275450271</c:v>
                </c:pt>
                <c:pt idx="61">
                  <c:v>6867239.1466897493</c:v>
                </c:pt>
                <c:pt idx="62">
                  <c:v>6970734.1900262069</c:v>
                </c:pt>
                <c:pt idx="63">
                  <c:v>5856711.4300050689</c:v>
                </c:pt>
                <c:pt idx="64">
                  <c:v>5914599.8415833376</c:v>
                </c:pt>
                <c:pt idx="65">
                  <c:v>6685319.1952507589</c:v>
                </c:pt>
                <c:pt idx="66">
                  <c:v>7202300.3597178645</c:v>
                </c:pt>
                <c:pt idx="67">
                  <c:v>8046304.4842098318</c:v>
                </c:pt>
                <c:pt idx="68">
                  <c:v>6575332.4041389627</c:v>
                </c:pt>
                <c:pt idx="69">
                  <c:v>6410393.6362930685</c:v>
                </c:pt>
                <c:pt idx="70">
                  <c:v>6749789.1937102508</c:v>
                </c:pt>
                <c:pt idx="71">
                  <c:v>7321612.7961532604</c:v>
                </c:pt>
                <c:pt idx="72">
                  <c:v>8069275.0656578699</c:v>
                </c:pt>
                <c:pt idx="73">
                  <c:v>7376068.720579314</c:v>
                </c:pt>
                <c:pt idx="74">
                  <c:v>7644236.0910833273</c:v>
                </c:pt>
                <c:pt idx="75">
                  <c:v>6592293.3697755849</c:v>
                </c:pt>
                <c:pt idx="76">
                  <c:v>6530168.109621468</c:v>
                </c:pt>
                <c:pt idx="77">
                  <c:v>7021628.4928765828</c:v>
                </c:pt>
                <c:pt idx="78">
                  <c:v>7808663.3388158185</c:v>
                </c:pt>
                <c:pt idx="79">
                  <c:v>8030056.4697464537</c:v>
                </c:pt>
                <c:pt idx="80">
                  <c:v>6777435.0266384333</c:v>
                </c:pt>
                <c:pt idx="81">
                  <c:v>6462770.2915369282</c:v>
                </c:pt>
                <c:pt idx="82">
                  <c:v>6900158.9461044408</c:v>
                </c:pt>
                <c:pt idx="83">
                  <c:v>7613860.4208652079</c:v>
                </c:pt>
                <c:pt idx="84">
                  <c:v>7728508.0056255767</c:v>
                </c:pt>
                <c:pt idx="85">
                  <c:v>7143689.5804435685</c:v>
                </c:pt>
                <c:pt idx="86">
                  <c:v>7471803.6804959085</c:v>
                </c:pt>
                <c:pt idx="87">
                  <c:v>6432422.5570070287</c:v>
                </c:pt>
                <c:pt idx="88">
                  <c:v>6592308.7806675304</c:v>
                </c:pt>
                <c:pt idx="89">
                  <c:v>6957449.2311981851</c:v>
                </c:pt>
                <c:pt idx="90">
                  <c:v>7513000.1401849054</c:v>
                </c:pt>
                <c:pt idx="91">
                  <c:v>7248982.599420324</c:v>
                </c:pt>
                <c:pt idx="92">
                  <c:v>8534990.1360041276</c:v>
                </c:pt>
                <c:pt idx="93">
                  <c:v>8387381.0514955521</c:v>
                </c:pt>
                <c:pt idx="94">
                  <c:v>6975082.2624527905</c:v>
                </c:pt>
                <c:pt idx="95">
                  <c:v>7297574.1161209811</c:v>
                </c:pt>
                <c:pt idx="96">
                  <c:v>8325769.1627903711</c:v>
                </c:pt>
                <c:pt idx="97">
                  <c:v>7123750.3193476247</c:v>
                </c:pt>
                <c:pt idx="98">
                  <c:v>7110362.5255698962</c:v>
                </c:pt>
                <c:pt idx="99">
                  <c:v>6544481.1552796438</c:v>
                </c:pt>
                <c:pt idx="100">
                  <c:v>6961687.9237786168</c:v>
                </c:pt>
                <c:pt idx="101">
                  <c:v>7419767.5397163788</c:v>
                </c:pt>
                <c:pt idx="102">
                  <c:v>9087999.898645319</c:v>
                </c:pt>
                <c:pt idx="103">
                  <c:v>7748010.6502731862</c:v>
                </c:pt>
                <c:pt idx="104">
                  <c:v>6968601.0377719486</c:v>
                </c:pt>
                <c:pt idx="105">
                  <c:v>6662228.7098549902</c:v>
                </c:pt>
                <c:pt idx="106">
                  <c:v>6722344.8147739833</c:v>
                </c:pt>
                <c:pt idx="107">
                  <c:v>7678119.538844008</c:v>
                </c:pt>
                <c:pt idx="108">
                  <c:v>8211101.0618103305</c:v>
                </c:pt>
                <c:pt idx="109">
                  <c:v>7388274.7831749693</c:v>
                </c:pt>
                <c:pt idx="110">
                  <c:v>7309951.5944956243</c:v>
                </c:pt>
                <c:pt idx="111">
                  <c:v>6616767.6393727968</c:v>
                </c:pt>
                <c:pt idx="112">
                  <c:v>6460366.3323368207</c:v>
                </c:pt>
                <c:pt idx="113">
                  <c:v>7196362.1227085413</c:v>
                </c:pt>
                <c:pt idx="114">
                  <c:v>8387745.0131376553</c:v>
                </c:pt>
                <c:pt idx="115">
                  <c:v>7718548.2104636477</c:v>
                </c:pt>
                <c:pt idx="116">
                  <c:v>6745525.999037018</c:v>
                </c:pt>
                <c:pt idx="117">
                  <c:v>6670765.025270611</c:v>
                </c:pt>
                <c:pt idx="118">
                  <c:v>7021911.7148675118</c:v>
                </c:pt>
                <c:pt idx="119">
                  <c:v>8418681.147433605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7E-41C9-905E-D5A61807DF80}"/>
            </c:ext>
          </c:extLst>
        </c:ser>
        <c:ser>
          <c:idx val="1"/>
          <c:order val="1"/>
          <c:tx>
            <c:strRef>
              <c:f>'WRZ GS &lt; 50'!$S$1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'WRZ GS &lt; 50'!$A$2:$A$121</c:f>
              <c:numCache>
                <c:formatCode>mmm\-yy</c:formatCode>
                <c:ptCount val="12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</c:numCache>
            </c:numRef>
          </c:cat>
          <c:val>
            <c:numRef>
              <c:f>'WRZ GS &lt; 50'!$U$2:$U$121</c:f>
              <c:numCache>
                <c:formatCode>_-* #,##0_-;\-* #,##0_-;_-* "-"??_-;_-@_-</c:formatCode>
                <c:ptCount val="120"/>
                <c:pt idx="0">
                  <c:v>7893297.8732480407</c:v>
                </c:pt>
                <c:pt idx="1">
                  <c:v>7285344.4275323879</c:v>
                </c:pt>
                <c:pt idx="2">
                  <c:v>7275171.7549211681</c:v>
                </c:pt>
                <c:pt idx="3">
                  <c:v>6721998.1969960704</c:v>
                </c:pt>
                <c:pt idx="4">
                  <c:v>6800121.3726874702</c:v>
                </c:pt>
                <c:pt idx="5">
                  <c:v>7109179.4184604213</c:v>
                </c:pt>
                <c:pt idx="6">
                  <c:v>8150118.6565906648</c:v>
                </c:pt>
                <c:pt idx="7">
                  <c:v>8276481.4671474723</c:v>
                </c:pt>
                <c:pt idx="8">
                  <c:v>7120476.7394403862</c:v>
                </c:pt>
                <c:pt idx="9">
                  <c:v>6845685.5833558561</c:v>
                </c:pt>
                <c:pt idx="10">
                  <c:v>6781936.1869225269</c:v>
                </c:pt>
                <c:pt idx="11">
                  <c:v>7665696.7632479025</c:v>
                </c:pt>
                <c:pt idx="12">
                  <c:v>7679467.7242381675</c:v>
                </c:pt>
                <c:pt idx="13">
                  <c:v>6837343.8779030535</c:v>
                </c:pt>
                <c:pt idx="14">
                  <c:v>7600801.1338745086</c:v>
                </c:pt>
                <c:pt idx="15">
                  <c:v>6360297.8243518565</c:v>
                </c:pt>
                <c:pt idx="16">
                  <c:v>6540308.3830842534</c:v>
                </c:pt>
                <c:pt idx="17">
                  <c:v>6875695.793490977</c:v>
                </c:pt>
                <c:pt idx="18">
                  <c:v>7654537.5875639506</c:v>
                </c:pt>
                <c:pt idx="19">
                  <c:v>7360850.6688774256</c:v>
                </c:pt>
                <c:pt idx="20">
                  <c:v>7049437.5930686612</c:v>
                </c:pt>
                <c:pt idx="21">
                  <c:v>6743751.6859772177</c:v>
                </c:pt>
                <c:pt idx="22">
                  <c:v>7021426.647481936</c:v>
                </c:pt>
                <c:pt idx="23">
                  <c:v>8127294.2301924778</c:v>
                </c:pt>
                <c:pt idx="24">
                  <c:v>8182368.874342639</c:v>
                </c:pt>
                <c:pt idx="25">
                  <c:v>7017807.0074957367</c:v>
                </c:pt>
                <c:pt idx="26">
                  <c:v>7478414.9943649871</c:v>
                </c:pt>
                <c:pt idx="27">
                  <c:v>6872250.0753913419</c:v>
                </c:pt>
                <c:pt idx="28">
                  <c:v>6846444.7199875955</c:v>
                </c:pt>
                <c:pt idx="29">
                  <c:v>7082544.2239212431</c:v>
                </c:pt>
                <c:pt idx="30">
                  <c:v>8189647.5611777948</c:v>
                </c:pt>
                <c:pt idx="31">
                  <c:v>8158031.6116408054</c:v>
                </c:pt>
                <c:pt idx="32">
                  <c:v>7239251.3233928503</c:v>
                </c:pt>
                <c:pt idx="33">
                  <c:v>6899777.8169170255</c:v>
                </c:pt>
                <c:pt idx="34">
                  <c:v>7258636.7989052171</c:v>
                </c:pt>
                <c:pt idx="35">
                  <c:v>7548484.5744900201</c:v>
                </c:pt>
                <c:pt idx="36">
                  <c:v>8307591.3672501985</c:v>
                </c:pt>
                <c:pt idx="37">
                  <c:v>7269767.5016408367</c:v>
                </c:pt>
                <c:pt idx="38">
                  <c:v>7658365.904112882</c:v>
                </c:pt>
                <c:pt idx="39">
                  <c:v>6557666.6987859216</c:v>
                </c:pt>
                <c:pt idx="40">
                  <c:v>6363018.4078875678</c:v>
                </c:pt>
                <c:pt idx="41">
                  <c:v>6912582.6366596194</c:v>
                </c:pt>
                <c:pt idx="42">
                  <c:v>8208322.3655497609</c:v>
                </c:pt>
                <c:pt idx="43">
                  <c:v>7599031.8267343268</c:v>
                </c:pt>
                <c:pt idx="44">
                  <c:v>6820543.7416450912</c:v>
                </c:pt>
                <c:pt idx="45">
                  <c:v>6586379.344744755</c:v>
                </c:pt>
                <c:pt idx="46">
                  <c:v>7367923.7677862849</c:v>
                </c:pt>
                <c:pt idx="47">
                  <c:v>7671408.95204808</c:v>
                </c:pt>
                <c:pt idx="48">
                  <c:v>7750272.5742064277</c:v>
                </c:pt>
                <c:pt idx="49">
                  <c:v>7387175.2179405633</c:v>
                </c:pt>
                <c:pt idx="50">
                  <c:v>6682622.8508583289</c:v>
                </c:pt>
                <c:pt idx="51">
                  <c:v>5626037.3624057584</c:v>
                </c:pt>
                <c:pt idx="52">
                  <c:v>5864325.8166272864</c:v>
                </c:pt>
                <c:pt idx="53">
                  <c:v>6792911.9129683888</c:v>
                </c:pt>
                <c:pt idx="54">
                  <c:v>8193561.908380148</c:v>
                </c:pt>
                <c:pt idx="55">
                  <c:v>7371507.2268494321</c:v>
                </c:pt>
                <c:pt idx="56">
                  <c:v>6296619.0319175255</c:v>
                </c:pt>
                <c:pt idx="57">
                  <c:v>6218755.0299376603</c:v>
                </c:pt>
                <c:pt idx="58">
                  <c:v>6276729.4609960029</c:v>
                </c:pt>
                <c:pt idx="59">
                  <c:v>7078849.6528290091</c:v>
                </c:pt>
                <c:pt idx="60">
                  <c:v>7384425.325742444</c:v>
                </c:pt>
                <c:pt idx="61">
                  <c:v>6888832.2645914918</c:v>
                </c:pt>
                <c:pt idx="62">
                  <c:v>6754372.2116690436</c:v>
                </c:pt>
                <c:pt idx="63">
                  <c:v>6014027.5231938604</c:v>
                </c:pt>
                <c:pt idx="64">
                  <c:v>6256603.1873950772</c:v>
                </c:pt>
                <c:pt idx="65">
                  <c:v>6917371.1659066221</c:v>
                </c:pt>
                <c:pt idx="66">
                  <c:v>7162877.3066776851</c:v>
                </c:pt>
                <c:pt idx="67">
                  <c:v>7812406.6769995745</c:v>
                </c:pt>
                <c:pt idx="68">
                  <c:v>6429503.466628789</c:v>
                </c:pt>
                <c:pt idx="69">
                  <c:v>6363901.8035649797</c:v>
                </c:pt>
                <c:pt idx="70">
                  <c:v>6595591.2652827734</c:v>
                </c:pt>
                <c:pt idx="71">
                  <c:v>6914291.7863824079</c:v>
                </c:pt>
                <c:pt idx="72">
                  <c:v>8358489.3231943166</c:v>
                </c:pt>
                <c:pt idx="73">
                  <c:v>7110573.6578456778</c:v>
                </c:pt>
                <c:pt idx="74">
                  <c:v>7239450.3629607493</c:v>
                </c:pt>
                <c:pt idx="75">
                  <c:v>6337108.6501845922</c:v>
                </c:pt>
                <c:pt idx="76">
                  <c:v>6524795.2472799299</c:v>
                </c:pt>
                <c:pt idx="77">
                  <c:v>6734711.1979624908</c:v>
                </c:pt>
                <c:pt idx="78">
                  <c:v>7637542.1018436793</c:v>
                </c:pt>
                <c:pt idx="79">
                  <c:v>7695017.2824100386</c:v>
                </c:pt>
                <c:pt idx="80">
                  <c:v>6668527.6152770873</c:v>
                </c:pt>
                <c:pt idx="81">
                  <c:v>6445970.1217182018</c:v>
                </c:pt>
                <c:pt idx="82">
                  <c:v>6803125.2390967757</c:v>
                </c:pt>
                <c:pt idx="83">
                  <c:v>7408060.1385464948</c:v>
                </c:pt>
                <c:pt idx="84">
                  <c:v>7769511.8889242103</c:v>
                </c:pt>
                <c:pt idx="85">
                  <c:v>7150776.3893925641</c:v>
                </c:pt>
                <c:pt idx="86">
                  <c:v>7556986.5819315091</c:v>
                </c:pt>
                <c:pt idx="87">
                  <c:v>6603388.3514432684</c:v>
                </c:pt>
                <c:pt idx="88">
                  <c:v>6629141.8698357511</c:v>
                </c:pt>
                <c:pt idx="89">
                  <c:v>7157972.6190174669</c:v>
                </c:pt>
                <c:pt idx="90">
                  <c:v>7910501.0432011103</c:v>
                </c:pt>
                <c:pt idx="91">
                  <c:v>7442944.3833413199</c:v>
                </c:pt>
                <c:pt idx="92">
                  <c:v>7092159.0417155502</c:v>
                </c:pt>
                <c:pt idx="93">
                  <c:v>6866033.1580928033</c:v>
                </c:pt>
                <c:pt idx="94">
                  <c:v>7182768.4224946704</c:v>
                </c:pt>
                <c:pt idx="95">
                  <c:v>7319030.225220521</c:v>
                </c:pt>
                <c:pt idx="96">
                  <c:v>7957071.8692548331</c:v>
                </c:pt>
                <c:pt idx="97">
                  <c:v>7241922.7508747308</c:v>
                </c:pt>
                <c:pt idx="98">
                  <c:v>7233764.6142962696</c:v>
                </c:pt>
                <c:pt idx="99">
                  <c:v>6469583.9984604912</c:v>
                </c:pt>
                <c:pt idx="100">
                  <c:v>6758475.330292657</c:v>
                </c:pt>
                <c:pt idx="101">
                  <c:v>7188645.4386580624</c:v>
                </c:pt>
                <c:pt idx="102">
                  <c:v>8094178.6410270417</c:v>
                </c:pt>
                <c:pt idx="103">
                  <c:v>7787136.3816521121</c:v>
                </c:pt>
                <c:pt idx="104">
                  <c:v>7094128.5679505961</c:v>
                </c:pt>
                <c:pt idx="105">
                  <c:v>6809976.2314596782</c:v>
                </c:pt>
                <c:pt idx="106">
                  <c:v>6979814.3783213412</c:v>
                </c:pt>
                <c:pt idx="107">
                  <c:v>7820643.6787094073</c:v>
                </c:pt>
                <c:pt idx="108">
                  <c:v>8414247.3551311716</c:v>
                </c:pt>
                <c:pt idx="109">
                  <c:v>7639746.6651608031</c:v>
                </c:pt>
                <c:pt idx="110">
                  <c:v>7525756.9889692171</c:v>
                </c:pt>
                <c:pt idx="111">
                  <c:v>6717610.9367753845</c:v>
                </c:pt>
                <c:pt idx="112">
                  <c:v>6603165.4316230323</c:v>
                </c:pt>
                <c:pt idx="113">
                  <c:v>7364088.3543032724</c:v>
                </c:pt>
                <c:pt idx="114">
                  <c:v>8433063.597521713</c:v>
                </c:pt>
                <c:pt idx="115">
                  <c:v>7825495.2458490711</c:v>
                </c:pt>
                <c:pt idx="116">
                  <c:v>7001597.0059862509</c:v>
                </c:pt>
                <c:pt idx="117">
                  <c:v>6906855.8545037396</c:v>
                </c:pt>
                <c:pt idx="118">
                  <c:v>7316260.9210020807</c:v>
                </c:pt>
                <c:pt idx="119">
                  <c:v>8217284.0807144744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7E-41C9-905E-D5A61807D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WRZ General Service 50 to 2,999 kW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876691919191918"/>
          <c:y val="0.12168194444444444"/>
          <c:w val="0.84935037878787867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'WRZ GS 50-2,999'!$D$1</c:f>
              <c:strCache>
                <c:ptCount val="1"/>
                <c:pt idx="0">
                  <c:v>WRZ_GS50to2999kWh_No_CDM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'WRZ GS 50-2,999'!$A$2:$A$121</c:f>
              <c:numCache>
                <c:formatCode>mmm\-yy</c:formatCode>
                <c:ptCount val="12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</c:numCache>
            </c:numRef>
          </c:cat>
          <c:val>
            <c:numRef>
              <c:f>'WRZ GS 50-2,999'!$D$2:$D$121</c:f>
              <c:numCache>
                <c:formatCode>_-* #,##0_-;\-* #,##0_-;_-* "-"??_-;_-@_-</c:formatCode>
                <c:ptCount val="120"/>
                <c:pt idx="0">
                  <c:v>30843852.615811039</c:v>
                </c:pt>
                <c:pt idx="1">
                  <c:v>30235393.502081621</c:v>
                </c:pt>
                <c:pt idx="2">
                  <c:v>29351880.410567749</c:v>
                </c:pt>
                <c:pt idx="3">
                  <c:v>28131199.592845537</c:v>
                </c:pt>
                <c:pt idx="4">
                  <c:v>27887826.231142532</c:v>
                </c:pt>
                <c:pt idx="5">
                  <c:v>28898634.748755053</c:v>
                </c:pt>
                <c:pt idx="6">
                  <c:v>29492405.211729325</c:v>
                </c:pt>
                <c:pt idx="7">
                  <c:v>31490742.202473037</c:v>
                </c:pt>
                <c:pt idx="8">
                  <c:v>29498749.821856793</c:v>
                </c:pt>
                <c:pt idx="9">
                  <c:v>28378040.097499937</c:v>
                </c:pt>
                <c:pt idx="10">
                  <c:v>27564789.38004791</c:v>
                </c:pt>
                <c:pt idx="11">
                  <c:v>27986393.377696451</c:v>
                </c:pt>
                <c:pt idx="12">
                  <c:v>29882819.409545325</c:v>
                </c:pt>
                <c:pt idx="13">
                  <c:v>27283341.26792654</c:v>
                </c:pt>
                <c:pt idx="14">
                  <c:v>28468201.331051078</c:v>
                </c:pt>
                <c:pt idx="15">
                  <c:v>26922782.381266579</c:v>
                </c:pt>
                <c:pt idx="16">
                  <c:v>26797728.323706638</c:v>
                </c:pt>
                <c:pt idx="17">
                  <c:v>28226505.817032319</c:v>
                </c:pt>
                <c:pt idx="18">
                  <c:v>27675271.090604164</c:v>
                </c:pt>
                <c:pt idx="19">
                  <c:v>28599413.156730805</c:v>
                </c:pt>
                <c:pt idx="20">
                  <c:v>29212333.29070494</c:v>
                </c:pt>
                <c:pt idx="21">
                  <c:v>27215513.618014403</c:v>
                </c:pt>
                <c:pt idx="22">
                  <c:v>28848071.770601567</c:v>
                </c:pt>
                <c:pt idx="23">
                  <c:v>29396179.953810159</c:v>
                </c:pt>
                <c:pt idx="24">
                  <c:v>32811608.305590458</c:v>
                </c:pt>
                <c:pt idx="25">
                  <c:v>28448522.450221829</c:v>
                </c:pt>
                <c:pt idx="26">
                  <c:v>28693158.336072054</c:v>
                </c:pt>
                <c:pt idx="27">
                  <c:v>27590400.876980819</c:v>
                </c:pt>
                <c:pt idx="28">
                  <c:v>27516810.807862565</c:v>
                </c:pt>
                <c:pt idx="29">
                  <c:v>28125707.035952359</c:v>
                </c:pt>
                <c:pt idx="30">
                  <c:v>29630412.0229734</c:v>
                </c:pt>
                <c:pt idx="31">
                  <c:v>30927685.411075201</c:v>
                </c:pt>
                <c:pt idx="32">
                  <c:v>30565508.01562852</c:v>
                </c:pt>
                <c:pt idx="33">
                  <c:v>28239750.328377575</c:v>
                </c:pt>
                <c:pt idx="34">
                  <c:v>28258256.201618973</c:v>
                </c:pt>
                <c:pt idx="35">
                  <c:v>28639918.729318488</c:v>
                </c:pt>
                <c:pt idx="36">
                  <c:v>30583890.625875287</c:v>
                </c:pt>
                <c:pt idx="37">
                  <c:v>29919475.508018777</c:v>
                </c:pt>
                <c:pt idx="38">
                  <c:v>29177700.980975837</c:v>
                </c:pt>
                <c:pt idx="39">
                  <c:v>27823303.88053152</c:v>
                </c:pt>
                <c:pt idx="40">
                  <c:v>26769079.143941894</c:v>
                </c:pt>
                <c:pt idx="41">
                  <c:v>27247207.646619752</c:v>
                </c:pt>
                <c:pt idx="42">
                  <c:v>30235453.019907042</c:v>
                </c:pt>
                <c:pt idx="43">
                  <c:v>30625745.192353752</c:v>
                </c:pt>
                <c:pt idx="44">
                  <c:v>28006360.511002794</c:v>
                </c:pt>
                <c:pt idx="45">
                  <c:v>27168041.974353127</c:v>
                </c:pt>
                <c:pt idx="46">
                  <c:v>28167253.96187038</c:v>
                </c:pt>
                <c:pt idx="47">
                  <c:v>29039341.006727766</c:v>
                </c:pt>
                <c:pt idx="48">
                  <c:v>30668364.111504901</c:v>
                </c:pt>
                <c:pt idx="49">
                  <c:v>28703003.715840835</c:v>
                </c:pt>
                <c:pt idx="50">
                  <c:v>27710384.046685323</c:v>
                </c:pt>
                <c:pt idx="51">
                  <c:v>25000248.061708741</c:v>
                </c:pt>
                <c:pt idx="52">
                  <c:v>24388113.176702131</c:v>
                </c:pt>
                <c:pt idx="53">
                  <c:v>28918574.4033737</c:v>
                </c:pt>
                <c:pt idx="54">
                  <c:v>29561488.452621069</c:v>
                </c:pt>
                <c:pt idx="55">
                  <c:v>28647072.719821006</c:v>
                </c:pt>
                <c:pt idx="56">
                  <c:v>26313202.783478461</c:v>
                </c:pt>
                <c:pt idx="57">
                  <c:v>26266410.745664895</c:v>
                </c:pt>
                <c:pt idx="58">
                  <c:v>26688674.621390801</c:v>
                </c:pt>
                <c:pt idx="59">
                  <c:v>29542203.236834507</c:v>
                </c:pt>
                <c:pt idx="60">
                  <c:v>29024209.879696224</c:v>
                </c:pt>
                <c:pt idx="61">
                  <c:v>27383449.558295596</c:v>
                </c:pt>
                <c:pt idx="62">
                  <c:v>28051255.486069389</c:v>
                </c:pt>
                <c:pt idx="63">
                  <c:v>24675867.120237663</c:v>
                </c:pt>
                <c:pt idx="64">
                  <c:v>24808278.454195786</c:v>
                </c:pt>
                <c:pt idx="65">
                  <c:v>27291992.618535176</c:v>
                </c:pt>
                <c:pt idx="66">
                  <c:v>28292000.297134548</c:v>
                </c:pt>
                <c:pt idx="67">
                  <c:v>30547441.198189639</c:v>
                </c:pt>
                <c:pt idx="68">
                  <c:v>26774641.537251331</c:v>
                </c:pt>
                <c:pt idx="69">
                  <c:v>26929954.150104683</c:v>
                </c:pt>
                <c:pt idx="70">
                  <c:v>27602290.887845457</c:v>
                </c:pt>
                <c:pt idx="71">
                  <c:v>29161153.809915259</c:v>
                </c:pt>
                <c:pt idx="72">
                  <c:v>30686239.483162697</c:v>
                </c:pt>
                <c:pt idx="73">
                  <c:v>28370529.540817738</c:v>
                </c:pt>
                <c:pt idx="74">
                  <c:v>29954508.427052781</c:v>
                </c:pt>
                <c:pt idx="75">
                  <c:v>26938308.801129319</c:v>
                </c:pt>
                <c:pt idx="76">
                  <c:v>27035905.065929353</c:v>
                </c:pt>
                <c:pt idx="77">
                  <c:v>27655496.46492333</c:v>
                </c:pt>
                <c:pt idx="78">
                  <c:v>29984020.638459489</c:v>
                </c:pt>
                <c:pt idx="79">
                  <c:v>31371085.271917589</c:v>
                </c:pt>
                <c:pt idx="80">
                  <c:v>28041075.671812195</c:v>
                </c:pt>
                <c:pt idx="81">
                  <c:v>27173004.881673779</c:v>
                </c:pt>
                <c:pt idx="82">
                  <c:v>28201099.173492737</c:v>
                </c:pt>
                <c:pt idx="83">
                  <c:v>29983452.957356121</c:v>
                </c:pt>
                <c:pt idx="84">
                  <c:v>30620248.846673649</c:v>
                </c:pt>
                <c:pt idx="85">
                  <c:v>28806353.346567009</c:v>
                </c:pt>
                <c:pt idx="86">
                  <c:v>30164073.260450158</c:v>
                </c:pt>
                <c:pt idx="87">
                  <c:v>26569773.62464853</c:v>
                </c:pt>
                <c:pt idx="88">
                  <c:v>27252991.543935463</c:v>
                </c:pt>
                <c:pt idx="89">
                  <c:v>28586220.679073494</c:v>
                </c:pt>
                <c:pt idx="90">
                  <c:v>30529032.349186007</c:v>
                </c:pt>
                <c:pt idx="91">
                  <c:v>30212310.704378072</c:v>
                </c:pt>
                <c:pt idx="92">
                  <c:v>28890972.634472579</c:v>
                </c:pt>
                <c:pt idx="93">
                  <c:v>28262268.329802737</c:v>
                </c:pt>
                <c:pt idx="94">
                  <c:v>29001635.393490754</c:v>
                </c:pt>
                <c:pt idx="95">
                  <c:v>29699189.735473577</c:v>
                </c:pt>
                <c:pt idx="96">
                  <c:v>31954341.421856571</c:v>
                </c:pt>
                <c:pt idx="97">
                  <c:v>28926920.90323906</c:v>
                </c:pt>
                <c:pt idx="98">
                  <c:v>29281414.438058954</c:v>
                </c:pt>
                <c:pt idx="99">
                  <c:v>27542086.864502985</c:v>
                </c:pt>
                <c:pt idx="100">
                  <c:v>28231343.706437863</c:v>
                </c:pt>
                <c:pt idx="101">
                  <c:v>29312982.713488318</c:v>
                </c:pt>
                <c:pt idx="102">
                  <c:v>32061130.132427096</c:v>
                </c:pt>
                <c:pt idx="103">
                  <c:v>31790550.471209764</c:v>
                </c:pt>
                <c:pt idx="104">
                  <c:v>29855380.764960915</c:v>
                </c:pt>
                <c:pt idx="105">
                  <c:v>29316651.728781112</c:v>
                </c:pt>
                <c:pt idx="106">
                  <c:v>29420341.540995181</c:v>
                </c:pt>
                <c:pt idx="107">
                  <c:v>32154582.092326634</c:v>
                </c:pt>
                <c:pt idx="108">
                  <c:v>34441247.708394289</c:v>
                </c:pt>
                <c:pt idx="109">
                  <c:v>31351518.386020195</c:v>
                </c:pt>
                <c:pt idx="110">
                  <c:v>32142014.149205998</c:v>
                </c:pt>
                <c:pt idx="111">
                  <c:v>29692880.981740344</c:v>
                </c:pt>
                <c:pt idx="112">
                  <c:v>29355826.839192126</c:v>
                </c:pt>
                <c:pt idx="113">
                  <c:v>30992881.680132356</c:v>
                </c:pt>
                <c:pt idx="114">
                  <c:v>34600164.906542413</c:v>
                </c:pt>
                <c:pt idx="115">
                  <c:v>33236477.541538484</c:v>
                </c:pt>
                <c:pt idx="116">
                  <c:v>31192892.882028393</c:v>
                </c:pt>
                <c:pt idx="117">
                  <c:v>31031142.482500292</c:v>
                </c:pt>
                <c:pt idx="118">
                  <c:v>31333351.994109992</c:v>
                </c:pt>
                <c:pt idx="119">
                  <c:v>34151503.663630225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35-4413-B42D-592DE8E72E58}"/>
            </c:ext>
          </c:extLst>
        </c:ser>
        <c:ser>
          <c:idx val="1"/>
          <c:order val="1"/>
          <c:tx>
            <c:strRef>
              <c:f>'WRZ GS 50-2,999'!$Q$1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'WRZ GS 50-2,999'!$A$2:$A$121</c:f>
              <c:numCache>
                <c:formatCode>mmm\-yy</c:formatCode>
                <c:ptCount val="12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</c:numCache>
            </c:numRef>
          </c:cat>
          <c:val>
            <c:numRef>
              <c:f>'WRZ GS 50-2,999'!$S$2:$S$121</c:f>
              <c:numCache>
                <c:formatCode>_-* #,##0_-;\-* #,##0_-;_-* "-"??_-;_-@_-</c:formatCode>
                <c:ptCount val="120"/>
                <c:pt idx="0">
                  <c:v>30890517.321535826</c:v>
                </c:pt>
                <c:pt idx="1">
                  <c:v>29569141.33707314</c:v>
                </c:pt>
                <c:pt idx="2">
                  <c:v>29650037.902648352</c:v>
                </c:pt>
                <c:pt idx="3">
                  <c:v>28481051.16479069</c:v>
                </c:pt>
                <c:pt idx="4">
                  <c:v>28694723.669054233</c:v>
                </c:pt>
                <c:pt idx="5">
                  <c:v>29320761.328896426</c:v>
                </c:pt>
                <c:pt idx="6">
                  <c:v>31350524.877499022</c:v>
                </c:pt>
                <c:pt idx="7">
                  <c:v>31573360.100392886</c:v>
                </c:pt>
                <c:pt idx="8">
                  <c:v>28916837.208649173</c:v>
                </c:pt>
                <c:pt idx="9">
                  <c:v>28362914.479224518</c:v>
                </c:pt>
                <c:pt idx="10">
                  <c:v>28225127.967727687</c:v>
                </c:pt>
                <c:pt idx="11">
                  <c:v>30433758.604665339</c:v>
                </c:pt>
                <c:pt idx="12">
                  <c:v>30461177.663586192</c:v>
                </c:pt>
                <c:pt idx="13">
                  <c:v>28618986.677619588</c:v>
                </c:pt>
                <c:pt idx="14">
                  <c:v>30302872.428045187</c:v>
                </c:pt>
                <c:pt idx="15">
                  <c:v>27749716.404079147</c:v>
                </c:pt>
                <c:pt idx="16">
                  <c:v>28134519.878357291</c:v>
                </c:pt>
                <c:pt idx="17">
                  <c:v>28791425.940940887</c:v>
                </c:pt>
                <c:pt idx="18">
                  <c:v>30551822.619803727</c:v>
                </c:pt>
                <c:pt idx="19">
                  <c:v>29908155.634016301</c:v>
                </c:pt>
                <c:pt idx="20">
                  <c:v>28779834.59371737</c:v>
                </c:pt>
                <c:pt idx="21">
                  <c:v>28161980.428085152</c:v>
                </c:pt>
                <c:pt idx="22">
                  <c:v>28709396.575358912</c:v>
                </c:pt>
                <c:pt idx="23">
                  <c:v>31357505.804293811</c:v>
                </c:pt>
                <c:pt idx="24">
                  <c:v>31467422.643029109</c:v>
                </c:pt>
                <c:pt idx="25">
                  <c:v>28977975.545892756</c:v>
                </c:pt>
                <c:pt idx="26">
                  <c:v>30053916.649661828</c:v>
                </c:pt>
                <c:pt idx="27">
                  <c:v>28786393.639029168</c:v>
                </c:pt>
                <c:pt idx="28">
                  <c:v>28724439.118332587</c:v>
                </c:pt>
                <c:pt idx="29">
                  <c:v>29231996.905488193</c:v>
                </c:pt>
                <c:pt idx="30">
                  <c:v>31430023.246573482</c:v>
                </c:pt>
                <c:pt idx="31">
                  <c:v>31367593.631613012</c:v>
                </c:pt>
                <c:pt idx="32">
                  <c:v>29090824.698691681</c:v>
                </c:pt>
                <c:pt idx="33">
                  <c:v>28514963.450299922</c:v>
                </c:pt>
                <c:pt idx="34">
                  <c:v>29180692.45892347</c:v>
                </c:pt>
                <c:pt idx="35">
                  <c:v>30191006.543182645</c:v>
                </c:pt>
                <c:pt idx="36">
                  <c:v>31702067.440302998</c:v>
                </c:pt>
                <c:pt idx="37">
                  <c:v>29469185.818995889</c:v>
                </c:pt>
                <c:pt idx="38">
                  <c:v>30401149.461183753</c:v>
                </c:pt>
                <c:pt idx="39">
                  <c:v>28141116.437135208</c:v>
                </c:pt>
                <c:pt idx="40">
                  <c:v>27768320.412878573</c:v>
                </c:pt>
                <c:pt idx="41">
                  <c:v>28908707.465410147</c:v>
                </c:pt>
                <c:pt idx="42">
                  <c:v>31479478.6695325</c:v>
                </c:pt>
                <c:pt idx="43">
                  <c:v>30432440.252425332</c:v>
                </c:pt>
                <c:pt idx="44">
                  <c:v>28248979.981278289</c:v>
                </c:pt>
                <c:pt idx="45">
                  <c:v>27855904.661626909</c:v>
                </c:pt>
                <c:pt idx="46">
                  <c:v>29388275.866556898</c:v>
                </c:pt>
                <c:pt idx="47">
                  <c:v>30424807.093358647</c:v>
                </c:pt>
                <c:pt idx="48">
                  <c:v>30551199.940095481</c:v>
                </c:pt>
                <c:pt idx="49">
                  <c:v>29721439.147905987</c:v>
                </c:pt>
                <c:pt idx="50">
                  <c:v>27658699.683728892</c:v>
                </c:pt>
                <c:pt idx="51">
                  <c:v>24735141.479588974</c:v>
                </c:pt>
                <c:pt idx="52">
                  <c:v>25252299.134728901</c:v>
                </c:pt>
                <c:pt idx="53">
                  <c:v>27850824.85578477</c:v>
                </c:pt>
                <c:pt idx="54">
                  <c:v>30470909.362597212</c:v>
                </c:pt>
                <c:pt idx="55">
                  <c:v>29086187.163454834</c:v>
                </c:pt>
                <c:pt idx="56">
                  <c:v>26479253.40190338</c:v>
                </c:pt>
                <c:pt idx="57">
                  <c:v>26343394.068278331</c:v>
                </c:pt>
                <c:pt idx="58">
                  <c:v>26411712.545720212</c:v>
                </c:pt>
                <c:pt idx="59">
                  <c:v>28444516.269792717</c:v>
                </c:pt>
                <c:pt idx="60">
                  <c:v>29008368.352896404</c:v>
                </c:pt>
                <c:pt idx="61">
                  <c:v>27861226.481412489</c:v>
                </c:pt>
                <c:pt idx="62">
                  <c:v>27762572.499547977</c:v>
                </c:pt>
                <c:pt idx="63">
                  <c:v>26228039.619683735</c:v>
                </c:pt>
                <c:pt idx="64">
                  <c:v>26793649.357734747</c:v>
                </c:pt>
                <c:pt idx="65">
                  <c:v>28114136.900677226</c:v>
                </c:pt>
                <c:pt idx="66">
                  <c:v>28725766.330209196</c:v>
                </c:pt>
                <c:pt idx="67">
                  <c:v>29827925.37734909</c:v>
                </c:pt>
                <c:pt idx="68">
                  <c:v>26775295.399171971</c:v>
                </c:pt>
                <c:pt idx="69">
                  <c:v>26631897.262866586</c:v>
                </c:pt>
                <c:pt idx="70">
                  <c:v>27017483.616261587</c:v>
                </c:pt>
                <c:pt idx="71">
                  <c:v>28074073.01234369</c:v>
                </c:pt>
                <c:pt idx="72">
                  <c:v>31244962.254077863</c:v>
                </c:pt>
                <c:pt idx="73">
                  <c:v>28627350.098664634</c:v>
                </c:pt>
                <c:pt idx="74">
                  <c:v>29056209.764933269</c:v>
                </c:pt>
                <c:pt idx="75">
                  <c:v>27223551.610277496</c:v>
                </c:pt>
                <c:pt idx="76">
                  <c:v>27726471.849638015</c:v>
                </c:pt>
                <c:pt idx="77">
                  <c:v>28080774.529276844</c:v>
                </c:pt>
                <c:pt idx="78">
                  <c:v>30041554.780085552</c:v>
                </c:pt>
                <c:pt idx="79">
                  <c:v>30138756.220335715</c:v>
                </c:pt>
                <c:pt idx="80">
                  <c:v>27641505.632266391</c:v>
                </c:pt>
                <c:pt idx="81">
                  <c:v>27100976.670385089</c:v>
                </c:pt>
                <c:pt idx="82">
                  <c:v>27757439.908258878</c:v>
                </c:pt>
                <c:pt idx="83">
                  <c:v>29374534.669727251</c:v>
                </c:pt>
                <c:pt idx="84">
                  <c:v>30416345.443411943</c:v>
                </c:pt>
                <c:pt idx="85">
                  <c:v>29030156.15841011</c:v>
                </c:pt>
                <c:pt idx="86">
                  <c:v>30002294.513968457</c:v>
                </c:pt>
                <c:pt idx="87">
                  <c:v>28099267.561286118</c:v>
                </c:pt>
                <c:pt idx="88">
                  <c:v>28221048.656300284</c:v>
                </c:pt>
                <c:pt idx="89">
                  <c:v>29332621.161119893</c:v>
                </c:pt>
                <c:pt idx="90">
                  <c:v>30952416.614419963</c:v>
                </c:pt>
                <c:pt idx="91">
                  <c:v>30080771.381558485</c:v>
                </c:pt>
                <c:pt idx="92">
                  <c:v>28714484.540073536</c:v>
                </c:pt>
                <c:pt idx="93">
                  <c:v>28353506.331930798</c:v>
                </c:pt>
                <c:pt idx="94">
                  <c:v>28838078.689104598</c:v>
                </c:pt>
                <c:pt idx="95">
                  <c:v>29526819.099882241</c:v>
                </c:pt>
                <c:pt idx="96">
                  <c:v>30699883.906253975</c:v>
                </c:pt>
                <c:pt idx="97">
                  <c:v>29197430.813389473</c:v>
                </c:pt>
                <c:pt idx="98">
                  <c:v>29312005.160712164</c:v>
                </c:pt>
                <c:pt idx="99">
                  <c:v>27773800.22042606</c:v>
                </c:pt>
                <c:pt idx="100">
                  <c:v>28445846.352651101</c:v>
                </c:pt>
                <c:pt idx="101">
                  <c:v>29341510.15874074</c:v>
                </c:pt>
                <c:pt idx="102">
                  <c:v>31222960.498525709</c:v>
                </c:pt>
                <c:pt idx="103">
                  <c:v>30618358.654422913</c:v>
                </c:pt>
                <c:pt idx="104">
                  <c:v>28849742.144052356</c:v>
                </c:pt>
                <c:pt idx="105">
                  <c:v>28103127.755131837</c:v>
                </c:pt>
                <c:pt idx="106">
                  <c:v>28385039.734314349</c:v>
                </c:pt>
                <c:pt idx="107">
                  <c:v>30407389.700839818</c:v>
                </c:pt>
                <c:pt idx="108">
                  <c:v>31482504.154050089</c:v>
                </c:pt>
                <c:pt idx="109">
                  <c:v>29806374.825958956</c:v>
                </c:pt>
                <c:pt idx="110">
                  <c:v>29797438.495544635</c:v>
                </c:pt>
                <c:pt idx="111">
                  <c:v>28179631.002208568</c:v>
                </c:pt>
                <c:pt idx="112">
                  <c:v>28057954.178003289</c:v>
                </c:pt>
                <c:pt idx="113">
                  <c:v>29674226.712772097</c:v>
                </c:pt>
                <c:pt idx="114">
                  <c:v>31716142.580628388</c:v>
                </c:pt>
                <c:pt idx="115">
                  <c:v>30588520.605511829</c:v>
                </c:pt>
                <c:pt idx="116">
                  <c:v>28572066.120989677</c:v>
                </c:pt>
                <c:pt idx="117">
                  <c:v>28275153.035521012</c:v>
                </c:pt>
                <c:pt idx="118">
                  <c:v>28961548.642068308</c:v>
                </c:pt>
                <c:pt idx="119">
                  <c:v>31091854.364876579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35-4413-B42D-592DE8E72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Weather!$T$1</c:f>
              <c:strCache>
                <c:ptCount val="1"/>
                <c:pt idx="0">
                  <c:v> VRZ_SeasonalReskWh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Weather!$Q$14:$Q$145</c:f>
              <c:numCache>
                <c:formatCode>0</c:formatCode>
                <c:ptCount val="132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  <c:pt idx="120">
                  <c:v>-5.6266129032258068</c:v>
                </c:pt>
                <c:pt idx="121">
                  <c:v>-5.7592261904761912</c:v>
                </c:pt>
                <c:pt idx="122">
                  <c:v>1.2700268817204301</c:v>
                </c:pt>
                <c:pt idx="123">
                  <c:v>6.2719444444444443</c:v>
                </c:pt>
                <c:pt idx="124">
                  <c:v>12.868682795698925</c:v>
                </c:pt>
                <c:pt idx="125">
                  <c:v>19.441388888888891</c:v>
                </c:pt>
                <c:pt idx="126">
                  <c:v>22.816599462365595</c:v>
                </c:pt>
                <c:pt idx="127">
                  <c:v>20.383467741935487</c:v>
                </c:pt>
                <c:pt idx="128">
                  <c:v>17.070277777777775</c:v>
                </c:pt>
                <c:pt idx="129">
                  <c:v>10.918682795698926</c:v>
                </c:pt>
                <c:pt idx="130">
                  <c:v>2.6462499999999998</c:v>
                </c:pt>
                <c:pt idx="131">
                  <c:v>-4.0064516129032253</c:v>
                </c:pt>
              </c:numCache>
            </c:numRef>
          </c:xVal>
          <c:yVal>
            <c:numRef>
              <c:f>Weather!$T$14:$T$145</c:f>
              <c:numCache>
                <c:formatCode>_-* #,##0_-;\-* #,##0_-;_-* "-"??_-;_-@_-</c:formatCode>
                <c:ptCount val="132"/>
                <c:pt idx="12">
                  <c:v>924771.20503720664</c:v>
                </c:pt>
                <c:pt idx="13">
                  <c:v>884883.73710169818</c:v>
                </c:pt>
                <c:pt idx="14">
                  <c:v>771186.06976722099</c:v>
                </c:pt>
                <c:pt idx="15">
                  <c:v>644320.35460789921</c:v>
                </c:pt>
                <c:pt idx="16">
                  <c:v>628366.47031100933</c:v>
                </c:pt>
                <c:pt idx="17">
                  <c:v>611305.16543598648</c:v>
                </c:pt>
                <c:pt idx="18">
                  <c:v>937897.66052280192</c:v>
                </c:pt>
                <c:pt idx="19">
                  <c:v>923727.44066017843</c:v>
                </c:pt>
                <c:pt idx="20">
                  <c:v>623418.73019462032</c:v>
                </c:pt>
                <c:pt idx="21">
                  <c:v>695768.63185460784</c:v>
                </c:pt>
                <c:pt idx="22">
                  <c:v>568227.3082808624</c:v>
                </c:pt>
                <c:pt idx="23">
                  <c:v>837700.0414901746</c:v>
                </c:pt>
                <c:pt idx="24">
                  <c:v>878051.2710742224</c:v>
                </c:pt>
                <c:pt idx="25">
                  <c:v>798355.14911276568</c:v>
                </c:pt>
                <c:pt idx="26">
                  <c:v>878726.28685365384</c:v>
                </c:pt>
                <c:pt idx="27">
                  <c:v>594145.12858233065</c:v>
                </c:pt>
                <c:pt idx="28">
                  <c:v>685175.75076321315</c:v>
                </c:pt>
                <c:pt idx="29">
                  <c:v>623119.48953443998</c:v>
                </c:pt>
                <c:pt idx="30">
                  <c:v>945558.65553329419</c:v>
                </c:pt>
                <c:pt idx="31">
                  <c:v>962190.88470711792</c:v>
                </c:pt>
                <c:pt idx="32">
                  <c:v>695787.52546269796</c:v>
                </c:pt>
                <c:pt idx="33">
                  <c:v>626632.5452108368</c:v>
                </c:pt>
                <c:pt idx="34">
                  <c:v>713353.19553520321</c:v>
                </c:pt>
                <c:pt idx="35">
                  <c:v>1055766.9901450106</c:v>
                </c:pt>
                <c:pt idx="36">
                  <c:v>1114965.4943140622</c:v>
                </c:pt>
                <c:pt idx="37">
                  <c:v>900637.66719137563</c:v>
                </c:pt>
                <c:pt idx="38">
                  <c:v>867100.11301278486</c:v>
                </c:pt>
                <c:pt idx="39">
                  <c:v>750415.51834573643</c:v>
                </c:pt>
                <c:pt idx="40">
                  <c:v>613334.78465941607</c:v>
                </c:pt>
                <c:pt idx="41">
                  <c:v>646738.79149971472</c:v>
                </c:pt>
                <c:pt idx="42">
                  <c:v>961128.55411181075</c:v>
                </c:pt>
                <c:pt idx="43">
                  <c:v>969442.12606372824</c:v>
                </c:pt>
                <c:pt idx="44">
                  <c:v>683917.70233734022</c:v>
                </c:pt>
                <c:pt idx="45">
                  <c:v>817269.26046556002</c:v>
                </c:pt>
                <c:pt idx="46">
                  <c:v>774707.25074413186</c:v>
                </c:pt>
                <c:pt idx="47">
                  <c:v>934056.20900591486</c:v>
                </c:pt>
                <c:pt idx="48">
                  <c:v>1138205.613442091</c:v>
                </c:pt>
                <c:pt idx="49">
                  <c:v>994696.31451058958</c:v>
                </c:pt>
                <c:pt idx="50">
                  <c:v>976089.02015836665</c:v>
                </c:pt>
                <c:pt idx="51">
                  <c:v>713464.16530242318</c:v>
                </c:pt>
                <c:pt idx="52">
                  <c:v>726305.91535966424</c:v>
                </c:pt>
                <c:pt idx="53">
                  <c:v>689785.72920244129</c:v>
                </c:pt>
                <c:pt idx="54">
                  <c:v>930957.99955161137</c:v>
                </c:pt>
                <c:pt idx="55">
                  <c:v>926557.75290020986</c:v>
                </c:pt>
                <c:pt idx="56">
                  <c:v>651162.71957641665</c:v>
                </c:pt>
                <c:pt idx="57">
                  <c:v>778208.35214653681</c:v>
                </c:pt>
                <c:pt idx="58">
                  <c:v>850000.97805762349</c:v>
                </c:pt>
                <c:pt idx="59">
                  <c:v>983455.6204445716</c:v>
                </c:pt>
                <c:pt idx="60">
                  <c:v>1012550.1261305095</c:v>
                </c:pt>
                <c:pt idx="61">
                  <c:v>979926.56485403539</c:v>
                </c:pt>
                <c:pt idx="62">
                  <c:v>927186.65481778386</c:v>
                </c:pt>
                <c:pt idx="63">
                  <c:v>895993.68644342676</c:v>
                </c:pt>
                <c:pt idx="64">
                  <c:v>929757.15446479584</c:v>
                </c:pt>
                <c:pt idx="65">
                  <c:v>851972.03507918329</c:v>
                </c:pt>
                <c:pt idx="66">
                  <c:v>1106021.9538160656</c:v>
                </c:pt>
                <c:pt idx="67">
                  <c:v>1055259.6184792977</c:v>
                </c:pt>
                <c:pt idx="68">
                  <c:v>911575.26005533396</c:v>
                </c:pt>
                <c:pt idx="69">
                  <c:v>1074065.4074699485</c:v>
                </c:pt>
                <c:pt idx="70">
                  <c:v>867909.25951154449</c:v>
                </c:pt>
                <c:pt idx="71">
                  <c:v>1198107.4895821407</c:v>
                </c:pt>
                <c:pt idx="72">
                  <c:v>1311403.7624976148</c:v>
                </c:pt>
                <c:pt idx="73">
                  <c:v>1283763.8936653312</c:v>
                </c:pt>
                <c:pt idx="74">
                  <c:v>1081067.1783915283</c:v>
                </c:pt>
                <c:pt idx="75">
                  <c:v>899605.76623736019</c:v>
                </c:pt>
                <c:pt idx="76">
                  <c:v>914410.77193283814</c:v>
                </c:pt>
                <c:pt idx="77">
                  <c:v>792059.19448578509</c:v>
                </c:pt>
                <c:pt idx="78">
                  <c:v>1043125.9351841252</c:v>
                </c:pt>
                <c:pt idx="79">
                  <c:v>1097167.1759778666</c:v>
                </c:pt>
                <c:pt idx="80">
                  <c:v>787526.24589772942</c:v>
                </c:pt>
                <c:pt idx="81">
                  <c:v>793244.78573745571</c:v>
                </c:pt>
                <c:pt idx="82">
                  <c:v>878195.21557908703</c:v>
                </c:pt>
                <c:pt idx="83">
                  <c:v>1133289.2156363288</c:v>
                </c:pt>
                <c:pt idx="84">
                  <c:v>1529434.013318069</c:v>
                </c:pt>
                <c:pt idx="85">
                  <c:v>1268709.5322934552</c:v>
                </c:pt>
                <c:pt idx="86">
                  <c:v>1185788.6020797556</c:v>
                </c:pt>
                <c:pt idx="87">
                  <c:v>907389.20660179353</c:v>
                </c:pt>
                <c:pt idx="88">
                  <c:v>750002.16820263315</c:v>
                </c:pt>
                <c:pt idx="89">
                  <c:v>737246.0321312726</c:v>
                </c:pt>
                <c:pt idx="90">
                  <c:v>1008134.2184125168</c:v>
                </c:pt>
                <c:pt idx="91">
                  <c:v>988710.47961266933</c:v>
                </c:pt>
                <c:pt idx="92">
                  <c:v>772425.06958595791</c:v>
                </c:pt>
                <c:pt idx="93">
                  <c:v>935022.64652738022</c:v>
                </c:pt>
                <c:pt idx="94">
                  <c:v>833193.15228010016</c:v>
                </c:pt>
                <c:pt idx="95">
                  <c:v>1104781.1542644533</c:v>
                </c:pt>
                <c:pt idx="96">
                  <c:v>1183331.273602366</c:v>
                </c:pt>
                <c:pt idx="97">
                  <c:v>1139015.808204541</c:v>
                </c:pt>
                <c:pt idx="98">
                  <c:v>1103586.8556096165</c:v>
                </c:pt>
                <c:pt idx="99">
                  <c:v>826581.61589391239</c:v>
                </c:pt>
                <c:pt idx="100">
                  <c:v>839862.96407174203</c:v>
                </c:pt>
                <c:pt idx="101">
                  <c:v>745334.07372638804</c:v>
                </c:pt>
                <c:pt idx="102">
                  <c:v>1054801.3488933409</c:v>
                </c:pt>
                <c:pt idx="103">
                  <c:v>1002464.600114482</c:v>
                </c:pt>
                <c:pt idx="104">
                  <c:v>770093.87931692414</c:v>
                </c:pt>
                <c:pt idx="105">
                  <c:v>850548.2569452395</c:v>
                </c:pt>
                <c:pt idx="106">
                  <c:v>967766.43796031293</c:v>
                </c:pt>
                <c:pt idx="107">
                  <c:v>1129486.2762831522</c:v>
                </c:pt>
                <c:pt idx="108">
                  <c:v>1261309.065962153</c:v>
                </c:pt>
                <c:pt idx="109">
                  <c:v>1173326.1126721017</c:v>
                </c:pt>
                <c:pt idx="110">
                  <c:v>1096849.7009658553</c:v>
                </c:pt>
                <c:pt idx="111">
                  <c:v>844020.64371050405</c:v>
                </c:pt>
                <c:pt idx="112">
                  <c:v>812558.96621492365</c:v>
                </c:pt>
                <c:pt idx="113">
                  <c:v>741786.65862688201</c:v>
                </c:pt>
                <c:pt idx="114">
                  <c:v>1047764.459532844</c:v>
                </c:pt>
                <c:pt idx="115">
                  <c:v>1074959.4891657406</c:v>
                </c:pt>
                <c:pt idx="116">
                  <c:v>780659.6748793741</c:v>
                </c:pt>
                <c:pt idx="117">
                  <c:v>886658.96138064028</c:v>
                </c:pt>
                <c:pt idx="118">
                  <c:v>865931.50661536399</c:v>
                </c:pt>
                <c:pt idx="119">
                  <c:v>1082476.2321901717</c:v>
                </c:pt>
                <c:pt idx="120">
                  <c:v>1471230.897099789</c:v>
                </c:pt>
                <c:pt idx="121">
                  <c:v>1309984.5100267113</c:v>
                </c:pt>
                <c:pt idx="122">
                  <c:v>1044420.0181930928</c:v>
                </c:pt>
                <c:pt idx="123">
                  <c:v>766292.33664377034</c:v>
                </c:pt>
                <c:pt idx="124">
                  <c:v>850940.45957832469</c:v>
                </c:pt>
                <c:pt idx="125">
                  <c:v>845710.63911467255</c:v>
                </c:pt>
                <c:pt idx="126">
                  <c:v>1140410.2001049407</c:v>
                </c:pt>
                <c:pt idx="127">
                  <c:v>1186401.2925300517</c:v>
                </c:pt>
                <c:pt idx="128">
                  <c:v>751315.43091013143</c:v>
                </c:pt>
                <c:pt idx="129">
                  <c:v>904992.74967563467</c:v>
                </c:pt>
                <c:pt idx="130">
                  <c:v>1017061.904197672</c:v>
                </c:pt>
                <c:pt idx="131">
                  <c:v>1415249.35056287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4E-4C7A-AF24-4A57A8213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582192"/>
        <c:axId val="523582672"/>
      </c:scatterChart>
      <c:valAx>
        <c:axId val="5235821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672"/>
        <c:crosses val="autoZero"/>
        <c:crossBetween val="midCat"/>
      </c:valAx>
      <c:valAx>
        <c:axId val="52358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WRZ General Service 3,000 to 4,999 kW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CA"/>
        </a:p>
      </c:txPr>
    </c:title>
    <c:autoTitleDeleted val="0"/>
    <c:plotArea>
      <c:layout>
        <c:manualLayout>
          <c:layoutTarget val="inner"/>
          <c:xMode val="edge"/>
          <c:yMode val="edge"/>
          <c:x val="0.12876691919191918"/>
          <c:y val="0.12520972222222221"/>
          <c:w val="0.85519772727272725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'WRZ GS 3,000-4,999'!$D$1</c:f>
              <c:strCache>
                <c:ptCount val="1"/>
                <c:pt idx="0">
                  <c:v>WRZ_GS3000to4999kWh_No_CDM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'WRZ GS 3,000-4,999'!$A$2:$A$121</c:f>
              <c:numCache>
                <c:formatCode>mmm\-yy</c:formatCode>
                <c:ptCount val="12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</c:numCache>
            </c:numRef>
          </c:cat>
          <c:val>
            <c:numRef>
              <c:f>'WRZ GS 3,000-4,999'!$D$2:$D$121</c:f>
              <c:numCache>
                <c:formatCode>_-* #,##0_-;\-* #,##0_-;_-* "-"??_-;_-@_-</c:formatCode>
                <c:ptCount val="120"/>
                <c:pt idx="0">
                  <c:v>5141689.2920646761</c:v>
                </c:pt>
                <c:pt idx="1">
                  <c:v>4809699.1898330748</c:v>
                </c:pt>
                <c:pt idx="2">
                  <c:v>5130404.1213526772</c:v>
                </c:pt>
                <c:pt idx="3">
                  <c:v>5035884.4723515455</c:v>
                </c:pt>
                <c:pt idx="4">
                  <c:v>5183993.704739036</c:v>
                </c:pt>
                <c:pt idx="5">
                  <c:v>5038786.8233367484</c:v>
                </c:pt>
                <c:pt idx="6">
                  <c:v>5334136.6439595334</c:v>
                </c:pt>
                <c:pt idx="7">
                  <c:v>5472457.9399921549</c:v>
                </c:pt>
                <c:pt idx="8">
                  <c:v>5238661.4443179285</c:v>
                </c:pt>
                <c:pt idx="9">
                  <c:v>5260263.3382290453</c:v>
                </c:pt>
                <c:pt idx="10">
                  <c:v>4992603.8049463341</c:v>
                </c:pt>
                <c:pt idx="11">
                  <c:v>4898980.9351158887</c:v>
                </c:pt>
                <c:pt idx="12">
                  <c:v>5119997.4039993146</c:v>
                </c:pt>
                <c:pt idx="13">
                  <c:v>4601619.7228876669</c:v>
                </c:pt>
                <c:pt idx="14">
                  <c:v>5259281.1449582772</c:v>
                </c:pt>
                <c:pt idx="15">
                  <c:v>5084683.9074339001</c:v>
                </c:pt>
                <c:pt idx="16">
                  <c:v>5243483.5551554263</c:v>
                </c:pt>
                <c:pt idx="17">
                  <c:v>5046822.5760688521</c:v>
                </c:pt>
                <c:pt idx="18">
                  <c:v>5118068.3086505514</c:v>
                </c:pt>
                <c:pt idx="19">
                  <c:v>5211369.4607115174</c:v>
                </c:pt>
                <c:pt idx="20">
                  <c:v>5099602.7342768228</c:v>
                </c:pt>
                <c:pt idx="21">
                  <c:v>5235669.247957848</c:v>
                </c:pt>
                <c:pt idx="22">
                  <c:v>5088964.4887362672</c:v>
                </c:pt>
                <c:pt idx="23">
                  <c:v>4788159.170208999</c:v>
                </c:pt>
                <c:pt idx="24">
                  <c:v>5177918.4467225913</c:v>
                </c:pt>
                <c:pt idx="25">
                  <c:v>4743168.4120744802</c:v>
                </c:pt>
                <c:pt idx="26">
                  <c:v>4925871.3668188471</c:v>
                </c:pt>
                <c:pt idx="27">
                  <c:v>6426291.0235882867</c:v>
                </c:pt>
                <c:pt idx="28">
                  <c:v>5941563.32259495</c:v>
                </c:pt>
                <c:pt idx="29">
                  <c:v>6220112.2464810722</c:v>
                </c:pt>
                <c:pt idx="30">
                  <c:v>6392674.0440412536</c:v>
                </c:pt>
                <c:pt idx="31">
                  <c:v>6364814.3179755919</c:v>
                </c:pt>
                <c:pt idx="32">
                  <c:v>6465049.1435010592</c:v>
                </c:pt>
                <c:pt idx="33">
                  <c:v>6295344.9429898821</c:v>
                </c:pt>
                <c:pt idx="34">
                  <c:v>6641521.1474931687</c:v>
                </c:pt>
                <c:pt idx="35">
                  <c:v>6850341.4503571112</c:v>
                </c:pt>
                <c:pt idx="36">
                  <c:v>6907801.7869382352</c:v>
                </c:pt>
                <c:pt idx="37">
                  <c:v>6478625.9176253611</c:v>
                </c:pt>
                <c:pt idx="38">
                  <c:v>7028510.2122469144</c:v>
                </c:pt>
                <c:pt idx="39">
                  <c:v>6635792.0382088702</c:v>
                </c:pt>
                <c:pt idx="40">
                  <c:v>6720394.8959933929</c:v>
                </c:pt>
                <c:pt idx="41">
                  <c:v>6574956.0565744443</c:v>
                </c:pt>
                <c:pt idx="42">
                  <c:v>6769475.7031728523</c:v>
                </c:pt>
                <c:pt idx="43">
                  <c:v>6841267.1337635471</c:v>
                </c:pt>
                <c:pt idx="44">
                  <c:v>6502345.3917409331</c:v>
                </c:pt>
                <c:pt idx="45">
                  <c:v>7017868.9438359672</c:v>
                </c:pt>
                <c:pt idx="46">
                  <c:v>6714473.4506079536</c:v>
                </c:pt>
                <c:pt idx="47">
                  <c:v>6876129.452076179</c:v>
                </c:pt>
                <c:pt idx="48">
                  <c:v>7331990.714216033</c:v>
                </c:pt>
                <c:pt idx="49">
                  <c:v>6829773.7946677273</c:v>
                </c:pt>
                <c:pt idx="50">
                  <c:v>7275369.0159101635</c:v>
                </c:pt>
                <c:pt idx="51">
                  <c:v>7443530.8234592555</c:v>
                </c:pt>
                <c:pt idx="52">
                  <c:v>7607514.4728598408</c:v>
                </c:pt>
                <c:pt idx="53">
                  <c:v>7438554.785712692</c:v>
                </c:pt>
                <c:pt idx="54">
                  <c:v>7827764.0860293815</c:v>
                </c:pt>
                <c:pt idx="55">
                  <c:v>7629281.0044752909</c:v>
                </c:pt>
                <c:pt idx="56">
                  <c:v>6954633.5641941009</c:v>
                </c:pt>
                <c:pt idx="57">
                  <c:v>6913489.8461887073</c:v>
                </c:pt>
                <c:pt idx="58">
                  <c:v>6722600.4965536129</c:v>
                </c:pt>
                <c:pt idx="59">
                  <c:v>7326414.6763302833</c:v>
                </c:pt>
                <c:pt idx="60">
                  <c:v>7897272.6694190977</c:v>
                </c:pt>
                <c:pt idx="61">
                  <c:v>7362682.0108770644</c:v>
                </c:pt>
                <c:pt idx="62">
                  <c:v>7681457.475768012</c:v>
                </c:pt>
                <c:pt idx="63">
                  <c:v>7342324.2617775705</c:v>
                </c:pt>
                <c:pt idx="64">
                  <c:v>7598741.2406511586</c:v>
                </c:pt>
                <c:pt idx="65">
                  <c:v>7414560.4567475058</c:v>
                </c:pt>
                <c:pt idx="66">
                  <c:v>7639183.1154668052</c:v>
                </c:pt>
                <c:pt idx="67">
                  <c:v>7851829.1396634411</c:v>
                </c:pt>
                <c:pt idx="68">
                  <c:v>7602094.9806392472</c:v>
                </c:pt>
                <c:pt idx="69">
                  <c:v>7675653.0202650055</c:v>
                </c:pt>
                <c:pt idx="70">
                  <c:v>7575112.0434973231</c:v>
                </c:pt>
                <c:pt idx="71">
                  <c:v>7578255.4254567362</c:v>
                </c:pt>
                <c:pt idx="72">
                  <c:v>8322920.9923291262</c:v>
                </c:pt>
                <c:pt idx="73">
                  <c:v>7689767.9800311103</c:v>
                </c:pt>
                <c:pt idx="74">
                  <c:v>8523568.1982056126</c:v>
                </c:pt>
                <c:pt idx="75">
                  <c:v>7575683.7587137679</c:v>
                </c:pt>
                <c:pt idx="76">
                  <c:v>7501786.368402251</c:v>
                </c:pt>
                <c:pt idx="77">
                  <c:v>7041647.5991129149</c:v>
                </c:pt>
                <c:pt idx="78">
                  <c:v>7624346.4383095959</c:v>
                </c:pt>
                <c:pt idx="79">
                  <c:v>7919911.400939256</c:v>
                </c:pt>
                <c:pt idx="80">
                  <c:v>7284083.0945235929</c:v>
                </c:pt>
                <c:pt idx="81">
                  <c:v>7816862.2423027232</c:v>
                </c:pt>
                <c:pt idx="82">
                  <c:v>7736024.7652023928</c:v>
                </c:pt>
                <c:pt idx="83">
                  <c:v>7349770.8368002307</c:v>
                </c:pt>
                <c:pt idx="84">
                  <c:v>8004724.5071544191</c:v>
                </c:pt>
                <c:pt idx="85">
                  <c:v>7496516.6737266537</c:v>
                </c:pt>
                <c:pt idx="86">
                  <c:v>7916052.7457955144</c:v>
                </c:pt>
                <c:pt idx="87">
                  <c:v>7189802.5787129765</c:v>
                </c:pt>
                <c:pt idx="88">
                  <c:v>7349692.0355455782</c:v>
                </c:pt>
                <c:pt idx="89">
                  <c:v>7037759.0815777946</c:v>
                </c:pt>
                <c:pt idx="90">
                  <c:v>7093177.9019590942</c:v>
                </c:pt>
                <c:pt idx="91">
                  <c:v>7842158.8534879349</c:v>
                </c:pt>
                <c:pt idx="92">
                  <c:v>7491489.718227963</c:v>
                </c:pt>
                <c:pt idx="93">
                  <c:v>7667399.4450702071</c:v>
                </c:pt>
                <c:pt idx="94">
                  <c:v>7487198.4004563289</c:v>
                </c:pt>
                <c:pt idx="95">
                  <c:v>7522038.6962474659</c:v>
                </c:pt>
                <c:pt idx="96">
                  <c:v>7826708.6426535351</c:v>
                </c:pt>
                <c:pt idx="97">
                  <c:v>7401020.897422784</c:v>
                </c:pt>
                <c:pt idx="98">
                  <c:v>7811672.573599942</c:v>
                </c:pt>
                <c:pt idx="99">
                  <c:v>6907362.9479448907</c:v>
                </c:pt>
                <c:pt idx="100">
                  <c:v>7313678.4042570516</c:v>
                </c:pt>
                <c:pt idx="101">
                  <c:v>7337715.7699231198</c:v>
                </c:pt>
                <c:pt idx="102">
                  <c:v>7719754.1577685503</c:v>
                </c:pt>
                <c:pt idx="103">
                  <c:v>7521206.1425281567</c:v>
                </c:pt>
                <c:pt idx="104">
                  <c:v>7101253.2381845815</c:v>
                </c:pt>
                <c:pt idx="105">
                  <c:v>6787793.1110830493</c:v>
                </c:pt>
                <c:pt idx="106">
                  <c:v>6442675.0476266481</c:v>
                </c:pt>
                <c:pt idx="107">
                  <c:v>7518106.0005636895</c:v>
                </c:pt>
                <c:pt idx="108">
                  <c:v>7511724.9532214822</c:v>
                </c:pt>
                <c:pt idx="109">
                  <c:v>7157356.3732128087</c:v>
                </c:pt>
                <c:pt idx="110">
                  <c:v>7626855.5270517739</c:v>
                </c:pt>
                <c:pt idx="111">
                  <c:v>7141301.2575541902</c:v>
                </c:pt>
                <c:pt idx="112">
                  <c:v>7222836.8241221812</c:v>
                </c:pt>
                <c:pt idx="113">
                  <c:v>6917228.3116159188</c:v>
                </c:pt>
                <c:pt idx="114">
                  <c:v>7716850.5319929738</c:v>
                </c:pt>
                <c:pt idx="115">
                  <c:v>7385243.311675719</c:v>
                </c:pt>
                <c:pt idx="116">
                  <c:v>7250255.7249168046</c:v>
                </c:pt>
                <c:pt idx="117">
                  <c:v>7615284.7437509475</c:v>
                </c:pt>
                <c:pt idx="118">
                  <c:v>7483197.4270016775</c:v>
                </c:pt>
                <c:pt idx="119">
                  <c:v>8281605.365334373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AC-43D1-8985-3D128409BFB3}"/>
            </c:ext>
          </c:extLst>
        </c:ser>
        <c:ser>
          <c:idx val="1"/>
          <c:order val="1"/>
          <c:tx>
            <c:strRef>
              <c:f>'WRZ GS 3,000-4,999'!$M$1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'WRZ GS 3,000-4,999'!$A$2:$A$121</c:f>
              <c:numCache>
                <c:formatCode>mmm\-yy</c:formatCode>
                <c:ptCount val="12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</c:numCache>
            </c:numRef>
          </c:cat>
          <c:val>
            <c:numRef>
              <c:f>'WRZ GS 3,000-4,999'!$O$2:$O$121</c:f>
              <c:numCache>
                <c:formatCode>_-* #,##0_-;\-* #,##0_-;_-* "-"??_-;_-@_-</c:formatCode>
                <c:ptCount val="120"/>
                <c:pt idx="0">
                  <c:v>5172996.1460093865</c:v>
                </c:pt>
                <c:pt idx="1">
                  <c:v>4802230.2574554142</c:v>
                </c:pt>
                <c:pt idx="2">
                  <c:v>5172996.1460093865</c:v>
                </c:pt>
                <c:pt idx="3">
                  <c:v>4987613.2017323999</c:v>
                </c:pt>
                <c:pt idx="4">
                  <c:v>5172996.1460093865</c:v>
                </c:pt>
                <c:pt idx="5">
                  <c:v>4987613.2017323999</c:v>
                </c:pt>
                <c:pt idx="6">
                  <c:v>5172996.1460093865</c:v>
                </c:pt>
                <c:pt idx="7">
                  <c:v>5172996.1460093865</c:v>
                </c:pt>
                <c:pt idx="8">
                  <c:v>4987613.2017323999</c:v>
                </c:pt>
                <c:pt idx="9">
                  <c:v>5172996.1460093865</c:v>
                </c:pt>
                <c:pt idx="10">
                  <c:v>4987613.2017323999</c:v>
                </c:pt>
                <c:pt idx="11">
                  <c:v>5027804.5851114169</c:v>
                </c:pt>
                <c:pt idx="12">
                  <c:v>5173010.0951632326</c:v>
                </c:pt>
                <c:pt idx="13">
                  <c:v>4616875.2114861207</c:v>
                </c:pt>
                <c:pt idx="14">
                  <c:v>5173037.9934709249</c:v>
                </c:pt>
                <c:pt idx="15">
                  <c:v>4987668.9983477844</c:v>
                </c:pt>
                <c:pt idx="16">
                  <c:v>5173065.8917786172</c:v>
                </c:pt>
                <c:pt idx="17">
                  <c:v>4987696.8966554767</c:v>
                </c:pt>
                <c:pt idx="18">
                  <c:v>5173093.7900863094</c:v>
                </c:pt>
                <c:pt idx="19">
                  <c:v>5173107.7392401556</c:v>
                </c:pt>
                <c:pt idx="20">
                  <c:v>4987738.744117015</c:v>
                </c:pt>
                <c:pt idx="21">
                  <c:v>5173135.6375478478</c:v>
                </c:pt>
                <c:pt idx="22">
                  <c:v>4987766.6424247073</c:v>
                </c:pt>
                <c:pt idx="23">
                  <c:v>5027971.9749575704</c:v>
                </c:pt>
                <c:pt idx="24">
                  <c:v>5365225.1208454128</c:v>
                </c:pt>
                <c:pt idx="25">
                  <c:v>5001123.9238504814</c:v>
                </c:pt>
                <c:pt idx="26">
                  <c:v>5749320.3925174661</c:v>
                </c:pt>
                <c:pt idx="27">
                  <c:v>5755985.084076507</c:v>
                </c:pt>
                <c:pt idx="28">
                  <c:v>6133415.6641895203</c:v>
                </c:pt>
                <c:pt idx="29">
                  <c:v>6140080.3557485593</c:v>
                </c:pt>
                <c:pt idx="30">
                  <c:v>6517510.9358615726</c:v>
                </c:pt>
                <c:pt idx="31">
                  <c:v>6709558.5716975993</c:v>
                </c:pt>
                <c:pt idx="32">
                  <c:v>6716223.2632566392</c:v>
                </c:pt>
                <c:pt idx="33">
                  <c:v>7093653.8433696534</c:v>
                </c:pt>
                <c:pt idx="34">
                  <c:v>7100318.5349286934</c:v>
                </c:pt>
                <c:pt idx="35">
                  <c:v>7332557.5541437315</c:v>
                </c:pt>
                <c:pt idx="36">
                  <c:v>7477772.8580032401</c:v>
                </c:pt>
                <c:pt idx="37">
                  <c:v>6921632.8506851019</c:v>
                </c:pt>
                <c:pt idx="38">
                  <c:v>7477790.5090288809</c:v>
                </c:pt>
                <c:pt idx="39">
                  <c:v>7292416.3902647151</c:v>
                </c:pt>
                <c:pt idx="40">
                  <c:v>7477808.1600545216</c:v>
                </c:pt>
                <c:pt idx="41">
                  <c:v>7292434.0412903558</c:v>
                </c:pt>
                <c:pt idx="42">
                  <c:v>7477825.8110801633</c:v>
                </c:pt>
                <c:pt idx="43">
                  <c:v>7477834.6365929833</c:v>
                </c:pt>
                <c:pt idx="44">
                  <c:v>7292460.5178288175</c:v>
                </c:pt>
                <c:pt idx="45">
                  <c:v>7477852.287618625</c:v>
                </c:pt>
                <c:pt idx="46">
                  <c:v>7292478.1688544583</c:v>
                </c:pt>
                <c:pt idx="47">
                  <c:v>7332678.3777462961</c:v>
                </c:pt>
                <c:pt idx="48">
                  <c:v>7477891.1631058045</c:v>
                </c:pt>
                <c:pt idx="49">
                  <c:v>7107137.67350055</c:v>
                </c:pt>
                <c:pt idx="50">
                  <c:v>7477915.9610032402</c:v>
                </c:pt>
                <c:pt idx="51">
                  <c:v>7292545.4156749714</c:v>
                </c:pt>
                <c:pt idx="52">
                  <c:v>7477940.7589006759</c:v>
                </c:pt>
                <c:pt idx="53">
                  <c:v>7292570.2135724071</c:v>
                </c:pt>
                <c:pt idx="54">
                  <c:v>7477965.5567981116</c:v>
                </c:pt>
                <c:pt idx="55">
                  <c:v>7477977.9557468295</c:v>
                </c:pt>
                <c:pt idx="56">
                  <c:v>7292607.4104185607</c:v>
                </c:pt>
                <c:pt idx="57">
                  <c:v>7478002.7536442652</c:v>
                </c:pt>
                <c:pt idx="58">
                  <c:v>7292632.2083159965</c:v>
                </c:pt>
                <c:pt idx="59">
                  <c:v>7332835.9906437322</c:v>
                </c:pt>
                <c:pt idx="60">
                  <c:v>7478059.4096699068</c:v>
                </c:pt>
                <c:pt idx="61">
                  <c:v>6921930.0360184358</c:v>
                </c:pt>
                <c:pt idx="62">
                  <c:v>7478098.328028881</c:v>
                </c:pt>
                <c:pt idx="63">
                  <c:v>7292734.8429313814</c:v>
                </c:pt>
                <c:pt idx="64">
                  <c:v>7478137.2463878551</c:v>
                </c:pt>
                <c:pt idx="65">
                  <c:v>7292773.7612903556</c:v>
                </c:pt>
                <c:pt idx="66">
                  <c:v>7478176.1647468293</c:v>
                </c:pt>
                <c:pt idx="67">
                  <c:v>7478195.6239263173</c:v>
                </c:pt>
                <c:pt idx="68">
                  <c:v>7292832.1388288178</c:v>
                </c:pt>
                <c:pt idx="69">
                  <c:v>7478234.5422852915</c:v>
                </c:pt>
                <c:pt idx="70">
                  <c:v>7292871.0571877919</c:v>
                </c:pt>
                <c:pt idx="71">
                  <c:v>7333081.899746296</c:v>
                </c:pt>
                <c:pt idx="72">
                  <c:v>7478351.128964778</c:v>
                </c:pt>
                <c:pt idx="73">
                  <c:v>6922260.5052748462</c:v>
                </c:pt>
                <c:pt idx="74">
                  <c:v>7478467.5472468296</c:v>
                </c:pt>
                <c:pt idx="75">
                  <c:v>7293142.8121108683</c:v>
                </c:pt>
                <c:pt idx="76">
                  <c:v>7478583.9655288812</c:v>
                </c:pt>
                <c:pt idx="77">
                  <c:v>7293259.2303929199</c:v>
                </c:pt>
                <c:pt idx="78">
                  <c:v>7478700.3838109318</c:v>
                </c:pt>
                <c:pt idx="79">
                  <c:v>7478758.5929519581</c:v>
                </c:pt>
                <c:pt idx="80">
                  <c:v>7293433.8578159967</c:v>
                </c:pt>
                <c:pt idx="81">
                  <c:v>7478875.0112340087</c:v>
                </c:pt>
                <c:pt idx="82">
                  <c:v>7293550.2760980483</c:v>
                </c:pt>
                <c:pt idx="83">
                  <c:v>7333799.8686180906</c:v>
                </c:pt>
                <c:pt idx="84">
                  <c:v>7479135.4994775988</c:v>
                </c:pt>
                <c:pt idx="85">
                  <c:v>6923072.527467154</c:v>
                </c:pt>
                <c:pt idx="86">
                  <c:v>7479307.2211186243</c:v>
                </c:pt>
                <c:pt idx="87">
                  <c:v>7294010.1376621509</c:v>
                </c:pt>
                <c:pt idx="88">
                  <c:v>7479478.9427596498</c:v>
                </c:pt>
                <c:pt idx="89">
                  <c:v>7294181.8593031764</c:v>
                </c:pt>
                <c:pt idx="90">
                  <c:v>7479650.6644006763</c:v>
                </c:pt>
                <c:pt idx="91">
                  <c:v>7479736.5252211886</c:v>
                </c:pt>
                <c:pt idx="92">
                  <c:v>7294439.4417647151</c:v>
                </c:pt>
                <c:pt idx="93">
                  <c:v>7479908.2468622141</c:v>
                </c:pt>
                <c:pt idx="94">
                  <c:v>7294611.1634057406</c:v>
                </c:pt>
                <c:pt idx="95">
                  <c:v>7334888.4076052699</c:v>
                </c:pt>
                <c:pt idx="96">
                  <c:v>7480367.3226827271</c:v>
                </c:pt>
                <c:pt idx="97">
                  <c:v>7109802.9274877291</c:v>
                </c:pt>
                <c:pt idx="98">
                  <c:v>7480770.3094006758</c:v>
                </c:pt>
                <c:pt idx="99">
                  <c:v>7295588.8584826635</c:v>
                </c:pt>
                <c:pt idx="100">
                  <c:v>7481173.2961186245</c:v>
                </c:pt>
                <c:pt idx="101">
                  <c:v>7295991.8452006122</c:v>
                </c:pt>
                <c:pt idx="102">
                  <c:v>7481576.2828365732</c:v>
                </c:pt>
                <c:pt idx="103">
                  <c:v>7481777.7761955475</c:v>
                </c:pt>
                <c:pt idx="104">
                  <c:v>7296596.3252775352</c:v>
                </c:pt>
                <c:pt idx="105">
                  <c:v>7482180.7629134962</c:v>
                </c:pt>
                <c:pt idx="106">
                  <c:v>7296999.3119954839</c:v>
                </c:pt>
                <c:pt idx="107">
                  <c:v>7337392.1887334753</c:v>
                </c:pt>
                <c:pt idx="108">
                  <c:v>7482879.0691955481</c:v>
                </c:pt>
                <c:pt idx="109">
                  <c:v>6926824.0625697179</c:v>
                </c:pt>
                <c:pt idx="110">
                  <c:v>7483066.7216058038</c:v>
                </c:pt>
                <c:pt idx="111">
                  <c:v>7297777.603533946</c:v>
                </c:pt>
                <c:pt idx="112">
                  <c:v>7483254.3740160605</c:v>
                </c:pt>
                <c:pt idx="113">
                  <c:v>7297965.2559442017</c:v>
                </c:pt>
                <c:pt idx="114">
                  <c:v>7483442.0264263172</c:v>
                </c:pt>
                <c:pt idx="115">
                  <c:v>7483535.852631445</c:v>
                </c:pt>
                <c:pt idx="116">
                  <c:v>7298246.7345595863</c:v>
                </c:pt>
                <c:pt idx="117">
                  <c:v>7483723.5050417017</c:v>
                </c:pt>
                <c:pt idx="118">
                  <c:v>7298434.3869698429</c:v>
                </c:pt>
                <c:pt idx="119">
                  <c:v>7338719.5965539878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AC-43D1-8985-3D128409B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2"/>
          <c:order val="0"/>
          <c:tx>
            <c:strRef>
              <c:f>'Model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'Model Summary'!$C$4:$C$14</c:f>
              <c:numCache>
                <c:formatCode>#,##0</c:formatCode>
                <c:ptCount val="10"/>
                <c:pt idx="0">
                  <c:v>930781392.84004951</c:v>
                </c:pt>
                <c:pt idx="1">
                  <c:v>893535369.63737249</c:v>
                </c:pt>
                <c:pt idx="2">
                  <c:v>977456267.87652111</c:v>
                </c:pt>
                <c:pt idx="3">
                  <c:v>957646686.21659052</c:v>
                </c:pt>
                <c:pt idx="4">
                  <c:v>1032572124.7647151</c:v>
                </c:pt>
                <c:pt idx="5">
                  <c:v>1025174351.7429885</c:v>
                </c:pt>
                <c:pt idx="6">
                  <c:v>1017086211.1143632</c:v>
                </c:pt>
                <c:pt idx="7">
                  <c:v>1008425962.6728997</c:v>
                </c:pt>
                <c:pt idx="8">
                  <c:v>1053250583.9636493</c:v>
                </c:pt>
                <c:pt idx="9">
                  <c:v>1082704065.4431963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8-41F2-81DB-B987FCD8D980}"/>
            </c:ext>
          </c:extLst>
        </c:ser>
        <c:ser>
          <c:idx val="0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'Model Summary'!$D$4:$D$14</c:f>
              <c:numCache>
                <c:formatCode>#,##0</c:formatCode>
                <c:ptCount val="10"/>
                <c:pt idx="0">
                  <c:v>932775480.98454106</c:v>
                </c:pt>
                <c:pt idx="1">
                  <c:v>895562437.78653157</c:v>
                </c:pt>
                <c:pt idx="2">
                  <c:v>978140423.14225733</c:v>
                </c:pt>
                <c:pt idx="3">
                  <c:v>954775798.6956861</c:v>
                </c:pt>
                <c:pt idx="4">
                  <c:v>1021835826.9667559</c:v>
                </c:pt>
                <c:pt idx="5">
                  <c:v>1025346850.1651049</c:v>
                </c:pt>
                <c:pt idx="6">
                  <c:v>1028712833.1671339</c:v>
                </c:pt>
                <c:pt idx="7">
                  <c:v>1007573359.2705842</c:v>
                </c:pt>
                <c:pt idx="8">
                  <c:v>1040223205.0193387</c:v>
                </c:pt>
                <c:pt idx="9">
                  <c:v>1094790342.0926917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8-41F2-81DB-B987FCD8D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36256"/>
        <c:axId val="176354432"/>
      </c:lineChart>
      <c:catAx>
        <c:axId val="1763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54432"/>
        <c:crosses val="autoZero"/>
        <c:auto val="1"/>
        <c:lblAlgn val="ctr"/>
        <c:lblOffset val="100"/>
        <c:noMultiLvlLbl val="0"/>
      </c:catAx>
      <c:valAx>
        <c:axId val="176354432"/>
        <c:scaling>
          <c:orientation val="minMax"/>
          <c:min val="4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62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24757020584833503"/>
          <c:h val="0.111453207686194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 Seasonal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Summary'!$I$3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'Model Summary'!$H$4:$H$14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'Model Summary'!$I$4:$I$14</c:f>
              <c:numCache>
                <c:formatCode>#,##0</c:formatCode>
                <c:ptCount val="10"/>
                <c:pt idx="0">
                  <c:v>9231036.1371730156</c:v>
                </c:pt>
                <c:pt idx="1">
                  <c:v>9835291.1047094334</c:v>
                </c:pt>
                <c:pt idx="2">
                  <c:v>10524009.219243117</c:v>
                </c:pt>
                <c:pt idx="3">
                  <c:v>10883890.555316722</c:v>
                </c:pt>
                <c:pt idx="4">
                  <c:v>12336947.539484285</c:v>
                </c:pt>
                <c:pt idx="5">
                  <c:v>12543160.508944979</c:v>
                </c:pt>
                <c:pt idx="6">
                  <c:v>12549712.821751935</c:v>
                </c:pt>
                <c:pt idx="7">
                  <c:v>12141822.564793887</c:v>
                </c:pt>
                <c:pt idx="8">
                  <c:v>12226101.763397139</c:v>
                </c:pt>
                <c:pt idx="9">
                  <c:v>13318792.6977387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302-B9DD-50EB0BCBA830}"/>
            </c:ext>
          </c:extLst>
        </c:ser>
        <c:ser>
          <c:idx val="2"/>
          <c:order val="1"/>
          <c:tx>
            <c:strRef>
              <c:f>'Model Summary'!$J$3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Summary'!$H$4:$H$14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'Model Summary'!$J$4:$J$14</c:f>
              <c:numCache>
                <c:formatCode>#,##0</c:formatCode>
                <c:ptCount val="10"/>
                <c:pt idx="0">
                  <c:v>9230379.5097778086</c:v>
                </c:pt>
                <c:pt idx="1">
                  <c:v>9190004.256946465</c:v>
                </c:pt>
                <c:pt idx="2">
                  <c:v>10171420.855000585</c:v>
                </c:pt>
                <c:pt idx="3">
                  <c:v>10309985.374497794</c:v>
                </c:pt>
                <c:pt idx="4">
                  <c:v>11522639.469738657</c:v>
                </c:pt>
                <c:pt idx="5">
                  <c:v>11899678.175915275</c:v>
                </c:pt>
                <c:pt idx="6">
                  <c:v>12021382.893256584</c:v>
                </c:pt>
                <c:pt idx="7">
                  <c:v>11560856.470819732</c:v>
                </c:pt>
                <c:pt idx="8">
                  <c:v>12068198.783454204</c:v>
                </c:pt>
                <c:pt idx="9">
                  <c:v>12982959.380594824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302-B9DD-50EB0BCBA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99616"/>
        <c:axId val="176009600"/>
      </c:lineChart>
      <c:catAx>
        <c:axId val="17599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009600"/>
        <c:crosses val="autoZero"/>
        <c:auto val="1"/>
        <c:lblAlgn val="ctr"/>
        <c:lblOffset val="100"/>
        <c:noMultiLvlLbl val="0"/>
      </c:catAx>
      <c:valAx>
        <c:axId val="1760096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5999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Summary'!$O$3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Summary'!$N$4:$N$14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'Model Summary'!$O$4:$O$14</c:f>
              <c:numCache>
                <c:formatCode>#,##0</c:formatCode>
                <c:ptCount val="10"/>
                <c:pt idx="0">
                  <c:v>277304062.77712923</c:v>
                </c:pt>
                <c:pt idx="1">
                  <c:v>269761431.64052355</c:v>
                </c:pt>
                <c:pt idx="2">
                  <c:v>280070232.28115469</c:v>
                </c:pt>
                <c:pt idx="3">
                  <c:v>291086432.62797958</c:v>
                </c:pt>
                <c:pt idx="4">
                  <c:v>270603239.00590277</c:v>
                </c:pt>
                <c:pt idx="5">
                  <c:v>270384824.9115988</c:v>
                </c:pt>
                <c:pt idx="6">
                  <c:v>284010016.27710396</c:v>
                </c:pt>
                <c:pt idx="7">
                  <c:v>282341199.19501126</c:v>
                </c:pt>
                <c:pt idx="8">
                  <c:v>265904595.49275559</c:v>
                </c:pt>
                <c:pt idx="9">
                  <c:v>272814028.01520127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8A-445E-A1D6-A6148D510B29}"/>
            </c:ext>
          </c:extLst>
        </c:ser>
        <c:ser>
          <c:idx val="2"/>
          <c:order val="1"/>
          <c:tx>
            <c:strRef>
              <c:f>'Model Summary'!$P$3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Summary'!$N$4:$N$14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'Model Summary'!$P$4:$P$14</c:f>
              <c:numCache>
                <c:formatCode>#,##0</c:formatCode>
                <c:ptCount val="10"/>
                <c:pt idx="0">
                  <c:v>280579647.30937564</c:v>
                </c:pt>
                <c:pt idx="1">
                  <c:v>273671740.18043816</c:v>
                </c:pt>
                <c:pt idx="2">
                  <c:v>283294735.64265627</c:v>
                </c:pt>
                <c:pt idx="3">
                  <c:v>278749493.16950846</c:v>
                </c:pt>
                <c:pt idx="4">
                  <c:v>264631784.49166319</c:v>
                </c:pt>
                <c:pt idx="5">
                  <c:v>263438573.10917944</c:v>
                </c:pt>
                <c:pt idx="6">
                  <c:v>272945466.10811037</c:v>
                </c:pt>
                <c:pt idx="7">
                  <c:v>276829246.57159746</c:v>
                </c:pt>
                <c:pt idx="8">
                  <c:v>278969793.51248044</c:v>
                </c:pt>
                <c:pt idx="9">
                  <c:v>286613458.98892647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8A-445E-A1D6-A6148D510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  <c:min val="20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50-2,999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Summary'!$V$3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Summary'!$U$4:$U$14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'Model Summary'!$V$4:$V$14</c:f>
              <c:numCache>
                <c:formatCode>#,##0</c:formatCode>
                <c:ptCount val="10"/>
                <c:pt idx="0">
                  <c:v>949600705.67392671</c:v>
                </c:pt>
                <c:pt idx="1">
                  <c:v>937293316.65521491</c:v>
                </c:pt>
                <c:pt idx="2">
                  <c:v>969803818.47513402</c:v>
                </c:pt>
                <c:pt idx="3">
                  <c:v>958670439.55061078</c:v>
                </c:pt>
                <c:pt idx="4">
                  <c:v>915935437.41656649</c:v>
                </c:pt>
                <c:pt idx="5">
                  <c:v>943010370.73226821</c:v>
                </c:pt>
                <c:pt idx="6">
                  <c:v>967051784.9542594</c:v>
                </c:pt>
                <c:pt idx="7">
                  <c:v>967502842.92821264</c:v>
                </c:pt>
                <c:pt idx="8">
                  <c:v>1010796069.0930438</c:v>
                </c:pt>
                <c:pt idx="9">
                  <c:v>1025420115.9021995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1A-4D6A-8394-E769452EABA3}"/>
            </c:ext>
          </c:extLst>
        </c:ser>
        <c:ser>
          <c:idx val="2"/>
          <c:order val="1"/>
          <c:tx>
            <c:strRef>
              <c:f>'Model Summary'!$W$3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Summary'!$U$4:$U$14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'Model Summary'!$W$4:$W$14</c:f>
              <c:numCache>
                <c:formatCode>#,##0</c:formatCode>
                <c:ptCount val="10"/>
                <c:pt idx="0">
                  <c:v>943975353.49183369</c:v>
                </c:pt>
                <c:pt idx="1">
                  <c:v>938751239.51112533</c:v>
                </c:pt>
                <c:pt idx="2">
                  <c:v>968822446.80681777</c:v>
                </c:pt>
                <c:pt idx="3">
                  <c:v>966150628.39534712</c:v>
                </c:pt>
                <c:pt idx="4">
                  <c:v>915170262.9050374</c:v>
                </c:pt>
                <c:pt idx="5">
                  <c:v>936122598.5367372</c:v>
                </c:pt>
                <c:pt idx="6">
                  <c:v>970698962.58530879</c:v>
                </c:pt>
                <c:pt idx="7">
                  <c:v>989837564.75103629</c:v>
                </c:pt>
                <c:pt idx="8">
                  <c:v>1000172312.7266876</c:v>
                </c:pt>
                <c:pt idx="9">
                  <c:v>1015925075.7653735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1A-4D6A-8394-E769452EA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3,000-4,999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Summary'!$AD$3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Summary'!$AC$4:$AC$14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'Model Summary'!$AD$4:$AD$14</c:f>
              <c:numCache>
                <c:formatCode>#,##0</c:formatCode>
                <c:ptCount val="10"/>
                <c:pt idx="0">
                  <c:v>78864769.700843766</c:v>
                </c:pt>
                <c:pt idx="1">
                  <c:v>88672542.579366088</c:v>
                </c:pt>
                <c:pt idx="2">
                  <c:v>82846023.315142795</c:v>
                </c:pt>
                <c:pt idx="3">
                  <c:v>92449266.843446299</c:v>
                </c:pt>
                <c:pt idx="4">
                  <c:v>88940529.482721388</c:v>
                </c:pt>
                <c:pt idx="5">
                  <c:v>97523202.921463251</c:v>
                </c:pt>
                <c:pt idx="6">
                  <c:v>108191494.03556103</c:v>
                </c:pt>
                <c:pt idx="7">
                  <c:v>109378869.38290659</c:v>
                </c:pt>
                <c:pt idx="8">
                  <c:v>98936429.469787315</c:v>
                </c:pt>
                <c:pt idx="9">
                  <c:v>100267899.39201353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6A-4380-91C9-567A78B2E3D9}"/>
            </c:ext>
          </c:extLst>
        </c:ser>
        <c:ser>
          <c:idx val="2"/>
          <c:order val="1"/>
          <c:tx>
            <c:strRef>
              <c:f>'Model Summary'!$AE$3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Summary'!$AC$4:$AC$14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'Model Summary'!$AE$4:$AE$14</c:f>
              <c:numCache>
                <c:formatCode>#,##0</c:formatCode>
                <c:ptCount val="10"/>
                <c:pt idx="0">
                  <c:v>85219354.991337776</c:v>
                </c:pt>
                <c:pt idx="1">
                  <c:v>87767373.528162256</c:v>
                </c:pt>
                <c:pt idx="2">
                  <c:v>90738004.658406839</c:v>
                </c:pt>
                <c:pt idx="3">
                  <c:v>92992894.678955168</c:v>
                </c:pt>
                <c:pt idx="4">
                  <c:v>88681787.069527477</c:v>
                </c:pt>
                <c:pt idx="5">
                  <c:v>93788829.376597568</c:v>
                </c:pt>
                <c:pt idx="6">
                  <c:v>97923982.74183476</c:v>
                </c:pt>
                <c:pt idx="7">
                  <c:v>100511378.62520504</c:v>
                </c:pt>
                <c:pt idx="8">
                  <c:v>102652191.16987173</c:v>
                </c:pt>
                <c:pt idx="9">
                  <c:v>103835270.14932095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6A-4380-91C9-567A78B2E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Large User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Summary'!$AL$3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Summary'!$AK$4:$AK$14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'Model Summary'!$AL$4:$AL$14</c:f>
              <c:numCache>
                <c:formatCode>#,##0</c:formatCode>
                <c:ptCount val="10"/>
                <c:pt idx="0">
                  <c:v>221418637.64486113</c:v>
                </c:pt>
                <c:pt idx="1">
                  <c:v>232148327.08829373</c:v>
                </c:pt>
                <c:pt idx="2">
                  <c:v>264714956.75404868</c:v>
                </c:pt>
                <c:pt idx="3">
                  <c:v>276524028.4324894</c:v>
                </c:pt>
                <c:pt idx="4">
                  <c:v>281926668.88159341</c:v>
                </c:pt>
                <c:pt idx="5">
                  <c:v>303469395.73135197</c:v>
                </c:pt>
                <c:pt idx="6">
                  <c:v>308054903.94709766</c:v>
                </c:pt>
                <c:pt idx="7">
                  <c:v>324009006.56427532</c:v>
                </c:pt>
                <c:pt idx="8">
                  <c:v>343917827.94514245</c:v>
                </c:pt>
                <c:pt idx="9">
                  <c:v>349101335.38975924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7-4D92-9F12-A318FD51D822}"/>
            </c:ext>
          </c:extLst>
        </c:ser>
        <c:ser>
          <c:idx val="2"/>
          <c:order val="1"/>
          <c:tx>
            <c:strRef>
              <c:f>'Model Summary'!$AM$3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Summary'!$AK$4:$AK$14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'Model Summary'!$AM$4:$AM$14</c:f>
              <c:numCache>
                <c:formatCode>#,##0</c:formatCode>
                <c:ptCount val="10"/>
                <c:pt idx="0">
                  <c:v>227004612.86657929</c:v>
                </c:pt>
                <c:pt idx="1">
                  <c:v>242541437.25891751</c:v>
                </c:pt>
                <c:pt idx="2">
                  <c:v>261454125.81003451</c:v>
                </c:pt>
                <c:pt idx="3">
                  <c:v>275085550.70624685</c:v>
                </c:pt>
                <c:pt idx="4">
                  <c:v>270334099.0934751</c:v>
                </c:pt>
                <c:pt idx="5">
                  <c:v>305029432.8276087</c:v>
                </c:pt>
                <c:pt idx="6">
                  <c:v>319922172.24525082</c:v>
                </c:pt>
                <c:pt idx="7">
                  <c:v>324149630.93636644</c:v>
                </c:pt>
                <c:pt idx="8">
                  <c:v>336150216.80939806</c:v>
                </c:pt>
                <c:pt idx="9">
                  <c:v>343395116.9900229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7-4D92-9F12-A318FD51D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2"/>
          <c:order val="0"/>
          <c:tx>
            <c:strRef>
              <c:f>'Model Summary'!$C$3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'Model Summary'!$AR$4:$AR$14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'Model Summary'!$AS$4:$AS$14</c:f>
              <c:numCache>
                <c:formatCode>#,##0</c:formatCode>
                <c:ptCount val="10"/>
                <c:pt idx="0">
                  <c:v>362089789.67951554</c:v>
                </c:pt>
                <c:pt idx="1">
                  <c:v>344658204.76905382</c:v>
                </c:pt>
                <c:pt idx="2">
                  <c:v>374427991.11948341</c:v>
                </c:pt>
                <c:pt idx="3">
                  <c:v>360878984.79828548</c:v>
                </c:pt>
                <c:pt idx="4">
                  <c:v>399848173.33693796</c:v>
                </c:pt>
                <c:pt idx="5">
                  <c:v>398242957.55281997</c:v>
                </c:pt>
                <c:pt idx="6">
                  <c:v>396911103.93419737</c:v>
                </c:pt>
                <c:pt idx="7">
                  <c:v>395930836.98761469</c:v>
                </c:pt>
                <c:pt idx="8">
                  <c:v>414383242.9599188</c:v>
                </c:pt>
                <c:pt idx="9">
                  <c:v>426086684.84243095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35-4AA1-B99C-C37827795FD1}"/>
            </c:ext>
          </c:extLst>
        </c:ser>
        <c:ser>
          <c:idx val="0"/>
          <c:order val="1"/>
          <c:tx>
            <c:strRef>
              <c:f>'Model Summary'!$AT$3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Summary'!$AR$4:$AR$14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'Model Summary'!$AT$4:$AT$14</c:f>
              <c:numCache>
                <c:formatCode>#,##0</c:formatCode>
                <c:ptCount val="10"/>
                <c:pt idx="0">
                  <c:v>358022630.61739951</c:v>
                </c:pt>
                <c:pt idx="1">
                  <c:v>343735649.27553868</c:v>
                </c:pt>
                <c:pt idx="2">
                  <c:v>375452848.45210928</c:v>
                </c:pt>
                <c:pt idx="3">
                  <c:v>365577588.38707376</c:v>
                </c:pt>
                <c:pt idx="4">
                  <c:v>396584501.20314401</c:v>
                </c:pt>
                <c:pt idx="5">
                  <c:v>403741024.13919646</c:v>
                </c:pt>
                <c:pt idx="6">
                  <c:v>401864242.21284312</c:v>
                </c:pt>
                <c:pt idx="7">
                  <c:v>395546686.0624662</c:v>
                </c:pt>
                <c:pt idx="8">
                  <c:v>409380320.63434947</c:v>
                </c:pt>
                <c:pt idx="9">
                  <c:v>427603073.32793009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35-4AA1-B99C-C37827795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36256"/>
        <c:axId val="176354432"/>
      </c:lineChart>
      <c:catAx>
        <c:axId val="1763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54432"/>
        <c:crosses val="autoZero"/>
        <c:auto val="1"/>
        <c:lblAlgn val="ctr"/>
        <c:lblOffset val="100"/>
        <c:noMultiLvlLbl val="0"/>
      </c:catAx>
      <c:valAx>
        <c:axId val="17635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62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48752491879112136"/>
          <c:h val="0.111453207686194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Summary'!$AY$3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Summary'!$AX$4:$AX$14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'Model Summary'!$AY$4:$AY$14</c:f>
              <c:numCache>
                <c:formatCode>#,##0</c:formatCode>
                <c:ptCount val="10"/>
                <c:pt idx="0">
                  <c:v>86730195.315171614</c:v>
                </c:pt>
                <c:pt idx="1">
                  <c:v>84903787.382071093</c:v>
                </c:pt>
                <c:pt idx="2">
                  <c:v>88410075.907026008</c:v>
                </c:pt>
                <c:pt idx="3">
                  <c:v>87822910.238034844</c:v>
                </c:pt>
                <c:pt idx="4">
                  <c:v>80737801.677429453</c:v>
                </c:pt>
                <c:pt idx="5">
                  <c:v>81746053.305323392</c:v>
                </c:pt>
                <c:pt idx="6">
                  <c:v>86826614.34330143</c:v>
                </c:pt>
                <c:pt idx="7">
                  <c:v>88283192.14111647</c:v>
                </c:pt>
                <c:pt idx="8">
                  <c:v>88353123.276645958</c:v>
                </c:pt>
                <c:pt idx="9">
                  <c:v>88146000.644109145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4-4334-8ACE-7FDC052507AD}"/>
            </c:ext>
          </c:extLst>
        </c:ser>
        <c:ser>
          <c:idx val="2"/>
          <c:order val="1"/>
          <c:tx>
            <c:strRef>
              <c:f>'Model Summary'!$AZ$3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Summary'!$AX$4:$AX$14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'Model Summary'!$AZ$4:$AZ$14</c:f>
              <c:numCache>
                <c:formatCode>#,##0</c:formatCode>
                <c:ptCount val="10"/>
                <c:pt idx="0">
                  <c:v>87925508.440550357</c:v>
                </c:pt>
                <c:pt idx="1">
                  <c:v>85851213.150104478</c:v>
                </c:pt>
                <c:pt idx="2">
                  <c:v>88773659.582027271</c:v>
                </c:pt>
                <c:pt idx="3">
                  <c:v>87322602.514845312</c:v>
                </c:pt>
                <c:pt idx="4">
                  <c:v>81539368.045916528</c:v>
                </c:pt>
                <c:pt idx="5">
                  <c:v>81494203.984034747</c:v>
                </c:pt>
                <c:pt idx="6">
                  <c:v>84963370.938320041</c:v>
                </c:pt>
                <c:pt idx="7">
                  <c:v>86681213.974610731</c:v>
                </c:pt>
                <c:pt idx="8">
                  <c:v>87435341.880957216</c:v>
                </c:pt>
                <c:pt idx="9">
                  <c:v>89965172.437540218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C4-4334-8ACE-7FDC05250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50-2,999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Summary'!$BF$3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Summary'!$BE$4:$BE$14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'Model Summary'!$BF$4:$BF$14</c:f>
              <c:numCache>
                <c:formatCode>#,##0</c:formatCode>
                <c:ptCount val="10"/>
                <c:pt idx="0">
                  <c:v>349759907.19250697</c:v>
                </c:pt>
                <c:pt idx="1">
                  <c:v>338528161.41099447</c:v>
                </c:pt>
                <c:pt idx="2">
                  <c:v>349447738.52167225</c:v>
                </c:pt>
                <c:pt idx="3">
                  <c:v>344762853.45217794</c:v>
                </c:pt>
                <c:pt idx="4">
                  <c:v>332407740.07562643</c:v>
                </c:pt>
                <c:pt idx="5">
                  <c:v>330542534.99747074</c:v>
                </c:pt>
                <c:pt idx="6">
                  <c:v>345394726.37772709</c:v>
                </c:pt>
                <c:pt idx="7">
                  <c:v>348595070.44815201</c:v>
                </c:pt>
                <c:pt idx="8">
                  <c:v>359847726.77828443</c:v>
                </c:pt>
                <c:pt idx="9">
                  <c:v>383521903.21503514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6F-4A18-9035-337CE41043D8}"/>
            </c:ext>
          </c:extLst>
        </c:ser>
        <c:ser>
          <c:idx val="2"/>
          <c:order val="1"/>
          <c:tx>
            <c:strRef>
              <c:f>'Model Summary'!$BG$3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Summary'!$BE$4:$BE$14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'Model Summary'!$BG$4:$BG$14</c:f>
              <c:numCache>
                <c:formatCode>#,##0</c:formatCode>
                <c:ptCount val="10"/>
                <c:pt idx="0">
                  <c:v>355468755.96215725</c:v>
                </c:pt>
                <c:pt idx="1">
                  <c:v>351527394.64790356</c:v>
                </c:pt>
                <c:pt idx="2">
                  <c:v>357017248.53071785</c:v>
                </c:pt>
                <c:pt idx="3">
                  <c:v>354220433.56068516</c:v>
                </c:pt>
                <c:pt idx="4">
                  <c:v>333005577.05357969</c:v>
                </c:pt>
                <c:pt idx="5">
                  <c:v>332820434.21015471</c:v>
                </c:pt>
                <c:pt idx="6">
                  <c:v>344014087.98792702</c:v>
                </c:pt>
                <c:pt idx="7">
                  <c:v>351567810.15146649</c:v>
                </c:pt>
                <c:pt idx="8">
                  <c:v>352357095.09946042</c:v>
                </c:pt>
                <c:pt idx="9">
                  <c:v>356203414.71813345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6F-4A18-9035-337CE4104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Weather!$U$1</c:f>
              <c:strCache>
                <c:ptCount val="1"/>
                <c:pt idx="0">
                  <c:v> VRZ_GSlt50kWh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Weather!$Q$14:$Q$145</c:f>
              <c:numCache>
                <c:formatCode>0</c:formatCode>
                <c:ptCount val="132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  <c:pt idx="120">
                  <c:v>-5.6266129032258068</c:v>
                </c:pt>
                <c:pt idx="121">
                  <c:v>-5.7592261904761912</c:v>
                </c:pt>
                <c:pt idx="122">
                  <c:v>1.2700268817204301</c:v>
                </c:pt>
                <c:pt idx="123">
                  <c:v>6.2719444444444443</c:v>
                </c:pt>
                <c:pt idx="124">
                  <c:v>12.868682795698925</c:v>
                </c:pt>
                <c:pt idx="125">
                  <c:v>19.441388888888891</c:v>
                </c:pt>
                <c:pt idx="126">
                  <c:v>22.816599462365595</c:v>
                </c:pt>
                <c:pt idx="127">
                  <c:v>20.383467741935487</c:v>
                </c:pt>
                <c:pt idx="128">
                  <c:v>17.070277777777775</c:v>
                </c:pt>
                <c:pt idx="129">
                  <c:v>10.918682795698926</c:v>
                </c:pt>
                <c:pt idx="130">
                  <c:v>2.6462499999999998</c:v>
                </c:pt>
                <c:pt idx="131">
                  <c:v>-4.0064516129032253</c:v>
                </c:pt>
              </c:numCache>
            </c:numRef>
          </c:xVal>
          <c:yVal>
            <c:numRef>
              <c:f>Weather!$U$14:$U$145</c:f>
              <c:numCache>
                <c:formatCode>_-* #,##0_-;\-* #,##0_-;_-* "-"??_-;_-@_-</c:formatCode>
                <c:ptCount val="132"/>
                <c:pt idx="12">
                  <c:v>25156953.226493035</c:v>
                </c:pt>
                <c:pt idx="13">
                  <c:v>23393877.938437324</c:v>
                </c:pt>
                <c:pt idx="14">
                  <c:v>23034725.464434173</c:v>
                </c:pt>
                <c:pt idx="15">
                  <c:v>21056387.070368249</c:v>
                </c:pt>
                <c:pt idx="16">
                  <c:v>20712117.338446863</c:v>
                </c:pt>
                <c:pt idx="17">
                  <c:v>21725500.608920053</c:v>
                </c:pt>
                <c:pt idx="18">
                  <c:v>24156395.982446101</c:v>
                </c:pt>
                <c:pt idx="19">
                  <c:v>25266141.456735358</c:v>
                </c:pt>
                <c:pt idx="20">
                  <c:v>21326121.855075274</c:v>
                </c:pt>
                <c:pt idx="21">
                  <c:v>20149312.582388859</c:v>
                </c:pt>
                <c:pt idx="22">
                  <c:v>21005476.845153596</c:v>
                </c:pt>
                <c:pt idx="23">
                  <c:v>24055048.727322936</c:v>
                </c:pt>
                <c:pt idx="24">
                  <c:v>24474875.015311867</c:v>
                </c:pt>
                <c:pt idx="25">
                  <c:v>21820121.617983211</c:v>
                </c:pt>
                <c:pt idx="26">
                  <c:v>24111572.313776091</c:v>
                </c:pt>
                <c:pt idx="27">
                  <c:v>19763187.335718375</c:v>
                </c:pt>
                <c:pt idx="28">
                  <c:v>20040808.994056478</c:v>
                </c:pt>
                <c:pt idx="29">
                  <c:v>20516245.702165615</c:v>
                </c:pt>
                <c:pt idx="30">
                  <c:v>22374809.6364149</c:v>
                </c:pt>
                <c:pt idx="31">
                  <c:v>22115011.819499996</c:v>
                </c:pt>
                <c:pt idx="32">
                  <c:v>20683479.45913003</c:v>
                </c:pt>
                <c:pt idx="33">
                  <c:v>19632186.614300705</c:v>
                </c:pt>
                <c:pt idx="34">
                  <c:v>21379874.800209884</c:v>
                </c:pt>
                <c:pt idx="35">
                  <c:v>24453816.475529481</c:v>
                </c:pt>
                <c:pt idx="36">
                  <c:v>26209048.012411751</c:v>
                </c:pt>
                <c:pt idx="37">
                  <c:v>22264620.847481303</c:v>
                </c:pt>
                <c:pt idx="38">
                  <c:v>23149724.903787542</c:v>
                </c:pt>
                <c:pt idx="39">
                  <c:v>21213773.761419673</c:v>
                </c:pt>
                <c:pt idx="40">
                  <c:v>20364446.795248903</c:v>
                </c:pt>
                <c:pt idx="41">
                  <c:v>20807660.659444761</c:v>
                </c:pt>
                <c:pt idx="42">
                  <c:v>24142415.593045317</c:v>
                </c:pt>
                <c:pt idx="43">
                  <c:v>24007737.816828944</c:v>
                </c:pt>
                <c:pt idx="44">
                  <c:v>20753628.792348787</c:v>
                </c:pt>
                <c:pt idx="45">
                  <c:v>20054893.161419574</c:v>
                </c:pt>
                <c:pt idx="46">
                  <c:v>21971894.719824459</c:v>
                </c:pt>
                <c:pt idx="47">
                  <c:v>23094985.827580612</c:v>
                </c:pt>
                <c:pt idx="48">
                  <c:v>25806529.705724001</c:v>
                </c:pt>
                <c:pt idx="49">
                  <c:v>23016185.95162183</c:v>
                </c:pt>
                <c:pt idx="50">
                  <c:v>24263356.321742035</c:v>
                </c:pt>
                <c:pt idx="51">
                  <c:v>22015807.846203107</c:v>
                </c:pt>
                <c:pt idx="52">
                  <c:v>20761864.700372063</c:v>
                </c:pt>
                <c:pt idx="53">
                  <c:v>21191958.768679734</c:v>
                </c:pt>
                <c:pt idx="54">
                  <c:v>26191648.002585482</c:v>
                </c:pt>
                <c:pt idx="55">
                  <c:v>24189428.074508585</c:v>
                </c:pt>
                <c:pt idx="56">
                  <c:v>20492739.785537113</c:v>
                </c:pt>
                <c:pt idx="57">
                  <c:v>20594868.908175919</c:v>
                </c:pt>
                <c:pt idx="58">
                  <c:v>22892420.954073742</c:v>
                </c:pt>
                <c:pt idx="59">
                  <c:v>24588262.390020985</c:v>
                </c:pt>
                <c:pt idx="60">
                  <c:v>25349715.077933695</c:v>
                </c:pt>
                <c:pt idx="61">
                  <c:v>23756616.580757681</c:v>
                </c:pt>
                <c:pt idx="62">
                  <c:v>21883825.022352602</c:v>
                </c:pt>
                <c:pt idx="63">
                  <c:v>17271295.091213606</c:v>
                </c:pt>
                <c:pt idx="64">
                  <c:v>17544166.519729059</c:v>
                </c:pt>
                <c:pt idx="65">
                  <c:v>19750685.764605992</c:v>
                </c:pt>
                <c:pt idx="66">
                  <c:v>24624335.550438847</c:v>
                </c:pt>
                <c:pt idx="67">
                  <c:v>22764303.147748519</c:v>
                </c:pt>
                <c:pt idx="68">
                  <c:v>19251042.874079373</c:v>
                </c:pt>
                <c:pt idx="69">
                  <c:v>19197266.391184889</c:v>
                </c:pt>
                <c:pt idx="70">
                  <c:v>20357369.628620494</c:v>
                </c:pt>
                <c:pt idx="71">
                  <c:v>22643808.373335242</c:v>
                </c:pt>
                <c:pt idx="72">
                  <c:v>22226475.203920912</c:v>
                </c:pt>
                <c:pt idx="73">
                  <c:v>21496338.570416048</c:v>
                </c:pt>
                <c:pt idx="74">
                  <c:v>22204985.212154265</c:v>
                </c:pt>
                <c:pt idx="75">
                  <c:v>18330460.861734305</c:v>
                </c:pt>
                <c:pt idx="76">
                  <c:v>18295111.95425491</c:v>
                </c:pt>
                <c:pt idx="77">
                  <c:v>20476730.566246897</c:v>
                </c:pt>
                <c:pt idx="78">
                  <c:v>22234905.444151878</c:v>
                </c:pt>
                <c:pt idx="79">
                  <c:v>24951021.029183362</c:v>
                </c:pt>
                <c:pt idx="80">
                  <c:v>20145859.916075177</c:v>
                </c:pt>
                <c:pt idx="81">
                  <c:v>19586967.300686892</c:v>
                </c:pt>
                <c:pt idx="82">
                  <c:v>20810400.139887426</c:v>
                </c:pt>
                <c:pt idx="83">
                  <c:v>22732250.379908413</c:v>
                </c:pt>
                <c:pt idx="84">
                  <c:v>25204996.965369202</c:v>
                </c:pt>
                <c:pt idx="85">
                  <c:v>22780438.801125646</c:v>
                </c:pt>
                <c:pt idx="86">
                  <c:v>23414157.738809384</c:v>
                </c:pt>
                <c:pt idx="87">
                  <c:v>20115829.526388094</c:v>
                </c:pt>
                <c:pt idx="88">
                  <c:v>20160744.949952297</c:v>
                </c:pt>
                <c:pt idx="89">
                  <c:v>21113128.571331806</c:v>
                </c:pt>
                <c:pt idx="90">
                  <c:v>24192093.706983306</c:v>
                </c:pt>
                <c:pt idx="91">
                  <c:v>24320120.879660275</c:v>
                </c:pt>
                <c:pt idx="92">
                  <c:v>20270303.670597211</c:v>
                </c:pt>
                <c:pt idx="93">
                  <c:v>19490767.100677352</c:v>
                </c:pt>
                <c:pt idx="94">
                  <c:v>20989249.595945429</c:v>
                </c:pt>
                <c:pt idx="95">
                  <c:v>23735347.06338485</c:v>
                </c:pt>
                <c:pt idx="96">
                  <c:v>24401103.305685747</c:v>
                </c:pt>
                <c:pt idx="97">
                  <c:v>22420932.090059053</c:v>
                </c:pt>
                <c:pt idx="98">
                  <c:v>23972363.738819018</c:v>
                </c:pt>
                <c:pt idx="99">
                  <c:v>20282583.720835526</c:v>
                </c:pt>
                <c:pt idx="100">
                  <c:v>20347014.067668382</c:v>
                </c:pt>
                <c:pt idx="101">
                  <c:v>21534341.274069738</c:v>
                </c:pt>
                <c:pt idx="102">
                  <c:v>24364986.465474147</c:v>
                </c:pt>
                <c:pt idx="103">
                  <c:v>22013388.033152066</c:v>
                </c:pt>
                <c:pt idx="104">
                  <c:v>21145188.522524327</c:v>
                </c:pt>
                <c:pt idx="105">
                  <c:v>20260164.454769988</c:v>
                </c:pt>
                <c:pt idx="106">
                  <c:v>21588606.574222475</c:v>
                </c:pt>
                <c:pt idx="107">
                  <c:v>21179657.134144247</c:v>
                </c:pt>
                <c:pt idx="108">
                  <c:v>22885075.832376584</c:v>
                </c:pt>
                <c:pt idx="109">
                  <c:v>20585432.460018069</c:v>
                </c:pt>
                <c:pt idx="110">
                  <c:v>20536248.588542148</c:v>
                </c:pt>
                <c:pt idx="111">
                  <c:v>18721933.765236143</c:v>
                </c:pt>
                <c:pt idx="112">
                  <c:v>19055710.70695189</c:v>
                </c:pt>
                <c:pt idx="113">
                  <c:v>19987165.718999069</c:v>
                </c:pt>
                <c:pt idx="114">
                  <c:v>23022417.865837455</c:v>
                </c:pt>
                <c:pt idx="115">
                  <c:v>21847262.681568429</c:v>
                </c:pt>
                <c:pt idx="116">
                  <c:v>19324555.184355758</c:v>
                </c:pt>
                <c:pt idx="117">
                  <c:v>18544443.760308955</c:v>
                </c:pt>
                <c:pt idx="118">
                  <c:v>19072345.384018313</c:v>
                </c:pt>
                <c:pt idx="119">
                  <c:v>22105922.192172457</c:v>
                </c:pt>
                <c:pt idx="120">
                  <c:v>24010569.432455599</c:v>
                </c:pt>
                <c:pt idx="121">
                  <c:v>21623529.036510158</c:v>
                </c:pt>
                <c:pt idx="122">
                  <c:v>21365620.189038325</c:v>
                </c:pt>
                <c:pt idx="123">
                  <c:v>19173534.548807446</c:v>
                </c:pt>
                <c:pt idx="124">
                  <c:v>18330032.948225532</c:v>
                </c:pt>
                <c:pt idx="125">
                  <c:v>20304984.90865289</c:v>
                </c:pt>
                <c:pt idx="126">
                  <c:v>23894893.695735514</c:v>
                </c:pt>
                <c:pt idx="127">
                  <c:v>21826674.46380458</c:v>
                </c:pt>
                <c:pt idx="128">
                  <c:v>18789107.248769291</c:v>
                </c:pt>
                <c:pt idx="129">
                  <c:v>18355622.76203968</c:v>
                </c:pt>
                <c:pt idx="130">
                  <c:v>19727949.75668763</c:v>
                </c:pt>
                <c:pt idx="131">
                  <c:v>22975939.489992373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56-47E2-8E48-D37770DDB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582192"/>
        <c:axId val="523582672"/>
      </c:scatterChart>
      <c:valAx>
        <c:axId val="5235821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672"/>
        <c:crosses val="autoZero"/>
        <c:crossBetween val="midCat"/>
      </c:valAx>
      <c:valAx>
        <c:axId val="52358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3,000-4,999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Summary'!$BN$3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Summary'!$BM$4:$BM$14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'Model Summary'!$BN$4:$BN$14</c:f>
              <c:numCache>
                <c:formatCode>#,##0</c:formatCode>
                <c:ptCount val="10"/>
                <c:pt idx="0">
                  <c:v>61537561.710238636</c:v>
                </c:pt>
                <c:pt idx="1">
                  <c:v>60897721.721045442</c:v>
                </c:pt>
                <c:pt idx="2">
                  <c:v>72444669.864638299</c:v>
                </c:pt>
                <c:pt idx="3">
                  <c:v>81067640.982784644</c:v>
                </c:pt>
                <c:pt idx="4">
                  <c:v>87300917.280597076</c:v>
                </c:pt>
                <c:pt idx="5">
                  <c:v>91219165.840228975</c:v>
                </c:pt>
                <c:pt idx="6">
                  <c:v>92386373.674872577</c:v>
                </c:pt>
                <c:pt idx="7">
                  <c:v>90098010.637961924</c:v>
                </c:pt>
                <c:pt idx="8">
                  <c:v>87688946.93355599</c:v>
                </c:pt>
                <c:pt idx="9">
                  <c:v>89309740.351450846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3-47C1-AE5B-B2CB6FFB848D}"/>
            </c:ext>
          </c:extLst>
        </c:ser>
        <c:ser>
          <c:idx val="2"/>
          <c:order val="1"/>
          <c:tx>
            <c:strRef>
              <c:f>'Model Summary'!$BO$3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Summary'!$BM$4:$BM$14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'Model Summary'!$BO$4:$BO$14</c:f>
              <c:numCache>
                <c:formatCode>#,##0</c:formatCode>
                <c:ptCount val="10"/>
                <c:pt idx="0">
                  <c:v>60818464.525552742</c:v>
                </c:pt>
                <c:pt idx="1">
                  <c:v>60634169.61527577</c:v>
                </c:pt>
                <c:pt idx="2">
                  <c:v>75614973.24448584</c:v>
                </c:pt>
                <c:pt idx="3">
                  <c:v>88290984.609048173</c:v>
                </c:pt>
                <c:pt idx="4">
                  <c:v>88478023.061325133</c:v>
                </c:pt>
                <c:pt idx="5">
                  <c:v>88295125.051048175</c:v>
                </c:pt>
                <c:pt idx="6">
                  <c:v>88301183.180048153</c:v>
                </c:pt>
                <c:pt idx="7">
                  <c:v>88312420.63704817</c:v>
                </c:pt>
                <c:pt idx="8">
                  <c:v>88520217.207325146</c:v>
                </c:pt>
                <c:pt idx="9">
                  <c:v>88357869.189048156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3-47C1-AE5B-B2CB6FFB8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'VRZ Residential Normalized'!$D$1</c:f>
              <c:strCache>
                <c:ptCount val="1"/>
                <c:pt idx="0">
                  <c:v>VRZ_ResidentialkWh_No_CDM_AL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Residential Normalized'!$A$2:$A$193</c:f>
              <c:numCache>
                <c:formatCode>mmm\-yy</c:formatCode>
                <c:ptCount val="19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  <c:pt idx="120">
                  <c:v>46053</c:v>
                </c:pt>
                <c:pt idx="121">
                  <c:v>46081</c:v>
                </c:pt>
                <c:pt idx="122">
                  <c:v>46112</c:v>
                </c:pt>
                <c:pt idx="123">
                  <c:v>46142</c:v>
                </c:pt>
                <c:pt idx="124">
                  <c:v>46173</c:v>
                </c:pt>
                <c:pt idx="125">
                  <c:v>46203</c:v>
                </c:pt>
                <c:pt idx="126">
                  <c:v>46234</c:v>
                </c:pt>
                <c:pt idx="127">
                  <c:v>46265</c:v>
                </c:pt>
                <c:pt idx="128">
                  <c:v>46295</c:v>
                </c:pt>
                <c:pt idx="129">
                  <c:v>46326</c:v>
                </c:pt>
                <c:pt idx="130">
                  <c:v>46356</c:v>
                </c:pt>
                <c:pt idx="131">
                  <c:v>46387</c:v>
                </c:pt>
                <c:pt idx="132">
                  <c:v>46418</c:v>
                </c:pt>
                <c:pt idx="133">
                  <c:v>46446</c:v>
                </c:pt>
                <c:pt idx="134">
                  <c:v>46477</c:v>
                </c:pt>
                <c:pt idx="135">
                  <c:v>46507</c:v>
                </c:pt>
                <c:pt idx="136">
                  <c:v>46538</c:v>
                </c:pt>
                <c:pt idx="137">
                  <c:v>46568</c:v>
                </c:pt>
                <c:pt idx="138">
                  <c:v>46599</c:v>
                </c:pt>
                <c:pt idx="139">
                  <c:v>46630</c:v>
                </c:pt>
                <c:pt idx="140">
                  <c:v>46660</c:v>
                </c:pt>
                <c:pt idx="141">
                  <c:v>46691</c:v>
                </c:pt>
                <c:pt idx="142">
                  <c:v>46721</c:v>
                </c:pt>
                <c:pt idx="143">
                  <c:v>46752</c:v>
                </c:pt>
                <c:pt idx="144">
                  <c:v>46783</c:v>
                </c:pt>
                <c:pt idx="145">
                  <c:v>46812</c:v>
                </c:pt>
                <c:pt idx="146">
                  <c:v>46843</c:v>
                </c:pt>
                <c:pt idx="147">
                  <c:v>46873</c:v>
                </c:pt>
                <c:pt idx="148">
                  <c:v>46904</c:v>
                </c:pt>
                <c:pt idx="149">
                  <c:v>46934</c:v>
                </c:pt>
                <c:pt idx="150">
                  <c:v>46965</c:v>
                </c:pt>
                <c:pt idx="151">
                  <c:v>46996</c:v>
                </c:pt>
                <c:pt idx="152">
                  <c:v>47026</c:v>
                </c:pt>
                <c:pt idx="153">
                  <c:v>47057</c:v>
                </c:pt>
                <c:pt idx="154">
                  <c:v>47087</c:v>
                </c:pt>
                <c:pt idx="155">
                  <c:v>47118</c:v>
                </c:pt>
                <c:pt idx="156">
                  <c:v>47149</c:v>
                </c:pt>
                <c:pt idx="157">
                  <c:v>47177</c:v>
                </c:pt>
                <c:pt idx="158">
                  <c:v>47208</c:v>
                </c:pt>
                <c:pt idx="159">
                  <c:v>47238</c:v>
                </c:pt>
                <c:pt idx="160">
                  <c:v>47269</c:v>
                </c:pt>
                <c:pt idx="161">
                  <c:v>47299</c:v>
                </c:pt>
                <c:pt idx="162">
                  <c:v>47330</c:v>
                </c:pt>
                <c:pt idx="163">
                  <c:v>47361</c:v>
                </c:pt>
                <c:pt idx="164">
                  <c:v>47391</c:v>
                </c:pt>
                <c:pt idx="165">
                  <c:v>47422</c:v>
                </c:pt>
                <c:pt idx="166">
                  <c:v>47452</c:v>
                </c:pt>
                <c:pt idx="167">
                  <c:v>47483</c:v>
                </c:pt>
                <c:pt idx="168">
                  <c:v>47514</c:v>
                </c:pt>
                <c:pt idx="169">
                  <c:v>47542</c:v>
                </c:pt>
                <c:pt idx="170">
                  <c:v>47573</c:v>
                </c:pt>
                <c:pt idx="171">
                  <c:v>47603</c:v>
                </c:pt>
                <c:pt idx="172">
                  <c:v>47634</c:v>
                </c:pt>
                <c:pt idx="173">
                  <c:v>47664</c:v>
                </c:pt>
                <c:pt idx="174">
                  <c:v>47695</c:v>
                </c:pt>
                <c:pt idx="175">
                  <c:v>47726</c:v>
                </c:pt>
                <c:pt idx="176">
                  <c:v>47756</c:v>
                </c:pt>
                <c:pt idx="177">
                  <c:v>47787</c:v>
                </c:pt>
                <c:pt idx="178">
                  <c:v>47817</c:v>
                </c:pt>
                <c:pt idx="179">
                  <c:v>47848</c:v>
                </c:pt>
                <c:pt idx="180">
                  <c:v>47879</c:v>
                </c:pt>
                <c:pt idx="181">
                  <c:v>47907</c:v>
                </c:pt>
                <c:pt idx="182">
                  <c:v>47938</c:v>
                </c:pt>
                <c:pt idx="183">
                  <c:v>47968</c:v>
                </c:pt>
                <c:pt idx="184">
                  <c:v>47999</c:v>
                </c:pt>
                <c:pt idx="185">
                  <c:v>48029</c:v>
                </c:pt>
                <c:pt idx="186">
                  <c:v>48060</c:v>
                </c:pt>
                <c:pt idx="187">
                  <c:v>48091</c:v>
                </c:pt>
                <c:pt idx="188">
                  <c:v>48121</c:v>
                </c:pt>
                <c:pt idx="189">
                  <c:v>48152</c:v>
                </c:pt>
                <c:pt idx="190">
                  <c:v>48182</c:v>
                </c:pt>
                <c:pt idx="191">
                  <c:v>48213</c:v>
                </c:pt>
              </c:numCache>
            </c:numRef>
          </c:cat>
          <c:val>
            <c:numRef>
              <c:f>'VRZ Residential Normalized'!$D$2:$D$193</c:f>
              <c:numCache>
                <c:formatCode>_-* #,##0_-;\-* #,##0_-;_-* "-"??_-;_-@_-</c:formatCode>
                <c:ptCount val="192"/>
                <c:pt idx="0">
                  <c:v>85376415.042292222</c:v>
                </c:pt>
                <c:pt idx="1">
                  <c:v>77381302.28981629</c:v>
                </c:pt>
                <c:pt idx="2">
                  <c:v>73971867.342461213</c:v>
                </c:pt>
                <c:pt idx="3">
                  <c:v>65417923.854524866</c:v>
                </c:pt>
                <c:pt idx="4">
                  <c:v>65187188.306903355</c:v>
                </c:pt>
                <c:pt idx="5">
                  <c:v>74671270.898416147</c:v>
                </c:pt>
                <c:pt idx="6">
                  <c:v>97914851.723937914</c:v>
                </c:pt>
                <c:pt idx="7">
                  <c:v>104107940.31948724</c:v>
                </c:pt>
                <c:pt idx="8">
                  <c:v>72870278.058616281</c:v>
                </c:pt>
                <c:pt idx="9">
                  <c:v>63420205.647639558</c:v>
                </c:pt>
                <c:pt idx="10">
                  <c:v>66278339.830631763</c:v>
                </c:pt>
                <c:pt idx="11">
                  <c:v>84183809.525322765</c:v>
                </c:pt>
                <c:pt idx="12">
                  <c:v>82569323.575743258</c:v>
                </c:pt>
                <c:pt idx="13">
                  <c:v>71599326.353062958</c:v>
                </c:pt>
                <c:pt idx="14">
                  <c:v>78053890.649692729</c:v>
                </c:pt>
                <c:pt idx="15">
                  <c:v>63125916.590484679</c:v>
                </c:pt>
                <c:pt idx="16">
                  <c:v>62505880.854811162</c:v>
                </c:pt>
                <c:pt idx="17">
                  <c:v>69514121.089248583</c:v>
                </c:pt>
                <c:pt idx="18">
                  <c:v>85901862.580364347</c:v>
                </c:pt>
                <c:pt idx="19">
                  <c:v>79992171.737870187</c:v>
                </c:pt>
                <c:pt idx="20">
                  <c:v>73605835.162615746</c:v>
                </c:pt>
                <c:pt idx="21">
                  <c:v>63873528.16660127</c:v>
                </c:pt>
                <c:pt idx="22">
                  <c:v>71788952.302250221</c:v>
                </c:pt>
                <c:pt idx="23">
                  <c:v>90759680.625343248</c:v>
                </c:pt>
                <c:pt idx="24">
                  <c:v>91561131.670871302</c:v>
                </c:pt>
                <c:pt idx="25">
                  <c:v>75532012.336833283</c:v>
                </c:pt>
                <c:pt idx="26">
                  <c:v>77290841.338541195</c:v>
                </c:pt>
                <c:pt idx="27">
                  <c:v>71505849.770226046</c:v>
                </c:pt>
                <c:pt idx="28">
                  <c:v>66010944.361001618</c:v>
                </c:pt>
                <c:pt idx="29">
                  <c:v>75287720.622584835</c:v>
                </c:pt>
                <c:pt idx="30">
                  <c:v>104240943.19546361</c:v>
                </c:pt>
                <c:pt idx="31">
                  <c:v>101741744.30447084</c:v>
                </c:pt>
                <c:pt idx="32">
                  <c:v>80933172.722512841</c:v>
                </c:pt>
                <c:pt idx="33">
                  <c:v>68881095.122476816</c:v>
                </c:pt>
                <c:pt idx="34">
                  <c:v>76413986.069978595</c:v>
                </c:pt>
                <c:pt idx="35">
                  <c:v>86953259.180940479</c:v>
                </c:pt>
                <c:pt idx="36">
                  <c:v>92974979.576348692</c:v>
                </c:pt>
                <c:pt idx="37">
                  <c:v>80960716.171621993</c:v>
                </c:pt>
                <c:pt idx="38">
                  <c:v>81944600.822116658</c:v>
                </c:pt>
                <c:pt idx="39">
                  <c:v>68892798.428828225</c:v>
                </c:pt>
                <c:pt idx="40">
                  <c:v>64103490.270333305</c:v>
                </c:pt>
                <c:pt idx="41">
                  <c:v>71009900.440702423</c:v>
                </c:pt>
                <c:pt idx="42">
                  <c:v>106979054.370225</c:v>
                </c:pt>
                <c:pt idx="43">
                  <c:v>90017025.946009278</c:v>
                </c:pt>
                <c:pt idx="44">
                  <c:v>66879797.504897155</c:v>
                </c:pt>
                <c:pt idx="45">
                  <c:v>65776852.704559915</c:v>
                </c:pt>
                <c:pt idx="46">
                  <c:v>77002857.93993023</c:v>
                </c:pt>
                <c:pt idx="47">
                  <c:v>88307425.610101163</c:v>
                </c:pt>
                <c:pt idx="48">
                  <c:v>85845545.70260489</c:v>
                </c:pt>
                <c:pt idx="49">
                  <c:v>79911114.387225032</c:v>
                </c:pt>
                <c:pt idx="50">
                  <c:v>79634118.914338961</c:v>
                </c:pt>
                <c:pt idx="51">
                  <c:v>74261428.820349082</c:v>
                </c:pt>
                <c:pt idx="52">
                  <c:v>76580159.665397182</c:v>
                </c:pt>
                <c:pt idx="53">
                  <c:v>91043376.335375085</c:v>
                </c:pt>
                <c:pt idx="54">
                  <c:v>126388945.36780129</c:v>
                </c:pt>
                <c:pt idx="55">
                  <c:v>104446351.65602222</c:v>
                </c:pt>
                <c:pt idx="56">
                  <c:v>71997324.409612387</c:v>
                </c:pt>
                <c:pt idx="57">
                  <c:v>70962030.190456167</c:v>
                </c:pt>
                <c:pt idx="58">
                  <c:v>74648960.064726397</c:v>
                </c:pt>
                <c:pt idx="59">
                  <c:v>91275714.600846589</c:v>
                </c:pt>
                <c:pt idx="60">
                  <c:v>91989785.506136447</c:v>
                </c:pt>
                <c:pt idx="61">
                  <c:v>85238278.892781705</c:v>
                </c:pt>
                <c:pt idx="62">
                  <c:v>81059106.19664377</c:v>
                </c:pt>
                <c:pt idx="63">
                  <c:v>70556888.93832539</c:v>
                </c:pt>
                <c:pt idx="64">
                  <c:v>74321669.187708259</c:v>
                </c:pt>
                <c:pt idx="65">
                  <c:v>91535409.576470032</c:v>
                </c:pt>
                <c:pt idx="66">
                  <c:v>97237594.187372789</c:v>
                </c:pt>
                <c:pt idx="67">
                  <c:v>115777187.35476428</c:v>
                </c:pt>
                <c:pt idx="68">
                  <c:v>75031083.023221835</c:v>
                </c:pt>
                <c:pt idx="69">
                  <c:v>70085855.429447129</c:v>
                </c:pt>
                <c:pt idx="70">
                  <c:v>75330193.077359781</c:v>
                </c:pt>
                <c:pt idx="71">
                  <c:v>88027624.967866316</c:v>
                </c:pt>
                <c:pt idx="72">
                  <c:v>99346108.511066616</c:v>
                </c:pt>
                <c:pt idx="73">
                  <c:v>84102114.429993615</c:v>
                </c:pt>
                <c:pt idx="74">
                  <c:v>83403865.584119171</c:v>
                </c:pt>
                <c:pt idx="75">
                  <c:v>71064627.79074426</c:v>
                </c:pt>
                <c:pt idx="76">
                  <c:v>71024881.513120502</c:v>
                </c:pt>
                <c:pt idx="77">
                  <c:v>80277238.586211354</c:v>
                </c:pt>
                <c:pt idx="78">
                  <c:v>101822308.87975499</c:v>
                </c:pt>
                <c:pt idx="79">
                  <c:v>104889784.39125125</c:v>
                </c:pt>
                <c:pt idx="80">
                  <c:v>75687471.042814732</c:v>
                </c:pt>
                <c:pt idx="81">
                  <c:v>68243024.502862036</c:v>
                </c:pt>
                <c:pt idx="82">
                  <c:v>73658798.952722281</c:v>
                </c:pt>
                <c:pt idx="83">
                  <c:v>88995097.639372066</c:v>
                </c:pt>
                <c:pt idx="84">
                  <c:v>86983028.018493876</c:v>
                </c:pt>
                <c:pt idx="85">
                  <c:v>79413666.118960813</c:v>
                </c:pt>
                <c:pt idx="86">
                  <c:v>81452950.556678519</c:v>
                </c:pt>
                <c:pt idx="87">
                  <c:v>69676739.883653373</c:v>
                </c:pt>
                <c:pt idx="88">
                  <c:v>68580663.272136495</c:v>
                </c:pt>
                <c:pt idx="89">
                  <c:v>83110127.86487703</c:v>
                </c:pt>
                <c:pt idx="90">
                  <c:v>105330521.04424332</c:v>
                </c:pt>
                <c:pt idx="91">
                  <c:v>90926184.191120088</c:v>
                </c:pt>
                <c:pt idx="92">
                  <c:v>79551417.86999476</c:v>
                </c:pt>
                <c:pt idx="93">
                  <c:v>73798747.366478994</c:v>
                </c:pt>
                <c:pt idx="94">
                  <c:v>81182369.334638447</c:v>
                </c:pt>
                <c:pt idx="95">
                  <c:v>88352265.069595799</c:v>
                </c:pt>
                <c:pt idx="96">
                  <c:v>93322470.653139621</c:v>
                </c:pt>
                <c:pt idx="97">
                  <c:v>80936375.031165853</c:v>
                </c:pt>
                <c:pt idx="98">
                  <c:v>80513136.016626269</c:v>
                </c:pt>
                <c:pt idx="99">
                  <c:v>71105920.902672291</c:v>
                </c:pt>
                <c:pt idx="100">
                  <c:v>72539349.896218315</c:v>
                </c:pt>
                <c:pt idx="101">
                  <c:v>88814453.820362926</c:v>
                </c:pt>
                <c:pt idx="102">
                  <c:v>113119624.36704701</c:v>
                </c:pt>
                <c:pt idx="103">
                  <c:v>103922741.91547874</c:v>
                </c:pt>
                <c:pt idx="104">
                  <c:v>81529010.336845115</c:v>
                </c:pt>
                <c:pt idx="105">
                  <c:v>71451805.468811825</c:v>
                </c:pt>
                <c:pt idx="106">
                  <c:v>75242664.600842655</c:v>
                </c:pt>
                <c:pt idx="107">
                  <c:v>93563825.522417054</c:v>
                </c:pt>
                <c:pt idx="108">
                  <c:v>95423691.29324168</c:v>
                </c:pt>
                <c:pt idx="109">
                  <c:v>85036383.504601583</c:v>
                </c:pt>
                <c:pt idx="110">
                  <c:v>82706150.336421147</c:v>
                </c:pt>
                <c:pt idx="111">
                  <c:v>72689576.003862336</c:v>
                </c:pt>
                <c:pt idx="112">
                  <c:v>69140377.650372669</c:v>
                </c:pt>
                <c:pt idx="113">
                  <c:v>90713998.619567037</c:v>
                </c:pt>
                <c:pt idx="114">
                  <c:v>121831748.16930632</c:v>
                </c:pt>
                <c:pt idx="115">
                  <c:v>104410604.13953435</c:v>
                </c:pt>
                <c:pt idx="116">
                  <c:v>76035689.171087712</c:v>
                </c:pt>
                <c:pt idx="117">
                  <c:v>71682979.284230798</c:v>
                </c:pt>
                <c:pt idx="118">
                  <c:v>79591844.076713681</c:v>
                </c:pt>
                <c:pt idx="119">
                  <c:v>95959542.633963183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44-453F-9A6D-D32F0B9783A5}"/>
            </c:ext>
          </c:extLst>
        </c:ser>
        <c:ser>
          <c:idx val="1"/>
          <c:order val="1"/>
          <c:tx>
            <c:strRef>
              <c:f>'VRZ Residential Normalized'!$U$1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Residential Normalized'!$A$2:$A$193</c:f>
              <c:numCache>
                <c:formatCode>mmm\-yy</c:formatCode>
                <c:ptCount val="19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  <c:pt idx="120">
                  <c:v>46053</c:v>
                </c:pt>
                <c:pt idx="121">
                  <c:v>46081</c:v>
                </c:pt>
                <c:pt idx="122">
                  <c:v>46112</c:v>
                </c:pt>
                <c:pt idx="123">
                  <c:v>46142</c:v>
                </c:pt>
                <c:pt idx="124">
                  <c:v>46173</c:v>
                </c:pt>
                <c:pt idx="125">
                  <c:v>46203</c:v>
                </c:pt>
                <c:pt idx="126">
                  <c:v>46234</c:v>
                </c:pt>
                <c:pt idx="127">
                  <c:v>46265</c:v>
                </c:pt>
                <c:pt idx="128">
                  <c:v>46295</c:v>
                </c:pt>
                <c:pt idx="129">
                  <c:v>46326</c:v>
                </c:pt>
                <c:pt idx="130">
                  <c:v>46356</c:v>
                </c:pt>
                <c:pt idx="131">
                  <c:v>46387</c:v>
                </c:pt>
                <c:pt idx="132">
                  <c:v>46418</c:v>
                </c:pt>
                <c:pt idx="133">
                  <c:v>46446</c:v>
                </c:pt>
                <c:pt idx="134">
                  <c:v>46477</c:v>
                </c:pt>
                <c:pt idx="135">
                  <c:v>46507</c:v>
                </c:pt>
                <c:pt idx="136">
                  <c:v>46538</c:v>
                </c:pt>
                <c:pt idx="137">
                  <c:v>46568</c:v>
                </c:pt>
                <c:pt idx="138">
                  <c:v>46599</c:v>
                </c:pt>
                <c:pt idx="139">
                  <c:v>46630</c:v>
                </c:pt>
                <c:pt idx="140">
                  <c:v>46660</c:v>
                </c:pt>
                <c:pt idx="141">
                  <c:v>46691</c:v>
                </c:pt>
                <c:pt idx="142">
                  <c:v>46721</c:v>
                </c:pt>
                <c:pt idx="143">
                  <c:v>46752</c:v>
                </c:pt>
                <c:pt idx="144">
                  <c:v>46783</c:v>
                </c:pt>
                <c:pt idx="145">
                  <c:v>46812</c:v>
                </c:pt>
                <c:pt idx="146">
                  <c:v>46843</c:v>
                </c:pt>
                <c:pt idx="147">
                  <c:v>46873</c:v>
                </c:pt>
                <c:pt idx="148">
                  <c:v>46904</c:v>
                </c:pt>
                <c:pt idx="149">
                  <c:v>46934</c:v>
                </c:pt>
                <c:pt idx="150">
                  <c:v>46965</c:v>
                </c:pt>
                <c:pt idx="151">
                  <c:v>46996</c:v>
                </c:pt>
                <c:pt idx="152">
                  <c:v>47026</c:v>
                </c:pt>
                <c:pt idx="153">
                  <c:v>47057</c:v>
                </c:pt>
                <c:pt idx="154">
                  <c:v>47087</c:v>
                </c:pt>
                <c:pt idx="155">
                  <c:v>47118</c:v>
                </c:pt>
                <c:pt idx="156">
                  <c:v>47149</c:v>
                </c:pt>
                <c:pt idx="157">
                  <c:v>47177</c:v>
                </c:pt>
                <c:pt idx="158">
                  <c:v>47208</c:v>
                </c:pt>
                <c:pt idx="159">
                  <c:v>47238</c:v>
                </c:pt>
                <c:pt idx="160">
                  <c:v>47269</c:v>
                </c:pt>
                <c:pt idx="161">
                  <c:v>47299</c:v>
                </c:pt>
                <c:pt idx="162">
                  <c:v>47330</c:v>
                </c:pt>
                <c:pt idx="163">
                  <c:v>47361</c:v>
                </c:pt>
                <c:pt idx="164">
                  <c:v>47391</c:v>
                </c:pt>
                <c:pt idx="165">
                  <c:v>47422</c:v>
                </c:pt>
                <c:pt idx="166">
                  <c:v>47452</c:v>
                </c:pt>
                <c:pt idx="167">
                  <c:v>47483</c:v>
                </c:pt>
                <c:pt idx="168">
                  <c:v>47514</c:v>
                </c:pt>
                <c:pt idx="169">
                  <c:v>47542</c:v>
                </c:pt>
                <c:pt idx="170">
                  <c:v>47573</c:v>
                </c:pt>
                <c:pt idx="171">
                  <c:v>47603</c:v>
                </c:pt>
                <c:pt idx="172">
                  <c:v>47634</c:v>
                </c:pt>
                <c:pt idx="173">
                  <c:v>47664</c:v>
                </c:pt>
                <c:pt idx="174">
                  <c:v>47695</c:v>
                </c:pt>
                <c:pt idx="175">
                  <c:v>47726</c:v>
                </c:pt>
                <c:pt idx="176">
                  <c:v>47756</c:v>
                </c:pt>
                <c:pt idx="177">
                  <c:v>47787</c:v>
                </c:pt>
                <c:pt idx="178">
                  <c:v>47817</c:v>
                </c:pt>
                <c:pt idx="179">
                  <c:v>47848</c:v>
                </c:pt>
                <c:pt idx="180">
                  <c:v>47879</c:v>
                </c:pt>
                <c:pt idx="181">
                  <c:v>47907</c:v>
                </c:pt>
                <c:pt idx="182">
                  <c:v>47938</c:v>
                </c:pt>
                <c:pt idx="183">
                  <c:v>47968</c:v>
                </c:pt>
                <c:pt idx="184">
                  <c:v>47999</c:v>
                </c:pt>
                <c:pt idx="185">
                  <c:v>48029</c:v>
                </c:pt>
                <c:pt idx="186">
                  <c:v>48060</c:v>
                </c:pt>
                <c:pt idx="187">
                  <c:v>48091</c:v>
                </c:pt>
                <c:pt idx="188">
                  <c:v>48121</c:v>
                </c:pt>
                <c:pt idx="189">
                  <c:v>48152</c:v>
                </c:pt>
                <c:pt idx="190">
                  <c:v>48182</c:v>
                </c:pt>
                <c:pt idx="191">
                  <c:v>48213</c:v>
                </c:pt>
              </c:numCache>
            </c:numRef>
          </c:cat>
          <c:val>
            <c:numRef>
              <c:f>'VRZ Residential Normalized'!$X$2:$X$193</c:f>
              <c:numCache>
                <c:formatCode>_-* #,##0_-;\-* #,##0_-;_-* "-"??_-;_-@_-</c:formatCode>
                <c:ptCount val="192"/>
                <c:pt idx="0">
                  <c:v>84017242.469663352</c:v>
                </c:pt>
                <c:pt idx="1">
                  <c:v>76172069.783107877</c:v>
                </c:pt>
                <c:pt idx="2">
                  <c:v>74270162.275024489</c:v>
                </c:pt>
                <c:pt idx="3">
                  <c:v>64376546.481846444</c:v>
                </c:pt>
                <c:pt idx="4">
                  <c:v>64373284.03066539</c:v>
                </c:pt>
                <c:pt idx="5">
                  <c:v>76577609.357009649</c:v>
                </c:pt>
                <c:pt idx="6">
                  <c:v>99700569.961668089</c:v>
                </c:pt>
                <c:pt idx="7">
                  <c:v>92966357.444770858</c:v>
                </c:pt>
                <c:pt idx="8">
                  <c:v>66233319.149051823</c:v>
                </c:pt>
                <c:pt idx="9">
                  <c:v>63564366.020516261</c:v>
                </c:pt>
                <c:pt idx="10">
                  <c:v>68734261.951406121</c:v>
                </c:pt>
                <c:pt idx="11">
                  <c:v>81226984.840470478</c:v>
                </c:pt>
                <c:pt idx="12">
                  <c:v>85287629.75889039</c:v>
                </c:pt>
                <c:pt idx="13">
                  <c:v>75526402.114562929</c:v>
                </c:pt>
                <c:pt idx="14">
                  <c:v>75546828.537310094</c:v>
                </c:pt>
                <c:pt idx="15">
                  <c:v>65656352.23066134</c:v>
                </c:pt>
                <c:pt idx="16">
                  <c:v>65656229.266009562</c:v>
                </c:pt>
                <c:pt idx="17">
                  <c:v>77863694.078883111</c:v>
                </c:pt>
                <c:pt idx="18">
                  <c:v>100989794.17007084</c:v>
                </c:pt>
                <c:pt idx="19">
                  <c:v>94258721.139702871</c:v>
                </c:pt>
                <c:pt idx="20">
                  <c:v>67528822.33051312</c:v>
                </c:pt>
                <c:pt idx="21">
                  <c:v>64863008.688506849</c:v>
                </c:pt>
                <c:pt idx="22">
                  <c:v>70036044.105925992</c:v>
                </c:pt>
                <c:pt idx="23">
                  <c:v>82531906.481519625</c:v>
                </c:pt>
                <c:pt idx="24">
                  <c:v>86600420.724068418</c:v>
                </c:pt>
                <c:pt idx="25">
                  <c:v>76843922.917340532</c:v>
                </c:pt>
                <c:pt idx="26">
                  <c:v>76869079.177687287</c:v>
                </c:pt>
                <c:pt idx="27">
                  <c:v>66983332.708638117</c:v>
                </c:pt>
                <c:pt idx="28">
                  <c:v>66987939.581585929</c:v>
                </c:pt>
                <c:pt idx="29">
                  <c:v>79200134.232059047</c:v>
                </c:pt>
                <c:pt idx="30">
                  <c:v>102330964.16084638</c:v>
                </c:pt>
                <c:pt idx="31">
                  <c:v>95604620.968078017</c:v>
                </c:pt>
                <c:pt idx="32">
                  <c:v>68879451.996487826</c:v>
                </c:pt>
                <c:pt idx="33">
                  <c:v>66218368.192081146</c:v>
                </c:pt>
                <c:pt idx="34">
                  <c:v>71396133.447099864</c:v>
                </c:pt>
                <c:pt idx="35">
                  <c:v>83896725.660293087</c:v>
                </c:pt>
                <c:pt idx="36">
                  <c:v>88110258.288024753</c:v>
                </c:pt>
                <c:pt idx="37">
                  <c:v>78324049.425587133</c:v>
                </c:pt>
                <c:pt idx="38">
                  <c:v>78340322.245866477</c:v>
                </c:pt>
                <c:pt idx="39">
                  <c:v>68405626.800083145</c:v>
                </c:pt>
                <c:pt idx="40">
                  <c:v>68376738.679217681</c:v>
                </c:pt>
                <c:pt idx="41">
                  <c:v>80555753.326572418</c:v>
                </c:pt>
                <c:pt idx="42">
                  <c:v>103674324.98441426</c:v>
                </c:pt>
                <c:pt idx="43">
                  <c:v>96945098.563887432</c:v>
                </c:pt>
                <c:pt idx="44">
                  <c:v>70226789.976807132</c:v>
                </c:pt>
                <c:pt idx="45">
                  <c:v>67595524.024780244</c:v>
                </c:pt>
                <c:pt idx="46">
                  <c:v>72822353.517211348</c:v>
                </c:pt>
                <c:pt idx="47">
                  <c:v>85334846.816483527</c:v>
                </c:pt>
                <c:pt idx="48">
                  <c:v>89773858.97549583</c:v>
                </c:pt>
                <c:pt idx="49">
                  <c:v>81926949.366776928</c:v>
                </c:pt>
                <c:pt idx="50">
                  <c:v>82363968.375472546</c:v>
                </c:pt>
                <c:pt idx="51">
                  <c:v>73904524.512730747</c:v>
                </c:pt>
                <c:pt idx="52">
                  <c:v>73287635.787316129</c:v>
                </c:pt>
                <c:pt idx="53">
                  <c:v>84117751.195658892</c:v>
                </c:pt>
                <c:pt idx="54">
                  <c:v>109232841.2961605</c:v>
                </c:pt>
                <c:pt idx="55">
                  <c:v>101018003.35003656</c:v>
                </c:pt>
                <c:pt idx="56">
                  <c:v>72853538.81996429</c:v>
                </c:pt>
                <c:pt idx="57">
                  <c:v>70675571.352730259</c:v>
                </c:pt>
                <c:pt idx="58">
                  <c:v>76250420.88979353</c:v>
                </c:pt>
                <c:pt idx="59">
                  <c:v>89897213.630876124</c:v>
                </c:pt>
                <c:pt idx="60">
                  <c:v>94798166.375024512</c:v>
                </c:pt>
                <c:pt idx="61">
                  <c:v>85015957.986132011</c:v>
                </c:pt>
                <c:pt idx="62">
                  <c:v>84110125.29183653</c:v>
                </c:pt>
                <c:pt idx="63">
                  <c:v>73189865.642114639</c:v>
                </c:pt>
                <c:pt idx="64">
                  <c:v>72877921.144717515</c:v>
                </c:pt>
                <c:pt idx="65">
                  <c:v>85554401.235608399</c:v>
                </c:pt>
                <c:pt idx="66">
                  <c:v>108740719.28520769</c:v>
                </c:pt>
                <c:pt idx="67">
                  <c:v>103174798.66313519</c:v>
                </c:pt>
                <c:pt idx="68">
                  <c:v>74244514.133697629</c:v>
                </c:pt>
                <c:pt idx="69">
                  <c:v>71754458.524646908</c:v>
                </c:pt>
                <c:pt idx="70">
                  <c:v>78364420.72883068</c:v>
                </c:pt>
                <c:pt idx="71">
                  <c:v>91392874.126211613</c:v>
                </c:pt>
                <c:pt idx="72">
                  <c:v>95806299.262931123</c:v>
                </c:pt>
                <c:pt idx="73">
                  <c:v>85216994.276095495</c:v>
                </c:pt>
                <c:pt idx="74">
                  <c:v>84862328.259041086</c:v>
                </c:pt>
                <c:pt idx="75">
                  <c:v>74145051.03916496</c:v>
                </c:pt>
                <c:pt idx="76">
                  <c:v>73416052.455590487</c:v>
                </c:pt>
                <c:pt idx="77">
                  <c:v>85513151.603760868</c:v>
                </c:pt>
                <c:pt idx="78">
                  <c:v>109225933.45103292</c:v>
                </c:pt>
                <c:pt idx="79">
                  <c:v>102564802.41857417</c:v>
                </c:pt>
                <c:pt idx="80">
                  <c:v>75297381.303920075</c:v>
                </c:pt>
                <c:pt idx="81">
                  <c:v>73087589.854208976</c:v>
                </c:pt>
                <c:pt idx="82">
                  <c:v>78905400.370113</c:v>
                </c:pt>
                <c:pt idx="83">
                  <c:v>92188817.56475772</c:v>
                </c:pt>
                <c:pt idx="84">
                  <c:v>95357595.662408143</c:v>
                </c:pt>
                <c:pt idx="85">
                  <c:v>85529205.993074641</c:v>
                </c:pt>
                <c:pt idx="86">
                  <c:v>85506820.161930129</c:v>
                </c:pt>
                <c:pt idx="87">
                  <c:v>74901837.561182052</c:v>
                </c:pt>
                <c:pt idx="88">
                  <c:v>74517677.927457124</c:v>
                </c:pt>
                <c:pt idx="89">
                  <c:v>86328434.82971859</c:v>
                </c:pt>
                <c:pt idx="90">
                  <c:v>109414924.96367104</c:v>
                </c:pt>
                <c:pt idx="91">
                  <c:v>102734300.41126657</c:v>
                </c:pt>
                <c:pt idx="92">
                  <c:v>76141065.759251297</c:v>
                </c:pt>
                <c:pt idx="93">
                  <c:v>73970314.85289982</c:v>
                </c:pt>
                <c:pt idx="94">
                  <c:v>79886348.950342432</c:v>
                </c:pt>
                <c:pt idx="95">
                  <c:v>92521149.756337956</c:v>
                </c:pt>
                <c:pt idx="96">
                  <c:v>97628922.352884203</c:v>
                </c:pt>
                <c:pt idx="97">
                  <c:v>89455738.341439426</c:v>
                </c:pt>
                <c:pt idx="98">
                  <c:v>87268610.3862115</c:v>
                </c:pt>
                <c:pt idx="99">
                  <c:v>76825713.585816115</c:v>
                </c:pt>
                <c:pt idx="100">
                  <c:v>76016791.822242036</c:v>
                </c:pt>
                <c:pt idx="101">
                  <c:v>88031226.863457114</c:v>
                </c:pt>
                <c:pt idx="102">
                  <c:v>111066599.60957092</c:v>
                </c:pt>
                <c:pt idx="103">
                  <c:v>104394694.94494648</c:v>
                </c:pt>
                <c:pt idx="104">
                  <c:v>77774621.114788741</c:v>
                </c:pt>
                <c:pt idx="105">
                  <c:v>75921060.186189055</c:v>
                </c:pt>
                <c:pt idx="106">
                  <c:v>81629787.140717849</c:v>
                </c:pt>
                <c:pt idx="107">
                  <c:v>95044001.907944381</c:v>
                </c:pt>
                <c:pt idx="108">
                  <c:v>100351647.99258518</c:v>
                </c:pt>
                <c:pt idx="109">
                  <c:v>90294145.627530456</c:v>
                </c:pt>
                <c:pt idx="110">
                  <c:v>89640332.274936959</c:v>
                </c:pt>
                <c:pt idx="111">
                  <c:v>78979732.655942693</c:v>
                </c:pt>
                <c:pt idx="112">
                  <c:v>78087105.055877</c:v>
                </c:pt>
                <c:pt idx="113">
                  <c:v>89666745.811406031</c:v>
                </c:pt>
                <c:pt idx="114">
                  <c:v>112712834.33932766</c:v>
                </c:pt>
                <c:pt idx="115">
                  <c:v>106083012.83569908</c:v>
                </c:pt>
                <c:pt idx="116">
                  <c:v>79471469.210221648</c:v>
                </c:pt>
                <c:pt idx="117">
                  <c:v>77699284.046792507</c:v>
                </c:pt>
                <c:pt idx="118">
                  <c:v>84039229.896439061</c:v>
                </c:pt>
                <c:pt idx="119">
                  <c:v>97612282.825793609</c:v>
                </c:pt>
                <c:pt idx="120">
                  <c:v>102615236.97301883</c:v>
                </c:pt>
                <c:pt idx="121">
                  <c:v>92367255.832254887</c:v>
                </c:pt>
                <c:pt idx="122">
                  <c:v>92000248.158259183</c:v>
                </c:pt>
                <c:pt idx="123">
                  <c:v>81056843.764021307</c:v>
                </c:pt>
                <c:pt idx="124">
                  <c:v>79905845.014954627</c:v>
                </c:pt>
                <c:pt idx="125">
                  <c:v>91397091.198672444</c:v>
                </c:pt>
                <c:pt idx="126">
                  <c:v>114379624.51232201</c:v>
                </c:pt>
                <c:pt idx="127">
                  <c:v>107711420.22789836</c:v>
                </c:pt>
                <c:pt idx="128">
                  <c:v>81299366.356471851</c:v>
                </c:pt>
                <c:pt idx="129">
                  <c:v>79727493.478506625</c:v>
                </c:pt>
                <c:pt idx="130">
                  <c:v>86146913.648181736</c:v>
                </c:pt>
                <c:pt idx="131">
                  <c:v>99671370.900883034</c:v>
                </c:pt>
                <c:pt idx="132">
                  <c:v>105074896.49530166</c:v>
                </c:pt>
                <c:pt idx="133">
                  <c:v>94736653.674357459</c:v>
                </c:pt>
                <c:pt idx="134">
                  <c:v>94297326.510508448</c:v>
                </c:pt>
                <c:pt idx="135">
                  <c:v>83161380.193720043</c:v>
                </c:pt>
                <c:pt idx="136">
                  <c:v>81800145.131843165</c:v>
                </c:pt>
                <c:pt idx="137">
                  <c:v>93159676.433918133</c:v>
                </c:pt>
                <c:pt idx="138">
                  <c:v>116113945.23457879</c:v>
                </c:pt>
                <c:pt idx="139">
                  <c:v>109454769.30707872</c:v>
                </c:pt>
                <c:pt idx="140">
                  <c:v>83097805.60302338</c:v>
                </c:pt>
                <c:pt idx="141">
                  <c:v>81721225.703460887</c:v>
                </c:pt>
                <c:pt idx="142">
                  <c:v>88363478.074079216</c:v>
                </c:pt>
                <c:pt idx="143">
                  <c:v>102071423.47808947</c:v>
                </c:pt>
                <c:pt idx="144">
                  <c:v>107662768.87684025</c:v>
                </c:pt>
                <c:pt idx="145">
                  <c:v>99144651.742002055</c:v>
                </c:pt>
                <c:pt idx="146">
                  <c:v>96706153.571919262</c:v>
                </c:pt>
                <c:pt idx="147">
                  <c:v>85362302.595322967</c:v>
                </c:pt>
                <c:pt idx="148">
                  <c:v>83774334.360205218</c:v>
                </c:pt>
                <c:pt idx="149">
                  <c:v>94990686.756793916</c:v>
                </c:pt>
                <c:pt idx="150">
                  <c:v>117911857.67919005</c:v>
                </c:pt>
                <c:pt idx="151">
                  <c:v>111259267.0324266</c:v>
                </c:pt>
                <c:pt idx="152">
                  <c:v>84957902.754496962</c:v>
                </c:pt>
                <c:pt idx="153">
                  <c:v>83786111.401007757</c:v>
                </c:pt>
                <c:pt idx="154">
                  <c:v>90662456.668622345</c:v>
                </c:pt>
                <c:pt idx="155">
                  <c:v>104562629.1603992</c:v>
                </c:pt>
                <c:pt idx="156">
                  <c:v>110385003.54131739</c:v>
                </c:pt>
                <c:pt idx="157">
                  <c:v>99859710.720215172</c:v>
                </c:pt>
                <c:pt idx="158">
                  <c:v>99272713.811574027</c:v>
                </c:pt>
                <c:pt idx="159">
                  <c:v>87725228.622865751</c:v>
                </c:pt>
                <c:pt idx="160">
                  <c:v>85913618.315456167</c:v>
                </c:pt>
                <c:pt idx="161">
                  <c:v>96995116.430282414</c:v>
                </c:pt>
                <c:pt idx="162">
                  <c:v>119898409.15662529</c:v>
                </c:pt>
                <c:pt idx="163">
                  <c:v>113270109.0755441</c:v>
                </c:pt>
                <c:pt idx="164">
                  <c:v>87045119.56905593</c:v>
                </c:pt>
                <c:pt idx="165">
                  <c:v>86108236.748204887</c:v>
                </c:pt>
                <c:pt idx="166">
                  <c:v>93250630.41289866</c:v>
                </c:pt>
                <c:pt idx="167">
                  <c:v>107372363.17684954</c:v>
                </c:pt>
                <c:pt idx="168">
                  <c:v>113332092.15828896</c:v>
                </c:pt>
                <c:pt idx="169">
                  <c:v>102704060.65327807</c:v>
                </c:pt>
                <c:pt idx="170">
                  <c:v>102035836.51262434</c:v>
                </c:pt>
                <c:pt idx="171">
                  <c:v>90262985.665620551</c:v>
                </c:pt>
                <c:pt idx="172">
                  <c:v>88204795.343253031</c:v>
                </c:pt>
                <c:pt idx="173">
                  <c:v>99133855.237327501</c:v>
                </c:pt>
                <c:pt idx="174">
                  <c:v>122008739.61822246</c:v>
                </c:pt>
                <c:pt idx="175">
                  <c:v>115396742.77721171</c:v>
                </c:pt>
                <c:pt idx="176">
                  <c:v>89243281.452767789</c:v>
                </c:pt>
                <c:pt idx="177">
                  <c:v>88546020.339346796</c:v>
                </c:pt>
                <c:pt idx="178">
                  <c:v>95961053.344777331</c:v>
                </c:pt>
                <c:pt idx="179">
                  <c:v>110308254.64056812</c:v>
                </c:pt>
                <c:pt idx="180">
                  <c:v>116446362.64162382</c:v>
                </c:pt>
                <c:pt idx="181">
                  <c:v>105702456.99235651</c:v>
                </c:pt>
                <c:pt idx="182">
                  <c:v>104940936.3611775</c:v>
                </c:pt>
                <c:pt idx="183">
                  <c:v>92923506.465237424</c:v>
                </c:pt>
                <c:pt idx="184">
                  <c:v>90598471.26077795</c:v>
                </c:pt>
                <c:pt idx="185">
                  <c:v>101359494.14688666</c:v>
                </c:pt>
                <c:pt idx="186">
                  <c:v>124196518.85933074</c:v>
                </c:pt>
                <c:pt idx="187">
                  <c:v>117593590.03752509</c:v>
                </c:pt>
                <c:pt idx="188">
                  <c:v>91507158.864420891</c:v>
                </c:pt>
                <c:pt idx="189">
                  <c:v>91053352.879554123</c:v>
                </c:pt>
                <c:pt idx="190">
                  <c:v>98746495.145460084</c:v>
                </c:pt>
                <c:pt idx="191">
                  <c:v>113322296.90080297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44-453F-9A6D-D32F0B978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Residential Seasonal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'VRZ Seasonal Normalized'!$D$1</c:f>
              <c:strCache>
                <c:ptCount val="1"/>
                <c:pt idx="0">
                  <c:v>VRZ_SeasonalReskWh_No_CDM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Seasonal Normalized'!$A$2:$A$193</c:f>
              <c:numCache>
                <c:formatCode>mmm\-yy</c:formatCode>
                <c:ptCount val="19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45322</c:v>
                </c:pt>
                <c:pt idx="97">
                  <c:v>45351</c:v>
                </c:pt>
                <c:pt idx="98">
                  <c:v>45382</c:v>
                </c:pt>
                <c:pt idx="99">
                  <c:v>45412</c:v>
                </c:pt>
                <c:pt idx="100">
                  <c:v>45443</c:v>
                </c:pt>
                <c:pt idx="101">
                  <c:v>45473</c:v>
                </c:pt>
                <c:pt idx="102">
                  <c:v>45504</c:v>
                </c:pt>
                <c:pt idx="103">
                  <c:v>45535</c:v>
                </c:pt>
                <c:pt idx="104">
                  <c:v>45565</c:v>
                </c:pt>
                <c:pt idx="105">
                  <c:v>45596</c:v>
                </c:pt>
                <c:pt idx="106">
                  <c:v>45626</c:v>
                </c:pt>
                <c:pt idx="107">
                  <c:v>45657</c:v>
                </c:pt>
                <c:pt idx="108">
                  <c:v>45688</c:v>
                </c:pt>
                <c:pt idx="109">
                  <c:v>45716</c:v>
                </c:pt>
                <c:pt idx="110">
                  <c:v>45747</c:v>
                </c:pt>
                <c:pt idx="111">
                  <c:v>45777</c:v>
                </c:pt>
                <c:pt idx="112">
                  <c:v>45808</c:v>
                </c:pt>
                <c:pt idx="113">
                  <c:v>45838</c:v>
                </c:pt>
                <c:pt idx="114">
                  <c:v>45869</c:v>
                </c:pt>
                <c:pt idx="115">
                  <c:v>45900</c:v>
                </c:pt>
                <c:pt idx="116">
                  <c:v>45930</c:v>
                </c:pt>
                <c:pt idx="117">
                  <c:v>45961</c:v>
                </c:pt>
                <c:pt idx="118">
                  <c:v>45991</c:v>
                </c:pt>
                <c:pt idx="119">
                  <c:v>46022</c:v>
                </c:pt>
                <c:pt idx="120">
                  <c:v>46053</c:v>
                </c:pt>
                <c:pt idx="121">
                  <c:v>46081</c:v>
                </c:pt>
                <c:pt idx="122">
                  <c:v>46112</c:v>
                </c:pt>
                <c:pt idx="123">
                  <c:v>46142</c:v>
                </c:pt>
                <c:pt idx="124">
                  <c:v>46173</c:v>
                </c:pt>
                <c:pt idx="125">
                  <c:v>46203</c:v>
                </c:pt>
                <c:pt idx="126">
                  <c:v>46234</c:v>
                </c:pt>
                <c:pt idx="127">
                  <c:v>46265</c:v>
                </c:pt>
                <c:pt idx="128">
                  <c:v>46295</c:v>
                </c:pt>
                <c:pt idx="129">
                  <c:v>46326</c:v>
                </c:pt>
                <c:pt idx="130">
                  <c:v>46356</c:v>
                </c:pt>
                <c:pt idx="131">
                  <c:v>46387</c:v>
                </c:pt>
                <c:pt idx="132">
                  <c:v>46418</c:v>
                </c:pt>
                <c:pt idx="133">
                  <c:v>46446</c:v>
                </c:pt>
                <c:pt idx="134">
                  <c:v>46477</c:v>
                </c:pt>
                <c:pt idx="135">
                  <c:v>46507</c:v>
                </c:pt>
                <c:pt idx="136">
                  <c:v>46538</c:v>
                </c:pt>
                <c:pt idx="137">
                  <c:v>46568</c:v>
                </c:pt>
                <c:pt idx="138">
                  <c:v>46599</c:v>
                </c:pt>
                <c:pt idx="139">
                  <c:v>46630</c:v>
                </c:pt>
                <c:pt idx="140">
                  <c:v>46660</c:v>
                </c:pt>
                <c:pt idx="141">
                  <c:v>46691</c:v>
                </c:pt>
                <c:pt idx="142">
                  <c:v>46721</c:v>
                </c:pt>
                <c:pt idx="143">
                  <c:v>46752</c:v>
                </c:pt>
                <c:pt idx="144">
                  <c:v>46783</c:v>
                </c:pt>
                <c:pt idx="145">
                  <c:v>46812</c:v>
                </c:pt>
                <c:pt idx="146">
                  <c:v>46843</c:v>
                </c:pt>
                <c:pt idx="147">
                  <c:v>46873</c:v>
                </c:pt>
                <c:pt idx="148">
                  <c:v>46904</c:v>
                </c:pt>
                <c:pt idx="149">
                  <c:v>46934</c:v>
                </c:pt>
                <c:pt idx="150">
                  <c:v>46965</c:v>
                </c:pt>
                <c:pt idx="151">
                  <c:v>46996</c:v>
                </c:pt>
                <c:pt idx="152">
                  <c:v>47026</c:v>
                </c:pt>
                <c:pt idx="153">
                  <c:v>47057</c:v>
                </c:pt>
                <c:pt idx="154">
                  <c:v>47087</c:v>
                </c:pt>
                <c:pt idx="155">
                  <c:v>47118</c:v>
                </c:pt>
                <c:pt idx="156">
                  <c:v>47149</c:v>
                </c:pt>
                <c:pt idx="157">
                  <c:v>47177</c:v>
                </c:pt>
                <c:pt idx="158">
                  <c:v>47208</c:v>
                </c:pt>
                <c:pt idx="159">
                  <c:v>47238</c:v>
                </c:pt>
                <c:pt idx="160">
                  <c:v>47269</c:v>
                </c:pt>
                <c:pt idx="161">
                  <c:v>47299</c:v>
                </c:pt>
                <c:pt idx="162">
                  <c:v>47330</c:v>
                </c:pt>
                <c:pt idx="163">
                  <c:v>47361</c:v>
                </c:pt>
                <c:pt idx="164">
                  <c:v>47391</c:v>
                </c:pt>
                <c:pt idx="165">
                  <c:v>47422</c:v>
                </c:pt>
                <c:pt idx="166">
                  <c:v>47452</c:v>
                </c:pt>
                <c:pt idx="167">
                  <c:v>47483</c:v>
                </c:pt>
                <c:pt idx="168">
                  <c:v>47514</c:v>
                </c:pt>
                <c:pt idx="169">
                  <c:v>47542</c:v>
                </c:pt>
                <c:pt idx="170">
                  <c:v>47573</c:v>
                </c:pt>
                <c:pt idx="171">
                  <c:v>47603</c:v>
                </c:pt>
                <c:pt idx="172">
                  <c:v>47634</c:v>
                </c:pt>
                <c:pt idx="173">
                  <c:v>47664</c:v>
                </c:pt>
                <c:pt idx="174">
                  <c:v>47695</c:v>
                </c:pt>
                <c:pt idx="175">
                  <c:v>47726</c:v>
                </c:pt>
                <c:pt idx="176">
                  <c:v>47756</c:v>
                </c:pt>
                <c:pt idx="177">
                  <c:v>47787</c:v>
                </c:pt>
                <c:pt idx="178">
                  <c:v>47817</c:v>
                </c:pt>
                <c:pt idx="179">
                  <c:v>47848</c:v>
                </c:pt>
                <c:pt idx="180">
                  <c:v>47879</c:v>
                </c:pt>
                <c:pt idx="181">
                  <c:v>47907</c:v>
                </c:pt>
                <c:pt idx="182">
                  <c:v>47938</c:v>
                </c:pt>
                <c:pt idx="183">
                  <c:v>47968</c:v>
                </c:pt>
                <c:pt idx="184">
                  <c:v>47999</c:v>
                </c:pt>
                <c:pt idx="185">
                  <c:v>48029</c:v>
                </c:pt>
                <c:pt idx="186">
                  <c:v>48060</c:v>
                </c:pt>
                <c:pt idx="187">
                  <c:v>48091</c:v>
                </c:pt>
                <c:pt idx="188">
                  <c:v>48121</c:v>
                </c:pt>
                <c:pt idx="189">
                  <c:v>48152</c:v>
                </c:pt>
                <c:pt idx="190">
                  <c:v>48182</c:v>
                </c:pt>
                <c:pt idx="191">
                  <c:v>48213</c:v>
                </c:pt>
              </c:numCache>
            </c:numRef>
          </c:cat>
          <c:val>
            <c:numRef>
              <c:f>'VRZ Seasonal Normalized'!$D$2:$D$97</c:f>
              <c:numCache>
                <c:formatCode>_-* #,##0_-;\-* #,##0_-;_-* "-"??_-;_-@_-</c:formatCode>
                <c:ptCount val="96"/>
                <c:pt idx="0">
                  <c:v>936511.47097367409</c:v>
                </c:pt>
                <c:pt idx="1">
                  <c:v>897208.55047257687</c:v>
                </c:pt>
                <c:pt idx="2">
                  <c:v>784095.43057251081</c:v>
                </c:pt>
                <c:pt idx="3">
                  <c:v>657814.26284760027</c:v>
                </c:pt>
                <c:pt idx="4">
                  <c:v>642444.92598512163</c:v>
                </c:pt>
                <c:pt idx="5">
                  <c:v>625968.16854451003</c:v>
                </c:pt>
                <c:pt idx="6">
                  <c:v>953145.21106573672</c:v>
                </c:pt>
                <c:pt idx="7">
                  <c:v>939559.53863752435</c:v>
                </c:pt>
                <c:pt idx="8">
                  <c:v>639835.37560637749</c:v>
                </c:pt>
                <c:pt idx="9">
                  <c:v>712769.82470077625</c:v>
                </c:pt>
                <c:pt idx="10">
                  <c:v>585813.04856144206</c:v>
                </c:pt>
                <c:pt idx="11">
                  <c:v>855870.32920516538</c:v>
                </c:pt>
                <c:pt idx="12">
                  <c:v>902572.16858677357</c:v>
                </c:pt>
                <c:pt idx="13">
                  <c:v>824151.46271689306</c:v>
                </c:pt>
                <c:pt idx="14">
                  <c:v>905798.01654935745</c:v>
                </c:pt>
                <c:pt idx="15">
                  <c:v>622492.27436961059</c:v>
                </c:pt>
                <c:pt idx="16">
                  <c:v>714798.3126420693</c:v>
                </c:pt>
                <c:pt idx="17">
                  <c:v>654017.46750487247</c:v>
                </c:pt>
                <c:pt idx="18">
                  <c:v>977732.0495953029</c:v>
                </c:pt>
                <c:pt idx="19">
                  <c:v>995639.69486070285</c:v>
                </c:pt>
                <c:pt idx="20">
                  <c:v>730511.75170785922</c:v>
                </c:pt>
                <c:pt idx="21">
                  <c:v>662632.18754757429</c:v>
                </c:pt>
                <c:pt idx="22">
                  <c:v>750628.25396351703</c:v>
                </c:pt>
                <c:pt idx="23">
                  <c:v>1094317.4646649007</c:v>
                </c:pt>
                <c:pt idx="24">
                  <c:v>1151879.426258018</c:v>
                </c:pt>
                <c:pt idx="25">
                  <c:v>938268.69859236281</c:v>
                </c:pt>
                <c:pt idx="26">
                  <c:v>905448.24387080339</c:v>
                </c:pt>
                <c:pt idx="27">
                  <c:v>789480.74866078631</c:v>
                </c:pt>
                <c:pt idx="28">
                  <c:v>653117.11443149729</c:v>
                </c:pt>
                <c:pt idx="29">
                  <c:v>687238.22072882729</c:v>
                </c:pt>
                <c:pt idx="30">
                  <c:v>1002345.0827979547</c:v>
                </c:pt>
                <c:pt idx="31">
                  <c:v>1011375.7542069035</c:v>
                </c:pt>
                <c:pt idx="32">
                  <c:v>726568.42993754684</c:v>
                </c:pt>
                <c:pt idx="33">
                  <c:v>860637.08752279799</c:v>
                </c:pt>
                <c:pt idx="34">
                  <c:v>818792.17725840118</c:v>
                </c:pt>
                <c:pt idx="35">
                  <c:v>978858.23497721553</c:v>
                </c:pt>
                <c:pt idx="36">
                  <c:v>1180732.0840907115</c:v>
                </c:pt>
                <c:pt idx="37">
                  <c:v>1037445.2507180091</c:v>
                </c:pt>
                <c:pt idx="38">
                  <c:v>1019060.4219245851</c:v>
                </c:pt>
                <c:pt idx="39">
                  <c:v>756658.03262744064</c:v>
                </c:pt>
                <c:pt idx="40">
                  <c:v>769722.24824348069</c:v>
                </c:pt>
                <c:pt idx="41">
                  <c:v>733424.5276450566</c:v>
                </c:pt>
                <c:pt idx="42">
                  <c:v>974819.26355302567</c:v>
                </c:pt>
                <c:pt idx="43">
                  <c:v>970641.48246042314</c:v>
                </c:pt>
                <c:pt idx="44">
                  <c:v>695468.91469542892</c:v>
                </c:pt>
                <c:pt idx="45">
                  <c:v>822737.01282434806</c:v>
                </c:pt>
                <c:pt idx="46">
                  <c:v>894752.10429423372</c:v>
                </c:pt>
                <c:pt idx="47">
                  <c:v>1028429.2122399808</c:v>
                </c:pt>
                <c:pt idx="48">
                  <c:v>1056378.1359157956</c:v>
                </c:pt>
                <c:pt idx="49">
                  <c:v>1023764.9717810908</c:v>
                </c:pt>
                <c:pt idx="50">
                  <c:v>971035.45888660883</c:v>
                </c:pt>
                <c:pt idx="51">
                  <c:v>939852.88765402115</c:v>
                </c:pt>
                <c:pt idx="52">
                  <c:v>973626.75281715975</c:v>
                </c:pt>
                <c:pt idx="53">
                  <c:v>895852.03057331673</c:v>
                </c:pt>
                <c:pt idx="54">
                  <c:v>1149912.3464519684</c:v>
                </c:pt>
                <c:pt idx="55">
                  <c:v>1099160.4082569701</c:v>
                </c:pt>
                <c:pt idx="56">
                  <c:v>955486.44697477587</c:v>
                </c:pt>
                <c:pt idx="57">
                  <c:v>1117986.99153116</c:v>
                </c:pt>
                <c:pt idx="58">
                  <c:v>911841.24071452534</c:v>
                </c:pt>
                <c:pt idx="59">
                  <c:v>1242049.867926891</c:v>
                </c:pt>
                <c:pt idx="60">
                  <c:v>1355369.6795886769</c:v>
                </c:pt>
                <c:pt idx="61">
                  <c:v>1327740.5738265323</c:v>
                </c:pt>
                <c:pt idx="62">
                  <c:v>1125054.6216228688</c:v>
                </c:pt>
                <c:pt idx="63">
                  <c:v>943603.97253883979</c:v>
                </c:pt>
                <c:pt idx="64">
                  <c:v>958419.74130445695</c:v>
                </c:pt>
                <c:pt idx="65">
                  <c:v>836078.92692754301</c:v>
                </c:pt>
                <c:pt idx="66">
                  <c:v>1087156.4306960222</c:v>
                </c:pt>
                <c:pt idx="67">
                  <c:v>1141208.4345599029</c:v>
                </c:pt>
                <c:pt idx="68">
                  <c:v>831578.26754990488</c:v>
                </c:pt>
                <c:pt idx="69">
                  <c:v>837307.57045977039</c:v>
                </c:pt>
                <c:pt idx="70">
                  <c:v>922268.76337154093</c:v>
                </c:pt>
                <c:pt idx="71">
                  <c:v>1177373.5264989219</c:v>
                </c:pt>
                <c:pt idx="72">
                  <c:v>1573486.7801179711</c:v>
                </c:pt>
                <c:pt idx="73">
                  <c:v>1312765.9861364339</c:v>
                </c:pt>
                <c:pt idx="74">
                  <c:v>1229848.7429658109</c:v>
                </c:pt>
                <c:pt idx="75">
                  <c:v>951453.03453092533</c:v>
                </c:pt>
                <c:pt idx="76">
                  <c:v>794069.68317484157</c:v>
                </c:pt>
                <c:pt idx="77">
                  <c:v>781317.23414655763</c:v>
                </c:pt>
                <c:pt idx="78">
                  <c:v>1052209.1074708784</c:v>
                </c:pt>
                <c:pt idx="79">
                  <c:v>1032789.0557141075</c:v>
                </c:pt>
                <c:pt idx="80">
                  <c:v>816507.33273047267</c:v>
                </c:pt>
                <c:pt idx="81">
                  <c:v>979108.59671497159</c:v>
                </c:pt>
                <c:pt idx="82">
                  <c:v>877282.78951076814</c:v>
                </c:pt>
                <c:pt idx="83">
                  <c:v>1148874.4785381979</c:v>
                </c:pt>
                <c:pt idx="84">
                  <c:v>1227407.8108569772</c:v>
                </c:pt>
                <c:pt idx="85">
                  <c:v>1183092.8110215238</c:v>
                </c:pt>
                <c:pt idx="86">
                  <c:v>1147664.3239889711</c:v>
                </c:pt>
                <c:pt idx="87">
                  <c:v>870659.54983563873</c:v>
                </c:pt>
                <c:pt idx="88">
                  <c:v>883941.36357584014</c:v>
                </c:pt>
                <c:pt idx="89">
                  <c:v>789412.93879285781</c:v>
                </c:pt>
                <c:pt idx="90">
                  <c:v>1098880.6795221823</c:v>
                </c:pt>
                <c:pt idx="91">
                  <c:v>1046544.3963056952</c:v>
                </c:pt>
                <c:pt idx="92">
                  <c:v>814174.1410705091</c:v>
                </c:pt>
                <c:pt idx="93">
                  <c:v>894628.98426119622</c:v>
                </c:pt>
                <c:pt idx="94">
                  <c:v>1011847.6308386413</c:v>
                </c:pt>
                <c:pt idx="95">
                  <c:v>1173567.9347238522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12-42E4-BC20-C9938ADC3C74}"/>
            </c:ext>
          </c:extLst>
        </c:ser>
        <c:ser>
          <c:idx val="1"/>
          <c:order val="1"/>
          <c:tx>
            <c:strRef>
              <c:f>'VRZ Seasonal Normalized'!$S$1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Seasonal Normalized'!$A$2:$A$193</c:f>
              <c:numCache>
                <c:formatCode>mmm\-yy</c:formatCode>
                <c:ptCount val="19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45322</c:v>
                </c:pt>
                <c:pt idx="97">
                  <c:v>45351</c:v>
                </c:pt>
                <c:pt idx="98">
                  <c:v>45382</c:v>
                </c:pt>
                <c:pt idx="99">
                  <c:v>45412</c:v>
                </c:pt>
                <c:pt idx="100">
                  <c:v>45443</c:v>
                </c:pt>
                <c:pt idx="101">
                  <c:v>45473</c:v>
                </c:pt>
                <c:pt idx="102">
                  <c:v>45504</c:v>
                </c:pt>
                <c:pt idx="103">
                  <c:v>45535</c:v>
                </c:pt>
                <c:pt idx="104">
                  <c:v>45565</c:v>
                </c:pt>
                <c:pt idx="105">
                  <c:v>45596</c:v>
                </c:pt>
                <c:pt idx="106">
                  <c:v>45626</c:v>
                </c:pt>
                <c:pt idx="107">
                  <c:v>45657</c:v>
                </c:pt>
                <c:pt idx="108">
                  <c:v>45688</c:v>
                </c:pt>
                <c:pt idx="109">
                  <c:v>45716</c:v>
                </c:pt>
                <c:pt idx="110">
                  <c:v>45747</c:v>
                </c:pt>
                <c:pt idx="111">
                  <c:v>45777</c:v>
                </c:pt>
                <c:pt idx="112">
                  <c:v>45808</c:v>
                </c:pt>
                <c:pt idx="113">
                  <c:v>45838</c:v>
                </c:pt>
                <c:pt idx="114">
                  <c:v>45869</c:v>
                </c:pt>
                <c:pt idx="115">
                  <c:v>45900</c:v>
                </c:pt>
                <c:pt idx="116">
                  <c:v>45930</c:v>
                </c:pt>
                <c:pt idx="117">
                  <c:v>45961</c:v>
                </c:pt>
                <c:pt idx="118">
                  <c:v>45991</c:v>
                </c:pt>
                <c:pt idx="119">
                  <c:v>46022</c:v>
                </c:pt>
                <c:pt idx="120">
                  <c:v>46053</c:v>
                </c:pt>
                <c:pt idx="121">
                  <c:v>46081</c:v>
                </c:pt>
                <c:pt idx="122">
                  <c:v>46112</c:v>
                </c:pt>
                <c:pt idx="123">
                  <c:v>46142</c:v>
                </c:pt>
                <c:pt idx="124">
                  <c:v>46173</c:v>
                </c:pt>
                <c:pt idx="125">
                  <c:v>46203</c:v>
                </c:pt>
                <c:pt idx="126">
                  <c:v>46234</c:v>
                </c:pt>
                <c:pt idx="127">
                  <c:v>46265</c:v>
                </c:pt>
                <c:pt idx="128">
                  <c:v>46295</c:v>
                </c:pt>
                <c:pt idx="129">
                  <c:v>46326</c:v>
                </c:pt>
                <c:pt idx="130">
                  <c:v>46356</c:v>
                </c:pt>
                <c:pt idx="131">
                  <c:v>46387</c:v>
                </c:pt>
                <c:pt idx="132">
                  <c:v>46418</c:v>
                </c:pt>
                <c:pt idx="133">
                  <c:v>46446</c:v>
                </c:pt>
                <c:pt idx="134">
                  <c:v>46477</c:v>
                </c:pt>
                <c:pt idx="135">
                  <c:v>46507</c:v>
                </c:pt>
                <c:pt idx="136">
                  <c:v>46538</c:v>
                </c:pt>
                <c:pt idx="137">
                  <c:v>46568</c:v>
                </c:pt>
                <c:pt idx="138">
                  <c:v>46599</c:v>
                </c:pt>
                <c:pt idx="139">
                  <c:v>46630</c:v>
                </c:pt>
                <c:pt idx="140">
                  <c:v>46660</c:v>
                </c:pt>
                <c:pt idx="141">
                  <c:v>46691</c:v>
                </c:pt>
                <c:pt idx="142">
                  <c:v>46721</c:v>
                </c:pt>
                <c:pt idx="143">
                  <c:v>46752</c:v>
                </c:pt>
                <c:pt idx="144">
                  <c:v>46783</c:v>
                </c:pt>
                <c:pt idx="145">
                  <c:v>46812</c:v>
                </c:pt>
                <c:pt idx="146">
                  <c:v>46843</c:v>
                </c:pt>
                <c:pt idx="147">
                  <c:v>46873</c:v>
                </c:pt>
                <c:pt idx="148">
                  <c:v>46904</c:v>
                </c:pt>
                <c:pt idx="149">
                  <c:v>46934</c:v>
                </c:pt>
                <c:pt idx="150">
                  <c:v>46965</c:v>
                </c:pt>
                <c:pt idx="151">
                  <c:v>46996</c:v>
                </c:pt>
                <c:pt idx="152">
                  <c:v>47026</c:v>
                </c:pt>
                <c:pt idx="153">
                  <c:v>47057</c:v>
                </c:pt>
                <c:pt idx="154">
                  <c:v>47087</c:v>
                </c:pt>
                <c:pt idx="155">
                  <c:v>47118</c:v>
                </c:pt>
                <c:pt idx="156">
                  <c:v>47149</c:v>
                </c:pt>
                <c:pt idx="157">
                  <c:v>47177</c:v>
                </c:pt>
                <c:pt idx="158">
                  <c:v>47208</c:v>
                </c:pt>
                <c:pt idx="159">
                  <c:v>47238</c:v>
                </c:pt>
                <c:pt idx="160">
                  <c:v>47269</c:v>
                </c:pt>
                <c:pt idx="161">
                  <c:v>47299</c:v>
                </c:pt>
                <c:pt idx="162">
                  <c:v>47330</c:v>
                </c:pt>
                <c:pt idx="163">
                  <c:v>47361</c:v>
                </c:pt>
                <c:pt idx="164">
                  <c:v>47391</c:v>
                </c:pt>
                <c:pt idx="165">
                  <c:v>47422</c:v>
                </c:pt>
                <c:pt idx="166">
                  <c:v>47452</c:v>
                </c:pt>
                <c:pt idx="167">
                  <c:v>47483</c:v>
                </c:pt>
                <c:pt idx="168">
                  <c:v>47514</c:v>
                </c:pt>
                <c:pt idx="169">
                  <c:v>47542</c:v>
                </c:pt>
                <c:pt idx="170">
                  <c:v>47573</c:v>
                </c:pt>
                <c:pt idx="171">
                  <c:v>47603</c:v>
                </c:pt>
                <c:pt idx="172">
                  <c:v>47634</c:v>
                </c:pt>
                <c:pt idx="173">
                  <c:v>47664</c:v>
                </c:pt>
                <c:pt idx="174">
                  <c:v>47695</c:v>
                </c:pt>
                <c:pt idx="175">
                  <c:v>47726</c:v>
                </c:pt>
                <c:pt idx="176">
                  <c:v>47756</c:v>
                </c:pt>
                <c:pt idx="177">
                  <c:v>47787</c:v>
                </c:pt>
                <c:pt idx="178">
                  <c:v>47817</c:v>
                </c:pt>
                <c:pt idx="179">
                  <c:v>47848</c:v>
                </c:pt>
                <c:pt idx="180">
                  <c:v>47879</c:v>
                </c:pt>
                <c:pt idx="181">
                  <c:v>47907</c:v>
                </c:pt>
                <c:pt idx="182">
                  <c:v>47938</c:v>
                </c:pt>
                <c:pt idx="183">
                  <c:v>47968</c:v>
                </c:pt>
                <c:pt idx="184">
                  <c:v>47999</c:v>
                </c:pt>
                <c:pt idx="185">
                  <c:v>48029</c:v>
                </c:pt>
                <c:pt idx="186">
                  <c:v>48060</c:v>
                </c:pt>
                <c:pt idx="187">
                  <c:v>48091</c:v>
                </c:pt>
                <c:pt idx="188">
                  <c:v>48121</c:v>
                </c:pt>
                <c:pt idx="189">
                  <c:v>48152</c:v>
                </c:pt>
                <c:pt idx="190">
                  <c:v>48182</c:v>
                </c:pt>
                <c:pt idx="191">
                  <c:v>48213</c:v>
                </c:pt>
              </c:numCache>
            </c:numRef>
          </c:cat>
          <c:val>
            <c:numRef>
              <c:f>'VRZ Seasonal Normalized'!$S$2:$S$193</c:f>
              <c:numCache>
                <c:formatCode>_-* #,##0_-;\-* #,##0_-;_-* "-"??_-;_-@_-</c:formatCode>
                <c:ptCount val="192"/>
                <c:pt idx="0">
                  <c:v>983404.43897273764</c:v>
                </c:pt>
                <c:pt idx="1">
                  <c:v>839612.24352576281</c:v>
                </c:pt>
                <c:pt idx="2">
                  <c:v>799176.94666491065</c:v>
                </c:pt>
                <c:pt idx="3">
                  <c:v>621130.53205516341</c:v>
                </c:pt>
                <c:pt idx="4">
                  <c:v>588434.69776653184</c:v>
                </c:pt>
                <c:pt idx="5">
                  <c:v>691803.15256936604</c:v>
                </c:pt>
                <c:pt idx="6">
                  <c:v>889508.36558335554</c:v>
                </c:pt>
                <c:pt idx="7">
                  <c:v>843405.09205439512</c:v>
                </c:pt>
                <c:pt idx="8">
                  <c:v>577680.51571256516</c:v>
                </c:pt>
                <c:pt idx="9">
                  <c:v>609499.410616245</c:v>
                </c:pt>
                <c:pt idx="10">
                  <c:v>703119.55894055823</c:v>
                </c:pt>
                <c:pt idx="11">
                  <c:v>940084.03772227303</c:v>
                </c:pt>
                <c:pt idx="12">
                  <c:v>1014062.4108746855</c:v>
                </c:pt>
                <c:pt idx="13">
                  <c:v>832077.28796786978</c:v>
                </c:pt>
                <c:pt idx="14">
                  <c:v>829834.9185668584</c:v>
                </c:pt>
                <c:pt idx="15">
                  <c:v>651788.50395711116</c:v>
                </c:pt>
                <c:pt idx="16">
                  <c:v>619092.66966847959</c:v>
                </c:pt>
                <c:pt idx="17">
                  <c:v>722461.12447131379</c:v>
                </c:pt>
                <c:pt idx="18">
                  <c:v>920166.3374853034</c:v>
                </c:pt>
                <c:pt idx="19">
                  <c:v>874063.06395634287</c:v>
                </c:pt>
                <c:pt idx="20">
                  <c:v>608338.48761451291</c:v>
                </c:pt>
                <c:pt idx="21">
                  <c:v>640157.38251819275</c:v>
                </c:pt>
                <c:pt idx="22">
                  <c:v>733777.53084250598</c:v>
                </c:pt>
                <c:pt idx="23">
                  <c:v>970742.0096242209</c:v>
                </c:pt>
                <c:pt idx="24">
                  <c:v>1044720.3827766331</c:v>
                </c:pt>
                <c:pt idx="25">
                  <c:v>862735.25986981741</c:v>
                </c:pt>
                <c:pt idx="26">
                  <c:v>860492.89046880614</c:v>
                </c:pt>
                <c:pt idx="27">
                  <c:v>682446.4758590589</c:v>
                </c:pt>
                <c:pt idx="28">
                  <c:v>649750.64157042734</c:v>
                </c:pt>
                <c:pt idx="29">
                  <c:v>753119.09637326153</c:v>
                </c:pt>
                <c:pt idx="30">
                  <c:v>950824.30938725115</c:v>
                </c:pt>
                <c:pt idx="31">
                  <c:v>904721.03585829062</c:v>
                </c:pt>
                <c:pt idx="32">
                  <c:v>638996.45951646066</c:v>
                </c:pt>
                <c:pt idx="33">
                  <c:v>670815.35442014062</c:v>
                </c:pt>
                <c:pt idx="34">
                  <c:v>764435.50274445373</c:v>
                </c:pt>
                <c:pt idx="35">
                  <c:v>1001399.9815261686</c:v>
                </c:pt>
                <c:pt idx="36">
                  <c:v>1075378.354678581</c:v>
                </c:pt>
                <c:pt idx="37">
                  <c:v>893393.23177176528</c:v>
                </c:pt>
                <c:pt idx="38">
                  <c:v>891150.86237075389</c:v>
                </c:pt>
                <c:pt idx="39">
                  <c:v>713104.44776100665</c:v>
                </c:pt>
                <c:pt idx="40">
                  <c:v>680408.61347237509</c:v>
                </c:pt>
                <c:pt idx="41">
                  <c:v>783777.06827520928</c:v>
                </c:pt>
                <c:pt idx="42">
                  <c:v>981482.2812891989</c:v>
                </c:pt>
                <c:pt idx="43">
                  <c:v>935379.00776023837</c:v>
                </c:pt>
                <c:pt idx="44">
                  <c:v>669654.43141840841</c:v>
                </c:pt>
                <c:pt idx="45">
                  <c:v>701473.32632208825</c:v>
                </c:pt>
                <c:pt idx="46">
                  <c:v>795093.47464640148</c:v>
                </c:pt>
                <c:pt idx="47">
                  <c:v>1032057.9534281164</c:v>
                </c:pt>
                <c:pt idx="48">
                  <c:v>1106036.3265805286</c:v>
                </c:pt>
                <c:pt idx="49">
                  <c:v>962244.13113355392</c:v>
                </c:pt>
                <c:pt idx="50">
                  <c:v>1052557.6541937361</c:v>
                </c:pt>
                <c:pt idx="51">
                  <c:v>949929.63232368289</c:v>
                </c:pt>
                <c:pt idx="52">
                  <c:v>826584.7909049287</c:v>
                </c:pt>
                <c:pt idx="53">
                  <c:v>822507.784572292</c:v>
                </c:pt>
                <c:pt idx="54">
                  <c:v>1012140.2531911467</c:v>
                </c:pt>
                <c:pt idx="55">
                  <c:v>966983.85284866707</c:v>
                </c:pt>
                <c:pt idx="56">
                  <c:v>723401.72718281078</c:v>
                </c:pt>
                <c:pt idx="57">
                  <c:v>810279.44604016794</c:v>
                </c:pt>
                <c:pt idx="58">
                  <c:v>925203.87216783396</c:v>
                </c:pt>
                <c:pt idx="59">
                  <c:v>1220977.2373600786</c:v>
                </c:pt>
                <c:pt idx="60">
                  <c:v>1314123.8533699971</c:v>
                </c:pt>
                <c:pt idx="61">
                  <c:v>1132125.1552203645</c:v>
                </c:pt>
                <c:pt idx="62">
                  <c:v>1086209.1146938042</c:v>
                </c:pt>
                <c:pt idx="63">
                  <c:v>861246.51335175696</c:v>
                </c:pt>
                <c:pt idx="64">
                  <c:v>788869.49012908025</c:v>
                </c:pt>
                <c:pt idx="65">
                  <c:v>848963.0875521648</c:v>
                </c:pt>
                <c:pt idx="66">
                  <c:v>1044251.9073447407</c:v>
                </c:pt>
                <c:pt idx="67">
                  <c:v>996882.74242310144</c:v>
                </c:pt>
                <c:pt idx="68">
                  <c:v>743372.49080580496</c:v>
                </c:pt>
                <c:pt idx="69">
                  <c:v>804458.47795255308</c:v>
                </c:pt>
                <c:pt idx="70">
                  <c:v>977585.45775101846</c:v>
                </c:pt>
                <c:pt idx="71">
                  <c:v>1238098.4296330768</c:v>
                </c:pt>
                <c:pt idx="72">
                  <c:v>1279414.7685679535</c:v>
                </c:pt>
                <c:pt idx="73">
                  <c:v>1071821.0813572325</c:v>
                </c:pt>
                <c:pt idx="74">
                  <c:v>1057071.9538760064</c:v>
                </c:pt>
                <c:pt idx="75">
                  <c:v>853179.97384817479</c:v>
                </c:pt>
                <c:pt idx="76">
                  <c:v>787248.5513329925</c:v>
                </c:pt>
                <c:pt idx="77">
                  <c:v>880660.67566622281</c:v>
                </c:pt>
                <c:pt idx="78">
                  <c:v>1073540.4766275308</c:v>
                </c:pt>
                <c:pt idx="79">
                  <c:v>1027456.4346925608</c:v>
                </c:pt>
                <c:pt idx="80">
                  <c:v>771322.76740089245</c:v>
                </c:pt>
                <c:pt idx="81">
                  <c:v>829945.04471901699</c:v>
                </c:pt>
                <c:pt idx="82">
                  <c:v>942974.7653533048</c:v>
                </c:pt>
                <c:pt idx="83">
                  <c:v>1203463.4430314088</c:v>
                </c:pt>
                <c:pt idx="84">
                  <c:v>1198010.242286372</c:v>
                </c:pt>
                <c:pt idx="85">
                  <c:v>1016025.1193795563</c:v>
                </c:pt>
                <c:pt idx="86">
                  <c:v>1013782.7499785449</c:v>
                </c:pt>
                <c:pt idx="87">
                  <c:v>835736.33536879765</c:v>
                </c:pt>
                <c:pt idx="88">
                  <c:v>803040.5010801662</c:v>
                </c:pt>
                <c:pt idx="89">
                  <c:v>906408.9558830004</c:v>
                </c:pt>
                <c:pt idx="90">
                  <c:v>1104114.1688969899</c:v>
                </c:pt>
                <c:pt idx="91">
                  <c:v>1058010.8953680294</c:v>
                </c:pt>
                <c:pt idx="92">
                  <c:v>792286.3190261994</c:v>
                </c:pt>
                <c:pt idx="93">
                  <c:v>824105.21392987936</c:v>
                </c:pt>
                <c:pt idx="94">
                  <c:v>917725.36225419259</c:v>
                </c:pt>
                <c:pt idx="95">
                  <c:v>1154689.8410359074</c:v>
                </c:pt>
                <c:pt idx="96">
                  <c:v>1228668.2141883199</c:v>
                </c:pt>
                <c:pt idx="97">
                  <c:v>1084876.018741345</c:v>
                </c:pt>
                <c:pt idx="98">
                  <c:v>1044440.7218804928</c:v>
                </c:pt>
                <c:pt idx="99">
                  <c:v>866394.30727074551</c:v>
                </c:pt>
                <c:pt idx="100">
                  <c:v>833698.47298211395</c:v>
                </c:pt>
                <c:pt idx="101">
                  <c:v>937066.92778494814</c:v>
                </c:pt>
                <c:pt idx="102">
                  <c:v>1134772.1407989378</c:v>
                </c:pt>
                <c:pt idx="103">
                  <c:v>1088668.8672699772</c:v>
                </c:pt>
                <c:pt idx="104">
                  <c:v>822944.29092814727</c:v>
                </c:pt>
                <c:pt idx="105">
                  <c:v>854763.18583182711</c:v>
                </c:pt>
                <c:pt idx="106">
                  <c:v>948383.33415614022</c:v>
                </c:pt>
                <c:pt idx="107">
                  <c:v>1185347.8129378553</c:v>
                </c:pt>
                <c:pt idx="108">
                  <c:v>1259326.1860902675</c:v>
                </c:pt>
                <c:pt idx="109">
                  <c:v>1077341.0631834518</c:v>
                </c:pt>
                <c:pt idx="110">
                  <c:v>1075098.6937824404</c:v>
                </c:pt>
                <c:pt idx="111">
                  <c:v>897052.27917269315</c:v>
                </c:pt>
                <c:pt idx="112">
                  <c:v>864356.4448840617</c:v>
                </c:pt>
                <c:pt idx="113">
                  <c:v>967724.89968689589</c:v>
                </c:pt>
                <c:pt idx="114">
                  <c:v>1165430.1127008854</c:v>
                </c:pt>
                <c:pt idx="115">
                  <c:v>1119326.8391719251</c:v>
                </c:pt>
                <c:pt idx="116">
                  <c:v>853602.26283009502</c:v>
                </c:pt>
                <c:pt idx="117">
                  <c:v>885421.15773377486</c:v>
                </c:pt>
                <c:pt idx="118">
                  <c:v>979041.30605808808</c:v>
                </c:pt>
                <c:pt idx="119">
                  <c:v>1216005.7848398029</c:v>
                </c:pt>
                <c:pt idx="120">
                  <c:v>1289984.1579922154</c:v>
                </c:pt>
                <c:pt idx="121">
                  <c:v>1107999.0350853996</c:v>
                </c:pt>
                <c:pt idx="122">
                  <c:v>1105756.6656843883</c:v>
                </c:pt>
                <c:pt idx="123">
                  <c:v>927710.25107464101</c:v>
                </c:pt>
                <c:pt idx="124">
                  <c:v>895014.41678600945</c:v>
                </c:pt>
                <c:pt idx="125">
                  <c:v>998382.87158884364</c:v>
                </c:pt>
                <c:pt idx="126">
                  <c:v>1196088.0846028333</c:v>
                </c:pt>
                <c:pt idx="127">
                  <c:v>1149984.8110738727</c:v>
                </c:pt>
                <c:pt idx="128">
                  <c:v>884260.23473204277</c:v>
                </c:pt>
                <c:pt idx="129">
                  <c:v>916079.12963572261</c:v>
                </c:pt>
                <c:pt idx="130">
                  <c:v>1009699.2779600358</c:v>
                </c:pt>
                <c:pt idx="131">
                  <c:v>1246663.7567417508</c:v>
                </c:pt>
                <c:pt idx="132">
                  <c:v>1320642.129894163</c:v>
                </c:pt>
                <c:pt idx="133">
                  <c:v>1176849.9344471882</c:v>
                </c:pt>
                <c:pt idx="134">
                  <c:v>1136414.6375863361</c:v>
                </c:pt>
                <c:pt idx="135">
                  <c:v>958368.22297658876</c:v>
                </c:pt>
                <c:pt idx="136">
                  <c:v>925672.38868795731</c:v>
                </c:pt>
                <c:pt idx="137">
                  <c:v>1029040.8434907915</c:v>
                </c:pt>
                <c:pt idx="138">
                  <c:v>1226746.0565047809</c:v>
                </c:pt>
                <c:pt idx="139">
                  <c:v>1180642.7829758204</c:v>
                </c:pt>
                <c:pt idx="140">
                  <c:v>914918.20663399051</c:v>
                </c:pt>
                <c:pt idx="141">
                  <c:v>946737.10153767047</c:v>
                </c:pt>
                <c:pt idx="142">
                  <c:v>1040357.2498619836</c:v>
                </c:pt>
                <c:pt idx="143">
                  <c:v>1277321.7286436986</c:v>
                </c:pt>
                <c:pt idx="144">
                  <c:v>1351300.1017961109</c:v>
                </c:pt>
                <c:pt idx="145">
                  <c:v>1169314.9788892951</c:v>
                </c:pt>
                <c:pt idx="146">
                  <c:v>1167072.6094882837</c:v>
                </c:pt>
                <c:pt idx="147">
                  <c:v>989026.19487853651</c:v>
                </c:pt>
                <c:pt idx="148">
                  <c:v>956330.36058990494</c:v>
                </c:pt>
                <c:pt idx="149">
                  <c:v>1059698.8153927391</c:v>
                </c:pt>
                <c:pt idx="150">
                  <c:v>1257404.0284067288</c:v>
                </c:pt>
                <c:pt idx="151">
                  <c:v>1211300.7548777682</c:v>
                </c:pt>
                <c:pt idx="152">
                  <c:v>945576.17853593826</c:v>
                </c:pt>
                <c:pt idx="153">
                  <c:v>977395.07343961811</c:v>
                </c:pt>
                <c:pt idx="154">
                  <c:v>1071015.2217639312</c:v>
                </c:pt>
                <c:pt idx="155">
                  <c:v>1307979.7005456463</c:v>
                </c:pt>
                <c:pt idx="156">
                  <c:v>1381958.0736980587</c:v>
                </c:pt>
                <c:pt idx="157">
                  <c:v>1199972.950791243</c:v>
                </c:pt>
                <c:pt idx="158">
                  <c:v>1197730.5813902314</c:v>
                </c:pt>
                <c:pt idx="159">
                  <c:v>1019684.1667804843</c:v>
                </c:pt>
                <c:pt idx="160">
                  <c:v>986988.33249185281</c:v>
                </c:pt>
                <c:pt idx="161">
                  <c:v>1090356.787294687</c:v>
                </c:pt>
                <c:pt idx="162">
                  <c:v>1288062.0003086766</c:v>
                </c:pt>
                <c:pt idx="163">
                  <c:v>1241958.7267797161</c:v>
                </c:pt>
                <c:pt idx="164">
                  <c:v>976234.15043788613</c:v>
                </c:pt>
                <c:pt idx="165">
                  <c:v>1008053.045341566</c:v>
                </c:pt>
                <c:pt idx="166">
                  <c:v>1101673.1936658791</c:v>
                </c:pt>
                <c:pt idx="167">
                  <c:v>1338637.6724475939</c:v>
                </c:pt>
                <c:pt idx="168">
                  <c:v>1412616.0456000064</c:v>
                </c:pt>
                <c:pt idx="169">
                  <c:v>1268823.8501530315</c:v>
                </c:pt>
                <c:pt idx="170">
                  <c:v>1228388.5532921792</c:v>
                </c:pt>
                <c:pt idx="171">
                  <c:v>1050342.138682432</c:v>
                </c:pt>
                <c:pt idx="172">
                  <c:v>1017646.3043938004</c:v>
                </c:pt>
                <c:pt idx="173">
                  <c:v>1121014.7591966346</c:v>
                </c:pt>
                <c:pt idx="174">
                  <c:v>1318719.9722106243</c:v>
                </c:pt>
                <c:pt idx="175">
                  <c:v>1272616.6986816637</c:v>
                </c:pt>
                <c:pt idx="176">
                  <c:v>1006892.1223398338</c:v>
                </c:pt>
                <c:pt idx="177">
                  <c:v>1038711.0172435137</c:v>
                </c:pt>
                <c:pt idx="178">
                  <c:v>1132331.1655678269</c:v>
                </c:pt>
                <c:pt idx="179">
                  <c:v>1369295.6443495417</c:v>
                </c:pt>
                <c:pt idx="180">
                  <c:v>1443274.017501954</c:v>
                </c:pt>
                <c:pt idx="181">
                  <c:v>1261288.8945951383</c:v>
                </c:pt>
                <c:pt idx="182">
                  <c:v>1259046.5251941271</c:v>
                </c:pt>
                <c:pt idx="183">
                  <c:v>1081000.1105843799</c:v>
                </c:pt>
                <c:pt idx="184">
                  <c:v>1048304.2762957483</c:v>
                </c:pt>
                <c:pt idx="185">
                  <c:v>1151672.7310985825</c:v>
                </c:pt>
                <c:pt idx="186">
                  <c:v>1349377.9441125719</c:v>
                </c:pt>
                <c:pt idx="187">
                  <c:v>1303274.6705836116</c:v>
                </c:pt>
                <c:pt idx="188">
                  <c:v>1037550.0942417816</c:v>
                </c:pt>
                <c:pt idx="189">
                  <c:v>1069368.9891454615</c:v>
                </c:pt>
                <c:pt idx="190">
                  <c:v>1162989.1374697746</c:v>
                </c:pt>
                <c:pt idx="191">
                  <c:v>1399953.6162514896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12-42E4-BC20-C9938ADC3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GS &lt;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16334906354024"/>
          <c:y val="1.8737799477743105E-2"/>
          <c:w val="0.87283665093645979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'VRZ GS &lt; 50 Normalized'!$D$1</c:f>
              <c:strCache>
                <c:ptCount val="1"/>
                <c:pt idx="0">
                  <c:v>VRZ_GSlt50kWh_No_CDM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GS &lt; 50 Normalized'!$A$2:$A$193</c:f>
              <c:numCache>
                <c:formatCode>mmm\-yy</c:formatCode>
                <c:ptCount val="19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  <c:pt idx="120">
                  <c:v>46053</c:v>
                </c:pt>
                <c:pt idx="121">
                  <c:v>46081</c:v>
                </c:pt>
                <c:pt idx="122">
                  <c:v>46112</c:v>
                </c:pt>
                <c:pt idx="123">
                  <c:v>46142</c:v>
                </c:pt>
                <c:pt idx="124">
                  <c:v>46173</c:v>
                </c:pt>
                <c:pt idx="125">
                  <c:v>46203</c:v>
                </c:pt>
                <c:pt idx="126">
                  <c:v>46234</c:v>
                </c:pt>
                <c:pt idx="127">
                  <c:v>46265</c:v>
                </c:pt>
                <c:pt idx="128">
                  <c:v>46295</c:v>
                </c:pt>
                <c:pt idx="129">
                  <c:v>46326</c:v>
                </c:pt>
                <c:pt idx="130">
                  <c:v>46356</c:v>
                </c:pt>
                <c:pt idx="131">
                  <c:v>46387</c:v>
                </c:pt>
                <c:pt idx="132">
                  <c:v>46418</c:v>
                </c:pt>
                <c:pt idx="133">
                  <c:v>46446</c:v>
                </c:pt>
                <c:pt idx="134">
                  <c:v>46477</c:v>
                </c:pt>
                <c:pt idx="135">
                  <c:v>46507</c:v>
                </c:pt>
                <c:pt idx="136">
                  <c:v>46538</c:v>
                </c:pt>
                <c:pt idx="137">
                  <c:v>46568</c:v>
                </c:pt>
                <c:pt idx="138">
                  <c:v>46599</c:v>
                </c:pt>
                <c:pt idx="139">
                  <c:v>46630</c:v>
                </c:pt>
                <c:pt idx="140">
                  <c:v>46660</c:v>
                </c:pt>
                <c:pt idx="141">
                  <c:v>46691</c:v>
                </c:pt>
                <c:pt idx="142">
                  <c:v>46721</c:v>
                </c:pt>
                <c:pt idx="143">
                  <c:v>46752</c:v>
                </c:pt>
                <c:pt idx="144">
                  <c:v>46783</c:v>
                </c:pt>
                <c:pt idx="145">
                  <c:v>46812</c:v>
                </c:pt>
                <c:pt idx="146">
                  <c:v>46843</c:v>
                </c:pt>
                <c:pt idx="147">
                  <c:v>46873</c:v>
                </c:pt>
                <c:pt idx="148">
                  <c:v>46904</c:v>
                </c:pt>
                <c:pt idx="149">
                  <c:v>46934</c:v>
                </c:pt>
                <c:pt idx="150">
                  <c:v>46965</c:v>
                </c:pt>
                <c:pt idx="151">
                  <c:v>46996</c:v>
                </c:pt>
                <c:pt idx="152">
                  <c:v>47026</c:v>
                </c:pt>
                <c:pt idx="153">
                  <c:v>47057</c:v>
                </c:pt>
                <c:pt idx="154">
                  <c:v>47087</c:v>
                </c:pt>
                <c:pt idx="155">
                  <c:v>47118</c:v>
                </c:pt>
                <c:pt idx="156">
                  <c:v>47149</c:v>
                </c:pt>
                <c:pt idx="157">
                  <c:v>47177</c:v>
                </c:pt>
                <c:pt idx="158">
                  <c:v>47208</c:v>
                </c:pt>
                <c:pt idx="159">
                  <c:v>47238</c:v>
                </c:pt>
                <c:pt idx="160">
                  <c:v>47269</c:v>
                </c:pt>
                <c:pt idx="161">
                  <c:v>47299</c:v>
                </c:pt>
                <c:pt idx="162">
                  <c:v>47330</c:v>
                </c:pt>
                <c:pt idx="163">
                  <c:v>47361</c:v>
                </c:pt>
                <c:pt idx="164">
                  <c:v>47391</c:v>
                </c:pt>
                <c:pt idx="165">
                  <c:v>47422</c:v>
                </c:pt>
                <c:pt idx="166">
                  <c:v>47452</c:v>
                </c:pt>
                <c:pt idx="167">
                  <c:v>47483</c:v>
                </c:pt>
                <c:pt idx="168">
                  <c:v>47514</c:v>
                </c:pt>
                <c:pt idx="169">
                  <c:v>47542</c:v>
                </c:pt>
                <c:pt idx="170">
                  <c:v>47573</c:v>
                </c:pt>
                <c:pt idx="171">
                  <c:v>47603</c:v>
                </c:pt>
                <c:pt idx="172">
                  <c:v>47634</c:v>
                </c:pt>
                <c:pt idx="173">
                  <c:v>47664</c:v>
                </c:pt>
                <c:pt idx="174">
                  <c:v>47695</c:v>
                </c:pt>
                <c:pt idx="175">
                  <c:v>47726</c:v>
                </c:pt>
                <c:pt idx="176">
                  <c:v>47756</c:v>
                </c:pt>
                <c:pt idx="177">
                  <c:v>47787</c:v>
                </c:pt>
                <c:pt idx="178">
                  <c:v>47817</c:v>
                </c:pt>
                <c:pt idx="179">
                  <c:v>47848</c:v>
                </c:pt>
                <c:pt idx="180">
                  <c:v>47879</c:v>
                </c:pt>
                <c:pt idx="181">
                  <c:v>47907</c:v>
                </c:pt>
                <c:pt idx="182">
                  <c:v>47938</c:v>
                </c:pt>
                <c:pt idx="183">
                  <c:v>47968</c:v>
                </c:pt>
                <c:pt idx="184">
                  <c:v>47999</c:v>
                </c:pt>
                <c:pt idx="185">
                  <c:v>48029</c:v>
                </c:pt>
                <c:pt idx="186">
                  <c:v>48060</c:v>
                </c:pt>
                <c:pt idx="187">
                  <c:v>48091</c:v>
                </c:pt>
                <c:pt idx="188">
                  <c:v>48121</c:v>
                </c:pt>
                <c:pt idx="189">
                  <c:v>48152</c:v>
                </c:pt>
                <c:pt idx="190">
                  <c:v>48182</c:v>
                </c:pt>
                <c:pt idx="191">
                  <c:v>48213</c:v>
                </c:pt>
              </c:numCache>
            </c:numRef>
          </c:cat>
          <c:val>
            <c:numRef>
              <c:f>'VRZ GS &lt; 50 Normalized'!$D$2:$D$97</c:f>
              <c:numCache>
                <c:formatCode>_-* #,##0_-;\-* #,##0_-;_-* "-"??_-;_-@_-</c:formatCode>
                <c:ptCount val="96"/>
                <c:pt idx="0">
                  <c:v>25594387.001226746</c:v>
                </c:pt>
                <c:pt idx="1">
                  <c:v>23846717.749293804</c:v>
                </c:pt>
                <c:pt idx="2">
                  <c:v>23502971.311413426</c:v>
                </c:pt>
                <c:pt idx="3">
                  <c:v>21540038.953470275</c:v>
                </c:pt>
                <c:pt idx="4">
                  <c:v>21211175.257671658</c:v>
                </c:pt>
                <c:pt idx="5">
                  <c:v>22239964.56426762</c:v>
                </c:pt>
                <c:pt idx="6">
                  <c:v>24686265.973916437</c:v>
                </c:pt>
                <c:pt idx="7">
                  <c:v>25811417.484328467</c:v>
                </c:pt>
                <c:pt idx="8">
                  <c:v>21886803.918791153</c:v>
                </c:pt>
                <c:pt idx="9">
                  <c:v>20725400.682227511</c:v>
                </c:pt>
                <c:pt idx="10">
                  <c:v>21596970.981115021</c:v>
                </c:pt>
                <c:pt idx="11">
                  <c:v>24661948.89940713</c:v>
                </c:pt>
                <c:pt idx="12">
                  <c:v>25099418.824082334</c:v>
                </c:pt>
                <c:pt idx="13">
                  <c:v>22458315.671468545</c:v>
                </c:pt>
                <c:pt idx="14">
                  <c:v>24763416.611976296</c:v>
                </c:pt>
                <c:pt idx="15">
                  <c:v>20428681.878633447</c:v>
                </c:pt>
                <c:pt idx="16">
                  <c:v>20719953.781686418</c:v>
                </c:pt>
                <c:pt idx="17">
                  <c:v>21209040.734510425</c:v>
                </c:pt>
                <c:pt idx="18">
                  <c:v>23081254.913474578</c:v>
                </c:pt>
                <c:pt idx="19">
                  <c:v>22835107.341274541</c:v>
                </c:pt>
                <c:pt idx="20">
                  <c:v>21417225.225619446</c:v>
                </c:pt>
                <c:pt idx="21">
                  <c:v>20379582.625504989</c:v>
                </c:pt>
                <c:pt idx="22">
                  <c:v>22140921.056129038</c:v>
                </c:pt>
                <c:pt idx="23">
                  <c:v>25228512.976163503</c:v>
                </c:pt>
                <c:pt idx="24">
                  <c:v>27083666.221627753</c:v>
                </c:pt>
                <c:pt idx="25">
                  <c:v>23162572.130632471</c:v>
                </c:pt>
                <c:pt idx="26">
                  <c:v>24071009.260873877</c:v>
                </c:pt>
                <c:pt idx="27">
                  <c:v>22158391.192441177</c:v>
                </c:pt>
                <c:pt idx="28">
                  <c:v>21332397.300205573</c:v>
                </c:pt>
                <c:pt idx="29">
                  <c:v>21798944.2383366</c:v>
                </c:pt>
                <c:pt idx="30">
                  <c:v>25157032.245872322</c:v>
                </c:pt>
                <c:pt idx="31">
                  <c:v>25045687.543591116</c:v>
                </c:pt>
                <c:pt idx="32">
                  <c:v>21814911.593046129</c:v>
                </c:pt>
                <c:pt idx="33">
                  <c:v>21139509.036052082</c:v>
                </c:pt>
                <c:pt idx="34">
                  <c:v>23079843.668392137</c:v>
                </c:pt>
                <c:pt idx="35">
                  <c:v>24226267.850083455</c:v>
                </c:pt>
                <c:pt idx="36">
                  <c:v>26955920.19794986</c:v>
                </c:pt>
                <c:pt idx="37">
                  <c:v>24185101.827363215</c:v>
                </c:pt>
                <c:pt idx="38">
                  <c:v>25451797.580998946</c:v>
                </c:pt>
                <c:pt idx="39">
                  <c:v>23223774.488975544</c:v>
                </c:pt>
                <c:pt idx="40">
                  <c:v>21989356.726660021</c:v>
                </c:pt>
                <c:pt idx="41">
                  <c:v>22438976.178483218</c:v>
                </c:pt>
                <c:pt idx="42">
                  <c:v>27458190.795904491</c:v>
                </c:pt>
                <c:pt idx="43">
                  <c:v>25475496.25134312</c:v>
                </c:pt>
                <c:pt idx="44">
                  <c:v>21798333.345887173</c:v>
                </c:pt>
                <c:pt idx="45">
                  <c:v>21919987.852041505</c:v>
                </c:pt>
                <c:pt idx="46">
                  <c:v>24237065.28145485</c:v>
                </c:pt>
                <c:pt idx="47">
                  <c:v>25952432.100917619</c:v>
                </c:pt>
                <c:pt idx="48">
                  <c:v>26660699.398974162</c:v>
                </c:pt>
                <c:pt idx="49">
                  <c:v>25074828.131062046</c:v>
                </c:pt>
                <c:pt idx="50">
                  <c:v>23209263.801920861</c:v>
                </c:pt>
                <c:pt idx="51">
                  <c:v>18603961.100045763</c:v>
                </c:pt>
                <c:pt idx="52">
                  <c:v>18884059.75782511</c:v>
                </c:pt>
                <c:pt idx="53">
                  <c:v>21097806.23196594</c:v>
                </c:pt>
                <c:pt idx="54">
                  <c:v>25978683.247062691</c:v>
                </c:pt>
                <c:pt idx="55">
                  <c:v>24125878.07363626</c:v>
                </c:pt>
                <c:pt idx="56">
                  <c:v>20619845.029231008</c:v>
                </c:pt>
                <c:pt idx="57">
                  <c:v>20573295.775600422</c:v>
                </c:pt>
                <c:pt idx="58">
                  <c:v>21740626.242299922</c:v>
                </c:pt>
                <c:pt idx="59">
                  <c:v>24034292.216278568</c:v>
                </c:pt>
                <c:pt idx="60">
                  <c:v>23610118.389233749</c:v>
                </c:pt>
                <c:pt idx="61">
                  <c:v>22884369.63617168</c:v>
                </c:pt>
                <c:pt idx="62">
                  <c:v>23597404.158352688</c:v>
                </c:pt>
                <c:pt idx="63">
                  <c:v>19727267.688375518</c:v>
                </c:pt>
                <c:pt idx="64">
                  <c:v>19696306.661338918</c:v>
                </c:pt>
                <c:pt idx="65">
                  <c:v>21882313.153773695</c:v>
                </c:pt>
                <c:pt idx="66">
                  <c:v>23644875.912121467</c:v>
                </c:pt>
                <c:pt idx="67">
                  <c:v>26365379.377595745</c:v>
                </c:pt>
                <c:pt idx="68">
                  <c:v>21564606.144930352</c:v>
                </c:pt>
                <c:pt idx="69">
                  <c:v>21010101.409984861</c:v>
                </c:pt>
                <c:pt idx="70">
                  <c:v>22237922.129628185</c:v>
                </c:pt>
                <c:pt idx="71">
                  <c:v>24164160.250091963</c:v>
                </c:pt>
                <c:pt idx="72">
                  <c:v>26676692.693785701</c:v>
                </c:pt>
                <c:pt idx="73">
                  <c:v>24260657.089631252</c:v>
                </c:pt>
                <c:pt idx="74">
                  <c:v>24902898.587404098</c:v>
                </c:pt>
                <c:pt idx="75">
                  <c:v>21613092.935071915</c:v>
                </c:pt>
                <c:pt idx="76">
                  <c:v>21666530.918725226</c:v>
                </c:pt>
                <c:pt idx="77">
                  <c:v>22627437.100193843</c:v>
                </c:pt>
                <c:pt idx="78">
                  <c:v>25714924.79593445</c:v>
                </c:pt>
                <c:pt idx="79">
                  <c:v>25851474.528700527</c:v>
                </c:pt>
                <c:pt idx="80">
                  <c:v>21810179.87972657</c:v>
                </c:pt>
                <c:pt idx="81">
                  <c:v>21039165.86989582</c:v>
                </c:pt>
                <c:pt idx="82">
                  <c:v>22546170.925253004</c:v>
                </c:pt>
                <c:pt idx="83">
                  <c:v>25300790.952781532</c:v>
                </c:pt>
                <c:pt idx="84">
                  <c:v>25948905.427414812</c:v>
                </c:pt>
                <c:pt idx="85">
                  <c:v>23972631.853497781</c:v>
                </c:pt>
                <c:pt idx="86">
                  <c:v>25527961.143967409</c:v>
                </c:pt>
                <c:pt idx="87">
                  <c:v>21842078.767693579</c:v>
                </c:pt>
                <c:pt idx="88">
                  <c:v>21910406.756236099</c:v>
                </c:pt>
                <c:pt idx="89">
                  <c:v>23101631.604347117</c:v>
                </c:pt>
                <c:pt idx="90">
                  <c:v>25936174.43746119</c:v>
                </c:pt>
                <c:pt idx="91">
                  <c:v>23588473.646848772</c:v>
                </c:pt>
                <c:pt idx="92">
                  <c:v>22724171.777930696</c:v>
                </c:pt>
                <c:pt idx="93">
                  <c:v>21843045.351886019</c:v>
                </c:pt>
                <c:pt idx="94">
                  <c:v>23175385.11304817</c:v>
                </c:pt>
                <c:pt idx="95">
                  <c:v>22770333.314679604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9-4B1B-B4EC-09DDE210F6D7}"/>
            </c:ext>
          </c:extLst>
        </c:ser>
        <c:ser>
          <c:idx val="1"/>
          <c:order val="1"/>
          <c:tx>
            <c:strRef>
              <c:f>'VRZ GS &lt; 50 Normalized'!$Q$1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GS &lt; 50 Normalized'!$A$2:$A$193</c:f>
              <c:numCache>
                <c:formatCode>mmm\-yy</c:formatCode>
                <c:ptCount val="19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  <c:pt idx="120">
                  <c:v>46053</c:v>
                </c:pt>
                <c:pt idx="121">
                  <c:v>46081</c:v>
                </c:pt>
                <c:pt idx="122">
                  <c:v>46112</c:v>
                </c:pt>
                <c:pt idx="123">
                  <c:v>46142</c:v>
                </c:pt>
                <c:pt idx="124">
                  <c:v>46173</c:v>
                </c:pt>
                <c:pt idx="125">
                  <c:v>46203</c:v>
                </c:pt>
                <c:pt idx="126">
                  <c:v>46234</c:v>
                </c:pt>
                <c:pt idx="127">
                  <c:v>46265</c:v>
                </c:pt>
                <c:pt idx="128">
                  <c:v>46295</c:v>
                </c:pt>
                <c:pt idx="129">
                  <c:v>46326</c:v>
                </c:pt>
                <c:pt idx="130">
                  <c:v>46356</c:v>
                </c:pt>
                <c:pt idx="131">
                  <c:v>46387</c:v>
                </c:pt>
                <c:pt idx="132">
                  <c:v>46418</c:v>
                </c:pt>
                <c:pt idx="133">
                  <c:v>46446</c:v>
                </c:pt>
                <c:pt idx="134">
                  <c:v>46477</c:v>
                </c:pt>
                <c:pt idx="135">
                  <c:v>46507</c:v>
                </c:pt>
                <c:pt idx="136">
                  <c:v>46538</c:v>
                </c:pt>
                <c:pt idx="137">
                  <c:v>46568</c:v>
                </c:pt>
                <c:pt idx="138">
                  <c:v>46599</c:v>
                </c:pt>
                <c:pt idx="139">
                  <c:v>46630</c:v>
                </c:pt>
                <c:pt idx="140">
                  <c:v>46660</c:v>
                </c:pt>
                <c:pt idx="141">
                  <c:v>46691</c:v>
                </c:pt>
                <c:pt idx="142">
                  <c:v>46721</c:v>
                </c:pt>
                <c:pt idx="143">
                  <c:v>46752</c:v>
                </c:pt>
                <c:pt idx="144">
                  <c:v>46783</c:v>
                </c:pt>
                <c:pt idx="145">
                  <c:v>46812</c:v>
                </c:pt>
                <c:pt idx="146">
                  <c:v>46843</c:v>
                </c:pt>
                <c:pt idx="147">
                  <c:v>46873</c:v>
                </c:pt>
                <c:pt idx="148">
                  <c:v>46904</c:v>
                </c:pt>
                <c:pt idx="149">
                  <c:v>46934</c:v>
                </c:pt>
                <c:pt idx="150">
                  <c:v>46965</c:v>
                </c:pt>
                <c:pt idx="151">
                  <c:v>46996</c:v>
                </c:pt>
                <c:pt idx="152">
                  <c:v>47026</c:v>
                </c:pt>
                <c:pt idx="153">
                  <c:v>47057</c:v>
                </c:pt>
                <c:pt idx="154">
                  <c:v>47087</c:v>
                </c:pt>
                <c:pt idx="155">
                  <c:v>47118</c:v>
                </c:pt>
                <c:pt idx="156">
                  <c:v>47149</c:v>
                </c:pt>
                <c:pt idx="157">
                  <c:v>47177</c:v>
                </c:pt>
                <c:pt idx="158">
                  <c:v>47208</c:v>
                </c:pt>
                <c:pt idx="159">
                  <c:v>47238</c:v>
                </c:pt>
                <c:pt idx="160">
                  <c:v>47269</c:v>
                </c:pt>
                <c:pt idx="161">
                  <c:v>47299</c:v>
                </c:pt>
                <c:pt idx="162">
                  <c:v>47330</c:v>
                </c:pt>
                <c:pt idx="163">
                  <c:v>47361</c:v>
                </c:pt>
                <c:pt idx="164">
                  <c:v>47391</c:v>
                </c:pt>
                <c:pt idx="165">
                  <c:v>47422</c:v>
                </c:pt>
                <c:pt idx="166">
                  <c:v>47452</c:v>
                </c:pt>
                <c:pt idx="167">
                  <c:v>47483</c:v>
                </c:pt>
                <c:pt idx="168">
                  <c:v>47514</c:v>
                </c:pt>
                <c:pt idx="169">
                  <c:v>47542</c:v>
                </c:pt>
                <c:pt idx="170">
                  <c:v>47573</c:v>
                </c:pt>
                <c:pt idx="171">
                  <c:v>47603</c:v>
                </c:pt>
                <c:pt idx="172">
                  <c:v>47634</c:v>
                </c:pt>
                <c:pt idx="173">
                  <c:v>47664</c:v>
                </c:pt>
                <c:pt idx="174">
                  <c:v>47695</c:v>
                </c:pt>
                <c:pt idx="175">
                  <c:v>47726</c:v>
                </c:pt>
                <c:pt idx="176">
                  <c:v>47756</c:v>
                </c:pt>
                <c:pt idx="177">
                  <c:v>47787</c:v>
                </c:pt>
                <c:pt idx="178">
                  <c:v>47817</c:v>
                </c:pt>
                <c:pt idx="179">
                  <c:v>47848</c:v>
                </c:pt>
                <c:pt idx="180">
                  <c:v>47879</c:v>
                </c:pt>
                <c:pt idx="181">
                  <c:v>47907</c:v>
                </c:pt>
                <c:pt idx="182">
                  <c:v>47938</c:v>
                </c:pt>
                <c:pt idx="183">
                  <c:v>47968</c:v>
                </c:pt>
                <c:pt idx="184">
                  <c:v>47999</c:v>
                </c:pt>
                <c:pt idx="185">
                  <c:v>48029</c:v>
                </c:pt>
                <c:pt idx="186">
                  <c:v>48060</c:v>
                </c:pt>
                <c:pt idx="187">
                  <c:v>48091</c:v>
                </c:pt>
                <c:pt idx="188">
                  <c:v>48121</c:v>
                </c:pt>
                <c:pt idx="189">
                  <c:v>48152</c:v>
                </c:pt>
                <c:pt idx="190">
                  <c:v>48182</c:v>
                </c:pt>
                <c:pt idx="191">
                  <c:v>48213</c:v>
                </c:pt>
              </c:numCache>
            </c:numRef>
          </c:cat>
          <c:val>
            <c:numRef>
              <c:f>'VRZ GS &lt; 50 Normalized'!$Q$2:$Q$193</c:f>
              <c:numCache>
                <c:formatCode>_-* #,##0_-;\-* #,##0_-;_-* "-"??_-;_-@_-</c:formatCode>
                <c:ptCount val="192"/>
                <c:pt idx="0">
                  <c:v>25443781.182375301</c:v>
                </c:pt>
                <c:pt idx="1">
                  <c:v>23574327.662173878</c:v>
                </c:pt>
                <c:pt idx="2">
                  <c:v>23797869.034650356</c:v>
                </c:pt>
                <c:pt idx="3">
                  <c:v>21491842.449686017</c:v>
                </c:pt>
                <c:pt idx="4">
                  <c:v>21334067.661716934</c:v>
                </c:pt>
                <c:pt idx="5">
                  <c:v>22489102.979490638</c:v>
                </c:pt>
                <c:pt idx="6">
                  <c:v>25591744.941832639</c:v>
                </c:pt>
                <c:pt idx="7">
                  <c:v>24782652.634447314</c:v>
                </c:pt>
                <c:pt idx="8">
                  <c:v>21470009.484323263</c:v>
                </c:pt>
                <c:pt idx="9">
                  <c:v>21253294.296551995</c:v>
                </c:pt>
                <c:pt idx="10">
                  <c:v>22313729.033521261</c:v>
                </c:pt>
                <c:pt idx="11">
                  <c:v>24514480.669192992</c:v>
                </c:pt>
                <c:pt idx="12">
                  <c:v>25443781.182375301</c:v>
                </c:pt>
                <c:pt idx="13">
                  <c:v>23123120.560360122</c:v>
                </c:pt>
                <c:pt idx="14">
                  <c:v>23797869.034650356</c:v>
                </c:pt>
                <c:pt idx="15">
                  <c:v>21491842.449686017</c:v>
                </c:pt>
                <c:pt idx="16">
                  <c:v>21334067.661716934</c:v>
                </c:pt>
                <c:pt idx="17">
                  <c:v>22489102.979490638</c:v>
                </c:pt>
                <c:pt idx="18">
                  <c:v>25591744.941832639</c:v>
                </c:pt>
                <c:pt idx="19">
                  <c:v>24782652.634447314</c:v>
                </c:pt>
                <c:pt idx="20">
                  <c:v>21470009.484323263</c:v>
                </c:pt>
                <c:pt idx="21">
                  <c:v>21253294.296551995</c:v>
                </c:pt>
                <c:pt idx="22">
                  <c:v>22313729.033521261</c:v>
                </c:pt>
                <c:pt idx="23">
                  <c:v>24514480.669192992</c:v>
                </c:pt>
                <c:pt idx="24">
                  <c:v>25443781.182375301</c:v>
                </c:pt>
                <c:pt idx="25">
                  <c:v>23123120.560360122</c:v>
                </c:pt>
                <c:pt idx="26">
                  <c:v>23797869.034650356</c:v>
                </c:pt>
                <c:pt idx="27">
                  <c:v>21491842.449686017</c:v>
                </c:pt>
                <c:pt idx="28">
                  <c:v>21334067.661716934</c:v>
                </c:pt>
                <c:pt idx="29">
                  <c:v>22489102.979490638</c:v>
                </c:pt>
                <c:pt idx="30">
                  <c:v>25591744.941832639</c:v>
                </c:pt>
                <c:pt idx="31">
                  <c:v>24782652.634447314</c:v>
                </c:pt>
                <c:pt idx="32">
                  <c:v>21470009.484323263</c:v>
                </c:pt>
                <c:pt idx="33">
                  <c:v>21253294.296551995</c:v>
                </c:pt>
                <c:pt idx="34">
                  <c:v>22313729.033521261</c:v>
                </c:pt>
                <c:pt idx="35">
                  <c:v>24514480.669192992</c:v>
                </c:pt>
                <c:pt idx="36">
                  <c:v>25443781.182375301</c:v>
                </c:pt>
                <c:pt idx="37">
                  <c:v>23123120.560360122</c:v>
                </c:pt>
                <c:pt idx="38">
                  <c:v>23797869.034650356</c:v>
                </c:pt>
                <c:pt idx="39">
                  <c:v>21491842.449686017</c:v>
                </c:pt>
                <c:pt idx="40">
                  <c:v>21334067.661716934</c:v>
                </c:pt>
                <c:pt idx="41">
                  <c:v>22489102.979490638</c:v>
                </c:pt>
                <c:pt idx="42">
                  <c:v>25591744.941832639</c:v>
                </c:pt>
                <c:pt idx="43">
                  <c:v>24782652.634447314</c:v>
                </c:pt>
                <c:pt idx="44">
                  <c:v>21470009.484323263</c:v>
                </c:pt>
                <c:pt idx="45">
                  <c:v>21253294.296551995</c:v>
                </c:pt>
                <c:pt idx="46">
                  <c:v>22313729.033521261</c:v>
                </c:pt>
                <c:pt idx="47">
                  <c:v>24514480.669192992</c:v>
                </c:pt>
                <c:pt idx="48">
                  <c:v>25443781.182375301</c:v>
                </c:pt>
                <c:pt idx="49">
                  <c:v>23574327.662173878</c:v>
                </c:pt>
                <c:pt idx="50">
                  <c:v>22488496.942716148</c:v>
                </c:pt>
                <c:pt idx="51">
                  <c:v>18873098.265817598</c:v>
                </c:pt>
                <c:pt idx="52">
                  <c:v>18715323.477848515</c:v>
                </c:pt>
                <c:pt idx="53">
                  <c:v>21179730.887556426</c:v>
                </c:pt>
                <c:pt idx="54">
                  <c:v>24282372.849898428</c:v>
                </c:pt>
                <c:pt idx="55">
                  <c:v>23473280.542513102</c:v>
                </c:pt>
                <c:pt idx="56">
                  <c:v>20160637.392389052</c:v>
                </c:pt>
                <c:pt idx="57">
                  <c:v>19943922.204617783</c:v>
                </c:pt>
                <c:pt idx="58">
                  <c:v>21004356.941587053</c:v>
                </c:pt>
                <c:pt idx="59">
                  <c:v>23205108.577258781</c:v>
                </c:pt>
                <c:pt idx="60">
                  <c:v>24134409.090441093</c:v>
                </c:pt>
                <c:pt idx="61">
                  <c:v>21813748.468425915</c:v>
                </c:pt>
                <c:pt idx="62">
                  <c:v>22488496.942716148</c:v>
                </c:pt>
                <c:pt idx="63">
                  <c:v>20182470.357751809</c:v>
                </c:pt>
                <c:pt idx="64">
                  <c:v>20024695.569782723</c:v>
                </c:pt>
                <c:pt idx="65">
                  <c:v>21179730.887556426</c:v>
                </c:pt>
                <c:pt idx="66">
                  <c:v>24282372.849898428</c:v>
                </c:pt>
                <c:pt idx="67">
                  <c:v>23473280.542513102</c:v>
                </c:pt>
                <c:pt idx="68">
                  <c:v>20160637.392389052</c:v>
                </c:pt>
                <c:pt idx="69">
                  <c:v>19943922.204617783</c:v>
                </c:pt>
                <c:pt idx="70">
                  <c:v>21004356.941587053</c:v>
                </c:pt>
                <c:pt idx="71">
                  <c:v>23205108.577258781</c:v>
                </c:pt>
                <c:pt idx="72">
                  <c:v>24789095.136408195</c:v>
                </c:pt>
                <c:pt idx="73">
                  <c:v>22468434.514393017</c:v>
                </c:pt>
                <c:pt idx="74">
                  <c:v>23143182.988683254</c:v>
                </c:pt>
                <c:pt idx="75">
                  <c:v>20837156.403718911</c:v>
                </c:pt>
                <c:pt idx="76">
                  <c:v>20679381.615749829</c:v>
                </c:pt>
                <c:pt idx="77">
                  <c:v>21834416.933523532</c:v>
                </c:pt>
                <c:pt idx="78">
                  <c:v>24937058.89586553</c:v>
                </c:pt>
                <c:pt idx="79">
                  <c:v>24127966.588480204</c:v>
                </c:pt>
                <c:pt idx="80">
                  <c:v>20815323.438356157</c:v>
                </c:pt>
                <c:pt idx="81">
                  <c:v>20598608.250584889</c:v>
                </c:pt>
                <c:pt idx="82">
                  <c:v>21659042.987554155</c:v>
                </c:pt>
                <c:pt idx="83">
                  <c:v>23859794.623225883</c:v>
                </c:pt>
                <c:pt idx="84">
                  <c:v>25443781.182375301</c:v>
                </c:pt>
                <c:pt idx="85">
                  <c:v>23123120.560360122</c:v>
                </c:pt>
                <c:pt idx="86">
                  <c:v>23797869.034650356</c:v>
                </c:pt>
                <c:pt idx="87">
                  <c:v>21491842.449686017</c:v>
                </c:pt>
                <c:pt idx="88">
                  <c:v>21334067.661716934</c:v>
                </c:pt>
                <c:pt idx="89">
                  <c:v>22489102.979490638</c:v>
                </c:pt>
                <c:pt idx="90">
                  <c:v>25591744.941832639</c:v>
                </c:pt>
                <c:pt idx="91">
                  <c:v>24782652.634447314</c:v>
                </c:pt>
                <c:pt idx="92">
                  <c:v>21470009.484323263</c:v>
                </c:pt>
                <c:pt idx="93">
                  <c:v>21253294.296551995</c:v>
                </c:pt>
                <c:pt idx="94">
                  <c:v>22313729.033521261</c:v>
                </c:pt>
                <c:pt idx="95">
                  <c:v>24514480.669192992</c:v>
                </c:pt>
                <c:pt idx="96">
                  <c:v>25443781.182375301</c:v>
                </c:pt>
                <c:pt idx="97">
                  <c:v>23574327.662173878</c:v>
                </c:pt>
                <c:pt idx="98">
                  <c:v>23797869.034650356</c:v>
                </c:pt>
                <c:pt idx="99">
                  <c:v>21491842.449686017</c:v>
                </c:pt>
                <c:pt idx="100">
                  <c:v>21334067.661716934</c:v>
                </c:pt>
                <c:pt idx="101">
                  <c:v>22489102.979490638</c:v>
                </c:pt>
                <c:pt idx="102">
                  <c:v>25591744.941832639</c:v>
                </c:pt>
                <c:pt idx="103">
                  <c:v>24782652.634447314</c:v>
                </c:pt>
                <c:pt idx="104">
                  <c:v>21470009.484323263</c:v>
                </c:pt>
                <c:pt idx="105">
                  <c:v>21253294.296551995</c:v>
                </c:pt>
                <c:pt idx="106">
                  <c:v>22313729.033521261</c:v>
                </c:pt>
                <c:pt idx="107">
                  <c:v>24514480.669192992</c:v>
                </c:pt>
                <c:pt idx="108">
                  <c:v>25443781.182375301</c:v>
                </c:pt>
                <c:pt idx="109">
                  <c:v>23123120.560360122</c:v>
                </c:pt>
                <c:pt idx="110">
                  <c:v>23797869.034650356</c:v>
                </c:pt>
                <c:pt idx="111">
                  <c:v>21491842.449686017</c:v>
                </c:pt>
                <c:pt idx="112">
                  <c:v>21334067.661716934</c:v>
                </c:pt>
                <c:pt idx="113">
                  <c:v>22489102.979490638</c:v>
                </c:pt>
                <c:pt idx="114">
                  <c:v>25591744.941832639</c:v>
                </c:pt>
                <c:pt idx="115">
                  <c:v>24782652.634447314</c:v>
                </c:pt>
                <c:pt idx="116">
                  <c:v>21470009.484323263</c:v>
                </c:pt>
                <c:pt idx="117">
                  <c:v>21253294.296551995</c:v>
                </c:pt>
                <c:pt idx="118">
                  <c:v>22313729.033521261</c:v>
                </c:pt>
                <c:pt idx="119">
                  <c:v>24514480.669192992</c:v>
                </c:pt>
                <c:pt idx="120">
                  <c:v>25443781.182375301</c:v>
                </c:pt>
                <c:pt idx="121">
                  <c:v>23123120.560360122</c:v>
                </c:pt>
                <c:pt idx="122">
                  <c:v>23797869.034650356</c:v>
                </c:pt>
                <c:pt idx="123">
                  <c:v>21491842.449686017</c:v>
                </c:pt>
                <c:pt idx="124">
                  <c:v>21334067.661716934</c:v>
                </c:pt>
                <c:pt idx="125">
                  <c:v>22489102.979490638</c:v>
                </c:pt>
                <c:pt idx="126">
                  <c:v>25591744.941832639</c:v>
                </c:pt>
                <c:pt idx="127">
                  <c:v>24782652.634447314</c:v>
                </c:pt>
                <c:pt idx="128">
                  <c:v>21470009.484323263</c:v>
                </c:pt>
                <c:pt idx="129">
                  <c:v>21253294.296551995</c:v>
                </c:pt>
                <c:pt idx="130">
                  <c:v>22313729.033521261</c:v>
                </c:pt>
                <c:pt idx="131">
                  <c:v>24514480.669192992</c:v>
                </c:pt>
                <c:pt idx="132">
                  <c:v>25443781.182375301</c:v>
                </c:pt>
                <c:pt idx="133">
                  <c:v>23574327.662173878</c:v>
                </c:pt>
                <c:pt idx="134">
                  <c:v>23797869.034650356</c:v>
                </c:pt>
                <c:pt idx="135">
                  <c:v>21491842.449686017</c:v>
                </c:pt>
                <c:pt idx="136">
                  <c:v>21334067.661716934</c:v>
                </c:pt>
                <c:pt idx="137">
                  <c:v>22489102.979490638</c:v>
                </c:pt>
                <c:pt idx="138">
                  <c:v>25591744.941832639</c:v>
                </c:pt>
                <c:pt idx="139">
                  <c:v>24782652.634447314</c:v>
                </c:pt>
                <c:pt idx="140">
                  <c:v>21470009.484323263</c:v>
                </c:pt>
                <c:pt idx="141">
                  <c:v>21253294.296551995</c:v>
                </c:pt>
                <c:pt idx="142">
                  <c:v>22313729.033521261</c:v>
                </c:pt>
                <c:pt idx="143">
                  <c:v>24514480.669192992</c:v>
                </c:pt>
                <c:pt idx="144">
                  <c:v>25443781.182375301</c:v>
                </c:pt>
                <c:pt idx="145">
                  <c:v>23123120.560360122</c:v>
                </c:pt>
                <c:pt idx="146">
                  <c:v>23797869.034650356</c:v>
                </c:pt>
                <c:pt idx="147">
                  <c:v>21491842.449686017</c:v>
                </c:pt>
                <c:pt idx="148">
                  <c:v>21334067.661716934</c:v>
                </c:pt>
                <c:pt idx="149">
                  <c:v>22489102.979490638</c:v>
                </c:pt>
                <c:pt idx="150">
                  <c:v>25591744.941832639</c:v>
                </c:pt>
                <c:pt idx="151">
                  <c:v>24782652.634447314</c:v>
                </c:pt>
                <c:pt idx="152">
                  <c:v>21470009.484323263</c:v>
                </c:pt>
                <c:pt idx="153">
                  <c:v>21253294.296551995</c:v>
                </c:pt>
                <c:pt idx="154">
                  <c:v>22313729.033521261</c:v>
                </c:pt>
                <c:pt idx="155">
                  <c:v>24514480.669192992</c:v>
                </c:pt>
                <c:pt idx="156">
                  <c:v>25443781.182375301</c:v>
                </c:pt>
                <c:pt idx="157">
                  <c:v>23123120.560360122</c:v>
                </c:pt>
                <c:pt idx="158">
                  <c:v>23797869.034650356</c:v>
                </c:pt>
                <c:pt idx="159">
                  <c:v>21491842.449686017</c:v>
                </c:pt>
                <c:pt idx="160">
                  <c:v>21334067.661716934</c:v>
                </c:pt>
                <c:pt idx="161">
                  <c:v>22489102.979490638</c:v>
                </c:pt>
                <c:pt idx="162">
                  <c:v>25591744.941832639</c:v>
                </c:pt>
                <c:pt idx="163">
                  <c:v>24782652.634447314</c:v>
                </c:pt>
                <c:pt idx="164">
                  <c:v>21470009.484323263</c:v>
                </c:pt>
                <c:pt idx="165">
                  <c:v>21253294.296551995</c:v>
                </c:pt>
                <c:pt idx="166">
                  <c:v>22313729.033521261</c:v>
                </c:pt>
                <c:pt idx="167">
                  <c:v>24514480.669192992</c:v>
                </c:pt>
                <c:pt idx="168">
                  <c:v>25443781.182375301</c:v>
                </c:pt>
                <c:pt idx="169">
                  <c:v>23574327.662173878</c:v>
                </c:pt>
                <c:pt idx="170">
                  <c:v>23797869.034650356</c:v>
                </c:pt>
                <c:pt idx="171">
                  <c:v>21491842.449686017</c:v>
                </c:pt>
                <c:pt idx="172">
                  <c:v>21334067.661716934</c:v>
                </c:pt>
                <c:pt idx="173">
                  <c:v>22489102.979490638</c:v>
                </c:pt>
                <c:pt idx="174">
                  <c:v>25591744.941832639</c:v>
                </c:pt>
                <c:pt idx="175">
                  <c:v>24782652.634447314</c:v>
                </c:pt>
                <c:pt idx="176">
                  <c:v>21470009.484323263</c:v>
                </c:pt>
                <c:pt idx="177">
                  <c:v>21253294.296551995</c:v>
                </c:pt>
                <c:pt idx="178">
                  <c:v>22313729.033521261</c:v>
                </c:pt>
                <c:pt idx="179">
                  <c:v>24514480.669192992</c:v>
                </c:pt>
                <c:pt idx="180">
                  <c:v>25443781.182375301</c:v>
                </c:pt>
                <c:pt idx="181">
                  <c:v>23123120.560360122</c:v>
                </c:pt>
                <c:pt idx="182">
                  <c:v>23797869.034650356</c:v>
                </c:pt>
                <c:pt idx="183">
                  <c:v>21491842.449686017</c:v>
                </c:pt>
                <c:pt idx="184">
                  <c:v>21334067.661716934</c:v>
                </c:pt>
                <c:pt idx="185">
                  <c:v>22489102.979490638</c:v>
                </c:pt>
                <c:pt idx="186">
                  <c:v>25591744.941832639</c:v>
                </c:pt>
                <c:pt idx="187">
                  <c:v>24782652.634447314</c:v>
                </c:pt>
                <c:pt idx="188">
                  <c:v>21470009.484323263</c:v>
                </c:pt>
                <c:pt idx="189">
                  <c:v>21253294.296551995</c:v>
                </c:pt>
                <c:pt idx="190">
                  <c:v>22313729.033521261</c:v>
                </c:pt>
                <c:pt idx="191">
                  <c:v>24514480.669192992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9-4B1B-B4EC-09DDE210F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GS 50 - 2,999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16334906354024"/>
          <c:y val="1.8737799477743105E-2"/>
          <c:w val="0.87283665093645979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'VRZ GS 50-2,999 Normalized'!$D$1</c:f>
              <c:strCache>
                <c:ptCount val="1"/>
                <c:pt idx="0">
                  <c:v>VRZ_GS50to2999kWh_No_CDM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GS 50-2,999 Normalized'!$A$2:$A$193</c:f>
              <c:numCache>
                <c:formatCode>mmm\-yy</c:formatCode>
                <c:ptCount val="19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45688</c:v>
                </c:pt>
                <c:pt idx="109">
                  <c:v>45716</c:v>
                </c:pt>
                <c:pt idx="110">
                  <c:v>45747</c:v>
                </c:pt>
                <c:pt idx="111">
                  <c:v>45777</c:v>
                </c:pt>
                <c:pt idx="112">
                  <c:v>45808</c:v>
                </c:pt>
                <c:pt idx="113">
                  <c:v>45838</c:v>
                </c:pt>
                <c:pt idx="114">
                  <c:v>45869</c:v>
                </c:pt>
                <c:pt idx="115">
                  <c:v>45900</c:v>
                </c:pt>
                <c:pt idx="116">
                  <c:v>45930</c:v>
                </c:pt>
                <c:pt idx="117">
                  <c:v>45961</c:v>
                </c:pt>
                <c:pt idx="118">
                  <c:v>45991</c:v>
                </c:pt>
                <c:pt idx="119">
                  <c:v>46022</c:v>
                </c:pt>
                <c:pt idx="120">
                  <c:v>46053</c:v>
                </c:pt>
                <c:pt idx="121">
                  <c:v>46081</c:v>
                </c:pt>
                <c:pt idx="122">
                  <c:v>46112</c:v>
                </c:pt>
                <c:pt idx="123">
                  <c:v>46142</c:v>
                </c:pt>
                <c:pt idx="124">
                  <c:v>46173</c:v>
                </c:pt>
                <c:pt idx="125">
                  <c:v>46203</c:v>
                </c:pt>
                <c:pt idx="126">
                  <c:v>46234</c:v>
                </c:pt>
                <c:pt idx="127">
                  <c:v>46265</c:v>
                </c:pt>
                <c:pt idx="128">
                  <c:v>46295</c:v>
                </c:pt>
                <c:pt idx="129">
                  <c:v>46326</c:v>
                </c:pt>
                <c:pt idx="130">
                  <c:v>46356</c:v>
                </c:pt>
                <c:pt idx="131">
                  <c:v>46387</c:v>
                </c:pt>
                <c:pt idx="132">
                  <c:v>46418</c:v>
                </c:pt>
                <c:pt idx="133">
                  <c:v>46446</c:v>
                </c:pt>
                <c:pt idx="134">
                  <c:v>46477</c:v>
                </c:pt>
                <c:pt idx="135">
                  <c:v>46507</c:v>
                </c:pt>
                <c:pt idx="136">
                  <c:v>46538</c:v>
                </c:pt>
                <c:pt idx="137">
                  <c:v>46568</c:v>
                </c:pt>
                <c:pt idx="138">
                  <c:v>46599</c:v>
                </c:pt>
                <c:pt idx="139">
                  <c:v>46630</c:v>
                </c:pt>
                <c:pt idx="140">
                  <c:v>46660</c:v>
                </c:pt>
                <c:pt idx="141">
                  <c:v>46691</c:v>
                </c:pt>
                <c:pt idx="142">
                  <c:v>46721</c:v>
                </c:pt>
                <c:pt idx="143">
                  <c:v>46752</c:v>
                </c:pt>
                <c:pt idx="144">
                  <c:v>46783</c:v>
                </c:pt>
                <c:pt idx="145">
                  <c:v>46812</c:v>
                </c:pt>
                <c:pt idx="146">
                  <c:v>46843</c:v>
                </c:pt>
                <c:pt idx="147">
                  <c:v>46873</c:v>
                </c:pt>
                <c:pt idx="148">
                  <c:v>46904</c:v>
                </c:pt>
                <c:pt idx="149">
                  <c:v>46934</c:v>
                </c:pt>
                <c:pt idx="150">
                  <c:v>46965</c:v>
                </c:pt>
                <c:pt idx="151">
                  <c:v>46996</c:v>
                </c:pt>
                <c:pt idx="152">
                  <c:v>47026</c:v>
                </c:pt>
                <c:pt idx="153">
                  <c:v>47057</c:v>
                </c:pt>
                <c:pt idx="154">
                  <c:v>47087</c:v>
                </c:pt>
                <c:pt idx="155">
                  <c:v>47118</c:v>
                </c:pt>
                <c:pt idx="156">
                  <c:v>47149</c:v>
                </c:pt>
                <c:pt idx="157">
                  <c:v>47177</c:v>
                </c:pt>
                <c:pt idx="158">
                  <c:v>47208</c:v>
                </c:pt>
                <c:pt idx="159">
                  <c:v>47238</c:v>
                </c:pt>
                <c:pt idx="160">
                  <c:v>47269</c:v>
                </c:pt>
                <c:pt idx="161">
                  <c:v>47299</c:v>
                </c:pt>
                <c:pt idx="162">
                  <c:v>47330</c:v>
                </c:pt>
                <c:pt idx="163">
                  <c:v>47361</c:v>
                </c:pt>
                <c:pt idx="164">
                  <c:v>47391</c:v>
                </c:pt>
                <c:pt idx="165">
                  <c:v>47422</c:v>
                </c:pt>
                <c:pt idx="166">
                  <c:v>47452</c:v>
                </c:pt>
                <c:pt idx="167">
                  <c:v>47483</c:v>
                </c:pt>
                <c:pt idx="168">
                  <c:v>47514</c:v>
                </c:pt>
                <c:pt idx="169">
                  <c:v>47542</c:v>
                </c:pt>
                <c:pt idx="170">
                  <c:v>47573</c:v>
                </c:pt>
                <c:pt idx="171">
                  <c:v>47603</c:v>
                </c:pt>
                <c:pt idx="172">
                  <c:v>47634</c:v>
                </c:pt>
                <c:pt idx="173">
                  <c:v>47664</c:v>
                </c:pt>
                <c:pt idx="174">
                  <c:v>47695</c:v>
                </c:pt>
                <c:pt idx="175">
                  <c:v>47726</c:v>
                </c:pt>
                <c:pt idx="176">
                  <c:v>47756</c:v>
                </c:pt>
                <c:pt idx="177">
                  <c:v>47787</c:v>
                </c:pt>
                <c:pt idx="178">
                  <c:v>47817</c:v>
                </c:pt>
                <c:pt idx="179">
                  <c:v>47848</c:v>
                </c:pt>
                <c:pt idx="180">
                  <c:v>47879</c:v>
                </c:pt>
                <c:pt idx="181">
                  <c:v>47907</c:v>
                </c:pt>
                <c:pt idx="182">
                  <c:v>47938</c:v>
                </c:pt>
                <c:pt idx="183">
                  <c:v>47968</c:v>
                </c:pt>
                <c:pt idx="184">
                  <c:v>47999</c:v>
                </c:pt>
                <c:pt idx="185">
                  <c:v>48029</c:v>
                </c:pt>
                <c:pt idx="186">
                  <c:v>48060</c:v>
                </c:pt>
                <c:pt idx="187">
                  <c:v>48091</c:v>
                </c:pt>
                <c:pt idx="188">
                  <c:v>48121</c:v>
                </c:pt>
                <c:pt idx="189">
                  <c:v>48152</c:v>
                </c:pt>
                <c:pt idx="190">
                  <c:v>48182</c:v>
                </c:pt>
                <c:pt idx="191">
                  <c:v>48213</c:v>
                </c:pt>
              </c:numCache>
            </c:numRef>
          </c:cat>
          <c:val>
            <c:numRef>
              <c:f>'VRZ GS 50-2,999 Normalized'!$D$2:$D$97</c:f>
              <c:numCache>
                <c:formatCode>_-* #,##0_-;\-* #,##0_-;_-* "-"??_-;_-@_-</c:formatCode>
                <c:ptCount val="96"/>
                <c:pt idx="0">
                  <c:v>82019595.924517915</c:v>
                </c:pt>
                <c:pt idx="1">
                  <c:v>77956359.208072916</c:v>
                </c:pt>
                <c:pt idx="2">
                  <c:v>80028747.679307505</c:v>
                </c:pt>
                <c:pt idx="3">
                  <c:v>75945262.664570689</c:v>
                </c:pt>
                <c:pt idx="4">
                  <c:v>77280197.322971582</c:v>
                </c:pt>
                <c:pt idx="5">
                  <c:v>80057672.268324375</c:v>
                </c:pt>
                <c:pt idx="6">
                  <c:v>82296529.456430227</c:v>
                </c:pt>
                <c:pt idx="7">
                  <c:v>86190597.617975503</c:v>
                </c:pt>
                <c:pt idx="8">
                  <c:v>78484093.199688002</c:v>
                </c:pt>
                <c:pt idx="9">
                  <c:v>76099983.971046835</c:v>
                </c:pt>
                <c:pt idx="10">
                  <c:v>76207685.436664224</c:v>
                </c:pt>
                <c:pt idx="11">
                  <c:v>77033980.924357042</c:v>
                </c:pt>
                <c:pt idx="12">
                  <c:v>81012116.883967727</c:v>
                </c:pt>
                <c:pt idx="13">
                  <c:v>73445222.123628616</c:v>
                </c:pt>
                <c:pt idx="14">
                  <c:v>81650170.503930464</c:v>
                </c:pt>
                <c:pt idx="15">
                  <c:v>72782582.559538245</c:v>
                </c:pt>
                <c:pt idx="16">
                  <c:v>76390785.152737096</c:v>
                </c:pt>
                <c:pt idx="17">
                  <c:v>77082034.041033</c:v>
                </c:pt>
                <c:pt idx="18">
                  <c:v>79033735.183162868</c:v>
                </c:pt>
                <c:pt idx="19">
                  <c:v>81952676.665490463</c:v>
                </c:pt>
                <c:pt idx="20">
                  <c:v>78946500.321015731</c:v>
                </c:pt>
                <c:pt idx="21">
                  <c:v>76944611.206654161</c:v>
                </c:pt>
                <c:pt idx="22">
                  <c:v>78143965.867086679</c:v>
                </c:pt>
                <c:pt idx="23">
                  <c:v>79908916.146969751</c:v>
                </c:pt>
                <c:pt idx="24">
                  <c:v>85722541.594353452</c:v>
                </c:pt>
                <c:pt idx="25">
                  <c:v>76123246.532861605</c:v>
                </c:pt>
                <c:pt idx="26">
                  <c:v>81114704.588170037</c:v>
                </c:pt>
                <c:pt idx="27">
                  <c:v>77267427.025850743</c:v>
                </c:pt>
                <c:pt idx="28">
                  <c:v>78670991.457707956</c:v>
                </c:pt>
                <c:pt idx="29">
                  <c:v>79797560.326718315</c:v>
                </c:pt>
                <c:pt idx="30">
                  <c:v>85257772.592525274</c:v>
                </c:pt>
                <c:pt idx="31">
                  <c:v>87250530.844027832</c:v>
                </c:pt>
                <c:pt idx="32">
                  <c:v>81235573.495459378</c:v>
                </c:pt>
                <c:pt idx="33">
                  <c:v>79512419.693735272</c:v>
                </c:pt>
                <c:pt idx="34">
                  <c:v>79879095.054420561</c:v>
                </c:pt>
                <c:pt idx="35">
                  <c:v>77971955.269303411</c:v>
                </c:pt>
                <c:pt idx="36">
                  <c:v>86497239.860314414</c:v>
                </c:pt>
                <c:pt idx="37">
                  <c:v>78415629.865525275</c:v>
                </c:pt>
                <c:pt idx="38">
                  <c:v>83608311.235796288</c:v>
                </c:pt>
                <c:pt idx="39">
                  <c:v>76308940.453928128</c:v>
                </c:pt>
                <c:pt idx="40">
                  <c:v>76938346.159465671</c:v>
                </c:pt>
                <c:pt idx="41">
                  <c:v>77605851.276420832</c:v>
                </c:pt>
                <c:pt idx="42">
                  <c:v>86501222.434524</c:v>
                </c:pt>
                <c:pt idx="43">
                  <c:v>83448111.098995075</c:v>
                </c:pt>
                <c:pt idx="44">
                  <c:v>77187590.955357417</c:v>
                </c:pt>
                <c:pt idx="45">
                  <c:v>76077301.975405142</c:v>
                </c:pt>
                <c:pt idx="46">
                  <c:v>78034350.367794797</c:v>
                </c:pt>
                <c:pt idx="47">
                  <c:v>78047543.867083848</c:v>
                </c:pt>
                <c:pt idx="48">
                  <c:v>82295613.627566695</c:v>
                </c:pt>
                <c:pt idx="49">
                  <c:v>78273504.188309774</c:v>
                </c:pt>
                <c:pt idx="50">
                  <c:v>76630953.950269327</c:v>
                </c:pt>
                <c:pt idx="51">
                  <c:v>64456209.695909761</c:v>
                </c:pt>
                <c:pt idx="52">
                  <c:v>67469503.193328664</c:v>
                </c:pt>
                <c:pt idx="53">
                  <c:v>75153479.571011558</c:v>
                </c:pt>
                <c:pt idx="54">
                  <c:v>85620541.511397451</c:v>
                </c:pt>
                <c:pt idx="55">
                  <c:v>81884794.517995253</c:v>
                </c:pt>
                <c:pt idx="56">
                  <c:v>75734543.281715289</c:v>
                </c:pt>
                <c:pt idx="57">
                  <c:v>75389591.944220275</c:v>
                </c:pt>
                <c:pt idx="58">
                  <c:v>75258500.469437331</c:v>
                </c:pt>
                <c:pt idx="59">
                  <c:v>77768201.465405151</c:v>
                </c:pt>
                <c:pt idx="60">
                  <c:v>80062479.421799421</c:v>
                </c:pt>
                <c:pt idx="61">
                  <c:v>75601505.954300001</c:v>
                </c:pt>
                <c:pt idx="62">
                  <c:v>80771780.550043195</c:v>
                </c:pt>
                <c:pt idx="63">
                  <c:v>72533551.718385428</c:v>
                </c:pt>
                <c:pt idx="64">
                  <c:v>74813287.715693384</c:v>
                </c:pt>
                <c:pt idx="65">
                  <c:v>79891609.225336611</c:v>
                </c:pt>
                <c:pt idx="66">
                  <c:v>81147795.567303449</c:v>
                </c:pt>
                <c:pt idx="67">
                  <c:v>87006259.468788072</c:v>
                </c:pt>
                <c:pt idx="68">
                  <c:v>77872385.724506244</c:v>
                </c:pt>
                <c:pt idx="69">
                  <c:v>77129413.993492678</c:v>
                </c:pt>
                <c:pt idx="70">
                  <c:v>77631743.33171311</c:v>
                </c:pt>
                <c:pt idx="71">
                  <c:v>78548558.060906678</c:v>
                </c:pt>
                <c:pt idx="72">
                  <c:v>84410403.007073358</c:v>
                </c:pt>
                <c:pt idx="73">
                  <c:v>78540704.11962159</c:v>
                </c:pt>
                <c:pt idx="74">
                  <c:v>83810904.995681524</c:v>
                </c:pt>
                <c:pt idx="75">
                  <c:v>76170064.968385071</c:v>
                </c:pt>
                <c:pt idx="76">
                  <c:v>78484427.001846433</c:v>
                </c:pt>
                <c:pt idx="77">
                  <c:v>80194101.569186047</c:v>
                </c:pt>
                <c:pt idx="78">
                  <c:v>84474104.361136764</c:v>
                </c:pt>
                <c:pt idx="79">
                  <c:v>86642255.905647829</c:v>
                </c:pt>
                <c:pt idx="80">
                  <c:v>78357995.308189183</c:v>
                </c:pt>
                <c:pt idx="81">
                  <c:v>76808375.694675222</c:v>
                </c:pt>
                <c:pt idx="82">
                  <c:v>79007935.605978161</c:v>
                </c:pt>
                <c:pt idx="83">
                  <c:v>80150512.416838348</c:v>
                </c:pt>
                <c:pt idx="84">
                  <c:v>84011788.343112782</c:v>
                </c:pt>
                <c:pt idx="85">
                  <c:v>77651266.034184828</c:v>
                </c:pt>
                <c:pt idx="86">
                  <c:v>83405918.021428466</c:v>
                </c:pt>
                <c:pt idx="87">
                  <c:v>75004611.684332997</c:v>
                </c:pt>
                <c:pt idx="88">
                  <c:v>77737783.312574968</c:v>
                </c:pt>
                <c:pt idx="89">
                  <c:v>80699110.639320776</c:v>
                </c:pt>
                <c:pt idx="90">
                  <c:v>85513520.832899213</c:v>
                </c:pt>
                <c:pt idx="91">
                  <c:v>84634591.159736171</c:v>
                </c:pt>
                <c:pt idx="92">
                  <c:v>80159889.023785233</c:v>
                </c:pt>
                <c:pt idx="93">
                  <c:v>79136189.684440017</c:v>
                </c:pt>
                <c:pt idx="94">
                  <c:v>79876896.52928701</c:v>
                </c:pt>
                <c:pt idx="95">
                  <c:v>79671277.663110197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9-49AF-BADC-708A4923DACE}"/>
            </c:ext>
          </c:extLst>
        </c:ser>
        <c:ser>
          <c:idx val="1"/>
          <c:order val="1"/>
          <c:tx>
            <c:strRef>
              <c:f>'VRZ GS 50-2,999 Normalized'!$S$1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GS 50-2,999 Normalized'!$A$2:$A$193</c:f>
              <c:numCache>
                <c:formatCode>mmm\-yy</c:formatCode>
                <c:ptCount val="19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45688</c:v>
                </c:pt>
                <c:pt idx="109">
                  <c:v>45716</c:v>
                </c:pt>
                <c:pt idx="110">
                  <c:v>45747</c:v>
                </c:pt>
                <c:pt idx="111">
                  <c:v>45777</c:v>
                </c:pt>
                <c:pt idx="112">
                  <c:v>45808</c:v>
                </c:pt>
                <c:pt idx="113">
                  <c:v>45838</c:v>
                </c:pt>
                <c:pt idx="114">
                  <c:v>45869</c:v>
                </c:pt>
                <c:pt idx="115">
                  <c:v>45900</c:v>
                </c:pt>
                <c:pt idx="116">
                  <c:v>45930</c:v>
                </c:pt>
                <c:pt idx="117">
                  <c:v>45961</c:v>
                </c:pt>
                <c:pt idx="118">
                  <c:v>45991</c:v>
                </c:pt>
                <c:pt idx="119">
                  <c:v>46022</c:v>
                </c:pt>
                <c:pt idx="120">
                  <c:v>46053</c:v>
                </c:pt>
                <c:pt idx="121">
                  <c:v>46081</c:v>
                </c:pt>
                <c:pt idx="122">
                  <c:v>46112</c:v>
                </c:pt>
                <c:pt idx="123">
                  <c:v>46142</c:v>
                </c:pt>
                <c:pt idx="124">
                  <c:v>46173</c:v>
                </c:pt>
                <c:pt idx="125">
                  <c:v>46203</c:v>
                </c:pt>
                <c:pt idx="126">
                  <c:v>46234</c:v>
                </c:pt>
                <c:pt idx="127">
                  <c:v>46265</c:v>
                </c:pt>
                <c:pt idx="128">
                  <c:v>46295</c:v>
                </c:pt>
                <c:pt idx="129">
                  <c:v>46326</c:v>
                </c:pt>
                <c:pt idx="130">
                  <c:v>46356</c:v>
                </c:pt>
                <c:pt idx="131">
                  <c:v>46387</c:v>
                </c:pt>
                <c:pt idx="132">
                  <c:v>46418</c:v>
                </c:pt>
                <c:pt idx="133">
                  <c:v>46446</c:v>
                </c:pt>
                <c:pt idx="134">
                  <c:v>46477</c:v>
                </c:pt>
                <c:pt idx="135">
                  <c:v>46507</c:v>
                </c:pt>
                <c:pt idx="136">
                  <c:v>46538</c:v>
                </c:pt>
                <c:pt idx="137">
                  <c:v>46568</c:v>
                </c:pt>
                <c:pt idx="138">
                  <c:v>46599</c:v>
                </c:pt>
                <c:pt idx="139">
                  <c:v>46630</c:v>
                </c:pt>
                <c:pt idx="140">
                  <c:v>46660</c:v>
                </c:pt>
                <c:pt idx="141">
                  <c:v>46691</c:v>
                </c:pt>
                <c:pt idx="142">
                  <c:v>46721</c:v>
                </c:pt>
                <c:pt idx="143">
                  <c:v>46752</c:v>
                </c:pt>
                <c:pt idx="144">
                  <c:v>46783</c:v>
                </c:pt>
                <c:pt idx="145">
                  <c:v>46812</c:v>
                </c:pt>
                <c:pt idx="146">
                  <c:v>46843</c:v>
                </c:pt>
                <c:pt idx="147">
                  <c:v>46873</c:v>
                </c:pt>
                <c:pt idx="148">
                  <c:v>46904</c:v>
                </c:pt>
                <c:pt idx="149">
                  <c:v>46934</c:v>
                </c:pt>
                <c:pt idx="150">
                  <c:v>46965</c:v>
                </c:pt>
                <c:pt idx="151">
                  <c:v>46996</c:v>
                </c:pt>
                <c:pt idx="152">
                  <c:v>47026</c:v>
                </c:pt>
                <c:pt idx="153">
                  <c:v>47057</c:v>
                </c:pt>
                <c:pt idx="154">
                  <c:v>47087</c:v>
                </c:pt>
                <c:pt idx="155">
                  <c:v>47118</c:v>
                </c:pt>
                <c:pt idx="156">
                  <c:v>47149</c:v>
                </c:pt>
                <c:pt idx="157">
                  <c:v>47177</c:v>
                </c:pt>
                <c:pt idx="158">
                  <c:v>47208</c:v>
                </c:pt>
                <c:pt idx="159">
                  <c:v>47238</c:v>
                </c:pt>
                <c:pt idx="160">
                  <c:v>47269</c:v>
                </c:pt>
                <c:pt idx="161">
                  <c:v>47299</c:v>
                </c:pt>
                <c:pt idx="162">
                  <c:v>47330</c:v>
                </c:pt>
                <c:pt idx="163">
                  <c:v>47361</c:v>
                </c:pt>
                <c:pt idx="164">
                  <c:v>47391</c:v>
                </c:pt>
                <c:pt idx="165">
                  <c:v>47422</c:v>
                </c:pt>
                <c:pt idx="166">
                  <c:v>47452</c:v>
                </c:pt>
                <c:pt idx="167">
                  <c:v>47483</c:v>
                </c:pt>
                <c:pt idx="168">
                  <c:v>47514</c:v>
                </c:pt>
                <c:pt idx="169">
                  <c:v>47542</c:v>
                </c:pt>
                <c:pt idx="170">
                  <c:v>47573</c:v>
                </c:pt>
                <c:pt idx="171">
                  <c:v>47603</c:v>
                </c:pt>
                <c:pt idx="172">
                  <c:v>47634</c:v>
                </c:pt>
                <c:pt idx="173">
                  <c:v>47664</c:v>
                </c:pt>
                <c:pt idx="174">
                  <c:v>47695</c:v>
                </c:pt>
                <c:pt idx="175">
                  <c:v>47726</c:v>
                </c:pt>
                <c:pt idx="176">
                  <c:v>47756</c:v>
                </c:pt>
                <c:pt idx="177">
                  <c:v>47787</c:v>
                </c:pt>
                <c:pt idx="178">
                  <c:v>47817</c:v>
                </c:pt>
                <c:pt idx="179">
                  <c:v>47848</c:v>
                </c:pt>
                <c:pt idx="180">
                  <c:v>47879</c:v>
                </c:pt>
                <c:pt idx="181">
                  <c:v>47907</c:v>
                </c:pt>
                <c:pt idx="182">
                  <c:v>47938</c:v>
                </c:pt>
                <c:pt idx="183">
                  <c:v>47968</c:v>
                </c:pt>
                <c:pt idx="184">
                  <c:v>47999</c:v>
                </c:pt>
                <c:pt idx="185">
                  <c:v>48029</c:v>
                </c:pt>
                <c:pt idx="186">
                  <c:v>48060</c:v>
                </c:pt>
                <c:pt idx="187">
                  <c:v>48091</c:v>
                </c:pt>
                <c:pt idx="188">
                  <c:v>48121</c:v>
                </c:pt>
                <c:pt idx="189">
                  <c:v>48152</c:v>
                </c:pt>
                <c:pt idx="190">
                  <c:v>48182</c:v>
                </c:pt>
                <c:pt idx="191">
                  <c:v>48213</c:v>
                </c:pt>
              </c:numCache>
            </c:numRef>
          </c:cat>
          <c:val>
            <c:numRef>
              <c:f>'VRZ GS 50-2,999 Normalized'!$S$2:$S$193</c:f>
              <c:numCache>
                <c:formatCode>_-* #,##0_-;\-* #,##0_-;_-* "-"??_-;_-@_-</c:formatCode>
                <c:ptCount val="192"/>
                <c:pt idx="0">
                  <c:v>80849338.994683847</c:v>
                </c:pt>
                <c:pt idx="1">
                  <c:v>76215892.255357847</c:v>
                </c:pt>
                <c:pt idx="2">
                  <c:v>79275727.603361428</c:v>
                </c:pt>
                <c:pt idx="3">
                  <c:v>74240612.972887069</c:v>
                </c:pt>
                <c:pt idx="4">
                  <c:v>75981416.981308013</c:v>
                </c:pt>
                <c:pt idx="5">
                  <c:v>77420147.151120692</c:v>
                </c:pt>
                <c:pt idx="6">
                  <c:v>84393164.873821855</c:v>
                </c:pt>
                <c:pt idx="7">
                  <c:v>82815751.17250219</c:v>
                </c:pt>
                <c:pt idx="8">
                  <c:v>77203420.068432108</c:v>
                </c:pt>
                <c:pt idx="9">
                  <c:v>75185516.468096003</c:v>
                </c:pt>
                <c:pt idx="10">
                  <c:v>75943346.077593863</c:v>
                </c:pt>
                <c:pt idx="11">
                  <c:v>78977845.292890608</c:v>
                </c:pt>
                <c:pt idx="12">
                  <c:v>81334706.551236153</c:v>
                </c:pt>
                <c:pt idx="13">
                  <c:v>75386046.462954074</c:v>
                </c:pt>
                <c:pt idx="14">
                  <c:v>79761095.159913749</c:v>
                </c:pt>
                <c:pt idx="15">
                  <c:v>75142409.632108182</c:v>
                </c:pt>
                <c:pt idx="16">
                  <c:v>76883213.640529126</c:v>
                </c:pt>
                <c:pt idx="17">
                  <c:v>78321943.810341805</c:v>
                </c:pt>
                <c:pt idx="18">
                  <c:v>85085158.712337688</c:v>
                </c:pt>
                <c:pt idx="19">
                  <c:v>83507745.011018023</c:v>
                </c:pt>
                <c:pt idx="20">
                  <c:v>77895413.906947941</c:v>
                </c:pt>
                <c:pt idx="21">
                  <c:v>76178562.984267697</c:v>
                </c:pt>
                <c:pt idx="22">
                  <c:v>76936392.593765557</c:v>
                </c:pt>
                <c:pt idx="23">
                  <c:v>79970891.809062317</c:v>
                </c:pt>
                <c:pt idx="24">
                  <c:v>82205380.693975583</c:v>
                </c:pt>
                <c:pt idx="25">
                  <c:v>76256720.605693489</c:v>
                </c:pt>
                <c:pt idx="26">
                  <c:v>80631769.302653164</c:v>
                </c:pt>
                <c:pt idx="27">
                  <c:v>75917976.692282036</c:v>
                </c:pt>
                <c:pt idx="28">
                  <c:v>77658780.70070298</c:v>
                </c:pt>
                <c:pt idx="29">
                  <c:v>79097510.870515659</c:v>
                </c:pt>
                <c:pt idx="30">
                  <c:v>86200842.313503474</c:v>
                </c:pt>
                <c:pt idx="31">
                  <c:v>84623428.612183809</c:v>
                </c:pt>
                <c:pt idx="32">
                  <c:v>79011097.508113742</c:v>
                </c:pt>
                <c:pt idx="33">
                  <c:v>77253140.661477715</c:v>
                </c:pt>
                <c:pt idx="34">
                  <c:v>78010970.270975575</c:v>
                </c:pt>
                <c:pt idx="35">
                  <c:v>81045469.486272335</c:v>
                </c:pt>
                <c:pt idx="36">
                  <c:v>83001368.360346422</c:v>
                </c:pt>
                <c:pt idx="37">
                  <c:v>77052708.272064328</c:v>
                </c:pt>
                <c:pt idx="38">
                  <c:v>81427756.969024003</c:v>
                </c:pt>
                <c:pt idx="39">
                  <c:v>76732683.247666776</c:v>
                </c:pt>
                <c:pt idx="40">
                  <c:v>78473487.25608772</c:v>
                </c:pt>
                <c:pt idx="41">
                  <c:v>79912217.4259004</c:v>
                </c:pt>
                <c:pt idx="42">
                  <c:v>86812893.260351881</c:v>
                </c:pt>
                <c:pt idx="43">
                  <c:v>85235479.559032217</c:v>
                </c:pt>
                <c:pt idx="44">
                  <c:v>79623148.454962134</c:v>
                </c:pt>
                <c:pt idx="45">
                  <c:v>77716083.367150754</c:v>
                </c:pt>
                <c:pt idx="46">
                  <c:v>78473912.976648614</c:v>
                </c:pt>
                <c:pt idx="47">
                  <c:v>81508412.191945374</c:v>
                </c:pt>
                <c:pt idx="48">
                  <c:v>83020389.776859537</c:v>
                </c:pt>
                <c:pt idx="49">
                  <c:v>78386943.037533537</c:v>
                </c:pt>
                <c:pt idx="50">
                  <c:v>78413895.599935114</c:v>
                </c:pt>
                <c:pt idx="51">
                  <c:v>66846827.312006071</c:v>
                </c:pt>
                <c:pt idx="52">
                  <c:v>68587631.320427015</c:v>
                </c:pt>
                <c:pt idx="53">
                  <c:v>73059244.275841698</c:v>
                </c:pt>
                <c:pt idx="54">
                  <c:v>82554660.655118823</c:v>
                </c:pt>
                <c:pt idx="55">
                  <c:v>80977246.953799158</c:v>
                </c:pt>
                <c:pt idx="56">
                  <c:v>75364915.849729076</c:v>
                </c:pt>
                <c:pt idx="57">
                  <c:v>74121596.09519437</c:v>
                </c:pt>
                <c:pt idx="58">
                  <c:v>74879425.70469223</c:v>
                </c:pt>
                <c:pt idx="59">
                  <c:v>77913924.91998899</c:v>
                </c:pt>
                <c:pt idx="60">
                  <c:v>80318320.811648622</c:v>
                </c:pt>
                <c:pt idx="61">
                  <c:v>74369660.723366529</c:v>
                </c:pt>
                <c:pt idx="62">
                  <c:v>78744709.420326203</c:v>
                </c:pt>
                <c:pt idx="63">
                  <c:v>73580907.154873461</c:v>
                </c:pt>
                <c:pt idx="64">
                  <c:v>75321711.163294405</c:v>
                </c:pt>
                <c:pt idx="65">
                  <c:v>76760441.333107084</c:v>
                </c:pt>
                <c:pt idx="66">
                  <c:v>84169854.97342521</c:v>
                </c:pt>
                <c:pt idx="67">
                  <c:v>82592441.272105545</c:v>
                </c:pt>
                <c:pt idx="68">
                  <c:v>76980110.168035462</c:v>
                </c:pt>
                <c:pt idx="69">
                  <c:v>75750933.574089035</c:v>
                </c:pt>
                <c:pt idx="70">
                  <c:v>76508763.183586895</c:v>
                </c:pt>
                <c:pt idx="71">
                  <c:v>79543262.398883656</c:v>
                </c:pt>
                <c:pt idx="72">
                  <c:v>83254826.285762638</c:v>
                </c:pt>
                <c:pt idx="73">
                  <c:v>77306166.197480544</c:v>
                </c:pt>
                <c:pt idx="74">
                  <c:v>81681214.894440219</c:v>
                </c:pt>
                <c:pt idx="75">
                  <c:v>77032390.064525411</c:v>
                </c:pt>
                <c:pt idx="76">
                  <c:v>78773194.072946355</c:v>
                </c:pt>
                <c:pt idx="77">
                  <c:v>80211924.242759034</c:v>
                </c:pt>
                <c:pt idx="78">
                  <c:v>87040598.532397464</c:v>
                </c:pt>
                <c:pt idx="79">
                  <c:v>85463184.831077799</c:v>
                </c:pt>
                <c:pt idx="80">
                  <c:v>79850853.727007717</c:v>
                </c:pt>
                <c:pt idx="81">
                  <c:v>77890884.142771199</c:v>
                </c:pt>
                <c:pt idx="82">
                  <c:v>78648713.752269045</c:v>
                </c:pt>
                <c:pt idx="83">
                  <c:v>81683212.967565805</c:v>
                </c:pt>
                <c:pt idx="84">
                  <c:v>85510569.254769146</c:v>
                </c:pt>
                <c:pt idx="85">
                  <c:v>79561909.166487053</c:v>
                </c:pt>
                <c:pt idx="86">
                  <c:v>83936957.863446742</c:v>
                </c:pt>
                <c:pt idx="87">
                  <c:v>79253342.371122256</c:v>
                </c:pt>
                <c:pt idx="88">
                  <c:v>80994146.3795432</c:v>
                </c:pt>
                <c:pt idx="89">
                  <c:v>82432876.549355879</c:v>
                </c:pt>
                <c:pt idx="90">
                  <c:v>89318841.984158054</c:v>
                </c:pt>
                <c:pt idx="91">
                  <c:v>87741428.282838389</c:v>
                </c:pt>
                <c:pt idx="92">
                  <c:v>82129097.178768307</c:v>
                </c:pt>
                <c:pt idx="93">
                  <c:v>80291008.36077784</c:v>
                </c:pt>
                <c:pt idx="94">
                  <c:v>81048837.9702757</c:v>
                </c:pt>
                <c:pt idx="95">
                  <c:v>84083337.18557246</c:v>
                </c:pt>
                <c:pt idx="96">
                  <c:v>86217954.179807529</c:v>
                </c:pt>
                <c:pt idx="97">
                  <c:v>81584507.440481544</c:v>
                </c:pt>
                <c:pt idx="98">
                  <c:v>84644342.78848511</c:v>
                </c:pt>
                <c:pt idx="99">
                  <c:v>79833741.378365338</c:v>
                </c:pt>
                <c:pt idx="100">
                  <c:v>81574545.386786282</c:v>
                </c:pt>
                <c:pt idx="101">
                  <c:v>83013275.556598961</c:v>
                </c:pt>
                <c:pt idx="102">
                  <c:v>89814798.003182873</c:v>
                </c:pt>
                <c:pt idx="103">
                  <c:v>88237384.301863208</c:v>
                </c:pt>
                <c:pt idx="104">
                  <c:v>82625053.197793126</c:v>
                </c:pt>
                <c:pt idx="105">
                  <c:v>80780573.486381769</c:v>
                </c:pt>
                <c:pt idx="106">
                  <c:v>81538403.095879614</c:v>
                </c:pt>
                <c:pt idx="107">
                  <c:v>84572902.311176375</c:v>
                </c:pt>
                <c:pt idx="108">
                  <c:v>86674392.544247448</c:v>
                </c:pt>
                <c:pt idx="109">
                  <c:v>80725732.45596537</c:v>
                </c:pt>
                <c:pt idx="110">
                  <c:v>85100781.152925044</c:v>
                </c:pt>
                <c:pt idx="111">
                  <c:v>80057649.543721497</c:v>
                </c:pt>
                <c:pt idx="112">
                  <c:v>81798453.552142441</c:v>
                </c:pt>
                <c:pt idx="113">
                  <c:v>83237183.721955121</c:v>
                </c:pt>
                <c:pt idx="114">
                  <c:v>90161759.228844553</c:v>
                </c:pt>
                <c:pt idx="115">
                  <c:v>88584345.527524889</c:v>
                </c:pt>
                <c:pt idx="116">
                  <c:v>82972014.423454806</c:v>
                </c:pt>
                <c:pt idx="117">
                  <c:v>81219677.516723871</c:v>
                </c:pt>
                <c:pt idx="118">
                  <c:v>81977507.126221731</c:v>
                </c:pt>
                <c:pt idx="119">
                  <c:v>85012006.341518492</c:v>
                </c:pt>
                <c:pt idx="120">
                  <c:v>86936858.33098568</c:v>
                </c:pt>
                <c:pt idx="121">
                  <c:v>80988198.242703587</c:v>
                </c:pt>
                <c:pt idx="122">
                  <c:v>85363246.939663261</c:v>
                </c:pt>
                <c:pt idx="123">
                  <c:v>80441807.017018765</c:v>
                </c:pt>
                <c:pt idx="124">
                  <c:v>82182611.025439709</c:v>
                </c:pt>
                <c:pt idx="125">
                  <c:v>83621341.195252389</c:v>
                </c:pt>
                <c:pt idx="126">
                  <c:v>90371963.390093461</c:v>
                </c:pt>
                <c:pt idx="127">
                  <c:v>88794549.688773796</c:v>
                </c:pt>
                <c:pt idx="128">
                  <c:v>83182218.584703714</c:v>
                </c:pt>
                <c:pt idx="129">
                  <c:v>81219677.516723871</c:v>
                </c:pt>
                <c:pt idx="130">
                  <c:v>81977507.126221731</c:v>
                </c:pt>
                <c:pt idx="131">
                  <c:v>85012006.341518492</c:v>
                </c:pt>
                <c:pt idx="132">
                  <c:v>86936858.33098568</c:v>
                </c:pt>
                <c:pt idx="133">
                  <c:v>82303411.591659695</c:v>
                </c:pt>
                <c:pt idx="134">
                  <c:v>85363246.939663261</c:v>
                </c:pt>
                <c:pt idx="135">
                  <c:v>80441807.017018765</c:v>
                </c:pt>
                <c:pt idx="136">
                  <c:v>82182611.025439709</c:v>
                </c:pt>
                <c:pt idx="137">
                  <c:v>83621341.195252389</c:v>
                </c:pt>
                <c:pt idx="138">
                  <c:v>90371963.390093461</c:v>
                </c:pt>
                <c:pt idx="139">
                  <c:v>88794549.688773796</c:v>
                </c:pt>
                <c:pt idx="140">
                  <c:v>83182218.584703714</c:v>
                </c:pt>
                <c:pt idx="141">
                  <c:v>81219677.516723871</c:v>
                </c:pt>
                <c:pt idx="142">
                  <c:v>81977507.126221731</c:v>
                </c:pt>
                <c:pt idx="143">
                  <c:v>85012006.341518492</c:v>
                </c:pt>
                <c:pt idx="144">
                  <c:v>86936858.33098568</c:v>
                </c:pt>
                <c:pt idx="145">
                  <c:v>80988198.242703587</c:v>
                </c:pt>
                <c:pt idx="146">
                  <c:v>85363246.939663261</c:v>
                </c:pt>
                <c:pt idx="147">
                  <c:v>80441807.017018765</c:v>
                </c:pt>
                <c:pt idx="148">
                  <c:v>82182611.025439709</c:v>
                </c:pt>
                <c:pt idx="149">
                  <c:v>83621341.195252389</c:v>
                </c:pt>
                <c:pt idx="150">
                  <c:v>90371963.390093461</c:v>
                </c:pt>
                <c:pt idx="151">
                  <c:v>88794549.688773796</c:v>
                </c:pt>
                <c:pt idx="152">
                  <c:v>83182218.584703714</c:v>
                </c:pt>
                <c:pt idx="153">
                  <c:v>81219677.516723871</c:v>
                </c:pt>
                <c:pt idx="154">
                  <c:v>81977507.126221731</c:v>
                </c:pt>
                <c:pt idx="155">
                  <c:v>85012006.341518492</c:v>
                </c:pt>
                <c:pt idx="156">
                  <c:v>87552752.399390161</c:v>
                </c:pt>
                <c:pt idx="157">
                  <c:v>81604092.311108068</c:v>
                </c:pt>
                <c:pt idx="158">
                  <c:v>85979141.008067757</c:v>
                </c:pt>
                <c:pt idx="159">
                  <c:v>81057701.085423246</c:v>
                </c:pt>
                <c:pt idx="160">
                  <c:v>82798505.09384419</c:v>
                </c:pt>
                <c:pt idx="161">
                  <c:v>84237235.26365687</c:v>
                </c:pt>
                <c:pt idx="162">
                  <c:v>90987857.458497941</c:v>
                </c:pt>
                <c:pt idx="163">
                  <c:v>89410443.757178277</c:v>
                </c:pt>
                <c:pt idx="164">
                  <c:v>83798112.653108209</c:v>
                </c:pt>
                <c:pt idx="165">
                  <c:v>81835571.585128352</c:v>
                </c:pt>
                <c:pt idx="166">
                  <c:v>82593401.194626212</c:v>
                </c:pt>
                <c:pt idx="167">
                  <c:v>85627900.409922957</c:v>
                </c:pt>
                <c:pt idx="168">
                  <c:v>88179732.561025918</c:v>
                </c:pt>
                <c:pt idx="169">
                  <c:v>83546285.821699917</c:v>
                </c:pt>
                <c:pt idx="170">
                  <c:v>86606121.169703513</c:v>
                </c:pt>
                <c:pt idx="171">
                  <c:v>81684681.247059003</c:v>
                </c:pt>
                <c:pt idx="172">
                  <c:v>83425485.255479947</c:v>
                </c:pt>
                <c:pt idx="173">
                  <c:v>84864215.425292626</c:v>
                </c:pt>
                <c:pt idx="174">
                  <c:v>91614837.620133698</c:v>
                </c:pt>
                <c:pt idx="175">
                  <c:v>90037423.918814033</c:v>
                </c:pt>
                <c:pt idx="176">
                  <c:v>84425092.814743966</c:v>
                </c:pt>
                <c:pt idx="177">
                  <c:v>82462551.746764109</c:v>
                </c:pt>
                <c:pt idx="178">
                  <c:v>83220381.356261969</c:v>
                </c:pt>
                <c:pt idx="179">
                  <c:v>86254880.571558714</c:v>
                </c:pt>
                <c:pt idx="180">
                  <c:v>88817998.365571111</c:v>
                </c:pt>
                <c:pt idx="181">
                  <c:v>82869338.277289033</c:v>
                </c:pt>
                <c:pt idx="182">
                  <c:v>87244386.974248707</c:v>
                </c:pt>
                <c:pt idx="183">
                  <c:v>82322947.051604211</c:v>
                </c:pt>
                <c:pt idx="184">
                  <c:v>84063751.060025156</c:v>
                </c:pt>
                <c:pt idx="185">
                  <c:v>85502481.229837835</c:v>
                </c:pt>
                <c:pt idx="186">
                  <c:v>92253103.424678892</c:v>
                </c:pt>
                <c:pt idx="187">
                  <c:v>90675689.723359227</c:v>
                </c:pt>
                <c:pt idx="188">
                  <c:v>85063358.61928916</c:v>
                </c:pt>
                <c:pt idx="189">
                  <c:v>83100817.551309317</c:v>
                </c:pt>
                <c:pt idx="190">
                  <c:v>83858647.160807163</c:v>
                </c:pt>
                <c:pt idx="191">
                  <c:v>86893146.376103923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A9-49AF-BADC-708A4923D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  <c:min val="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GS 3,000 -</a:t>
            </a:r>
            <a:r>
              <a:rPr lang="en-CA" baseline="0"/>
              <a:t> 4,999</a:t>
            </a:r>
            <a:endParaRPr lang="en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A"/>
        </a:p>
      </c:txPr>
    </c:title>
    <c:autoTitleDeleted val="0"/>
    <c:plotArea>
      <c:layout>
        <c:manualLayout>
          <c:layoutTarget val="inner"/>
          <c:xMode val="edge"/>
          <c:yMode val="edge"/>
          <c:x val="0.12716334906354024"/>
          <c:y val="1.8737799477743105E-2"/>
          <c:w val="0.87283665093645979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'VRZ GS 3,000-4,999 Normalized'!$D$1</c:f>
              <c:strCache>
                <c:ptCount val="1"/>
                <c:pt idx="0">
                  <c:v>VRZ_GS3000to4999kWh_No_CDM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GS 3,000-4,999 Normalized'!$A$2:$A$193</c:f>
              <c:numCache>
                <c:formatCode>mmm\-yy</c:formatCode>
                <c:ptCount val="19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  <c:pt idx="120">
                  <c:v>46053</c:v>
                </c:pt>
                <c:pt idx="121">
                  <c:v>46081</c:v>
                </c:pt>
                <c:pt idx="122">
                  <c:v>46112</c:v>
                </c:pt>
                <c:pt idx="123">
                  <c:v>46142</c:v>
                </c:pt>
                <c:pt idx="124">
                  <c:v>46173</c:v>
                </c:pt>
                <c:pt idx="125">
                  <c:v>46203</c:v>
                </c:pt>
                <c:pt idx="126">
                  <c:v>46234</c:v>
                </c:pt>
                <c:pt idx="127">
                  <c:v>46265</c:v>
                </c:pt>
                <c:pt idx="128">
                  <c:v>46295</c:v>
                </c:pt>
                <c:pt idx="129">
                  <c:v>46326</c:v>
                </c:pt>
                <c:pt idx="130">
                  <c:v>46356</c:v>
                </c:pt>
                <c:pt idx="131">
                  <c:v>46387</c:v>
                </c:pt>
                <c:pt idx="132">
                  <c:v>46418</c:v>
                </c:pt>
                <c:pt idx="133">
                  <c:v>46446</c:v>
                </c:pt>
                <c:pt idx="134">
                  <c:v>46477</c:v>
                </c:pt>
                <c:pt idx="135">
                  <c:v>46507</c:v>
                </c:pt>
                <c:pt idx="136">
                  <c:v>46538</c:v>
                </c:pt>
                <c:pt idx="137">
                  <c:v>46568</c:v>
                </c:pt>
                <c:pt idx="138">
                  <c:v>46599</c:v>
                </c:pt>
                <c:pt idx="139">
                  <c:v>46630</c:v>
                </c:pt>
                <c:pt idx="140">
                  <c:v>46660</c:v>
                </c:pt>
                <c:pt idx="141">
                  <c:v>46691</c:v>
                </c:pt>
                <c:pt idx="142">
                  <c:v>46721</c:v>
                </c:pt>
                <c:pt idx="143">
                  <c:v>46752</c:v>
                </c:pt>
                <c:pt idx="144">
                  <c:v>46783</c:v>
                </c:pt>
                <c:pt idx="145">
                  <c:v>46812</c:v>
                </c:pt>
                <c:pt idx="146">
                  <c:v>46843</c:v>
                </c:pt>
                <c:pt idx="147">
                  <c:v>46873</c:v>
                </c:pt>
                <c:pt idx="148">
                  <c:v>46904</c:v>
                </c:pt>
                <c:pt idx="149">
                  <c:v>46934</c:v>
                </c:pt>
                <c:pt idx="150">
                  <c:v>46965</c:v>
                </c:pt>
                <c:pt idx="151">
                  <c:v>46996</c:v>
                </c:pt>
                <c:pt idx="152">
                  <c:v>47026</c:v>
                </c:pt>
                <c:pt idx="153">
                  <c:v>47057</c:v>
                </c:pt>
                <c:pt idx="154">
                  <c:v>47087</c:v>
                </c:pt>
                <c:pt idx="155">
                  <c:v>47118</c:v>
                </c:pt>
                <c:pt idx="156">
                  <c:v>47149</c:v>
                </c:pt>
                <c:pt idx="157">
                  <c:v>47177</c:v>
                </c:pt>
                <c:pt idx="158">
                  <c:v>47208</c:v>
                </c:pt>
                <c:pt idx="159">
                  <c:v>47238</c:v>
                </c:pt>
                <c:pt idx="160">
                  <c:v>47269</c:v>
                </c:pt>
                <c:pt idx="161">
                  <c:v>47299</c:v>
                </c:pt>
                <c:pt idx="162">
                  <c:v>47330</c:v>
                </c:pt>
                <c:pt idx="163">
                  <c:v>47361</c:v>
                </c:pt>
                <c:pt idx="164">
                  <c:v>47391</c:v>
                </c:pt>
                <c:pt idx="165">
                  <c:v>47422</c:v>
                </c:pt>
                <c:pt idx="166">
                  <c:v>47452</c:v>
                </c:pt>
                <c:pt idx="167">
                  <c:v>47483</c:v>
                </c:pt>
                <c:pt idx="168">
                  <c:v>47514</c:v>
                </c:pt>
                <c:pt idx="169">
                  <c:v>47542</c:v>
                </c:pt>
                <c:pt idx="170">
                  <c:v>47573</c:v>
                </c:pt>
                <c:pt idx="171">
                  <c:v>47603</c:v>
                </c:pt>
                <c:pt idx="172">
                  <c:v>47634</c:v>
                </c:pt>
                <c:pt idx="173">
                  <c:v>47664</c:v>
                </c:pt>
                <c:pt idx="174">
                  <c:v>47695</c:v>
                </c:pt>
                <c:pt idx="175">
                  <c:v>47726</c:v>
                </c:pt>
                <c:pt idx="176">
                  <c:v>47756</c:v>
                </c:pt>
                <c:pt idx="177">
                  <c:v>47787</c:v>
                </c:pt>
                <c:pt idx="178">
                  <c:v>47817</c:v>
                </c:pt>
                <c:pt idx="179">
                  <c:v>47848</c:v>
                </c:pt>
                <c:pt idx="180">
                  <c:v>47879</c:v>
                </c:pt>
                <c:pt idx="181">
                  <c:v>47907</c:v>
                </c:pt>
                <c:pt idx="182">
                  <c:v>47938</c:v>
                </c:pt>
                <c:pt idx="183">
                  <c:v>47968</c:v>
                </c:pt>
                <c:pt idx="184">
                  <c:v>47999</c:v>
                </c:pt>
                <c:pt idx="185">
                  <c:v>48029</c:v>
                </c:pt>
                <c:pt idx="186">
                  <c:v>48060</c:v>
                </c:pt>
                <c:pt idx="187">
                  <c:v>48091</c:v>
                </c:pt>
                <c:pt idx="188">
                  <c:v>48121</c:v>
                </c:pt>
                <c:pt idx="189">
                  <c:v>48152</c:v>
                </c:pt>
                <c:pt idx="190">
                  <c:v>48182</c:v>
                </c:pt>
                <c:pt idx="191">
                  <c:v>48213</c:v>
                </c:pt>
              </c:numCache>
            </c:numRef>
          </c:cat>
          <c:val>
            <c:numRef>
              <c:f>'VRZ GS 3,000-4,999 Normalized'!$D$2:$D$97</c:f>
              <c:numCache>
                <c:formatCode>_-* #,##0_-;\-* #,##0_-;_-* "-"??_-;_-@_-</c:formatCode>
                <c:ptCount val="96"/>
                <c:pt idx="0">
                  <c:v>6829428.2044891594</c:v>
                </c:pt>
                <c:pt idx="1">
                  <c:v>6211239.2463130364</c:v>
                </c:pt>
                <c:pt idx="2">
                  <c:v>6325936.2363030585</c:v>
                </c:pt>
                <c:pt idx="3">
                  <c:v>6487170.9253944736</c:v>
                </c:pt>
                <c:pt idx="4">
                  <c:v>5710450.4966641441</c:v>
                </c:pt>
                <c:pt idx="5">
                  <c:v>6354773.8654192556</c:v>
                </c:pt>
                <c:pt idx="6">
                  <c:v>6268114.5506925518</c:v>
                </c:pt>
                <c:pt idx="7">
                  <c:v>7327987.5983785894</c:v>
                </c:pt>
                <c:pt idx="8">
                  <c:v>6813308.6868683603</c:v>
                </c:pt>
                <c:pt idx="9">
                  <c:v>6578748.5419900892</c:v>
                </c:pt>
                <c:pt idx="10">
                  <c:v>7206991.8893405944</c:v>
                </c:pt>
                <c:pt idx="11">
                  <c:v>6750619.4589904584</c:v>
                </c:pt>
                <c:pt idx="12">
                  <c:v>7047740.8089479189</c:v>
                </c:pt>
                <c:pt idx="13">
                  <c:v>6769431.5207739519</c:v>
                </c:pt>
                <c:pt idx="14">
                  <c:v>8113433.1489484748</c:v>
                </c:pt>
                <c:pt idx="15">
                  <c:v>7348657.3850137768</c:v>
                </c:pt>
                <c:pt idx="16">
                  <c:v>7426695.7674017288</c:v>
                </c:pt>
                <c:pt idx="17">
                  <c:v>7317704.1833428452</c:v>
                </c:pt>
                <c:pt idx="18">
                  <c:v>6914141.1638255948</c:v>
                </c:pt>
                <c:pt idx="19">
                  <c:v>7671170.5890613236</c:v>
                </c:pt>
                <c:pt idx="20">
                  <c:v>7255986.4310504943</c:v>
                </c:pt>
                <c:pt idx="21">
                  <c:v>7777872.6671929294</c:v>
                </c:pt>
                <c:pt idx="22">
                  <c:v>7918329.3167720577</c:v>
                </c:pt>
                <c:pt idx="23">
                  <c:v>7111379.5970349759</c:v>
                </c:pt>
                <c:pt idx="24">
                  <c:v>7471425.6848545587</c:v>
                </c:pt>
                <c:pt idx="25">
                  <c:v>6999611.2214055425</c:v>
                </c:pt>
                <c:pt idx="26">
                  <c:v>7240342.3343381844</c:v>
                </c:pt>
                <c:pt idx="27">
                  <c:v>7058027.6587714627</c:v>
                </c:pt>
                <c:pt idx="28">
                  <c:v>6910567.7982766684</c:v>
                </c:pt>
                <c:pt idx="29">
                  <c:v>7022043.4636409506</c:v>
                </c:pt>
                <c:pt idx="30">
                  <c:v>6253376.2002382157</c:v>
                </c:pt>
                <c:pt idx="31">
                  <c:v>6443270.6823713668</c:v>
                </c:pt>
                <c:pt idx="32">
                  <c:v>5965220.0162149593</c:v>
                </c:pt>
                <c:pt idx="33">
                  <c:v>6699044.3645211207</c:v>
                </c:pt>
                <c:pt idx="34">
                  <c:v>7489442.5490724137</c:v>
                </c:pt>
                <c:pt idx="35">
                  <c:v>7293651.3414373519</c:v>
                </c:pt>
                <c:pt idx="36">
                  <c:v>7676817.8204247477</c:v>
                </c:pt>
                <c:pt idx="37">
                  <c:v>7639082.1224722965</c:v>
                </c:pt>
                <c:pt idx="38">
                  <c:v>8304092.2207325809</c:v>
                </c:pt>
                <c:pt idx="39">
                  <c:v>7864643.9037049636</c:v>
                </c:pt>
                <c:pt idx="40">
                  <c:v>8549530.6362357549</c:v>
                </c:pt>
                <c:pt idx="41">
                  <c:v>7934698.0776253538</c:v>
                </c:pt>
                <c:pt idx="42">
                  <c:v>7499230.9496138953</c:v>
                </c:pt>
                <c:pt idx="43">
                  <c:v>7456219.8457452906</c:v>
                </c:pt>
                <c:pt idx="44">
                  <c:v>7219206.1482556416</c:v>
                </c:pt>
                <c:pt idx="45">
                  <c:v>7638210.8567978488</c:v>
                </c:pt>
                <c:pt idx="46">
                  <c:v>7592392.9632343063</c:v>
                </c:pt>
                <c:pt idx="47">
                  <c:v>7075141.2986036194</c:v>
                </c:pt>
                <c:pt idx="48">
                  <c:v>7596592.6077267649</c:v>
                </c:pt>
                <c:pt idx="49">
                  <c:v>7748600.9521910278</c:v>
                </c:pt>
                <c:pt idx="50">
                  <c:v>8017638.7231661472</c:v>
                </c:pt>
                <c:pt idx="51">
                  <c:v>6836753.8399702618</c:v>
                </c:pt>
                <c:pt idx="52">
                  <c:v>7002828.4808593774</c:v>
                </c:pt>
                <c:pt idx="53">
                  <c:v>7389887.1454285411</c:v>
                </c:pt>
                <c:pt idx="54">
                  <c:v>7694004.3930514287</c:v>
                </c:pt>
                <c:pt idx="55">
                  <c:v>7442739.7131028725</c:v>
                </c:pt>
                <c:pt idx="56">
                  <c:v>7353874.5857787905</c:v>
                </c:pt>
                <c:pt idx="57">
                  <c:v>7594045.0170956114</c:v>
                </c:pt>
                <c:pt idx="58">
                  <c:v>7315833.2701564273</c:v>
                </c:pt>
                <c:pt idx="59">
                  <c:v>6947730.7541941404</c:v>
                </c:pt>
                <c:pt idx="60">
                  <c:v>7311941.7225813912</c:v>
                </c:pt>
                <c:pt idx="61">
                  <c:v>7711149.2788526928</c:v>
                </c:pt>
                <c:pt idx="62">
                  <c:v>8508524.2634860594</c:v>
                </c:pt>
                <c:pt idx="63">
                  <c:v>7846268.8053719243</c:v>
                </c:pt>
                <c:pt idx="64">
                  <c:v>8442233.3229606692</c:v>
                </c:pt>
                <c:pt idx="65">
                  <c:v>8305622.2013037819</c:v>
                </c:pt>
                <c:pt idx="66">
                  <c:v>7781154.4904996082</c:v>
                </c:pt>
                <c:pt idx="67">
                  <c:v>8155849.2618582631</c:v>
                </c:pt>
                <c:pt idx="68">
                  <c:v>8283106.6754321996</c:v>
                </c:pt>
                <c:pt idx="69">
                  <c:v>8050729.6063805036</c:v>
                </c:pt>
                <c:pt idx="70">
                  <c:v>8807569.4662500918</c:v>
                </c:pt>
                <c:pt idx="71">
                  <c:v>8319053.826486066</c:v>
                </c:pt>
                <c:pt idx="72">
                  <c:v>8222653.7198879085</c:v>
                </c:pt>
                <c:pt idx="73">
                  <c:v>8575796.2784495633</c:v>
                </c:pt>
                <c:pt idx="74">
                  <c:v>9725758.3248433731</c:v>
                </c:pt>
                <c:pt idx="75">
                  <c:v>9164713.8534385804</c:v>
                </c:pt>
                <c:pt idx="76">
                  <c:v>9417736.0641271975</c:v>
                </c:pt>
                <c:pt idx="77">
                  <c:v>9541247.7460642233</c:v>
                </c:pt>
                <c:pt idx="78">
                  <c:v>9222913.4543809798</c:v>
                </c:pt>
                <c:pt idx="79">
                  <c:v>9449912.4574642107</c:v>
                </c:pt>
                <c:pt idx="80">
                  <c:v>8795455.3689125944</c:v>
                </c:pt>
                <c:pt idx="81">
                  <c:v>8660567.4114497211</c:v>
                </c:pt>
                <c:pt idx="82">
                  <c:v>8725187.6976522412</c:v>
                </c:pt>
                <c:pt idx="83">
                  <c:v>8689551.6588904355</c:v>
                </c:pt>
                <c:pt idx="84">
                  <c:v>9730572.4603564199</c:v>
                </c:pt>
                <c:pt idx="85">
                  <c:v>8937520.6493412629</c:v>
                </c:pt>
                <c:pt idx="86">
                  <c:v>9847564.3202189635</c:v>
                </c:pt>
                <c:pt idx="87">
                  <c:v>8825224.5497761406</c:v>
                </c:pt>
                <c:pt idx="88">
                  <c:v>9305620.1142864563</c:v>
                </c:pt>
                <c:pt idx="89">
                  <c:v>9581822.6902511287</c:v>
                </c:pt>
                <c:pt idx="90">
                  <c:v>9483398.6319452897</c:v>
                </c:pt>
                <c:pt idx="91">
                  <c:v>9688849.4627597444</c:v>
                </c:pt>
                <c:pt idx="92">
                  <c:v>7708668.5781204598</c:v>
                </c:pt>
                <c:pt idx="93">
                  <c:v>8898189.889863601</c:v>
                </c:pt>
                <c:pt idx="94">
                  <c:v>8735405.0675483551</c:v>
                </c:pt>
                <c:pt idx="95">
                  <c:v>8636032.9684387874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58-48F7-A772-B3D8004ECDBC}"/>
            </c:ext>
          </c:extLst>
        </c:ser>
        <c:ser>
          <c:idx val="1"/>
          <c:order val="1"/>
          <c:tx>
            <c:strRef>
              <c:f>'VRZ GS 3,000-4,999 Normalized'!$K$1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GS 3,000-4,999 Normalized'!$A$2:$A$193</c:f>
              <c:numCache>
                <c:formatCode>mmm\-yy</c:formatCode>
                <c:ptCount val="19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  <c:pt idx="120">
                  <c:v>46053</c:v>
                </c:pt>
                <c:pt idx="121">
                  <c:v>46081</c:v>
                </c:pt>
                <c:pt idx="122">
                  <c:v>46112</c:v>
                </c:pt>
                <c:pt idx="123">
                  <c:v>46142</c:v>
                </c:pt>
                <c:pt idx="124">
                  <c:v>46173</c:v>
                </c:pt>
                <c:pt idx="125">
                  <c:v>46203</c:v>
                </c:pt>
                <c:pt idx="126">
                  <c:v>46234</c:v>
                </c:pt>
                <c:pt idx="127">
                  <c:v>46265</c:v>
                </c:pt>
                <c:pt idx="128">
                  <c:v>46295</c:v>
                </c:pt>
                <c:pt idx="129">
                  <c:v>46326</c:v>
                </c:pt>
                <c:pt idx="130">
                  <c:v>46356</c:v>
                </c:pt>
                <c:pt idx="131">
                  <c:v>46387</c:v>
                </c:pt>
                <c:pt idx="132">
                  <c:v>46418</c:v>
                </c:pt>
                <c:pt idx="133">
                  <c:v>46446</c:v>
                </c:pt>
                <c:pt idx="134">
                  <c:v>46477</c:v>
                </c:pt>
                <c:pt idx="135">
                  <c:v>46507</c:v>
                </c:pt>
                <c:pt idx="136">
                  <c:v>46538</c:v>
                </c:pt>
                <c:pt idx="137">
                  <c:v>46568</c:v>
                </c:pt>
                <c:pt idx="138">
                  <c:v>46599</c:v>
                </c:pt>
                <c:pt idx="139">
                  <c:v>46630</c:v>
                </c:pt>
                <c:pt idx="140">
                  <c:v>46660</c:v>
                </c:pt>
                <c:pt idx="141">
                  <c:v>46691</c:v>
                </c:pt>
                <c:pt idx="142">
                  <c:v>46721</c:v>
                </c:pt>
                <c:pt idx="143">
                  <c:v>46752</c:v>
                </c:pt>
                <c:pt idx="144">
                  <c:v>46783</c:v>
                </c:pt>
                <c:pt idx="145">
                  <c:v>46812</c:v>
                </c:pt>
                <c:pt idx="146">
                  <c:v>46843</c:v>
                </c:pt>
                <c:pt idx="147">
                  <c:v>46873</c:v>
                </c:pt>
                <c:pt idx="148">
                  <c:v>46904</c:v>
                </c:pt>
                <c:pt idx="149">
                  <c:v>46934</c:v>
                </c:pt>
                <c:pt idx="150">
                  <c:v>46965</c:v>
                </c:pt>
                <c:pt idx="151">
                  <c:v>46996</c:v>
                </c:pt>
                <c:pt idx="152">
                  <c:v>47026</c:v>
                </c:pt>
                <c:pt idx="153">
                  <c:v>47057</c:v>
                </c:pt>
                <c:pt idx="154">
                  <c:v>47087</c:v>
                </c:pt>
                <c:pt idx="155">
                  <c:v>47118</c:v>
                </c:pt>
                <c:pt idx="156">
                  <c:v>47149</c:v>
                </c:pt>
                <c:pt idx="157">
                  <c:v>47177</c:v>
                </c:pt>
                <c:pt idx="158">
                  <c:v>47208</c:v>
                </c:pt>
                <c:pt idx="159">
                  <c:v>47238</c:v>
                </c:pt>
                <c:pt idx="160">
                  <c:v>47269</c:v>
                </c:pt>
                <c:pt idx="161">
                  <c:v>47299</c:v>
                </c:pt>
                <c:pt idx="162">
                  <c:v>47330</c:v>
                </c:pt>
                <c:pt idx="163">
                  <c:v>47361</c:v>
                </c:pt>
                <c:pt idx="164">
                  <c:v>47391</c:v>
                </c:pt>
                <c:pt idx="165">
                  <c:v>47422</c:v>
                </c:pt>
                <c:pt idx="166">
                  <c:v>47452</c:v>
                </c:pt>
                <c:pt idx="167">
                  <c:v>47483</c:v>
                </c:pt>
                <c:pt idx="168">
                  <c:v>47514</c:v>
                </c:pt>
                <c:pt idx="169">
                  <c:v>47542</c:v>
                </c:pt>
                <c:pt idx="170">
                  <c:v>47573</c:v>
                </c:pt>
                <c:pt idx="171">
                  <c:v>47603</c:v>
                </c:pt>
                <c:pt idx="172">
                  <c:v>47634</c:v>
                </c:pt>
                <c:pt idx="173">
                  <c:v>47664</c:v>
                </c:pt>
                <c:pt idx="174">
                  <c:v>47695</c:v>
                </c:pt>
                <c:pt idx="175">
                  <c:v>47726</c:v>
                </c:pt>
                <c:pt idx="176">
                  <c:v>47756</c:v>
                </c:pt>
                <c:pt idx="177">
                  <c:v>47787</c:v>
                </c:pt>
                <c:pt idx="178">
                  <c:v>47817</c:v>
                </c:pt>
                <c:pt idx="179">
                  <c:v>47848</c:v>
                </c:pt>
                <c:pt idx="180">
                  <c:v>47879</c:v>
                </c:pt>
                <c:pt idx="181">
                  <c:v>47907</c:v>
                </c:pt>
                <c:pt idx="182">
                  <c:v>47938</c:v>
                </c:pt>
                <c:pt idx="183">
                  <c:v>47968</c:v>
                </c:pt>
                <c:pt idx="184">
                  <c:v>47999</c:v>
                </c:pt>
                <c:pt idx="185">
                  <c:v>48029</c:v>
                </c:pt>
                <c:pt idx="186">
                  <c:v>48060</c:v>
                </c:pt>
                <c:pt idx="187">
                  <c:v>48091</c:v>
                </c:pt>
                <c:pt idx="188">
                  <c:v>48121</c:v>
                </c:pt>
                <c:pt idx="189">
                  <c:v>48152</c:v>
                </c:pt>
                <c:pt idx="190">
                  <c:v>48182</c:v>
                </c:pt>
                <c:pt idx="191">
                  <c:v>48213</c:v>
                </c:pt>
              </c:numCache>
            </c:numRef>
          </c:cat>
          <c:val>
            <c:numRef>
              <c:f>'VRZ GS 3,000-4,999 Normalized'!$K$2:$K$193</c:f>
              <c:numCache>
                <c:formatCode>_-* #,##0_-;\-* #,##0_-;_-* "-"??_-;_-@_-</c:formatCode>
                <c:ptCount val="192"/>
                <c:pt idx="0">
                  <c:v>6954139.7550422605</c:v>
                </c:pt>
                <c:pt idx="1">
                  <c:v>6954139.7550422605</c:v>
                </c:pt>
                <c:pt idx="2">
                  <c:v>7127369.4286079258</c:v>
                </c:pt>
                <c:pt idx="3">
                  <c:v>7098106.9617607761</c:v>
                </c:pt>
                <c:pt idx="4">
                  <c:v>7098106.9617607761</c:v>
                </c:pt>
                <c:pt idx="5">
                  <c:v>7271336.6353264395</c:v>
                </c:pt>
                <c:pt idx="6">
                  <c:v>6982126.9779915474</c:v>
                </c:pt>
                <c:pt idx="7">
                  <c:v>7328586.3251228761</c:v>
                </c:pt>
                <c:pt idx="8">
                  <c:v>7155356.6515572127</c:v>
                </c:pt>
                <c:pt idx="9">
                  <c:v>6967875.3973314594</c:v>
                </c:pt>
                <c:pt idx="10">
                  <c:v>7314334.7444627872</c:v>
                </c:pt>
                <c:pt idx="11">
                  <c:v>6967875.3973314594</c:v>
                </c:pt>
                <c:pt idx="12">
                  <c:v>7425543.8001054497</c:v>
                </c:pt>
                <c:pt idx="13">
                  <c:v>6905854.7794084577</c:v>
                </c:pt>
                <c:pt idx="14">
                  <c:v>7598773.4736711141</c:v>
                </c:pt>
                <c:pt idx="15">
                  <c:v>6983790.6774717588</c:v>
                </c:pt>
                <c:pt idx="16">
                  <c:v>7503479.6981687509</c:v>
                </c:pt>
                <c:pt idx="17">
                  <c:v>7503479.6981687509</c:v>
                </c:pt>
                <c:pt idx="18">
                  <c:v>7160262.0015564188</c:v>
                </c:pt>
                <c:pt idx="19">
                  <c:v>7506721.3486877466</c:v>
                </c:pt>
                <c:pt idx="20">
                  <c:v>7160262.0015564188</c:v>
                </c:pt>
                <c:pt idx="21">
                  <c:v>7396737.9316443503</c:v>
                </c:pt>
                <c:pt idx="22">
                  <c:v>7569967.6052100137</c:v>
                </c:pt>
                <c:pt idx="23">
                  <c:v>7050278.5845130216</c:v>
                </c:pt>
                <c:pt idx="24">
                  <c:v>7649675.2161695836</c:v>
                </c:pt>
                <c:pt idx="25">
                  <c:v>7129986.1954725916</c:v>
                </c:pt>
                <c:pt idx="26">
                  <c:v>7476445.5426039193</c:v>
                </c:pt>
                <c:pt idx="27">
                  <c:v>7529898.7047654968</c:v>
                </c:pt>
                <c:pt idx="28">
                  <c:v>7703128.3783311602</c:v>
                </c:pt>
                <c:pt idx="29">
                  <c:v>7529898.7047654968</c:v>
                </c:pt>
                <c:pt idx="30">
                  <c:v>7620694.1233561058</c:v>
                </c:pt>
                <c:pt idx="31">
                  <c:v>7793923.7969217692</c:v>
                </c:pt>
                <c:pt idx="32">
                  <c:v>7274234.7762247771</c:v>
                </c:pt>
                <c:pt idx="33">
                  <c:v>7846588.4494976448</c:v>
                </c:pt>
                <c:pt idx="34">
                  <c:v>7846588.4494976448</c:v>
                </c:pt>
                <c:pt idx="35">
                  <c:v>7326899.4288006527</c:v>
                </c:pt>
                <c:pt idx="36">
                  <c:v>7854580.6269033365</c:v>
                </c:pt>
                <c:pt idx="37">
                  <c:v>7334891.6062063444</c:v>
                </c:pt>
                <c:pt idx="38">
                  <c:v>7854580.6269033365</c:v>
                </c:pt>
                <c:pt idx="39">
                  <c:v>7739622.7851896491</c:v>
                </c:pt>
                <c:pt idx="40">
                  <c:v>7566393.1116239857</c:v>
                </c:pt>
                <c:pt idx="41">
                  <c:v>7912852.4587553134</c:v>
                </c:pt>
                <c:pt idx="42">
                  <c:v>7951479.693768451</c:v>
                </c:pt>
                <c:pt idx="43">
                  <c:v>7605020.3466371223</c:v>
                </c:pt>
                <c:pt idx="44">
                  <c:v>7778250.0202027876</c:v>
                </c:pt>
                <c:pt idx="45">
                  <c:v>7792530.8049216066</c:v>
                </c:pt>
                <c:pt idx="46">
                  <c:v>7792530.8049216066</c:v>
                </c:pt>
                <c:pt idx="47">
                  <c:v>7792530.8049216066</c:v>
                </c:pt>
                <c:pt idx="48">
                  <c:v>7859477.1740836818</c:v>
                </c:pt>
                <c:pt idx="49">
                  <c:v>7339788.1533866897</c:v>
                </c:pt>
                <c:pt idx="50">
                  <c:v>7859477.1740836818</c:v>
                </c:pt>
                <c:pt idx="51">
                  <c:v>6756244.2502710149</c:v>
                </c:pt>
                <c:pt idx="52">
                  <c:v>6583014.5767053515</c:v>
                </c:pt>
                <c:pt idx="53">
                  <c:v>6929473.9238366792</c:v>
                </c:pt>
                <c:pt idx="54">
                  <c:v>7636046.6554290606</c:v>
                </c:pt>
                <c:pt idx="55">
                  <c:v>7289587.3082977328</c:v>
                </c:pt>
                <c:pt idx="56">
                  <c:v>7462816.9818633962</c:v>
                </c:pt>
                <c:pt idx="57">
                  <c:v>7647960.9795233924</c:v>
                </c:pt>
                <c:pt idx="58">
                  <c:v>7647960.9795233924</c:v>
                </c:pt>
                <c:pt idx="59">
                  <c:v>7647960.9795233924</c:v>
                </c:pt>
                <c:pt idx="60">
                  <c:v>7598176.8622081317</c:v>
                </c:pt>
                <c:pt idx="61">
                  <c:v>7424947.1886424683</c:v>
                </c:pt>
                <c:pt idx="62">
                  <c:v>8117865.8829051238</c:v>
                </c:pt>
                <c:pt idx="63">
                  <c:v>7709016.9316409342</c:v>
                </c:pt>
                <c:pt idx="64">
                  <c:v>7535787.2580752689</c:v>
                </c:pt>
                <c:pt idx="65">
                  <c:v>7882246.6052065976</c:v>
                </c:pt>
                <c:pt idx="66">
                  <c:v>7878604.9006842487</c:v>
                </c:pt>
                <c:pt idx="67">
                  <c:v>7705375.2271185843</c:v>
                </c:pt>
                <c:pt idx="68">
                  <c:v>7705375.2271185843</c:v>
                </c:pt>
                <c:pt idx="69">
                  <c:v>7894159.9974335479</c:v>
                </c:pt>
                <c:pt idx="70">
                  <c:v>8240619.3445648756</c:v>
                </c:pt>
                <c:pt idx="71">
                  <c:v>8067389.6709992122</c:v>
                </c:pt>
                <c:pt idx="72">
                  <c:v>7963733.8000139138</c:v>
                </c:pt>
                <c:pt idx="73">
                  <c:v>7790504.1264482494</c:v>
                </c:pt>
                <c:pt idx="74">
                  <c:v>8483422.8207109049</c:v>
                </c:pt>
                <c:pt idx="75">
                  <c:v>8033911.1531413617</c:v>
                </c:pt>
                <c:pt idx="76">
                  <c:v>8207140.826707026</c:v>
                </c:pt>
                <c:pt idx="77">
                  <c:v>8380370.5002726894</c:v>
                </c:pt>
                <c:pt idx="78">
                  <c:v>8054003.5455473894</c:v>
                </c:pt>
                <c:pt idx="79">
                  <c:v>8400462.8926787172</c:v>
                </c:pt>
                <c:pt idx="80">
                  <c:v>8054003.5455473894</c:v>
                </c:pt>
                <c:pt idx="81">
                  <c:v>8054665.5042119278</c:v>
                </c:pt>
                <c:pt idx="82">
                  <c:v>8401124.8513432555</c:v>
                </c:pt>
                <c:pt idx="83">
                  <c:v>8054665.5042119278</c:v>
                </c:pt>
                <c:pt idx="84">
                  <c:v>8327276.5896347295</c:v>
                </c:pt>
                <c:pt idx="85">
                  <c:v>7980817.2425034009</c:v>
                </c:pt>
                <c:pt idx="86">
                  <c:v>8673735.9367660582</c:v>
                </c:pt>
                <c:pt idx="87">
                  <c:v>8042038.6842870768</c:v>
                </c:pt>
                <c:pt idx="88">
                  <c:v>8561727.7049840689</c:v>
                </c:pt>
                <c:pt idx="89">
                  <c:v>8561727.7049840689</c:v>
                </c:pt>
                <c:pt idx="90">
                  <c:v>8250108.7999172611</c:v>
                </c:pt>
                <c:pt idx="91">
                  <c:v>8596568.1470485888</c:v>
                </c:pt>
                <c:pt idx="92">
                  <c:v>8250108.7999172611</c:v>
                </c:pt>
                <c:pt idx="93">
                  <c:v>8455375.3259093966</c:v>
                </c:pt>
                <c:pt idx="94">
                  <c:v>8628604.99947506</c:v>
                </c:pt>
                <c:pt idx="95">
                  <c:v>8108915.978778068</c:v>
                </c:pt>
                <c:pt idx="96">
                  <c:v>8682603.3040662594</c:v>
                </c:pt>
                <c:pt idx="97">
                  <c:v>8336143.9569349317</c:v>
                </c:pt>
                <c:pt idx="98">
                  <c:v>8336143.9569349317</c:v>
                </c:pt>
                <c:pt idx="99">
                  <c:v>8711135.6694451664</c:v>
                </c:pt>
                <c:pt idx="100">
                  <c:v>8711135.6694451664</c:v>
                </c:pt>
                <c:pt idx="101">
                  <c:v>8364676.3223138386</c:v>
                </c:pt>
                <c:pt idx="102">
                  <c:v>8724238.5571285542</c:v>
                </c:pt>
                <c:pt idx="103">
                  <c:v>8551008.8835628908</c:v>
                </c:pt>
                <c:pt idx="104">
                  <c:v>8377779.2099972265</c:v>
                </c:pt>
                <c:pt idx="105">
                  <c:v>8754630.2475799192</c:v>
                </c:pt>
                <c:pt idx="106">
                  <c:v>8581400.5740142558</c:v>
                </c:pt>
                <c:pt idx="107">
                  <c:v>8408170.9004485905</c:v>
                </c:pt>
                <c:pt idx="108">
                  <c:v>8800100.9670220483</c:v>
                </c:pt>
                <c:pt idx="109">
                  <c:v>8280411.9463250563</c:v>
                </c:pt>
                <c:pt idx="110">
                  <c:v>8626871.2934563849</c:v>
                </c:pt>
                <c:pt idx="111">
                  <c:v>8595545.0731256697</c:v>
                </c:pt>
                <c:pt idx="112">
                  <c:v>8595545.0731256697</c:v>
                </c:pt>
                <c:pt idx="113">
                  <c:v>8595545.0731256697</c:v>
                </c:pt>
                <c:pt idx="114">
                  <c:v>8813554.303410193</c:v>
                </c:pt>
                <c:pt idx="115">
                  <c:v>8640324.6298445296</c:v>
                </c:pt>
                <c:pt idx="116">
                  <c:v>8640324.6298445296</c:v>
                </c:pt>
                <c:pt idx="117">
                  <c:v>8867665.6569127329</c:v>
                </c:pt>
                <c:pt idx="118">
                  <c:v>8521206.3097814061</c:v>
                </c:pt>
                <c:pt idx="119">
                  <c:v>8694435.9833470695</c:v>
                </c:pt>
                <c:pt idx="120">
                  <c:v>8694435.9833470695</c:v>
                </c:pt>
                <c:pt idx="121">
                  <c:v>8347976.6362157408</c:v>
                </c:pt>
                <c:pt idx="122">
                  <c:v>8867665.6569127329</c:v>
                </c:pt>
                <c:pt idx="123">
                  <c:v>8867665.6569127329</c:v>
                </c:pt>
                <c:pt idx="124">
                  <c:v>8521206.3097814061</c:v>
                </c:pt>
                <c:pt idx="125">
                  <c:v>8867665.6569127329</c:v>
                </c:pt>
                <c:pt idx="126">
                  <c:v>8867665.6569127329</c:v>
                </c:pt>
                <c:pt idx="127">
                  <c:v>8521206.3097814061</c:v>
                </c:pt>
                <c:pt idx="128">
                  <c:v>8694435.9833470695</c:v>
                </c:pt>
                <c:pt idx="129">
                  <c:v>8694435.9833470695</c:v>
                </c:pt>
                <c:pt idx="130">
                  <c:v>8694435.9833470695</c:v>
                </c:pt>
                <c:pt idx="131">
                  <c:v>8694435.9833470695</c:v>
                </c:pt>
                <c:pt idx="132">
                  <c:v>8521206.3097814061</c:v>
                </c:pt>
                <c:pt idx="133">
                  <c:v>8347976.6362157408</c:v>
                </c:pt>
                <c:pt idx="134">
                  <c:v>8867665.6569127329</c:v>
                </c:pt>
                <c:pt idx="135">
                  <c:v>8867665.6569127329</c:v>
                </c:pt>
                <c:pt idx="136">
                  <c:v>8521206.3097814061</c:v>
                </c:pt>
                <c:pt idx="137">
                  <c:v>8867665.6569127329</c:v>
                </c:pt>
                <c:pt idx="138">
                  <c:v>8694435.9833470695</c:v>
                </c:pt>
                <c:pt idx="139">
                  <c:v>8694435.9833470695</c:v>
                </c:pt>
                <c:pt idx="140">
                  <c:v>8694435.9833470695</c:v>
                </c:pt>
                <c:pt idx="141">
                  <c:v>8521206.3097814061</c:v>
                </c:pt>
                <c:pt idx="142">
                  <c:v>8867665.6569127329</c:v>
                </c:pt>
                <c:pt idx="143">
                  <c:v>8521206.3097814061</c:v>
                </c:pt>
                <c:pt idx="144">
                  <c:v>8521206.3097814061</c:v>
                </c:pt>
                <c:pt idx="145">
                  <c:v>8694435.9833470695</c:v>
                </c:pt>
                <c:pt idx="146">
                  <c:v>9040895.3304783963</c:v>
                </c:pt>
                <c:pt idx="147">
                  <c:v>8347976.6362157408</c:v>
                </c:pt>
                <c:pt idx="148">
                  <c:v>8867665.6569127329</c:v>
                </c:pt>
                <c:pt idx="149">
                  <c:v>8867665.6569127329</c:v>
                </c:pt>
                <c:pt idx="150">
                  <c:v>8521206.3097814061</c:v>
                </c:pt>
                <c:pt idx="151">
                  <c:v>8867665.6569127329</c:v>
                </c:pt>
                <c:pt idx="152">
                  <c:v>8521206.3097814061</c:v>
                </c:pt>
                <c:pt idx="153">
                  <c:v>8694435.9833470695</c:v>
                </c:pt>
                <c:pt idx="154">
                  <c:v>8867665.6569127329</c:v>
                </c:pt>
                <c:pt idx="155">
                  <c:v>8347976.6362157408</c:v>
                </c:pt>
                <c:pt idx="156">
                  <c:v>9026210.8610492349</c:v>
                </c:pt>
                <c:pt idx="157">
                  <c:v>8506521.8403522428</c:v>
                </c:pt>
                <c:pt idx="158">
                  <c:v>8852981.1874835715</c:v>
                </c:pt>
                <c:pt idx="159">
                  <c:v>8852981.1874835715</c:v>
                </c:pt>
                <c:pt idx="160">
                  <c:v>9026210.8610492349</c:v>
                </c:pt>
                <c:pt idx="161">
                  <c:v>8852981.1874835715</c:v>
                </c:pt>
                <c:pt idx="162">
                  <c:v>8852981.1874835715</c:v>
                </c:pt>
                <c:pt idx="163">
                  <c:v>9026210.8610492349</c:v>
                </c:pt>
                <c:pt idx="164">
                  <c:v>8506521.8403522428</c:v>
                </c:pt>
                <c:pt idx="165">
                  <c:v>9026210.8610492349</c:v>
                </c:pt>
                <c:pt idx="166">
                  <c:v>9026210.8610492349</c:v>
                </c:pt>
                <c:pt idx="167">
                  <c:v>8506521.8403522428</c:v>
                </c:pt>
                <c:pt idx="168">
                  <c:v>9187609.8788601942</c:v>
                </c:pt>
                <c:pt idx="169">
                  <c:v>8667920.8581632022</c:v>
                </c:pt>
                <c:pt idx="170">
                  <c:v>9014380.2052945308</c:v>
                </c:pt>
                <c:pt idx="171">
                  <c:v>9014380.2052945308</c:v>
                </c:pt>
                <c:pt idx="172">
                  <c:v>9187609.8788601942</c:v>
                </c:pt>
                <c:pt idx="173">
                  <c:v>8841150.5317288674</c:v>
                </c:pt>
                <c:pt idx="174">
                  <c:v>9187609.8788601942</c:v>
                </c:pt>
                <c:pt idx="175">
                  <c:v>9014380.2052945308</c:v>
                </c:pt>
                <c:pt idx="176">
                  <c:v>8841150.5317288674</c:v>
                </c:pt>
                <c:pt idx="177">
                  <c:v>9187609.8788601942</c:v>
                </c:pt>
                <c:pt idx="178">
                  <c:v>9014380.2052945308</c:v>
                </c:pt>
                <c:pt idx="179">
                  <c:v>8841150.5317288674</c:v>
                </c:pt>
                <c:pt idx="180">
                  <c:v>9351914.0789917503</c:v>
                </c:pt>
                <c:pt idx="181">
                  <c:v>8832225.0582947582</c:v>
                </c:pt>
                <c:pt idx="182">
                  <c:v>9178684.4054260869</c:v>
                </c:pt>
                <c:pt idx="183">
                  <c:v>9178684.4054260869</c:v>
                </c:pt>
                <c:pt idx="184">
                  <c:v>9178684.4054260869</c:v>
                </c:pt>
                <c:pt idx="185">
                  <c:v>9178684.4054260869</c:v>
                </c:pt>
                <c:pt idx="186">
                  <c:v>9351914.0789917503</c:v>
                </c:pt>
                <c:pt idx="187">
                  <c:v>9005454.7318604216</c:v>
                </c:pt>
                <c:pt idx="188">
                  <c:v>9178684.4054260869</c:v>
                </c:pt>
                <c:pt idx="189">
                  <c:v>9351914.0789917503</c:v>
                </c:pt>
                <c:pt idx="190">
                  <c:v>9005454.7318604216</c:v>
                </c:pt>
                <c:pt idx="191">
                  <c:v>9178684.4054260869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8-48F7-A772-B3D8004EC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Large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A"/>
        </a:p>
      </c:txPr>
    </c:title>
    <c:autoTitleDeleted val="0"/>
    <c:plotArea>
      <c:layout>
        <c:manualLayout>
          <c:layoutTarget val="inner"/>
          <c:xMode val="edge"/>
          <c:yMode val="edge"/>
          <c:x val="0.12716334906354024"/>
          <c:y val="1.8737799477743105E-2"/>
          <c:w val="0.87283665093645979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'VRZ Large Use Normalized'!$D$1</c:f>
              <c:strCache>
                <c:ptCount val="1"/>
                <c:pt idx="0">
                  <c:v>VRZ_LargeUsekWh_No_CDM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Large Use Normalized'!$A$2:$A$193</c:f>
              <c:numCache>
                <c:formatCode>mmm\-yy</c:formatCode>
                <c:ptCount val="19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  <c:pt idx="120">
                  <c:v>46053</c:v>
                </c:pt>
                <c:pt idx="121">
                  <c:v>46081</c:v>
                </c:pt>
                <c:pt idx="122">
                  <c:v>46112</c:v>
                </c:pt>
                <c:pt idx="123">
                  <c:v>46142</c:v>
                </c:pt>
                <c:pt idx="124">
                  <c:v>46173</c:v>
                </c:pt>
                <c:pt idx="125">
                  <c:v>46203</c:v>
                </c:pt>
                <c:pt idx="126">
                  <c:v>46234</c:v>
                </c:pt>
                <c:pt idx="127">
                  <c:v>46265</c:v>
                </c:pt>
                <c:pt idx="128">
                  <c:v>46295</c:v>
                </c:pt>
                <c:pt idx="129">
                  <c:v>46326</c:v>
                </c:pt>
                <c:pt idx="130">
                  <c:v>46356</c:v>
                </c:pt>
                <c:pt idx="131">
                  <c:v>46387</c:v>
                </c:pt>
                <c:pt idx="132">
                  <c:v>46418</c:v>
                </c:pt>
                <c:pt idx="133">
                  <c:v>46446</c:v>
                </c:pt>
                <c:pt idx="134">
                  <c:v>46477</c:v>
                </c:pt>
                <c:pt idx="135">
                  <c:v>46507</c:v>
                </c:pt>
                <c:pt idx="136">
                  <c:v>46538</c:v>
                </c:pt>
                <c:pt idx="137">
                  <c:v>46568</c:v>
                </c:pt>
                <c:pt idx="138">
                  <c:v>46599</c:v>
                </c:pt>
                <c:pt idx="139">
                  <c:v>46630</c:v>
                </c:pt>
                <c:pt idx="140">
                  <c:v>46660</c:v>
                </c:pt>
                <c:pt idx="141">
                  <c:v>46691</c:v>
                </c:pt>
                <c:pt idx="142">
                  <c:v>46721</c:v>
                </c:pt>
                <c:pt idx="143">
                  <c:v>46752</c:v>
                </c:pt>
                <c:pt idx="144">
                  <c:v>46783</c:v>
                </c:pt>
                <c:pt idx="145">
                  <c:v>46812</c:v>
                </c:pt>
                <c:pt idx="146">
                  <c:v>46843</c:v>
                </c:pt>
                <c:pt idx="147">
                  <c:v>46873</c:v>
                </c:pt>
                <c:pt idx="148">
                  <c:v>46904</c:v>
                </c:pt>
                <c:pt idx="149">
                  <c:v>46934</c:v>
                </c:pt>
                <c:pt idx="150">
                  <c:v>46965</c:v>
                </c:pt>
                <c:pt idx="151">
                  <c:v>46996</c:v>
                </c:pt>
                <c:pt idx="152">
                  <c:v>47026</c:v>
                </c:pt>
                <c:pt idx="153">
                  <c:v>47057</c:v>
                </c:pt>
                <c:pt idx="154">
                  <c:v>47087</c:v>
                </c:pt>
                <c:pt idx="155">
                  <c:v>47118</c:v>
                </c:pt>
                <c:pt idx="156">
                  <c:v>47149</c:v>
                </c:pt>
                <c:pt idx="157">
                  <c:v>47177</c:v>
                </c:pt>
                <c:pt idx="158">
                  <c:v>47208</c:v>
                </c:pt>
                <c:pt idx="159">
                  <c:v>47238</c:v>
                </c:pt>
                <c:pt idx="160">
                  <c:v>47269</c:v>
                </c:pt>
                <c:pt idx="161">
                  <c:v>47299</c:v>
                </c:pt>
                <c:pt idx="162">
                  <c:v>47330</c:v>
                </c:pt>
                <c:pt idx="163">
                  <c:v>47361</c:v>
                </c:pt>
                <c:pt idx="164">
                  <c:v>47391</c:v>
                </c:pt>
                <c:pt idx="165">
                  <c:v>47422</c:v>
                </c:pt>
                <c:pt idx="166">
                  <c:v>47452</c:v>
                </c:pt>
                <c:pt idx="167">
                  <c:v>47483</c:v>
                </c:pt>
                <c:pt idx="168">
                  <c:v>47514</c:v>
                </c:pt>
                <c:pt idx="169">
                  <c:v>47542</c:v>
                </c:pt>
                <c:pt idx="170">
                  <c:v>47573</c:v>
                </c:pt>
                <c:pt idx="171">
                  <c:v>47603</c:v>
                </c:pt>
                <c:pt idx="172">
                  <c:v>47634</c:v>
                </c:pt>
                <c:pt idx="173">
                  <c:v>47664</c:v>
                </c:pt>
                <c:pt idx="174">
                  <c:v>47695</c:v>
                </c:pt>
                <c:pt idx="175">
                  <c:v>47726</c:v>
                </c:pt>
                <c:pt idx="176">
                  <c:v>47756</c:v>
                </c:pt>
                <c:pt idx="177">
                  <c:v>47787</c:v>
                </c:pt>
                <c:pt idx="178">
                  <c:v>47817</c:v>
                </c:pt>
                <c:pt idx="179">
                  <c:v>47848</c:v>
                </c:pt>
                <c:pt idx="180">
                  <c:v>47879</c:v>
                </c:pt>
                <c:pt idx="181">
                  <c:v>47907</c:v>
                </c:pt>
                <c:pt idx="182">
                  <c:v>47938</c:v>
                </c:pt>
                <c:pt idx="183">
                  <c:v>47968</c:v>
                </c:pt>
                <c:pt idx="184">
                  <c:v>47999</c:v>
                </c:pt>
                <c:pt idx="185">
                  <c:v>48029</c:v>
                </c:pt>
                <c:pt idx="186">
                  <c:v>48060</c:v>
                </c:pt>
                <c:pt idx="187">
                  <c:v>48091</c:v>
                </c:pt>
                <c:pt idx="188">
                  <c:v>48121</c:v>
                </c:pt>
                <c:pt idx="189">
                  <c:v>48152</c:v>
                </c:pt>
                <c:pt idx="190">
                  <c:v>48182</c:v>
                </c:pt>
                <c:pt idx="191">
                  <c:v>48213</c:v>
                </c:pt>
              </c:numCache>
            </c:numRef>
          </c:cat>
          <c:val>
            <c:numRef>
              <c:f>'VRZ Large Use Normalized'!$D$2:$D$193</c:f>
              <c:numCache>
                <c:formatCode>_-* #,##0_-;\-* #,##0_-;_-* "-"??_-;_-@_-</c:formatCode>
                <c:ptCount val="192"/>
                <c:pt idx="0">
                  <c:v>17864052.490613706</c:v>
                </c:pt>
                <c:pt idx="1">
                  <c:v>18903195.738566063</c:v>
                </c:pt>
                <c:pt idx="2">
                  <c:v>19497740.562806401</c:v>
                </c:pt>
                <c:pt idx="3">
                  <c:v>19439681.389309034</c:v>
                </c:pt>
                <c:pt idx="4">
                  <c:v>18414999.330826461</c:v>
                </c:pt>
                <c:pt idx="5">
                  <c:v>16316229.452765189</c:v>
                </c:pt>
                <c:pt idx="6">
                  <c:v>18134539.214080028</c:v>
                </c:pt>
                <c:pt idx="7">
                  <c:v>19491540.796973322</c:v>
                </c:pt>
                <c:pt idx="8">
                  <c:v>17994099.467884108</c:v>
                </c:pt>
                <c:pt idx="9">
                  <c:v>18123722.930889193</c:v>
                </c:pt>
                <c:pt idx="10">
                  <c:v>18466480.125477254</c:v>
                </c:pt>
                <c:pt idx="11">
                  <c:v>18772356.144670393</c:v>
                </c:pt>
                <c:pt idx="12">
                  <c:v>18867835.198601972</c:v>
                </c:pt>
                <c:pt idx="13">
                  <c:v>17298663.511402015</c:v>
                </c:pt>
                <c:pt idx="14">
                  <c:v>20471192.422566071</c:v>
                </c:pt>
                <c:pt idx="15">
                  <c:v>17581793.730776858</c:v>
                </c:pt>
                <c:pt idx="16">
                  <c:v>21839661.826738212</c:v>
                </c:pt>
                <c:pt idx="17">
                  <c:v>19976393.698196478</c:v>
                </c:pt>
                <c:pt idx="18">
                  <c:v>18586436.138722062</c:v>
                </c:pt>
                <c:pt idx="19">
                  <c:v>18855423.642073181</c:v>
                </c:pt>
                <c:pt idx="20">
                  <c:v>17895401.745719053</c:v>
                </c:pt>
                <c:pt idx="21">
                  <c:v>19118533.461100705</c:v>
                </c:pt>
                <c:pt idx="22">
                  <c:v>21382229.087633248</c:v>
                </c:pt>
                <c:pt idx="23">
                  <c:v>20274762.624763876</c:v>
                </c:pt>
                <c:pt idx="24">
                  <c:v>22549544.756564576</c:v>
                </c:pt>
                <c:pt idx="25">
                  <c:v>20756840.14507037</c:v>
                </c:pt>
                <c:pt idx="26">
                  <c:v>23787063.783911549</c:v>
                </c:pt>
                <c:pt idx="27">
                  <c:v>22899290.21702826</c:v>
                </c:pt>
                <c:pt idx="28">
                  <c:v>22458260.548706152</c:v>
                </c:pt>
                <c:pt idx="29">
                  <c:v>19919954.16441917</c:v>
                </c:pt>
                <c:pt idx="30">
                  <c:v>20896865.447711267</c:v>
                </c:pt>
                <c:pt idx="31">
                  <c:v>21873671.96954979</c:v>
                </c:pt>
                <c:pt idx="32">
                  <c:v>21241416.513205495</c:v>
                </c:pt>
                <c:pt idx="33">
                  <c:v>23752933.684608001</c:v>
                </c:pt>
                <c:pt idx="34">
                  <c:v>22198124.241722956</c:v>
                </c:pt>
                <c:pt idx="35">
                  <c:v>22380991.281551104</c:v>
                </c:pt>
                <c:pt idx="36">
                  <c:v>23102214.374920584</c:v>
                </c:pt>
                <c:pt idx="37">
                  <c:v>21315753.793941069</c:v>
                </c:pt>
                <c:pt idx="38">
                  <c:v>22284080.158749774</c:v>
                </c:pt>
                <c:pt idx="39">
                  <c:v>22534922.417074468</c:v>
                </c:pt>
                <c:pt idx="40">
                  <c:v>23423953.516985402</c:v>
                </c:pt>
                <c:pt idx="41">
                  <c:v>24112197.633311499</c:v>
                </c:pt>
                <c:pt idx="42">
                  <c:v>24159197.130645622</c:v>
                </c:pt>
                <c:pt idx="43">
                  <c:v>20560969.589388464</c:v>
                </c:pt>
                <c:pt idx="44">
                  <c:v>22666422.479033254</c:v>
                </c:pt>
                <c:pt idx="45">
                  <c:v>24902468.71280143</c:v>
                </c:pt>
                <c:pt idx="46">
                  <c:v>23543510.459450614</c:v>
                </c:pt>
                <c:pt idx="47">
                  <c:v>23918338.166187197</c:v>
                </c:pt>
                <c:pt idx="48">
                  <c:v>24698084.943008494</c:v>
                </c:pt>
                <c:pt idx="49">
                  <c:v>22856300.672675312</c:v>
                </c:pt>
                <c:pt idx="50">
                  <c:v>24723944.506790649</c:v>
                </c:pt>
                <c:pt idx="51">
                  <c:v>20883726.349137239</c:v>
                </c:pt>
                <c:pt idx="52">
                  <c:v>22175174.890061915</c:v>
                </c:pt>
                <c:pt idx="53">
                  <c:v>24128951.853554606</c:v>
                </c:pt>
                <c:pt idx="54">
                  <c:v>24825722.509709779</c:v>
                </c:pt>
                <c:pt idx="55">
                  <c:v>22517423.441537522</c:v>
                </c:pt>
                <c:pt idx="56">
                  <c:v>23104655.938898016</c:v>
                </c:pt>
                <c:pt idx="57">
                  <c:v>24111573.215971805</c:v>
                </c:pt>
                <c:pt idx="58">
                  <c:v>23937218.623693932</c:v>
                </c:pt>
                <c:pt idx="59">
                  <c:v>23963891.936554126</c:v>
                </c:pt>
                <c:pt idx="60">
                  <c:v>26189938.431877881</c:v>
                </c:pt>
                <c:pt idx="61">
                  <c:v>24141908.835624848</c:v>
                </c:pt>
                <c:pt idx="62">
                  <c:v>26234461.586210579</c:v>
                </c:pt>
                <c:pt idx="63">
                  <c:v>24262627.358479142</c:v>
                </c:pt>
                <c:pt idx="64">
                  <c:v>27208862.188208409</c:v>
                </c:pt>
                <c:pt idx="65">
                  <c:v>26492589.334294867</c:v>
                </c:pt>
                <c:pt idx="66">
                  <c:v>26773869.976003654</c:v>
                </c:pt>
                <c:pt idx="67">
                  <c:v>23634495.910954766</c:v>
                </c:pt>
                <c:pt idx="68">
                  <c:v>24565533.412133057</c:v>
                </c:pt>
                <c:pt idx="69">
                  <c:v>24983050.912364129</c:v>
                </c:pt>
                <c:pt idx="70">
                  <c:v>24894524.973444503</c:v>
                </c:pt>
                <c:pt idx="71">
                  <c:v>24087532.811756127</c:v>
                </c:pt>
                <c:pt idx="72">
                  <c:v>25714750.850941792</c:v>
                </c:pt>
                <c:pt idx="73">
                  <c:v>24633344.4596388</c:v>
                </c:pt>
                <c:pt idx="74">
                  <c:v>27835611.741129071</c:v>
                </c:pt>
                <c:pt idx="75">
                  <c:v>26219154.21886107</c:v>
                </c:pt>
                <c:pt idx="76">
                  <c:v>27190067.63039704</c:v>
                </c:pt>
                <c:pt idx="77">
                  <c:v>26845969.559002332</c:v>
                </c:pt>
                <c:pt idx="78">
                  <c:v>26578206.888927151</c:v>
                </c:pt>
                <c:pt idx="79">
                  <c:v>20993520.046876647</c:v>
                </c:pt>
                <c:pt idx="80">
                  <c:v>25449598.868150312</c:v>
                </c:pt>
                <c:pt idx="81">
                  <c:v>25929089.388716023</c:v>
                </c:pt>
                <c:pt idx="82">
                  <c:v>25110158.162168786</c:v>
                </c:pt>
                <c:pt idx="83">
                  <c:v>25555432.132288653</c:v>
                </c:pt>
                <c:pt idx="84">
                  <c:v>26662521.527001314</c:v>
                </c:pt>
                <c:pt idx="85">
                  <c:v>24798406.9429878</c:v>
                </c:pt>
                <c:pt idx="86">
                  <c:v>27926512.923752379</c:v>
                </c:pt>
                <c:pt idx="87">
                  <c:v>26103228.316903759</c:v>
                </c:pt>
                <c:pt idx="88">
                  <c:v>25031148.66160468</c:v>
                </c:pt>
                <c:pt idx="89">
                  <c:v>26944484.766983312</c:v>
                </c:pt>
                <c:pt idx="90">
                  <c:v>25371368.634494543</c:v>
                </c:pt>
                <c:pt idx="91">
                  <c:v>27448956.79707963</c:v>
                </c:pt>
                <c:pt idx="92">
                  <c:v>28072962.413866222</c:v>
                </c:pt>
                <c:pt idx="93">
                  <c:v>29837767.631071053</c:v>
                </c:pt>
                <c:pt idx="94">
                  <c:v>28237094.767794933</c:v>
                </c:pt>
                <c:pt idx="95">
                  <c:v>27574553.180735718</c:v>
                </c:pt>
                <c:pt idx="96">
                  <c:v>28487457.895537898</c:v>
                </c:pt>
                <c:pt idx="97">
                  <c:v>28602328.805234969</c:v>
                </c:pt>
                <c:pt idx="98">
                  <c:v>29363092.588848915</c:v>
                </c:pt>
                <c:pt idx="99">
                  <c:v>24355003.501614686</c:v>
                </c:pt>
                <c:pt idx="100">
                  <c:v>29075946.28509783</c:v>
                </c:pt>
                <c:pt idx="101">
                  <c:v>28951172.626360152</c:v>
                </c:pt>
                <c:pt idx="102">
                  <c:v>30087644.082628775</c:v>
                </c:pt>
                <c:pt idx="103">
                  <c:v>29302430.072760686</c:v>
                </c:pt>
                <c:pt idx="104">
                  <c:v>29339226.816615965</c:v>
                </c:pt>
                <c:pt idx="105">
                  <c:v>29094842.562664524</c:v>
                </c:pt>
                <c:pt idx="106">
                  <c:v>28865745.64565761</c:v>
                </c:pt>
                <c:pt idx="107">
                  <c:v>28392937.062120438</c:v>
                </c:pt>
                <c:pt idx="108">
                  <c:v>28350275.697790779</c:v>
                </c:pt>
                <c:pt idx="109">
                  <c:v>27236939.524469193</c:v>
                </c:pt>
                <c:pt idx="110">
                  <c:v>29418694.335992847</c:v>
                </c:pt>
                <c:pt idx="111">
                  <c:v>25520852.259343944</c:v>
                </c:pt>
                <c:pt idx="112">
                  <c:v>29794028.892617255</c:v>
                </c:pt>
                <c:pt idx="113">
                  <c:v>30614865.305405341</c:v>
                </c:pt>
                <c:pt idx="114">
                  <c:v>31727218.177868605</c:v>
                </c:pt>
                <c:pt idx="115">
                  <c:v>30575986.092831805</c:v>
                </c:pt>
                <c:pt idx="116">
                  <c:v>29232613.696968108</c:v>
                </c:pt>
                <c:pt idx="117">
                  <c:v>28773558.578480989</c:v>
                </c:pt>
                <c:pt idx="118">
                  <c:v>28636957.327388141</c:v>
                </c:pt>
                <c:pt idx="119">
                  <c:v>29219345.500602182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F-4AEE-9573-2AEDAB8098CE}"/>
            </c:ext>
          </c:extLst>
        </c:ser>
        <c:ser>
          <c:idx val="1"/>
          <c:order val="1"/>
          <c:tx>
            <c:strRef>
              <c:f>'VRZ Large Use Normalized'!$O$1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Large Use Normalized'!$A$2:$A$193</c:f>
              <c:numCache>
                <c:formatCode>mmm\-yy</c:formatCode>
                <c:ptCount val="19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  <c:pt idx="120">
                  <c:v>46053</c:v>
                </c:pt>
                <c:pt idx="121">
                  <c:v>46081</c:v>
                </c:pt>
                <c:pt idx="122">
                  <c:v>46112</c:v>
                </c:pt>
                <c:pt idx="123">
                  <c:v>46142</c:v>
                </c:pt>
                <c:pt idx="124">
                  <c:v>46173</c:v>
                </c:pt>
                <c:pt idx="125">
                  <c:v>46203</c:v>
                </c:pt>
                <c:pt idx="126">
                  <c:v>46234</c:v>
                </c:pt>
                <c:pt idx="127">
                  <c:v>46265</c:v>
                </c:pt>
                <c:pt idx="128">
                  <c:v>46295</c:v>
                </c:pt>
                <c:pt idx="129">
                  <c:v>46326</c:v>
                </c:pt>
                <c:pt idx="130">
                  <c:v>46356</c:v>
                </c:pt>
                <c:pt idx="131">
                  <c:v>46387</c:v>
                </c:pt>
                <c:pt idx="132">
                  <c:v>46418</c:v>
                </c:pt>
                <c:pt idx="133">
                  <c:v>46446</c:v>
                </c:pt>
                <c:pt idx="134">
                  <c:v>46477</c:v>
                </c:pt>
                <c:pt idx="135">
                  <c:v>46507</c:v>
                </c:pt>
                <c:pt idx="136">
                  <c:v>46538</c:v>
                </c:pt>
                <c:pt idx="137">
                  <c:v>46568</c:v>
                </c:pt>
                <c:pt idx="138">
                  <c:v>46599</c:v>
                </c:pt>
                <c:pt idx="139">
                  <c:v>46630</c:v>
                </c:pt>
                <c:pt idx="140">
                  <c:v>46660</c:v>
                </c:pt>
                <c:pt idx="141">
                  <c:v>46691</c:v>
                </c:pt>
                <c:pt idx="142">
                  <c:v>46721</c:v>
                </c:pt>
                <c:pt idx="143">
                  <c:v>46752</c:v>
                </c:pt>
                <c:pt idx="144">
                  <c:v>46783</c:v>
                </c:pt>
                <c:pt idx="145">
                  <c:v>46812</c:v>
                </c:pt>
                <c:pt idx="146">
                  <c:v>46843</c:v>
                </c:pt>
                <c:pt idx="147">
                  <c:v>46873</c:v>
                </c:pt>
                <c:pt idx="148">
                  <c:v>46904</c:v>
                </c:pt>
                <c:pt idx="149">
                  <c:v>46934</c:v>
                </c:pt>
                <c:pt idx="150">
                  <c:v>46965</c:v>
                </c:pt>
                <c:pt idx="151">
                  <c:v>46996</c:v>
                </c:pt>
                <c:pt idx="152">
                  <c:v>47026</c:v>
                </c:pt>
                <c:pt idx="153">
                  <c:v>47057</c:v>
                </c:pt>
                <c:pt idx="154">
                  <c:v>47087</c:v>
                </c:pt>
                <c:pt idx="155">
                  <c:v>47118</c:v>
                </c:pt>
                <c:pt idx="156">
                  <c:v>47149</c:v>
                </c:pt>
                <c:pt idx="157">
                  <c:v>47177</c:v>
                </c:pt>
                <c:pt idx="158">
                  <c:v>47208</c:v>
                </c:pt>
                <c:pt idx="159">
                  <c:v>47238</c:v>
                </c:pt>
                <c:pt idx="160">
                  <c:v>47269</c:v>
                </c:pt>
                <c:pt idx="161">
                  <c:v>47299</c:v>
                </c:pt>
                <c:pt idx="162">
                  <c:v>47330</c:v>
                </c:pt>
                <c:pt idx="163">
                  <c:v>47361</c:v>
                </c:pt>
                <c:pt idx="164">
                  <c:v>47391</c:v>
                </c:pt>
                <c:pt idx="165">
                  <c:v>47422</c:v>
                </c:pt>
                <c:pt idx="166">
                  <c:v>47452</c:v>
                </c:pt>
                <c:pt idx="167">
                  <c:v>47483</c:v>
                </c:pt>
                <c:pt idx="168">
                  <c:v>47514</c:v>
                </c:pt>
                <c:pt idx="169">
                  <c:v>47542</c:v>
                </c:pt>
                <c:pt idx="170">
                  <c:v>47573</c:v>
                </c:pt>
                <c:pt idx="171">
                  <c:v>47603</c:v>
                </c:pt>
                <c:pt idx="172">
                  <c:v>47634</c:v>
                </c:pt>
                <c:pt idx="173">
                  <c:v>47664</c:v>
                </c:pt>
                <c:pt idx="174">
                  <c:v>47695</c:v>
                </c:pt>
                <c:pt idx="175">
                  <c:v>47726</c:v>
                </c:pt>
                <c:pt idx="176">
                  <c:v>47756</c:v>
                </c:pt>
                <c:pt idx="177">
                  <c:v>47787</c:v>
                </c:pt>
                <c:pt idx="178">
                  <c:v>47817</c:v>
                </c:pt>
                <c:pt idx="179">
                  <c:v>47848</c:v>
                </c:pt>
                <c:pt idx="180">
                  <c:v>47879</c:v>
                </c:pt>
                <c:pt idx="181">
                  <c:v>47907</c:v>
                </c:pt>
                <c:pt idx="182">
                  <c:v>47938</c:v>
                </c:pt>
                <c:pt idx="183">
                  <c:v>47968</c:v>
                </c:pt>
                <c:pt idx="184">
                  <c:v>47999</c:v>
                </c:pt>
                <c:pt idx="185">
                  <c:v>48029</c:v>
                </c:pt>
                <c:pt idx="186">
                  <c:v>48060</c:v>
                </c:pt>
                <c:pt idx="187">
                  <c:v>48091</c:v>
                </c:pt>
                <c:pt idx="188">
                  <c:v>48121</c:v>
                </c:pt>
                <c:pt idx="189">
                  <c:v>48152</c:v>
                </c:pt>
                <c:pt idx="190">
                  <c:v>48182</c:v>
                </c:pt>
                <c:pt idx="191">
                  <c:v>48213</c:v>
                </c:pt>
              </c:numCache>
            </c:numRef>
          </c:cat>
          <c:val>
            <c:numRef>
              <c:f>'VRZ Large Use Normalized'!$O$2:$O$193</c:f>
              <c:numCache>
                <c:formatCode>_-* #,##0_-;\-* #,##0_-;_-* "-"??_-;_-@_-</c:formatCode>
                <c:ptCount val="192"/>
                <c:pt idx="0">
                  <c:v>18570606.43333197</c:v>
                </c:pt>
                <c:pt idx="1">
                  <c:v>18570606.43333197</c:v>
                </c:pt>
                <c:pt idx="2">
                  <c:v>18962478.231524251</c:v>
                </c:pt>
                <c:pt idx="3">
                  <c:v>18775685.325241283</c:v>
                </c:pt>
                <c:pt idx="4">
                  <c:v>18775685.325241283</c:v>
                </c:pt>
                <c:pt idx="5">
                  <c:v>19167557.123433568</c:v>
                </c:pt>
                <c:pt idx="6">
                  <c:v>18749258.996726353</c:v>
                </c:pt>
                <c:pt idx="7">
                  <c:v>19533002.593110919</c:v>
                </c:pt>
                <c:pt idx="8">
                  <c:v>19141130.794918634</c:v>
                </c:pt>
                <c:pt idx="9">
                  <c:v>18658286.004444826</c:v>
                </c:pt>
                <c:pt idx="10">
                  <c:v>19442029.600829393</c:v>
                </c:pt>
                <c:pt idx="11">
                  <c:v>18658286.004444826</c:v>
                </c:pt>
                <c:pt idx="12">
                  <c:v>20151917.212731116</c:v>
                </c:pt>
                <c:pt idx="13">
                  <c:v>18976301.818154264</c:v>
                </c:pt>
                <c:pt idx="14">
                  <c:v>20543789.010923401</c:v>
                </c:pt>
                <c:pt idx="15">
                  <c:v>19473794.834688332</c:v>
                </c:pt>
                <c:pt idx="16">
                  <c:v>20649410.229265183</c:v>
                </c:pt>
                <c:pt idx="17">
                  <c:v>20649410.229265183</c:v>
                </c:pt>
                <c:pt idx="18">
                  <c:v>19886359.26022334</c:v>
                </c:pt>
                <c:pt idx="19">
                  <c:v>20670102.856607907</c:v>
                </c:pt>
                <c:pt idx="20">
                  <c:v>19886359.26022334</c:v>
                </c:pt>
                <c:pt idx="21">
                  <c:v>20681954.781675912</c:v>
                </c:pt>
                <c:pt idx="22">
                  <c:v>21073826.579868197</c:v>
                </c:pt>
                <c:pt idx="23">
                  <c:v>19898211.185291346</c:v>
                </c:pt>
                <c:pt idx="24">
                  <c:v>21582629.080415405</c:v>
                </c:pt>
                <c:pt idx="25">
                  <c:v>20407013.685838554</c:v>
                </c:pt>
                <c:pt idx="26">
                  <c:v>21190757.28222312</c:v>
                </c:pt>
                <c:pt idx="27">
                  <c:v>21531968.143300876</c:v>
                </c:pt>
                <c:pt idx="28">
                  <c:v>21923839.941493161</c:v>
                </c:pt>
                <c:pt idx="29">
                  <c:v>21531968.143300876</c:v>
                </c:pt>
                <c:pt idx="30">
                  <c:v>22111548.128963292</c:v>
                </c:pt>
                <c:pt idx="31">
                  <c:v>22503419.927155577</c:v>
                </c:pt>
                <c:pt idx="32">
                  <c:v>21327804.532578725</c:v>
                </c:pt>
                <c:pt idx="33">
                  <c:v>22839597.446447268</c:v>
                </c:pt>
                <c:pt idx="34">
                  <c:v>22839597.446447268</c:v>
                </c:pt>
                <c:pt idx="35">
                  <c:v>21663982.051870417</c:v>
                </c:pt>
                <c:pt idx="36">
                  <c:v>22890614.4045505</c:v>
                </c:pt>
                <c:pt idx="37">
                  <c:v>21714999.009973649</c:v>
                </c:pt>
                <c:pt idx="38">
                  <c:v>22890614.4045505</c:v>
                </c:pt>
                <c:pt idx="39">
                  <c:v>22870712.778350838</c:v>
                </c:pt>
                <c:pt idx="40">
                  <c:v>22478840.980158556</c:v>
                </c:pt>
                <c:pt idx="41">
                  <c:v>23262584.576543123</c:v>
                </c:pt>
                <c:pt idx="42">
                  <c:v>23509156.184038401</c:v>
                </c:pt>
                <c:pt idx="43">
                  <c:v>22725412.587653834</c:v>
                </c:pt>
                <c:pt idx="44">
                  <c:v>23117284.385846116</c:v>
                </c:pt>
                <c:pt idx="45">
                  <c:v>23208443.798193783</c:v>
                </c:pt>
                <c:pt idx="46">
                  <c:v>23208443.798193783</c:v>
                </c:pt>
                <c:pt idx="47">
                  <c:v>23208443.798193783</c:v>
                </c:pt>
                <c:pt idx="48">
                  <c:v>22921870.835641764</c:v>
                </c:pt>
                <c:pt idx="49">
                  <c:v>21746255.441064913</c:v>
                </c:pt>
                <c:pt idx="50">
                  <c:v>24821508.76416222</c:v>
                </c:pt>
                <c:pt idx="51">
                  <c:v>20392727.88792254</c:v>
                </c:pt>
                <c:pt idx="52">
                  <c:v>20000856.089730255</c:v>
                </c:pt>
                <c:pt idx="53">
                  <c:v>18884961.757594369</c:v>
                </c:pt>
                <c:pt idx="54">
                  <c:v>23395270.97806555</c:v>
                </c:pt>
                <c:pt idx="55">
                  <c:v>22611527.381680984</c:v>
                </c:pt>
                <c:pt idx="56">
                  <c:v>23003399.179873265</c:v>
                </c:pt>
                <c:pt idx="57">
                  <c:v>24185240.259246416</c:v>
                </c:pt>
                <c:pt idx="58">
                  <c:v>24185240.259246416</c:v>
                </c:pt>
                <c:pt idx="59">
                  <c:v>24185240.259246416</c:v>
                </c:pt>
                <c:pt idx="60">
                  <c:v>24581366.080672983</c:v>
                </c:pt>
                <c:pt idx="61">
                  <c:v>24189494.282480698</c:v>
                </c:pt>
                <c:pt idx="62">
                  <c:v>25756981.475249834</c:v>
                </c:pt>
                <c:pt idx="63">
                  <c:v>24574982.477545395</c:v>
                </c:pt>
                <c:pt idx="64">
                  <c:v>24183110.679353114</c:v>
                </c:pt>
                <c:pt idx="65">
                  <c:v>24966854.27573768</c:v>
                </c:pt>
                <c:pt idx="66">
                  <c:v>25657523.801682293</c:v>
                </c:pt>
                <c:pt idx="67">
                  <c:v>25265652.003490012</c:v>
                </c:pt>
                <c:pt idx="68">
                  <c:v>25265652.003490012</c:v>
                </c:pt>
                <c:pt idx="69">
                  <c:v>26470733.451109942</c:v>
                </c:pt>
                <c:pt idx="70">
                  <c:v>27254477.047494508</c:v>
                </c:pt>
                <c:pt idx="71">
                  <c:v>26862605.249302223</c:v>
                </c:pt>
                <c:pt idx="72">
                  <c:v>25965029.224442642</c:v>
                </c:pt>
                <c:pt idx="73">
                  <c:v>25573157.426250357</c:v>
                </c:pt>
                <c:pt idx="74">
                  <c:v>27140644.619019493</c:v>
                </c:pt>
                <c:pt idx="75">
                  <c:v>26412996.643402684</c:v>
                </c:pt>
                <c:pt idx="76">
                  <c:v>26804868.441594966</c:v>
                </c:pt>
                <c:pt idx="77">
                  <c:v>27196740.239787251</c:v>
                </c:pt>
                <c:pt idx="78">
                  <c:v>26541253.648914341</c:v>
                </c:pt>
                <c:pt idx="79">
                  <c:v>27324997.245298907</c:v>
                </c:pt>
                <c:pt idx="80">
                  <c:v>26541253.648914341</c:v>
                </c:pt>
                <c:pt idx="81">
                  <c:v>26545479.170413759</c:v>
                </c:pt>
                <c:pt idx="82">
                  <c:v>27329222.766798325</c:v>
                </c:pt>
                <c:pt idx="83">
                  <c:v>26545479.170413759</c:v>
                </c:pt>
                <c:pt idx="84">
                  <c:v>26621919.489456512</c:v>
                </c:pt>
                <c:pt idx="85">
                  <c:v>25838175.893071946</c:v>
                </c:pt>
                <c:pt idx="86">
                  <c:v>27405663.085841082</c:v>
                </c:pt>
                <c:pt idx="87">
                  <c:v>26228974.491745789</c:v>
                </c:pt>
                <c:pt idx="88">
                  <c:v>27404589.88632264</c:v>
                </c:pt>
                <c:pt idx="89">
                  <c:v>27404589.88632264</c:v>
                </c:pt>
                <c:pt idx="90">
                  <c:v>26843245.42885581</c:v>
                </c:pt>
                <c:pt idx="91">
                  <c:v>27626989.025240377</c:v>
                </c:pt>
                <c:pt idx="92">
                  <c:v>26843245.42885581</c:v>
                </c:pt>
                <c:pt idx="93">
                  <c:v>27439620.03961537</c:v>
                </c:pt>
                <c:pt idx="94">
                  <c:v>27831491.837807655</c:v>
                </c:pt>
                <c:pt idx="95">
                  <c:v>26655876.443230804</c:v>
                </c:pt>
                <c:pt idx="96">
                  <c:v>28176182.540120229</c:v>
                </c:pt>
                <c:pt idx="97">
                  <c:v>27392438.943735663</c:v>
                </c:pt>
                <c:pt idx="98">
                  <c:v>27392438.943735663</c:v>
                </c:pt>
                <c:pt idx="99">
                  <c:v>28358314.94474943</c:v>
                </c:pt>
                <c:pt idx="100">
                  <c:v>28358314.94474943</c:v>
                </c:pt>
                <c:pt idx="101">
                  <c:v>27574571.348364864</c:v>
                </c:pt>
                <c:pt idx="102">
                  <c:v>28441955.414429024</c:v>
                </c:pt>
                <c:pt idx="103">
                  <c:v>28050083.616236739</c:v>
                </c:pt>
                <c:pt idx="104">
                  <c:v>27658211.818044458</c:v>
                </c:pt>
                <c:pt idx="105">
                  <c:v>28635956.563269816</c:v>
                </c:pt>
                <c:pt idx="106">
                  <c:v>28244084.765077531</c:v>
                </c:pt>
                <c:pt idx="107">
                  <c:v>27852212.96688525</c:v>
                </c:pt>
                <c:pt idx="108">
                  <c:v>28926212.606266394</c:v>
                </c:pt>
                <c:pt idx="109">
                  <c:v>27750597.211689543</c:v>
                </c:pt>
                <c:pt idx="110">
                  <c:v>28534340.808074109</c:v>
                </c:pt>
                <c:pt idx="111">
                  <c:v>28334374.217116497</c:v>
                </c:pt>
                <c:pt idx="112">
                  <c:v>28334374.217116497</c:v>
                </c:pt>
                <c:pt idx="113">
                  <c:v>28334374.217116497</c:v>
                </c:pt>
                <c:pt idx="114">
                  <c:v>29012090.116739802</c:v>
                </c:pt>
                <c:pt idx="115">
                  <c:v>28620218.318547517</c:v>
                </c:pt>
                <c:pt idx="116">
                  <c:v>28620218.318547517</c:v>
                </c:pt>
                <c:pt idx="117">
                  <c:v>29357502.451128438</c:v>
                </c:pt>
                <c:pt idx="118">
                  <c:v>28573758.854743872</c:v>
                </c:pt>
                <c:pt idx="119">
                  <c:v>28965630.652936153</c:v>
                </c:pt>
                <c:pt idx="120">
                  <c:v>28965630.652936153</c:v>
                </c:pt>
                <c:pt idx="121">
                  <c:v>28181887.056551587</c:v>
                </c:pt>
                <c:pt idx="122">
                  <c:v>29357502.451128438</c:v>
                </c:pt>
                <c:pt idx="123">
                  <c:v>29357502.451128438</c:v>
                </c:pt>
                <c:pt idx="124">
                  <c:v>28573758.854743872</c:v>
                </c:pt>
                <c:pt idx="125">
                  <c:v>29357502.451128438</c:v>
                </c:pt>
                <c:pt idx="126">
                  <c:v>29357502.451128438</c:v>
                </c:pt>
                <c:pt idx="127">
                  <c:v>28573758.854743872</c:v>
                </c:pt>
                <c:pt idx="128">
                  <c:v>28965630.652936153</c:v>
                </c:pt>
                <c:pt idx="129">
                  <c:v>28965630.652936153</c:v>
                </c:pt>
                <c:pt idx="130">
                  <c:v>28965630.652936153</c:v>
                </c:pt>
                <c:pt idx="131">
                  <c:v>28965630.652936153</c:v>
                </c:pt>
                <c:pt idx="132">
                  <c:v>28573758.854743872</c:v>
                </c:pt>
                <c:pt idx="133">
                  <c:v>28181887.056551587</c:v>
                </c:pt>
                <c:pt idx="134">
                  <c:v>29357502.451128438</c:v>
                </c:pt>
                <c:pt idx="135">
                  <c:v>29357502.451128438</c:v>
                </c:pt>
                <c:pt idx="136">
                  <c:v>28573758.854743872</c:v>
                </c:pt>
                <c:pt idx="137">
                  <c:v>29357502.451128438</c:v>
                </c:pt>
                <c:pt idx="138">
                  <c:v>28965630.652936153</c:v>
                </c:pt>
                <c:pt idx="139">
                  <c:v>28965630.652936153</c:v>
                </c:pt>
                <c:pt idx="140">
                  <c:v>28965630.652936153</c:v>
                </c:pt>
                <c:pt idx="141">
                  <c:v>28573758.854743872</c:v>
                </c:pt>
                <c:pt idx="142">
                  <c:v>29357502.451128438</c:v>
                </c:pt>
                <c:pt idx="143">
                  <c:v>28573758.854743872</c:v>
                </c:pt>
                <c:pt idx="144">
                  <c:v>28573758.854743872</c:v>
                </c:pt>
                <c:pt idx="145">
                  <c:v>28965630.652936153</c:v>
                </c:pt>
                <c:pt idx="146">
                  <c:v>29749374.249320723</c:v>
                </c:pt>
                <c:pt idx="147">
                  <c:v>28181887.056551587</c:v>
                </c:pt>
                <c:pt idx="148">
                  <c:v>29357502.451128438</c:v>
                </c:pt>
                <c:pt idx="149">
                  <c:v>29357502.451128438</c:v>
                </c:pt>
                <c:pt idx="150">
                  <c:v>28573758.854743872</c:v>
                </c:pt>
                <c:pt idx="151">
                  <c:v>29357502.451128438</c:v>
                </c:pt>
                <c:pt idx="152">
                  <c:v>28573758.854743872</c:v>
                </c:pt>
                <c:pt idx="153">
                  <c:v>28965630.652936153</c:v>
                </c:pt>
                <c:pt idx="154">
                  <c:v>29357502.451128438</c:v>
                </c:pt>
                <c:pt idx="155">
                  <c:v>28181887.056551587</c:v>
                </c:pt>
                <c:pt idx="156">
                  <c:v>30369553.814144924</c:v>
                </c:pt>
                <c:pt idx="157">
                  <c:v>29193938.419568073</c:v>
                </c:pt>
                <c:pt idx="158">
                  <c:v>29977682.015952639</c:v>
                </c:pt>
                <c:pt idx="159">
                  <c:v>29977682.015952639</c:v>
                </c:pt>
                <c:pt idx="160">
                  <c:v>30369553.814144924</c:v>
                </c:pt>
                <c:pt idx="161">
                  <c:v>29977682.015952639</c:v>
                </c:pt>
                <c:pt idx="162">
                  <c:v>29977682.015952639</c:v>
                </c:pt>
                <c:pt idx="163">
                  <c:v>30369553.814144924</c:v>
                </c:pt>
                <c:pt idx="164">
                  <c:v>29193938.419568073</c:v>
                </c:pt>
                <c:pt idx="165">
                  <c:v>30369553.814144924</c:v>
                </c:pt>
                <c:pt idx="166">
                  <c:v>30369553.814144924</c:v>
                </c:pt>
                <c:pt idx="167">
                  <c:v>29193938.419568073</c:v>
                </c:pt>
                <c:pt idx="168">
                  <c:v>31399822.101695701</c:v>
                </c:pt>
                <c:pt idx="169">
                  <c:v>30224206.70711885</c:v>
                </c:pt>
                <c:pt idx="170">
                  <c:v>31007950.303503416</c:v>
                </c:pt>
                <c:pt idx="171">
                  <c:v>31007950.303503416</c:v>
                </c:pt>
                <c:pt idx="172">
                  <c:v>31399822.101695701</c:v>
                </c:pt>
                <c:pt idx="173">
                  <c:v>30616078.505311135</c:v>
                </c:pt>
                <c:pt idx="174">
                  <c:v>31399822.101695701</c:v>
                </c:pt>
                <c:pt idx="175">
                  <c:v>31007950.303503416</c:v>
                </c:pt>
                <c:pt idx="176">
                  <c:v>30616078.505311135</c:v>
                </c:pt>
                <c:pt idx="177">
                  <c:v>31399822.101695701</c:v>
                </c:pt>
                <c:pt idx="178">
                  <c:v>31007950.303503416</c:v>
                </c:pt>
                <c:pt idx="179">
                  <c:v>30616078.505311135</c:v>
                </c:pt>
                <c:pt idx="180">
                  <c:v>32448635.218422398</c:v>
                </c:pt>
                <c:pt idx="181">
                  <c:v>31273019.823845547</c:v>
                </c:pt>
                <c:pt idx="182">
                  <c:v>32056763.420230113</c:v>
                </c:pt>
                <c:pt idx="183">
                  <c:v>32056763.420230113</c:v>
                </c:pt>
                <c:pt idx="184">
                  <c:v>32056763.420230113</c:v>
                </c:pt>
                <c:pt idx="185">
                  <c:v>32056763.420230113</c:v>
                </c:pt>
                <c:pt idx="186">
                  <c:v>32448635.218422398</c:v>
                </c:pt>
                <c:pt idx="187">
                  <c:v>31664891.622037832</c:v>
                </c:pt>
                <c:pt idx="188">
                  <c:v>32056763.420230113</c:v>
                </c:pt>
                <c:pt idx="189">
                  <c:v>32448635.218422398</c:v>
                </c:pt>
                <c:pt idx="190">
                  <c:v>31664891.622037832</c:v>
                </c:pt>
                <c:pt idx="191">
                  <c:v>32056763.420230113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F-4AEE-9573-2AEDAB809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'WRZ Residential Normalized'!$D$1</c:f>
              <c:strCache>
                <c:ptCount val="1"/>
                <c:pt idx="0">
                  <c:v>WRZ_ResidentialkWh_No_CDM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'WRZ Residential Normalized'!$A$2:$A$193</c:f>
              <c:numCache>
                <c:formatCode>mmm\-yy</c:formatCode>
                <c:ptCount val="19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  <c:pt idx="120">
                  <c:v>46053</c:v>
                </c:pt>
                <c:pt idx="121">
                  <c:v>46081</c:v>
                </c:pt>
                <c:pt idx="122">
                  <c:v>46112</c:v>
                </c:pt>
                <c:pt idx="123">
                  <c:v>46142</c:v>
                </c:pt>
                <c:pt idx="124">
                  <c:v>46173</c:v>
                </c:pt>
                <c:pt idx="125">
                  <c:v>46203</c:v>
                </c:pt>
                <c:pt idx="126">
                  <c:v>46234</c:v>
                </c:pt>
                <c:pt idx="127">
                  <c:v>46265</c:v>
                </c:pt>
                <c:pt idx="128">
                  <c:v>46295</c:v>
                </c:pt>
                <c:pt idx="129">
                  <c:v>46326</c:v>
                </c:pt>
                <c:pt idx="130">
                  <c:v>46356</c:v>
                </c:pt>
                <c:pt idx="131">
                  <c:v>46387</c:v>
                </c:pt>
                <c:pt idx="132">
                  <c:v>46418</c:v>
                </c:pt>
                <c:pt idx="133">
                  <c:v>46446</c:v>
                </c:pt>
                <c:pt idx="134">
                  <c:v>46477</c:v>
                </c:pt>
                <c:pt idx="135">
                  <c:v>46507</c:v>
                </c:pt>
                <c:pt idx="136">
                  <c:v>46538</c:v>
                </c:pt>
                <c:pt idx="137">
                  <c:v>46568</c:v>
                </c:pt>
                <c:pt idx="138">
                  <c:v>46599</c:v>
                </c:pt>
                <c:pt idx="139">
                  <c:v>46630</c:v>
                </c:pt>
                <c:pt idx="140">
                  <c:v>46660</c:v>
                </c:pt>
                <c:pt idx="141">
                  <c:v>46691</c:v>
                </c:pt>
                <c:pt idx="142">
                  <c:v>46721</c:v>
                </c:pt>
                <c:pt idx="143">
                  <c:v>46752</c:v>
                </c:pt>
                <c:pt idx="144">
                  <c:v>46783</c:v>
                </c:pt>
                <c:pt idx="145">
                  <c:v>46812</c:v>
                </c:pt>
                <c:pt idx="146">
                  <c:v>46843</c:v>
                </c:pt>
                <c:pt idx="147">
                  <c:v>46873</c:v>
                </c:pt>
                <c:pt idx="148">
                  <c:v>46904</c:v>
                </c:pt>
                <c:pt idx="149">
                  <c:v>46934</c:v>
                </c:pt>
                <c:pt idx="150">
                  <c:v>46965</c:v>
                </c:pt>
                <c:pt idx="151">
                  <c:v>46996</c:v>
                </c:pt>
                <c:pt idx="152">
                  <c:v>47026</c:v>
                </c:pt>
                <c:pt idx="153">
                  <c:v>47057</c:v>
                </c:pt>
                <c:pt idx="154">
                  <c:v>47087</c:v>
                </c:pt>
                <c:pt idx="155">
                  <c:v>47118</c:v>
                </c:pt>
                <c:pt idx="156">
                  <c:v>47149</c:v>
                </c:pt>
                <c:pt idx="157">
                  <c:v>47177</c:v>
                </c:pt>
                <c:pt idx="158">
                  <c:v>47208</c:v>
                </c:pt>
                <c:pt idx="159">
                  <c:v>47238</c:v>
                </c:pt>
                <c:pt idx="160">
                  <c:v>47269</c:v>
                </c:pt>
                <c:pt idx="161">
                  <c:v>47299</c:v>
                </c:pt>
                <c:pt idx="162">
                  <c:v>47330</c:v>
                </c:pt>
                <c:pt idx="163">
                  <c:v>47361</c:v>
                </c:pt>
                <c:pt idx="164">
                  <c:v>47391</c:v>
                </c:pt>
                <c:pt idx="165">
                  <c:v>47422</c:v>
                </c:pt>
                <c:pt idx="166">
                  <c:v>47452</c:v>
                </c:pt>
                <c:pt idx="167">
                  <c:v>47483</c:v>
                </c:pt>
                <c:pt idx="168">
                  <c:v>47514</c:v>
                </c:pt>
                <c:pt idx="169">
                  <c:v>47542</c:v>
                </c:pt>
                <c:pt idx="170">
                  <c:v>47573</c:v>
                </c:pt>
                <c:pt idx="171">
                  <c:v>47603</c:v>
                </c:pt>
                <c:pt idx="172">
                  <c:v>47634</c:v>
                </c:pt>
                <c:pt idx="173">
                  <c:v>47664</c:v>
                </c:pt>
                <c:pt idx="174">
                  <c:v>47695</c:v>
                </c:pt>
                <c:pt idx="175">
                  <c:v>47726</c:v>
                </c:pt>
                <c:pt idx="176">
                  <c:v>47756</c:v>
                </c:pt>
                <c:pt idx="177">
                  <c:v>47787</c:v>
                </c:pt>
                <c:pt idx="178">
                  <c:v>47817</c:v>
                </c:pt>
                <c:pt idx="179">
                  <c:v>47848</c:v>
                </c:pt>
                <c:pt idx="180">
                  <c:v>47879</c:v>
                </c:pt>
                <c:pt idx="181">
                  <c:v>47907</c:v>
                </c:pt>
                <c:pt idx="182">
                  <c:v>47938</c:v>
                </c:pt>
                <c:pt idx="183">
                  <c:v>47968</c:v>
                </c:pt>
                <c:pt idx="184">
                  <c:v>47999</c:v>
                </c:pt>
                <c:pt idx="185">
                  <c:v>48029</c:v>
                </c:pt>
                <c:pt idx="186">
                  <c:v>48060</c:v>
                </c:pt>
                <c:pt idx="187">
                  <c:v>48091</c:v>
                </c:pt>
                <c:pt idx="188">
                  <c:v>48121</c:v>
                </c:pt>
                <c:pt idx="189">
                  <c:v>48152</c:v>
                </c:pt>
                <c:pt idx="190">
                  <c:v>48182</c:v>
                </c:pt>
                <c:pt idx="191">
                  <c:v>48213</c:v>
                </c:pt>
              </c:numCache>
            </c:numRef>
          </c:cat>
          <c:val>
            <c:numRef>
              <c:f>'WRZ Residential Normalized'!$D$2:$D$97</c:f>
              <c:numCache>
                <c:formatCode>_-* #,##0_-;\-* #,##0_-;_-* "-"??_-;_-@_-</c:formatCode>
                <c:ptCount val="96"/>
                <c:pt idx="0">
                  <c:v>29960911.944665615</c:v>
                </c:pt>
                <c:pt idx="1">
                  <c:v>26909411.130641416</c:v>
                </c:pt>
                <c:pt idx="2">
                  <c:v>26314086.65198138</c:v>
                </c:pt>
                <c:pt idx="3">
                  <c:v>23886895.211393088</c:v>
                </c:pt>
                <c:pt idx="4">
                  <c:v>26353067.108886197</c:v>
                </c:pt>
                <c:pt idx="5">
                  <c:v>32102680.887218602</c:v>
                </c:pt>
                <c:pt idx="6">
                  <c:v>41813657.982731514</c:v>
                </c:pt>
                <c:pt idx="7">
                  <c:v>44304186.134557702</c:v>
                </c:pt>
                <c:pt idx="8">
                  <c:v>30897555.458088223</c:v>
                </c:pt>
                <c:pt idx="9">
                  <c:v>24772539.484086975</c:v>
                </c:pt>
                <c:pt idx="10">
                  <c:v>24562187.195038669</c:v>
                </c:pt>
                <c:pt idx="11">
                  <c:v>30212610.490226153</c:v>
                </c:pt>
                <c:pt idx="12">
                  <c:v>29209278.175967161</c:v>
                </c:pt>
                <c:pt idx="13">
                  <c:v>25296050.784227852</c:v>
                </c:pt>
                <c:pt idx="14">
                  <c:v>27398839.264766809</c:v>
                </c:pt>
                <c:pt idx="15">
                  <c:v>23562603.660563469</c:v>
                </c:pt>
                <c:pt idx="16">
                  <c:v>24502885.271349702</c:v>
                </c:pt>
                <c:pt idx="17">
                  <c:v>29320511.109340541</c:v>
                </c:pt>
                <c:pt idx="18">
                  <c:v>36406078.266357593</c:v>
                </c:pt>
                <c:pt idx="19">
                  <c:v>33695531.342850439</c:v>
                </c:pt>
                <c:pt idx="20">
                  <c:v>31233762.674260356</c:v>
                </c:pt>
                <c:pt idx="21">
                  <c:v>25389882.474390097</c:v>
                </c:pt>
                <c:pt idx="22">
                  <c:v>26427042.049821343</c:v>
                </c:pt>
                <c:pt idx="23">
                  <c:v>32215739.695158463</c:v>
                </c:pt>
                <c:pt idx="24">
                  <c:v>31275860.7753461</c:v>
                </c:pt>
                <c:pt idx="25">
                  <c:v>26429364.692639478</c:v>
                </c:pt>
                <c:pt idx="26">
                  <c:v>27404396.138697155</c:v>
                </c:pt>
                <c:pt idx="27">
                  <c:v>25874137.348979145</c:v>
                </c:pt>
                <c:pt idx="28">
                  <c:v>26901859.850431498</c:v>
                </c:pt>
                <c:pt idx="29">
                  <c:v>31951168.759527341</c:v>
                </c:pt>
                <c:pt idx="30">
                  <c:v>43487059.509650059</c:v>
                </c:pt>
                <c:pt idx="31">
                  <c:v>42559990.952053435</c:v>
                </c:pt>
                <c:pt idx="32">
                  <c:v>33828727.436575055</c:v>
                </c:pt>
                <c:pt idx="33">
                  <c:v>26322264.040371206</c:v>
                </c:pt>
                <c:pt idx="34">
                  <c:v>27365977.74422475</c:v>
                </c:pt>
                <c:pt idx="35">
                  <c:v>31027183.870988276</c:v>
                </c:pt>
                <c:pt idx="36">
                  <c:v>31579914.736934498</c:v>
                </c:pt>
                <c:pt idx="37">
                  <c:v>27623537.657875959</c:v>
                </c:pt>
                <c:pt idx="38">
                  <c:v>28346668.669596348</c:v>
                </c:pt>
                <c:pt idx="39">
                  <c:v>24905528.717427131</c:v>
                </c:pt>
                <c:pt idx="40">
                  <c:v>24707670.950823154</c:v>
                </c:pt>
                <c:pt idx="41">
                  <c:v>29672644.429283168</c:v>
                </c:pt>
                <c:pt idx="42">
                  <c:v>44473472.383532733</c:v>
                </c:pt>
                <c:pt idx="43">
                  <c:v>37582282.23285567</c:v>
                </c:pt>
                <c:pt idx="44">
                  <c:v>27502801.782867629</c:v>
                </c:pt>
                <c:pt idx="45">
                  <c:v>25307838.950786512</c:v>
                </c:pt>
                <c:pt idx="46">
                  <c:v>27635260.908651348</c:v>
                </c:pt>
                <c:pt idx="47">
                  <c:v>31541363.377651349</c:v>
                </c:pt>
                <c:pt idx="48">
                  <c:v>30225099.865594532</c:v>
                </c:pt>
                <c:pt idx="49">
                  <c:v>28085370.737541087</c:v>
                </c:pt>
                <c:pt idx="50">
                  <c:v>28695730.8053938</c:v>
                </c:pt>
                <c:pt idx="51">
                  <c:v>27587121.222299505</c:v>
                </c:pt>
                <c:pt idx="52">
                  <c:v>30698108.359589659</c:v>
                </c:pt>
                <c:pt idx="53">
                  <c:v>38666018.771530479</c:v>
                </c:pt>
                <c:pt idx="54">
                  <c:v>52884414.346289635</c:v>
                </c:pt>
                <c:pt idx="55">
                  <c:v>43853441.776462704</c:v>
                </c:pt>
                <c:pt idx="56">
                  <c:v>29946855.289398734</c:v>
                </c:pt>
                <c:pt idx="57">
                  <c:v>27564334.790061668</c:v>
                </c:pt>
                <c:pt idx="58">
                  <c:v>28100106.078566764</c:v>
                </c:pt>
                <c:pt idx="59">
                  <c:v>33541571.294209413</c:v>
                </c:pt>
                <c:pt idx="60">
                  <c:v>33060529.53418494</c:v>
                </c:pt>
                <c:pt idx="61">
                  <c:v>30340153.167896137</c:v>
                </c:pt>
                <c:pt idx="62">
                  <c:v>29674127.193667971</c:v>
                </c:pt>
                <c:pt idx="63">
                  <c:v>26890372.122003525</c:v>
                </c:pt>
                <c:pt idx="64">
                  <c:v>30126536.180929851</c:v>
                </c:pt>
                <c:pt idx="65">
                  <c:v>38779277.658758134</c:v>
                </c:pt>
                <c:pt idx="66">
                  <c:v>40741425.086318761</c:v>
                </c:pt>
                <c:pt idx="67">
                  <c:v>48235165.982398331</c:v>
                </c:pt>
                <c:pt idx="68">
                  <c:v>31476609.199991003</c:v>
                </c:pt>
                <c:pt idx="69">
                  <c:v>28074339.642655801</c:v>
                </c:pt>
                <c:pt idx="70">
                  <c:v>28246007.996990778</c:v>
                </c:pt>
                <c:pt idx="71">
                  <c:v>32598413.787024714</c:v>
                </c:pt>
                <c:pt idx="72">
                  <c:v>35475683.829534754</c:v>
                </c:pt>
                <c:pt idx="73">
                  <c:v>30208571.870110713</c:v>
                </c:pt>
                <c:pt idx="74">
                  <c:v>30581481.262140367</c:v>
                </c:pt>
                <c:pt idx="75">
                  <c:v>27060335.304275431</c:v>
                </c:pt>
                <c:pt idx="76">
                  <c:v>29424882.43980021</c:v>
                </c:pt>
                <c:pt idx="77">
                  <c:v>34530277.871671163</c:v>
                </c:pt>
                <c:pt idx="78">
                  <c:v>43594410.740580678</c:v>
                </c:pt>
                <c:pt idx="79">
                  <c:v>44691814.183758497</c:v>
                </c:pt>
                <c:pt idx="80">
                  <c:v>32256765.82815098</c:v>
                </c:pt>
                <c:pt idx="81">
                  <c:v>27267174.522275336</c:v>
                </c:pt>
                <c:pt idx="82">
                  <c:v>28333844.891644187</c:v>
                </c:pt>
                <c:pt idx="83">
                  <c:v>33485861.190255057</c:v>
                </c:pt>
                <c:pt idx="84">
                  <c:v>32425030.693477109</c:v>
                </c:pt>
                <c:pt idx="85">
                  <c:v>29362111.603566822</c:v>
                </c:pt>
                <c:pt idx="86">
                  <c:v>30422452.137694888</c:v>
                </c:pt>
                <c:pt idx="87">
                  <c:v>27186651.748520873</c:v>
                </c:pt>
                <c:pt idx="88">
                  <c:v>28653334.459720019</c:v>
                </c:pt>
                <c:pt idx="89">
                  <c:v>36466432.147397168</c:v>
                </c:pt>
                <c:pt idx="90">
                  <c:v>45286912.264689282</c:v>
                </c:pt>
                <c:pt idx="91">
                  <c:v>39289994.687740542</c:v>
                </c:pt>
                <c:pt idx="92">
                  <c:v>34152262.92373392</c:v>
                </c:pt>
                <c:pt idx="93">
                  <c:v>29617828.682503663</c:v>
                </c:pt>
                <c:pt idx="94">
                  <c:v>29749525.858147036</c:v>
                </c:pt>
                <c:pt idx="95">
                  <c:v>33318299.780423377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AC-44A6-9C26-B0599B27C13B}"/>
            </c:ext>
          </c:extLst>
        </c:ser>
        <c:ser>
          <c:idx val="1"/>
          <c:order val="1"/>
          <c:tx>
            <c:strRef>
              <c:f>'WRZ Residential Normalized'!$U$1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'WRZ Residential Normalized'!$A$2:$A$193</c:f>
              <c:numCache>
                <c:formatCode>mmm\-yy</c:formatCode>
                <c:ptCount val="19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  <c:pt idx="119">
                  <c:v>45992</c:v>
                </c:pt>
                <c:pt idx="120">
                  <c:v>46053</c:v>
                </c:pt>
                <c:pt idx="121">
                  <c:v>46081</c:v>
                </c:pt>
                <c:pt idx="122">
                  <c:v>46112</c:v>
                </c:pt>
                <c:pt idx="123">
                  <c:v>46142</c:v>
                </c:pt>
                <c:pt idx="124">
                  <c:v>46173</c:v>
                </c:pt>
                <c:pt idx="125">
                  <c:v>46203</c:v>
                </c:pt>
                <c:pt idx="126">
                  <c:v>46234</c:v>
                </c:pt>
                <c:pt idx="127">
                  <c:v>46265</c:v>
                </c:pt>
                <c:pt idx="128">
                  <c:v>46295</c:v>
                </c:pt>
                <c:pt idx="129">
                  <c:v>46326</c:v>
                </c:pt>
                <c:pt idx="130">
                  <c:v>46356</c:v>
                </c:pt>
                <c:pt idx="131">
                  <c:v>46387</c:v>
                </c:pt>
                <c:pt idx="132">
                  <c:v>46418</c:v>
                </c:pt>
                <c:pt idx="133">
                  <c:v>46446</c:v>
                </c:pt>
                <c:pt idx="134">
                  <c:v>46477</c:v>
                </c:pt>
                <c:pt idx="135">
                  <c:v>46507</c:v>
                </c:pt>
                <c:pt idx="136">
                  <c:v>46538</c:v>
                </c:pt>
                <c:pt idx="137">
                  <c:v>46568</c:v>
                </c:pt>
                <c:pt idx="138">
                  <c:v>46599</c:v>
                </c:pt>
                <c:pt idx="139">
                  <c:v>46630</c:v>
                </c:pt>
                <c:pt idx="140">
                  <c:v>46660</c:v>
                </c:pt>
                <c:pt idx="141">
                  <c:v>46691</c:v>
                </c:pt>
                <c:pt idx="142">
                  <c:v>46721</c:v>
                </c:pt>
                <c:pt idx="143">
                  <c:v>46752</c:v>
                </c:pt>
                <c:pt idx="144">
                  <c:v>46783</c:v>
                </c:pt>
                <c:pt idx="145">
                  <c:v>46812</c:v>
                </c:pt>
                <c:pt idx="146">
                  <c:v>46843</c:v>
                </c:pt>
                <c:pt idx="147">
                  <c:v>46873</c:v>
                </c:pt>
                <c:pt idx="148">
                  <c:v>46904</c:v>
                </c:pt>
                <c:pt idx="149">
                  <c:v>46934</c:v>
                </c:pt>
                <c:pt idx="150">
                  <c:v>46965</c:v>
                </c:pt>
                <c:pt idx="151">
                  <c:v>46996</c:v>
                </c:pt>
                <c:pt idx="152">
                  <c:v>47026</c:v>
                </c:pt>
                <c:pt idx="153">
                  <c:v>47057</c:v>
                </c:pt>
                <c:pt idx="154">
                  <c:v>47087</c:v>
                </c:pt>
                <c:pt idx="155">
                  <c:v>47118</c:v>
                </c:pt>
                <c:pt idx="156">
                  <c:v>47149</c:v>
                </c:pt>
                <c:pt idx="157">
                  <c:v>47177</c:v>
                </c:pt>
                <c:pt idx="158">
                  <c:v>47208</c:v>
                </c:pt>
                <c:pt idx="159">
                  <c:v>47238</c:v>
                </c:pt>
                <c:pt idx="160">
                  <c:v>47269</c:v>
                </c:pt>
                <c:pt idx="161">
                  <c:v>47299</c:v>
                </c:pt>
                <c:pt idx="162">
                  <c:v>47330</c:v>
                </c:pt>
                <c:pt idx="163">
                  <c:v>47361</c:v>
                </c:pt>
                <c:pt idx="164">
                  <c:v>47391</c:v>
                </c:pt>
                <c:pt idx="165">
                  <c:v>47422</c:v>
                </c:pt>
                <c:pt idx="166">
                  <c:v>47452</c:v>
                </c:pt>
                <c:pt idx="167">
                  <c:v>47483</c:v>
                </c:pt>
                <c:pt idx="168">
                  <c:v>47514</c:v>
                </c:pt>
                <c:pt idx="169">
                  <c:v>47542</c:v>
                </c:pt>
                <c:pt idx="170">
                  <c:v>47573</c:v>
                </c:pt>
                <c:pt idx="171">
                  <c:v>47603</c:v>
                </c:pt>
                <c:pt idx="172">
                  <c:v>47634</c:v>
                </c:pt>
                <c:pt idx="173">
                  <c:v>47664</c:v>
                </c:pt>
                <c:pt idx="174">
                  <c:v>47695</c:v>
                </c:pt>
                <c:pt idx="175">
                  <c:v>47726</c:v>
                </c:pt>
                <c:pt idx="176">
                  <c:v>47756</c:v>
                </c:pt>
                <c:pt idx="177">
                  <c:v>47787</c:v>
                </c:pt>
                <c:pt idx="178">
                  <c:v>47817</c:v>
                </c:pt>
                <c:pt idx="179">
                  <c:v>47848</c:v>
                </c:pt>
                <c:pt idx="180">
                  <c:v>47879</c:v>
                </c:pt>
                <c:pt idx="181">
                  <c:v>47907</c:v>
                </c:pt>
                <c:pt idx="182">
                  <c:v>47938</c:v>
                </c:pt>
                <c:pt idx="183">
                  <c:v>47968</c:v>
                </c:pt>
                <c:pt idx="184">
                  <c:v>47999</c:v>
                </c:pt>
                <c:pt idx="185">
                  <c:v>48029</c:v>
                </c:pt>
                <c:pt idx="186">
                  <c:v>48060</c:v>
                </c:pt>
                <c:pt idx="187">
                  <c:v>48091</c:v>
                </c:pt>
                <c:pt idx="188">
                  <c:v>48121</c:v>
                </c:pt>
                <c:pt idx="189">
                  <c:v>48152</c:v>
                </c:pt>
                <c:pt idx="190">
                  <c:v>48182</c:v>
                </c:pt>
                <c:pt idx="191">
                  <c:v>48213</c:v>
                </c:pt>
              </c:numCache>
            </c:numRef>
          </c:cat>
          <c:val>
            <c:numRef>
              <c:f>'WRZ Residential Normalized'!$U$2:$U$193</c:f>
              <c:numCache>
                <c:formatCode>_-* #,##0_-;\-* #,##0_-;_-* "-"??_-;_-@_-</c:formatCode>
                <c:ptCount val="192"/>
                <c:pt idx="0">
                  <c:v>29168042.624534227</c:v>
                </c:pt>
                <c:pt idx="1">
                  <c:v>26371974.828945529</c:v>
                </c:pt>
                <c:pt idx="2">
                  <c:v>26327916.540465955</c:v>
                </c:pt>
                <c:pt idx="3">
                  <c:v>23186121.908701703</c:v>
                </c:pt>
                <c:pt idx="4">
                  <c:v>25488204.836183306</c:v>
                </c:pt>
                <c:pt idx="5">
                  <c:v>32419449.499588847</c:v>
                </c:pt>
                <c:pt idx="6">
                  <c:v>41792408.607457399</c:v>
                </c:pt>
                <c:pt idx="7">
                  <c:v>39293500.73613219</c:v>
                </c:pt>
                <c:pt idx="8">
                  <c:v>28320857.665618241</c:v>
                </c:pt>
                <c:pt idx="9">
                  <c:v>24155103.300234184</c:v>
                </c:pt>
                <c:pt idx="10">
                  <c:v>24566285.626944218</c:v>
                </c:pt>
                <c:pt idx="11">
                  <c:v>28428197.878355868</c:v>
                </c:pt>
                <c:pt idx="12">
                  <c:v>29736771.230032936</c:v>
                </c:pt>
                <c:pt idx="13">
                  <c:v>26136651.071877498</c:v>
                </c:pt>
                <c:pt idx="14">
                  <c:v>26896645.145964663</c:v>
                </c:pt>
                <c:pt idx="15">
                  <c:v>23754850.514200412</c:v>
                </c:pt>
                <c:pt idx="16">
                  <c:v>26056933.441682015</c:v>
                </c:pt>
                <c:pt idx="17">
                  <c:v>32988178.105087556</c:v>
                </c:pt>
                <c:pt idx="18">
                  <c:v>42361137.212956116</c:v>
                </c:pt>
                <c:pt idx="19">
                  <c:v>39862229.341630898</c:v>
                </c:pt>
                <c:pt idx="20">
                  <c:v>28889586.27111695</c:v>
                </c:pt>
                <c:pt idx="21">
                  <c:v>24723831.905732892</c:v>
                </c:pt>
                <c:pt idx="22">
                  <c:v>25135014.232442927</c:v>
                </c:pt>
                <c:pt idx="23">
                  <c:v>28996926.483854577</c:v>
                </c:pt>
                <c:pt idx="24">
                  <c:v>30305499.835531645</c:v>
                </c:pt>
                <c:pt idx="25">
                  <c:v>26705379.677376207</c:v>
                </c:pt>
                <c:pt idx="26">
                  <c:v>27465373.751463372</c:v>
                </c:pt>
                <c:pt idx="27">
                  <c:v>24323579.119699121</c:v>
                </c:pt>
                <c:pt idx="28">
                  <c:v>26625662.047180723</c:v>
                </c:pt>
                <c:pt idx="29">
                  <c:v>33556906.710586265</c:v>
                </c:pt>
                <c:pt idx="30">
                  <c:v>42929865.818454817</c:v>
                </c:pt>
                <c:pt idx="31">
                  <c:v>40430957.947129607</c:v>
                </c:pt>
                <c:pt idx="32">
                  <c:v>29458314.876615658</c:v>
                </c:pt>
                <c:pt idx="33">
                  <c:v>25292560.511231601</c:v>
                </c:pt>
                <c:pt idx="34">
                  <c:v>25703742.837941632</c:v>
                </c:pt>
                <c:pt idx="35">
                  <c:v>29565655.089353286</c:v>
                </c:pt>
                <c:pt idx="36">
                  <c:v>30874228.44103035</c:v>
                </c:pt>
                <c:pt idx="37">
                  <c:v>27274108.282874912</c:v>
                </c:pt>
                <c:pt idx="38">
                  <c:v>28034102.356962081</c:v>
                </c:pt>
                <c:pt idx="39">
                  <c:v>24892307.725197829</c:v>
                </c:pt>
                <c:pt idx="40">
                  <c:v>27194390.652679432</c:v>
                </c:pt>
                <c:pt idx="41">
                  <c:v>34125635.316084974</c:v>
                </c:pt>
                <c:pt idx="42">
                  <c:v>43498594.423953526</c:v>
                </c:pt>
                <c:pt idx="43">
                  <c:v>40999686.552628316</c:v>
                </c:pt>
                <c:pt idx="44">
                  <c:v>30027043.482114367</c:v>
                </c:pt>
                <c:pt idx="45">
                  <c:v>25861289.11673031</c:v>
                </c:pt>
                <c:pt idx="46">
                  <c:v>26272471.44344034</c:v>
                </c:pt>
                <c:pt idx="47">
                  <c:v>30134383.694851995</c:v>
                </c:pt>
                <c:pt idx="48">
                  <c:v>31442957.046529058</c:v>
                </c:pt>
                <c:pt idx="49">
                  <c:v>28646889.25094036</c:v>
                </c:pt>
                <c:pt idx="50">
                  <c:v>29893443.021896429</c:v>
                </c:pt>
                <c:pt idx="51">
                  <c:v>27548896.17318514</c:v>
                </c:pt>
                <c:pt idx="52">
                  <c:v>29644195.121773068</c:v>
                </c:pt>
                <c:pt idx="53">
                  <c:v>35834946.51683642</c:v>
                </c:pt>
                <c:pt idx="54">
                  <c:v>45954656.474122219</c:v>
                </c:pt>
                <c:pt idx="55">
                  <c:v>42940709.186793551</c:v>
                </c:pt>
                <c:pt idx="56">
                  <c:v>31374205.887252089</c:v>
                </c:pt>
                <c:pt idx="57">
                  <c:v>27284642.219433859</c:v>
                </c:pt>
                <c:pt idx="58">
                  <c:v>27853375.137123283</c:v>
                </c:pt>
                <c:pt idx="59">
                  <c:v>32234322.298459429</c:v>
                </c:pt>
                <c:pt idx="60">
                  <c:v>33710522.766619913</c:v>
                </c:pt>
                <c:pt idx="61">
                  <c:v>30096037.961796992</c:v>
                </c:pt>
                <c:pt idx="62">
                  <c:v>30488349.815226916</c:v>
                </c:pt>
                <c:pt idx="63">
                  <c:v>26954180.735529989</c:v>
                </c:pt>
                <c:pt idx="64">
                  <c:v>29188147.921085358</c:v>
                </c:pt>
                <c:pt idx="65">
                  <c:v>36458778.775545858</c:v>
                </c:pt>
                <c:pt idx="66">
                  <c:v>45875121.906307645</c:v>
                </c:pt>
                <c:pt idx="67">
                  <c:v>43783053.278404616</c:v>
                </c:pt>
                <c:pt idx="68">
                  <c:v>31967597.863471329</c:v>
                </c:pt>
                <c:pt idx="69">
                  <c:v>27779577.691671658</c:v>
                </c:pt>
                <c:pt idx="70">
                  <c:v>28612077.687967718</c:v>
                </c:pt>
                <c:pt idx="71">
                  <c:v>32684671.178046867</c:v>
                </c:pt>
                <c:pt idx="72">
                  <c:v>33634009.646948554</c:v>
                </c:pt>
                <c:pt idx="73">
                  <c:v>29802818.516194958</c:v>
                </c:pt>
                <c:pt idx="74">
                  <c:v>30460563.412849739</c:v>
                </c:pt>
                <c:pt idx="75">
                  <c:v>27090373.866974622</c:v>
                </c:pt>
                <c:pt idx="76">
                  <c:v>29310381.364366654</c:v>
                </c:pt>
                <c:pt idx="77">
                  <c:v>36290910.502674013</c:v>
                </c:pt>
                <c:pt idx="78">
                  <c:v>45893234.30781202</c:v>
                </c:pt>
                <c:pt idx="79">
                  <c:v>43412064.438614219</c:v>
                </c:pt>
                <c:pt idx="80">
                  <c:v>32153284.163525015</c:v>
                </c:pt>
                <c:pt idx="81">
                  <c:v>27967649.544538297</c:v>
                </c:pt>
                <c:pt idx="82">
                  <c:v>28545851.409401625</c:v>
                </c:pt>
                <c:pt idx="83">
                  <c:v>32608806.05035672</c:v>
                </c:pt>
                <c:pt idx="84">
                  <c:v>33149142.863025185</c:v>
                </c:pt>
                <c:pt idx="85">
                  <c:v>29549022.704869747</c:v>
                </c:pt>
                <c:pt idx="86">
                  <c:v>30309016.778956912</c:v>
                </c:pt>
                <c:pt idx="87">
                  <c:v>27167222.147192661</c:v>
                </c:pt>
                <c:pt idx="88">
                  <c:v>29469305.074674264</c:v>
                </c:pt>
                <c:pt idx="89">
                  <c:v>36400549.738079801</c:v>
                </c:pt>
                <c:pt idx="90">
                  <c:v>45773508.845948361</c:v>
                </c:pt>
                <c:pt idx="91">
                  <c:v>43274600.974623144</c:v>
                </c:pt>
                <c:pt idx="92">
                  <c:v>32301957.904109202</c:v>
                </c:pt>
                <c:pt idx="93">
                  <c:v>28136203.538725141</c:v>
                </c:pt>
                <c:pt idx="94">
                  <c:v>28547385.865435176</c:v>
                </c:pt>
                <c:pt idx="95">
                  <c:v>32409298.116846826</c:v>
                </c:pt>
                <c:pt idx="96">
                  <c:v>33717871.46852389</c:v>
                </c:pt>
                <c:pt idx="97">
                  <c:v>30921803.672935195</c:v>
                </c:pt>
                <c:pt idx="98">
                  <c:v>30877745.384455621</c:v>
                </c:pt>
                <c:pt idx="99">
                  <c:v>27735950.75269137</c:v>
                </c:pt>
                <c:pt idx="100">
                  <c:v>30038033.680172972</c:v>
                </c:pt>
                <c:pt idx="101">
                  <c:v>36969278.343578517</c:v>
                </c:pt>
                <c:pt idx="102">
                  <c:v>46342237.45144707</c:v>
                </c:pt>
                <c:pt idx="103">
                  <c:v>43843329.58012186</c:v>
                </c:pt>
                <c:pt idx="104">
                  <c:v>32870686.509607911</c:v>
                </c:pt>
                <c:pt idx="105">
                  <c:v>28704932.14422385</c:v>
                </c:pt>
                <c:pt idx="106">
                  <c:v>29116114.470933884</c:v>
                </c:pt>
                <c:pt idx="107">
                  <c:v>32978026.722345535</c:v>
                </c:pt>
                <c:pt idx="108">
                  <c:v>34286600.074022599</c:v>
                </c:pt>
                <c:pt idx="109">
                  <c:v>30686479.915867165</c:v>
                </c:pt>
                <c:pt idx="110">
                  <c:v>31446473.98995433</c:v>
                </c:pt>
                <c:pt idx="111">
                  <c:v>28304679.358190078</c:v>
                </c:pt>
                <c:pt idx="112">
                  <c:v>30606762.285671681</c:v>
                </c:pt>
                <c:pt idx="113">
                  <c:v>37538006.949077219</c:v>
                </c:pt>
                <c:pt idx="114">
                  <c:v>46910966.056945778</c:v>
                </c:pt>
                <c:pt idx="115">
                  <c:v>44412058.185620561</c:v>
                </c:pt>
                <c:pt idx="116">
                  <c:v>33439415.11510662</c:v>
                </c:pt>
                <c:pt idx="117">
                  <c:v>29273660.749722559</c:v>
                </c:pt>
                <c:pt idx="118">
                  <c:v>29684843.076432593</c:v>
                </c:pt>
                <c:pt idx="119">
                  <c:v>33546755.327844243</c:v>
                </c:pt>
                <c:pt idx="120">
                  <c:v>34855328.679521307</c:v>
                </c:pt>
                <c:pt idx="121">
                  <c:v>31255208.521365874</c:v>
                </c:pt>
                <c:pt idx="122">
                  <c:v>32015202.595453039</c:v>
                </c:pt>
                <c:pt idx="123">
                  <c:v>28873407.963688787</c:v>
                </c:pt>
                <c:pt idx="124">
                  <c:v>31175490.89117039</c:v>
                </c:pt>
                <c:pt idx="125">
                  <c:v>38106735.554575928</c:v>
                </c:pt>
                <c:pt idx="126">
                  <c:v>47479694.662444487</c:v>
                </c:pt>
                <c:pt idx="127">
                  <c:v>44980786.791119277</c:v>
                </c:pt>
                <c:pt idx="128">
                  <c:v>34008143.720605329</c:v>
                </c:pt>
                <c:pt idx="129">
                  <c:v>29842389.355221268</c:v>
                </c:pt>
                <c:pt idx="130">
                  <c:v>30253571.681931302</c:v>
                </c:pt>
                <c:pt idx="131">
                  <c:v>34115483.933342949</c:v>
                </c:pt>
                <c:pt idx="132">
                  <c:v>35424057.285020016</c:v>
                </c:pt>
                <c:pt idx="133">
                  <c:v>32627989.489431322</c:v>
                </c:pt>
                <c:pt idx="134">
                  <c:v>32583931.200951748</c:v>
                </c:pt>
                <c:pt idx="135">
                  <c:v>29442136.569187496</c:v>
                </c:pt>
                <c:pt idx="136">
                  <c:v>31744219.496669099</c:v>
                </c:pt>
                <c:pt idx="137">
                  <c:v>38675464.160074636</c:v>
                </c:pt>
                <c:pt idx="138">
                  <c:v>48048423.267943189</c:v>
                </c:pt>
                <c:pt idx="139">
                  <c:v>45549515.396617979</c:v>
                </c:pt>
                <c:pt idx="140">
                  <c:v>34576872.326104037</c:v>
                </c:pt>
                <c:pt idx="141">
                  <c:v>30411117.960719973</c:v>
                </c:pt>
                <c:pt idx="142">
                  <c:v>30822300.287430011</c:v>
                </c:pt>
                <c:pt idx="143">
                  <c:v>34684212.538841665</c:v>
                </c:pt>
                <c:pt idx="144">
                  <c:v>35992785.890518725</c:v>
                </c:pt>
                <c:pt idx="145">
                  <c:v>32392665.732363291</c:v>
                </c:pt>
                <c:pt idx="146">
                  <c:v>33152659.806450456</c:v>
                </c:pt>
                <c:pt idx="147">
                  <c:v>30010865.174686205</c:v>
                </c:pt>
                <c:pt idx="148">
                  <c:v>32312948.102167808</c:v>
                </c:pt>
                <c:pt idx="149">
                  <c:v>39244192.765573345</c:v>
                </c:pt>
                <c:pt idx="150">
                  <c:v>48617151.873441905</c:v>
                </c:pt>
                <c:pt idx="151">
                  <c:v>46118244.002116695</c:v>
                </c:pt>
                <c:pt idx="152">
                  <c:v>35145600.931602746</c:v>
                </c:pt>
                <c:pt idx="153">
                  <c:v>30979846.566218682</c:v>
                </c:pt>
                <c:pt idx="154">
                  <c:v>31391028.89292872</c:v>
                </c:pt>
                <c:pt idx="155">
                  <c:v>35252941.144340366</c:v>
                </c:pt>
                <c:pt idx="156">
                  <c:v>36561514.496017434</c:v>
                </c:pt>
                <c:pt idx="157">
                  <c:v>32961394.337862</c:v>
                </c:pt>
                <c:pt idx="158">
                  <c:v>33721388.411949165</c:v>
                </c:pt>
                <c:pt idx="159">
                  <c:v>30579593.780184913</c:v>
                </c:pt>
                <c:pt idx="160">
                  <c:v>32881676.707666516</c:v>
                </c:pt>
                <c:pt idx="161">
                  <c:v>39812921.371072054</c:v>
                </c:pt>
                <c:pt idx="162">
                  <c:v>49185880.478940606</c:v>
                </c:pt>
                <c:pt idx="163">
                  <c:v>46686972.607615396</c:v>
                </c:pt>
                <c:pt idx="164">
                  <c:v>35714329.537101448</c:v>
                </c:pt>
                <c:pt idx="165">
                  <c:v>31548575.17171739</c:v>
                </c:pt>
                <c:pt idx="166">
                  <c:v>31959757.498427428</c:v>
                </c:pt>
                <c:pt idx="167">
                  <c:v>35821669.749839082</c:v>
                </c:pt>
                <c:pt idx="168">
                  <c:v>37130243.101516142</c:v>
                </c:pt>
                <c:pt idx="169">
                  <c:v>34334175.305927441</c:v>
                </c:pt>
                <c:pt idx="170">
                  <c:v>34290117.017447874</c:v>
                </c:pt>
                <c:pt idx="171">
                  <c:v>31148322.385683618</c:v>
                </c:pt>
                <c:pt idx="172">
                  <c:v>33450405.313165225</c:v>
                </c:pt>
                <c:pt idx="173">
                  <c:v>40381649.976570763</c:v>
                </c:pt>
                <c:pt idx="174">
                  <c:v>49754609.084439322</c:v>
                </c:pt>
                <c:pt idx="175">
                  <c:v>47255701.213114113</c:v>
                </c:pt>
                <c:pt idx="176">
                  <c:v>36283058.142600164</c:v>
                </c:pt>
                <c:pt idx="177">
                  <c:v>32117303.777216099</c:v>
                </c:pt>
                <c:pt idx="178">
                  <c:v>32528486.103926133</c:v>
                </c:pt>
                <c:pt idx="179">
                  <c:v>36390398.355337784</c:v>
                </c:pt>
                <c:pt idx="180">
                  <c:v>37698971.707014851</c:v>
                </c:pt>
                <c:pt idx="181">
                  <c:v>34098851.548859417</c:v>
                </c:pt>
                <c:pt idx="182">
                  <c:v>34858845.622946583</c:v>
                </c:pt>
                <c:pt idx="183">
                  <c:v>31717050.991182327</c:v>
                </c:pt>
                <c:pt idx="184">
                  <c:v>34019133.918663934</c:v>
                </c:pt>
                <c:pt idx="185">
                  <c:v>40950378.582069471</c:v>
                </c:pt>
                <c:pt idx="186">
                  <c:v>50323337.689938024</c:v>
                </c:pt>
                <c:pt idx="187">
                  <c:v>47824429.818612814</c:v>
                </c:pt>
                <c:pt idx="188">
                  <c:v>36851786.748098865</c:v>
                </c:pt>
                <c:pt idx="189">
                  <c:v>32686032.382714808</c:v>
                </c:pt>
                <c:pt idx="190">
                  <c:v>33097214.709424842</c:v>
                </c:pt>
                <c:pt idx="191">
                  <c:v>36959126.960836492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AC-44A6-9C26-B0599B27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GS &lt;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16334906354024"/>
          <c:y val="1.8737799477743105E-2"/>
          <c:w val="0.87283665093645979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'WRZ GS &lt; 50 Normalized'!$D$1</c:f>
              <c:strCache>
                <c:ptCount val="1"/>
                <c:pt idx="0">
                  <c:v>WRZ_GSlt50kWh_No_CDM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'WRZ GS &lt; 50 Normalized'!$A$2:$A$193</c:f>
              <c:numCache>
                <c:formatCode>mmm\-yy</c:formatCode>
                <c:ptCount val="19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45688</c:v>
                </c:pt>
                <c:pt idx="109">
                  <c:v>45716</c:v>
                </c:pt>
                <c:pt idx="110">
                  <c:v>45747</c:v>
                </c:pt>
                <c:pt idx="111">
                  <c:v>45777</c:v>
                </c:pt>
                <c:pt idx="112">
                  <c:v>45808</c:v>
                </c:pt>
                <c:pt idx="113">
                  <c:v>45838</c:v>
                </c:pt>
                <c:pt idx="114">
                  <c:v>45869</c:v>
                </c:pt>
                <c:pt idx="115">
                  <c:v>45900</c:v>
                </c:pt>
                <c:pt idx="116">
                  <c:v>45930</c:v>
                </c:pt>
                <c:pt idx="117">
                  <c:v>45961</c:v>
                </c:pt>
                <c:pt idx="118">
                  <c:v>45991</c:v>
                </c:pt>
                <c:pt idx="119">
                  <c:v>46022</c:v>
                </c:pt>
                <c:pt idx="120">
                  <c:v>46053</c:v>
                </c:pt>
                <c:pt idx="121">
                  <c:v>46081</c:v>
                </c:pt>
                <c:pt idx="122">
                  <c:v>46112</c:v>
                </c:pt>
                <c:pt idx="123">
                  <c:v>46142</c:v>
                </c:pt>
                <c:pt idx="124">
                  <c:v>46173</c:v>
                </c:pt>
                <c:pt idx="125">
                  <c:v>46203</c:v>
                </c:pt>
                <c:pt idx="126">
                  <c:v>46234</c:v>
                </c:pt>
                <c:pt idx="127">
                  <c:v>46265</c:v>
                </c:pt>
                <c:pt idx="128">
                  <c:v>46295</c:v>
                </c:pt>
                <c:pt idx="129">
                  <c:v>46326</c:v>
                </c:pt>
                <c:pt idx="130">
                  <c:v>46356</c:v>
                </c:pt>
                <c:pt idx="131">
                  <c:v>46387</c:v>
                </c:pt>
                <c:pt idx="132">
                  <c:v>46418</c:v>
                </c:pt>
                <c:pt idx="133">
                  <c:v>46446</c:v>
                </c:pt>
                <c:pt idx="134">
                  <c:v>46477</c:v>
                </c:pt>
                <c:pt idx="135">
                  <c:v>46507</c:v>
                </c:pt>
                <c:pt idx="136">
                  <c:v>46538</c:v>
                </c:pt>
                <c:pt idx="137">
                  <c:v>46568</c:v>
                </c:pt>
                <c:pt idx="138">
                  <c:v>46599</c:v>
                </c:pt>
                <c:pt idx="139">
                  <c:v>46630</c:v>
                </c:pt>
                <c:pt idx="140">
                  <c:v>46660</c:v>
                </c:pt>
                <c:pt idx="141">
                  <c:v>46691</c:v>
                </c:pt>
                <c:pt idx="142">
                  <c:v>46721</c:v>
                </c:pt>
                <c:pt idx="143">
                  <c:v>46752</c:v>
                </c:pt>
                <c:pt idx="144">
                  <c:v>46783</c:v>
                </c:pt>
                <c:pt idx="145">
                  <c:v>46812</c:v>
                </c:pt>
                <c:pt idx="146">
                  <c:v>46843</c:v>
                </c:pt>
                <c:pt idx="147">
                  <c:v>46873</c:v>
                </c:pt>
                <c:pt idx="148">
                  <c:v>46904</c:v>
                </c:pt>
                <c:pt idx="149">
                  <c:v>46934</c:v>
                </c:pt>
                <c:pt idx="150">
                  <c:v>46965</c:v>
                </c:pt>
                <c:pt idx="151">
                  <c:v>46996</c:v>
                </c:pt>
                <c:pt idx="152">
                  <c:v>47026</c:v>
                </c:pt>
                <c:pt idx="153">
                  <c:v>47057</c:v>
                </c:pt>
                <c:pt idx="154">
                  <c:v>47087</c:v>
                </c:pt>
                <c:pt idx="155">
                  <c:v>47118</c:v>
                </c:pt>
                <c:pt idx="156">
                  <c:v>47149</c:v>
                </c:pt>
                <c:pt idx="157">
                  <c:v>47177</c:v>
                </c:pt>
                <c:pt idx="158">
                  <c:v>47208</c:v>
                </c:pt>
                <c:pt idx="159">
                  <c:v>47238</c:v>
                </c:pt>
                <c:pt idx="160">
                  <c:v>47269</c:v>
                </c:pt>
                <c:pt idx="161">
                  <c:v>47299</c:v>
                </c:pt>
                <c:pt idx="162">
                  <c:v>47330</c:v>
                </c:pt>
                <c:pt idx="163">
                  <c:v>47361</c:v>
                </c:pt>
                <c:pt idx="164">
                  <c:v>47391</c:v>
                </c:pt>
                <c:pt idx="165">
                  <c:v>47422</c:v>
                </c:pt>
                <c:pt idx="166">
                  <c:v>47452</c:v>
                </c:pt>
                <c:pt idx="167">
                  <c:v>47483</c:v>
                </c:pt>
                <c:pt idx="168">
                  <c:v>47514</c:v>
                </c:pt>
                <c:pt idx="169">
                  <c:v>47542</c:v>
                </c:pt>
                <c:pt idx="170">
                  <c:v>47573</c:v>
                </c:pt>
                <c:pt idx="171">
                  <c:v>47603</c:v>
                </c:pt>
                <c:pt idx="172">
                  <c:v>47634</c:v>
                </c:pt>
                <c:pt idx="173">
                  <c:v>47664</c:v>
                </c:pt>
                <c:pt idx="174">
                  <c:v>47695</c:v>
                </c:pt>
                <c:pt idx="175">
                  <c:v>47726</c:v>
                </c:pt>
                <c:pt idx="176">
                  <c:v>47756</c:v>
                </c:pt>
                <c:pt idx="177">
                  <c:v>47787</c:v>
                </c:pt>
                <c:pt idx="178">
                  <c:v>47817</c:v>
                </c:pt>
                <c:pt idx="179">
                  <c:v>47848</c:v>
                </c:pt>
                <c:pt idx="180">
                  <c:v>47879</c:v>
                </c:pt>
                <c:pt idx="181">
                  <c:v>47907</c:v>
                </c:pt>
                <c:pt idx="182">
                  <c:v>47938</c:v>
                </c:pt>
                <c:pt idx="183">
                  <c:v>47968</c:v>
                </c:pt>
                <c:pt idx="184">
                  <c:v>47999</c:v>
                </c:pt>
                <c:pt idx="185">
                  <c:v>48029</c:v>
                </c:pt>
                <c:pt idx="186">
                  <c:v>48060</c:v>
                </c:pt>
                <c:pt idx="187">
                  <c:v>48091</c:v>
                </c:pt>
                <c:pt idx="188">
                  <c:v>48121</c:v>
                </c:pt>
                <c:pt idx="189">
                  <c:v>48152</c:v>
                </c:pt>
                <c:pt idx="190">
                  <c:v>48182</c:v>
                </c:pt>
                <c:pt idx="191">
                  <c:v>48213</c:v>
                </c:pt>
              </c:numCache>
            </c:numRef>
          </c:cat>
          <c:val>
            <c:numRef>
              <c:f>'WRZ GS &lt; 50 Normalized'!$D$2:$D$97</c:f>
              <c:numCache>
                <c:formatCode>_-* #,##0_-;\-* #,##0_-;_-* "-"??_-;_-@_-</c:formatCode>
                <c:ptCount val="96"/>
                <c:pt idx="0">
                  <c:v>7678617.2533886498</c:v>
                </c:pt>
                <c:pt idx="1">
                  <c:v>7199584.2390929768</c:v>
                </c:pt>
                <c:pt idx="2">
                  <c:v>7114142.7948183576</c:v>
                </c:pt>
                <c:pt idx="3">
                  <c:v>6627203.0664132619</c:v>
                </c:pt>
                <c:pt idx="4">
                  <c:v>6644336.0235639242</c:v>
                </c:pt>
                <c:pt idx="5">
                  <c:v>7166517.3084073551</c:v>
                </c:pt>
                <c:pt idx="6">
                  <c:v>7916002.5638074912</c:v>
                </c:pt>
                <c:pt idx="7">
                  <c:v>8256899.4190641427</c:v>
                </c:pt>
                <c:pt idx="8">
                  <c:v>7135190.4841065407</c:v>
                </c:pt>
                <c:pt idx="9">
                  <c:v>6584974.0438399557</c:v>
                </c:pt>
                <c:pt idx="10">
                  <c:v>6751282.6928980416</c:v>
                </c:pt>
                <c:pt idx="11">
                  <c:v>7655445.4257709347</c:v>
                </c:pt>
                <c:pt idx="12">
                  <c:v>7796536.0768345082</c:v>
                </c:pt>
                <c:pt idx="13">
                  <c:v>6983444.6585424561</c:v>
                </c:pt>
                <c:pt idx="14">
                  <c:v>7621777.2869406473</c:v>
                </c:pt>
                <c:pt idx="15">
                  <c:v>6333115.861034275</c:v>
                </c:pt>
                <c:pt idx="16">
                  <c:v>6510335.4661686532</c:v>
                </c:pt>
                <c:pt idx="17">
                  <c:v>6775007.1786877653</c:v>
                </c:pt>
                <c:pt idx="18">
                  <c:v>7356953.4872371033</c:v>
                </c:pt>
                <c:pt idx="19">
                  <c:v>7280911.8941889666</c:v>
                </c:pt>
                <c:pt idx="20">
                  <c:v>6946192.6472188877</c:v>
                </c:pt>
                <c:pt idx="21">
                  <c:v>6500242.8103501946</c:v>
                </c:pt>
                <c:pt idx="22">
                  <c:v>6938927.9339846773</c:v>
                </c:pt>
                <c:pt idx="23">
                  <c:v>7860342.0808829637</c:v>
                </c:pt>
                <c:pt idx="24">
                  <c:v>8410168.8579596728</c:v>
                </c:pt>
                <c:pt idx="25">
                  <c:v>7178364.4838007502</c:v>
                </c:pt>
                <c:pt idx="26">
                  <c:v>7529857.5160413282</c:v>
                </c:pt>
                <c:pt idx="27">
                  <c:v>6869833.8112721313</c:v>
                </c:pt>
                <c:pt idx="28">
                  <c:v>6770110.0880697882</c:v>
                </c:pt>
                <c:pt idx="29">
                  <c:v>6985601.5404461809</c:v>
                </c:pt>
                <c:pt idx="30">
                  <c:v>7993952.523872898</c:v>
                </c:pt>
                <c:pt idx="31">
                  <c:v>8077429.5244700667</c:v>
                </c:pt>
                <c:pt idx="32">
                  <c:v>7049345.8021477899</c:v>
                </c:pt>
                <c:pt idx="33">
                  <c:v>6709539.9969768031</c:v>
                </c:pt>
                <c:pt idx="34">
                  <c:v>7255558.8861429505</c:v>
                </c:pt>
                <c:pt idx="35">
                  <c:v>7580312.8758256463</c:v>
                </c:pt>
                <c:pt idx="36">
                  <c:v>8472734.8679011315</c:v>
                </c:pt>
                <c:pt idx="37">
                  <c:v>7548305.1768436972</c:v>
                </c:pt>
                <c:pt idx="38">
                  <c:v>7821830.0137946913</c:v>
                </c:pt>
                <c:pt idx="39">
                  <c:v>6774564.6466993866</c:v>
                </c:pt>
                <c:pt idx="40">
                  <c:v>6550326.6643850282</c:v>
                </c:pt>
                <c:pt idx="41">
                  <c:v>6794550.4962661918</c:v>
                </c:pt>
                <c:pt idx="42">
                  <c:v>8230301.8587098103</c:v>
                </c:pt>
                <c:pt idx="43">
                  <c:v>7664344.0163706075</c:v>
                </c:pt>
                <c:pt idx="44">
                  <c:v>6595097.9264610605</c:v>
                </c:pt>
                <c:pt idx="45">
                  <c:v>6485869.3610397754</c:v>
                </c:pt>
                <c:pt idx="46">
                  <c:v>7171908.378151454</c:v>
                </c:pt>
                <c:pt idx="47">
                  <c:v>7713076.831411995</c:v>
                </c:pt>
                <c:pt idx="48">
                  <c:v>7880857.2352294158</c:v>
                </c:pt>
                <c:pt idx="49">
                  <c:v>7406790.3406031318</c:v>
                </c:pt>
                <c:pt idx="50">
                  <c:v>6792268.7903809408</c:v>
                </c:pt>
                <c:pt idx="51">
                  <c:v>5372684.4175932165</c:v>
                </c:pt>
                <c:pt idx="52">
                  <c:v>5572950.8579296442</c:v>
                </c:pt>
                <c:pt idx="53">
                  <c:v>6381310.3087309944</c:v>
                </c:pt>
                <c:pt idx="54">
                  <c:v>7934932.0956141995</c:v>
                </c:pt>
                <c:pt idx="55">
                  <c:v>7325138.1995243989</c:v>
                </c:pt>
                <c:pt idx="56">
                  <c:v>6248559.4190171296</c:v>
                </c:pt>
                <c:pt idx="57">
                  <c:v>6204866.4437327534</c:v>
                </c:pt>
                <c:pt idx="58">
                  <c:v>6439416.0551902931</c:v>
                </c:pt>
                <c:pt idx="59">
                  <c:v>7178027.5138833318</c:v>
                </c:pt>
                <c:pt idx="60">
                  <c:v>7145716.6275450271</c:v>
                </c:pt>
                <c:pt idx="61">
                  <c:v>6867239.1466897493</c:v>
                </c:pt>
                <c:pt idx="62">
                  <c:v>6970734.1900262069</c:v>
                </c:pt>
                <c:pt idx="63">
                  <c:v>5856711.4300050689</c:v>
                </c:pt>
                <c:pt idx="64">
                  <c:v>5914599.8415833376</c:v>
                </c:pt>
                <c:pt idx="65">
                  <c:v>6685319.1952507589</c:v>
                </c:pt>
                <c:pt idx="66">
                  <c:v>7202300.3597178645</c:v>
                </c:pt>
                <c:pt idx="67">
                  <c:v>8046304.4842098318</c:v>
                </c:pt>
                <c:pt idx="68">
                  <c:v>6575332.4041389627</c:v>
                </c:pt>
                <c:pt idx="69">
                  <c:v>6410393.6362930685</c:v>
                </c:pt>
                <c:pt idx="70">
                  <c:v>6749789.1937102508</c:v>
                </c:pt>
                <c:pt idx="71">
                  <c:v>7321612.7961532604</c:v>
                </c:pt>
                <c:pt idx="72">
                  <c:v>8069275.0656578699</c:v>
                </c:pt>
                <c:pt idx="73">
                  <c:v>7376068.720579314</c:v>
                </c:pt>
                <c:pt idx="74">
                  <c:v>7644236.0910833273</c:v>
                </c:pt>
                <c:pt idx="75">
                  <c:v>6592293.3697755849</c:v>
                </c:pt>
                <c:pt idx="76">
                  <c:v>6530168.109621468</c:v>
                </c:pt>
                <c:pt idx="77">
                  <c:v>7021628.4928765828</c:v>
                </c:pt>
                <c:pt idx="78">
                  <c:v>7808663.3388158185</c:v>
                </c:pt>
                <c:pt idx="79">
                  <c:v>8030056.4697464537</c:v>
                </c:pt>
                <c:pt idx="80">
                  <c:v>6777435.0266384333</c:v>
                </c:pt>
                <c:pt idx="81">
                  <c:v>6462770.2915369282</c:v>
                </c:pt>
                <c:pt idx="82">
                  <c:v>6900158.9461044408</c:v>
                </c:pt>
                <c:pt idx="83">
                  <c:v>7613860.4208652079</c:v>
                </c:pt>
                <c:pt idx="84">
                  <c:v>7728508.0056255767</c:v>
                </c:pt>
                <c:pt idx="85">
                  <c:v>7143689.5804435685</c:v>
                </c:pt>
                <c:pt idx="86">
                  <c:v>7471803.6804959085</c:v>
                </c:pt>
                <c:pt idx="87">
                  <c:v>6432422.5570070287</c:v>
                </c:pt>
                <c:pt idx="88">
                  <c:v>6592308.7806675304</c:v>
                </c:pt>
                <c:pt idx="89">
                  <c:v>6957449.2311981851</c:v>
                </c:pt>
                <c:pt idx="90">
                  <c:v>7513000.1401849054</c:v>
                </c:pt>
                <c:pt idx="91">
                  <c:v>7248982.599420324</c:v>
                </c:pt>
                <c:pt idx="92">
                  <c:v>8534990.1360041276</c:v>
                </c:pt>
                <c:pt idx="93">
                  <c:v>8387381.0514955521</c:v>
                </c:pt>
                <c:pt idx="94">
                  <c:v>6975082.2624527905</c:v>
                </c:pt>
                <c:pt idx="95">
                  <c:v>7297574.1161209811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A9-4A85-9985-DB0D5E2BE344}"/>
            </c:ext>
          </c:extLst>
        </c:ser>
        <c:ser>
          <c:idx val="1"/>
          <c:order val="1"/>
          <c:tx>
            <c:strRef>
              <c:f>'WRZ GS &lt; 50 Normalized'!$S$1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'WRZ GS &lt; 50 Normalized'!$A$2:$A$193</c:f>
              <c:numCache>
                <c:formatCode>mmm\-yy</c:formatCode>
                <c:ptCount val="19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45688</c:v>
                </c:pt>
                <c:pt idx="109">
                  <c:v>45716</c:v>
                </c:pt>
                <c:pt idx="110">
                  <c:v>45747</c:v>
                </c:pt>
                <c:pt idx="111">
                  <c:v>45777</c:v>
                </c:pt>
                <c:pt idx="112">
                  <c:v>45808</c:v>
                </c:pt>
                <c:pt idx="113">
                  <c:v>45838</c:v>
                </c:pt>
                <c:pt idx="114">
                  <c:v>45869</c:v>
                </c:pt>
                <c:pt idx="115">
                  <c:v>45900</c:v>
                </c:pt>
                <c:pt idx="116">
                  <c:v>45930</c:v>
                </c:pt>
                <c:pt idx="117">
                  <c:v>45961</c:v>
                </c:pt>
                <c:pt idx="118">
                  <c:v>45991</c:v>
                </c:pt>
                <c:pt idx="119">
                  <c:v>46022</c:v>
                </c:pt>
                <c:pt idx="120">
                  <c:v>46053</c:v>
                </c:pt>
                <c:pt idx="121">
                  <c:v>46081</c:v>
                </c:pt>
                <c:pt idx="122">
                  <c:v>46112</c:v>
                </c:pt>
                <c:pt idx="123">
                  <c:v>46142</c:v>
                </c:pt>
                <c:pt idx="124">
                  <c:v>46173</c:v>
                </c:pt>
                <c:pt idx="125">
                  <c:v>46203</c:v>
                </c:pt>
                <c:pt idx="126">
                  <c:v>46234</c:v>
                </c:pt>
                <c:pt idx="127">
                  <c:v>46265</c:v>
                </c:pt>
                <c:pt idx="128">
                  <c:v>46295</c:v>
                </c:pt>
                <c:pt idx="129">
                  <c:v>46326</c:v>
                </c:pt>
                <c:pt idx="130">
                  <c:v>46356</c:v>
                </c:pt>
                <c:pt idx="131">
                  <c:v>46387</c:v>
                </c:pt>
                <c:pt idx="132">
                  <c:v>46418</c:v>
                </c:pt>
                <c:pt idx="133">
                  <c:v>46446</c:v>
                </c:pt>
                <c:pt idx="134">
                  <c:v>46477</c:v>
                </c:pt>
                <c:pt idx="135">
                  <c:v>46507</c:v>
                </c:pt>
                <c:pt idx="136">
                  <c:v>46538</c:v>
                </c:pt>
                <c:pt idx="137">
                  <c:v>46568</c:v>
                </c:pt>
                <c:pt idx="138">
                  <c:v>46599</c:v>
                </c:pt>
                <c:pt idx="139">
                  <c:v>46630</c:v>
                </c:pt>
                <c:pt idx="140">
                  <c:v>46660</c:v>
                </c:pt>
                <c:pt idx="141">
                  <c:v>46691</c:v>
                </c:pt>
                <c:pt idx="142">
                  <c:v>46721</c:v>
                </c:pt>
                <c:pt idx="143">
                  <c:v>46752</c:v>
                </c:pt>
                <c:pt idx="144">
                  <c:v>46783</c:v>
                </c:pt>
                <c:pt idx="145">
                  <c:v>46812</c:v>
                </c:pt>
                <c:pt idx="146">
                  <c:v>46843</c:v>
                </c:pt>
                <c:pt idx="147">
                  <c:v>46873</c:v>
                </c:pt>
                <c:pt idx="148">
                  <c:v>46904</c:v>
                </c:pt>
                <c:pt idx="149">
                  <c:v>46934</c:v>
                </c:pt>
                <c:pt idx="150">
                  <c:v>46965</c:v>
                </c:pt>
                <c:pt idx="151">
                  <c:v>46996</c:v>
                </c:pt>
                <c:pt idx="152">
                  <c:v>47026</c:v>
                </c:pt>
                <c:pt idx="153">
                  <c:v>47057</c:v>
                </c:pt>
                <c:pt idx="154">
                  <c:v>47087</c:v>
                </c:pt>
                <c:pt idx="155">
                  <c:v>47118</c:v>
                </c:pt>
                <c:pt idx="156">
                  <c:v>47149</c:v>
                </c:pt>
                <c:pt idx="157">
                  <c:v>47177</c:v>
                </c:pt>
                <c:pt idx="158">
                  <c:v>47208</c:v>
                </c:pt>
                <c:pt idx="159">
                  <c:v>47238</c:v>
                </c:pt>
                <c:pt idx="160">
                  <c:v>47269</c:v>
                </c:pt>
                <c:pt idx="161">
                  <c:v>47299</c:v>
                </c:pt>
                <c:pt idx="162">
                  <c:v>47330</c:v>
                </c:pt>
                <c:pt idx="163">
                  <c:v>47361</c:v>
                </c:pt>
                <c:pt idx="164">
                  <c:v>47391</c:v>
                </c:pt>
                <c:pt idx="165">
                  <c:v>47422</c:v>
                </c:pt>
                <c:pt idx="166">
                  <c:v>47452</c:v>
                </c:pt>
                <c:pt idx="167">
                  <c:v>47483</c:v>
                </c:pt>
                <c:pt idx="168">
                  <c:v>47514</c:v>
                </c:pt>
                <c:pt idx="169">
                  <c:v>47542</c:v>
                </c:pt>
                <c:pt idx="170">
                  <c:v>47573</c:v>
                </c:pt>
                <c:pt idx="171">
                  <c:v>47603</c:v>
                </c:pt>
                <c:pt idx="172">
                  <c:v>47634</c:v>
                </c:pt>
                <c:pt idx="173">
                  <c:v>47664</c:v>
                </c:pt>
                <c:pt idx="174">
                  <c:v>47695</c:v>
                </c:pt>
                <c:pt idx="175">
                  <c:v>47726</c:v>
                </c:pt>
                <c:pt idx="176">
                  <c:v>47756</c:v>
                </c:pt>
                <c:pt idx="177">
                  <c:v>47787</c:v>
                </c:pt>
                <c:pt idx="178">
                  <c:v>47817</c:v>
                </c:pt>
                <c:pt idx="179">
                  <c:v>47848</c:v>
                </c:pt>
                <c:pt idx="180">
                  <c:v>47879</c:v>
                </c:pt>
                <c:pt idx="181">
                  <c:v>47907</c:v>
                </c:pt>
                <c:pt idx="182">
                  <c:v>47938</c:v>
                </c:pt>
                <c:pt idx="183">
                  <c:v>47968</c:v>
                </c:pt>
                <c:pt idx="184">
                  <c:v>47999</c:v>
                </c:pt>
                <c:pt idx="185">
                  <c:v>48029</c:v>
                </c:pt>
                <c:pt idx="186">
                  <c:v>48060</c:v>
                </c:pt>
                <c:pt idx="187">
                  <c:v>48091</c:v>
                </c:pt>
                <c:pt idx="188">
                  <c:v>48121</c:v>
                </c:pt>
                <c:pt idx="189">
                  <c:v>48152</c:v>
                </c:pt>
                <c:pt idx="190">
                  <c:v>48182</c:v>
                </c:pt>
                <c:pt idx="191">
                  <c:v>48213</c:v>
                </c:pt>
              </c:numCache>
            </c:numRef>
          </c:cat>
          <c:val>
            <c:numRef>
              <c:f>'WRZ GS &lt; 50 Normalized'!$S$2:$S$193</c:f>
              <c:numCache>
                <c:formatCode>_-* #,##0_-;\-* #,##0_-;_-* "-"??_-;_-@_-</c:formatCode>
                <c:ptCount val="192"/>
                <c:pt idx="0">
                  <c:v>7974263.7357999999</c:v>
                </c:pt>
                <c:pt idx="1">
                  <c:v>7317546.7972133327</c:v>
                </c:pt>
                <c:pt idx="2">
                  <c:v>7398117.5234297821</c:v>
                </c:pt>
                <c:pt idx="3">
                  <c:v>6573129.2222750001</c:v>
                </c:pt>
                <c:pt idx="4">
                  <c:v>6692761.8088589292</c:v>
                </c:pt>
                <c:pt idx="5">
                  <c:v>7166243.4209983516</c:v>
                </c:pt>
                <c:pt idx="6">
                  <c:v>8191265.6193529265</c:v>
                </c:pt>
                <c:pt idx="7">
                  <c:v>7989470.8638918577</c:v>
                </c:pt>
                <c:pt idx="8">
                  <c:v>7154704.2439818839</c:v>
                </c:pt>
                <c:pt idx="9">
                  <c:v>6899964.5654445663</c:v>
                </c:pt>
                <c:pt idx="10">
                  <c:v>7182807.0097678024</c:v>
                </c:pt>
                <c:pt idx="11">
                  <c:v>7801189.941333333</c:v>
                </c:pt>
                <c:pt idx="12">
                  <c:v>8146804.0658</c:v>
                </c:pt>
                <c:pt idx="13">
                  <c:v>7229148.0472133327</c:v>
                </c:pt>
                <c:pt idx="14">
                  <c:v>7357103.8384297825</c:v>
                </c:pt>
                <c:pt idx="15">
                  <c:v>6484030.5272749998</c:v>
                </c:pt>
                <c:pt idx="16">
                  <c:v>6650333.858858929</c:v>
                </c:pt>
                <c:pt idx="17">
                  <c:v>7195942.9859983511</c:v>
                </c:pt>
                <c:pt idx="18">
                  <c:v>8199751.2093529264</c:v>
                </c:pt>
                <c:pt idx="19">
                  <c:v>7972499.683891858</c:v>
                </c:pt>
                <c:pt idx="20">
                  <c:v>7079748.1989818839</c:v>
                </c:pt>
                <c:pt idx="21">
                  <c:v>6839151.1704445658</c:v>
                </c:pt>
                <c:pt idx="22">
                  <c:v>7096536.8447678024</c:v>
                </c:pt>
                <c:pt idx="23">
                  <c:v>7693705.8013333334</c:v>
                </c:pt>
                <c:pt idx="24">
                  <c:v>8022348.7457999997</c:v>
                </c:pt>
                <c:pt idx="25">
                  <c:v>7186720.0972133325</c:v>
                </c:pt>
                <c:pt idx="26">
                  <c:v>7449031.0634297822</c:v>
                </c:pt>
                <c:pt idx="27">
                  <c:v>6691927.4822749998</c:v>
                </c:pt>
                <c:pt idx="28">
                  <c:v>6873787.7288589291</c:v>
                </c:pt>
                <c:pt idx="29">
                  <c:v>7393940.0859983517</c:v>
                </c:pt>
                <c:pt idx="30">
                  <c:v>8373705.8043529261</c:v>
                </c:pt>
                <c:pt idx="31">
                  <c:v>8108269.1238918584</c:v>
                </c:pt>
                <c:pt idx="32">
                  <c:v>7191475.1339818835</c:v>
                </c:pt>
                <c:pt idx="33">
                  <c:v>6915521.4804445654</c:v>
                </c:pt>
                <c:pt idx="34">
                  <c:v>7184221.274767803</c:v>
                </c:pt>
                <c:pt idx="35">
                  <c:v>7782804.4963333327</c:v>
                </c:pt>
                <c:pt idx="36">
                  <c:v>8160946.7158000004</c:v>
                </c:pt>
                <c:pt idx="37">
                  <c:v>7346532.0422133319</c:v>
                </c:pt>
                <c:pt idx="38">
                  <c:v>7600357.4184297817</c:v>
                </c:pt>
                <c:pt idx="39">
                  <c:v>6775369.1172749996</c:v>
                </c:pt>
                <c:pt idx="40">
                  <c:v>6889344.6438589282</c:v>
                </c:pt>
                <c:pt idx="41">
                  <c:v>7369897.5809983518</c:v>
                </c:pt>
                <c:pt idx="42">
                  <c:v>8338349.1793529261</c:v>
                </c:pt>
                <c:pt idx="43">
                  <c:v>8054527.0538918581</c:v>
                </c:pt>
                <c:pt idx="44">
                  <c:v>7105204.9689818844</c:v>
                </c:pt>
                <c:pt idx="45">
                  <c:v>6805208.8104445655</c:v>
                </c:pt>
                <c:pt idx="46">
                  <c:v>7052694.6297678016</c:v>
                </c:pt>
                <c:pt idx="47">
                  <c:v>7673906.0913333334</c:v>
                </c:pt>
                <c:pt idx="48">
                  <c:v>8032248.6008000001</c:v>
                </c:pt>
                <c:pt idx="49">
                  <c:v>7388260.0472133327</c:v>
                </c:pt>
                <c:pt idx="50">
                  <c:v>7033308.3834297825</c:v>
                </c:pt>
                <c:pt idx="51">
                  <c:v>5736026.8022750001</c:v>
                </c:pt>
                <c:pt idx="52">
                  <c:v>5762317.8988589291</c:v>
                </c:pt>
                <c:pt idx="53">
                  <c:v>6620408.3609983511</c:v>
                </c:pt>
                <c:pt idx="54">
                  <c:v>7689272.7743529268</c:v>
                </c:pt>
                <c:pt idx="55">
                  <c:v>7548291.4138918575</c:v>
                </c:pt>
                <c:pt idx="56">
                  <c:v>6740395.8289818838</c:v>
                </c:pt>
                <c:pt idx="57">
                  <c:v>6545055.2804445662</c:v>
                </c:pt>
                <c:pt idx="58">
                  <c:v>6816583.6047678022</c:v>
                </c:pt>
                <c:pt idx="59">
                  <c:v>7412338.2963333335</c:v>
                </c:pt>
                <c:pt idx="60">
                  <c:v>7664610.9308000002</c:v>
                </c:pt>
                <c:pt idx="61">
                  <c:v>6809182.5722133331</c:v>
                </c:pt>
                <c:pt idx="62">
                  <c:v>7023408.528429782</c:v>
                </c:pt>
                <c:pt idx="63">
                  <c:v>6229534.057275</c:v>
                </c:pt>
                <c:pt idx="64">
                  <c:v>6336438.2588589285</c:v>
                </c:pt>
                <c:pt idx="65">
                  <c:v>6832548.1109983511</c:v>
                </c:pt>
                <c:pt idx="66">
                  <c:v>7857570.3093529269</c:v>
                </c:pt>
                <c:pt idx="67">
                  <c:v>7640218.6388918571</c:v>
                </c:pt>
                <c:pt idx="68">
                  <c:v>6808280.5489818845</c:v>
                </c:pt>
                <c:pt idx="69">
                  <c:v>6610111.4704445656</c:v>
                </c:pt>
                <c:pt idx="70">
                  <c:v>6966495.694767802</c:v>
                </c:pt>
                <c:pt idx="71">
                  <c:v>7591949.9513333337</c:v>
                </c:pt>
                <c:pt idx="72">
                  <c:v>8101583.2007999998</c:v>
                </c:pt>
                <c:pt idx="73">
                  <c:v>7264540.287213333</c:v>
                </c:pt>
                <c:pt idx="74">
                  <c:v>7509880.0734297819</c:v>
                </c:pt>
                <c:pt idx="75">
                  <c:v>6762676.3472750001</c:v>
                </c:pt>
                <c:pt idx="76">
                  <c:v>6920494.0888589285</c:v>
                </c:pt>
                <c:pt idx="77">
                  <c:v>7432160.8559983522</c:v>
                </c:pt>
                <c:pt idx="78">
                  <c:v>8424654.9593529254</c:v>
                </c:pt>
                <c:pt idx="79">
                  <c:v>8164875.3388918582</c:v>
                </c:pt>
                <c:pt idx="80">
                  <c:v>7249495.613981884</c:v>
                </c:pt>
                <c:pt idx="81">
                  <c:v>6989098.8754445659</c:v>
                </c:pt>
                <c:pt idx="82">
                  <c:v>7259212.9347678022</c:v>
                </c:pt>
                <c:pt idx="83">
                  <c:v>7903052.6363333333</c:v>
                </c:pt>
                <c:pt idx="84">
                  <c:v>8472085.0157999992</c:v>
                </c:pt>
                <c:pt idx="85">
                  <c:v>7640699.162213333</c:v>
                </c:pt>
                <c:pt idx="86">
                  <c:v>7823811.2884297818</c:v>
                </c:pt>
                <c:pt idx="87">
                  <c:v>6967709.1572750006</c:v>
                </c:pt>
                <c:pt idx="88">
                  <c:v>7059056.443858929</c:v>
                </c:pt>
                <c:pt idx="89">
                  <c:v>7574966.0059983525</c:v>
                </c:pt>
                <c:pt idx="90">
                  <c:v>8594331.1443529259</c:v>
                </c:pt>
                <c:pt idx="91">
                  <c:v>8389707.8588918578</c:v>
                </c:pt>
                <c:pt idx="92">
                  <c:v>7489885.0489818845</c:v>
                </c:pt>
                <c:pt idx="93">
                  <c:v>7206860.0704445653</c:v>
                </c:pt>
                <c:pt idx="94">
                  <c:v>7496773.8397678025</c:v>
                </c:pt>
                <c:pt idx="95">
                  <c:v>8139199.2763333339</c:v>
                </c:pt>
                <c:pt idx="96">
                  <c:v>8515927.2307999991</c:v>
                </c:pt>
                <c:pt idx="97">
                  <c:v>7852138.9672133327</c:v>
                </c:pt>
                <c:pt idx="98">
                  <c:v>7932709.6934297821</c:v>
                </c:pt>
                <c:pt idx="99">
                  <c:v>7162877.727275</c:v>
                </c:pt>
                <c:pt idx="100">
                  <c:v>7305138.5538589284</c:v>
                </c:pt>
                <c:pt idx="101">
                  <c:v>7777205.9009983521</c:v>
                </c:pt>
                <c:pt idx="102">
                  <c:v>8711715.1393529251</c:v>
                </c:pt>
                <c:pt idx="103">
                  <c:v>8422235.9538918585</c:v>
                </c:pt>
                <c:pt idx="104">
                  <c:v>7530898.7339818841</c:v>
                </c:pt>
                <c:pt idx="105">
                  <c:v>7277573.3204445653</c:v>
                </c:pt>
                <c:pt idx="106">
                  <c:v>7527887.6697678026</c:v>
                </c:pt>
                <c:pt idx="107">
                  <c:v>8123642.361333333</c:v>
                </c:pt>
                <c:pt idx="108">
                  <c:v>8510270.1708000004</c:v>
                </c:pt>
                <c:pt idx="109">
                  <c:v>7711412.412213333</c:v>
                </c:pt>
                <c:pt idx="110">
                  <c:v>7968066.3184297821</c:v>
                </c:pt>
                <c:pt idx="111">
                  <c:v>7099235.8022750001</c:v>
                </c:pt>
                <c:pt idx="112">
                  <c:v>7216039.858858929</c:v>
                </c:pt>
                <c:pt idx="113">
                  <c:v>7698007.0609983522</c:v>
                </c:pt>
                <c:pt idx="114">
                  <c:v>8742828.9693529271</c:v>
                </c:pt>
                <c:pt idx="115">
                  <c:v>8552348.3338918574</c:v>
                </c:pt>
                <c:pt idx="116">
                  <c:v>7731724.363981884</c:v>
                </c:pt>
                <c:pt idx="117">
                  <c:v>7515169.8404445667</c:v>
                </c:pt>
                <c:pt idx="118">
                  <c:v>7817811.9947678028</c:v>
                </c:pt>
                <c:pt idx="119">
                  <c:v>8386695.6513333339</c:v>
                </c:pt>
                <c:pt idx="120">
                  <c:v>8677153.4408</c:v>
                </c:pt>
                <c:pt idx="121">
                  <c:v>7817482.287213333</c:v>
                </c:pt>
                <c:pt idx="122">
                  <c:v>7973287.0776772816</c:v>
                </c:pt>
                <c:pt idx="123">
                  <c:v>7104380.1912124995</c:v>
                </c:pt>
                <c:pt idx="124">
                  <c:v>7221169.3980139289</c:v>
                </c:pt>
                <c:pt idx="125">
                  <c:v>7703119.6289733518</c:v>
                </c:pt>
                <c:pt idx="126">
                  <c:v>8748022.1504329257</c:v>
                </c:pt>
                <c:pt idx="127">
                  <c:v>8557620.006679358</c:v>
                </c:pt>
                <c:pt idx="128">
                  <c:v>7737108.4708368843</c:v>
                </c:pt>
                <c:pt idx="129">
                  <c:v>7520623.9534170665</c:v>
                </c:pt>
                <c:pt idx="130">
                  <c:v>7823319.1426778026</c:v>
                </c:pt>
                <c:pt idx="131">
                  <c:v>8392143.400113333</c:v>
                </c:pt>
                <c:pt idx="132">
                  <c:v>8696817.38136</c:v>
                </c:pt>
                <c:pt idx="133">
                  <c:v>7996141.5509108333</c:v>
                </c:pt>
                <c:pt idx="134">
                  <c:v>7992458.5757606439</c:v>
                </c:pt>
                <c:pt idx="135">
                  <c:v>7123271.2447891571</c:v>
                </c:pt>
                <c:pt idx="136">
                  <c:v>7240005.9207142815</c:v>
                </c:pt>
                <c:pt idx="137">
                  <c:v>7721893.8306722147</c:v>
                </c:pt>
                <c:pt idx="138">
                  <c:v>8767092.3768888675</c:v>
                </c:pt>
                <c:pt idx="139">
                  <c:v>8576978.4677671902</c:v>
                </c:pt>
                <c:pt idx="140">
                  <c:v>7756879.8085595872</c:v>
                </c:pt>
                <c:pt idx="141">
                  <c:v>7540652.3652709145</c:v>
                </c:pt>
                <c:pt idx="142">
                  <c:v>7843542.307661308</c:v>
                </c:pt>
                <c:pt idx="143">
                  <c:v>8412148.4415916242</c:v>
                </c:pt>
                <c:pt idx="144">
                  <c:v>8725576.7882444803</c:v>
                </c:pt>
                <c:pt idx="145">
                  <c:v>7865618.3125804132</c:v>
                </c:pt>
                <c:pt idx="146">
                  <c:v>8020497.7631392907</c:v>
                </c:pt>
                <c:pt idx="147">
                  <c:v>7150900.2693292703</c:v>
                </c:pt>
                <c:pt idx="148">
                  <c:v>7267555.1913691247</c:v>
                </c:pt>
                <c:pt idx="149">
                  <c:v>7749351.9540296048</c:v>
                </c:pt>
                <c:pt idx="150">
                  <c:v>8794983.4499091543</c:v>
                </c:pt>
                <c:pt idx="151">
                  <c:v>8605291.0970381927</c:v>
                </c:pt>
                <c:pt idx="152">
                  <c:v>7785796.2886762079</c:v>
                </c:pt>
                <c:pt idx="153">
                  <c:v>7569944.8279895261</c:v>
                </c:pt>
                <c:pt idx="154">
                  <c:v>7873119.6056844555</c:v>
                </c:pt>
                <c:pt idx="155">
                  <c:v>8441406.7240736894</c:v>
                </c:pt>
                <c:pt idx="156">
                  <c:v>8765437.3261863701</c:v>
                </c:pt>
                <c:pt idx="157">
                  <c:v>7905242.3362544514</c:v>
                </c:pt>
                <c:pt idx="158">
                  <c:v>8059360.0768460948</c:v>
                </c:pt>
                <c:pt idx="159">
                  <c:v>7189194.0973418672</c:v>
                </c:pt>
                <c:pt idx="160">
                  <c:v>7305738.4804967362</c:v>
                </c:pt>
                <c:pt idx="161">
                  <c:v>7787408.9130029492</c:v>
                </c:pt>
                <c:pt idx="162">
                  <c:v>8833640.4771152735</c:v>
                </c:pt>
                <c:pt idx="163">
                  <c:v>8644532.401207801</c:v>
                </c:pt>
                <c:pt idx="164">
                  <c:v>7825874.5301178452</c:v>
                </c:pt>
                <c:pt idx="165">
                  <c:v>7610544.1813175194</c:v>
                </c:pt>
                <c:pt idx="166">
                  <c:v>7914113.7407445386</c:v>
                </c:pt>
                <c:pt idx="167">
                  <c:v>8481958.7035938334</c:v>
                </c:pt>
                <c:pt idx="168">
                  <c:v>8805736.33004562</c:v>
                </c:pt>
                <c:pt idx="169">
                  <c:v>8104414.2241889033</c:v>
                </c:pt>
                <c:pt idx="170">
                  <c:v>8098649.8760036733</c:v>
                </c:pt>
                <c:pt idx="171">
                  <c:v>7227909.1574626015</c:v>
                </c:pt>
                <c:pt idx="172">
                  <c:v>7344341.7858047523</c:v>
                </c:pt>
                <c:pt idx="173">
                  <c:v>7825884.4985249992</c:v>
                </c:pt>
                <c:pt idx="174">
                  <c:v>8872722.7316206582</c:v>
                </c:pt>
                <c:pt idx="175">
                  <c:v>8684205.3597232774</c:v>
                </c:pt>
                <c:pt idx="176">
                  <c:v>7866393.6322153406</c:v>
                </c:pt>
                <c:pt idx="177">
                  <c:v>7651590.1275321227</c:v>
                </c:pt>
                <c:pt idx="178">
                  <c:v>7955558.8112902828</c:v>
                </c:pt>
                <c:pt idx="179">
                  <c:v>8522956.7548886985</c:v>
                </c:pt>
                <c:pt idx="180">
                  <c:v>8846478.6229473203</c:v>
                </c:pt>
                <c:pt idx="181">
                  <c:v>7985802.7708906336</c:v>
                </c:pt>
                <c:pt idx="182">
                  <c:v>8138371.8629519865</c:v>
                </c:pt>
                <c:pt idx="183">
                  <c:v>7267050.0832446646</c:v>
                </c:pt>
                <c:pt idx="184">
                  <c:v>7383369.727471156</c:v>
                </c:pt>
                <c:pt idx="185">
                  <c:v>7864783.3154877918</c:v>
                </c:pt>
                <c:pt idx="186">
                  <c:v>8912234.890925603</c:v>
                </c:pt>
                <c:pt idx="187">
                  <c:v>8724314.7207824215</c:v>
                </c:pt>
                <c:pt idx="188">
                  <c:v>7907358.4444359085</c:v>
                </c:pt>
                <c:pt idx="189">
                  <c:v>7693087.5791550856</c:v>
                </c:pt>
                <c:pt idx="190">
                  <c:v>7997459.7776120286</c:v>
                </c:pt>
                <c:pt idx="191">
                  <c:v>8564405.7847478073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A9-4A85-9985-DB0D5E2BE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GS 50 - 2,999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16334906354024"/>
          <c:y val="1.8737799477743105E-2"/>
          <c:w val="0.85416092937449029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'WRZ GS 50-2,999 Normalized'!$D$1</c:f>
              <c:strCache>
                <c:ptCount val="1"/>
                <c:pt idx="0">
                  <c:v>WRZ_GS50to2999kWh_No_CDM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'WRZ GS 50-2,999 Normalized'!$A$2:$A$193</c:f>
              <c:numCache>
                <c:formatCode>mmm\-yy</c:formatCode>
                <c:ptCount val="19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45688</c:v>
                </c:pt>
                <c:pt idx="109">
                  <c:v>45716</c:v>
                </c:pt>
                <c:pt idx="110">
                  <c:v>45747</c:v>
                </c:pt>
                <c:pt idx="111">
                  <c:v>45777</c:v>
                </c:pt>
                <c:pt idx="112">
                  <c:v>45808</c:v>
                </c:pt>
                <c:pt idx="113">
                  <c:v>45838</c:v>
                </c:pt>
                <c:pt idx="114">
                  <c:v>45869</c:v>
                </c:pt>
                <c:pt idx="115">
                  <c:v>45900</c:v>
                </c:pt>
                <c:pt idx="116">
                  <c:v>45930</c:v>
                </c:pt>
                <c:pt idx="117">
                  <c:v>45961</c:v>
                </c:pt>
                <c:pt idx="118">
                  <c:v>45991</c:v>
                </c:pt>
                <c:pt idx="119">
                  <c:v>46022</c:v>
                </c:pt>
                <c:pt idx="120">
                  <c:v>46053</c:v>
                </c:pt>
                <c:pt idx="121">
                  <c:v>46081</c:v>
                </c:pt>
                <c:pt idx="122">
                  <c:v>46112</c:v>
                </c:pt>
                <c:pt idx="123">
                  <c:v>46142</c:v>
                </c:pt>
                <c:pt idx="124">
                  <c:v>46173</c:v>
                </c:pt>
                <c:pt idx="125">
                  <c:v>46203</c:v>
                </c:pt>
                <c:pt idx="126">
                  <c:v>46234</c:v>
                </c:pt>
                <c:pt idx="127">
                  <c:v>46265</c:v>
                </c:pt>
                <c:pt idx="128">
                  <c:v>46295</c:v>
                </c:pt>
                <c:pt idx="129">
                  <c:v>46326</c:v>
                </c:pt>
                <c:pt idx="130">
                  <c:v>46356</c:v>
                </c:pt>
                <c:pt idx="131">
                  <c:v>46387</c:v>
                </c:pt>
                <c:pt idx="132">
                  <c:v>46418</c:v>
                </c:pt>
                <c:pt idx="133">
                  <c:v>46446</c:v>
                </c:pt>
                <c:pt idx="134">
                  <c:v>46477</c:v>
                </c:pt>
                <c:pt idx="135">
                  <c:v>46507</c:v>
                </c:pt>
                <c:pt idx="136">
                  <c:v>46538</c:v>
                </c:pt>
                <c:pt idx="137">
                  <c:v>46568</c:v>
                </c:pt>
                <c:pt idx="138">
                  <c:v>46599</c:v>
                </c:pt>
                <c:pt idx="139">
                  <c:v>46630</c:v>
                </c:pt>
                <c:pt idx="140">
                  <c:v>46660</c:v>
                </c:pt>
                <c:pt idx="141">
                  <c:v>46691</c:v>
                </c:pt>
                <c:pt idx="142">
                  <c:v>46721</c:v>
                </c:pt>
                <c:pt idx="143">
                  <c:v>46752</c:v>
                </c:pt>
                <c:pt idx="144">
                  <c:v>46783</c:v>
                </c:pt>
                <c:pt idx="145">
                  <c:v>46812</c:v>
                </c:pt>
                <c:pt idx="146">
                  <c:v>46843</c:v>
                </c:pt>
                <c:pt idx="147">
                  <c:v>46873</c:v>
                </c:pt>
                <c:pt idx="148">
                  <c:v>46904</c:v>
                </c:pt>
                <c:pt idx="149">
                  <c:v>46934</c:v>
                </c:pt>
                <c:pt idx="150">
                  <c:v>46965</c:v>
                </c:pt>
                <c:pt idx="151">
                  <c:v>46996</c:v>
                </c:pt>
                <c:pt idx="152">
                  <c:v>47026</c:v>
                </c:pt>
                <c:pt idx="153">
                  <c:v>47057</c:v>
                </c:pt>
                <c:pt idx="154">
                  <c:v>47087</c:v>
                </c:pt>
                <c:pt idx="155">
                  <c:v>47118</c:v>
                </c:pt>
                <c:pt idx="156">
                  <c:v>47149</c:v>
                </c:pt>
                <c:pt idx="157">
                  <c:v>47177</c:v>
                </c:pt>
                <c:pt idx="158">
                  <c:v>47208</c:v>
                </c:pt>
                <c:pt idx="159">
                  <c:v>47238</c:v>
                </c:pt>
                <c:pt idx="160">
                  <c:v>47269</c:v>
                </c:pt>
                <c:pt idx="161">
                  <c:v>47299</c:v>
                </c:pt>
                <c:pt idx="162">
                  <c:v>47330</c:v>
                </c:pt>
                <c:pt idx="163">
                  <c:v>47361</c:v>
                </c:pt>
                <c:pt idx="164">
                  <c:v>47391</c:v>
                </c:pt>
                <c:pt idx="165">
                  <c:v>47422</c:v>
                </c:pt>
                <c:pt idx="166">
                  <c:v>47452</c:v>
                </c:pt>
                <c:pt idx="167">
                  <c:v>47483</c:v>
                </c:pt>
                <c:pt idx="168">
                  <c:v>47514</c:v>
                </c:pt>
                <c:pt idx="169">
                  <c:v>47542</c:v>
                </c:pt>
                <c:pt idx="170">
                  <c:v>47573</c:v>
                </c:pt>
                <c:pt idx="171">
                  <c:v>47603</c:v>
                </c:pt>
                <c:pt idx="172">
                  <c:v>47634</c:v>
                </c:pt>
                <c:pt idx="173">
                  <c:v>47664</c:v>
                </c:pt>
                <c:pt idx="174">
                  <c:v>47695</c:v>
                </c:pt>
                <c:pt idx="175">
                  <c:v>47726</c:v>
                </c:pt>
                <c:pt idx="176">
                  <c:v>47756</c:v>
                </c:pt>
                <c:pt idx="177">
                  <c:v>47787</c:v>
                </c:pt>
                <c:pt idx="178">
                  <c:v>47817</c:v>
                </c:pt>
                <c:pt idx="179">
                  <c:v>47848</c:v>
                </c:pt>
                <c:pt idx="180">
                  <c:v>47879</c:v>
                </c:pt>
                <c:pt idx="181">
                  <c:v>47907</c:v>
                </c:pt>
                <c:pt idx="182">
                  <c:v>47938</c:v>
                </c:pt>
                <c:pt idx="183">
                  <c:v>47968</c:v>
                </c:pt>
                <c:pt idx="184">
                  <c:v>47999</c:v>
                </c:pt>
                <c:pt idx="185">
                  <c:v>48029</c:v>
                </c:pt>
                <c:pt idx="186">
                  <c:v>48060</c:v>
                </c:pt>
                <c:pt idx="187">
                  <c:v>48091</c:v>
                </c:pt>
                <c:pt idx="188">
                  <c:v>48121</c:v>
                </c:pt>
                <c:pt idx="189">
                  <c:v>48152</c:v>
                </c:pt>
                <c:pt idx="190">
                  <c:v>48182</c:v>
                </c:pt>
                <c:pt idx="191">
                  <c:v>48213</c:v>
                </c:pt>
              </c:numCache>
            </c:numRef>
          </c:cat>
          <c:val>
            <c:numRef>
              <c:f>'WRZ GS 50-2,999 Normalized'!$D$2:$D$97</c:f>
              <c:numCache>
                <c:formatCode>_-* #,##0_-;\-* #,##0_-;_-* "-"??_-;_-@_-</c:formatCode>
                <c:ptCount val="96"/>
                <c:pt idx="0">
                  <c:v>30843852.615811039</c:v>
                </c:pt>
                <c:pt idx="1">
                  <c:v>30235393.502081621</c:v>
                </c:pt>
                <c:pt idx="2">
                  <c:v>29351880.410567749</c:v>
                </c:pt>
                <c:pt idx="3">
                  <c:v>28131199.592845537</c:v>
                </c:pt>
                <c:pt idx="4">
                  <c:v>27887826.231142532</c:v>
                </c:pt>
                <c:pt idx="5">
                  <c:v>28898634.748755053</c:v>
                </c:pt>
                <c:pt idx="6">
                  <c:v>29492405.211729325</c:v>
                </c:pt>
                <c:pt idx="7">
                  <c:v>31490742.202473037</c:v>
                </c:pt>
                <c:pt idx="8">
                  <c:v>29498749.821856793</c:v>
                </c:pt>
                <c:pt idx="9">
                  <c:v>28378040.097499937</c:v>
                </c:pt>
                <c:pt idx="10">
                  <c:v>27564789.38004791</c:v>
                </c:pt>
                <c:pt idx="11">
                  <c:v>27986393.377696451</c:v>
                </c:pt>
                <c:pt idx="12">
                  <c:v>29882819.409545325</c:v>
                </c:pt>
                <c:pt idx="13">
                  <c:v>27283341.26792654</c:v>
                </c:pt>
                <c:pt idx="14">
                  <c:v>28468201.331051078</c:v>
                </c:pt>
                <c:pt idx="15">
                  <c:v>26922782.381266579</c:v>
                </c:pt>
                <c:pt idx="16">
                  <c:v>26797728.323706638</c:v>
                </c:pt>
                <c:pt idx="17">
                  <c:v>28226505.817032319</c:v>
                </c:pt>
                <c:pt idx="18">
                  <c:v>27675271.090604164</c:v>
                </c:pt>
                <c:pt idx="19">
                  <c:v>28599413.156730805</c:v>
                </c:pt>
                <c:pt idx="20">
                  <c:v>29212333.29070494</c:v>
                </c:pt>
                <c:pt idx="21">
                  <c:v>27215513.618014403</c:v>
                </c:pt>
                <c:pt idx="22">
                  <c:v>28848071.770601567</c:v>
                </c:pt>
                <c:pt idx="23">
                  <c:v>29396179.953810159</c:v>
                </c:pt>
                <c:pt idx="24">
                  <c:v>32811608.305590458</c:v>
                </c:pt>
                <c:pt idx="25">
                  <c:v>28448522.450221829</c:v>
                </c:pt>
                <c:pt idx="26">
                  <c:v>28693158.336072054</c:v>
                </c:pt>
                <c:pt idx="27">
                  <c:v>27590400.876980819</c:v>
                </c:pt>
                <c:pt idx="28">
                  <c:v>27516810.807862565</c:v>
                </c:pt>
                <c:pt idx="29">
                  <c:v>28125707.035952359</c:v>
                </c:pt>
                <c:pt idx="30">
                  <c:v>29630412.0229734</c:v>
                </c:pt>
                <c:pt idx="31">
                  <c:v>30927685.411075201</c:v>
                </c:pt>
                <c:pt idx="32">
                  <c:v>30565508.01562852</c:v>
                </c:pt>
                <c:pt idx="33">
                  <c:v>28239750.328377575</c:v>
                </c:pt>
                <c:pt idx="34">
                  <c:v>28258256.201618973</c:v>
                </c:pt>
                <c:pt idx="35">
                  <c:v>28639918.729318488</c:v>
                </c:pt>
                <c:pt idx="36">
                  <c:v>30583890.625875287</c:v>
                </c:pt>
                <c:pt idx="37">
                  <c:v>29919475.508018777</c:v>
                </c:pt>
                <c:pt idx="38">
                  <c:v>29177700.980975837</c:v>
                </c:pt>
                <c:pt idx="39">
                  <c:v>27823303.88053152</c:v>
                </c:pt>
                <c:pt idx="40">
                  <c:v>26769079.143941894</c:v>
                </c:pt>
                <c:pt idx="41">
                  <c:v>27247207.646619752</c:v>
                </c:pt>
                <c:pt idx="42">
                  <c:v>30235453.019907042</c:v>
                </c:pt>
                <c:pt idx="43">
                  <c:v>30625745.192353752</c:v>
                </c:pt>
                <c:pt idx="44">
                  <c:v>28006360.511002794</c:v>
                </c:pt>
                <c:pt idx="45">
                  <c:v>27168041.974353127</c:v>
                </c:pt>
                <c:pt idx="46">
                  <c:v>28167253.96187038</c:v>
                </c:pt>
                <c:pt idx="47">
                  <c:v>29039341.006727766</c:v>
                </c:pt>
                <c:pt idx="48">
                  <c:v>30668364.111504901</c:v>
                </c:pt>
                <c:pt idx="49">
                  <c:v>28703003.715840835</c:v>
                </c:pt>
                <c:pt idx="50">
                  <c:v>27710384.046685323</c:v>
                </c:pt>
                <c:pt idx="51">
                  <c:v>25000248.061708741</c:v>
                </c:pt>
                <c:pt idx="52">
                  <c:v>24388113.176702131</c:v>
                </c:pt>
                <c:pt idx="53">
                  <c:v>28918574.4033737</c:v>
                </c:pt>
                <c:pt idx="54">
                  <c:v>29561488.452621069</c:v>
                </c:pt>
                <c:pt idx="55">
                  <c:v>28647072.719821006</c:v>
                </c:pt>
                <c:pt idx="56">
                  <c:v>26313202.783478461</c:v>
                </c:pt>
                <c:pt idx="57">
                  <c:v>26266410.745664895</c:v>
                </c:pt>
                <c:pt idx="58">
                  <c:v>26688674.621390801</c:v>
                </c:pt>
                <c:pt idx="59">
                  <c:v>29542203.236834507</c:v>
                </c:pt>
                <c:pt idx="60">
                  <c:v>29024209.879696224</c:v>
                </c:pt>
                <c:pt idx="61">
                  <c:v>27383449.558295596</c:v>
                </c:pt>
                <c:pt idx="62">
                  <c:v>28051255.486069389</c:v>
                </c:pt>
                <c:pt idx="63">
                  <c:v>24675867.120237663</c:v>
                </c:pt>
                <c:pt idx="64">
                  <c:v>24808278.454195786</c:v>
                </c:pt>
                <c:pt idx="65">
                  <c:v>27291992.618535176</c:v>
                </c:pt>
                <c:pt idx="66">
                  <c:v>28292000.297134548</c:v>
                </c:pt>
                <c:pt idx="67">
                  <c:v>30547441.198189639</c:v>
                </c:pt>
                <c:pt idx="68">
                  <c:v>26774641.537251331</c:v>
                </c:pt>
                <c:pt idx="69">
                  <c:v>26929954.150104683</c:v>
                </c:pt>
                <c:pt idx="70">
                  <c:v>27602290.887845457</c:v>
                </c:pt>
                <c:pt idx="71">
                  <c:v>29161153.809915259</c:v>
                </c:pt>
                <c:pt idx="72">
                  <c:v>30686239.483162697</c:v>
                </c:pt>
                <c:pt idx="73">
                  <c:v>28370529.540817738</c:v>
                </c:pt>
                <c:pt idx="74">
                  <c:v>29954508.427052781</c:v>
                </c:pt>
                <c:pt idx="75">
                  <c:v>26938308.801129319</c:v>
                </c:pt>
                <c:pt idx="76">
                  <c:v>27035905.065929353</c:v>
                </c:pt>
                <c:pt idx="77">
                  <c:v>27655496.46492333</c:v>
                </c:pt>
                <c:pt idx="78">
                  <c:v>29984020.638459489</c:v>
                </c:pt>
                <c:pt idx="79">
                  <c:v>31371085.271917589</c:v>
                </c:pt>
                <c:pt idx="80">
                  <c:v>28041075.671812195</c:v>
                </c:pt>
                <c:pt idx="81">
                  <c:v>27173004.881673779</c:v>
                </c:pt>
                <c:pt idx="82">
                  <c:v>28201099.173492737</c:v>
                </c:pt>
                <c:pt idx="83">
                  <c:v>29983452.957356121</c:v>
                </c:pt>
                <c:pt idx="84">
                  <c:v>30620248.846673649</c:v>
                </c:pt>
                <c:pt idx="85">
                  <c:v>28806353.346567009</c:v>
                </c:pt>
                <c:pt idx="86">
                  <c:v>30164073.260450158</c:v>
                </c:pt>
                <c:pt idx="87">
                  <c:v>26569773.62464853</c:v>
                </c:pt>
                <c:pt idx="88">
                  <c:v>27252991.543935463</c:v>
                </c:pt>
                <c:pt idx="89">
                  <c:v>28586220.679073494</c:v>
                </c:pt>
                <c:pt idx="90">
                  <c:v>30529032.349186007</c:v>
                </c:pt>
                <c:pt idx="91">
                  <c:v>30212310.704378072</c:v>
                </c:pt>
                <c:pt idx="92">
                  <c:v>28890972.634472579</c:v>
                </c:pt>
                <c:pt idx="93">
                  <c:v>28262268.329802737</c:v>
                </c:pt>
                <c:pt idx="94">
                  <c:v>29001635.393490754</c:v>
                </c:pt>
                <c:pt idx="95">
                  <c:v>29699189.735473577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50-4466-8A06-A2CAC4C09752}"/>
            </c:ext>
          </c:extLst>
        </c:ser>
        <c:ser>
          <c:idx val="1"/>
          <c:order val="1"/>
          <c:tx>
            <c:strRef>
              <c:f>'WRZ GS 50-2,999 Normalized'!$Q$1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'WRZ GS 50-2,999 Normalized'!$A$2:$A$193</c:f>
              <c:numCache>
                <c:formatCode>mmm\-yy</c:formatCode>
                <c:ptCount val="19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45688</c:v>
                </c:pt>
                <c:pt idx="109">
                  <c:v>45716</c:v>
                </c:pt>
                <c:pt idx="110">
                  <c:v>45747</c:v>
                </c:pt>
                <c:pt idx="111">
                  <c:v>45777</c:v>
                </c:pt>
                <c:pt idx="112">
                  <c:v>45808</c:v>
                </c:pt>
                <c:pt idx="113">
                  <c:v>45838</c:v>
                </c:pt>
                <c:pt idx="114">
                  <c:v>45869</c:v>
                </c:pt>
                <c:pt idx="115">
                  <c:v>45900</c:v>
                </c:pt>
                <c:pt idx="116">
                  <c:v>45930</c:v>
                </c:pt>
                <c:pt idx="117">
                  <c:v>45961</c:v>
                </c:pt>
                <c:pt idx="118">
                  <c:v>45991</c:v>
                </c:pt>
                <c:pt idx="119">
                  <c:v>46022</c:v>
                </c:pt>
                <c:pt idx="120">
                  <c:v>46053</c:v>
                </c:pt>
                <c:pt idx="121">
                  <c:v>46081</c:v>
                </c:pt>
                <c:pt idx="122">
                  <c:v>46112</c:v>
                </c:pt>
                <c:pt idx="123">
                  <c:v>46142</c:v>
                </c:pt>
                <c:pt idx="124">
                  <c:v>46173</c:v>
                </c:pt>
                <c:pt idx="125">
                  <c:v>46203</c:v>
                </c:pt>
                <c:pt idx="126">
                  <c:v>46234</c:v>
                </c:pt>
                <c:pt idx="127">
                  <c:v>46265</c:v>
                </c:pt>
                <c:pt idx="128">
                  <c:v>46295</c:v>
                </c:pt>
                <c:pt idx="129">
                  <c:v>46326</c:v>
                </c:pt>
                <c:pt idx="130">
                  <c:v>46356</c:v>
                </c:pt>
                <c:pt idx="131">
                  <c:v>46387</c:v>
                </c:pt>
                <c:pt idx="132">
                  <c:v>46418</c:v>
                </c:pt>
                <c:pt idx="133">
                  <c:v>46446</c:v>
                </c:pt>
                <c:pt idx="134">
                  <c:v>46477</c:v>
                </c:pt>
                <c:pt idx="135">
                  <c:v>46507</c:v>
                </c:pt>
                <c:pt idx="136">
                  <c:v>46538</c:v>
                </c:pt>
                <c:pt idx="137">
                  <c:v>46568</c:v>
                </c:pt>
                <c:pt idx="138">
                  <c:v>46599</c:v>
                </c:pt>
                <c:pt idx="139">
                  <c:v>46630</c:v>
                </c:pt>
                <c:pt idx="140">
                  <c:v>46660</c:v>
                </c:pt>
                <c:pt idx="141">
                  <c:v>46691</c:v>
                </c:pt>
                <c:pt idx="142">
                  <c:v>46721</c:v>
                </c:pt>
                <c:pt idx="143">
                  <c:v>46752</c:v>
                </c:pt>
                <c:pt idx="144">
                  <c:v>46783</c:v>
                </c:pt>
                <c:pt idx="145">
                  <c:v>46812</c:v>
                </c:pt>
                <c:pt idx="146">
                  <c:v>46843</c:v>
                </c:pt>
                <c:pt idx="147">
                  <c:v>46873</c:v>
                </c:pt>
                <c:pt idx="148">
                  <c:v>46904</c:v>
                </c:pt>
                <c:pt idx="149">
                  <c:v>46934</c:v>
                </c:pt>
                <c:pt idx="150">
                  <c:v>46965</c:v>
                </c:pt>
                <c:pt idx="151">
                  <c:v>46996</c:v>
                </c:pt>
                <c:pt idx="152">
                  <c:v>47026</c:v>
                </c:pt>
                <c:pt idx="153">
                  <c:v>47057</c:v>
                </c:pt>
                <c:pt idx="154">
                  <c:v>47087</c:v>
                </c:pt>
                <c:pt idx="155">
                  <c:v>47118</c:v>
                </c:pt>
                <c:pt idx="156">
                  <c:v>47149</c:v>
                </c:pt>
                <c:pt idx="157">
                  <c:v>47177</c:v>
                </c:pt>
                <c:pt idx="158">
                  <c:v>47208</c:v>
                </c:pt>
                <c:pt idx="159">
                  <c:v>47238</c:v>
                </c:pt>
                <c:pt idx="160">
                  <c:v>47269</c:v>
                </c:pt>
                <c:pt idx="161">
                  <c:v>47299</c:v>
                </c:pt>
                <c:pt idx="162">
                  <c:v>47330</c:v>
                </c:pt>
                <c:pt idx="163">
                  <c:v>47361</c:v>
                </c:pt>
                <c:pt idx="164">
                  <c:v>47391</c:v>
                </c:pt>
                <c:pt idx="165">
                  <c:v>47422</c:v>
                </c:pt>
                <c:pt idx="166">
                  <c:v>47452</c:v>
                </c:pt>
                <c:pt idx="167">
                  <c:v>47483</c:v>
                </c:pt>
                <c:pt idx="168">
                  <c:v>47514</c:v>
                </c:pt>
                <c:pt idx="169">
                  <c:v>47542</c:v>
                </c:pt>
                <c:pt idx="170">
                  <c:v>47573</c:v>
                </c:pt>
                <c:pt idx="171">
                  <c:v>47603</c:v>
                </c:pt>
                <c:pt idx="172">
                  <c:v>47634</c:v>
                </c:pt>
                <c:pt idx="173">
                  <c:v>47664</c:v>
                </c:pt>
                <c:pt idx="174">
                  <c:v>47695</c:v>
                </c:pt>
                <c:pt idx="175">
                  <c:v>47726</c:v>
                </c:pt>
                <c:pt idx="176">
                  <c:v>47756</c:v>
                </c:pt>
                <c:pt idx="177">
                  <c:v>47787</c:v>
                </c:pt>
                <c:pt idx="178">
                  <c:v>47817</c:v>
                </c:pt>
                <c:pt idx="179">
                  <c:v>47848</c:v>
                </c:pt>
                <c:pt idx="180">
                  <c:v>47879</c:v>
                </c:pt>
                <c:pt idx="181">
                  <c:v>47907</c:v>
                </c:pt>
                <c:pt idx="182">
                  <c:v>47938</c:v>
                </c:pt>
                <c:pt idx="183">
                  <c:v>47968</c:v>
                </c:pt>
                <c:pt idx="184">
                  <c:v>47999</c:v>
                </c:pt>
                <c:pt idx="185">
                  <c:v>48029</c:v>
                </c:pt>
                <c:pt idx="186">
                  <c:v>48060</c:v>
                </c:pt>
                <c:pt idx="187">
                  <c:v>48091</c:v>
                </c:pt>
                <c:pt idx="188">
                  <c:v>48121</c:v>
                </c:pt>
                <c:pt idx="189">
                  <c:v>48152</c:v>
                </c:pt>
                <c:pt idx="190">
                  <c:v>48182</c:v>
                </c:pt>
                <c:pt idx="191">
                  <c:v>48213</c:v>
                </c:pt>
              </c:numCache>
            </c:numRef>
          </c:cat>
          <c:val>
            <c:numRef>
              <c:f>'WRZ GS 50-2,999 Normalized'!$Q$2:$Q$193</c:f>
              <c:numCache>
                <c:formatCode>_-* #,##0_-;\-* #,##0_-;_-* "-"??_-;_-@_-</c:formatCode>
                <c:ptCount val="192"/>
                <c:pt idx="0">
                  <c:v>31005526.659253106</c:v>
                </c:pt>
                <c:pt idx="1">
                  <c:v>29594499.321009744</c:v>
                </c:pt>
                <c:pt idx="2">
                  <c:v>29798111.140719973</c:v>
                </c:pt>
                <c:pt idx="3">
                  <c:v>28124017.754264444</c:v>
                </c:pt>
                <c:pt idx="4">
                  <c:v>28377409.211553395</c:v>
                </c:pt>
                <c:pt idx="5">
                  <c:v>29291725.627725594</c:v>
                </c:pt>
                <c:pt idx="6">
                  <c:v>31222447.704485036</c:v>
                </c:pt>
                <c:pt idx="7">
                  <c:v>30789733.338865802</c:v>
                </c:pt>
                <c:pt idx="8">
                  <c:v>28631900.087196477</c:v>
                </c:pt>
                <c:pt idx="9">
                  <c:v>28184219.457138751</c:v>
                </c:pt>
                <c:pt idx="10">
                  <c:v>28688933.666477986</c:v>
                </c:pt>
                <c:pt idx="11">
                  <c:v>30323554.715799019</c:v>
                </c:pt>
                <c:pt idx="12">
                  <c:v>31005526.659253106</c:v>
                </c:pt>
                <c:pt idx="13">
                  <c:v>29181332.123941042</c:v>
                </c:pt>
                <c:pt idx="14">
                  <c:v>29798111.140719973</c:v>
                </c:pt>
                <c:pt idx="15">
                  <c:v>28124017.754264444</c:v>
                </c:pt>
                <c:pt idx="16">
                  <c:v>28377409.211553395</c:v>
                </c:pt>
                <c:pt idx="17">
                  <c:v>29291725.627725594</c:v>
                </c:pt>
                <c:pt idx="18">
                  <c:v>31222447.704485036</c:v>
                </c:pt>
                <c:pt idx="19">
                  <c:v>30789733.338865802</c:v>
                </c:pt>
                <c:pt idx="20">
                  <c:v>28631900.087196477</c:v>
                </c:pt>
                <c:pt idx="21">
                  <c:v>28184219.457138751</c:v>
                </c:pt>
                <c:pt idx="22">
                  <c:v>28688933.666477986</c:v>
                </c:pt>
                <c:pt idx="23">
                  <c:v>30323554.715799019</c:v>
                </c:pt>
                <c:pt idx="24">
                  <c:v>31005526.659253106</c:v>
                </c:pt>
                <c:pt idx="25">
                  <c:v>29181332.123941042</c:v>
                </c:pt>
                <c:pt idx="26">
                  <c:v>29798111.140719973</c:v>
                </c:pt>
                <c:pt idx="27">
                  <c:v>28124017.754264444</c:v>
                </c:pt>
                <c:pt idx="28">
                  <c:v>28377409.211553395</c:v>
                </c:pt>
                <c:pt idx="29">
                  <c:v>29291725.627725594</c:v>
                </c:pt>
                <c:pt idx="30">
                  <c:v>31222447.704485036</c:v>
                </c:pt>
                <c:pt idx="31">
                  <c:v>30789733.338865802</c:v>
                </c:pt>
                <c:pt idx="32">
                  <c:v>28631900.087196477</c:v>
                </c:pt>
                <c:pt idx="33">
                  <c:v>28184219.457138751</c:v>
                </c:pt>
                <c:pt idx="34">
                  <c:v>28688933.666477986</c:v>
                </c:pt>
                <c:pt idx="35">
                  <c:v>30323554.715799019</c:v>
                </c:pt>
                <c:pt idx="36">
                  <c:v>31005526.659253106</c:v>
                </c:pt>
                <c:pt idx="37">
                  <c:v>29181332.123941042</c:v>
                </c:pt>
                <c:pt idx="38">
                  <c:v>29798111.140719973</c:v>
                </c:pt>
                <c:pt idx="39">
                  <c:v>28124017.754264444</c:v>
                </c:pt>
                <c:pt idx="40">
                  <c:v>28377409.211553395</c:v>
                </c:pt>
                <c:pt idx="41">
                  <c:v>29291725.627725594</c:v>
                </c:pt>
                <c:pt idx="42">
                  <c:v>31222447.704485036</c:v>
                </c:pt>
                <c:pt idx="43">
                  <c:v>30789733.338865802</c:v>
                </c:pt>
                <c:pt idx="44">
                  <c:v>28631900.087196477</c:v>
                </c:pt>
                <c:pt idx="45">
                  <c:v>28184219.457138751</c:v>
                </c:pt>
                <c:pt idx="46">
                  <c:v>28688933.666477986</c:v>
                </c:pt>
                <c:pt idx="47">
                  <c:v>30323554.715799019</c:v>
                </c:pt>
                <c:pt idx="48">
                  <c:v>31005526.659253106</c:v>
                </c:pt>
                <c:pt idx="49">
                  <c:v>29594499.321009744</c:v>
                </c:pt>
                <c:pt idx="50">
                  <c:v>28046122.497029062</c:v>
                </c:pt>
                <c:pt idx="51">
                  <c:v>24620040.466882624</c:v>
                </c:pt>
                <c:pt idx="52">
                  <c:v>24873431.924171574</c:v>
                </c:pt>
                <c:pt idx="53">
                  <c:v>27539736.984034684</c:v>
                </c:pt>
                <c:pt idx="54">
                  <c:v>29470459.060794126</c:v>
                </c:pt>
                <c:pt idx="55">
                  <c:v>29037744.695174892</c:v>
                </c:pt>
                <c:pt idx="56">
                  <c:v>26879911.443505567</c:v>
                </c:pt>
                <c:pt idx="57">
                  <c:v>26432230.813447841</c:v>
                </c:pt>
                <c:pt idx="58">
                  <c:v>26936945.022787075</c:v>
                </c:pt>
                <c:pt idx="59">
                  <c:v>28571566.072108109</c:v>
                </c:pt>
                <c:pt idx="60">
                  <c:v>29253538.015562195</c:v>
                </c:pt>
                <c:pt idx="61">
                  <c:v>27429343.480250131</c:v>
                </c:pt>
                <c:pt idx="62">
                  <c:v>28046122.497029062</c:v>
                </c:pt>
                <c:pt idx="63">
                  <c:v>26372029.110573534</c:v>
                </c:pt>
                <c:pt idx="64">
                  <c:v>26625420.567862485</c:v>
                </c:pt>
                <c:pt idx="65">
                  <c:v>27539736.984034684</c:v>
                </c:pt>
                <c:pt idx="66">
                  <c:v>29470459.060794126</c:v>
                </c:pt>
                <c:pt idx="67">
                  <c:v>29037744.695174892</c:v>
                </c:pt>
                <c:pt idx="68">
                  <c:v>26879911.443505567</c:v>
                </c:pt>
                <c:pt idx="69">
                  <c:v>26432230.813447841</c:v>
                </c:pt>
                <c:pt idx="70">
                  <c:v>26936945.022787075</c:v>
                </c:pt>
                <c:pt idx="71">
                  <c:v>28571566.072108109</c:v>
                </c:pt>
                <c:pt idx="72">
                  <c:v>30129532.337407652</c:v>
                </c:pt>
                <c:pt idx="73">
                  <c:v>28305337.802095588</c:v>
                </c:pt>
                <c:pt idx="74">
                  <c:v>28922116.818874519</c:v>
                </c:pt>
                <c:pt idx="75">
                  <c:v>27248023.432418991</c:v>
                </c:pt>
                <c:pt idx="76">
                  <c:v>27501414.889707942</c:v>
                </c:pt>
                <c:pt idx="77">
                  <c:v>28415731.305880141</c:v>
                </c:pt>
                <c:pt idx="78">
                  <c:v>30346453.382639583</c:v>
                </c:pt>
                <c:pt idx="79">
                  <c:v>29913739.017020348</c:v>
                </c:pt>
                <c:pt idx="80">
                  <c:v>27755905.765351024</c:v>
                </c:pt>
                <c:pt idx="81">
                  <c:v>27308225.135293297</c:v>
                </c:pt>
                <c:pt idx="82">
                  <c:v>27812939.344632532</c:v>
                </c:pt>
                <c:pt idx="83">
                  <c:v>29447560.393953566</c:v>
                </c:pt>
                <c:pt idx="84">
                  <c:v>31005526.659253106</c:v>
                </c:pt>
                <c:pt idx="85">
                  <c:v>29181332.123941042</c:v>
                </c:pt>
                <c:pt idx="86">
                  <c:v>29798111.140719973</c:v>
                </c:pt>
                <c:pt idx="87">
                  <c:v>28124017.754264444</c:v>
                </c:pt>
                <c:pt idx="88">
                  <c:v>28377409.211553395</c:v>
                </c:pt>
                <c:pt idx="89">
                  <c:v>29291725.627725594</c:v>
                </c:pt>
                <c:pt idx="90">
                  <c:v>31222447.704485036</c:v>
                </c:pt>
                <c:pt idx="91">
                  <c:v>30789733.338865802</c:v>
                </c:pt>
                <c:pt idx="92">
                  <c:v>28631900.087196477</c:v>
                </c:pt>
                <c:pt idx="93">
                  <c:v>28184219.457138751</c:v>
                </c:pt>
                <c:pt idx="94">
                  <c:v>28688933.666477986</c:v>
                </c:pt>
                <c:pt idx="95">
                  <c:v>30323554.715799019</c:v>
                </c:pt>
                <c:pt idx="96">
                  <c:v>31005526.659253106</c:v>
                </c:pt>
                <c:pt idx="97">
                  <c:v>29594499.321009744</c:v>
                </c:pt>
                <c:pt idx="98">
                  <c:v>29798111.140719973</c:v>
                </c:pt>
                <c:pt idx="99">
                  <c:v>28124017.754264444</c:v>
                </c:pt>
                <c:pt idx="100">
                  <c:v>28377409.211553395</c:v>
                </c:pt>
                <c:pt idx="101">
                  <c:v>29291725.627725594</c:v>
                </c:pt>
                <c:pt idx="102">
                  <c:v>31222447.704485036</c:v>
                </c:pt>
                <c:pt idx="103">
                  <c:v>30789733.338865802</c:v>
                </c:pt>
                <c:pt idx="104">
                  <c:v>28631900.087196477</c:v>
                </c:pt>
                <c:pt idx="105">
                  <c:v>28184219.457138751</c:v>
                </c:pt>
                <c:pt idx="106">
                  <c:v>28688933.666477986</c:v>
                </c:pt>
                <c:pt idx="107">
                  <c:v>30323554.715799019</c:v>
                </c:pt>
                <c:pt idx="108">
                  <c:v>31005526.659253106</c:v>
                </c:pt>
                <c:pt idx="109">
                  <c:v>29181332.123941042</c:v>
                </c:pt>
                <c:pt idx="110">
                  <c:v>29798111.140719973</c:v>
                </c:pt>
                <c:pt idx="111">
                  <c:v>28124017.754264444</c:v>
                </c:pt>
                <c:pt idx="112">
                  <c:v>28377409.211553395</c:v>
                </c:pt>
                <c:pt idx="113">
                  <c:v>29291725.627725594</c:v>
                </c:pt>
                <c:pt idx="114">
                  <c:v>31222447.704485036</c:v>
                </c:pt>
                <c:pt idx="115">
                  <c:v>30789733.338865802</c:v>
                </c:pt>
                <c:pt idx="116">
                  <c:v>28631900.087196477</c:v>
                </c:pt>
                <c:pt idx="117">
                  <c:v>28184219.457138751</c:v>
                </c:pt>
                <c:pt idx="118">
                  <c:v>28688933.666477986</c:v>
                </c:pt>
                <c:pt idx="119">
                  <c:v>30323554.715799019</c:v>
                </c:pt>
                <c:pt idx="120">
                  <c:v>31005526.659253106</c:v>
                </c:pt>
                <c:pt idx="121">
                  <c:v>29181332.123941042</c:v>
                </c:pt>
                <c:pt idx="122">
                  <c:v>29798111.140719973</c:v>
                </c:pt>
                <c:pt idx="123">
                  <c:v>28124017.754264444</c:v>
                </c:pt>
                <c:pt idx="124">
                  <c:v>28377409.211553395</c:v>
                </c:pt>
                <c:pt idx="125">
                  <c:v>29291725.627725594</c:v>
                </c:pt>
                <c:pt idx="126">
                  <c:v>31222447.704485036</c:v>
                </c:pt>
                <c:pt idx="127">
                  <c:v>30789733.338865802</c:v>
                </c:pt>
                <c:pt idx="128">
                  <c:v>28631900.087196477</c:v>
                </c:pt>
                <c:pt idx="129">
                  <c:v>28184219.457138751</c:v>
                </c:pt>
                <c:pt idx="130">
                  <c:v>28688933.666477986</c:v>
                </c:pt>
                <c:pt idx="131">
                  <c:v>30323554.715799019</c:v>
                </c:pt>
                <c:pt idx="132">
                  <c:v>31005526.659253106</c:v>
                </c:pt>
                <c:pt idx="133">
                  <c:v>29594499.321009744</c:v>
                </c:pt>
                <c:pt idx="134">
                  <c:v>29798111.140719973</c:v>
                </c:pt>
                <c:pt idx="135">
                  <c:v>28124017.754264444</c:v>
                </c:pt>
                <c:pt idx="136">
                  <c:v>28377409.211553395</c:v>
                </c:pt>
                <c:pt idx="137">
                  <c:v>29291725.627725594</c:v>
                </c:pt>
                <c:pt idx="138">
                  <c:v>31222447.704485036</c:v>
                </c:pt>
                <c:pt idx="139">
                  <c:v>30789733.338865802</c:v>
                </c:pt>
                <c:pt idx="140">
                  <c:v>28631900.087196477</c:v>
                </c:pt>
                <c:pt idx="141">
                  <c:v>28184219.457138751</c:v>
                </c:pt>
                <c:pt idx="142">
                  <c:v>28688933.666477986</c:v>
                </c:pt>
                <c:pt idx="143">
                  <c:v>30323554.715799019</c:v>
                </c:pt>
                <c:pt idx="144">
                  <c:v>31005526.659253106</c:v>
                </c:pt>
                <c:pt idx="145">
                  <c:v>29181332.123941042</c:v>
                </c:pt>
                <c:pt idx="146">
                  <c:v>29798111.140719973</c:v>
                </c:pt>
                <c:pt idx="147">
                  <c:v>28124017.754264444</c:v>
                </c:pt>
                <c:pt idx="148">
                  <c:v>28377409.211553395</c:v>
                </c:pt>
                <c:pt idx="149">
                  <c:v>29291725.627725594</c:v>
                </c:pt>
                <c:pt idx="150">
                  <c:v>31222447.704485036</c:v>
                </c:pt>
                <c:pt idx="151">
                  <c:v>30789733.338865802</c:v>
                </c:pt>
                <c:pt idx="152">
                  <c:v>28631900.087196477</c:v>
                </c:pt>
                <c:pt idx="153">
                  <c:v>28184219.457138751</c:v>
                </c:pt>
                <c:pt idx="154">
                  <c:v>28688933.666477986</c:v>
                </c:pt>
                <c:pt idx="155">
                  <c:v>30323554.715799019</c:v>
                </c:pt>
                <c:pt idx="156">
                  <c:v>31005526.659253106</c:v>
                </c:pt>
                <c:pt idx="157">
                  <c:v>29181332.123941042</c:v>
                </c:pt>
                <c:pt idx="158">
                  <c:v>29798111.140719973</c:v>
                </c:pt>
                <c:pt idx="159">
                  <c:v>28124017.754264444</c:v>
                </c:pt>
                <c:pt idx="160">
                  <c:v>28377409.211553395</c:v>
                </c:pt>
                <c:pt idx="161">
                  <c:v>29291725.627725594</c:v>
                </c:pt>
                <c:pt idx="162">
                  <c:v>31222447.704485036</c:v>
                </c:pt>
                <c:pt idx="163">
                  <c:v>30789733.338865802</c:v>
                </c:pt>
                <c:pt idx="164">
                  <c:v>28631900.087196477</c:v>
                </c:pt>
                <c:pt idx="165">
                  <c:v>28184219.457138751</c:v>
                </c:pt>
                <c:pt idx="166">
                  <c:v>28688933.666477986</c:v>
                </c:pt>
                <c:pt idx="167">
                  <c:v>30323554.715799019</c:v>
                </c:pt>
                <c:pt idx="168">
                  <c:v>31005526.659253106</c:v>
                </c:pt>
                <c:pt idx="169">
                  <c:v>29594499.321009744</c:v>
                </c:pt>
                <c:pt idx="170">
                  <c:v>29798111.140719973</c:v>
                </c:pt>
                <c:pt idx="171">
                  <c:v>28124017.754264444</c:v>
                </c:pt>
                <c:pt idx="172">
                  <c:v>28377409.211553395</c:v>
                </c:pt>
                <c:pt idx="173">
                  <c:v>29291725.627725594</c:v>
                </c:pt>
                <c:pt idx="174">
                  <c:v>31222447.704485036</c:v>
                </c:pt>
                <c:pt idx="175">
                  <c:v>30789733.338865802</c:v>
                </c:pt>
                <c:pt idx="176">
                  <c:v>28631900.087196477</c:v>
                </c:pt>
                <c:pt idx="177">
                  <c:v>28184219.457138751</c:v>
                </c:pt>
                <c:pt idx="178">
                  <c:v>28688933.666477986</c:v>
                </c:pt>
                <c:pt idx="179">
                  <c:v>30323554.715799019</c:v>
                </c:pt>
                <c:pt idx="180">
                  <c:v>31005526.659253106</c:v>
                </c:pt>
                <c:pt idx="181">
                  <c:v>29181332.123941042</c:v>
                </c:pt>
                <c:pt idx="182">
                  <c:v>29798111.140719973</c:v>
                </c:pt>
                <c:pt idx="183">
                  <c:v>28124017.754264444</c:v>
                </c:pt>
                <c:pt idx="184">
                  <c:v>28377409.211553395</c:v>
                </c:pt>
                <c:pt idx="185">
                  <c:v>29291725.627725594</c:v>
                </c:pt>
                <c:pt idx="186">
                  <c:v>31222447.704485036</c:v>
                </c:pt>
                <c:pt idx="187">
                  <c:v>30789733.338865802</c:v>
                </c:pt>
                <c:pt idx="188">
                  <c:v>28631900.087196477</c:v>
                </c:pt>
                <c:pt idx="189">
                  <c:v>28184219.457138751</c:v>
                </c:pt>
                <c:pt idx="190">
                  <c:v>28688933.666477986</c:v>
                </c:pt>
                <c:pt idx="191">
                  <c:v>30323554.715799019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50-4466-8A06-A2CAC4C09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Weather!$AA$1</c:f>
              <c:strCache>
                <c:ptCount val="1"/>
                <c:pt idx="0">
                  <c:v> WRZ_GS50to2999kWh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Weather!$Q$14:$Q$145</c:f>
              <c:numCache>
                <c:formatCode>0</c:formatCode>
                <c:ptCount val="132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  <c:pt idx="120">
                  <c:v>-5.6266129032258068</c:v>
                </c:pt>
                <c:pt idx="121">
                  <c:v>-5.7592261904761912</c:v>
                </c:pt>
                <c:pt idx="122">
                  <c:v>1.2700268817204301</c:v>
                </c:pt>
                <c:pt idx="123">
                  <c:v>6.2719444444444443</c:v>
                </c:pt>
                <c:pt idx="124">
                  <c:v>12.868682795698925</c:v>
                </c:pt>
                <c:pt idx="125">
                  <c:v>19.441388888888891</c:v>
                </c:pt>
                <c:pt idx="126">
                  <c:v>22.816599462365595</c:v>
                </c:pt>
                <c:pt idx="127">
                  <c:v>20.383467741935487</c:v>
                </c:pt>
                <c:pt idx="128">
                  <c:v>17.070277777777775</c:v>
                </c:pt>
                <c:pt idx="129">
                  <c:v>10.918682795698926</c:v>
                </c:pt>
                <c:pt idx="130">
                  <c:v>2.6462499999999998</c:v>
                </c:pt>
                <c:pt idx="131">
                  <c:v>-4.0064516129032253</c:v>
                </c:pt>
              </c:numCache>
            </c:numRef>
          </c:xVal>
          <c:yVal>
            <c:numRef>
              <c:f>Weather!$AA$14:$AA$145</c:f>
              <c:numCache>
                <c:formatCode>_-* #,##0_-;\-* #,##0_-;_-* "-"??_-;_-@_-</c:formatCode>
                <c:ptCount val="132"/>
                <c:pt idx="12">
                  <c:v>30479657.856499549</c:v>
                </c:pt>
                <c:pt idx="13">
                  <c:v>29860209.647553287</c:v>
                </c:pt>
                <c:pt idx="14">
                  <c:v>28965707.460822575</c:v>
                </c:pt>
                <c:pt idx="15">
                  <c:v>27734037.547883518</c:v>
                </c:pt>
                <c:pt idx="16">
                  <c:v>27479675.090963673</c:v>
                </c:pt>
                <c:pt idx="17">
                  <c:v>28479494.513359349</c:v>
                </c:pt>
                <c:pt idx="18">
                  <c:v>29062275.881116781</c:v>
                </c:pt>
                <c:pt idx="19">
                  <c:v>31049623.776643649</c:v>
                </c:pt>
                <c:pt idx="20">
                  <c:v>29046642.300810564</c:v>
                </c:pt>
                <c:pt idx="21">
                  <c:v>27914943.481236864</c:v>
                </c:pt>
                <c:pt idx="22">
                  <c:v>27090703.668567996</c:v>
                </c:pt>
                <c:pt idx="23">
                  <c:v>27501318.570999697</c:v>
                </c:pt>
                <c:pt idx="24">
                  <c:v>29289183.327529266</c:v>
                </c:pt>
                <c:pt idx="25">
                  <c:v>26667171.679375559</c:v>
                </c:pt>
                <c:pt idx="26">
                  <c:v>27829498.235965174</c:v>
                </c:pt>
                <c:pt idx="27">
                  <c:v>26261545.779645748</c:v>
                </c:pt>
                <c:pt idx="28">
                  <c:v>26113958.215550885</c:v>
                </c:pt>
                <c:pt idx="29">
                  <c:v>27520202.202341639</c:v>
                </c:pt>
                <c:pt idx="30">
                  <c:v>26946433.969378561</c:v>
                </c:pt>
                <c:pt idx="31">
                  <c:v>27848042.528970275</c:v>
                </c:pt>
                <c:pt idx="32">
                  <c:v>28438429.156409487</c:v>
                </c:pt>
                <c:pt idx="33">
                  <c:v>26419075.977184027</c:v>
                </c:pt>
                <c:pt idx="34">
                  <c:v>28029100.623236265</c:v>
                </c:pt>
                <c:pt idx="35">
                  <c:v>28554675.299909934</c:v>
                </c:pt>
                <c:pt idx="36">
                  <c:v>31903706.716301411</c:v>
                </c:pt>
                <c:pt idx="37">
                  <c:v>27515243.364755329</c:v>
                </c:pt>
                <c:pt idx="38">
                  <c:v>27734501.7544281</c:v>
                </c:pt>
                <c:pt idx="39">
                  <c:v>26606366.799159411</c:v>
                </c:pt>
                <c:pt idx="40">
                  <c:v>26507399.233863704</c:v>
                </c:pt>
                <c:pt idx="41">
                  <c:v>27090917.965776045</c:v>
                </c:pt>
                <c:pt idx="42">
                  <c:v>28570245.456619631</c:v>
                </c:pt>
                <c:pt idx="43">
                  <c:v>29842141.348543979</c:v>
                </c:pt>
                <c:pt idx="44">
                  <c:v>29454586.456919841</c:v>
                </c:pt>
                <c:pt idx="45">
                  <c:v>27103451.273491442</c:v>
                </c:pt>
                <c:pt idx="46">
                  <c:v>27096579.650555387</c:v>
                </c:pt>
                <c:pt idx="47">
                  <c:v>27452864.682077449</c:v>
                </c:pt>
                <c:pt idx="48">
                  <c:v>29265287.752626836</c:v>
                </c:pt>
                <c:pt idx="49">
                  <c:v>28564722.627439205</c:v>
                </c:pt>
                <c:pt idx="50">
                  <c:v>27786798.093065143</c:v>
                </c:pt>
                <c:pt idx="51">
                  <c:v>26396250.985289704</c:v>
                </c:pt>
                <c:pt idx="52">
                  <c:v>25305876.241368957</c:v>
                </c:pt>
                <c:pt idx="53">
                  <c:v>25747854.736715697</c:v>
                </c:pt>
                <c:pt idx="54">
                  <c:v>28699950.102671865</c:v>
                </c:pt>
                <c:pt idx="55">
                  <c:v>29054092.267787453</c:v>
                </c:pt>
                <c:pt idx="56">
                  <c:v>26398557.579105373</c:v>
                </c:pt>
                <c:pt idx="57">
                  <c:v>25524089.035124585</c:v>
                </c:pt>
                <c:pt idx="58">
                  <c:v>26487151.015310716</c:v>
                </c:pt>
                <c:pt idx="59">
                  <c:v>27323088.052836984</c:v>
                </c:pt>
                <c:pt idx="60">
                  <c:v>28961716.097268086</c:v>
                </c:pt>
                <c:pt idx="61">
                  <c:v>26971126.354848392</c:v>
                </c:pt>
                <c:pt idx="62">
                  <c:v>25953277.338937253</c:v>
                </c:pt>
                <c:pt idx="63">
                  <c:v>23217912.007205043</c:v>
                </c:pt>
                <c:pt idx="64">
                  <c:v>22580547.775442809</c:v>
                </c:pt>
                <c:pt idx="65">
                  <c:v>27085779.65535875</c:v>
                </c:pt>
                <c:pt idx="66">
                  <c:v>27703464.357850492</c:v>
                </c:pt>
                <c:pt idx="67">
                  <c:v>26763819.278294802</c:v>
                </c:pt>
                <c:pt idx="68">
                  <c:v>24404719.995196633</c:v>
                </c:pt>
                <c:pt idx="69">
                  <c:v>24332698.610627439</c:v>
                </c:pt>
                <c:pt idx="70">
                  <c:v>24729733.139597718</c:v>
                </c:pt>
                <c:pt idx="71">
                  <c:v>27558032.408285797</c:v>
                </c:pt>
                <c:pt idx="72">
                  <c:v>27010629.389372561</c:v>
                </c:pt>
                <c:pt idx="73">
                  <c:v>25347446.258781146</c:v>
                </c:pt>
                <c:pt idx="74">
                  <c:v>25992829.377364151</c:v>
                </c:pt>
                <c:pt idx="75">
                  <c:v>22595018.202341639</c:v>
                </c:pt>
                <c:pt idx="76">
                  <c:v>22705006.727108978</c:v>
                </c:pt>
                <c:pt idx="77">
                  <c:v>25166298.08225758</c:v>
                </c:pt>
                <c:pt idx="78">
                  <c:v>26143882.951666165</c:v>
                </c:pt>
                <c:pt idx="79">
                  <c:v>28376901.043530468</c:v>
                </c:pt>
                <c:pt idx="80">
                  <c:v>24581678.573401377</c:v>
                </c:pt>
                <c:pt idx="81">
                  <c:v>24714568.377063941</c:v>
                </c:pt>
                <c:pt idx="82">
                  <c:v>25364482.305613928</c:v>
                </c:pt>
                <c:pt idx="83">
                  <c:v>26900922.418492943</c:v>
                </c:pt>
                <c:pt idx="84">
                  <c:v>28313425.128790151</c:v>
                </c:pt>
                <c:pt idx="85">
                  <c:v>25966260.731311917</c:v>
                </c:pt>
                <c:pt idx="86">
                  <c:v>27518785.162413687</c:v>
                </c:pt>
                <c:pt idx="87">
                  <c:v>24471131.08135695</c:v>
                </c:pt>
                <c:pt idx="88">
                  <c:v>24537272.891023714</c:v>
                </c:pt>
                <c:pt idx="89">
                  <c:v>25125409.834884416</c:v>
                </c:pt>
                <c:pt idx="90">
                  <c:v>27422479.553287297</c:v>
                </c:pt>
                <c:pt idx="91">
                  <c:v>28778089.731612127</c:v>
                </c:pt>
                <c:pt idx="92">
                  <c:v>25416625.676373459</c:v>
                </c:pt>
                <c:pt idx="93">
                  <c:v>24517100.431101769</c:v>
                </c:pt>
                <c:pt idx="94">
                  <c:v>25513740.267787453</c:v>
                </c:pt>
                <c:pt idx="95">
                  <c:v>27264639.596517563</c:v>
                </c:pt>
                <c:pt idx="96">
                  <c:v>27963079.147403181</c:v>
                </c:pt>
                <c:pt idx="97">
                  <c:v>26134336.201741219</c:v>
                </c:pt>
                <c:pt idx="98">
                  <c:v>27477208.670069046</c:v>
                </c:pt>
                <c:pt idx="99">
                  <c:v>23868061.588712096</c:v>
                </c:pt>
                <c:pt idx="100">
                  <c:v>24536432.062443707</c:v>
                </c:pt>
                <c:pt idx="101">
                  <c:v>25854813.752026416</c:v>
                </c:pt>
                <c:pt idx="102">
                  <c:v>27782777.976583607</c:v>
                </c:pt>
                <c:pt idx="103">
                  <c:v>27451208.886220351</c:v>
                </c:pt>
                <c:pt idx="104">
                  <c:v>26115023.370759532</c:v>
                </c:pt>
                <c:pt idx="105">
                  <c:v>25471471.620534372</c:v>
                </c:pt>
                <c:pt idx="106">
                  <c:v>26195991.238667063</c:v>
                </c:pt>
                <c:pt idx="107">
                  <c:v>26878698.135094564</c:v>
                </c:pt>
                <c:pt idx="108">
                  <c:v>29046052.082858</c:v>
                </c:pt>
                <c:pt idx="109">
                  <c:v>25996037.072350644</c:v>
                </c:pt>
                <c:pt idx="110">
                  <c:v>26327936.115280695</c:v>
                </c:pt>
                <c:pt idx="111">
                  <c:v>24566014.049834881</c:v>
                </c:pt>
                <c:pt idx="112">
                  <c:v>25232676.399879914</c:v>
                </c:pt>
                <c:pt idx="113">
                  <c:v>26291720.915040527</c:v>
                </c:pt>
                <c:pt idx="114">
                  <c:v>29017273.842089459</c:v>
                </c:pt>
                <c:pt idx="115">
                  <c:v>28724099.688982286</c:v>
                </c:pt>
                <c:pt idx="116">
                  <c:v>26766335.49084359</c:v>
                </c:pt>
                <c:pt idx="117">
                  <c:v>26205011.962773941</c:v>
                </c:pt>
                <c:pt idx="118">
                  <c:v>26286107.283098169</c:v>
                </c:pt>
                <c:pt idx="119">
                  <c:v>28997753.342539776</c:v>
                </c:pt>
                <c:pt idx="120">
                  <c:v>31145304.670069046</c:v>
                </c:pt>
                <c:pt idx="121">
                  <c:v>28020457.481837284</c:v>
                </c:pt>
                <c:pt idx="122">
                  <c:v>28775835.379165415</c:v>
                </c:pt>
                <c:pt idx="123">
                  <c:v>26291584.34584209</c:v>
                </c:pt>
                <c:pt idx="124">
                  <c:v>25919412.337436203</c:v>
                </c:pt>
                <c:pt idx="125">
                  <c:v>27521349.312518761</c:v>
                </c:pt>
                <c:pt idx="126">
                  <c:v>31093514.673071146</c:v>
                </c:pt>
                <c:pt idx="127">
                  <c:v>29694709.442209549</c:v>
                </c:pt>
                <c:pt idx="128">
                  <c:v>27616006.916841786</c:v>
                </c:pt>
                <c:pt idx="129">
                  <c:v>27419138.651456017</c:v>
                </c:pt>
                <c:pt idx="130">
                  <c:v>27686230.297208045</c:v>
                </c:pt>
                <c:pt idx="131">
                  <c:v>30469264.100870606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4B-44C1-B676-D472D77FE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582192"/>
        <c:axId val="523582672"/>
      </c:scatterChart>
      <c:valAx>
        <c:axId val="5235821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672"/>
        <c:crosses val="autoZero"/>
        <c:crossBetween val="midCat"/>
      </c:valAx>
      <c:valAx>
        <c:axId val="52358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GS 3,000 -</a:t>
            </a:r>
            <a:r>
              <a:rPr lang="en-CA" baseline="0"/>
              <a:t> 4,999</a:t>
            </a:r>
            <a:endParaRPr lang="en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A"/>
        </a:p>
      </c:txPr>
    </c:title>
    <c:autoTitleDeleted val="0"/>
    <c:plotArea>
      <c:layout>
        <c:manualLayout>
          <c:layoutTarget val="inner"/>
          <c:xMode val="edge"/>
          <c:yMode val="edge"/>
          <c:x val="0.12716334906354024"/>
          <c:y val="1.8737799477743105E-2"/>
          <c:w val="0.87283665093645979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'WRZ GS 3,000-4,999 Normalized'!$D$1</c:f>
              <c:strCache>
                <c:ptCount val="1"/>
                <c:pt idx="0">
                  <c:v>WRZ_GS3000to4999kWh_No_CDM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'WRZ GS 3,000-4,999 Normalized'!$A$2:$A$193</c:f>
              <c:numCache>
                <c:formatCode>mmm\-yy</c:formatCode>
                <c:ptCount val="19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45688</c:v>
                </c:pt>
                <c:pt idx="109">
                  <c:v>45716</c:v>
                </c:pt>
                <c:pt idx="110">
                  <c:v>45747</c:v>
                </c:pt>
                <c:pt idx="111">
                  <c:v>45777</c:v>
                </c:pt>
                <c:pt idx="112">
                  <c:v>45808</c:v>
                </c:pt>
                <c:pt idx="113">
                  <c:v>45838</c:v>
                </c:pt>
                <c:pt idx="114">
                  <c:v>45869</c:v>
                </c:pt>
                <c:pt idx="115">
                  <c:v>45900</c:v>
                </c:pt>
                <c:pt idx="116">
                  <c:v>45930</c:v>
                </c:pt>
                <c:pt idx="117">
                  <c:v>45961</c:v>
                </c:pt>
                <c:pt idx="118">
                  <c:v>45991</c:v>
                </c:pt>
                <c:pt idx="119">
                  <c:v>46022</c:v>
                </c:pt>
                <c:pt idx="120">
                  <c:v>46053</c:v>
                </c:pt>
                <c:pt idx="121">
                  <c:v>46081</c:v>
                </c:pt>
                <c:pt idx="122">
                  <c:v>46112</c:v>
                </c:pt>
                <c:pt idx="123">
                  <c:v>46142</c:v>
                </c:pt>
                <c:pt idx="124">
                  <c:v>46173</c:v>
                </c:pt>
                <c:pt idx="125">
                  <c:v>46203</c:v>
                </c:pt>
                <c:pt idx="126">
                  <c:v>46234</c:v>
                </c:pt>
                <c:pt idx="127">
                  <c:v>46265</c:v>
                </c:pt>
                <c:pt idx="128">
                  <c:v>46295</c:v>
                </c:pt>
                <c:pt idx="129">
                  <c:v>46326</c:v>
                </c:pt>
                <c:pt idx="130">
                  <c:v>46356</c:v>
                </c:pt>
                <c:pt idx="131">
                  <c:v>46387</c:v>
                </c:pt>
                <c:pt idx="132">
                  <c:v>46418</c:v>
                </c:pt>
                <c:pt idx="133">
                  <c:v>46446</c:v>
                </c:pt>
                <c:pt idx="134">
                  <c:v>46477</c:v>
                </c:pt>
                <c:pt idx="135">
                  <c:v>46507</c:v>
                </c:pt>
                <c:pt idx="136">
                  <c:v>46538</c:v>
                </c:pt>
                <c:pt idx="137">
                  <c:v>46568</c:v>
                </c:pt>
                <c:pt idx="138">
                  <c:v>46599</c:v>
                </c:pt>
                <c:pt idx="139">
                  <c:v>46630</c:v>
                </c:pt>
                <c:pt idx="140">
                  <c:v>46660</c:v>
                </c:pt>
                <c:pt idx="141">
                  <c:v>46691</c:v>
                </c:pt>
                <c:pt idx="142">
                  <c:v>46721</c:v>
                </c:pt>
                <c:pt idx="143">
                  <c:v>46752</c:v>
                </c:pt>
                <c:pt idx="144">
                  <c:v>46783</c:v>
                </c:pt>
                <c:pt idx="145">
                  <c:v>46812</c:v>
                </c:pt>
                <c:pt idx="146">
                  <c:v>46843</c:v>
                </c:pt>
                <c:pt idx="147">
                  <c:v>46873</c:v>
                </c:pt>
                <c:pt idx="148">
                  <c:v>46904</c:v>
                </c:pt>
                <c:pt idx="149">
                  <c:v>46934</c:v>
                </c:pt>
                <c:pt idx="150">
                  <c:v>46965</c:v>
                </c:pt>
                <c:pt idx="151">
                  <c:v>46996</c:v>
                </c:pt>
                <c:pt idx="152">
                  <c:v>47026</c:v>
                </c:pt>
                <c:pt idx="153">
                  <c:v>47057</c:v>
                </c:pt>
                <c:pt idx="154">
                  <c:v>47087</c:v>
                </c:pt>
                <c:pt idx="155">
                  <c:v>47118</c:v>
                </c:pt>
                <c:pt idx="156">
                  <c:v>47149</c:v>
                </c:pt>
                <c:pt idx="157">
                  <c:v>47177</c:v>
                </c:pt>
                <c:pt idx="158">
                  <c:v>47208</c:v>
                </c:pt>
                <c:pt idx="159">
                  <c:v>47238</c:v>
                </c:pt>
                <c:pt idx="160">
                  <c:v>47269</c:v>
                </c:pt>
                <c:pt idx="161">
                  <c:v>47299</c:v>
                </c:pt>
                <c:pt idx="162">
                  <c:v>47330</c:v>
                </c:pt>
                <c:pt idx="163">
                  <c:v>47361</c:v>
                </c:pt>
                <c:pt idx="164">
                  <c:v>47391</c:v>
                </c:pt>
                <c:pt idx="165">
                  <c:v>47422</c:v>
                </c:pt>
                <c:pt idx="166">
                  <c:v>47452</c:v>
                </c:pt>
                <c:pt idx="167">
                  <c:v>47483</c:v>
                </c:pt>
                <c:pt idx="168">
                  <c:v>47514</c:v>
                </c:pt>
                <c:pt idx="169">
                  <c:v>47542</c:v>
                </c:pt>
                <c:pt idx="170">
                  <c:v>47573</c:v>
                </c:pt>
                <c:pt idx="171">
                  <c:v>47603</c:v>
                </c:pt>
                <c:pt idx="172">
                  <c:v>47634</c:v>
                </c:pt>
                <c:pt idx="173">
                  <c:v>47664</c:v>
                </c:pt>
                <c:pt idx="174">
                  <c:v>47695</c:v>
                </c:pt>
                <c:pt idx="175">
                  <c:v>47726</c:v>
                </c:pt>
                <c:pt idx="176">
                  <c:v>47756</c:v>
                </c:pt>
                <c:pt idx="177">
                  <c:v>47787</c:v>
                </c:pt>
                <c:pt idx="178">
                  <c:v>47817</c:v>
                </c:pt>
                <c:pt idx="179">
                  <c:v>47848</c:v>
                </c:pt>
                <c:pt idx="180">
                  <c:v>47879</c:v>
                </c:pt>
                <c:pt idx="181">
                  <c:v>47907</c:v>
                </c:pt>
                <c:pt idx="182">
                  <c:v>47938</c:v>
                </c:pt>
                <c:pt idx="183">
                  <c:v>47968</c:v>
                </c:pt>
                <c:pt idx="184">
                  <c:v>47999</c:v>
                </c:pt>
                <c:pt idx="185">
                  <c:v>48029</c:v>
                </c:pt>
                <c:pt idx="186">
                  <c:v>48060</c:v>
                </c:pt>
                <c:pt idx="187">
                  <c:v>48091</c:v>
                </c:pt>
                <c:pt idx="188">
                  <c:v>48121</c:v>
                </c:pt>
                <c:pt idx="189">
                  <c:v>48152</c:v>
                </c:pt>
                <c:pt idx="190">
                  <c:v>48182</c:v>
                </c:pt>
                <c:pt idx="191">
                  <c:v>48213</c:v>
                </c:pt>
              </c:numCache>
            </c:numRef>
          </c:cat>
          <c:val>
            <c:numRef>
              <c:f>'WRZ GS 3,000-4,999 Normalized'!$D$2:$D$97</c:f>
              <c:numCache>
                <c:formatCode>_-* #,##0_-;\-* #,##0_-;_-* "-"??_-;_-@_-</c:formatCode>
                <c:ptCount val="96"/>
                <c:pt idx="0">
                  <c:v>5141689.2920646761</c:v>
                </c:pt>
                <c:pt idx="1">
                  <c:v>4809699.1898330748</c:v>
                </c:pt>
                <c:pt idx="2">
                  <c:v>5130404.1213526772</c:v>
                </c:pt>
                <c:pt idx="3">
                  <c:v>5035884.4723515455</c:v>
                </c:pt>
                <c:pt idx="4">
                  <c:v>5183993.704739036</c:v>
                </c:pt>
                <c:pt idx="5">
                  <c:v>5038786.8233367484</c:v>
                </c:pt>
                <c:pt idx="6">
                  <c:v>5334136.6439595334</c:v>
                </c:pt>
                <c:pt idx="7">
                  <c:v>5472457.9399921549</c:v>
                </c:pt>
                <c:pt idx="8">
                  <c:v>5238661.4443179285</c:v>
                </c:pt>
                <c:pt idx="9">
                  <c:v>5260263.3382290453</c:v>
                </c:pt>
                <c:pt idx="10">
                  <c:v>4992603.8049463341</c:v>
                </c:pt>
                <c:pt idx="11">
                  <c:v>4898980.9351158887</c:v>
                </c:pt>
                <c:pt idx="12">
                  <c:v>5119997.4039993146</c:v>
                </c:pt>
                <c:pt idx="13">
                  <c:v>4601619.7228876669</c:v>
                </c:pt>
                <c:pt idx="14">
                  <c:v>5259281.1449582772</c:v>
                </c:pt>
                <c:pt idx="15">
                  <c:v>5084683.9074339001</c:v>
                </c:pt>
                <c:pt idx="16">
                  <c:v>5243483.5551554263</c:v>
                </c:pt>
                <c:pt idx="17">
                  <c:v>5046822.5760688521</c:v>
                </c:pt>
                <c:pt idx="18">
                  <c:v>5118068.3086505514</c:v>
                </c:pt>
                <c:pt idx="19">
                  <c:v>5211369.4607115174</c:v>
                </c:pt>
                <c:pt idx="20">
                  <c:v>5099602.7342768228</c:v>
                </c:pt>
                <c:pt idx="21">
                  <c:v>5235669.247957848</c:v>
                </c:pt>
                <c:pt idx="22">
                  <c:v>5088964.4887362672</c:v>
                </c:pt>
                <c:pt idx="23">
                  <c:v>4788159.170208999</c:v>
                </c:pt>
                <c:pt idx="24">
                  <c:v>5177918.4467225913</c:v>
                </c:pt>
                <c:pt idx="25">
                  <c:v>4743168.4120744802</c:v>
                </c:pt>
                <c:pt idx="26">
                  <c:v>4925871.3668188471</c:v>
                </c:pt>
                <c:pt idx="27">
                  <c:v>6426291.0235882867</c:v>
                </c:pt>
                <c:pt idx="28">
                  <c:v>5941563.32259495</c:v>
                </c:pt>
                <c:pt idx="29">
                  <c:v>6220112.2464810722</c:v>
                </c:pt>
                <c:pt idx="30">
                  <c:v>6392674.0440412536</c:v>
                </c:pt>
                <c:pt idx="31">
                  <c:v>6364814.3179755919</c:v>
                </c:pt>
                <c:pt idx="32">
                  <c:v>6465049.1435010592</c:v>
                </c:pt>
                <c:pt idx="33">
                  <c:v>6295344.9429898821</c:v>
                </c:pt>
                <c:pt idx="34">
                  <c:v>6641521.1474931687</c:v>
                </c:pt>
                <c:pt idx="35">
                  <c:v>6850341.4503571112</c:v>
                </c:pt>
                <c:pt idx="36">
                  <c:v>6907801.7869382352</c:v>
                </c:pt>
                <c:pt idx="37">
                  <c:v>6478625.9176253611</c:v>
                </c:pt>
                <c:pt idx="38">
                  <c:v>7028510.2122469144</c:v>
                </c:pt>
                <c:pt idx="39">
                  <c:v>6635792.0382088702</c:v>
                </c:pt>
                <c:pt idx="40">
                  <c:v>6720394.8959933929</c:v>
                </c:pt>
                <c:pt idx="41">
                  <c:v>6574956.0565744443</c:v>
                </c:pt>
                <c:pt idx="42">
                  <c:v>6769475.7031728523</c:v>
                </c:pt>
                <c:pt idx="43">
                  <c:v>6841267.1337635471</c:v>
                </c:pt>
                <c:pt idx="44">
                  <c:v>6502345.3917409331</c:v>
                </c:pt>
                <c:pt idx="45">
                  <c:v>7017868.9438359672</c:v>
                </c:pt>
                <c:pt idx="46">
                  <c:v>6714473.4506079536</c:v>
                </c:pt>
                <c:pt idx="47">
                  <c:v>6876129.452076179</c:v>
                </c:pt>
                <c:pt idx="48">
                  <c:v>7331990.714216033</c:v>
                </c:pt>
                <c:pt idx="49">
                  <c:v>6829773.7946677273</c:v>
                </c:pt>
                <c:pt idx="50">
                  <c:v>7275369.0159101635</c:v>
                </c:pt>
                <c:pt idx="51">
                  <c:v>7443530.8234592555</c:v>
                </c:pt>
                <c:pt idx="52">
                  <c:v>7607514.4728598408</c:v>
                </c:pt>
                <c:pt idx="53">
                  <c:v>7438554.785712692</c:v>
                </c:pt>
                <c:pt idx="54">
                  <c:v>7827764.0860293815</c:v>
                </c:pt>
                <c:pt idx="55">
                  <c:v>7629281.0044752909</c:v>
                </c:pt>
                <c:pt idx="56">
                  <c:v>6954633.5641941009</c:v>
                </c:pt>
                <c:pt idx="57">
                  <c:v>6913489.8461887073</c:v>
                </c:pt>
                <c:pt idx="58">
                  <c:v>6722600.4965536129</c:v>
                </c:pt>
                <c:pt idx="59">
                  <c:v>7326414.6763302833</c:v>
                </c:pt>
                <c:pt idx="60">
                  <c:v>7897272.6694190977</c:v>
                </c:pt>
                <c:pt idx="61">
                  <c:v>7362682.0108770644</c:v>
                </c:pt>
                <c:pt idx="62">
                  <c:v>7681457.475768012</c:v>
                </c:pt>
                <c:pt idx="63">
                  <c:v>7342324.2617775705</c:v>
                </c:pt>
                <c:pt idx="64">
                  <c:v>7598741.2406511586</c:v>
                </c:pt>
                <c:pt idx="65">
                  <c:v>7414560.4567475058</c:v>
                </c:pt>
                <c:pt idx="66">
                  <c:v>7639183.1154668052</c:v>
                </c:pt>
                <c:pt idx="67">
                  <c:v>7851829.1396634411</c:v>
                </c:pt>
                <c:pt idx="68">
                  <c:v>7602094.9806392472</c:v>
                </c:pt>
                <c:pt idx="69">
                  <c:v>7675653.0202650055</c:v>
                </c:pt>
                <c:pt idx="70">
                  <c:v>7575112.0434973231</c:v>
                </c:pt>
                <c:pt idx="71">
                  <c:v>7578255.4254567362</c:v>
                </c:pt>
                <c:pt idx="72">
                  <c:v>8322920.9923291262</c:v>
                </c:pt>
                <c:pt idx="73">
                  <c:v>7689767.9800311103</c:v>
                </c:pt>
                <c:pt idx="74">
                  <c:v>8523568.1982056126</c:v>
                </c:pt>
                <c:pt idx="75">
                  <c:v>7575683.7587137679</c:v>
                </c:pt>
                <c:pt idx="76">
                  <c:v>7501786.368402251</c:v>
                </c:pt>
                <c:pt idx="77">
                  <c:v>7041647.5991129149</c:v>
                </c:pt>
                <c:pt idx="78">
                  <c:v>7624346.4383095959</c:v>
                </c:pt>
                <c:pt idx="79">
                  <c:v>7919911.400939256</c:v>
                </c:pt>
                <c:pt idx="80">
                  <c:v>7284083.0945235929</c:v>
                </c:pt>
                <c:pt idx="81">
                  <c:v>7816862.2423027232</c:v>
                </c:pt>
                <c:pt idx="82">
                  <c:v>7736024.7652023928</c:v>
                </c:pt>
                <c:pt idx="83">
                  <c:v>7349770.8368002307</c:v>
                </c:pt>
                <c:pt idx="84">
                  <c:v>8004724.5071544191</c:v>
                </c:pt>
                <c:pt idx="85">
                  <c:v>7496516.6737266537</c:v>
                </c:pt>
                <c:pt idx="86">
                  <c:v>7916052.7457955144</c:v>
                </c:pt>
                <c:pt idx="87">
                  <c:v>7189802.5787129765</c:v>
                </c:pt>
                <c:pt idx="88">
                  <c:v>7349692.0355455782</c:v>
                </c:pt>
                <c:pt idx="89">
                  <c:v>7037759.0815777946</c:v>
                </c:pt>
                <c:pt idx="90">
                  <c:v>7093177.9019590942</c:v>
                </c:pt>
                <c:pt idx="91">
                  <c:v>7842158.8534879349</c:v>
                </c:pt>
                <c:pt idx="92">
                  <c:v>7491489.718227963</c:v>
                </c:pt>
                <c:pt idx="93">
                  <c:v>7667399.4450702071</c:v>
                </c:pt>
                <c:pt idx="94">
                  <c:v>7487198.4004563289</c:v>
                </c:pt>
                <c:pt idx="95">
                  <c:v>7522038.6962474659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F3-41CE-BFC5-B25A054B7F83}"/>
            </c:ext>
          </c:extLst>
        </c:ser>
        <c:ser>
          <c:idx val="1"/>
          <c:order val="1"/>
          <c:tx>
            <c:strRef>
              <c:f>'WRZ GS 3,000-4,999 Normalized'!$M$1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'WRZ GS 3,000-4,999 Normalized'!$A$2:$A$193</c:f>
              <c:numCache>
                <c:formatCode>mmm\-yy</c:formatCode>
                <c:ptCount val="19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45688</c:v>
                </c:pt>
                <c:pt idx="109">
                  <c:v>45716</c:v>
                </c:pt>
                <c:pt idx="110">
                  <c:v>45747</c:v>
                </c:pt>
                <c:pt idx="111">
                  <c:v>45777</c:v>
                </c:pt>
                <c:pt idx="112">
                  <c:v>45808</c:v>
                </c:pt>
                <c:pt idx="113">
                  <c:v>45838</c:v>
                </c:pt>
                <c:pt idx="114">
                  <c:v>45869</c:v>
                </c:pt>
                <c:pt idx="115">
                  <c:v>45900</c:v>
                </c:pt>
                <c:pt idx="116">
                  <c:v>45930</c:v>
                </c:pt>
                <c:pt idx="117">
                  <c:v>45961</c:v>
                </c:pt>
                <c:pt idx="118">
                  <c:v>45991</c:v>
                </c:pt>
                <c:pt idx="119">
                  <c:v>46022</c:v>
                </c:pt>
                <c:pt idx="120">
                  <c:v>46053</c:v>
                </c:pt>
                <c:pt idx="121">
                  <c:v>46081</c:v>
                </c:pt>
                <c:pt idx="122">
                  <c:v>46112</c:v>
                </c:pt>
                <c:pt idx="123">
                  <c:v>46142</c:v>
                </c:pt>
                <c:pt idx="124">
                  <c:v>46173</c:v>
                </c:pt>
                <c:pt idx="125">
                  <c:v>46203</c:v>
                </c:pt>
                <c:pt idx="126">
                  <c:v>46234</c:v>
                </c:pt>
                <c:pt idx="127">
                  <c:v>46265</c:v>
                </c:pt>
                <c:pt idx="128">
                  <c:v>46295</c:v>
                </c:pt>
                <c:pt idx="129">
                  <c:v>46326</c:v>
                </c:pt>
                <c:pt idx="130">
                  <c:v>46356</c:v>
                </c:pt>
                <c:pt idx="131">
                  <c:v>46387</c:v>
                </c:pt>
                <c:pt idx="132">
                  <c:v>46418</c:v>
                </c:pt>
                <c:pt idx="133">
                  <c:v>46446</c:v>
                </c:pt>
                <c:pt idx="134">
                  <c:v>46477</c:v>
                </c:pt>
                <c:pt idx="135">
                  <c:v>46507</c:v>
                </c:pt>
                <c:pt idx="136">
                  <c:v>46538</c:v>
                </c:pt>
                <c:pt idx="137">
                  <c:v>46568</c:v>
                </c:pt>
                <c:pt idx="138">
                  <c:v>46599</c:v>
                </c:pt>
                <c:pt idx="139">
                  <c:v>46630</c:v>
                </c:pt>
                <c:pt idx="140">
                  <c:v>46660</c:v>
                </c:pt>
                <c:pt idx="141">
                  <c:v>46691</c:v>
                </c:pt>
                <c:pt idx="142">
                  <c:v>46721</c:v>
                </c:pt>
                <c:pt idx="143">
                  <c:v>46752</c:v>
                </c:pt>
                <c:pt idx="144">
                  <c:v>46783</c:v>
                </c:pt>
                <c:pt idx="145">
                  <c:v>46812</c:v>
                </c:pt>
                <c:pt idx="146">
                  <c:v>46843</c:v>
                </c:pt>
                <c:pt idx="147">
                  <c:v>46873</c:v>
                </c:pt>
                <c:pt idx="148">
                  <c:v>46904</c:v>
                </c:pt>
                <c:pt idx="149">
                  <c:v>46934</c:v>
                </c:pt>
                <c:pt idx="150">
                  <c:v>46965</c:v>
                </c:pt>
                <c:pt idx="151">
                  <c:v>46996</c:v>
                </c:pt>
                <c:pt idx="152">
                  <c:v>47026</c:v>
                </c:pt>
                <c:pt idx="153">
                  <c:v>47057</c:v>
                </c:pt>
                <c:pt idx="154">
                  <c:v>47087</c:v>
                </c:pt>
                <c:pt idx="155">
                  <c:v>47118</c:v>
                </c:pt>
                <c:pt idx="156">
                  <c:v>47149</c:v>
                </c:pt>
                <c:pt idx="157">
                  <c:v>47177</c:v>
                </c:pt>
                <c:pt idx="158">
                  <c:v>47208</c:v>
                </c:pt>
                <c:pt idx="159">
                  <c:v>47238</c:v>
                </c:pt>
                <c:pt idx="160">
                  <c:v>47269</c:v>
                </c:pt>
                <c:pt idx="161">
                  <c:v>47299</c:v>
                </c:pt>
                <c:pt idx="162">
                  <c:v>47330</c:v>
                </c:pt>
                <c:pt idx="163">
                  <c:v>47361</c:v>
                </c:pt>
                <c:pt idx="164">
                  <c:v>47391</c:v>
                </c:pt>
                <c:pt idx="165">
                  <c:v>47422</c:v>
                </c:pt>
                <c:pt idx="166">
                  <c:v>47452</c:v>
                </c:pt>
                <c:pt idx="167">
                  <c:v>47483</c:v>
                </c:pt>
                <c:pt idx="168">
                  <c:v>47514</c:v>
                </c:pt>
                <c:pt idx="169">
                  <c:v>47542</c:v>
                </c:pt>
                <c:pt idx="170">
                  <c:v>47573</c:v>
                </c:pt>
                <c:pt idx="171">
                  <c:v>47603</c:v>
                </c:pt>
                <c:pt idx="172">
                  <c:v>47634</c:v>
                </c:pt>
                <c:pt idx="173">
                  <c:v>47664</c:v>
                </c:pt>
                <c:pt idx="174">
                  <c:v>47695</c:v>
                </c:pt>
                <c:pt idx="175">
                  <c:v>47726</c:v>
                </c:pt>
                <c:pt idx="176">
                  <c:v>47756</c:v>
                </c:pt>
                <c:pt idx="177">
                  <c:v>47787</c:v>
                </c:pt>
                <c:pt idx="178">
                  <c:v>47817</c:v>
                </c:pt>
                <c:pt idx="179">
                  <c:v>47848</c:v>
                </c:pt>
                <c:pt idx="180">
                  <c:v>47879</c:v>
                </c:pt>
                <c:pt idx="181">
                  <c:v>47907</c:v>
                </c:pt>
                <c:pt idx="182">
                  <c:v>47938</c:v>
                </c:pt>
                <c:pt idx="183">
                  <c:v>47968</c:v>
                </c:pt>
                <c:pt idx="184">
                  <c:v>47999</c:v>
                </c:pt>
                <c:pt idx="185">
                  <c:v>48029</c:v>
                </c:pt>
                <c:pt idx="186">
                  <c:v>48060</c:v>
                </c:pt>
                <c:pt idx="187">
                  <c:v>48091</c:v>
                </c:pt>
                <c:pt idx="188">
                  <c:v>48121</c:v>
                </c:pt>
                <c:pt idx="189">
                  <c:v>48152</c:v>
                </c:pt>
                <c:pt idx="190">
                  <c:v>48182</c:v>
                </c:pt>
                <c:pt idx="191">
                  <c:v>48213</c:v>
                </c:pt>
              </c:numCache>
            </c:numRef>
          </c:cat>
          <c:val>
            <c:numRef>
              <c:f>'WRZ GS 3,000-4,999 Normalized'!$M$2:$M$193</c:f>
              <c:numCache>
                <c:formatCode>_-* #,##0_-;\-* #,##0_-;_-* "-"??_-;_-@_-</c:formatCode>
                <c:ptCount val="192"/>
                <c:pt idx="0">
                  <c:v>5172996.1460093865</c:v>
                </c:pt>
                <c:pt idx="1">
                  <c:v>4802230.2574554142</c:v>
                </c:pt>
                <c:pt idx="2">
                  <c:v>5172996.1460093865</c:v>
                </c:pt>
                <c:pt idx="3">
                  <c:v>4987613.2017323999</c:v>
                </c:pt>
                <c:pt idx="4">
                  <c:v>5172996.1460093865</c:v>
                </c:pt>
                <c:pt idx="5">
                  <c:v>4987613.2017323999</c:v>
                </c:pt>
                <c:pt idx="6">
                  <c:v>5172996.1460093865</c:v>
                </c:pt>
                <c:pt idx="7">
                  <c:v>5172996.1460093865</c:v>
                </c:pt>
                <c:pt idx="8">
                  <c:v>4987613.2017323999</c:v>
                </c:pt>
                <c:pt idx="9">
                  <c:v>5172996.1460093865</c:v>
                </c:pt>
                <c:pt idx="10">
                  <c:v>4987613.2017323999</c:v>
                </c:pt>
                <c:pt idx="11">
                  <c:v>5027804.5851114169</c:v>
                </c:pt>
                <c:pt idx="12">
                  <c:v>5172996.1460093865</c:v>
                </c:pt>
                <c:pt idx="13">
                  <c:v>4616847.3131784284</c:v>
                </c:pt>
                <c:pt idx="14">
                  <c:v>5172996.1460093865</c:v>
                </c:pt>
                <c:pt idx="15">
                  <c:v>4987613.2017323999</c:v>
                </c:pt>
                <c:pt idx="16">
                  <c:v>5172996.1460093865</c:v>
                </c:pt>
                <c:pt idx="17">
                  <c:v>4987613.2017323999</c:v>
                </c:pt>
                <c:pt idx="18">
                  <c:v>5172996.1460093865</c:v>
                </c:pt>
                <c:pt idx="19">
                  <c:v>5172996.1460093865</c:v>
                </c:pt>
                <c:pt idx="20">
                  <c:v>4987613.2017323999</c:v>
                </c:pt>
                <c:pt idx="21">
                  <c:v>5172996.1460093865</c:v>
                </c:pt>
                <c:pt idx="22">
                  <c:v>4987613.2017323999</c:v>
                </c:pt>
                <c:pt idx="23">
                  <c:v>5027804.5851114169</c:v>
                </c:pt>
                <c:pt idx="24">
                  <c:v>5365028.864396695</c:v>
                </c:pt>
                <c:pt idx="25">
                  <c:v>5000912.7499530455</c:v>
                </c:pt>
                <c:pt idx="26">
                  <c:v>5749094.3011713121</c:v>
                </c:pt>
                <c:pt idx="27">
                  <c:v>5755744.0752816349</c:v>
                </c:pt>
                <c:pt idx="28">
                  <c:v>6133159.7379459301</c:v>
                </c:pt>
                <c:pt idx="29">
                  <c:v>6139809.512056252</c:v>
                </c:pt>
                <c:pt idx="30">
                  <c:v>6517225.1747205472</c:v>
                </c:pt>
                <c:pt idx="31">
                  <c:v>6709257.8931078557</c:v>
                </c:pt>
                <c:pt idx="32">
                  <c:v>6715907.6672181776</c:v>
                </c:pt>
                <c:pt idx="33">
                  <c:v>7093323.3298824737</c:v>
                </c:pt>
                <c:pt idx="34">
                  <c:v>7099973.1039927956</c:v>
                </c:pt>
                <c:pt idx="35">
                  <c:v>7332197.2057591164</c:v>
                </c:pt>
                <c:pt idx="36">
                  <c:v>7477388.7666570861</c:v>
                </c:pt>
                <c:pt idx="37">
                  <c:v>6921239.933826128</c:v>
                </c:pt>
                <c:pt idx="38">
                  <c:v>7477388.7666570861</c:v>
                </c:pt>
                <c:pt idx="39">
                  <c:v>7292005.8223800994</c:v>
                </c:pt>
                <c:pt idx="40">
                  <c:v>7477388.7666570861</c:v>
                </c:pt>
                <c:pt idx="41">
                  <c:v>7292005.8223800994</c:v>
                </c:pt>
                <c:pt idx="42">
                  <c:v>7477388.7666570861</c:v>
                </c:pt>
                <c:pt idx="43">
                  <c:v>7477388.7666570861</c:v>
                </c:pt>
                <c:pt idx="44">
                  <c:v>7292005.8223800994</c:v>
                </c:pt>
                <c:pt idx="45">
                  <c:v>7477388.7666570861</c:v>
                </c:pt>
                <c:pt idx="46">
                  <c:v>7292005.8223800994</c:v>
                </c:pt>
                <c:pt idx="47">
                  <c:v>7332197.2057591164</c:v>
                </c:pt>
                <c:pt idx="48">
                  <c:v>7477388.7666570861</c:v>
                </c:pt>
                <c:pt idx="49">
                  <c:v>7106622.8781031137</c:v>
                </c:pt>
                <c:pt idx="50">
                  <c:v>7477388.7666570861</c:v>
                </c:pt>
                <c:pt idx="51">
                  <c:v>7292005.8223800994</c:v>
                </c:pt>
                <c:pt idx="52">
                  <c:v>7477388.7666570861</c:v>
                </c:pt>
                <c:pt idx="53">
                  <c:v>7292005.8223800994</c:v>
                </c:pt>
                <c:pt idx="54">
                  <c:v>7477388.7666570861</c:v>
                </c:pt>
                <c:pt idx="55">
                  <c:v>7477388.7666570861</c:v>
                </c:pt>
                <c:pt idx="56">
                  <c:v>7292005.8223800994</c:v>
                </c:pt>
                <c:pt idx="57">
                  <c:v>7477388.7666570861</c:v>
                </c:pt>
                <c:pt idx="58">
                  <c:v>7292005.8223800994</c:v>
                </c:pt>
                <c:pt idx="59">
                  <c:v>7332197.2057591164</c:v>
                </c:pt>
                <c:pt idx="60">
                  <c:v>7477388.7666570861</c:v>
                </c:pt>
                <c:pt idx="61">
                  <c:v>6921239.933826128</c:v>
                </c:pt>
                <c:pt idx="62">
                  <c:v>7477388.7666570861</c:v>
                </c:pt>
                <c:pt idx="63">
                  <c:v>7292005.8223800994</c:v>
                </c:pt>
                <c:pt idx="64">
                  <c:v>7477388.7666570861</c:v>
                </c:pt>
                <c:pt idx="65">
                  <c:v>7292005.8223800994</c:v>
                </c:pt>
                <c:pt idx="66">
                  <c:v>7477388.7666570861</c:v>
                </c:pt>
                <c:pt idx="67">
                  <c:v>7477388.7666570861</c:v>
                </c:pt>
                <c:pt idx="68">
                  <c:v>7292005.8223800994</c:v>
                </c:pt>
                <c:pt idx="69">
                  <c:v>7477388.7666570861</c:v>
                </c:pt>
                <c:pt idx="70">
                  <c:v>7292005.8223800994</c:v>
                </c:pt>
                <c:pt idx="71">
                  <c:v>7332197.2057591164</c:v>
                </c:pt>
                <c:pt idx="72">
                  <c:v>7477388.7666570861</c:v>
                </c:pt>
                <c:pt idx="73">
                  <c:v>6921239.933826128</c:v>
                </c:pt>
                <c:pt idx="74">
                  <c:v>7477388.7666570861</c:v>
                </c:pt>
                <c:pt idx="75">
                  <c:v>7292005.8223800994</c:v>
                </c:pt>
                <c:pt idx="76">
                  <c:v>7477388.7666570861</c:v>
                </c:pt>
                <c:pt idx="77">
                  <c:v>7292005.8223800994</c:v>
                </c:pt>
                <c:pt idx="78">
                  <c:v>7477388.7666570861</c:v>
                </c:pt>
                <c:pt idx="79">
                  <c:v>7477388.7666570861</c:v>
                </c:pt>
                <c:pt idx="80">
                  <c:v>7292005.8223800994</c:v>
                </c:pt>
                <c:pt idx="81">
                  <c:v>7477388.7666570861</c:v>
                </c:pt>
                <c:pt idx="82">
                  <c:v>7292005.8223800994</c:v>
                </c:pt>
                <c:pt idx="83">
                  <c:v>7332197.2057591164</c:v>
                </c:pt>
                <c:pt idx="84">
                  <c:v>7477388.7666570861</c:v>
                </c:pt>
                <c:pt idx="85">
                  <c:v>6921239.933826128</c:v>
                </c:pt>
                <c:pt idx="86">
                  <c:v>7477388.7666570861</c:v>
                </c:pt>
                <c:pt idx="87">
                  <c:v>7292005.8223800994</c:v>
                </c:pt>
                <c:pt idx="88">
                  <c:v>7477388.7666570861</c:v>
                </c:pt>
                <c:pt idx="89">
                  <c:v>7292005.8223800994</c:v>
                </c:pt>
                <c:pt idx="90">
                  <c:v>7477388.7666570861</c:v>
                </c:pt>
                <c:pt idx="91">
                  <c:v>7477388.7666570861</c:v>
                </c:pt>
                <c:pt idx="92">
                  <c:v>7292005.8223800994</c:v>
                </c:pt>
                <c:pt idx="93">
                  <c:v>7477388.7666570861</c:v>
                </c:pt>
                <c:pt idx="94">
                  <c:v>7292005.8223800994</c:v>
                </c:pt>
                <c:pt idx="95">
                  <c:v>7332197.2057591164</c:v>
                </c:pt>
                <c:pt idx="96">
                  <c:v>7477388.7666570861</c:v>
                </c:pt>
                <c:pt idx="97">
                  <c:v>7106622.8781031137</c:v>
                </c:pt>
                <c:pt idx="98">
                  <c:v>7477388.7666570861</c:v>
                </c:pt>
                <c:pt idx="99">
                  <c:v>7292005.8223800994</c:v>
                </c:pt>
                <c:pt idx="100">
                  <c:v>7477388.7666570861</c:v>
                </c:pt>
                <c:pt idx="101">
                  <c:v>7292005.8223800994</c:v>
                </c:pt>
                <c:pt idx="102">
                  <c:v>7477388.7666570861</c:v>
                </c:pt>
                <c:pt idx="103">
                  <c:v>7477388.7666570861</c:v>
                </c:pt>
                <c:pt idx="104">
                  <c:v>7292005.8223800994</c:v>
                </c:pt>
                <c:pt idx="105">
                  <c:v>7477388.7666570861</c:v>
                </c:pt>
                <c:pt idx="106">
                  <c:v>7292005.8223800994</c:v>
                </c:pt>
                <c:pt idx="107">
                  <c:v>7332197.2057591164</c:v>
                </c:pt>
                <c:pt idx="108">
                  <c:v>7477388.7666570861</c:v>
                </c:pt>
                <c:pt idx="109">
                  <c:v>6921239.933826128</c:v>
                </c:pt>
                <c:pt idx="110">
                  <c:v>7477388.7666570861</c:v>
                </c:pt>
                <c:pt idx="111">
                  <c:v>7292005.8223800994</c:v>
                </c:pt>
                <c:pt idx="112">
                  <c:v>7477388.7666570861</c:v>
                </c:pt>
                <c:pt idx="113">
                  <c:v>7292005.8223800994</c:v>
                </c:pt>
                <c:pt idx="114">
                  <c:v>7477388.7666570861</c:v>
                </c:pt>
                <c:pt idx="115">
                  <c:v>7477388.7666570861</c:v>
                </c:pt>
                <c:pt idx="116">
                  <c:v>7292005.8223800994</c:v>
                </c:pt>
                <c:pt idx="117">
                  <c:v>7477388.7666570861</c:v>
                </c:pt>
                <c:pt idx="118">
                  <c:v>7292005.8223800994</c:v>
                </c:pt>
                <c:pt idx="119">
                  <c:v>7332197.2057591164</c:v>
                </c:pt>
                <c:pt idx="120">
                  <c:v>7477388.7666570861</c:v>
                </c:pt>
                <c:pt idx="121">
                  <c:v>6921239.933826128</c:v>
                </c:pt>
                <c:pt idx="122">
                  <c:v>7477388.7666570861</c:v>
                </c:pt>
                <c:pt idx="123">
                  <c:v>7292005.8223800994</c:v>
                </c:pt>
                <c:pt idx="124">
                  <c:v>7477388.7666570861</c:v>
                </c:pt>
                <c:pt idx="125">
                  <c:v>7292005.8223800994</c:v>
                </c:pt>
                <c:pt idx="126">
                  <c:v>7477388.7666570861</c:v>
                </c:pt>
                <c:pt idx="127">
                  <c:v>7477388.7666570861</c:v>
                </c:pt>
                <c:pt idx="128">
                  <c:v>7292005.8223800994</c:v>
                </c:pt>
                <c:pt idx="129">
                  <c:v>7477388.7666570861</c:v>
                </c:pt>
                <c:pt idx="130">
                  <c:v>7292005.8223800994</c:v>
                </c:pt>
                <c:pt idx="131">
                  <c:v>7477388.7666570861</c:v>
                </c:pt>
                <c:pt idx="132">
                  <c:v>7477388.7666570861</c:v>
                </c:pt>
                <c:pt idx="133">
                  <c:v>7106622.8781031137</c:v>
                </c:pt>
                <c:pt idx="134">
                  <c:v>7477388.7666570861</c:v>
                </c:pt>
                <c:pt idx="135">
                  <c:v>7292005.8223800994</c:v>
                </c:pt>
                <c:pt idx="136">
                  <c:v>7477388.7666570861</c:v>
                </c:pt>
                <c:pt idx="137">
                  <c:v>7292005.8223800994</c:v>
                </c:pt>
                <c:pt idx="138">
                  <c:v>7477388.7666570861</c:v>
                </c:pt>
                <c:pt idx="139">
                  <c:v>7477388.7666570861</c:v>
                </c:pt>
                <c:pt idx="140">
                  <c:v>7292005.8223800994</c:v>
                </c:pt>
                <c:pt idx="141">
                  <c:v>7477388.7666570861</c:v>
                </c:pt>
                <c:pt idx="142">
                  <c:v>7292005.8223800994</c:v>
                </c:pt>
                <c:pt idx="143">
                  <c:v>7477388.7666570861</c:v>
                </c:pt>
                <c:pt idx="144">
                  <c:v>7477388.7666570861</c:v>
                </c:pt>
                <c:pt idx="145">
                  <c:v>6921239.933826128</c:v>
                </c:pt>
                <c:pt idx="146">
                  <c:v>7477388.7666570861</c:v>
                </c:pt>
                <c:pt idx="147">
                  <c:v>7292005.8223800994</c:v>
                </c:pt>
                <c:pt idx="148">
                  <c:v>7477388.7666570861</c:v>
                </c:pt>
                <c:pt idx="149">
                  <c:v>7292005.8223800994</c:v>
                </c:pt>
                <c:pt idx="150">
                  <c:v>7477388.7666570861</c:v>
                </c:pt>
                <c:pt idx="151">
                  <c:v>7477388.7666570861</c:v>
                </c:pt>
                <c:pt idx="152">
                  <c:v>7292005.8223800994</c:v>
                </c:pt>
                <c:pt idx="153">
                  <c:v>7477388.7666570861</c:v>
                </c:pt>
                <c:pt idx="154">
                  <c:v>7292005.8223800994</c:v>
                </c:pt>
                <c:pt idx="155">
                  <c:v>7477388.7666570861</c:v>
                </c:pt>
                <c:pt idx="156">
                  <c:v>7477388.7666570861</c:v>
                </c:pt>
                <c:pt idx="157">
                  <c:v>6921239.933826128</c:v>
                </c:pt>
                <c:pt idx="158">
                  <c:v>7477388.7666570861</c:v>
                </c:pt>
                <c:pt idx="159">
                  <c:v>7292005.8223800994</c:v>
                </c:pt>
                <c:pt idx="160">
                  <c:v>7477388.7666570861</c:v>
                </c:pt>
                <c:pt idx="161">
                  <c:v>7292005.8223800994</c:v>
                </c:pt>
                <c:pt idx="162">
                  <c:v>7477388.7666570861</c:v>
                </c:pt>
                <c:pt idx="163">
                  <c:v>7477388.7666570861</c:v>
                </c:pt>
                <c:pt idx="164">
                  <c:v>7292005.8223800994</c:v>
                </c:pt>
                <c:pt idx="165">
                  <c:v>7477388.7666570861</c:v>
                </c:pt>
                <c:pt idx="166">
                  <c:v>7292005.8223800994</c:v>
                </c:pt>
                <c:pt idx="167">
                  <c:v>7477388.7666570861</c:v>
                </c:pt>
                <c:pt idx="168">
                  <c:v>7477388.7666570861</c:v>
                </c:pt>
                <c:pt idx="169">
                  <c:v>7106622.8781031137</c:v>
                </c:pt>
                <c:pt idx="170">
                  <c:v>7477388.7666570861</c:v>
                </c:pt>
                <c:pt idx="171">
                  <c:v>7292005.8223800994</c:v>
                </c:pt>
                <c:pt idx="172">
                  <c:v>7477388.7666570861</c:v>
                </c:pt>
                <c:pt idx="173">
                  <c:v>7292005.8223800994</c:v>
                </c:pt>
                <c:pt idx="174">
                  <c:v>7477388.7666570861</c:v>
                </c:pt>
                <c:pt idx="175">
                  <c:v>7477388.7666570861</c:v>
                </c:pt>
                <c:pt idx="176">
                  <c:v>7292005.8223800994</c:v>
                </c:pt>
                <c:pt idx="177">
                  <c:v>7477388.7666570861</c:v>
                </c:pt>
                <c:pt idx="178">
                  <c:v>7292005.8223800994</c:v>
                </c:pt>
                <c:pt idx="179">
                  <c:v>7477388.7666570861</c:v>
                </c:pt>
                <c:pt idx="180">
                  <c:v>7477388.7666570861</c:v>
                </c:pt>
                <c:pt idx="181">
                  <c:v>6921239.933826128</c:v>
                </c:pt>
                <c:pt idx="182">
                  <c:v>7477388.7666570861</c:v>
                </c:pt>
                <c:pt idx="183">
                  <c:v>7292005.8223800994</c:v>
                </c:pt>
                <c:pt idx="184">
                  <c:v>7477388.7666570861</c:v>
                </c:pt>
                <c:pt idx="185">
                  <c:v>7292005.8223800994</c:v>
                </c:pt>
                <c:pt idx="186">
                  <c:v>7477388.7666570861</c:v>
                </c:pt>
                <c:pt idx="187">
                  <c:v>7477388.7666570861</c:v>
                </c:pt>
                <c:pt idx="188">
                  <c:v>7292005.8223800994</c:v>
                </c:pt>
                <c:pt idx="189">
                  <c:v>7477388.7666570861</c:v>
                </c:pt>
                <c:pt idx="190">
                  <c:v>7292005.8223800994</c:v>
                </c:pt>
                <c:pt idx="191">
                  <c:v>7477388.7666570861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F3-41CE-BFC5-B25A054B7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VRZ 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Summary'!$C$5:$C$21</c:f>
              <c:numCache>
                <c:formatCode>#,##0</c:formatCode>
                <c:ptCount val="16"/>
                <c:pt idx="0">
                  <c:v>915112945.17717803</c:v>
                </c:pt>
                <c:pt idx="1">
                  <c:v>860495844.41722929</c:v>
                </c:pt>
                <c:pt idx="2">
                  <c:v>934649898.43460441</c:v>
                </c:pt>
                <c:pt idx="3">
                  <c:v>911810351.49413323</c:v>
                </c:pt>
                <c:pt idx="4">
                  <c:v>986594181.70185447</c:v>
                </c:pt>
                <c:pt idx="5">
                  <c:v>979049816.42103958</c:v>
                </c:pt>
                <c:pt idx="6">
                  <c:v>970911458.52476048</c:v>
                </c:pt>
                <c:pt idx="7">
                  <c:v>962244781.52788401</c:v>
                </c:pt>
                <c:pt idx="8">
                  <c:v>1004549490.8056266</c:v>
                </c:pt>
                <c:pt idx="9">
                  <c:v>1029025835.5756625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01-492F-954D-A9DFE15E8ED9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Summary'!$E$5:$E$21</c:f>
              <c:numCache>
                <c:formatCode>#,##0</c:formatCode>
                <c:ptCount val="16"/>
                <c:pt idx="0">
                  <c:v>930781392.84004951</c:v>
                </c:pt>
                <c:pt idx="1">
                  <c:v>893290489.68808842</c:v>
                </c:pt>
                <c:pt idx="2">
                  <c:v>976352700.69590151</c:v>
                </c:pt>
                <c:pt idx="3">
                  <c:v>954849499.7856741</c:v>
                </c:pt>
                <c:pt idx="4">
                  <c:v>1026995070.1147552</c:v>
                </c:pt>
                <c:pt idx="5">
                  <c:v>1016190676.3380977</c:v>
                </c:pt>
                <c:pt idx="6">
                  <c:v>1002515321.824033</c:v>
                </c:pt>
                <c:pt idx="7">
                  <c:v>988358680.59087169</c:v>
                </c:pt>
                <c:pt idx="8">
                  <c:v>1026061378.5316277</c:v>
                </c:pt>
                <c:pt idx="9">
                  <c:v>1045222584.8829026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01-492F-954D-A9DFE15E8ED9}"/>
            </c:ext>
          </c:extLst>
        </c:ser>
        <c:ser>
          <c:idx val="2"/>
          <c:order val="2"/>
          <c:tx>
            <c:strRef>
              <c:f>'Normalized Annual Summary'!$F$3</c:f>
              <c:strCache>
                <c:ptCount val="1"/>
                <c:pt idx="0">
                  <c:v>Normal Predicted 
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Summary'!$F$5:$F$21</c:f>
              <c:numCache>
                <c:formatCode>#,##0</c:formatCode>
                <c:ptCount val="16"/>
                <c:pt idx="0">
                  <c:v>912212773.76520073</c:v>
                </c:pt>
                <c:pt idx="1">
                  <c:v>925745432.90255678</c:v>
                </c:pt>
                <c:pt idx="2">
                  <c:v>941811093.76626563</c:v>
                </c:pt>
                <c:pt idx="3">
                  <c:v>958711686.64893556</c:v>
                </c:pt>
                <c:pt idx="4">
                  <c:v>1005302277.5530121</c:v>
                </c:pt>
                <c:pt idx="5">
                  <c:v>1023218223.1371634</c:v>
                </c:pt>
                <c:pt idx="6">
                  <c:v>1030229801.8591908</c:v>
                </c:pt>
                <c:pt idx="7">
                  <c:v>1036809676.8295399</c:v>
                </c:pt>
                <c:pt idx="8">
                  <c:v>1061057768.2562079</c:v>
                </c:pt>
                <c:pt idx="9">
                  <c:v>1084637822.572552</c:v>
                </c:pt>
                <c:pt idx="10">
                  <c:v>1108278710.0654449</c:v>
                </c:pt>
                <c:pt idx="11">
                  <c:v>1133052725.8399596</c:v>
                </c:pt>
                <c:pt idx="12">
                  <c:v>1160781122.5992265</c:v>
                </c:pt>
                <c:pt idx="13">
                  <c:v>1187096259.5808895</c:v>
                </c:pt>
                <c:pt idx="14">
                  <c:v>1217137717.7432864</c:v>
                </c:pt>
                <c:pt idx="15">
                  <c:v>1248390640.5551538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01-492F-954D-A9DFE15E8ED9}"/>
            </c:ext>
          </c:extLst>
        </c:ser>
        <c:ser>
          <c:idx val="3"/>
          <c:order val="3"/>
          <c:tx>
            <c:strRef>
              <c:f>'Normalized Annual Summary'!$H$3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Summary'!$H$5:$H$21</c:f>
              <c:numCache>
                <c:formatCode>#,##0</c:formatCode>
                <c:ptCount val="16"/>
                <c:pt idx="0">
                  <c:v>896544326.10232937</c:v>
                </c:pt>
                <c:pt idx="1">
                  <c:v>892705907.68241382</c:v>
                </c:pt>
                <c:pt idx="2">
                  <c:v>899004724.32434869</c:v>
                </c:pt>
                <c:pt idx="3">
                  <c:v>912875351.92647827</c:v>
                </c:pt>
                <c:pt idx="4">
                  <c:v>959324334.49015152</c:v>
                </c:pt>
                <c:pt idx="5">
                  <c:v>977093687.81521428</c:v>
                </c:pt>
                <c:pt idx="6">
                  <c:v>984055049.26958799</c:v>
                </c:pt>
                <c:pt idx="7">
                  <c:v>990628495.68452442</c:v>
                </c:pt>
                <c:pt idx="8">
                  <c:v>1012356675.0981852</c:v>
                </c:pt>
                <c:pt idx="9">
                  <c:v>1030959592.7050183</c:v>
                </c:pt>
                <c:pt idx="10">
                  <c:v>1060751929.6594411</c:v>
                </c:pt>
                <c:pt idx="11">
                  <c:v>1085928812.738508</c:v>
                </c:pt>
                <c:pt idx="12">
                  <c:v>1113961540.369648</c:v>
                </c:pt>
                <c:pt idx="13">
                  <c:v>1140563505.6885211</c:v>
                </c:pt>
                <c:pt idx="14">
                  <c:v>1173549340.8189335</c:v>
                </c:pt>
                <c:pt idx="15">
                  <c:v>1208738432.9460368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01-492F-954D-A9DFE15E8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  <c:min val="6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VRZ Seasonal 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Summary'!$M$3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Summary'!$L$5:$L$21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Summary'!$M$5:$M$21</c:f>
              <c:numCache>
                <c:formatCode>#,##0</c:formatCode>
                <c:ptCount val="16"/>
                <c:pt idx="0">
                  <c:v>9051572.815264266</c:v>
                </c:pt>
                <c:pt idx="1">
                  <c:v>9456862.8725147881</c:v>
                </c:pt>
                <c:pt idx="2">
                  <c:v>10033713.471751574</c:v>
                </c:pt>
                <c:pt idx="3">
                  <c:v>10358890.180652544</c:v>
                </c:pt>
                <c:pt idx="4">
                  <c:v>11810325.210704066</c:v>
                </c:pt>
                <c:pt idx="5">
                  <c:v>12014859.141223051</c:v>
                </c:pt>
                <c:pt idx="6">
                  <c:v>12020836.275310056</c:v>
                </c:pt>
                <c:pt idx="7">
                  <c:v>11612873.390622018</c:v>
                </c:pt>
                <c:pt idx="8">
                  <c:v>11668301.471916554</c:v>
                </c:pt>
                <c:pt idx="9">
                  <c:v>12704009.788637662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E-4D30-B4BD-64C44858C0ED}"/>
            </c:ext>
          </c:extLst>
        </c:ser>
        <c:ser>
          <c:idx val="1"/>
          <c:order val="1"/>
          <c:tx>
            <c:strRef>
              <c:f>'Normalized Annual Summary'!$O$3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Summary'!$L$5:$L$21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Summary'!$O$5:$O$21</c:f>
              <c:numCache>
                <c:formatCode>#,##0</c:formatCode>
                <c:ptCount val="16"/>
                <c:pt idx="0">
                  <c:v>9231036.1371730156</c:v>
                </c:pt>
                <c:pt idx="1">
                  <c:v>9835291.1047094334</c:v>
                </c:pt>
                <c:pt idx="2">
                  <c:v>10524009.219243117</c:v>
                </c:pt>
                <c:pt idx="3">
                  <c:v>10883890.555316722</c:v>
                </c:pt>
                <c:pt idx="4">
                  <c:v>12336947.539484285</c:v>
                </c:pt>
                <c:pt idx="5">
                  <c:v>12543160.508944979</c:v>
                </c:pt>
                <c:pt idx="6">
                  <c:v>12549712.821751935</c:v>
                </c:pt>
                <c:pt idx="7">
                  <c:v>12141822.564793887</c:v>
                </c:pt>
                <c:pt idx="8">
                  <c:v>12226101.763397139</c:v>
                </c:pt>
                <c:pt idx="9">
                  <c:v>13318792.6977387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1E-4D30-B4BD-64C44858C0ED}"/>
            </c:ext>
          </c:extLst>
        </c:ser>
        <c:ser>
          <c:idx val="2"/>
          <c:order val="2"/>
          <c:tx>
            <c:strRef>
              <c:f>'Normalized Annual Summary'!$P$3</c:f>
              <c:strCache>
                <c:ptCount val="1"/>
                <c:pt idx="0">
                  <c:v>Normal 
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Summary'!$L$5:$L$21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Summary'!$P$5:$P$21</c:f>
              <c:numCache>
                <c:formatCode>#,##0</c:formatCode>
                <c:ptCount val="16"/>
                <c:pt idx="0">
                  <c:v>9086858.9921838641</c:v>
                </c:pt>
                <c:pt idx="1">
                  <c:v>9419884.5382634029</c:v>
                </c:pt>
                <c:pt idx="2">
                  <c:v>9799431.8497510348</c:v>
                </c:pt>
                <c:pt idx="3">
                  <c:v>10190714.703372158</c:v>
                </c:pt>
                <c:pt idx="4">
                  <c:v>11453557.358991215</c:v>
                </c:pt>
                <c:pt idx="5">
                  <c:v>11952607.019384075</c:v>
                </c:pt>
                <c:pt idx="6">
                  <c:v>11965311.471165352</c:v>
                </c:pt>
                <c:pt idx="7">
                  <c:v>11881209.300509991</c:v>
                </c:pt>
                <c:pt idx="8">
                  <c:v>12376747.797103334</c:v>
                </c:pt>
                <c:pt idx="9">
                  <c:v>12831182.139277501</c:v>
                </c:pt>
                <c:pt idx="10">
                  <c:v>13302104.407652184</c:v>
                </c:pt>
                <c:pt idx="11">
                  <c:v>13824325.580122944</c:v>
                </c:pt>
                <c:pt idx="12">
                  <c:v>14282265.153925531</c:v>
                </c:pt>
                <c:pt idx="13">
                  <c:v>14809216.462379646</c:v>
                </c:pt>
                <c:pt idx="14">
                  <c:v>15396703.374084229</c:v>
                </c:pt>
                <c:pt idx="15">
                  <c:v>15922532.345976315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1E-4D30-B4BD-64C44858C0ED}"/>
            </c:ext>
          </c:extLst>
        </c:ser>
        <c:ser>
          <c:idx val="3"/>
          <c:order val="3"/>
          <c:tx>
            <c:strRef>
              <c:f>'Normalized Annual Summary'!$R$3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Summary'!$L$5:$L$21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Summary'!$R$5:$R$21</c:f>
              <c:numCache>
                <c:formatCode>#,##0</c:formatCode>
                <c:ptCount val="16"/>
                <c:pt idx="0">
                  <c:v>8907395.6702751145</c:v>
                </c:pt>
                <c:pt idx="1">
                  <c:v>9041456.3060687557</c:v>
                </c:pt>
                <c:pt idx="2">
                  <c:v>9309136.1022594962</c:v>
                </c:pt>
                <c:pt idx="3">
                  <c:v>9665714.32870798</c:v>
                </c:pt>
                <c:pt idx="4">
                  <c:v>10926935.030210998</c:v>
                </c:pt>
                <c:pt idx="5">
                  <c:v>11424305.651662145</c:v>
                </c:pt>
                <c:pt idx="6">
                  <c:v>11436434.924723472</c:v>
                </c:pt>
                <c:pt idx="7">
                  <c:v>11352260.126338122</c:v>
                </c:pt>
                <c:pt idx="8">
                  <c:v>11818947.505622752</c:v>
                </c:pt>
                <c:pt idx="9">
                  <c:v>12216399.230176462</c:v>
                </c:pt>
                <c:pt idx="10">
                  <c:v>12757753.244207958</c:v>
                </c:pt>
                <c:pt idx="11">
                  <c:v>13284588.768183464</c:v>
                </c:pt>
                <c:pt idx="12">
                  <c:v>13746014.055488827</c:v>
                </c:pt>
                <c:pt idx="13">
                  <c:v>14276250.620675886</c:v>
                </c:pt>
                <c:pt idx="14">
                  <c:v>14897461.843897825</c:v>
                </c:pt>
                <c:pt idx="15">
                  <c:v>15468374.915689183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1E-4D30-B4BD-64C44858C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75968"/>
        <c:axId val="177885952"/>
      </c:lineChart>
      <c:catAx>
        <c:axId val="17787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885952"/>
        <c:crosses val="autoZero"/>
        <c:auto val="1"/>
        <c:lblAlgn val="ctr"/>
        <c:lblOffset val="100"/>
        <c:noMultiLvlLbl val="0"/>
      </c:catAx>
      <c:valAx>
        <c:axId val="177885952"/>
        <c:scaling>
          <c:orientation val="minMax"/>
          <c:min val="6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87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685006509185803E-2"/>
          <c:y val="0.8509923345674506"/>
          <c:w val="0.9620622153021775"/>
          <c:h val="0.12251759920738385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VRZ 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'Normalized Annual Summary'!$W$3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Summary'!$V$5:$V$21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Summary'!$W$5:$W$21</c:f>
              <c:numCache>
                <c:formatCode>#,##0</c:formatCode>
                <c:ptCount val="16"/>
                <c:pt idx="0">
                  <c:v>271038059.0962218</c:v>
                </c:pt>
                <c:pt idx="1">
                  <c:v>261365989.78409663</c:v>
                </c:pt>
                <c:pt idx="2">
                  <c:v>268034830.8908416</c:v>
                </c:pt>
                <c:pt idx="3">
                  <c:v>276005071.40924454</c:v>
                </c:pt>
                <c:pt idx="4">
                  <c:v>254394430.02200004</c:v>
                </c:pt>
                <c:pt idx="5">
                  <c:v>253491506.57862046</c:v>
                </c:pt>
                <c:pt idx="6">
                  <c:v>265787178.57022482</c:v>
                </c:pt>
                <c:pt idx="7">
                  <c:v>263510329.38142473</c:v>
                </c:pt>
                <c:pt idx="8">
                  <c:v>245688514.14038527</c:v>
                </c:pt>
                <c:pt idx="9">
                  <c:v>250378458.48071903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C5-4902-A6C0-B81E09CD3E60}"/>
            </c:ext>
          </c:extLst>
        </c:ser>
        <c:ser>
          <c:idx val="2"/>
          <c:order val="1"/>
          <c:tx>
            <c:strRef>
              <c:f>'Normalized Annual Summary'!$Y$3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Summary'!$V$5:$V$21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Summary'!$Y$5:$Y$21</c:f>
              <c:numCache>
                <c:formatCode>#,##0</c:formatCode>
                <c:ptCount val="16"/>
                <c:pt idx="0">
                  <c:v>277304062.77712923</c:v>
                </c:pt>
                <c:pt idx="1">
                  <c:v>269761431.64052355</c:v>
                </c:pt>
                <c:pt idx="2">
                  <c:v>280070232.28115469</c:v>
                </c:pt>
                <c:pt idx="3">
                  <c:v>291086432.62797958</c:v>
                </c:pt>
                <c:pt idx="4">
                  <c:v>270603239.00590277</c:v>
                </c:pt>
                <c:pt idx="5">
                  <c:v>270384824.9115988</c:v>
                </c:pt>
                <c:pt idx="6">
                  <c:v>284010016.27710396</c:v>
                </c:pt>
                <c:pt idx="7">
                  <c:v>282341199.19501126</c:v>
                </c:pt>
                <c:pt idx="8">
                  <c:v>265904595.49275559</c:v>
                </c:pt>
                <c:pt idx="9">
                  <c:v>272814028.01520127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C5-4902-A6C0-B81E09CD3E60}"/>
            </c:ext>
          </c:extLst>
        </c:ser>
        <c:ser>
          <c:idx val="3"/>
          <c:order val="2"/>
          <c:tx>
            <c:strRef>
              <c:f>'Normalized Annual Summary'!$Z$3</c:f>
              <c:strCache>
                <c:ptCount val="1"/>
                <c:pt idx="0">
                  <c:v>Normal Predicted 
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Summary'!$V$5:$V$21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Summary'!$Z$5:$Z$21</c:f>
              <c:numCache>
                <c:formatCode>#,##0</c:formatCode>
                <c:ptCount val="16"/>
                <c:pt idx="0">
                  <c:v>278056902.0299626</c:v>
                </c:pt>
                <c:pt idx="1">
                  <c:v>277636933.48814881</c:v>
                </c:pt>
                <c:pt idx="2">
                  <c:v>277746552.76814884</c:v>
                </c:pt>
                <c:pt idx="3">
                  <c:v>278056767.83462274</c:v>
                </c:pt>
                <c:pt idx="4">
                  <c:v>263396205.10963377</c:v>
                </c:pt>
                <c:pt idx="5">
                  <c:v>263627998.25459197</c:v>
                </c:pt>
                <c:pt idx="6">
                  <c:v>272563626.04604363</c:v>
                </c:pt>
                <c:pt idx="7">
                  <c:v>281331303.52386671</c:v>
                </c:pt>
                <c:pt idx="8">
                  <c:v>282937794.41428858</c:v>
                </c:pt>
                <c:pt idx="9">
                  <c:v>284369855.61462831</c:v>
                </c:pt>
                <c:pt idx="10">
                  <c:v>285809081.07103664</c:v>
                </c:pt>
                <c:pt idx="11">
                  <c:v>287870427.15294719</c:v>
                </c:pt>
                <c:pt idx="12">
                  <c:v>289177594.25481993</c:v>
                </c:pt>
                <c:pt idx="13">
                  <c:v>291266337.98410279</c:v>
                </c:pt>
                <c:pt idx="14">
                  <c:v>294053191.29527962</c:v>
                </c:pt>
                <c:pt idx="15">
                  <c:v>296117187.95997161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C5-4902-A6C0-B81E09CD3E60}"/>
            </c:ext>
          </c:extLst>
        </c:ser>
        <c:ser>
          <c:idx val="4"/>
          <c:order val="3"/>
          <c:tx>
            <c:strRef>
              <c:f>'Normalized Annual Summary'!$AB$3</c:f>
              <c:strCache>
                <c:ptCount val="1"/>
                <c:pt idx="0">
                  <c:v>Normalized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'Normalized Annual Summary'!$V$5:$V$21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Summary'!$AB$5:$AB$21</c:f>
              <c:numCache>
                <c:formatCode>#,##0</c:formatCode>
                <c:ptCount val="16"/>
                <c:pt idx="0">
                  <c:v>271790898.34905517</c:v>
                </c:pt>
                <c:pt idx="1">
                  <c:v>269241491.63172185</c:v>
                </c:pt>
                <c:pt idx="2">
                  <c:v>265711151.37783578</c:v>
                </c:pt>
                <c:pt idx="3">
                  <c:v>262975406.61588776</c:v>
                </c:pt>
                <c:pt idx="4">
                  <c:v>247187396.12573102</c:v>
                </c:pt>
                <c:pt idx="5">
                  <c:v>246734679.92161363</c:v>
                </c:pt>
                <c:pt idx="6">
                  <c:v>254340788.33916456</c:v>
                </c:pt>
                <c:pt idx="7">
                  <c:v>262500433.71028018</c:v>
                </c:pt>
                <c:pt idx="8">
                  <c:v>262721713.06191826</c:v>
                </c:pt>
                <c:pt idx="9">
                  <c:v>261934286.08014607</c:v>
                </c:pt>
                <c:pt idx="10">
                  <c:v>268793351.56279325</c:v>
                </c:pt>
                <c:pt idx="11">
                  <c:v>272432602.87833285</c:v>
                </c:pt>
                <c:pt idx="12">
                  <c:v>275064344.69688904</c:v>
                </c:pt>
                <c:pt idx="13">
                  <c:v>278618199.93417287</c:v>
                </c:pt>
                <c:pt idx="14">
                  <c:v>282574704.18542933</c:v>
                </c:pt>
                <c:pt idx="15">
                  <c:v>288276414.05724615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0-4999-87EF-835621BCA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170000000.0000000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VRZ Street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Summary'!$BM$5:$BM$21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Summary'!$BN$5:$BN$20</c:f>
              <c:numCache>
                <c:formatCode>#,##0</c:formatCode>
                <c:ptCount val="15"/>
                <c:pt idx="0">
                  <c:v>20696694.0755581</c:v>
                </c:pt>
                <c:pt idx="1">
                  <c:v>19519835.661133371</c:v>
                </c:pt>
                <c:pt idx="2">
                  <c:v>15418262.659797747</c:v>
                </c:pt>
                <c:pt idx="3">
                  <c:v>13154878.992558671</c:v>
                </c:pt>
                <c:pt idx="4">
                  <c:v>11375771.341347072</c:v>
                </c:pt>
                <c:pt idx="5">
                  <c:v>11145146.346117154</c:v>
                </c:pt>
                <c:pt idx="6">
                  <c:v>11108255.523755008</c:v>
                </c:pt>
                <c:pt idx="7">
                  <c:v>11322769.347452775</c:v>
                </c:pt>
                <c:pt idx="8">
                  <c:v>11585951.65998855</c:v>
                </c:pt>
                <c:pt idx="9">
                  <c:v>11654612.020606756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2-4ACC-B9B5-9392C031D6C3}"/>
            </c:ext>
          </c:extLst>
        </c:ser>
        <c:ser>
          <c:idx val="3"/>
          <c:order val="1"/>
          <c:tx>
            <c:strRef>
              <c:f>'Normalized Annual Summary'!$BQ$3</c:f>
              <c:strCache>
                <c:ptCount val="1"/>
                <c:pt idx="0">
                  <c:v>Normal Forecast</c:v>
                </c:pt>
              </c:strCache>
            </c:strRef>
          </c:tx>
          <c:marker>
            <c:symbol val="none"/>
          </c:marker>
          <c:cat>
            <c:numRef>
              <c:f>'Normalized Annual Summary'!$BM$5:$BM$21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Summary'!$BQ$5:$BQ$21</c:f>
              <c:numCache>
                <c:formatCode>#,##0</c:formatCode>
                <c:ptCount val="16"/>
                <c:pt idx="0">
                  <c:v>20696694.0755581</c:v>
                </c:pt>
                <c:pt idx="1">
                  <c:v>19519835.661133371</c:v>
                </c:pt>
                <c:pt idx="2">
                  <c:v>15418262.659797747</c:v>
                </c:pt>
                <c:pt idx="3">
                  <c:v>13154878.992558671</c:v>
                </c:pt>
                <c:pt idx="4">
                  <c:v>11375771.341347072</c:v>
                </c:pt>
                <c:pt idx="5">
                  <c:v>11145146.346117154</c:v>
                </c:pt>
                <c:pt idx="6">
                  <c:v>11108255.523755008</c:v>
                </c:pt>
                <c:pt idx="7">
                  <c:v>11322769.347452775</c:v>
                </c:pt>
                <c:pt idx="8">
                  <c:v>11585951.65998855</c:v>
                </c:pt>
                <c:pt idx="9">
                  <c:v>11654612.020606756</c:v>
                </c:pt>
                <c:pt idx="10">
                  <c:v>11783218.435274247</c:v>
                </c:pt>
                <c:pt idx="11">
                  <c:v>11913243.997131227</c:v>
                </c:pt>
                <c:pt idx="12">
                  <c:v>12044704.366195513</c:v>
                </c:pt>
                <c:pt idx="13">
                  <c:v>12177615.375290232</c:v>
                </c:pt>
                <c:pt idx="14">
                  <c:v>12311993.031950675</c:v>
                </c:pt>
                <c:pt idx="15">
                  <c:v>12447853.520352231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42-4ACC-B9B5-9392C031D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42752"/>
        <c:axId val="178044288"/>
      </c:lineChart>
      <c:catAx>
        <c:axId val="1780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44288"/>
        <c:crosses val="autoZero"/>
        <c:auto val="1"/>
        <c:lblAlgn val="ctr"/>
        <c:lblOffset val="100"/>
        <c:noMultiLvlLbl val="0"/>
      </c:catAx>
      <c:valAx>
        <c:axId val="17804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Average Per Streetlight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Summary'!$BP$3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Summary'!$BM$5:$BM$21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Summary'!$BP$5:$BP$14</c:f>
              <c:numCache>
                <c:formatCode>#,##0</c:formatCode>
                <c:ptCount val="9"/>
                <c:pt idx="0">
                  <c:v>689.18338954432045</c:v>
                </c:pt>
                <c:pt idx="1">
                  <c:v>641.85177311839573</c:v>
                </c:pt>
                <c:pt idx="2">
                  <c:v>499.01125603659654</c:v>
                </c:pt>
                <c:pt idx="3">
                  <c:v>422.40186855732651</c:v>
                </c:pt>
                <c:pt idx="4">
                  <c:v>362.11368828546131</c:v>
                </c:pt>
                <c:pt idx="5">
                  <c:v>351.81311627885276</c:v>
                </c:pt>
                <c:pt idx="6">
                  <c:v>349.37068616584645</c:v>
                </c:pt>
                <c:pt idx="7">
                  <c:v>352.38798887757832</c:v>
                </c:pt>
                <c:pt idx="8">
                  <c:v>354.12183602480491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80-4551-BECF-EEC7A2C4FC54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Summary'!$BM$5:$BM$21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('Normalized Annual Summary'!$BR$5:$BR$14,'Normalized Annual Summary'!$BP$15:$BP$21)</c:f>
              <c:numCache>
                <c:formatCode>General</c:formatCode>
                <c:ptCount val="16"/>
                <c:pt idx="9" formatCode="#,##0">
                  <c:v>351.59012530128132</c:v>
                </c:pt>
                <c:pt idx="10" formatCode="#,##0">
                  <c:v>351.59012530128132</c:v>
                </c:pt>
                <c:pt idx="11" formatCode="#,##0">
                  <c:v>351.59012530128132</c:v>
                </c:pt>
                <c:pt idx="12" formatCode="#,##0">
                  <c:v>351.59012530128132</c:v>
                </c:pt>
                <c:pt idx="13" formatCode="#,##0">
                  <c:v>351.59012530128132</c:v>
                </c:pt>
                <c:pt idx="14" formatCode="#,##0">
                  <c:v>351.59012530128132</c:v>
                </c:pt>
                <c:pt idx="15" formatCode="#,##0">
                  <c:v>351.59012530128132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80-4551-BECF-EEC7A2C4F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08192"/>
        <c:axId val="177609728"/>
      </c:lineChart>
      <c:catAx>
        <c:axId val="177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09728"/>
        <c:crosses val="autoZero"/>
        <c:auto val="1"/>
        <c:lblAlgn val="ctr"/>
        <c:lblOffset val="100"/>
        <c:noMultiLvlLbl val="0"/>
      </c:catAx>
      <c:valAx>
        <c:axId val="1776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VRZ USL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Summary'!$CB$3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Summary'!$CA$5:$CA$21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cat>
          <c:val>
            <c:numRef>
              <c:f>'Normalized Annual Summary'!$CB$5:$CB$21</c:f>
              <c:numCache>
                <c:formatCode>#,##0</c:formatCode>
                <c:ptCount val="16"/>
                <c:pt idx="0">
                  <c:v>4746940.8319023084</c:v>
                </c:pt>
                <c:pt idx="1">
                  <c:v>4693448.8360999813</c:v>
                </c:pt>
                <c:pt idx="2">
                  <c:v>4665788.0175539022</c:v>
                </c:pt>
                <c:pt idx="3">
                  <c:v>4623203.0910131652</c:v>
                </c:pt>
                <c:pt idx="4">
                  <c:v>4593300.2480442664</c:v>
                </c:pt>
                <c:pt idx="5">
                  <c:v>4562375.2909750044</c:v>
                </c:pt>
                <c:pt idx="6">
                  <c:v>4553725.701202061</c:v>
                </c:pt>
                <c:pt idx="7">
                  <c:v>4536379.8034726195</c:v>
                </c:pt>
                <c:pt idx="8">
                  <c:v>4525963.0509444773</c:v>
                </c:pt>
                <c:pt idx="9">
                  <c:v>4511287.6741079949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A-4062-BB29-A02C1FBE8DCD}"/>
            </c:ext>
          </c:extLst>
        </c:ser>
        <c:ser>
          <c:idx val="3"/>
          <c:order val="1"/>
          <c:tx>
            <c:strRef>
              <c:f>'Normalized Annual Summary'!$CE$3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Summary'!$CA$5:$CA$21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cat>
          <c:val>
            <c:numRef>
              <c:f>('Normalized Annual Summary'!$CF$5:$CF$13,'Normalized Annual Summary'!$CE$14:$CE$21)</c:f>
              <c:numCache>
                <c:formatCode>General</c:formatCode>
                <c:ptCount val="16"/>
                <c:pt idx="8" formatCode="#,##0">
                  <c:v>4525963.0509444773</c:v>
                </c:pt>
                <c:pt idx="9" formatCode="#,##0">
                  <c:v>4511287.6741079949</c:v>
                </c:pt>
                <c:pt idx="10" formatCode="#,##0">
                  <c:v>4628438.8768212022</c:v>
                </c:pt>
                <c:pt idx="11" formatCode="#,##0">
                  <c:v>4588884.6673883721</c:v>
                </c:pt>
                <c:pt idx="12" formatCode="#,##0">
                  <c:v>4549668.4845613791</c:v>
                </c:pt>
                <c:pt idx="13" formatCode="#,##0">
                  <c:v>4510787.4395961957</c:v>
                </c:pt>
                <c:pt idx="14" formatCode="#,##0">
                  <c:v>4472238.6684357328</c:v>
                </c:pt>
                <c:pt idx="15" formatCode="#,##0">
                  <c:v>4434019.3314988697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5A-4062-BB29-A02C1FBE8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61440"/>
        <c:axId val="177662976"/>
      </c:lineChart>
      <c:catAx>
        <c:axId val="1776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62976"/>
        <c:crosses val="autoZero"/>
        <c:auto val="1"/>
        <c:lblAlgn val="ctr"/>
        <c:lblOffset val="100"/>
        <c:noMultiLvlLbl val="0"/>
      </c:catAx>
      <c:valAx>
        <c:axId val="17766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6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US"/>
              <a:t>Average Per USL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Summary'!$CD$3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Summary'!$CA$5:$CA$21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cat>
          <c:val>
            <c:numRef>
              <c:f>'Normalized Annual Summary'!$CD$5:$CD$14</c:f>
              <c:numCache>
                <c:formatCode>#,##0</c:formatCode>
                <c:ptCount val="9"/>
                <c:pt idx="0">
                  <c:v>5668.5530881508294</c:v>
                </c:pt>
                <c:pt idx="1">
                  <c:v>5685.0091887755916</c:v>
                </c:pt>
                <c:pt idx="2">
                  <c:v>5705.6411098182843</c:v>
                </c:pt>
                <c:pt idx="3">
                  <c:v>5714.4190237583525</c:v>
                </c:pt>
                <c:pt idx="4">
                  <c:v>5728.4975032769917</c:v>
                </c:pt>
                <c:pt idx="5">
                  <c:v>5691.4084403243469</c:v>
                </c:pt>
                <c:pt idx="6">
                  <c:v>5686.2339661212018</c:v>
                </c:pt>
                <c:pt idx="7">
                  <c:v>5685.2801714539337</c:v>
                </c:pt>
                <c:pt idx="8">
                  <c:v>5878.5102945485123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98-49EE-A8FB-B4639C588255}"/>
            </c:ext>
          </c:extLst>
        </c:ser>
        <c:ser>
          <c:idx val="1"/>
          <c:order val="1"/>
          <c:tx>
            <c:v>Forecast per Connection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Summary'!$CA$5:$CA$21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cat>
          <c:val>
            <c:numRef>
              <c:f>('Normalized Annual Summary'!$BR$5:$BR$14,'Normalized Annual Summary'!$CD$15:$CD$21)</c:f>
              <c:numCache>
                <c:formatCode>General</c:formatCode>
                <c:ptCount val="16"/>
                <c:pt idx="9" formatCode="#,##0">
                  <c:v>5819.7647913670089</c:v>
                </c:pt>
                <c:pt idx="10" formatCode="#,##0">
                  <c:v>5819.7647913670089</c:v>
                </c:pt>
                <c:pt idx="11" formatCode="#,##0">
                  <c:v>5819.7647913670089</c:v>
                </c:pt>
                <c:pt idx="12" formatCode="#,##0">
                  <c:v>5819.7647913670089</c:v>
                </c:pt>
                <c:pt idx="13" formatCode="#,##0">
                  <c:v>5819.7647913670089</c:v>
                </c:pt>
                <c:pt idx="14" formatCode="#,##0">
                  <c:v>5819.7647913670089</c:v>
                </c:pt>
                <c:pt idx="15" formatCode="#,##0">
                  <c:v>5819.7647913670089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98-49EE-A8FB-B4639C588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702400"/>
        <c:axId val="177703936"/>
      </c:lineChart>
      <c:catAx>
        <c:axId val="17770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7703936"/>
        <c:crosses val="autoZero"/>
        <c:auto val="1"/>
        <c:lblAlgn val="ctr"/>
        <c:lblOffset val="100"/>
        <c:noMultiLvlLbl val="0"/>
      </c:catAx>
      <c:valAx>
        <c:axId val="177703936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770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VRZ GS 50 - 2,999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Summary'!$AG$3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Summary'!$AF$5:$AF$21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Summary'!$AG$5:$AG$21</c:f>
              <c:numCache>
                <c:formatCode>#,##0</c:formatCode>
                <c:ptCount val="16"/>
                <c:pt idx="0">
                  <c:v>927454086.06637979</c:v>
                </c:pt>
                <c:pt idx="1">
                  <c:v>906283743.08643579</c:v>
                </c:pt>
                <c:pt idx="2">
                  <c:v>927588344.49577141</c:v>
                </c:pt>
                <c:pt idx="3">
                  <c:v>905509752.26774502</c:v>
                </c:pt>
                <c:pt idx="4">
                  <c:v>857792305.03628862</c:v>
                </c:pt>
                <c:pt idx="5">
                  <c:v>879197905.48144305</c:v>
                </c:pt>
                <c:pt idx="6">
                  <c:v>894031405.22001076</c:v>
                </c:pt>
                <c:pt idx="7">
                  <c:v>890084578.42248416</c:v>
                </c:pt>
                <c:pt idx="8">
                  <c:v>926699529.78917146</c:v>
                </c:pt>
                <c:pt idx="9">
                  <c:v>928770254.56307244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5-47B4-8ABD-27DB195AD93D}"/>
            </c:ext>
          </c:extLst>
        </c:ser>
        <c:ser>
          <c:idx val="1"/>
          <c:order val="1"/>
          <c:tx>
            <c:strRef>
              <c:f>'Normalized Annual Summary'!$AI$3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Summary'!$AF$5:$AF$21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Summary'!$AI$5:$AI$21</c:f>
              <c:numCache>
                <c:formatCode>#,##0</c:formatCode>
                <c:ptCount val="16"/>
                <c:pt idx="0">
                  <c:v>949600705.67392671</c:v>
                </c:pt>
                <c:pt idx="1">
                  <c:v>937293316.65521491</c:v>
                </c:pt>
                <c:pt idx="2">
                  <c:v>969803818.47513402</c:v>
                </c:pt>
                <c:pt idx="3">
                  <c:v>958670439.55061078</c:v>
                </c:pt>
                <c:pt idx="4">
                  <c:v>915935437.41656649</c:v>
                </c:pt>
                <c:pt idx="5">
                  <c:v>943010370.73226821</c:v>
                </c:pt>
                <c:pt idx="6">
                  <c:v>967051784.9542594</c:v>
                </c:pt>
                <c:pt idx="7">
                  <c:v>967502842.92821264</c:v>
                </c:pt>
                <c:pt idx="8">
                  <c:v>1010796069.0930438</c:v>
                </c:pt>
                <c:pt idx="9">
                  <c:v>1025420115.9021995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5-47B4-8ABD-27DB195AD93D}"/>
            </c:ext>
          </c:extLst>
        </c:ser>
        <c:ser>
          <c:idx val="2"/>
          <c:order val="2"/>
          <c:tx>
            <c:strRef>
              <c:f>'Normalized Annual Summary'!$AO$3</c:f>
              <c:strCache>
                <c:ptCount val="1"/>
                <c:pt idx="0">
                  <c:v>Normal Predicted 
No CDM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Summary'!$AF$5:$AF$21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Summary'!$AO$5:$AO$21</c:f>
              <c:numCache>
                <c:formatCode>#,##0</c:formatCode>
                <c:ptCount val="16"/>
                <c:pt idx="0">
                  <c:v>938502179.91205549</c:v>
                </c:pt>
                <c:pt idx="1">
                  <c:v>946417802.62648213</c:v>
                </c:pt>
                <c:pt idx="2">
                  <c:v>957977223.74634957</c:v>
                </c:pt>
                <c:pt idx="3">
                  <c:v>966201326.89122713</c:v>
                </c:pt>
                <c:pt idx="4">
                  <c:v>914682218.76843131</c:v>
                </c:pt>
                <c:pt idx="5">
                  <c:v>935539356.47381258</c:v>
                </c:pt>
                <c:pt idx="6">
                  <c:v>970277731.47616279</c:v>
                </c:pt>
                <c:pt idx="7">
                  <c:v>998173449.15633404</c:v>
                </c:pt>
                <c:pt idx="8">
                  <c:v>1006888640.1475468</c:v>
                </c:pt>
                <c:pt idx="9">
                  <c:v>1010966516.2769028</c:v>
                </c:pt>
                <c:pt idx="10">
                  <c:v>1057120317.2906567</c:v>
                </c:pt>
                <c:pt idx="11">
                  <c:v>1119320647.3829811</c:v>
                </c:pt>
                <c:pt idx="12">
                  <c:v>1143284681.6632884</c:v>
                </c:pt>
                <c:pt idx="13">
                  <c:v>1161429643.8756161</c:v>
                </c:pt>
                <c:pt idx="14">
                  <c:v>1174260796.445657</c:v>
                </c:pt>
                <c:pt idx="15">
                  <c:v>1182222029.7904541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85-47B4-8ABD-27DB195AD93D}"/>
            </c:ext>
          </c:extLst>
        </c:ser>
        <c:ser>
          <c:idx val="3"/>
          <c:order val="3"/>
          <c:tx>
            <c:strRef>
              <c:f>'Normalized Annual Summary'!$AN$3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Summary'!$AF$5:$AF$21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Summary'!$AN$5:$AN$21</c:f>
              <c:numCache>
                <c:formatCode>#,##0</c:formatCode>
                <c:ptCount val="16"/>
                <c:pt idx="0">
                  <c:v>916355560.30450845</c:v>
                </c:pt>
                <c:pt idx="1">
                  <c:v>915408229.05770314</c:v>
                </c:pt>
                <c:pt idx="2">
                  <c:v>915761749.7669872</c:v>
                </c:pt>
                <c:pt idx="3">
                  <c:v>913040639.60836124</c:v>
                </c:pt>
                <c:pt idx="4">
                  <c:v>856539086.38815343</c:v>
                </c:pt>
                <c:pt idx="5">
                  <c:v>871726891.22298741</c:v>
                </c:pt>
                <c:pt idx="6">
                  <c:v>897257351.74191403</c:v>
                </c:pt>
                <c:pt idx="7">
                  <c:v>920755184.65060556</c:v>
                </c:pt>
                <c:pt idx="8">
                  <c:v>922792100.8436743</c:v>
                </c:pt>
                <c:pt idx="9">
                  <c:v>914316654.93777549</c:v>
                </c:pt>
                <c:pt idx="10">
                  <c:v>979431966.7159102</c:v>
                </c:pt>
                <c:pt idx="11">
                  <c:v>1046253531.644524</c:v>
                </c:pt>
                <c:pt idx="12">
                  <c:v>1074400336.4609065</c:v>
                </c:pt>
                <c:pt idx="13">
                  <c:v>1100149614.7741194</c:v>
                </c:pt>
                <c:pt idx="14">
                  <c:v>1118414747.6787848</c:v>
                </c:pt>
                <c:pt idx="15">
                  <c:v>1144887868.4971483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85-47B4-8ABD-27DB195AD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6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VRZ GS 3,000 - 4,999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Summary'!$AR$3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Summary'!$AF$5:$AF$21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Summary'!$AR$5:$AR$21</c:f>
              <c:numCache>
                <c:formatCode>#,##0</c:formatCode>
                <c:ptCount val="16"/>
                <c:pt idx="0">
                  <c:v>78366220.038373992</c:v>
                </c:pt>
                <c:pt idx="1">
                  <c:v>87507089.957190782</c:v>
                </c:pt>
                <c:pt idx="2">
                  <c:v>80858592.396544397</c:v>
                </c:pt>
                <c:pt idx="3">
                  <c:v>89925973.080334738</c:v>
                </c:pt>
                <c:pt idx="4">
                  <c:v>86212022.147016823</c:v>
                </c:pt>
                <c:pt idx="5">
                  <c:v>94614053.935747579</c:v>
                </c:pt>
                <c:pt idx="6">
                  <c:v>104923623.55856374</c:v>
                </c:pt>
                <c:pt idx="7">
                  <c:v>105772784.76802033</c:v>
                </c:pt>
                <c:pt idx="8">
                  <c:v>94679921.545373872</c:v>
                </c:pt>
                <c:pt idx="9">
                  <c:v>95012917.659763187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46-48AB-9910-52787418BF77}"/>
            </c:ext>
          </c:extLst>
        </c:ser>
        <c:ser>
          <c:idx val="1"/>
          <c:order val="1"/>
          <c:tx>
            <c:strRef>
              <c:f>'Normalized Annual Summary'!$AT$3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Summary'!$AF$5:$AF$21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Summary'!$AT$5:$AT$21</c:f>
              <c:numCache>
                <c:formatCode>#,##0</c:formatCode>
                <c:ptCount val="16"/>
                <c:pt idx="0">
                  <c:v>78864769.700843766</c:v>
                </c:pt>
                <c:pt idx="1">
                  <c:v>88672542.579366088</c:v>
                </c:pt>
                <c:pt idx="2">
                  <c:v>82846023.315142795</c:v>
                </c:pt>
                <c:pt idx="3">
                  <c:v>92449266.843446299</c:v>
                </c:pt>
                <c:pt idx="4">
                  <c:v>88940529.482721388</c:v>
                </c:pt>
                <c:pt idx="5">
                  <c:v>97523202.921463251</c:v>
                </c:pt>
                <c:pt idx="6">
                  <c:v>108191494.03556103</c:v>
                </c:pt>
                <c:pt idx="7">
                  <c:v>109378869.38290659</c:v>
                </c:pt>
                <c:pt idx="8">
                  <c:v>98936429.469787315</c:v>
                </c:pt>
                <c:pt idx="9">
                  <c:v>100267899.39201353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46-48AB-9910-52787418BF77}"/>
            </c:ext>
          </c:extLst>
        </c:ser>
        <c:ser>
          <c:idx val="2"/>
          <c:order val="2"/>
          <c:tx>
            <c:strRef>
              <c:f>'Normalized Annual Summary'!$AZ$3</c:f>
              <c:strCache>
                <c:ptCount val="1"/>
                <c:pt idx="0">
                  <c:v>Normal Predicted 
No CDM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Summary'!$AF$5:$AF$21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Summary'!$AZ$5:$AZ$21</c:f>
              <c:numCache>
                <c:formatCode>#,##0</c:formatCode>
                <c:ptCount val="16"/>
                <c:pt idx="0">
                  <c:v>85219354.991337776</c:v>
                </c:pt>
                <c:pt idx="1">
                  <c:v>87767373.528162256</c:v>
                </c:pt>
                <c:pt idx="2">
                  <c:v>90738004.658406839</c:v>
                </c:pt>
                <c:pt idx="3">
                  <c:v>92992894.678955168</c:v>
                </c:pt>
                <c:pt idx="4">
                  <c:v>88681787.069527477</c:v>
                </c:pt>
                <c:pt idx="5">
                  <c:v>93788829.376597568</c:v>
                </c:pt>
                <c:pt idx="6">
                  <c:v>97923982.74183476</c:v>
                </c:pt>
                <c:pt idx="7">
                  <c:v>100511378.62520504</c:v>
                </c:pt>
                <c:pt idx="8">
                  <c:v>102652191.16987173</c:v>
                </c:pt>
                <c:pt idx="9">
                  <c:v>103835270.14932095</c:v>
                </c:pt>
                <c:pt idx="10">
                  <c:v>125805405.39667125</c:v>
                </c:pt>
                <c:pt idx="11">
                  <c:v>160677312.56322825</c:v>
                </c:pt>
                <c:pt idx="12">
                  <c:v>187309194.9565585</c:v>
                </c:pt>
                <c:pt idx="13">
                  <c:v>204095693.17757738</c:v>
                </c:pt>
                <c:pt idx="14">
                  <c:v>210346937.05291569</c:v>
                </c:pt>
                <c:pt idx="15">
                  <c:v>218230561.95640999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6-48AB-9910-52787418BF77}"/>
            </c:ext>
          </c:extLst>
        </c:ser>
        <c:ser>
          <c:idx val="3"/>
          <c:order val="3"/>
          <c:tx>
            <c:strRef>
              <c:f>'Normalized Annual Summary'!$AY$3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Summary'!$AF$5:$AF$21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Summary'!$AY$5:$AY$21</c:f>
              <c:numCache>
                <c:formatCode>#,##0</c:formatCode>
                <c:ptCount val="16"/>
                <c:pt idx="0">
                  <c:v>84720805.328868002</c:v>
                </c:pt>
                <c:pt idx="1">
                  <c:v>86601920.90598695</c:v>
                </c:pt>
                <c:pt idx="2">
                  <c:v>88750573.739808425</c:v>
                </c:pt>
                <c:pt idx="3">
                  <c:v>90469600.915843606</c:v>
                </c:pt>
                <c:pt idx="4">
                  <c:v>85953279.733822912</c:v>
                </c:pt>
                <c:pt idx="5">
                  <c:v>90879680.390881911</c:v>
                </c:pt>
                <c:pt idx="6">
                  <c:v>94656112.264837459</c:v>
                </c:pt>
                <c:pt idx="7">
                  <c:v>96905294.010318771</c:v>
                </c:pt>
                <c:pt idx="8">
                  <c:v>98395683.245458305</c:v>
                </c:pt>
                <c:pt idx="9">
                  <c:v>98580288.417070583</c:v>
                </c:pt>
                <c:pt idx="10">
                  <c:v>121696053.28603841</c:v>
                </c:pt>
                <c:pt idx="11">
                  <c:v>156755047.04480264</c:v>
                </c:pt>
                <c:pt idx="12">
                  <c:v>183633802.13339615</c:v>
                </c:pt>
                <c:pt idx="13">
                  <c:v>200901323.06119794</c:v>
                </c:pt>
                <c:pt idx="14">
                  <c:v>207350196.30217499</c:v>
                </c:pt>
                <c:pt idx="15">
                  <c:v>216332317.00592846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6-48AB-9910-52787418B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Weather!$V$1</c:f>
              <c:strCache>
                <c:ptCount val="1"/>
                <c:pt idx="0">
                  <c:v> VRZ_GS50to2999kWh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Weather!$Q$14:$Q$145</c:f>
              <c:numCache>
                <c:formatCode>0</c:formatCode>
                <c:ptCount val="132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  <c:pt idx="120">
                  <c:v>-5.6266129032258068</c:v>
                </c:pt>
                <c:pt idx="121">
                  <c:v>-5.7592261904761912</c:v>
                </c:pt>
                <c:pt idx="122">
                  <c:v>1.2700268817204301</c:v>
                </c:pt>
                <c:pt idx="123">
                  <c:v>6.2719444444444443</c:v>
                </c:pt>
                <c:pt idx="124">
                  <c:v>12.868682795698925</c:v>
                </c:pt>
                <c:pt idx="125">
                  <c:v>19.441388888888891</c:v>
                </c:pt>
                <c:pt idx="126">
                  <c:v>22.816599462365595</c:v>
                </c:pt>
                <c:pt idx="127">
                  <c:v>20.383467741935487</c:v>
                </c:pt>
                <c:pt idx="128">
                  <c:v>17.070277777777775</c:v>
                </c:pt>
                <c:pt idx="129">
                  <c:v>10.918682795698926</c:v>
                </c:pt>
                <c:pt idx="130">
                  <c:v>2.6462499999999998</c:v>
                </c:pt>
                <c:pt idx="131">
                  <c:v>-4.0064516129032253</c:v>
                </c:pt>
              </c:numCache>
            </c:numRef>
          </c:xVal>
          <c:yVal>
            <c:numRef>
              <c:f>Weather!$V$14:$V$145</c:f>
              <c:numCache>
                <c:formatCode>_-* #,##0_-;\-* #,##0_-;_-* "-"??_-;_-@_-</c:formatCode>
                <c:ptCount val="132"/>
                <c:pt idx="12">
                  <c:v>80445928.487482429</c:v>
                </c:pt>
                <c:pt idx="13">
                  <c:v>76333258.280687109</c:v>
                </c:pt>
                <c:pt idx="14">
                  <c:v>78356213.261571378</c:v>
                </c:pt>
                <c:pt idx="15">
                  <c:v>74223294.75648424</c:v>
                </c:pt>
                <c:pt idx="16">
                  <c:v>75508795.924534813</c:v>
                </c:pt>
                <c:pt idx="17">
                  <c:v>78236837.379537284</c:v>
                </c:pt>
                <c:pt idx="18">
                  <c:v>80426261.077292815</c:v>
                </c:pt>
                <c:pt idx="19">
                  <c:v>84270895.748487771</c:v>
                </c:pt>
                <c:pt idx="20">
                  <c:v>76514957.839849949</c:v>
                </c:pt>
                <c:pt idx="21">
                  <c:v>74081415.120858461</c:v>
                </c:pt>
                <c:pt idx="22">
                  <c:v>74139683.096125528</c:v>
                </c:pt>
                <c:pt idx="23">
                  <c:v>74916545.093468025</c:v>
                </c:pt>
                <c:pt idx="24">
                  <c:v>78740461.694177017</c:v>
                </c:pt>
                <c:pt idx="25">
                  <c:v>71116753.126394108</c:v>
                </c:pt>
                <c:pt idx="26">
                  <c:v>79264887.699252158</c:v>
                </c:pt>
                <c:pt idx="27">
                  <c:v>70340485.947416142</c:v>
                </c:pt>
                <c:pt idx="28">
                  <c:v>73891874.733171195</c:v>
                </c:pt>
                <c:pt idx="29">
                  <c:v>74526309.814023316</c:v>
                </c:pt>
                <c:pt idx="30">
                  <c:v>76421197.148709387</c:v>
                </c:pt>
                <c:pt idx="31">
                  <c:v>79283324.823593184</c:v>
                </c:pt>
                <c:pt idx="32">
                  <c:v>76220334.671674654</c:v>
                </c:pt>
                <c:pt idx="33">
                  <c:v>74161631.749869287</c:v>
                </c:pt>
                <c:pt idx="34">
                  <c:v>75304172.602858007</c:v>
                </c:pt>
                <c:pt idx="35">
                  <c:v>77012309.075297296</c:v>
                </c:pt>
                <c:pt idx="36">
                  <c:v>82599665.251574591</c:v>
                </c:pt>
                <c:pt idx="37">
                  <c:v>72928537.495143116</c:v>
                </c:pt>
                <c:pt idx="38">
                  <c:v>77848162.855511904</c:v>
                </c:pt>
                <c:pt idx="39">
                  <c:v>73929052.598252967</c:v>
                </c:pt>
                <c:pt idx="40">
                  <c:v>75260784.335170552</c:v>
                </c:pt>
                <c:pt idx="41">
                  <c:v>76315520.509241268</c:v>
                </c:pt>
                <c:pt idx="42">
                  <c:v>81703900.080108598</c:v>
                </c:pt>
                <c:pt idx="43">
                  <c:v>83624825.636671513</c:v>
                </c:pt>
                <c:pt idx="44">
                  <c:v>77538035.593163431</c:v>
                </c:pt>
                <c:pt idx="45">
                  <c:v>75743049.096499681</c:v>
                </c:pt>
                <c:pt idx="46">
                  <c:v>76037891.762245342</c:v>
                </c:pt>
                <c:pt idx="47">
                  <c:v>74058919.28218855</c:v>
                </c:pt>
                <c:pt idx="48">
                  <c:v>82453071.517314494</c:v>
                </c:pt>
                <c:pt idx="49">
                  <c:v>74301299.89878495</c:v>
                </c:pt>
                <c:pt idx="50">
                  <c:v>79423819.645315558</c:v>
                </c:pt>
                <c:pt idx="51">
                  <c:v>72054287.239706993</c:v>
                </c:pt>
                <c:pt idx="52">
                  <c:v>72613531.321504131</c:v>
                </c:pt>
                <c:pt idx="53">
                  <c:v>73210874.814718872</c:v>
                </c:pt>
                <c:pt idx="54">
                  <c:v>82036084.349081635</c:v>
                </c:pt>
                <c:pt idx="55">
                  <c:v>78912811.389812306</c:v>
                </c:pt>
                <c:pt idx="56">
                  <c:v>72582129.622434244</c:v>
                </c:pt>
                <c:pt idx="57">
                  <c:v>71401679.018741563</c:v>
                </c:pt>
                <c:pt idx="58">
                  <c:v>73288565.787390813</c:v>
                </c:pt>
                <c:pt idx="59">
                  <c:v>73231597.662939444</c:v>
                </c:pt>
                <c:pt idx="60">
                  <c:v>77626015.724311277</c:v>
                </c:pt>
                <c:pt idx="61">
                  <c:v>73571967.534429908</c:v>
                </c:pt>
                <c:pt idx="62">
                  <c:v>71897478.545765027</c:v>
                </c:pt>
                <c:pt idx="63">
                  <c:v>59690795.540781029</c:v>
                </c:pt>
                <c:pt idx="64">
                  <c:v>62672150.287575491</c:v>
                </c:pt>
                <c:pt idx="65">
                  <c:v>70324187.91463396</c:v>
                </c:pt>
                <c:pt idx="66">
                  <c:v>80759311.104395419</c:v>
                </c:pt>
                <c:pt idx="67">
                  <c:v>76991625.360368773</c:v>
                </c:pt>
                <c:pt idx="68">
                  <c:v>70809435.373464376</c:v>
                </c:pt>
                <c:pt idx="69">
                  <c:v>70432545.285344929</c:v>
                </c:pt>
                <c:pt idx="70">
                  <c:v>70269515.059937552</c:v>
                </c:pt>
                <c:pt idx="71">
                  <c:v>72747277.305280939</c:v>
                </c:pt>
                <c:pt idx="72">
                  <c:v>74944654.309794828</c:v>
                </c:pt>
                <c:pt idx="73">
                  <c:v>70447338.964920104</c:v>
                </c:pt>
                <c:pt idx="74">
                  <c:v>75581271.683287993</c:v>
                </c:pt>
                <c:pt idx="75">
                  <c:v>67306700.974254921</c:v>
                </c:pt>
                <c:pt idx="76">
                  <c:v>69550095.094187573</c:v>
                </c:pt>
                <c:pt idx="77">
                  <c:v>74592074.726455495</c:v>
                </c:pt>
                <c:pt idx="78">
                  <c:v>75811919.191047028</c:v>
                </c:pt>
                <c:pt idx="79">
                  <c:v>81634041.215156347</c:v>
                </c:pt>
                <c:pt idx="80">
                  <c:v>72463825.593499213</c:v>
                </c:pt>
                <c:pt idx="81">
                  <c:v>71684511.985110343</c:v>
                </c:pt>
                <c:pt idx="82">
                  <c:v>72150499.44595547</c:v>
                </c:pt>
                <c:pt idx="83">
                  <c:v>73030972.297773749</c:v>
                </c:pt>
                <c:pt idx="84">
                  <c:v>78650009.373186156</c:v>
                </c:pt>
                <c:pt idx="85">
                  <c:v>72721285.392891929</c:v>
                </c:pt>
                <c:pt idx="86">
                  <c:v>77932461.176109403</c:v>
                </c:pt>
                <c:pt idx="87">
                  <c:v>70232596.05597049</c:v>
                </c:pt>
                <c:pt idx="88">
                  <c:v>72487932.996589392</c:v>
                </c:pt>
                <c:pt idx="89">
                  <c:v>74138582.471086547</c:v>
                </c:pt>
                <c:pt idx="90">
                  <c:v>78359560.170194805</c:v>
                </c:pt>
                <c:pt idx="91">
                  <c:v>80468686.62186341</c:v>
                </c:pt>
                <c:pt idx="92">
                  <c:v>72125400.931562304</c:v>
                </c:pt>
                <c:pt idx="93">
                  <c:v>70516756.225205898</c:v>
                </c:pt>
                <c:pt idx="94">
                  <c:v>72657291.043666378</c:v>
                </c:pt>
                <c:pt idx="95">
                  <c:v>73740842.761684105</c:v>
                </c:pt>
                <c:pt idx="96">
                  <c:v>77715319.930732444</c:v>
                </c:pt>
                <c:pt idx="97">
                  <c:v>71326606.052756548</c:v>
                </c:pt>
                <c:pt idx="98">
                  <c:v>77053066.470952243</c:v>
                </c:pt>
                <c:pt idx="99">
                  <c:v>68623568.564808816</c:v>
                </c:pt>
                <c:pt idx="100">
                  <c:v>71328548.624002844</c:v>
                </c:pt>
                <c:pt idx="101">
                  <c:v>74261684.381700709</c:v>
                </c:pt>
                <c:pt idx="102">
                  <c:v>79047903.006231204</c:v>
                </c:pt>
                <c:pt idx="103">
                  <c:v>78140781.764020205</c:v>
                </c:pt>
                <c:pt idx="104">
                  <c:v>73637888.059021324</c:v>
                </c:pt>
                <c:pt idx="105">
                  <c:v>72585997.150628164</c:v>
                </c:pt>
                <c:pt idx="106">
                  <c:v>73298512.4264272</c:v>
                </c:pt>
                <c:pt idx="107">
                  <c:v>73064701.991202444</c:v>
                </c:pt>
                <c:pt idx="108">
                  <c:v>81832264.909859106</c:v>
                </c:pt>
                <c:pt idx="109">
                  <c:v>75275874.803052768</c:v>
                </c:pt>
                <c:pt idx="110">
                  <c:v>76915541.641207486</c:v>
                </c:pt>
                <c:pt idx="111">
                  <c:v>73410702.378436863</c:v>
                </c:pt>
                <c:pt idx="112">
                  <c:v>76194934.845801011</c:v>
                </c:pt>
                <c:pt idx="113">
                  <c:v>77307246.554965541</c:v>
                </c:pt>
                <c:pt idx="114">
                  <c:v>84704775.508718401</c:v>
                </c:pt>
                <c:pt idx="115">
                  <c:v>81963884.185533434</c:v>
                </c:pt>
                <c:pt idx="116">
                  <c:v>76947474.964620784</c:v>
                </c:pt>
                <c:pt idx="117">
                  <c:v>74114451.023548096</c:v>
                </c:pt>
                <c:pt idx="118">
                  <c:v>72204018.0134947</c:v>
                </c:pt>
                <c:pt idx="119">
                  <c:v>75828360.959933221</c:v>
                </c:pt>
                <c:pt idx="120">
                  <c:v>82045921.407225132</c:v>
                </c:pt>
                <c:pt idx="121">
                  <c:v>74412184.105877668</c:v>
                </c:pt>
                <c:pt idx="122">
                  <c:v>78087172.550091863</c:v>
                </c:pt>
                <c:pt idx="123">
                  <c:v>72843964.214959681</c:v>
                </c:pt>
                <c:pt idx="124">
                  <c:v>72923936.316059619</c:v>
                </c:pt>
                <c:pt idx="125">
                  <c:v>77366233.063266605</c:v>
                </c:pt>
                <c:pt idx="126">
                  <c:v>85572706.423558652</c:v>
                </c:pt>
                <c:pt idx="127">
                  <c:v>81437091.894640401</c:v>
                </c:pt>
                <c:pt idx="128">
                  <c:v>75643718.516599759</c:v>
                </c:pt>
                <c:pt idx="129">
                  <c:v>73883704.480805114</c:v>
                </c:pt>
                <c:pt idx="130">
                  <c:v>74492817.385965168</c:v>
                </c:pt>
                <c:pt idx="131">
                  <c:v>80060804.204022691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BB-4D83-89EB-85D40F5BF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582192"/>
        <c:axId val="523582672"/>
      </c:scatterChart>
      <c:valAx>
        <c:axId val="5235821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672"/>
        <c:crosses val="autoZero"/>
        <c:crossBetween val="midCat"/>
      </c:valAx>
      <c:valAx>
        <c:axId val="52358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VRZ Large Use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Summary'!$BC$3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Summary'!$AF$5:$AF$21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Summary'!$BC$5:$BC$21</c:f>
              <c:numCache>
                <c:formatCode>#,##0</c:formatCode>
                <c:ptCount val="16"/>
                <c:pt idx="0">
                  <c:v>214289820.48699546</c:v>
                </c:pt>
                <c:pt idx="1">
                  <c:v>222292495.33607462</c:v>
                </c:pt>
                <c:pt idx="2">
                  <c:v>248469427.75455135</c:v>
                </c:pt>
                <c:pt idx="3">
                  <c:v>257775123.13030541</c:v>
                </c:pt>
                <c:pt idx="4">
                  <c:v>262392771.64005709</c:v>
                </c:pt>
                <c:pt idx="5">
                  <c:v>282815639.36618131</c:v>
                </c:pt>
                <c:pt idx="6">
                  <c:v>287178352.97389549</c:v>
                </c:pt>
                <c:pt idx="7">
                  <c:v>301783249.88881892</c:v>
                </c:pt>
                <c:pt idx="8">
                  <c:v>319639648.58016247</c:v>
                </c:pt>
                <c:pt idx="9">
                  <c:v>320243428.7364316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0-49A5-A493-29091182A076}"/>
            </c:ext>
          </c:extLst>
        </c:ser>
        <c:ser>
          <c:idx val="1"/>
          <c:order val="1"/>
          <c:tx>
            <c:strRef>
              <c:f>'Normalized Annual Summary'!$BE$3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Summary'!$AF$5:$AF$21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Summary'!$BE$5:$BE$21</c:f>
              <c:numCache>
                <c:formatCode>#,##0</c:formatCode>
                <c:ptCount val="16"/>
                <c:pt idx="0">
                  <c:v>221418637.64486113</c:v>
                </c:pt>
                <c:pt idx="1">
                  <c:v>232148327.08829373</c:v>
                </c:pt>
                <c:pt idx="2">
                  <c:v>264714956.75404868</c:v>
                </c:pt>
                <c:pt idx="3">
                  <c:v>276524028.4324894</c:v>
                </c:pt>
                <c:pt idx="4">
                  <c:v>281926668.88159341</c:v>
                </c:pt>
                <c:pt idx="5">
                  <c:v>303469395.73135197</c:v>
                </c:pt>
                <c:pt idx="6">
                  <c:v>308054903.94709766</c:v>
                </c:pt>
                <c:pt idx="7">
                  <c:v>324009006.56427532</c:v>
                </c:pt>
                <c:pt idx="8">
                  <c:v>343917827.94514245</c:v>
                </c:pt>
                <c:pt idx="9">
                  <c:v>349101335.38975924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A0-49A5-A493-29091182A076}"/>
            </c:ext>
          </c:extLst>
        </c:ser>
        <c:ser>
          <c:idx val="2"/>
          <c:order val="2"/>
          <c:tx>
            <c:strRef>
              <c:f>'Normalized Annual Summary'!$BK$3</c:f>
              <c:strCache>
                <c:ptCount val="1"/>
                <c:pt idx="0">
                  <c:v>Normal Predicted 
No CDM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Summary'!$AF$5:$AF$21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Summary'!$BK$5:$BK$21</c:f>
              <c:numCache>
                <c:formatCode>#,##0</c:formatCode>
                <c:ptCount val="16"/>
                <c:pt idx="0">
                  <c:v>227004612.86657929</c:v>
                </c:pt>
                <c:pt idx="1">
                  <c:v>242541437.25891751</c:v>
                </c:pt>
                <c:pt idx="2">
                  <c:v>261454125.81003451</c:v>
                </c:pt>
                <c:pt idx="3">
                  <c:v>275085550.70624685</c:v>
                </c:pt>
                <c:pt idx="4">
                  <c:v>270334099.0934751</c:v>
                </c:pt>
                <c:pt idx="5">
                  <c:v>305029432.8276087</c:v>
                </c:pt>
                <c:pt idx="6">
                  <c:v>319922172.24525082</c:v>
                </c:pt>
                <c:pt idx="7">
                  <c:v>324149630.93636644</c:v>
                </c:pt>
                <c:pt idx="8">
                  <c:v>336150216.80939806</c:v>
                </c:pt>
                <c:pt idx="9">
                  <c:v>343395116.9900229</c:v>
                </c:pt>
                <c:pt idx="10">
                  <c:v>371280985.56815565</c:v>
                </c:pt>
                <c:pt idx="11">
                  <c:v>442004541.75274593</c:v>
                </c:pt>
                <c:pt idx="12">
                  <c:v>524830202.16028237</c:v>
                </c:pt>
                <c:pt idx="13">
                  <c:v>576207928.7305584</c:v>
                </c:pt>
                <c:pt idx="14">
                  <c:v>593235296.26893449</c:v>
                </c:pt>
                <c:pt idx="15">
                  <c:v>605843818.08785844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A0-49A5-A493-29091182A076}"/>
            </c:ext>
          </c:extLst>
        </c:ser>
        <c:ser>
          <c:idx val="3"/>
          <c:order val="3"/>
          <c:tx>
            <c:strRef>
              <c:f>'Normalized Annual Summary'!$BJ$3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Summary'!$AF$5:$AF$21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Summary'!$BJ$5:$BJ$21</c:f>
              <c:numCache>
                <c:formatCode>#,##0</c:formatCode>
                <c:ptCount val="16"/>
                <c:pt idx="0">
                  <c:v>219875795.70871356</c:v>
                </c:pt>
                <c:pt idx="1">
                  <c:v>232685605.50669837</c:v>
                </c:pt>
                <c:pt idx="2">
                  <c:v>245208596.81053722</c:v>
                </c:pt>
                <c:pt idx="3">
                  <c:v>256336645.4040629</c:v>
                </c:pt>
                <c:pt idx="4">
                  <c:v>250800201.85193878</c:v>
                </c:pt>
                <c:pt idx="5">
                  <c:v>284375676.46243805</c:v>
                </c:pt>
                <c:pt idx="6">
                  <c:v>299045621.27204865</c:v>
                </c:pt>
                <c:pt idx="7">
                  <c:v>301923874.26091003</c:v>
                </c:pt>
                <c:pt idx="8">
                  <c:v>311872037.44441807</c:v>
                </c:pt>
                <c:pt idx="9">
                  <c:v>314537210.33669537</c:v>
                </c:pt>
                <c:pt idx="10">
                  <c:v>349064801.43601173</c:v>
                </c:pt>
                <c:pt idx="11">
                  <c:v>422992939.53934318</c:v>
                </c:pt>
                <c:pt idx="12">
                  <c:v>508966995.01089537</c:v>
                </c:pt>
                <c:pt idx="13">
                  <c:v>562958055.16250956</c:v>
                </c:pt>
                <c:pt idx="14">
                  <c:v>581016853.28744352</c:v>
                </c:pt>
                <c:pt idx="15">
                  <c:v>597048962.50697994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A0-49A5-A493-29091182A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1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VRZ Sentinel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Summary'!$BN$3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Summary'!$BT$5:$BT$21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Summary'!$BU$5:$BU$21</c:f>
              <c:numCache>
                <c:formatCode>#,##0</c:formatCode>
                <c:ptCount val="16"/>
                <c:pt idx="0">
                  <c:v>149076.16867010115</c:v>
                </c:pt>
                <c:pt idx="1">
                  <c:v>297128.43922915473</c:v>
                </c:pt>
                <c:pt idx="2">
                  <c:v>236464.57737073075</c:v>
                </c:pt>
                <c:pt idx="3">
                  <c:v>219210.48464033578</c:v>
                </c:pt>
                <c:pt idx="4">
                  <c:v>219089.71570311007</c:v>
                </c:pt>
                <c:pt idx="5">
                  <c:v>216801.46918526999</c:v>
                </c:pt>
                <c:pt idx="6">
                  <c:v>206492.3201679069</c:v>
                </c:pt>
                <c:pt idx="7">
                  <c:v>208749.31310818545</c:v>
                </c:pt>
                <c:pt idx="8">
                  <c:v>85942.730394962797</c:v>
                </c:pt>
                <c:pt idx="9">
                  <c:v>84532.818164472439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15-4F9A-BDDA-C5F96BE6189E}"/>
            </c:ext>
          </c:extLst>
        </c:ser>
        <c:ser>
          <c:idx val="3"/>
          <c:order val="1"/>
          <c:tx>
            <c:strRef>
              <c:f>'Normalized Annual Summary'!$BQ$3</c:f>
              <c:strCache>
                <c:ptCount val="1"/>
                <c:pt idx="0">
                  <c:v>Normal Forecast</c:v>
                </c:pt>
              </c:strCache>
            </c:strRef>
          </c:tx>
          <c:marker>
            <c:symbol val="none"/>
          </c:marker>
          <c:cat>
            <c:numRef>
              <c:f>'Normalized Annual Summary'!$BT$5:$BT$21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Summary'!$BX$5:$BX$21</c:f>
              <c:numCache>
                <c:formatCode>#,##0</c:formatCode>
                <c:ptCount val="16"/>
                <c:pt idx="0">
                  <c:v>149076.16867010115</c:v>
                </c:pt>
                <c:pt idx="1">
                  <c:v>297128.43922915473</c:v>
                </c:pt>
                <c:pt idx="2">
                  <c:v>236464.57737073078</c:v>
                </c:pt>
                <c:pt idx="3">
                  <c:v>219210.48464033578</c:v>
                </c:pt>
                <c:pt idx="4">
                  <c:v>219089.71570311007</c:v>
                </c:pt>
                <c:pt idx="5">
                  <c:v>216801.46918526999</c:v>
                </c:pt>
                <c:pt idx="6">
                  <c:v>206492.3201679069</c:v>
                </c:pt>
                <c:pt idx="7">
                  <c:v>208749.31310818545</c:v>
                </c:pt>
                <c:pt idx="8">
                  <c:v>85942.730394962797</c:v>
                </c:pt>
                <c:pt idx="9">
                  <c:v>84532.818164472439</c:v>
                </c:pt>
                <c:pt idx="10">
                  <c:v>82878.928767326172</c:v>
                </c:pt>
                <c:pt idx="11">
                  <c:v>81257.397810338269</c:v>
                </c:pt>
                <c:pt idx="12">
                  <c:v>79667.592198785904</c:v>
                </c:pt>
                <c:pt idx="13">
                  <c:v>78108.891224480496</c:v>
                </c:pt>
                <c:pt idx="14">
                  <c:v>76580.686323424539</c:v>
                </c:pt>
                <c:pt idx="15">
                  <c:v>75082.38083820972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15-4F9A-BDDA-C5F96BE61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42752"/>
        <c:axId val="178044288"/>
      </c:lineChart>
      <c:catAx>
        <c:axId val="1780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44288"/>
        <c:crosses val="autoZero"/>
        <c:auto val="1"/>
        <c:lblAlgn val="ctr"/>
        <c:lblOffset val="100"/>
        <c:noMultiLvlLbl val="0"/>
      </c:catAx>
      <c:valAx>
        <c:axId val="17804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Average Per Sentinel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Summary'!$BW$3</c:f>
              <c:strCache>
                <c:ptCount val="1"/>
                <c:pt idx="0">
                  <c:v>Average per Device</c:v>
                </c:pt>
              </c:strCache>
            </c:strRef>
          </c:tx>
          <c:marker>
            <c:symbol val="none"/>
          </c:marker>
          <c:cat>
            <c:numRef>
              <c:f>'Normalized Annual Summary'!$BT$5:$BT$21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Summary'!$BW$5:$BW$14</c:f>
              <c:numCache>
                <c:formatCode>#,##0</c:formatCode>
                <c:ptCount val="9"/>
                <c:pt idx="0">
                  <c:v>339.58124981799807</c:v>
                </c:pt>
                <c:pt idx="1">
                  <c:v>676.8301576973912</c:v>
                </c:pt>
                <c:pt idx="2">
                  <c:v>538.64368421578763</c:v>
                </c:pt>
                <c:pt idx="3">
                  <c:v>640.88824843075417</c:v>
                </c:pt>
                <c:pt idx="4">
                  <c:v>858.75439766040199</c:v>
                </c:pt>
                <c:pt idx="5">
                  <c:v>871.27181186310804</c:v>
                </c:pt>
                <c:pt idx="6">
                  <c:v>839.68412131985156</c:v>
                </c:pt>
                <c:pt idx="7">
                  <c:v>859.64027360954913</c:v>
                </c:pt>
                <c:pt idx="8">
                  <c:v>360.66192157354544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B9-4BB8-8367-E02C5D27B683}"/>
            </c:ext>
          </c:extLst>
        </c:ser>
        <c:ser>
          <c:idx val="1"/>
          <c:order val="1"/>
          <c:tx>
            <c:v>Forecast per Device</c:v>
          </c:tx>
          <c:marker>
            <c:symbol val="none"/>
          </c:marker>
          <c:cat>
            <c:numRef>
              <c:f>'Normalized Annual Summary'!$BT$5:$BT$21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('Normalized Annual Summary'!$BY$5:$BY$14,'Normalized Annual Summary'!$BW$15:$BW$21)</c:f>
              <c:numCache>
                <c:formatCode>General</c:formatCode>
                <c:ptCount val="16"/>
                <c:pt idx="9" formatCode="#,##0">
                  <c:v>365.74502180409922</c:v>
                </c:pt>
                <c:pt idx="10" formatCode="#,##0">
                  <c:v>365.74502180409922</c:v>
                </c:pt>
                <c:pt idx="11" formatCode="#,##0">
                  <c:v>365.74502180409922</c:v>
                </c:pt>
                <c:pt idx="12" formatCode="#,##0">
                  <c:v>365.74502180409922</c:v>
                </c:pt>
                <c:pt idx="13" formatCode="#,##0">
                  <c:v>365.74502180409922</c:v>
                </c:pt>
                <c:pt idx="14" formatCode="#,##0">
                  <c:v>365.74502180409922</c:v>
                </c:pt>
                <c:pt idx="15" formatCode="#,##0">
                  <c:v>365.74502180409922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B9-4BB8-8367-E02C5D27B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08192"/>
        <c:axId val="177609728"/>
      </c:lineChart>
      <c:catAx>
        <c:axId val="177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09728"/>
        <c:crosses val="autoZero"/>
        <c:auto val="1"/>
        <c:lblAlgn val="ctr"/>
        <c:lblOffset val="100"/>
        <c:noMultiLvlLbl val="0"/>
      </c:catAx>
      <c:valAx>
        <c:axId val="1776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WRZ 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Summary'!$CK$3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Summary'!$CJ$5:$CJ$21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Summary'!$CK$5:$CK$21</c:f>
              <c:numCache>
                <c:formatCode>#,##0</c:formatCode>
                <c:ptCount val="16"/>
                <c:pt idx="0">
                  <c:v>354262497.03685707</c:v>
                </c:pt>
                <c:pt idx="1">
                  <c:v>327526191.75668687</c:v>
                </c:pt>
                <c:pt idx="2">
                  <c:v>352677775.93598539</c:v>
                </c:pt>
                <c:pt idx="3">
                  <c:v>337849639.8890568</c:v>
                </c:pt>
                <c:pt idx="4">
                  <c:v>376808883.61974311</c:v>
                </c:pt>
                <c:pt idx="5">
                  <c:v>377870468.70321423</c:v>
                </c:pt>
                <c:pt idx="6">
                  <c:v>376493215.67660195</c:v>
                </c:pt>
                <c:pt idx="7">
                  <c:v>375458413.71048301</c:v>
                </c:pt>
                <c:pt idx="8">
                  <c:v>392915024.61658382</c:v>
                </c:pt>
                <c:pt idx="9">
                  <c:v>402680727.20947945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C-4CD6-966F-AE2B0CFB5417}"/>
            </c:ext>
          </c:extLst>
        </c:ser>
        <c:ser>
          <c:idx val="1"/>
          <c:order val="1"/>
          <c:tx>
            <c:strRef>
              <c:f>'Normalized Annual Summary'!$CM$3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Summary'!$CJ$5:$CJ$21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Summary'!$CM$5:$CM$21</c:f>
              <c:numCache>
                <c:formatCode>#,##0</c:formatCode>
                <c:ptCount val="16"/>
                <c:pt idx="0">
                  <c:v>362089789.67951554</c:v>
                </c:pt>
                <c:pt idx="1">
                  <c:v>344658204.76905382</c:v>
                </c:pt>
                <c:pt idx="2">
                  <c:v>374427991.11948341</c:v>
                </c:pt>
                <c:pt idx="3">
                  <c:v>360878984.79828548</c:v>
                </c:pt>
                <c:pt idx="4">
                  <c:v>399848173.33693796</c:v>
                </c:pt>
                <c:pt idx="5">
                  <c:v>398242957.55281997</c:v>
                </c:pt>
                <c:pt idx="6">
                  <c:v>396911103.93419737</c:v>
                </c:pt>
                <c:pt idx="7">
                  <c:v>395930836.98761469</c:v>
                </c:pt>
                <c:pt idx="8">
                  <c:v>414383242.9599188</c:v>
                </c:pt>
                <c:pt idx="9">
                  <c:v>426086684.84243095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4C-4CD6-966F-AE2B0CFB5417}"/>
            </c:ext>
          </c:extLst>
        </c:ser>
        <c:ser>
          <c:idx val="2"/>
          <c:order val="2"/>
          <c:tx>
            <c:strRef>
              <c:f>'Normalized Annual Summary'!$CN$3</c:f>
              <c:strCache>
                <c:ptCount val="1"/>
                <c:pt idx="0">
                  <c:v>Normal Predicted 
No CDM</c:v>
                </c:pt>
              </c:strCache>
            </c:strRef>
          </c:tx>
          <c:marker>
            <c:symbol val="none"/>
          </c:marker>
          <c:cat>
            <c:numRef>
              <c:f>'Normalized Annual Summary'!$CJ$5:$CJ$21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Summary'!$CN$5:$CN$21</c:f>
              <c:numCache>
                <c:formatCode>#,##0</c:formatCode>
                <c:ptCount val="16"/>
                <c:pt idx="0">
                  <c:v>349518064.05316168</c:v>
                </c:pt>
                <c:pt idx="1">
                  <c:v>355617745.73657948</c:v>
                </c:pt>
                <c:pt idx="2">
                  <c:v>362683960.15256393</c:v>
                </c:pt>
                <c:pt idx="3">
                  <c:v>370067560.61188686</c:v>
                </c:pt>
                <c:pt idx="4">
                  <c:v>392619632.21635342</c:v>
                </c:pt>
                <c:pt idx="5">
                  <c:v>401012390.66775811</c:v>
                </c:pt>
                <c:pt idx="6">
                  <c:v>402845128.17931181</c:v>
                </c:pt>
                <c:pt idx="7">
                  <c:v>404193144.92029387</c:v>
                </c:pt>
                <c:pt idx="8">
                  <c:v>414530824.43792969</c:v>
                </c:pt>
                <c:pt idx="9">
                  <c:v>424420113.3362121</c:v>
                </c:pt>
                <c:pt idx="10">
                  <c:v>434249326.55898499</c:v>
                </c:pt>
                <c:pt idx="11">
                  <c:v>445553522.52943909</c:v>
                </c:pt>
                <c:pt idx="12">
                  <c:v>455767980.30035037</c:v>
                </c:pt>
                <c:pt idx="13">
                  <c:v>467598432.27490151</c:v>
                </c:pt>
                <c:pt idx="14">
                  <c:v>480949426.56134427</c:v>
                </c:pt>
                <c:pt idx="15">
                  <c:v>493163975.89296597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4C-4CD6-966F-AE2B0CFB5417}"/>
            </c:ext>
          </c:extLst>
        </c:ser>
        <c:ser>
          <c:idx val="3"/>
          <c:order val="3"/>
          <c:tx>
            <c:strRef>
              <c:f>'Normalized Annual Summary'!$CR$3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Summary'!$CJ$5:$CJ$21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Summary'!$CR$5:$CR$21</c:f>
              <c:numCache>
                <c:formatCode>#,##0</c:formatCode>
                <c:ptCount val="16"/>
                <c:pt idx="0">
                  <c:v>341690771.41050321</c:v>
                </c:pt>
                <c:pt idx="1">
                  <c:v>338485732.72421253</c:v>
                </c:pt>
                <c:pt idx="2">
                  <c:v>340933744.96906579</c:v>
                </c:pt>
                <c:pt idx="3">
                  <c:v>347038215.70265812</c:v>
                </c:pt>
                <c:pt idx="4">
                  <c:v>369580342.49915856</c:v>
                </c:pt>
                <c:pt idx="5">
                  <c:v>380639901.81815231</c:v>
                </c:pt>
                <c:pt idx="6">
                  <c:v>382427239.92171639</c:v>
                </c:pt>
                <c:pt idx="7">
                  <c:v>383720721.64316219</c:v>
                </c:pt>
                <c:pt idx="8">
                  <c:v>393062606.09459472</c:v>
                </c:pt>
                <c:pt idx="9">
                  <c:v>401014155.7032606</c:v>
                </c:pt>
                <c:pt idx="10">
                  <c:v>413282228.94022828</c:v>
                </c:pt>
                <c:pt idx="11">
                  <c:v>424880393.4518621</c:v>
                </c:pt>
                <c:pt idx="12">
                  <c:v>435173045.41832602</c:v>
                </c:pt>
                <c:pt idx="13">
                  <c:v>447041847.47292751</c:v>
                </c:pt>
                <c:pt idx="14">
                  <c:v>461932945.62585056</c:v>
                </c:pt>
                <c:pt idx="15">
                  <c:v>475515289.2833786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4C-4CD6-966F-AE2B0CFB5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  <c:min val="3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WRZ 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Summary'!$CU$3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Summary'!$CT$5:$CT$21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Summary'!$CU$5:$CU$21</c:f>
              <c:numCache>
                <c:formatCode>#,##0</c:formatCode>
                <c:ptCount val="16"/>
                <c:pt idx="0">
                  <c:v>85344572.942318693</c:v>
                </c:pt>
                <c:pt idx="1">
                  <c:v>83249374.995054513</c:v>
                </c:pt>
                <c:pt idx="2">
                  <c:v>86231210.620193273</c:v>
                </c:pt>
                <c:pt idx="3">
                  <c:v>85349702.348775536</c:v>
                </c:pt>
                <c:pt idx="4">
                  <c:v>78127840.869743645</c:v>
                </c:pt>
                <c:pt idx="5">
                  <c:v>78970544.989649892</c:v>
                </c:pt>
                <c:pt idx="6">
                  <c:v>83688802.82709007</c:v>
                </c:pt>
                <c:pt idx="7">
                  <c:v>84916933.924258634</c:v>
                </c:pt>
                <c:pt idx="8">
                  <c:v>84569272.920165718</c:v>
                </c:pt>
                <c:pt idx="9">
                  <c:v>84094466.362244099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0C-4359-98FE-725068C7A71E}"/>
            </c:ext>
          </c:extLst>
        </c:ser>
        <c:ser>
          <c:idx val="1"/>
          <c:order val="1"/>
          <c:tx>
            <c:strRef>
              <c:f>'Normalized Annual Summary'!$CW$3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Summary'!$CT$5:$CT$21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Summary'!$CW$5:$CW$21</c:f>
              <c:numCache>
                <c:formatCode>#,##0</c:formatCode>
                <c:ptCount val="16"/>
                <c:pt idx="0">
                  <c:v>86730195.315171614</c:v>
                </c:pt>
                <c:pt idx="1">
                  <c:v>84903787.382071093</c:v>
                </c:pt>
                <c:pt idx="2">
                  <c:v>88410075.907026008</c:v>
                </c:pt>
                <c:pt idx="3">
                  <c:v>87822910.238034844</c:v>
                </c:pt>
                <c:pt idx="4">
                  <c:v>80737801.677429453</c:v>
                </c:pt>
                <c:pt idx="5">
                  <c:v>81746053.305323392</c:v>
                </c:pt>
                <c:pt idx="6">
                  <c:v>86826614.34330143</c:v>
                </c:pt>
                <c:pt idx="7">
                  <c:v>88283192.14111647</c:v>
                </c:pt>
                <c:pt idx="8">
                  <c:v>88353123.276645958</c:v>
                </c:pt>
                <c:pt idx="9">
                  <c:v>88146000.644109145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0C-4359-98FE-725068C7A71E}"/>
            </c:ext>
          </c:extLst>
        </c:ser>
        <c:ser>
          <c:idx val="2"/>
          <c:order val="2"/>
          <c:tx>
            <c:strRef>
              <c:f>'Normalized Annual Summary'!$CX$3</c:f>
              <c:strCache>
                <c:ptCount val="1"/>
                <c:pt idx="0">
                  <c:v>Normal Predicted 
No CDM</c:v>
                </c:pt>
              </c:strCache>
            </c:strRef>
          </c:tx>
          <c:marker>
            <c:symbol val="none"/>
          </c:marker>
          <c:cat>
            <c:numRef>
              <c:f>'Normalized Annual Summary'!$CT$5:$CT$21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Summary'!$CX$5:$CX$21</c:f>
              <c:numCache>
                <c:formatCode>#,##0</c:formatCode>
                <c:ptCount val="16"/>
                <c:pt idx="0">
                  <c:v>88341464.752347767</c:v>
                </c:pt>
                <c:pt idx="1">
                  <c:v>87955716.912347764</c:v>
                </c:pt>
                <c:pt idx="2">
                  <c:v>89215345.097347766</c:v>
                </c:pt>
                <c:pt idx="3">
                  <c:v>89294828.464159399</c:v>
                </c:pt>
                <c:pt idx="4">
                  <c:v>83606115.438405529</c:v>
                </c:pt>
                <c:pt idx="5">
                  <c:v>84850406.090402737</c:v>
                </c:pt>
                <c:pt idx="6">
                  <c:v>90793122.063716263</c:v>
                </c:pt>
                <c:pt idx="7">
                  <c:v>93965294.276947573</c:v>
                </c:pt>
                <c:pt idx="8">
                  <c:v>95668868.366025284</c:v>
                </c:pt>
                <c:pt idx="9">
                  <c:v>97080915.92819646</c:v>
                </c:pt>
                <c:pt idx="10">
                  <c:v>97847661.460822016</c:v>
                </c:pt>
                <c:pt idx="11">
                  <c:v>98782734.443288967</c:v>
                </c:pt>
                <c:pt idx="12">
                  <c:v>99581977.111988559</c:v>
                </c:pt>
                <c:pt idx="13">
                  <c:v>100779072.45243661</c:v>
                </c:pt>
                <c:pt idx="14">
                  <c:v>102235150.29780279</c:v>
                </c:pt>
                <c:pt idx="15">
                  <c:v>103451164.09172952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0C-4359-98FE-725068C7A71E}"/>
            </c:ext>
          </c:extLst>
        </c:ser>
        <c:ser>
          <c:idx val="3"/>
          <c:order val="3"/>
          <c:tx>
            <c:strRef>
              <c:f>'Normalized Annual Summary'!$DB$3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Summary'!$CT$5:$CT$21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Summary'!$DB$5:$DB$21</c:f>
              <c:numCache>
                <c:formatCode>#,##0</c:formatCode>
                <c:ptCount val="16"/>
                <c:pt idx="0">
                  <c:v>86955842.379494816</c:v>
                </c:pt>
                <c:pt idx="1">
                  <c:v>86301304.525331169</c:v>
                </c:pt>
                <c:pt idx="2">
                  <c:v>87036479.810515031</c:v>
                </c:pt>
                <c:pt idx="3">
                  <c:v>86821620.574900106</c:v>
                </c:pt>
                <c:pt idx="4">
                  <c:v>80996154.630719721</c:v>
                </c:pt>
                <c:pt idx="5">
                  <c:v>82074897.774729222</c:v>
                </c:pt>
                <c:pt idx="6">
                  <c:v>87655310.547504902</c:v>
                </c:pt>
                <c:pt idx="7">
                  <c:v>90599036.060089737</c:v>
                </c:pt>
                <c:pt idx="8">
                  <c:v>91885018.009545028</c:v>
                </c:pt>
                <c:pt idx="9">
                  <c:v>93029381.646331429</c:v>
                </c:pt>
                <c:pt idx="10">
                  <c:v>95059608.846682787</c:v>
                </c:pt>
                <c:pt idx="11">
                  <c:v>96281098.261436075</c:v>
                </c:pt>
                <c:pt idx="12">
                  <c:v>97236504.807735905</c:v>
                </c:pt>
                <c:pt idx="13">
                  <c:v>98610886.306496739</c:v>
                </c:pt>
                <c:pt idx="14">
                  <c:v>100142047.32756847</c:v>
                </c:pt>
                <c:pt idx="15">
                  <c:v>101842567.91642183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0C-4359-98FE-725068C7A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7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WRZ Street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Summary'!$EA$3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Summary'!$DZ$5:$DZ$21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Summary'!$EA$5:$EA$21</c:f>
              <c:numCache>
                <c:formatCode>#,##0</c:formatCode>
                <c:ptCount val="16"/>
                <c:pt idx="0">
                  <c:v>6040411.8327912744</c:v>
                </c:pt>
                <c:pt idx="1">
                  <c:v>4772411.8997512907</c:v>
                </c:pt>
                <c:pt idx="2">
                  <c:v>3647423.9429883291</c:v>
                </c:pt>
                <c:pt idx="3">
                  <c:v>3343338.8655060264</c:v>
                </c:pt>
                <c:pt idx="4">
                  <c:v>3228914.1476946622</c:v>
                </c:pt>
                <c:pt idx="5">
                  <c:v>3113190.396020662</c:v>
                </c:pt>
                <c:pt idx="6">
                  <c:v>3428741.8882724312</c:v>
                </c:pt>
                <c:pt idx="7">
                  <c:v>3509109.9961737129</c:v>
                </c:pt>
                <c:pt idx="8">
                  <c:v>3547066.0034436584</c:v>
                </c:pt>
                <c:pt idx="9">
                  <c:v>3585601.999234742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65-48AA-A8E0-AAD60E0066E4}"/>
            </c:ext>
          </c:extLst>
        </c:ser>
        <c:ser>
          <c:idx val="3"/>
          <c:order val="1"/>
          <c:tx>
            <c:strRef>
              <c:f>'Normalized Annual Summary'!$BQ$3</c:f>
              <c:strCache>
                <c:ptCount val="1"/>
                <c:pt idx="0">
                  <c:v>Normal Forecast</c:v>
                </c:pt>
              </c:strCache>
            </c:strRef>
          </c:tx>
          <c:marker>
            <c:symbol val="none"/>
          </c:marker>
          <c:cat>
            <c:numRef>
              <c:f>'Normalized Annual Summary'!$DZ$5:$DZ$21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Summary'!$ED$5:$ED$21</c:f>
              <c:numCache>
                <c:formatCode>#,##0</c:formatCode>
                <c:ptCount val="16"/>
                <c:pt idx="0">
                  <c:v>6040411.8327912744</c:v>
                </c:pt>
                <c:pt idx="1">
                  <c:v>4772411.8997512907</c:v>
                </c:pt>
                <c:pt idx="2">
                  <c:v>3647423.9429883296</c:v>
                </c:pt>
                <c:pt idx="3">
                  <c:v>3343338.8655060264</c:v>
                </c:pt>
                <c:pt idx="4">
                  <c:v>3228914.1476946622</c:v>
                </c:pt>
                <c:pt idx="5">
                  <c:v>3113190.396020662</c:v>
                </c:pt>
                <c:pt idx="6">
                  <c:v>3428741.8882724312</c:v>
                </c:pt>
                <c:pt idx="7">
                  <c:v>3509109.9961737129</c:v>
                </c:pt>
                <c:pt idx="8">
                  <c:v>3547066.0034436588</c:v>
                </c:pt>
                <c:pt idx="9">
                  <c:v>3585601.999234742</c:v>
                </c:pt>
                <c:pt idx="10">
                  <c:v>3648157.6152521502</c:v>
                </c:pt>
                <c:pt idx="11">
                  <c:v>3711804.5975439399</c:v>
                </c:pt>
                <c:pt idx="12">
                  <c:v>3776561.9864524594</c:v>
                </c:pt>
                <c:pt idx="13">
                  <c:v>3842449.1545042628</c:v>
                </c:pt>
                <c:pt idx="14">
                  <c:v>3909485.8122055032</c:v>
                </c:pt>
                <c:pt idx="15">
                  <c:v>3977692.0139384423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5-48AA-A8E0-AAD60E006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42752"/>
        <c:axId val="178044288"/>
      </c:lineChart>
      <c:catAx>
        <c:axId val="1780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44288"/>
        <c:crosses val="autoZero"/>
        <c:auto val="1"/>
        <c:lblAlgn val="ctr"/>
        <c:lblOffset val="100"/>
        <c:noMultiLvlLbl val="0"/>
      </c:catAx>
      <c:valAx>
        <c:axId val="17804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/>
                </a:pPr>
                <a:r>
                  <a:rPr lang="en-US" sz="900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80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Average Per Streetlight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Summary'!$EC$3</c:f>
              <c:strCache>
                <c:ptCount val="1"/>
                <c:pt idx="0">
                  <c:v>Average per Device</c:v>
                </c:pt>
              </c:strCache>
            </c:strRef>
          </c:tx>
          <c:marker>
            <c:symbol val="none"/>
          </c:marker>
          <c:cat>
            <c:numRef>
              <c:f>'Normalized Annual Summary'!$DZ$5:$DZ$21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Summary'!$EC$5:$EC$14</c:f>
              <c:numCache>
                <c:formatCode>#,##0</c:formatCode>
                <c:ptCount val="9"/>
                <c:pt idx="0">
                  <c:v>509.42234961711802</c:v>
                </c:pt>
                <c:pt idx="1">
                  <c:v>401.34655619807342</c:v>
                </c:pt>
                <c:pt idx="2">
                  <c:v>302.59870658900428</c:v>
                </c:pt>
                <c:pt idx="3">
                  <c:v>269.44121521059162</c:v>
                </c:pt>
                <c:pt idx="4">
                  <c:v>254.0893203470045</c:v>
                </c:pt>
                <c:pt idx="5">
                  <c:v>239.03871281883431</c:v>
                </c:pt>
                <c:pt idx="6">
                  <c:v>256.97094375460864</c:v>
                </c:pt>
                <c:pt idx="7">
                  <c:v>258.87062686362236</c:v>
                </c:pt>
                <c:pt idx="8">
                  <c:v>258.758827213573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39-448C-A4E3-6B64E4EB265C}"/>
            </c:ext>
          </c:extLst>
        </c:ser>
        <c:ser>
          <c:idx val="1"/>
          <c:order val="1"/>
          <c:tx>
            <c:v>Forecast per Device</c:v>
          </c:tx>
          <c:marker>
            <c:symbol val="none"/>
          </c:marker>
          <c:cat>
            <c:numRef>
              <c:f>'Normalized Annual Summary'!$DZ$5:$DZ$21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('Normalized Annual Summary'!$EE$5:$EE$14,'Normalized Annual Summary'!$EC$15:$EC$21)</c:f>
              <c:numCache>
                <c:formatCode>General</c:formatCode>
                <c:ptCount val="16"/>
                <c:pt idx="9" formatCode="#,##0">
                  <c:v>258.8033646657197</c:v>
                </c:pt>
                <c:pt idx="10" formatCode="#,##0">
                  <c:v>258.8033646657197</c:v>
                </c:pt>
                <c:pt idx="11" formatCode="#,##0">
                  <c:v>258.8033646657197</c:v>
                </c:pt>
                <c:pt idx="12" formatCode="#,##0">
                  <c:v>258.8033646657197</c:v>
                </c:pt>
                <c:pt idx="13" formatCode="#,##0">
                  <c:v>258.8033646657197</c:v>
                </c:pt>
                <c:pt idx="14" formatCode="#,##0">
                  <c:v>258.8033646657197</c:v>
                </c:pt>
                <c:pt idx="15" formatCode="#,##0">
                  <c:v>258.8033646657197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39-448C-A4E3-6B64E4EB2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08192"/>
        <c:axId val="177609728"/>
      </c:lineChart>
      <c:catAx>
        <c:axId val="177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09728"/>
        <c:crosses val="autoZero"/>
        <c:auto val="1"/>
        <c:lblAlgn val="ctr"/>
        <c:lblOffset val="100"/>
        <c:noMultiLvlLbl val="0"/>
      </c:catAx>
      <c:valAx>
        <c:axId val="1776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WRZ USL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Summary'!$ER$3</c:f>
              <c:strCache>
                <c:ptCount val="1"/>
                <c:pt idx="0">
                  <c:v>Normal Forecast</c:v>
                </c:pt>
              </c:strCache>
            </c:strRef>
          </c:tx>
          <c:marker>
            <c:symbol val="none"/>
          </c:marker>
          <c:cat>
            <c:numRef>
              <c:f>'Normalized Annual Summary'!$EN$5:$EN$21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Summary'!$ER$5:$ER$21</c:f>
              <c:numCache>
                <c:formatCode>#,##0</c:formatCode>
                <c:ptCount val="16"/>
                <c:pt idx="0">
                  <c:v>572545.95370193222</c:v>
                </c:pt>
                <c:pt idx="1">
                  <c:v>571359.93877941452</c:v>
                </c:pt>
                <c:pt idx="2">
                  <c:v>578219.02621006314</c:v>
                </c:pt>
                <c:pt idx="3">
                  <c:v>571919.91582169512</c:v>
                </c:pt>
                <c:pt idx="4">
                  <c:v>1772122.9864166828</c:v>
                </c:pt>
                <c:pt idx="5">
                  <c:v>1884136.9236655824</c:v>
                </c:pt>
                <c:pt idx="6">
                  <c:v>1871392.8257126461</c:v>
                </c:pt>
                <c:pt idx="7">
                  <c:v>1876376.7744404057</c:v>
                </c:pt>
                <c:pt idx="8">
                  <c:v>1876673.7325425674</c:v>
                </c:pt>
                <c:pt idx="9">
                  <c:v>1871192.7396211976</c:v>
                </c:pt>
                <c:pt idx="10">
                  <c:v>1881015.2190175098</c:v>
                </c:pt>
                <c:pt idx="11">
                  <c:v>1890889.2596984764</c:v>
                </c:pt>
                <c:pt idx="12">
                  <c:v>1900815.1323255028</c:v>
                </c:pt>
                <c:pt idx="13">
                  <c:v>1910793.1089807807</c:v>
                </c:pt>
                <c:pt idx="14">
                  <c:v>1920823.4631747473</c:v>
                </c:pt>
                <c:pt idx="15">
                  <c:v>1930906.4698535819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A-44A2-8D3F-9E8D74F12598}"/>
            </c:ext>
          </c:extLst>
        </c:ser>
        <c:ser>
          <c:idx val="3"/>
          <c:order val="1"/>
          <c:tx>
            <c:strRef>
              <c:f>'Normalized Annual Summary'!$CE$3</c:f>
              <c:strCache>
                <c:ptCount val="1"/>
                <c:pt idx="0">
                  <c:v>Normal Forecast</c:v>
                </c:pt>
              </c:strCache>
            </c:strRef>
          </c:tx>
          <c:marker>
            <c:symbol val="none"/>
          </c:marker>
          <c:cat>
            <c:numRef>
              <c:f>'Normalized Annual Summary'!$EN$5:$EN$21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('Normalized Annual Summary'!$ES$5:$ES$13,'Normalized Annual Summary'!$ER$14:$ER$21)</c:f>
              <c:numCache>
                <c:formatCode>General</c:formatCode>
                <c:ptCount val="16"/>
                <c:pt idx="8" formatCode="#,##0">
                  <c:v>1876673.7325425674</c:v>
                </c:pt>
                <c:pt idx="9" formatCode="#,##0">
                  <c:v>1871192.7396211976</c:v>
                </c:pt>
                <c:pt idx="10" formatCode="#,##0">
                  <c:v>1881015.2190175098</c:v>
                </c:pt>
                <c:pt idx="11" formatCode="#,##0">
                  <c:v>1890889.2596984764</c:v>
                </c:pt>
                <c:pt idx="12" formatCode="#,##0">
                  <c:v>1900815.1323255028</c:v>
                </c:pt>
                <c:pt idx="13" formatCode="#,##0">
                  <c:v>1910793.1089807807</c:v>
                </c:pt>
                <c:pt idx="14" formatCode="#,##0">
                  <c:v>1920823.4631747473</c:v>
                </c:pt>
                <c:pt idx="15" formatCode="#,##0">
                  <c:v>1930906.4698535819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A-44A2-8D3F-9E8D74F12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61440"/>
        <c:axId val="177662976"/>
      </c:lineChart>
      <c:catAx>
        <c:axId val="1776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62976"/>
        <c:crosses val="autoZero"/>
        <c:auto val="1"/>
        <c:lblAlgn val="ctr"/>
        <c:lblOffset val="100"/>
        <c:noMultiLvlLbl val="0"/>
      </c:catAx>
      <c:valAx>
        <c:axId val="17766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6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US"/>
              <a:t>Average Per USL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Summary'!$EQ$3</c:f>
              <c:strCache>
                <c:ptCount val="1"/>
                <c:pt idx="0">
                  <c:v>Average per Connection</c:v>
                </c:pt>
              </c:strCache>
            </c:strRef>
          </c:tx>
          <c:marker>
            <c:symbol val="none"/>
          </c:marker>
          <c:cat>
            <c:numRef>
              <c:f>'Normalized Annual Summary'!$EN$5:$EN$21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Summary'!$EQ$5:$EQ$14</c:f>
              <c:numCache>
                <c:formatCode>#,##0</c:formatCode>
                <c:ptCount val="9"/>
                <c:pt idx="0">
                  <c:v>1538.2405562349006</c:v>
                </c:pt>
                <c:pt idx="1">
                  <c:v>1541.6119764705957</c:v>
                </c:pt>
                <c:pt idx="2">
                  <c:v>1534.2461723650099</c:v>
                </c:pt>
                <c:pt idx="3">
                  <c:v>1488.4057666146912</c:v>
                </c:pt>
                <c:pt idx="4">
                  <c:v>4553.6350828694221</c:v>
                </c:pt>
                <c:pt idx="5">
                  <c:v>4812.0981342954128</c:v>
                </c:pt>
                <c:pt idx="6">
                  <c:v>4760.8043053957481</c:v>
                </c:pt>
                <c:pt idx="7">
                  <c:v>4685.0855791271051</c:v>
                </c:pt>
                <c:pt idx="8">
                  <c:v>4736.0851294449649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DE-4CA5-ADBB-11C2A3CEDC4A}"/>
            </c:ext>
          </c:extLst>
        </c:ser>
        <c:ser>
          <c:idx val="1"/>
          <c:order val="1"/>
          <c:tx>
            <c:v>Forecast per Connection</c:v>
          </c:tx>
          <c:marker>
            <c:symbol val="none"/>
          </c:marker>
          <c:cat>
            <c:numRef>
              <c:f>'Normalized Annual Summary'!$EN$5:$EN$21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('Normalized Annual Summary'!$ES$5:$ES$14,'Normalized Annual Summary'!$EQ$15:$EQ$21)</c:f>
              <c:numCache>
                <c:formatCode>General</c:formatCode>
                <c:ptCount val="16"/>
                <c:pt idx="9" formatCode="#,##0">
                  <c:v>4795.8805799774409</c:v>
                </c:pt>
                <c:pt idx="10" formatCode="#,##0">
                  <c:v>4795.8805799774409</c:v>
                </c:pt>
                <c:pt idx="11" formatCode="#,##0">
                  <c:v>4795.8805799774409</c:v>
                </c:pt>
                <c:pt idx="12" formatCode="#,##0">
                  <c:v>4795.8805799774409</c:v>
                </c:pt>
                <c:pt idx="13" formatCode="#,##0">
                  <c:v>4795.8805799774409</c:v>
                </c:pt>
                <c:pt idx="14" formatCode="#,##0">
                  <c:v>4795.8805799774409</c:v>
                </c:pt>
                <c:pt idx="15" formatCode="#,##0">
                  <c:v>4795.8805799774409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DE-4CA5-ADBB-11C2A3CED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702400"/>
        <c:axId val="177703936"/>
      </c:lineChart>
      <c:catAx>
        <c:axId val="17770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7703936"/>
        <c:crosses val="autoZero"/>
        <c:auto val="1"/>
        <c:lblAlgn val="ctr"/>
        <c:lblOffset val="100"/>
        <c:noMultiLvlLbl val="0"/>
      </c:catAx>
      <c:valAx>
        <c:axId val="17770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770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WRZ GS 3,000 - 4,999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Summary'!$DP$3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Summary'!$DO$5:$DO$21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Summary'!$DP$5:$DP$21</c:f>
              <c:numCache>
                <c:formatCode>#,##0</c:formatCode>
                <c:ptCount val="16"/>
                <c:pt idx="0">
                  <c:v>60391954.021215044</c:v>
                </c:pt>
                <c:pt idx="1">
                  <c:v>58961813.114754111</c:v>
                </c:pt>
                <c:pt idx="2">
                  <c:v>69618715.207328841</c:v>
                </c:pt>
                <c:pt idx="3">
                  <c:v>76973824.001928642</c:v>
                </c:pt>
                <c:pt idx="4">
                  <c:v>82322250.183220834</c:v>
                </c:pt>
                <c:pt idx="5">
                  <c:v>85453559.662487954</c:v>
                </c:pt>
                <c:pt idx="6">
                  <c:v>85515948.081002906</c:v>
                </c:pt>
                <c:pt idx="7">
                  <c:v>82703199.884281576</c:v>
                </c:pt>
                <c:pt idx="8">
                  <c:v>79491989.566055939</c:v>
                </c:pt>
                <c:pt idx="9">
                  <c:v>79867037.608023137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9-4312-BCE7-D6127A6BE638}"/>
            </c:ext>
          </c:extLst>
        </c:ser>
        <c:ser>
          <c:idx val="1"/>
          <c:order val="1"/>
          <c:tx>
            <c:strRef>
              <c:f>'Normalized Annual Summary'!$DR$3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Summary'!$DO$5:$DO$21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Summary'!$DR$5:$DR$21</c:f>
              <c:numCache>
                <c:formatCode>#,##0</c:formatCode>
                <c:ptCount val="16"/>
                <c:pt idx="0">
                  <c:v>61537561.710238636</c:v>
                </c:pt>
                <c:pt idx="1">
                  <c:v>60897721.721045442</c:v>
                </c:pt>
                <c:pt idx="2">
                  <c:v>72444669.864638299</c:v>
                </c:pt>
                <c:pt idx="3">
                  <c:v>81067640.982784644</c:v>
                </c:pt>
                <c:pt idx="4">
                  <c:v>87300917.280597076</c:v>
                </c:pt>
                <c:pt idx="5">
                  <c:v>91219165.840228975</c:v>
                </c:pt>
                <c:pt idx="6">
                  <c:v>92386373.674872577</c:v>
                </c:pt>
                <c:pt idx="7">
                  <c:v>90098010.637961924</c:v>
                </c:pt>
                <c:pt idx="8">
                  <c:v>87688946.93355599</c:v>
                </c:pt>
                <c:pt idx="9">
                  <c:v>89309740.351450846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9-4312-BCE7-D6127A6BE638}"/>
            </c:ext>
          </c:extLst>
        </c:ser>
        <c:ser>
          <c:idx val="2"/>
          <c:order val="2"/>
          <c:tx>
            <c:strRef>
              <c:f>'Normalized Annual Summary'!$DX$3</c:f>
              <c:strCache>
                <c:ptCount val="1"/>
                <c:pt idx="0">
                  <c:v>Normal Predicted 
No CDM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Summary'!$DO$5:$DO$21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Summary'!$DX$5:$DX$21</c:f>
              <c:numCache>
                <c:formatCode>#,##0</c:formatCode>
                <c:ptCount val="16"/>
                <c:pt idx="0">
                  <c:v>60818464.525552742</c:v>
                </c:pt>
                <c:pt idx="1">
                  <c:v>60634169.61527577</c:v>
                </c:pt>
                <c:pt idx="2">
                  <c:v>75614973.24448584</c:v>
                </c:pt>
                <c:pt idx="3">
                  <c:v>88290984.609048173</c:v>
                </c:pt>
                <c:pt idx="4">
                  <c:v>88478023.061325133</c:v>
                </c:pt>
                <c:pt idx="5">
                  <c:v>88295125.051048175</c:v>
                </c:pt>
                <c:pt idx="6">
                  <c:v>88301183.180048153</c:v>
                </c:pt>
                <c:pt idx="7">
                  <c:v>88312420.63704817</c:v>
                </c:pt>
                <c:pt idx="8">
                  <c:v>88520217.207325146</c:v>
                </c:pt>
                <c:pt idx="9">
                  <c:v>88357869.189048156</c:v>
                </c:pt>
                <c:pt idx="10">
                  <c:v>99780317.080135763</c:v>
                </c:pt>
                <c:pt idx="11">
                  <c:v>116129822.05879892</c:v>
                </c:pt>
                <c:pt idx="12">
                  <c:v>123101105.42834187</c:v>
                </c:pt>
                <c:pt idx="13">
                  <c:v>128194045.06861889</c:v>
                </c:pt>
                <c:pt idx="14">
                  <c:v>135459676.09623325</c:v>
                </c:pt>
                <c:pt idx="15">
                  <c:v>140958417.66671187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19-4312-BCE7-D6127A6BE638}"/>
            </c:ext>
          </c:extLst>
        </c:ser>
        <c:ser>
          <c:idx val="3"/>
          <c:order val="3"/>
          <c:tx>
            <c:strRef>
              <c:f>'Normalized Annual Summary'!$DW$3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Summary'!$DO$5:$DO$21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Summary'!$DW$5:$DW$21</c:f>
              <c:numCache>
                <c:formatCode>#,##0</c:formatCode>
                <c:ptCount val="16"/>
                <c:pt idx="0">
                  <c:v>59672856.836529151</c:v>
                </c:pt>
                <c:pt idx="1">
                  <c:v>58698261.008984432</c:v>
                </c:pt>
                <c:pt idx="2">
                  <c:v>72789018.587176383</c:v>
                </c:pt>
                <c:pt idx="3">
                  <c:v>84197167.628192171</c:v>
                </c:pt>
                <c:pt idx="4">
                  <c:v>83499355.963948876</c:v>
                </c:pt>
                <c:pt idx="5">
                  <c:v>82529518.873307154</c:v>
                </c:pt>
                <c:pt idx="6">
                  <c:v>81430757.586178482</c:v>
                </c:pt>
                <c:pt idx="7">
                  <c:v>80917609.883367822</c:v>
                </c:pt>
                <c:pt idx="8">
                  <c:v>80323259.839825079</c:v>
                </c:pt>
                <c:pt idx="9">
                  <c:v>78915166.445620447</c:v>
                </c:pt>
                <c:pt idx="10">
                  <c:v>92072460.412605077</c:v>
                </c:pt>
                <c:pt idx="11">
                  <c:v>108841470.83473286</c:v>
                </c:pt>
                <c:pt idx="12">
                  <c:v>116124714.56687501</c:v>
                </c:pt>
                <c:pt idx="13">
                  <c:v>121958556.76758742</c:v>
                </c:pt>
                <c:pt idx="14">
                  <c:v>129560666.21879767</c:v>
                </c:pt>
                <c:pt idx="15">
                  <c:v>136179395.77017003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19-4312-BCE7-D6127A6BE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Weather!$Z$1</c:f>
              <c:strCache>
                <c:ptCount val="1"/>
                <c:pt idx="0">
                  <c:v> WRZ_GSlt50kWh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Weather!$Q$14:$Q$145</c:f>
              <c:numCache>
                <c:formatCode>0</c:formatCode>
                <c:ptCount val="132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  <c:pt idx="120">
                  <c:v>-5.6266129032258068</c:v>
                </c:pt>
                <c:pt idx="121">
                  <c:v>-5.7592261904761912</c:v>
                </c:pt>
                <c:pt idx="122">
                  <c:v>1.2700268817204301</c:v>
                </c:pt>
                <c:pt idx="123">
                  <c:v>6.2719444444444443</c:v>
                </c:pt>
                <c:pt idx="124">
                  <c:v>12.868682795698925</c:v>
                </c:pt>
                <c:pt idx="125">
                  <c:v>19.441388888888891</c:v>
                </c:pt>
                <c:pt idx="126">
                  <c:v>22.816599462365595</c:v>
                </c:pt>
                <c:pt idx="127">
                  <c:v>20.383467741935487</c:v>
                </c:pt>
                <c:pt idx="128">
                  <c:v>17.070277777777775</c:v>
                </c:pt>
                <c:pt idx="129">
                  <c:v>10.918682795698926</c:v>
                </c:pt>
                <c:pt idx="130">
                  <c:v>2.6462499999999998</c:v>
                </c:pt>
                <c:pt idx="131">
                  <c:v>-4.0064516129032253</c:v>
                </c:pt>
              </c:numCache>
            </c:numRef>
          </c:xVal>
          <c:yVal>
            <c:numRef>
              <c:f>Weather!$Z$14:$Z$145</c:f>
              <c:numCache>
                <c:formatCode>_-* #,##0_-;\-* #,##0_-;_-* "-"??_-;_-@_-</c:formatCode>
                <c:ptCount val="132"/>
                <c:pt idx="12">
                  <c:v>7573140.8147790404</c:v>
                </c:pt>
                <c:pt idx="13">
                  <c:v>7092291.0563994637</c:v>
                </c:pt>
                <c:pt idx="14">
                  <c:v>7005032.8680409407</c:v>
                </c:pt>
                <c:pt idx="15">
                  <c:v>6516276.3955519414</c:v>
                </c:pt>
                <c:pt idx="16">
                  <c:v>6531592.6086187009</c:v>
                </c:pt>
                <c:pt idx="17">
                  <c:v>7051957.149378228</c:v>
                </c:pt>
                <c:pt idx="18">
                  <c:v>7799625.6606944604</c:v>
                </c:pt>
                <c:pt idx="19">
                  <c:v>8138705.7718672082</c:v>
                </c:pt>
                <c:pt idx="20">
                  <c:v>7015180.0928257024</c:v>
                </c:pt>
                <c:pt idx="21">
                  <c:v>6463146.9084752146</c:v>
                </c:pt>
                <c:pt idx="22">
                  <c:v>6627638.8134493968</c:v>
                </c:pt>
                <c:pt idx="23">
                  <c:v>7529984.8022383861</c:v>
                </c:pt>
                <c:pt idx="24">
                  <c:v>7668144.9489286384</c:v>
                </c:pt>
                <c:pt idx="25">
                  <c:v>6853330.5177252814</c:v>
                </c:pt>
                <c:pt idx="26">
                  <c:v>7489940.1332121668</c:v>
                </c:pt>
                <c:pt idx="27">
                  <c:v>6199555.6943944888</c:v>
                </c:pt>
                <c:pt idx="28">
                  <c:v>6375052.2866175622</c:v>
                </c:pt>
                <c:pt idx="29">
                  <c:v>6638000.9862253685</c:v>
                </c:pt>
                <c:pt idx="30">
                  <c:v>7218224.2818634007</c:v>
                </c:pt>
                <c:pt idx="31">
                  <c:v>7140459.6759039592</c:v>
                </c:pt>
                <c:pt idx="32">
                  <c:v>6804017.4160225745</c:v>
                </c:pt>
                <c:pt idx="33">
                  <c:v>6356344.5662425766</c:v>
                </c:pt>
                <c:pt idx="34">
                  <c:v>6793306.6769657535</c:v>
                </c:pt>
                <c:pt idx="35">
                  <c:v>7712997.8109527342</c:v>
                </c:pt>
                <c:pt idx="36">
                  <c:v>8247087.0773196947</c:v>
                </c:pt>
                <c:pt idx="37">
                  <c:v>7011920.8255978469</c:v>
                </c:pt>
                <c:pt idx="38">
                  <c:v>7360051.9802755015</c:v>
                </c:pt>
                <c:pt idx="39">
                  <c:v>6696666.3979433803</c:v>
                </c:pt>
                <c:pt idx="40">
                  <c:v>6593580.7971781138</c:v>
                </c:pt>
                <c:pt idx="41">
                  <c:v>6805710.3719915822</c:v>
                </c:pt>
                <c:pt idx="42">
                  <c:v>7810699.477855375</c:v>
                </c:pt>
                <c:pt idx="43">
                  <c:v>7890814.6008896204</c:v>
                </c:pt>
                <c:pt idx="44">
                  <c:v>6859369.0010044193</c:v>
                </c:pt>
                <c:pt idx="45">
                  <c:v>6516201.3182705082</c:v>
                </c:pt>
                <c:pt idx="46">
                  <c:v>7058858.3298737323</c:v>
                </c:pt>
                <c:pt idx="47">
                  <c:v>7380250.4419935038</c:v>
                </c:pt>
                <c:pt idx="48">
                  <c:v>8277011.6740099471</c:v>
                </c:pt>
                <c:pt idx="49">
                  <c:v>7350695.1713984972</c:v>
                </c:pt>
                <c:pt idx="50">
                  <c:v>7622333.1967954747</c:v>
                </c:pt>
                <c:pt idx="51">
                  <c:v>6573181.0181461535</c:v>
                </c:pt>
                <c:pt idx="52">
                  <c:v>6347056.2242777785</c:v>
                </c:pt>
                <c:pt idx="53">
                  <c:v>6589393.2446049256</c:v>
                </c:pt>
                <c:pt idx="54">
                  <c:v>8023257.7954945276</c:v>
                </c:pt>
                <c:pt idx="55">
                  <c:v>7455413.1416013092</c:v>
                </c:pt>
                <c:pt idx="56">
                  <c:v>6384280.2401377456</c:v>
                </c:pt>
                <c:pt idx="57">
                  <c:v>6273164.863162444</c:v>
                </c:pt>
                <c:pt idx="58">
                  <c:v>6957317.068720106</c:v>
                </c:pt>
                <c:pt idx="59">
                  <c:v>7496598.7104266305</c:v>
                </c:pt>
                <c:pt idx="60">
                  <c:v>7668181.9182514055</c:v>
                </c:pt>
                <c:pt idx="61">
                  <c:v>7193238.4023531564</c:v>
                </c:pt>
                <c:pt idx="62">
                  <c:v>6577840.2308590002</c:v>
                </c:pt>
                <c:pt idx="63">
                  <c:v>5157379.2367993109</c:v>
                </c:pt>
                <c:pt idx="64">
                  <c:v>5356769.0558637744</c:v>
                </c:pt>
                <c:pt idx="65">
                  <c:v>6164251.8853931595</c:v>
                </c:pt>
                <c:pt idx="66">
                  <c:v>7716997.0510043995</c:v>
                </c:pt>
                <c:pt idx="67">
                  <c:v>7106326.5336426338</c:v>
                </c:pt>
                <c:pt idx="68">
                  <c:v>6028871.1318634003</c:v>
                </c:pt>
                <c:pt idx="69">
                  <c:v>5984301.5353070591</c:v>
                </c:pt>
                <c:pt idx="70">
                  <c:v>6217974.5254926337</c:v>
                </c:pt>
                <c:pt idx="71">
                  <c:v>6955709.3629137073</c:v>
                </c:pt>
                <c:pt idx="72">
                  <c:v>6920260.8787641088</c:v>
                </c:pt>
                <c:pt idx="73">
                  <c:v>6640722.1959345508</c:v>
                </c:pt>
                <c:pt idx="74">
                  <c:v>6743156.0372967282</c:v>
                </c:pt>
                <c:pt idx="75">
                  <c:v>5628072.07530131</c:v>
                </c:pt>
                <c:pt idx="76">
                  <c:v>5684899.2849052986</c:v>
                </c:pt>
                <c:pt idx="77">
                  <c:v>6454557.4365984397</c:v>
                </c:pt>
                <c:pt idx="78">
                  <c:v>6970477.3990912652</c:v>
                </c:pt>
                <c:pt idx="79">
                  <c:v>7813420.3216089522</c:v>
                </c:pt>
                <c:pt idx="80">
                  <c:v>6341387.039563803</c:v>
                </c:pt>
                <c:pt idx="81">
                  <c:v>6175387.0697436286</c:v>
                </c:pt>
                <c:pt idx="82">
                  <c:v>6513721.4251865307</c:v>
                </c:pt>
                <c:pt idx="83">
                  <c:v>7084483.8256552601</c:v>
                </c:pt>
                <c:pt idx="84">
                  <c:v>7820564.2829156294</c:v>
                </c:pt>
                <c:pt idx="85">
                  <c:v>7125035.4814233687</c:v>
                </c:pt>
                <c:pt idx="86">
                  <c:v>7390880.395513678</c:v>
                </c:pt>
                <c:pt idx="87">
                  <c:v>6336615.2177922316</c:v>
                </c:pt>
                <c:pt idx="88">
                  <c:v>6272167.5012244107</c:v>
                </c:pt>
                <c:pt idx="89">
                  <c:v>6761305.4280658215</c:v>
                </c:pt>
                <c:pt idx="90">
                  <c:v>7546017.8175913524</c:v>
                </c:pt>
                <c:pt idx="91">
                  <c:v>7765088.4921082836</c:v>
                </c:pt>
                <c:pt idx="92">
                  <c:v>6510144.5925865592</c:v>
                </c:pt>
                <c:pt idx="93">
                  <c:v>6193157.4010713501</c:v>
                </c:pt>
                <c:pt idx="94">
                  <c:v>6628223.5992251579</c:v>
                </c:pt>
                <c:pt idx="95">
                  <c:v>7339602.617572221</c:v>
                </c:pt>
                <c:pt idx="96">
                  <c:v>7456040.6981538059</c:v>
                </c:pt>
                <c:pt idx="97">
                  <c:v>6869757.8710445762</c:v>
                </c:pt>
                <c:pt idx="98">
                  <c:v>7196407.5691696955</c:v>
                </c:pt>
                <c:pt idx="99">
                  <c:v>6155562.0437535951</c:v>
                </c:pt>
                <c:pt idx="100">
                  <c:v>6313983.8654868752</c:v>
                </c:pt>
                <c:pt idx="101">
                  <c:v>6677659.9140903093</c:v>
                </c:pt>
                <c:pt idx="102">
                  <c:v>7231746.421149808</c:v>
                </c:pt>
                <c:pt idx="103">
                  <c:v>6966264.4784580059</c:v>
                </c:pt>
                <c:pt idx="104">
                  <c:v>8250807.613114588</c:v>
                </c:pt>
                <c:pt idx="105">
                  <c:v>8101734.1266787918</c:v>
                </c:pt>
                <c:pt idx="106">
                  <c:v>6687970.9357088096</c:v>
                </c:pt>
                <c:pt idx="107">
                  <c:v>7008998.3874497795</c:v>
                </c:pt>
                <c:pt idx="108">
                  <c:v>8025171.09954473</c:v>
                </c:pt>
                <c:pt idx="109">
                  <c:v>6820475.3834120957</c:v>
                </c:pt>
                <c:pt idx="110">
                  <c:v>6804410.7169444803</c:v>
                </c:pt>
                <c:pt idx="111">
                  <c:v>6235852.4739643401</c:v>
                </c:pt>
                <c:pt idx="112">
                  <c:v>6650382.3697734261</c:v>
                </c:pt>
                <c:pt idx="113">
                  <c:v>7105785.1130213011</c:v>
                </c:pt>
                <c:pt idx="114">
                  <c:v>8771340.5992603544</c:v>
                </c:pt>
                <c:pt idx="115">
                  <c:v>7428674.4781983336</c:v>
                </c:pt>
                <c:pt idx="116">
                  <c:v>6646587.9930072082</c:v>
                </c:pt>
                <c:pt idx="117">
                  <c:v>6337538.7924003629</c:v>
                </c:pt>
                <c:pt idx="118">
                  <c:v>6394978.024629469</c:v>
                </c:pt>
                <c:pt idx="119">
                  <c:v>7348075.8760096058</c:v>
                </c:pt>
                <c:pt idx="120">
                  <c:v>7882910.779280656</c:v>
                </c:pt>
                <c:pt idx="121">
                  <c:v>7058368.5780466748</c:v>
                </c:pt>
                <c:pt idx="122">
                  <c:v>6978329.466768709</c:v>
                </c:pt>
                <c:pt idx="123">
                  <c:v>6283429.5890472615</c:v>
                </c:pt>
                <c:pt idx="124">
                  <c:v>6125312.3594126655</c:v>
                </c:pt>
                <c:pt idx="125">
                  <c:v>6859592.2271857653</c:v>
                </c:pt>
                <c:pt idx="126">
                  <c:v>8049259.1950162593</c:v>
                </c:pt>
                <c:pt idx="127">
                  <c:v>7378346.4697436308</c:v>
                </c:pt>
                <c:pt idx="128">
                  <c:v>6403608.3357183812</c:v>
                </c:pt>
                <c:pt idx="129">
                  <c:v>6327131.4393533543</c:v>
                </c:pt>
                <c:pt idx="130">
                  <c:v>6676562.2063516341</c:v>
                </c:pt>
                <c:pt idx="131">
                  <c:v>8071615.7163191075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7C-4C51-89ED-4D5181AAA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582192"/>
        <c:axId val="523582672"/>
      </c:scatterChart>
      <c:valAx>
        <c:axId val="5235821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672"/>
        <c:crosses val="autoZero"/>
        <c:crossBetween val="midCat"/>
      </c:valAx>
      <c:valAx>
        <c:axId val="52358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WRZ Sentinel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Summary'!$EH$3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Summary'!$EG$5:$EG$21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Summary'!$EH$5:$EH$21</c:f>
              <c:numCache>
                <c:formatCode>#,##0</c:formatCode>
                <c:ptCount val="16"/>
                <c:pt idx="0">
                  <c:v>30332.130602026107</c:v>
                </c:pt>
                <c:pt idx="1">
                  <c:v>29013.342314981488</c:v>
                </c:pt>
                <c:pt idx="2">
                  <c:v>28683.645243220333</c:v>
                </c:pt>
                <c:pt idx="3">
                  <c:v>28353.948171459182</c:v>
                </c:pt>
                <c:pt idx="4">
                  <c:v>23738.189166803026</c:v>
                </c:pt>
                <c:pt idx="5">
                  <c:v>24367.361775396963</c:v>
                </c:pt>
                <c:pt idx="6">
                  <c:v>29649.448744324083</c:v>
                </c:pt>
                <c:pt idx="7">
                  <c:v>29841.878706715124</c:v>
                </c:pt>
                <c:pt idx="8">
                  <c:v>6038.9707289075932</c:v>
                </c:pt>
                <c:pt idx="9">
                  <c:v>6022.4698679931107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B8-4FAB-AC21-6D308D17BB56}"/>
            </c:ext>
          </c:extLst>
        </c:ser>
        <c:ser>
          <c:idx val="3"/>
          <c:order val="1"/>
          <c:tx>
            <c:strRef>
              <c:f>'Normalized Annual Summary'!$EK$3</c:f>
              <c:strCache>
                <c:ptCount val="1"/>
                <c:pt idx="0">
                  <c:v>Normal Forecast</c:v>
                </c:pt>
              </c:strCache>
            </c:strRef>
          </c:tx>
          <c:marker>
            <c:symbol val="none"/>
          </c:marker>
          <c:cat>
            <c:numRef>
              <c:f>'Normalized Annual Summary'!$EG$5:$EG$21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Summary'!$EK$5:$EK$21</c:f>
              <c:numCache>
                <c:formatCode>#,##0</c:formatCode>
                <c:ptCount val="16"/>
                <c:pt idx="0">
                  <c:v>30332.130602026107</c:v>
                </c:pt>
                <c:pt idx="1">
                  <c:v>29013.342314981488</c:v>
                </c:pt>
                <c:pt idx="2">
                  <c:v>28683.645243220333</c:v>
                </c:pt>
                <c:pt idx="3">
                  <c:v>28353.948171459182</c:v>
                </c:pt>
                <c:pt idx="4">
                  <c:v>23738.189166803026</c:v>
                </c:pt>
                <c:pt idx="5">
                  <c:v>24367.361775396959</c:v>
                </c:pt>
                <c:pt idx="6">
                  <c:v>29649.448744324083</c:v>
                </c:pt>
                <c:pt idx="7">
                  <c:v>29841.878706715124</c:v>
                </c:pt>
                <c:pt idx="8">
                  <c:v>6038.9707289075932</c:v>
                </c:pt>
                <c:pt idx="9">
                  <c:v>6022.4698679931098</c:v>
                </c:pt>
                <c:pt idx="10">
                  <c:v>6110.7650786007734</c:v>
                </c:pt>
                <c:pt idx="11">
                  <c:v>6200.3547820638823</c:v>
                </c:pt>
                <c:pt idx="12">
                  <c:v>6291.2579568948759</c:v>
                </c:pt>
                <c:pt idx="13">
                  <c:v>6383.4938598494691</c:v>
                </c:pt>
                <c:pt idx="14">
                  <c:v>6477.0820300059695</c:v>
                </c:pt>
                <c:pt idx="15">
                  <c:v>6572.042292904398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B8-4FAB-AC21-6D308D17B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42752"/>
        <c:axId val="178044288"/>
      </c:lineChart>
      <c:catAx>
        <c:axId val="1780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44288"/>
        <c:crosses val="autoZero"/>
        <c:auto val="1"/>
        <c:lblAlgn val="ctr"/>
        <c:lblOffset val="100"/>
        <c:noMultiLvlLbl val="0"/>
      </c:catAx>
      <c:valAx>
        <c:axId val="17804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Average Per Sentinel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Summary'!$EPT$3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'Normalized Annual Summary'!$EG$11:$EG$21</c:f>
              <c:numCache>
                <c:formatCode>General</c:formatCode>
                <c:ptCount val="1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</c:numCache>
            </c:numRef>
          </c:cat>
          <c:val>
            <c:numRef>
              <c:f>'Normalized Annual Summary'!$EJ$11:$EJ$14</c:f>
              <c:numCache>
                <c:formatCode>#,##0</c:formatCode>
                <c:ptCount val="4"/>
                <c:pt idx="0">
                  <c:v>574.47611258303232</c:v>
                </c:pt>
                <c:pt idx="1">
                  <c:v>638.19441243388189</c:v>
                </c:pt>
                <c:pt idx="2">
                  <c:v>648.7364936242418</c:v>
                </c:pt>
                <c:pt idx="3">
                  <c:v>132.84628551217443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E8-4DAD-B571-85EB63FA0797}"/>
            </c:ext>
          </c:extLst>
        </c:ser>
        <c:ser>
          <c:idx val="1"/>
          <c:order val="1"/>
          <c:tx>
            <c:v>Forecast per Device</c:v>
          </c:tx>
          <c:marker>
            <c:symbol val="none"/>
          </c:marker>
          <c:cat>
            <c:numRef>
              <c:f>'Normalized Annual Summary'!$EG$11:$EG$21</c:f>
              <c:numCache>
                <c:formatCode>General</c:formatCode>
                <c:ptCount val="1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</c:numCache>
            </c:numRef>
          </c:cat>
          <c:val>
            <c:numRef>
              <c:f>('Normalized Annual Summary'!$EL$11:$EL$14,'Normalized Annual Summary'!$EJ$15:$EJ$21)</c:f>
              <c:numCache>
                <c:formatCode>General</c:formatCode>
                <c:ptCount val="11"/>
                <c:pt idx="4" formatCode="#,##0">
                  <c:v>135.46323976741772</c:v>
                </c:pt>
                <c:pt idx="5" formatCode="#,##0">
                  <c:v>135.46323976741772</c:v>
                </c:pt>
                <c:pt idx="6" formatCode="#,##0">
                  <c:v>135.46323976741772</c:v>
                </c:pt>
                <c:pt idx="7" formatCode="#,##0">
                  <c:v>135.46323976741772</c:v>
                </c:pt>
                <c:pt idx="8" formatCode="#,##0">
                  <c:v>135.46323976741772</c:v>
                </c:pt>
                <c:pt idx="9" formatCode="#,##0">
                  <c:v>135.46323976741772</c:v>
                </c:pt>
                <c:pt idx="10" formatCode="#,##0">
                  <c:v>135.46323976741772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E8-4DAD-B571-85EB63FA0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08192"/>
        <c:axId val="177609728"/>
      </c:lineChart>
      <c:catAx>
        <c:axId val="177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09728"/>
        <c:crosses val="autoZero"/>
        <c:auto val="1"/>
        <c:lblAlgn val="ctr"/>
        <c:lblOffset val="100"/>
        <c:noMultiLvlLbl val="0"/>
      </c:catAx>
      <c:valAx>
        <c:axId val="1776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WRZ GS 50-2,999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Summary'!$DE$3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Summary'!$DD$5:$DD$21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Summary'!$DE$5:$DE$21</c:f>
              <c:numCache>
                <c:formatCode>#,##0</c:formatCode>
                <c:ptCount val="16"/>
                <c:pt idx="0">
                  <c:v>344664289.79645747</c:v>
                </c:pt>
                <c:pt idx="1">
                  <c:v>329917316.99549681</c:v>
                </c:pt>
                <c:pt idx="2">
                  <c:v>336878004.7024917</c:v>
                </c:pt>
                <c:pt idx="3">
                  <c:v>326553718.48934257</c:v>
                </c:pt>
                <c:pt idx="4">
                  <c:v>310262827.01891321</c:v>
                </c:pt>
                <c:pt idx="5">
                  <c:v>304899663.70699489</c:v>
                </c:pt>
                <c:pt idx="6">
                  <c:v>314844960.08646047</c:v>
                </c:pt>
                <c:pt idx="7">
                  <c:v>315729102.65025514</c:v>
                </c:pt>
                <c:pt idx="8">
                  <c:v>323457018.24557191</c:v>
                </c:pt>
                <c:pt idx="9">
                  <c:v>341652807.60852599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C-4A6C-A024-9D426E8B3BCB}"/>
            </c:ext>
          </c:extLst>
        </c:ser>
        <c:ser>
          <c:idx val="1"/>
          <c:order val="1"/>
          <c:tx>
            <c:strRef>
              <c:f>'Normalized Annual Summary'!$DG$3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Summary'!$DD$5:$DD$21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Summary'!$DG$5:$DG$21</c:f>
              <c:numCache>
                <c:formatCode>#,##0</c:formatCode>
                <c:ptCount val="16"/>
                <c:pt idx="0">
                  <c:v>349759907.19250697</c:v>
                </c:pt>
                <c:pt idx="1">
                  <c:v>338528161.41099447</c:v>
                </c:pt>
                <c:pt idx="2">
                  <c:v>349447738.52167225</c:v>
                </c:pt>
                <c:pt idx="3">
                  <c:v>344762853.45217794</c:v>
                </c:pt>
                <c:pt idx="4">
                  <c:v>332407740.07562643</c:v>
                </c:pt>
                <c:pt idx="5">
                  <c:v>330542534.99747074</c:v>
                </c:pt>
                <c:pt idx="6">
                  <c:v>345394726.37772709</c:v>
                </c:pt>
                <c:pt idx="7">
                  <c:v>348595070.44815201</c:v>
                </c:pt>
                <c:pt idx="8">
                  <c:v>359847726.77828443</c:v>
                </c:pt>
                <c:pt idx="9">
                  <c:v>383521903.21503514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C-4A6C-A024-9D426E8B3BCB}"/>
            </c:ext>
          </c:extLst>
        </c:ser>
        <c:ser>
          <c:idx val="2"/>
          <c:order val="2"/>
          <c:tx>
            <c:strRef>
              <c:f>'Normalized Annual Summary'!$DM$3</c:f>
              <c:strCache>
                <c:ptCount val="1"/>
                <c:pt idx="0">
                  <c:v>Normal Predicted 
No CDM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Summary'!$DD$5:$DD$21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Summary'!$DM$5:$DM$21</c:f>
              <c:numCache>
                <c:formatCode>#,##0</c:formatCode>
                <c:ptCount val="16"/>
                <c:pt idx="0">
                  <c:v>354032078.68448937</c:v>
                </c:pt>
                <c:pt idx="1">
                  <c:v>353623978.79342067</c:v>
                </c:pt>
                <c:pt idx="2">
                  <c:v>353637943.14842063</c:v>
                </c:pt>
                <c:pt idx="3">
                  <c:v>353686837.88080215</c:v>
                </c:pt>
                <c:pt idx="4">
                  <c:v>333174179.27712578</c:v>
                </c:pt>
                <c:pt idx="5">
                  <c:v>332864868.09019756</c:v>
                </c:pt>
                <c:pt idx="6">
                  <c:v>343539108.42366636</c:v>
                </c:pt>
                <c:pt idx="7">
                  <c:v>354181755.54389894</c:v>
                </c:pt>
                <c:pt idx="8">
                  <c:v>354786439.01965356</c:v>
                </c:pt>
                <c:pt idx="9">
                  <c:v>354675063.06051058</c:v>
                </c:pt>
                <c:pt idx="10">
                  <c:v>374712921.2333777</c:v>
                </c:pt>
                <c:pt idx="11">
                  <c:v>406702616.50651604</c:v>
                </c:pt>
                <c:pt idx="12">
                  <c:v>422732883.5599919</c:v>
                </c:pt>
                <c:pt idx="13">
                  <c:v>433196123.46653277</c:v>
                </c:pt>
                <c:pt idx="14">
                  <c:v>442789202.35925436</c:v>
                </c:pt>
                <c:pt idx="15">
                  <c:v>447671429.10997301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9C-4A6C-A024-9D426E8B3BCB}"/>
            </c:ext>
          </c:extLst>
        </c:ser>
        <c:ser>
          <c:idx val="3"/>
          <c:order val="3"/>
          <c:tx>
            <c:strRef>
              <c:f>'Normalized Annual Summary'!$DL$3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Summary'!$DD$5:$DD$21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'Normalized Annual Summary'!$DL$5:$DL$21</c:f>
              <c:numCache>
                <c:formatCode>#,##0</c:formatCode>
                <c:ptCount val="16"/>
                <c:pt idx="0">
                  <c:v>348936461.28843987</c:v>
                </c:pt>
                <c:pt idx="1">
                  <c:v>345013134.37792295</c:v>
                </c:pt>
                <c:pt idx="2">
                  <c:v>341068209.32924014</c:v>
                </c:pt>
                <c:pt idx="3">
                  <c:v>335477702.91796672</c:v>
                </c:pt>
                <c:pt idx="4">
                  <c:v>311029266.22041261</c:v>
                </c:pt>
                <c:pt idx="5">
                  <c:v>307221996.79972172</c:v>
                </c:pt>
                <c:pt idx="6">
                  <c:v>312989342.13239974</c:v>
                </c:pt>
                <c:pt idx="7">
                  <c:v>321315787.74600208</c:v>
                </c:pt>
                <c:pt idx="8">
                  <c:v>318395730.48694098</c:v>
                </c:pt>
                <c:pt idx="9">
                  <c:v>312805967.45400143</c:v>
                </c:pt>
                <c:pt idx="10">
                  <c:v>340497565.09618205</c:v>
                </c:pt>
                <c:pt idx="11">
                  <c:v>374352433.40622854</c:v>
                </c:pt>
                <c:pt idx="12">
                  <c:v>391768934.0366683</c:v>
                </c:pt>
                <c:pt idx="13">
                  <c:v>405526343.91540456</c:v>
                </c:pt>
                <c:pt idx="14">
                  <c:v>416615555.00911146</c:v>
                </c:pt>
                <c:pt idx="15">
                  <c:v>426478048.24017596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9C-4A6C-A024-9D426E8B3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2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</a:t>
            </a:r>
            <a:r>
              <a:rPr lang="en-US" baseline="0"/>
              <a:t>50 - 2,999 -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Forecast'!$E$3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'kW Forecast'!$E$5:$E$14</c:f>
              <c:numCache>
                <c:formatCode>0.000000</c:formatCode>
                <c:ptCount val="10"/>
                <c:pt idx="0">
                  <c:v>2.5262382205217962E-3</c:v>
                </c:pt>
                <c:pt idx="1">
                  <c:v>2.5325223557288268E-3</c:v>
                </c:pt>
                <c:pt idx="2">
                  <c:v>2.4943826469248482E-3</c:v>
                </c:pt>
                <c:pt idx="3">
                  <c:v>2.4802057342568932E-3</c:v>
                </c:pt>
                <c:pt idx="4">
                  <c:v>2.5182798065653145E-3</c:v>
                </c:pt>
                <c:pt idx="5">
                  <c:v>2.491009198663548E-3</c:v>
                </c:pt>
                <c:pt idx="6">
                  <c:v>2.5146732507083961E-3</c:v>
                </c:pt>
                <c:pt idx="7">
                  <c:v>2.4914067536483259E-3</c:v>
                </c:pt>
                <c:pt idx="8">
                  <c:v>2.3768150508300142E-3</c:v>
                </c:pt>
                <c:pt idx="9">
                  <c:v>2.394112191982347E-3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F-4FE2-BE29-64E8BC7B1D13}"/>
            </c:ext>
          </c:extLst>
        </c:ser>
        <c:ser>
          <c:idx val="2"/>
          <c:order val="1"/>
          <c:tx>
            <c:v>Forecast Trend</c:v>
          </c:tx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('kW Forecast'!$I$5:$I$13,'kW Forecast'!$E$27:$E$33)</c:f>
              <c:numCache>
                <c:formatCode>General</c:formatCode>
                <c:ptCount val="16"/>
                <c:pt idx="9" formatCode="_-* #,##0.000000_-;\-* #,##0.000000_-;_-* &quot;-&quot;??_-;_-@_-">
                  <c:v>2.420777998820229E-3</c:v>
                </c:pt>
                <c:pt idx="10" formatCode="_-* #,##0.000000_-;\-* #,##0.000000_-;_-* &quot;-&quot;??_-;_-@_-">
                  <c:v>2.420777998820229E-3</c:v>
                </c:pt>
                <c:pt idx="11" formatCode="_-* #,##0.000000_-;\-* #,##0.000000_-;_-* &quot;-&quot;??_-;_-@_-">
                  <c:v>2.420777998820229E-3</c:v>
                </c:pt>
                <c:pt idx="12" formatCode="_-* #,##0.000000_-;\-* #,##0.000000_-;_-* &quot;-&quot;??_-;_-@_-">
                  <c:v>2.420777998820229E-3</c:v>
                </c:pt>
                <c:pt idx="13" formatCode="_-* #,##0.000000_-;\-* #,##0.000000_-;_-* &quot;-&quot;??_-;_-@_-">
                  <c:v>2.420777998820229E-3</c:v>
                </c:pt>
                <c:pt idx="14" formatCode="_-* #,##0.000000_-;\-* #,##0.000000_-;_-* &quot;-&quot;??_-;_-@_-">
                  <c:v>2.420777998820229E-3</c:v>
                </c:pt>
                <c:pt idx="15" formatCode="_-* #,##0.000000_-;\-* #,##0.000000_-;_-* &quot;-&quot;??_-;_-@_-">
                  <c:v>2.420777998820229E-3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7F-4FE2-BE29-64E8BC7B1D13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('kW Forecast'!$I$5:$I$13,'kW Forecast'!$E$27:$E$33)</c:f>
              <c:numCache>
                <c:formatCode>General</c:formatCode>
                <c:ptCount val="16"/>
                <c:pt idx="9" formatCode="_-* #,##0.000000_-;\-* #,##0.000000_-;_-* &quot;-&quot;??_-;_-@_-">
                  <c:v>2.420777998820229E-3</c:v>
                </c:pt>
                <c:pt idx="10" formatCode="_-* #,##0.000000_-;\-* #,##0.000000_-;_-* &quot;-&quot;??_-;_-@_-">
                  <c:v>2.420777998820229E-3</c:v>
                </c:pt>
                <c:pt idx="11" formatCode="_-* #,##0.000000_-;\-* #,##0.000000_-;_-* &quot;-&quot;??_-;_-@_-">
                  <c:v>2.420777998820229E-3</c:v>
                </c:pt>
                <c:pt idx="12" formatCode="_-* #,##0.000000_-;\-* #,##0.000000_-;_-* &quot;-&quot;??_-;_-@_-">
                  <c:v>2.420777998820229E-3</c:v>
                </c:pt>
                <c:pt idx="13" formatCode="_-* #,##0.000000_-;\-* #,##0.000000_-;_-* &quot;-&quot;??_-;_-@_-">
                  <c:v>2.420777998820229E-3</c:v>
                </c:pt>
                <c:pt idx="14" formatCode="_-* #,##0.000000_-;\-* #,##0.000000_-;_-* &quot;-&quot;??_-;_-@_-">
                  <c:v>2.420777998820229E-3</c:v>
                </c:pt>
                <c:pt idx="15" formatCode="_-* #,##0.000000_-;\-* #,##0.000000_-;_-* &quot;-&quot;??_-;_-@_-">
                  <c:v>2.420777998820229E-3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7F-4FE2-BE29-64E8BC7B1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3,00</a:t>
            </a:r>
            <a:r>
              <a:rPr lang="en-US" baseline="0"/>
              <a:t>0 - 4,999 -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Forecast'!$M$3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'kW Forecast'!$M$5:$M$14</c:f>
              <c:numCache>
                <c:formatCode>0.000000</c:formatCode>
                <c:ptCount val="10"/>
                <c:pt idx="0">
                  <c:v>2.8534788317019838E-3</c:v>
                </c:pt>
                <c:pt idx="1">
                  <c:v>2.2876969180204089E-3</c:v>
                </c:pt>
                <c:pt idx="2">
                  <c:v>2.3388887240644359E-3</c:v>
                </c:pt>
                <c:pt idx="3">
                  <c:v>2.1727473532641445E-3</c:v>
                </c:pt>
                <c:pt idx="4">
                  <c:v>2.2349961780436835E-3</c:v>
                </c:pt>
                <c:pt idx="5">
                  <c:v>2.2870608646253466E-3</c:v>
                </c:pt>
                <c:pt idx="6">
                  <c:v>2.1791743579307422E-3</c:v>
                </c:pt>
                <c:pt idx="7">
                  <c:v>2.2127464121636975E-3</c:v>
                </c:pt>
                <c:pt idx="8">
                  <c:v>2.2777780809276277E-3</c:v>
                </c:pt>
                <c:pt idx="9">
                  <c:v>2.3094539711511785E-3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6-411E-B767-4C28AB296A5D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('kW Forecast'!$I$5:$I$13,'kW Forecast'!$N$27:$N$33)</c:f>
              <c:numCache>
                <c:formatCode>General</c:formatCode>
                <c:ptCount val="16"/>
                <c:pt idx="9" formatCode="_-* #,##0.000000_-;\-* #,##0.000000_-;_-* &quot;-&quot;??_-;_-@_-">
                  <c:v>2.1115206148566296E-3</c:v>
                </c:pt>
                <c:pt idx="10" formatCode="_-* #,##0.000000_-;\-* #,##0.000000_-;_-* &quot;-&quot;??_-;_-@_-">
                  <c:v>2.0559850137824437E-3</c:v>
                </c:pt>
                <c:pt idx="11" formatCode="_-* #,##0.000000_-;\-* #,##0.000000_-;_-* &quot;-&quot;??_-;_-@_-">
                  <c:v>2.0004494127082578E-3</c:v>
                </c:pt>
                <c:pt idx="12" formatCode="_-* #,##0.000000_-;\-* #,##0.000000_-;_-* &quot;-&quot;??_-;_-@_-">
                  <c:v>1.944913811634072E-3</c:v>
                </c:pt>
                <c:pt idx="13" formatCode="_-* #,##0.000000_-;\-* #,##0.000000_-;_-* &quot;-&quot;??_-;_-@_-">
                  <c:v>1.8893782105598861E-3</c:v>
                </c:pt>
                <c:pt idx="14" formatCode="_-* #,##0.000000_-;\-* #,##0.000000_-;_-* &quot;-&quot;??_-;_-@_-">
                  <c:v>1.8338426094856863E-3</c:v>
                </c:pt>
                <c:pt idx="15" formatCode="_-* #,##0.000000_-;\-* #,##0.000000_-;_-* &quot;-&quot;??_-;_-@_-">
                  <c:v>1.7783070084115005E-3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6-411E-B767-4C28AB296A5D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('kW Forecast'!$Q$5:$Q$13,'kW Forecast'!$M$27:$M$33)</c:f>
              <c:numCache>
                <c:formatCode>General</c:formatCode>
                <c:ptCount val="16"/>
                <c:pt idx="9" formatCode="_-* #,##0.000000_-;\-* #,##0.000000_-;_-* &quot;-&quot;??_-;_-@_-">
                  <c:v>2.2532427373597183E-3</c:v>
                </c:pt>
                <c:pt idx="10" formatCode="_-* #,##0.000000_-;\-* #,##0.000000_-;_-* &quot;-&quot;??_-;_-@_-">
                  <c:v>2.2532427373597183E-3</c:v>
                </c:pt>
                <c:pt idx="11" formatCode="_-* #,##0.000000_-;\-* #,##0.000000_-;_-* &quot;-&quot;??_-;_-@_-">
                  <c:v>2.2532427373597183E-3</c:v>
                </c:pt>
                <c:pt idx="12" formatCode="_-* #,##0.000000_-;\-* #,##0.000000_-;_-* &quot;-&quot;??_-;_-@_-">
                  <c:v>2.2532427373597183E-3</c:v>
                </c:pt>
                <c:pt idx="13" formatCode="_-* #,##0.000000_-;\-* #,##0.000000_-;_-* &quot;-&quot;??_-;_-@_-">
                  <c:v>2.2532427373597183E-3</c:v>
                </c:pt>
                <c:pt idx="14" formatCode="_-* #,##0.000000_-;\-* #,##0.000000_-;_-* &quot;-&quot;??_-;_-@_-">
                  <c:v>2.2532427373597183E-3</c:v>
                </c:pt>
                <c:pt idx="15" formatCode="_-* #,##0.000000_-;\-* #,##0.000000_-;_-* &quot;-&quot;??_-;_-@_-">
                  <c:v>2.2532427373597183E-3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6-411E-B767-4C28AB296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Large Use</a:t>
            </a:r>
            <a:r>
              <a:rPr lang="en-US" baseline="0"/>
              <a:t>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Forecast'!$U$3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'kW Forecast'!$U$5:$U$14</c:f>
              <c:numCache>
                <c:formatCode>0.000000</c:formatCode>
                <c:ptCount val="10"/>
                <c:pt idx="0">
                  <c:v>1.9681662854610263E-3</c:v>
                </c:pt>
                <c:pt idx="1">
                  <c:v>1.7223523422199255E-3</c:v>
                </c:pt>
                <c:pt idx="2">
                  <c:v>1.7025756602051456E-3</c:v>
                </c:pt>
                <c:pt idx="3">
                  <c:v>1.6813647288257101E-3</c:v>
                </c:pt>
                <c:pt idx="4">
                  <c:v>1.727398956788966E-3</c:v>
                </c:pt>
                <c:pt idx="5">
                  <c:v>1.7027594410239856E-3</c:v>
                </c:pt>
                <c:pt idx="6">
                  <c:v>1.7078306735904363E-3</c:v>
                </c:pt>
                <c:pt idx="7">
                  <c:v>1.7177536532958064E-3</c:v>
                </c:pt>
                <c:pt idx="8">
                  <c:v>1.6659700771334432E-3</c:v>
                </c:pt>
                <c:pt idx="9">
                  <c:v>1.6834963394165895E-3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AA-47C5-83D6-4986DE3252CC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('kW Forecast'!$I$5:$I$13,'kW Forecast'!$V$27:$V$33)</c:f>
              <c:numCache>
                <c:formatCode>General</c:formatCode>
                <c:ptCount val="16"/>
                <c:pt idx="9" formatCode="_-* #,##0.000000_-;\-* #,##0.000000_-;_-* &quot;-&quot;??_-;_-@_-">
                  <c:v>1.6449797233624788E-3</c:v>
                </c:pt>
                <c:pt idx="10" formatCode="_-* #,##0.000000_-;\-* #,##0.000000_-;_-* &quot;-&quot;??_-;_-@_-">
                  <c:v>1.6209927463120763E-3</c:v>
                </c:pt>
                <c:pt idx="11" formatCode="_-* #,##0.000000_-;\-* #,##0.000000_-;_-* &quot;-&quot;??_-;_-@_-">
                  <c:v>1.5970057692616738E-3</c:v>
                </c:pt>
                <c:pt idx="12" formatCode="_-* #,##0.000000_-;\-* #,##0.000000_-;_-* &quot;-&quot;??_-;_-@_-">
                  <c:v>1.5730187922112712E-3</c:v>
                </c:pt>
                <c:pt idx="13" formatCode="_-* #,##0.000000_-;\-* #,##0.000000_-;_-* &quot;-&quot;??_-;_-@_-">
                  <c:v>1.5490318151608617E-3</c:v>
                </c:pt>
                <c:pt idx="14" formatCode="_-* #,##0.000000_-;\-* #,##0.000000_-;_-* &quot;-&quot;??_-;_-@_-">
                  <c:v>1.5250448381104592E-3</c:v>
                </c:pt>
                <c:pt idx="15" formatCode="_-* #,##0.000000_-;\-* #,##0.000000_-;_-* &quot;-&quot;??_-;_-@_-">
                  <c:v>1.5010578610600567E-3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AA-47C5-83D6-4986DE3252CC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('kW Forecast'!$Q$5:$Q$13,'kW Forecast'!$U$27:$U$33)</c:f>
              <c:numCache>
                <c:formatCode>General</c:formatCode>
                <c:ptCount val="16"/>
                <c:pt idx="9" formatCode="_-* #,##0.000000_-;\-* #,##0.000000_-;_-* &quot;-&quot;??_-;_-@_-">
                  <c:v>1.695562036892052E-3</c:v>
                </c:pt>
                <c:pt idx="10" formatCode="_-* #,##0.000000_-;\-* #,##0.000000_-;_-* &quot;-&quot;??_-;_-@_-">
                  <c:v>1.695562036892052E-3</c:v>
                </c:pt>
                <c:pt idx="11" formatCode="_-* #,##0.000000_-;\-* #,##0.000000_-;_-* &quot;-&quot;??_-;_-@_-">
                  <c:v>1.695562036892052E-3</c:v>
                </c:pt>
                <c:pt idx="12" formatCode="_-* #,##0.000000_-;\-* #,##0.000000_-;_-* &quot;-&quot;??_-;_-@_-">
                  <c:v>1.695562036892052E-3</c:v>
                </c:pt>
                <c:pt idx="13" formatCode="_-* #,##0.000000_-;\-* #,##0.000000_-;_-* &quot;-&quot;??_-;_-@_-">
                  <c:v>1.695562036892052E-3</c:v>
                </c:pt>
                <c:pt idx="14" formatCode="_-* #,##0.000000_-;\-* #,##0.000000_-;_-* &quot;-&quot;??_-;_-@_-">
                  <c:v>1.695562036892052E-3</c:v>
                </c:pt>
                <c:pt idx="15" formatCode="_-* #,##0.000000_-;\-* #,##0.000000_-;_-* &quot;-&quot;??_-;_-@_-">
                  <c:v>1.695562036892052E-3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AA-47C5-83D6-4986DE325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Street Light 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Forecast'!$AC$3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'kW Forecast'!$AC$5:$AC$14</c:f>
              <c:numCache>
                <c:formatCode>0.000000</c:formatCode>
                <c:ptCount val="10"/>
                <c:pt idx="0">
                  <c:v>2.7813528957738977E-3</c:v>
                </c:pt>
                <c:pt idx="1">
                  <c:v>2.8090661700179644E-3</c:v>
                </c:pt>
                <c:pt idx="2">
                  <c:v>2.7963546186315631E-3</c:v>
                </c:pt>
                <c:pt idx="3">
                  <c:v>2.7891491834136201E-3</c:v>
                </c:pt>
                <c:pt idx="4">
                  <c:v>2.7837540901424341E-3</c:v>
                </c:pt>
                <c:pt idx="5">
                  <c:v>2.7924487515448957E-3</c:v>
                </c:pt>
                <c:pt idx="6">
                  <c:v>2.7922386133151463E-3</c:v>
                </c:pt>
                <c:pt idx="7">
                  <c:v>2.7874338009985359E-3</c:v>
                </c:pt>
                <c:pt idx="8">
                  <c:v>2.7769708474713072E-3</c:v>
                </c:pt>
                <c:pt idx="9">
                  <c:v>2.7843844087321714E-3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F-42B2-899A-3DFEA7AFEC63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('kW Forecast'!$I$5:$I$13,'kW Forecast'!$AD$27:$AD$33)</c:f>
              <c:numCache>
                <c:formatCode>General</c:formatCode>
                <c:ptCount val="16"/>
                <c:pt idx="9" formatCode="_-* #,##0.000000_-;\-* #,##0.000000_-;_-* &quot;-&quot;??_-;_-@_-">
                  <c:v>2.7868495747711834E-3</c:v>
                </c:pt>
                <c:pt idx="10" formatCode="_-* #,##0.000000_-;\-* #,##0.000000_-;_-* &quot;-&quot;??_-;_-@_-">
                  <c:v>2.7862114373156488E-3</c:v>
                </c:pt>
                <c:pt idx="11" formatCode="_-* #,##0.000000_-;\-* #,##0.000000_-;_-* &quot;-&quot;??_-;_-@_-">
                  <c:v>2.7855732998601141E-3</c:v>
                </c:pt>
                <c:pt idx="12" formatCode="_-* #,##0.000000_-;\-* #,##0.000000_-;_-* &quot;-&quot;??_-;_-@_-">
                  <c:v>2.7849351624045795E-3</c:v>
                </c:pt>
                <c:pt idx="13" formatCode="_-* #,##0.000000_-;\-* #,##0.000000_-;_-* &quot;-&quot;??_-;_-@_-">
                  <c:v>2.7842970249490448E-3</c:v>
                </c:pt>
                <c:pt idx="14" formatCode="_-* #,##0.000000_-;\-* #,##0.000000_-;_-* &quot;-&quot;??_-;_-@_-">
                  <c:v>2.7836588874935102E-3</c:v>
                </c:pt>
                <c:pt idx="15" formatCode="_-* #,##0.000000_-;\-* #,##0.000000_-;_-* &quot;-&quot;??_-;_-@_-">
                  <c:v>2.7830207500379755E-3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7F-42B2-899A-3DFEA7AFEC63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('kW Forecast'!$Q$5:$Q$13,'kW Forecast'!$AC$27:$AC$33)</c:f>
              <c:numCache>
                <c:formatCode>General</c:formatCode>
                <c:ptCount val="16"/>
                <c:pt idx="9" formatCode="_-* #,##0.000000_-;\-* #,##0.000000_-;_-* &quot;-&quot;??_-;_-@_-">
                  <c:v>2.7893153380041539E-3</c:v>
                </c:pt>
                <c:pt idx="10" formatCode="_-* #,##0.000000_-;\-* #,##0.000000_-;_-* &quot;-&quot;??_-;_-@_-">
                  <c:v>2.7893153380041539E-3</c:v>
                </c:pt>
                <c:pt idx="11" formatCode="_-* #,##0.000000_-;\-* #,##0.000000_-;_-* &quot;-&quot;??_-;_-@_-">
                  <c:v>2.7893153380041539E-3</c:v>
                </c:pt>
                <c:pt idx="12" formatCode="_-* #,##0.000000_-;\-* #,##0.000000_-;_-* &quot;-&quot;??_-;_-@_-">
                  <c:v>2.7893153380041539E-3</c:v>
                </c:pt>
                <c:pt idx="13" formatCode="_-* #,##0.000000_-;\-* #,##0.000000_-;_-* &quot;-&quot;??_-;_-@_-">
                  <c:v>2.7893153380041539E-3</c:v>
                </c:pt>
                <c:pt idx="14" formatCode="_-* #,##0.000000_-;\-* #,##0.000000_-;_-* &quot;-&quot;??_-;_-@_-">
                  <c:v>2.7893153380041539E-3</c:v>
                </c:pt>
                <c:pt idx="15" formatCode="_-* #,##0.000000_-;\-* #,##0.000000_-;_-* &quot;-&quot;??_-;_-@_-">
                  <c:v>2.7893153380041539E-3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7F-42B2-899A-3DFEA7AFE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Sentinel Light 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Forecast'!$AJ$3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'kW Forecast'!$AJ$5:$AJ$14</c:f>
              <c:numCache>
                <c:formatCode>0.000000</c:formatCode>
                <c:ptCount val="10"/>
                <c:pt idx="0">
                  <c:v>6.8018920062531008E-3</c:v>
                </c:pt>
                <c:pt idx="1">
                  <c:v>3.2544848366205009E-3</c:v>
                </c:pt>
                <c:pt idx="2">
                  <c:v>3.0448535167750695E-3</c:v>
                </c:pt>
                <c:pt idx="3">
                  <c:v>2.8693883006189976E-3</c:v>
                </c:pt>
                <c:pt idx="4">
                  <c:v>2.9303064178054731E-3</c:v>
                </c:pt>
                <c:pt idx="5">
                  <c:v>2.9151093965139032E-3</c:v>
                </c:pt>
                <c:pt idx="6">
                  <c:v>2.9105198658783225E-3</c:v>
                </c:pt>
                <c:pt idx="7">
                  <c:v>2.9125844341576384E-3</c:v>
                </c:pt>
                <c:pt idx="8">
                  <c:v>7.0046645857470211E-3</c:v>
                </c:pt>
                <c:pt idx="9">
                  <c:v>7.0046645857470219E-3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3B-4896-8137-E13B0CB5B458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('kW Forecast'!$I$5:$I$13,'kW Forecast'!$AK$27:$AK$33)</c:f>
              <c:numCache>
                <c:formatCode>General</c:formatCode>
                <c:ptCount val="16"/>
                <c:pt idx="9" formatCode="_-* #,##0.000000_-;\-* #,##0.000000_-;_-* &quot;-&quot;??_-;_-@_-">
                  <c:v>3.4460402954272218E-3</c:v>
                </c:pt>
                <c:pt idx="10" formatCode="_-* #,##0.000000_-;\-* #,##0.000000_-;_-* &quot;-&quot;??_-;_-@_-">
                  <c:v>3.3039501202254962E-3</c:v>
                </c:pt>
                <c:pt idx="11" formatCode="_-* #,##0.000000_-;\-* #,##0.000000_-;_-* &quot;-&quot;??_-;_-@_-">
                  <c:v>3.161859945023715E-3</c:v>
                </c:pt>
                <c:pt idx="12" formatCode="_-* #,##0.000000_-;\-* #,##0.000000_-;_-* &quot;-&quot;??_-;_-@_-">
                  <c:v>3.0197697698219894E-3</c:v>
                </c:pt>
                <c:pt idx="13" formatCode="_-* #,##0.000000_-;\-* #,##0.000000_-;_-* &quot;-&quot;??_-;_-@_-">
                  <c:v>2.8776795946202083E-3</c:v>
                </c:pt>
                <c:pt idx="14" formatCode="_-* #,##0.000000_-;\-* #,##0.000000_-;_-* &quot;-&quot;??_-;_-@_-">
                  <c:v>2.7355894194184827E-3</c:v>
                </c:pt>
                <c:pt idx="15" formatCode="_-* #,##0.000000_-;\-* #,##0.000000_-;_-* &quot;-&quot;??_-;_-@_-">
                  <c:v>2.593499244216757E-3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3B-4896-8137-E13B0CB5B458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('kW Forecast'!$Q$5:$Q$13,'kW Forecast'!$AJ$27:$AJ$33)</c:f>
              <c:numCache>
                <c:formatCode>General</c:formatCode>
                <c:ptCount val="16"/>
                <c:pt idx="9" formatCode="_-* #,##0.000000_-;\-* #,##0.000000_-;_-* &quot;-&quot;??_-;_-@_-">
                  <c:v>7.0046645857470211E-3</c:v>
                </c:pt>
                <c:pt idx="10" formatCode="_-* #,##0.000000_-;\-* #,##0.000000_-;_-* &quot;-&quot;??_-;_-@_-">
                  <c:v>7.0046645857470211E-3</c:v>
                </c:pt>
                <c:pt idx="11" formatCode="_-* #,##0.000000_-;\-* #,##0.000000_-;_-* &quot;-&quot;??_-;_-@_-">
                  <c:v>7.0046645857470211E-3</c:v>
                </c:pt>
                <c:pt idx="12" formatCode="_-* #,##0.000000_-;\-* #,##0.000000_-;_-* &quot;-&quot;??_-;_-@_-">
                  <c:v>7.0046645857470211E-3</c:v>
                </c:pt>
                <c:pt idx="13" formatCode="_-* #,##0.000000_-;\-* #,##0.000000_-;_-* &quot;-&quot;??_-;_-@_-">
                  <c:v>7.0046645857470211E-3</c:v>
                </c:pt>
                <c:pt idx="14" formatCode="_-* #,##0.000000_-;\-* #,##0.000000_-;_-* &quot;-&quot;??_-;_-@_-">
                  <c:v>7.0046645857470211E-3</c:v>
                </c:pt>
                <c:pt idx="15" formatCode="_-* #,##0.000000_-;\-* #,##0.000000_-;_-* &quot;-&quot;??_-;_-@_-">
                  <c:v>7.0046645857470211E-3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3B-4896-8137-E13B0CB5B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</a:t>
            </a:r>
            <a:r>
              <a:rPr lang="en-US" baseline="0"/>
              <a:t>50 - 2,999 -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Forecast'!$AS$3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'kW Forecast'!$AS$5:$AS$14</c:f>
              <c:numCache>
                <c:formatCode>0.000000</c:formatCode>
                <c:ptCount val="10"/>
                <c:pt idx="0">
                  <c:v>2.4598016246495224E-3</c:v>
                </c:pt>
                <c:pt idx="1">
                  <c:v>2.4739333401257646E-3</c:v>
                </c:pt>
                <c:pt idx="2">
                  <c:v>2.4811738027781596E-3</c:v>
                </c:pt>
                <c:pt idx="3">
                  <c:v>2.4850033977686387E-3</c:v>
                </c:pt>
                <c:pt idx="4">
                  <c:v>2.5238014090301145E-3</c:v>
                </c:pt>
                <c:pt idx="5">
                  <c:v>2.4930446651147335E-3</c:v>
                </c:pt>
                <c:pt idx="6">
                  <c:v>2.5255745868748782E-3</c:v>
                </c:pt>
                <c:pt idx="7">
                  <c:v>2.449645450824186E-3</c:v>
                </c:pt>
                <c:pt idx="8">
                  <c:v>2.3679715597282008E-3</c:v>
                </c:pt>
                <c:pt idx="9">
                  <c:v>2.3325640599246534E-3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8D-44EF-B47E-EEB20EDD43F6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('kW Forecast'!$I$5:$I$13,'kW Forecast'!$AT$27:$AT$33)</c:f>
              <c:numCache>
                <c:formatCode>General</c:formatCode>
                <c:ptCount val="16"/>
                <c:pt idx="9" formatCode="_-* #,##0.000000_-;\-* #,##0.000000_-;_-* &quot;-&quot;??_-;_-@_-">
                  <c:v>2.453945794936613E-3</c:v>
                </c:pt>
                <c:pt idx="10" formatCode="_-* #,##0.000000_-;\-* #,##0.000000_-;_-* &quot;-&quot;??_-;_-@_-">
                  <c:v>2.4501492105331512E-3</c:v>
                </c:pt>
                <c:pt idx="11" formatCode="_-* #,##0.000000_-;\-* #,##0.000000_-;_-* &quot;-&quot;??_-;_-@_-">
                  <c:v>2.4463526261296895E-3</c:v>
                </c:pt>
                <c:pt idx="12" formatCode="_-* #,##0.000000_-;\-* #,##0.000000_-;_-* &quot;-&quot;??_-;_-@_-">
                  <c:v>2.4425560417262277E-3</c:v>
                </c:pt>
                <c:pt idx="13" formatCode="_-* #,##0.000000_-;\-* #,##0.000000_-;_-* &quot;-&quot;??_-;_-@_-">
                  <c:v>2.438759457322766E-3</c:v>
                </c:pt>
                <c:pt idx="14" formatCode="_-* #,##0.000000_-;\-* #,##0.000000_-;_-* &quot;-&quot;??_-;_-@_-">
                  <c:v>2.4349628729193043E-3</c:v>
                </c:pt>
                <c:pt idx="15" formatCode="_-* #,##0.000000_-;\-* #,##0.000000_-;_-* &quot;-&quot;??_-;_-@_-">
                  <c:v>2.4311662885158425E-3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8D-44EF-B47E-EEB20EDD43F6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('kW Forecast'!$I$5:$I$13,'kW Forecast'!$AS$27:$AS$33)</c:f>
              <c:numCache>
                <c:formatCode>General</c:formatCode>
                <c:ptCount val="16"/>
                <c:pt idx="9" formatCode="_-* #,##0.000000_-;\-* #,##0.000000_-;_-* &quot;-&quot;??_-;_-@_-">
                  <c:v>2.4592513896818857E-3</c:v>
                </c:pt>
                <c:pt idx="10" formatCode="_-* #,##0.000000_-;\-* #,##0.000000_-;_-* &quot;-&quot;??_-;_-@_-">
                  <c:v>2.4592513896818857E-3</c:v>
                </c:pt>
                <c:pt idx="11" formatCode="_-* #,##0.000000_-;\-* #,##0.000000_-;_-* &quot;-&quot;??_-;_-@_-">
                  <c:v>2.4592513896818857E-3</c:v>
                </c:pt>
                <c:pt idx="12" formatCode="_-* #,##0.000000_-;\-* #,##0.000000_-;_-* &quot;-&quot;??_-;_-@_-">
                  <c:v>2.4592513896818857E-3</c:v>
                </c:pt>
                <c:pt idx="13" formatCode="_-* #,##0.000000_-;\-* #,##0.000000_-;_-* &quot;-&quot;??_-;_-@_-">
                  <c:v>2.4592513896818857E-3</c:v>
                </c:pt>
                <c:pt idx="14" formatCode="_-* #,##0.000000_-;\-* #,##0.000000_-;_-* &quot;-&quot;??_-;_-@_-">
                  <c:v>2.4592513896818857E-3</c:v>
                </c:pt>
                <c:pt idx="15" formatCode="_-* #,##0.000000_-;\-* #,##0.000000_-;_-* &quot;-&quot;??_-;_-@_-">
                  <c:v>2.4592513896818857E-3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8D-44EF-B47E-EEB20EDD4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3,00</a:t>
            </a:r>
            <a:r>
              <a:rPr lang="en-US" baseline="0"/>
              <a:t>0 - 4,999 -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Forecast'!$BA$3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'kW Forecast'!$BA$5:$BA$14</c:f>
              <c:numCache>
                <c:formatCode>0.000000</c:formatCode>
                <c:ptCount val="10"/>
                <c:pt idx="0">
                  <c:v>1.5544578995907651E-3</c:v>
                </c:pt>
                <c:pt idx="1">
                  <c:v>1.532132836963162E-3</c:v>
                </c:pt>
                <c:pt idx="2">
                  <c:v>1.6506139140571633E-3</c:v>
                </c:pt>
                <c:pt idx="3">
                  <c:v>1.9175408252590097E-3</c:v>
                </c:pt>
                <c:pt idx="4">
                  <c:v>1.7827046718641843E-3</c:v>
                </c:pt>
                <c:pt idx="5">
                  <c:v>1.776164627892354E-3</c:v>
                </c:pt>
                <c:pt idx="6">
                  <c:v>1.9230874905839122E-3</c:v>
                </c:pt>
                <c:pt idx="7">
                  <c:v>1.9425051294845138E-3</c:v>
                </c:pt>
                <c:pt idx="8">
                  <c:v>2.0175357400852292E-3</c:v>
                </c:pt>
                <c:pt idx="9">
                  <c:v>1.8812339170184349E-3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D-410A-9E68-4BDF38C8D35C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('kW Forecast'!$I$5:$I$13,'kW Forecast'!$BB$27:$BB$33)</c:f>
              <c:numCache>
                <c:formatCode>General</c:formatCode>
                <c:ptCount val="16"/>
                <c:pt idx="9" formatCode="_-* #,##0.000000_-;\-* #,##0.000000_-;_-* &quot;-&quot;??_-;_-@_-">
                  <c:v>1.9889966879702015E-3</c:v>
                </c:pt>
                <c:pt idx="10" formatCode="_-* #,##0.000000_-;\-* #,##0.000000_-;_-* &quot;-&quot;??_-;_-@_-">
                  <c:v>2.039839368617416E-3</c:v>
                </c:pt>
                <c:pt idx="11" formatCode="_-* #,##0.000000_-;\-* #,##0.000000_-;_-* &quot;-&quot;??_-;_-@_-">
                  <c:v>2.0906820492646305E-3</c:v>
                </c:pt>
                <c:pt idx="12" formatCode="_-* #,##0.000000_-;\-* #,##0.000000_-;_-* &quot;-&quot;??_-;_-@_-">
                  <c:v>2.1415247299118451E-3</c:v>
                </c:pt>
                <c:pt idx="13" formatCode="_-* #,##0.000000_-;\-* #,##0.000000_-;_-* &quot;-&quot;??_-;_-@_-">
                  <c:v>2.1923674105590457E-3</c:v>
                </c:pt>
                <c:pt idx="14" formatCode="_-* #,##0.000000_-;\-* #,##0.000000_-;_-* &quot;-&quot;??_-;_-@_-">
                  <c:v>2.2432100912062602E-3</c:v>
                </c:pt>
                <c:pt idx="15" formatCode="_-* #,##0.000000_-;\-* #,##0.000000_-;_-* &quot;-&quot;??_-;_-@_-">
                  <c:v>2.2940527718534748E-3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D-410A-9E68-4BDF38C8D35C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('kW Forecast'!$Q$5:$Q$13,'kW Forecast'!$BA$27:$BA$33)</c:f>
              <c:numCache>
                <c:formatCode>General</c:formatCode>
                <c:ptCount val="16"/>
                <c:pt idx="9" formatCode="_-* #,##0.000000_-;\-* #,##0.000000_-;_-* &quot;-&quot;??_-;_-@_-">
                  <c:v>1.9081053810128888E-3</c:v>
                </c:pt>
                <c:pt idx="10" formatCode="_-* #,##0.000000_-;\-* #,##0.000000_-;_-* &quot;-&quot;??_-;_-@_-">
                  <c:v>1.9081053810128888E-3</c:v>
                </c:pt>
                <c:pt idx="11" formatCode="_-* #,##0.000000_-;\-* #,##0.000000_-;_-* &quot;-&quot;??_-;_-@_-">
                  <c:v>1.9081053810128888E-3</c:v>
                </c:pt>
                <c:pt idx="12" formatCode="_-* #,##0.000000_-;\-* #,##0.000000_-;_-* &quot;-&quot;??_-;_-@_-">
                  <c:v>1.9081053810128888E-3</c:v>
                </c:pt>
                <c:pt idx="13" formatCode="_-* #,##0.000000_-;\-* #,##0.000000_-;_-* &quot;-&quot;??_-;_-@_-">
                  <c:v>1.9081053810128888E-3</c:v>
                </c:pt>
                <c:pt idx="14" formatCode="_-* #,##0.000000_-;\-* #,##0.000000_-;_-* &quot;-&quot;??_-;_-@_-">
                  <c:v>1.9081053810128888E-3</c:v>
                </c:pt>
                <c:pt idx="15" formatCode="_-* #,##0.000000_-;\-* #,##0.000000_-;_-* &quot;-&quot;??_-;_-@_-">
                  <c:v>1.9081053810128888E-3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9D-410A-9E68-4BDF38C8D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Weather!$W$1</c:f>
              <c:strCache>
                <c:ptCount val="1"/>
                <c:pt idx="0">
                  <c:v> VRZ_GS3000to4999kWh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Weather!$Q$14:$Q$145</c:f>
              <c:numCache>
                <c:formatCode>0</c:formatCode>
                <c:ptCount val="132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  <c:pt idx="120">
                  <c:v>-5.6266129032258068</c:v>
                </c:pt>
                <c:pt idx="121">
                  <c:v>-5.7592261904761912</c:v>
                </c:pt>
                <c:pt idx="122">
                  <c:v>1.2700268817204301</c:v>
                </c:pt>
                <c:pt idx="123">
                  <c:v>6.2719444444444443</c:v>
                </c:pt>
                <c:pt idx="124">
                  <c:v>12.868682795698925</c:v>
                </c:pt>
                <c:pt idx="125">
                  <c:v>19.441388888888891</c:v>
                </c:pt>
                <c:pt idx="126">
                  <c:v>22.816599462365595</c:v>
                </c:pt>
                <c:pt idx="127">
                  <c:v>20.383467741935487</c:v>
                </c:pt>
                <c:pt idx="128">
                  <c:v>17.070277777777775</c:v>
                </c:pt>
                <c:pt idx="129">
                  <c:v>10.918682795698926</c:v>
                </c:pt>
                <c:pt idx="130">
                  <c:v>2.6462499999999998</c:v>
                </c:pt>
                <c:pt idx="131">
                  <c:v>-4.0064516129032253</c:v>
                </c:pt>
              </c:numCache>
            </c:numRef>
          </c:xVal>
          <c:yVal>
            <c:numRef>
              <c:f>Weather!$W$14:$W$145</c:f>
              <c:numCache>
                <c:formatCode>_-* #,##0_-;\-* #,##0_-;_-* "-"??_-;_-@_-</c:formatCode>
                <c:ptCount val="132"/>
                <c:pt idx="12">
                  <c:v>6800270.7104014782</c:v>
                </c:pt>
                <c:pt idx="13">
                  <c:v>6179829.3320220588</c:v>
                </c:pt>
                <c:pt idx="14">
                  <c:v>6292273.9018087834</c:v>
                </c:pt>
                <c:pt idx="15">
                  <c:v>6451256.1706969012</c:v>
                </c:pt>
                <c:pt idx="16">
                  <c:v>5672283.3217632752</c:v>
                </c:pt>
                <c:pt idx="17">
                  <c:v>6314354.2703150893</c:v>
                </c:pt>
                <c:pt idx="18">
                  <c:v>6225442.535385089</c:v>
                </c:pt>
                <c:pt idx="19">
                  <c:v>7283063.1628678292</c:v>
                </c:pt>
                <c:pt idx="20">
                  <c:v>6766131.8311543036</c:v>
                </c:pt>
                <c:pt idx="21">
                  <c:v>6529319.2660727352</c:v>
                </c:pt>
                <c:pt idx="22">
                  <c:v>7155310.1932199439</c:v>
                </c:pt>
                <c:pt idx="23">
                  <c:v>6696685.3426665105</c:v>
                </c:pt>
                <c:pt idx="24">
                  <c:v>6974132.3614485692</c:v>
                </c:pt>
                <c:pt idx="25">
                  <c:v>6691548.0543021308</c:v>
                </c:pt>
                <c:pt idx="26">
                  <c:v>8031274.6635041824</c:v>
                </c:pt>
                <c:pt idx="27">
                  <c:v>7262223.880597013</c:v>
                </c:pt>
                <c:pt idx="28">
                  <c:v>7335987.2440124936</c:v>
                </c:pt>
                <c:pt idx="29">
                  <c:v>7222720.6409811387</c:v>
                </c:pt>
                <c:pt idx="30">
                  <c:v>6814882.602491417</c:v>
                </c:pt>
                <c:pt idx="31">
                  <c:v>7567637.0087546743</c:v>
                </c:pt>
                <c:pt idx="32">
                  <c:v>7148177.8317713737</c:v>
                </c:pt>
                <c:pt idx="33">
                  <c:v>7665789.0489413375</c:v>
                </c:pt>
                <c:pt idx="34">
                  <c:v>7801970.6795479944</c:v>
                </c:pt>
                <c:pt idx="35">
                  <c:v>6990745.9408384413</c:v>
                </c:pt>
                <c:pt idx="36">
                  <c:v>7334786.4456785824</c:v>
                </c:pt>
                <c:pt idx="37">
                  <c:v>6857702.8905858286</c:v>
                </c:pt>
                <c:pt idx="38">
                  <c:v>7093164.9118747329</c:v>
                </c:pt>
                <c:pt idx="39">
                  <c:v>6905581.1446642736</c:v>
                </c:pt>
                <c:pt idx="40">
                  <c:v>6752852.1925257407</c:v>
                </c:pt>
                <c:pt idx="41">
                  <c:v>6859058.7662462853</c:v>
                </c:pt>
                <c:pt idx="42">
                  <c:v>6085122.4111998128</c:v>
                </c:pt>
                <c:pt idx="43">
                  <c:v>6269747.8016892262</c:v>
                </c:pt>
                <c:pt idx="44">
                  <c:v>5786428.0438890802</c:v>
                </c:pt>
                <c:pt idx="45">
                  <c:v>6514983.3005515039</c:v>
                </c:pt>
                <c:pt idx="46">
                  <c:v>7300112.3934590593</c:v>
                </c:pt>
                <c:pt idx="47">
                  <c:v>7099052.0941802599</c:v>
                </c:pt>
                <c:pt idx="48">
                  <c:v>7485435.9404527731</c:v>
                </c:pt>
                <c:pt idx="49">
                  <c:v>7444265.2242662637</c:v>
                </c:pt>
                <c:pt idx="50">
                  <c:v>8105840.3042924888</c:v>
                </c:pt>
                <c:pt idx="51">
                  <c:v>7662956.9690308133</c:v>
                </c:pt>
                <c:pt idx="52">
                  <c:v>8344408.6833275463</c:v>
                </c:pt>
                <c:pt idx="53">
                  <c:v>7726141.106483086</c:v>
                </c:pt>
                <c:pt idx="54">
                  <c:v>7287238.9602375692</c:v>
                </c:pt>
                <c:pt idx="55">
                  <c:v>7240792.8381349053</c:v>
                </c:pt>
                <c:pt idx="56">
                  <c:v>7000344.122411198</c:v>
                </c:pt>
                <c:pt idx="57">
                  <c:v>7415913.812719347</c:v>
                </c:pt>
                <c:pt idx="58">
                  <c:v>7366660.9009217452</c:v>
                </c:pt>
                <c:pt idx="59">
                  <c:v>6845974.2180570001</c:v>
                </c:pt>
                <c:pt idx="60">
                  <c:v>7376452.0903235739</c:v>
                </c:pt>
                <c:pt idx="61">
                  <c:v>7527144.9631686509</c:v>
                </c:pt>
                <c:pt idx="62">
                  <c:v>7794867.2625245843</c:v>
                </c:pt>
                <c:pt idx="63">
                  <c:v>6612666.9077095129</c:v>
                </c:pt>
                <c:pt idx="64">
                  <c:v>6777426.0769794425</c:v>
                </c:pt>
                <c:pt idx="65">
                  <c:v>7163169.2699294202</c:v>
                </c:pt>
                <c:pt idx="66">
                  <c:v>7465971.0459331227</c:v>
                </c:pt>
                <c:pt idx="67">
                  <c:v>7213390.8943653805</c:v>
                </c:pt>
                <c:pt idx="68">
                  <c:v>7123210.2954221126</c:v>
                </c:pt>
                <c:pt idx="69">
                  <c:v>7362065.2551197475</c:v>
                </c:pt>
                <c:pt idx="70">
                  <c:v>7082538.0365613773</c:v>
                </c:pt>
                <c:pt idx="71">
                  <c:v>6713120.0489799045</c:v>
                </c:pt>
                <c:pt idx="72">
                  <c:v>7075881.4165606061</c:v>
                </c:pt>
                <c:pt idx="73">
                  <c:v>7473931.0135369645</c:v>
                </c:pt>
                <c:pt idx="74">
                  <c:v>8270148.038875388</c:v>
                </c:pt>
                <c:pt idx="75">
                  <c:v>7606734.6214663098</c:v>
                </c:pt>
                <c:pt idx="76">
                  <c:v>8201541.1797601115</c:v>
                </c:pt>
                <c:pt idx="77">
                  <c:v>8063772.0988082821</c:v>
                </c:pt>
                <c:pt idx="78">
                  <c:v>7538146.4287091652</c:v>
                </c:pt>
                <c:pt idx="79">
                  <c:v>7911683.2407728769</c:v>
                </c:pt>
                <c:pt idx="80">
                  <c:v>8037782.6950518703</c:v>
                </c:pt>
                <c:pt idx="81">
                  <c:v>7804247.6667052312</c:v>
                </c:pt>
                <c:pt idx="82">
                  <c:v>8559929.5672798771</c:v>
                </c:pt>
                <c:pt idx="83">
                  <c:v>8070255.9682209082</c:v>
                </c:pt>
                <c:pt idx="84">
                  <c:v>7962978.412202551</c:v>
                </c:pt>
                <c:pt idx="85">
                  <c:v>8313821.4740252206</c:v>
                </c:pt>
                <c:pt idx="86">
                  <c:v>9461484.0236800462</c:v>
                </c:pt>
                <c:pt idx="87">
                  <c:v>8898140.0555362683</c:v>
                </c:pt>
                <c:pt idx="88">
                  <c:v>9148862.7694859002</c:v>
                </c:pt>
                <c:pt idx="89">
                  <c:v>9270074.9546839409</c:v>
                </c:pt>
                <c:pt idx="90">
                  <c:v>8949441.1662617121</c:v>
                </c:pt>
                <c:pt idx="91">
                  <c:v>9174140.6726059597</c:v>
                </c:pt>
                <c:pt idx="92">
                  <c:v>8517384.0873153582</c:v>
                </c:pt>
                <c:pt idx="93">
                  <c:v>8380196.6331134997</c:v>
                </c:pt>
                <c:pt idx="94">
                  <c:v>8442517.4225770347</c:v>
                </c:pt>
                <c:pt idx="95">
                  <c:v>8404581.8870762438</c:v>
                </c:pt>
                <c:pt idx="96">
                  <c:v>9441989.6255158298</c:v>
                </c:pt>
                <c:pt idx="97">
                  <c:v>8646769.7751552295</c:v>
                </c:pt>
                <c:pt idx="98">
                  <c:v>9554645.4066874888</c:v>
                </c:pt>
                <c:pt idx="99">
                  <c:v>8530137.5968992226</c:v>
                </c:pt>
                <c:pt idx="100">
                  <c:v>9008365.1220640969</c:v>
                </c:pt>
                <c:pt idx="101">
                  <c:v>9282399.6586833261</c:v>
                </c:pt>
                <c:pt idx="102">
                  <c:v>9181807.5610320456</c:v>
                </c:pt>
                <c:pt idx="103">
                  <c:v>9385090.352501059</c:v>
                </c:pt>
                <c:pt idx="104">
                  <c:v>7402741.4285163311</c:v>
                </c:pt>
                <c:pt idx="105">
                  <c:v>8590094.7009140309</c:v>
                </c:pt>
                <c:pt idx="106">
                  <c:v>8425141.8392533418</c:v>
                </c:pt>
                <c:pt idx="107">
                  <c:v>8323601.7007983318</c:v>
                </c:pt>
                <c:pt idx="108">
                  <c:v>8375669.3663465595</c:v>
                </c:pt>
                <c:pt idx="109">
                  <c:v>7755509.7863396173</c:v>
                </c:pt>
                <c:pt idx="110">
                  <c:v>8334975.3172123851</c:v>
                </c:pt>
                <c:pt idx="111">
                  <c:v>8152593.5728335036</c:v>
                </c:pt>
                <c:pt idx="112">
                  <c:v>8110102.6360445814</c:v>
                </c:pt>
                <c:pt idx="113">
                  <c:v>7868030.4774576705</c:v>
                </c:pt>
                <c:pt idx="114">
                  <c:v>7885325.8513633357</c:v>
                </c:pt>
                <c:pt idx="115">
                  <c:v>7274531.0848856475</c:v>
                </c:pt>
                <c:pt idx="116">
                  <c:v>7410718.539087506</c:v>
                </c:pt>
                <c:pt idx="117">
                  <c:v>7881947.3273169016</c:v>
                </c:pt>
                <c:pt idx="118">
                  <c:v>7780321.5415172176</c:v>
                </c:pt>
                <c:pt idx="119">
                  <c:v>7850196.0449689515</c:v>
                </c:pt>
                <c:pt idx="120">
                  <c:v>8463107.2833506856</c:v>
                </c:pt>
                <c:pt idx="121">
                  <c:v>7949750.2603262737</c:v>
                </c:pt>
                <c:pt idx="122">
                  <c:v>8551237.4272050578</c:v>
                </c:pt>
                <c:pt idx="123">
                  <c:v>8036002.1115353443</c:v>
                </c:pt>
                <c:pt idx="124">
                  <c:v>8159533.6206564065</c:v>
                </c:pt>
                <c:pt idx="125">
                  <c:v>8042373.2307454953</c:v>
                </c:pt>
                <c:pt idx="126">
                  <c:v>7950699.8341625184</c:v>
                </c:pt>
                <c:pt idx="127">
                  <c:v>7663095.2312082974</c:v>
                </c:pt>
                <c:pt idx="128">
                  <c:v>7301250.7134868279</c:v>
                </c:pt>
                <c:pt idx="129">
                  <c:v>7780885.9481661441</c:v>
                </c:pt>
                <c:pt idx="130">
                  <c:v>7298795.2485633828</c:v>
                </c:pt>
                <c:pt idx="131">
                  <c:v>7816186.7503567412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52-4762-9A83-C05256254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582192"/>
        <c:axId val="523582672"/>
      </c:scatterChart>
      <c:valAx>
        <c:axId val="5235821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672"/>
        <c:crosses val="autoZero"/>
        <c:crossBetween val="midCat"/>
      </c:valAx>
      <c:valAx>
        <c:axId val="52358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Street Light 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Forecast'!$AC$3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'kW Forecast'!$BI$5:$BI$14</c:f>
              <c:numCache>
                <c:formatCode>0.000000</c:formatCode>
                <c:ptCount val="10"/>
                <c:pt idx="0">
                  <c:v>2.6723459338269572E-3</c:v>
                </c:pt>
                <c:pt idx="1">
                  <c:v>2.6815267141268588E-3</c:v>
                </c:pt>
                <c:pt idx="2">
                  <c:v>2.6844589916186034E-3</c:v>
                </c:pt>
                <c:pt idx="3">
                  <c:v>2.6861381275633104E-3</c:v>
                </c:pt>
                <c:pt idx="4">
                  <c:v>2.8845703459319015E-3</c:v>
                </c:pt>
                <c:pt idx="5">
                  <c:v>3.0072044459493012E-3</c:v>
                </c:pt>
                <c:pt idx="6">
                  <c:v>2.7943194070019013E-3</c:v>
                </c:pt>
                <c:pt idx="7">
                  <c:v>2.7955806488530409E-3</c:v>
                </c:pt>
                <c:pt idx="8">
                  <c:v>2.7870922025139107E-3</c:v>
                </c:pt>
                <c:pt idx="9">
                  <c:v>2.7950676070960883E-3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C-4298-8159-587F1965B27F}"/>
            </c:ext>
          </c:extLst>
        </c:ser>
        <c:ser>
          <c:idx val="2"/>
          <c:order val="1"/>
          <c:tx>
            <c:v>Forecast Trend</c:v>
          </c:tx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('kW Forecast'!$BL$5:$BL$13,'kW Forecast'!$BJ$27:$BJ$33)</c:f>
              <c:numCache>
                <c:formatCode>General</c:formatCode>
                <c:ptCount val="16"/>
                <c:pt idx="9" formatCode="_-* #,##0.000000_-;\-* #,##0.000000_-;_-* &quot;-&quot;??_-;_-@_-">
                  <c:v>2.8647049544761743E-3</c:v>
                </c:pt>
                <c:pt idx="10" formatCode="_-* #,##0.000000_-;\-* #,##0.000000_-;_-* &quot;-&quot;??_-;_-@_-">
                  <c:v>2.8865082648832779E-3</c:v>
                </c:pt>
                <c:pt idx="11" formatCode="_-* #,##0.000000_-;\-* #,##0.000000_-;_-* &quot;-&quot;??_-;_-@_-">
                  <c:v>2.9083115752903885E-3</c:v>
                </c:pt>
                <c:pt idx="12" formatCode="_-* #,##0.000000_-;\-* #,##0.000000_-;_-* &quot;-&quot;??_-;_-@_-">
                  <c:v>2.9301148856974921E-3</c:v>
                </c:pt>
                <c:pt idx="13" formatCode="_-* #,##0.000000_-;\-* #,##0.000000_-;_-* &quot;-&quot;??_-;_-@_-">
                  <c:v>2.9519181961045957E-3</c:v>
                </c:pt>
                <c:pt idx="14" formatCode="_-* #,##0.000000_-;\-* #,##0.000000_-;_-* &quot;-&quot;??_-;_-@_-">
                  <c:v>2.9737215065116993E-3</c:v>
                </c:pt>
                <c:pt idx="15" formatCode="_-* #,##0.000000_-;\-* #,##0.000000_-;_-* &quot;-&quot;??_-;_-@_-">
                  <c:v>2.9955248169188028E-3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C-4298-8159-587F1965B27F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('kW Forecast'!$Q$5:$Q$13,'kW Forecast'!$BI$27:$BI$33)</c:f>
              <c:numCache>
                <c:formatCode>General</c:formatCode>
                <c:ptCount val="16"/>
                <c:pt idx="9" formatCode="_-* #,##0.000000_-;\-* #,##0.000000_-;_-* &quot;-&quot;??_-;_-@_-">
                  <c:v>2.778830442448187E-3</c:v>
                </c:pt>
                <c:pt idx="10" formatCode="_-* #,##0.000000_-;\-* #,##0.000000_-;_-* &quot;-&quot;??_-;_-@_-">
                  <c:v>2.778830442448187E-3</c:v>
                </c:pt>
                <c:pt idx="11" formatCode="_-* #,##0.000000_-;\-* #,##0.000000_-;_-* &quot;-&quot;??_-;_-@_-">
                  <c:v>2.778830442448187E-3</c:v>
                </c:pt>
                <c:pt idx="12" formatCode="_-* #,##0.000000_-;\-* #,##0.000000_-;_-* &quot;-&quot;??_-;_-@_-">
                  <c:v>2.778830442448187E-3</c:v>
                </c:pt>
                <c:pt idx="13" formatCode="_-* #,##0.000000_-;\-* #,##0.000000_-;_-* &quot;-&quot;??_-;_-@_-">
                  <c:v>2.778830442448187E-3</c:v>
                </c:pt>
                <c:pt idx="14" formatCode="_-* #,##0.000000_-;\-* #,##0.000000_-;_-* &quot;-&quot;??_-;_-@_-">
                  <c:v>2.778830442448187E-3</c:v>
                </c:pt>
                <c:pt idx="15" formatCode="_-* #,##0.000000_-;\-* #,##0.000000_-;_-* &quot;-&quot;??_-;_-@_-">
                  <c:v>2.778830442448187E-3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C-4298-8159-587F1965B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Sentinel Light 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Forecast'!$AJ$3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'kW Forecast'!$BP$5:$BP$14</c:f>
              <c:numCache>
                <c:formatCode>0.000000</c:formatCode>
                <c:ptCount val="10"/>
                <c:pt idx="0">
                  <c:v>3.0330872963422705E-3</c:v>
                </c:pt>
                <c:pt idx="1">
                  <c:v>3.0330872963422705E-3</c:v>
                </c:pt>
                <c:pt idx="2">
                  <c:v>3.0330872963422709E-3</c:v>
                </c:pt>
                <c:pt idx="3">
                  <c:v>3.0330872963422713E-3</c:v>
                </c:pt>
                <c:pt idx="4">
                  <c:v>3.0330872963422722E-3</c:v>
                </c:pt>
                <c:pt idx="5">
                  <c:v>2.9137335692896674E-3</c:v>
                </c:pt>
                <c:pt idx="6">
                  <c:v>3.2041067886021406E-3</c:v>
                </c:pt>
                <c:pt idx="7">
                  <c:v>3.0829158212246823E-3</c:v>
                </c:pt>
                <c:pt idx="8">
                  <c:v>1.3744063968167984E-2</c:v>
                </c:pt>
                <c:pt idx="9">
                  <c:v>1.3744063968167986E-2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0-4BA6-BD0C-975E768A7D75}"/>
            </c:ext>
          </c:extLst>
        </c:ser>
        <c:ser>
          <c:idx val="3"/>
          <c:order val="1"/>
          <c:tx>
            <c:v>Forecast Avg</c:v>
          </c:tx>
          <c:marker>
            <c:symbol val="none"/>
          </c:marker>
          <c:cat>
            <c:numRef>
              <c:f>('kW Forecast'!$B$5:$B$13,'kW Forecast'!$B$27:$B$33)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('kW Forecast'!$Q$5:$Q$13,'kW Forecast'!$BP$27:$BP$33)</c:f>
              <c:numCache>
                <c:formatCode>General</c:formatCode>
                <c:ptCount val="16"/>
                <c:pt idx="9" formatCode="_-* #,##0.000000_-;\-* #,##0.000000_-;_-* &quot;-&quot;??_-;_-@_-">
                  <c:v>1.3744063968167984E-2</c:v>
                </c:pt>
                <c:pt idx="10" formatCode="_-* #,##0.000000_-;\-* #,##0.000000_-;_-* &quot;-&quot;??_-;_-@_-">
                  <c:v>1.3744063968167984E-2</c:v>
                </c:pt>
                <c:pt idx="11" formatCode="_-* #,##0.000000_-;\-* #,##0.000000_-;_-* &quot;-&quot;??_-;_-@_-">
                  <c:v>1.3744063968167984E-2</c:v>
                </c:pt>
                <c:pt idx="12" formatCode="_-* #,##0.000000_-;\-* #,##0.000000_-;_-* &quot;-&quot;??_-;_-@_-">
                  <c:v>1.3744063968167984E-2</c:v>
                </c:pt>
                <c:pt idx="13" formatCode="_-* #,##0.000000_-;\-* #,##0.000000_-;_-* &quot;-&quot;??_-;_-@_-">
                  <c:v>1.3744063968167984E-2</c:v>
                </c:pt>
                <c:pt idx="14" formatCode="_-* #,##0.000000_-;\-* #,##0.000000_-;_-* &quot;-&quot;??_-;_-@_-">
                  <c:v>1.3744063968167984E-2</c:v>
                </c:pt>
                <c:pt idx="15" formatCode="_-* #,##0.000000_-;\-* #,##0.000000_-;_-* &quot;-&quot;??_-;_-@_-">
                  <c:v>1.3744063968167984E-2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60-4BA6-BD0C-975E768A7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Veridian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strRef>
              <c:f>'Overall Load Summary'!$B$3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Summary'!$C$3:$R$3</c:f>
              <c:numCache>
                <c:formatCode>#,##0</c:formatCode>
                <c:ptCount val="16"/>
                <c:pt idx="0">
                  <c:v>915112945.17717803</c:v>
                </c:pt>
                <c:pt idx="1">
                  <c:v>860495844.41722929</c:v>
                </c:pt>
                <c:pt idx="2">
                  <c:v>934649898.43460441</c:v>
                </c:pt>
                <c:pt idx="3">
                  <c:v>911810351.49413323</c:v>
                </c:pt>
                <c:pt idx="4">
                  <c:v>986594181.70185447</c:v>
                </c:pt>
                <c:pt idx="5">
                  <c:v>979049816.42103958</c:v>
                </c:pt>
                <c:pt idx="6">
                  <c:v>970911458.52476048</c:v>
                </c:pt>
                <c:pt idx="7">
                  <c:v>962244781.52788401</c:v>
                </c:pt>
                <c:pt idx="8">
                  <c:v>1004549490.8056266</c:v>
                </c:pt>
                <c:pt idx="9">
                  <c:v>1029025835.5756625</c:v>
                </c:pt>
                <c:pt idx="10">
                  <c:v>1052966743.2526804</c:v>
                </c:pt>
                <c:pt idx="11">
                  <c:v>1069640326.8111155</c:v>
                </c:pt>
                <c:pt idx="12">
                  <c:v>1088420959.685971</c:v>
                </c:pt>
                <c:pt idx="13">
                  <c:v>1105068058.1955798</c:v>
                </c:pt>
                <c:pt idx="14">
                  <c:v>1127380913.4028563</c:v>
                </c:pt>
                <c:pt idx="15">
                  <c:v>1151178912.4929533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6C-487A-853F-596495F503FB}"/>
            </c:ext>
          </c:extLst>
        </c:ser>
        <c:ser>
          <c:idx val="1"/>
          <c:order val="1"/>
          <c:tx>
            <c:strRef>
              <c:f>'Overall Load Summary'!$B$5</c:f>
              <c:strCache>
                <c:ptCount val="1"/>
                <c:pt idx="0">
                  <c:v>GS&lt;50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Summary'!$C$5:$R$5</c:f>
              <c:numCache>
                <c:formatCode>#,##0</c:formatCode>
                <c:ptCount val="16"/>
                <c:pt idx="0">
                  <c:v>271038059.0962218</c:v>
                </c:pt>
                <c:pt idx="1">
                  <c:v>261365989.78409663</c:v>
                </c:pt>
                <c:pt idx="2">
                  <c:v>268034830.8908416</c:v>
                </c:pt>
                <c:pt idx="3">
                  <c:v>276005071.40924454</c:v>
                </c:pt>
                <c:pt idx="4">
                  <c:v>254394430.02200004</c:v>
                </c:pt>
                <c:pt idx="5">
                  <c:v>253491506.57862046</c:v>
                </c:pt>
                <c:pt idx="6">
                  <c:v>265787178.57022482</c:v>
                </c:pt>
                <c:pt idx="7">
                  <c:v>263510329.38142473</c:v>
                </c:pt>
                <c:pt idx="8">
                  <c:v>245688514.14038527</c:v>
                </c:pt>
                <c:pt idx="9">
                  <c:v>250378458.48071903</c:v>
                </c:pt>
                <c:pt idx="10">
                  <c:v>265265899.99815881</c:v>
                </c:pt>
                <c:pt idx="11">
                  <c:v>265162520.32773042</c:v>
                </c:pt>
                <c:pt idx="12">
                  <c:v>263940255.64234325</c:v>
                </c:pt>
                <c:pt idx="13">
                  <c:v>263464475.92419034</c:v>
                </c:pt>
                <c:pt idx="14">
                  <c:v>263221892.25943616</c:v>
                </c:pt>
                <c:pt idx="15">
                  <c:v>264555061.25466838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C-487A-853F-596495F50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5375"/>
        <c:axId val="358408095"/>
      </c:lineChart>
      <c:catAx>
        <c:axId val="35842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08095"/>
        <c:crosses val="autoZero"/>
        <c:auto val="1"/>
        <c:lblAlgn val="ctr"/>
        <c:lblOffset val="100"/>
        <c:noMultiLvlLbl val="0"/>
      </c:catAx>
      <c:valAx>
        <c:axId val="35840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25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Veridian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'Overall Load Summary'!$B$6</c:f>
              <c:strCache>
                <c:ptCount val="1"/>
                <c:pt idx="0">
                  <c:v>GS 50 - 2,999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Summary'!$C$6:$R$6</c:f>
              <c:numCache>
                <c:formatCode>#,##0</c:formatCode>
                <c:ptCount val="16"/>
                <c:pt idx="0">
                  <c:v>927454086.06637979</c:v>
                </c:pt>
                <c:pt idx="1">
                  <c:v>906283743.08643579</c:v>
                </c:pt>
                <c:pt idx="2">
                  <c:v>927588344.49577141</c:v>
                </c:pt>
                <c:pt idx="3">
                  <c:v>905509752.26774502</c:v>
                </c:pt>
                <c:pt idx="4">
                  <c:v>857792305.03628862</c:v>
                </c:pt>
                <c:pt idx="5">
                  <c:v>879197905.48144305</c:v>
                </c:pt>
                <c:pt idx="6">
                  <c:v>894031405.22001076</c:v>
                </c:pt>
                <c:pt idx="7">
                  <c:v>890084578.42248416</c:v>
                </c:pt>
                <c:pt idx="8">
                  <c:v>926699529.78917146</c:v>
                </c:pt>
                <c:pt idx="9">
                  <c:v>928770254.56307244</c:v>
                </c:pt>
                <c:pt idx="10">
                  <c:v>963798335.51313102</c:v>
                </c:pt>
                <c:pt idx="11">
                  <c:v>1013142478.7445124</c:v>
                </c:pt>
                <c:pt idx="12">
                  <c:v>1022487004.5647374</c:v>
                </c:pt>
                <c:pt idx="13">
                  <c:v>1028481560.0836257</c:v>
                </c:pt>
                <c:pt idx="14">
                  <c:v>1026063146.0430988</c:v>
                </c:pt>
                <c:pt idx="15">
                  <c:v>1030923895.7654021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D6-4691-B342-A1C666332786}"/>
            </c:ext>
          </c:extLst>
        </c:ser>
        <c:ser>
          <c:idx val="3"/>
          <c:order val="1"/>
          <c:tx>
            <c:strRef>
              <c:f>'Overall Load Summary'!$B$7</c:f>
              <c:strCache>
                <c:ptCount val="1"/>
                <c:pt idx="0">
                  <c:v>GS 3,000 - 4,999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Summary'!$C$7:$R$7</c:f>
              <c:numCache>
                <c:formatCode>#,##0</c:formatCode>
                <c:ptCount val="16"/>
                <c:pt idx="0">
                  <c:v>78366220.038373992</c:v>
                </c:pt>
                <c:pt idx="1">
                  <c:v>87507089.957190782</c:v>
                </c:pt>
                <c:pt idx="2">
                  <c:v>80858592.396544397</c:v>
                </c:pt>
                <c:pt idx="3">
                  <c:v>89925973.080334738</c:v>
                </c:pt>
                <c:pt idx="4">
                  <c:v>86212022.147016823</c:v>
                </c:pt>
                <c:pt idx="5">
                  <c:v>94614053.935747579</c:v>
                </c:pt>
                <c:pt idx="6">
                  <c:v>104923623.55856374</c:v>
                </c:pt>
                <c:pt idx="7">
                  <c:v>105772784.76802033</c:v>
                </c:pt>
                <c:pt idx="8">
                  <c:v>94679921.545373872</c:v>
                </c:pt>
                <c:pt idx="9">
                  <c:v>95012917.659763187</c:v>
                </c:pt>
                <c:pt idx="10">
                  <c:v>120544505.00295174</c:v>
                </c:pt>
                <c:pt idx="11">
                  <c:v>154289818.7715472</c:v>
                </c:pt>
                <c:pt idx="12">
                  <c:v>179717243.71939456</c:v>
                </c:pt>
                <c:pt idx="13">
                  <c:v>195444232.22083339</c:v>
                </c:pt>
                <c:pt idx="14">
                  <c:v>200264057.20306987</c:v>
                </c:pt>
                <c:pt idx="15">
                  <c:v>207528613.81570518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D6-4691-B342-A1C666332786}"/>
            </c:ext>
          </c:extLst>
        </c:ser>
        <c:ser>
          <c:idx val="4"/>
          <c:order val="2"/>
          <c:tx>
            <c:strRef>
              <c:f>'Overall Load Summary'!$B$8</c:f>
              <c:strCache>
                <c:ptCount val="1"/>
                <c:pt idx="0">
                  <c:v>Large Use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Summary'!$C$8:$R$8</c:f>
              <c:numCache>
                <c:formatCode>#,##0</c:formatCode>
                <c:ptCount val="16"/>
                <c:pt idx="0">
                  <c:v>214289820.48699546</c:v>
                </c:pt>
                <c:pt idx="1">
                  <c:v>222292495.33607462</c:v>
                </c:pt>
                <c:pt idx="2">
                  <c:v>248469427.75455135</c:v>
                </c:pt>
                <c:pt idx="3">
                  <c:v>257775123.13030541</c:v>
                </c:pt>
                <c:pt idx="4">
                  <c:v>262392771.64005709</c:v>
                </c:pt>
                <c:pt idx="5">
                  <c:v>282815639.36618131</c:v>
                </c:pt>
                <c:pt idx="6">
                  <c:v>287178352.97389549</c:v>
                </c:pt>
                <c:pt idx="7">
                  <c:v>301783249.88881892</c:v>
                </c:pt>
                <c:pt idx="8">
                  <c:v>319639648.58016247</c:v>
                </c:pt>
                <c:pt idx="9">
                  <c:v>320243428.7364316</c:v>
                </c:pt>
                <c:pt idx="10">
                  <c:v>343075152.01669252</c:v>
                </c:pt>
                <c:pt idx="11">
                  <c:v>409486870.75309986</c:v>
                </c:pt>
                <c:pt idx="12">
                  <c:v>486502046.60378212</c:v>
                </c:pt>
                <c:pt idx="13">
                  <c:v>530848433.28238314</c:v>
                </c:pt>
                <c:pt idx="14">
                  <c:v>538574069.41898668</c:v>
                </c:pt>
                <c:pt idx="15">
                  <c:v>543584528.13487542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D6-4691-B342-A1C666332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5375"/>
        <c:axId val="358408095"/>
      </c:lineChart>
      <c:catAx>
        <c:axId val="35842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08095"/>
        <c:crosses val="autoZero"/>
        <c:auto val="1"/>
        <c:lblAlgn val="ctr"/>
        <c:lblOffset val="100"/>
        <c:noMultiLvlLbl val="0"/>
      </c:catAx>
      <c:valAx>
        <c:axId val="35840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25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Veridian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'Overall Load Summary'!$B$4</c:f>
              <c:strCache>
                <c:ptCount val="1"/>
                <c:pt idx="0">
                  <c:v>Residential Seasonal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Summary'!$C$4:$R$4</c:f>
              <c:numCache>
                <c:formatCode>#,##0</c:formatCode>
                <c:ptCount val="16"/>
                <c:pt idx="0">
                  <c:v>9051572.815264266</c:v>
                </c:pt>
                <c:pt idx="1">
                  <c:v>9456862.8725147881</c:v>
                </c:pt>
                <c:pt idx="2">
                  <c:v>10033713.471751574</c:v>
                </c:pt>
                <c:pt idx="3">
                  <c:v>10358890.180652544</c:v>
                </c:pt>
                <c:pt idx="4">
                  <c:v>11810325.210704066</c:v>
                </c:pt>
                <c:pt idx="5">
                  <c:v>12014859.141223051</c:v>
                </c:pt>
                <c:pt idx="6">
                  <c:v>12020836.275310056</c:v>
                </c:pt>
                <c:pt idx="7">
                  <c:v>11612873.390622018</c:v>
                </c:pt>
                <c:pt idx="8">
                  <c:v>11668301.471916554</c:v>
                </c:pt>
                <c:pt idx="9">
                  <c:v>12704009.788637662</c:v>
                </c:pt>
                <c:pt idx="10">
                  <c:v>12668616.88924998</c:v>
                </c:pt>
                <c:pt idx="11">
                  <c:v>13098093.680488765</c:v>
                </c:pt>
                <c:pt idx="12">
                  <c:v>13453586.472312599</c:v>
                </c:pt>
                <c:pt idx="13">
                  <c:v>13869843.856722418</c:v>
                </c:pt>
                <c:pt idx="14">
                  <c:v>14368853.521388374</c:v>
                </c:pt>
                <c:pt idx="15">
                  <c:v>14809342.656845005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69-422B-9992-AC021EB1D387}"/>
            </c:ext>
          </c:extLst>
        </c:ser>
        <c:ser>
          <c:idx val="6"/>
          <c:order val="1"/>
          <c:tx>
            <c:strRef>
              <c:f>'Overall Load Summary'!$B$9</c:f>
              <c:strCache>
                <c:ptCount val="1"/>
                <c:pt idx="0">
                  <c:v>Street Light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Summary'!$C$9:$R$9</c:f>
              <c:numCache>
                <c:formatCode>#,##0</c:formatCode>
                <c:ptCount val="16"/>
                <c:pt idx="0">
                  <c:v>20696694.0755581</c:v>
                </c:pt>
                <c:pt idx="1">
                  <c:v>19519835.661133371</c:v>
                </c:pt>
                <c:pt idx="2">
                  <c:v>15418262.659797747</c:v>
                </c:pt>
                <c:pt idx="3">
                  <c:v>13154878.992558671</c:v>
                </c:pt>
                <c:pt idx="4">
                  <c:v>11375771.341347072</c:v>
                </c:pt>
                <c:pt idx="5">
                  <c:v>11145146.346117154</c:v>
                </c:pt>
                <c:pt idx="6">
                  <c:v>11108255.523755008</c:v>
                </c:pt>
                <c:pt idx="7">
                  <c:v>11322769.347452775</c:v>
                </c:pt>
                <c:pt idx="8">
                  <c:v>11585951.65998855</c:v>
                </c:pt>
                <c:pt idx="9">
                  <c:v>11654612.020606756</c:v>
                </c:pt>
                <c:pt idx="10">
                  <c:v>11783218.435274247</c:v>
                </c:pt>
                <c:pt idx="11">
                  <c:v>11913243.997131227</c:v>
                </c:pt>
                <c:pt idx="12">
                  <c:v>12044704.366195513</c:v>
                </c:pt>
                <c:pt idx="13">
                  <c:v>12177615.375290232</c:v>
                </c:pt>
                <c:pt idx="14">
                  <c:v>12311993.031950675</c:v>
                </c:pt>
                <c:pt idx="15">
                  <c:v>12447853.520352231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9-422B-9992-AC021EB1D387}"/>
            </c:ext>
          </c:extLst>
        </c:ser>
        <c:ser>
          <c:idx val="7"/>
          <c:order val="2"/>
          <c:tx>
            <c:strRef>
              <c:f>'Overall Load Summary'!$B$10</c:f>
              <c:strCache>
                <c:ptCount val="1"/>
                <c:pt idx="0">
                  <c:v>Sentinel Light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Summary'!$C$10:$R$10</c:f>
              <c:numCache>
                <c:formatCode>#,##0</c:formatCode>
                <c:ptCount val="16"/>
                <c:pt idx="0">
                  <c:v>149076.16867010115</c:v>
                </c:pt>
                <c:pt idx="1">
                  <c:v>297128.43922915473</c:v>
                </c:pt>
                <c:pt idx="2">
                  <c:v>236464.57737073075</c:v>
                </c:pt>
                <c:pt idx="3">
                  <c:v>219210.48464033578</c:v>
                </c:pt>
                <c:pt idx="4">
                  <c:v>219089.71570311007</c:v>
                </c:pt>
                <c:pt idx="5">
                  <c:v>216801.46918526999</c:v>
                </c:pt>
                <c:pt idx="6">
                  <c:v>206492.3201679069</c:v>
                </c:pt>
                <c:pt idx="7">
                  <c:v>208749.31310818545</c:v>
                </c:pt>
                <c:pt idx="8">
                  <c:v>85942.730394962797</c:v>
                </c:pt>
                <c:pt idx="9">
                  <c:v>84532.818164472439</c:v>
                </c:pt>
                <c:pt idx="10">
                  <c:v>82878.928767326172</c:v>
                </c:pt>
                <c:pt idx="11">
                  <c:v>81257.397810338269</c:v>
                </c:pt>
                <c:pt idx="12">
                  <c:v>79667.592198785904</c:v>
                </c:pt>
                <c:pt idx="13">
                  <c:v>78108.891224480496</c:v>
                </c:pt>
                <c:pt idx="14">
                  <c:v>76580.686323424539</c:v>
                </c:pt>
                <c:pt idx="15">
                  <c:v>75082.38083820972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69-422B-9992-AC021EB1D387}"/>
            </c:ext>
          </c:extLst>
        </c:ser>
        <c:ser>
          <c:idx val="8"/>
          <c:order val="3"/>
          <c:tx>
            <c:strRef>
              <c:f>'Overall Load Summary'!$B$11</c:f>
              <c:strCache>
                <c:ptCount val="1"/>
                <c:pt idx="0">
                  <c:v>USL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Summary'!$C$11:$R$11</c:f>
              <c:numCache>
                <c:formatCode>#,##0</c:formatCode>
                <c:ptCount val="16"/>
                <c:pt idx="0">
                  <c:v>4746940.8319023084</c:v>
                </c:pt>
                <c:pt idx="1">
                  <c:v>4693448.8360999813</c:v>
                </c:pt>
                <c:pt idx="2">
                  <c:v>4665788.0175539022</c:v>
                </c:pt>
                <c:pt idx="3">
                  <c:v>4623203.0910131652</c:v>
                </c:pt>
                <c:pt idx="4">
                  <c:v>4593300.2480442664</c:v>
                </c:pt>
                <c:pt idx="5">
                  <c:v>4562375.2909750044</c:v>
                </c:pt>
                <c:pt idx="6">
                  <c:v>4553725.701202061</c:v>
                </c:pt>
                <c:pt idx="7">
                  <c:v>4536379.8034726195</c:v>
                </c:pt>
                <c:pt idx="8">
                  <c:v>4525963.0509444773</c:v>
                </c:pt>
                <c:pt idx="9">
                  <c:v>4511287.6741079949</c:v>
                </c:pt>
                <c:pt idx="10">
                  <c:v>4628438.8768212022</c:v>
                </c:pt>
                <c:pt idx="11">
                  <c:v>4588884.6673883721</c:v>
                </c:pt>
                <c:pt idx="12">
                  <c:v>4549668.4845613791</c:v>
                </c:pt>
                <c:pt idx="13">
                  <c:v>4510787.4395961957</c:v>
                </c:pt>
                <c:pt idx="14">
                  <c:v>4472238.6684357328</c:v>
                </c:pt>
                <c:pt idx="15">
                  <c:v>4434019.3314988697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69-422B-9992-AC021EB1D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5375"/>
        <c:axId val="358408095"/>
      </c:lineChart>
      <c:catAx>
        <c:axId val="35842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08095"/>
        <c:crosses val="autoZero"/>
        <c:auto val="1"/>
        <c:lblAlgn val="ctr"/>
        <c:lblOffset val="100"/>
        <c:noMultiLvlLbl val="0"/>
      </c:catAx>
      <c:valAx>
        <c:axId val="35840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25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Veridian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strRef>
              <c:f>'Overall Load Summary'!$B$13</c:f>
              <c:strCache>
                <c:ptCount val="1"/>
                <c:pt idx="0">
                  <c:v>GS 50 - 2,999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Summary'!$C$13:$R$13</c:f>
              <c:numCache>
                <c:formatCode>#,##0</c:formatCode>
                <c:ptCount val="16"/>
                <c:pt idx="0">
                  <c:v>2342969.96</c:v>
                </c:pt>
                <c:pt idx="1">
                  <c:v>2295183.8399999994</c:v>
                </c:pt>
                <c:pt idx="2">
                  <c:v>2313760.27</c:v>
                </c:pt>
                <c:pt idx="3">
                  <c:v>2245850.48</c:v>
                </c:pt>
                <c:pt idx="4">
                  <c:v>2160161.04</c:v>
                </c:pt>
                <c:pt idx="5">
                  <c:v>2190090.0699999994</c:v>
                </c:pt>
                <c:pt idx="6">
                  <c:v>2248196.86</c:v>
                </c:pt>
                <c:pt idx="7">
                  <c:v>2217562.73</c:v>
                </c:pt>
                <c:pt idx="8">
                  <c:v>2202593.3899999997</c:v>
                </c:pt>
                <c:pt idx="9">
                  <c:v>2223580.19</c:v>
                </c:pt>
                <c:pt idx="10">
                  <c:v>2342346.9795161951</c:v>
                </c:pt>
                <c:pt idx="11">
                  <c:v>2472002.527679252</c:v>
                </c:pt>
                <c:pt idx="12">
                  <c:v>2506221.6534840767</c:v>
                </c:pt>
                <c:pt idx="13">
                  <c:v>2533597.230771916</c:v>
                </c:pt>
                <c:pt idx="14">
                  <c:v>2541360.3199104858</c:v>
                </c:pt>
                <c:pt idx="15">
                  <c:v>2567010.5102947801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7A-4A56-AE91-390335DA8827}"/>
            </c:ext>
          </c:extLst>
        </c:ser>
        <c:ser>
          <c:idx val="1"/>
          <c:order val="1"/>
          <c:tx>
            <c:strRef>
              <c:f>'Overall Load Summary'!$B$14</c:f>
              <c:strCache>
                <c:ptCount val="1"/>
                <c:pt idx="0">
                  <c:v>GS 3,000 - 4,999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Summary'!$C$14:$R$14</c:f>
              <c:numCache>
                <c:formatCode>#,##0</c:formatCode>
                <c:ptCount val="16"/>
                <c:pt idx="0">
                  <c:v>223616.35</c:v>
                </c:pt>
                <c:pt idx="1">
                  <c:v>200189.70000000004</c:v>
                </c:pt>
                <c:pt idx="2">
                  <c:v>189119.25000000003</c:v>
                </c:pt>
                <c:pt idx="3">
                  <c:v>195386.42</c:v>
                </c:pt>
                <c:pt idx="4">
                  <c:v>192683.53999999998</c:v>
                </c:pt>
                <c:pt idx="5">
                  <c:v>216388.10000000003</c:v>
                </c:pt>
                <c:pt idx="6">
                  <c:v>228646.87000000002</c:v>
                </c:pt>
                <c:pt idx="7">
                  <c:v>234048.35</c:v>
                </c:pt>
                <c:pt idx="8">
                  <c:v>215659.85000000003</c:v>
                </c:pt>
                <c:pt idx="9">
                  <c:v>219427.96000000002</c:v>
                </c:pt>
                <c:pt idx="10">
                  <c:v>273247.33853807417</c:v>
                </c:pt>
                <c:pt idx="11">
                  <c:v>351396.63829019741</c:v>
                </c:pt>
                <c:pt idx="12">
                  <c:v>411318.8956286746</c:v>
                </c:pt>
                <c:pt idx="13">
                  <c:v>449644.36124127265</c:v>
                </c:pt>
                <c:pt idx="14">
                  <c:v>463427.4227972962</c:v>
                </c:pt>
                <c:pt idx="15">
                  <c:v>482998.27296510391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7A-4A56-AE91-390335DA8827}"/>
            </c:ext>
          </c:extLst>
        </c:ser>
        <c:ser>
          <c:idx val="0"/>
          <c:order val="2"/>
          <c:tx>
            <c:strRef>
              <c:f>'Overall Load Summary'!$B$15</c:f>
              <c:strCache>
                <c:ptCount val="1"/>
                <c:pt idx="0">
                  <c:v>Large Use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Summary'!$C$15:$R$15</c:f>
              <c:numCache>
                <c:formatCode>#,##0</c:formatCode>
                <c:ptCount val="16"/>
                <c:pt idx="0">
                  <c:v>421758</c:v>
                </c:pt>
                <c:pt idx="1">
                  <c:v>382866</c:v>
                </c:pt>
                <c:pt idx="2">
                  <c:v>423038</c:v>
                </c:pt>
                <c:pt idx="3">
                  <c:v>433414</c:v>
                </c:pt>
                <c:pt idx="4">
                  <c:v>453257</c:v>
                </c:pt>
                <c:pt idx="5">
                  <c:v>481567</c:v>
                </c:pt>
                <c:pt idx="6">
                  <c:v>490452</c:v>
                </c:pt>
                <c:pt idx="7">
                  <c:v>518389.27999999997</c:v>
                </c:pt>
                <c:pt idx="8">
                  <c:v>532510.09</c:v>
                </c:pt>
                <c:pt idx="9">
                  <c:v>539128.64</c:v>
                </c:pt>
                <c:pt idx="10">
                  <c:v>582754.02625610516</c:v>
                </c:pt>
                <c:pt idx="11">
                  <c:v>699952.55015067162</c:v>
                </c:pt>
                <c:pt idx="12">
                  <c:v>838837.78883968422</c:v>
                </c:pt>
                <c:pt idx="13">
                  <c:v>921903.83334637014</c:v>
                </c:pt>
                <c:pt idx="14">
                  <c:v>941697.31207975489</c:v>
                </c:pt>
                <c:pt idx="15">
                  <c:v>956657.69739546173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7A-4A56-AE91-390335DA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5375"/>
        <c:axId val="358408095"/>
      </c:lineChart>
      <c:catAx>
        <c:axId val="35842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08095"/>
        <c:crosses val="autoZero"/>
        <c:auto val="1"/>
        <c:lblAlgn val="ctr"/>
        <c:lblOffset val="100"/>
        <c:noMultiLvlLbl val="0"/>
      </c:catAx>
      <c:valAx>
        <c:axId val="35840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25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Veridian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'Overall Load Summary'!$B$16</c:f>
              <c:strCache>
                <c:ptCount val="1"/>
                <c:pt idx="0">
                  <c:v>Street Light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Summary'!$C$16:$R$16</c:f>
              <c:numCache>
                <c:formatCode>#,##0</c:formatCode>
                <c:ptCount val="16"/>
                <c:pt idx="0">
                  <c:v>57564.81</c:v>
                </c:pt>
                <c:pt idx="1">
                  <c:v>54832.51</c:v>
                </c:pt>
                <c:pt idx="2">
                  <c:v>43114.93</c:v>
                </c:pt>
                <c:pt idx="3">
                  <c:v>36690.920000000006</c:v>
                </c:pt>
                <c:pt idx="4">
                  <c:v>31667.35</c:v>
                </c:pt>
                <c:pt idx="5">
                  <c:v>31122.25</c:v>
                </c:pt>
                <c:pt idx="6">
                  <c:v>31016.899999999998</c:v>
                </c:pt>
                <c:pt idx="7">
                  <c:v>31561.47</c:v>
                </c:pt>
                <c:pt idx="8">
                  <c:v>32173.850000000002</c:v>
                </c:pt>
                <c:pt idx="9">
                  <c:v>32450.92</c:v>
                </c:pt>
                <c:pt idx="10">
                  <c:v>32867.111912563763</c:v>
                </c:pt>
                <c:pt idx="11">
                  <c:v>33229.794206584047</c:v>
                </c:pt>
                <c:pt idx="12">
                  <c:v>33596.478630354744</c:v>
                </c:pt>
                <c:pt idx="13">
                  <c:v>33967.209346612253</c:v>
                </c:pt>
                <c:pt idx="14">
                  <c:v>34342.031005420286</c:v>
                </c:pt>
                <c:pt idx="15">
                  <c:v>34720.988749547483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AF-467E-8B1E-7F840F80038C}"/>
            </c:ext>
          </c:extLst>
        </c:ser>
        <c:ser>
          <c:idx val="3"/>
          <c:order val="1"/>
          <c:tx>
            <c:strRef>
              <c:f>'Overall Load Summary'!$B$17</c:f>
              <c:strCache>
                <c:ptCount val="1"/>
                <c:pt idx="0">
                  <c:v>Sentinel Light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Summary'!$C$17:$R$17</c:f>
              <c:numCache>
                <c:formatCode>#,##0</c:formatCode>
                <c:ptCount val="16"/>
                <c:pt idx="0">
                  <c:v>1014</c:v>
                </c:pt>
                <c:pt idx="1">
                  <c:v>967.00000000000011</c:v>
                </c:pt>
                <c:pt idx="2">
                  <c:v>720</c:v>
                </c:pt>
                <c:pt idx="3">
                  <c:v>629</c:v>
                </c:pt>
                <c:pt idx="4">
                  <c:v>642</c:v>
                </c:pt>
                <c:pt idx="5">
                  <c:v>632</c:v>
                </c:pt>
                <c:pt idx="6">
                  <c:v>601</c:v>
                </c:pt>
                <c:pt idx="7">
                  <c:v>608</c:v>
                </c:pt>
                <c:pt idx="8">
                  <c:v>602</c:v>
                </c:pt>
                <c:pt idx="9">
                  <c:v>592.1240377300727</c:v>
                </c:pt>
                <c:pt idx="10">
                  <c:v>580.53909724113964</c:v>
                </c:pt>
                <c:pt idx="11">
                  <c:v>569.18081677203395</c:v>
                </c:pt>
                <c:pt idx="12">
                  <c:v>558.04476170657131</c:v>
                </c:pt>
                <c:pt idx="13">
                  <c:v>547.12658419208481</c:v>
                </c:pt>
                <c:pt idx="14">
                  <c:v>536.42202144189309</c:v>
                </c:pt>
                <c:pt idx="15">
                  <c:v>525.92689407097839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AF-467E-8B1E-7F840F800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5375"/>
        <c:axId val="358408095"/>
      </c:lineChart>
      <c:catAx>
        <c:axId val="35842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08095"/>
        <c:crosses val="autoZero"/>
        <c:auto val="1"/>
        <c:lblAlgn val="ctr"/>
        <c:lblOffset val="100"/>
        <c:noMultiLvlLbl val="0"/>
      </c:catAx>
      <c:valAx>
        <c:axId val="35840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25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Whitby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'Overall Load Summary'!$B$57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Summary'!$C$56:$R$56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Summary'!$C$57:$R$57</c:f>
              <c:numCache>
                <c:formatCode>#,##0</c:formatCode>
                <c:ptCount val="16"/>
                <c:pt idx="0">
                  <c:v>354262497.03685707</c:v>
                </c:pt>
                <c:pt idx="1">
                  <c:v>327526191.75668687</c:v>
                </c:pt>
                <c:pt idx="2">
                  <c:v>352677775.93598539</c:v>
                </c:pt>
                <c:pt idx="3">
                  <c:v>337849639.8890568</c:v>
                </c:pt>
                <c:pt idx="4">
                  <c:v>376808883.61974311</c:v>
                </c:pt>
                <c:pt idx="5">
                  <c:v>377870468.70321423</c:v>
                </c:pt>
                <c:pt idx="6">
                  <c:v>376493215.67660195</c:v>
                </c:pt>
                <c:pt idx="7">
                  <c:v>375458413.71048301</c:v>
                </c:pt>
                <c:pt idx="8">
                  <c:v>392915024.61658382</c:v>
                </c:pt>
                <c:pt idx="9">
                  <c:v>402680727.20947945</c:v>
                </c:pt>
                <c:pt idx="10">
                  <c:v>410282010.48988271</c:v>
                </c:pt>
                <c:pt idx="11">
                  <c:v>418598267.47919571</c:v>
                </c:pt>
                <c:pt idx="12">
                  <c:v>425314063.16511506</c:v>
                </c:pt>
                <c:pt idx="13">
                  <c:v>433471794.24630857</c:v>
                </c:pt>
                <c:pt idx="14">
                  <c:v>444651821.42582357</c:v>
                </c:pt>
                <c:pt idx="15">
                  <c:v>454523094.10994363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A2-485A-882C-AFF89561497B}"/>
            </c:ext>
          </c:extLst>
        </c:ser>
        <c:ser>
          <c:idx val="1"/>
          <c:order val="1"/>
          <c:tx>
            <c:strRef>
              <c:f>'Overall Load Summary'!$B$58</c:f>
              <c:strCache>
                <c:ptCount val="1"/>
                <c:pt idx="0">
                  <c:v>GS&lt;50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Summary'!$C$56:$R$56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Summary'!$C$58:$R$58</c:f>
              <c:numCache>
                <c:formatCode>#,##0</c:formatCode>
                <c:ptCount val="16"/>
                <c:pt idx="0">
                  <c:v>85344572.942318693</c:v>
                </c:pt>
                <c:pt idx="1">
                  <c:v>83249374.995054513</c:v>
                </c:pt>
                <c:pt idx="2">
                  <c:v>86231210.620193273</c:v>
                </c:pt>
                <c:pt idx="3">
                  <c:v>85349702.348775536</c:v>
                </c:pt>
                <c:pt idx="4">
                  <c:v>78127840.869743645</c:v>
                </c:pt>
                <c:pt idx="5">
                  <c:v>78970544.989649892</c:v>
                </c:pt>
                <c:pt idx="6">
                  <c:v>83688802.82709007</c:v>
                </c:pt>
                <c:pt idx="7">
                  <c:v>84916933.924258634</c:v>
                </c:pt>
                <c:pt idx="8">
                  <c:v>84569272.920165718</c:v>
                </c:pt>
                <c:pt idx="9">
                  <c:v>84094466.362244099</c:v>
                </c:pt>
                <c:pt idx="10">
                  <c:v>94088091.961184472</c:v>
                </c:pt>
                <c:pt idx="11">
                  <c:v>94275360.494321525</c:v>
                </c:pt>
                <c:pt idx="12">
                  <c:v>94157258.272942349</c:v>
                </c:pt>
                <c:pt idx="13">
                  <c:v>94430624.470101967</c:v>
                </c:pt>
                <c:pt idx="14">
                  <c:v>94860770.189572483</c:v>
                </c:pt>
                <c:pt idx="15">
                  <c:v>95460275.476824641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A2-485A-882C-AFF895614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279455"/>
        <c:axId val="280255935"/>
      </c:lineChart>
      <c:catAx>
        <c:axId val="280279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255935"/>
        <c:crosses val="autoZero"/>
        <c:auto val="1"/>
        <c:lblAlgn val="ctr"/>
        <c:lblOffset val="100"/>
        <c:noMultiLvlLbl val="0"/>
      </c:catAx>
      <c:valAx>
        <c:axId val="28025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279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Whitby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'Overall Load Summary'!$B$59</c:f>
              <c:strCache>
                <c:ptCount val="1"/>
                <c:pt idx="0">
                  <c:v>GS 50 - 2,999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Summary'!$C$56:$R$56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Summary'!$C$59:$R$59</c:f>
              <c:numCache>
                <c:formatCode>#,##0</c:formatCode>
                <c:ptCount val="16"/>
                <c:pt idx="0">
                  <c:v>344664289.79645747</c:v>
                </c:pt>
                <c:pt idx="1">
                  <c:v>329917316.99549681</c:v>
                </c:pt>
                <c:pt idx="2">
                  <c:v>336878004.7024917</c:v>
                </c:pt>
                <c:pt idx="3">
                  <c:v>326553718.48934257</c:v>
                </c:pt>
                <c:pt idx="4">
                  <c:v>310262827.01891321</c:v>
                </c:pt>
                <c:pt idx="5">
                  <c:v>304899663.70699489</c:v>
                </c:pt>
                <c:pt idx="6">
                  <c:v>314844960.08646047</c:v>
                </c:pt>
                <c:pt idx="7">
                  <c:v>315729102.65025514</c:v>
                </c:pt>
                <c:pt idx="8">
                  <c:v>323457018.24557191</c:v>
                </c:pt>
                <c:pt idx="9">
                  <c:v>341652807.60852599</c:v>
                </c:pt>
                <c:pt idx="10">
                  <c:v>334448655.18037844</c:v>
                </c:pt>
                <c:pt idx="11">
                  <c:v>361434784.86717868</c:v>
                </c:pt>
                <c:pt idx="12">
                  <c:v>371355045.11668926</c:v>
                </c:pt>
                <c:pt idx="13">
                  <c:v>377410505.88119364</c:v>
                </c:pt>
                <c:pt idx="14">
                  <c:v>380797767.86066872</c:v>
                </c:pt>
                <c:pt idx="15">
                  <c:v>382958311.97750133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B-4BE7-94BF-CB79368FC031}"/>
            </c:ext>
          </c:extLst>
        </c:ser>
        <c:ser>
          <c:idx val="3"/>
          <c:order val="1"/>
          <c:tx>
            <c:strRef>
              <c:f>'Overall Load Summary'!$B$60</c:f>
              <c:strCache>
                <c:ptCount val="1"/>
                <c:pt idx="0">
                  <c:v>GS 3,000 - 4,999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Summary'!$C$56:$R$56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Summary'!$C$60:$R$60</c:f>
              <c:numCache>
                <c:formatCode>#,##0</c:formatCode>
                <c:ptCount val="16"/>
                <c:pt idx="0">
                  <c:v>60391954.021215044</c:v>
                </c:pt>
                <c:pt idx="1">
                  <c:v>58961813.114754111</c:v>
                </c:pt>
                <c:pt idx="2">
                  <c:v>69618715.207328841</c:v>
                </c:pt>
                <c:pt idx="3">
                  <c:v>76973824.001928642</c:v>
                </c:pt>
                <c:pt idx="4">
                  <c:v>82322250.183220834</c:v>
                </c:pt>
                <c:pt idx="5">
                  <c:v>85453559.662487954</c:v>
                </c:pt>
                <c:pt idx="6">
                  <c:v>85515948.081002906</c:v>
                </c:pt>
                <c:pt idx="7">
                  <c:v>82703199.884281576</c:v>
                </c:pt>
                <c:pt idx="8">
                  <c:v>79491989.566055939</c:v>
                </c:pt>
                <c:pt idx="9">
                  <c:v>79867037.608023137</c:v>
                </c:pt>
                <c:pt idx="10">
                  <c:v>90697818.660759509</c:v>
                </c:pt>
                <c:pt idx="11">
                  <c:v>105902872.43982464</c:v>
                </c:pt>
                <c:pt idx="12">
                  <c:v>111476058.76299128</c:v>
                </c:pt>
                <c:pt idx="13">
                  <c:v>115552503.06992596</c:v>
                </c:pt>
                <c:pt idx="14">
                  <c:v>121397214.6273585</c:v>
                </c:pt>
                <c:pt idx="15">
                  <c:v>126258546.28495313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AB-4BE7-94BF-CB79368FC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279455"/>
        <c:axId val="280255935"/>
      </c:lineChart>
      <c:catAx>
        <c:axId val="280279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255935"/>
        <c:crosses val="autoZero"/>
        <c:auto val="1"/>
        <c:lblAlgn val="ctr"/>
        <c:lblOffset val="100"/>
        <c:noMultiLvlLbl val="0"/>
      </c:catAx>
      <c:valAx>
        <c:axId val="28025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279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Whitby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'Overall Load Summary'!$B$61</c:f>
              <c:strCache>
                <c:ptCount val="1"/>
                <c:pt idx="0">
                  <c:v>Street Light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Summary'!$C$56:$R$56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Summary'!$C$61:$R$61</c:f>
              <c:numCache>
                <c:formatCode>#,##0</c:formatCode>
                <c:ptCount val="16"/>
                <c:pt idx="0">
                  <c:v>6040411.8327912744</c:v>
                </c:pt>
                <c:pt idx="1">
                  <c:v>4772411.8997512907</c:v>
                </c:pt>
                <c:pt idx="2">
                  <c:v>3647423.9429883291</c:v>
                </c:pt>
                <c:pt idx="3">
                  <c:v>3343338.8655060264</c:v>
                </c:pt>
                <c:pt idx="4">
                  <c:v>3228914.1476946622</c:v>
                </c:pt>
                <c:pt idx="5">
                  <c:v>3113190.396020662</c:v>
                </c:pt>
                <c:pt idx="6">
                  <c:v>3428741.8882724312</c:v>
                </c:pt>
                <c:pt idx="7">
                  <c:v>3509109.9961737129</c:v>
                </c:pt>
                <c:pt idx="8">
                  <c:v>3547066.0034436584</c:v>
                </c:pt>
                <c:pt idx="9">
                  <c:v>3585601.999234742</c:v>
                </c:pt>
                <c:pt idx="10">
                  <c:v>3648157.6152521502</c:v>
                </c:pt>
                <c:pt idx="11">
                  <c:v>3711804.5975439399</c:v>
                </c:pt>
                <c:pt idx="12">
                  <c:v>3776561.9864524594</c:v>
                </c:pt>
                <c:pt idx="13">
                  <c:v>3842449.1545042628</c:v>
                </c:pt>
                <c:pt idx="14">
                  <c:v>3909485.8122055032</c:v>
                </c:pt>
                <c:pt idx="15">
                  <c:v>3977692.0139384423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F7-42FC-9AD1-141CE8BD996E}"/>
            </c:ext>
          </c:extLst>
        </c:ser>
        <c:ser>
          <c:idx val="5"/>
          <c:order val="1"/>
          <c:tx>
            <c:strRef>
              <c:f>'Overall Load Summary'!$B$62</c:f>
              <c:strCache>
                <c:ptCount val="1"/>
                <c:pt idx="0">
                  <c:v>Sentinel Light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Summary'!$C$56:$R$56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Summary'!$C$62:$R$62</c:f>
              <c:numCache>
                <c:formatCode>#,##0</c:formatCode>
                <c:ptCount val="16"/>
                <c:pt idx="0">
                  <c:v>30332.130602026107</c:v>
                </c:pt>
                <c:pt idx="1">
                  <c:v>29013.342314981488</c:v>
                </c:pt>
                <c:pt idx="2">
                  <c:v>28683.645243220333</c:v>
                </c:pt>
                <c:pt idx="3">
                  <c:v>28353.948171459182</c:v>
                </c:pt>
                <c:pt idx="4">
                  <c:v>23738.189166803026</c:v>
                </c:pt>
                <c:pt idx="5">
                  <c:v>24367.361775396963</c:v>
                </c:pt>
                <c:pt idx="6">
                  <c:v>29649.448744324083</c:v>
                </c:pt>
                <c:pt idx="7">
                  <c:v>29841.878706715124</c:v>
                </c:pt>
                <c:pt idx="8">
                  <c:v>6038.9707289075932</c:v>
                </c:pt>
                <c:pt idx="9">
                  <c:v>6022.4698679931107</c:v>
                </c:pt>
                <c:pt idx="10">
                  <c:v>6110.7650786007734</c:v>
                </c:pt>
                <c:pt idx="11">
                  <c:v>6200.3547820638823</c:v>
                </c:pt>
                <c:pt idx="12">
                  <c:v>6291.2579568948759</c:v>
                </c:pt>
                <c:pt idx="13">
                  <c:v>6383.4938598494691</c:v>
                </c:pt>
                <c:pt idx="14">
                  <c:v>6477.0820300059695</c:v>
                </c:pt>
                <c:pt idx="15">
                  <c:v>6572.042292904398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F7-42FC-9AD1-141CE8BD996E}"/>
            </c:ext>
          </c:extLst>
        </c:ser>
        <c:ser>
          <c:idx val="6"/>
          <c:order val="2"/>
          <c:tx>
            <c:strRef>
              <c:f>'Overall Load Summary'!$B$63</c:f>
              <c:strCache>
                <c:ptCount val="1"/>
                <c:pt idx="0">
                  <c:v>USL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Summary'!$C$56:$R$56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Summary'!$C$63:$R$63</c:f>
              <c:numCache>
                <c:formatCode>#,##0</c:formatCode>
                <c:ptCount val="16"/>
                <c:pt idx="0">
                  <c:v>572545.95370193222</c:v>
                </c:pt>
                <c:pt idx="1">
                  <c:v>571359.93877941452</c:v>
                </c:pt>
                <c:pt idx="2">
                  <c:v>578219.02621006314</c:v>
                </c:pt>
                <c:pt idx="3">
                  <c:v>571919.91582169512</c:v>
                </c:pt>
                <c:pt idx="4">
                  <c:v>1772122.9864166826</c:v>
                </c:pt>
                <c:pt idx="5">
                  <c:v>1884136.9236655824</c:v>
                </c:pt>
                <c:pt idx="6">
                  <c:v>1871392.8257126459</c:v>
                </c:pt>
                <c:pt idx="7">
                  <c:v>1876376.7744404057</c:v>
                </c:pt>
                <c:pt idx="8">
                  <c:v>1876673.7325425674</c:v>
                </c:pt>
                <c:pt idx="9">
                  <c:v>1871192.7396211973</c:v>
                </c:pt>
                <c:pt idx="10">
                  <c:v>1881015.2190175098</c:v>
                </c:pt>
                <c:pt idx="11">
                  <c:v>1890889.2596984764</c:v>
                </c:pt>
                <c:pt idx="12">
                  <c:v>1900815.1323255028</c:v>
                </c:pt>
                <c:pt idx="13">
                  <c:v>1910793.1089807807</c:v>
                </c:pt>
                <c:pt idx="14">
                  <c:v>1920823.4631747473</c:v>
                </c:pt>
                <c:pt idx="15">
                  <c:v>1930906.4698535819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F7-42FC-9AD1-141CE8BD9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279455"/>
        <c:axId val="280255935"/>
      </c:lineChart>
      <c:catAx>
        <c:axId val="280279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255935"/>
        <c:crosses val="autoZero"/>
        <c:auto val="1"/>
        <c:lblAlgn val="ctr"/>
        <c:lblOffset val="100"/>
        <c:noMultiLvlLbl val="0"/>
      </c:catAx>
      <c:valAx>
        <c:axId val="28025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279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Weather!$AA$1</c:f>
              <c:strCache>
                <c:ptCount val="1"/>
                <c:pt idx="0">
                  <c:v> WRZ_GS50to2999kWh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Weather!$Q$14:$Q$133</c:f>
              <c:numCache>
                <c:formatCode>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Weather!$AA$14:$AA$133</c:f>
              <c:numCache>
                <c:formatCode>_-* #,##0_-;\-* #,##0_-;_-* "-"??_-;_-@_-</c:formatCode>
                <c:ptCount val="120"/>
                <c:pt idx="12">
                  <c:v>30479657.856499549</c:v>
                </c:pt>
                <c:pt idx="13">
                  <c:v>29860209.647553287</c:v>
                </c:pt>
                <c:pt idx="14">
                  <c:v>28965707.460822575</c:v>
                </c:pt>
                <c:pt idx="15">
                  <c:v>27734037.547883518</c:v>
                </c:pt>
                <c:pt idx="16">
                  <c:v>27479675.090963673</c:v>
                </c:pt>
                <c:pt idx="17">
                  <c:v>28479494.513359349</c:v>
                </c:pt>
                <c:pt idx="18">
                  <c:v>29062275.881116781</c:v>
                </c:pt>
                <c:pt idx="19">
                  <c:v>31049623.776643649</c:v>
                </c:pt>
                <c:pt idx="20">
                  <c:v>29046642.300810564</c:v>
                </c:pt>
                <c:pt idx="21">
                  <c:v>27914943.481236864</c:v>
                </c:pt>
                <c:pt idx="22">
                  <c:v>27090703.668567996</c:v>
                </c:pt>
                <c:pt idx="23">
                  <c:v>27501318.570999697</c:v>
                </c:pt>
                <c:pt idx="24">
                  <c:v>29289183.327529266</c:v>
                </c:pt>
                <c:pt idx="25">
                  <c:v>26667171.679375559</c:v>
                </c:pt>
                <c:pt idx="26">
                  <c:v>27829498.235965174</c:v>
                </c:pt>
                <c:pt idx="27">
                  <c:v>26261545.779645748</c:v>
                </c:pt>
                <c:pt idx="28">
                  <c:v>26113958.215550885</c:v>
                </c:pt>
                <c:pt idx="29">
                  <c:v>27520202.202341639</c:v>
                </c:pt>
                <c:pt idx="30">
                  <c:v>26946433.969378561</c:v>
                </c:pt>
                <c:pt idx="31">
                  <c:v>27848042.528970275</c:v>
                </c:pt>
                <c:pt idx="32">
                  <c:v>28438429.156409487</c:v>
                </c:pt>
                <c:pt idx="33">
                  <c:v>26419075.977184027</c:v>
                </c:pt>
                <c:pt idx="34">
                  <c:v>28029100.623236265</c:v>
                </c:pt>
                <c:pt idx="35">
                  <c:v>28554675.299909934</c:v>
                </c:pt>
                <c:pt idx="36">
                  <c:v>31903706.716301411</c:v>
                </c:pt>
                <c:pt idx="37">
                  <c:v>27515243.364755329</c:v>
                </c:pt>
                <c:pt idx="38">
                  <c:v>27734501.7544281</c:v>
                </c:pt>
                <c:pt idx="39">
                  <c:v>26606366.799159411</c:v>
                </c:pt>
                <c:pt idx="40">
                  <c:v>26507399.233863704</c:v>
                </c:pt>
                <c:pt idx="41">
                  <c:v>27090917.965776045</c:v>
                </c:pt>
                <c:pt idx="42">
                  <c:v>28570245.456619631</c:v>
                </c:pt>
                <c:pt idx="43">
                  <c:v>29842141.348543979</c:v>
                </c:pt>
                <c:pt idx="44">
                  <c:v>29454586.456919841</c:v>
                </c:pt>
                <c:pt idx="45">
                  <c:v>27103451.273491442</c:v>
                </c:pt>
                <c:pt idx="46">
                  <c:v>27096579.650555387</c:v>
                </c:pt>
                <c:pt idx="47">
                  <c:v>27452864.682077449</c:v>
                </c:pt>
                <c:pt idx="48">
                  <c:v>29265287.752626836</c:v>
                </c:pt>
                <c:pt idx="49">
                  <c:v>28564722.627439205</c:v>
                </c:pt>
                <c:pt idx="50">
                  <c:v>27786798.093065143</c:v>
                </c:pt>
                <c:pt idx="51">
                  <c:v>26396250.985289704</c:v>
                </c:pt>
                <c:pt idx="52">
                  <c:v>25305876.241368957</c:v>
                </c:pt>
                <c:pt idx="53">
                  <c:v>25747854.736715697</c:v>
                </c:pt>
                <c:pt idx="54">
                  <c:v>28699950.102671865</c:v>
                </c:pt>
                <c:pt idx="55">
                  <c:v>29054092.267787453</c:v>
                </c:pt>
                <c:pt idx="56">
                  <c:v>26398557.579105373</c:v>
                </c:pt>
                <c:pt idx="57">
                  <c:v>25524089.035124585</c:v>
                </c:pt>
                <c:pt idx="58">
                  <c:v>26487151.015310716</c:v>
                </c:pt>
                <c:pt idx="59">
                  <c:v>27323088.052836984</c:v>
                </c:pt>
                <c:pt idx="60">
                  <c:v>28961716.097268086</c:v>
                </c:pt>
                <c:pt idx="61">
                  <c:v>26971126.354848392</c:v>
                </c:pt>
                <c:pt idx="62">
                  <c:v>25953277.338937253</c:v>
                </c:pt>
                <c:pt idx="63">
                  <c:v>23217912.007205043</c:v>
                </c:pt>
                <c:pt idx="64">
                  <c:v>22580547.775442809</c:v>
                </c:pt>
                <c:pt idx="65">
                  <c:v>27085779.65535875</c:v>
                </c:pt>
                <c:pt idx="66">
                  <c:v>27703464.357850492</c:v>
                </c:pt>
                <c:pt idx="67">
                  <c:v>26763819.278294802</c:v>
                </c:pt>
                <c:pt idx="68">
                  <c:v>24404719.995196633</c:v>
                </c:pt>
                <c:pt idx="69">
                  <c:v>24332698.610627439</c:v>
                </c:pt>
                <c:pt idx="70">
                  <c:v>24729733.139597718</c:v>
                </c:pt>
                <c:pt idx="71">
                  <c:v>27558032.408285797</c:v>
                </c:pt>
                <c:pt idx="72">
                  <c:v>27010629.389372561</c:v>
                </c:pt>
                <c:pt idx="73">
                  <c:v>25347446.258781146</c:v>
                </c:pt>
                <c:pt idx="74">
                  <c:v>25992829.377364151</c:v>
                </c:pt>
                <c:pt idx="75">
                  <c:v>22595018.202341639</c:v>
                </c:pt>
                <c:pt idx="76">
                  <c:v>22705006.727108978</c:v>
                </c:pt>
                <c:pt idx="77">
                  <c:v>25166298.08225758</c:v>
                </c:pt>
                <c:pt idx="78">
                  <c:v>26143882.951666165</c:v>
                </c:pt>
                <c:pt idx="79">
                  <c:v>28376901.043530468</c:v>
                </c:pt>
                <c:pt idx="80">
                  <c:v>24581678.573401377</c:v>
                </c:pt>
                <c:pt idx="81">
                  <c:v>24714568.377063941</c:v>
                </c:pt>
                <c:pt idx="82">
                  <c:v>25364482.305613928</c:v>
                </c:pt>
                <c:pt idx="83">
                  <c:v>26900922.418492943</c:v>
                </c:pt>
                <c:pt idx="84">
                  <c:v>28313425.128790151</c:v>
                </c:pt>
                <c:pt idx="85">
                  <c:v>25966260.731311917</c:v>
                </c:pt>
                <c:pt idx="86">
                  <c:v>27518785.162413687</c:v>
                </c:pt>
                <c:pt idx="87">
                  <c:v>24471131.08135695</c:v>
                </c:pt>
                <c:pt idx="88">
                  <c:v>24537272.891023714</c:v>
                </c:pt>
                <c:pt idx="89">
                  <c:v>25125409.834884416</c:v>
                </c:pt>
                <c:pt idx="90">
                  <c:v>27422479.553287297</c:v>
                </c:pt>
                <c:pt idx="91">
                  <c:v>28778089.731612127</c:v>
                </c:pt>
                <c:pt idx="92">
                  <c:v>25416625.676373459</c:v>
                </c:pt>
                <c:pt idx="93">
                  <c:v>24517100.431101769</c:v>
                </c:pt>
                <c:pt idx="94">
                  <c:v>25513740.267787453</c:v>
                </c:pt>
                <c:pt idx="95">
                  <c:v>27264639.596517563</c:v>
                </c:pt>
                <c:pt idx="96">
                  <c:v>27963079.147403181</c:v>
                </c:pt>
                <c:pt idx="97">
                  <c:v>26134336.201741219</c:v>
                </c:pt>
                <c:pt idx="98">
                  <c:v>27477208.670069046</c:v>
                </c:pt>
                <c:pt idx="99">
                  <c:v>23868061.588712096</c:v>
                </c:pt>
                <c:pt idx="100">
                  <c:v>24536432.062443707</c:v>
                </c:pt>
                <c:pt idx="101">
                  <c:v>25854813.752026416</c:v>
                </c:pt>
                <c:pt idx="102">
                  <c:v>27782777.976583607</c:v>
                </c:pt>
                <c:pt idx="103">
                  <c:v>27451208.886220351</c:v>
                </c:pt>
                <c:pt idx="104">
                  <c:v>26115023.370759532</c:v>
                </c:pt>
                <c:pt idx="105">
                  <c:v>25471471.620534372</c:v>
                </c:pt>
                <c:pt idx="106">
                  <c:v>26195991.238667063</c:v>
                </c:pt>
                <c:pt idx="107">
                  <c:v>26878698.135094564</c:v>
                </c:pt>
                <c:pt idx="108">
                  <c:v>29046052.082858</c:v>
                </c:pt>
                <c:pt idx="109">
                  <c:v>25996037.072350644</c:v>
                </c:pt>
                <c:pt idx="110">
                  <c:v>26327936.115280695</c:v>
                </c:pt>
                <c:pt idx="111">
                  <c:v>24566014.049834881</c:v>
                </c:pt>
                <c:pt idx="112">
                  <c:v>25232676.399879914</c:v>
                </c:pt>
                <c:pt idx="113">
                  <c:v>26291720.915040527</c:v>
                </c:pt>
                <c:pt idx="114">
                  <c:v>29017273.842089459</c:v>
                </c:pt>
                <c:pt idx="115">
                  <c:v>28724099.688982286</c:v>
                </c:pt>
                <c:pt idx="116">
                  <c:v>26766335.49084359</c:v>
                </c:pt>
                <c:pt idx="117">
                  <c:v>26205011.962773941</c:v>
                </c:pt>
                <c:pt idx="118">
                  <c:v>26286107.283098169</c:v>
                </c:pt>
                <c:pt idx="119">
                  <c:v>28997753.342539776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8D-4544-AF12-8D76310F8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582192"/>
        <c:axId val="523582672"/>
      </c:scatterChart>
      <c:valAx>
        <c:axId val="5235821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672"/>
        <c:crosses val="autoZero"/>
        <c:crossBetween val="midCat"/>
      </c:valAx>
      <c:valAx>
        <c:axId val="52358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Whitby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'Overall Load Summary'!$B$65</c:f>
              <c:strCache>
                <c:ptCount val="1"/>
                <c:pt idx="0">
                  <c:v>GS 50 - 2,999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Summary'!$C$56:$R$56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Summary'!$C$65:$R$65</c:f>
              <c:numCache>
                <c:formatCode>#,##0</c:formatCode>
                <c:ptCount val="16"/>
                <c:pt idx="0">
                  <c:v>847805.77999999991</c:v>
                </c:pt>
                <c:pt idx="1">
                  <c:v>816193.45000000007</c:v>
                </c:pt>
                <c:pt idx="2">
                  <c:v>835852.88</c:v>
                </c:pt>
                <c:pt idx="3">
                  <c:v>811487.09999999986</c:v>
                </c:pt>
                <c:pt idx="4">
                  <c:v>783041.75999999989</c:v>
                </c:pt>
                <c:pt idx="5">
                  <c:v>760128.48</c:v>
                </c:pt>
                <c:pt idx="6">
                  <c:v>795164.42999999993</c:v>
                </c:pt>
                <c:pt idx="7">
                  <c:v>773424.36</c:v>
                </c:pt>
                <c:pt idx="8">
                  <c:v>765937.02</c:v>
                </c:pt>
                <c:pt idx="9">
                  <c:v>796927.05999999994</c:v>
                </c:pt>
                <c:pt idx="10">
                  <c:v>829832.63785936066</c:v>
                </c:pt>
                <c:pt idx="11">
                  <c:v>901367.84630914801</c:v>
                </c:pt>
                <c:pt idx="12">
                  <c:v>932098.29309359228</c:v>
                </c:pt>
                <c:pt idx="13">
                  <c:v>954166.59314810473</c:v>
                </c:pt>
                <c:pt idx="14">
                  <c:v>970596.46008568769</c:v>
                </c:pt>
                <c:pt idx="15">
                  <c:v>983951.72570996638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0A-4293-ACA4-A0A43BE2945C}"/>
            </c:ext>
          </c:extLst>
        </c:ser>
        <c:ser>
          <c:idx val="1"/>
          <c:order val="1"/>
          <c:tx>
            <c:strRef>
              <c:f>'Overall Load Summary'!$B$66</c:f>
              <c:strCache>
                <c:ptCount val="1"/>
                <c:pt idx="0">
                  <c:v>GS 3,000 - 4,999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Summary'!$C$56:$R$56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Summary'!$C$66:$R$66</c:f>
              <c:numCache>
                <c:formatCode>#,##0</c:formatCode>
                <c:ptCount val="16"/>
                <c:pt idx="0">
                  <c:v>93876.75</c:v>
                </c:pt>
                <c:pt idx="1">
                  <c:v>90337.329999999987</c:v>
                </c:pt>
                <c:pt idx="2">
                  <c:v>114913.62000000001</c:v>
                </c:pt>
                <c:pt idx="3">
                  <c:v>147600.45000000001</c:v>
                </c:pt>
                <c:pt idx="4">
                  <c:v>146756.25999999998</c:v>
                </c:pt>
                <c:pt idx="5">
                  <c:v>151779.59</c:v>
                </c:pt>
                <c:pt idx="6">
                  <c:v>164454.65</c:v>
                </c:pt>
                <c:pt idx="7">
                  <c:v>160651.39000000001</c:v>
                </c:pt>
                <c:pt idx="8">
                  <c:v>160377.93</c:v>
                </c:pt>
                <c:pt idx="9">
                  <c:v>150248.58000000002</c:v>
                </c:pt>
                <c:pt idx="10">
                  <c:v>173949.9442774886</c:v>
                </c:pt>
                <c:pt idx="11">
                  <c:v>204371.25895406152</c:v>
                </c:pt>
                <c:pt idx="12">
                  <c:v>216633.83109030806</c:v>
                </c:pt>
                <c:pt idx="13">
                  <c:v>226247.92405476479</c:v>
                </c:pt>
                <c:pt idx="14">
                  <c:v>239629.99299442026</c:v>
                </c:pt>
                <c:pt idx="15">
                  <c:v>251238.96891495207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0A-4293-ACA4-A0A43BE29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279455"/>
        <c:axId val="280255935"/>
      </c:lineChart>
      <c:catAx>
        <c:axId val="280279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255935"/>
        <c:crosses val="autoZero"/>
        <c:auto val="1"/>
        <c:lblAlgn val="ctr"/>
        <c:lblOffset val="100"/>
        <c:noMultiLvlLbl val="0"/>
      </c:catAx>
      <c:valAx>
        <c:axId val="28025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279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Whitby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'Overall Load Summary'!$B$67</c:f>
              <c:strCache>
                <c:ptCount val="1"/>
                <c:pt idx="0">
                  <c:v>Street Light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Summary'!$C$56:$R$56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Summary'!$C$67:$R$67</c:f>
              <c:numCache>
                <c:formatCode>#,##0</c:formatCode>
                <c:ptCount val="16"/>
                <c:pt idx="0">
                  <c:v>16142.07</c:v>
                </c:pt>
                <c:pt idx="1">
                  <c:v>12797.349999999999</c:v>
                </c:pt>
                <c:pt idx="2">
                  <c:v>9791.36</c:v>
                </c:pt>
                <c:pt idx="3">
                  <c:v>8980.67</c:v>
                </c:pt>
                <c:pt idx="4">
                  <c:v>9314.0300000000025</c:v>
                </c:pt>
                <c:pt idx="5">
                  <c:v>9362</c:v>
                </c:pt>
                <c:pt idx="6">
                  <c:v>9581</c:v>
                </c:pt>
                <c:pt idx="7">
                  <c:v>9810</c:v>
                </c:pt>
                <c:pt idx="8">
                  <c:v>9886</c:v>
                </c:pt>
                <c:pt idx="9">
                  <c:v>10022</c:v>
                </c:pt>
                <c:pt idx="10">
                  <c:v>10137.611440111856</c:v>
                </c:pt>
                <c:pt idx="11">
                  <c:v>10314.47561207424</c:v>
                </c:pt>
                <c:pt idx="12">
                  <c:v>10494.425415746691</c:v>
                </c:pt>
                <c:pt idx="13">
                  <c:v>10677.514684095742</c:v>
                </c:pt>
                <c:pt idx="14">
                  <c:v>10863.798189275929</c:v>
                </c:pt>
                <c:pt idx="15">
                  <c:v>11053.331659015181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7-49D6-AADE-C3D5B27016B1}"/>
            </c:ext>
          </c:extLst>
        </c:ser>
        <c:ser>
          <c:idx val="3"/>
          <c:order val="1"/>
          <c:tx>
            <c:strRef>
              <c:f>'Overall Load Summary'!$B$68</c:f>
              <c:strCache>
                <c:ptCount val="1"/>
                <c:pt idx="0">
                  <c:v>Sentinel Light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Summary'!$C$56:$R$56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Summary'!$C$68:$R$68</c:f>
              <c:numCache>
                <c:formatCode>#,##0</c:formatCode>
                <c:ptCount val="16"/>
                <c:pt idx="0">
                  <c:v>92.000000000000014</c:v>
                </c:pt>
                <c:pt idx="1">
                  <c:v>87.999999999999986</c:v>
                </c:pt>
                <c:pt idx="2">
                  <c:v>87</c:v>
                </c:pt>
                <c:pt idx="3">
                  <c:v>86.000000000000014</c:v>
                </c:pt>
                <c:pt idx="4">
                  <c:v>72</c:v>
                </c:pt>
                <c:pt idx="5">
                  <c:v>71</c:v>
                </c:pt>
                <c:pt idx="6">
                  <c:v>95.000000000000014</c:v>
                </c:pt>
                <c:pt idx="7">
                  <c:v>92.000000000000014</c:v>
                </c:pt>
                <c:pt idx="8">
                  <c:v>83</c:v>
                </c:pt>
                <c:pt idx="9">
                  <c:v>82.773211112061517</c:v>
                </c:pt>
                <c:pt idx="10">
                  <c:v>83.986746134736094</c:v>
                </c:pt>
                <c:pt idx="11">
                  <c:v>85.218072750022259</c:v>
                </c:pt>
                <c:pt idx="12">
                  <c:v>86.467451799808998</c:v>
                </c:pt>
                <c:pt idx="13">
                  <c:v>87.735147950178657</c:v>
                </c:pt>
                <c:pt idx="14">
                  <c:v>89.021429747473391</c:v>
                </c:pt>
                <c:pt idx="15">
                  <c:v>90.326569675183435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7-49D6-AADE-C3D5B2701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279455"/>
        <c:axId val="280255935"/>
      </c:lineChart>
      <c:catAx>
        <c:axId val="280279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255935"/>
        <c:crosses val="autoZero"/>
        <c:auto val="1"/>
        <c:lblAlgn val="ctr"/>
        <c:lblOffset val="100"/>
        <c:noMultiLvlLbl val="0"/>
      </c:catAx>
      <c:valAx>
        <c:axId val="28025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279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Veridian Customers / Devices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'Overall Load Summary'!$B$19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Summary'!$C$19:$R$19</c:f>
              <c:numCache>
                <c:formatCode>#,##0</c:formatCode>
                <c:ptCount val="16"/>
                <c:pt idx="0">
                  <c:v>107447.625</c:v>
                </c:pt>
                <c:pt idx="1">
                  <c:v>108364.75</c:v>
                </c:pt>
                <c:pt idx="2">
                  <c:v>109469.75</c:v>
                </c:pt>
                <c:pt idx="3">
                  <c:v>110960.875</c:v>
                </c:pt>
                <c:pt idx="4">
                  <c:v>112218.375</c:v>
                </c:pt>
                <c:pt idx="5">
                  <c:v>113059.29166666664</c:v>
                </c:pt>
                <c:pt idx="6">
                  <c:v>114160.83333333336</c:v>
                </c:pt>
                <c:pt idx="7">
                  <c:v>115689.125</c:v>
                </c:pt>
                <c:pt idx="8">
                  <c:v>117456.375</c:v>
                </c:pt>
                <c:pt idx="9">
                  <c:v>118908.83333333337</c:v>
                </c:pt>
                <c:pt idx="10">
                  <c:v>120549.42139909492</c:v>
                </c:pt>
                <c:pt idx="11">
                  <c:v>122281.64122964442</c:v>
                </c:pt>
                <c:pt idx="12">
                  <c:v>124107.7225953329</c:v>
                </c:pt>
                <c:pt idx="13">
                  <c:v>126024.19465642334</c:v>
                </c:pt>
                <c:pt idx="14">
                  <c:v>128017.6351365939</c:v>
                </c:pt>
                <c:pt idx="15">
                  <c:v>129908.78108451176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67-40C7-8D79-194C6D7B559F}"/>
            </c:ext>
          </c:extLst>
        </c:ser>
        <c:ser>
          <c:idx val="2"/>
          <c:order val="1"/>
          <c:tx>
            <c:strRef>
              <c:f>'Overall Load Summary'!$B$21</c:f>
              <c:strCache>
                <c:ptCount val="1"/>
                <c:pt idx="0">
                  <c:v>GS&lt;50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Summary'!$C$21:$R$21</c:f>
              <c:numCache>
                <c:formatCode>#,##0</c:formatCode>
                <c:ptCount val="16"/>
                <c:pt idx="0">
                  <c:v>8953.4166666666697</c:v>
                </c:pt>
                <c:pt idx="1">
                  <c:v>9015.375</c:v>
                </c:pt>
                <c:pt idx="2">
                  <c:v>9089.625</c:v>
                </c:pt>
                <c:pt idx="3">
                  <c:v>9207.0416666666697</c:v>
                </c:pt>
                <c:pt idx="4">
                  <c:v>9277.75</c:v>
                </c:pt>
                <c:pt idx="5">
                  <c:v>9314.7083333333303</c:v>
                </c:pt>
                <c:pt idx="6">
                  <c:v>9413.2083333333303</c:v>
                </c:pt>
                <c:pt idx="7">
                  <c:v>9487.375</c:v>
                </c:pt>
                <c:pt idx="8">
                  <c:v>9501.875</c:v>
                </c:pt>
                <c:pt idx="9">
                  <c:v>9505.4583333333303</c:v>
                </c:pt>
                <c:pt idx="10">
                  <c:v>9568.8251056720273</c:v>
                </c:pt>
                <c:pt idx="11">
                  <c:v>9632.6494895360411</c:v>
                </c:pt>
                <c:pt idx="12">
                  <c:v>9696.8995841775704</c:v>
                </c:pt>
                <c:pt idx="13">
                  <c:v>9761.5782291017476</c:v>
                </c:pt>
                <c:pt idx="14">
                  <c:v>9826.6882827533191</c:v>
                </c:pt>
                <c:pt idx="15">
                  <c:v>9892.2326226429323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67-40C7-8D79-194C6D7B559F}"/>
            </c:ext>
          </c:extLst>
        </c:ser>
        <c:ser>
          <c:idx val="6"/>
          <c:order val="2"/>
          <c:tx>
            <c:strRef>
              <c:f>'Overall Load Summary'!$B$25</c:f>
              <c:strCache>
                <c:ptCount val="1"/>
                <c:pt idx="0">
                  <c:v>Street Light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Summary'!$C$25:$R$25</c:f>
              <c:numCache>
                <c:formatCode>#,##0</c:formatCode>
                <c:ptCount val="16"/>
                <c:pt idx="0">
                  <c:v>30030.75</c:v>
                </c:pt>
                <c:pt idx="1">
                  <c:v>30411.75</c:v>
                </c:pt>
                <c:pt idx="2">
                  <c:v>30897.625</c:v>
                </c:pt>
                <c:pt idx="3">
                  <c:v>31143.041666666657</c:v>
                </c:pt>
                <c:pt idx="4">
                  <c:v>31414.916666666657</c:v>
                </c:pt>
                <c:pt idx="5">
                  <c:v>31679.166666666657</c:v>
                </c:pt>
                <c:pt idx="6">
                  <c:v>31795.041666666657</c:v>
                </c:pt>
                <c:pt idx="7">
                  <c:v>32131.541666666657</c:v>
                </c:pt>
                <c:pt idx="8">
                  <c:v>32717.416666666661</c:v>
                </c:pt>
                <c:pt idx="9">
                  <c:v>33148.291666666679</c:v>
                </c:pt>
                <c:pt idx="10">
                  <c:v>33513.940476027485</c:v>
                </c:pt>
                <c:pt idx="11">
                  <c:v>33883.760399537663</c:v>
                </c:pt>
                <c:pt idx="12">
                  <c:v>34257.661215174587</c:v>
                </c:pt>
                <c:pt idx="13">
                  <c:v>34635.687954802408</c:v>
                </c:pt>
                <c:pt idx="14">
                  <c:v>35017.886147203273</c:v>
                </c:pt>
                <c:pt idx="15">
                  <c:v>35404.301823560694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67-40C7-8D79-194C6D7B5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2725168"/>
        <c:axId val="292749168"/>
      </c:lineChart>
      <c:catAx>
        <c:axId val="29272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49168"/>
        <c:crosses val="autoZero"/>
        <c:auto val="1"/>
        <c:lblAlgn val="ctr"/>
        <c:lblOffset val="100"/>
        <c:noMultiLvlLbl val="0"/>
      </c:catAx>
      <c:valAx>
        <c:axId val="29274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25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Whitby Customers / Devices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'Overall Load Summary'!$B$70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Summary'!$C$70:$R$70</c:f>
              <c:numCache>
                <c:formatCode>#,##0</c:formatCode>
                <c:ptCount val="16"/>
                <c:pt idx="0">
                  <c:v>39433.541666666679</c:v>
                </c:pt>
                <c:pt idx="1">
                  <c:v>39751.583333333321</c:v>
                </c:pt>
                <c:pt idx="2">
                  <c:v>40096.916666666679</c:v>
                </c:pt>
                <c:pt idx="3">
                  <c:v>40903.041666666679</c:v>
                </c:pt>
                <c:pt idx="4">
                  <c:v>41880.625</c:v>
                </c:pt>
                <c:pt idx="5">
                  <c:v>42897.875</c:v>
                </c:pt>
                <c:pt idx="6">
                  <c:v>44013.541666666686</c:v>
                </c:pt>
                <c:pt idx="7">
                  <c:v>44945.416666666686</c:v>
                </c:pt>
                <c:pt idx="8">
                  <c:v>45520.625</c:v>
                </c:pt>
                <c:pt idx="9">
                  <c:v>45869</c:v>
                </c:pt>
                <c:pt idx="10">
                  <c:v>46497.326764268808</c:v>
                </c:pt>
                <c:pt idx="11">
                  <c:v>47176.612779935756</c:v>
                </c:pt>
                <c:pt idx="12">
                  <c:v>47930.351446795765</c:v>
                </c:pt>
                <c:pt idx="13">
                  <c:v>48757.126914828092</c:v>
                </c:pt>
                <c:pt idx="14">
                  <c:v>49613.598476663967</c:v>
                </c:pt>
                <c:pt idx="15">
                  <c:v>50393.956163665607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CA-4096-B99D-B5605F9945BF}"/>
            </c:ext>
          </c:extLst>
        </c:ser>
        <c:ser>
          <c:idx val="1"/>
          <c:order val="1"/>
          <c:tx>
            <c:strRef>
              <c:f>'Overall Load Summary'!$B$71</c:f>
              <c:strCache>
                <c:ptCount val="1"/>
                <c:pt idx="0">
                  <c:v>GS&lt;50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Summary'!$C$71:$R$71</c:f>
              <c:numCache>
                <c:formatCode>#,##0</c:formatCode>
                <c:ptCount val="16"/>
                <c:pt idx="0">
                  <c:v>2201.2083333333326</c:v>
                </c:pt>
                <c:pt idx="1">
                  <c:v>2229.75</c:v>
                </c:pt>
                <c:pt idx="2">
                  <c:v>2246.6666666666674</c:v>
                </c:pt>
                <c:pt idx="3">
                  <c:v>2261.0416666666674</c:v>
                </c:pt>
                <c:pt idx="4">
                  <c:v>2284.3333333333326</c:v>
                </c:pt>
                <c:pt idx="5">
                  <c:v>2326.625</c:v>
                </c:pt>
                <c:pt idx="6">
                  <c:v>2383.5833333333326</c:v>
                </c:pt>
                <c:pt idx="7">
                  <c:v>2435.2916666666674</c:v>
                </c:pt>
                <c:pt idx="8">
                  <c:v>2464.75</c:v>
                </c:pt>
                <c:pt idx="9">
                  <c:v>2473</c:v>
                </c:pt>
                <c:pt idx="10">
                  <c:v>2505.1895921108166</c:v>
                </c:pt>
                <c:pt idx="11">
                  <c:v>2537.8076740421684</c:v>
                </c:pt>
                <c:pt idx="12">
                  <c:v>2570.8504500853869</c:v>
                </c:pt>
                <c:pt idx="13">
                  <c:v>2604.3234498448514</c:v>
                </c:pt>
                <c:pt idx="14">
                  <c:v>2638.2322749215205</c:v>
                </c:pt>
                <c:pt idx="15">
                  <c:v>2672.5825998503497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CA-4096-B99D-B5605F9945BF}"/>
            </c:ext>
          </c:extLst>
        </c:ser>
        <c:ser>
          <c:idx val="4"/>
          <c:order val="2"/>
          <c:tx>
            <c:strRef>
              <c:f>'Overall Load Summary'!$B$74</c:f>
              <c:strCache>
                <c:ptCount val="1"/>
                <c:pt idx="0">
                  <c:v>Street Light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Summary'!$C$74:$R$74</c:f>
              <c:numCache>
                <c:formatCode>#,##0</c:formatCode>
                <c:ptCount val="16"/>
                <c:pt idx="0">
                  <c:v>11857.375</c:v>
                </c:pt>
                <c:pt idx="1">
                  <c:v>11891</c:v>
                </c:pt>
                <c:pt idx="2">
                  <c:v>12053.666666666672</c:v>
                </c:pt>
                <c:pt idx="3">
                  <c:v>12408.416666666672</c:v>
                </c:pt>
                <c:pt idx="4">
                  <c:v>12707.791666666672</c:v>
                </c:pt>
                <c:pt idx="5">
                  <c:v>13023.791666666672</c:v>
                </c:pt>
                <c:pt idx="6">
                  <c:v>13342.91666666667</c:v>
                </c:pt>
                <c:pt idx="7">
                  <c:v>13555.45833333333</c:v>
                </c:pt>
                <c:pt idx="8">
                  <c:v>13708</c:v>
                </c:pt>
                <c:pt idx="9">
                  <c:v>13854.54166666667</c:v>
                </c:pt>
                <c:pt idx="10">
                  <c:v>11857.375</c:v>
                </c:pt>
                <c:pt idx="11">
                  <c:v>11891</c:v>
                </c:pt>
                <c:pt idx="12">
                  <c:v>12053.666666666672</c:v>
                </c:pt>
                <c:pt idx="13">
                  <c:v>12408.416666666672</c:v>
                </c:pt>
                <c:pt idx="14">
                  <c:v>12707.791666666672</c:v>
                </c:pt>
                <c:pt idx="15">
                  <c:v>13023.791666666672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CA-4096-B99D-B5605F994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2725168"/>
        <c:axId val="292749168"/>
      </c:lineChart>
      <c:catAx>
        <c:axId val="29272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49168"/>
        <c:crosses val="autoZero"/>
        <c:auto val="1"/>
        <c:lblAlgn val="ctr"/>
        <c:lblOffset val="100"/>
        <c:noMultiLvlLbl val="0"/>
      </c:catAx>
      <c:valAx>
        <c:axId val="29274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25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Veridian Customers / Devices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'Overall Load Summary'!$B$20</c:f>
              <c:strCache>
                <c:ptCount val="1"/>
                <c:pt idx="0">
                  <c:v>Residential Seasonal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Summary'!$C$20:$R$20</c:f>
              <c:numCache>
                <c:formatCode>#,##0</c:formatCode>
                <c:ptCount val="16"/>
                <c:pt idx="0">
                  <c:v>1585.75</c:v>
                </c:pt>
                <c:pt idx="1">
                  <c:v>1577.0416666666661</c:v>
                </c:pt>
                <c:pt idx="2">
                  <c:v>1570.9166666666661</c:v>
                </c:pt>
                <c:pt idx="3">
                  <c:v>1565.125</c:v>
                </c:pt>
                <c:pt idx="4">
                  <c:v>1561</c:v>
                </c:pt>
                <c:pt idx="5">
                  <c:v>1558.8333333333339</c:v>
                </c:pt>
                <c:pt idx="6">
                  <c:v>1559.1666666666661</c:v>
                </c:pt>
                <c:pt idx="7">
                  <c:v>1562.625</c:v>
                </c:pt>
                <c:pt idx="8">
                  <c:v>1561.8333333333339</c:v>
                </c:pt>
                <c:pt idx="9">
                  <c:v>1553.5</c:v>
                </c:pt>
                <c:pt idx="10">
                  <c:v>1549.9606514054349</c:v>
                </c:pt>
                <c:pt idx="11">
                  <c:v>1546.4261219890034</c:v>
                </c:pt>
                <c:pt idx="12">
                  <c:v>1542.8996527115078</c:v>
                </c:pt>
                <c:pt idx="13">
                  <c:v>1539.381225192612</c:v>
                </c:pt>
                <c:pt idx="14">
                  <c:v>1535.8708210938942</c:v>
                </c:pt>
                <c:pt idx="15">
                  <c:v>1532.3684221187507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66-4AC1-A017-50F15980F445}"/>
            </c:ext>
          </c:extLst>
        </c:ser>
        <c:ser>
          <c:idx val="3"/>
          <c:order val="1"/>
          <c:tx>
            <c:strRef>
              <c:f>'Overall Load Summary'!$B$22</c:f>
              <c:strCache>
                <c:ptCount val="1"/>
                <c:pt idx="0">
                  <c:v>GS 50 - 2,999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Summary'!$C$22:$R$22</c:f>
              <c:numCache>
                <c:formatCode>#,##0</c:formatCode>
                <c:ptCount val="16"/>
                <c:pt idx="0">
                  <c:v>1056.0416666666663</c:v>
                </c:pt>
                <c:pt idx="1">
                  <c:v>1068.3333333333337</c:v>
                </c:pt>
                <c:pt idx="2">
                  <c:v>1060.25</c:v>
                </c:pt>
                <c:pt idx="3">
                  <c:v>1029.0833333333337</c:v>
                </c:pt>
                <c:pt idx="4">
                  <c:v>1032</c:v>
                </c:pt>
                <c:pt idx="5">
                  <c:v>1052.2083333333337</c:v>
                </c:pt>
                <c:pt idx="6">
                  <c:v>1037.25</c:v>
                </c:pt>
                <c:pt idx="7">
                  <c:v>1030.4583333333335</c:v>
                </c:pt>
                <c:pt idx="8">
                  <c:v>1059.4166666666663</c:v>
                </c:pt>
                <c:pt idx="9">
                  <c:v>1088</c:v>
                </c:pt>
                <c:pt idx="10">
                  <c:v>1095.670111892214</c:v>
                </c:pt>
                <c:pt idx="11">
                  <c:v>1104.1380135023953</c:v>
                </c:pt>
                <c:pt idx="12">
                  <c:v>1109.4512668474492</c:v>
                </c:pt>
                <c:pt idx="13">
                  <c:v>1113.6182451390212</c:v>
                </c:pt>
                <c:pt idx="14">
                  <c:v>1117.3681550544138</c:v>
                </c:pt>
                <c:pt idx="15">
                  <c:v>1121.0385367370197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66-4AC1-A017-50F15980F445}"/>
            </c:ext>
          </c:extLst>
        </c:ser>
        <c:ser>
          <c:idx val="4"/>
          <c:order val="2"/>
          <c:tx>
            <c:strRef>
              <c:f>'Overall Load Summary'!$B$23</c:f>
              <c:strCache>
                <c:ptCount val="1"/>
                <c:pt idx="0">
                  <c:v>GS 3,000 - 4,999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Summary'!$C$23:$R$23</c:f>
              <c:numCache>
                <c:formatCode>#,##0</c:formatCode>
                <c:ptCount val="16"/>
                <c:pt idx="0">
                  <c:v>5</c:v>
                </c:pt>
                <c:pt idx="1">
                  <c:v>5</c:v>
                </c:pt>
                <c:pt idx="2">
                  <c:v>4.4583333333333348</c:v>
                </c:pt>
                <c:pt idx="3">
                  <c:v>4</c:v>
                </c:pt>
                <c:pt idx="4">
                  <c:v>4.5416666666666652</c:v>
                </c:pt>
                <c:pt idx="5">
                  <c:v>5.5416666666666643</c:v>
                </c:pt>
                <c:pt idx="6">
                  <c:v>5.4583333333333357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6.354166666666667</c:v>
                </c:pt>
                <c:pt idx="11">
                  <c:v>8.0958333333333332</c:v>
                </c:pt>
                <c:pt idx="12">
                  <c:v>8.9250000000000007</c:v>
                </c:pt>
                <c:pt idx="13">
                  <c:v>9.2541666666666682</c:v>
                </c:pt>
                <c:pt idx="14">
                  <c:v>9.300000000000006</c:v>
                </c:pt>
                <c:pt idx="15">
                  <c:v>9.300000000000006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66-4AC1-A017-50F15980F445}"/>
            </c:ext>
          </c:extLst>
        </c:ser>
        <c:ser>
          <c:idx val="5"/>
          <c:order val="3"/>
          <c:tx>
            <c:strRef>
              <c:f>'Overall Load Summary'!$B$24</c:f>
              <c:strCache>
                <c:ptCount val="1"/>
                <c:pt idx="0">
                  <c:v>Large Use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Summary'!$C$24:$R$24</c:f>
              <c:numCache>
                <c:formatCode>#,##0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3.5416666666666674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4.5416666666666652</c:v>
                </c:pt>
                <c:pt idx="8">
                  <c:v>5</c:v>
                </c:pt>
                <c:pt idx="9">
                  <c:v>5</c:v>
                </c:pt>
                <c:pt idx="10">
                  <c:v>5.203125</c:v>
                </c:pt>
                <c:pt idx="11">
                  <c:v>5.645833333333333</c:v>
                </c:pt>
                <c:pt idx="12">
                  <c:v>5.9427083333333321</c:v>
                </c:pt>
                <c:pt idx="13">
                  <c:v>5.9999999999999991</c:v>
                </c:pt>
                <c:pt idx="14">
                  <c:v>5.9999999999999991</c:v>
                </c:pt>
                <c:pt idx="15">
                  <c:v>5.9999999999999991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66-4AC1-A017-50F15980F445}"/>
            </c:ext>
          </c:extLst>
        </c:ser>
        <c:ser>
          <c:idx val="7"/>
          <c:order val="4"/>
          <c:tx>
            <c:strRef>
              <c:f>'Overall Load Summary'!$B$26</c:f>
              <c:strCache>
                <c:ptCount val="1"/>
                <c:pt idx="0">
                  <c:v>Sentinel Light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Summary'!$C$26:$R$26</c:f>
              <c:numCache>
                <c:formatCode>#,##0</c:formatCode>
                <c:ptCount val="16"/>
                <c:pt idx="0">
                  <c:v>439</c:v>
                </c:pt>
                <c:pt idx="1">
                  <c:v>439</c:v>
                </c:pt>
                <c:pt idx="2">
                  <c:v>439</c:v>
                </c:pt>
                <c:pt idx="3">
                  <c:v>342.04166666666652</c:v>
                </c:pt>
                <c:pt idx="4">
                  <c:v>255.125</c:v>
                </c:pt>
                <c:pt idx="5">
                  <c:v>248.83333333333326</c:v>
                </c:pt>
                <c:pt idx="6">
                  <c:v>245.91666666666674</c:v>
                </c:pt>
                <c:pt idx="7">
                  <c:v>242.83333333333326</c:v>
                </c:pt>
                <c:pt idx="8">
                  <c:v>238.29166666666674</c:v>
                </c:pt>
                <c:pt idx="9">
                  <c:v>231.125</c:v>
                </c:pt>
                <c:pt idx="10">
                  <c:v>226.61037880257982</c:v>
                </c:pt>
                <c:pt idx="11">
                  <c:v>222.17673384760306</c:v>
                </c:pt>
                <c:pt idx="12">
                  <c:v>217.82983340843643</c:v>
                </c:pt>
                <c:pt idx="13">
                  <c:v>213.56798032369252</c:v>
                </c:pt>
                <c:pt idx="14">
                  <c:v>209.38951063704306</c:v>
                </c:pt>
                <c:pt idx="15">
                  <c:v>205.29279294756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66-4AC1-A017-50F15980F445}"/>
            </c:ext>
          </c:extLst>
        </c:ser>
        <c:ser>
          <c:idx val="8"/>
          <c:order val="5"/>
          <c:tx>
            <c:strRef>
              <c:f>'Overall Load Summary'!$B$27</c:f>
              <c:strCache>
                <c:ptCount val="1"/>
                <c:pt idx="0">
                  <c:v>USL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Summary'!$C$27:$R$27</c:f>
              <c:numCache>
                <c:formatCode>#,##0</c:formatCode>
                <c:ptCount val="16"/>
                <c:pt idx="0">
                  <c:v>837.41666666666686</c:v>
                </c:pt>
                <c:pt idx="1">
                  <c:v>825.58333333333314</c:v>
                </c:pt>
                <c:pt idx="2">
                  <c:v>817.75</c:v>
                </c:pt>
                <c:pt idx="3">
                  <c:v>809.04166666666697</c:v>
                </c:pt>
                <c:pt idx="4">
                  <c:v>801.83333333333303</c:v>
                </c:pt>
                <c:pt idx="5">
                  <c:v>801.625</c:v>
                </c:pt>
                <c:pt idx="6">
                  <c:v>800.83333333333303</c:v>
                </c:pt>
                <c:pt idx="7">
                  <c:v>797.91666666666697</c:v>
                </c:pt>
                <c:pt idx="8">
                  <c:v>769.91666666666697</c:v>
                </c:pt>
                <c:pt idx="9">
                  <c:v>775.16666666666697</c:v>
                </c:pt>
                <c:pt idx="10">
                  <c:v>795.29655282409192</c:v>
                </c:pt>
                <c:pt idx="11">
                  <c:v>788.50800554610271</c:v>
                </c:pt>
                <c:pt idx="12">
                  <c:v>781.76948925132695</c:v>
                </c:pt>
                <c:pt idx="13">
                  <c:v>775.08855969192416</c:v>
                </c:pt>
                <c:pt idx="14">
                  <c:v>768.46472473699441</c:v>
                </c:pt>
                <c:pt idx="15">
                  <c:v>761.89749646134203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66-4AC1-A017-50F15980F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2725168"/>
        <c:axId val="292749168"/>
      </c:lineChart>
      <c:catAx>
        <c:axId val="29272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49168"/>
        <c:crosses val="autoZero"/>
        <c:auto val="1"/>
        <c:lblAlgn val="ctr"/>
        <c:lblOffset val="100"/>
        <c:noMultiLvlLbl val="0"/>
      </c:catAx>
      <c:valAx>
        <c:axId val="29274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25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Whitby Customers / Devices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'Overall Load Summary'!$B$72</c:f>
              <c:strCache>
                <c:ptCount val="1"/>
                <c:pt idx="0">
                  <c:v>GS 50 - 2,999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Summary'!$C$72:$R$72</c:f>
              <c:numCache>
                <c:formatCode>#,##0</c:formatCode>
                <c:ptCount val="16"/>
                <c:pt idx="0">
                  <c:v>367.08333333333348</c:v>
                </c:pt>
                <c:pt idx="1">
                  <c:v>368</c:v>
                </c:pt>
                <c:pt idx="2">
                  <c:v>372.875</c:v>
                </c:pt>
                <c:pt idx="3">
                  <c:v>377</c:v>
                </c:pt>
                <c:pt idx="4">
                  <c:v>381.875</c:v>
                </c:pt>
                <c:pt idx="5">
                  <c:v>390.875</c:v>
                </c:pt>
                <c:pt idx="6">
                  <c:v>386.33333333333348</c:v>
                </c:pt>
                <c:pt idx="7">
                  <c:v>383.33333333333348</c:v>
                </c:pt>
                <c:pt idx="8">
                  <c:v>388.625</c:v>
                </c:pt>
                <c:pt idx="9">
                  <c:v>396.5</c:v>
                </c:pt>
                <c:pt idx="10">
                  <c:v>403.40284286596511</c:v>
                </c:pt>
                <c:pt idx="11">
                  <c:v>411.89807952600358</c:v>
                </c:pt>
                <c:pt idx="12">
                  <c:v>417.98332406506097</c:v>
                </c:pt>
                <c:pt idx="13">
                  <c:v>422.77549769417504</c:v>
                </c:pt>
                <c:pt idx="14">
                  <c:v>427.46131548064847</c:v>
                </c:pt>
                <c:pt idx="15">
                  <c:v>432.16499470021517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3A-42F1-A034-DAB5F02B71D0}"/>
            </c:ext>
          </c:extLst>
        </c:ser>
        <c:ser>
          <c:idx val="3"/>
          <c:order val="1"/>
          <c:tx>
            <c:strRef>
              <c:f>'Overall Load Summary'!$B$73</c:f>
              <c:strCache>
                <c:ptCount val="1"/>
                <c:pt idx="0">
                  <c:v>GS 3,000 - 4,999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Summary'!$C$73:$R$73</c:f>
              <c:numCache>
                <c:formatCode>#,##0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2.5416666666666674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4.151041666666667</c:v>
                </c:pt>
                <c:pt idx="11">
                  <c:v>5.53125</c:v>
                </c:pt>
                <c:pt idx="12">
                  <c:v>5.9427083333333321</c:v>
                </c:pt>
                <c:pt idx="13">
                  <c:v>5.9999999999999991</c:v>
                </c:pt>
                <c:pt idx="14">
                  <c:v>5.9999999999999991</c:v>
                </c:pt>
                <c:pt idx="15">
                  <c:v>5.9999999999999991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3A-42F1-A034-DAB5F02B71D0}"/>
            </c:ext>
          </c:extLst>
        </c:ser>
        <c:ser>
          <c:idx val="5"/>
          <c:order val="2"/>
          <c:tx>
            <c:strRef>
              <c:f>'Overall Load Summary'!$B$75</c:f>
              <c:strCache>
                <c:ptCount val="1"/>
                <c:pt idx="0">
                  <c:v>Sentinel Light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Summary'!$C$75:$R$75</c:f>
              <c:numCache>
                <c:formatCode>#,##0</c:formatCode>
                <c:ptCount val="16"/>
                <c:pt idx="0">
                  <c:v>39</c:v>
                </c:pt>
                <c:pt idx="1">
                  <c:v>38.458333333333321</c:v>
                </c:pt>
                <c:pt idx="2">
                  <c:v>37.458333333333321</c:v>
                </c:pt>
                <c:pt idx="3">
                  <c:v>37</c:v>
                </c:pt>
                <c:pt idx="4">
                  <c:v>37</c:v>
                </c:pt>
                <c:pt idx="5">
                  <c:v>42.416666666666679</c:v>
                </c:pt>
                <c:pt idx="6">
                  <c:v>46.458333333333314</c:v>
                </c:pt>
                <c:pt idx="7">
                  <c:v>46</c:v>
                </c:pt>
                <c:pt idx="8">
                  <c:v>45.458333333333314</c:v>
                </c:pt>
                <c:pt idx="9">
                  <c:v>44.458333333333314</c:v>
                </c:pt>
                <c:pt idx="10">
                  <c:v>39</c:v>
                </c:pt>
                <c:pt idx="11">
                  <c:v>38.458333333333321</c:v>
                </c:pt>
                <c:pt idx="12">
                  <c:v>37.458333333333321</c:v>
                </c:pt>
                <c:pt idx="13">
                  <c:v>37</c:v>
                </c:pt>
                <c:pt idx="14">
                  <c:v>37</c:v>
                </c:pt>
                <c:pt idx="15">
                  <c:v>42.416666666666679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3A-42F1-A034-DAB5F02B71D0}"/>
            </c:ext>
          </c:extLst>
        </c:ser>
        <c:ser>
          <c:idx val="6"/>
          <c:order val="3"/>
          <c:tx>
            <c:strRef>
              <c:f>'Overall Load Summary'!$B$76</c:f>
              <c:strCache>
                <c:ptCount val="1"/>
                <c:pt idx="0">
                  <c:v>USL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Summary'!$C$76:$R$76</c:f>
              <c:numCache>
                <c:formatCode>#,##0</c:formatCode>
                <c:ptCount val="16"/>
                <c:pt idx="0">
                  <c:v>372.20833333333348</c:v>
                </c:pt>
                <c:pt idx="1">
                  <c:v>370.625</c:v>
                </c:pt>
                <c:pt idx="2">
                  <c:v>376.875</c:v>
                </c:pt>
                <c:pt idx="3">
                  <c:v>384.25</c:v>
                </c:pt>
                <c:pt idx="4">
                  <c:v>389.16666666666652</c:v>
                </c:pt>
                <c:pt idx="5">
                  <c:v>391.54166666666652</c:v>
                </c:pt>
                <c:pt idx="6">
                  <c:v>393.08333333333348</c:v>
                </c:pt>
                <c:pt idx="7">
                  <c:v>400.5</c:v>
                </c:pt>
                <c:pt idx="8">
                  <c:v>396.25</c:v>
                </c:pt>
                <c:pt idx="9">
                  <c:v>390.16666666666652</c:v>
                </c:pt>
                <c:pt idx="10">
                  <c:v>372.20833333333348</c:v>
                </c:pt>
                <c:pt idx="11">
                  <c:v>370.625</c:v>
                </c:pt>
                <c:pt idx="12">
                  <c:v>376.875</c:v>
                </c:pt>
                <c:pt idx="13">
                  <c:v>384.25</c:v>
                </c:pt>
                <c:pt idx="14">
                  <c:v>389.16666666666652</c:v>
                </c:pt>
                <c:pt idx="15">
                  <c:v>391.54166666666652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3A-42F1-A034-DAB5F02B7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2725168"/>
        <c:axId val="292749168"/>
      </c:lineChart>
      <c:catAx>
        <c:axId val="29272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49168"/>
        <c:crosses val="autoZero"/>
        <c:auto val="1"/>
        <c:lblAlgn val="ctr"/>
        <c:lblOffset val="100"/>
        <c:noMultiLvlLbl val="0"/>
      </c:catAx>
      <c:valAx>
        <c:axId val="29274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25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Elexicon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strRef>
              <c:f>'Overall Load Summary'!$B$118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Summary'!$C$118:$R$118</c:f>
              <c:numCache>
                <c:formatCode>#,##0</c:formatCode>
                <c:ptCount val="16"/>
                <c:pt idx="0">
                  <c:v>1269375442.214035</c:v>
                </c:pt>
                <c:pt idx="1">
                  <c:v>1188022036.1739161</c:v>
                </c:pt>
                <c:pt idx="2">
                  <c:v>1287327674.3705897</c:v>
                </c:pt>
                <c:pt idx="3">
                  <c:v>1249659991.3831902</c:v>
                </c:pt>
                <c:pt idx="4">
                  <c:v>1363403065.3215976</c:v>
                </c:pt>
                <c:pt idx="5">
                  <c:v>1356920285.1242537</c:v>
                </c:pt>
                <c:pt idx="6">
                  <c:v>1347404674.2013624</c:v>
                </c:pt>
                <c:pt idx="7">
                  <c:v>1337703195.2383671</c:v>
                </c:pt>
                <c:pt idx="8">
                  <c:v>1397464515.4222105</c:v>
                </c:pt>
                <c:pt idx="9">
                  <c:v>1431706562.7851419</c:v>
                </c:pt>
                <c:pt idx="10">
                  <c:v>1463248753.7425632</c:v>
                </c:pt>
                <c:pt idx="11">
                  <c:v>1488238594.2903113</c:v>
                </c:pt>
                <c:pt idx="12">
                  <c:v>1513735022.8510861</c:v>
                </c:pt>
                <c:pt idx="13">
                  <c:v>1538539852.4418883</c:v>
                </c:pt>
                <c:pt idx="14">
                  <c:v>1572032734.82868</c:v>
                </c:pt>
                <c:pt idx="15">
                  <c:v>1605702006.6028969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E4-4A0D-88C0-4757EB24CFCA}"/>
            </c:ext>
          </c:extLst>
        </c:ser>
        <c:ser>
          <c:idx val="1"/>
          <c:order val="1"/>
          <c:tx>
            <c:strRef>
              <c:f>'Overall Load Summary'!$B$120</c:f>
              <c:strCache>
                <c:ptCount val="1"/>
                <c:pt idx="0">
                  <c:v>GS&lt;50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Summary'!$C$120:$R$120</c:f>
              <c:numCache>
                <c:formatCode>#,##0</c:formatCode>
                <c:ptCount val="16"/>
                <c:pt idx="0">
                  <c:v>356382632.03854048</c:v>
                </c:pt>
                <c:pt idx="1">
                  <c:v>344615364.77915114</c:v>
                </c:pt>
                <c:pt idx="2">
                  <c:v>354266041.51103485</c:v>
                </c:pt>
                <c:pt idx="3">
                  <c:v>361354773.75802004</c:v>
                </c:pt>
                <c:pt idx="4">
                  <c:v>332522270.89174366</c:v>
                </c:pt>
                <c:pt idx="5">
                  <c:v>332462051.56827033</c:v>
                </c:pt>
                <c:pt idx="6">
                  <c:v>349475981.39731491</c:v>
                </c:pt>
                <c:pt idx="7">
                  <c:v>348427263.30568337</c:v>
                </c:pt>
                <c:pt idx="8">
                  <c:v>330257787.06055099</c:v>
                </c:pt>
                <c:pt idx="9">
                  <c:v>334472924.8429631</c:v>
                </c:pt>
                <c:pt idx="10">
                  <c:v>359353991.95934331</c:v>
                </c:pt>
                <c:pt idx="11">
                  <c:v>359437880.82205194</c:v>
                </c:pt>
                <c:pt idx="12">
                  <c:v>358097513.91528559</c:v>
                </c:pt>
                <c:pt idx="13">
                  <c:v>357895100.39429229</c:v>
                </c:pt>
                <c:pt idx="14">
                  <c:v>358082662.44900864</c:v>
                </c:pt>
                <c:pt idx="15">
                  <c:v>360015336.731493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E4-4A0D-88C0-4757EB24C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5375"/>
        <c:axId val="358408095"/>
      </c:lineChart>
      <c:catAx>
        <c:axId val="35842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08095"/>
        <c:crosses val="autoZero"/>
        <c:auto val="1"/>
        <c:lblAlgn val="ctr"/>
        <c:lblOffset val="100"/>
        <c:noMultiLvlLbl val="0"/>
      </c:catAx>
      <c:valAx>
        <c:axId val="35840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25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Elexicon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'Overall Load Summary'!$B$121</c:f>
              <c:strCache>
                <c:ptCount val="1"/>
                <c:pt idx="0">
                  <c:v>GS 50 - 2,999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Summary'!$C$121:$R$121</c:f>
              <c:numCache>
                <c:formatCode>#,##0</c:formatCode>
                <c:ptCount val="16"/>
                <c:pt idx="0">
                  <c:v>1272118375.8628373</c:v>
                </c:pt>
                <c:pt idx="1">
                  <c:v>1236201060.0819325</c:v>
                </c:pt>
                <c:pt idx="2">
                  <c:v>1264466349.1982632</c:v>
                </c:pt>
                <c:pt idx="3">
                  <c:v>1232063470.7570877</c:v>
                </c:pt>
                <c:pt idx="4">
                  <c:v>1168055132.0552018</c:v>
                </c:pt>
                <c:pt idx="5">
                  <c:v>1184097569.1884379</c:v>
                </c:pt>
                <c:pt idx="6">
                  <c:v>1208876365.3064713</c:v>
                </c:pt>
                <c:pt idx="7">
                  <c:v>1205813681.0727394</c:v>
                </c:pt>
                <c:pt idx="8">
                  <c:v>1250156548.0347433</c:v>
                </c:pt>
                <c:pt idx="9">
                  <c:v>1270423062.1715984</c:v>
                </c:pt>
                <c:pt idx="10">
                  <c:v>1298246990.6935096</c:v>
                </c:pt>
                <c:pt idx="11">
                  <c:v>1374577263.611691</c:v>
                </c:pt>
                <c:pt idx="12">
                  <c:v>1393842049.6814268</c:v>
                </c:pt>
                <c:pt idx="13">
                  <c:v>1405892065.9648194</c:v>
                </c:pt>
                <c:pt idx="14">
                  <c:v>1406860913.9037676</c:v>
                </c:pt>
                <c:pt idx="15">
                  <c:v>1413882207.7429035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F4-47A3-B7E9-1745B9429AA8}"/>
            </c:ext>
          </c:extLst>
        </c:ser>
        <c:ser>
          <c:idx val="3"/>
          <c:order val="1"/>
          <c:tx>
            <c:strRef>
              <c:f>'Overall Load Summary'!$B$122</c:f>
              <c:strCache>
                <c:ptCount val="1"/>
                <c:pt idx="0">
                  <c:v>GS 3,000 - 4,999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Summary'!$C$122:$R$122</c:f>
              <c:numCache>
                <c:formatCode>#,##0</c:formatCode>
                <c:ptCount val="16"/>
                <c:pt idx="0">
                  <c:v>138758174.05958903</c:v>
                </c:pt>
                <c:pt idx="1">
                  <c:v>146468903.07194489</c:v>
                </c:pt>
                <c:pt idx="2">
                  <c:v>150477307.60387325</c:v>
                </c:pt>
                <c:pt idx="3">
                  <c:v>166899797.08226338</c:v>
                </c:pt>
                <c:pt idx="4">
                  <c:v>168534272.33023766</c:v>
                </c:pt>
                <c:pt idx="5">
                  <c:v>180067613.59823555</c:v>
                </c:pt>
                <c:pt idx="6">
                  <c:v>190439571.63956666</c:v>
                </c:pt>
                <c:pt idx="7">
                  <c:v>188475984.65230191</c:v>
                </c:pt>
                <c:pt idx="8">
                  <c:v>174171911.11142981</c:v>
                </c:pt>
                <c:pt idx="9">
                  <c:v>174879955.26778632</c:v>
                </c:pt>
                <c:pt idx="10">
                  <c:v>211242323.66371125</c:v>
                </c:pt>
                <c:pt idx="11">
                  <c:v>260192691.21137184</c:v>
                </c:pt>
                <c:pt idx="12">
                  <c:v>291193302.48238587</c:v>
                </c:pt>
                <c:pt idx="13">
                  <c:v>310996735.29075933</c:v>
                </c:pt>
                <c:pt idx="14">
                  <c:v>321661271.83042836</c:v>
                </c:pt>
                <c:pt idx="15">
                  <c:v>333787160.1006583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F4-47A3-B7E9-1745B9429AA8}"/>
            </c:ext>
          </c:extLst>
        </c:ser>
        <c:ser>
          <c:idx val="4"/>
          <c:order val="2"/>
          <c:tx>
            <c:strRef>
              <c:f>'Overall Load Summary'!$B$123</c:f>
              <c:strCache>
                <c:ptCount val="1"/>
                <c:pt idx="0">
                  <c:v>Large Use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Summary'!$C$123:$R$123</c:f>
              <c:numCache>
                <c:formatCode>#,##0</c:formatCode>
                <c:ptCount val="16"/>
                <c:pt idx="0">
                  <c:v>214289820.48699546</c:v>
                </c:pt>
                <c:pt idx="1">
                  <c:v>222292495.33607462</c:v>
                </c:pt>
                <c:pt idx="2">
                  <c:v>248469427.75455135</c:v>
                </c:pt>
                <c:pt idx="3">
                  <c:v>257775123.13030541</c:v>
                </c:pt>
                <c:pt idx="4">
                  <c:v>262392771.64005709</c:v>
                </c:pt>
                <c:pt idx="5">
                  <c:v>282815639.36618131</c:v>
                </c:pt>
                <c:pt idx="6">
                  <c:v>287178352.97389549</c:v>
                </c:pt>
                <c:pt idx="7">
                  <c:v>301783249.88881892</c:v>
                </c:pt>
                <c:pt idx="8">
                  <c:v>319639648.58016247</c:v>
                </c:pt>
                <c:pt idx="9">
                  <c:v>320243428.7364316</c:v>
                </c:pt>
                <c:pt idx="10">
                  <c:v>343075152.01669252</c:v>
                </c:pt>
                <c:pt idx="11">
                  <c:v>409486870.75309986</c:v>
                </c:pt>
                <c:pt idx="12">
                  <c:v>486502046.60378212</c:v>
                </c:pt>
                <c:pt idx="13">
                  <c:v>530848433.28238314</c:v>
                </c:pt>
                <c:pt idx="14">
                  <c:v>538574069.41898668</c:v>
                </c:pt>
                <c:pt idx="15">
                  <c:v>543584528.13487542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F4-47A3-B7E9-1745B9429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5375"/>
        <c:axId val="358408095"/>
      </c:lineChart>
      <c:catAx>
        <c:axId val="35842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08095"/>
        <c:crosses val="autoZero"/>
        <c:auto val="1"/>
        <c:lblAlgn val="ctr"/>
        <c:lblOffset val="100"/>
        <c:noMultiLvlLbl val="0"/>
      </c:catAx>
      <c:valAx>
        <c:axId val="35840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25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Elexicon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'Overall Load Summary'!$B$119</c:f>
              <c:strCache>
                <c:ptCount val="1"/>
                <c:pt idx="0">
                  <c:v>Residential Seasonal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Summary'!$C$119:$R$119</c:f>
              <c:numCache>
                <c:formatCode>#,##0</c:formatCode>
                <c:ptCount val="16"/>
                <c:pt idx="0">
                  <c:v>9051572.815264266</c:v>
                </c:pt>
                <c:pt idx="1">
                  <c:v>9456862.8725147881</c:v>
                </c:pt>
                <c:pt idx="2">
                  <c:v>10033713.471751574</c:v>
                </c:pt>
                <c:pt idx="3">
                  <c:v>10358890.180652544</c:v>
                </c:pt>
                <c:pt idx="4">
                  <c:v>11810325.210704066</c:v>
                </c:pt>
                <c:pt idx="5">
                  <c:v>12014859.141223051</c:v>
                </c:pt>
                <c:pt idx="6">
                  <c:v>12020836.275310056</c:v>
                </c:pt>
                <c:pt idx="7">
                  <c:v>11612873.390622018</c:v>
                </c:pt>
                <c:pt idx="8">
                  <c:v>11668301.471916554</c:v>
                </c:pt>
                <c:pt idx="9">
                  <c:v>12704009.788637662</c:v>
                </c:pt>
                <c:pt idx="10">
                  <c:v>12668616.88924998</c:v>
                </c:pt>
                <c:pt idx="11">
                  <c:v>13098093.680488765</c:v>
                </c:pt>
                <c:pt idx="12">
                  <c:v>13453586.472312599</c:v>
                </c:pt>
                <c:pt idx="13">
                  <c:v>13869843.856722418</c:v>
                </c:pt>
                <c:pt idx="14">
                  <c:v>14368853.521388374</c:v>
                </c:pt>
                <c:pt idx="15">
                  <c:v>14809342.656845005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E-4DBE-9274-0DB6E818D622}"/>
            </c:ext>
          </c:extLst>
        </c:ser>
        <c:ser>
          <c:idx val="6"/>
          <c:order val="1"/>
          <c:tx>
            <c:strRef>
              <c:f>'Overall Load Summary'!$B$124</c:f>
              <c:strCache>
                <c:ptCount val="1"/>
                <c:pt idx="0">
                  <c:v>Street Light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Summary'!$C$124:$R$124</c:f>
              <c:numCache>
                <c:formatCode>#,##0</c:formatCode>
                <c:ptCount val="16"/>
                <c:pt idx="0">
                  <c:v>26737105.908349372</c:v>
                </c:pt>
                <c:pt idx="1">
                  <c:v>24292247.560884662</c:v>
                </c:pt>
                <c:pt idx="2">
                  <c:v>19065686.602786075</c:v>
                </c:pt>
                <c:pt idx="3">
                  <c:v>16498217.858064698</c:v>
                </c:pt>
                <c:pt idx="4">
                  <c:v>14604685.489041734</c:v>
                </c:pt>
                <c:pt idx="5">
                  <c:v>14258336.742137816</c:v>
                </c:pt>
                <c:pt idx="6">
                  <c:v>14536997.412027439</c:v>
                </c:pt>
                <c:pt idx="7">
                  <c:v>14831879.343626488</c:v>
                </c:pt>
                <c:pt idx="8">
                  <c:v>15133017.663432209</c:v>
                </c:pt>
                <c:pt idx="9">
                  <c:v>15240214.019841498</c:v>
                </c:pt>
                <c:pt idx="10">
                  <c:v>15431376.050526397</c:v>
                </c:pt>
                <c:pt idx="11">
                  <c:v>15625048.594675167</c:v>
                </c:pt>
                <c:pt idx="12">
                  <c:v>15821266.352647971</c:v>
                </c:pt>
                <c:pt idx="13">
                  <c:v>16020064.529794496</c:v>
                </c:pt>
                <c:pt idx="14">
                  <c:v>16221478.844156178</c:v>
                </c:pt>
                <c:pt idx="15">
                  <c:v>16425545.534290673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8E-4DBE-9274-0DB6E818D622}"/>
            </c:ext>
          </c:extLst>
        </c:ser>
        <c:ser>
          <c:idx val="7"/>
          <c:order val="2"/>
          <c:tx>
            <c:strRef>
              <c:f>'Overall Load Summary'!$B$125</c:f>
              <c:strCache>
                <c:ptCount val="1"/>
                <c:pt idx="0">
                  <c:v>Sentinel Light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Summary'!$C$125:$R$125</c:f>
              <c:numCache>
                <c:formatCode>#,##0</c:formatCode>
                <c:ptCount val="16"/>
                <c:pt idx="0">
                  <c:v>398391</c:v>
                </c:pt>
                <c:pt idx="1">
                  <c:v>380813</c:v>
                </c:pt>
                <c:pt idx="2">
                  <c:v>288925</c:v>
                </c:pt>
                <c:pt idx="3">
                  <c:v>256732</c:v>
                </c:pt>
                <c:pt idx="4">
                  <c:v>256857</c:v>
                </c:pt>
                <c:pt idx="5">
                  <c:v>255183</c:v>
                </c:pt>
                <c:pt idx="6">
                  <c:v>236141.768912231</c:v>
                </c:pt>
                <c:pt idx="7">
                  <c:v>238591.19181490058</c:v>
                </c:pt>
                <c:pt idx="8">
                  <c:v>91981.701123870385</c:v>
                </c:pt>
                <c:pt idx="9">
                  <c:v>90555.288032465556</c:v>
                </c:pt>
                <c:pt idx="10">
                  <c:v>88989.693845926944</c:v>
                </c:pt>
                <c:pt idx="11">
                  <c:v>87457.752592402147</c:v>
                </c:pt>
                <c:pt idx="12">
                  <c:v>85958.850155680775</c:v>
                </c:pt>
                <c:pt idx="13">
                  <c:v>84492.385084329959</c:v>
                </c:pt>
                <c:pt idx="14">
                  <c:v>83057.768353430511</c:v>
                </c:pt>
                <c:pt idx="15">
                  <c:v>81654.423131114119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E-4DBE-9274-0DB6E818D622}"/>
            </c:ext>
          </c:extLst>
        </c:ser>
        <c:ser>
          <c:idx val="8"/>
          <c:order val="3"/>
          <c:tx>
            <c:strRef>
              <c:f>'Overall Load Summary'!$B$126</c:f>
              <c:strCache>
                <c:ptCount val="1"/>
                <c:pt idx="0">
                  <c:v>USL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Summary'!$C$2:$R$2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Summary'!$C$126:$R$126</c:f>
              <c:numCache>
                <c:formatCode>#,##0</c:formatCode>
                <c:ptCount val="16"/>
                <c:pt idx="0">
                  <c:v>5319486.7856042404</c:v>
                </c:pt>
                <c:pt idx="1">
                  <c:v>5264808.774879396</c:v>
                </c:pt>
                <c:pt idx="2">
                  <c:v>5244007.0437639654</c:v>
                </c:pt>
                <c:pt idx="3">
                  <c:v>5195123.00683486</c:v>
                </c:pt>
                <c:pt idx="4">
                  <c:v>6365423.234460949</c:v>
                </c:pt>
                <c:pt idx="5">
                  <c:v>6446512.2146405866</c:v>
                </c:pt>
                <c:pt idx="6">
                  <c:v>6425118.5269147065</c:v>
                </c:pt>
                <c:pt idx="7">
                  <c:v>6412756.5779130254</c:v>
                </c:pt>
                <c:pt idx="8">
                  <c:v>6402636.7834870443</c:v>
                </c:pt>
                <c:pt idx="9">
                  <c:v>6382480.4137291927</c:v>
                </c:pt>
                <c:pt idx="10">
                  <c:v>6509454.0958387125</c:v>
                </c:pt>
                <c:pt idx="11">
                  <c:v>6479773.9270868488</c:v>
                </c:pt>
                <c:pt idx="12">
                  <c:v>6450483.6168868821</c:v>
                </c:pt>
                <c:pt idx="13">
                  <c:v>6421580.5485769762</c:v>
                </c:pt>
                <c:pt idx="14">
                  <c:v>6393062.1316104801</c:v>
                </c:pt>
                <c:pt idx="15">
                  <c:v>6364925.8013524516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8E-4DBE-9274-0DB6E818D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5375"/>
        <c:axId val="358408095"/>
      </c:lineChart>
      <c:catAx>
        <c:axId val="35842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08095"/>
        <c:crosses val="autoZero"/>
        <c:auto val="1"/>
        <c:lblAlgn val="ctr"/>
        <c:lblOffset val="100"/>
        <c:noMultiLvlLbl val="0"/>
      </c:catAx>
      <c:valAx>
        <c:axId val="35840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25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Elexicon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strRef>
              <c:f>'Overall Load Summary'!$B$128</c:f>
              <c:strCache>
                <c:ptCount val="1"/>
                <c:pt idx="0">
                  <c:v>GS 50 - 2,999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Summary'!$C$56:$R$56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Summary'!$C$128:$R$128</c:f>
              <c:numCache>
                <c:formatCode>#,##0</c:formatCode>
                <c:ptCount val="16"/>
                <c:pt idx="0">
                  <c:v>3190775.7399999998</c:v>
                </c:pt>
                <c:pt idx="1">
                  <c:v>3111377.2899999996</c:v>
                </c:pt>
                <c:pt idx="2">
                  <c:v>3149613.15</c:v>
                </c:pt>
                <c:pt idx="3">
                  <c:v>3057337.58</c:v>
                </c:pt>
                <c:pt idx="4">
                  <c:v>2943202.8</c:v>
                </c:pt>
                <c:pt idx="5">
                  <c:v>2950218.5499999993</c:v>
                </c:pt>
                <c:pt idx="6">
                  <c:v>3043361.29</c:v>
                </c:pt>
                <c:pt idx="7">
                  <c:v>2990987.09</c:v>
                </c:pt>
                <c:pt idx="8">
                  <c:v>2968530.4099999997</c:v>
                </c:pt>
                <c:pt idx="9">
                  <c:v>3020507.25</c:v>
                </c:pt>
                <c:pt idx="10">
                  <c:v>3172179.6173755559</c:v>
                </c:pt>
                <c:pt idx="11">
                  <c:v>3373370.3739884002</c:v>
                </c:pt>
                <c:pt idx="12">
                  <c:v>3438319.9465776691</c:v>
                </c:pt>
                <c:pt idx="13">
                  <c:v>3487763.8239200208</c:v>
                </c:pt>
                <c:pt idx="14">
                  <c:v>3511956.7799961735</c:v>
                </c:pt>
                <c:pt idx="15">
                  <c:v>3550962.2360047465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4-498D-B2B1-DBE9C870004F}"/>
            </c:ext>
          </c:extLst>
        </c:ser>
        <c:ser>
          <c:idx val="1"/>
          <c:order val="1"/>
          <c:tx>
            <c:strRef>
              <c:f>'Overall Load Summary'!$B$129</c:f>
              <c:strCache>
                <c:ptCount val="1"/>
                <c:pt idx="0">
                  <c:v>GS 3,000 - 4,999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Summary'!$C$56:$R$56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Summary'!$C$129:$R$129</c:f>
              <c:numCache>
                <c:formatCode>#,##0</c:formatCode>
                <c:ptCount val="16"/>
                <c:pt idx="0">
                  <c:v>317493.09999999998</c:v>
                </c:pt>
                <c:pt idx="1">
                  <c:v>290527.03000000003</c:v>
                </c:pt>
                <c:pt idx="2">
                  <c:v>304032.87000000005</c:v>
                </c:pt>
                <c:pt idx="3">
                  <c:v>342986.87</c:v>
                </c:pt>
                <c:pt idx="4">
                  <c:v>339439.79999999993</c:v>
                </c:pt>
                <c:pt idx="5">
                  <c:v>368167.69000000006</c:v>
                </c:pt>
                <c:pt idx="6">
                  <c:v>393101.52</c:v>
                </c:pt>
                <c:pt idx="7">
                  <c:v>394699.74</c:v>
                </c:pt>
                <c:pt idx="8">
                  <c:v>376037.78</c:v>
                </c:pt>
                <c:pt idx="9">
                  <c:v>369676.54000000004</c:v>
                </c:pt>
                <c:pt idx="10">
                  <c:v>447197.28281556279</c:v>
                </c:pt>
                <c:pt idx="11">
                  <c:v>555767.8972442589</c:v>
                </c:pt>
                <c:pt idx="12">
                  <c:v>627952.72671898268</c:v>
                </c:pt>
                <c:pt idx="13">
                  <c:v>675892.28529603744</c:v>
                </c:pt>
                <c:pt idx="14">
                  <c:v>703057.41579171643</c:v>
                </c:pt>
                <c:pt idx="15">
                  <c:v>734237.24188005598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4-498D-B2B1-DBE9C870004F}"/>
            </c:ext>
          </c:extLst>
        </c:ser>
        <c:ser>
          <c:idx val="0"/>
          <c:order val="2"/>
          <c:tx>
            <c:strRef>
              <c:f>'Overall Load Summary'!$B$130</c:f>
              <c:strCache>
                <c:ptCount val="1"/>
                <c:pt idx="0">
                  <c:v>Large Use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Summary'!$C$56:$R$56</c:f>
              <c:strCache>
                <c:ptCount val="16"/>
                <c:pt idx="0">
                  <c:v>2016 Actual</c:v>
                </c:pt>
                <c:pt idx="1">
                  <c:v>2017 Actual</c:v>
                </c:pt>
                <c:pt idx="2">
                  <c:v>2018 Actual</c:v>
                </c:pt>
                <c:pt idx="3">
                  <c:v>2019 Actual</c:v>
                </c:pt>
                <c:pt idx="4">
                  <c:v>2020 Actual</c:v>
                </c:pt>
                <c:pt idx="5">
                  <c:v>2021 Actual</c:v>
                </c:pt>
                <c:pt idx="6">
                  <c:v>2022 Actual</c:v>
                </c:pt>
                <c:pt idx="7">
                  <c:v>2023 Actual</c:v>
                </c:pt>
                <c:pt idx="8">
                  <c:v>2024 Actual</c:v>
                </c:pt>
                <c:pt idx="9">
                  <c:v>2025 Actual</c:v>
                </c:pt>
                <c:pt idx="10">
                  <c:v>2026 Forecast</c:v>
                </c:pt>
                <c:pt idx="11">
                  <c:v>2027 Forecast</c:v>
                </c:pt>
                <c:pt idx="12">
                  <c:v>2028 Forecast</c:v>
                </c:pt>
                <c:pt idx="13">
                  <c:v>2029 Forecast</c:v>
                </c:pt>
                <c:pt idx="14">
                  <c:v>2030 Forecast</c:v>
                </c:pt>
                <c:pt idx="15">
                  <c:v>2031 Forecast</c:v>
                </c:pt>
              </c:strCache>
            </c:strRef>
          </c:cat>
          <c:val>
            <c:numRef>
              <c:f>'Overall Load Summary'!$C$130:$R$130</c:f>
              <c:numCache>
                <c:formatCode>#,##0</c:formatCode>
                <c:ptCount val="16"/>
                <c:pt idx="0">
                  <c:v>421758</c:v>
                </c:pt>
                <c:pt idx="1">
                  <c:v>382866</c:v>
                </c:pt>
                <c:pt idx="2">
                  <c:v>423038</c:v>
                </c:pt>
                <c:pt idx="3">
                  <c:v>433414</c:v>
                </c:pt>
                <c:pt idx="4">
                  <c:v>453257</c:v>
                </c:pt>
                <c:pt idx="5">
                  <c:v>481567</c:v>
                </c:pt>
                <c:pt idx="6">
                  <c:v>490452</c:v>
                </c:pt>
                <c:pt idx="7">
                  <c:v>518389.27999999997</c:v>
                </c:pt>
                <c:pt idx="8">
                  <c:v>532510.09</c:v>
                </c:pt>
                <c:pt idx="9">
                  <c:v>539128.64</c:v>
                </c:pt>
                <c:pt idx="10">
                  <c:v>582754.02625610516</c:v>
                </c:pt>
                <c:pt idx="11">
                  <c:v>699952.55015067162</c:v>
                </c:pt>
                <c:pt idx="12">
                  <c:v>838837.78883968422</c:v>
                </c:pt>
                <c:pt idx="13">
                  <c:v>921903.83334637014</c:v>
                </c:pt>
                <c:pt idx="14">
                  <c:v>941697.31207975489</c:v>
                </c:pt>
                <c:pt idx="15">
                  <c:v>956657.69739546173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4-498D-B2B1-DBE9C8700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5375"/>
        <c:axId val="358408095"/>
      </c:lineChart>
      <c:catAx>
        <c:axId val="35842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08095"/>
        <c:crosses val="autoZero"/>
        <c:auto val="1"/>
        <c:lblAlgn val="ctr"/>
        <c:lblOffset val="100"/>
        <c:noMultiLvlLbl val="0"/>
      </c:catAx>
      <c:valAx>
        <c:axId val="35840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25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10" Type="http://schemas.openxmlformats.org/officeDocument/2006/relationships/chart" Target="../charts/chart40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13" Type="http://schemas.openxmlformats.org/officeDocument/2006/relationships/chart" Target="../charts/chart63.xml"/><Relationship Id="rId18" Type="http://schemas.openxmlformats.org/officeDocument/2006/relationships/chart" Target="../charts/chart68.xml"/><Relationship Id="rId3" Type="http://schemas.openxmlformats.org/officeDocument/2006/relationships/chart" Target="../charts/chart53.xml"/><Relationship Id="rId21" Type="http://schemas.openxmlformats.org/officeDocument/2006/relationships/chart" Target="../charts/chart71.xml"/><Relationship Id="rId7" Type="http://schemas.openxmlformats.org/officeDocument/2006/relationships/chart" Target="../charts/chart57.xml"/><Relationship Id="rId12" Type="http://schemas.openxmlformats.org/officeDocument/2006/relationships/chart" Target="../charts/chart62.xml"/><Relationship Id="rId17" Type="http://schemas.openxmlformats.org/officeDocument/2006/relationships/chart" Target="../charts/chart67.xml"/><Relationship Id="rId2" Type="http://schemas.openxmlformats.org/officeDocument/2006/relationships/chart" Target="../charts/chart52.xml"/><Relationship Id="rId16" Type="http://schemas.openxmlformats.org/officeDocument/2006/relationships/chart" Target="../charts/chart66.xml"/><Relationship Id="rId20" Type="http://schemas.openxmlformats.org/officeDocument/2006/relationships/chart" Target="../charts/chart70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11" Type="http://schemas.openxmlformats.org/officeDocument/2006/relationships/chart" Target="../charts/chart61.xml"/><Relationship Id="rId5" Type="http://schemas.openxmlformats.org/officeDocument/2006/relationships/chart" Target="../charts/chart55.xml"/><Relationship Id="rId15" Type="http://schemas.openxmlformats.org/officeDocument/2006/relationships/chart" Target="../charts/chart65.xml"/><Relationship Id="rId10" Type="http://schemas.openxmlformats.org/officeDocument/2006/relationships/chart" Target="../charts/chart60.xml"/><Relationship Id="rId19" Type="http://schemas.openxmlformats.org/officeDocument/2006/relationships/chart" Target="../charts/chart69.xml"/><Relationship Id="rId4" Type="http://schemas.openxmlformats.org/officeDocument/2006/relationships/chart" Target="../charts/chart54.xml"/><Relationship Id="rId9" Type="http://schemas.openxmlformats.org/officeDocument/2006/relationships/chart" Target="../charts/chart59.xml"/><Relationship Id="rId14" Type="http://schemas.openxmlformats.org/officeDocument/2006/relationships/chart" Target="../charts/chart64.xml"/><Relationship Id="rId22" Type="http://schemas.openxmlformats.org/officeDocument/2006/relationships/chart" Target="../charts/chart72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3" Type="http://schemas.openxmlformats.org/officeDocument/2006/relationships/chart" Target="../charts/chart75.xml"/><Relationship Id="rId7" Type="http://schemas.openxmlformats.org/officeDocument/2006/relationships/chart" Target="../charts/chart79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5" Type="http://schemas.openxmlformats.org/officeDocument/2006/relationships/chart" Target="../charts/chart77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9.xml"/><Relationship Id="rId13" Type="http://schemas.openxmlformats.org/officeDocument/2006/relationships/chart" Target="../charts/chart94.xml"/><Relationship Id="rId18" Type="http://schemas.openxmlformats.org/officeDocument/2006/relationships/chart" Target="../charts/chart99.xml"/><Relationship Id="rId3" Type="http://schemas.openxmlformats.org/officeDocument/2006/relationships/chart" Target="../charts/chart84.xml"/><Relationship Id="rId21" Type="http://schemas.openxmlformats.org/officeDocument/2006/relationships/chart" Target="../charts/chart102.xml"/><Relationship Id="rId7" Type="http://schemas.openxmlformats.org/officeDocument/2006/relationships/chart" Target="../charts/chart88.xml"/><Relationship Id="rId12" Type="http://schemas.openxmlformats.org/officeDocument/2006/relationships/chart" Target="../charts/chart93.xml"/><Relationship Id="rId17" Type="http://schemas.openxmlformats.org/officeDocument/2006/relationships/chart" Target="../charts/chart98.xml"/><Relationship Id="rId2" Type="http://schemas.openxmlformats.org/officeDocument/2006/relationships/chart" Target="../charts/chart83.xml"/><Relationship Id="rId16" Type="http://schemas.openxmlformats.org/officeDocument/2006/relationships/chart" Target="../charts/chart97.xml"/><Relationship Id="rId20" Type="http://schemas.openxmlformats.org/officeDocument/2006/relationships/chart" Target="../charts/chart101.xml"/><Relationship Id="rId1" Type="http://schemas.openxmlformats.org/officeDocument/2006/relationships/chart" Target="../charts/chart82.xml"/><Relationship Id="rId6" Type="http://schemas.openxmlformats.org/officeDocument/2006/relationships/chart" Target="../charts/chart87.xml"/><Relationship Id="rId11" Type="http://schemas.openxmlformats.org/officeDocument/2006/relationships/chart" Target="../charts/chart92.xml"/><Relationship Id="rId5" Type="http://schemas.openxmlformats.org/officeDocument/2006/relationships/chart" Target="../charts/chart86.xml"/><Relationship Id="rId15" Type="http://schemas.openxmlformats.org/officeDocument/2006/relationships/chart" Target="../charts/chart96.xml"/><Relationship Id="rId10" Type="http://schemas.openxmlformats.org/officeDocument/2006/relationships/chart" Target="../charts/chart91.xml"/><Relationship Id="rId19" Type="http://schemas.openxmlformats.org/officeDocument/2006/relationships/chart" Target="../charts/chart100.xml"/><Relationship Id="rId4" Type="http://schemas.openxmlformats.org/officeDocument/2006/relationships/chart" Target="../charts/chart85.xml"/><Relationship Id="rId9" Type="http://schemas.openxmlformats.org/officeDocument/2006/relationships/chart" Target="../charts/chart90.xml"/><Relationship Id="rId14" Type="http://schemas.openxmlformats.org/officeDocument/2006/relationships/chart" Target="../charts/chart9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180975</xdr:colOff>
      <xdr:row>3</xdr:row>
      <xdr:rowOff>85725</xdr:rowOff>
    </xdr:from>
    <xdr:to>
      <xdr:col>40</xdr:col>
      <xdr:colOff>152400</xdr:colOff>
      <xdr:row>18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D837B9-C705-480D-A993-748444B6A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581025</xdr:colOff>
      <xdr:row>3</xdr:row>
      <xdr:rowOff>142875</xdr:rowOff>
    </xdr:from>
    <xdr:to>
      <xdr:col>50</xdr:col>
      <xdr:colOff>552450</xdr:colOff>
      <xdr:row>19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A077B96-B06E-425D-B5F0-D8533180C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0</xdr:colOff>
      <xdr:row>20</xdr:row>
      <xdr:rowOff>0</xdr:rowOff>
    </xdr:from>
    <xdr:to>
      <xdr:col>39</xdr:col>
      <xdr:colOff>584200</xdr:colOff>
      <xdr:row>35</xdr:row>
      <xdr:rowOff>69850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8EB3865-0E11-4D0A-8204-B972EE9CA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37</xdr:row>
      <xdr:rowOff>0</xdr:rowOff>
    </xdr:from>
    <xdr:to>
      <xdr:col>39</xdr:col>
      <xdr:colOff>584200</xdr:colOff>
      <xdr:row>52</xdr:row>
      <xdr:rowOff>69850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6048600-A604-467C-BD62-1BA4F649B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400050</xdr:colOff>
      <xdr:row>37</xdr:row>
      <xdr:rowOff>57150</xdr:rowOff>
    </xdr:from>
    <xdr:to>
      <xdr:col>50</xdr:col>
      <xdr:colOff>374650</xdr:colOff>
      <xdr:row>52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91EBA6-2BF7-4CD1-88B9-691866416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0</xdr:colOff>
      <xdr:row>53</xdr:row>
      <xdr:rowOff>0</xdr:rowOff>
    </xdr:from>
    <xdr:to>
      <xdr:col>39</xdr:col>
      <xdr:colOff>581025</xdr:colOff>
      <xdr:row>68</xdr:row>
      <xdr:rowOff>66675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78B52AE-A811-4DCB-AF55-62D201C6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400050</xdr:colOff>
      <xdr:row>53</xdr:row>
      <xdr:rowOff>57150</xdr:rowOff>
    </xdr:from>
    <xdr:to>
      <xdr:col>50</xdr:col>
      <xdr:colOff>371475</xdr:colOff>
      <xdr:row>68</xdr:row>
      <xdr:rowOff>120650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686B9D1-FDF4-4034-AE61-41B8401A3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0</xdr:colOff>
      <xdr:row>69</xdr:row>
      <xdr:rowOff>0</xdr:rowOff>
    </xdr:from>
    <xdr:to>
      <xdr:col>39</xdr:col>
      <xdr:colOff>577850</xdr:colOff>
      <xdr:row>84</xdr:row>
      <xdr:rowOff>63500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29E1C81-6C3B-4016-BAD6-C75F7DA7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400050</xdr:colOff>
      <xdr:row>69</xdr:row>
      <xdr:rowOff>57150</xdr:rowOff>
    </xdr:from>
    <xdr:to>
      <xdr:col>50</xdr:col>
      <xdr:colOff>368300</xdr:colOff>
      <xdr:row>84</xdr:row>
      <xdr:rowOff>123825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25D6BF1-1345-4371-8B12-82D39E546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0</xdr:colOff>
      <xdr:row>85</xdr:row>
      <xdr:rowOff>0</xdr:rowOff>
    </xdr:from>
    <xdr:to>
      <xdr:col>39</xdr:col>
      <xdr:colOff>581025</xdr:colOff>
      <xdr:row>100</xdr:row>
      <xdr:rowOff>66675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37D2D1-93DA-42EF-AB03-23AE4DBC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162</xdr:col>
      <xdr:colOff>312420</xdr:colOff>
      <xdr:row>2</xdr:row>
      <xdr:rowOff>148590</xdr:rowOff>
    </xdr:from>
    <xdr:to>
      <xdr:col>171</xdr:col>
      <xdr:colOff>213360</xdr:colOff>
      <xdr:row>17</xdr:row>
      <xdr:rowOff>148590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5880D10-B402-950F-3976-51D266BEC2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162</xdr:col>
      <xdr:colOff>304800</xdr:colOff>
      <xdr:row>18</xdr:row>
      <xdr:rowOff>91440</xdr:rowOff>
    </xdr:from>
    <xdr:to>
      <xdr:col>171</xdr:col>
      <xdr:colOff>205740</xdr:colOff>
      <xdr:row>33</xdr:row>
      <xdr:rowOff>91440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3E9E868D-8E42-4A27-B6B9-307759FAE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162</xdr:col>
      <xdr:colOff>274320</xdr:colOff>
      <xdr:row>34</xdr:row>
      <xdr:rowOff>15240</xdr:rowOff>
    </xdr:from>
    <xdr:to>
      <xdr:col>171</xdr:col>
      <xdr:colOff>175260</xdr:colOff>
      <xdr:row>49</xdr:row>
      <xdr:rowOff>15240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294C211-DC78-45D2-94CB-50711AFAD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162</xdr:col>
      <xdr:colOff>487680</xdr:colOff>
      <xdr:row>49</xdr:row>
      <xdr:rowOff>114300</xdr:rowOff>
    </xdr:from>
    <xdr:to>
      <xdr:col>171</xdr:col>
      <xdr:colOff>388620</xdr:colOff>
      <xdr:row>64</xdr:row>
      <xdr:rowOff>114300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9ADDCB5-9552-4226-804A-537F6385E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163</xdr:col>
      <xdr:colOff>0</xdr:colOff>
      <xdr:row>66</xdr:row>
      <xdr:rowOff>0</xdr:rowOff>
    </xdr:from>
    <xdr:to>
      <xdr:col>171</xdr:col>
      <xdr:colOff>510540</xdr:colOff>
      <xdr:row>81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1F7E6035-3CFD-4577-A7C4-83F8BDF21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162</xdr:col>
      <xdr:colOff>601980</xdr:colOff>
      <xdr:row>81</xdr:row>
      <xdr:rowOff>68580</xdr:rowOff>
    </xdr:from>
    <xdr:to>
      <xdr:col>171</xdr:col>
      <xdr:colOff>502920</xdr:colOff>
      <xdr:row>96</xdr:row>
      <xdr:rowOff>68580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3F67F18B-6DFD-4333-8690-A38F9C084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163</xdr:col>
      <xdr:colOff>0</xdr:colOff>
      <xdr:row>97</xdr:row>
      <xdr:rowOff>0</xdr:rowOff>
    </xdr:from>
    <xdr:to>
      <xdr:col>171</xdr:col>
      <xdr:colOff>510540</xdr:colOff>
      <xdr:row>112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9E413CE5-B9E0-4291-8228-62CAE9744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163</xdr:col>
      <xdr:colOff>0</xdr:colOff>
      <xdr:row>113</xdr:row>
      <xdr:rowOff>0</xdr:rowOff>
    </xdr:from>
    <xdr:to>
      <xdr:col>171</xdr:col>
      <xdr:colOff>510540</xdr:colOff>
      <xdr:row>128</xdr:row>
      <xdr:rowOff>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9EC23CCE-A8F1-45C7-858C-570B46E3C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163</xdr:col>
      <xdr:colOff>0</xdr:colOff>
      <xdr:row>129</xdr:row>
      <xdr:rowOff>0</xdr:rowOff>
    </xdr:from>
    <xdr:to>
      <xdr:col>171</xdr:col>
      <xdr:colOff>510540</xdr:colOff>
      <xdr:row>144</xdr:row>
      <xdr:rowOff>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1BE8F31D-58F1-47CF-8997-22F07CAC3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163</xdr:col>
      <xdr:colOff>0</xdr:colOff>
      <xdr:row>145</xdr:row>
      <xdr:rowOff>0</xdr:rowOff>
    </xdr:from>
    <xdr:to>
      <xdr:col>171</xdr:col>
      <xdr:colOff>510540</xdr:colOff>
      <xdr:row>160</xdr:row>
      <xdr:rowOff>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88381AC6-DFB7-46CB-9E7D-4AE2646E7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590548</xdr:colOff>
      <xdr:row>23</xdr:row>
      <xdr:rowOff>0</xdr:rowOff>
    </xdr:from>
    <xdr:to>
      <xdr:col>34</xdr:col>
      <xdr:colOff>174268</xdr:colOff>
      <xdr:row>42</xdr:row>
      <xdr:rowOff>125280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B5EC3B-9495-4C83-B539-21FE99509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4800</xdr:colOff>
      <xdr:row>23</xdr:row>
      <xdr:rowOff>146366</xdr:rowOff>
    </xdr:from>
    <xdr:to>
      <xdr:col>30</xdr:col>
      <xdr:colOff>182880</xdr:colOff>
      <xdr:row>43</xdr:row>
      <xdr:rowOff>88766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BE4873-AC9A-4F1A-8622-D981682ED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19</xdr:row>
      <xdr:rowOff>19050</xdr:rowOff>
    </xdr:from>
    <xdr:to>
      <xdr:col>5</xdr:col>
      <xdr:colOff>1162050</xdr:colOff>
      <xdr:row>38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ABE6D6-0242-449C-804F-EB08A57BF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171449</xdr:colOff>
      <xdr:row>19</xdr:row>
      <xdr:rowOff>1</xdr:rowOff>
    </xdr:from>
    <xdr:to>
      <xdr:col>11</xdr:col>
      <xdr:colOff>1038225</xdr:colOff>
      <xdr:row>38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7FA3334-4A54-4259-B34B-CE520DA4D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47625</xdr:colOff>
      <xdr:row>19</xdr:row>
      <xdr:rowOff>0</xdr:rowOff>
    </xdr:from>
    <xdr:to>
      <xdr:col>17</xdr:col>
      <xdr:colOff>1257300</xdr:colOff>
      <xdr:row>38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23D6C72-8E4F-4F57-9EAD-4A7DD5220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44450</xdr:colOff>
      <xdr:row>19</xdr:row>
      <xdr:rowOff>0</xdr:rowOff>
    </xdr:from>
    <xdr:to>
      <xdr:col>25</xdr:col>
      <xdr:colOff>400050</xdr:colOff>
      <xdr:row>38</xdr:row>
      <xdr:rowOff>82550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B02844F-57A0-492E-A70B-299D3BA5D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44450</xdr:colOff>
      <xdr:row>19</xdr:row>
      <xdr:rowOff>0</xdr:rowOff>
    </xdr:from>
    <xdr:to>
      <xdr:col>33</xdr:col>
      <xdr:colOff>400050</xdr:colOff>
      <xdr:row>38</xdr:row>
      <xdr:rowOff>82550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FFFFFF2-3321-4EBD-9D07-5F31AED35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44450</xdr:colOff>
      <xdr:row>19</xdr:row>
      <xdr:rowOff>0</xdr:rowOff>
    </xdr:from>
    <xdr:to>
      <xdr:col>41</xdr:col>
      <xdr:colOff>400050</xdr:colOff>
      <xdr:row>38</xdr:row>
      <xdr:rowOff>82550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EFAAC19-4389-4D60-9325-72F5AAA6E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42</xdr:col>
      <xdr:colOff>57151</xdr:colOff>
      <xdr:row>19</xdr:row>
      <xdr:rowOff>19050</xdr:rowOff>
    </xdr:from>
    <xdr:to>
      <xdr:col>47</xdr:col>
      <xdr:colOff>1162050</xdr:colOff>
      <xdr:row>38</xdr:row>
      <xdr:rowOff>66674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3194531-70B0-4EE6-B2A8-2AB9ADC24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48</xdr:col>
      <xdr:colOff>47625</xdr:colOff>
      <xdr:row>19</xdr:row>
      <xdr:rowOff>0</xdr:rowOff>
    </xdr:from>
    <xdr:to>
      <xdr:col>53</xdr:col>
      <xdr:colOff>1257300</xdr:colOff>
      <xdr:row>38</xdr:row>
      <xdr:rowOff>85725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EBE3566-8DD5-4654-90A6-C8F7C0C66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54</xdr:col>
      <xdr:colOff>209550</xdr:colOff>
      <xdr:row>19</xdr:row>
      <xdr:rowOff>0</xdr:rowOff>
    </xdr:from>
    <xdr:to>
      <xdr:col>61</xdr:col>
      <xdr:colOff>400050</xdr:colOff>
      <xdr:row>38</xdr:row>
      <xdr:rowOff>85725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28C527F-6759-408E-AF2B-636E614D6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63</xdr:col>
      <xdr:colOff>44450</xdr:colOff>
      <xdr:row>19</xdr:row>
      <xdr:rowOff>0</xdr:rowOff>
    </xdr:from>
    <xdr:to>
      <xdr:col>69</xdr:col>
      <xdr:colOff>400050</xdr:colOff>
      <xdr:row>38</xdr:row>
      <xdr:rowOff>82550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BEF1397-8785-44FC-A03A-388A6B0A4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590549</xdr:colOff>
      <xdr:row>24</xdr:row>
      <xdr:rowOff>115886</xdr:rowOff>
    </xdr:from>
    <xdr:to>
      <xdr:col>36</xdr:col>
      <xdr:colOff>371474</xdr:colOff>
      <xdr:row>45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2A82C4-8E8D-4BC1-BC3C-CC0B70881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590549</xdr:colOff>
      <xdr:row>24</xdr:row>
      <xdr:rowOff>115886</xdr:rowOff>
    </xdr:from>
    <xdr:to>
      <xdr:col>34</xdr:col>
      <xdr:colOff>371474</xdr:colOff>
      <xdr:row>45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066C47-F5C4-4E97-B416-BC55D3B28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590549</xdr:colOff>
      <xdr:row>23</xdr:row>
      <xdr:rowOff>115886</xdr:rowOff>
    </xdr:from>
    <xdr:to>
      <xdr:col>32</xdr:col>
      <xdr:colOff>371474</xdr:colOff>
      <xdr:row>44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DF4510-55AB-489E-A7BB-CAAE29935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590549</xdr:colOff>
      <xdr:row>25</xdr:row>
      <xdr:rowOff>115886</xdr:rowOff>
    </xdr:from>
    <xdr:to>
      <xdr:col>34</xdr:col>
      <xdr:colOff>371474</xdr:colOff>
      <xdr:row>46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5D75B3-62E5-4DA1-9F46-B03EBF122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601979</xdr:colOff>
      <xdr:row>21</xdr:row>
      <xdr:rowOff>146366</xdr:rowOff>
    </xdr:from>
    <xdr:to>
      <xdr:col>25</xdr:col>
      <xdr:colOff>379094</xdr:colOff>
      <xdr:row>42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F22406-C6DC-48A1-BB47-9E3E66551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590549</xdr:colOff>
      <xdr:row>24</xdr:row>
      <xdr:rowOff>115886</xdr:rowOff>
    </xdr:from>
    <xdr:to>
      <xdr:col>29</xdr:col>
      <xdr:colOff>371474</xdr:colOff>
      <xdr:row>45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F41324-B7DD-424D-BD46-E7130778B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590549</xdr:colOff>
      <xdr:row>24</xdr:row>
      <xdr:rowOff>115886</xdr:rowOff>
    </xdr:from>
    <xdr:to>
      <xdr:col>36</xdr:col>
      <xdr:colOff>371474</xdr:colOff>
      <xdr:row>45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3A3652-D8BA-4966-B140-47F84806C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590549</xdr:colOff>
      <xdr:row>25</xdr:row>
      <xdr:rowOff>115886</xdr:rowOff>
    </xdr:from>
    <xdr:to>
      <xdr:col>37</xdr:col>
      <xdr:colOff>197129</xdr:colOff>
      <xdr:row>45</xdr:row>
      <xdr:rowOff>58286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F7B4F6-3CDE-CCC0-1EA6-F382F651EB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590549</xdr:colOff>
      <xdr:row>24</xdr:row>
      <xdr:rowOff>115886</xdr:rowOff>
    </xdr:from>
    <xdr:to>
      <xdr:col>34</xdr:col>
      <xdr:colOff>371474</xdr:colOff>
      <xdr:row>45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14FDF5-BC06-4B68-BA72-D885D8A4A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590549</xdr:colOff>
      <xdr:row>23</xdr:row>
      <xdr:rowOff>115886</xdr:rowOff>
    </xdr:from>
    <xdr:to>
      <xdr:col>32</xdr:col>
      <xdr:colOff>371474</xdr:colOff>
      <xdr:row>44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A30781-AF2C-49B5-A546-5035A0A53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590549</xdr:colOff>
      <xdr:row>24</xdr:row>
      <xdr:rowOff>115886</xdr:rowOff>
    </xdr:from>
    <xdr:to>
      <xdr:col>27</xdr:col>
      <xdr:colOff>371474</xdr:colOff>
      <xdr:row>45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6DD645-4EB0-4712-A0E1-6F0AC7F5C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122236</xdr:colOff>
      <xdr:row>21</xdr:row>
      <xdr:rowOff>104774</xdr:rowOff>
    </xdr:from>
    <xdr:to>
      <xdr:col>9</xdr:col>
      <xdr:colOff>776656</xdr:colOff>
      <xdr:row>43</xdr:row>
      <xdr:rowOff>16694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29512-AE9A-4F6E-8BB2-F443F8C56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228600</xdr:colOff>
      <xdr:row>21</xdr:row>
      <xdr:rowOff>63499</xdr:rowOff>
    </xdr:from>
    <xdr:to>
      <xdr:col>20</xdr:col>
      <xdr:colOff>82920</xdr:colOff>
      <xdr:row>42</xdr:row>
      <xdr:rowOff>143059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743E67A-76F8-4D05-A512-FAEDF20F3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125411</xdr:colOff>
      <xdr:row>21</xdr:row>
      <xdr:rowOff>107949</xdr:rowOff>
    </xdr:from>
    <xdr:to>
      <xdr:col>30</xdr:col>
      <xdr:colOff>200711</xdr:colOff>
      <xdr:row>43</xdr:row>
      <xdr:rowOff>19869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7679F6-3E7E-470B-8097-801CE9130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314325</xdr:colOff>
      <xdr:row>22</xdr:row>
      <xdr:rowOff>20954</xdr:rowOff>
    </xdr:from>
    <xdr:to>
      <xdr:col>69</xdr:col>
      <xdr:colOff>494625</xdr:colOff>
      <xdr:row>43</xdr:row>
      <xdr:rowOff>100514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B2AAB70-53B1-4FCB-8655-A2E6576BF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62</xdr:col>
      <xdr:colOff>256537</xdr:colOff>
      <xdr:row>44</xdr:row>
      <xdr:rowOff>57785</xdr:rowOff>
    </xdr:from>
    <xdr:to>
      <xdr:col>69</xdr:col>
      <xdr:colOff>436837</xdr:colOff>
      <xdr:row>65</xdr:row>
      <xdr:rowOff>137345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7C2F673-A745-40FF-8D7F-32C873ABA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78</xdr:col>
      <xdr:colOff>66675</xdr:colOff>
      <xdr:row>22</xdr:row>
      <xdr:rowOff>66675</xdr:rowOff>
    </xdr:from>
    <xdr:to>
      <xdr:col>85</xdr:col>
      <xdr:colOff>239355</xdr:colOff>
      <xdr:row>43</xdr:row>
      <xdr:rowOff>146235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79DBFCC-C958-4959-BCD6-BC6793962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79</xdr:col>
      <xdr:colOff>23495</xdr:colOff>
      <xdr:row>44</xdr:row>
      <xdr:rowOff>76200</xdr:rowOff>
    </xdr:from>
    <xdr:to>
      <xdr:col>86</xdr:col>
      <xdr:colOff>203795</xdr:colOff>
      <xdr:row>65</xdr:row>
      <xdr:rowOff>155760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4A21A3F-CF5F-4229-A160-040552FFB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125411</xdr:colOff>
      <xdr:row>21</xdr:row>
      <xdr:rowOff>107949</xdr:rowOff>
    </xdr:from>
    <xdr:to>
      <xdr:col>38</xdr:col>
      <xdr:colOff>368351</xdr:colOff>
      <xdr:row>43</xdr:row>
      <xdr:rowOff>19869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FAC6B1A9-7BE7-4108-AE37-74D5A9A0A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42</xdr:col>
      <xdr:colOff>125411</xdr:colOff>
      <xdr:row>21</xdr:row>
      <xdr:rowOff>107949</xdr:rowOff>
    </xdr:from>
    <xdr:to>
      <xdr:col>49</xdr:col>
      <xdr:colOff>490271</xdr:colOff>
      <xdr:row>43</xdr:row>
      <xdr:rowOff>19869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8CB5BF3C-F59E-4304-AD37-6DE8F9224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53</xdr:col>
      <xdr:colOff>125411</xdr:colOff>
      <xdr:row>21</xdr:row>
      <xdr:rowOff>107949</xdr:rowOff>
    </xdr:from>
    <xdr:to>
      <xdr:col>60</xdr:col>
      <xdr:colOff>231191</xdr:colOff>
      <xdr:row>43</xdr:row>
      <xdr:rowOff>19869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BC15894-746A-4FE9-9422-B83003141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69</xdr:col>
      <xdr:colOff>539750</xdr:colOff>
      <xdr:row>22</xdr:row>
      <xdr:rowOff>25400</xdr:rowOff>
    </xdr:from>
    <xdr:to>
      <xdr:col>78</xdr:col>
      <xdr:colOff>483830</xdr:colOff>
      <xdr:row>43</xdr:row>
      <xdr:rowOff>104960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105C5AF1-BEE9-4DB8-9BDC-C875D7D29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69</xdr:col>
      <xdr:colOff>601978</xdr:colOff>
      <xdr:row>41</xdr:row>
      <xdr:rowOff>73025</xdr:rowOff>
    </xdr:from>
    <xdr:to>
      <xdr:col>78</xdr:col>
      <xdr:colOff>546058</xdr:colOff>
      <xdr:row>62</xdr:row>
      <xdr:rowOff>152585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19BD32C6-60A3-4EDF-A3AC-C313ED8F6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87</xdr:col>
      <xdr:colOff>122236</xdr:colOff>
      <xdr:row>21</xdr:row>
      <xdr:rowOff>104774</xdr:rowOff>
    </xdr:from>
    <xdr:to>
      <xdr:col>96</xdr:col>
      <xdr:colOff>403276</xdr:colOff>
      <xdr:row>43</xdr:row>
      <xdr:rowOff>16694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A13B1112-367E-4C21-8512-1EB79916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97</xdr:col>
      <xdr:colOff>125411</xdr:colOff>
      <xdr:row>21</xdr:row>
      <xdr:rowOff>107949</xdr:rowOff>
    </xdr:from>
    <xdr:to>
      <xdr:col>106</xdr:col>
      <xdr:colOff>586740</xdr:colOff>
      <xdr:row>43</xdr:row>
      <xdr:rowOff>19869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93C30F2F-16B2-4450-A6C2-7A68C65A1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128</xdr:col>
      <xdr:colOff>167640</xdr:colOff>
      <xdr:row>21</xdr:row>
      <xdr:rowOff>135255</xdr:rowOff>
    </xdr:from>
    <xdr:to>
      <xdr:col>134</xdr:col>
      <xdr:colOff>272415</xdr:colOff>
      <xdr:row>39</xdr:row>
      <xdr:rowOff>91440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83BBC257-A3E6-463C-9FE0-9851EC772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128</xdr:col>
      <xdr:colOff>0</xdr:colOff>
      <xdr:row>40</xdr:row>
      <xdr:rowOff>149225</xdr:rowOff>
    </xdr:from>
    <xdr:to>
      <xdr:col>134</xdr:col>
      <xdr:colOff>336549</xdr:colOff>
      <xdr:row>57</xdr:row>
      <xdr:rowOff>149225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8730B1DF-A38E-44C9-9349-FB8529CFC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143</xdr:col>
      <xdr:colOff>66675</xdr:colOff>
      <xdr:row>22</xdr:row>
      <xdr:rowOff>66675</xdr:rowOff>
    </xdr:from>
    <xdr:to>
      <xdr:col>150</xdr:col>
      <xdr:colOff>292100</xdr:colOff>
      <xdr:row>40</xdr:row>
      <xdr:rowOff>92075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2D7D3BF6-3CF2-4191-8420-0CDEBC622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143</xdr:col>
      <xdr:colOff>130175</xdr:colOff>
      <xdr:row>42</xdr:row>
      <xdr:rowOff>0</xdr:rowOff>
    </xdr:from>
    <xdr:to>
      <xdr:col>150</xdr:col>
      <xdr:colOff>428625</xdr:colOff>
      <xdr:row>58</xdr:row>
      <xdr:rowOff>152400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DE03A5A7-5B81-4F13-8B07-65280C31A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118</xdr:col>
      <xdr:colOff>125411</xdr:colOff>
      <xdr:row>21</xdr:row>
      <xdr:rowOff>107949</xdr:rowOff>
    </xdr:from>
    <xdr:to>
      <xdr:col>128</xdr:col>
      <xdr:colOff>132131</xdr:colOff>
      <xdr:row>43</xdr:row>
      <xdr:rowOff>19869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956B6E4C-558D-48F6-8283-58FC4689B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134</xdr:col>
      <xdr:colOff>539750</xdr:colOff>
      <xdr:row>22</xdr:row>
      <xdr:rowOff>25400</xdr:rowOff>
    </xdr:from>
    <xdr:to>
      <xdr:col>142</xdr:col>
      <xdr:colOff>381000</xdr:colOff>
      <xdr:row>39</xdr:row>
      <xdr:rowOff>152400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A3299DA3-394A-45B4-A6DE-DCB395EB6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134</xdr:col>
      <xdr:colOff>609598</xdr:colOff>
      <xdr:row>40</xdr:row>
      <xdr:rowOff>149225</xdr:rowOff>
    </xdr:from>
    <xdr:to>
      <xdr:col>142</xdr:col>
      <xdr:colOff>438150</xdr:colOff>
      <xdr:row>57</xdr:row>
      <xdr:rowOff>149225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395625B-ECE9-42C9-8B91-2F9C8DC7B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107</xdr:col>
      <xdr:colOff>434340</xdr:colOff>
      <xdr:row>22</xdr:row>
      <xdr:rowOff>0</xdr:rowOff>
    </xdr:from>
    <xdr:to>
      <xdr:col>118</xdr:col>
      <xdr:colOff>75298</xdr:colOff>
      <xdr:row>43</xdr:row>
      <xdr:rowOff>45720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22D3782C-D931-43BA-A815-7D491DE71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144463</xdr:colOff>
      <xdr:row>41</xdr:row>
      <xdr:rowOff>125412</xdr:rowOff>
    </xdr:from>
    <xdr:to>
      <xdr:col>7</xdr:col>
      <xdr:colOff>685800</xdr:colOff>
      <xdr:row>58</xdr:row>
      <xdr:rowOff>122237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5A8F88-1688-44BB-8F87-E25241ABA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</xdr:colOff>
      <xdr:row>42</xdr:row>
      <xdr:rowOff>0</xdr:rowOff>
    </xdr:from>
    <xdr:to>
      <xdr:col>16</xdr:col>
      <xdr:colOff>304800</xdr:colOff>
      <xdr:row>59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3F0114A-1CB6-430D-B539-CF7F83C0B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390526</xdr:colOff>
      <xdr:row>41</xdr:row>
      <xdr:rowOff>149225</xdr:rowOff>
    </xdr:from>
    <xdr:to>
      <xdr:col>24</xdr:col>
      <xdr:colOff>0</xdr:colOff>
      <xdr:row>59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524EC3D-599C-471A-9006-7B36B303F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571500</xdr:colOff>
      <xdr:row>42</xdr:row>
      <xdr:rowOff>0</xdr:rowOff>
    </xdr:from>
    <xdr:to>
      <xdr:col>31</xdr:col>
      <xdr:colOff>314324</xdr:colOff>
      <xdr:row>59</xdr:row>
      <xdr:rowOff>9525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E3F9A31-BF9B-4F54-8411-0E3D668D6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571500</xdr:colOff>
      <xdr:row>42</xdr:row>
      <xdr:rowOff>0</xdr:rowOff>
    </xdr:from>
    <xdr:to>
      <xdr:col>38</xdr:col>
      <xdr:colOff>314324</xdr:colOff>
      <xdr:row>59</xdr:row>
      <xdr:rowOff>9525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7B315EC-BE3C-4C5A-8376-54A634F27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144463</xdr:colOff>
      <xdr:row>41</xdr:row>
      <xdr:rowOff>125412</xdr:rowOff>
    </xdr:from>
    <xdr:to>
      <xdr:col>47</xdr:col>
      <xdr:colOff>685800</xdr:colOff>
      <xdr:row>58</xdr:row>
      <xdr:rowOff>122237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7545540-72D9-4B63-9127-1B9A4E65E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48</xdr:col>
      <xdr:colOff>57150</xdr:colOff>
      <xdr:row>42</xdr:row>
      <xdr:rowOff>0</xdr:rowOff>
    </xdr:from>
    <xdr:to>
      <xdr:col>56</xdr:col>
      <xdr:colOff>0</xdr:colOff>
      <xdr:row>59</xdr:row>
      <xdr:rowOff>9525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BB946D6-9C08-4192-AD64-0A81C1F1E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56</xdr:col>
      <xdr:colOff>571500</xdr:colOff>
      <xdr:row>42</xdr:row>
      <xdr:rowOff>0</xdr:rowOff>
    </xdr:from>
    <xdr:to>
      <xdr:col>63</xdr:col>
      <xdr:colOff>314324</xdr:colOff>
      <xdr:row>59</xdr:row>
      <xdr:rowOff>9525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85C1C42B-A912-4220-A750-D1D3F4E7C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63</xdr:col>
      <xdr:colOff>571500</xdr:colOff>
      <xdr:row>42</xdr:row>
      <xdr:rowOff>0</xdr:rowOff>
    </xdr:from>
    <xdr:to>
      <xdr:col>70</xdr:col>
      <xdr:colOff>314324</xdr:colOff>
      <xdr:row>59</xdr:row>
      <xdr:rowOff>9525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3F428C7E-97B1-4C59-8D1D-45A421485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434975</xdr:colOff>
      <xdr:row>1</xdr:row>
      <xdr:rowOff>26987</xdr:rowOff>
    </xdr:from>
    <xdr:to>
      <xdr:col>28</xdr:col>
      <xdr:colOff>447675</xdr:colOff>
      <xdr:row>19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86C418-FE0A-44E0-8FEE-F739C5248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171450</xdr:colOff>
      <xdr:row>1</xdr:row>
      <xdr:rowOff>76200</xdr:rowOff>
    </xdr:from>
    <xdr:to>
      <xdr:col>39</xdr:col>
      <xdr:colOff>492125</xdr:colOff>
      <xdr:row>19</xdr:row>
      <xdr:rowOff>125413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A774AE9-C0D4-4747-88EB-F717CA947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171450</xdr:colOff>
      <xdr:row>1</xdr:row>
      <xdr:rowOff>114300</xdr:rowOff>
    </xdr:from>
    <xdr:to>
      <xdr:col>50</xdr:col>
      <xdr:colOff>495300</xdr:colOff>
      <xdr:row>19</xdr:row>
      <xdr:rowOff>160338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3316F3D-82C0-4FB8-9E15-6B14D8459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447675</xdr:colOff>
      <xdr:row>20</xdr:row>
      <xdr:rowOff>44450</xdr:rowOff>
    </xdr:from>
    <xdr:to>
      <xdr:col>28</xdr:col>
      <xdr:colOff>454025</xdr:colOff>
      <xdr:row>36</xdr:row>
      <xdr:rowOff>190500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DCECB3-AC59-41A4-B179-73FAB1C66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171450</xdr:colOff>
      <xdr:row>20</xdr:row>
      <xdr:rowOff>82550</xdr:rowOff>
    </xdr:from>
    <xdr:to>
      <xdr:col>39</xdr:col>
      <xdr:colOff>463550</xdr:colOff>
      <xdr:row>36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82E0820-C0F8-4489-9006-A6ABF6938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422274</xdr:colOff>
      <xdr:row>55</xdr:row>
      <xdr:rowOff>46037</xdr:rowOff>
    </xdr:from>
    <xdr:to>
      <xdr:col>28</xdr:col>
      <xdr:colOff>457199</xdr:colOff>
      <xdr:row>72</xdr:row>
      <xdr:rowOff>25400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52528FB-C856-4AFD-A931-8DC2EC23D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114300</xdr:colOff>
      <xdr:row>55</xdr:row>
      <xdr:rowOff>66675</xdr:rowOff>
    </xdr:from>
    <xdr:to>
      <xdr:col>39</xdr:col>
      <xdr:colOff>314325</xdr:colOff>
      <xdr:row>72</xdr:row>
      <xdr:rowOff>46038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EC45DD9-6085-46EB-97ED-5C1E3A0A9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523875</xdr:colOff>
      <xdr:row>55</xdr:row>
      <xdr:rowOff>123825</xdr:rowOff>
    </xdr:from>
    <xdr:to>
      <xdr:col>50</xdr:col>
      <xdr:colOff>111125</xdr:colOff>
      <xdr:row>72</xdr:row>
      <xdr:rowOff>103188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98856D7-5CC4-4029-901D-3925C8263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428625</xdr:colOff>
      <xdr:row>73</xdr:row>
      <xdr:rowOff>15875</xdr:rowOff>
    </xdr:from>
    <xdr:to>
      <xdr:col>28</xdr:col>
      <xdr:colOff>495300</xdr:colOff>
      <xdr:row>91</xdr:row>
      <xdr:rowOff>11113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94141EE-9CC1-41BE-9839-C2F1AB073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133350</xdr:colOff>
      <xdr:row>73</xdr:row>
      <xdr:rowOff>34925</xdr:rowOff>
    </xdr:from>
    <xdr:to>
      <xdr:col>39</xdr:col>
      <xdr:colOff>358775</xdr:colOff>
      <xdr:row>91</xdr:row>
      <xdr:rowOff>26988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EADD85A-AB28-4462-B1F3-DC9FC14A1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463550</xdr:colOff>
      <xdr:row>37</xdr:row>
      <xdr:rowOff>38100</xdr:rowOff>
    </xdr:from>
    <xdr:to>
      <xdr:col>28</xdr:col>
      <xdr:colOff>466725</xdr:colOff>
      <xdr:row>53</xdr:row>
      <xdr:rowOff>19050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2008F413-D98C-4431-B0C1-AE86DC3D4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434975</xdr:colOff>
      <xdr:row>92</xdr:row>
      <xdr:rowOff>88899</xdr:rowOff>
    </xdr:from>
    <xdr:to>
      <xdr:col>28</xdr:col>
      <xdr:colOff>447675</xdr:colOff>
      <xdr:row>113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8451F5C-C16A-4C56-8D62-4B46931EF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29</xdr:col>
      <xdr:colOff>171450</xdr:colOff>
      <xdr:row>37</xdr:row>
      <xdr:rowOff>0</xdr:rowOff>
    </xdr:from>
    <xdr:to>
      <xdr:col>39</xdr:col>
      <xdr:colOff>504825</xdr:colOff>
      <xdr:row>52</xdr:row>
      <xdr:rowOff>142875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52DB2DC6-6AA9-4D37-8786-F703DAA29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</xdr:col>
      <xdr:colOff>139700</xdr:colOff>
      <xdr:row>92</xdr:row>
      <xdr:rowOff>44450</xdr:rowOff>
    </xdr:from>
    <xdr:to>
      <xdr:col>39</xdr:col>
      <xdr:colOff>428625</xdr:colOff>
      <xdr:row>112</xdr:row>
      <xdr:rowOff>142876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4B840B0-26A7-45D0-9554-8DBCFCB7C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434975</xdr:colOff>
      <xdr:row>116</xdr:row>
      <xdr:rowOff>26987</xdr:rowOff>
    </xdr:from>
    <xdr:to>
      <xdr:col>28</xdr:col>
      <xdr:colOff>447675</xdr:colOff>
      <xdr:row>134</xdr:row>
      <xdr:rowOff>76200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743EDC78-5276-41E8-AA17-52F138CB0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29</xdr:col>
      <xdr:colOff>171450</xdr:colOff>
      <xdr:row>116</xdr:row>
      <xdr:rowOff>76200</xdr:rowOff>
    </xdr:from>
    <xdr:to>
      <xdr:col>39</xdr:col>
      <xdr:colOff>492125</xdr:colOff>
      <xdr:row>134</xdr:row>
      <xdr:rowOff>125413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15B4D6B9-E1E4-4053-91BA-D3BABE173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40</xdr:col>
      <xdr:colOff>171450</xdr:colOff>
      <xdr:row>116</xdr:row>
      <xdr:rowOff>114300</xdr:rowOff>
    </xdr:from>
    <xdr:to>
      <xdr:col>50</xdr:col>
      <xdr:colOff>495300</xdr:colOff>
      <xdr:row>134</xdr:row>
      <xdr:rowOff>160338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2BF7760-1AB5-43AC-8FAC-00BA3E68E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444500</xdr:colOff>
      <xdr:row>135</xdr:row>
      <xdr:rowOff>47625</xdr:rowOff>
    </xdr:from>
    <xdr:to>
      <xdr:col>28</xdr:col>
      <xdr:colOff>454025</xdr:colOff>
      <xdr:row>151</xdr:row>
      <xdr:rowOff>190500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9639B91F-E19A-4DDB-BFF8-27C59FA43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171450</xdr:colOff>
      <xdr:row>135</xdr:row>
      <xdr:rowOff>82550</xdr:rowOff>
    </xdr:from>
    <xdr:to>
      <xdr:col>39</xdr:col>
      <xdr:colOff>463550</xdr:colOff>
      <xdr:row>151</xdr:row>
      <xdr:rowOff>123825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994FAEC0-0A11-4E39-80F2-DFDFC9090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463550</xdr:colOff>
      <xdr:row>152</xdr:row>
      <xdr:rowOff>38100</xdr:rowOff>
    </xdr:from>
    <xdr:to>
      <xdr:col>28</xdr:col>
      <xdr:colOff>466725</xdr:colOff>
      <xdr:row>168</xdr:row>
      <xdr:rowOff>19050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CB25022B-5625-446A-9A67-166F982F5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29</xdr:col>
      <xdr:colOff>171450</xdr:colOff>
      <xdr:row>152</xdr:row>
      <xdr:rowOff>0</xdr:rowOff>
    </xdr:from>
    <xdr:to>
      <xdr:col>39</xdr:col>
      <xdr:colOff>504825</xdr:colOff>
      <xdr:row>167</xdr:row>
      <xdr:rowOff>142875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31EE0536-7B79-49CB-B108-BBCD2746B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590549</xdr:colOff>
      <xdr:row>24</xdr:row>
      <xdr:rowOff>115886</xdr:rowOff>
    </xdr:from>
    <xdr:to>
      <xdr:col>36</xdr:col>
      <xdr:colOff>265709</xdr:colOff>
      <xdr:row>44</xdr:row>
      <xdr:rowOff>58286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1B0638-690C-4C3C-B909-C624FBB39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533400</xdr:colOff>
      <xdr:row>24</xdr:row>
      <xdr:rowOff>137160</xdr:rowOff>
    </xdr:from>
    <xdr:to>
      <xdr:col>33</xdr:col>
      <xdr:colOff>513360</xdr:colOff>
      <xdr:row>44</xdr:row>
      <xdr:rowOff>79560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814C2D-F4B3-4891-92A9-31B1417A1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25</xdr:row>
      <xdr:rowOff>152400</xdr:rowOff>
    </xdr:from>
    <xdr:to>
      <xdr:col>36</xdr:col>
      <xdr:colOff>284760</xdr:colOff>
      <xdr:row>45</xdr:row>
      <xdr:rowOff>94800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E4875F-AD67-4C4F-8F7A-17F395570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590548</xdr:colOff>
      <xdr:row>24</xdr:row>
      <xdr:rowOff>115886</xdr:rowOff>
    </xdr:from>
    <xdr:to>
      <xdr:col>28</xdr:col>
      <xdr:colOff>265708</xdr:colOff>
      <xdr:row>44</xdr:row>
      <xdr:rowOff>58286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C17617-53DB-4423-AEA1-702E1DBBA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590548</xdr:colOff>
      <xdr:row>24</xdr:row>
      <xdr:rowOff>115886</xdr:rowOff>
    </xdr:from>
    <xdr:to>
      <xdr:col>32</xdr:col>
      <xdr:colOff>265708</xdr:colOff>
      <xdr:row>44</xdr:row>
      <xdr:rowOff>58286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B2A15F-FACB-4C91-8488-76030969D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590548</xdr:colOff>
      <xdr:row>24</xdr:row>
      <xdr:rowOff>115886</xdr:rowOff>
    </xdr:from>
    <xdr:to>
      <xdr:col>38</xdr:col>
      <xdr:colOff>265708</xdr:colOff>
      <xdr:row>44</xdr:row>
      <xdr:rowOff>58286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67C7CD-A55A-41CD-9F11-329B0A5D2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590548</xdr:colOff>
      <xdr:row>24</xdr:row>
      <xdr:rowOff>115886</xdr:rowOff>
    </xdr:from>
    <xdr:to>
      <xdr:col>36</xdr:col>
      <xdr:colOff>265708</xdr:colOff>
      <xdr:row>44</xdr:row>
      <xdr:rowOff>58286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CECE2F-1AE3-4EAF-8B2B-AD0F5DB54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s://council.cleanairpartnership.org/wp-content/uploads/2021/11/2-21-050-EV-Charging-Performance-Requirements-in-GTHA.pdf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hyperlink" Target="https://council.cleanairpartnership.org/wp-content/uploads/2021/11/2-21-050-EV-Charging-Performance-Requirements-in-GTHA.pdf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s://oee.nrcan.gc.ca/pml-lmp/index.cfm?language_langue=en&amp;action=app.search-recherche&amp;appliance=ASHP1_GH&amp;_gl=1*22c7uc*_ga*MTkyNTkxMzczNi4xNjg5MDg1ODA2*_ga_C2N57Y7DX5*MTcxNTM1MDU3Ni40My4xLjE3MTUzNTA1ODAuMC4wLjA.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hyperlink" Target="https://ieso.ca/Sector-Participants/Energy-Efficiency/2025-2036-Electricity-Demand-Side-Management-Framework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data.ontario.ca/dataset/population-projections/resource/03abe0d5-0995-4ce2-ad9d-e904d50106a5" TargetMode="External"/><Relationship Id="rId2" Type="http://schemas.openxmlformats.org/officeDocument/2006/relationships/hyperlink" Target="https://www.durham.ca/en/living-here/resources/Documents/2024-INFO-80-Monitoring-of-Growth-Trends.pdf" TargetMode="External"/><Relationship Id="rId1" Type="http://schemas.openxmlformats.org/officeDocument/2006/relationships/hyperlink" Target="https://www.durham.ca/en/doing-business/resources/Documents/PlanningandDevelopment/Envision-Durham/Adopted-Durham-ROP.pdf" TargetMode="External"/><Relationship Id="rId4" Type="http://schemas.openxmlformats.org/officeDocument/2006/relationships/hyperlink" Target="https://pub-durhamregion.escribemeetings.com/filestream.ashx?DocumentId=8377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5733D-5597-415A-966A-BCCEBF216FB7}">
  <sheetPr codeName="Sheet4">
    <tabColor rgb="FF0070C0"/>
  </sheetPr>
  <dimension ref="A1:AP77"/>
  <sheetViews>
    <sheetView tabSelected="1" zoomScale="115" zoomScaleNormal="115" workbookViewId="0">
      <selection activeCell="G25" sqref="G25"/>
    </sheetView>
  </sheetViews>
  <sheetFormatPr defaultRowHeight="14.5"/>
  <cols>
    <col min="1" max="1" width="8.81640625" style="237"/>
    <col min="2" max="2" width="23.1796875" bestFit="1" customWidth="1"/>
    <col min="3" max="5" width="15.1796875" bestFit="1" customWidth="1"/>
    <col min="6" max="6" width="13.81640625" customWidth="1"/>
    <col min="7" max="10" width="18.1796875" bestFit="1" customWidth="1"/>
    <col min="11" max="11" width="14.1796875" style="237" customWidth="1"/>
    <col min="12" max="12" width="23.1796875" bestFit="1" customWidth="1"/>
    <col min="13" max="14" width="15.1796875" bestFit="1" customWidth="1"/>
    <col min="15" max="20" width="14.1796875" bestFit="1" customWidth="1"/>
    <col min="22" max="22" width="23.1796875" bestFit="1" customWidth="1"/>
    <col min="23" max="23" width="15.1796875" bestFit="1" customWidth="1"/>
    <col min="24" max="30" width="13.1796875" bestFit="1" customWidth="1"/>
    <col min="31" max="42" width="8.81640625" style="237"/>
  </cols>
  <sheetData>
    <row r="1" spans="2:41" s="237" customFormat="1"/>
    <row r="2" spans="2:41" s="478" customFormat="1">
      <c r="B2" s="788" t="s">
        <v>0</v>
      </c>
      <c r="C2" s="788"/>
      <c r="D2" s="788"/>
      <c r="E2" s="788"/>
      <c r="F2" s="788"/>
      <c r="G2" s="788"/>
      <c r="H2" s="788"/>
      <c r="I2" s="788"/>
      <c r="J2" s="788"/>
      <c r="O2" s="478" t="s">
        <v>1</v>
      </c>
      <c r="X2" s="478" t="s">
        <v>2</v>
      </c>
    </row>
    <row r="3" spans="2:41" s="237" customFormat="1" ht="15" thickBot="1"/>
    <row r="4" spans="2:41">
      <c r="B4" s="55" t="s">
        <v>3</v>
      </c>
      <c r="C4" s="592" t="s">
        <v>4</v>
      </c>
      <c r="D4" s="54" t="s">
        <v>5</v>
      </c>
      <c r="E4" s="54" t="s">
        <v>6</v>
      </c>
      <c r="F4" s="54" t="s">
        <v>7</v>
      </c>
      <c r="G4" s="54" t="s">
        <v>8</v>
      </c>
      <c r="H4" s="54" t="s">
        <v>9</v>
      </c>
      <c r="I4" s="54" t="s">
        <v>10</v>
      </c>
      <c r="J4" s="53" t="s">
        <v>11</v>
      </c>
      <c r="K4" s="590"/>
      <c r="L4" s="55" t="s">
        <v>3</v>
      </c>
      <c r="M4" s="592" t="s">
        <v>4</v>
      </c>
      <c r="N4" s="54" t="s">
        <v>5</v>
      </c>
      <c r="O4" s="54" t="s">
        <v>6</v>
      </c>
      <c r="P4" s="54" t="s">
        <v>7</v>
      </c>
      <c r="Q4" s="54" t="s">
        <v>8</v>
      </c>
      <c r="R4" s="54" t="s">
        <v>9</v>
      </c>
      <c r="S4" s="54" t="s">
        <v>10</v>
      </c>
      <c r="T4" s="53" t="s">
        <v>11</v>
      </c>
      <c r="V4" s="55" t="s">
        <v>3</v>
      </c>
      <c r="W4" s="592" t="s">
        <v>4</v>
      </c>
      <c r="X4" s="54" t="s">
        <v>5</v>
      </c>
      <c r="Y4" s="54" t="s">
        <v>6</v>
      </c>
      <c r="Z4" s="54" t="s">
        <v>7</v>
      </c>
      <c r="AA4" s="54" t="s">
        <v>8</v>
      </c>
      <c r="AB4" s="54" t="s">
        <v>9</v>
      </c>
      <c r="AC4" s="54" t="s">
        <v>10</v>
      </c>
      <c r="AD4" s="53" t="s">
        <v>11</v>
      </c>
    </row>
    <row r="5" spans="2:41">
      <c r="B5" s="58" t="s">
        <v>12</v>
      </c>
      <c r="C5" s="51">
        <f ca="1">'Overall Load Summary'!K118</f>
        <v>1397464515.4222105</v>
      </c>
      <c r="D5" s="51">
        <f ca="1">'Overall Load Summary'!L118</f>
        <v>1431706562.7851419</v>
      </c>
      <c r="E5" s="51">
        <f ca="1">'Overall Load Summary'!M118</f>
        <v>1463248753.7425632</v>
      </c>
      <c r="F5" s="51">
        <f ca="1">'Overall Load Summary'!N118</f>
        <v>1488238594.2903113</v>
      </c>
      <c r="G5" s="51">
        <f ca="1">'Overall Load Summary'!O118</f>
        <v>1513735022.8510861</v>
      </c>
      <c r="H5" s="51">
        <f ca="1">'Overall Load Summary'!P118</f>
        <v>1538539852.4418883</v>
      </c>
      <c r="I5" s="51">
        <f ca="1">'Overall Load Summary'!Q118</f>
        <v>1572032734.82868</v>
      </c>
      <c r="J5" s="59">
        <f ca="1">'Overall Load Summary'!R118</f>
        <v>1605702006.6028969</v>
      </c>
      <c r="K5" s="482"/>
      <c r="L5" s="58" t="s">
        <v>12</v>
      </c>
      <c r="M5" s="51">
        <f ca="1">'Overall Load Summary'!K3</f>
        <v>1004549490.8056266</v>
      </c>
      <c r="N5" s="51">
        <f ca="1">'Overall Load Summary'!L3</f>
        <v>1029025835.5756625</v>
      </c>
      <c r="O5" s="51">
        <f ca="1">'Overall Load Summary'!M3</f>
        <v>1052966743.2526804</v>
      </c>
      <c r="P5" s="51">
        <f ca="1">'Overall Load Summary'!N3</f>
        <v>1069640326.8111155</v>
      </c>
      <c r="Q5" s="51">
        <f ca="1">'Overall Load Summary'!O3</f>
        <v>1088420959.685971</v>
      </c>
      <c r="R5" s="51">
        <f ca="1">'Overall Load Summary'!P3</f>
        <v>1105068058.1955798</v>
      </c>
      <c r="S5" s="51">
        <f ca="1">'Overall Load Summary'!Q3</f>
        <v>1127380913.4028563</v>
      </c>
      <c r="T5" s="59">
        <f ca="1">'Overall Load Summary'!R3</f>
        <v>1151178912.4929533</v>
      </c>
      <c r="U5" s="527"/>
      <c r="V5" s="58" t="s">
        <v>12</v>
      </c>
      <c r="W5" s="51">
        <f ca="1">'Overall Load Summary'!K57</f>
        <v>392915024.61658382</v>
      </c>
      <c r="X5" s="51">
        <f ca="1">'Overall Load Summary'!L57</f>
        <v>402680727.20947945</v>
      </c>
      <c r="Y5" s="51">
        <f ca="1">'Overall Load Summary'!M57</f>
        <v>410282010.48988271</v>
      </c>
      <c r="Z5" s="51">
        <f ca="1">'Overall Load Summary'!N57</f>
        <v>418598267.47919571</v>
      </c>
      <c r="AA5" s="51">
        <f ca="1">'Overall Load Summary'!O57</f>
        <v>425314063.16511506</v>
      </c>
      <c r="AB5" s="51">
        <f ca="1">'Overall Load Summary'!P57</f>
        <v>433471794.24630857</v>
      </c>
      <c r="AC5" s="51">
        <f ca="1">'Overall Load Summary'!Q57</f>
        <v>444651821.42582357</v>
      </c>
      <c r="AD5" s="59">
        <f ca="1">'Overall Load Summary'!R57</f>
        <v>454523094.10994363</v>
      </c>
      <c r="AE5" s="527"/>
      <c r="AF5" s="297"/>
      <c r="AG5" s="297"/>
      <c r="AH5" s="297"/>
      <c r="AI5" s="297"/>
      <c r="AJ5" s="297"/>
      <c r="AK5" s="297"/>
      <c r="AL5" s="297"/>
      <c r="AM5" s="297"/>
      <c r="AN5" s="297"/>
      <c r="AO5" s="297"/>
    </row>
    <row r="6" spans="2:41">
      <c r="B6" s="58" t="s">
        <v>13</v>
      </c>
      <c r="C6" s="51">
        <f ca="1">'Overall Load Summary'!K119</f>
        <v>11668301.471916554</v>
      </c>
      <c r="D6" s="51">
        <f ca="1">'Overall Load Summary'!L119</f>
        <v>12704009.788637662</v>
      </c>
      <c r="E6" s="51">
        <f ca="1">'Overall Load Summary'!M119</f>
        <v>12668616.88924998</v>
      </c>
      <c r="F6" s="51">
        <f ca="1">'Overall Load Summary'!N119</f>
        <v>13098093.680488765</v>
      </c>
      <c r="G6" s="51">
        <f ca="1">'Overall Load Summary'!O119</f>
        <v>13453586.472312599</v>
      </c>
      <c r="H6" s="51">
        <f ca="1">'Overall Load Summary'!P119</f>
        <v>13869843.856722418</v>
      </c>
      <c r="I6" s="51">
        <f ca="1">'Overall Load Summary'!Q119</f>
        <v>14368853.521388374</v>
      </c>
      <c r="J6" s="59">
        <f ca="1">'Overall Load Summary'!R119</f>
        <v>14809342.656845005</v>
      </c>
      <c r="K6" s="482"/>
      <c r="L6" s="58" t="s">
        <v>13</v>
      </c>
      <c r="M6" s="51">
        <f ca="1">'Overall Load Summary'!K4</f>
        <v>11668301.471916554</v>
      </c>
      <c r="N6" s="51">
        <f ca="1">'Overall Load Summary'!L4</f>
        <v>12704009.788637662</v>
      </c>
      <c r="O6" s="51">
        <f ca="1">'Overall Load Summary'!M4</f>
        <v>12668616.88924998</v>
      </c>
      <c r="P6" s="51">
        <f ca="1">'Overall Load Summary'!N4</f>
        <v>13098093.680488765</v>
      </c>
      <c r="Q6" s="51">
        <f ca="1">'Overall Load Summary'!O4</f>
        <v>13453586.472312599</v>
      </c>
      <c r="R6" s="51">
        <f ca="1">'Overall Load Summary'!P4</f>
        <v>13869843.856722418</v>
      </c>
      <c r="S6" s="51">
        <f ca="1">'Overall Load Summary'!Q4</f>
        <v>14368853.521388374</v>
      </c>
      <c r="T6" s="59">
        <f ca="1">'Overall Load Summary'!R4</f>
        <v>14809342.656845005</v>
      </c>
      <c r="U6" s="527"/>
      <c r="V6" s="475" t="s">
        <v>13</v>
      </c>
      <c r="W6" s="51"/>
      <c r="X6" s="51"/>
      <c r="Y6" s="51"/>
      <c r="Z6" s="51"/>
      <c r="AA6" s="51"/>
      <c r="AB6" s="51"/>
      <c r="AC6" s="51"/>
      <c r="AD6" s="59"/>
      <c r="AE6" s="527"/>
      <c r="AF6" s="297"/>
      <c r="AG6" s="297"/>
      <c r="AH6" s="297"/>
      <c r="AI6" s="297"/>
      <c r="AJ6" s="297"/>
      <c r="AK6" s="297"/>
      <c r="AL6" s="297"/>
      <c r="AM6" s="297"/>
      <c r="AN6" s="297"/>
      <c r="AO6" s="297"/>
    </row>
    <row r="7" spans="2:41">
      <c r="B7" s="58" t="s">
        <v>14</v>
      </c>
      <c r="C7" s="51">
        <f ca="1">'Overall Load Summary'!K120</f>
        <v>330257787.06055099</v>
      </c>
      <c r="D7" s="51">
        <f ca="1">'Overall Load Summary'!L120</f>
        <v>334472924.8429631</v>
      </c>
      <c r="E7" s="51">
        <f ca="1">'Overall Load Summary'!M120</f>
        <v>359353991.95934331</v>
      </c>
      <c r="F7" s="51">
        <f ca="1">'Overall Load Summary'!N120</f>
        <v>359437880.82205194</v>
      </c>
      <c r="G7" s="51">
        <f ca="1">'Overall Load Summary'!O120</f>
        <v>358097513.91528559</v>
      </c>
      <c r="H7" s="51">
        <f ca="1">'Overall Load Summary'!P120</f>
        <v>357895100.39429229</v>
      </c>
      <c r="I7" s="51">
        <f ca="1">'Overall Load Summary'!Q120</f>
        <v>358082662.44900864</v>
      </c>
      <c r="J7" s="59">
        <f ca="1">'Overall Load Summary'!R120</f>
        <v>360015336.731493</v>
      </c>
      <c r="K7" s="482"/>
      <c r="L7" s="58" t="s">
        <v>14</v>
      </c>
      <c r="M7" s="51">
        <f ca="1">'Overall Load Summary'!K5</f>
        <v>245688514.14038527</v>
      </c>
      <c r="N7" s="51">
        <f ca="1">'Overall Load Summary'!L5</f>
        <v>250378458.48071903</v>
      </c>
      <c r="O7" s="51">
        <f ca="1">'Overall Load Summary'!M5</f>
        <v>265265899.99815881</v>
      </c>
      <c r="P7" s="51">
        <f ca="1">'Overall Load Summary'!N5</f>
        <v>265162520.32773042</v>
      </c>
      <c r="Q7" s="51">
        <f ca="1">'Overall Load Summary'!O5</f>
        <v>263940255.64234325</v>
      </c>
      <c r="R7" s="51">
        <f ca="1">'Overall Load Summary'!P5</f>
        <v>263464475.92419034</v>
      </c>
      <c r="S7" s="51">
        <f ca="1">'Overall Load Summary'!Q5</f>
        <v>263221892.25943616</v>
      </c>
      <c r="T7" s="59">
        <f ca="1">'Overall Load Summary'!R5</f>
        <v>264555061.25466838</v>
      </c>
      <c r="U7" s="527"/>
      <c r="V7" s="58" t="s">
        <v>14</v>
      </c>
      <c r="W7" s="51">
        <f ca="1">'Overall Load Summary'!K58</f>
        <v>84569272.920165718</v>
      </c>
      <c r="X7" s="51">
        <f ca="1">'Overall Load Summary'!L58</f>
        <v>84094466.362244099</v>
      </c>
      <c r="Y7" s="51">
        <f ca="1">'Overall Load Summary'!M58</f>
        <v>94088091.961184472</v>
      </c>
      <c r="Z7" s="51">
        <f ca="1">'Overall Load Summary'!N58</f>
        <v>94275360.494321525</v>
      </c>
      <c r="AA7" s="51">
        <f ca="1">'Overall Load Summary'!O58</f>
        <v>94157258.272942349</v>
      </c>
      <c r="AB7" s="51">
        <f ca="1">'Overall Load Summary'!P58</f>
        <v>94430624.470101967</v>
      </c>
      <c r="AC7" s="51">
        <f ca="1">'Overall Load Summary'!Q58</f>
        <v>94860770.189572483</v>
      </c>
      <c r="AD7" s="59">
        <f ca="1">'Overall Load Summary'!R58</f>
        <v>95460275.476824641</v>
      </c>
      <c r="AE7" s="527"/>
      <c r="AF7" s="297"/>
      <c r="AG7" s="297"/>
      <c r="AH7" s="297"/>
      <c r="AI7" s="297"/>
      <c r="AJ7" s="297"/>
      <c r="AK7" s="297"/>
      <c r="AL7" s="297"/>
      <c r="AM7" s="297"/>
      <c r="AN7" s="297"/>
      <c r="AO7" s="297"/>
    </row>
    <row r="8" spans="2:41">
      <c r="B8" s="58" t="s">
        <v>15</v>
      </c>
      <c r="C8" s="51">
        <f ca="1">'Overall Load Summary'!K121</f>
        <v>1250156548.0347433</v>
      </c>
      <c r="D8" s="51">
        <f ca="1">'Overall Load Summary'!L121</f>
        <v>1270423062.1715984</v>
      </c>
      <c r="E8" s="51">
        <f ca="1">'Overall Load Summary'!M121</f>
        <v>1298246990.6935096</v>
      </c>
      <c r="F8" s="51">
        <f ca="1">'Overall Load Summary'!N121</f>
        <v>1374577263.611691</v>
      </c>
      <c r="G8" s="51">
        <f ca="1">'Overall Load Summary'!O121</f>
        <v>1393842049.6814268</v>
      </c>
      <c r="H8" s="51">
        <f ca="1">'Overall Load Summary'!P121</f>
        <v>1405892065.9648194</v>
      </c>
      <c r="I8" s="51">
        <f ca="1">'Overall Load Summary'!Q121</f>
        <v>1406860913.9037676</v>
      </c>
      <c r="J8" s="59">
        <f ca="1">'Overall Load Summary'!R121</f>
        <v>1413882207.7429035</v>
      </c>
      <c r="K8" s="482"/>
      <c r="L8" s="58" t="s">
        <v>15</v>
      </c>
      <c r="M8" s="51">
        <f ca="1">'Overall Load Summary'!K6</f>
        <v>926699529.78917146</v>
      </c>
      <c r="N8" s="51">
        <f ca="1">'Overall Load Summary'!L6</f>
        <v>928770254.56307244</v>
      </c>
      <c r="O8" s="51">
        <f ca="1">'Overall Load Summary'!M6</f>
        <v>963798335.51313102</v>
      </c>
      <c r="P8" s="51">
        <f ca="1">'Overall Load Summary'!N6</f>
        <v>1013142478.7445124</v>
      </c>
      <c r="Q8" s="51">
        <f ca="1">'Overall Load Summary'!O6</f>
        <v>1022487004.5647374</v>
      </c>
      <c r="R8" s="51">
        <f ca="1">'Overall Load Summary'!P6</f>
        <v>1028481560.0836257</v>
      </c>
      <c r="S8" s="51">
        <f ca="1">'Overall Load Summary'!Q6</f>
        <v>1026063146.0430988</v>
      </c>
      <c r="T8" s="59">
        <f ca="1">'Overall Load Summary'!R6</f>
        <v>1030923895.7654021</v>
      </c>
      <c r="U8" s="527"/>
      <c r="V8" s="58" t="s">
        <v>15</v>
      </c>
      <c r="W8" s="51">
        <f ca="1">'Overall Load Summary'!K59</f>
        <v>323457018.24557191</v>
      </c>
      <c r="X8" s="51">
        <f ca="1">'Overall Load Summary'!L59</f>
        <v>341652807.60852599</v>
      </c>
      <c r="Y8" s="51">
        <f ca="1">'Overall Load Summary'!M59</f>
        <v>334448655.18037844</v>
      </c>
      <c r="Z8" s="51">
        <f ca="1">'Overall Load Summary'!N59</f>
        <v>361434784.86717868</v>
      </c>
      <c r="AA8" s="51">
        <f ca="1">'Overall Load Summary'!O59</f>
        <v>371355045.11668926</v>
      </c>
      <c r="AB8" s="51">
        <f ca="1">'Overall Load Summary'!P59</f>
        <v>377410505.88119364</v>
      </c>
      <c r="AC8" s="51">
        <f ca="1">'Overall Load Summary'!Q59</f>
        <v>380797767.86066872</v>
      </c>
      <c r="AD8" s="59">
        <f ca="1">'Overall Load Summary'!R59</f>
        <v>382958311.97750133</v>
      </c>
      <c r="AE8" s="527"/>
      <c r="AF8" s="297"/>
      <c r="AG8" s="297"/>
      <c r="AH8" s="297"/>
      <c r="AI8" s="297"/>
      <c r="AJ8" s="297"/>
      <c r="AK8" s="297"/>
      <c r="AL8" s="297"/>
      <c r="AM8" s="297"/>
      <c r="AN8" s="297"/>
      <c r="AO8" s="297"/>
    </row>
    <row r="9" spans="2:41">
      <c r="B9" s="58" t="s">
        <v>16</v>
      </c>
      <c r="C9" s="51">
        <f ca="1">'Overall Load Summary'!K122</f>
        <v>174171911.11142981</v>
      </c>
      <c r="D9" s="51">
        <f ca="1">'Overall Load Summary'!L122</f>
        <v>174879955.26778632</v>
      </c>
      <c r="E9" s="51">
        <f ca="1">'Overall Load Summary'!M122</f>
        <v>211242323.66371125</v>
      </c>
      <c r="F9" s="51">
        <f ca="1">'Overall Load Summary'!N122</f>
        <v>260192691.21137184</v>
      </c>
      <c r="G9" s="51">
        <f ca="1">'Overall Load Summary'!O122</f>
        <v>291193302.48238587</v>
      </c>
      <c r="H9" s="51">
        <f ca="1">'Overall Load Summary'!P122</f>
        <v>310996735.29075933</v>
      </c>
      <c r="I9" s="51">
        <f ca="1">'Overall Load Summary'!Q122</f>
        <v>321661271.83042836</v>
      </c>
      <c r="J9" s="59">
        <f ca="1">'Overall Load Summary'!R122</f>
        <v>333787160.1006583</v>
      </c>
      <c r="K9" s="482"/>
      <c r="L9" s="58" t="s">
        <v>16</v>
      </c>
      <c r="M9" s="51">
        <f ca="1">'Overall Load Summary'!K7</f>
        <v>94679921.545373872</v>
      </c>
      <c r="N9" s="51">
        <f ca="1">'Overall Load Summary'!L7</f>
        <v>95012917.659763187</v>
      </c>
      <c r="O9" s="51">
        <f ca="1">'Overall Load Summary'!M7</f>
        <v>120544505.00295174</v>
      </c>
      <c r="P9" s="51">
        <f ca="1">'Overall Load Summary'!N7</f>
        <v>154289818.7715472</v>
      </c>
      <c r="Q9" s="51">
        <f ca="1">'Overall Load Summary'!O7</f>
        <v>179717243.71939456</v>
      </c>
      <c r="R9" s="51">
        <f ca="1">'Overall Load Summary'!P7</f>
        <v>195444232.22083339</v>
      </c>
      <c r="S9" s="51">
        <f ca="1">'Overall Load Summary'!Q7</f>
        <v>200264057.20306987</v>
      </c>
      <c r="T9" s="59">
        <f ca="1">'Overall Load Summary'!R7</f>
        <v>207528613.81570518</v>
      </c>
      <c r="U9" s="527"/>
      <c r="V9" s="58" t="s">
        <v>16</v>
      </c>
      <c r="W9" s="51">
        <f ca="1">'Overall Load Summary'!K60</f>
        <v>79491989.566055939</v>
      </c>
      <c r="X9" s="51">
        <f ca="1">'Overall Load Summary'!L60</f>
        <v>79867037.608023137</v>
      </c>
      <c r="Y9" s="51">
        <f ca="1">'Overall Load Summary'!M60</f>
        <v>90697818.660759509</v>
      </c>
      <c r="Z9" s="51">
        <f ca="1">'Overall Load Summary'!N60</f>
        <v>105902872.43982464</v>
      </c>
      <c r="AA9" s="51">
        <f ca="1">'Overall Load Summary'!O60</f>
        <v>111476058.76299128</v>
      </c>
      <c r="AB9" s="51">
        <f ca="1">'Overall Load Summary'!P60</f>
        <v>115552503.06992596</v>
      </c>
      <c r="AC9" s="51">
        <f ca="1">'Overall Load Summary'!Q60</f>
        <v>121397214.6273585</v>
      </c>
      <c r="AD9" s="59">
        <f ca="1">'Overall Load Summary'!R60</f>
        <v>126258546.28495313</v>
      </c>
      <c r="AE9" s="527"/>
      <c r="AF9" s="297"/>
      <c r="AG9" s="297"/>
      <c r="AH9" s="297"/>
      <c r="AI9" s="297"/>
      <c r="AJ9" s="297"/>
      <c r="AK9" s="297"/>
      <c r="AL9" s="297"/>
      <c r="AM9" s="297"/>
      <c r="AN9" s="297"/>
      <c r="AO9" s="297"/>
    </row>
    <row r="10" spans="2:41">
      <c r="B10" s="58" t="s">
        <v>17</v>
      </c>
      <c r="C10" s="51">
        <f ca="1">'Overall Load Summary'!K123</f>
        <v>319639648.58016247</v>
      </c>
      <c r="D10" s="51">
        <f ca="1">'Overall Load Summary'!L123</f>
        <v>320243428.7364316</v>
      </c>
      <c r="E10" s="51">
        <f ca="1">'Overall Load Summary'!M123</f>
        <v>343075152.01669252</v>
      </c>
      <c r="F10" s="51">
        <f ca="1">'Overall Load Summary'!N123</f>
        <v>409486870.75309986</v>
      </c>
      <c r="G10" s="51">
        <f ca="1">'Overall Load Summary'!O123</f>
        <v>486502046.60378212</v>
      </c>
      <c r="H10" s="51">
        <f ca="1">'Overall Load Summary'!P123</f>
        <v>530848433.28238314</v>
      </c>
      <c r="I10" s="51">
        <f ca="1">'Overall Load Summary'!Q123</f>
        <v>538574069.41898668</v>
      </c>
      <c r="J10" s="59">
        <f ca="1">'Overall Load Summary'!R123</f>
        <v>543584528.13487542</v>
      </c>
      <c r="K10" s="482"/>
      <c r="L10" s="58" t="s">
        <v>17</v>
      </c>
      <c r="M10" s="51">
        <f ca="1">'Overall Load Summary'!K8</f>
        <v>319639648.58016247</v>
      </c>
      <c r="N10" s="51">
        <f ca="1">'Overall Load Summary'!L8</f>
        <v>320243428.7364316</v>
      </c>
      <c r="O10" s="51">
        <f ca="1">'Overall Load Summary'!M8</f>
        <v>343075152.01669252</v>
      </c>
      <c r="P10" s="51">
        <f ca="1">'Overall Load Summary'!N8</f>
        <v>409486870.75309986</v>
      </c>
      <c r="Q10" s="51">
        <f ca="1">'Overall Load Summary'!O8</f>
        <v>486502046.60378212</v>
      </c>
      <c r="R10" s="51">
        <f ca="1">'Overall Load Summary'!P8</f>
        <v>530848433.28238314</v>
      </c>
      <c r="S10" s="51">
        <f ca="1">'Overall Load Summary'!Q8</f>
        <v>538574069.41898668</v>
      </c>
      <c r="T10" s="59">
        <f ca="1">'Overall Load Summary'!R8</f>
        <v>543584528.13487542</v>
      </c>
      <c r="U10" s="527"/>
      <c r="V10" s="475" t="s">
        <v>17</v>
      </c>
      <c r="W10" s="51"/>
      <c r="X10" s="51"/>
      <c r="Y10" s="51"/>
      <c r="Z10" s="51"/>
      <c r="AA10" s="51"/>
      <c r="AB10" s="51"/>
      <c r="AC10" s="51"/>
      <c r="AD10" s="59"/>
      <c r="AE10" s="527"/>
      <c r="AF10" s="297"/>
      <c r="AG10" s="297"/>
      <c r="AH10" s="297"/>
      <c r="AI10" s="297"/>
      <c r="AJ10" s="297"/>
      <c r="AK10" s="297"/>
      <c r="AL10" s="297"/>
      <c r="AM10" s="297"/>
      <c r="AN10" s="297"/>
      <c r="AO10" s="297"/>
    </row>
    <row r="11" spans="2:41">
      <c r="B11" s="58" t="s">
        <v>18</v>
      </c>
      <c r="C11" s="51">
        <f ca="1">'Overall Load Summary'!K124</f>
        <v>15133017.663432209</v>
      </c>
      <c r="D11" s="51">
        <f ca="1">'Overall Load Summary'!L124</f>
        <v>15240214.019841498</v>
      </c>
      <c r="E11" s="51">
        <f ca="1">'Overall Load Summary'!M124</f>
        <v>15431376.050526397</v>
      </c>
      <c r="F11" s="51">
        <f ca="1">'Overall Load Summary'!N124</f>
        <v>15625048.594675167</v>
      </c>
      <c r="G11" s="51">
        <f ca="1">'Overall Load Summary'!O124</f>
        <v>15821266.352647971</v>
      </c>
      <c r="H11" s="51">
        <f ca="1">'Overall Load Summary'!P124</f>
        <v>16020064.529794496</v>
      </c>
      <c r="I11" s="51">
        <f ca="1">'Overall Load Summary'!Q124</f>
        <v>16221478.844156178</v>
      </c>
      <c r="J11" s="59">
        <f ca="1">'Overall Load Summary'!R124</f>
        <v>16425545.534290673</v>
      </c>
      <c r="K11" s="482"/>
      <c r="L11" s="58" t="s">
        <v>18</v>
      </c>
      <c r="M11" s="51">
        <f ca="1">'Overall Load Summary'!K9</f>
        <v>11585951.65998855</v>
      </c>
      <c r="N11" s="51">
        <f ca="1">'Overall Load Summary'!L9</f>
        <v>11654612.020606756</v>
      </c>
      <c r="O11" s="51">
        <f ca="1">'Overall Load Summary'!M9</f>
        <v>11783218.435274247</v>
      </c>
      <c r="P11" s="51">
        <f ca="1">'Overall Load Summary'!N9</f>
        <v>11913243.997131227</v>
      </c>
      <c r="Q11" s="51">
        <f ca="1">'Overall Load Summary'!O9</f>
        <v>12044704.366195513</v>
      </c>
      <c r="R11" s="51">
        <f ca="1">'Overall Load Summary'!P9</f>
        <v>12177615.375290232</v>
      </c>
      <c r="S11" s="51">
        <f ca="1">'Overall Load Summary'!Q9</f>
        <v>12311993.031950675</v>
      </c>
      <c r="T11" s="59">
        <f ca="1">'Overall Load Summary'!R9</f>
        <v>12447853.520352231</v>
      </c>
      <c r="U11" s="527"/>
      <c r="V11" s="58" t="s">
        <v>18</v>
      </c>
      <c r="W11" s="51">
        <f ca="1">'Overall Load Summary'!K61</f>
        <v>3547066.0034436584</v>
      </c>
      <c r="X11" s="51">
        <f ca="1">'Overall Load Summary'!L61</f>
        <v>3585601.999234742</v>
      </c>
      <c r="Y11" s="51">
        <f ca="1">'Overall Load Summary'!M61</f>
        <v>3648157.6152521502</v>
      </c>
      <c r="Z11" s="51">
        <f ca="1">'Overall Load Summary'!N61</f>
        <v>3711804.5975439399</v>
      </c>
      <c r="AA11" s="51">
        <f ca="1">'Overall Load Summary'!O61</f>
        <v>3776561.9864524594</v>
      </c>
      <c r="AB11" s="51">
        <f ca="1">'Overall Load Summary'!P61</f>
        <v>3842449.1545042628</v>
      </c>
      <c r="AC11" s="51">
        <f ca="1">'Overall Load Summary'!Q61</f>
        <v>3909485.8122055032</v>
      </c>
      <c r="AD11" s="59">
        <f ca="1">'Overall Load Summary'!R61</f>
        <v>3977692.0139384423</v>
      </c>
      <c r="AE11" s="527"/>
      <c r="AF11" s="297"/>
      <c r="AG11" s="297"/>
      <c r="AH11" s="297"/>
      <c r="AI11" s="297"/>
      <c r="AJ11" s="297"/>
      <c r="AK11" s="297"/>
      <c r="AL11" s="297"/>
      <c r="AM11" s="297"/>
      <c r="AN11" s="297"/>
      <c r="AO11" s="297"/>
    </row>
    <row r="12" spans="2:41">
      <c r="B12" s="58" t="s">
        <v>19</v>
      </c>
      <c r="C12" s="51">
        <f ca="1">'Overall Load Summary'!K125</f>
        <v>91981.701123870385</v>
      </c>
      <c r="D12" s="51">
        <f ca="1">'Overall Load Summary'!L125</f>
        <v>90555.288032465556</v>
      </c>
      <c r="E12" s="51">
        <f ca="1">'Overall Load Summary'!M125</f>
        <v>88989.693845926944</v>
      </c>
      <c r="F12" s="51">
        <f ca="1">'Overall Load Summary'!N125</f>
        <v>87457.752592402147</v>
      </c>
      <c r="G12" s="51">
        <f ca="1">'Overall Load Summary'!O125</f>
        <v>85958.850155680775</v>
      </c>
      <c r="H12" s="51">
        <f ca="1">'Overall Load Summary'!P125</f>
        <v>84492.385084329959</v>
      </c>
      <c r="I12" s="51">
        <f ca="1">'Overall Load Summary'!Q125</f>
        <v>83057.768353430511</v>
      </c>
      <c r="J12" s="59">
        <f ca="1">'Overall Load Summary'!R125</f>
        <v>81654.423131114119</v>
      </c>
      <c r="K12" s="482"/>
      <c r="L12" s="58" t="s">
        <v>19</v>
      </c>
      <c r="M12" s="51">
        <f ca="1">'Overall Load Summary'!K10</f>
        <v>85942.730394962797</v>
      </c>
      <c r="N12" s="51">
        <f ca="1">'Overall Load Summary'!L10</f>
        <v>84532.818164472439</v>
      </c>
      <c r="O12" s="51">
        <f ca="1">'Overall Load Summary'!M10</f>
        <v>82878.928767326172</v>
      </c>
      <c r="P12" s="51">
        <f ca="1">'Overall Load Summary'!N10</f>
        <v>81257.397810338269</v>
      </c>
      <c r="Q12" s="51">
        <f ca="1">'Overall Load Summary'!O10</f>
        <v>79667.592198785904</v>
      </c>
      <c r="R12" s="51">
        <f ca="1">'Overall Load Summary'!P10</f>
        <v>78108.891224480496</v>
      </c>
      <c r="S12" s="51">
        <f ca="1">'Overall Load Summary'!Q10</f>
        <v>76580.686323424539</v>
      </c>
      <c r="T12" s="59">
        <f ca="1">'Overall Load Summary'!R10</f>
        <v>75082.38083820972</v>
      </c>
      <c r="U12" s="527"/>
      <c r="V12" s="58" t="s">
        <v>19</v>
      </c>
      <c r="W12" s="51">
        <f ca="1">'Overall Load Summary'!K62</f>
        <v>6038.9707289075932</v>
      </c>
      <c r="X12" s="51">
        <f ca="1">'Overall Load Summary'!L62</f>
        <v>6022.4698679931107</v>
      </c>
      <c r="Y12" s="51">
        <f ca="1">'Overall Load Summary'!M62</f>
        <v>6110.7650786007734</v>
      </c>
      <c r="Z12" s="51">
        <f ca="1">'Overall Load Summary'!N62</f>
        <v>6200.3547820638823</v>
      </c>
      <c r="AA12" s="51">
        <f ca="1">'Overall Load Summary'!O62</f>
        <v>6291.2579568948759</v>
      </c>
      <c r="AB12" s="51">
        <f ca="1">'Overall Load Summary'!P62</f>
        <v>6383.4938598494691</v>
      </c>
      <c r="AC12" s="51">
        <f ca="1">'Overall Load Summary'!Q62</f>
        <v>6477.0820300059695</v>
      </c>
      <c r="AD12" s="59">
        <f ca="1">'Overall Load Summary'!R62</f>
        <v>6572.042292904398</v>
      </c>
      <c r="AE12" s="527"/>
      <c r="AF12" s="297"/>
      <c r="AG12" s="297"/>
      <c r="AH12" s="297"/>
      <c r="AI12" s="297"/>
      <c r="AJ12" s="297"/>
      <c r="AK12" s="297"/>
      <c r="AL12" s="297"/>
      <c r="AM12" s="297"/>
      <c r="AN12" s="297"/>
      <c r="AO12" s="297"/>
    </row>
    <row r="13" spans="2:41">
      <c r="B13" s="58" t="s">
        <v>20</v>
      </c>
      <c r="C13" s="51">
        <f ca="1">'Overall Load Summary'!K126</f>
        <v>6402636.7834870443</v>
      </c>
      <c r="D13" s="51">
        <f ca="1">'Overall Load Summary'!L126</f>
        <v>6382480.4137291927</v>
      </c>
      <c r="E13" s="51">
        <f ca="1">'Overall Load Summary'!M126</f>
        <v>6509454.0958387125</v>
      </c>
      <c r="F13" s="51">
        <f ca="1">'Overall Load Summary'!N126</f>
        <v>6479773.9270868488</v>
      </c>
      <c r="G13" s="51">
        <f ca="1">'Overall Load Summary'!O126</f>
        <v>6450483.6168868821</v>
      </c>
      <c r="H13" s="51">
        <f ca="1">'Overall Load Summary'!P126</f>
        <v>6421580.5485769762</v>
      </c>
      <c r="I13" s="51">
        <f ca="1">'Overall Load Summary'!Q126</f>
        <v>6393062.1316104801</v>
      </c>
      <c r="J13" s="59">
        <f ca="1">'Overall Load Summary'!R126</f>
        <v>6364925.8013524516</v>
      </c>
      <c r="K13" s="482"/>
      <c r="L13" s="58" t="s">
        <v>20</v>
      </c>
      <c r="M13" s="51">
        <f ca="1">'Overall Load Summary'!K11</f>
        <v>4525963.0509444773</v>
      </c>
      <c r="N13" s="51">
        <f ca="1">'Overall Load Summary'!L11</f>
        <v>4511287.6741079949</v>
      </c>
      <c r="O13" s="51">
        <f ca="1">'Overall Load Summary'!M11</f>
        <v>4628438.8768212022</v>
      </c>
      <c r="P13" s="51">
        <f ca="1">'Overall Load Summary'!N11</f>
        <v>4588884.6673883721</v>
      </c>
      <c r="Q13" s="51">
        <f ca="1">'Overall Load Summary'!O11</f>
        <v>4549668.4845613791</v>
      </c>
      <c r="R13" s="51">
        <f ca="1">'Overall Load Summary'!P11</f>
        <v>4510787.4395961957</v>
      </c>
      <c r="S13" s="51">
        <f ca="1">'Overall Load Summary'!Q11</f>
        <v>4472238.6684357328</v>
      </c>
      <c r="T13" s="59">
        <f ca="1">'Overall Load Summary'!R11</f>
        <v>4434019.3314988697</v>
      </c>
      <c r="U13" s="527"/>
      <c r="V13" s="58" t="s">
        <v>20</v>
      </c>
      <c r="W13" s="51">
        <f ca="1">'Overall Load Summary'!K63</f>
        <v>1876673.7325425674</v>
      </c>
      <c r="X13" s="51">
        <f ca="1">'Overall Load Summary'!L63</f>
        <v>1871192.7396211973</v>
      </c>
      <c r="Y13" s="51">
        <f ca="1">'Overall Load Summary'!M63</f>
        <v>1881015.2190175098</v>
      </c>
      <c r="Z13" s="51">
        <f ca="1">'Overall Load Summary'!N63</f>
        <v>1890889.2596984764</v>
      </c>
      <c r="AA13" s="51">
        <f ca="1">'Overall Load Summary'!O63</f>
        <v>1900815.1323255028</v>
      </c>
      <c r="AB13" s="51">
        <f ca="1">'Overall Load Summary'!P63</f>
        <v>1910793.1089807807</v>
      </c>
      <c r="AC13" s="51">
        <f ca="1">'Overall Load Summary'!Q63</f>
        <v>1920823.4631747473</v>
      </c>
      <c r="AD13" s="59">
        <f ca="1">'Overall Load Summary'!R63</f>
        <v>1930906.4698535819</v>
      </c>
      <c r="AE13" s="527"/>
      <c r="AF13" s="297"/>
      <c r="AG13" s="297"/>
      <c r="AH13" s="297"/>
      <c r="AI13" s="297"/>
      <c r="AJ13" s="297"/>
      <c r="AK13" s="297"/>
      <c r="AL13" s="297"/>
      <c r="AM13" s="297"/>
      <c r="AN13" s="297"/>
      <c r="AO13" s="297"/>
    </row>
    <row r="14" spans="2:41" ht="15" thickBot="1">
      <c r="B14" s="57" t="s">
        <v>21</v>
      </c>
      <c r="C14" s="640">
        <f t="shared" ref="C14:J14" ca="1" si="0">SUM(C5:C13)</f>
        <v>3504986347.8290558</v>
      </c>
      <c r="D14" s="640">
        <f t="shared" ca="1" si="0"/>
        <v>3566143193.3141627</v>
      </c>
      <c r="E14" s="640">
        <f t="shared" ca="1" si="0"/>
        <v>3709865648.8052807</v>
      </c>
      <c r="F14" s="640">
        <f t="shared" ca="1" si="0"/>
        <v>3927223674.6433692</v>
      </c>
      <c r="G14" s="640">
        <f t="shared" ca="1" si="0"/>
        <v>4079181230.8259702</v>
      </c>
      <c r="H14" s="640">
        <f t="shared" ca="1" si="0"/>
        <v>4180568168.6943202</v>
      </c>
      <c r="I14" s="640">
        <f t="shared" ca="1" si="0"/>
        <v>4234278104.6963797</v>
      </c>
      <c r="J14" s="56">
        <f t="shared" ca="1" si="0"/>
        <v>4294652707.7284465</v>
      </c>
      <c r="K14" s="482"/>
      <c r="L14" s="57" t="s">
        <v>21</v>
      </c>
      <c r="M14" s="640">
        <f t="shared" ref="M14:T14" ca="1" si="1">SUM(M5:M13)</f>
        <v>2619123263.7739639</v>
      </c>
      <c r="N14" s="640">
        <f t="shared" ca="1" si="1"/>
        <v>2652385337.3171654</v>
      </c>
      <c r="O14" s="640">
        <f t="shared" ca="1" si="1"/>
        <v>2774813788.9137268</v>
      </c>
      <c r="P14" s="640">
        <f t="shared" ca="1" si="1"/>
        <v>2941403495.1508245</v>
      </c>
      <c r="Q14" s="640">
        <f t="shared" ca="1" si="1"/>
        <v>3071195137.1314974</v>
      </c>
      <c r="R14" s="640">
        <f t="shared" ca="1" si="1"/>
        <v>3153943115.2694454</v>
      </c>
      <c r="S14" s="640">
        <f t="shared" ca="1" si="1"/>
        <v>3186733744.2355456</v>
      </c>
      <c r="T14" s="56">
        <f t="shared" ca="1" si="1"/>
        <v>3229537309.3531394</v>
      </c>
      <c r="U14" s="527"/>
      <c r="V14" s="57" t="s">
        <v>21</v>
      </c>
      <c r="W14" s="640">
        <f t="shared" ref="W14:AD14" ca="1" si="2">SUM(W5:W13)</f>
        <v>885863084.05509233</v>
      </c>
      <c r="X14" s="640">
        <f t="shared" ca="1" si="2"/>
        <v>913757855.99699664</v>
      </c>
      <c r="Y14" s="640">
        <f t="shared" ca="1" si="2"/>
        <v>935051859.89155328</v>
      </c>
      <c r="Z14" s="640">
        <f t="shared" ca="1" si="2"/>
        <v>985820179.49254501</v>
      </c>
      <c r="AA14" s="640">
        <f t="shared" ca="1" si="2"/>
        <v>1007986093.6944728</v>
      </c>
      <c r="AB14" s="640">
        <f t="shared" ca="1" si="2"/>
        <v>1026625053.424875</v>
      </c>
      <c r="AC14" s="640">
        <f t="shared" ca="1" si="2"/>
        <v>1047544360.4608334</v>
      </c>
      <c r="AD14" s="56">
        <f t="shared" ca="1" si="2"/>
        <v>1065115398.3753077</v>
      </c>
      <c r="AE14" s="527"/>
      <c r="AF14" s="297"/>
      <c r="AG14" s="297"/>
      <c r="AH14" s="297"/>
      <c r="AI14" s="297"/>
      <c r="AJ14" s="297"/>
      <c r="AK14" s="297"/>
      <c r="AL14" s="297"/>
      <c r="AM14" s="297"/>
      <c r="AN14" s="297"/>
      <c r="AO14" s="297"/>
    </row>
    <row r="15" spans="2:41">
      <c r="B15" s="58" t="s">
        <v>15</v>
      </c>
      <c r="C15" s="51">
        <f ca="1">'Overall Load Summary'!K128</f>
        <v>2968530.4099999997</v>
      </c>
      <c r="D15" s="51">
        <f ca="1">'Overall Load Summary'!L128</f>
        <v>3020507.25</v>
      </c>
      <c r="E15" s="51">
        <f ca="1">'Overall Load Summary'!M128</f>
        <v>3172179.6173755559</v>
      </c>
      <c r="F15" s="51">
        <f ca="1">'Overall Load Summary'!N128</f>
        <v>3373370.3739884002</v>
      </c>
      <c r="G15" s="51">
        <f ca="1">'Overall Load Summary'!O128</f>
        <v>3438319.9465776691</v>
      </c>
      <c r="H15" s="51">
        <f ca="1">'Overall Load Summary'!P128</f>
        <v>3487763.8239200208</v>
      </c>
      <c r="I15" s="51">
        <f ca="1">'Overall Load Summary'!Q128</f>
        <v>3511956.7799961735</v>
      </c>
      <c r="J15" s="59">
        <f ca="1">'Overall Load Summary'!R128</f>
        <v>3550962.2360047465</v>
      </c>
      <c r="K15" s="482"/>
      <c r="L15" s="58" t="s">
        <v>15</v>
      </c>
      <c r="M15" s="51">
        <f ca="1">'Overall Load Summary'!K13</f>
        <v>2202593.3899999997</v>
      </c>
      <c r="N15" s="51">
        <f ca="1">'Overall Load Summary'!L13</f>
        <v>2223580.19</v>
      </c>
      <c r="O15" s="51">
        <f ca="1">'Overall Load Summary'!M13</f>
        <v>2342346.9795161951</v>
      </c>
      <c r="P15" s="51">
        <f ca="1">'Overall Load Summary'!N13</f>
        <v>2472002.527679252</v>
      </c>
      <c r="Q15" s="51">
        <f ca="1">'Overall Load Summary'!O13</f>
        <v>2506221.6534840767</v>
      </c>
      <c r="R15" s="51">
        <f ca="1">'Overall Load Summary'!P13</f>
        <v>2533597.230771916</v>
      </c>
      <c r="S15" s="51">
        <f ca="1">'Overall Load Summary'!Q13</f>
        <v>2541360.3199104858</v>
      </c>
      <c r="T15" s="59">
        <f ca="1">'Overall Load Summary'!R13</f>
        <v>2567010.5102947801</v>
      </c>
      <c r="U15" s="527"/>
      <c r="V15" s="58" t="s">
        <v>15</v>
      </c>
      <c r="W15" s="51">
        <f ca="1">'Overall Load Summary'!K65</f>
        <v>765937.02</v>
      </c>
      <c r="X15" s="51">
        <f ca="1">'Overall Load Summary'!L65</f>
        <v>796927.05999999994</v>
      </c>
      <c r="Y15" s="51">
        <f ca="1">'Overall Load Summary'!M65</f>
        <v>829832.63785936066</v>
      </c>
      <c r="Z15" s="51">
        <f ca="1">'Overall Load Summary'!N65</f>
        <v>901367.84630914801</v>
      </c>
      <c r="AA15" s="51">
        <f ca="1">'Overall Load Summary'!O65</f>
        <v>932098.29309359228</v>
      </c>
      <c r="AB15" s="51">
        <f ca="1">'Overall Load Summary'!P65</f>
        <v>954166.59314810473</v>
      </c>
      <c r="AC15" s="51">
        <f ca="1">'Overall Load Summary'!Q65</f>
        <v>970596.46008568769</v>
      </c>
      <c r="AD15" s="59">
        <f ca="1">'Overall Load Summary'!R65</f>
        <v>983951.72570996638</v>
      </c>
      <c r="AE15" s="527"/>
      <c r="AF15" s="297"/>
      <c r="AG15" s="297"/>
      <c r="AH15" s="297"/>
      <c r="AI15" s="297"/>
      <c r="AJ15" s="297"/>
      <c r="AK15" s="297"/>
      <c r="AL15" s="297"/>
      <c r="AM15" s="297"/>
      <c r="AN15" s="297"/>
      <c r="AO15" s="297"/>
    </row>
    <row r="16" spans="2:41">
      <c r="B16" s="58" t="s">
        <v>16</v>
      </c>
      <c r="C16" s="51">
        <f ca="1">'Overall Load Summary'!K129</f>
        <v>376037.78</v>
      </c>
      <c r="D16" s="51">
        <f ca="1">'Overall Load Summary'!L129</f>
        <v>369676.54000000004</v>
      </c>
      <c r="E16" s="51">
        <f ca="1">'Overall Load Summary'!M129</f>
        <v>447197.28281556279</v>
      </c>
      <c r="F16" s="51">
        <f ca="1">'Overall Load Summary'!N129</f>
        <v>555767.8972442589</v>
      </c>
      <c r="G16" s="51">
        <f ca="1">'Overall Load Summary'!O129</f>
        <v>627952.72671898268</v>
      </c>
      <c r="H16" s="51">
        <f ca="1">'Overall Load Summary'!P129</f>
        <v>675892.28529603744</v>
      </c>
      <c r="I16" s="51">
        <f ca="1">'Overall Load Summary'!Q129</f>
        <v>703057.41579171643</v>
      </c>
      <c r="J16" s="59">
        <f ca="1">'Overall Load Summary'!R129</f>
        <v>734237.24188005598</v>
      </c>
      <c r="K16" s="482"/>
      <c r="L16" s="58" t="s">
        <v>16</v>
      </c>
      <c r="M16" s="51">
        <f ca="1">'Overall Load Summary'!K14</f>
        <v>215659.85000000003</v>
      </c>
      <c r="N16" s="51">
        <f ca="1">'Overall Load Summary'!L14</f>
        <v>219427.96000000002</v>
      </c>
      <c r="O16" s="51">
        <f ca="1">'Overall Load Summary'!M14</f>
        <v>273247.33853807417</v>
      </c>
      <c r="P16" s="51">
        <f ca="1">'Overall Load Summary'!N14</f>
        <v>351396.63829019741</v>
      </c>
      <c r="Q16" s="51">
        <f ca="1">'Overall Load Summary'!O14</f>
        <v>411318.8956286746</v>
      </c>
      <c r="R16" s="51">
        <f ca="1">'Overall Load Summary'!P14</f>
        <v>449644.36124127265</v>
      </c>
      <c r="S16" s="51">
        <f ca="1">'Overall Load Summary'!Q14</f>
        <v>463427.4227972962</v>
      </c>
      <c r="T16" s="59">
        <f ca="1">'Overall Load Summary'!R14</f>
        <v>482998.27296510391</v>
      </c>
      <c r="U16" s="527"/>
      <c r="V16" s="58" t="s">
        <v>16</v>
      </c>
      <c r="W16" s="51">
        <f ca="1">'Overall Load Summary'!K66</f>
        <v>160377.93</v>
      </c>
      <c r="X16" s="51">
        <f ca="1">'Overall Load Summary'!L66</f>
        <v>150248.58000000002</v>
      </c>
      <c r="Y16" s="51">
        <f ca="1">'Overall Load Summary'!M66</f>
        <v>173949.9442774886</v>
      </c>
      <c r="Z16" s="51">
        <f ca="1">'Overall Load Summary'!N66</f>
        <v>204371.25895406152</v>
      </c>
      <c r="AA16" s="51">
        <f ca="1">'Overall Load Summary'!O66</f>
        <v>216633.83109030806</v>
      </c>
      <c r="AB16" s="51">
        <f ca="1">'Overall Load Summary'!P66</f>
        <v>226247.92405476479</v>
      </c>
      <c r="AC16" s="51">
        <f ca="1">'Overall Load Summary'!Q66</f>
        <v>239629.99299442026</v>
      </c>
      <c r="AD16" s="59">
        <f ca="1">'Overall Load Summary'!R66</f>
        <v>251238.96891495207</v>
      </c>
      <c r="AE16" s="527"/>
      <c r="AF16" s="297"/>
      <c r="AG16" s="297"/>
      <c r="AH16" s="297"/>
      <c r="AI16" s="297"/>
      <c r="AJ16" s="297"/>
      <c r="AK16" s="297"/>
      <c r="AL16" s="297"/>
      <c r="AM16" s="297"/>
      <c r="AN16" s="297"/>
      <c r="AO16" s="297"/>
    </row>
    <row r="17" spans="2:41">
      <c r="B17" s="58" t="s">
        <v>17</v>
      </c>
      <c r="C17" s="51">
        <f ca="1">'Overall Load Summary'!K130</f>
        <v>532510.09</v>
      </c>
      <c r="D17" s="51">
        <f ca="1">'Overall Load Summary'!L130</f>
        <v>539128.64</v>
      </c>
      <c r="E17" s="51">
        <f ca="1">'Overall Load Summary'!M130</f>
        <v>582754.02625610516</v>
      </c>
      <c r="F17" s="51">
        <f ca="1">'Overall Load Summary'!N130</f>
        <v>699952.55015067162</v>
      </c>
      <c r="G17" s="51">
        <f ca="1">'Overall Load Summary'!O130</f>
        <v>838837.78883968422</v>
      </c>
      <c r="H17" s="51">
        <f ca="1">'Overall Load Summary'!P130</f>
        <v>921903.83334637014</v>
      </c>
      <c r="I17" s="51">
        <f ca="1">'Overall Load Summary'!Q130</f>
        <v>941697.31207975489</v>
      </c>
      <c r="J17" s="59">
        <f ca="1">'Overall Load Summary'!R130</f>
        <v>956657.69739546173</v>
      </c>
      <c r="K17" s="482"/>
      <c r="L17" s="58" t="s">
        <v>17</v>
      </c>
      <c r="M17" s="51">
        <f ca="1">'Overall Load Summary'!K15</f>
        <v>532510.09</v>
      </c>
      <c r="N17" s="51">
        <f ca="1">'Overall Load Summary'!L15</f>
        <v>539128.64</v>
      </c>
      <c r="O17" s="51">
        <f ca="1">'Overall Load Summary'!M15</f>
        <v>582754.02625610516</v>
      </c>
      <c r="P17" s="51">
        <f ca="1">'Overall Load Summary'!N15</f>
        <v>699952.55015067162</v>
      </c>
      <c r="Q17" s="51">
        <f ca="1">'Overall Load Summary'!O15</f>
        <v>838837.78883968422</v>
      </c>
      <c r="R17" s="51">
        <f ca="1">'Overall Load Summary'!P15</f>
        <v>921903.83334637014</v>
      </c>
      <c r="S17" s="51">
        <f ca="1">'Overall Load Summary'!Q15</f>
        <v>941697.31207975489</v>
      </c>
      <c r="T17" s="59">
        <f ca="1">'Overall Load Summary'!R15</f>
        <v>956657.69739546173</v>
      </c>
      <c r="U17" s="527"/>
      <c r="V17" s="475" t="s">
        <v>17</v>
      </c>
      <c r="W17" s="51"/>
      <c r="X17" s="51"/>
      <c r="Y17" s="51"/>
      <c r="Z17" s="51"/>
      <c r="AA17" s="51"/>
      <c r="AB17" s="51"/>
      <c r="AC17" s="51"/>
      <c r="AD17" s="59"/>
      <c r="AE17" s="527"/>
      <c r="AF17" s="297"/>
      <c r="AG17" s="297"/>
      <c r="AH17" s="297"/>
      <c r="AI17" s="297"/>
      <c r="AJ17" s="297"/>
      <c r="AK17" s="297"/>
      <c r="AL17" s="297"/>
      <c r="AM17" s="297"/>
      <c r="AN17" s="297"/>
      <c r="AO17" s="297"/>
    </row>
    <row r="18" spans="2:41">
      <c r="B18" s="58" t="s">
        <v>18</v>
      </c>
      <c r="C18" s="51">
        <f ca="1">'Overall Load Summary'!K131</f>
        <v>42059.850000000006</v>
      </c>
      <c r="D18" s="51">
        <f ca="1">'Overall Load Summary'!L131</f>
        <v>42472.92</v>
      </c>
      <c r="E18" s="51">
        <f ca="1">'Overall Load Summary'!M131</f>
        <v>43004.723352675617</v>
      </c>
      <c r="F18" s="51">
        <f ca="1">'Overall Load Summary'!N131</f>
        <v>43544.269818658286</v>
      </c>
      <c r="G18" s="51">
        <f ca="1">'Overall Load Summary'!O131</f>
        <v>44090.904046101437</v>
      </c>
      <c r="H18" s="51">
        <f ca="1">'Overall Load Summary'!P131</f>
        <v>44644.724030707992</v>
      </c>
      <c r="I18" s="51">
        <f ca="1">'Overall Load Summary'!Q131</f>
        <v>45205.829194696213</v>
      </c>
      <c r="J18" s="59">
        <f ca="1">'Overall Load Summary'!R131</f>
        <v>45774.320408562664</v>
      </c>
      <c r="K18" s="482"/>
      <c r="L18" s="58" t="s">
        <v>18</v>
      </c>
      <c r="M18" s="51">
        <f ca="1">'Overall Load Summary'!K16</f>
        <v>32173.850000000002</v>
      </c>
      <c r="N18" s="51">
        <f ca="1">'Overall Load Summary'!L16</f>
        <v>32450.92</v>
      </c>
      <c r="O18" s="51">
        <f ca="1">'Overall Load Summary'!M16</f>
        <v>32867.111912563763</v>
      </c>
      <c r="P18" s="51">
        <f ca="1">'Overall Load Summary'!N16</f>
        <v>33229.794206584047</v>
      </c>
      <c r="Q18" s="51">
        <f ca="1">'Overall Load Summary'!O16</f>
        <v>33596.478630354744</v>
      </c>
      <c r="R18" s="51">
        <f ca="1">'Overall Load Summary'!P16</f>
        <v>33967.209346612253</v>
      </c>
      <c r="S18" s="51">
        <f ca="1">'Overall Load Summary'!Q16</f>
        <v>34342.031005420286</v>
      </c>
      <c r="T18" s="59">
        <f ca="1">'Overall Load Summary'!R16</f>
        <v>34720.988749547483</v>
      </c>
      <c r="U18" s="527"/>
      <c r="V18" s="58" t="s">
        <v>18</v>
      </c>
      <c r="W18" s="51">
        <f ca="1">'Overall Load Summary'!K67</f>
        <v>9886</v>
      </c>
      <c r="X18" s="51">
        <f ca="1">'Overall Load Summary'!L67</f>
        <v>10022</v>
      </c>
      <c r="Y18" s="51">
        <f ca="1">'Overall Load Summary'!M67</f>
        <v>10137.611440111856</v>
      </c>
      <c r="Z18" s="51">
        <f ca="1">'Overall Load Summary'!N67</f>
        <v>10314.47561207424</v>
      </c>
      <c r="AA18" s="51">
        <f ca="1">'Overall Load Summary'!O67</f>
        <v>10494.425415746691</v>
      </c>
      <c r="AB18" s="51">
        <f ca="1">'Overall Load Summary'!P67</f>
        <v>10677.514684095742</v>
      </c>
      <c r="AC18" s="51">
        <f ca="1">'Overall Load Summary'!Q67</f>
        <v>10863.798189275929</v>
      </c>
      <c r="AD18" s="59">
        <f ca="1">'Overall Load Summary'!R67</f>
        <v>11053.331659015181</v>
      </c>
      <c r="AE18" s="527"/>
      <c r="AF18" s="297"/>
      <c r="AG18" s="297"/>
      <c r="AH18" s="297"/>
      <c r="AI18" s="297"/>
      <c r="AJ18" s="297"/>
      <c r="AK18" s="297"/>
      <c r="AL18" s="297"/>
      <c r="AM18" s="297"/>
      <c r="AN18" s="297"/>
      <c r="AO18" s="297"/>
    </row>
    <row r="19" spans="2:41">
      <c r="B19" s="58" t="s">
        <v>19</v>
      </c>
      <c r="C19" s="51">
        <f ca="1">'Overall Load Summary'!K132</f>
        <v>685</v>
      </c>
      <c r="D19" s="51">
        <f ca="1">'Overall Load Summary'!L132</f>
        <v>674.89724884213422</v>
      </c>
      <c r="E19" s="51">
        <f ca="1">'Overall Load Summary'!M132</f>
        <v>664.52584337587575</v>
      </c>
      <c r="F19" s="51">
        <f ca="1">'Overall Load Summary'!N132</f>
        <v>654.39888952205615</v>
      </c>
      <c r="G19" s="51">
        <f ca="1">'Overall Load Summary'!O132</f>
        <v>644.51221350638025</v>
      </c>
      <c r="H19" s="51">
        <f ca="1">'Overall Load Summary'!P132</f>
        <v>634.86173214226346</v>
      </c>
      <c r="I19" s="51">
        <f ca="1">'Overall Load Summary'!Q132</f>
        <v>625.44345118936644</v>
      </c>
      <c r="J19" s="59">
        <f ca="1">'Overall Load Summary'!R132</f>
        <v>616.25346374616186</v>
      </c>
      <c r="K19" s="482"/>
      <c r="L19" s="58" t="s">
        <v>19</v>
      </c>
      <c r="M19" s="51">
        <f ca="1">'Overall Load Summary'!K17</f>
        <v>602</v>
      </c>
      <c r="N19" s="51">
        <f ca="1">'Overall Load Summary'!L17</f>
        <v>592.1240377300727</v>
      </c>
      <c r="O19" s="51">
        <f ca="1">'Overall Load Summary'!M17</f>
        <v>580.53909724113964</v>
      </c>
      <c r="P19" s="51">
        <f ca="1">'Overall Load Summary'!N17</f>
        <v>569.18081677203395</v>
      </c>
      <c r="Q19" s="51">
        <f ca="1">'Overall Load Summary'!O17</f>
        <v>558.04476170657131</v>
      </c>
      <c r="R19" s="51">
        <f ca="1">'Overall Load Summary'!P17</f>
        <v>547.12658419208481</v>
      </c>
      <c r="S19" s="51">
        <f ca="1">'Overall Load Summary'!Q17</f>
        <v>536.42202144189309</v>
      </c>
      <c r="T19" s="59">
        <f ca="1">'Overall Load Summary'!R17</f>
        <v>525.92689407097839</v>
      </c>
      <c r="U19" s="527"/>
      <c r="V19" s="58" t="s">
        <v>19</v>
      </c>
      <c r="W19" s="51">
        <f ca="1">'Overall Load Summary'!K68</f>
        <v>83</v>
      </c>
      <c r="X19" s="51">
        <f ca="1">'Overall Load Summary'!L68</f>
        <v>82.773211112061517</v>
      </c>
      <c r="Y19" s="51">
        <f ca="1">'Overall Load Summary'!M68</f>
        <v>83.986746134736094</v>
      </c>
      <c r="Z19" s="51">
        <f ca="1">'Overall Load Summary'!N68</f>
        <v>85.218072750022259</v>
      </c>
      <c r="AA19" s="51">
        <f ca="1">'Overall Load Summary'!O68</f>
        <v>86.467451799808998</v>
      </c>
      <c r="AB19" s="51">
        <f ca="1">'Overall Load Summary'!P68</f>
        <v>87.735147950178657</v>
      </c>
      <c r="AC19" s="51">
        <f ca="1">'Overall Load Summary'!Q68</f>
        <v>89.021429747473391</v>
      </c>
      <c r="AD19" s="59">
        <f ca="1">'Overall Load Summary'!R68</f>
        <v>90.326569675183435</v>
      </c>
      <c r="AE19" s="52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</row>
    <row r="20" spans="2:41" ht="15" thickBot="1">
      <c r="B20" s="57" t="s">
        <v>22</v>
      </c>
      <c r="C20" s="640">
        <f t="shared" ref="C20:J20" ca="1" si="3">SUM(C15:C19)</f>
        <v>3919823.1299999994</v>
      </c>
      <c r="D20" s="640">
        <f t="shared" ca="1" si="3"/>
        <v>3972460.2472488424</v>
      </c>
      <c r="E20" s="640">
        <f t="shared" ca="1" si="3"/>
        <v>4245800.1756432755</v>
      </c>
      <c r="F20" s="640">
        <f t="shared" ca="1" si="3"/>
        <v>4673289.490091511</v>
      </c>
      <c r="G20" s="640">
        <f t="shared" ca="1" si="3"/>
        <v>4949845.8783959439</v>
      </c>
      <c r="H20" s="640">
        <f t="shared" ca="1" si="3"/>
        <v>5130839.5283252783</v>
      </c>
      <c r="I20" s="640">
        <f t="shared" ca="1" si="3"/>
        <v>5202542.7805135306</v>
      </c>
      <c r="J20" s="56">
        <f t="shared" ca="1" si="3"/>
        <v>5288247.7491525738</v>
      </c>
      <c r="K20" s="482"/>
      <c r="L20" s="57" t="s">
        <v>22</v>
      </c>
      <c r="M20" s="640">
        <f t="shared" ref="M20:T20" ca="1" si="4">SUM(M15:M19)</f>
        <v>2983539.1799999997</v>
      </c>
      <c r="N20" s="640">
        <f t="shared" ca="1" si="4"/>
        <v>3015179.83403773</v>
      </c>
      <c r="O20" s="640">
        <f t="shared" ca="1" si="4"/>
        <v>3231795.995320179</v>
      </c>
      <c r="P20" s="640">
        <f t="shared" ca="1" si="4"/>
        <v>3557150.6911434769</v>
      </c>
      <c r="Q20" s="640">
        <f t="shared" ca="1" si="4"/>
        <v>3790532.8613444967</v>
      </c>
      <c r="R20" s="640">
        <f t="shared" ca="1" si="4"/>
        <v>3939659.7612903635</v>
      </c>
      <c r="S20" s="640">
        <f t="shared" ca="1" si="4"/>
        <v>3981363.5078143994</v>
      </c>
      <c r="T20" s="56">
        <f t="shared" ca="1" si="4"/>
        <v>4041913.396298964</v>
      </c>
      <c r="U20" s="527"/>
      <c r="V20" s="57" t="s">
        <v>22</v>
      </c>
      <c r="W20" s="640">
        <f t="shared" ref="W20:AD20" ca="1" si="5">SUM(W15:W19)</f>
        <v>936283.95</v>
      </c>
      <c r="X20" s="640">
        <f t="shared" ca="1" si="5"/>
        <v>957280.41321111191</v>
      </c>
      <c r="Y20" s="640">
        <f t="shared" ca="1" si="5"/>
        <v>1014004.1803230959</v>
      </c>
      <c r="Z20" s="640">
        <f t="shared" ca="1" si="5"/>
        <v>1116138.7989480335</v>
      </c>
      <c r="AA20" s="640">
        <f t="shared" ca="1" si="5"/>
        <v>1159313.017051447</v>
      </c>
      <c r="AB20" s="640">
        <f t="shared" ca="1" si="5"/>
        <v>1191179.7670349155</v>
      </c>
      <c r="AC20" s="640">
        <f t="shared" ca="1" si="5"/>
        <v>1221179.2726991314</v>
      </c>
      <c r="AD20" s="56">
        <f t="shared" ca="1" si="5"/>
        <v>1246334.352853609</v>
      </c>
      <c r="AE20" s="527"/>
      <c r="AF20" s="297"/>
      <c r="AG20" s="297"/>
      <c r="AH20" s="297"/>
      <c r="AI20" s="297"/>
      <c r="AJ20" s="297"/>
      <c r="AK20" s="297"/>
      <c r="AL20" s="297"/>
      <c r="AM20" s="297"/>
      <c r="AN20" s="297"/>
      <c r="AO20" s="297"/>
    </row>
    <row r="21" spans="2:41">
      <c r="B21" s="260" t="s">
        <v>12</v>
      </c>
      <c r="C21" s="476">
        <f ca="1">'Overall Load Summary'!K134</f>
        <v>162977</v>
      </c>
      <c r="D21" s="476">
        <f ca="1">'Overall Load Summary'!L134</f>
        <v>164777.83333333337</v>
      </c>
      <c r="E21" s="476">
        <f ca="1">'Overall Load Summary'!M134</f>
        <v>167046.74816336372</v>
      </c>
      <c r="F21" s="476">
        <f ca="1">'Overall Load Summary'!N134</f>
        <v>169458.25400958018</v>
      </c>
      <c r="G21" s="476">
        <f ca="1">'Overall Load Summary'!O134</f>
        <v>172038.07404212866</v>
      </c>
      <c r="H21" s="476">
        <f ca="1">'Overall Load Summary'!P134</f>
        <v>174781.32157125144</v>
      </c>
      <c r="I21" s="476">
        <f ca="1">'Overall Load Summary'!Q134</f>
        <v>177631.23361325788</v>
      </c>
      <c r="J21" s="477">
        <f ca="1">'Overall Load Summary'!R134</f>
        <v>180302.73724817738</v>
      </c>
      <c r="K21" s="482"/>
      <c r="L21" s="260" t="s">
        <v>12</v>
      </c>
      <c r="M21" s="476">
        <f ca="1">'Overall Load Summary'!K19</f>
        <v>117456.375</v>
      </c>
      <c r="N21" s="476">
        <f ca="1">'Overall Load Summary'!L19</f>
        <v>118908.83333333337</v>
      </c>
      <c r="O21" s="476">
        <f ca="1">'Overall Load Summary'!M19</f>
        <v>120549.42139909492</v>
      </c>
      <c r="P21" s="476">
        <f ca="1">'Overall Load Summary'!N19</f>
        <v>122281.64122964442</v>
      </c>
      <c r="Q21" s="476">
        <f ca="1">'Overall Load Summary'!O19</f>
        <v>124107.7225953329</v>
      </c>
      <c r="R21" s="476">
        <f ca="1">'Overall Load Summary'!P19</f>
        <v>126024.19465642334</v>
      </c>
      <c r="S21" s="476">
        <f ca="1">'Overall Load Summary'!Q19</f>
        <v>128017.6351365939</v>
      </c>
      <c r="T21" s="477">
        <f ca="1">'Overall Load Summary'!R19</f>
        <v>129908.78108451176</v>
      </c>
      <c r="U21" s="527"/>
      <c r="V21" s="260" t="s">
        <v>12</v>
      </c>
      <c r="W21" s="476">
        <f ca="1">'Overall Load Summary'!K70</f>
        <v>45520.625</v>
      </c>
      <c r="X21" s="476">
        <f ca="1">'Overall Load Summary'!L70</f>
        <v>45869</v>
      </c>
      <c r="Y21" s="476">
        <f ca="1">'Overall Load Summary'!M70</f>
        <v>46497.326764268808</v>
      </c>
      <c r="Z21" s="476">
        <f ca="1">'Overall Load Summary'!N70</f>
        <v>47176.612779935756</v>
      </c>
      <c r="AA21" s="476">
        <f ca="1">'Overall Load Summary'!O70</f>
        <v>47930.351446795765</v>
      </c>
      <c r="AB21" s="476">
        <f ca="1">'Overall Load Summary'!P70</f>
        <v>48757.126914828092</v>
      </c>
      <c r="AC21" s="476">
        <f ca="1">'Overall Load Summary'!Q70</f>
        <v>49613.598476663967</v>
      </c>
      <c r="AD21" s="477">
        <f ca="1">'Overall Load Summary'!R70</f>
        <v>50393.956163665607</v>
      </c>
      <c r="AE21" s="527"/>
      <c r="AF21" s="297"/>
      <c r="AG21" s="297"/>
      <c r="AH21" s="297"/>
      <c r="AI21" s="297"/>
      <c r="AJ21" s="297"/>
      <c r="AK21" s="297"/>
      <c r="AL21" s="297"/>
      <c r="AM21" s="297"/>
      <c r="AN21" s="297"/>
      <c r="AO21" s="297"/>
    </row>
    <row r="22" spans="2:41">
      <c r="B22" s="58" t="s">
        <v>13</v>
      </c>
      <c r="C22" s="51">
        <f ca="1">'Overall Load Summary'!K135</f>
        <v>1561.8333333333339</v>
      </c>
      <c r="D22" s="51">
        <f ca="1">'Overall Load Summary'!L135</f>
        <v>1553.5</v>
      </c>
      <c r="E22" s="51">
        <f ca="1">'Overall Load Summary'!M135</f>
        <v>1549.9606514054349</v>
      </c>
      <c r="F22" s="51">
        <f ca="1">'Overall Load Summary'!N135</f>
        <v>1546.4261219890034</v>
      </c>
      <c r="G22" s="51">
        <f ca="1">'Overall Load Summary'!O135</f>
        <v>1542.8996527115078</v>
      </c>
      <c r="H22" s="51">
        <f ca="1">'Overall Load Summary'!P135</f>
        <v>1539.381225192612</v>
      </c>
      <c r="I22" s="51">
        <f ca="1">'Overall Load Summary'!Q135</f>
        <v>1535.8708210938942</v>
      </c>
      <c r="J22" s="59">
        <f ca="1">'Overall Load Summary'!R135</f>
        <v>1532.3684221187507</v>
      </c>
      <c r="K22" s="482"/>
      <c r="L22" s="58" t="s">
        <v>13</v>
      </c>
      <c r="M22" s="51">
        <f ca="1">'Overall Load Summary'!K20</f>
        <v>1561.8333333333339</v>
      </c>
      <c r="N22" s="51">
        <f ca="1">'Overall Load Summary'!L20</f>
        <v>1553.5</v>
      </c>
      <c r="O22" s="51">
        <f ca="1">'Overall Load Summary'!M20</f>
        <v>1549.9606514054349</v>
      </c>
      <c r="P22" s="51">
        <f ca="1">'Overall Load Summary'!N20</f>
        <v>1546.4261219890034</v>
      </c>
      <c r="Q22" s="51">
        <f ca="1">'Overall Load Summary'!O20</f>
        <v>1542.8996527115078</v>
      </c>
      <c r="R22" s="51">
        <f ca="1">'Overall Load Summary'!P20</f>
        <v>1539.381225192612</v>
      </c>
      <c r="S22" s="51">
        <f ca="1">'Overall Load Summary'!Q20</f>
        <v>1535.8708210938942</v>
      </c>
      <c r="T22" s="59">
        <f ca="1">'Overall Load Summary'!R20</f>
        <v>1532.3684221187507</v>
      </c>
      <c r="U22" s="527"/>
      <c r="V22" s="475" t="s">
        <v>13</v>
      </c>
      <c r="W22" s="51"/>
      <c r="X22" s="51"/>
      <c r="Y22" s="51"/>
      <c r="Z22" s="51"/>
      <c r="AA22" s="51"/>
      <c r="AB22" s="51"/>
      <c r="AC22" s="51"/>
      <c r="AD22" s="59"/>
      <c r="AE22" s="527"/>
      <c r="AF22" s="297"/>
      <c r="AG22" s="297"/>
      <c r="AH22" s="297"/>
      <c r="AI22" s="297"/>
      <c r="AJ22" s="297"/>
      <c r="AK22" s="297"/>
      <c r="AL22" s="297"/>
      <c r="AM22" s="297"/>
      <c r="AN22" s="297"/>
      <c r="AO22" s="297"/>
    </row>
    <row r="23" spans="2:41">
      <c r="B23" s="58" t="s">
        <v>14</v>
      </c>
      <c r="C23" s="51">
        <f ca="1">'Overall Load Summary'!K136</f>
        <v>11966.625</v>
      </c>
      <c r="D23" s="51">
        <f ca="1">'Overall Load Summary'!L136</f>
        <v>11978.45833333333</v>
      </c>
      <c r="E23" s="51">
        <f ca="1">'Overall Load Summary'!M136</f>
        <v>12074.014697782844</v>
      </c>
      <c r="F23" s="51">
        <f ca="1">'Overall Load Summary'!N136</f>
        <v>12170.457163578209</v>
      </c>
      <c r="G23" s="51">
        <f ca="1">'Overall Load Summary'!O136</f>
        <v>12267.750034262957</v>
      </c>
      <c r="H23" s="51">
        <f ca="1">'Overall Load Summary'!P136</f>
        <v>12365.901678946599</v>
      </c>
      <c r="I23" s="51">
        <f ca="1">'Overall Load Summary'!Q136</f>
        <v>12464.920557674839</v>
      </c>
      <c r="J23" s="59">
        <f ca="1">'Overall Load Summary'!R136</f>
        <v>12564.815222493282</v>
      </c>
      <c r="K23" s="482"/>
      <c r="L23" s="58" t="s">
        <v>14</v>
      </c>
      <c r="M23" s="51">
        <f ca="1">'Overall Load Summary'!K21</f>
        <v>9501.875</v>
      </c>
      <c r="N23" s="51">
        <f ca="1">'Overall Load Summary'!L21</f>
        <v>9505.4583333333303</v>
      </c>
      <c r="O23" s="51">
        <f ca="1">'Overall Load Summary'!M21</f>
        <v>9568.8251056720273</v>
      </c>
      <c r="P23" s="51">
        <f ca="1">'Overall Load Summary'!N21</f>
        <v>9632.6494895360411</v>
      </c>
      <c r="Q23" s="51">
        <f ca="1">'Overall Load Summary'!O21</f>
        <v>9696.8995841775704</v>
      </c>
      <c r="R23" s="51">
        <f ca="1">'Overall Load Summary'!P21</f>
        <v>9761.5782291017476</v>
      </c>
      <c r="S23" s="51">
        <f ca="1">'Overall Load Summary'!Q21</f>
        <v>9826.6882827533191</v>
      </c>
      <c r="T23" s="59">
        <f ca="1">'Overall Load Summary'!R21</f>
        <v>9892.2326226429323</v>
      </c>
      <c r="U23" s="527"/>
      <c r="V23" s="58" t="s">
        <v>14</v>
      </c>
      <c r="W23" s="51">
        <f ca="1">'Overall Load Summary'!K71</f>
        <v>2464.75</v>
      </c>
      <c r="X23" s="51">
        <f ca="1">'Overall Load Summary'!L71</f>
        <v>2473</v>
      </c>
      <c r="Y23" s="51">
        <f ca="1">'Overall Load Summary'!M71</f>
        <v>2505.1895921108166</v>
      </c>
      <c r="Z23" s="51">
        <f ca="1">'Overall Load Summary'!N71</f>
        <v>2537.8076740421684</v>
      </c>
      <c r="AA23" s="51">
        <f ca="1">'Overall Load Summary'!O71</f>
        <v>2570.8504500853869</v>
      </c>
      <c r="AB23" s="51">
        <f ca="1">'Overall Load Summary'!P71</f>
        <v>2604.3234498448514</v>
      </c>
      <c r="AC23" s="51">
        <f ca="1">'Overall Load Summary'!Q71</f>
        <v>2638.2322749215205</v>
      </c>
      <c r="AD23" s="59">
        <f ca="1">'Overall Load Summary'!R71</f>
        <v>2672.5825998503497</v>
      </c>
      <c r="AE23" s="527"/>
      <c r="AF23" s="297"/>
      <c r="AG23" s="297"/>
      <c r="AH23" s="297"/>
      <c r="AI23" s="297"/>
      <c r="AJ23" s="297"/>
      <c r="AK23" s="297"/>
      <c r="AL23" s="297"/>
      <c r="AM23" s="297"/>
      <c r="AN23" s="297"/>
      <c r="AO23" s="297"/>
    </row>
    <row r="24" spans="2:41">
      <c r="B24" s="58" t="s">
        <v>15</v>
      </c>
      <c r="C24" s="51">
        <f ca="1">'Overall Load Summary'!K137</f>
        <v>1448.0416666666663</v>
      </c>
      <c r="D24" s="51">
        <f ca="1">'Overall Load Summary'!L137</f>
        <v>1484.5</v>
      </c>
      <c r="E24" s="51">
        <f ca="1">'Overall Load Summary'!M137</f>
        <v>1499.0729547581791</v>
      </c>
      <c r="F24" s="51">
        <f ca="1">'Overall Load Summary'!N137</f>
        <v>1516.0360930283989</v>
      </c>
      <c r="G24" s="51">
        <f ca="1">'Overall Load Summary'!O137</f>
        <v>1527.4345909125102</v>
      </c>
      <c r="H24" s="51">
        <f ca="1">'Overall Load Summary'!P137</f>
        <v>1536.3937428331963</v>
      </c>
      <c r="I24" s="51">
        <f ca="1">'Overall Load Summary'!Q137</f>
        <v>1544.8294705350622</v>
      </c>
      <c r="J24" s="59">
        <f ca="1">'Overall Load Summary'!R137</f>
        <v>1553.2035314372349</v>
      </c>
      <c r="K24" s="482"/>
      <c r="L24" s="58" t="s">
        <v>15</v>
      </c>
      <c r="M24" s="51">
        <f ca="1">'Overall Load Summary'!K22</f>
        <v>1059.4166666666663</v>
      </c>
      <c r="N24" s="51">
        <f ca="1">'Overall Load Summary'!L22</f>
        <v>1088</v>
      </c>
      <c r="O24" s="51">
        <f ca="1">'Overall Load Summary'!M22</f>
        <v>1095.670111892214</v>
      </c>
      <c r="P24" s="51">
        <f ca="1">'Overall Load Summary'!N22</f>
        <v>1104.1380135023953</v>
      </c>
      <c r="Q24" s="51">
        <f ca="1">'Overall Load Summary'!O22</f>
        <v>1109.4512668474492</v>
      </c>
      <c r="R24" s="51">
        <f ca="1">'Overall Load Summary'!P22</f>
        <v>1113.6182451390212</v>
      </c>
      <c r="S24" s="51">
        <f ca="1">'Overall Load Summary'!Q22</f>
        <v>1117.3681550544138</v>
      </c>
      <c r="T24" s="59">
        <f ca="1">'Overall Load Summary'!R22</f>
        <v>1121.0385367370197</v>
      </c>
      <c r="U24" s="527"/>
      <c r="V24" s="58" t="s">
        <v>15</v>
      </c>
      <c r="W24" s="51">
        <f ca="1">'Overall Load Summary'!K72</f>
        <v>388.625</v>
      </c>
      <c r="X24" s="51">
        <f ca="1">'Overall Load Summary'!L72</f>
        <v>396.5</v>
      </c>
      <c r="Y24" s="51">
        <f ca="1">'Overall Load Summary'!M72</f>
        <v>403.40284286596511</v>
      </c>
      <c r="Z24" s="51">
        <f ca="1">'Overall Load Summary'!N72</f>
        <v>411.89807952600358</v>
      </c>
      <c r="AA24" s="51">
        <f ca="1">'Overall Load Summary'!O72</f>
        <v>417.98332406506097</v>
      </c>
      <c r="AB24" s="51">
        <f ca="1">'Overall Load Summary'!P72</f>
        <v>422.77549769417504</v>
      </c>
      <c r="AC24" s="51">
        <f ca="1">'Overall Load Summary'!Q72</f>
        <v>427.46131548064847</v>
      </c>
      <c r="AD24" s="59">
        <f ca="1">'Overall Load Summary'!R72</f>
        <v>432.16499470021517</v>
      </c>
      <c r="AE24" s="527"/>
      <c r="AF24" s="297"/>
      <c r="AG24" s="297"/>
      <c r="AH24" s="297"/>
      <c r="AI24" s="297"/>
      <c r="AJ24" s="297"/>
      <c r="AK24" s="297"/>
      <c r="AL24" s="297"/>
      <c r="AM24" s="297"/>
      <c r="AN24" s="297"/>
      <c r="AO24" s="297"/>
    </row>
    <row r="25" spans="2:41">
      <c r="B25" s="58" t="s">
        <v>16</v>
      </c>
      <c r="C25" s="51">
        <f ca="1">'Overall Load Summary'!K138</f>
        <v>8</v>
      </c>
      <c r="D25" s="51">
        <f ca="1">'Overall Load Summary'!L138</f>
        <v>8</v>
      </c>
      <c r="E25" s="51">
        <f ca="1">'Overall Load Summary'!M138</f>
        <v>10.505208333333334</v>
      </c>
      <c r="F25" s="51">
        <f ca="1">'Overall Load Summary'!N138</f>
        <v>13.627083333333333</v>
      </c>
      <c r="G25" s="51">
        <f ca="1">'Overall Load Summary'!O138</f>
        <v>14.867708333333333</v>
      </c>
      <c r="H25" s="51">
        <f ca="1">'Overall Load Summary'!P138</f>
        <v>15.254166666666666</v>
      </c>
      <c r="I25" s="51">
        <f ca="1">'Overall Load Summary'!Q138</f>
        <v>15.300000000000004</v>
      </c>
      <c r="J25" s="59">
        <f ca="1">'Overall Load Summary'!R138</f>
        <v>15.300000000000004</v>
      </c>
      <c r="K25" s="482"/>
      <c r="L25" s="58" t="s">
        <v>16</v>
      </c>
      <c r="M25" s="51">
        <f ca="1">'Overall Load Summary'!K23</f>
        <v>5</v>
      </c>
      <c r="N25" s="51">
        <f ca="1">'Overall Load Summary'!L23</f>
        <v>5</v>
      </c>
      <c r="O25" s="51">
        <f ca="1">'Overall Load Summary'!M23</f>
        <v>6.354166666666667</v>
      </c>
      <c r="P25" s="51">
        <f ca="1">'Overall Load Summary'!N23</f>
        <v>8.0958333333333332</v>
      </c>
      <c r="Q25" s="51">
        <f ca="1">'Overall Load Summary'!O23</f>
        <v>8.9250000000000007</v>
      </c>
      <c r="R25" s="51">
        <f ca="1">'Overall Load Summary'!P23</f>
        <v>9.2541666666666682</v>
      </c>
      <c r="S25" s="51">
        <f ca="1">'Overall Load Summary'!Q23</f>
        <v>9.300000000000006</v>
      </c>
      <c r="T25" s="59">
        <f ca="1">'Overall Load Summary'!R23</f>
        <v>9.300000000000006</v>
      </c>
      <c r="U25" s="527"/>
      <c r="V25" s="58" t="s">
        <v>16</v>
      </c>
      <c r="W25" s="51">
        <f ca="1">'Overall Load Summary'!K73</f>
        <v>3</v>
      </c>
      <c r="X25" s="51">
        <f ca="1">'Overall Load Summary'!L73</f>
        <v>3</v>
      </c>
      <c r="Y25" s="51">
        <f ca="1">'Overall Load Summary'!M73</f>
        <v>4.151041666666667</v>
      </c>
      <c r="Z25" s="51">
        <f ca="1">'Overall Load Summary'!N73</f>
        <v>5.53125</v>
      </c>
      <c r="AA25" s="51">
        <f ca="1">'Overall Load Summary'!O73</f>
        <v>5.9427083333333321</v>
      </c>
      <c r="AB25" s="51">
        <f ca="1">'Overall Load Summary'!P73</f>
        <v>5.9999999999999991</v>
      </c>
      <c r="AC25" s="51">
        <f ca="1">'Overall Load Summary'!Q73</f>
        <v>5.9999999999999991</v>
      </c>
      <c r="AD25" s="59">
        <f ca="1">'Overall Load Summary'!R73</f>
        <v>5.9999999999999991</v>
      </c>
      <c r="AE25" s="527"/>
      <c r="AF25" s="297"/>
      <c r="AG25" s="297"/>
      <c r="AH25" s="297"/>
      <c r="AI25" s="297"/>
      <c r="AJ25" s="297"/>
      <c r="AK25" s="297"/>
      <c r="AL25" s="297"/>
      <c r="AM25" s="297"/>
      <c r="AN25" s="297"/>
      <c r="AO25" s="297"/>
    </row>
    <row r="26" spans="2:41">
      <c r="B26" s="58" t="s">
        <v>17</v>
      </c>
      <c r="C26" s="51">
        <f ca="1">'Overall Load Summary'!K139</f>
        <v>5</v>
      </c>
      <c r="D26" s="51">
        <f ca="1">'Overall Load Summary'!L139</f>
        <v>5</v>
      </c>
      <c r="E26" s="51">
        <f ca="1">'Overall Load Summary'!M139</f>
        <v>5.203125</v>
      </c>
      <c r="F26" s="51">
        <f ca="1">'Overall Load Summary'!N139</f>
        <v>5.645833333333333</v>
      </c>
      <c r="G26" s="51">
        <f ca="1">'Overall Load Summary'!O139</f>
        <v>5.9427083333333321</v>
      </c>
      <c r="H26" s="51">
        <f ca="1">'Overall Load Summary'!P139</f>
        <v>5.9999999999999991</v>
      </c>
      <c r="I26" s="51">
        <f ca="1">'Overall Load Summary'!Q139</f>
        <v>5.9999999999999991</v>
      </c>
      <c r="J26" s="59">
        <f ca="1">'Overall Load Summary'!R139</f>
        <v>5.9999999999999991</v>
      </c>
      <c r="K26" s="482"/>
      <c r="L26" s="58" t="s">
        <v>17</v>
      </c>
      <c r="M26" s="51">
        <f ca="1">'Overall Load Summary'!K24</f>
        <v>5</v>
      </c>
      <c r="N26" s="51">
        <f ca="1">'Overall Load Summary'!L24</f>
        <v>5</v>
      </c>
      <c r="O26" s="51">
        <f ca="1">'Overall Load Summary'!M24</f>
        <v>5.203125</v>
      </c>
      <c r="P26" s="51">
        <f ca="1">'Overall Load Summary'!N24</f>
        <v>5.645833333333333</v>
      </c>
      <c r="Q26" s="51">
        <f ca="1">'Overall Load Summary'!O24</f>
        <v>5.9427083333333321</v>
      </c>
      <c r="R26" s="51">
        <f ca="1">'Overall Load Summary'!P24</f>
        <v>5.9999999999999991</v>
      </c>
      <c r="S26" s="51">
        <f ca="1">'Overall Load Summary'!Q24</f>
        <v>5.9999999999999991</v>
      </c>
      <c r="T26" s="59">
        <f ca="1">'Overall Load Summary'!R24</f>
        <v>5.9999999999999991</v>
      </c>
      <c r="U26" s="527"/>
      <c r="V26" s="475" t="s">
        <v>17</v>
      </c>
      <c r="W26" s="51"/>
      <c r="X26" s="51"/>
      <c r="Y26" s="51"/>
      <c r="Z26" s="51"/>
      <c r="AA26" s="51"/>
      <c r="AB26" s="51"/>
      <c r="AC26" s="51"/>
      <c r="AD26" s="59"/>
      <c r="AE26" s="527"/>
      <c r="AF26" s="297"/>
      <c r="AG26" s="297"/>
      <c r="AH26" s="297"/>
      <c r="AI26" s="297"/>
      <c r="AJ26" s="297"/>
      <c r="AK26" s="297"/>
      <c r="AL26" s="297"/>
      <c r="AM26" s="297"/>
      <c r="AN26" s="297"/>
      <c r="AO26" s="297"/>
    </row>
    <row r="27" spans="2:41">
      <c r="B27" s="58" t="s">
        <v>18</v>
      </c>
      <c r="C27" s="51">
        <f ca="1">'Overall Load Summary'!K140</f>
        <v>46425.416666666657</v>
      </c>
      <c r="D27" s="51">
        <f ca="1">'Overall Load Summary'!L140</f>
        <v>47002.83333333335</v>
      </c>
      <c r="E27" s="51">
        <f ca="1">'Overall Load Summary'!M140</f>
        <v>45371.315476027485</v>
      </c>
      <c r="F27" s="51">
        <f ca="1">'Overall Load Summary'!N140</f>
        <v>45774.760399537663</v>
      </c>
      <c r="G27" s="51">
        <f ca="1">'Overall Load Summary'!O140</f>
        <v>46311.327881841258</v>
      </c>
      <c r="H27" s="51">
        <f ca="1">'Overall Load Summary'!P140</f>
        <v>47044.10462146908</v>
      </c>
      <c r="I27" s="51">
        <f ca="1">'Overall Load Summary'!Q140</f>
        <v>47725.677813869945</v>
      </c>
      <c r="J27" s="59">
        <f ca="1">'Overall Load Summary'!R140</f>
        <v>48428.093490227366</v>
      </c>
      <c r="K27" s="482"/>
      <c r="L27" s="58" t="s">
        <v>18</v>
      </c>
      <c r="M27" s="51">
        <f ca="1">'Overall Load Summary'!K25</f>
        <v>32717.416666666661</v>
      </c>
      <c r="N27" s="51">
        <f ca="1">'Overall Load Summary'!L25</f>
        <v>33148.291666666679</v>
      </c>
      <c r="O27" s="51">
        <f ca="1">'Overall Load Summary'!M25</f>
        <v>33513.940476027485</v>
      </c>
      <c r="P27" s="51">
        <f ca="1">'Overall Load Summary'!N25</f>
        <v>33883.760399537663</v>
      </c>
      <c r="Q27" s="51">
        <f ca="1">'Overall Load Summary'!O25</f>
        <v>34257.661215174587</v>
      </c>
      <c r="R27" s="51">
        <f ca="1">'Overall Load Summary'!P25</f>
        <v>34635.687954802408</v>
      </c>
      <c r="S27" s="51">
        <f ca="1">'Overall Load Summary'!Q25</f>
        <v>35017.886147203273</v>
      </c>
      <c r="T27" s="59">
        <f ca="1">'Overall Load Summary'!R25</f>
        <v>35404.301823560694</v>
      </c>
      <c r="U27" s="527"/>
      <c r="V27" s="58" t="s">
        <v>18</v>
      </c>
      <c r="W27" s="51">
        <f ca="1">'Overall Load Summary'!K74</f>
        <v>13708</v>
      </c>
      <c r="X27" s="51">
        <f ca="1">'Overall Load Summary'!L74</f>
        <v>13854.54166666667</v>
      </c>
      <c r="Y27" s="51">
        <f ca="1">'Overall Load Summary'!M74</f>
        <v>11857.375</v>
      </c>
      <c r="Z27" s="51">
        <f ca="1">'Overall Load Summary'!N74</f>
        <v>11891</v>
      </c>
      <c r="AA27" s="51">
        <f ca="1">'Overall Load Summary'!O74</f>
        <v>12053.666666666672</v>
      </c>
      <c r="AB27" s="51">
        <f ca="1">'Overall Load Summary'!P74</f>
        <v>12408.416666666672</v>
      </c>
      <c r="AC27" s="51">
        <f ca="1">'Overall Load Summary'!Q74</f>
        <v>12707.791666666672</v>
      </c>
      <c r="AD27" s="59">
        <f ca="1">'Overall Load Summary'!R74</f>
        <v>13023.791666666672</v>
      </c>
      <c r="AE27" s="527"/>
      <c r="AF27" s="297"/>
      <c r="AG27" s="297"/>
      <c r="AH27" s="297"/>
      <c r="AI27" s="297"/>
      <c r="AJ27" s="297"/>
      <c r="AK27" s="297"/>
      <c r="AL27" s="297"/>
      <c r="AM27" s="297"/>
      <c r="AN27" s="297"/>
      <c r="AO27" s="297"/>
    </row>
    <row r="28" spans="2:41">
      <c r="B28" s="58" t="s">
        <v>19</v>
      </c>
      <c r="C28" s="51">
        <f ca="1">'Overall Load Summary'!K141</f>
        <v>283.75000000000006</v>
      </c>
      <c r="D28" s="51">
        <f ca="1">'Overall Load Summary'!L141</f>
        <v>275.58333333333331</v>
      </c>
      <c r="E28" s="51">
        <f ca="1">'Overall Load Summary'!M141</f>
        <v>265.61037880257982</v>
      </c>
      <c r="F28" s="51">
        <f ca="1">'Overall Load Summary'!N141</f>
        <v>260.6350671809364</v>
      </c>
      <c r="G28" s="51">
        <f ca="1">'Overall Load Summary'!O141</f>
        <v>255.28816674176974</v>
      </c>
      <c r="H28" s="51">
        <f ca="1">'Overall Load Summary'!P141</f>
        <v>250.56798032369252</v>
      </c>
      <c r="I28" s="51">
        <f ca="1">'Overall Load Summary'!Q141</f>
        <v>246.38951063704306</v>
      </c>
      <c r="J28" s="59">
        <f ca="1">'Overall Load Summary'!R141</f>
        <v>247.70945961422669</v>
      </c>
      <c r="K28" s="482"/>
      <c r="L28" s="58" t="s">
        <v>19</v>
      </c>
      <c r="M28" s="51">
        <f ca="1">'Overall Load Summary'!K26</f>
        <v>238.29166666666674</v>
      </c>
      <c r="N28" s="51">
        <f ca="1">'Overall Load Summary'!L26</f>
        <v>231.125</v>
      </c>
      <c r="O28" s="51">
        <f ca="1">'Overall Load Summary'!M26</f>
        <v>226.61037880257982</v>
      </c>
      <c r="P28" s="51">
        <f ca="1">'Overall Load Summary'!N26</f>
        <v>222.17673384760306</v>
      </c>
      <c r="Q28" s="51">
        <f ca="1">'Overall Load Summary'!O26</f>
        <v>217.82983340843643</v>
      </c>
      <c r="R28" s="51">
        <f ca="1">'Overall Load Summary'!P26</f>
        <v>213.56798032369252</v>
      </c>
      <c r="S28" s="51">
        <f ca="1">'Overall Load Summary'!Q26</f>
        <v>209.38951063704306</v>
      </c>
      <c r="T28" s="59">
        <f ca="1">'Overall Load Summary'!R26</f>
        <v>205.29279294756</v>
      </c>
      <c r="U28" s="527"/>
      <c r="V28" s="58" t="s">
        <v>19</v>
      </c>
      <c r="W28" s="51">
        <f ca="1">'Overall Load Summary'!K75</f>
        <v>45.458333333333314</v>
      </c>
      <c r="X28" s="51">
        <f ca="1">'Overall Load Summary'!L75</f>
        <v>44.458333333333314</v>
      </c>
      <c r="Y28" s="51">
        <f ca="1">'Overall Load Summary'!M75</f>
        <v>39</v>
      </c>
      <c r="Z28" s="51">
        <f ca="1">'Overall Load Summary'!N75</f>
        <v>38.458333333333321</v>
      </c>
      <c r="AA28" s="51">
        <f ca="1">'Overall Load Summary'!O75</f>
        <v>37.458333333333321</v>
      </c>
      <c r="AB28" s="51">
        <f ca="1">'Overall Load Summary'!P75</f>
        <v>37</v>
      </c>
      <c r="AC28" s="51">
        <f ca="1">'Overall Load Summary'!Q75</f>
        <v>37</v>
      </c>
      <c r="AD28" s="59">
        <f ca="1">'Overall Load Summary'!R75</f>
        <v>42.416666666666679</v>
      </c>
      <c r="AE28" s="527"/>
      <c r="AF28" s="297"/>
      <c r="AG28" s="297"/>
      <c r="AH28" s="297"/>
      <c r="AI28" s="297"/>
      <c r="AJ28" s="297"/>
      <c r="AK28" s="297"/>
      <c r="AL28" s="297"/>
      <c r="AM28" s="297"/>
      <c r="AN28" s="297"/>
      <c r="AO28" s="297"/>
    </row>
    <row r="29" spans="2:41">
      <c r="B29" s="58" t="s">
        <v>20</v>
      </c>
      <c r="C29" s="51">
        <f ca="1">'Overall Load Summary'!K142</f>
        <v>1166.166666666667</v>
      </c>
      <c r="D29" s="51">
        <f ca="1">'Overall Load Summary'!L142</f>
        <v>1165.3333333333335</v>
      </c>
      <c r="E29" s="51">
        <f ca="1">'Overall Load Summary'!M142</f>
        <v>1167.5048861574255</v>
      </c>
      <c r="F29" s="51">
        <f ca="1">'Overall Load Summary'!N142</f>
        <v>1159.1330055461026</v>
      </c>
      <c r="G29" s="51">
        <f ca="1">'Overall Load Summary'!O142</f>
        <v>1158.6444892513268</v>
      </c>
      <c r="H29" s="51">
        <f ca="1">'Overall Load Summary'!P142</f>
        <v>1159.3385596919243</v>
      </c>
      <c r="I29" s="51">
        <f ca="1">'Overall Load Summary'!Q142</f>
        <v>1157.6313914036609</v>
      </c>
      <c r="J29" s="59">
        <f ca="1">'Overall Load Summary'!R142</f>
        <v>1153.4391631280087</v>
      </c>
      <c r="K29" s="482"/>
      <c r="L29" s="58" t="s">
        <v>20</v>
      </c>
      <c r="M29" s="51">
        <f ca="1">'Overall Load Summary'!K27</f>
        <v>769.91666666666697</v>
      </c>
      <c r="N29" s="51">
        <f ca="1">'Overall Load Summary'!L27</f>
        <v>775.16666666666697</v>
      </c>
      <c r="O29" s="51">
        <f ca="1">'Overall Load Summary'!M27</f>
        <v>795.29655282409192</v>
      </c>
      <c r="P29" s="51">
        <f ca="1">'Overall Load Summary'!N27</f>
        <v>788.50800554610271</v>
      </c>
      <c r="Q29" s="51">
        <f ca="1">'Overall Load Summary'!O27</f>
        <v>781.76948925132695</v>
      </c>
      <c r="R29" s="51">
        <f ca="1">'Overall Load Summary'!P27</f>
        <v>775.08855969192416</v>
      </c>
      <c r="S29" s="51">
        <f ca="1">'Overall Load Summary'!Q27</f>
        <v>768.46472473699441</v>
      </c>
      <c r="T29" s="59">
        <f ca="1">'Overall Load Summary'!R27</f>
        <v>761.89749646134203</v>
      </c>
      <c r="U29" s="527"/>
      <c r="V29" s="58" t="s">
        <v>20</v>
      </c>
      <c r="W29" s="51">
        <f ca="1">'Overall Load Summary'!K76</f>
        <v>396.25</v>
      </c>
      <c r="X29" s="51">
        <f ca="1">'Overall Load Summary'!L76</f>
        <v>390.16666666666652</v>
      </c>
      <c r="Y29" s="51">
        <f ca="1">'Overall Load Summary'!M76</f>
        <v>372.20833333333348</v>
      </c>
      <c r="Z29" s="51">
        <f ca="1">'Overall Load Summary'!N76</f>
        <v>370.625</v>
      </c>
      <c r="AA29" s="51">
        <f ca="1">'Overall Load Summary'!O76</f>
        <v>376.875</v>
      </c>
      <c r="AB29" s="51">
        <f ca="1">'Overall Load Summary'!P76</f>
        <v>384.25</v>
      </c>
      <c r="AC29" s="51">
        <f ca="1">'Overall Load Summary'!Q76</f>
        <v>389.16666666666652</v>
      </c>
      <c r="AD29" s="59">
        <f ca="1">'Overall Load Summary'!R76</f>
        <v>391.54166666666652</v>
      </c>
      <c r="AE29" s="527"/>
      <c r="AF29" s="297"/>
      <c r="AG29" s="297"/>
      <c r="AH29" s="297"/>
      <c r="AI29" s="297"/>
      <c r="AJ29" s="297"/>
      <c r="AK29" s="297"/>
      <c r="AL29" s="297"/>
      <c r="AM29" s="297"/>
      <c r="AN29" s="297"/>
      <c r="AO29" s="297"/>
    </row>
    <row r="30" spans="2:41" ht="15" thickBot="1">
      <c r="B30" s="57" t="s">
        <v>23</v>
      </c>
      <c r="C30" s="640">
        <f t="shared" ref="C30:J30" ca="1" si="6">SUM(C21:C29)</f>
        <v>225841.83333333331</v>
      </c>
      <c r="D30" s="640">
        <f t="shared" ca="1" si="6"/>
        <v>228251.04166666674</v>
      </c>
      <c r="E30" s="640">
        <f t="shared" ca="1" si="6"/>
        <v>228989.93554163104</v>
      </c>
      <c r="F30" s="640">
        <f t="shared" ca="1" si="6"/>
        <v>231904.97477710719</v>
      </c>
      <c r="G30" s="640">
        <f t="shared" ca="1" si="6"/>
        <v>235122.22927451666</v>
      </c>
      <c r="H30" s="640">
        <f t="shared" ca="1" si="6"/>
        <v>238698.26354637518</v>
      </c>
      <c r="I30" s="640">
        <f t="shared" ca="1" si="6"/>
        <v>242327.85317847232</v>
      </c>
      <c r="J30" s="56">
        <f t="shared" ca="1" si="6"/>
        <v>245803.6665371962</v>
      </c>
      <c r="K30" s="482"/>
      <c r="L30" s="57" t="s">
        <v>23</v>
      </c>
      <c r="M30" s="640">
        <f t="shared" ref="M30:T30" ca="1" si="7">SUM(M21:M29)</f>
        <v>163315.12499999997</v>
      </c>
      <c r="N30" s="640">
        <f t="shared" ca="1" si="7"/>
        <v>165220.37500000003</v>
      </c>
      <c r="O30" s="640">
        <f t="shared" ca="1" si="7"/>
        <v>167311.28196738541</v>
      </c>
      <c r="P30" s="640">
        <f t="shared" ca="1" si="7"/>
        <v>169473.0416602699</v>
      </c>
      <c r="Q30" s="640">
        <f t="shared" ca="1" si="7"/>
        <v>171729.10134523714</v>
      </c>
      <c r="R30" s="640">
        <f t="shared" ca="1" si="7"/>
        <v>174078.37101734141</v>
      </c>
      <c r="S30" s="640">
        <f t="shared" ca="1" si="7"/>
        <v>176508.60277807282</v>
      </c>
      <c r="T30" s="56">
        <f t="shared" ca="1" si="7"/>
        <v>178841.21277898009</v>
      </c>
      <c r="U30" s="237"/>
      <c r="V30" s="57" t="s">
        <v>23</v>
      </c>
      <c r="W30" s="640">
        <f t="shared" ref="W30:AD30" ca="1" si="8">SUM(W21:W29)</f>
        <v>62526.708333333336</v>
      </c>
      <c r="X30" s="640">
        <f t="shared" ca="1" si="8"/>
        <v>63030.666666666672</v>
      </c>
      <c r="Y30" s="640">
        <f t="shared" ca="1" si="8"/>
        <v>61678.653574245589</v>
      </c>
      <c r="Z30" s="640">
        <f t="shared" ca="1" si="8"/>
        <v>62431.933116837266</v>
      </c>
      <c r="AA30" s="640">
        <f t="shared" ca="1" si="8"/>
        <v>63393.127929279559</v>
      </c>
      <c r="AB30" s="640">
        <f t="shared" ca="1" si="8"/>
        <v>64619.892529033787</v>
      </c>
      <c r="AC30" s="640">
        <f t="shared" ca="1" si="8"/>
        <v>65819.250400399484</v>
      </c>
      <c r="AD30" s="56">
        <f t="shared" ca="1" si="8"/>
        <v>66962.453758216187</v>
      </c>
      <c r="AF30" s="297"/>
      <c r="AG30" s="297"/>
      <c r="AH30" s="297"/>
      <c r="AI30" s="297"/>
      <c r="AJ30" s="297"/>
      <c r="AK30" s="297"/>
      <c r="AL30" s="297"/>
      <c r="AM30" s="297"/>
      <c r="AN30" s="297"/>
      <c r="AO30" s="297"/>
    </row>
    <row r="31" spans="2:41" ht="15" thickBot="1">
      <c r="B31" s="57" t="s">
        <v>24</v>
      </c>
      <c r="C31" s="640">
        <f t="shared" ref="C31:J31" ca="1" si="9">SUM(C21:C26)</f>
        <v>177966.5</v>
      </c>
      <c r="D31" s="640">
        <f t="shared" ca="1" si="9"/>
        <v>179807.29166666672</v>
      </c>
      <c r="E31" s="640">
        <f t="shared" ca="1" si="9"/>
        <v>182185.50480064354</v>
      </c>
      <c r="F31" s="640">
        <f t="shared" ca="1" si="9"/>
        <v>184710.44630484248</v>
      </c>
      <c r="G31" s="640">
        <f t="shared" ca="1" si="9"/>
        <v>187396.96873668229</v>
      </c>
      <c r="H31" s="640">
        <f ca="1">SUM(H21:H26)</f>
        <v>190244.25238489051</v>
      </c>
      <c r="I31" s="640">
        <f t="shared" ca="1" si="9"/>
        <v>193198.15446256168</v>
      </c>
      <c r="J31" s="56">
        <f t="shared" ca="1" si="9"/>
        <v>195974.42442422663</v>
      </c>
      <c r="K31" s="482"/>
      <c r="L31" s="57" t="s">
        <v>24</v>
      </c>
      <c r="M31" s="640">
        <f t="shared" ref="M31:T31" ca="1" si="10">SUM(M21:M26)</f>
        <v>129589.5</v>
      </c>
      <c r="N31" s="640">
        <f t="shared" ca="1" si="10"/>
        <v>131065.7916666667</v>
      </c>
      <c r="O31" s="640">
        <f t="shared" ca="1" si="10"/>
        <v>132775.43455973125</v>
      </c>
      <c r="P31" s="640">
        <f t="shared" ca="1" si="10"/>
        <v>134578.59652133854</v>
      </c>
      <c r="Q31" s="640">
        <f t="shared" ca="1" si="10"/>
        <v>136471.84080740277</v>
      </c>
      <c r="R31" s="640">
        <f t="shared" ca="1" si="10"/>
        <v>138454.0265225234</v>
      </c>
      <c r="S31" s="640">
        <f t="shared" ca="1" si="10"/>
        <v>140512.86239549553</v>
      </c>
      <c r="T31" s="56">
        <f t="shared" ca="1" si="10"/>
        <v>142469.72066601049</v>
      </c>
      <c r="U31" s="237"/>
      <c r="V31" s="57" t="s">
        <v>24</v>
      </c>
      <c r="W31" s="640">
        <f t="shared" ref="W31:AD31" ca="1" si="11">SUM(W21:W26)</f>
        <v>48377</v>
      </c>
      <c r="X31" s="640">
        <f t="shared" ca="1" si="11"/>
        <v>48741.5</v>
      </c>
      <c r="Y31" s="640">
        <f t="shared" ca="1" si="11"/>
        <v>49410.070240912253</v>
      </c>
      <c r="Z31" s="640">
        <f t="shared" ca="1" si="11"/>
        <v>50131.849783503931</v>
      </c>
      <c r="AA31" s="640">
        <f t="shared" ca="1" si="11"/>
        <v>50925.127929279552</v>
      </c>
      <c r="AB31" s="640">
        <f t="shared" ca="1" si="11"/>
        <v>51790.225862367115</v>
      </c>
      <c r="AC31" s="640">
        <f t="shared" ca="1" si="11"/>
        <v>52685.292067066141</v>
      </c>
      <c r="AD31" s="56">
        <f t="shared" ca="1" si="11"/>
        <v>53504.703758216172</v>
      </c>
      <c r="AF31" s="297"/>
      <c r="AG31" s="297"/>
      <c r="AH31" s="297"/>
      <c r="AI31" s="297"/>
      <c r="AJ31" s="297"/>
      <c r="AK31" s="297"/>
      <c r="AL31" s="297"/>
      <c r="AM31" s="297"/>
      <c r="AN31" s="297"/>
      <c r="AO31" s="297"/>
    </row>
    <row r="32" spans="2:41" s="237" customFormat="1" ht="15" thickBot="1">
      <c r="K32" s="482"/>
      <c r="AF32" s="297"/>
      <c r="AG32" s="297"/>
      <c r="AH32" s="297"/>
      <c r="AI32" s="297"/>
      <c r="AJ32" s="297"/>
      <c r="AK32" s="297"/>
      <c r="AL32" s="297"/>
      <c r="AM32" s="297"/>
      <c r="AN32" s="297"/>
      <c r="AO32" s="297"/>
    </row>
    <row r="33" spans="2:30" s="237" customFormat="1" ht="15" thickBot="1">
      <c r="B33" s="479" t="s">
        <v>25</v>
      </c>
      <c r="C33" s="480" t="s">
        <v>4</v>
      </c>
      <c r="D33" s="480" t="s">
        <v>5</v>
      </c>
      <c r="E33" s="480" t="s">
        <v>6</v>
      </c>
      <c r="F33" s="480" t="s">
        <v>7</v>
      </c>
      <c r="G33" s="480" t="s">
        <v>8</v>
      </c>
      <c r="H33" s="480" t="s">
        <v>9</v>
      </c>
      <c r="I33" s="480" t="s">
        <v>10</v>
      </c>
      <c r="J33" s="481" t="s">
        <v>11</v>
      </c>
      <c r="K33" s="482"/>
      <c r="L33" s="479" t="s">
        <v>25</v>
      </c>
      <c r="M33" s="480" t="s">
        <v>4</v>
      </c>
      <c r="N33" s="480" t="s">
        <v>5</v>
      </c>
      <c r="O33" s="480" t="s">
        <v>6</v>
      </c>
      <c r="P33" s="480" t="s">
        <v>7</v>
      </c>
      <c r="Q33" s="480" t="s">
        <v>8</v>
      </c>
      <c r="R33" s="480" t="s">
        <v>9</v>
      </c>
      <c r="S33" s="480" t="s">
        <v>10</v>
      </c>
      <c r="T33" s="481" t="s">
        <v>11</v>
      </c>
      <c r="V33" s="479" t="s">
        <v>25</v>
      </c>
      <c r="W33" s="480" t="s">
        <v>4</v>
      </c>
      <c r="X33" s="480" t="s">
        <v>5</v>
      </c>
      <c r="Y33" s="480" t="s">
        <v>6</v>
      </c>
      <c r="Z33" s="480" t="s">
        <v>7</v>
      </c>
      <c r="AA33" s="480" t="s">
        <v>8</v>
      </c>
      <c r="AB33" s="480" t="s">
        <v>9</v>
      </c>
      <c r="AC33" s="480" t="s">
        <v>10</v>
      </c>
      <c r="AD33" s="481" t="s">
        <v>11</v>
      </c>
    </row>
    <row r="34" spans="2:30" s="237" customFormat="1">
      <c r="B34" s="260" t="s">
        <v>12</v>
      </c>
      <c r="C34" s="476">
        <f>'Overall Load Summary'!K145</f>
        <v>164000</v>
      </c>
      <c r="D34" s="476">
        <f>'Overall Load Summary'!L145</f>
        <v>165436</v>
      </c>
      <c r="E34" s="476">
        <f ca="1">'Overall Load Summary'!M145</f>
        <v>168096.05380399633</v>
      </c>
      <c r="F34" s="476">
        <f ca="1">'Overall Load Summary'!N145</f>
        <v>170573.66540245159</v>
      </c>
      <c r="G34" s="476">
        <f ca="1">'Overall Load Summary'!O145</f>
        <v>173231.93096402538</v>
      </c>
      <c r="H34" s="476">
        <f ca="1">'Overall Load Summary'!P145</f>
        <v>176051.40252985497</v>
      </c>
      <c r="I34" s="476">
        <f ca="1">'Overall Load Summary'!Q145</f>
        <v>178951.00773222148</v>
      </c>
      <c r="J34" s="477">
        <f ca="1">'Overall Load Summary'!R145</f>
        <v>181538.95268792671</v>
      </c>
      <c r="K34" s="482"/>
      <c r="L34" s="260" t="s">
        <v>12</v>
      </c>
      <c r="M34" s="476">
        <f>'Overall Load Summary'!K29</f>
        <v>118313</v>
      </c>
      <c r="N34" s="476">
        <f>'Overall Load Summary'!L29</f>
        <v>119413</v>
      </c>
      <c r="O34" s="476">
        <f ca="1">'Overall Load Summary'!M29</f>
        <v>121308.1567895999</v>
      </c>
      <c r="P34" s="476">
        <f ca="1">'Overall Load Summary'!N29</f>
        <v>123082.82527850592</v>
      </c>
      <c r="Q34" s="476">
        <f ca="1">'Overall Load Summary'!O29</f>
        <v>124952.61762123945</v>
      </c>
      <c r="R34" s="476">
        <f ca="1">'Overall Load Summary'!P29</f>
        <v>126911.19527089095</v>
      </c>
      <c r="S34" s="476">
        <f ca="1">'Overall Load Summary'!Q29</f>
        <v>128940.47940118739</v>
      </c>
      <c r="T34" s="477">
        <f ca="1">'Overall Load Summary'!R29</f>
        <v>130783.73096965205</v>
      </c>
      <c r="V34" s="260" t="s">
        <v>12</v>
      </c>
      <c r="W34" s="476">
        <f>'Overall Load Summary'!K78</f>
        <v>45687</v>
      </c>
      <c r="X34" s="476">
        <f>'Overall Load Summary'!L78</f>
        <v>46023</v>
      </c>
      <c r="Y34" s="476">
        <f ca="1">'Overall Load Summary'!M78</f>
        <v>46787.897014396425</v>
      </c>
      <c r="Z34" s="476">
        <f ca="1">'Overall Load Summary'!N78</f>
        <v>47490.840123945687</v>
      </c>
      <c r="AA34" s="476">
        <f ca="1">'Overall Load Summary'!O78</f>
        <v>48279.313342785936</v>
      </c>
      <c r="AB34" s="476">
        <f ca="1">'Overall Load Summary'!P78</f>
        <v>49140.20725896403</v>
      </c>
      <c r="AC34" s="476">
        <f ca="1">'Overall Load Summary'!Q78</f>
        <v>50010.528331034082</v>
      </c>
      <c r="AD34" s="477">
        <f ca="1">'Overall Load Summary'!R78</f>
        <v>50755.221718274661</v>
      </c>
    </row>
    <row r="35" spans="2:30" s="237" customFormat="1">
      <c r="B35" s="58" t="s">
        <v>13</v>
      </c>
      <c r="C35" s="51">
        <f>'Overall Load Summary'!K146</f>
        <v>1560</v>
      </c>
      <c r="D35" s="51">
        <f>'Overall Load Summary'!L146</f>
        <v>1548</v>
      </c>
      <c r="E35" s="51">
        <f>'Overall Load Summary'!M146</f>
        <v>1548.3393231419454</v>
      </c>
      <c r="F35" s="51">
        <f>'Overall Load Summary'!N146</f>
        <v>1544.8084910015937</v>
      </c>
      <c r="G35" s="51">
        <f>'Overall Load Summary'!O146</f>
        <v>1541.2857105689118</v>
      </c>
      <c r="H35" s="51">
        <f>'Overall Load Summary'!P146</f>
        <v>1537.7709634827897</v>
      </c>
      <c r="I35" s="51">
        <f>'Overall Load Summary'!Q146</f>
        <v>1534.2642314239886</v>
      </c>
      <c r="J35" s="59">
        <f>'Overall Load Summary'!R146</f>
        <v>1530.7654961150442</v>
      </c>
      <c r="K35" s="482"/>
      <c r="L35" s="58" t="s">
        <v>13</v>
      </c>
      <c r="M35" s="51">
        <f>'Overall Load Summary'!K30</f>
        <v>1560</v>
      </c>
      <c r="N35" s="51">
        <f>'Overall Load Summary'!L30</f>
        <v>1548</v>
      </c>
      <c r="O35" s="51">
        <f>'Overall Load Summary'!M30</f>
        <v>1548.3393231419454</v>
      </c>
      <c r="P35" s="51">
        <f>'Overall Load Summary'!N30</f>
        <v>1544.8084910015937</v>
      </c>
      <c r="Q35" s="51">
        <f>'Overall Load Summary'!O30</f>
        <v>1541.2857105689118</v>
      </c>
      <c r="R35" s="51">
        <f>'Overall Load Summary'!P30</f>
        <v>1537.7709634827897</v>
      </c>
      <c r="S35" s="51">
        <f>'Overall Load Summary'!Q30</f>
        <v>1534.2642314239886</v>
      </c>
      <c r="T35" s="59">
        <f>'Overall Load Summary'!R30</f>
        <v>1530.7654961150442</v>
      </c>
      <c r="V35" s="475" t="s">
        <v>13</v>
      </c>
      <c r="W35" s="51"/>
      <c r="X35" s="51"/>
      <c r="Y35" s="51"/>
      <c r="Z35" s="51"/>
      <c r="AA35" s="51"/>
      <c r="AB35" s="51"/>
      <c r="AC35" s="51"/>
      <c r="AD35" s="59"/>
    </row>
    <row r="36" spans="2:30" s="237" customFormat="1">
      <c r="B36" s="58" t="s">
        <v>14</v>
      </c>
      <c r="C36" s="51">
        <f>'Overall Load Summary'!K147</f>
        <v>11979</v>
      </c>
      <c r="D36" s="51">
        <f>'Overall Load Summary'!L147</f>
        <v>11978</v>
      </c>
      <c r="E36" s="51">
        <f>'Overall Load Summary'!M147</f>
        <v>12118.077461366693</v>
      </c>
      <c r="F36" s="51">
        <f>'Overall Load Summary'!N147</f>
        <v>12214.908318687441</v>
      </c>
      <c r="G36" s="51">
        <f>'Overall Load Summary'!O147</f>
        <v>12312.593401779668</v>
      </c>
      <c r="H36" s="51">
        <f>'Overall Load Summary'!P147</f>
        <v>12411.14112125702</v>
      </c>
      <c r="I36" s="51">
        <f>'Overall Load Summary'!Q147</f>
        <v>12510.559979154739</v>
      </c>
      <c r="J36" s="59">
        <f>'Overall Load Summary'!R147</f>
        <v>12610.858569999327</v>
      </c>
      <c r="K36" s="482"/>
      <c r="L36" s="58" t="s">
        <v>14</v>
      </c>
      <c r="M36" s="51">
        <f>'Overall Load Summary'!K31</f>
        <v>9506</v>
      </c>
      <c r="N36" s="51">
        <f>'Overall Load Summary'!L31</f>
        <v>9505</v>
      </c>
      <c r="O36" s="51">
        <f>'Overall Load Summary'!M31</f>
        <v>9598.0077329717878</v>
      </c>
      <c r="P36" s="51">
        <f>'Overall Load Summary'!N31</f>
        <v>9662.026765937062</v>
      </c>
      <c r="Q36" s="51">
        <f>'Overall Load Summary'!O31</f>
        <v>9726.4728079958768</v>
      </c>
      <c r="R36" s="51">
        <f>'Overall Load Summary'!P31</f>
        <v>9791.3487073131728</v>
      </c>
      <c r="S36" s="51">
        <f>'Overall Load Summary'!Q31</f>
        <v>9856.6573310512704</v>
      </c>
      <c r="T36" s="59">
        <f>'Overall Load Summary'!R31</f>
        <v>9922.4015654965351</v>
      </c>
      <c r="V36" s="58" t="s">
        <v>14</v>
      </c>
      <c r="W36" s="51">
        <f>'Overall Load Summary'!K79</f>
        <v>2473</v>
      </c>
      <c r="X36" s="51">
        <f>'Overall Load Summary'!L79</f>
        <v>2473</v>
      </c>
      <c r="Y36" s="51">
        <f>'Overall Load Summary'!M79</f>
        <v>2520.0697283949044</v>
      </c>
      <c r="Z36" s="51">
        <f>'Overall Load Summary'!N79</f>
        <v>2552.8815527503798</v>
      </c>
      <c r="AA36" s="51">
        <f>'Overall Load Summary'!O79</f>
        <v>2586.1205937837908</v>
      </c>
      <c r="AB36" s="51">
        <f>'Overall Load Summary'!P79</f>
        <v>2619.7924139438464</v>
      </c>
      <c r="AC36" s="51">
        <f>'Overall Load Summary'!Q79</f>
        <v>2653.9026481034698</v>
      </c>
      <c r="AD36" s="59">
        <f>'Overall Load Summary'!R79</f>
        <v>2688.4570045027931</v>
      </c>
    </row>
    <row r="37" spans="2:30" s="237" customFormat="1">
      <c r="B37" s="58" t="s">
        <v>15</v>
      </c>
      <c r="C37" s="51">
        <f>'Overall Load Summary'!K148</f>
        <v>1465</v>
      </c>
      <c r="D37" s="51">
        <f>'Overall Load Summary'!L148</f>
        <v>1501</v>
      </c>
      <c r="E37" s="51">
        <f>'Overall Load Summary'!M148</f>
        <v>1508.6966375157408</v>
      </c>
      <c r="F37" s="51">
        <f>'Overall Load Summary'!N148</f>
        <v>1522.2527566617828</v>
      </c>
      <c r="G37" s="51">
        <f>'Overall Load Summary'!O148</f>
        <v>1531.8256199828022</v>
      </c>
      <c r="H37" s="51">
        <f>'Overall Load Summary'!P148</f>
        <v>1540.2655229625168</v>
      </c>
      <c r="I37" s="51">
        <f>'Overall Load Summary'!Q148</f>
        <v>1548.6977634153759</v>
      </c>
      <c r="J37" s="59">
        <f>'Overall Load Summary'!R148</f>
        <v>1557.0226415058974</v>
      </c>
      <c r="K37" s="482"/>
      <c r="L37" s="58" t="s">
        <v>15</v>
      </c>
      <c r="M37" s="51">
        <f>'Overall Load Summary'!K32</f>
        <v>1075</v>
      </c>
      <c r="N37" s="51">
        <f>'Overall Load Summary'!L32</f>
        <v>1099</v>
      </c>
      <c r="O37" s="51">
        <f>'Overall Load Summary'!M32</f>
        <v>1100.7657407929687</v>
      </c>
      <c r="P37" s="51">
        <f>'Overall Load Summary'!N32</f>
        <v>1106.9933109150074</v>
      </c>
      <c r="Q37" s="51">
        <f>'Overall Load Summary'!O32</f>
        <v>1111.5329176942846</v>
      </c>
      <c r="R37" s="51">
        <f>'Overall Load Summary'!P32</f>
        <v>1115.3846010696848</v>
      </c>
      <c r="S37" s="51">
        <f>'Overall Load Summary'!Q32</f>
        <v>1119.0484011126202</v>
      </c>
      <c r="T37" s="59">
        <f>'Overall Load Summary'!R32</f>
        <v>1122.7243580274603</v>
      </c>
      <c r="V37" s="58" t="s">
        <v>15</v>
      </c>
      <c r="W37" s="51">
        <f>'Overall Load Summary'!K80</f>
        <v>390</v>
      </c>
      <c r="X37" s="51">
        <f>'Overall Load Summary'!L80</f>
        <v>402</v>
      </c>
      <c r="Y37" s="51">
        <f>'Overall Load Summary'!M80</f>
        <v>407.93089672277199</v>
      </c>
      <c r="Z37" s="51">
        <f>'Overall Load Summary'!N80</f>
        <v>415.25944574677527</v>
      </c>
      <c r="AA37" s="51">
        <f>'Overall Load Summary'!O80</f>
        <v>420.29270228851766</v>
      </c>
      <c r="AB37" s="51">
        <f>'Overall Load Summary'!P80</f>
        <v>424.88092189283196</v>
      </c>
      <c r="AC37" s="51">
        <f>'Overall Load Summary'!Q80</f>
        <v>429.64936230275566</v>
      </c>
      <c r="AD37" s="59">
        <f>'Overall Load Summary'!R80</f>
        <v>434.29828347843704</v>
      </c>
    </row>
    <row r="38" spans="2:30" s="237" customFormat="1">
      <c r="B38" s="58" t="s">
        <v>16</v>
      </c>
      <c r="C38" s="51">
        <f>'Overall Load Summary'!K149</f>
        <v>8</v>
      </c>
      <c r="D38" s="51">
        <f>'Overall Load Summary'!L149</f>
        <v>8</v>
      </c>
      <c r="E38" s="51">
        <f>'Overall Load Summary'!M149</f>
        <v>12.625</v>
      </c>
      <c r="F38" s="51">
        <f>'Overall Load Summary'!N149</f>
        <v>14.475000000000001</v>
      </c>
      <c r="G38" s="51">
        <f>'Overall Load Summary'!O149</f>
        <v>15.199999999999998</v>
      </c>
      <c r="H38" s="51">
        <f>'Overall Load Summary'!P149</f>
        <v>15.300000000000002</v>
      </c>
      <c r="I38" s="51">
        <f>'Overall Load Summary'!Q149</f>
        <v>15.300000000000002</v>
      </c>
      <c r="J38" s="59">
        <f>'Overall Load Summary'!R149</f>
        <v>15.300000000000002</v>
      </c>
      <c r="K38" s="482"/>
      <c r="L38" s="58" t="s">
        <v>16</v>
      </c>
      <c r="M38" s="51">
        <f>'Overall Load Summary'!K33</f>
        <v>5</v>
      </c>
      <c r="N38" s="51">
        <f>'Overall Load Summary'!L33</f>
        <v>5</v>
      </c>
      <c r="O38" s="51">
        <f>'Overall Load Summary'!M33</f>
        <v>7.5</v>
      </c>
      <c r="P38" s="51">
        <f>'Overall Load Summary'!N33</f>
        <v>8.6000000000000014</v>
      </c>
      <c r="Q38" s="51">
        <f>'Overall Load Summary'!O33</f>
        <v>9.1999999999999993</v>
      </c>
      <c r="R38" s="51">
        <f>'Overall Load Summary'!P33</f>
        <v>9.3000000000000043</v>
      </c>
      <c r="S38" s="51">
        <f>'Overall Load Summary'!Q33</f>
        <v>9.3000000000000043</v>
      </c>
      <c r="T38" s="59">
        <f>'Overall Load Summary'!R33</f>
        <v>9.3000000000000043</v>
      </c>
      <c r="V38" s="58" t="s">
        <v>16</v>
      </c>
      <c r="W38" s="51">
        <f>'Overall Load Summary'!K81</f>
        <v>3</v>
      </c>
      <c r="X38" s="51">
        <f>'Overall Load Summary'!L81</f>
        <v>3</v>
      </c>
      <c r="Y38" s="51">
        <f>'Overall Load Summary'!M81</f>
        <v>5.125</v>
      </c>
      <c r="Z38" s="51">
        <f>'Overall Load Summary'!N81</f>
        <v>5.875</v>
      </c>
      <c r="AA38" s="51">
        <f>'Overall Load Summary'!O81</f>
        <v>5.9999999999999982</v>
      </c>
      <c r="AB38" s="51">
        <f>'Overall Load Summary'!P81</f>
        <v>5.9999999999999982</v>
      </c>
      <c r="AC38" s="51">
        <f>'Overall Load Summary'!Q81</f>
        <v>5.9999999999999982</v>
      </c>
      <c r="AD38" s="59">
        <f>'Overall Load Summary'!R81</f>
        <v>5.9999999999999982</v>
      </c>
    </row>
    <row r="39" spans="2:30" s="237" customFormat="1">
      <c r="B39" s="58" t="s">
        <v>17</v>
      </c>
      <c r="C39" s="51">
        <f>'Overall Load Summary'!K150</f>
        <v>5</v>
      </c>
      <c r="D39" s="51">
        <f>'Overall Load Summary'!L150</f>
        <v>5</v>
      </c>
      <c r="E39" s="51">
        <f>'Overall Load Summary'!M150</f>
        <v>5.375</v>
      </c>
      <c r="F39" s="51">
        <f>'Overall Load Summary'!N150</f>
        <v>5.875</v>
      </c>
      <c r="G39" s="51">
        <f>'Overall Load Summary'!O150</f>
        <v>5.9999999999999991</v>
      </c>
      <c r="H39" s="51">
        <f>'Overall Load Summary'!P150</f>
        <v>5.9999999999999991</v>
      </c>
      <c r="I39" s="51">
        <f>'Overall Load Summary'!Q150</f>
        <v>5.9999999999999991</v>
      </c>
      <c r="J39" s="59">
        <f>'Overall Load Summary'!R150</f>
        <v>5.9999999999999991</v>
      </c>
      <c r="K39" s="482"/>
      <c r="L39" s="58" t="s">
        <v>17</v>
      </c>
      <c r="M39" s="51">
        <f>'Overall Load Summary'!K34</f>
        <v>5</v>
      </c>
      <c r="N39" s="51">
        <f>'Overall Load Summary'!L34</f>
        <v>5</v>
      </c>
      <c r="O39" s="51">
        <f>'Overall Load Summary'!M34</f>
        <v>5.375</v>
      </c>
      <c r="P39" s="51">
        <f>'Overall Load Summary'!N34</f>
        <v>5.875</v>
      </c>
      <c r="Q39" s="51">
        <f>'Overall Load Summary'!O34</f>
        <v>5.9999999999999991</v>
      </c>
      <c r="R39" s="51">
        <f>'Overall Load Summary'!P34</f>
        <v>5.9999999999999991</v>
      </c>
      <c r="S39" s="51">
        <f>'Overall Load Summary'!Q34</f>
        <v>5.9999999999999991</v>
      </c>
      <c r="T39" s="59">
        <f>'Overall Load Summary'!R34</f>
        <v>5.9999999999999991</v>
      </c>
      <c r="V39" s="475" t="s">
        <v>17</v>
      </c>
      <c r="W39" s="51"/>
      <c r="X39" s="51"/>
      <c r="Y39" s="51"/>
      <c r="Z39" s="51"/>
      <c r="AA39" s="51"/>
      <c r="AB39" s="51"/>
      <c r="AC39" s="51"/>
      <c r="AD39" s="59"/>
    </row>
    <row r="40" spans="2:30" s="237" customFormat="1">
      <c r="B40" s="58" t="s">
        <v>18</v>
      </c>
      <c r="C40" s="51">
        <f>'Overall Load Summary'!K151</f>
        <v>46771</v>
      </c>
      <c r="D40" s="51">
        <f>'Overall Load Summary'!L151</f>
        <v>47199</v>
      </c>
      <c r="E40" s="51">
        <f>'Overall Load Summary'!M151</f>
        <v>47891.008837290152</v>
      </c>
      <c r="F40" s="51">
        <f>'Overall Load Summary'!N151</f>
        <v>48510.573468078022</v>
      </c>
      <c r="G40" s="51">
        <f>'Overall Load Summary'!O151</f>
        <v>49138.564176321415</v>
      </c>
      <c r="H40" s="51">
        <f>'Overall Load Summary'!P151</f>
        <v>49775.101669639123</v>
      </c>
      <c r="I40" s="51">
        <f>'Overall Load Summary'!Q151</f>
        <v>50420.308471378157</v>
      </c>
      <c r="J40" s="59">
        <f>'Overall Load Summary'!R151</f>
        <v>51074.308949089311</v>
      </c>
      <c r="K40" s="482"/>
      <c r="L40" s="58" t="s">
        <v>18</v>
      </c>
      <c r="M40" s="51">
        <f>'Overall Load Summary'!K35</f>
        <v>33008</v>
      </c>
      <c r="N40" s="51">
        <f>'Overall Load Summary'!L35</f>
        <v>33267</v>
      </c>
      <c r="O40" s="51">
        <f>'Overall Load Summary'!M35</f>
        <v>33682.769704521445</v>
      </c>
      <c r="P40" s="51">
        <f>'Overall Load Summary'!N35</f>
        <v>34054.452626278951</v>
      </c>
      <c r="Q40" s="51">
        <f>'Overall Load Summary'!O35</f>
        <v>34430.236997992564</v>
      </c>
      <c r="R40" s="51">
        <f>'Overall Load Summary'!P35</f>
        <v>34810.168078378127</v>
      </c>
      <c r="S40" s="51">
        <f>'Overall Load Summary'!Q35</f>
        <v>35194.291625572812</v>
      </c>
      <c r="T40" s="59">
        <f>'Overall Load Summary'!R35</f>
        <v>35582.65390264595</v>
      </c>
      <c r="V40" s="58" t="s">
        <v>18</v>
      </c>
      <c r="W40" s="51">
        <f>'Overall Load Summary'!K82</f>
        <v>13763</v>
      </c>
      <c r="X40" s="51">
        <f>'Overall Load Summary'!L82</f>
        <v>13932</v>
      </c>
      <c r="Y40" s="51">
        <f>'Overall Load Summary'!M82</f>
        <v>14208.239132768709</v>
      </c>
      <c r="Z40" s="51">
        <f>'Overall Load Summary'!N82</f>
        <v>14456.120841799073</v>
      </c>
      <c r="AA40" s="51">
        <f>'Overall Load Summary'!O82</f>
        <v>14708.327178328849</v>
      </c>
      <c r="AB40" s="51">
        <f>'Overall Load Summary'!P82</f>
        <v>14964.933591260995</v>
      </c>
      <c r="AC40" s="51">
        <f>'Overall Load Summary'!Q82</f>
        <v>15226.016845805345</v>
      </c>
      <c r="AD40" s="59">
        <f>'Overall Load Summary'!R82</f>
        <v>15491.655046443362</v>
      </c>
    </row>
    <row r="41" spans="2:30" s="237" customFormat="1">
      <c r="B41" s="58" t="s">
        <v>19</v>
      </c>
      <c r="C41" s="51">
        <f>'Overall Load Summary'!K152</f>
        <v>281</v>
      </c>
      <c r="D41" s="51">
        <f>'Overall Load Summary'!L152</f>
        <v>271</v>
      </c>
      <c r="E41" s="51">
        <f>'Overall Load Summary'!M152</f>
        <v>269.97530459908796</v>
      </c>
      <c r="F41" s="51">
        <f>'Overall Load Summary'!N152</f>
        <v>266.24747794864254</v>
      </c>
      <c r="G41" s="51">
        <f>'Overall Load Summary'!O152</f>
        <v>262.61537332245695</v>
      </c>
      <c r="H41" s="51">
        <f>'Overall Load Summary'!P152</f>
        <v>259.07745199134968</v>
      </c>
      <c r="I41" s="51">
        <f>'Overall Load Summary'!Q152</f>
        <v>255.63221022936378</v>
      </c>
      <c r="J41" s="59">
        <f>'Overall Load Summary'!R152</f>
        <v>252.27817870073474</v>
      </c>
      <c r="K41" s="482"/>
      <c r="L41" s="58" t="s">
        <v>19</v>
      </c>
      <c r="M41" s="51">
        <f>'Overall Load Summary'!K36</f>
        <v>236</v>
      </c>
      <c r="N41" s="51">
        <f>'Overall Load Summary'!L36</f>
        <v>227</v>
      </c>
      <c r="O41" s="51">
        <f>'Overall Load Summary'!M36</f>
        <v>224.56378642206369</v>
      </c>
      <c r="P41" s="51">
        <f>'Overall Load Summary'!N36</f>
        <v>220.17018316345894</v>
      </c>
      <c r="Q41" s="51">
        <f>'Overall Load Summary'!O36</f>
        <v>215.86254100259657</v>
      </c>
      <c r="R41" s="51">
        <f>'Overall Load Summary'!P36</f>
        <v>211.63917810570817</v>
      </c>
      <c r="S41" s="51">
        <f>'Overall Load Summary'!Q36</f>
        <v>207.49844554419877</v>
      </c>
      <c r="T41" s="59">
        <f>'Overall Load Summary'!R36</f>
        <v>203.43872665085527</v>
      </c>
      <c r="V41" s="58" t="s">
        <v>19</v>
      </c>
      <c r="W41" s="51">
        <f>'Overall Load Summary'!K83</f>
        <v>45</v>
      </c>
      <c r="X41" s="51">
        <f>'Overall Load Summary'!L83</f>
        <v>44</v>
      </c>
      <c r="Y41" s="51">
        <f>'Overall Load Summary'!M83</f>
        <v>45.411518177024291</v>
      </c>
      <c r="Z41" s="51">
        <f>'Overall Load Summary'!N83</f>
        <v>46.077294785183597</v>
      </c>
      <c r="AA41" s="51">
        <f>'Overall Load Summary'!O83</f>
        <v>46.752832319860374</v>
      </c>
      <c r="AB41" s="51">
        <f>'Overall Load Summary'!P83</f>
        <v>47.438273885641507</v>
      </c>
      <c r="AC41" s="51">
        <f>'Overall Load Summary'!Q83</f>
        <v>48.133764685165005</v>
      </c>
      <c r="AD41" s="59">
        <f>'Overall Load Summary'!R83</f>
        <v>48.839452049879476</v>
      </c>
    </row>
    <row r="42" spans="2:30" s="237" customFormat="1">
      <c r="B42" s="58" t="s">
        <v>20</v>
      </c>
      <c r="C42" s="51">
        <f>'Overall Load Summary'!K153</f>
        <v>1135</v>
      </c>
      <c r="D42" s="51">
        <f>'Overall Load Summary'!L153</f>
        <v>1191</v>
      </c>
      <c r="E42" s="51">
        <f>'Overall Load Summary'!M153</f>
        <v>1185.3272027440514</v>
      </c>
      <c r="F42" s="51">
        <f>'Overall Load Summary'!N153</f>
        <v>1180.6291240719195</v>
      </c>
      <c r="G42" s="51">
        <f>'Overall Load Summary'!O153</f>
        <v>1175.991713326538</v>
      </c>
      <c r="H42" s="51">
        <f>'Overall Load Summary'!P153</f>
        <v>1171.4225534419309</v>
      </c>
      <c r="I42" s="51">
        <f>'Overall Load Summary'!Q153</f>
        <v>1166.9212113878439</v>
      </c>
      <c r="J42" s="59">
        <f>'Overall Load Summary'!R153</f>
        <v>1162.4872586232891</v>
      </c>
      <c r="K42" s="482"/>
      <c r="L42" s="58" t="s">
        <v>20</v>
      </c>
      <c r="M42" s="51">
        <f>'Overall Load Summary'!K37</f>
        <v>747</v>
      </c>
      <c r="N42" s="51">
        <f>'Overall Load Summary'!L37</f>
        <v>799</v>
      </c>
      <c r="O42" s="51">
        <f>'Overall Load Summary'!M37</f>
        <v>792.17182009357361</v>
      </c>
      <c r="P42" s="51">
        <f>'Overall Load Summary'!N37</f>
        <v>785.40994512517386</v>
      </c>
      <c r="Q42" s="51">
        <f>'Overall Load Summary'!O37</f>
        <v>778.69790456746318</v>
      </c>
      <c r="R42" s="51">
        <f>'Overall Load Summary'!P37</f>
        <v>772.04322448593177</v>
      </c>
      <c r="S42" s="51">
        <f>'Overall Load Summary'!Q37</f>
        <v>765.44541468326963</v>
      </c>
      <c r="T42" s="59">
        <f>'Overall Load Summary'!R37</f>
        <v>758.90398915134699</v>
      </c>
      <c r="V42" s="58" t="s">
        <v>20</v>
      </c>
      <c r="W42" s="51">
        <f>'Overall Load Summary'!K84</f>
        <v>388</v>
      </c>
      <c r="X42" s="51">
        <f>'Overall Load Summary'!L84</f>
        <v>392</v>
      </c>
      <c r="Y42" s="51">
        <f>'Overall Load Summary'!M84</f>
        <v>393.15538265047775</v>
      </c>
      <c r="Z42" s="51">
        <f>'Overall Load Summary'!N84</f>
        <v>395.21917894674556</v>
      </c>
      <c r="AA42" s="51">
        <f>'Overall Load Summary'!O84</f>
        <v>397.29380875907475</v>
      </c>
      <c r="AB42" s="51">
        <f>'Overall Load Summary'!P84</f>
        <v>399.37932895599914</v>
      </c>
      <c r="AC42" s="51">
        <f>'Overall Load Summary'!Q84</f>
        <v>401.47579670457412</v>
      </c>
      <c r="AD42" s="59">
        <f>'Overall Load Summary'!R84</f>
        <v>403.58326947194217</v>
      </c>
    </row>
    <row r="43" spans="2:30" s="237" customFormat="1" ht="15" thickBot="1">
      <c r="B43" s="57" t="s">
        <v>23</v>
      </c>
      <c r="C43" s="640">
        <f>SUM(C34:C42)</f>
        <v>227204</v>
      </c>
      <c r="D43" s="640">
        <f t="shared" ref="D43" si="12">SUM(D34:D42)</f>
        <v>229137</v>
      </c>
      <c r="E43" s="640">
        <f t="shared" ref="E43:J43" ca="1" si="13">SUM(E34:E42)</f>
        <v>232635.47857065397</v>
      </c>
      <c r="F43" s="640">
        <f t="shared" ca="1" si="13"/>
        <v>235833.43503890099</v>
      </c>
      <c r="G43" s="640">
        <f t="shared" ca="1" si="13"/>
        <v>239216.00695932718</v>
      </c>
      <c r="H43" s="640">
        <f t="shared" ca="1" si="13"/>
        <v>242767.48181262967</v>
      </c>
      <c r="I43" s="640">
        <f t="shared" ca="1" si="13"/>
        <v>246408.69159921093</v>
      </c>
      <c r="J43" s="56">
        <f t="shared" ca="1" si="13"/>
        <v>249747.97378196032</v>
      </c>
      <c r="L43" s="57" t="s">
        <v>23</v>
      </c>
      <c r="M43" s="640">
        <f>SUM(M34:M42)</f>
        <v>164455</v>
      </c>
      <c r="N43" s="640">
        <f t="shared" ref="N43" si="14">SUM(N34:N42)</f>
        <v>165868</v>
      </c>
      <c r="O43" s="640">
        <f t="shared" ref="O43:T43" ca="1" si="15">SUM(O34:O42)</f>
        <v>168267.64989754371</v>
      </c>
      <c r="P43" s="640">
        <f t="shared" ca="1" si="15"/>
        <v>170471.16160092715</v>
      </c>
      <c r="Q43" s="640">
        <f t="shared" ca="1" si="15"/>
        <v>172771.90650106117</v>
      </c>
      <c r="R43" s="640">
        <f t="shared" ca="1" si="15"/>
        <v>175164.85002372638</v>
      </c>
      <c r="S43" s="640">
        <f t="shared" ca="1" si="15"/>
        <v>177632.98485057551</v>
      </c>
      <c r="T43" s="56">
        <f t="shared" ca="1" si="15"/>
        <v>179919.91900773923</v>
      </c>
      <c r="V43" s="57" t="s">
        <v>23</v>
      </c>
      <c r="W43" s="640">
        <f>SUM(W34:W42)</f>
        <v>62749</v>
      </c>
      <c r="X43" s="640">
        <f t="shared" ref="X43" si="16">SUM(X34:X42)</f>
        <v>63269</v>
      </c>
      <c r="Y43" s="640">
        <f t="shared" ref="Y43:AD43" ca="1" si="17">SUM(Y34:Y42)</f>
        <v>64367.828673110307</v>
      </c>
      <c r="Z43" s="640">
        <f t="shared" ca="1" si="17"/>
        <v>65362.273437973847</v>
      </c>
      <c r="AA43" s="640">
        <f t="shared" ca="1" si="17"/>
        <v>66444.100458266024</v>
      </c>
      <c r="AB43" s="640">
        <f t="shared" ca="1" si="17"/>
        <v>67602.631788903338</v>
      </c>
      <c r="AC43" s="640">
        <f t="shared" ca="1" si="17"/>
        <v>68775.706748635377</v>
      </c>
      <c r="AD43" s="56">
        <f t="shared" ca="1" si="17"/>
        <v>69828.054774221077</v>
      </c>
    </row>
    <row r="44" spans="2:30" s="237" customFormat="1" ht="15" thickBot="1">
      <c r="B44" s="57" t="s">
        <v>24</v>
      </c>
      <c r="C44" s="640">
        <f>SUM(C34:C39)</f>
        <v>179017</v>
      </c>
      <c r="D44" s="640">
        <f t="shared" ref="D44" si="18">SUM(D34:D39)</f>
        <v>180476</v>
      </c>
      <c r="E44" s="640">
        <f t="shared" ref="E44:J44" ca="1" si="19">SUM(E34:E39)</f>
        <v>183289.16722602068</v>
      </c>
      <c r="F44" s="640">
        <f t="shared" ca="1" si="19"/>
        <v>185875.98496880243</v>
      </c>
      <c r="G44" s="640">
        <f t="shared" ca="1" si="19"/>
        <v>188638.83569635678</v>
      </c>
      <c r="H44" s="640">
        <f t="shared" ca="1" si="19"/>
        <v>191561.88013755728</v>
      </c>
      <c r="I44" s="640">
        <f t="shared" ca="1" si="19"/>
        <v>194565.82970621556</v>
      </c>
      <c r="J44" s="56">
        <f t="shared" ca="1" si="19"/>
        <v>197258.89939554696</v>
      </c>
      <c r="L44" s="57" t="s">
        <v>24</v>
      </c>
      <c r="M44" s="640">
        <f>SUM(M34:M39)</f>
        <v>130464</v>
      </c>
      <c r="N44" s="640">
        <f t="shared" ref="N44" si="20">SUM(N34:N39)</f>
        <v>131575</v>
      </c>
      <c r="O44" s="640">
        <f t="shared" ref="O44:T44" ca="1" si="21">SUM(O34:O39)</f>
        <v>133568.14458650659</v>
      </c>
      <c r="P44" s="640">
        <f t="shared" ca="1" si="21"/>
        <v>135411.12884635958</v>
      </c>
      <c r="Q44" s="640">
        <f t="shared" ca="1" si="21"/>
        <v>137347.10905749854</v>
      </c>
      <c r="R44" s="640">
        <f t="shared" ca="1" si="21"/>
        <v>139370.99954275659</v>
      </c>
      <c r="S44" s="640">
        <f t="shared" ca="1" si="21"/>
        <v>141465.74936477526</v>
      </c>
      <c r="T44" s="56">
        <f t="shared" ca="1" si="21"/>
        <v>143374.92238929108</v>
      </c>
      <c r="V44" s="57" t="s">
        <v>24</v>
      </c>
      <c r="W44" s="640">
        <f>SUM(W34:W39)</f>
        <v>48553</v>
      </c>
      <c r="X44" s="640">
        <f t="shared" ref="X44" si="22">SUM(X34:X39)</f>
        <v>48901</v>
      </c>
      <c r="Y44" s="640">
        <f t="shared" ref="Y44:AD44" ca="1" si="23">SUM(Y34:Y39)</f>
        <v>49721.0226395141</v>
      </c>
      <c r="Z44" s="640">
        <f t="shared" ca="1" si="23"/>
        <v>50464.856122442849</v>
      </c>
      <c r="AA44" s="640">
        <f t="shared" ca="1" si="23"/>
        <v>51291.726638858243</v>
      </c>
      <c r="AB44" s="640">
        <f t="shared" ca="1" si="23"/>
        <v>52190.880594800707</v>
      </c>
      <c r="AC44" s="640">
        <f t="shared" ca="1" si="23"/>
        <v>53100.080341440305</v>
      </c>
      <c r="AD44" s="56">
        <f t="shared" ca="1" si="23"/>
        <v>53883.977006255889</v>
      </c>
    </row>
    <row r="45" spans="2:30" s="237" customFormat="1"/>
    <row r="46" spans="2:30" s="237" customFormat="1"/>
    <row r="47" spans="2:30" s="237" customFormat="1"/>
    <row r="48" spans="2:30" s="237" customFormat="1"/>
    <row r="49" spans="3:11" s="237" customFormat="1"/>
    <row r="50" spans="3:11" s="237" customFormat="1">
      <c r="K50" s="482"/>
    </row>
    <row r="51" spans="3:11" s="237" customFormat="1">
      <c r="K51" s="482"/>
    </row>
    <row r="52" spans="3:11" s="237" customFormat="1">
      <c r="K52" s="482"/>
    </row>
    <row r="53" spans="3:11" s="237" customFormat="1">
      <c r="C53" s="297"/>
      <c r="D53" s="297"/>
      <c r="E53" s="297"/>
      <c r="F53" s="297"/>
      <c r="G53" s="297"/>
      <c r="H53" s="297"/>
      <c r="I53" s="297"/>
      <c r="J53" s="297"/>
      <c r="K53" s="482"/>
    </row>
    <row r="54" spans="3:11" s="237" customFormat="1">
      <c r="C54" s="297"/>
      <c r="D54" s="297"/>
      <c r="E54" s="297"/>
      <c r="F54" s="297"/>
      <c r="G54" s="297"/>
      <c r="H54" s="297"/>
      <c r="I54" s="297"/>
      <c r="J54" s="297"/>
      <c r="K54" s="482"/>
    </row>
    <row r="55" spans="3:11" s="237" customFormat="1">
      <c r="C55" s="297"/>
      <c r="D55" s="297"/>
      <c r="E55" s="297"/>
      <c r="F55" s="297"/>
      <c r="G55" s="297"/>
      <c r="H55" s="297"/>
      <c r="I55" s="297"/>
      <c r="J55" s="297"/>
      <c r="K55" s="482"/>
    </row>
    <row r="56" spans="3:11" s="237" customFormat="1">
      <c r="C56" s="297"/>
      <c r="D56" s="297"/>
      <c r="E56" s="297"/>
      <c r="F56" s="297"/>
      <c r="G56" s="297"/>
      <c r="H56" s="297"/>
      <c r="I56" s="297"/>
      <c r="J56" s="297"/>
      <c r="K56" s="482"/>
    </row>
    <row r="57" spans="3:11" s="237" customFormat="1">
      <c r="C57" s="297"/>
      <c r="D57" s="297"/>
      <c r="E57" s="297"/>
      <c r="F57" s="297"/>
      <c r="G57" s="297"/>
      <c r="H57" s="297"/>
      <c r="I57" s="297"/>
      <c r="J57" s="297"/>
      <c r="K57" s="482"/>
    </row>
    <row r="58" spans="3:11" s="237" customFormat="1">
      <c r="C58" s="297"/>
      <c r="D58" s="297"/>
      <c r="E58" s="297"/>
      <c r="F58" s="297"/>
      <c r="G58" s="297"/>
      <c r="H58" s="297"/>
      <c r="I58" s="297"/>
      <c r="J58" s="297"/>
    </row>
    <row r="59" spans="3:11" s="237" customFormat="1">
      <c r="C59" s="297"/>
      <c r="D59" s="297"/>
      <c r="E59" s="297"/>
      <c r="F59" s="297"/>
      <c r="G59" s="297"/>
      <c r="H59" s="297"/>
      <c r="I59" s="297"/>
      <c r="J59" s="297"/>
    </row>
    <row r="60" spans="3:11" s="237" customFormat="1">
      <c r="C60" s="297"/>
      <c r="D60" s="297"/>
      <c r="E60" s="297"/>
      <c r="F60" s="297"/>
      <c r="G60" s="297"/>
      <c r="H60" s="297"/>
      <c r="I60" s="297"/>
      <c r="J60" s="297"/>
    </row>
    <row r="61" spans="3:11" s="237" customFormat="1">
      <c r="C61" s="297"/>
      <c r="D61" s="297"/>
      <c r="E61" s="297"/>
      <c r="F61" s="297"/>
      <c r="G61" s="297"/>
      <c r="H61" s="297"/>
      <c r="I61" s="297"/>
      <c r="J61" s="297"/>
    </row>
    <row r="62" spans="3:11" s="237" customFormat="1">
      <c r="C62" s="297"/>
      <c r="D62" s="297"/>
      <c r="E62" s="297"/>
      <c r="F62" s="297"/>
      <c r="G62" s="297"/>
      <c r="H62" s="297"/>
      <c r="I62" s="297"/>
      <c r="J62" s="297"/>
    </row>
    <row r="63" spans="3:11" s="237" customFormat="1">
      <c r="C63" s="297"/>
      <c r="D63" s="297"/>
      <c r="E63" s="297"/>
      <c r="F63" s="297"/>
      <c r="G63" s="297"/>
      <c r="H63" s="297"/>
      <c r="I63" s="297"/>
      <c r="J63" s="297"/>
    </row>
    <row r="64" spans="3:11">
      <c r="C64" s="297"/>
      <c r="D64" s="297"/>
      <c r="E64" s="297"/>
      <c r="F64" s="297"/>
      <c r="G64" s="297"/>
      <c r="H64" s="297"/>
      <c r="I64" s="297"/>
      <c r="J64" s="297"/>
    </row>
    <row r="65" spans="3:10">
      <c r="C65" s="297"/>
      <c r="D65" s="297"/>
      <c r="E65" s="297"/>
      <c r="F65" s="297"/>
      <c r="G65" s="297"/>
      <c r="H65" s="297"/>
      <c r="I65" s="297"/>
      <c r="J65" s="297"/>
    </row>
    <row r="66" spans="3:10">
      <c r="C66" s="297"/>
      <c r="D66" s="297"/>
      <c r="E66" s="297"/>
      <c r="F66" s="297"/>
      <c r="G66" s="297"/>
      <c r="H66" s="297"/>
      <c r="I66" s="297"/>
      <c r="J66" s="297"/>
    </row>
    <row r="67" spans="3:10">
      <c r="C67" s="297"/>
      <c r="D67" s="297"/>
      <c r="E67" s="297"/>
      <c r="F67" s="297"/>
      <c r="G67" s="297"/>
      <c r="H67" s="297"/>
      <c r="I67" s="297"/>
      <c r="J67" s="297"/>
    </row>
    <row r="68" spans="3:10">
      <c r="C68" s="297"/>
      <c r="D68" s="297"/>
      <c r="E68" s="297"/>
      <c r="F68" s="297"/>
      <c r="G68" s="297"/>
      <c r="H68" s="297"/>
      <c r="I68" s="297"/>
      <c r="J68" s="297"/>
    </row>
    <row r="69" spans="3:10">
      <c r="C69" s="297"/>
      <c r="D69" s="297"/>
      <c r="E69" s="297"/>
      <c r="F69" s="297"/>
      <c r="G69" s="297"/>
      <c r="H69" s="297"/>
      <c r="I69" s="297"/>
      <c r="J69" s="297"/>
    </row>
    <row r="70" spans="3:10">
      <c r="C70" s="297"/>
      <c r="D70" s="297"/>
      <c r="E70" s="297"/>
      <c r="F70" s="297"/>
      <c r="G70" s="297"/>
      <c r="H70" s="297"/>
      <c r="I70" s="297"/>
      <c r="J70" s="297"/>
    </row>
    <row r="71" spans="3:10">
      <c r="C71" s="297"/>
      <c r="D71" s="297"/>
      <c r="E71" s="297"/>
      <c r="F71" s="297"/>
      <c r="G71" s="297"/>
      <c r="H71" s="297"/>
      <c r="I71" s="297"/>
      <c r="J71" s="297"/>
    </row>
    <row r="72" spans="3:10">
      <c r="C72" s="297"/>
      <c r="D72" s="297"/>
      <c r="E72" s="297"/>
      <c r="F72" s="297"/>
      <c r="G72" s="297"/>
      <c r="H72" s="297"/>
      <c r="I72" s="297"/>
      <c r="J72" s="297"/>
    </row>
    <row r="73" spans="3:10">
      <c r="C73" s="297"/>
      <c r="D73" s="297"/>
      <c r="E73" s="297"/>
      <c r="F73" s="297"/>
      <c r="G73" s="297"/>
      <c r="H73" s="297"/>
      <c r="I73" s="297"/>
      <c r="J73" s="297"/>
    </row>
    <row r="74" spans="3:10">
      <c r="C74" s="297"/>
      <c r="D74" s="297"/>
      <c r="E74" s="297"/>
      <c r="F74" s="297"/>
      <c r="G74" s="297"/>
      <c r="H74" s="297"/>
      <c r="I74" s="297"/>
      <c r="J74" s="297"/>
    </row>
    <row r="75" spans="3:10">
      <c r="C75" s="297"/>
      <c r="D75" s="297"/>
      <c r="E75" s="297"/>
      <c r="F75" s="297"/>
      <c r="G75" s="297"/>
      <c r="H75" s="297"/>
      <c r="I75" s="297"/>
      <c r="J75" s="297"/>
    </row>
    <row r="76" spans="3:10">
      <c r="C76" s="297"/>
      <c r="D76" s="297"/>
      <c r="E76" s="297"/>
      <c r="F76" s="297"/>
      <c r="G76" s="297"/>
      <c r="H76" s="297"/>
      <c r="I76" s="297"/>
      <c r="J76" s="297"/>
    </row>
    <row r="77" spans="3:10">
      <c r="C77" s="297"/>
      <c r="D77" s="297"/>
      <c r="E77" s="297"/>
      <c r="F77" s="297"/>
      <c r="G77" s="297"/>
      <c r="H77" s="297"/>
      <c r="I77" s="297"/>
      <c r="J77" s="297"/>
    </row>
  </sheetData>
  <mergeCells count="1">
    <mergeCell ref="B2:J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C4B7E-D205-41FE-958A-DA3203242600}">
  <sheetPr codeName="Sheet13">
    <tabColor theme="9" tint="0.79998168889431442"/>
  </sheetPr>
  <dimension ref="A1:V122"/>
  <sheetViews>
    <sheetView topLeftCell="F1" workbookViewId="0">
      <selection activeCell="S10" sqref="S10"/>
    </sheetView>
  </sheetViews>
  <sheetFormatPr defaultRowHeight="14.5"/>
  <cols>
    <col min="4" max="4" width="27.81640625" customWidth="1"/>
    <col min="6" max="6" width="8.81640625" style="3"/>
    <col min="7" max="7" width="8.81640625" customWidth="1"/>
    <col min="8" max="8" width="13.81640625" bestFit="1" customWidth="1"/>
    <col min="9" max="10" width="11.1796875" bestFit="1" customWidth="1"/>
    <col min="11" max="13" width="12.54296875" customWidth="1"/>
    <col min="14" max="14" width="12" customWidth="1"/>
    <col min="19" max="19" width="13.81640625" bestFit="1" customWidth="1"/>
    <col min="20" max="20" width="12.81640625" bestFit="1" customWidth="1"/>
    <col min="21" max="21" width="13.81640625" bestFit="1" customWidth="1"/>
    <col min="22" max="22" width="8.81640625" bestFit="1" customWidth="1"/>
  </cols>
  <sheetData>
    <row r="1" spans="1:22">
      <c r="A1" s="541" t="str">
        <f>'Monthly Data'!A1</f>
        <v>Date</v>
      </c>
      <c r="B1" s="541" t="str">
        <f>'Monthly Data'!B1</f>
        <v>Year</v>
      </c>
      <c r="C1" s="541" t="str">
        <f>'Monthly Data'!C1</f>
        <v>Month</v>
      </c>
      <c r="D1" s="541" t="str">
        <f>'Monthly Data'!AD1</f>
        <v>VRZ_GS3000to4999kWh_No_CDM</v>
      </c>
      <c r="E1" s="541" t="str">
        <f>'Monthly Data'!DL1</f>
        <v>OEA_GDP</v>
      </c>
      <c r="F1" s="541" t="str">
        <f>'Monthly Data'!DR1</f>
        <v>Peak Days</v>
      </c>
      <c r="G1" s="541"/>
      <c r="H1" s="541" t="str">
        <f>R8</f>
        <v>const</v>
      </c>
      <c r="I1" s="541" t="str">
        <f>E1</f>
        <v>OEA_GDP</v>
      </c>
      <c r="J1" s="541" t="str">
        <f>F1</f>
        <v>Peak Days</v>
      </c>
      <c r="K1" s="541" t="s">
        <v>293</v>
      </c>
      <c r="L1" s="541" t="s">
        <v>332</v>
      </c>
      <c r="M1" s="541" t="s">
        <v>333</v>
      </c>
      <c r="N1" s="541" t="s">
        <v>296</v>
      </c>
      <c r="O1" s="541"/>
    </row>
    <row r="2" spans="1:22">
      <c r="A2" s="2">
        <f>'Monthly Data'!A2</f>
        <v>42370</v>
      </c>
      <c r="B2">
        <f>'Monthly Data'!B2</f>
        <v>2016</v>
      </c>
      <c r="C2">
        <f>'Monthly Data'!C2</f>
        <v>1</v>
      </c>
      <c r="D2" s="3">
        <f>'Monthly Data'!AD2</f>
        <v>6829428.2044891594</v>
      </c>
      <c r="E2" s="3">
        <f>'Monthly Data'!DL2</f>
        <v>743835</v>
      </c>
      <c r="F2" s="3">
        <f>'Monthly Data'!DR2</f>
        <v>20</v>
      </c>
      <c r="H2" s="3">
        <f t="shared" ref="H2:H33" si="0">$S$8</f>
        <v>-3751454.0580042</v>
      </c>
      <c r="I2" s="3">
        <f t="shared" ref="I2:I33" si="1">E2*$S$9</f>
        <v>7241000.3417331809</v>
      </c>
      <c r="J2" s="3">
        <f t="shared" ref="J2:J33" si="2">F2*$S$10</f>
        <v>3464593.4713132801</v>
      </c>
      <c r="K2" s="47">
        <f t="shared" ref="K2:K9" si="3">SUM(H2:J2)</f>
        <v>6954139.7550422605</v>
      </c>
      <c r="L2" s="47">
        <f>'Monthly Data'!AE2</f>
        <v>0</v>
      </c>
      <c r="M2" s="47">
        <f t="shared" ref="M2:M42" si="4">K2+L2</f>
        <v>6954139.7550422605</v>
      </c>
      <c r="N2" s="47">
        <f t="shared" ref="N2:N42" si="5">M2-D2</f>
        <v>124711.55055310111</v>
      </c>
      <c r="O2" s="18">
        <f t="shared" ref="O2:O9" si="6">ABS(N2/D2)</f>
        <v>1.826090659700105E-2</v>
      </c>
    </row>
    <row r="3" spans="1:22">
      <c r="A3" s="2">
        <f>'Monthly Data'!A3</f>
        <v>42401</v>
      </c>
      <c r="B3">
        <f>'Monthly Data'!B3</f>
        <v>2016</v>
      </c>
      <c r="C3">
        <f>'Monthly Data'!C3</f>
        <v>2</v>
      </c>
      <c r="D3" s="3">
        <f>'Monthly Data'!AD3</f>
        <v>6211239.2463130364</v>
      </c>
      <c r="E3" s="3">
        <f>'Monthly Data'!DL3</f>
        <v>743835</v>
      </c>
      <c r="F3" s="3">
        <f>'Monthly Data'!DR3</f>
        <v>20</v>
      </c>
      <c r="H3" s="3">
        <f t="shared" si="0"/>
        <v>-3751454.0580042</v>
      </c>
      <c r="I3" s="3">
        <f t="shared" si="1"/>
        <v>7241000.3417331809</v>
      </c>
      <c r="J3" s="3">
        <f t="shared" si="2"/>
        <v>3464593.4713132801</v>
      </c>
      <c r="K3" s="47">
        <f t="shared" si="3"/>
        <v>6954139.7550422605</v>
      </c>
      <c r="L3" s="47">
        <f>'Monthly Data'!AE3</f>
        <v>0</v>
      </c>
      <c r="M3" s="47">
        <f t="shared" si="4"/>
        <v>6954139.7550422605</v>
      </c>
      <c r="N3" s="47">
        <f t="shared" si="5"/>
        <v>742900.50872922409</v>
      </c>
      <c r="O3" s="18">
        <f t="shared" si="6"/>
        <v>0.11960584341847828</v>
      </c>
      <c r="R3" s="651" t="s">
        <v>334</v>
      </c>
      <c r="S3" s="651"/>
      <c r="T3" s="651"/>
      <c r="U3" s="651"/>
      <c r="V3" s="651"/>
    </row>
    <row r="4" spans="1:22">
      <c r="A4" s="2">
        <f>'Monthly Data'!A4</f>
        <v>42430</v>
      </c>
      <c r="B4">
        <f>'Monthly Data'!B4</f>
        <v>2016</v>
      </c>
      <c r="C4">
        <f>'Monthly Data'!C4</f>
        <v>3</v>
      </c>
      <c r="D4" s="3">
        <f>'Monthly Data'!AD4</f>
        <v>6325936.2363030585</v>
      </c>
      <c r="E4" s="3">
        <f>'Monthly Data'!DL4</f>
        <v>743835</v>
      </c>
      <c r="F4" s="3">
        <f>'Monthly Data'!DR4</f>
        <v>21</v>
      </c>
      <c r="H4" s="3">
        <f t="shared" si="0"/>
        <v>-3751454.0580042</v>
      </c>
      <c r="I4" s="3">
        <f t="shared" si="1"/>
        <v>7241000.3417331809</v>
      </c>
      <c r="J4" s="3">
        <f t="shared" si="2"/>
        <v>3637823.1448789444</v>
      </c>
      <c r="K4" s="47">
        <f t="shared" si="3"/>
        <v>7127369.4286079258</v>
      </c>
      <c r="L4" s="47">
        <f>'Monthly Data'!AE4</f>
        <v>0</v>
      </c>
      <c r="M4" s="47">
        <f t="shared" si="4"/>
        <v>7127369.4286079258</v>
      </c>
      <c r="N4" s="47">
        <f t="shared" si="5"/>
        <v>801433.19230486732</v>
      </c>
      <c r="O4" s="18">
        <f t="shared" si="6"/>
        <v>0.1266900522495992</v>
      </c>
      <c r="R4" s="651" t="s">
        <v>335</v>
      </c>
      <c r="S4" s="651"/>
      <c r="T4" s="651"/>
      <c r="U4" s="651"/>
      <c r="V4" s="651"/>
    </row>
    <row r="5" spans="1:22">
      <c r="A5" s="2">
        <f>'Monthly Data'!A5</f>
        <v>42461</v>
      </c>
      <c r="B5">
        <f>'Monthly Data'!B5</f>
        <v>2016</v>
      </c>
      <c r="C5">
        <f>'Monthly Data'!C5</f>
        <v>4</v>
      </c>
      <c r="D5" s="3">
        <f>'Monthly Data'!AD5</f>
        <v>6487170.9253944736</v>
      </c>
      <c r="E5" s="3">
        <f>'Monthly Data'!DL5</f>
        <v>740829</v>
      </c>
      <c r="F5" s="3">
        <f>'Monthly Data'!DR5</f>
        <v>21</v>
      </c>
      <c r="H5" s="3">
        <f t="shared" si="0"/>
        <v>-3751454.0580042</v>
      </c>
      <c r="I5" s="3">
        <f t="shared" si="1"/>
        <v>7211737.8748860313</v>
      </c>
      <c r="J5" s="3">
        <f t="shared" si="2"/>
        <v>3637823.1448789444</v>
      </c>
      <c r="K5" s="47">
        <f t="shared" si="3"/>
        <v>7098106.9617607761</v>
      </c>
      <c r="L5" s="47">
        <f>'Monthly Data'!AE5</f>
        <v>0</v>
      </c>
      <c r="M5" s="47">
        <f t="shared" si="4"/>
        <v>7098106.9617607761</v>
      </c>
      <c r="N5" s="47">
        <f t="shared" si="5"/>
        <v>610936.03636630252</v>
      </c>
      <c r="O5" s="18">
        <f t="shared" si="6"/>
        <v>9.4176035037823916E-2</v>
      </c>
      <c r="R5" s="651" t="s">
        <v>336</v>
      </c>
      <c r="S5" s="651"/>
      <c r="T5" s="651"/>
      <c r="U5" s="651"/>
      <c r="V5" s="651"/>
    </row>
    <row r="6" spans="1:22">
      <c r="A6" s="2">
        <f>'Monthly Data'!A6</f>
        <v>42491</v>
      </c>
      <c r="B6">
        <f>'Monthly Data'!B6</f>
        <v>2016</v>
      </c>
      <c r="C6">
        <f>'Monthly Data'!C6</f>
        <v>5</v>
      </c>
      <c r="D6" s="3">
        <f>'Monthly Data'!AD6</f>
        <v>5710450.4966641441</v>
      </c>
      <c r="E6" s="3">
        <f>'Monthly Data'!DL6</f>
        <v>740829</v>
      </c>
      <c r="F6" s="3">
        <f>'Monthly Data'!DR6</f>
        <v>21</v>
      </c>
      <c r="H6" s="3">
        <f t="shared" si="0"/>
        <v>-3751454.0580042</v>
      </c>
      <c r="I6" s="3">
        <f t="shared" si="1"/>
        <v>7211737.8748860313</v>
      </c>
      <c r="J6" s="3">
        <f t="shared" si="2"/>
        <v>3637823.1448789444</v>
      </c>
      <c r="K6" s="47">
        <f t="shared" si="3"/>
        <v>7098106.9617607761</v>
      </c>
      <c r="L6" s="47">
        <f>'Monthly Data'!AE6</f>
        <v>0</v>
      </c>
      <c r="M6" s="47">
        <f t="shared" si="4"/>
        <v>7098106.9617607761</v>
      </c>
      <c r="N6" s="47">
        <f t="shared" si="5"/>
        <v>1387656.465096632</v>
      </c>
      <c r="O6" s="18">
        <f t="shared" si="6"/>
        <v>0.24300297601866175</v>
      </c>
      <c r="R6" s="652"/>
      <c r="S6" s="652"/>
      <c r="T6" s="652"/>
      <c r="U6" s="652"/>
      <c r="V6" s="652"/>
    </row>
    <row r="7" spans="1:22">
      <c r="A7" s="2">
        <f>'Monthly Data'!A7</f>
        <v>42522</v>
      </c>
      <c r="B7">
        <f>'Monthly Data'!B7</f>
        <v>2016</v>
      </c>
      <c r="C7">
        <f>'Monthly Data'!C7</f>
        <v>6</v>
      </c>
      <c r="D7" s="3">
        <f>'Monthly Data'!AD7</f>
        <v>6354773.8654192556</v>
      </c>
      <c r="E7" s="3">
        <f>'Monthly Data'!DL7</f>
        <v>740829</v>
      </c>
      <c r="F7" s="3">
        <f>'Monthly Data'!DR7</f>
        <v>22</v>
      </c>
      <c r="H7" s="3">
        <f t="shared" si="0"/>
        <v>-3751454.0580042</v>
      </c>
      <c r="I7" s="3">
        <f t="shared" si="1"/>
        <v>7211737.8748860313</v>
      </c>
      <c r="J7" s="3">
        <f t="shared" si="2"/>
        <v>3811052.8184446082</v>
      </c>
      <c r="K7" s="47">
        <f t="shared" si="3"/>
        <v>7271336.6353264395</v>
      </c>
      <c r="L7" s="47">
        <f>'Monthly Data'!AE7</f>
        <v>0</v>
      </c>
      <c r="M7" s="47">
        <f t="shared" si="4"/>
        <v>7271336.6353264395</v>
      </c>
      <c r="N7" s="47">
        <f t="shared" si="5"/>
        <v>916562.76990718395</v>
      </c>
      <c r="O7" s="18">
        <f t="shared" si="6"/>
        <v>0.14423216141408893</v>
      </c>
      <c r="R7" s="652"/>
      <c r="S7" s="652" t="s">
        <v>300</v>
      </c>
      <c r="T7" s="652" t="s">
        <v>301</v>
      </c>
      <c r="U7" s="652" t="s">
        <v>302</v>
      </c>
      <c r="V7" s="652" t="s">
        <v>303</v>
      </c>
    </row>
    <row r="8" spans="1:22">
      <c r="A8" s="2">
        <f>'Monthly Data'!A8</f>
        <v>42552</v>
      </c>
      <c r="B8">
        <f>'Monthly Data'!B8</f>
        <v>2016</v>
      </c>
      <c r="C8">
        <f>'Monthly Data'!C8</f>
        <v>7</v>
      </c>
      <c r="D8" s="3">
        <f>'Monthly Data'!AD8</f>
        <v>6268114.5506925518</v>
      </c>
      <c r="E8" s="3">
        <f>'Monthly Data'!DL8</f>
        <v>746710</v>
      </c>
      <c r="F8" s="3">
        <f>'Monthly Data'!DR8</f>
        <v>20</v>
      </c>
      <c r="H8" s="3">
        <f t="shared" si="0"/>
        <v>-3751454.0580042</v>
      </c>
      <c r="I8" s="3">
        <f t="shared" si="1"/>
        <v>7268987.5646824678</v>
      </c>
      <c r="J8" s="3">
        <f t="shared" si="2"/>
        <v>3464593.4713132801</v>
      </c>
      <c r="K8" s="47">
        <f t="shared" si="3"/>
        <v>6982126.9779915474</v>
      </c>
      <c r="L8" s="47">
        <f>'Monthly Data'!AE8</f>
        <v>0</v>
      </c>
      <c r="M8" s="47">
        <f t="shared" si="4"/>
        <v>6982126.9779915474</v>
      </c>
      <c r="N8" s="47">
        <f t="shared" si="5"/>
        <v>714012.42729899567</v>
      </c>
      <c r="O8" s="18">
        <f t="shared" si="6"/>
        <v>0.11391183449576649</v>
      </c>
      <c r="R8" s="652" t="s">
        <v>304</v>
      </c>
      <c r="S8" s="654">
        <v>-3751454.0580042</v>
      </c>
      <c r="T8" s="654">
        <v>1831319.68667742</v>
      </c>
      <c r="U8" s="655">
        <v>-2.04849764096104</v>
      </c>
      <c r="V8" s="656">
        <v>4.2748701276686299E-2</v>
      </c>
    </row>
    <row r="9" spans="1:22">
      <c r="A9" s="2">
        <f>'Monthly Data'!A9</f>
        <v>42583</v>
      </c>
      <c r="B9">
        <f>'Monthly Data'!B9</f>
        <v>2016</v>
      </c>
      <c r="C9">
        <f>'Monthly Data'!C9</f>
        <v>8</v>
      </c>
      <c r="D9" s="3">
        <f>'Monthly Data'!AD9</f>
        <v>7327987.5983785894</v>
      </c>
      <c r="E9" s="3">
        <f>'Monthly Data'!DL9</f>
        <v>746710</v>
      </c>
      <c r="F9" s="3">
        <f>'Monthly Data'!DR9</f>
        <v>22</v>
      </c>
      <c r="H9" s="3">
        <f t="shared" si="0"/>
        <v>-3751454.0580042</v>
      </c>
      <c r="I9" s="3">
        <f t="shared" si="1"/>
        <v>7268987.5646824678</v>
      </c>
      <c r="J9" s="3">
        <f t="shared" si="2"/>
        <v>3811052.8184446082</v>
      </c>
      <c r="K9" s="47">
        <f t="shared" si="3"/>
        <v>7328586.3251228761</v>
      </c>
      <c r="L9" s="47">
        <f>'Monthly Data'!AE9</f>
        <v>0</v>
      </c>
      <c r="M9" s="47">
        <f t="shared" si="4"/>
        <v>7328586.3251228761</v>
      </c>
      <c r="N9" s="47">
        <f t="shared" si="5"/>
        <v>598.72674428671598</v>
      </c>
      <c r="O9" s="18">
        <f t="shared" si="6"/>
        <v>8.1704115386220343E-5</v>
      </c>
      <c r="R9" s="652" t="s">
        <v>140</v>
      </c>
      <c r="S9" s="655">
        <v>9.7346862432302608</v>
      </c>
      <c r="T9" s="655">
        <v>2.16972614552426</v>
      </c>
      <c r="U9" s="655">
        <v>4.4865967363259696</v>
      </c>
      <c r="V9" s="656">
        <v>1.7027488231595799E-5</v>
      </c>
    </row>
    <row r="10" spans="1:22">
      <c r="A10" s="2">
        <f>'Monthly Data'!A10</f>
        <v>42614</v>
      </c>
      <c r="B10">
        <f>'Monthly Data'!B10</f>
        <v>2016</v>
      </c>
      <c r="C10">
        <f>'Monthly Data'!C10</f>
        <v>9</v>
      </c>
      <c r="D10" s="3">
        <f>'Monthly Data'!AD10</f>
        <v>6813308.6868683603</v>
      </c>
      <c r="E10" s="3">
        <f>'Monthly Data'!DL10</f>
        <v>746710</v>
      </c>
      <c r="F10" s="3">
        <f>'Monthly Data'!DR10</f>
        <v>21</v>
      </c>
      <c r="H10" s="3">
        <f t="shared" si="0"/>
        <v>-3751454.0580042</v>
      </c>
      <c r="I10" s="3">
        <f t="shared" si="1"/>
        <v>7268987.5646824678</v>
      </c>
      <c r="J10" s="3">
        <f t="shared" si="2"/>
        <v>3637823.1448789444</v>
      </c>
      <c r="K10" s="47">
        <f t="shared" ref="K10:K41" si="7">SUM(H10:J10)</f>
        <v>7155356.6515572127</v>
      </c>
      <c r="L10" s="47">
        <f>'Monthly Data'!AE10</f>
        <v>0</v>
      </c>
      <c r="M10" s="47">
        <f t="shared" si="4"/>
        <v>7155356.6515572127</v>
      </c>
      <c r="N10" s="47">
        <f t="shared" si="5"/>
        <v>342047.96468885243</v>
      </c>
      <c r="O10" s="18">
        <f t="shared" ref="O10:O41" si="8">ABS(N10/D10)</f>
        <v>5.020291614676127E-2</v>
      </c>
      <c r="R10" s="652" t="s">
        <v>337</v>
      </c>
      <c r="S10" s="654">
        <v>173229.67356566401</v>
      </c>
      <c r="T10" s="654">
        <v>21026.234023967401</v>
      </c>
      <c r="U10" s="655">
        <v>8.2387399173909301</v>
      </c>
      <c r="V10" s="656">
        <v>2.8488190950481802E-13</v>
      </c>
    </row>
    <row r="11" spans="1:22">
      <c r="A11" s="2">
        <f>'Monthly Data'!A11</f>
        <v>42644</v>
      </c>
      <c r="B11">
        <f>'Monthly Data'!B11</f>
        <v>2016</v>
      </c>
      <c r="C11">
        <f>'Monthly Data'!C11</f>
        <v>10</v>
      </c>
      <c r="D11" s="3">
        <f>'Monthly Data'!AD11</f>
        <v>6578748.5419900892</v>
      </c>
      <c r="E11" s="3">
        <f>'Monthly Data'!DL11</f>
        <v>745246</v>
      </c>
      <c r="F11" s="3">
        <f>'Monthly Data'!DR11</f>
        <v>20</v>
      </c>
      <c r="H11" s="3">
        <f t="shared" si="0"/>
        <v>-3751454.0580042</v>
      </c>
      <c r="I11" s="3">
        <f t="shared" si="1"/>
        <v>7254735.9840223789</v>
      </c>
      <c r="J11" s="3">
        <f t="shared" si="2"/>
        <v>3464593.4713132801</v>
      </c>
      <c r="K11" s="47">
        <f t="shared" si="7"/>
        <v>6967875.3973314594</v>
      </c>
      <c r="L11" s="47">
        <f>'Monthly Data'!AE11</f>
        <v>0</v>
      </c>
      <c r="M11" s="47">
        <f t="shared" si="4"/>
        <v>6967875.3973314594</v>
      </c>
      <c r="N11" s="47">
        <f t="shared" si="5"/>
        <v>389126.85534137022</v>
      </c>
      <c r="O11" s="18">
        <f t="shared" si="8"/>
        <v>5.9149069592445355E-2</v>
      </c>
      <c r="R11" s="652"/>
      <c r="S11" s="654"/>
      <c r="T11" s="654"/>
      <c r="U11" s="655"/>
      <c r="V11" s="663"/>
    </row>
    <row r="12" spans="1:22">
      <c r="A12" s="2">
        <f>'Monthly Data'!A12</f>
        <v>42675</v>
      </c>
      <c r="B12">
        <f>'Monthly Data'!B12</f>
        <v>2016</v>
      </c>
      <c r="C12">
        <f>'Monthly Data'!C12</f>
        <v>11</v>
      </c>
      <c r="D12" s="3">
        <f>'Monthly Data'!AD12</f>
        <v>7206991.8893405944</v>
      </c>
      <c r="E12" s="3">
        <f>'Monthly Data'!DL12</f>
        <v>745246</v>
      </c>
      <c r="F12" s="3">
        <f>'Monthly Data'!DR12</f>
        <v>22</v>
      </c>
      <c r="H12" s="3">
        <f t="shared" si="0"/>
        <v>-3751454.0580042</v>
      </c>
      <c r="I12" s="3">
        <f t="shared" si="1"/>
        <v>7254735.9840223789</v>
      </c>
      <c r="J12" s="3">
        <f t="shared" si="2"/>
        <v>3811052.8184446082</v>
      </c>
      <c r="K12" s="47">
        <f t="shared" si="7"/>
        <v>7314334.7444627872</v>
      </c>
      <c r="L12" s="47">
        <f>'Monthly Data'!AE12</f>
        <v>0</v>
      </c>
      <c r="M12" s="47">
        <f t="shared" si="4"/>
        <v>7314334.7444627872</v>
      </c>
      <c r="N12" s="47">
        <f t="shared" si="5"/>
        <v>107342.85512219276</v>
      </c>
      <c r="O12" s="18">
        <f t="shared" si="8"/>
        <v>1.489426611967703E-2</v>
      </c>
      <c r="R12" s="657" t="s">
        <v>306</v>
      </c>
      <c r="S12" s="658"/>
      <c r="T12" s="658"/>
      <c r="U12" s="659"/>
      <c r="V12" s="663"/>
    </row>
    <row r="13" spans="1:22">
      <c r="A13" s="2">
        <f>'Monthly Data'!A13</f>
        <v>42705</v>
      </c>
      <c r="B13">
        <f>'Monthly Data'!B13</f>
        <v>2016</v>
      </c>
      <c r="C13">
        <f>'Monthly Data'!C13</f>
        <v>12</v>
      </c>
      <c r="D13" s="3">
        <f>'Monthly Data'!AD13</f>
        <v>6750619.4589904584</v>
      </c>
      <c r="E13" s="3">
        <f>'Monthly Data'!DL13</f>
        <v>745246</v>
      </c>
      <c r="F13" s="3">
        <f>'Monthly Data'!DR13</f>
        <v>20</v>
      </c>
      <c r="H13" s="3">
        <f t="shared" si="0"/>
        <v>-3751454.0580042</v>
      </c>
      <c r="I13" s="3">
        <f t="shared" si="1"/>
        <v>7254735.9840223789</v>
      </c>
      <c r="J13" s="3">
        <f t="shared" si="2"/>
        <v>3464593.4713132801</v>
      </c>
      <c r="K13" s="47">
        <f t="shared" si="7"/>
        <v>6967875.3973314594</v>
      </c>
      <c r="L13" s="47">
        <f>'Monthly Data'!AE13</f>
        <v>0</v>
      </c>
      <c r="M13" s="47">
        <f t="shared" si="4"/>
        <v>6967875.3973314594</v>
      </c>
      <c r="N13" s="47">
        <f t="shared" si="5"/>
        <v>217255.93834100105</v>
      </c>
      <c r="O13" s="18">
        <f t="shared" si="8"/>
        <v>3.2183111440485676E-2</v>
      </c>
      <c r="R13" s="652" t="s">
        <v>307</v>
      </c>
      <c r="S13" s="660">
        <v>17613817008647.102</v>
      </c>
      <c r="T13" s="652" t="s">
        <v>308</v>
      </c>
      <c r="U13" s="654">
        <v>388001.86148825497</v>
      </c>
      <c r="V13" s="100"/>
    </row>
    <row r="14" spans="1:22">
      <c r="A14" s="2">
        <f>'Monthly Data'!A14</f>
        <v>42736</v>
      </c>
      <c r="B14">
        <f>'Monthly Data'!B14</f>
        <v>2017</v>
      </c>
      <c r="C14">
        <f>'Monthly Data'!C14</f>
        <v>1</v>
      </c>
      <c r="D14" s="3">
        <f>'Monthly Data'!AD14</f>
        <v>7047740.8089479189</v>
      </c>
      <c r="E14" s="3">
        <f>'Monthly Data'!DL14</f>
        <v>756670</v>
      </c>
      <c r="F14" s="3">
        <f>'Monthly Data'!DR14</f>
        <v>22</v>
      </c>
      <c r="H14" s="3">
        <f t="shared" si="0"/>
        <v>-3751454.0580042</v>
      </c>
      <c r="I14" s="3">
        <f t="shared" si="1"/>
        <v>7365945.0396650415</v>
      </c>
      <c r="J14" s="3">
        <f t="shared" si="2"/>
        <v>3811052.8184446082</v>
      </c>
      <c r="K14" s="47">
        <f t="shared" si="7"/>
        <v>7425543.8001054497</v>
      </c>
      <c r="L14" s="47">
        <f>'Monthly Data'!AE14</f>
        <v>28.486256410256409</v>
      </c>
      <c r="M14" s="47">
        <f t="shared" si="4"/>
        <v>7425572.2863618601</v>
      </c>
      <c r="N14" s="47">
        <f t="shared" si="5"/>
        <v>377831.47741394117</v>
      </c>
      <c r="O14" s="18">
        <f t="shared" si="8"/>
        <v>5.3610296924404569E-2</v>
      </c>
      <c r="R14" s="652" t="s">
        <v>309</v>
      </c>
      <c r="S14" s="661">
        <v>0.818605057306381</v>
      </c>
      <c r="T14" s="652" t="s">
        <v>310</v>
      </c>
      <c r="U14" s="661">
        <v>0.815504289055208</v>
      </c>
      <c r="V14" s="100"/>
    </row>
    <row r="15" spans="1:22">
      <c r="A15" s="2">
        <f>'Monthly Data'!A15</f>
        <v>42767</v>
      </c>
      <c r="B15">
        <f>'Monthly Data'!B15</f>
        <v>2017</v>
      </c>
      <c r="C15">
        <f>'Monthly Data'!C15</f>
        <v>2</v>
      </c>
      <c r="D15" s="3">
        <f>'Monthly Data'!AD15</f>
        <v>6769431.5207739519</v>
      </c>
      <c r="E15" s="3">
        <f>'Monthly Data'!DL15</f>
        <v>756670</v>
      </c>
      <c r="F15" s="3">
        <f>'Monthly Data'!DR15</f>
        <v>19</v>
      </c>
      <c r="H15" s="3">
        <f t="shared" si="0"/>
        <v>-3751454.0580042</v>
      </c>
      <c r="I15" s="3">
        <f t="shared" si="1"/>
        <v>7365945.0396650415</v>
      </c>
      <c r="J15" s="3">
        <f t="shared" si="2"/>
        <v>3291363.7977476162</v>
      </c>
      <c r="K15" s="47">
        <f t="shared" si="7"/>
        <v>6905854.7794084577</v>
      </c>
      <c r="L15" s="47">
        <f>'Monthly Data'!AE15</f>
        <v>56.972512820512819</v>
      </c>
      <c r="M15" s="47">
        <f t="shared" si="4"/>
        <v>6905911.7519212784</v>
      </c>
      <c r="N15" s="47">
        <f t="shared" si="5"/>
        <v>136480.23114732653</v>
      </c>
      <c r="O15" s="18">
        <f t="shared" si="8"/>
        <v>2.0161254416784867E-2</v>
      </c>
      <c r="R15" s="652" t="s">
        <v>338</v>
      </c>
      <c r="S15" s="655">
        <v>64.555010563396806</v>
      </c>
      <c r="T15" s="652" t="s">
        <v>312</v>
      </c>
      <c r="U15" s="661">
        <v>1.2817667361073899E-19</v>
      </c>
      <c r="V15" s="100"/>
    </row>
    <row r="16" spans="1:22">
      <c r="A16" s="2">
        <f>'Monthly Data'!A16</f>
        <v>42795</v>
      </c>
      <c r="B16">
        <f>'Monthly Data'!B16</f>
        <v>2017</v>
      </c>
      <c r="C16">
        <f>'Monthly Data'!C16</f>
        <v>3</v>
      </c>
      <c r="D16" s="3">
        <f>'Monthly Data'!AD16</f>
        <v>8113433.1489484748</v>
      </c>
      <c r="E16" s="3">
        <f>'Monthly Data'!DL16</f>
        <v>756670</v>
      </c>
      <c r="F16" s="3">
        <f>'Monthly Data'!DR16</f>
        <v>23</v>
      </c>
      <c r="H16" s="3">
        <f t="shared" si="0"/>
        <v>-3751454.0580042</v>
      </c>
      <c r="I16" s="3">
        <f t="shared" si="1"/>
        <v>7365945.0396650415</v>
      </c>
      <c r="J16" s="3">
        <f t="shared" si="2"/>
        <v>3984282.4920102721</v>
      </c>
      <c r="K16" s="47">
        <f t="shared" si="7"/>
        <v>7598773.4736711141</v>
      </c>
      <c r="L16" s="47">
        <f>'Monthly Data'!AE16</f>
        <v>85.458769230769221</v>
      </c>
      <c r="M16" s="47">
        <f t="shared" si="4"/>
        <v>7598858.9324403452</v>
      </c>
      <c r="N16" s="47">
        <f t="shared" si="5"/>
        <v>-514574.21650812961</v>
      </c>
      <c r="O16" s="18">
        <f t="shared" si="8"/>
        <v>6.3422500322791217E-2</v>
      </c>
      <c r="R16" s="652" t="s">
        <v>313</v>
      </c>
      <c r="S16" s="661">
        <v>-0.117510449170425</v>
      </c>
      <c r="T16" s="652" t="s">
        <v>314</v>
      </c>
      <c r="U16" s="661">
        <v>2.2323471212442598</v>
      </c>
    </row>
    <row r="17" spans="1:21">
      <c r="A17" s="2">
        <f>'Monthly Data'!A17</f>
        <v>42826</v>
      </c>
      <c r="B17">
        <f>'Monthly Data'!B17</f>
        <v>2017</v>
      </c>
      <c r="C17">
        <f>'Monthly Data'!C17</f>
        <v>4</v>
      </c>
      <c r="D17" s="3">
        <f>'Monthly Data'!AD17</f>
        <v>7348657.3850137768</v>
      </c>
      <c r="E17" s="3">
        <f>'Monthly Data'!DL17</f>
        <v>764676</v>
      </c>
      <c r="F17" s="3">
        <f>'Monthly Data'!DR17</f>
        <v>19</v>
      </c>
      <c r="H17" s="3">
        <f t="shared" si="0"/>
        <v>-3751454.0580042</v>
      </c>
      <c r="I17" s="3">
        <f t="shared" si="1"/>
        <v>7443880.9377283426</v>
      </c>
      <c r="J17" s="3">
        <f t="shared" si="2"/>
        <v>3291363.7977476162</v>
      </c>
      <c r="K17" s="47">
        <f t="shared" si="7"/>
        <v>6983790.6774717588</v>
      </c>
      <c r="L17" s="47">
        <f>'Monthly Data'!AE17</f>
        <v>113.94502564102564</v>
      </c>
      <c r="M17" s="47">
        <f t="shared" si="4"/>
        <v>6983904.6224974003</v>
      </c>
      <c r="N17" s="47">
        <f t="shared" si="5"/>
        <v>-364752.76251637656</v>
      </c>
      <c r="O17" s="18">
        <f t="shared" si="8"/>
        <v>4.9635293007430463E-2</v>
      </c>
    </row>
    <row r="18" spans="1:21">
      <c r="A18" s="2">
        <f>'Monthly Data'!A18</f>
        <v>42856</v>
      </c>
      <c r="B18">
        <f>'Monthly Data'!B18</f>
        <v>2017</v>
      </c>
      <c r="C18">
        <f>'Monthly Data'!C18</f>
        <v>5</v>
      </c>
      <c r="D18" s="3">
        <f>'Monthly Data'!AD18</f>
        <v>7426695.7674017288</v>
      </c>
      <c r="E18" s="3">
        <f>'Monthly Data'!DL18</f>
        <v>764676</v>
      </c>
      <c r="F18" s="3">
        <f>'Monthly Data'!DR18</f>
        <v>22</v>
      </c>
      <c r="H18" s="3">
        <f t="shared" si="0"/>
        <v>-3751454.0580042</v>
      </c>
      <c r="I18" s="3">
        <f t="shared" si="1"/>
        <v>7443880.9377283426</v>
      </c>
      <c r="J18" s="3">
        <f t="shared" si="2"/>
        <v>3811052.8184446082</v>
      </c>
      <c r="K18" s="47">
        <f t="shared" si="7"/>
        <v>7503479.6981687509</v>
      </c>
      <c r="L18" s="47">
        <f>'Monthly Data'!AE18</f>
        <v>142.43128205128204</v>
      </c>
      <c r="M18" s="47">
        <f t="shared" si="4"/>
        <v>7503622.1294508018</v>
      </c>
      <c r="N18" s="47">
        <f t="shared" si="5"/>
        <v>76926.362049072981</v>
      </c>
      <c r="O18" s="18">
        <f t="shared" si="8"/>
        <v>1.0358087157242755E-2</v>
      </c>
      <c r="R18" s="657" t="s">
        <v>315</v>
      </c>
      <c r="S18" s="658"/>
      <c r="T18" s="658"/>
      <c r="U18" s="659"/>
    </row>
    <row r="19" spans="1:21">
      <c r="A19" s="2">
        <f>'Monthly Data'!A19</f>
        <v>42887</v>
      </c>
      <c r="B19">
        <f>'Monthly Data'!B19</f>
        <v>2017</v>
      </c>
      <c r="C19">
        <f>'Monthly Data'!C19</f>
        <v>6</v>
      </c>
      <c r="D19" s="3">
        <f>'Monthly Data'!AD19</f>
        <v>7317704.1833428452</v>
      </c>
      <c r="E19" s="3">
        <f>'Monthly Data'!DL19</f>
        <v>764676</v>
      </c>
      <c r="F19" s="3">
        <f>'Monthly Data'!DR19</f>
        <v>22</v>
      </c>
      <c r="H19" s="3">
        <f t="shared" si="0"/>
        <v>-3751454.0580042</v>
      </c>
      <c r="I19" s="3">
        <f t="shared" si="1"/>
        <v>7443880.9377283426</v>
      </c>
      <c r="J19" s="3">
        <f t="shared" si="2"/>
        <v>3811052.8184446082</v>
      </c>
      <c r="K19" s="47">
        <f t="shared" si="7"/>
        <v>7503479.6981687509</v>
      </c>
      <c r="L19" s="47">
        <f>'Monthly Data'!AE19</f>
        <v>170.91753846153844</v>
      </c>
      <c r="M19" s="47">
        <f t="shared" si="4"/>
        <v>7503650.6157072121</v>
      </c>
      <c r="N19" s="47">
        <f t="shared" si="5"/>
        <v>185946.43236436695</v>
      </c>
      <c r="O19" s="18">
        <f t="shared" si="8"/>
        <v>2.5410487730241047E-2</v>
      </c>
      <c r="R19" s="652" t="s">
        <v>316</v>
      </c>
      <c r="S19" s="654">
        <v>7879938.9966021003</v>
      </c>
      <c r="T19" s="652" t="s">
        <v>317</v>
      </c>
      <c r="U19" s="654">
        <v>903286.46285603999</v>
      </c>
    </row>
    <row r="20" spans="1:21">
      <c r="A20" s="2">
        <f>'Monthly Data'!A20</f>
        <v>42917</v>
      </c>
      <c r="B20">
        <f>'Monthly Data'!B20</f>
        <v>2017</v>
      </c>
      <c r="C20">
        <f>'Monthly Data'!C20</f>
        <v>7</v>
      </c>
      <c r="D20" s="3">
        <f>'Monthly Data'!AD20</f>
        <v>6914141.1638255948</v>
      </c>
      <c r="E20" s="3">
        <f>'Monthly Data'!DL20</f>
        <v>765009</v>
      </c>
      <c r="F20" s="3">
        <f>'Monthly Data'!DR20</f>
        <v>20</v>
      </c>
      <c r="H20" s="3">
        <f t="shared" si="0"/>
        <v>-3751454.0580042</v>
      </c>
      <c r="I20" s="3">
        <f t="shared" si="1"/>
        <v>7447122.5882473383</v>
      </c>
      <c r="J20" s="3">
        <f t="shared" si="2"/>
        <v>3464593.4713132801</v>
      </c>
      <c r="K20" s="47">
        <f t="shared" si="7"/>
        <v>7160262.0015564188</v>
      </c>
      <c r="L20" s="47">
        <f>'Monthly Data'!AE20</f>
        <v>199.40379487179487</v>
      </c>
      <c r="M20" s="47">
        <f t="shared" si="4"/>
        <v>7160461.4053512905</v>
      </c>
      <c r="N20" s="47">
        <f t="shared" si="5"/>
        <v>246320.24152569566</v>
      </c>
      <c r="O20" s="18">
        <f t="shared" si="8"/>
        <v>3.562557311013978E-2</v>
      </c>
      <c r="S20" s="235"/>
      <c r="U20" s="99"/>
    </row>
    <row r="21" spans="1:21">
      <c r="A21" s="2">
        <f>'Monthly Data'!A21</f>
        <v>42948</v>
      </c>
      <c r="B21">
        <f>'Monthly Data'!B21</f>
        <v>2017</v>
      </c>
      <c r="C21">
        <f>'Monthly Data'!C21</f>
        <v>8</v>
      </c>
      <c r="D21" s="3">
        <f>'Monthly Data'!AD21</f>
        <v>7671170.5890613236</v>
      </c>
      <c r="E21" s="3">
        <f>'Monthly Data'!DL21</f>
        <v>765009</v>
      </c>
      <c r="F21" s="3">
        <f>'Monthly Data'!DR21</f>
        <v>22</v>
      </c>
      <c r="H21" s="3">
        <f t="shared" si="0"/>
        <v>-3751454.0580042</v>
      </c>
      <c r="I21" s="3">
        <f t="shared" si="1"/>
        <v>7447122.5882473383</v>
      </c>
      <c r="J21" s="3">
        <f t="shared" si="2"/>
        <v>3811052.8184446082</v>
      </c>
      <c r="K21" s="47">
        <f t="shared" si="7"/>
        <v>7506721.3486877466</v>
      </c>
      <c r="L21" s="47">
        <f>'Monthly Data'!AE21</f>
        <v>227.89005128205127</v>
      </c>
      <c r="M21" s="47">
        <f t="shared" si="4"/>
        <v>7506949.2387390286</v>
      </c>
      <c r="N21" s="47">
        <f t="shared" si="5"/>
        <v>-164221.35032229498</v>
      </c>
      <c r="O21" s="18">
        <f t="shared" si="8"/>
        <v>2.140759984616504E-2</v>
      </c>
      <c r="S21" s="99"/>
      <c r="U21" s="99"/>
    </row>
    <row r="22" spans="1:21">
      <c r="A22" s="2">
        <f>'Monthly Data'!A22</f>
        <v>42979</v>
      </c>
      <c r="B22">
        <f>'Monthly Data'!B22</f>
        <v>2017</v>
      </c>
      <c r="C22">
        <f>'Monthly Data'!C22</f>
        <v>9</v>
      </c>
      <c r="D22" s="3">
        <f>'Monthly Data'!AD22</f>
        <v>7255986.4310504943</v>
      </c>
      <c r="E22" s="3">
        <f>'Monthly Data'!DL22</f>
        <v>765009</v>
      </c>
      <c r="F22" s="3">
        <f>'Monthly Data'!DR22</f>
        <v>20</v>
      </c>
      <c r="H22" s="3">
        <f t="shared" si="0"/>
        <v>-3751454.0580042</v>
      </c>
      <c r="I22" s="3">
        <f t="shared" si="1"/>
        <v>7447122.5882473383</v>
      </c>
      <c r="J22" s="3">
        <f t="shared" si="2"/>
        <v>3464593.4713132801</v>
      </c>
      <c r="K22" s="47">
        <f t="shared" si="7"/>
        <v>7160262.0015564188</v>
      </c>
      <c r="L22" s="47">
        <f>'Monthly Data'!AE22</f>
        <v>256.37630769230771</v>
      </c>
      <c r="M22" s="47">
        <f t="shared" si="4"/>
        <v>7160518.3778641112</v>
      </c>
      <c r="N22" s="47">
        <f t="shared" si="5"/>
        <v>-95468.053186383098</v>
      </c>
      <c r="O22" s="18">
        <f t="shared" si="8"/>
        <v>1.3157143290379829E-2</v>
      </c>
    </row>
    <row r="23" spans="1:21">
      <c r="A23" s="2">
        <f>'Monthly Data'!A23</f>
        <v>43009</v>
      </c>
      <c r="B23">
        <f>'Monthly Data'!B23</f>
        <v>2017</v>
      </c>
      <c r="C23">
        <f>'Monthly Data'!C23</f>
        <v>10</v>
      </c>
      <c r="D23" s="3">
        <f>'Monthly Data'!AD23</f>
        <v>7777872.6671929294</v>
      </c>
      <c r="E23" s="3">
        <f>'Monthly Data'!DL23</f>
        <v>771506</v>
      </c>
      <c r="F23" s="3">
        <f>'Monthly Data'!DR23</f>
        <v>21</v>
      </c>
      <c r="H23" s="3">
        <f t="shared" si="0"/>
        <v>-3751454.0580042</v>
      </c>
      <c r="I23" s="3">
        <f t="shared" si="1"/>
        <v>7510368.8447696054</v>
      </c>
      <c r="J23" s="3">
        <f t="shared" si="2"/>
        <v>3637823.1448789444</v>
      </c>
      <c r="K23" s="47">
        <f t="shared" si="7"/>
        <v>7396737.9316443503</v>
      </c>
      <c r="L23" s="47">
        <f>'Monthly Data'!AE23</f>
        <v>284.86256410256408</v>
      </c>
      <c r="M23" s="47">
        <f t="shared" si="4"/>
        <v>7397022.794208453</v>
      </c>
      <c r="N23" s="47">
        <f t="shared" si="5"/>
        <v>-380849.87298447639</v>
      </c>
      <c r="O23" s="18">
        <f t="shared" si="8"/>
        <v>4.8965814854606882E-2</v>
      </c>
    </row>
    <row r="24" spans="1:21">
      <c r="A24" s="2">
        <f>'Monthly Data'!A24</f>
        <v>43040</v>
      </c>
      <c r="B24">
        <f>'Monthly Data'!B24</f>
        <v>2017</v>
      </c>
      <c r="C24">
        <f>'Monthly Data'!C24</f>
        <v>11</v>
      </c>
      <c r="D24" s="3">
        <f>'Monthly Data'!AD24</f>
        <v>7918329.3167720577</v>
      </c>
      <c r="E24" s="3">
        <f>'Monthly Data'!DL24</f>
        <v>771506</v>
      </c>
      <c r="F24" s="3">
        <f>'Monthly Data'!DR24</f>
        <v>22</v>
      </c>
      <c r="H24" s="3">
        <f t="shared" si="0"/>
        <v>-3751454.0580042</v>
      </c>
      <c r="I24" s="3">
        <f t="shared" si="1"/>
        <v>7510368.8447696054</v>
      </c>
      <c r="J24" s="3">
        <f t="shared" si="2"/>
        <v>3811052.8184446082</v>
      </c>
      <c r="K24" s="47">
        <f t="shared" si="7"/>
        <v>7569967.6052100137</v>
      </c>
      <c r="L24" s="47">
        <f>'Monthly Data'!AE24</f>
        <v>313.34882051282051</v>
      </c>
      <c r="M24" s="47">
        <f t="shared" si="4"/>
        <v>7570280.9540305268</v>
      </c>
      <c r="N24" s="47">
        <f t="shared" si="5"/>
        <v>-348048.36274153087</v>
      </c>
      <c r="O24" s="18">
        <f t="shared" si="8"/>
        <v>4.3954772379107658E-2</v>
      </c>
      <c r="S24" s="3"/>
      <c r="U24" s="3"/>
    </row>
    <row r="25" spans="1:21">
      <c r="A25" s="2">
        <f>'Monthly Data'!A25</f>
        <v>43070</v>
      </c>
      <c r="B25">
        <f>'Monthly Data'!B25</f>
        <v>2017</v>
      </c>
      <c r="C25">
        <f>'Monthly Data'!C25</f>
        <v>12</v>
      </c>
      <c r="D25" s="3">
        <f>'Monthly Data'!AD25</f>
        <v>7111379.5970349759</v>
      </c>
      <c r="E25" s="3">
        <f>'Monthly Data'!DL25</f>
        <v>771506</v>
      </c>
      <c r="F25" s="3">
        <f>'Monthly Data'!DR25</f>
        <v>19</v>
      </c>
      <c r="H25" s="3">
        <f t="shared" si="0"/>
        <v>-3751454.0580042</v>
      </c>
      <c r="I25" s="3">
        <f t="shared" si="1"/>
        <v>7510368.8447696054</v>
      </c>
      <c r="J25" s="3">
        <f t="shared" si="2"/>
        <v>3291363.7977476162</v>
      </c>
      <c r="K25" s="47">
        <f t="shared" si="7"/>
        <v>7050278.5845130216</v>
      </c>
      <c r="L25" s="47">
        <f>'Monthly Data'!AE25</f>
        <v>341.83507692307688</v>
      </c>
      <c r="M25" s="47">
        <f t="shared" si="4"/>
        <v>7050620.4195899451</v>
      </c>
      <c r="N25" s="47">
        <f t="shared" si="5"/>
        <v>-60759.177445030771</v>
      </c>
      <c r="O25" s="18">
        <f t="shared" si="8"/>
        <v>8.5439367447581824E-3</v>
      </c>
    </row>
    <row r="26" spans="1:21">
      <c r="A26" s="2">
        <f>'Monthly Data'!A26</f>
        <v>43101</v>
      </c>
      <c r="B26">
        <f>'Monthly Data'!B26</f>
        <v>2018</v>
      </c>
      <c r="C26">
        <f>'Monthly Data'!C26</f>
        <v>1</v>
      </c>
      <c r="D26" s="3">
        <f>'Monthly Data'!AD26</f>
        <v>7471425.6848545587</v>
      </c>
      <c r="E26" s="3">
        <f>'Monthly Data'!DL26</f>
        <v>779694</v>
      </c>
      <c r="F26" s="3">
        <f>'Monthly Data'!DR26</f>
        <v>22</v>
      </c>
      <c r="H26" s="3">
        <f t="shared" si="0"/>
        <v>-3751454.0580042</v>
      </c>
      <c r="I26" s="3">
        <f t="shared" si="1"/>
        <v>7590076.4557291754</v>
      </c>
      <c r="J26" s="3">
        <f t="shared" si="2"/>
        <v>3811052.8184446082</v>
      </c>
      <c r="K26" s="47">
        <f t="shared" si="7"/>
        <v>7649675.2161695836</v>
      </c>
      <c r="L26" s="47">
        <f>'Monthly Data'!AE26</f>
        <v>442.10384615384612</v>
      </c>
      <c r="M26" s="47">
        <f t="shared" si="4"/>
        <v>7650117.3200157378</v>
      </c>
      <c r="N26" s="47">
        <f t="shared" si="5"/>
        <v>178691.63516117912</v>
      </c>
      <c r="O26" s="18">
        <f t="shared" si="8"/>
        <v>2.3916671690037375E-2</v>
      </c>
    </row>
    <row r="27" spans="1:21">
      <c r="A27" s="2">
        <f>'Monthly Data'!A27</f>
        <v>43132</v>
      </c>
      <c r="B27">
        <f>'Monthly Data'!B27</f>
        <v>2018</v>
      </c>
      <c r="C27">
        <f>'Monthly Data'!C27</f>
        <v>2</v>
      </c>
      <c r="D27" s="3">
        <f>'Monthly Data'!AD27</f>
        <v>6999611.2214055425</v>
      </c>
      <c r="E27" s="3">
        <f>'Monthly Data'!DL27</f>
        <v>779694</v>
      </c>
      <c r="F27" s="3">
        <f>'Monthly Data'!DR27</f>
        <v>19</v>
      </c>
      <c r="H27" s="3">
        <f t="shared" si="0"/>
        <v>-3751454.0580042</v>
      </c>
      <c r="I27" s="3">
        <f t="shared" si="1"/>
        <v>7590076.4557291754</v>
      </c>
      <c r="J27" s="3">
        <f t="shared" si="2"/>
        <v>3291363.7977476162</v>
      </c>
      <c r="K27" s="47">
        <f t="shared" si="7"/>
        <v>7129986.1954725916</v>
      </c>
      <c r="L27" s="47">
        <f>'Monthly Data'!AE27</f>
        <v>513.88635897435893</v>
      </c>
      <c r="M27" s="47">
        <f t="shared" si="4"/>
        <v>7130500.0818315661</v>
      </c>
      <c r="N27" s="47">
        <f t="shared" si="5"/>
        <v>130888.8604260236</v>
      </c>
      <c r="O27" s="18">
        <f t="shared" si="8"/>
        <v>1.8699447195831647E-2</v>
      </c>
    </row>
    <row r="28" spans="1:21">
      <c r="A28" s="2">
        <f>'Monthly Data'!A28</f>
        <v>43160</v>
      </c>
      <c r="B28">
        <f>'Monthly Data'!B28</f>
        <v>2018</v>
      </c>
      <c r="C28">
        <f>'Monthly Data'!C28</f>
        <v>3</v>
      </c>
      <c r="D28" s="3">
        <f>'Monthly Data'!AD28</f>
        <v>7240342.3343381844</v>
      </c>
      <c r="E28" s="3">
        <f>'Monthly Data'!DL28</f>
        <v>779694</v>
      </c>
      <c r="F28" s="3">
        <f>'Monthly Data'!DR28</f>
        <v>21</v>
      </c>
      <c r="H28" s="3">
        <f t="shared" si="0"/>
        <v>-3751454.0580042</v>
      </c>
      <c r="I28" s="3">
        <f t="shared" si="1"/>
        <v>7590076.4557291754</v>
      </c>
      <c r="J28" s="3">
        <f t="shared" si="2"/>
        <v>3637823.1448789444</v>
      </c>
      <c r="K28" s="47">
        <f t="shared" si="7"/>
        <v>7476445.5426039193</v>
      </c>
      <c r="L28" s="47">
        <f>'Monthly Data'!AE28</f>
        <v>585.66887179487185</v>
      </c>
      <c r="M28" s="47">
        <f t="shared" si="4"/>
        <v>7477031.2114757141</v>
      </c>
      <c r="N28" s="47">
        <f t="shared" si="5"/>
        <v>236688.87713752966</v>
      </c>
      <c r="O28" s="18">
        <f t="shared" si="8"/>
        <v>3.2690288139416351E-2</v>
      </c>
    </row>
    <row r="29" spans="1:21">
      <c r="A29" s="2">
        <f>'Monthly Data'!A29</f>
        <v>43191</v>
      </c>
      <c r="B29">
        <f>'Monthly Data'!B29</f>
        <v>2018</v>
      </c>
      <c r="C29">
        <f>'Monthly Data'!C29</f>
        <v>4</v>
      </c>
      <c r="D29" s="3">
        <f>'Monthly Data'!AD29</f>
        <v>7058027.6587714627</v>
      </c>
      <c r="E29" s="3">
        <f>'Monthly Data'!DL29</f>
        <v>785185</v>
      </c>
      <c r="F29" s="3">
        <f>'Monthly Data'!DR29</f>
        <v>21</v>
      </c>
      <c r="H29" s="3">
        <f t="shared" si="0"/>
        <v>-3751454.0580042</v>
      </c>
      <c r="I29" s="3">
        <f t="shared" si="1"/>
        <v>7643529.6178907519</v>
      </c>
      <c r="J29" s="3">
        <f t="shared" si="2"/>
        <v>3637823.1448789444</v>
      </c>
      <c r="K29" s="47">
        <f t="shared" si="7"/>
        <v>7529898.7047654968</v>
      </c>
      <c r="L29" s="47">
        <f>'Monthly Data'!AE29</f>
        <v>657.45138461538454</v>
      </c>
      <c r="M29" s="47">
        <f t="shared" si="4"/>
        <v>7530556.1561501119</v>
      </c>
      <c r="N29" s="47">
        <f t="shared" si="5"/>
        <v>472528.49737864919</v>
      </c>
      <c r="O29" s="18">
        <f t="shared" si="8"/>
        <v>6.6949085526947144E-2</v>
      </c>
    </row>
    <row r="30" spans="1:21">
      <c r="A30" s="2">
        <f>'Monthly Data'!A30</f>
        <v>43221</v>
      </c>
      <c r="B30">
        <f>'Monthly Data'!B30</f>
        <v>2018</v>
      </c>
      <c r="C30">
        <f>'Monthly Data'!C30</f>
        <v>5</v>
      </c>
      <c r="D30" s="3">
        <f>'Monthly Data'!AD30</f>
        <v>6910567.7982766684</v>
      </c>
      <c r="E30" s="3">
        <f>'Monthly Data'!DL30</f>
        <v>785185</v>
      </c>
      <c r="F30" s="3">
        <f>'Monthly Data'!DR30</f>
        <v>22</v>
      </c>
      <c r="H30" s="3">
        <f t="shared" si="0"/>
        <v>-3751454.0580042</v>
      </c>
      <c r="I30" s="3">
        <f t="shared" si="1"/>
        <v>7643529.6178907519</v>
      </c>
      <c r="J30" s="3">
        <f t="shared" si="2"/>
        <v>3811052.8184446082</v>
      </c>
      <c r="K30" s="47">
        <f t="shared" si="7"/>
        <v>7703128.3783311602</v>
      </c>
      <c r="L30" s="47">
        <f>'Monthly Data'!AE30</f>
        <v>729.23389743589746</v>
      </c>
      <c r="M30" s="47">
        <f t="shared" si="4"/>
        <v>7703857.6122285957</v>
      </c>
      <c r="N30" s="47">
        <f t="shared" si="5"/>
        <v>793289.81395192724</v>
      </c>
      <c r="O30" s="18">
        <f t="shared" si="8"/>
        <v>0.1147937242074023</v>
      </c>
    </row>
    <row r="31" spans="1:21">
      <c r="A31" s="2">
        <f>'Monthly Data'!A31</f>
        <v>43252</v>
      </c>
      <c r="B31">
        <f>'Monthly Data'!B31</f>
        <v>2018</v>
      </c>
      <c r="C31">
        <f>'Monthly Data'!C31</f>
        <v>6</v>
      </c>
      <c r="D31" s="3">
        <f>'Monthly Data'!AD31</f>
        <v>7022043.4636409506</v>
      </c>
      <c r="E31" s="3">
        <f>'Monthly Data'!DL31</f>
        <v>785185</v>
      </c>
      <c r="F31" s="3">
        <f>'Monthly Data'!DR31</f>
        <v>21</v>
      </c>
      <c r="H31" s="3">
        <f t="shared" si="0"/>
        <v>-3751454.0580042</v>
      </c>
      <c r="I31" s="3">
        <f t="shared" si="1"/>
        <v>7643529.6178907519</v>
      </c>
      <c r="J31" s="3">
        <f t="shared" si="2"/>
        <v>3637823.1448789444</v>
      </c>
      <c r="K31" s="47">
        <f t="shared" si="7"/>
        <v>7529898.7047654968</v>
      </c>
      <c r="L31" s="47">
        <f>'Monthly Data'!AE31</f>
        <v>801.01641025641027</v>
      </c>
      <c r="M31" s="47">
        <f t="shared" si="4"/>
        <v>7530699.7211757535</v>
      </c>
      <c r="N31" s="47">
        <f t="shared" si="5"/>
        <v>508656.25753480289</v>
      </c>
      <c r="O31" s="18">
        <f t="shared" si="8"/>
        <v>7.243707051494995E-2</v>
      </c>
    </row>
    <row r="32" spans="1:21">
      <c r="A32" s="2">
        <f>'Monthly Data'!A32</f>
        <v>43282</v>
      </c>
      <c r="B32">
        <f>'Monthly Data'!B32</f>
        <v>2018</v>
      </c>
      <c r="C32">
        <f>'Monthly Data'!C32</f>
        <v>7</v>
      </c>
      <c r="D32" s="3">
        <f>'Monthly Data'!AD32</f>
        <v>6253376.2002382157</v>
      </c>
      <c r="E32" s="3">
        <f>'Monthly Data'!DL32</f>
        <v>794512</v>
      </c>
      <c r="F32" s="3">
        <f>'Monthly Data'!DR32</f>
        <v>21</v>
      </c>
      <c r="H32" s="3">
        <f t="shared" si="0"/>
        <v>-3751454.0580042</v>
      </c>
      <c r="I32" s="3">
        <f t="shared" si="1"/>
        <v>7734325.0364813609</v>
      </c>
      <c r="J32" s="3">
        <f t="shared" si="2"/>
        <v>3637823.1448789444</v>
      </c>
      <c r="K32" s="47">
        <f t="shared" si="7"/>
        <v>7620694.1233561058</v>
      </c>
      <c r="L32" s="47">
        <f>'Monthly Data'!AE32</f>
        <v>872.79892307692307</v>
      </c>
      <c r="M32" s="47">
        <f t="shared" si="4"/>
        <v>7621566.9222791828</v>
      </c>
      <c r="N32" s="47">
        <f>M32-D32</f>
        <v>1368190.7220409671</v>
      </c>
      <c r="O32" s="18">
        <f t="shared" si="8"/>
        <v>0.21879232565423576</v>
      </c>
    </row>
    <row r="33" spans="1:15">
      <c r="A33" s="2">
        <f>'Monthly Data'!A33</f>
        <v>43313</v>
      </c>
      <c r="B33">
        <f>'Monthly Data'!B33</f>
        <v>2018</v>
      </c>
      <c r="C33">
        <f>'Monthly Data'!C33</f>
        <v>8</v>
      </c>
      <c r="D33" s="3">
        <f>'Monthly Data'!AD33</f>
        <v>6443270.6823713668</v>
      </c>
      <c r="E33" s="3">
        <f>'Monthly Data'!DL33</f>
        <v>794512</v>
      </c>
      <c r="F33" s="3">
        <f>'Monthly Data'!DR33</f>
        <v>22</v>
      </c>
      <c r="H33" s="3">
        <f t="shared" si="0"/>
        <v>-3751454.0580042</v>
      </c>
      <c r="I33" s="3">
        <f t="shared" si="1"/>
        <v>7734325.0364813609</v>
      </c>
      <c r="J33" s="3">
        <f t="shared" si="2"/>
        <v>3811052.8184446082</v>
      </c>
      <c r="K33" s="47">
        <f t="shared" si="7"/>
        <v>7793923.7969217692</v>
      </c>
      <c r="L33" s="47">
        <f>'Monthly Data'!AE33</f>
        <v>944.58143589743588</v>
      </c>
      <c r="M33" s="47">
        <f t="shared" si="4"/>
        <v>7794868.3783576665</v>
      </c>
      <c r="N33" s="47">
        <f t="shared" si="5"/>
        <v>1351597.6959862998</v>
      </c>
      <c r="O33" s="18">
        <f t="shared" si="8"/>
        <v>0.20976888332260174</v>
      </c>
    </row>
    <row r="34" spans="1:15">
      <c r="A34" s="2">
        <f>'Monthly Data'!A34</f>
        <v>43344</v>
      </c>
      <c r="B34">
        <f>'Monthly Data'!B34</f>
        <v>2018</v>
      </c>
      <c r="C34">
        <f>'Monthly Data'!C34</f>
        <v>9</v>
      </c>
      <c r="D34" s="3">
        <f>'Monthly Data'!AD34</f>
        <v>5965220.0162149593</v>
      </c>
      <c r="E34" s="3">
        <f>'Monthly Data'!DL34</f>
        <v>794512</v>
      </c>
      <c r="F34" s="3">
        <f>'Monthly Data'!DR34</f>
        <v>19</v>
      </c>
      <c r="H34" s="3">
        <f t="shared" ref="H34:H65" si="9">$S$8</f>
        <v>-3751454.0580042</v>
      </c>
      <c r="I34" s="3">
        <f t="shared" ref="I34:I65" si="10">E34*$S$9</f>
        <v>7734325.0364813609</v>
      </c>
      <c r="J34" s="3">
        <f t="shared" ref="J34:J65" si="11">F34*$S$10</f>
        <v>3291363.7977476162</v>
      </c>
      <c r="K34" s="47">
        <f t="shared" si="7"/>
        <v>7274234.7762247771</v>
      </c>
      <c r="L34" s="47">
        <f>'Monthly Data'!AE34</f>
        <v>1016.3639487179487</v>
      </c>
      <c r="M34" s="47">
        <f t="shared" si="4"/>
        <v>7275251.1401734948</v>
      </c>
      <c r="N34" s="47">
        <f t="shared" si="5"/>
        <v>1310031.1239585355</v>
      </c>
      <c r="O34" s="18">
        <f t="shared" si="8"/>
        <v>0.21961153493040381</v>
      </c>
    </row>
    <row r="35" spans="1:15">
      <c r="A35" s="2">
        <f>'Monthly Data'!A35</f>
        <v>43374</v>
      </c>
      <c r="B35">
        <f>'Monthly Data'!B35</f>
        <v>2018</v>
      </c>
      <c r="C35">
        <f>'Monthly Data'!C35</f>
        <v>10</v>
      </c>
      <c r="D35" s="3">
        <f>'Monthly Data'!AD35</f>
        <v>6699044.3645211207</v>
      </c>
      <c r="E35" s="3">
        <f>'Monthly Data'!DL35</f>
        <v>799922</v>
      </c>
      <c r="F35" s="3">
        <f>'Monthly Data'!DR35</f>
        <v>22</v>
      </c>
      <c r="H35" s="3">
        <f t="shared" si="9"/>
        <v>-3751454.0580042</v>
      </c>
      <c r="I35" s="3">
        <f t="shared" si="10"/>
        <v>7786989.6890572365</v>
      </c>
      <c r="J35" s="3">
        <f t="shared" si="11"/>
        <v>3811052.8184446082</v>
      </c>
      <c r="K35" s="47">
        <f t="shared" si="7"/>
        <v>7846588.4494976448</v>
      </c>
      <c r="L35" s="47">
        <f>'Monthly Data'!AE35</f>
        <v>1088.1464615384616</v>
      </c>
      <c r="M35" s="47">
        <f t="shared" si="4"/>
        <v>7847676.5959591828</v>
      </c>
      <c r="N35" s="47">
        <f t="shared" si="5"/>
        <v>1148632.2314380622</v>
      </c>
      <c r="O35" s="18">
        <f t="shared" si="8"/>
        <v>0.17146210249350571</v>
      </c>
    </row>
    <row r="36" spans="1:15">
      <c r="A36" s="2">
        <f>'Monthly Data'!A36</f>
        <v>43405</v>
      </c>
      <c r="B36">
        <f>'Monthly Data'!B36</f>
        <v>2018</v>
      </c>
      <c r="C36">
        <f>'Monthly Data'!C36</f>
        <v>11</v>
      </c>
      <c r="D36" s="3">
        <f>'Monthly Data'!AD36</f>
        <v>7489442.5490724137</v>
      </c>
      <c r="E36" s="3">
        <f>'Monthly Data'!DL36</f>
        <v>799922</v>
      </c>
      <c r="F36" s="3">
        <f>'Monthly Data'!DR36</f>
        <v>22</v>
      </c>
      <c r="H36" s="3">
        <f t="shared" si="9"/>
        <v>-3751454.0580042</v>
      </c>
      <c r="I36" s="3">
        <f t="shared" si="10"/>
        <v>7786989.6890572365</v>
      </c>
      <c r="J36" s="3">
        <f t="shared" si="11"/>
        <v>3811052.8184446082</v>
      </c>
      <c r="K36" s="47">
        <f t="shared" si="7"/>
        <v>7846588.4494976448</v>
      </c>
      <c r="L36" s="47">
        <f>'Monthly Data'!AE36</f>
        <v>1159.9289743589743</v>
      </c>
      <c r="M36" s="47">
        <f t="shared" si="4"/>
        <v>7847748.3784720041</v>
      </c>
      <c r="N36" s="47">
        <f t="shared" si="5"/>
        <v>358305.82939959038</v>
      </c>
      <c r="O36" s="18">
        <f t="shared" si="8"/>
        <v>4.7841455095208318E-2</v>
      </c>
    </row>
    <row r="37" spans="1:15">
      <c r="A37" s="2">
        <f>'Monthly Data'!A37</f>
        <v>43435</v>
      </c>
      <c r="B37">
        <f>'Monthly Data'!B37</f>
        <v>2018</v>
      </c>
      <c r="C37">
        <f>'Monthly Data'!C37</f>
        <v>12</v>
      </c>
      <c r="D37" s="3">
        <f>'Monthly Data'!AD37</f>
        <v>7293651.3414373519</v>
      </c>
      <c r="E37" s="3">
        <f>'Monthly Data'!DL37</f>
        <v>799922</v>
      </c>
      <c r="F37" s="3">
        <f>'Monthly Data'!DR37</f>
        <v>19</v>
      </c>
      <c r="H37" s="3">
        <f t="shared" si="9"/>
        <v>-3751454.0580042</v>
      </c>
      <c r="I37" s="3">
        <f t="shared" si="10"/>
        <v>7786989.6890572365</v>
      </c>
      <c r="J37" s="3">
        <f t="shared" si="11"/>
        <v>3291363.7977476162</v>
      </c>
      <c r="K37" s="47">
        <f t="shared" si="7"/>
        <v>7326899.4288006527</v>
      </c>
      <c r="L37" s="47">
        <f>'Monthly Data'!AE37</f>
        <v>1231.7114871794872</v>
      </c>
      <c r="M37" s="47">
        <f t="shared" si="4"/>
        <v>7328131.1402878324</v>
      </c>
      <c r="N37" s="47">
        <f t="shared" si="5"/>
        <v>34479.798850480467</v>
      </c>
      <c r="O37" s="18">
        <f t="shared" si="8"/>
        <v>4.7273714133537906E-3</v>
      </c>
    </row>
    <row r="38" spans="1:15">
      <c r="A38" s="2">
        <f>'Monthly Data'!A38</f>
        <v>43466</v>
      </c>
      <c r="B38">
        <f>'Monthly Data'!B38</f>
        <v>2019</v>
      </c>
      <c r="C38">
        <f>'Monthly Data'!C38</f>
        <v>1</v>
      </c>
      <c r="D38" s="3">
        <f>'Monthly Data'!AD38</f>
        <v>7676817.8204247477</v>
      </c>
      <c r="E38" s="3">
        <f>'Monthly Data'!DL38</f>
        <v>800743</v>
      </c>
      <c r="F38" s="3">
        <f>'Monthly Data'!DR38</f>
        <v>22</v>
      </c>
      <c r="H38" s="3">
        <f t="shared" si="9"/>
        <v>-3751454.0580042</v>
      </c>
      <c r="I38" s="3">
        <f t="shared" si="10"/>
        <v>7794981.8664629282</v>
      </c>
      <c r="J38" s="3">
        <f t="shared" si="11"/>
        <v>3811052.8184446082</v>
      </c>
      <c r="K38" s="47">
        <f t="shared" si="7"/>
        <v>7854580.6269033365</v>
      </c>
      <c r="L38" s="47">
        <f>'Monthly Data'!AE38</f>
        <v>1328.9947692307692</v>
      </c>
      <c r="M38" s="47">
        <f t="shared" si="4"/>
        <v>7855909.621672567</v>
      </c>
      <c r="N38" s="47">
        <f t="shared" si="5"/>
        <v>179091.80124781933</v>
      </c>
      <c r="O38" s="18">
        <f t="shared" si="8"/>
        <v>2.3328911202156213E-2</v>
      </c>
    </row>
    <row r="39" spans="1:15">
      <c r="A39" s="2">
        <f>'Monthly Data'!A39</f>
        <v>43497</v>
      </c>
      <c r="B39">
        <f>'Monthly Data'!B39</f>
        <v>2019</v>
      </c>
      <c r="C39">
        <f>'Monthly Data'!C39</f>
        <v>2</v>
      </c>
      <c r="D39" s="3">
        <f>'Monthly Data'!AD39</f>
        <v>7639082.1224722965</v>
      </c>
      <c r="E39" s="3">
        <f>'Monthly Data'!DL39</f>
        <v>800743</v>
      </c>
      <c r="F39" s="3">
        <f>'Monthly Data'!DR39</f>
        <v>19</v>
      </c>
      <c r="H39" s="3">
        <f t="shared" si="9"/>
        <v>-3751454.0580042</v>
      </c>
      <c r="I39" s="3">
        <f t="shared" si="10"/>
        <v>7794981.8664629282</v>
      </c>
      <c r="J39" s="3">
        <f t="shared" si="11"/>
        <v>3291363.7977476162</v>
      </c>
      <c r="K39" s="47">
        <f t="shared" si="7"/>
        <v>7334891.6062063444</v>
      </c>
      <c r="L39" s="47">
        <f>'Monthly Data'!AE39</f>
        <v>1354.4955384615382</v>
      </c>
      <c r="M39" s="47">
        <f t="shared" si="4"/>
        <v>7336246.1017448064</v>
      </c>
      <c r="N39" s="47">
        <f t="shared" si="5"/>
        <v>-302836.02072749007</v>
      </c>
      <c r="O39" s="18">
        <f t="shared" si="8"/>
        <v>3.9642985357706939E-2</v>
      </c>
    </row>
    <row r="40" spans="1:15">
      <c r="A40" s="2">
        <f>'Monthly Data'!A40</f>
        <v>43525</v>
      </c>
      <c r="B40">
        <f>'Monthly Data'!B40</f>
        <v>2019</v>
      </c>
      <c r="C40">
        <f>'Monthly Data'!C40</f>
        <v>3</v>
      </c>
      <c r="D40" s="3">
        <f>'Monthly Data'!AD40</f>
        <v>8304092.2207325809</v>
      </c>
      <c r="E40" s="3">
        <f>'Monthly Data'!DL40</f>
        <v>800743</v>
      </c>
      <c r="F40" s="3">
        <f>'Monthly Data'!DR40</f>
        <v>22</v>
      </c>
      <c r="H40" s="3">
        <f t="shared" si="9"/>
        <v>-3751454.0580042</v>
      </c>
      <c r="I40" s="3">
        <f t="shared" si="10"/>
        <v>7794981.8664629282</v>
      </c>
      <c r="J40" s="3">
        <f t="shared" si="11"/>
        <v>3811052.8184446082</v>
      </c>
      <c r="K40" s="47">
        <f t="shared" si="7"/>
        <v>7854580.6269033365</v>
      </c>
      <c r="L40" s="47">
        <f>'Monthly Data'!AE40</f>
        <v>1379.9963076923075</v>
      </c>
      <c r="M40" s="47">
        <f t="shared" si="4"/>
        <v>7855960.623211029</v>
      </c>
      <c r="N40" s="47">
        <f t="shared" si="5"/>
        <v>-448131.59752155188</v>
      </c>
      <c r="O40" s="18">
        <f t="shared" si="8"/>
        <v>5.3965151832335752E-2</v>
      </c>
    </row>
    <row r="41" spans="1:15">
      <c r="A41" s="2">
        <f>'Monthly Data'!A41</f>
        <v>43556</v>
      </c>
      <c r="B41">
        <f>'Monthly Data'!B41</f>
        <v>2019</v>
      </c>
      <c r="C41">
        <f>'Monthly Data'!C41</f>
        <v>4</v>
      </c>
      <c r="D41" s="3">
        <f>'Monthly Data'!AD41</f>
        <v>7864643.9037049636</v>
      </c>
      <c r="E41" s="3">
        <f>'Monthly Data'!DL41</f>
        <v>806729</v>
      </c>
      <c r="F41" s="3">
        <f>'Monthly Data'!DR41</f>
        <v>21</v>
      </c>
      <c r="H41" s="3">
        <f t="shared" si="9"/>
        <v>-3751454.0580042</v>
      </c>
      <c r="I41" s="3">
        <f t="shared" si="10"/>
        <v>7853253.6983149052</v>
      </c>
      <c r="J41" s="3">
        <f t="shared" si="11"/>
        <v>3637823.1448789444</v>
      </c>
      <c r="K41" s="47">
        <f t="shared" si="7"/>
        <v>7739622.7851896491</v>
      </c>
      <c r="L41" s="47">
        <f>'Monthly Data'!AE41</f>
        <v>1405.4970769230767</v>
      </c>
      <c r="M41" s="47">
        <f t="shared" si="4"/>
        <v>7741028.2822665721</v>
      </c>
      <c r="N41" s="47">
        <f t="shared" si="5"/>
        <v>-123615.62143839151</v>
      </c>
      <c r="O41" s="18">
        <f t="shared" si="8"/>
        <v>1.5717891738258778E-2</v>
      </c>
    </row>
    <row r="42" spans="1:15">
      <c r="A42" s="2">
        <f>'Monthly Data'!A42</f>
        <v>43586</v>
      </c>
      <c r="B42">
        <f>'Monthly Data'!B42</f>
        <v>2019</v>
      </c>
      <c r="C42">
        <f>'Monthly Data'!C42</f>
        <v>5</v>
      </c>
      <c r="D42" s="3">
        <f>'Monthly Data'!AD42</f>
        <v>8549530.6362357549</v>
      </c>
      <c r="E42" s="3">
        <f>'Monthly Data'!DL42</f>
        <v>806729</v>
      </c>
      <c r="F42" s="3">
        <f>'Monthly Data'!DR42</f>
        <v>20</v>
      </c>
      <c r="H42" s="3">
        <f t="shared" si="9"/>
        <v>-3751454.0580042</v>
      </c>
      <c r="I42" s="3">
        <f t="shared" si="10"/>
        <v>7853253.6983149052</v>
      </c>
      <c r="J42" s="3">
        <f t="shared" si="11"/>
        <v>3464593.4713132801</v>
      </c>
      <c r="K42" s="47">
        <f t="shared" ref="K42:K73" si="12">SUM(H42:J42)</f>
        <v>7566393.1116239857</v>
      </c>
      <c r="L42" s="47">
        <f>'Monthly Data'!AE42</f>
        <v>1430.997846153846</v>
      </c>
      <c r="M42" s="47">
        <f t="shared" si="4"/>
        <v>7567824.1094701393</v>
      </c>
      <c r="N42" s="47">
        <f t="shared" si="5"/>
        <v>-981706.52676561568</v>
      </c>
      <c r="O42" s="18">
        <f t="shared" ref="O42:O73" si="13">ABS(N42/D42)</f>
        <v>0.11482578033053847</v>
      </c>
    </row>
    <row r="43" spans="1:15">
      <c r="A43" s="2">
        <f>'Monthly Data'!A43</f>
        <v>43617</v>
      </c>
      <c r="B43">
        <f>'Monthly Data'!B43</f>
        <v>2019</v>
      </c>
      <c r="C43">
        <f>'Monthly Data'!C43</f>
        <v>6</v>
      </c>
      <c r="D43" s="3">
        <f>'Monthly Data'!AD43</f>
        <v>7934698.0776253538</v>
      </c>
      <c r="E43" s="3">
        <f>'Monthly Data'!DL43</f>
        <v>806729</v>
      </c>
      <c r="F43" s="3">
        <f>'Monthly Data'!DR43</f>
        <v>22</v>
      </c>
      <c r="H43" s="3">
        <f t="shared" si="9"/>
        <v>-3751454.0580042</v>
      </c>
      <c r="I43" s="3">
        <f t="shared" si="10"/>
        <v>7853253.6983149052</v>
      </c>
      <c r="J43" s="3">
        <f t="shared" si="11"/>
        <v>3811052.8184446082</v>
      </c>
      <c r="K43" s="47">
        <f t="shared" si="12"/>
        <v>7912852.4587553134</v>
      </c>
      <c r="L43" s="47">
        <f>'Monthly Data'!AE43</f>
        <v>1456.4986153846151</v>
      </c>
      <c r="M43" s="47">
        <f t="shared" ref="M43:M106" si="14">K43+L43</f>
        <v>7914308.9573706985</v>
      </c>
      <c r="N43" s="47">
        <f t="shared" ref="N43:N106" si="15">M43-D43</f>
        <v>-20389.120254655369</v>
      </c>
      <c r="O43" s="18">
        <f t="shared" si="13"/>
        <v>2.5696151328239696E-3</v>
      </c>
    </row>
    <row r="44" spans="1:15">
      <c r="A44" s="2">
        <f>'Monthly Data'!A44</f>
        <v>43647</v>
      </c>
      <c r="B44">
        <f>'Monthly Data'!B44</f>
        <v>2019</v>
      </c>
      <c r="C44">
        <f>'Monthly Data'!C44</f>
        <v>7</v>
      </c>
      <c r="D44" s="3">
        <f>'Monthly Data'!AD44</f>
        <v>7499230.9496138953</v>
      </c>
      <c r="E44" s="3">
        <f>'Monthly Data'!DL44</f>
        <v>810697</v>
      </c>
      <c r="F44" s="3">
        <f>'Monthly Data'!DR44</f>
        <v>22</v>
      </c>
      <c r="H44" s="3">
        <f t="shared" si="9"/>
        <v>-3751454.0580042</v>
      </c>
      <c r="I44" s="3">
        <f t="shared" si="10"/>
        <v>7891880.9333280427</v>
      </c>
      <c r="J44" s="3">
        <f t="shared" si="11"/>
        <v>3811052.8184446082</v>
      </c>
      <c r="K44" s="47">
        <f t="shared" si="12"/>
        <v>7951479.693768451</v>
      </c>
      <c r="L44" s="47">
        <f>'Monthly Data'!AE44</f>
        <v>1481.9993846153843</v>
      </c>
      <c r="M44" s="47">
        <f t="shared" si="14"/>
        <v>7952961.6931530666</v>
      </c>
      <c r="N44" s="47">
        <f t="shared" si="15"/>
        <v>453730.74353917129</v>
      </c>
      <c r="O44" s="18">
        <f t="shared" si="13"/>
        <v>6.0503636517892818E-2</v>
      </c>
    </row>
    <row r="45" spans="1:15">
      <c r="A45" s="2">
        <f>'Monthly Data'!A45</f>
        <v>43678</v>
      </c>
      <c r="B45">
        <f>'Monthly Data'!B45</f>
        <v>2019</v>
      </c>
      <c r="C45">
        <f>'Monthly Data'!C45</f>
        <v>8</v>
      </c>
      <c r="D45" s="3">
        <f>'Monthly Data'!AD45</f>
        <v>7456219.8457452906</v>
      </c>
      <c r="E45" s="3">
        <f>'Monthly Data'!DL45</f>
        <v>810697</v>
      </c>
      <c r="F45" s="3">
        <f>'Monthly Data'!DR45</f>
        <v>20</v>
      </c>
      <c r="H45" s="3">
        <f t="shared" si="9"/>
        <v>-3751454.0580042</v>
      </c>
      <c r="I45" s="3">
        <f t="shared" si="10"/>
        <v>7891880.9333280427</v>
      </c>
      <c r="J45" s="3">
        <f t="shared" si="11"/>
        <v>3464593.4713132801</v>
      </c>
      <c r="K45" s="47">
        <f t="shared" si="12"/>
        <v>7605020.3466371223</v>
      </c>
      <c r="L45" s="47">
        <f>'Monthly Data'!AE45</f>
        <v>1507.5001538461536</v>
      </c>
      <c r="M45" s="47">
        <f t="shared" si="14"/>
        <v>7606527.8467909684</v>
      </c>
      <c r="N45" s="47">
        <f t="shared" si="15"/>
        <v>150308.00104567781</v>
      </c>
      <c r="O45" s="18">
        <f t="shared" si="13"/>
        <v>2.0158740508630174E-2</v>
      </c>
    </row>
    <row r="46" spans="1:15">
      <c r="A46" s="2">
        <f>'Monthly Data'!A46</f>
        <v>43709</v>
      </c>
      <c r="B46">
        <f>'Monthly Data'!B46</f>
        <v>2019</v>
      </c>
      <c r="C46">
        <f>'Monthly Data'!C46</f>
        <v>9</v>
      </c>
      <c r="D46" s="3">
        <f>'Monthly Data'!AD46</f>
        <v>7219206.1482556416</v>
      </c>
      <c r="E46" s="3">
        <f>'Monthly Data'!DL46</f>
        <v>810697</v>
      </c>
      <c r="F46" s="3">
        <f>'Monthly Data'!DR46</f>
        <v>21</v>
      </c>
      <c r="H46" s="3">
        <f t="shared" si="9"/>
        <v>-3751454.0580042</v>
      </c>
      <c r="I46" s="3">
        <f t="shared" si="10"/>
        <v>7891880.9333280427</v>
      </c>
      <c r="J46" s="3">
        <f t="shared" si="11"/>
        <v>3637823.1448789444</v>
      </c>
      <c r="K46" s="47">
        <f t="shared" si="12"/>
        <v>7778250.0202027876</v>
      </c>
      <c r="L46" s="47">
        <f>'Monthly Data'!AE46</f>
        <v>1533.0009230769228</v>
      </c>
      <c r="M46" s="47">
        <f t="shared" si="14"/>
        <v>7779783.0211258642</v>
      </c>
      <c r="N46" s="47">
        <f t="shared" si="15"/>
        <v>560576.87287022267</v>
      </c>
      <c r="O46" s="18">
        <f t="shared" si="13"/>
        <v>7.7650763997877167E-2</v>
      </c>
    </row>
    <row r="47" spans="1:15">
      <c r="A47" s="2">
        <f>'Monthly Data'!A47</f>
        <v>43739</v>
      </c>
      <c r="B47">
        <f>'Monthly Data'!B47</f>
        <v>2019</v>
      </c>
      <c r="C47">
        <f>'Monthly Data'!C47</f>
        <v>10</v>
      </c>
      <c r="D47" s="3">
        <f>'Monthly Data'!AD47</f>
        <v>7638210.8567978488</v>
      </c>
      <c r="E47" s="3">
        <f>'Monthly Data'!DL47</f>
        <v>812164</v>
      </c>
      <c r="F47" s="3">
        <f>'Monthly Data'!DR47</f>
        <v>21</v>
      </c>
      <c r="H47" s="3">
        <f t="shared" si="9"/>
        <v>-3751454.0580042</v>
      </c>
      <c r="I47" s="3">
        <f t="shared" si="10"/>
        <v>7906161.7180468617</v>
      </c>
      <c r="J47" s="3">
        <f t="shared" si="11"/>
        <v>3637823.1448789444</v>
      </c>
      <c r="K47" s="47">
        <f t="shared" si="12"/>
        <v>7792530.8049216066</v>
      </c>
      <c r="L47" s="47">
        <f>'Monthly Data'!AE47</f>
        <v>1558.5016923076919</v>
      </c>
      <c r="M47" s="47">
        <f t="shared" si="14"/>
        <v>7794089.3066139147</v>
      </c>
      <c r="N47" s="47">
        <f t="shared" si="15"/>
        <v>155878.44981606584</v>
      </c>
      <c r="O47" s="18">
        <f t="shared" si="13"/>
        <v>2.0407717558273121E-2</v>
      </c>
    </row>
    <row r="48" spans="1:15">
      <c r="A48" s="2">
        <f>'Monthly Data'!A48</f>
        <v>43770</v>
      </c>
      <c r="B48">
        <f>'Monthly Data'!B48</f>
        <v>2019</v>
      </c>
      <c r="C48">
        <f>'Monthly Data'!C48</f>
        <v>11</v>
      </c>
      <c r="D48" s="3">
        <f>'Monthly Data'!AD48</f>
        <v>7592392.9632343063</v>
      </c>
      <c r="E48" s="3">
        <f>'Monthly Data'!DL48</f>
        <v>812164</v>
      </c>
      <c r="F48" s="3">
        <f>'Monthly Data'!DR48</f>
        <v>21</v>
      </c>
      <c r="H48" s="3">
        <f t="shared" si="9"/>
        <v>-3751454.0580042</v>
      </c>
      <c r="I48" s="3">
        <f t="shared" si="10"/>
        <v>7906161.7180468617</v>
      </c>
      <c r="J48" s="3">
        <f t="shared" si="11"/>
        <v>3637823.1448789444</v>
      </c>
      <c r="K48" s="47">
        <f t="shared" si="12"/>
        <v>7792530.8049216066</v>
      </c>
      <c r="L48" s="47">
        <f>'Monthly Data'!AE48</f>
        <v>1584.0024615384611</v>
      </c>
      <c r="M48" s="47">
        <f t="shared" si="14"/>
        <v>7794114.8073831452</v>
      </c>
      <c r="N48" s="47">
        <f t="shared" si="15"/>
        <v>201721.84414883889</v>
      </c>
      <c r="O48" s="18">
        <f t="shared" si="13"/>
        <v>2.6568941455699734E-2</v>
      </c>
    </row>
    <row r="49" spans="1:15">
      <c r="A49" s="2">
        <f>'Monthly Data'!A49</f>
        <v>43800</v>
      </c>
      <c r="B49">
        <f>'Monthly Data'!B49</f>
        <v>2019</v>
      </c>
      <c r="C49">
        <f>'Monthly Data'!C49</f>
        <v>12</v>
      </c>
      <c r="D49" s="3">
        <f>'Monthly Data'!AD49</f>
        <v>7075141.2986036194</v>
      </c>
      <c r="E49" s="3">
        <f>'Monthly Data'!DL49</f>
        <v>812164</v>
      </c>
      <c r="F49" s="3">
        <f>'Monthly Data'!DR49</f>
        <v>21</v>
      </c>
      <c r="H49" s="3">
        <f t="shared" si="9"/>
        <v>-3751454.0580042</v>
      </c>
      <c r="I49" s="3">
        <f t="shared" si="10"/>
        <v>7906161.7180468617</v>
      </c>
      <c r="J49" s="3">
        <f t="shared" si="11"/>
        <v>3637823.1448789444</v>
      </c>
      <c r="K49" s="47">
        <f t="shared" si="12"/>
        <v>7792530.8049216066</v>
      </c>
      <c r="L49" s="47">
        <f>'Monthly Data'!AE49</f>
        <v>1609.5032307692304</v>
      </c>
      <c r="M49" s="47">
        <f t="shared" si="14"/>
        <v>7794140.3081523757</v>
      </c>
      <c r="N49" s="47">
        <f t="shared" si="15"/>
        <v>718999.00954875629</v>
      </c>
      <c r="O49" s="18">
        <f t="shared" si="13"/>
        <v>0.10162327213036169</v>
      </c>
    </row>
    <row r="50" spans="1:15">
      <c r="A50" s="2">
        <f>'Monthly Data'!A50</f>
        <v>43831</v>
      </c>
      <c r="B50">
        <f>'Monthly Data'!B50</f>
        <v>2020</v>
      </c>
      <c r="C50">
        <f>'Monthly Data'!C50</f>
        <v>1</v>
      </c>
      <c r="D50" s="3">
        <f>'Monthly Data'!AD50</f>
        <v>7596592.6077267649</v>
      </c>
      <c r="E50" s="3">
        <f>'Monthly Data'!DL50</f>
        <v>801246</v>
      </c>
      <c r="F50" s="3">
        <f>'Monthly Data'!DR50</f>
        <v>22</v>
      </c>
      <c r="H50" s="3">
        <f t="shared" si="9"/>
        <v>-3751454.0580042</v>
      </c>
      <c r="I50" s="3">
        <f t="shared" si="10"/>
        <v>7799878.4136432735</v>
      </c>
      <c r="J50" s="3">
        <f t="shared" si="11"/>
        <v>3811052.8184446082</v>
      </c>
      <c r="K50" s="47">
        <f t="shared" si="12"/>
        <v>7859477.1740836818</v>
      </c>
      <c r="L50" s="47">
        <f>'Monthly Data'!AE50</f>
        <v>1665.2332948717949</v>
      </c>
      <c r="M50" s="47">
        <f t="shared" si="14"/>
        <v>7861142.4073785534</v>
      </c>
      <c r="N50" s="47">
        <f t="shared" si="15"/>
        <v>264549.79965178855</v>
      </c>
      <c r="O50" s="18">
        <f t="shared" si="13"/>
        <v>3.4824797552353341E-2</v>
      </c>
    </row>
    <row r="51" spans="1:15">
      <c r="A51" s="2">
        <f>'Monthly Data'!A51</f>
        <v>43862</v>
      </c>
      <c r="B51">
        <f>'Monthly Data'!B51</f>
        <v>2020</v>
      </c>
      <c r="C51">
        <f>'Monthly Data'!C51</f>
        <v>2</v>
      </c>
      <c r="D51" s="3">
        <f>'Monthly Data'!AD51</f>
        <v>7748600.9521910278</v>
      </c>
      <c r="E51" s="3">
        <f>'Monthly Data'!DL51</f>
        <v>801246</v>
      </c>
      <c r="F51" s="3">
        <f>'Monthly Data'!DR51</f>
        <v>19</v>
      </c>
      <c r="H51" s="3">
        <f t="shared" si="9"/>
        <v>-3751454.0580042</v>
      </c>
      <c r="I51" s="3">
        <f t="shared" si="10"/>
        <v>7799878.4136432735</v>
      </c>
      <c r="J51" s="3">
        <f t="shared" si="11"/>
        <v>3291363.7977476162</v>
      </c>
      <c r="K51" s="47">
        <f t="shared" si="12"/>
        <v>7339788.1533866897</v>
      </c>
      <c r="L51" s="47">
        <f>'Monthly Data'!AE51</f>
        <v>1695.4625897435897</v>
      </c>
      <c r="M51" s="47">
        <f t="shared" si="14"/>
        <v>7341483.6159764333</v>
      </c>
      <c r="N51" s="47">
        <f t="shared" si="15"/>
        <v>-407117.33621459454</v>
      </c>
      <c r="O51" s="18">
        <f t="shared" si="13"/>
        <v>5.254075396662107E-2</v>
      </c>
    </row>
    <row r="52" spans="1:15">
      <c r="A52" s="2">
        <f>'Monthly Data'!A52</f>
        <v>43891</v>
      </c>
      <c r="B52">
        <f>'Monthly Data'!B52</f>
        <v>2020</v>
      </c>
      <c r="C52">
        <f>'Monthly Data'!C52</f>
        <v>3</v>
      </c>
      <c r="D52" s="3">
        <f>'Monthly Data'!AD52</f>
        <v>8017638.7231661472</v>
      </c>
      <c r="E52" s="3">
        <f>'Monthly Data'!DL52</f>
        <v>801246</v>
      </c>
      <c r="F52" s="3">
        <f>'Monthly Data'!DR52</f>
        <v>22</v>
      </c>
      <c r="H52" s="3">
        <f t="shared" si="9"/>
        <v>-3751454.0580042</v>
      </c>
      <c r="I52" s="3">
        <f t="shared" si="10"/>
        <v>7799878.4136432735</v>
      </c>
      <c r="J52" s="3">
        <f t="shared" si="11"/>
        <v>3811052.8184446082</v>
      </c>
      <c r="K52" s="47">
        <f t="shared" si="12"/>
        <v>7859477.1740836818</v>
      </c>
      <c r="L52" s="47">
        <f>'Monthly Data'!AE52</f>
        <v>1725.6918846153847</v>
      </c>
      <c r="M52" s="47">
        <f t="shared" si="14"/>
        <v>7861202.8659682972</v>
      </c>
      <c r="N52" s="47">
        <f t="shared" si="15"/>
        <v>-156435.85719785001</v>
      </c>
      <c r="O52" s="18">
        <f t="shared" si="13"/>
        <v>1.9511462489054863E-2</v>
      </c>
    </row>
    <row r="53" spans="1:15">
      <c r="A53" s="2">
        <f>'Monthly Data'!A53</f>
        <v>43922</v>
      </c>
      <c r="B53">
        <f>'Monthly Data'!B53</f>
        <v>2020</v>
      </c>
      <c r="C53">
        <f>'Monthly Data'!C53</f>
        <v>4</v>
      </c>
      <c r="D53" s="3">
        <f>'Monthly Data'!AD53</f>
        <v>6836753.8399702618</v>
      </c>
      <c r="E53" s="3">
        <f>'Monthly Data'!DL53</f>
        <v>705711</v>
      </c>
      <c r="F53" s="3">
        <f>'Monthly Data'!DR53</f>
        <v>21</v>
      </c>
      <c r="H53" s="3">
        <f t="shared" si="9"/>
        <v>-3751454.0580042</v>
      </c>
      <c r="I53" s="3">
        <f t="shared" si="10"/>
        <v>6869875.1633962709</v>
      </c>
      <c r="J53" s="3">
        <f t="shared" si="11"/>
        <v>3637823.1448789444</v>
      </c>
      <c r="K53" s="47">
        <f t="shared" si="12"/>
        <v>6756244.2502710149</v>
      </c>
      <c r="L53" s="47">
        <f>'Monthly Data'!AE53</f>
        <v>1755.9211794871794</v>
      </c>
      <c r="M53" s="47">
        <f t="shared" si="14"/>
        <v>6758000.1714505022</v>
      </c>
      <c r="N53" s="47">
        <f t="shared" si="15"/>
        <v>-78753.668519759551</v>
      </c>
      <c r="O53" s="18">
        <f t="shared" si="13"/>
        <v>1.1519161046772763E-2</v>
      </c>
    </row>
    <row r="54" spans="1:15">
      <c r="A54" s="2">
        <f>'Monthly Data'!A54</f>
        <v>43952</v>
      </c>
      <c r="B54">
        <f>'Monthly Data'!B54</f>
        <v>2020</v>
      </c>
      <c r="C54">
        <f>'Monthly Data'!C54</f>
        <v>5</v>
      </c>
      <c r="D54" s="3">
        <f>'Monthly Data'!AD54</f>
        <v>7002828.4808593774</v>
      </c>
      <c r="E54" s="3">
        <f>'Monthly Data'!DL54</f>
        <v>705711</v>
      </c>
      <c r="F54" s="3">
        <f>'Monthly Data'!DR54</f>
        <v>20</v>
      </c>
      <c r="H54" s="3">
        <f t="shared" si="9"/>
        <v>-3751454.0580042</v>
      </c>
      <c r="I54" s="3">
        <f t="shared" si="10"/>
        <v>6869875.1633962709</v>
      </c>
      <c r="J54" s="3">
        <f t="shared" si="11"/>
        <v>3464593.4713132801</v>
      </c>
      <c r="K54" s="47">
        <f t="shared" si="12"/>
        <v>6583014.5767053515</v>
      </c>
      <c r="L54" s="47">
        <f>'Monthly Data'!AE54</f>
        <v>1786.1504743589742</v>
      </c>
      <c r="M54" s="47">
        <f t="shared" si="14"/>
        <v>6584800.7271797108</v>
      </c>
      <c r="N54" s="47">
        <f t="shared" si="15"/>
        <v>-418027.75367966667</v>
      </c>
      <c r="O54" s="18">
        <f t="shared" si="13"/>
        <v>5.9694129996507764E-2</v>
      </c>
    </row>
    <row r="55" spans="1:15">
      <c r="A55" s="2">
        <f>'Monthly Data'!A55</f>
        <v>43983</v>
      </c>
      <c r="B55">
        <f>'Monthly Data'!B55</f>
        <v>2020</v>
      </c>
      <c r="C55">
        <f>'Monthly Data'!C55</f>
        <v>6</v>
      </c>
      <c r="D55" s="3">
        <f>'Monthly Data'!AD55</f>
        <v>7389887.1454285411</v>
      </c>
      <c r="E55" s="3">
        <f>'Monthly Data'!DL55</f>
        <v>705711</v>
      </c>
      <c r="F55" s="3">
        <f>'Monthly Data'!DR55</f>
        <v>22</v>
      </c>
      <c r="H55" s="3">
        <f t="shared" si="9"/>
        <v>-3751454.0580042</v>
      </c>
      <c r="I55" s="3">
        <f t="shared" si="10"/>
        <v>6869875.1633962709</v>
      </c>
      <c r="J55" s="3">
        <f t="shared" si="11"/>
        <v>3811052.8184446082</v>
      </c>
      <c r="K55" s="47">
        <f t="shared" si="12"/>
        <v>6929473.9238366792</v>
      </c>
      <c r="L55" s="47">
        <f>'Monthly Data'!AE55</f>
        <v>1816.3797692307689</v>
      </c>
      <c r="M55" s="47">
        <f t="shared" si="14"/>
        <v>6931290.3036059104</v>
      </c>
      <c r="N55" s="47">
        <f t="shared" si="15"/>
        <v>-458596.84182263073</v>
      </c>
      <c r="O55" s="18">
        <f t="shared" si="13"/>
        <v>6.2057353894277446E-2</v>
      </c>
    </row>
    <row r="56" spans="1:15">
      <c r="A56" s="2">
        <f>'Monthly Data'!A56</f>
        <v>44013</v>
      </c>
      <c r="B56">
        <f>'Monthly Data'!B56</f>
        <v>2020</v>
      </c>
      <c r="C56">
        <f>'Monthly Data'!C56</f>
        <v>7</v>
      </c>
      <c r="D56" s="3">
        <f>'Monthly Data'!AD56</f>
        <v>7694004.3930514287</v>
      </c>
      <c r="E56" s="3">
        <f>'Monthly Data'!DL56</f>
        <v>778294</v>
      </c>
      <c r="F56" s="3">
        <f>'Monthly Data'!DR56</f>
        <v>22</v>
      </c>
      <c r="H56" s="3">
        <f t="shared" si="9"/>
        <v>-3751454.0580042</v>
      </c>
      <c r="I56" s="3">
        <f t="shared" si="10"/>
        <v>7576447.8949886523</v>
      </c>
      <c r="J56" s="3">
        <f t="shared" si="11"/>
        <v>3811052.8184446082</v>
      </c>
      <c r="K56" s="47">
        <f t="shared" si="12"/>
        <v>7636046.6554290606</v>
      </c>
      <c r="L56" s="47">
        <f>'Monthly Data'!AE56</f>
        <v>1846.6090641025637</v>
      </c>
      <c r="M56" s="47">
        <f t="shared" si="14"/>
        <v>7637893.2644931627</v>
      </c>
      <c r="N56" s="47">
        <f t="shared" si="15"/>
        <v>-56111.128558265977</v>
      </c>
      <c r="O56" s="18">
        <f t="shared" si="13"/>
        <v>7.292838123271775E-3</v>
      </c>
    </row>
    <row r="57" spans="1:15">
      <c r="A57" s="2">
        <f>'Monthly Data'!A57</f>
        <v>44044</v>
      </c>
      <c r="B57">
        <f>'Monthly Data'!B57</f>
        <v>2020</v>
      </c>
      <c r="C57">
        <f>'Monthly Data'!C57</f>
        <v>8</v>
      </c>
      <c r="D57" s="3">
        <f>'Monthly Data'!AD57</f>
        <v>7442739.7131028725</v>
      </c>
      <c r="E57" s="3">
        <f>'Monthly Data'!DL57</f>
        <v>778294</v>
      </c>
      <c r="F57" s="3">
        <f>'Monthly Data'!DR57</f>
        <v>20</v>
      </c>
      <c r="H57" s="3">
        <f t="shared" si="9"/>
        <v>-3751454.0580042</v>
      </c>
      <c r="I57" s="3">
        <f t="shared" si="10"/>
        <v>7576447.8949886523</v>
      </c>
      <c r="J57" s="3">
        <f t="shared" si="11"/>
        <v>3464593.4713132801</v>
      </c>
      <c r="K57" s="47">
        <f t="shared" si="12"/>
        <v>7289587.3082977328</v>
      </c>
      <c r="L57" s="47">
        <f>'Monthly Data'!AE57</f>
        <v>1876.8383589743585</v>
      </c>
      <c r="M57" s="47">
        <f t="shared" si="14"/>
        <v>7291464.1466567069</v>
      </c>
      <c r="N57" s="47">
        <f t="shared" si="15"/>
        <v>-151275.56644616555</v>
      </c>
      <c r="O57" s="18">
        <f t="shared" si="13"/>
        <v>2.0325252833959296E-2</v>
      </c>
    </row>
    <row r="58" spans="1:15">
      <c r="A58" s="2">
        <f>'Monthly Data'!A58</f>
        <v>44075</v>
      </c>
      <c r="B58">
        <f>'Monthly Data'!B58</f>
        <v>2020</v>
      </c>
      <c r="C58">
        <f>'Monthly Data'!C58</f>
        <v>9</v>
      </c>
      <c r="D58" s="3">
        <f>'Monthly Data'!AD58</f>
        <v>7353874.5857787905</v>
      </c>
      <c r="E58" s="3">
        <f>'Monthly Data'!DL58</f>
        <v>778294</v>
      </c>
      <c r="F58" s="3">
        <f>'Monthly Data'!DR58</f>
        <v>21</v>
      </c>
      <c r="H58" s="3">
        <f t="shared" si="9"/>
        <v>-3751454.0580042</v>
      </c>
      <c r="I58" s="3">
        <f t="shared" si="10"/>
        <v>7576447.8949886523</v>
      </c>
      <c r="J58" s="3">
        <f t="shared" si="11"/>
        <v>3637823.1448789444</v>
      </c>
      <c r="K58" s="47">
        <f t="shared" si="12"/>
        <v>7462816.9818633962</v>
      </c>
      <c r="L58" s="47">
        <f>'Monthly Data'!AE58</f>
        <v>1907.0676538461535</v>
      </c>
      <c r="M58" s="47">
        <f t="shared" si="14"/>
        <v>7464724.0495172422</v>
      </c>
      <c r="N58" s="47">
        <f t="shared" si="15"/>
        <v>110849.46373845171</v>
      </c>
      <c r="O58" s="18">
        <f t="shared" si="13"/>
        <v>1.5073613568664433E-2</v>
      </c>
    </row>
    <row r="59" spans="1:15">
      <c r="A59" s="2">
        <f>'Monthly Data'!A59</f>
        <v>44105</v>
      </c>
      <c r="B59">
        <f>'Monthly Data'!B59</f>
        <v>2020</v>
      </c>
      <c r="C59">
        <f>'Monthly Data'!C59</f>
        <v>10</v>
      </c>
      <c r="D59" s="3">
        <f>'Monthly Data'!AD59</f>
        <v>7594045.0170956114</v>
      </c>
      <c r="E59" s="3">
        <f>'Monthly Data'!DL59</f>
        <v>797313</v>
      </c>
      <c r="F59" s="3">
        <f>'Monthly Data'!DR59</f>
        <v>21</v>
      </c>
      <c r="H59" s="3">
        <f t="shared" si="9"/>
        <v>-3751454.0580042</v>
      </c>
      <c r="I59" s="3">
        <f t="shared" si="10"/>
        <v>7761591.8926486485</v>
      </c>
      <c r="J59" s="3">
        <f t="shared" si="11"/>
        <v>3637823.1448789444</v>
      </c>
      <c r="K59" s="47">
        <f t="shared" si="12"/>
        <v>7647960.9795233924</v>
      </c>
      <c r="L59" s="47">
        <f>'Monthly Data'!AE59</f>
        <v>1937.2969487179482</v>
      </c>
      <c r="M59" s="47">
        <f t="shared" si="14"/>
        <v>7649898.2764721103</v>
      </c>
      <c r="N59" s="47">
        <f t="shared" si="15"/>
        <v>55853.259376498871</v>
      </c>
      <c r="O59" s="18">
        <f t="shared" si="13"/>
        <v>7.3548759917491623E-3</v>
      </c>
    </row>
    <row r="60" spans="1:15">
      <c r="A60" s="2">
        <f>'Monthly Data'!A60</f>
        <v>44136</v>
      </c>
      <c r="B60">
        <f>'Monthly Data'!B60</f>
        <v>2020</v>
      </c>
      <c r="C60">
        <f>'Monthly Data'!C60</f>
        <v>11</v>
      </c>
      <c r="D60" s="3">
        <f>'Monthly Data'!AD60</f>
        <v>7315833.2701564273</v>
      </c>
      <c r="E60" s="3">
        <f>'Monthly Data'!DL60</f>
        <v>797313</v>
      </c>
      <c r="F60" s="3">
        <f>'Monthly Data'!DR60</f>
        <v>21</v>
      </c>
      <c r="H60" s="3">
        <f t="shared" si="9"/>
        <v>-3751454.0580042</v>
      </c>
      <c r="I60" s="3">
        <f t="shared" si="10"/>
        <v>7761591.8926486485</v>
      </c>
      <c r="J60" s="3">
        <f t="shared" si="11"/>
        <v>3637823.1448789444</v>
      </c>
      <c r="K60" s="47">
        <f t="shared" si="12"/>
        <v>7647960.9795233924</v>
      </c>
      <c r="L60" s="47">
        <f>'Monthly Data'!AE60</f>
        <v>1967.526243589743</v>
      </c>
      <c r="M60" s="47">
        <f t="shared" si="14"/>
        <v>7649928.5057669822</v>
      </c>
      <c r="N60" s="47">
        <f t="shared" si="15"/>
        <v>334095.23561055493</v>
      </c>
      <c r="O60" s="18">
        <f t="shared" si="13"/>
        <v>4.5667420685136975E-2</v>
      </c>
    </row>
    <row r="61" spans="1:15">
      <c r="A61" s="2">
        <f>'Monthly Data'!A61</f>
        <v>44166</v>
      </c>
      <c r="B61">
        <f>'Monthly Data'!B61</f>
        <v>2020</v>
      </c>
      <c r="C61">
        <f>'Monthly Data'!C61</f>
        <v>12</v>
      </c>
      <c r="D61" s="3">
        <f>'Monthly Data'!AD61</f>
        <v>6947730.7541941404</v>
      </c>
      <c r="E61" s="3">
        <f>'Monthly Data'!DL61</f>
        <v>797313</v>
      </c>
      <c r="F61" s="3">
        <f>'Monthly Data'!DR61</f>
        <v>21</v>
      </c>
      <c r="H61" s="3">
        <f t="shared" si="9"/>
        <v>-3751454.0580042</v>
      </c>
      <c r="I61" s="3">
        <f t="shared" si="10"/>
        <v>7761591.8926486485</v>
      </c>
      <c r="J61" s="3">
        <f t="shared" si="11"/>
        <v>3637823.1448789444</v>
      </c>
      <c r="K61" s="47">
        <f t="shared" si="12"/>
        <v>7647960.9795233924</v>
      </c>
      <c r="L61" s="47">
        <f>'Monthly Data'!AE61</f>
        <v>1997.7555384615378</v>
      </c>
      <c r="M61" s="47">
        <f t="shared" si="14"/>
        <v>7649958.7350618541</v>
      </c>
      <c r="N61" s="47">
        <f t="shared" si="15"/>
        <v>702227.98086771369</v>
      </c>
      <c r="O61" s="18">
        <f t="shared" si="13"/>
        <v>0.10107299861092045</v>
      </c>
    </row>
    <row r="62" spans="1:15">
      <c r="A62" s="2">
        <f>'Monthly Data'!A62</f>
        <v>44197</v>
      </c>
      <c r="B62">
        <f>'Monthly Data'!B62</f>
        <v>2021</v>
      </c>
      <c r="C62">
        <f>'Monthly Data'!C62</f>
        <v>1</v>
      </c>
      <c r="D62" s="3">
        <f ca="1">'Monthly Data'!AD62</f>
        <v>7311941.7225813912</v>
      </c>
      <c r="E62" s="3">
        <f>'Monthly Data'!DL62</f>
        <v>809994</v>
      </c>
      <c r="F62" s="3">
        <f>'Monthly Data'!DR62</f>
        <v>20</v>
      </c>
      <c r="H62" s="3">
        <f t="shared" si="9"/>
        <v>-3751454.0580042</v>
      </c>
      <c r="I62" s="3">
        <f t="shared" si="10"/>
        <v>7885037.4488990521</v>
      </c>
      <c r="J62" s="3">
        <f t="shared" si="11"/>
        <v>3464593.4713132801</v>
      </c>
      <c r="K62" s="47">
        <f t="shared" si="12"/>
        <v>7598176.8622081317</v>
      </c>
      <c r="L62" s="47">
        <f>'Monthly Data'!AE62</f>
        <v>2091.1702435897432</v>
      </c>
      <c r="M62" s="47">
        <f t="shared" si="14"/>
        <v>7600268.0324517218</v>
      </c>
      <c r="N62" s="47">
        <f t="shared" ca="1" si="15"/>
        <v>288326.30987033062</v>
      </c>
      <c r="O62" s="18">
        <f t="shared" ca="1" si="13"/>
        <v>3.9432249436547828E-2</v>
      </c>
    </row>
    <row r="63" spans="1:15">
      <c r="A63" s="2">
        <f>'Monthly Data'!A63</f>
        <v>44228</v>
      </c>
      <c r="B63">
        <f>'Monthly Data'!B63</f>
        <v>2021</v>
      </c>
      <c r="C63">
        <f>'Monthly Data'!C63</f>
        <v>2</v>
      </c>
      <c r="D63" s="3">
        <f ca="1">'Monthly Data'!AD63</f>
        <v>7711149.2788526928</v>
      </c>
      <c r="E63" s="3">
        <f>'Monthly Data'!DL63</f>
        <v>809994</v>
      </c>
      <c r="F63" s="3">
        <f>'Monthly Data'!DR63</f>
        <v>19</v>
      </c>
      <c r="H63" s="3">
        <f t="shared" si="9"/>
        <v>-3751454.0580042</v>
      </c>
      <c r="I63" s="3">
        <f t="shared" si="10"/>
        <v>7885037.4488990521</v>
      </c>
      <c r="J63" s="3">
        <f t="shared" si="11"/>
        <v>3291363.7977476162</v>
      </c>
      <c r="K63" s="47">
        <f t="shared" si="12"/>
        <v>7424947.1886424683</v>
      </c>
      <c r="L63" s="47">
        <f>'Monthly Data'!AE63</f>
        <v>2154.3556538461535</v>
      </c>
      <c r="M63" s="47">
        <f t="shared" si="14"/>
        <v>7427101.544296314</v>
      </c>
      <c r="N63" s="47">
        <f t="shared" ca="1" si="15"/>
        <v>-284047.7345563788</v>
      </c>
      <c r="O63" s="18">
        <f t="shared" ca="1" si="13"/>
        <v>3.6835979214584855E-2</v>
      </c>
    </row>
    <row r="64" spans="1:15">
      <c r="A64" s="2">
        <f>'Monthly Data'!A64</f>
        <v>44256</v>
      </c>
      <c r="B64">
        <f>'Monthly Data'!B64</f>
        <v>2021</v>
      </c>
      <c r="C64">
        <f>'Monthly Data'!C64</f>
        <v>3</v>
      </c>
      <c r="D64" s="3">
        <f ca="1">'Monthly Data'!AD64</f>
        <v>8508524.2634860594</v>
      </c>
      <c r="E64" s="3">
        <f>'Monthly Data'!DL64</f>
        <v>809994</v>
      </c>
      <c r="F64" s="3">
        <f>'Monthly Data'!DR64</f>
        <v>23</v>
      </c>
      <c r="H64" s="3">
        <f t="shared" si="9"/>
        <v>-3751454.0580042</v>
      </c>
      <c r="I64" s="3">
        <f t="shared" si="10"/>
        <v>7885037.4488990521</v>
      </c>
      <c r="J64" s="3">
        <f t="shared" si="11"/>
        <v>3984282.4920102721</v>
      </c>
      <c r="K64" s="47">
        <f t="shared" si="12"/>
        <v>8117865.8829051238</v>
      </c>
      <c r="L64" s="47">
        <f>'Monthly Data'!AE64</f>
        <v>2217.5410641025637</v>
      </c>
      <c r="M64" s="47">
        <f t="shared" si="14"/>
        <v>8120083.423969226</v>
      </c>
      <c r="N64" s="47">
        <f t="shared" ca="1" si="15"/>
        <v>-388440.83951683342</v>
      </c>
      <c r="O64" s="18">
        <f t="shared" ca="1" si="13"/>
        <v>4.565313883910626E-2</v>
      </c>
    </row>
    <row r="65" spans="1:15">
      <c r="A65" s="2">
        <f>'Monthly Data'!A65</f>
        <v>44287</v>
      </c>
      <c r="B65">
        <f>'Monthly Data'!B65</f>
        <v>2021</v>
      </c>
      <c r="C65">
        <f>'Monthly Data'!C65</f>
        <v>4</v>
      </c>
      <c r="D65" s="3">
        <f ca="1">'Monthly Data'!AD65</f>
        <v>7846268.8053719243</v>
      </c>
      <c r="E65" s="3">
        <f>'Monthly Data'!DL65</f>
        <v>803585</v>
      </c>
      <c r="F65" s="3">
        <f>'Monthly Data'!DR65</f>
        <v>21</v>
      </c>
      <c r="H65" s="3">
        <f t="shared" si="9"/>
        <v>-3751454.0580042</v>
      </c>
      <c r="I65" s="3">
        <f t="shared" si="10"/>
        <v>7822647.8447661893</v>
      </c>
      <c r="J65" s="3">
        <f t="shared" si="11"/>
        <v>3637823.1448789444</v>
      </c>
      <c r="K65" s="47">
        <f t="shared" si="12"/>
        <v>7709016.9316409342</v>
      </c>
      <c r="L65" s="47">
        <f>'Monthly Data'!AE65</f>
        <v>2280.726474358974</v>
      </c>
      <c r="M65" s="47">
        <f t="shared" si="14"/>
        <v>7711297.6581152929</v>
      </c>
      <c r="N65" s="47">
        <f t="shared" ca="1" si="15"/>
        <v>-134971.1472566314</v>
      </c>
      <c r="O65" s="18">
        <f t="shared" ca="1" si="13"/>
        <v>1.720195300525822E-2</v>
      </c>
    </row>
    <row r="66" spans="1:15">
      <c r="A66" s="2">
        <f>'Monthly Data'!A66</f>
        <v>44317</v>
      </c>
      <c r="B66">
        <f>'Monthly Data'!B66</f>
        <v>2021</v>
      </c>
      <c r="C66">
        <f>'Monthly Data'!C66</f>
        <v>5</v>
      </c>
      <c r="D66" s="3">
        <f ca="1">'Monthly Data'!AD66</f>
        <v>8442233.3229606692</v>
      </c>
      <c r="E66" s="3">
        <f>'Monthly Data'!DL66</f>
        <v>803585</v>
      </c>
      <c r="F66" s="3">
        <f>'Monthly Data'!DR66</f>
        <v>20</v>
      </c>
      <c r="H66" s="3">
        <f t="shared" ref="H66:H97" si="16">$S$8</f>
        <v>-3751454.0580042</v>
      </c>
      <c r="I66" s="3">
        <f t="shared" ref="I66:I97" si="17">E66*$S$9</f>
        <v>7822647.8447661893</v>
      </c>
      <c r="J66" s="3">
        <f t="shared" ref="J66:J97" si="18">F66*$S$10</f>
        <v>3464593.4713132801</v>
      </c>
      <c r="K66" s="47">
        <f t="shared" si="12"/>
        <v>7535787.2580752689</v>
      </c>
      <c r="L66" s="47">
        <f>'Monthly Data'!AE66</f>
        <v>2343.9118846153842</v>
      </c>
      <c r="M66" s="47">
        <f t="shared" si="14"/>
        <v>7538131.1699598841</v>
      </c>
      <c r="N66" s="47">
        <f t="shared" ca="1" si="15"/>
        <v>-904102.15300078504</v>
      </c>
      <c r="O66" s="18">
        <f t="shared" ca="1" si="13"/>
        <v>0.10709277017277684</v>
      </c>
    </row>
    <row r="67" spans="1:15">
      <c r="A67" s="2">
        <f>'Monthly Data'!A67</f>
        <v>44348</v>
      </c>
      <c r="B67">
        <f>'Monthly Data'!B67</f>
        <v>2021</v>
      </c>
      <c r="C67">
        <f>'Monthly Data'!C67</f>
        <v>6</v>
      </c>
      <c r="D67" s="3">
        <f ca="1">'Monthly Data'!AD67</f>
        <v>8305622.2013037819</v>
      </c>
      <c r="E67" s="3">
        <f>'Monthly Data'!DL67</f>
        <v>803585</v>
      </c>
      <c r="F67" s="3">
        <f>'Monthly Data'!DR67</f>
        <v>22</v>
      </c>
      <c r="H67" s="3">
        <f t="shared" si="16"/>
        <v>-3751454.0580042</v>
      </c>
      <c r="I67" s="3">
        <f t="shared" si="17"/>
        <v>7822647.8447661893</v>
      </c>
      <c r="J67" s="3">
        <f t="shared" si="18"/>
        <v>3811052.8184446082</v>
      </c>
      <c r="K67" s="47">
        <f t="shared" si="12"/>
        <v>7882246.6052065976</v>
      </c>
      <c r="L67" s="47">
        <f>'Monthly Data'!AE67</f>
        <v>2407.0972948717945</v>
      </c>
      <c r="M67" s="47">
        <f t="shared" si="14"/>
        <v>7884653.7025014693</v>
      </c>
      <c r="N67" s="47">
        <f t="shared" ca="1" si="15"/>
        <v>-420968.49880231265</v>
      </c>
      <c r="O67" s="18">
        <f t="shared" ca="1" si="13"/>
        <v>5.0684763717789953E-2</v>
      </c>
    </row>
    <row r="68" spans="1:15">
      <c r="A68" s="2">
        <f>'Monthly Data'!A68</f>
        <v>44378</v>
      </c>
      <c r="B68">
        <f>'Monthly Data'!B68</f>
        <v>2021</v>
      </c>
      <c r="C68">
        <f>'Monthly Data'!C68</f>
        <v>7</v>
      </c>
      <c r="D68" s="3">
        <f ca="1">'Monthly Data'!AD68</f>
        <v>7781154.4904996082</v>
      </c>
      <c r="E68" s="3">
        <f>'Monthly Data'!DL68</f>
        <v>821006</v>
      </c>
      <c r="F68" s="3">
        <f>'Monthly Data'!DR68</f>
        <v>21</v>
      </c>
      <c r="H68" s="3">
        <f t="shared" si="16"/>
        <v>-3751454.0580042</v>
      </c>
      <c r="I68" s="3">
        <f t="shared" si="17"/>
        <v>7992235.8138095038</v>
      </c>
      <c r="J68" s="3">
        <f t="shared" si="18"/>
        <v>3637823.1448789444</v>
      </c>
      <c r="K68" s="47">
        <f t="shared" si="12"/>
        <v>7878604.9006842487</v>
      </c>
      <c r="L68" s="47">
        <f>'Monthly Data'!AE68</f>
        <v>2470.2827051282047</v>
      </c>
      <c r="M68" s="47">
        <f t="shared" si="14"/>
        <v>7881075.1833893768</v>
      </c>
      <c r="N68" s="47">
        <f t="shared" ca="1" si="15"/>
        <v>99920.69288976863</v>
      </c>
      <c r="O68" s="18">
        <f t="shared" ca="1" si="13"/>
        <v>1.2841371163079552E-2</v>
      </c>
    </row>
    <row r="69" spans="1:15">
      <c r="A69" s="2">
        <f>'Monthly Data'!A69</f>
        <v>44409</v>
      </c>
      <c r="B69">
        <f>'Monthly Data'!B69</f>
        <v>2021</v>
      </c>
      <c r="C69">
        <f>'Monthly Data'!C69</f>
        <v>8</v>
      </c>
      <c r="D69" s="3">
        <f ca="1">'Monthly Data'!AD69</f>
        <v>8155849.2618582631</v>
      </c>
      <c r="E69" s="3">
        <f>'Monthly Data'!DL69</f>
        <v>821006</v>
      </c>
      <c r="F69" s="3">
        <f>'Monthly Data'!DR69</f>
        <v>20</v>
      </c>
      <c r="H69" s="3">
        <f t="shared" si="16"/>
        <v>-3751454.0580042</v>
      </c>
      <c r="I69" s="3">
        <f t="shared" si="17"/>
        <v>7992235.8138095038</v>
      </c>
      <c r="J69" s="3">
        <f t="shared" si="18"/>
        <v>3464593.4713132801</v>
      </c>
      <c r="K69" s="47">
        <f t="shared" si="12"/>
        <v>7705375.2271185843</v>
      </c>
      <c r="L69" s="47">
        <f>'Monthly Data'!AE69</f>
        <v>2533.468115384615</v>
      </c>
      <c r="M69" s="47">
        <f t="shared" si="14"/>
        <v>7707908.695233969</v>
      </c>
      <c r="N69" s="47">
        <f t="shared" ca="1" si="15"/>
        <v>-447940.56662429404</v>
      </c>
      <c r="O69" s="18">
        <f t="shared" ca="1" si="13"/>
        <v>5.4922614707843848E-2</v>
      </c>
    </row>
    <row r="70" spans="1:15">
      <c r="A70" s="2">
        <f>'Monthly Data'!A70</f>
        <v>44440</v>
      </c>
      <c r="B70">
        <f>'Monthly Data'!B70</f>
        <v>2021</v>
      </c>
      <c r="C70">
        <f>'Monthly Data'!C70</f>
        <v>9</v>
      </c>
      <c r="D70" s="3">
        <f ca="1">'Monthly Data'!AD70</f>
        <v>8283106.6754321996</v>
      </c>
      <c r="E70" s="3">
        <f>'Monthly Data'!DL70</f>
        <v>821006</v>
      </c>
      <c r="F70" s="3">
        <f>'Monthly Data'!DR70</f>
        <v>20</v>
      </c>
      <c r="H70" s="3">
        <f t="shared" si="16"/>
        <v>-3751454.0580042</v>
      </c>
      <c r="I70" s="3">
        <f t="shared" si="17"/>
        <v>7992235.8138095038</v>
      </c>
      <c r="J70" s="3">
        <f t="shared" si="18"/>
        <v>3464593.4713132801</v>
      </c>
      <c r="K70" s="47">
        <f t="shared" si="12"/>
        <v>7705375.2271185843</v>
      </c>
      <c r="L70" s="47">
        <f>'Monthly Data'!AE70</f>
        <v>2596.6535256410252</v>
      </c>
      <c r="M70" s="47">
        <f t="shared" si="14"/>
        <v>7707971.8806442255</v>
      </c>
      <c r="N70" s="47">
        <f t="shared" ca="1" si="15"/>
        <v>-575134.7947879741</v>
      </c>
      <c r="O70" s="18">
        <f t="shared" ca="1" si="13"/>
        <v>6.9434671956336291E-2</v>
      </c>
    </row>
    <row r="71" spans="1:15">
      <c r="A71" s="2">
        <f>'Monthly Data'!A71</f>
        <v>44470</v>
      </c>
      <c r="B71">
        <f>'Monthly Data'!B71</f>
        <v>2021</v>
      </c>
      <c r="C71">
        <f>'Monthly Data'!C71</f>
        <v>10</v>
      </c>
      <c r="D71" s="3">
        <f ca="1">'Monthly Data'!AD71</f>
        <v>8050729.6063805036</v>
      </c>
      <c r="E71" s="3">
        <f>'Monthly Data'!DL71</f>
        <v>840399</v>
      </c>
      <c r="F71" s="3">
        <f>'Monthly Data'!DR71</f>
        <v>20</v>
      </c>
      <c r="H71" s="3">
        <f t="shared" si="16"/>
        <v>-3751454.0580042</v>
      </c>
      <c r="I71" s="3">
        <f t="shared" si="17"/>
        <v>8181020.5841244683</v>
      </c>
      <c r="J71" s="3">
        <f t="shared" si="18"/>
        <v>3464593.4713132801</v>
      </c>
      <c r="K71" s="47">
        <f t="shared" si="12"/>
        <v>7894159.9974335479</v>
      </c>
      <c r="L71" s="47">
        <f>'Monthly Data'!AE71</f>
        <v>2659.8389358974355</v>
      </c>
      <c r="M71" s="47">
        <f t="shared" si="14"/>
        <v>7896819.8363694455</v>
      </c>
      <c r="N71" s="47">
        <f t="shared" ca="1" si="15"/>
        <v>-153909.77001105808</v>
      </c>
      <c r="O71" s="18">
        <f t="shared" ca="1" si="13"/>
        <v>1.9117493387068776E-2</v>
      </c>
    </row>
    <row r="72" spans="1:15">
      <c r="A72" s="2">
        <f>'Monthly Data'!A72</f>
        <v>44501</v>
      </c>
      <c r="B72">
        <f>'Monthly Data'!B72</f>
        <v>2021</v>
      </c>
      <c r="C72">
        <f>'Monthly Data'!C72</f>
        <v>11</v>
      </c>
      <c r="D72" s="3">
        <f ca="1">'Monthly Data'!AD72</f>
        <v>8807569.4662500918</v>
      </c>
      <c r="E72" s="3">
        <f>'Monthly Data'!DL72</f>
        <v>840399</v>
      </c>
      <c r="F72" s="3">
        <f>'Monthly Data'!DR72</f>
        <v>22</v>
      </c>
      <c r="H72" s="3">
        <f t="shared" si="16"/>
        <v>-3751454.0580042</v>
      </c>
      <c r="I72" s="3">
        <f t="shared" si="17"/>
        <v>8181020.5841244683</v>
      </c>
      <c r="J72" s="3">
        <f t="shared" si="18"/>
        <v>3811052.8184446082</v>
      </c>
      <c r="K72" s="47">
        <f t="shared" si="12"/>
        <v>8240619.3445648756</v>
      </c>
      <c r="L72" s="47">
        <f>'Monthly Data'!AE72</f>
        <v>2723.0243461538457</v>
      </c>
      <c r="M72" s="47">
        <f t="shared" si="14"/>
        <v>8243342.3689110298</v>
      </c>
      <c r="N72" s="47">
        <f t="shared" ca="1" si="15"/>
        <v>-564227.09733906202</v>
      </c>
      <c r="O72" s="18">
        <f t="shared" ca="1" si="13"/>
        <v>6.4061611946534799E-2</v>
      </c>
    </row>
    <row r="73" spans="1:15">
      <c r="A73" s="2">
        <f>'Monthly Data'!A73</f>
        <v>44531</v>
      </c>
      <c r="B73">
        <f>'Monthly Data'!B73</f>
        <v>2021</v>
      </c>
      <c r="C73">
        <f>'Monthly Data'!C73</f>
        <v>12</v>
      </c>
      <c r="D73" s="3">
        <f ca="1">'Monthly Data'!AD73</f>
        <v>8319053.826486066</v>
      </c>
      <c r="E73" s="3">
        <f>'Monthly Data'!DL73</f>
        <v>840399</v>
      </c>
      <c r="F73" s="3">
        <f>'Monthly Data'!DR73</f>
        <v>21</v>
      </c>
      <c r="H73" s="3">
        <f t="shared" si="16"/>
        <v>-3751454.0580042</v>
      </c>
      <c r="I73" s="3">
        <f t="shared" si="17"/>
        <v>8181020.5841244683</v>
      </c>
      <c r="J73" s="3">
        <f t="shared" si="18"/>
        <v>3637823.1448789444</v>
      </c>
      <c r="K73" s="47">
        <f t="shared" si="12"/>
        <v>8067389.6709992122</v>
      </c>
      <c r="L73" s="47">
        <f>'Monthly Data'!AE73</f>
        <v>2786.209756410256</v>
      </c>
      <c r="M73" s="47">
        <f t="shared" si="14"/>
        <v>8070175.8807556229</v>
      </c>
      <c r="N73" s="47">
        <f t="shared" ca="1" si="15"/>
        <v>-248877.94573044311</v>
      </c>
      <c r="O73" s="18">
        <f t="shared" ca="1" si="13"/>
        <v>2.9916616831840857E-2</v>
      </c>
    </row>
    <row r="74" spans="1:15">
      <c r="A74" s="2">
        <f>'Monthly Data'!A74</f>
        <v>44562</v>
      </c>
      <c r="B74">
        <f>'Monthly Data'!B74</f>
        <v>2022</v>
      </c>
      <c r="C74">
        <f>'Monthly Data'!C74</f>
        <v>1</v>
      </c>
      <c r="D74" s="3">
        <f ca="1">'Monthly Data'!AD74</f>
        <v>8222653.7198879085</v>
      </c>
      <c r="E74" s="3">
        <f>'Monthly Data'!DL74</f>
        <v>847546</v>
      </c>
      <c r="F74" s="3">
        <f>'Monthly Data'!DR74</f>
        <v>20</v>
      </c>
      <c r="H74" s="3">
        <f t="shared" si="16"/>
        <v>-3751454.0580042</v>
      </c>
      <c r="I74" s="3">
        <f t="shared" si="17"/>
        <v>8250594.3867048342</v>
      </c>
      <c r="J74" s="3">
        <f t="shared" si="18"/>
        <v>3464593.4713132801</v>
      </c>
      <c r="K74" s="47">
        <f t="shared" ref="K74:K97" si="19">SUM(H74:J74)</f>
        <v>7963733.8000139138</v>
      </c>
      <c r="L74" s="47">
        <f>'Monthly Data'!AE74</f>
        <v>3000.4327179487182</v>
      </c>
      <c r="M74" s="47">
        <f t="shared" si="14"/>
        <v>7966734.2327318629</v>
      </c>
      <c r="N74" s="47">
        <f t="shared" ca="1" si="15"/>
        <v>-255919.48715604562</v>
      </c>
      <c r="O74" s="18">
        <f t="shared" ref="O74:O97" ca="1" si="20">ABS(N74/D74)</f>
        <v>3.1123709677456091E-2</v>
      </c>
    </row>
    <row r="75" spans="1:15">
      <c r="A75" s="2">
        <f>'Monthly Data'!A75</f>
        <v>44593</v>
      </c>
      <c r="B75">
        <f>'Monthly Data'!B75</f>
        <v>2022</v>
      </c>
      <c r="C75">
        <f>'Monthly Data'!C75</f>
        <v>2</v>
      </c>
      <c r="D75" s="3">
        <f ca="1">'Monthly Data'!AD75</f>
        <v>8575796.2784495633</v>
      </c>
      <c r="E75" s="3">
        <f>'Monthly Data'!DL75</f>
        <v>847546</v>
      </c>
      <c r="F75" s="3">
        <f>'Monthly Data'!DR75</f>
        <v>19</v>
      </c>
      <c r="H75" s="3">
        <f t="shared" si="16"/>
        <v>-3751454.0580042</v>
      </c>
      <c r="I75" s="3">
        <f t="shared" si="17"/>
        <v>8250594.3867048342</v>
      </c>
      <c r="J75" s="3">
        <f t="shared" si="18"/>
        <v>3291363.7977476162</v>
      </c>
      <c r="K75" s="47">
        <f t="shared" si="19"/>
        <v>7790504.1264482494</v>
      </c>
      <c r="L75" s="47">
        <f>'Monthly Data'!AE75</f>
        <v>3151.4702692307692</v>
      </c>
      <c r="M75" s="47">
        <f t="shared" si="14"/>
        <v>7793655.5967174806</v>
      </c>
      <c r="N75" s="47">
        <f t="shared" ca="1" si="15"/>
        <v>-782140.68173208274</v>
      </c>
      <c r="O75" s="18">
        <f t="shared" ca="1" si="20"/>
        <v>9.1203272132006338E-2</v>
      </c>
    </row>
    <row r="76" spans="1:15">
      <c r="A76" s="2">
        <f>'Monthly Data'!A76</f>
        <v>44621</v>
      </c>
      <c r="B76">
        <f>'Monthly Data'!B76</f>
        <v>2022</v>
      </c>
      <c r="C76">
        <f>'Monthly Data'!C76</f>
        <v>3</v>
      </c>
      <c r="D76" s="3">
        <f ca="1">'Monthly Data'!AD76</f>
        <v>9725758.3248433731</v>
      </c>
      <c r="E76" s="3">
        <f>'Monthly Data'!DL76</f>
        <v>847546</v>
      </c>
      <c r="F76" s="3">
        <f>'Monthly Data'!DR76</f>
        <v>23</v>
      </c>
      <c r="H76" s="3">
        <f t="shared" si="16"/>
        <v>-3751454.0580042</v>
      </c>
      <c r="I76" s="3">
        <f t="shared" si="17"/>
        <v>8250594.3867048342</v>
      </c>
      <c r="J76" s="3">
        <f t="shared" si="18"/>
        <v>3984282.4920102721</v>
      </c>
      <c r="K76" s="47">
        <f t="shared" si="19"/>
        <v>8483422.8207109049</v>
      </c>
      <c r="L76" s="47">
        <f>'Monthly Data'!AE76</f>
        <v>3302.5078205128207</v>
      </c>
      <c r="M76" s="47">
        <f t="shared" si="14"/>
        <v>8486725.328531418</v>
      </c>
      <c r="N76" s="47">
        <f t="shared" ca="1" si="15"/>
        <v>-1239032.9963119552</v>
      </c>
      <c r="O76" s="18">
        <f t="shared" ca="1" si="20"/>
        <v>0.12739705788771066</v>
      </c>
    </row>
    <row r="77" spans="1:15">
      <c r="A77" s="2">
        <f>'Monthly Data'!A77</f>
        <v>44652</v>
      </c>
      <c r="B77">
        <f>'Monthly Data'!B77</f>
        <v>2022</v>
      </c>
      <c r="C77">
        <f>'Monthly Data'!C77</f>
        <v>4</v>
      </c>
      <c r="D77" s="3">
        <f ca="1">'Monthly Data'!AD77</f>
        <v>9164713.8534385804</v>
      </c>
      <c r="E77" s="3">
        <f>'Monthly Data'!DL77</f>
        <v>854755</v>
      </c>
      <c r="F77" s="3">
        <f>'Monthly Data'!DR77</f>
        <v>20</v>
      </c>
      <c r="H77" s="3">
        <f t="shared" si="16"/>
        <v>-3751454.0580042</v>
      </c>
      <c r="I77" s="3">
        <f t="shared" si="17"/>
        <v>8320771.7398322811</v>
      </c>
      <c r="J77" s="3">
        <f t="shared" si="18"/>
        <v>3464593.4713132801</v>
      </c>
      <c r="K77" s="47">
        <f t="shared" si="19"/>
        <v>8033911.1531413617</v>
      </c>
      <c r="L77" s="47">
        <f>'Monthly Data'!AE77</f>
        <v>3453.5453717948722</v>
      </c>
      <c r="M77" s="47">
        <f t="shared" si="14"/>
        <v>8037364.6985131567</v>
      </c>
      <c r="N77" s="47">
        <f t="shared" ca="1" si="15"/>
        <v>-1127349.1549254237</v>
      </c>
      <c r="O77" s="18">
        <f t="shared" ca="1" si="20"/>
        <v>0.12300974945360076</v>
      </c>
    </row>
    <row r="78" spans="1:15">
      <c r="A78" s="2">
        <f>'Monthly Data'!A78</f>
        <v>44682</v>
      </c>
      <c r="B78">
        <f>'Monthly Data'!B78</f>
        <v>2022</v>
      </c>
      <c r="C78">
        <f>'Monthly Data'!C78</f>
        <v>5</v>
      </c>
      <c r="D78" s="3">
        <f ca="1">'Monthly Data'!AD78</f>
        <v>9417736.0641271975</v>
      </c>
      <c r="E78" s="3">
        <f>'Monthly Data'!DL78</f>
        <v>854755</v>
      </c>
      <c r="F78" s="3">
        <f>'Monthly Data'!DR78</f>
        <v>21</v>
      </c>
      <c r="H78" s="3">
        <f t="shared" si="16"/>
        <v>-3751454.0580042</v>
      </c>
      <c r="I78" s="3">
        <f t="shared" si="17"/>
        <v>8320771.7398322811</v>
      </c>
      <c r="J78" s="3">
        <f t="shared" si="18"/>
        <v>3637823.1448789444</v>
      </c>
      <c r="K78" s="47">
        <f t="shared" si="19"/>
        <v>8207140.826707026</v>
      </c>
      <c r="L78" s="47">
        <f>'Monthly Data'!AE78</f>
        <v>3604.5829230769232</v>
      </c>
      <c r="M78" s="47">
        <f t="shared" si="14"/>
        <v>8210745.409630103</v>
      </c>
      <c r="N78" s="47">
        <f t="shared" ca="1" si="15"/>
        <v>-1206990.6544970945</v>
      </c>
      <c r="O78" s="18">
        <f t="shared" ca="1" si="20"/>
        <v>0.1281614441388525</v>
      </c>
    </row>
    <row r="79" spans="1:15">
      <c r="A79" s="2">
        <f>'Monthly Data'!A79</f>
        <v>44713</v>
      </c>
      <c r="B79">
        <f>'Monthly Data'!B79</f>
        <v>2022</v>
      </c>
      <c r="C79">
        <f>'Monthly Data'!C79</f>
        <v>6</v>
      </c>
      <c r="D79" s="3">
        <f ca="1">'Monthly Data'!AD79</f>
        <v>9541247.7460642233</v>
      </c>
      <c r="E79" s="3">
        <f>'Monthly Data'!DL79</f>
        <v>854755</v>
      </c>
      <c r="F79" s="3">
        <f>'Monthly Data'!DR79</f>
        <v>22</v>
      </c>
      <c r="H79" s="3">
        <f t="shared" si="16"/>
        <v>-3751454.0580042</v>
      </c>
      <c r="I79" s="3">
        <f t="shared" si="17"/>
        <v>8320771.7398322811</v>
      </c>
      <c r="J79" s="3">
        <f t="shared" si="18"/>
        <v>3811052.8184446082</v>
      </c>
      <c r="K79" s="47">
        <f t="shared" si="19"/>
        <v>8380370.5002726894</v>
      </c>
      <c r="L79" s="47">
        <f>'Monthly Data'!AE79</f>
        <v>3755.6204743589747</v>
      </c>
      <c r="M79" s="47">
        <f t="shared" si="14"/>
        <v>8384126.1207470484</v>
      </c>
      <c r="N79" s="47">
        <f t="shared" ca="1" si="15"/>
        <v>-1157121.6253171749</v>
      </c>
      <c r="O79" s="18">
        <f t="shared" ca="1" si="20"/>
        <v>0.12127571320999279</v>
      </c>
    </row>
    <row r="80" spans="1:15">
      <c r="A80" s="2">
        <f>'Monthly Data'!A80</f>
        <v>44743</v>
      </c>
      <c r="B80">
        <f>'Monthly Data'!B80</f>
        <v>2022</v>
      </c>
      <c r="C80">
        <f>'Monthly Data'!C80</f>
        <v>7</v>
      </c>
      <c r="D80" s="3">
        <f ca="1">'Monthly Data'!AD80</f>
        <v>9222913.4543809798</v>
      </c>
      <c r="E80" s="3">
        <f>'Monthly Data'!DL80</f>
        <v>856819</v>
      </c>
      <c r="F80" s="3">
        <f>'Monthly Data'!DR80</f>
        <v>20</v>
      </c>
      <c r="H80" s="3">
        <f t="shared" si="16"/>
        <v>-3751454.0580042</v>
      </c>
      <c r="I80" s="3">
        <f t="shared" si="17"/>
        <v>8340864.1322383089</v>
      </c>
      <c r="J80" s="3">
        <f t="shared" si="18"/>
        <v>3464593.4713132801</v>
      </c>
      <c r="K80" s="47">
        <f t="shared" si="19"/>
        <v>8054003.5455473894</v>
      </c>
      <c r="L80" s="47">
        <f>'Monthly Data'!AE80</f>
        <v>3906.6580256410261</v>
      </c>
      <c r="M80" s="47">
        <f t="shared" si="14"/>
        <v>8057910.2035730304</v>
      </c>
      <c r="N80" s="47">
        <f t="shared" ca="1" si="15"/>
        <v>-1165003.2508079493</v>
      </c>
      <c r="O80" s="18">
        <f t="shared" ca="1" si="20"/>
        <v>0.12631618593954827</v>
      </c>
    </row>
    <row r="81" spans="1:15">
      <c r="A81" s="2">
        <f>'Monthly Data'!A81</f>
        <v>44774</v>
      </c>
      <c r="B81">
        <f>'Monthly Data'!B81</f>
        <v>2022</v>
      </c>
      <c r="C81">
        <f>'Monthly Data'!C81</f>
        <v>8</v>
      </c>
      <c r="D81" s="3">
        <f ca="1">'Monthly Data'!AD81</f>
        <v>9449912.4574642107</v>
      </c>
      <c r="E81" s="3">
        <f>'Monthly Data'!DL81</f>
        <v>856819</v>
      </c>
      <c r="F81" s="3">
        <f>'Monthly Data'!DR81</f>
        <v>22</v>
      </c>
      <c r="H81" s="3">
        <f t="shared" si="16"/>
        <v>-3751454.0580042</v>
      </c>
      <c r="I81" s="3">
        <f t="shared" si="17"/>
        <v>8340864.1322383089</v>
      </c>
      <c r="J81" s="3">
        <f t="shared" si="18"/>
        <v>3811052.8184446082</v>
      </c>
      <c r="K81" s="47">
        <f t="shared" si="19"/>
        <v>8400462.8926787172</v>
      </c>
      <c r="L81" s="47">
        <f>'Monthly Data'!AE81</f>
        <v>4057.6955769230772</v>
      </c>
      <c r="M81" s="47">
        <f t="shared" si="14"/>
        <v>8404520.5882556401</v>
      </c>
      <c r="N81" s="47">
        <f t="shared" ca="1" si="15"/>
        <v>-1045391.8692085706</v>
      </c>
      <c r="O81" s="18">
        <f t="shared" ca="1" si="20"/>
        <v>0.11062450302201964</v>
      </c>
    </row>
    <row r="82" spans="1:15">
      <c r="A82" s="2">
        <f>'Monthly Data'!A82</f>
        <v>44805</v>
      </c>
      <c r="B82">
        <f>'Monthly Data'!B82</f>
        <v>2022</v>
      </c>
      <c r="C82">
        <f>'Monthly Data'!C82</f>
        <v>9</v>
      </c>
      <c r="D82" s="3">
        <f ca="1">'Monthly Data'!AD82</f>
        <v>8795455.3689125944</v>
      </c>
      <c r="E82" s="3">
        <f>'Monthly Data'!DL82</f>
        <v>856819</v>
      </c>
      <c r="F82" s="3">
        <f>'Monthly Data'!DR82</f>
        <v>20</v>
      </c>
      <c r="H82" s="3">
        <f t="shared" si="16"/>
        <v>-3751454.0580042</v>
      </c>
      <c r="I82" s="3">
        <f t="shared" si="17"/>
        <v>8340864.1322383089</v>
      </c>
      <c r="J82" s="3">
        <f t="shared" si="18"/>
        <v>3464593.4713132801</v>
      </c>
      <c r="K82" s="47">
        <f t="shared" si="19"/>
        <v>8054003.5455473894</v>
      </c>
      <c r="L82" s="47">
        <f>'Monthly Data'!AE82</f>
        <v>4208.7331282051291</v>
      </c>
      <c r="M82" s="47">
        <f t="shared" si="14"/>
        <v>8058212.2786755944</v>
      </c>
      <c r="N82" s="47">
        <f t="shared" ca="1" si="15"/>
        <v>-737243.09023700003</v>
      </c>
      <c r="O82" s="18">
        <f t="shared" ca="1" si="20"/>
        <v>8.3820911972650639E-2</v>
      </c>
    </row>
    <row r="83" spans="1:15">
      <c r="A83" s="2">
        <f>'Monthly Data'!A83</f>
        <v>44835</v>
      </c>
      <c r="B83">
        <f>'Monthly Data'!B83</f>
        <v>2022</v>
      </c>
      <c r="C83">
        <f>'Monthly Data'!C83</f>
        <v>10</v>
      </c>
      <c r="D83" s="3">
        <f ca="1">'Monthly Data'!AD83</f>
        <v>8660567.4114497211</v>
      </c>
      <c r="E83" s="3">
        <f>'Monthly Data'!DL83</f>
        <v>856887</v>
      </c>
      <c r="F83" s="3">
        <f>'Monthly Data'!DR83</f>
        <v>20</v>
      </c>
      <c r="H83" s="3">
        <f t="shared" si="16"/>
        <v>-3751454.0580042</v>
      </c>
      <c r="I83" s="3">
        <f t="shared" si="17"/>
        <v>8341526.0909028482</v>
      </c>
      <c r="J83" s="3">
        <f t="shared" si="18"/>
        <v>3464593.4713132801</v>
      </c>
      <c r="K83" s="47">
        <f t="shared" si="19"/>
        <v>8054665.5042119278</v>
      </c>
      <c r="L83" s="47">
        <f>'Monthly Data'!AE83</f>
        <v>4359.7706794871801</v>
      </c>
      <c r="M83" s="47">
        <f t="shared" si="14"/>
        <v>8059025.2748914147</v>
      </c>
      <c r="N83" s="47">
        <f t="shared" ca="1" si="15"/>
        <v>-601542.1365583064</v>
      </c>
      <c r="O83" s="18">
        <f t="shared" ca="1" si="20"/>
        <v>6.9457589552739507E-2</v>
      </c>
    </row>
    <row r="84" spans="1:15">
      <c r="A84" s="2">
        <f>'Monthly Data'!A84</f>
        <v>44866</v>
      </c>
      <c r="B84">
        <f>'Monthly Data'!B84</f>
        <v>2022</v>
      </c>
      <c r="C84">
        <f>'Monthly Data'!C84</f>
        <v>11</v>
      </c>
      <c r="D84" s="3">
        <f ca="1">'Monthly Data'!AD84</f>
        <v>8725187.6976522412</v>
      </c>
      <c r="E84" s="3">
        <f>'Monthly Data'!DL84</f>
        <v>856887</v>
      </c>
      <c r="F84" s="3">
        <f>'Monthly Data'!DR84</f>
        <v>22</v>
      </c>
      <c r="H84" s="3">
        <f t="shared" si="16"/>
        <v>-3751454.0580042</v>
      </c>
      <c r="I84" s="3">
        <f t="shared" si="17"/>
        <v>8341526.0909028482</v>
      </c>
      <c r="J84" s="3">
        <f t="shared" si="18"/>
        <v>3811052.8184446082</v>
      </c>
      <c r="K84" s="47">
        <f t="shared" si="19"/>
        <v>8401124.8513432555</v>
      </c>
      <c r="L84" s="47">
        <f>'Monthly Data'!AE84</f>
        <v>4510.8082307692312</v>
      </c>
      <c r="M84" s="47">
        <f t="shared" si="14"/>
        <v>8405635.6595740244</v>
      </c>
      <c r="N84" s="47">
        <f t="shared" ca="1" si="15"/>
        <v>-319552.03807821684</v>
      </c>
      <c r="O84" s="18">
        <f t="shared" ca="1" si="20"/>
        <v>3.6624087544179867E-2</v>
      </c>
    </row>
    <row r="85" spans="1:15">
      <c r="A85" s="2">
        <f>'Monthly Data'!A85</f>
        <v>44896</v>
      </c>
      <c r="B85">
        <f>'Monthly Data'!B85</f>
        <v>2022</v>
      </c>
      <c r="C85">
        <f>'Monthly Data'!C85</f>
        <v>12</v>
      </c>
      <c r="D85" s="3">
        <f ca="1">'Monthly Data'!AD85</f>
        <v>8689551.6588904355</v>
      </c>
      <c r="E85" s="3">
        <f>'Monthly Data'!DL85</f>
        <v>856887</v>
      </c>
      <c r="F85" s="3">
        <f>'Monthly Data'!DR85</f>
        <v>20</v>
      </c>
      <c r="H85" s="3">
        <f t="shared" si="16"/>
        <v>-3751454.0580042</v>
      </c>
      <c r="I85" s="3">
        <f t="shared" si="17"/>
        <v>8341526.0909028482</v>
      </c>
      <c r="J85" s="3">
        <f t="shared" si="18"/>
        <v>3464593.4713132801</v>
      </c>
      <c r="K85" s="47">
        <f t="shared" si="19"/>
        <v>8054665.5042119278</v>
      </c>
      <c r="L85" s="47">
        <f>'Monthly Data'!AE85</f>
        <v>4661.8457820512831</v>
      </c>
      <c r="M85" s="47">
        <f t="shared" si="14"/>
        <v>8059327.3499939786</v>
      </c>
      <c r="N85" s="47">
        <f t="shared" ca="1" si="15"/>
        <v>-630224.30889645685</v>
      </c>
      <c r="O85" s="18">
        <f t="shared" ca="1" si="20"/>
        <v>7.2526677282787444E-2</v>
      </c>
    </row>
    <row r="86" spans="1:15">
      <c r="A86" s="2">
        <f>'Monthly Data'!A86</f>
        <v>44927</v>
      </c>
      <c r="B86">
        <f>'Monthly Data'!B86</f>
        <v>2023</v>
      </c>
      <c r="C86">
        <f>'Monthly Data'!C86</f>
        <v>1</v>
      </c>
      <c r="D86" s="3">
        <f ca="1">'Monthly Data'!AD86</f>
        <v>9730572.4603564199</v>
      </c>
      <c r="E86" s="3">
        <f>'Monthly Data'!DL86</f>
        <v>867096</v>
      </c>
      <c r="F86" s="3">
        <f>'Monthly Data'!DR86</f>
        <v>21</v>
      </c>
      <c r="H86" s="3">
        <f t="shared" si="16"/>
        <v>-3751454.0580042</v>
      </c>
      <c r="I86" s="3">
        <f t="shared" si="17"/>
        <v>8440907.5027599856</v>
      </c>
      <c r="J86" s="3">
        <f t="shared" si="18"/>
        <v>3637823.1448789444</v>
      </c>
      <c r="K86" s="47">
        <f t="shared" si="19"/>
        <v>8327276.5896347295</v>
      </c>
      <c r="L86" s="47">
        <f>'Monthly Data'!AE86</f>
        <v>5025.9360384615384</v>
      </c>
      <c r="M86" s="47">
        <f t="shared" si="14"/>
        <v>8332302.5256731911</v>
      </c>
      <c r="N86" s="47">
        <f t="shared" ca="1" si="15"/>
        <v>-1398269.9346832288</v>
      </c>
      <c r="O86" s="18">
        <f t="shared" ca="1" si="20"/>
        <v>0.14369863030977437</v>
      </c>
    </row>
    <row r="87" spans="1:15">
      <c r="A87" s="2">
        <f>'Monthly Data'!A87</f>
        <v>44958</v>
      </c>
      <c r="B87">
        <f>'Monthly Data'!B87</f>
        <v>2023</v>
      </c>
      <c r="C87">
        <f>'Monthly Data'!C87</f>
        <v>2</v>
      </c>
      <c r="D87" s="3">
        <f ca="1">'Monthly Data'!AD87</f>
        <v>8937520.6493412629</v>
      </c>
      <c r="E87" s="3">
        <f>'Monthly Data'!DL87</f>
        <v>867096</v>
      </c>
      <c r="F87" s="3">
        <f>'Monthly Data'!DR87</f>
        <v>19</v>
      </c>
      <c r="H87" s="3">
        <f t="shared" si="16"/>
        <v>-3751454.0580042</v>
      </c>
      <c r="I87" s="3">
        <f t="shared" si="17"/>
        <v>8440907.5027599856</v>
      </c>
      <c r="J87" s="3">
        <f t="shared" si="18"/>
        <v>3291363.7977476162</v>
      </c>
      <c r="K87" s="47">
        <f t="shared" si="19"/>
        <v>7980817.2425034009</v>
      </c>
      <c r="L87" s="47">
        <f>'Monthly Data'!AE87</f>
        <v>5238.9887435897435</v>
      </c>
      <c r="M87" s="47">
        <f t="shared" si="14"/>
        <v>7986056.2312469911</v>
      </c>
      <c r="N87" s="47">
        <f t="shared" ca="1" si="15"/>
        <v>-951464.41809427179</v>
      </c>
      <c r="O87" s="18">
        <f t="shared" ca="1" si="20"/>
        <v>0.10645731130863448</v>
      </c>
    </row>
    <row r="88" spans="1:15">
      <c r="A88" s="2">
        <f>'Monthly Data'!A88</f>
        <v>44986</v>
      </c>
      <c r="B88">
        <f>'Monthly Data'!B88</f>
        <v>2023</v>
      </c>
      <c r="C88">
        <f>'Monthly Data'!C88</f>
        <v>3</v>
      </c>
      <c r="D88" s="3">
        <f ca="1">'Monthly Data'!AD88</f>
        <v>9847564.3202189635</v>
      </c>
      <c r="E88" s="3">
        <f>'Monthly Data'!DL88</f>
        <v>867096</v>
      </c>
      <c r="F88" s="3">
        <f>'Monthly Data'!DR88</f>
        <v>23</v>
      </c>
      <c r="H88" s="3">
        <f t="shared" si="16"/>
        <v>-3751454.0580042</v>
      </c>
      <c r="I88" s="3">
        <f t="shared" si="17"/>
        <v>8440907.5027599856</v>
      </c>
      <c r="J88" s="3">
        <f t="shared" si="18"/>
        <v>3984282.4920102721</v>
      </c>
      <c r="K88" s="47">
        <f t="shared" si="19"/>
        <v>8673735.9367660582</v>
      </c>
      <c r="L88" s="47">
        <f>'Monthly Data'!AE88</f>
        <v>5452.0414487179487</v>
      </c>
      <c r="M88" s="47">
        <f t="shared" si="14"/>
        <v>8679187.9782147761</v>
      </c>
      <c r="N88" s="47">
        <f t="shared" ca="1" si="15"/>
        <v>-1168376.3420041874</v>
      </c>
      <c r="O88" s="18">
        <f t="shared" ca="1" si="20"/>
        <v>0.11864622601197777</v>
      </c>
    </row>
    <row r="89" spans="1:15">
      <c r="A89" s="2">
        <f>'Monthly Data'!A89</f>
        <v>45017</v>
      </c>
      <c r="B89">
        <f>'Monthly Data'!B89</f>
        <v>2023</v>
      </c>
      <c r="C89">
        <f>'Monthly Data'!C89</f>
        <v>4</v>
      </c>
      <c r="D89" s="3">
        <f ca="1">'Monthly Data'!AD89</f>
        <v>8825224.5497761406</v>
      </c>
      <c r="E89" s="3">
        <f>'Monthly Data'!DL89</f>
        <v>873385</v>
      </c>
      <c r="F89" s="3">
        <f>'Monthly Data'!DR89</f>
        <v>19</v>
      </c>
      <c r="H89" s="3">
        <f t="shared" si="16"/>
        <v>-3751454.0580042</v>
      </c>
      <c r="I89" s="3">
        <f t="shared" si="17"/>
        <v>8502128.9445436615</v>
      </c>
      <c r="J89" s="3">
        <f t="shared" si="18"/>
        <v>3291363.7977476162</v>
      </c>
      <c r="K89" s="47">
        <f t="shared" si="19"/>
        <v>8042038.6842870768</v>
      </c>
      <c r="L89" s="47">
        <f>'Monthly Data'!AE89</f>
        <v>5665.0941538461539</v>
      </c>
      <c r="M89" s="47">
        <f t="shared" si="14"/>
        <v>8047703.7784409234</v>
      </c>
      <c r="N89" s="47">
        <f t="shared" ca="1" si="15"/>
        <v>-777520.77133521717</v>
      </c>
      <c r="O89" s="18">
        <f t="shared" ca="1" si="20"/>
        <v>8.8102094960851696E-2</v>
      </c>
    </row>
    <row r="90" spans="1:15">
      <c r="A90" s="2">
        <f>'Monthly Data'!A90</f>
        <v>45047</v>
      </c>
      <c r="B90">
        <f>'Monthly Data'!B90</f>
        <v>2023</v>
      </c>
      <c r="C90">
        <f>'Monthly Data'!C90</f>
        <v>5</v>
      </c>
      <c r="D90" s="3">
        <f ca="1">'Monthly Data'!AD90</f>
        <v>9305620.1142864563</v>
      </c>
      <c r="E90" s="3">
        <f>'Monthly Data'!DL90</f>
        <v>873385</v>
      </c>
      <c r="F90" s="3">
        <f>'Monthly Data'!DR90</f>
        <v>22</v>
      </c>
      <c r="H90" s="3">
        <f t="shared" si="16"/>
        <v>-3751454.0580042</v>
      </c>
      <c r="I90" s="3">
        <f t="shared" si="17"/>
        <v>8502128.9445436615</v>
      </c>
      <c r="J90" s="3">
        <f t="shared" si="18"/>
        <v>3811052.8184446082</v>
      </c>
      <c r="K90" s="47">
        <f t="shared" si="19"/>
        <v>8561727.7049840689</v>
      </c>
      <c r="L90" s="47">
        <f>'Monthly Data'!AE90</f>
        <v>5878.1468589743599</v>
      </c>
      <c r="M90" s="47">
        <f t="shared" si="14"/>
        <v>8567605.8518430442</v>
      </c>
      <c r="N90" s="47">
        <f t="shared" ca="1" si="15"/>
        <v>-738014.2624434121</v>
      </c>
      <c r="O90" s="18">
        <f t="shared" ca="1" si="20"/>
        <v>7.9308445152448837E-2</v>
      </c>
    </row>
    <row r="91" spans="1:15">
      <c r="A91" s="2">
        <f>'Monthly Data'!A91</f>
        <v>45078</v>
      </c>
      <c r="B91">
        <f>'Monthly Data'!B91</f>
        <v>2023</v>
      </c>
      <c r="C91">
        <f>'Monthly Data'!C91</f>
        <v>6</v>
      </c>
      <c r="D91" s="3">
        <f ca="1">'Monthly Data'!AD91</f>
        <v>9581822.6902511287</v>
      </c>
      <c r="E91" s="3">
        <f>'Monthly Data'!DL91</f>
        <v>873385</v>
      </c>
      <c r="F91" s="3">
        <f>'Monthly Data'!DR91</f>
        <v>22</v>
      </c>
      <c r="H91" s="3">
        <f t="shared" si="16"/>
        <v>-3751454.0580042</v>
      </c>
      <c r="I91" s="3">
        <f t="shared" si="17"/>
        <v>8502128.9445436615</v>
      </c>
      <c r="J91" s="3">
        <f t="shared" si="18"/>
        <v>3811052.8184446082</v>
      </c>
      <c r="K91" s="47">
        <f t="shared" si="19"/>
        <v>8561727.7049840689</v>
      </c>
      <c r="L91" s="47">
        <f>'Monthly Data'!AE91</f>
        <v>6091.1995641025651</v>
      </c>
      <c r="M91" s="47">
        <f t="shared" si="14"/>
        <v>8567818.9045481719</v>
      </c>
      <c r="N91" s="47">
        <f t="shared" ca="1" si="15"/>
        <v>-1014003.7857029568</v>
      </c>
      <c r="O91" s="18">
        <f t="shared" ca="1" si="20"/>
        <v>0.1058257722442139</v>
      </c>
    </row>
    <row r="92" spans="1:15">
      <c r="A92" s="2">
        <f>'Monthly Data'!A92</f>
        <v>45108</v>
      </c>
      <c r="B92">
        <f>'Monthly Data'!B92</f>
        <v>2023</v>
      </c>
      <c r="C92">
        <f>'Monthly Data'!C92</f>
        <v>7</v>
      </c>
      <c r="D92" s="3">
        <f ca="1">'Monthly Data'!AD92</f>
        <v>9483398.6319452897</v>
      </c>
      <c r="E92" s="3">
        <f>'Monthly Data'!DL92</f>
        <v>876964</v>
      </c>
      <c r="F92" s="3">
        <f>'Monthly Data'!DR92</f>
        <v>20</v>
      </c>
      <c r="H92" s="3">
        <f t="shared" si="16"/>
        <v>-3751454.0580042</v>
      </c>
      <c r="I92" s="3">
        <f t="shared" si="17"/>
        <v>8536969.3866081815</v>
      </c>
      <c r="J92" s="3">
        <f t="shared" si="18"/>
        <v>3464593.4713132801</v>
      </c>
      <c r="K92" s="47">
        <f t="shared" si="19"/>
        <v>8250108.7999172611</v>
      </c>
      <c r="L92" s="47">
        <f>'Monthly Data'!AE92</f>
        <v>6304.2522692307703</v>
      </c>
      <c r="M92" s="47">
        <f t="shared" si="14"/>
        <v>8256413.0521864919</v>
      </c>
      <c r="N92" s="47">
        <f t="shared" ca="1" si="15"/>
        <v>-1226985.5797587978</v>
      </c>
      <c r="O92" s="18">
        <f t="shared" ca="1" si="20"/>
        <v>0.12938247429836358</v>
      </c>
    </row>
    <row r="93" spans="1:15">
      <c r="A93" s="2">
        <f>'Monthly Data'!A93</f>
        <v>45139</v>
      </c>
      <c r="B93">
        <f>'Monthly Data'!B93</f>
        <v>2023</v>
      </c>
      <c r="C93">
        <f>'Monthly Data'!C93</f>
        <v>8</v>
      </c>
      <c r="D93" s="3">
        <f ca="1">'Monthly Data'!AD93</f>
        <v>9688849.4627597444</v>
      </c>
      <c r="E93" s="3">
        <f>'Monthly Data'!DL93</f>
        <v>876964</v>
      </c>
      <c r="F93" s="3">
        <f>'Monthly Data'!DR93</f>
        <v>22</v>
      </c>
      <c r="H93" s="3">
        <f t="shared" si="16"/>
        <v>-3751454.0580042</v>
      </c>
      <c r="I93" s="3">
        <f t="shared" si="17"/>
        <v>8536969.3866081815</v>
      </c>
      <c r="J93" s="3">
        <f t="shared" si="18"/>
        <v>3811052.8184446082</v>
      </c>
      <c r="K93" s="47">
        <f t="shared" si="19"/>
        <v>8596568.1470485888</v>
      </c>
      <c r="L93" s="47">
        <f>'Monthly Data'!AE93</f>
        <v>6517.3049743589754</v>
      </c>
      <c r="M93" s="47">
        <f t="shared" si="14"/>
        <v>8603085.4520229474</v>
      </c>
      <c r="N93" s="47">
        <f t="shared" ca="1" si="15"/>
        <v>-1085764.010736797</v>
      </c>
      <c r="O93" s="18">
        <f t="shared" ca="1" si="20"/>
        <v>0.11206325528227694</v>
      </c>
    </row>
    <row r="94" spans="1:15">
      <c r="A94" s="2">
        <f>'Monthly Data'!A94</f>
        <v>45170</v>
      </c>
      <c r="B94">
        <f>'Monthly Data'!B94</f>
        <v>2023</v>
      </c>
      <c r="C94">
        <f>'Monthly Data'!C94</f>
        <v>9</v>
      </c>
      <c r="D94" s="3">
        <f ca="1">'Monthly Data'!AD94</f>
        <v>7708668.5781204598</v>
      </c>
      <c r="E94" s="3">
        <f>'Monthly Data'!DL94</f>
        <v>876964</v>
      </c>
      <c r="F94" s="3">
        <f>'Monthly Data'!DR94</f>
        <v>20</v>
      </c>
      <c r="H94" s="3">
        <f t="shared" si="16"/>
        <v>-3751454.0580042</v>
      </c>
      <c r="I94" s="3">
        <f t="shared" si="17"/>
        <v>8536969.3866081815</v>
      </c>
      <c r="J94" s="3">
        <f t="shared" si="18"/>
        <v>3464593.4713132801</v>
      </c>
      <c r="K94" s="47">
        <f t="shared" si="19"/>
        <v>8250108.7999172611</v>
      </c>
      <c r="L94" s="47">
        <f>'Monthly Data'!AE94</f>
        <v>6730.3576794871806</v>
      </c>
      <c r="M94" s="47">
        <f t="shared" si="14"/>
        <v>8256839.1575967483</v>
      </c>
      <c r="N94" s="47">
        <f t="shared" ca="1" si="15"/>
        <v>548170.57947628852</v>
      </c>
      <c r="O94" s="18">
        <f t="shared" ca="1" si="20"/>
        <v>7.1110928420526853E-2</v>
      </c>
    </row>
    <row r="95" spans="1:15">
      <c r="A95" s="2">
        <f>'Monthly Data'!A95</f>
        <v>45200</v>
      </c>
      <c r="B95">
        <f>'Monthly Data'!B95</f>
        <v>2023</v>
      </c>
      <c r="C95">
        <f>'Monthly Data'!C95</f>
        <v>10</v>
      </c>
      <c r="D95" s="3">
        <f ca="1">'Monthly Data'!AD95</f>
        <v>8898189.889863601</v>
      </c>
      <c r="E95" s="3">
        <f>'Monthly Data'!DL95</f>
        <v>880255</v>
      </c>
      <c r="F95" s="3">
        <f>'Monthly Data'!DR95</f>
        <v>21</v>
      </c>
      <c r="H95" s="3">
        <f t="shared" si="16"/>
        <v>-3751454.0580042</v>
      </c>
      <c r="I95" s="3">
        <f t="shared" si="17"/>
        <v>8569006.2390346527</v>
      </c>
      <c r="J95" s="3">
        <f t="shared" si="18"/>
        <v>3637823.1448789444</v>
      </c>
      <c r="K95" s="47">
        <f t="shared" si="19"/>
        <v>8455375.3259093966</v>
      </c>
      <c r="L95" s="47">
        <f>'Monthly Data'!AE95</f>
        <v>6943.4103846153857</v>
      </c>
      <c r="M95" s="47">
        <f t="shared" si="14"/>
        <v>8462318.7362940125</v>
      </c>
      <c r="N95" s="47">
        <f t="shared" ca="1" si="15"/>
        <v>-435871.15356958844</v>
      </c>
      <c r="O95" s="18">
        <f t="shared" ca="1" si="20"/>
        <v>4.8984249489450918E-2</v>
      </c>
    </row>
    <row r="96" spans="1:15">
      <c r="A96" s="2">
        <f>'Monthly Data'!A96</f>
        <v>45231</v>
      </c>
      <c r="B96">
        <f>'Monthly Data'!B96</f>
        <v>2023</v>
      </c>
      <c r="C96">
        <f>'Monthly Data'!C96</f>
        <v>11</v>
      </c>
      <c r="D96" s="3">
        <f ca="1">'Monthly Data'!AD96</f>
        <v>8735405.0675483551</v>
      </c>
      <c r="E96" s="3">
        <f>'Monthly Data'!DL96</f>
        <v>880255</v>
      </c>
      <c r="F96" s="3">
        <f>'Monthly Data'!DR96</f>
        <v>22</v>
      </c>
      <c r="H96" s="3">
        <f t="shared" si="16"/>
        <v>-3751454.0580042</v>
      </c>
      <c r="I96" s="3">
        <f t="shared" si="17"/>
        <v>8569006.2390346527</v>
      </c>
      <c r="J96" s="3">
        <f t="shared" si="18"/>
        <v>3811052.8184446082</v>
      </c>
      <c r="K96" s="47">
        <f t="shared" si="19"/>
        <v>8628604.99947506</v>
      </c>
      <c r="L96" s="47">
        <f>'Monthly Data'!AE96</f>
        <v>7156.4630897435909</v>
      </c>
      <c r="M96" s="47">
        <f t="shared" si="14"/>
        <v>8635761.4625648037</v>
      </c>
      <c r="N96" s="47">
        <f t="shared" ca="1" si="15"/>
        <v>-99643.604983551428</v>
      </c>
      <c r="O96" s="18">
        <f t="shared" ca="1" si="20"/>
        <v>1.14068671358725E-2</v>
      </c>
    </row>
    <row r="97" spans="1:15">
      <c r="A97" s="2">
        <f>'Monthly Data'!A97</f>
        <v>45261</v>
      </c>
      <c r="B97">
        <f>'Monthly Data'!B97</f>
        <v>2023</v>
      </c>
      <c r="C97">
        <f>'Monthly Data'!C97</f>
        <v>12</v>
      </c>
      <c r="D97" s="3">
        <f ca="1">'Monthly Data'!AD97</f>
        <v>8636032.9684387874</v>
      </c>
      <c r="E97" s="3">
        <f>'Monthly Data'!DL97</f>
        <v>880255</v>
      </c>
      <c r="F97" s="3">
        <f>'Monthly Data'!DR97</f>
        <v>19</v>
      </c>
      <c r="H97" s="3">
        <f t="shared" si="16"/>
        <v>-3751454.0580042</v>
      </c>
      <c r="I97" s="3">
        <f t="shared" si="17"/>
        <v>8569006.2390346527</v>
      </c>
      <c r="J97" s="3">
        <f t="shared" si="18"/>
        <v>3291363.7977476162</v>
      </c>
      <c r="K97" s="47">
        <f t="shared" si="19"/>
        <v>8108915.978778068</v>
      </c>
      <c r="L97" s="47">
        <f>'Monthly Data'!AE97</f>
        <v>7369.515794871797</v>
      </c>
      <c r="M97" s="47">
        <f t="shared" si="14"/>
        <v>8116285.4945729394</v>
      </c>
      <c r="N97" s="47">
        <f t="shared" ca="1" si="15"/>
        <v>-519747.47386584803</v>
      </c>
      <c r="O97" s="18">
        <f t="shared" ca="1" si="20"/>
        <v>6.0183590748821264E-2</v>
      </c>
    </row>
    <row r="98" spans="1:15">
      <c r="A98" s="2">
        <f>'Monthly Data'!A98</f>
        <v>45292</v>
      </c>
      <c r="B98">
        <f>'Monthly Data'!B98</f>
        <v>2024</v>
      </c>
      <c r="C98">
        <f>'Monthly Data'!C98</f>
        <v>1</v>
      </c>
      <c r="D98" s="3">
        <f ca="1">'Monthly Data'!AD98</f>
        <v>8707446.7690066565</v>
      </c>
      <c r="E98" s="3">
        <f>'Monthly Data'!DL98</f>
        <v>885802</v>
      </c>
      <c r="F98" s="3">
        <f>'Monthly Data'!DR98</f>
        <v>22</v>
      </c>
      <c r="H98" s="3">
        <f t="shared" ref="H98:H121" si="21">$S$8</f>
        <v>-3751454.0580042</v>
      </c>
      <c r="I98" s="3">
        <f t="shared" ref="I98:I121" si="22">E98*$S$9</f>
        <v>8623004.5436258521</v>
      </c>
      <c r="J98" s="3">
        <f t="shared" ref="J98:J121" si="23">F98*$S$10</f>
        <v>3811052.8184446082</v>
      </c>
      <c r="K98" s="47">
        <f t="shared" ref="K98:K109" si="24">SUM(H98:J98)</f>
        <v>8682603.3040662594</v>
      </c>
      <c r="L98" s="47">
        <f>'Monthly Data'!AE98</f>
        <v>7866.3261410256418</v>
      </c>
      <c r="M98" s="47">
        <f t="shared" si="14"/>
        <v>8690469.6302072853</v>
      </c>
      <c r="N98" s="47">
        <f t="shared" ca="1" si="15"/>
        <v>-16977.138799371198</v>
      </c>
      <c r="O98" s="18">
        <f t="shared" ref="O98:O109" ca="1" si="25">ABS(N98/D98)</f>
        <v>1.9497263950897451E-3</v>
      </c>
    </row>
    <row r="99" spans="1:15">
      <c r="A99" s="2">
        <f>'Monthly Data'!A99</f>
        <v>45323</v>
      </c>
      <c r="B99">
        <f>'Monthly Data'!B99</f>
        <v>2024</v>
      </c>
      <c r="C99">
        <f>'Monthly Data'!C99</f>
        <v>2</v>
      </c>
      <c r="D99" s="3">
        <f ca="1">'Monthly Data'!AD99</f>
        <v>8091456.5691889916</v>
      </c>
      <c r="E99" s="3">
        <f>'Monthly Data'!DL99</f>
        <v>885802</v>
      </c>
      <c r="F99" s="3">
        <f>'Monthly Data'!DR99</f>
        <v>20</v>
      </c>
      <c r="H99" s="3">
        <f t="shared" si="21"/>
        <v>-3751454.0580042</v>
      </c>
      <c r="I99" s="3">
        <f t="shared" si="22"/>
        <v>8623004.5436258521</v>
      </c>
      <c r="J99" s="3">
        <f t="shared" si="23"/>
        <v>3464593.4713132801</v>
      </c>
      <c r="K99" s="47">
        <f t="shared" si="24"/>
        <v>8336143.9569349317</v>
      </c>
      <c r="L99" s="47">
        <f>'Monthly Data'!AE99</f>
        <v>8150.0837820512834</v>
      </c>
      <c r="M99" s="47">
        <f t="shared" si="14"/>
        <v>8344294.0407169834</v>
      </c>
      <c r="N99" s="47">
        <f t="shared" ca="1" si="15"/>
        <v>252837.47152799182</v>
      </c>
      <c r="O99" s="18">
        <f t="shared" ca="1" si="25"/>
        <v>3.1247460746530804E-2</v>
      </c>
    </row>
    <row r="100" spans="1:15">
      <c r="A100" s="2">
        <f>'Monthly Data'!A100</f>
        <v>45352</v>
      </c>
      <c r="B100">
        <f>'Monthly Data'!B100</f>
        <v>2024</v>
      </c>
      <c r="C100">
        <f>'Monthly Data'!C100</f>
        <v>3</v>
      </c>
      <c r="D100" s="3">
        <f ca="1">'Monthly Data'!AD100</f>
        <v>8675091.4802510366</v>
      </c>
      <c r="E100" s="3">
        <f>'Monthly Data'!DL100</f>
        <v>885802</v>
      </c>
      <c r="F100" s="3">
        <f>'Monthly Data'!DR100</f>
        <v>20</v>
      </c>
      <c r="H100" s="3">
        <f t="shared" si="21"/>
        <v>-3751454.0580042</v>
      </c>
      <c r="I100" s="3">
        <f t="shared" si="22"/>
        <v>8623004.5436258521</v>
      </c>
      <c r="J100" s="3">
        <f t="shared" si="23"/>
        <v>3464593.4713132801</v>
      </c>
      <c r="K100" s="47">
        <f t="shared" si="24"/>
        <v>8336143.9569349317</v>
      </c>
      <c r="L100" s="47">
        <f>'Monthly Data'!AE100</f>
        <v>8433.8414230769231</v>
      </c>
      <c r="M100" s="47">
        <f t="shared" si="14"/>
        <v>8344577.7983580083</v>
      </c>
      <c r="N100" s="47">
        <f t="shared" ca="1" si="15"/>
        <v>-330513.68189302832</v>
      </c>
      <c r="O100" s="18">
        <f t="shared" ca="1" si="25"/>
        <v>3.8099158106337808E-2</v>
      </c>
    </row>
    <row r="101" spans="1:15">
      <c r="A101" s="2">
        <f>'Monthly Data'!A101</f>
        <v>45383</v>
      </c>
      <c r="B101">
        <f>'Monthly Data'!B101</f>
        <v>2024</v>
      </c>
      <c r="C101">
        <f>'Monthly Data'!C101</f>
        <v>4</v>
      </c>
      <c r="D101" s="3">
        <f ca="1">'Monthly Data'!AD101</f>
        <v>8496879.1160614304</v>
      </c>
      <c r="E101" s="3">
        <f>'Monthly Data'!DL101</f>
        <v>888733</v>
      </c>
      <c r="F101" s="3">
        <f>'Monthly Data'!DR101</f>
        <v>22</v>
      </c>
      <c r="H101" s="3">
        <f t="shared" si="21"/>
        <v>-3751454.0580042</v>
      </c>
      <c r="I101" s="3">
        <f t="shared" si="22"/>
        <v>8651536.909004759</v>
      </c>
      <c r="J101" s="3">
        <f t="shared" si="23"/>
        <v>3811052.8184446082</v>
      </c>
      <c r="K101" s="47">
        <f t="shared" si="24"/>
        <v>8711135.6694451664</v>
      </c>
      <c r="L101" s="47">
        <f>'Monthly Data'!AE101</f>
        <v>8717.5990641025655</v>
      </c>
      <c r="M101" s="47">
        <f t="shared" si="14"/>
        <v>8719853.2685092688</v>
      </c>
      <c r="N101" s="47">
        <f t="shared" ca="1" si="15"/>
        <v>222974.15244783834</v>
      </c>
      <c r="O101" s="18">
        <f t="shared" ca="1" si="25"/>
        <v>2.6241888274761503E-2</v>
      </c>
    </row>
    <row r="102" spans="1:15">
      <c r="A102" s="2">
        <f>'Monthly Data'!A102</f>
        <v>45413</v>
      </c>
      <c r="B102">
        <f>'Monthly Data'!B102</f>
        <v>2024</v>
      </c>
      <c r="C102">
        <f>'Monthly Data'!C102</f>
        <v>5</v>
      </c>
      <c r="D102" s="3">
        <f ca="1">'Monthly Data'!AD102</f>
        <v>8458557.5594617855</v>
      </c>
      <c r="E102" s="3">
        <f>'Monthly Data'!DL102</f>
        <v>888733</v>
      </c>
      <c r="F102" s="3">
        <f>'Monthly Data'!DR102</f>
        <v>22</v>
      </c>
      <c r="H102" s="3">
        <f t="shared" si="21"/>
        <v>-3751454.0580042</v>
      </c>
      <c r="I102" s="3">
        <f t="shared" si="22"/>
        <v>8651536.909004759</v>
      </c>
      <c r="J102" s="3">
        <f t="shared" si="23"/>
        <v>3811052.8184446082</v>
      </c>
      <c r="K102" s="47">
        <f t="shared" si="24"/>
        <v>8711135.6694451664</v>
      </c>
      <c r="L102" s="47">
        <f>'Monthly Data'!AE102</f>
        <v>9001.3567051282062</v>
      </c>
      <c r="M102" s="47">
        <f t="shared" si="14"/>
        <v>8720137.0261502936</v>
      </c>
      <c r="N102" s="47">
        <f t="shared" ca="1" si="15"/>
        <v>261579.46668850817</v>
      </c>
      <c r="O102" s="18">
        <f t="shared" ca="1" si="25"/>
        <v>3.0924831432506367E-2</v>
      </c>
    </row>
    <row r="103" spans="1:15">
      <c r="A103" s="2">
        <f>'Monthly Data'!A103</f>
        <v>45444</v>
      </c>
      <c r="B103">
        <f>'Monthly Data'!B103</f>
        <v>2024</v>
      </c>
      <c r="C103">
        <f>'Monthly Data'!C103</f>
        <v>6</v>
      </c>
      <c r="D103" s="3">
        <f ca="1">'Monthly Data'!AD103</f>
        <v>8220654.7810641509</v>
      </c>
      <c r="E103" s="3">
        <f>'Monthly Data'!DL103</f>
        <v>888733</v>
      </c>
      <c r="F103" s="3">
        <f>'Monthly Data'!DR103</f>
        <v>20</v>
      </c>
      <c r="H103" s="3">
        <f t="shared" si="21"/>
        <v>-3751454.0580042</v>
      </c>
      <c r="I103" s="3">
        <f t="shared" si="22"/>
        <v>8651536.909004759</v>
      </c>
      <c r="J103" s="3">
        <f t="shared" si="23"/>
        <v>3464593.4713132801</v>
      </c>
      <c r="K103" s="47">
        <f t="shared" si="24"/>
        <v>8364676.3223138386</v>
      </c>
      <c r="L103" s="47">
        <f>'Monthly Data'!AE103</f>
        <v>9285.1143461538468</v>
      </c>
      <c r="M103" s="47">
        <f t="shared" si="14"/>
        <v>8373961.4366599927</v>
      </c>
      <c r="N103" s="47">
        <f t="shared" ca="1" si="15"/>
        <v>153306.65559584182</v>
      </c>
      <c r="O103" s="18">
        <f t="shared" ca="1" si="25"/>
        <v>1.8648959198356765E-2</v>
      </c>
    </row>
    <row r="104" spans="1:15">
      <c r="A104" s="2">
        <f>'Monthly Data'!A104</f>
        <v>45474</v>
      </c>
      <c r="B104">
        <f>'Monthly Data'!B104</f>
        <v>2024</v>
      </c>
      <c r="C104">
        <f>'Monthly Data'!C104</f>
        <v>7</v>
      </c>
      <c r="D104" s="3">
        <f ca="1">'Monthly Data'!AD104</f>
        <v>8242119.5351590924</v>
      </c>
      <c r="E104" s="3">
        <f>'Monthly Data'!DL104</f>
        <v>890079</v>
      </c>
      <c r="F104" s="3">
        <f>'Monthly Data'!DR104</f>
        <v>22</v>
      </c>
      <c r="H104" s="3">
        <f t="shared" si="21"/>
        <v>-3751454.0580042</v>
      </c>
      <c r="I104" s="3">
        <f t="shared" si="22"/>
        <v>8664639.7966881469</v>
      </c>
      <c r="J104" s="3">
        <f t="shared" si="23"/>
        <v>3811052.8184446082</v>
      </c>
      <c r="K104" s="47">
        <f t="shared" si="24"/>
        <v>8724238.5571285542</v>
      </c>
      <c r="L104" s="47">
        <f>'Monthly Data'!AE104</f>
        <v>9568.8719871794874</v>
      </c>
      <c r="M104" s="47">
        <f t="shared" si="14"/>
        <v>8733807.4291157331</v>
      </c>
      <c r="N104" s="47">
        <f t="shared" ca="1" si="15"/>
        <v>491687.89395664074</v>
      </c>
      <c r="O104" s="18">
        <f t="shared" ca="1" si="25"/>
        <v>5.9655516018568638E-2</v>
      </c>
    </row>
    <row r="105" spans="1:15">
      <c r="A105" s="2">
        <f>'Monthly Data'!A105</f>
        <v>45505</v>
      </c>
      <c r="B105">
        <f>'Monthly Data'!B105</f>
        <v>2024</v>
      </c>
      <c r="C105">
        <f>'Monthly Data'!C105</f>
        <v>8</v>
      </c>
      <c r="D105" s="3">
        <f ca="1">'Monthly Data'!AD105</f>
        <v>7635494.1488706814</v>
      </c>
      <c r="E105" s="3">
        <f>'Monthly Data'!DL105</f>
        <v>890079</v>
      </c>
      <c r="F105" s="3">
        <f>'Monthly Data'!DR105</f>
        <v>21</v>
      </c>
      <c r="H105" s="3">
        <f t="shared" si="21"/>
        <v>-3751454.0580042</v>
      </c>
      <c r="I105" s="3">
        <f t="shared" si="22"/>
        <v>8664639.7966881469</v>
      </c>
      <c r="J105" s="3">
        <f t="shared" si="23"/>
        <v>3637823.1448789444</v>
      </c>
      <c r="K105" s="47">
        <f t="shared" si="24"/>
        <v>8551008.8835628908</v>
      </c>
      <c r="L105" s="47">
        <f>'Monthly Data'!AE105</f>
        <v>9852.629628205128</v>
      </c>
      <c r="M105" s="47">
        <f t="shared" si="14"/>
        <v>8560861.5131910965</v>
      </c>
      <c r="N105" s="47">
        <f t="shared" ca="1" si="15"/>
        <v>925367.36432041507</v>
      </c>
      <c r="O105" s="18">
        <f t="shared" ca="1" si="25"/>
        <v>0.12119285880891945</v>
      </c>
    </row>
    <row r="106" spans="1:15">
      <c r="A106" s="2">
        <f>'Monthly Data'!A106</f>
        <v>45536</v>
      </c>
      <c r="B106">
        <f>'Monthly Data'!B106</f>
        <v>2024</v>
      </c>
      <c r="C106">
        <f>'Monthly Data'!C106</f>
        <v>9</v>
      </c>
      <c r="D106" s="3">
        <f ca="1">'Monthly Data'!AD106</f>
        <v>7775850.9832618162</v>
      </c>
      <c r="E106" s="3">
        <f>'Monthly Data'!DL106</f>
        <v>890079</v>
      </c>
      <c r="F106" s="3">
        <f>'Monthly Data'!DR106</f>
        <v>20</v>
      </c>
      <c r="H106" s="3">
        <f t="shared" si="21"/>
        <v>-3751454.0580042</v>
      </c>
      <c r="I106" s="3">
        <f t="shared" si="22"/>
        <v>8664639.7966881469</v>
      </c>
      <c r="J106" s="3">
        <f t="shared" si="23"/>
        <v>3464593.4713132801</v>
      </c>
      <c r="K106" s="47">
        <f t="shared" si="24"/>
        <v>8377779.2099972265</v>
      </c>
      <c r="L106" s="47">
        <f>'Monthly Data'!AE106</f>
        <v>10136.38726923077</v>
      </c>
      <c r="M106" s="47">
        <f t="shared" si="14"/>
        <v>8387915.597266457</v>
      </c>
      <c r="N106" s="47">
        <f t="shared" ca="1" si="15"/>
        <v>612064.61400464084</v>
      </c>
      <c r="O106" s="18">
        <f t="shared" ca="1" si="25"/>
        <v>7.8713521558240018E-2</v>
      </c>
    </row>
    <row r="107" spans="1:15">
      <c r="A107" s="2">
        <f>'Monthly Data'!A107</f>
        <v>45566</v>
      </c>
      <c r="B107">
        <f>'Monthly Data'!B107</f>
        <v>2024</v>
      </c>
      <c r="C107">
        <f>'Monthly Data'!C107</f>
        <v>10</v>
      </c>
      <c r="D107" s="3">
        <f ca="1">'Monthly Data'!AD107</f>
        <v>8251249.1516804881</v>
      </c>
      <c r="E107" s="3">
        <f>'Monthly Data'!DL107</f>
        <v>893201</v>
      </c>
      <c r="F107" s="3">
        <f>'Monthly Data'!DR107</f>
        <v>22</v>
      </c>
      <c r="H107" s="3">
        <f t="shared" si="21"/>
        <v>-3751454.0580042</v>
      </c>
      <c r="I107" s="3">
        <f t="shared" si="22"/>
        <v>8695031.4871395119</v>
      </c>
      <c r="J107" s="3">
        <f t="shared" si="23"/>
        <v>3811052.8184446082</v>
      </c>
      <c r="K107" s="47">
        <f t="shared" si="24"/>
        <v>8754630.2475799192</v>
      </c>
      <c r="L107" s="47">
        <f>'Monthly Data'!AE107</f>
        <v>10420.144910256411</v>
      </c>
      <c r="M107" s="47">
        <f t="shared" ref="M107:M110" si="26">K107+L107</f>
        <v>8765050.3924901765</v>
      </c>
      <c r="N107" s="47">
        <f t="shared" ref="N107:N110" ca="1" si="27">M107-D107</f>
        <v>513801.24080968834</v>
      </c>
      <c r="O107" s="18">
        <f t="shared" ca="1" si="25"/>
        <v>6.2269509908696084E-2</v>
      </c>
    </row>
    <row r="108" spans="1:15">
      <c r="A108" s="2">
        <f>'Monthly Data'!A108</f>
        <v>45597</v>
      </c>
      <c r="B108">
        <f>'Monthly Data'!B108</f>
        <v>2024</v>
      </c>
      <c r="C108">
        <f>'Monthly Data'!C108</f>
        <v>11</v>
      </c>
      <c r="D108" s="3">
        <f ca="1">'Monthly Data'!AD108</f>
        <v>8153792.7460700814</v>
      </c>
      <c r="E108" s="3">
        <f>'Monthly Data'!DL108</f>
        <v>893201</v>
      </c>
      <c r="F108" s="3">
        <f>'Monthly Data'!DR108</f>
        <v>21</v>
      </c>
      <c r="H108" s="3">
        <f t="shared" si="21"/>
        <v>-3751454.0580042</v>
      </c>
      <c r="I108" s="3">
        <f t="shared" si="22"/>
        <v>8695031.4871395119</v>
      </c>
      <c r="J108" s="3">
        <f t="shared" si="23"/>
        <v>3637823.1448789444</v>
      </c>
      <c r="K108" s="47">
        <f t="shared" si="24"/>
        <v>8581400.5740142558</v>
      </c>
      <c r="L108" s="47">
        <f>'Monthly Data'!AE108</f>
        <v>10703.902551282052</v>
      </c>
      <c r="M108" s="47">
        <f t="shared" si="26"/>
        <v>8592104.476565538</v>
      </c>
      <c r="N108" s="47">
        <f t="shared" ca="1" si="27"/>
        <v>438311.73049545661</v>
      </c>
      <c r="O108" s="18">
        <f t="shared" ca="1" si="25"/>
        <v>5.375556433007346E-2</v>
      </c>
    </row>
    <row r="109" spans="1:15">
      <c r="A109" s="2">
        <f>'Monthly Data'!A109</f>
        <v>45627</v>
      </c>
      <c r="B109">
        <f>'Monthly Data'!B109</f>
        <v>2024</v>
      </c>
      <c r="C109">
        <f>'Monthly Data'!C109</f>
        <v>12</v>
      </c>
      <c r="D109" s="3">
        <f ca="1">'Monthly Data'!AD109</f>
        <v>8227836.6297110915</v>
      </c>
      <c r="E109" s="3">
        <f>'Monthly Data'!DL109</f>
        <v>893201</v>
      </c>
      <c r="F109" s="3">
        <f>'Monthly Data'!DR109</f>
        <v>20</v>
      </c>
      <c r="H109" s="3">
        <f t="shared" si="21"/>
        <v>-3751454.0580042</v>
      </c>
      <c r="I109" s="3">
        <f t="shared" si="22"/>
        <v>8695031.4871395119</v>
      </c>
      <c r="J109" s="3">
        <f t="shared" si="23"/>
        <v>3464593.4713132801</v>
      </c>
      <c r="K109" s="47">
        <f t="shared" si="24"/>
        <v>8408170.9004485905</v>
      </c>
      <c r="L109" s="47">
        <f>'Monthly Data'!AE109</f>
        <v>10987.660192307692</v>
      </c>
      <c r="M109" s="47">
        <f t="shared" si="26"/>
        <v>8419158.5606408976</v>
      </c>
      <c r="N109" s="47">
        <f t="shared" ca="1" si="27"/>
        <v>191321.93092980608</v>
      </c>
      <c r="O109" s="18">
        <f t="shared" ca="1" si="25"/>
        <v>2.3253005563933282E-2</v>
      </c>
    </row>
    <row r="110" spans="1:15">
      <c r="A110" s="2">
        <f>'Monthly Data'!A110</f>
        <v>45658</v>
      </c>
      <c r="B110">
        <f>'Monthly Data'!B110</f>
        <v>2025</v>
      </c>
      <c r="C110">
        <f>'Monthly Data'!C110</f>
        <v>1</v>
      </c>
      <c r="D110" s="3">
        <f ca="1">'Monthly Data'!AD110</f>
        <v>8865819.8255055025</v>
      </c>
      <c r="E110" s="3">
        <f>'Monthly Data'!DL110</f>
        <v>897872</v>
      </c>
      <c r="F110" s="3">
        <f>'Monthly Data'!DR110</f>
        <v>22</v>
      </c>
      <c r="H110" s="3">
        <f t="shared" si="21"/>
        <v>-3751454.0580042</v>
      </c>
      <c r="I110" s="3">
        <f t="shared" si="22"/>
        <v>8740502.206581641</v>
      </c>
      <c r="J110" s="3">
        <f t="shared" si="23"/>
        <v>3811052.8184446082</v>
      </c>
      <c r="K110" s="47">
        <f t="shared" ref="K110:K121" si="28">SUM(H110:J110)</f>
        <v>8800100.9670220483</v>
      </c>
      <c r="L110" s="47">
        <f>'Monthly Data'!AE110</f>
        <v>11636.574192307693</v>
      </c>
      <c r="M110" s="47">
        <f t="shared" si="26"/>
        <v>8811737.5412143562</v>
      </c>
      <c r="N110" s="47">
        <f t="shared" ca="1" si="27"/>
        <v>-54082.284291146323</v>
      </c>
      <c r="O110" s="18">
        <f t="shared" ref="O110:O121" ca="1" si="29">ABS(N110/D110)</f>
        <v>6.1000883568105577E-3</v>
      </c>
    </row>
    <row r="111" spans="1:15">
      <c r="A111" s="2">
        <f>'Monthly Data'!A111</f>
        <v>45689</v>
      </c>
      <c r="B111">
        <f>'Monthly Data'!B111</f>
        <v>2025</v>
      </c>
      <c r="C111">
        <f>'Monthly Data'!C111</f>
        <v>2</v>
      </c>
      <c r="D111" s="3">
        <f ca="1">'Monthly Data'!AD111</f>
        <v>8358863.2756082509</v>
      </c>
      <c r="E111" s="3">
        <f>'Monthly Data'!DL111</f>
        <v>897872</v>
      </c>
      <c r="F111" s="3">
        <f>'Monthly Data'!DR111</f>
        <v>19</v>
      </c>
      <c r="H111" s="3">
        <f t="shared" si="21"/>
        <v>-3751454.0580042</v>
      </c>
      <c r="I111" s="3">
        <f t="shared" si="22"/>
        <v>8740502.206581641</v>
      </c>
      <c r="J111" s="3">
        <f t="shared" si="23"/>
        <v>3291363.7977476162</v>
      </c>
      <c r="K111" s="47">
        <f t="shared" si="28"/>
        <v>8280411.9463250563</v>
      </c>
      <c r="L111" s="47">
        <f>'Monthly Data'!AE111</f>
        <v>12001.730551282053</v>
      </c>
      <c r="M111" s="47">
        <f t="shared" ref="M111:M121" si="30">K111+L111</f>
        <v>8292413.6768763382</v>
      </c>
      <c r="N111" s="47">
        <f t="shared" ref="N111:N121" ca="1" si="31">M111-D111</f>
        <v>-66449.598731912673</v>
      </c>
      <c r="O111" s="18">
        <f t="shared" ca="1" si="29"/>
        <v>7.9495975159466076E-3</v>
      </c>
    </row>
    <row r="112" spans="1:15">
      <c r="A112" s="2">
        <f>'Monthly Data'!A112</f>
        <v>45717</v>
      </c>
      <c r="B112">
        <f>'Monthly Data'!B112</f>
        <v>2025</v>
      </c>
      <c r="C112">
        <f>'Monthly Data'!C112</f>
        <v>3</v>
      </c>
      <c r="D112" s="3">
        <f ca="1">'Monthly Data'!AD112</f>
        <v>8966750.9156141952</v>
      </c>
      <c r="E112" s="3">
        <f>'Monthly Data'!DL112</f>
        <v>897872</v>
      </c>
      <c r="F112" s="3">
        <f>'Monthly Data'!DR112</f>
        <v>21</v>
      </c>
      <c r="H112" s="3">
        <f t="shared" si="21"/>
        <v>-3751454.0580042</v>
      </c>
      <c r="I112" s="3">
        <f t="shared" si="22"/>
        <v>8740502.206581641</v>
      </c>
      <c r="J112" s="3">
        <f t="shared" si="23"/>
        <v>3637823.1448789444</v>
      </c>
      <c r="K112" s="47">
        <f t="shared" si="28"/>
        <v>8626871.2934563849</v>
      </c>
      <c r="L112" s="47">
        <f>'Monthly Data'!AE112</f>
        <v>12366.886910256411</v>
      </c>
      <c r="M112" s="47">
        <f t="shared" si="30"/>
        <v>8639238.1803666409</v>
      </c>
      <c r="N112" s="47">
        <f t="shared" ca="1" si="31"/>
        <v>-327512.73524755426</v>
      </c>
      <c r="O112" s="18">
        <f t="shared" ca="1" si="29"/>
        <v>3.6525240672989144E-2</v>
      </c>
    </row>
    <row r="113" spans="1:15">
      <c r="A113" s="2">
        <f>'Monthly Data'!A113</f>
        <v>45748</v>
      </c>
      <c r="B113">
        <f>'Monthly Data'!B113</f>
        <v>2025</v>
      </c>
      <c r="C113">
        <f>'Monthly Data'!C113</f>
        <v>4</v>
      </c>
      <c r="D113" s="3">
        <f ca="1">'Monthly Data'!AD113</f>
        <v>8457916.0730716418</v>
      </c>
      <c r="E113" s="3">
        <f>'Monthly Data'!DL113</f>
        <v>894654</v>
      </c>
      <c r="F113" s="3">
        <f>'Monthly Data'!DR113</f>
        <v>21</v>
      </c>
      <c r="H113" s="3">
        <f t="shared" si="21"/>
        <v>-3751454.0580042</v>
      </c>
      <c r="I113" s="3">
        <f t="shared" si="22"/>
        <v>8709175.9862509258</v>
      </c>
      <c r="J113" s="3">
        <f t="shared" si="23"/>
        <v>3637823.1448789444</v>
      </c>
      <c r="K113" s="47">
        <f t="shared" si="28"/>
        <v>8595545.0731256697</v>
      </c>
      <c r="L113" s="47">
        <f>'Monthly Data'!AE113</f>
        <v>12732.04326923077</v>
      </c>
      <c r="M113" s="47">
        <f t="shared" si="30"/>
        <v>8608277.1163948998</v>
      </c>
      <c r="N113" s="47">
        <f t="shared" ca="1" si="31"/>
        <v>150361.04332325794</v>
      </c>
      <c r="O113" s="18">
        <f t="shared" ca="1" si="29"/>
        <v>1.7777552061787209E-2</v>
      </c>
    </row>
    <row r="114" spans="1:15">
      <c r="A114" s="2">
        <f>'Monthly Data'!A114</f>
        <v>45778</v>
      </c>
      <c r="B114">
        <f>'Monthly Data'!B114</f>
        <v>2025</v>
      </c>
      <c r="C114">
        <f>'Monthly Data'!C114</f>
        <v>5</v>
      </c>
      <c r="D114" s="3">
        <f ca="1">'Monthly Data'!AD114</f>
        <v>8587848.0553198643</v>
      </c>
      <c r="E114" s="3">
        <f>'Monthly Data'!DL114</f>
        <v>894654</v>
      </c>
      <c r="F114" s="3">
        <f>'Monthly Data'!DR114</f>
        <v>21</v>
      </c>
      <c r="H114" s="3">
        <f t="shared" si="21"/>
        <v>-3751454.0580042</v>
      </c>
      <c r="I114" s="3">
        <f t="shared" si="22"/>
        <v>8709175.9862509258</v>
      </c>
      <c r="J114" s="3">
        <f t="shared" si="23"/>
        <v>3637823.1448789444</v>
      </c>
      <c r="K114" s="47">
        <f t="shared" si="28"/>
        <v>8595545.0731256697</v>
      </c>
      <c r="L114" s="47">
        <f>'Monthly Data'!AE114</f>
        <v>13097.19962820513</v>
      </c>
      <c r="M114" s="47">
        <f t="shared" si="30"/>
        <v>8608642.2727538757</v>
      </c>
      <c r="N114" s="47">
        <f t="shared" ca="1" si="31"/>
        <v>20794.2174340114</v>
      </c>
      <c r="O114" s="18">
        <f t="shared" ca="1" si="29"/>
        <v>2.4213536732441521E-3</v>
      </c>
    </row>
    <row r="115" spans="1:15">
      <c r="A115" s="2">
        <f>'Monthly Data'!A115</f>
        <v>45809</v>
      </c>
      <c r="B115">
        <f>'Monthly Data'!B115</f>
        <v>2025</v>
      </c>
      <c r="C115">
        <f>'Monthly Data'!C115</f>
        <v>6</v>
      </c>
      <c r="D115" s="3">
        <f ca="1">'Monthly Data'!AD115</f>
        <v>8477088.1385361124</v>
      </c>
      <c r="E115" s="3">
        <f>'Monthly Data'!DL115</f>
        <v>894654</v>
      </c>
      <c r="F115" s="3">
        <f>'Monthly Data'!DR115</f>
        <v>21</v>
      </c>
      <c r="H115" s="3">
        <f t="shared" si="21"/>
        <v>-3751454.0580042</v>
      </c>
      <c r="I115" s="3">
        <f t="shared" si="22"/>
        <v>8709175.9862509258</v>
      </c>
      <c r="J115" s="3">
        <f t="shared" si="23"/>
        <v>3637823.1448789444</v>
      </c>
      <c r="K115" s="47">
        <f t="shared" si="28"/>
        <v>8595545.0731256697</v>
      </c>
      <c r="L115" s="47">
        <f>'Monthly Data'!AE115</f>
        <v>13462.355987179488</v>
      </c>
      <c r="M115" s="47">
        <f t="shared" si="30"/>
        <v>8609007.4291128498</v>
      </c>
      <c r="N115" s="47">
        <f t="shared" ca="1" si="31"/>
        <v>131919.29057673737</v>
      </c>
      <c r="O115" s="18">
        <f t="shared" ca="1" si="29"/>
        <v>1.5561863746236594E-2</v>
      </c>
    </row>
    <row r="116" spans="1:15">
      <c r="A116" s="2">
        <f>'Monthly Data'!A116</f>
        <v>45839</v>
      </c>
      <c r="B116">
        <f>'Monthly Data'!B116</f>
        <v>2025</v>
      </c>
      <c r="C116">
        <f>'Monthly Data'!C116</f>
        <v>7</v>
      </c>
      <c r="D116" s="3">
        <f ca="1">'Monthly Data'!AD116</f>
        <v>8391815.2150802948</v>
      </c>
      <c r="E116" s="3">
        <f>'Monthly Data'!DL116</f>
        <v>899254</v>
      </c>
      <c r="F116" s="3">
        <f>'Monthly Data'!DR116</f>
        <v>22</v>
      </c>
      <c r="H116" s="3">
        <f t="shared" si="21"/>
        <v>-3751454.0580042</v>
      </c>
      <c r="I116" s="3">
        <f t="shared" si="22"/>
        <v>8753955.5429697856</v>
      </c>
      <c r="J116" s="3">
        <f t="shared" si="23"/>
        <v>3811052.8184446082</v>
      </c>
      <c r="K116" s="47">
        <f t="shared" si="28"/>
        <v>8813554.303410193</v>
      </c>
      <c r="L116" s="47">
        <f>'Monthly Data'!AE116</f>
        <v>13827.512346153848</v>
      </c>
      <c r="M116" s="47">
        <f t="shared" si="30"/>
        <v>8827381.815756347</v>
      </c>
      <c r="N116" s="47">
        <f t="shared" ca="1" si="31"/>
        <v>435566.60067605227</v>
      </c>
      <c r="O116" s="18">
        <f t="shared" ca="1" si="29"/>
        <v>5.190374067023408E-2</v>
      </c>
    </row>
    <row r="117" spans="1:15">
      <c r="A117" s="2">
        <f>'Monthly Data'!A117</f>
        <v>45870</v>
      </c>
      <c r="B117">
        <f>'Monthly Data'!B117</f>
        <v>2025</v>
      </c>
      <c r="C117">
        <f>'Monthly Data'!C117</f>
        <v>8</v>
      </c>
      <c r="D117" s="3">
        <f ca="1">'Monthly Data'!AD117</f>
        <v>8110611.085253234</v>
      </c>
      <c r="E117" s="3">
        <f>'Monthly Data'!DL117</f>
        <v>899254</v>
      </c>
      <c r="F117" s="3">
        <f>'Monthly Data'!DR117</f>
        <v>21</v>
      </c>
      <c r="H117" s="3">
        <f t="shared" si="21"/>
        <v>-3751454.0580042</v>
      </c>
      <c r="I117" s="3">
        <f t="shared" si="22"/>
        <v>8753955.5429697856</v>
      </c>
      <c r="J117" s="3">
        <f t="shared" si="23"/>
        <v>3637823.1448789444</v>
      </c>
      <c r="K117" s="47">
        <f t="shared" si="28"/>
        <v>8640324.6298445296</v>
      </c>
      <c r="L117" s="47">
        <f>'Monthly Data'!AE117</f>
        <v>14192.668705128206</v>
      </c>
      <c r="M117" s="47">
        <f t="shared" si="30"/>
        <v>8654517.2985496577</v>
      </c>
      <c r="N117" s="47">
        <f t="shared" ca="1" si="31"/>
        <v>543906.21329642367</v>
      </c>
      <c r="O117" s="18">
        <f t="shared" ca="1" si="29"/>
        <v>6.7061064521433844E-2</v>
      </c>
    </row>
    <row r="118" spans="1:15">
      <c r="A118" s="2">
        <f>'Monthly Data'!A118</f>
        <v>45901</v>
      </c>
      <c r="B118">
        <f>'Monthly Data'!B118</f>
        <v>2025</v>
      </c>
      <c r="C118">
        <f>'Monthly Data'!C118</f>
        <v>9</v>
      </c>
      <c r="D118" s="3">
        <f ca="1">'Monthly Data'!AD118</f>
        <v>7755167.0406589247</v>
      </c>
      <c r="E118" s="3">
        <f>'Monthly Data'!DL118</f>
        <v>899254</v>
      </c>
      <c r="F118" s="3">
        <f>'Monthly Data'!DR118</f>
        <v>21</v>
      </c>
      <c r="H118" s="3">
        <f t="shared" si="21"/>
        <v>-3751454.0580042</v>
      </c>
      <c r="I118" s="3">
        <f t="shared" si="22"/>
        <v>8753955.5429697856</v>
      </c>
      <c r="J118" s="3">
        <f t="shared" si="23"/>
        <v>3637823.1448789444</v>
      </c>
      <c r="K118" s="47">
        <f t="shared" si="28"/>
        <v>8640324.6298445296</v>
      </c>
      <c r="L118" s="47">
        <f>'Monthly Data'!AE118</f>
        <v>14557.825064102566</v>
      </c>
      <c r="M118" s="47">
        <f t="shared" si="30"/>
        <v>8654882.4549086317</v>
      </c>
      <c r="N118" s="47">
        <f t="shared" ca="1" si="31"/>
        <v>899715.41424970701</v>
      </c>
      <c r="O118" s="18">
        <f t="shared" ca="1" si="29"/>
        <v>0.11601496260914347</v>
      </c>
    </row>
    <row r="119" spans="1:15">
      <c r="A119" s="2">
        <f>'Monthly Data'!A119</f>
        <v>45931</v>
      </c>
      <c r="B119">
        <f>'Monthly Data'!B119</f>
        <v>2025</v>
      </c>
      <c r="C119">
        <f>'Monthly Data'!C119</f>
        <v>10</v>
      </c>
      <c r="D119" s="3">
        <f ca="1">'Monthly Data'!AD119</f>
        <v>8241202.7484654002</v>
      </c>
      <c r="E119" s="3">
        <f>'Monthly Data'!DL119</f>
        <v>904812.6129999999</v>
      </c>
      <c r="F119" s="3">
        <f>'Monthly Data'!DR119</f>
        <v>22</v>
      </c>
      <c r="H119" s="3">
        <f t="shared" si="21"/>
        <v>-3751454.0580042</v>
      </c>
      <c r="I119" s="3">
        <f t="shared" si="22"/>
        <v>8808066.8964723255</v>
      </c>
      <c r="J119" s="3">
        <f t="shared" si="23"/>
        <v>3811052.8184446082</v>
      </c>
      <c r="K119" s="47">
        <f t="shared" si="28"/>
        <v>8867665.6569127329</v>
      </c>
      <c r="L119" s="47">
        <f>'Monthly Data'!AE119</f>
        <v>14922.981423076924</v>
      </c>
      <c r="M119" s="47">
        <f t="shared" si="30"/>
        <v>8882588.6383358091</v>
      </c>
      <c r="N119" s="47">
        <f t="shared" ca="1" si="31"/>
        <v>641385.88987040892</v>
      </c>
      <c r="O119" s="18">
        <f t="shared" ca="1" si="29"/>
        <v>7.7826733481328542E-2</v>
      </c>
    </row>
    <row r="120" spans="1:15">
      <c r="A120" s="2">
        <f>'Monthly Data'!A120</f>
        <v>45962</v>
      </c>
      <c r="B120">
        <f>'Monthly Data'!B120</f>
        <v>2025</v>
      </c>
      <c r="C120">
        <f>'Monthly Data'!C120</f>
        <v>11</v>
      </c>
      <c r="D120" s="3">
        <f ca="1">'Monthly Data'!AD120</f>
        <v>7765512.5219897991</v>
      </c>
      <c r="E120" s="3">
        <f>'Monthly Data'!DL120</f>
        <v>904812.6129999999</v>
      </c>
      <c r="F120" s="3">
        <f>'Monthly Data'!DR120</f>
        <v>20</v>
      </c>
      <c r="H120" s="3">
        <f t="shared" si="21"/>
        <v>-3751454.0580042</v>
      </c>
      <c r="I120" s="3">
        <f t="shared" si="22"/>
        <v>8808066.8964723255</v>
      </c>
      <c r="J120" s="3">
        <f t="shared" si="23"/>
        <v>3464593.4713132801</v>
      </c>
      <c r="K120" s="47">
        <f t="shared" si="28"/>
        <v>8521206.3097814061</v>
      </c>
      <c r="L120" s="47">
        <f>'Monthly Data'!AE120</f>
        <v>15288.137782051283</v>
      </c>
      <c r="M120" s="47">
        <f t="shared" si="30"/>
        <v>8536494.4475634582</v>
      </c>
      <c r="N120" s="47">
        <f t="shared" ca="1" si="31"/>
        <v>770981.92557365913</v>
      </c>
      <c r="O120" s="18">
        <f t="shared" ca="1" si="29"/>
        <v>9.9282812742938736E-2</v>
      </c>
    </row>
    <row r="121" spans="1:15">
      <c r="A121" s="2">
        <f>'Monthly Data'!A121</f>
        <v>45992</v>
      </c>
      <c r="B121">
        <f>'Monthly Data'!B121</f>
        <v>2025</v>
      </c>
      <c r="C121">
        <f>'Monthly Data'!C121</f>
        <v>12</v>
      </c>
      <c r="D121" s="3">
        <f ca="1">'Monthly Data'!AD121</f>
        <v>8289304.4969103169</v>
      </c>
      <c r="E121" s="3">
        <f>'Monthly Data'!DL121</f>
        <v>904812.6129999999</v>
      </c>
      <c r="F121" s="3">
        <f>'Monthly Data'!DR121</f>
        <v>21</v>
      </c>
      <c r="H121" s="3">
        <f t="shared" si="21"/>
        <v>-3751454.0580042</v>
      </c>
      <c r="I121" s="3">
        <f t="shared" si="22"/>
        <v>8808066.8964723255</v>
      </c>
      <c r="J121" s="3">
        <f t="shared" si="23"/>
        <v>3637823.1448789444</v>
      </c>
      <c r="K121" s="47">
        <f t="shared" si="28"/>
        <v>8694435.9833470695</v>
      </c>
      <c r="L121" s="47">
        <f>'Monthly Data'!AE121</f>
        <v>15653.294141025643</v>
      </c>
      <c r="M121" s="47">
        <f t="shared" si="30"/>
        <v>8710089.2774880957</v>
      </c>
      <c r="N121" s="47">
        <f t="shared" ca="1" si="31"/>
        <v>420784.78057777882</v>
      </c>
      <c r="O121" s="18">
        <f t="shared" ca="1" si="29"/>
        <v>5.0762374664197515E-2</v>
      </c>
    </row>
    <row r="122" spans="1:15">
      <c r="O122" s="17">
        <f ca="1">AVERAGE(O2:O120)</f>
        <v>6.2138778614164711E-2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B9B83-8916-4A5A-BD52-1BE0491779CB}">
  <sheetPr codeName="Sheet14">
    <tabColor theme="9" tint="0.79998168889431442"/>
  </sheetPr>
  <dimension ref="A1:AF122"/>
  <sheetViews>
    <sheetView topLeftCell="M1" workbookViewId="0">
      <selection activeCell="S11" sqref="S11"/>
    </sheetView>
  </sheetViews>
  <sheetFormatPr defaultRowHeight="14.5"/>
  <cols>
    <col min="4" max="4" width="24.81640625" customWidth="1"/>
    <col min="5" max="8" width="8.81640625" style="3"/>
    <col min="9" max="9" width="8.81640625" customWidth="1"/>
    <col min="10" max="10" width="13.81640625" bestFit="1" customWidth="1"/>
    <col min="11" max="11" width="11.1796875" bestFit="1" customWidth="1"/>
    <col min="12" max="14" width="11.1796875" customWidth="1"/>
    <col min="15" max="17" width="12.54296875" customWidth="1"/>
    <col min="18" max="18" width="12" customWidth="1"/>
    <col min="22" max="22" width="12.81640625" customWidth="1"/>
    <col min="23" max="23" width="13.81640625" bestFit="1" customWidth="1"/>
    <col min="24" max="24" width="12.81640625" bestFit="1" customWidth="1"/>
    <col min="25" max="25" width="13.81640625" bestFit="1" customWidth="1"/>
    <col min="26" max="26" width="8.81640625" bestFit="1" customWidth="1"/>
    <col min="29" max="29" width="11.1796875" bestFit="1" customWidth="1"/>
    <col min="30" max="31" width="10.1796875" bestFit="1" customWidth="1"/>
  </cols>
  <sheetData>
    <row r="1" spans="1:32">
      <c r="A1" s="541" t="str">
        <f>'Monthly Data'!A1</f>
        <v>Date</v>
      </c>
      <c r="B1" s="541" t="str">
        <f>'Monthly Data'!B1</f>
        <v>Year</v>
      </c>
      <c r="C1" s="541" t="str">
        <f>'Monthly Data'!C1</f>
        <v>Month</v>
      </c>
      <c r="D1" s="541" t="str">
        <f>'Monthly Data'!AI1</f>
        <v>VRZ_LargeUsekWh_No_CDM</v>
      </c>
      <c r="E1" s="541" t="str">
        <f>'Monthly Data'!DR1</f>
        <v>Peak Days</v>
      </c>
      <c r="F1" s="541" t="str">
        <f>'Monthly Data'!DL1</f>
        <v>OEA_GDP</v>
      </c>
      <c r="G1" s="541" t="str">
        <f>'Monthly Data'!EE1</f>
        <v>Spring</v>
      </c>
      <c r="H1" s="541" t="str">
        <f>'Monthly Data'!EJ1</f>
        <v>COVID_AM</v>
      </c>
      <c r="I1" s="541"/>
      <c r="J1" s="541" t="str">
        <f>V8</f>
        <v>const</v>
      </c>
      <c r="K1" s="541" t="str">
        <f>E1</f>
        <v>Peak Days</v>
      </c>
      <c r="L1" s="541" t="str">
        <f t="shared" ref="L1:N1" si="0">F1</f>
        <v>OEA_GDP</v>
      </c>
      <c r="M1" s="541" t="str">
        <f t="shared" si="0"/>
        <v>Spring</v>
      </c>
      <c r="N1" s="541" t="str">
        <f t="shared" si="0"/>
        <v>COVID_AM</v>
      </c>
      <c r="O1" s="541" t="s">
        <v>293</v>
      </c>
      <c r="P1" s="541" t="s">
        <v>332</v>
      </c>
      <c r="Q1" s="541" t="s">
        <v>333</v>
      </c>
      <c r="R1" s="541" t="s">
        <v>296</v>
      </c>
      <c r="S1" s="541"/>
    </row>
    <row r="2" spans="1:32">
      <c r="A2" s="2">
        <f>'Monthly Data'!A2</f>
        <v>42370</v>
      </c>
      <c r="B2">
        <f>'Monthly Data'!B2</f>
        <v>2016</v>
      </c>
      <c r="C2">
        <f>'Monthly Data'!C2</f>
        <v>1</v>
      </c>
      <c r="D2" s="3">
        <f>'Monthly Data'!AI2</f>
        <v>17864052.490613706</v>
      </c>
      <c r="E2" s="3">
        <f>'Monthly Data'!DR2</f>
        <v>20</v>
      </c>
      <c r="F2" s="3">
        <f>'Monthly Data'!DL2</f>
        <v>743835</v>
      </c>
      <c r="G2" s="3">
        <f>'Monthly Data'!EE2</f>
        <v>0</v>
      </c>
      <c r="H2" s="3">
        <f>'Monthly Data'!EJ2</f>
        <v>0</v>
      </c>
      <c r="J2" s="3">
        <f t="shared" ref="J2:J33" si="1">$W$8</f>
        <v>-35488752.832239702</v>
      </c>
      <c r="K2" s="3">
        <f t="shared" ref="K2:K33" si="2">E2*$W$9</f>
        <v>7837435.9638456805</v>
      </c>
      <c r="L2" s="3">
        <f t="shared" ref="L2:L33" si="3">F2*$W$10</f>
        <v>46221923.301725991</v>
      </c>
      <c r="M2" s="3">
        <f t="shared" ref="M2:M33" si="4">G2*$W$11</f>
        <v>0</v>
      </c>
      <c r="N2" s="3">
        <f t="shared" ref="N2:N33" si="5">H2*$W$12</f>
        <v>0</v>
      </c>
      <c r="O2" s="47">
        <f t="shared" ref="O2:O42" si="6">SUM(J2:N2)</f>
        <v>18570606.43333197</v>
      </c>
      <c r="P2" s="47">
        <f>'Monthly Data'!AJ2</f>
        <v>0</v>
      </c>
      <c r="Q2" s="47">
        <f t="shared" ref="Q2:Q42" si="7">O2+P2</f>
        <v>18570606.43333197</v>
      </c>
      <c r="R2" s="47">
        <f t="shared" ref="R2:R42" si="8">Q2-D2</f>
        <v>706553.94271826372</v>
      </c>
      <c r="S2" s="18">
        <f t="shared" ref="S2:S9" si="9">ABS(R2/D2)</f>
        <v>3.9551716671763458E-2</v>
      </c>
    </row>
    <row r="3" spans="1:32">
      <c r="A3" s="2">
        <f>'Monthly Data'!A3</f>
        <v>42401</v>
      </c>
      <c r="B3">
        <f>'Monthly Data'!B3</f>
        <v>2016</v>
      </c>
      <c r="C3">
        <f>'Monthly Data'!C3</f>
        <v>2</v>
      </c>
      <c r="D3" s="3">
        <f>'Monthly Data'!AI3</f>
        <v>18903195.738566063</v>
      </c>
      <c r="E3" s="3">
        <f>'Monthly Data'!DR3</f>
        <v>20</v>
      </c>
      <c r="F3" s="3">
        <f>'Monthly Data'!DL3</f>
        <v>743835</v>
      </c>
      <c r="G3" s="3">
        <f>'Monthly Data'!EE3</f>
        <v>0</v>
      </c>
      <c r="H3" s="3">
        <f>'Monthly Data'!EJ3</f>
        <v>0</v>
      </c>
      <c r="J3" s="3">
        <f t="shared" si="1"/>
        <v>-35488752.832239702</v>
      </c>
      <c r="K3" s="3">
        <f t="shared" si="2"/>
        <v>7837435.9638456805</v>
      </c>
      <c r="L3" s="3">
        <f t="shared" si="3"/>
        <v>46221923.301725991</v>
      </c>
      <c r="M3" s="3">
        <f t="shared" si="4"/>
        <v>0</v>
      </c>
      <c r="N3" s="3">
        <f t="shared" si="5"/>
        <v>0</v>
      </c>
      <c r="O3" s="47">
        <f t="shared" si="6"/>
        <v>18570606.43333197</v>
      </c>
      <c r="P3" s="47">
        <f>'Monthly Data'!AJ3</f>
        <v>0</v>
      </c>
      <c r="Q3" s="47">
        <f t="shared" si="7"/>
        <v>18570606.43333197</v>
      </c>
      <c r="R3" s="47">
        <f t="shared" si="8"/>
        <v>-332589.30523409322</v>
      </c>
      <c r="S3" s="18">
        <f t="shared" si="9"/>
        <v>1.7594342767955826E-2</v>
      </c>
      <c r="V3" s="651" t="s">
        <v>339</v>
      </c>
      <c r="W3" s="651"/>
      <c r="X3" s="651"/>
      <c r="Y3" s="651"/>
      <c r="Z3" s="651"/>
      <c r="AB3" s="651" t="s">
        <v>340</v>
      </c>
      <c r="AC3" s="651"/>
      <c r="AD3" s="651"/>
      <c r="AE3" s="651"/>
      <c r="AF3" s="651"/>
    </row>
    <row r="4" spans="1:32">
      <c r="A4" s="2">
        <f>'Monthly Data'!A4</f>
        <v>42430</v>
      </c>
      <c r="B4">
        <f>'Monthly Data'!B4</f>
        <v>2016</v>
      </c>
      <c r="C4">
        <f>'Monthly Data'!C4</f>
        <v>3</v>
      </c>
      <c r="D4" s="3">
        <f>'Monthly Data'!AI4</f>
        <v>19497740.562806401</v>
      </c>
      <c r="E4" s="3">
        <f>'Monthly Data'!DR4</f>
        <v>21</v>
      </c>
      <c r="F4" s="3">
        <f>'Monthly Data'!DL4</f>
        <v>743835</v>
      </c>
      <c r="G4" s="3">
        <f>'Monthly Data'!EE4</f>
        <v>1</v>
      </c>
      <c r="H4" s="3">
        <f>'Monthly Data'!EJ4</f>
        <v>0</v>
      </c>
      <c r="J4" s="3">
        <f t="shared" si="1"/>
        <v>-35488752.832239702</v>
      </c>
      <c r="K4" s="3">
        <f t="shared" si="2"/>
        <v>8229307.7620379645</v>
      </c>
      <c r="L4" s="3">
        <f t="shared" si="3"/>
        <v>46221923.301725991</v>
      </c>
      <c r="M4" s="3">
        <f t="shared" si="4"/>
        <v>0</v>
      </c>
      <c r="N4" s="3">
        <f t="shared" si="5"/>
        <v>0</v>
      </c>
      <c r="O4" s="47">
        <f t="shared" si="6"/>
        <v>18962478.231524251</v>
      </c>
      <c r="P4" s="47">
        <f>'Monthly Data'!AJ4</f>
        <v>0</v>
      </c>
      <c r="Q4" s="47">
        <f t="shared" si="7"/>
        <v>18962478.231524251</v>
      </c>
      <c r="R4" s="47">
        <f t="shared" si="8"/>
        <v>-535262.33128215</v>
      </c>
      <c r="S4" s="18">
        <f t="shared" si="9"/>
        <v>2.7452531207806122E-2</v>
      </c>
      <c r="V4" s="651" t="s">
        <v>341</v>
      </c>
      <c r="W4" s="651"/>
      <c r="X4" s="651"/>
      <c r="Y4" s="651"/>
      <c r="Z4" s="651"/>
      <c r="AB4" s="651" t="s">
        <v>341</v>
      </c>
      <c r="AC4" s="651"/>
      <c r="AD4" s="651"/>
      <c r="AE4" s="651"/>
      <c r="AF4" s="651"/>
    </row>
    <row r="5" spans="1:32">
      <c r="A5" s="2">
        <f>'Monthly Data'!A5</f>
        <v>42461</v>
      </c>
      <c r="B5">
        <f>'Monthly Data'!B5</f>
        <v>2016</v>
      </c>
      <c r="C5">
        <f>'Monthly Data'!C5</f>
        <v>4</v>
      </c>
      <c r="D5" s="3">
        <f>'Monthly Data'!AI5</f>
        <v>19439681.389309034</v>
      </c>
      <c r="E5" s="3">
        <f>'Monthly Data'!DR5</f>
        <v>21</v>
      </c>
      <c r="F5" s="3">
        <f>'Monthly Data'!DL5</f>
        <v>740829</v>
      </c>
      <c r="G5" s="3">
        <f>'Monthly Data'!EE5</f>
        <v>1</v>
      </c>
      <c r="H5" s="3">
        <f>'Monthly Data'!EJ5</f>
        <v>0</v>
      </c>
      <c r="J5" s="3">
        <f t="shared" si="1"/>
        <v>-35488752.832239702</v>
      </c>
      <c r="K5" s="3">
        <f t="shared" si="2"/>
        <v>8229307.7620379645</v>
      </c>
      <c r="L5" s="3">
        <f t="shared" si="3"/>
        <v>46035130.395443022</v>
      </c>
      <c r="M5" s="3">
        <f t="shared" si="4"/>
        <v>0</v>
      </c>
      <c r="N5" s="3">
        <f t="shared" si="5"/>
        <v>0</v>
      </c>
      <c r="O5" s="47">
        <f t="shared" si="6"/>
        <v>18775685.325241283</v>
      </c>
      <c r="P5" s="47">
        <f>'Monthly Data'!AJ5</f>
        <v>0</v>
      </c>
      <c r="Q5" s="47">
        <f t="shared" si="7"/>
        <v>18775685.325241283</v>
      </c>
      <c r="R5" s="47">
        <f t="shared" si="8"/>
        <v>-663996.06406775117</v>
      </c>
      <c r="S5" s="18">
        <f t="shared" si="9"/>
        <v>3.415673594490698E-2</v>
      </c>
      <c r="V5" s="651" t="s">
        <v>342</v>
      </c>
      <c r="W5" s="651"/>
      <c r="X5" s="651"/>
      <c r="Y5" s="651"/>
      <c r="Z5" s="651"/>
      <c r="AB5" s="651" t="s">
        <v>343</v>
      </c>
      <c r="AC5" s="651"/>
      <c r="AD5" s="651"/>
      <c r="AE5" s="651"/>
      <c r="AF5" s="651"/>
    </row>
    <row r="6" spans="1:32">
      <c r="A6" s="2">
        <f>'Monthly Data'!A6</f>
        <v>42491</v>
      </c>
      <c r="B6">
        <f>'Monthly Data'!B6</f>
        <v>2016</v>
      </c>
      <c r="C6">
        <f>'Monthly Data'!C6</f>
        <v>5</v>
      </c>
      <c r="D6" s="3">
        <f>'Monthly Data'!AI6</f>
        <v>18414999.330826461</v>
      </c>
      <c r="E6" s="3">
        <f>'Monthly Data'!DR6</f>
        <v>21</v>
      </c>
      <c r="F6" s="3">
        <f>'Monthly Data'!DL6</f>
        <v>740829</v>
      </c>
      <c r="G6" s="3">
        <f>'Monthly Data'!EE6</f>
        <v>1</v>
      </c>
      <c r="H6" s="3">
        <f>'Monthly Data'!EJ6</f>
        <v>0</v>
      </c>
      <c r="J6" s="3">
        <f t="shared" si="1"/>
        <v>-35488752.832239702</v>
      </c>
      <c r="K6" s="3">
        <f t="shared" si="2"/>
        <v>8229307.7620379645</v>
      </c>
      <c r="L6" s="3">
        <f t="shared" si="3"/>
        <v>46035130.395443022</v>
      </c>
      <c r="M6" s="3">
        <f t="shared" si="4"/>
        <v>0</v>
      </c>
      <c r="N6" s="3">
        <f t="shared" si="5"/>
        <v>0</v>
      </c>
      <c r="O6" s="47">
        <f t="shared" si="6"/>
        <v>18775685.325241283</v>
      </c>
      <c r="P6" s="47">
        <f>'Monthly Data'!AJ6</f>
        <v>0</v>
      </c>
      <c r="Q6" s="47">
        <f t="shared" si="7"/>
        <v>18775685.325241283</v>
      </c>
      <c r="R6" s="47">
        <f t="shared" si="8"/>
        <v>360685.99441482127</v>
      </c>
      <c r="S6" s="18">
        <f t="shared" si="9"/>
        <v>1.9586533126343252E-2</v>
      </c>
      <c r="V6" s="652"/>
      <c r="W6" s="652"/>
      <c r="X6" s="652"/>
      <c r="Y6" s="652"/>
      <c r="Z6" s="652"/>
      <c r="AB6" s="652"/>
      <c r="AC6" s="652"/>
      <c r="AD6" s="652"/>
      <c r="AE6" s="652"/>
      <c r="AF6" s="652"/>
    </row>
    <row r="7" spans="1:32">
      <c r="A7" s="2">
        <f>'Monthly Data'!A7</f>
        <v>42522</v>
      </c>
      <c r="B7">
        <f>'Monthly Data'!B7</f>
        <v>2016</v>
      </c>
      <c r="C7">
        <f>'Monthly Data'!C7</f>
        <v>6</v>
      </c>
      <c r="D7" s="3">
        <f>'Monthly Data'!AI7</f>
        <v>16316229.452765189</v>
      </c>
      <c r="E7" s="3">
        <f>'Monthly Data'!DR7</f>
        <v>22</v>
      </c>
      <c r="F7" s="3">
        <f>'Monthly Data'!DL7</f>
        <v>740829</v>
      </c>
      <c r="G7" s="3">
        <f>'Monthly Data'!EE7</f>
        <v>0</v>
      </c>
      <c r="H7" s="3">
        <f>'Monthly Data'!EJ7</f>
        <v>0</v>
      </c>
      <c r="J7" s="3">
        <f t="shared" si="1"/>
        <v>-35488752.832239702</v>
      </c>
      <c r="K7" s="3">
        <f t="shared" si="2"/>
        <v>8621179.5602302477</v>
      </c>
      <c r="L7" s="3">
        <f t="shared" si="3"/>
        <v>46035130.395443022</v>
      </c>
      <c r="M7" s="3">
        <f t="shared" si="4"/>
        <v>0</v>
      </c>
      <c r="N7" s="3">
        <f t="shared" si="5"/>
        <v>0</v>
      </c>
      <c r="O7" s="47">
        <f t="shared" si="6"/>
        <v>19167557.123433568</v>
      </c>
      <c r="P7" s="47">
        <f>'Monthly Data'!AJ7</f>
        <v>0</v>
      </c>
      <c r="Q7" s="47">
        <f t="shared" si="7"/>
        <v>19167557.123433568</v>
      </c>
      <c r="R7" s="47">
        <f t="shared" si="8"/>
        <v>2851327.6706683785</v>
      </c>
      <c r="S7" s="18">
        <f t="shared" si="9"/>
        <v>0.17475408021950503</v>
      </c>
      <c r="V7" s="652"/>
      <c r="W7" s="652" t="s">
        <v>300</v>
      </c>
      <c r="X7" s="652" t="s">
        <v>301</v>
      </c>
      <c r="Y7" s="652" t="s">
        <v>302</v>
      </c>
      <c r="Z7" s="652" t="s">
        <v>303</v>
      </c>
      <c r="AB7" s="652"/>
      <c r="AC7" s="652" t="s">
        <v>300</v>
      </c>
      <c r="AD7" s="652" t="s">
        <v>301</v>
      </c>
      <c r="AE7" s="652" t="s">
        <v>302</v>
      </c>
      <c r="AF7" s="652" t="s">
        <v>303</v>
      </c>
    </row>
    <row r="8" spans="1:32">
      <c r="A8" s="2">
        <f>'Monthly Data'!A8</f>
        <v>42552</v>
      </c>
      <c r="B8">
        <f>'Monthly Data'!B8</f>
        <v>2016</v>
      </c>
      <c r="C8">
        <f>'Monthly Data'!C8</f>
        <v>7</v>
      </c>
      <c r="D8" s="3">
        <f>'Monthly Data'!AI8</f>
        <v>18134539.214080028</v>
      </c>
      <c r="E8" s="3">
        <f>'Monthly Data'!DR8</f>
        <v>20</v>
      </c>
      <c r="F8" s="3">
        <f>'Monthly Data'!DL8</f>
        <v>746710</v>
      </c>
      <c r="G8" s="3">
        <f>'Monthly Data'!EE8</f>
        <v>0</v>
      </c>
      <c r="H8" s="3">
        <f>'Monthly Data'!EJ8</f>
        <v>0</v>
      </c>
      <c r="J8" s="3">
        <f t="shared" si="1"/>
        <v>-35488752.832239702</v>
      </c>
      <c r="K8" s="3">
        <f t="shared" si="2"/>
        <v>7837435.9638456805</v>
      </c>
      <c r="L8" s="3">
        <f t="shared" si="3"/>
        <v>46400575.865120374</v>
      </c>
      <c r="M8" s="3">
        <f t="shared" si="4"/>
        <v>0</v>
      </c>
      <c r="N8" s="3">
        <f t="shared" si="5"/>
        <v>0</v>
      </c>
      <c r="O8" s="47">
        <f t="shared" si="6"/>
        <v>18749258.996726353</v>
      </c>
      <c r="P8" s="47">
        <f>'Monthly Data'!AJ8</f>
        <v>0</v>
      </c>
      <c r="Q8" s="47">
        <f t="shared" si="7"/>
        <v>18749258.996726353</v>
      </c>
      <c r="R8" s="47">
        <f t="shared" si="8"/>
        <v>614719.78264632449</v>
      </c>
      <c r="S8" s="18">
        <f t="shared" si="9"/>
        <v>3.3897733787966525E-2</v>
      </c>
      <c r="V8" s="652" t="s">
        <v>304</v>
      </c>
      <c r="W8" s="653">
        <v>-35488752.832239702</v>
      </c>
      <c r="X8" s="654">
        <v>3601175.8685497702</v>
      </c>
      <c r="Y8" s="655">
        <v>-9.8547680334566596</v>
      </c>
      <c r="Z8" s="656">
        <v>5.1751597779777198E-17</v>
      </c>
      <c r="AB8" s="652" t="s">
        <v>304</v>
      </c>
      <c r="AC8" s="653">
        <v>-35140743.2804396</v>
      </c>
      <c r="AD8" s="654">
        <v>3623951.8123638099</v>
      </c>
      <c r="AE8" s="655">
        <v>-9.6968020271545008</v>
      </c>
      <c r="AF8" s="656">
        <v>1.3123946063162001E-16</v>
      </c>
    </row>
    <row r="9" spans="1:32">
      <c r="A9" s="2">
        <f>'Monthly Data'!A9</f>
        <v>42583</v>
      </c>
      <c r="B9">
        <f>'Monthly Data'!B9</f>
        <v>2016</v>
      </c>
      <c r="C9">
        <f>'Monthly Data'!C9</f>
        <v>8</v>
      </c>
      <c r="D9" s="3">
        <f>'Monthly Data'!AI9</f>
        <v>19491540.796973322</v>
      </c>
      <c r="E9" s="3">
        <f>'Monthly Data'!DR9</f>
        <v>22</v>
      </c>
      <c r="F9" s="3">
        <f>'Monthly Data'!DL9</f>
        <v>746710</v>
      </c>
      <c r="G9" s="3">
        <f>'Monthly Data'!EE9</f>
        <v>0</v>
      </c>
      <c r="H9" s="3">
        <f>'Monthly Data'!EJ9</f>
        <v>0</v>
      </c>
      <c r="J9" s="3">
        <f t="shared" si="1"/>
        <v>-35488752.832239702</v>
      </c>
      <c r="K9" s="3">
        <f t="shared" si="2"/>
        <v>8621179.5602302477</v>
      </c>
      <c r="L9" s="3">
        <f t="shared" si="3"/>
        <v>46400575.865120374</v>
      </c>
      <c r="M9" s="3">
        <f t="shared" si="4"/>
        <v>0</v>
      </c>
      <c r="N9" s="3">
        <f t="shared" si="5"/>
        <v>0</v>
      </c>
      <c r="O9" s="47">
        <f t="shared" si="6"/>
        <v>19533002.593110919</v>
      </c>
      <c r="P9" s="47">
        <f>'Monthly Data'!AJ9</f>
        <v>0</v>
      </c>
      <c r="Q9" s="47">
        <f t="shared" si="7"/>
        <v>19533002.593110919</v>
      </c>
      <c r="R9" s="47">
        <f t="shared" si="8"/>
        <v>41461.796137597412</v>
      </c>
      <c r="S9" s="18">
        <f t="shared" si="9"/>
        <v>2.1271687328092434E-3</v>
      </c>
      <c r="V9" s="652" t="s">
        <v>337</v>
      </c>
      <c r="W9" s="654">
        <v>391871.79819228401</v>
      </c>
      <c r="X9" s="654">
        <v>100062.99649905101</v>
      </c>
      <c r="Y9" s="655">
        <v>3.9162508809737799</v>
      </c>
      <c r="Z9" s="656">
        <v>1.5233184713201299E-4</v>
      </c>
      <c r="AB9" s="652" t="s">
        <v>337</v>
      </c>
      <c r="AC9" s="654">
        <v>366908.50560474599</v>
      </c>
      <c r="AD9" s="654">
        <v>101324.131828403</v>
      </c>
      <c r="AE9" s="655">
        <v>3.62113643594915</v>
      </c>
      <c r="AF9" s="656">
        <v>4.3768114313457601E-4</v>
      </c>
    </row>
    <row r="10" spans="1:32">
      <c r="A10" s="2">
        <f>'Monthly Data'!A10</f>
        <v>42614</v>
      </c>
      <c r="B10">
        <f>'Monthly Data'!B10</f>
        <v>2016</v>
      </c>
      <c r="C10">
        <f>'Monthly Data'!C10</f>
        <v>9</v>
      </c>
      <c r="D10" s="3">
        <f>'Monthly Data'!AI10</f>
        <v>17994099.467884108</v>
      </c>
      <c r="E10" s="3">
        <f>'Monthly Data'!DR10</f>
        <v>21</v>
      </c>
      <c r="F10" s="3">
        <f>'Monthly Data'!DL10</f>
        <v>746710</v>
      </c>
      <c r="G10" s="3">
        <f>'Monthly Data'!EE10</f>
        <v>0</v>
      </c>
      <c r="H10" s="3">
        <f>'Monthly Data'!EJ10</f>
        <v>0</v>
      </c>
      <c r="J10" s="3">
        <f t="shared" si="1"/>
        <v>-35488752.832239702</v>
      </c>
      <c r="K10" s="3">
        <f t="shared" si="2"/>
        <v>8229307.7620379645</v>
      </c>
      <c r="L10" s="3">
        <f t="shared" si="3"/>
        <v>46400575.865120374</v>
      </c>
      <c r="M10" s="3">
        <f t="shared" si="4"/>
        <v>0</v>
      </c>
      <c r="N10" s="3">
        <f t="shared" si="5"/>
        <v>0</v>
      </c>
      <c r="O10" s="47">
        <f t="shared" si="6"/>
        <v>19141130.794918634</v>
      </c>
      <c r="P10" s="47">
        <f>'Monthly Data'!AJ10</f>
        <v>0</v>
      </c>
      <c r="Q10" s="47">
        <f t="shared" si="7"/>
        <v>19141130.794918634</v>
      </c>
      <c r="R10" s="47">
        <f t="shared" si="8"/>
        <v>1147031.3270345256</v>
      </c>
      <c r="S10" s="18">
        <f t="shared" ref="S10:S41" si="10">ABS(R10/D10)</f>
        <v>6.3744858645565922E-2</v>
      </c>
      <c r="V10" s="652" t="s">
        <v>140</v>
      </c>
      <c r="W10" s="655">
        <v>62.1400220502208</v>
      </c>
      <c r="X10" s="655">
        <v>3.5486481490672501</v>
      </c>
      <c r="Y10" s="655">
        <v>17.510899768001501</v>
      </c>
      <c r="Z10" s="656">
        <v>2.3433371478002301E-34</v>
      </c>
      <c r="AB10" s="652" t="s">
        <v>140</v>
      </c>
      <c r="AC10" s="655">
        <v>62.238827871768798</v>
      </c>
      <c r="AD10" s="655">
        <v>3.5861178909118898</v>
      </c>
      <c r="AE10" s="655">
        <v>17.355488515728201</v>
      </c>
      <c r="AF10" s="656">
        <v>6.59082167885488E-34</v>
      </c>
    </row>
    <row r="11" spans="1:32">
      <c r="A11" s="2">
        <f>'Monthly Data'!A11</f>
        <v>42644</v>
      </c>
      <c r="B11">
        <f>'Monthly Data'!B11</f>
        <v>2016</v>
      </c>
      <c r="C11">
        <f>'Monthly Data'!C11</f>
        <v>10</v>
      </c>
      <c r="D11" s="3">
        <f>'Monthly Data'!AI11</f>
        <v>18123722.930889193</v>
      </c>
      <c r="E11" s="3">
        <f>'Monthly Data'!DR11</f>
        <v>20</v>
      </c>
      <c r="F11" s="3">
        <f>'Monthly Data'!DL11</f>
        <v>745246</v>
      </c>
      <c r="G11" s="3">
        <f>'Monthly Data'!EE11</f>
        <v>0</v>
      </c>
      <c r="H11" s="3">
        <f>'Monthly Data'!EJ11</f>
        <v>0</v>
      </c>
      <c r="J11" s="3">
        <f t="shared" si="1"/>
        <v>-35488752.832239702</v>
      </c>
      <c r="K11" s="3">
        <f t="shared" si="2"/>
        <v>7837435.9638456805</v>
      </c>
      <c r="L11" s="3">
        <f t="shared" si="3"/>
        <v>46309602.872838847</v>
      </c>
      <c r="M11" s="3">
        <f t="shared" si="4"/>
        <v>0</v>
      </c>
      <c r="N11" s="3">
        <f t="shared" si="5"/>
        <v>0</v>
      </c>
      <c r="O11" s="47">
        <f t="shared" si="6"/>
        <v>18658286.004444826</v>
      </c>
      <c r="P11" s="47">
        <f>'Monthly Data'!AJ11</f>
        <v>0</v>
      </c>
      <c r="Q11" s="47">
        <f t="shared" si="7"/>
        <v>18658286.004444826</v>
      </c>
      <c r="R11" s="47">
        <f t="shared" si="8"/>
        <v>534563.07355563343</v>
      </c>
      <c r="S11" s="18">
        <f t="shared" si="10"/>
        <v>2.9495213295528264E-2</v>
      </c>
      <c r="V11" s="772" t="s">
        <v>877</v>
      </c>
      <c r="W11" s="654"/>
      <c r="X11" s="654"/>
      <c r="Y11" s="655"/>
      <c r="Z11" s="656"/>
      <c r="AB11" s="652" t="s">
        <v>159</v>
      </c>
      <c r="AC11" s="654">
        <v>439158.90758437</v>
      </c>
      <c r="AD11" s="654">
        <v>356707.05615607998</v>
      </c>
      <c r="AE11" s="655">
        <v>1.23114723974569</v>
      </c>
      <c r="AF11" s="662">
        <v>0.220779707756665</v>
      </c>
    </row>
    <row r="12" spans="1:32">
      <c r="A12" s="2">
        <f>'Monthly Data'!A12</f>
        <v>42675</v>
      </c>
      <c r="B12">
        <f>'Monthly Data'!B12</f>
        <v>2016</v>
      </c>
      <c r="C12">
        <f>'Monthly Data'!C12</f>
        <v>11</v>
      </c>
      <c r="D12" s="3">
        <f>'Monthly Data'!AI12</f>
        <v>18466480.125477254</v>
      </c>
      <c r="E12" s="3">
        <f>'Monthly Data'!DR12</f>
        <v>22</v>
      </c>
      <c r="F12" s="3">
        <f>'Monthly Data'!DL12</f>
        <v>745246</v>
      </c>
      <c r="G12" s="3">
        <f>'Monthly Data'!EE12</f>
        <v>0</v>
      </c>
      <c r="H12" s="3">
        <f>'Monthly Data'!EJ12</f>
        <v>0</v>
      </c>
      <c r="J12" s="3">
        <f t="shared" si="1"/>
        <v>-35488752.832239702</v>
      </c>
      <c r="K12" s="3">
        <f t="shared" si="2"/>
        <v>8621179.5602302477</v>
      </c>
      <c r="L12" s="3">
        <f t="shared" si="3"/>
        <v>46309602.872838847</v>
      </c>
      <c r="M12" s="3">
        <f t="shared" si="4"/>
        <v>0</v>
      </c>
      <c r="N12" s="3">
        <f t="shared" si="5"/>
        <v>0</v>
      </c>
      <c r="O12" s="47">
        <f t="shared" si="6"/>
        <v>19442029.600829393</v>
      </c>
      <c r="P12" s="47">
        <f>'Monthly Data'!AJ12</f>
        <v>0</v>
      </c>
      <c r="Q12" s="47">
        <f t="shared" si="7"/>
        <v>19442029.600829393</v>
      </c>
      <c r="R12" s="47">
        <f t="shared" si="8"/>
        <v>975549.47535213828</v>
      </c>
      <c r="S12" s="18">
        <f t="shared" si="10"/>
        <v>5.2828122561712383E-2</v>
      </c>
      <c r="V12" s="652" t="s">
        <v>164</v>
      </c>
      <c r="W12" s="654">
        <v>3799275.8570409101</v>
      </c>
      <c r="X12" s="654">
        <v>846710.30857808294</v>
      </c>
      <c r="Y12" s="655">
        <v>4.48710239919152</v>
      </c>
      <c r="Z12" s="656">
        <v>1.71064257102583E-5</v>
      </c>
      <c r="AB12" s="652" t="s">
        <v>164</v>
      </c>
      <c r="AC12" s="654">
        <v>3666472.20463693</v>
      </c>
      <c r="AD12" s="654">
        <v>858924.80187035701</v>
      </c>
      <c r="AE12" s="655">
        <v>4.2686766020179903</v>
      </c>
      <c r="AF12" s="656">
        <v>4.0625808227411699E-5</v>
      </c>
    </row>
    <row r="13" spans="1:32">
      <c r="A13" s="2">
        <f>'Monthly Data'!A13</f>
        <v>42705</v>
      </c>
      <c r="B13">
        <f>'Monthly Data'!B13</f>
        <v>2016</v>
      </c>
      <c r="C13">
        <f>'Monthly Data'!C13</f>
        <v>12</v>
      </c>
      <c r="D13" s="3">
        <f>'Monthly Data'!AI13</f>
        <v>18772356.144670393</v>
      </c>
      <c r="E13" s="3">
        <f>'Monthly Data'!DR13</f>
        <v>20</v>
      </c>
      <c r="F13" s="3">
        <f>'Monthly Data'!DL13</f>
        <v>745246</v>
      </c>
      <c r="G13" s="3">
        <f>'Monthly Data'!EE13</f>
        <v>0</v>
      </c>
      <c r="H13" s="3">
        <f>'Monthly Data'!EJ13</f>
        <v>0</v>
      </c>
      <c r="J13" s="3">
        <f t="shared" si="1"/>
        <v>-35488752.832239702</v>
      </c>
      <c r="K13" s="3">
        <f t="shared" si="2"/>
        <v>7837435.9638456805</v>
      </c>
      <c r="L13" s="3">
        <f t="shared" si="3"/>
        <v>46309602.872838847</v>
      </c>
      <c r="M13" s="3">
        <f t="shared" si="4"/>
        <v>0</v>
      </c>
      <c r="N13" s="3">
        <f t="shared" si="5"/>
        <v>0</v>
      </c>
      <c r="O13" s="47">
        <f t="shared" si="6"/>
        <v>18658286.004444826</v>
      </c>
      <c r="P13" s="47">
        <f>'Monthly Data'!AJ13</f>
        <v>0</v>
      </c>
      <c r="Q13" s="47">
        <f t="shared" si="7"/>
        <v>18658286.004444826</v>
      </c>
      <c r="R13" s="47">
        <f t="shared" si="8"/>
        <v>-114070.14022556692</v>
      </c>
      <c r="S13" s="18">
        <f t="shared" si="10"/>
        <v>6.0764956378665472E-3</v>
      </c>
      <c r="W13" s="3"/>
      <c r="X13" s="3"/>
      <c r="Y13" s="235"/>
      <c r="Z13" s="100"/>
      <c r="AC13" s="3"/>
      <c r="AD13" s="3"/>
      <c r="AE13" s="235"/>
      <c r="AF13" s="100"/>
    </row>
    <row r="14" spans="1:32">
      <c r="A14" s="2">
        <f>'Monthly Data'!A14</f>
        <v>42736</v>
      </c>
      <c r="B14">
        <f>'Monthly Data'!B14</f>
        <v>2017</v>
      </c>
      <c r="C14">
        <f>'Monthly Data'!C14</f>
        <v>1</v>
      </c>
      <c r="D14" s="3">
        <f>'Monthly Data'!AI14</f>
        <v>18867835.198601972</v>
      </c>
      <c r="E14" s="3">
        <f>'Monthly Data'!DR14</f>
        <v>22</v>
      </c>
      <c r="F14" s="3">
        <f>'Monthly Data'!DL14</f>
        <v>756670</v>
      </c>
      <c r="G14" s="3">
        <f>'Monthly Data'!EE14</f>
        <v>0</v>
      </c>
      <c r="H14" s="3">
        <f>'Monthly Data'!EJ14</f>
        <v>0</v>
      </c>
      <c r="J14" s="3">
        <f t="shared" si="1"/>
        <v>-35488752.832239702</v>
      </c>
      <c r="K14" s="3">
        <f t="shared" si="2"/>
        <v>8621179.5602302477</v>
      </c>
      <c r="L14" s="3">
        <f t="shared" si="3"/>
        <v>47019490.48474057</v>
      </c>
      <c r="M14" s="3">
        <f t="shared" si="4"/>
        <v>0</v>
      </c>
      <c r="N14" s="3">
        <f t="shared" si="5"/>
        <v>0</v>
      </c>
      <c r="O14" s="47">
        <f t="shared" si="6"/>
        <v>20151917.212731116</v>
      </c>
      <c r="P14" s="47">
        <f>'Monthly Data'!AJ14</f>
        <v>0</v>
      </c>
      <c r="Q14" s="47">
        <f t="shared" si="7"/>
        <v>20151917.212731116</v>
      </c>
      <c r="R14" s="47">
        <f t="shared" si="8"/>
        <v>1284082.0141291432</v>
      </c>
      <c r="S14" s="18">
        <f t="shared" si="10"/>
        <v>6.8056668961380809E-2</v>
      </c>
      <c r="V14" s="657" t="s">
        <v>306</v>
      </c>
      <c r="W14" s="658"/>
      <c r="X14" s="658"/>
      <c r="Y14" s="659"/>
      <c r="Z14" s="100"/>
      <c r="AB14" s="657" t="s">
        <v>306</v>
      </c>
      <c r="AC14" s="658"/>
      <c r="AD14" s="658"/>
      <c r="AE14" s="659"/>
      <c r="AF14" s="100"/>
    </row>
    <row r="15" spans="1:32">
      <c r="A15" s="2">
        <f>'Monthly Data'!A15</f>
        <v>42767</v>
      </c>
      <c r="B15">
        <f>'Monthly Data'!B15</f>
        <v>2017</v>
      </c>
      <c r="C15">
        <f>'Monthly Data'!C15</f>
        <v>2</v>
      </c>
      <c r="D15" s="3">
        <f>'Monthly Data'!AI15</f>
        <v>17298663.511402015</v>
      </c>
      <c r="E15" s="3">
        <f>'Monthly Data'!DR15</f>
        <v>19</v>
      </c>
      <c r="F15" s="3">
        <f>'Monthly Data'!DL15</f>
        <v>756670</v>
      </c>
      <c r="G15" s="3">
        <f>'Monthly Data'!EE15</f>
        <v>0</v>
      </c>
      <c r="H15" s="3">
        <f>'Monthly Data'!EJ15</f>
        <v>0</v>
      </c>
      <c r="J15" s="3">
        <f t="shared" si="1"/>
        <v>-35488752.832239702</v>
      </c>
      <c r="K15" s="3">
        <f t="shared" si="2"/>
        <v>7445564.1656533964</v>
      </c>
      <c r="L15" s="3">
        <f t="shared" si="3"/>
        <v>47019490.48474057</v>
      </c>
      <c r="M15" s="3">
        <f t="shared" si="4"/>
        <v>0</v>
      </c>
      <c r="N15" s="3">
        <f t="shared" si="5"/>
        <v>0</v>
      </c>
      <c r="O15" s="47">
        <f t="shared" si="6"/>
        <v>18976301.818154264</v>
      </c>
      <c r="P15" s="47">
        <f>'Monthly Data'!AJ15</f>
        <v>0</v>
      </c>
      <c r="Q15" s="47">
        <f t="shared" si="7"/>
        <v>18976301.818154264</v>
      </c>
      <c r="R15" s="47">
        <f t="shared" si="8"/>
        <v>1677638.3067522496</v>
      </c>
      <c r="S15" s="18">
        <f t="shared" si="10"/>
        <v>9.6980804652710487E-2</v>
      </c>
      <c r="V15" s="652" t="s">
        <v>307</v>
      </c>
      <c r="W15" s="660">
        <v>234537117279596</v>
      </c>
      <c r="X15" s="652" t="s">
        <v>308</v>
      </c>
      <c r="Y15" s="654">
        <v>1421925.3498992701</v>
      </c>
      <c r="Z15" s="100"/>
      <c r="AB15" s="652" t="s">
        <v>307</v>
      </c>
      <c r="AC15" s="660">
        <v>231502454646748</v>
      </c>
      <c r="AD15" s="652" t="s">
        <v>308</v>
      </c>
      <c r="AE15" s="654">
        <v>1418825.1559001899</v>
      </c>
      <c r="AF15" s="100"/>
    </row>
    <row r="16" spans="1:32">
      <c r="A16" s="2">
        <f>'Monthly Data'!A16</f>
        <v>42795</v>
      </c>
      <c r="B16">
        <f>'Monthly Data'!B16</f>
        <v>2017</v>
      </c>
      <c r="C16">
        <f>'Monthly Data'!C16</f>
        <v>3</v>
      </c>
      <c r="D16" s="3">
        <f>'Monthly Data'!AI16</f>
        <v>20471192.422566071</v>
      </c>
      <c r="E16" s="3">
        <f>'Monthly Data'!DR16</f>
        <v>23</v>
      </c>
      <c r="F16" s="3">
        <f>'Monthly Data'!DL16</f>
        <v>756670</v>
      </c>
      <c r="G16" s="3">
        <f>'Monthly Data'!EE16</f>
        <v>1</v>
      </c>
      <c r="H16" s="3">
        <f>'Monthly Data'!EJ16</f>
        <v>0</v>
      </c>
      <c r="J16" s="3">
        <f t="shared" si="1"/>
        <v>-35488752.832239702</v>
      </c>
      <c r="K16" s="3">
        <f t="shared" si="2"/>
        <v>9013051.3584225327</v>
      </c>
      <c r="L16" s="3">
        <f t="shared" si="3"/>
        <v>47019490.48474057</v>
      </c>
      <c r="M16" s="3">
        <f t="shared" si="4"/>
        <v>0</v>
      </c>
      <c r="N16" s="3">
        <f t="shared" si="5"/>
        <v>0</v>
      </c>
      <c r="O16" s="47">
        <f t="shared" si="6"/>
        <v>20543789.010923401</v>
      </c>
      <c r="P16" s="47">
        <f>'Monthly Data'!AJ16</f>
        <v>0</v>
      </c>
      <c r="Q16" s="47">
        <f t="shared" si="7"/>
        <v>20543789.010923401</v>
      </c>
      <c r="R16" s="47">
        <f t="shared" si="8"/>
        <v>72596.588357329369</v>
      </c>
      <c r="S16" s="18">
        <f t="shared" si="10"/>
        <v>3.5462803953375845E-3</v>
      </c>
      <c r="V16" s="652" t="s">
        <v>309</v>
      </c>
      <c r="W16" s="661">
        <v>0.855419921382647</v>
      </c>
      <c r="X16" s="652" t="s">
        <v>310</v>
      </c>
      <c r="Y16" s="661">
        <v>0.85168078141840498</v>
      </c>
      <c r="AB16" s="652" t="s">
        <v>309</v>
      </c>
      <c r="AC16" s="661">
        <v>0.85729389178498105</v>
      </c>
      <c r="AD16" s="652" t="s">
        <v>310</v>
      </c>
      <c r="AE16" s="661">
        <v>0.852330201064459</v>
      </c>
    </row>
    <row r="17" spans="1:31">
      <c r="A17" s="2">
        <f>'Monthly Data'!A17</f>
        <v>42826</v>
      </c>
      <c r="B17">
        <f>'Monthly Data'!B17</f>
        <v>2017</v>
      </c>
      <c r="C17">
        <f>'Monthly Data'!C17</f>
        <v>4</v>
      </c>
      <c r="D17" s="3">
        <f>'Monthly Data'!AI17</f>
        <v>17581793.730776858</v>
      </c>
      <c r="E17" s="3">
        <f>'Monthly Data'!DR17</f>
        <v>19</v>
      </c>
      <c r="F17" s="3">
        <f>'Monthly Data'!DL17</f>
        <v>764676</v>
      </c>
      <c r="G17" s="3">
        <f>'Monthly Data'!EE17</f>
        <v>1</v>
      </c>
      <c r="H17" s="3">
        <f>'Monthly Data'!EJ17</f>
        <v>0</v>
      </c>
      <c r="J17" s="3">
        <f t="shared" si="1"/>
        <v>-35488752.832239702</v>
      </c>
      <c r="K17" s="3">
        <f t="shared" si="2"/>
        <v>7445564.1656533964</v>
      </c>
      <c r="L17" s="3">
        <f t="shared" si="3"/>
        <v>47516983.501274638</v>
      </c>
      <c r="M17" s="3">
        <f t="shared" si="4"/>
        <v>0</v>
      </c>
      <c r="N17" s="3">
        <f t="shared" si="5"/>
        <v>0</v>
      </c>
      <c r="O17" s="47">
        <f t="shared" si="6"/>
        <v>19473794.834688332</v>
      </c>
      <c r="P17" s="47">
        <f>'Monthly Data'!AJ17</f>
        <v>0</v>
      </c>
      <c r="Q17" s="47">
        <f t="shared" si="7"/>
        <v>19473794.834688332</v>
      </c>
      <c r="R17" s="47">
        <f t="shared" si="8"/>
        <v>1892001.1039114743</v>
      </c>
      <c r="S17" s="18">
        <f t="shared" si="10"/>
        <v>0.10761138100485926</v>
      </c>
      <c r="V17" s="652" t="s">
        <v>344</v>
      </c>
      <c r="W17" s="655">
        <v>101.741699806751</v>
      </c>
      <c r="X17" s="652" t="s">
        <v>312</v>
      </c>
      <c r="Y17" s="661">
        <v>2.4274118018974699E-32</v>
      </c>
      <c r="AB17" s="652" t="s">
        <v>327</v>
      </c>
      <c r="AC17" s="655">
        <v>75.140218515596104</v>
      </c>
      <c r="AD17" s="652" t="s">
        <v>312</v>
      </c>
      <c r="AE17" s="661">
        <v>3.5311672602813299E-31</v>
      </c>
    </row>
    <row r="18" spans="1:31">
      <c r="A18" s="2">
        <f>'Monthly Data'!A18</f>
        <v>42856</v>
      </c>
      <c r="B18">
        <f>'Monthly Data'!B18</f>
        <v>2017</v>
      </c>
      <c r="C18">
        <f>'Monthly Data'!C18</f>
        <v>5</v>
      </c>
      <c r="D18" s="3">
        <f>'Monthly Data'!AI18</f>
        <v>21839661.826738212</v>
      </c>
      <c r="E18" s="3">
        <f>'Monthly Data'!DR18</f>
        <v>22</v>
      </c>
      <c r="F18" s="3">
        <f>'Monthly Data'!DL18</f>
        <v>764676</v>
      </c>
      <c r="G18" s="3">
        <f>'Monthly Data'!EE18</f>
        <v>1</v>
      </c>
      <c r="H18" s="3">
        <f>'Monthly Data'!EJ18</f>
        <v>0</v>
      </c>
      <c r="J18" s="3">
        <f t="shared" si="1"/>
        <v>-35488752.832239702</v>
      </c>
      <c r="K18" s="3">
        <f t="shared" si="2"/>
        <v>8621179.5602302477</v>
      </c>
      <c r="L18" s="3">
        <f t="shared" si="3"/>
        <v>47516983.501274638</v>
      </c>
      <c r="M18" s="3">
        <f t="shared" si="4"/>
        <v>0</v>
      </c>
      <c r="N18" s="3">
        <f t="shared" si="5"/>
        <v>0</v>
      </c>
      <c r="O18" s="47">
        <f t="shared" si="6"/>
        <v>20649410.229265183</v>
      </c>
      <c r="P18" s="47">
        <f>'Monthly Data'!AJ18</f>
        <v>0</v>
      </c>
      <c r="Q18" s="47">
        <f t="shared" si="7"/>
        <v>20649410.229265183</v>
      </c>
      <c r="R18" s="47">
        <f t="shared" si="8"/>
        <v>-1190251.597473029</v>
      </c>
      <c r="S18" s="18">
        <f t="shared" si="10"/>
        <v>5.4499543395667815E-2</v>
      </c>
      <c r="V18" s="652" t="s">
        <v>313</v>
      </c>
      <c r="W18" s="661">
        <v>-2.36285957845906E-2</v>
      </c>
      <c r="X18" s="652" t="s">
        <v>314</v>
      </c>
      <c r="Y18" s="661">
        <v>2.04511397218619</v>
      </c>
      <c r="AB18" s="652" t="s">
        <v>313</v>
      </c>
      <c r="AC18" s="661">
        <v>-1.1570948038395101E-2</v>
      </c>
      <c r="AD18" s="652" t="s">
        <v>314</v>
      </c>
      <c r="AE18" s="661">
        <v>2.0212343385467801</v>
      </c>
    </row>
    <row r="19" spans="1:31">
      <c r="A19" s="2">
        <f>'Monthly Data'!A19</f>
        <v>42887</v>
      </c>
      <c r="B19">
        <f>'Monthly Data'!B19</f>
        <v>2017</v>
      </c>
      <c r="C19">
        <f>'Monthly Data'!C19</f>
        <v>6</v>
      </c>
      <c r="D19" s="3">
        <f>'Monthly Data'!AI19</f>
        <v>19976393.698196478</v>
      </c>
      <c r="E19" s="3">
        <f>'Monthly Data'!DR19</f>
        <v>22</v>
      </c>
      <c r="F19" s="3">
        <f>'Monthly Data'!DL19</f>
        <v>764676</v>
      </c>
      <c r="G19" s="3">
        <f>'Monthly Data'!EE19</f>
        <v>0</v>
      </c>
      <c r="H19" s="3">
        <f>'Monthly Data'!EJ19</f>
        <v>0</v>
      </c>
      <c r="J19" s="3">
        <f t="shared" si="1"/>
        <v>-35488752.832239702</v>
      </c>
      <c r="K19" s="3">
        <f t="shared" si="2"/>
        <v>8621179.5602302477</v>
      </c>
      <c r="L19" s="3">
        <f t="shared" si="3"/>
        <v>47516983.501274638</v>
      </c>
      <c r="M19" s="3">
        <f t="shared" si="4"/>
        <v>0</v>
      </c>
      <c r="N19" s="3">
        <f t="shared" si="5"/>
        <v>0</v>
      </c>
      <c r="O19" s="47">
        <f t="shared" si="6"/>
        <v>20649410.229265183</v>
      </c>
      <c r="P19" s="47">
        <f>'Monthly Data'!AJ19</f>
        <v>0</v>
      </c>
      <c r="Q19" s="47">
        <f t="shared" si="7"/>
        <v>20649410.229265183</v>
      </c>
      <c r="R19" s="47">
        <f t="shared" si="8"/>
        <v>673016.53106870502</v>
      </c>
      <c r="S19" s="18">
        <f t="shared" si="10"/>
        <v>3.3690592067649662E-2</v>
      </c>
    </row>
    <row r="20" spans="1:31">
      <c r="A20" s="2">
        <f>'Monthly Data'!A20</f>
        <v>42917</v>
      </c>
      <c r="B20">
        <f>'Monthly Data'!B20</f>
        <v>2017</v>
      </c>
      <c r="C20">
        <f>'Monthly Data'!C20</f>
        <v>7</v>
      </c>
      <c r="D20" s="3">
        <f>'Monthly Data'!AI20</f>
        <v>18586436.138722062</v>
      </c>
      <c r="E20" s="3">
        <f>'Monthly Data'!DR20</f>
        <v>20</v>
      </c>
      <c r="F20" s="3">
        <f>'Monthly Data'!DL20</f>
        <v>765009</v>
      </c>
      <c r="G20" s="3">
        <f>'Monthly Data'!EE20</f>
        <v>0</v>
      </c>
      <c r="H20" s="3">
        <f>'Monthly Data'!EJ20</f>
        <v>0</v>
      </c>
      <c r="J20" s="3">
        <f t="shared" si="1"/>
        <v>-35488752.832239702</v>
      </c>
      <c r="K20" s="3">
        <f t="shared" si="2"/>
        <v>7837435.9638456805</v>
      </c>
      <c r="L20" s="3">
        <f t="shared" si="3"/>
        <v>47537676.128617361</v>
      </c>
      <c r="M20" s="3">
        <f t="shared" si="4"/>
        <v>0</v>
      </c>
      <c r="N20" s="3">
        <f t="shared" si="5"/>
        <v>0</v>
      </c>
      <c r="O20" s="47">
        <f t="shared" si="6"/>
        <v>19886359.26022334</v>
      </c>
      <c r="P20" s="47">
        <f>'Monthly Data'!AJ20</f>
        <v>0</v>
      </c>
      <c r="Q20" s="47">
        <f t="shared" si="7"/>
        <v>19886359.26022334</v>
      </c>
      <c r="R20" s="47">
        <f t="shared" si="8"/>
        <v>1299923.1215012781</v>
      </c>
      <c r="S20" s="18">
        <f t="shared" si="10"/>
        <v>6.9939342421492121E-2</v>
      </c>
      <c r="V20" s="657" t="s">
        <v>315</v>
      </c>
      <c r="W20" s="658"/>
      <c r="X20" s="658"/>
      <c r="Y20" s="659"/>
      <c r="AB20" s="657" t="s">
        <v>315</v>
      </c>
      <c r="AC20" s="658"/>
      <c r="AD20" s="658"/>
      <c r="AE20" s="659"/>
    </row>
    <row r="21" spans="1:31">
      <c r="A21" s="2">
        <f>'Monthly Data'!A21</f>
        <v>42948</v>
      </c>
      <c r="B21">
        <f>'Monthly Data'!B21</f>
        <v>2017</v>
      </c>
      <c r="C21">
        <f>'Monthly Data'!C21</f>
        <v>8</v>
      </c>
      <c r="D21" s="3">
        <f>'Monthly Data'!AI21</f>
        <v>18855423.642073181</v>
      </c>
      <c r="E21" s="3">
        <f>'Monthly Data'!DR21</f>
        <v>22</v>
      </c>
      <c r="F21" s="3">
        <f>'Monthly Data'!DL21</f>
        <v>765009</v>
      </c>
      <c r="G21" s="3">
        <f>'Monthly Data'!EE21</f>
        <v>0</v>
      </c>
      <c r="H21" s="3">
        <f>'Monthly Data'!EJ21</f>
        <v>0</v>
      </c>
      <c r="J21" s="3">
        <f t="shared" si="1"/>
        <v>-35488752.832239702</v>
      </c>
      <c r="K21" s="3">
        <f t="shared" si="2"/>
        <v>8621179.5602302477</v>
      </c>
      <c r="L21" s="3">
        <f t="shared" si="3"/>
        <v>47537676.128617361</v>
      </c>
      <c r="M21" s="3">
        <f t="shared" si="4"/>
        <v>0</v>
      </c>
      <c r="N21" s="3">
        <f t="shared" si="5"/>
        <v>0</v>
      </c>
      <c r="O21" s="47">
        <f t="shared" si="6"/>
        <v>20670102.856607907</v>
      </c>
      <c r="P21" s="47">
        <f>'Monthly Data'!AJ21</f>
        <v>0</v>
      </c>
      <c r="Q21" s="47">
        <f t="shared" si="7"/>
        <v>20670102.856607907</v>
      </c>
      <c r="R21" s="47">
        <f t="shared" si="8"/>
        <v>1814679.214534726</v>
      </c>
      <c r="S21" s="18">
        <f t="shared" si="10"/>
        <v>9.6241763058854263E-2</v>
      </c>
      <c r="V21" s="652" t="s">
        <v>316</v>
      </c>
      <c r="W21" s="654">
        <v>24210265.944824301</v>
      </c>
      <c r="X21" s="652" t="s">
        <v>317</v>
      </c>
      <c r="Y21" s="654">
        <v>3692012.8244153499</v>
      </c>
      <c r="AB21" s="652" t="s">
        <v>316</v>
      </c>
      <c r="AC21" s="654">
        <v>24210265.944824301</v>
      </c>
      <c r="AD21" s="652" t="s">
        <v>317</v>
      </c>
      <c r="AE21" s="654">
        <v>3692012.8244153499</v>
      </c>
    </row>
    <row r="22" spans="1:31">
      <c r="A22" s="2">
        <f>'Monthly Data'!A22</f>
        <v>42979</v>
      </c>
      <c r="B22">
        <f>'Monthly Data'!B22</f>
        <v>2017</v>
      </c>
      <c r="C22">
        <f>'Monthly Data'!C22</f>
        <v>9</v>
      </c>
      <c r="D22" s="3">
        <f>'Monthly Data'!AI22</f>
        <v>17895401.745719053</v>
      </c>
      <c r="E22" s="3">
        <f>'Monthly Data'!DR22</f>
        <v>20</v>
      </c>
      <c r="F22" s="3">
        <f>'Monthly Data'!DL22</f>
        <v>765009</v>
      </c>
      <c r="G22" s="3">
        <f>'Monthly Data'!EE22</f>
        <v>0</v>
      </c>
      <c r="H22" s="3">
        <f>'Monthly Data'!EJ22</f>
        <v>0</v>
      </c>
      <c r="J22" s="3">
        <f t="shared" si="1"/>
        <v>-35488752.832239702</v>
      </c>
      <c r="K22" s="3">
        <f t="shared" si="2"/>
        <v>7837435.9638456805</v>
      </c>
      <c r="L22" s="3">
        <f t="shared" si="3"/>
        <v>47537676.128617361</v>
      </c>
      <c r="M22" s="3">
        <f t="shared" si="4"/>
        <v>0</v>
      </c>
      <c r="N22" s="3">
        <f t="shared" si="5"/>
        <v>0</v>
      </c>
      <c r="O22" s="47">
        <f t="shared" si="6"/>
        <v>19886359.26022334</v>
      </c>
      <c r="P22" s="47">
        <f>'Monthly Data'!AJ22</f>
        <v>0</v>
      </c>
      <c r="Q22" s="47">
        <f t="shared" si="7"/>
        <v>19886359.26022334</v>
      </c>
      <c r="R22" s="47">
        <f t="shared" si="8"/>
        <v>1990957.5145042874</v>
      </c>
      <c r="S22" s="18">
        <f t="shared" si="10"/>
        <v>0.11125525667399813</v>
      </c>
    </row>
    <row r="23" spans="1:31">
      <c r="A23" s="2">
        <f>'Monthly Data'!A23</f>
        <v>43009</v>
      </c>
      <c r="B23">
        <f>'Monthly Data'!B23</f>
        <v>2017</v>
      </c>
      <c r="C23">
        <f>'Monthly Data'!C23</f>
        <v>10</v>
      </c>
      <c r="D23" s="3">
        <f>'Monthly Data'!AI23</f>
        <v>19118533.461100705</v>
      </c>
      <c r="E23" s="3">
        <f>'Monthly Data'!DR23</f>
        <v>21</v>
      </c>
      <c r="F23" s="3">
        <f>'Monthly Data'!DL23</f>
        <v>771506</v>
      </c>
      <c r="G23" s="3">
        <f>'Monthly Data'!EE23</f>
        <v>0</v>
      </c>
      <c r="H23" s="3">
        <f>'Monthly Data'!EJ23</f>
        <v>0</v>
      </c>
      <c r="J23" s="3">
        <f t="shared" si="1"/>
        <v>-35488752.832239702</v>
      </c>
      <c r="K23" s="3">
        <f t="shared" si="2"/>
        <v>8229307.7620379645</v>
      </c>
      <c r="L23" s="3">
        <f t="shared" si="3"/>
        <v>47941399.851877652</v>
      </c>
      <c r="M23" s="3">
        <f t="shared" si="4"/>
        <v>0</v>
      </c>
      <c r="N23" s="3">
        <f t="shared" si="5"/>
        <v>0</v>
      </c>
      <c r="O23" s="47">
        <f t="shared" si="6"/>
        <v>20681954.781675912</v>
      </c>
      <c r="P23" s="47">
        <f>'Monthly Data'!AJ23</f>
        <v>0</v>
      </c>
      <c r="Q23" s="47">
        <f t="shared" si="7"/>
        <v>20681954.781675912</v>
      </c>
      <c r="R23" s="47">
        <f t="shared" si="8"/>
        <v>1563421.3205752075</v>
      </c>
      <c r="S23" s="18">
        <f t="shared" si="10"/>
        <v>8.1775169824411686E-2</v>
      </c>
    </row>
    <row r="24" spans="1:31">
      <c r="A24" s="2">
        <f>'Monthly Data'!A24</f>
        <v>43040</v>
      </c>
      <c r="B24">
        <f>'Monthly Data'!B24</f>
        <v>2017</v>
      </c>
      <c r="C24">
        <f>'Monthly Data'!C24</f>
        <v>11</v>
      </c>
      <c r="D24" s="3">
        <f>'Monthly Data'!AI24</f>
        <v>21382229.087633248</v>
      </c>
      <c r="E24" s="3">
        <f>'Monthly Data'!DR24</f>
        <v>22</v>
      </c>
      <c r="F24" s="3">
        <f>'Monthly Data'!DL24</f>
        <v>771506</v>
      </c>
      <c r="G24" s="3">
        <f>'Monthly Data'!EE24</f>
        <v>0</v>
      </c>
      <c r="H24" s="3">
        <f>'Monthly Data'!EJ24</f>
        <v>0</v>
      </c>
      <c r="J24" s="3">
        <f t="shared" si="1"/>
        <v>-35488752.832239702</v>
      </c>
      <c r="K24" s="3">
        <f t="shared" si="2"/>
        <v>8621179.5602302477</v>
      </c>
      <c r="L24" s="3">
        <f t="shared" si="3"/>
        <v>47941399.851877652</v>
      </c>
      <c r="M24" s="3">
        <f t="shared" si="4"/>
        <v>0</v>
      </c>
      <c r="N24" s="3">
        <f t="shared" si="5"/>
        <v>0</v>
      </c>
      <c r="O24" s="47">
        <f t="shared" si="6"/>
        <v>21073826.579868197</v>
      </c>
      <c r="P24" s="47">
        <f>'Monthly Data'!AJ24</f>
        <v>0</v>
      </c>
      <c r="Q24" s="47">
        <f t="shared" si="7"/>
        <v>21073826.579868197</v>
      </c>
      <c r="R24" s="47">
        <f t="shared" si="8"/>
        <v>-308402.50776505098</v>
      </c>
      <c r="S24" s="18">
        <f t="shared" si="10"/>
        <v>1.4423309492246553E-2</v>
      </c>
      <c r="W24" s="3"/>
      <c r="Y24" s="3"/>
    </row>
    <row r="25" spans="1:31">
      <c r="A25" s="2">
        <f>'Monthly Data'!A25</f>
        <v>43070</v>
      </c>
      <c r="B25">
        <f>'Monthly Data'!B25</f>
        <v>2017</v>
      </c>
      <c r="C25">
        <f>'Monthly Data'!C25</f>
        <v>12</v>
      </c>
      <c r="D25" s="3">
        <f>'Monthly Data'!AI25</f>
        <v>20274762.624763876</v>
      </c>
      <c r="E25" s="3">
        <f>'Monthly Data'!DR25</f>
        <v>19</v>
      </c>
      <c r="F25" s="3">
        <f>'Monthly Data'!DL25</f>
        <v>771506</v>
      </c>
      <c r="G25" s="3">
        <f>'Monthly Data'!EE25</f>
        <v>0</v>
      </c>
      <c r="H25" s="3">
        <f>'Monthly Data'!EJ25</f>
        <v>0</v>
      </c>
      <c r="J25" s="3">
        <f t="shared" si="1"/>
        <v>-35488752.832239702</v>
      </c>
      <c r="K25" s="3">
        <f t="shared" si="2"/>
        <v>7445564.1656533964</v>
      </c>
      <c r="L25" s="3">
        <f t="shared" si="3"/>
        <v>47941399.851877652</v>
      </c>
      <c r="M25" s="3">
        <f t="shared" si="4"/>
        <v>0</v>
      </c>
      <c r="N25" s="3">
        <f t="shared" si="5"/>
        <v>0</v>
      </c>
      <c r="O25" s="47">
        <f t="shared" si="6"/>
        <v>19898211.185291346</v>
      </c>
      <c r="P25" s="47">
        <f>'Monthly Data'!AJ25</f>
        <v>0</v>
      </c>
      <c r="Q25" s="47">
        <f t="shared" si="7"/>
        <v>19898211.185291346</v>
      </c>
      <c r="R25" s="47">
        <f t="shared" si="8"/>
        <v>-376551.43947253004</v>
      </c>
      <c r="S25" s="18">
        <f t="shared" si="10"/>
        <v>1.8572421608162498E-2</v>
      </c>
    </row>
    <row r="26" spans="1:31">
      <c r="A26" s="2">
        <f>'Monthly Data'!A26</f>
        <v>43101</v>
      </c>
      <c r="B26">
        <f>'Monthly Data'!B26</f>
        <v>2018</v>
      </c>
      <c r="C26">
        <f>'Monthly Data'!C26</f>
        <v>1</v>
      </c>
      <c r="D26" s="3">
        <f>'Monthly Data'!AI26</f>
        <v>22549544.756564576</v>
      </c>
      <c r="E26" s="3">
        <f>'Monthly Data'!DR26</f>
        <v>22</v>
      </c>
      <c r="F26" s="3">
        <f>'Monthly Data'!DL26</f>
        <v>779694</v>
      </c>
      <c r="G26" s="3">
        <f>'Monthly Data'!EE26</f>
        <v>0</v>
      </c>
      <c r="H26" s="3">
        <f>'Monthly Data'!EJ26</f>
        <v>0</v>
      </c>
      <c r="J26" s="3">
        <f t="shared" si="1"/>
        <v>-35488752.832239702</v>
      </c>
      <c r="K26" s="3">
        <f t="shared" si="2"/>
        <v>8621179.5602302477</v>
      </c>
      <c r="L26" s="3">
        <f t="shared" si="3"/>
        <v>48450202.35242486</v>
      </c>
      <c r="M26" s="3">
        <f t="shared" si="4"/>
        <v>0</v>
      </c>
      <c r="N26" s="3">
        <f t="shared" si="5"/>
        <v>0</v>
      </c>
      <c r="O26" s="47">
        <f t="shared" si="6"/>
        <v>21582629.080415405</v>
      </c>
      <c r="P26" s="47">
        <f>'Monthly Data'!AJ26</f>
        <v>0</v>
      </c>
      <c r="Q26" s="47">
        <f t="shared" si="7"/>
        <v>21582629.080415405</v>
      </c>
      <c r="R26" s="47">
        <f t="shared" si="8"/>
        <v>-966915.67614917085</v>
      </c>
      <c r="S26" s="18">
        <f t="shared" si="10"/>
        <v>4.2879609614632434E-2</v>
      </c>
    </row>
    <row r="27" spans="1:31">
      <c r="A27" s="2">
        <f>'Monthly Data'!A27</f>
        <v>43132</v>
      </c>
      <c r="B27">
        <f>'Monthly Data'!B27</f>
        <v>2018</v>
      </c>
      <c r="C27">
        <f>'Monthly Data'!C27</f>
        <v>2</v>
      </c>
      <c r="D27" s="3">
        <f>'Monthly Data'!AI27</f>
        <v>20756840.14507037</v>
      </c>
      <c r="E27" s="3">
        <f>'Monthly Data'!DR27</f>
        <v>19</v>
      </c>
      <c r="F27" s="3">
        <f>'Monthly Data'!DL27</f>
        <v>779694</v>
      </c>
      <c r="G27" s="3">
        <f>'Monthly Data'!EE27</f>
        <v>0</v>
      </c>
      <c r="H27" s="3">
        <f>'Monthly Data'!EJ27</f>
        <v>0</v>
      </c>
      <c r="J27" s="3">
        <f t="shared" si="1"/>
        <v>-35488752.832239702</v>
      </c>
      <c r="K27" s="3">
        <f t="shared" si="2"/>
        <v>7445564.1656533964</v>
      </c>
      <c r="L27" s="3">
        <f t="shared" si="3"/>
        <v>48450202.35242486</v>
      </c>
      <c r="M27" s="3">
        <f t="shared" si="4"/>
        <v>0</v>
      </c>
      <c r="N27" s="3">
        <f t="shared" si="5"/>
        <v>0</v>
      </c>
      <c r="O27" s="47">
        <f t="shared" si="6"/>
        <v>20407013.685838554</v>
      </c>
      <c r="P27" s="47">
        <f>'Monthly Data'!AJ27</f>
        <v>0</v>
      </c>
      <c r="Q27" s="47">
        <f t="shared" si="7"/>
        <v>20407013.685838554</v>
      </c>
      <c r="R27" s="47">
        <f t="shared" si="8"/>
        <v>-349826.45923181623</v>
      </c>
      <c r="S27" s="18">
        <f t="shared" si="10"/>
        <v>1.6853550771064641E-2</v>
      </c>
    </row>
    <row r="28" spans="1:31">
      <c r="A28" s="2">
        <f>'Monthly Data'!A28</f>
        <v>43160</v>
      </c>
      <c r="B28">
        <f>'Monthly Data'!B28</f>
        <v>2018</v>
      </c>
      <c r="C28">
        <f>'Monthly Data'!C28</f>
        <v>3</v>
      </c>
      <c r="D28" s="3">
        <f>'Monthly Data'!AI28</f>
        <v>23787063.783911549</v>
      </c>
      <c r="E28" s="3">
        <f>'Monthly Data'!DR28</f>
        <v>21</v>
      </c>
      <c r="F28" s="3">
        <f>'Monthly Data'!DL28</f>
        <v>779694</v>
      </c>
      <c r="G28" s="3">
        <f>'Monthly Data'!EE28</f>
        <v>1</v>
      </c>
      <c r="H28" s="3">
        <f>'Monthly Data'!EJ28</f>
        <v>0</v>
      </c>
      <c r="J28" s="3">
        <f t="shared" si="1"/>
        <v>-35488752.832239702</v>
      </c>
      <c r="K28" s="3">
        <f t="shared" si="2"/>
        <v>8229307.7620379645</v>
      </c>
      <c r="L28" s="3">
        <f t="shared" si="3"/>
        <v>48450202.35242486</v>
      </c>
      <c r="M28" s="3">
        <f t="shared" si="4"/>
        <v>0</v>
      </c>
      <c r="N28" s="3">
        <f t="shared" si="5"/>
        <v>0</v>
      </c>
      <c r="O28" s="47">
        <f t="shared" si="6"/>
        <v>21190757.28222312</v>
      </c>
      <c r="P28" s="47">
        <f>'Monthly Data'!AJ28</f>
        <v>0</v>
      </c>
      <c r="Q28" s="47">
        <f t="shared" si="7"/>
        <v>21190757.28222312</v>
      </c>
      <c r="R28" s="47">
        <f t="shared" si="8"/>
        <v>-2596306.5016884282</v>
      </c>
      <c r="S28" s="18">
        <f t="shared" si="10"/>
        <v>0.10914783452358874</v>
      </c>
    </row>
    <row r="29" spans="1:31">
      <c r="A29" s="2">
        <f>'Monthly Data'!A29</f>
        <v>43191</v>
      </c>
      <c r="B29">
        <f>'Monthly Data'!B29</f>
        <v>2018</v>
      </c>
      <c r="C29">
        <f>'Monthly Data'!C29</f>
        <v>4</v>
      </c>
      <c r="D29" s="3">
        <f>'Monthly Data'!AI29</f>
        <v>22899290.21702826</v>
      </c>
      <c r="E29" s="3">
        <f>'Monthly Data'!DR29</f>
        <v>21</v>
      </c>
      <c r="F29" s="3">
        <f>'Monthly Data'!DL29</f>
        <v>785185</v>
      </c>
      <c r="G29" s="3">
        <f>'Monthly Data'!EE29</f>
        <v>1</v>
      </c>
      <c r="H29" s="3">
        <f>'Monthly Data'!EJ29</f>
        <v>0</v>
      </c>
      <c r="J29" s="3">
        <f t="shared" si="1"/>
        <v>-35488752.832239702</v>
      </c>
      <c r="K29" s="3">
        <f t="shared" si="2"/>
        <v>8229307.7620379645</v>
      </c>
      <c r="L29" s="3">
        <f t="shared" si="3"/>
        <v>48791413.213502616</v>
      </c>
      <c r="M29" s="3">
        <f t="shared" si="4"/>
        <v>0</v>
      </c>
      <c r="N29" s="3">
        <f t="shared" si="5"/>
        <v>0</v>
      </c>
      <c r="O29" s="47">
        <f t="shared" si="6"/>
        <v>21531968.143300876</v>
      </c>
      <c r="P29" s="47">
        <f>'Monthly Data'!AJ29</f>
        <v>0</v>
      </c>
      <c r="Q29" s="47">
        <f t="shared" si="7"/>
        <v>21531968.143300876</v>
      </c>
      <c r="R29" s="47">
        <f t="shared" si="8"/>
        <v>-1367322.0737273842</v>
      </c>
      <c r="S29" s="18">
        <f t="shared" si="10"/>
        <v>5.97102382112535E-2</v>
      </c>
    </row>
    <row r="30" spans="1:31">
      <c r="A30" s="2">
        <f>'Monthly Data'!A30</f>
        <v>43221</v>
      </c>
      <c r="B30">
        <f>'Monthly Data'!B30</f>
        <v>2018</v>
      </c>
      <c r="C30">
        <f>'Monthly Data'!C30</f>
        <v>5</v>
      </c>
      <c r="D30" s="3">
        <f>'Monthly Data'!AI30</f>
        <v>22458260.548706152</v>
      </c>
      <c r="E30" s="3">
        <f>'Monthly Data'!DR30</f>
        <v>22</v>
      </c>
      <c r="F30" s="3">
        <f>'Monthly Data'!DL30</f>
        <v>785185</v>
      </c>
      <c r="G30" s="3">
        <f>'Monthly Data'!EE30</f>
        <v>1</v>
      </c>
      <c r="H30" s="3">
        <f>'Monthly Data'!EJ30</f>
        <v>0</v>
      </c>
      <c r="J30" s="3">
        <f t="shared" si="1"/>
        <v>-35488752.832239702</v>
      </c>
      <c r="K30" s="3">
        <f t="shared" si="2"/>
        <v>8621179.5602302477</v>
      </c>
      <c r="L30" s="3">
        <f t="shared" si="3"/>
        <v>48791413.213502616</v>
      </c>
      <c r="M30" s="3">
        <f t="shared" si="4"/>
        <v>0</v>
      </c>
      <c r="N30" s="3">
        <f t="shared" si="5"/>
        <v>0</v>
      </c>
      <c r="O30" s="47">
        <f t="shared" si="6"/>
        <v>21923839.941493161</v>
      </c>
      <c r="P30" s="47">
        <f>'Monthly Data'!AJ30</f>
        <v>0</v>
      </c>
      <c r="Q30" s="47">
        <f t="shared" si="7"/>
        <v>21923839.941493161</v>
      </c>
      <c r="R30" s="47">
        <f t="shared" si="8"/>
        <v>-534420.60721299052</v>
      </c>
      <c r="S30" s="18">
        <f t="shared" si="10"/>
        <v>2.3796170948055865E-2</v>
      </c>
    </row>
    <row r="31" spans="1:31">
      <c r="A31" s="2">
        <f>'Monthly Data'!A31</f>
        <v>43252</v>
      </c>
      <c r="B31">
        <f>'Monthly Data'!B31</f>
        <v>2018</v>
      </c>
      <c r="C31">
        <f>'Monthly Data'!C31</f>
        <v>6</v>
      </c>
      <c r="D31" s="3">
        <f>'Monthly Data'!AI31</f>
        <v>19919954.16441917</v>
      </c>
      <c r="E31" s="3">
        <f>'Monthly Data'!DR31</f>
        <v>21</v>
      </c>
      <c r="F31" s="3">
        <f>'Monthly Data'!DL31</f>
        <v>785185</v>
      </c>
      <c r="G31" s="3">
        <f>'Monthly Data'!EE31</f>
        <v>0</v>
      </c>
      <c r="H31" s="3">
        <f>'Monthly Data'!EJ31</f>
        <v>0</v>
      </c>
      <c r="J31" s="3">
        <f t="shared" si="1"/>
        <v>-35488752.832239702</v>
      </c>
      <c r="K31" s="3">
        <f t="shared" si="2"/>
        <v>8229307.7620379645</v>
      </c>
      <c r="L31" s="3">
        <f t="shared" si="3"/>
        <v>48791413.213502616</v>
      </c>
      <c r="M31" s="3">
        <f t="shared" si="4"/>
        <v>0</v>
      </c>
      <c r="N31" s="3">
        <f t="shared" si="5"/>
        <v>0</v>
      </c>
      <c r="O31" s="47">
        <f t="shared" si="6"/>
        <v>21531968.143300876</v>
      </c>
      <c r="P31" s="47">
        <f>'Monthly Data'!AJ31</f>
        <v>0</v>
      </c>
      <c r="Q31" s="47">
        <f t="shared" si="7"/>
        <v>21531968.143300876</v>
      </c>
      <c r="R31" s="47">
        <f t="shared" si="8"/>
        <v>1612013.9788817056</v>
      </c>
      <c r="S31" s="18">
        <f t="shared" si="10"/>
        <v>8.0924582736293105E-2</v>
      </c>
    </row>
    <row r="32" spans="1:31">
      <c r="A32" s="2">
        <f>'Monthly Data'!A32</f>
        <v>43282</v>
      </c>
      <c r="B32">
        <f>'Monthly Data'!B32</f>
        <v>2018</v>
      </c>
      <c r="C32">
        <f>'Monthly Data'!C32</f>
        <v>7</v>
      </c>
      <c r="D32" s="3">
        <f>'Monthly Data'!AI32</f>
        <v>20896865.447711267</v>
      </c>
      <c r="E32" s="3">
        <f>'Monthly Data'!DR32</f>
        <v>21</v>
      </c>
      <c r="F32" s="3">
        <f>'Monthly Data'!DL32</f>
        <v>794512</v>
      </c>
      <c r="G32" s="3">
        <f>'Monthly Data'!EE32</f>
        <v>0</v>
      </c>
      <c r="H32" s="3">
        <f>'Monthly Data'!EJ32</f>
        <v>0</v>
      </c>
      <c r="J32" s="3">
        <f t="shared" si="1"/>
        <v>-35488752.832239702</v>
      </c>
      <c r="K32" s="3">
        <f t="shared" si="2"/>
        <v>8229307.7620379645</v>
      </c>
      <c r="L32" s="3">
        <f t="shared" si="3"/>
        <v>49370993.199165031</v>
      </c>
      <c r="M32" s="3">
        <f t="shared" si="4"/>
        <v>0</v>
      </c>
      <c r="N32" s="3">
        <f t="shared" si="5"/>
        <v>0</v>
      </c>
      <c r="O32" s="47">
        <f t="shared" si="6"/>
        <v>22111548.128963292</v>
      </c>
      <c r="P32" s="47">
        <f>'Monthly Data'!AJ32</f>
        <v>0</v>
      </c>
      <c r="Q32" s="47">
        <f t="shared" si="7"/>
        <v>22111548.128963292</v>
      </c>
      <c r="R32" s="47">
        <f t="shared" si="8"/>
        <v>1214682.6812520251</v>
      </c>
      <c r="S32" s="18">
        <f t="shared" si="10"/>
        <v>5.812750645743682E-2</v>
      </c>
    </row>
    <row r="33" spans="1:19">
      <c r="A33" s="2">
        <f>'Monthly Data'!A33</f>
        <v>43313</v>
      </c>
      <c r="B33">
        <f>'Monthly Data'!B33</f>
        <v>2018</v>
      </c>
      <c r="C33">
        <f>'Monthly Data'!C33</f>
        <v>8</v>
      </c>
      <c r="D33" s="3">
        <f>'Monthly Data'!AI33</f>
        <v>21873671.96954979</v>
      </c>
      <c r="E33" s="3">
        <f>'Monthly Data'!DR33</f>
        <v>22</v>
      </c>
      <c r="F33" s="3">
        <f>'Monthly Data'!DL33</f>
        <v>794512</v>
      </c>
      <c r="G33" s="3">
        <f>'Monthly Data'!EE33</f>
        <v>0</v>
      </c>
      <c r="H33" s="3">
        <f>'Monthly Data'!EJ33</f>
        <v>0</v>
      </c>
      <c r="J33" s="3">
        <f t="shared" si="1"/>
        <v>-35488752.832239702</v>
      </c>
      <c r="K33" s="3">
        <f t="shared" si="2"/>
        <v>8621179.5602302477</v>
      </c>
      <c r="L33" s="3">
        <f t="shared" si="3"/>
        <v>49370993.199165031</v>
      </c>
      <c r="M33" s="3">
        <f t="shared" si="4"/>
        <v>0</v>
      </c>
      <c r="N33" s="3">
        <f t="shared" si="5"/>
        <v>0</v>
      </c>
      <c r="O33" s="47">
        <f t="shared" si="6"/>
        <v>22503419.927155577</v>
      </c>
      <c r="P33" s="47">
        <f>'Monthly Data'!AJ33</f>
        <v>0</v>
      </c>
      <c r="Q33" s="47">
        <f t="shared" si="7"/>
        <v>22503419.927155577</v>
      </c>
      <c r="R33" s="47">
        <f t="shared" si="8"/>
        <v>629747.95760578662</v>
      </c>
      <c r="S33" s="18">
        <f t="shared" si="10"/>
        <v>2.8790225915541527E-2</v>
      </c>
    </row>
    <row r="34" spans="1:19">
      <c r="A34" s="2">
        <f>'Monthly Data'!A34</f>
        <v>43344</v>
      </c>
      <c r="B34">
        <f>'Monthly Data'!B34</f>
        <v>2018</v>
      </c>
      <c r="C34">
        <f>'Monthly Data'!C34</f>
        <v>9</v>
      </c>
      <c r="D34" s="3">
        <f>'Monthly Data'!AI34</f>
        <v>21241416.513205495</v>
      </c>
      <c r="E34" s="3">
        <f>'Monthly Data'!DR34</f>
        <v>19</v>
      </c>
      <c r="F34" s="3">
        <f>'Monthly Data'!DL34</f>
        <v>794512</v>
      </c>
      <c r="G34" s="3">
        <f>'Monthly Data'!EE34</f>
        <v>0</v>
      </c>
      <c r="H34" s="3">
        <f>'Monthly Data'!EJ34</f>
        <v>0</v>
      </c>
      <c r="J34" s="3">
        <f t="shared" ref="J34:J65" si="11">$W$8</f>
        <v>-35488752.832239702</v>
      </c>
      <c r="K34" s="3">
        <f t="shared" ref="K34:K65" si="12">E34*$W$9</f>
        <v>7445564.1656533964</v>
      </c>
      <c r="L34" s="3">
        <f t="shared" ref="L34:L65" si="13">F34*$W$10</f>
        <v>49370993.199165031</v>
      </c>
      <c r="M34" s="3">
        <f t="shared" ref="M34:M65" si="14">G34*$W$11</f>
        <v>0</v>
      </c>
      <c r="N34" s="3">
        <f t="shared" ref="N34:N65" si="15">H34*$W$12</f>
        <v>0</v>
      </c>
      <c r="O34" s="47">
        <f t="shared" si="6"/>
        <v>21327804.532578725</v>
      </c>
      <c r="P34" s="47">
        <f>'Monthly Data'!AJ34</f>
        <v>0</v>
      </c>
      <c r="Q34" s="47">
        <f t="shared" si="7"/>
        <v>21327804.532578725</v>
      </c>
      <c r="R34" s="47">
        <f t="shared" si="8"/>
        <v>86388.019373230636</v>
      </c>
      <c r="S34" s="18">
        <f t="shared" si="10"/>
        <v>4.0669613215071794E-3</v>
      </c>
    </row>
    <row r="35" spans="1:19">
      <c r="A35" s="2">
        <f>'Monthly Data'!A35</f>
        <v>43374</v>
      </c>
      <c r="B35">
        <f>'Monthly Data'!B35</f>
        <v>2018</v>
      </c>
      <c r="C35">
        <f>'Monthly Data'!C35</f>
        <v>10</v>
      </c>
      <c r="D35" s="3">
        <f>'Monthly Data'!AI35</f>
        <v>23752933.684608001</v>
      </c>
      <c r="E35" s="3">
        <f>'Monthly Data'!DR35</f>
        <v>22</v>
      </c>
      <c r="F35" s="3">
        <f>'Monthly Data'!DL35</f>
        <v>799922</v>
      </c>
      <c r="G35" s="3">
        <f>'Monthly Data'!EE35</f>
        <v>0</v>
      </c>
      <c r="H35" s="3">
        <f>'Monthly Data'!EJ35</f>
        <v>0</v>
      </c>
      <c r="J35" s="3">
        <f t="shared" si="11"/>
        <v>-35488752.832239702</v>
      </c>
      <c r="K35" s="3">
        <f t="shared" si="12"/>
        <v>8621179.5602302477</v>
      </c>
      <c r="L35" s="3">
        <f t="shared" si="13"/>
        <v>49707170.718456723</v>
      </c>
      <c r="M35" s="3">
        <f t="shared" si="14"/>
        <v>0</v>
      </c>
      <c r="N35" s="3">
        <f t="shared" si="15"/>
        <v>0</v>
      </c>
      <c r="O35" s="47">
        <f t="shared" si="6"/>
        <v>22839597.446447268</v>
      </c>
      <c r="P35" s="47">
        <f>'Monthly Data'!AJ35</f>
        <v>0</v>
      </c>
      <c r="Q35" s="47">
        <f t="shared" si="7"/>
        <v>22839597.446447268</v>
      </c>
      <c r="R35" s="47">
        <f t="shared" si="8"/>
        <v>-913336.23816073313</v>
      </c>
      <c r="S35" s="18">
        <f t="shared" si="10"/>
        <v>3.8451512991533286E-2</v>
      </c>
    </row>
    <row r="36" spans="1:19">
      <c r="A36" s="2">
        <f>'Monthly Data'!A36</f>
        <v>43405</v>
      </c>
      <c r="B36">
        <f>'Monthly Data'!B36</f>
        <v>2018</v>
      </c>
      <c r="C36">
        <f>'Monthly Data'!C36</f>
        <v>11</v>
      </c>
      <c r="D36" s="3">
        <f>'Monthly Data'!AI36</f>
        <v>22198124.241722956</v>
      </c>
      <c r="E36" s="3">
        <f>'Monthly Data'!DR36</f>
        <v>22</v>
      </c>
      <c r="F36" s="3">
        <f>'Monthly Data'!DL36</f>
        <v>799922</v>
      </c>
      <c r="G36" s="3">
        <f>'Monthly Data'!EE36</f>
        <v>0</v>
      </c>
      <c r="H36" s="3">
        <f>'Monthly Data'!EJ36</f>
        <v>0</v>
      </c>
      <c r="J36" s="3">
        <f t="shared" si="11"/>
        <v>-35488752.832239702</v>
      </c>
      <c r="K36" s="3">
        <f t="shared" si="12"/>
        <v>8621179.5602302477</v>
      </c>
      <c r="L36" s="3">
        <f t="shared" si="13"/>
        <v>49707170.718456723</v>
      </c>
      <c r="M36" s="3">
        <f t="shared" si="14"/>
        <v>0</v>
      </c>
      <c r="N36" s="3">
        <f t="shared" si="15"/>
        <v>0</v>
      </c>
      <c r="O36" s="47">
        <f t="shared" si="6"/>
        <v>22839597.446447268</v>
      </c>
      <c r="P36" s="47">
        <f>'Monthly Data'!AJ36</f>
        <v>0</v>
      </c>
      <c r="Q36" s="47">
        <f t="shared" si="7"/>
        <v>22839597.446447268</v>
      </c>
      <c r="R36" s="47">
        <f t="shared" si="8"/>
        <v>641473.20472431183</v>
      </c>
      <c r="S36" s="18">
        <f t="shared" si="10"/>
        <v>2.8897631067341143E-2</v>
      </c>
    </row>
    <row r="37" spans="1:19">
      <c r="A37" s="2">
        <f>'Monthly Data'!A37</f>
        <v>43435</v>
      </c>
      <c r="B37">
        <f>'Monthly Data'!B37</f>
        <v>2018</v>
      </c>
      <c r="C37">
        <f>'Monthly Data'!C37</f>
        <v>12</v>
      </c>
      <c r="D37" s="3">
        <f>'Monthly Data'!AI37</f>
        <v>22380991.281551104</v>
      </c>
      <c r="E37" s="3">
        <f>'Monthly Data'!DR37</f>
        <v>19</v>
      </c>
      <c r="F37" s="3">
        <f>'Monthly Data'!DL37</f>
        <v>799922</v>
      </c>
      <c r="G37" s="3">
        <f>'Monthly Data'!EE37</f>
        <v>0</v>
      </c>
      <c r="H37" s="3">
        <f>'Monthly Data'!EJ37</f>
        <v>0</v>
      </c>
      <c r="J37" s="3">
        <f t="shared" si="11"/>
        <v>-35488752.832239702</v>
      </c>
      <c r="K37" s="3">
        <f t="shared" si="12"/>
        <v>7445564.1656533964</v>
      </c>
      <c r="L37" s="3">
        <f t="shared" si="13"/>
        <v>49707170.718456723</v>
      </c>
      <c r="M37" s="3">
        <f t="shared" si="14"/>
        <v>0</v>
      </c>
      <c r="N37" s="3">
        <f t="shared" si="15"/>
        <v>0</v>
      </c>
      <c r="O37" s="47">
        <f t="shared" si="6"/>
        <v>21663982.051870417</v>
      </c>
      <c r="P37" s="47">
        <f>'Monthly Data'!AJ37</f>
        <v>0</v>
      </c>
      <c r="Q37" s="47">
        <f t="shared" si="7"/>
        <v>21663982.051870417</v>
      </c>
      <c r="R37" s="47">
        <f t="shared" si="8"/>
        <v>-717009.22968068719</v>
      </c>
      <c r="S37" s="18">
        <f t="shared" si="10"/>
        <v>3.2036526919686788E-2</v>
      </c>
    </row>
    <row r="38" spans="1:19">
      <c r="A38" s="2">
        <f>'Monthly Data'!A38</f>
        <v>43466</v>
      </c>
      <c r="B38">
        <f>'Monthly Data'!B38</f>
        <v>2019</v>
      </c>
      <c r="C38">
        <f>'Monthly Data'!C38</f>
        <v>1</v>
      </c>
      <c r="D38" s="3">
        <f>'Monthly Data'!AI38</f>
        <v>23102214.374920584</v>
      </c>
      <c r="E38" s="3">
        <f>'Monthly Data'!DR38</f>
        <v>22</v>
      </c>
      <c r="F38" s="3">
        <f>'Monthly Data'!DL38</f>
        <v>800743</v>
      </c>
      <c r="G38" s="3">
        <f>'Monthly Data'!EE38</f>
        <v>0</v>
      </c>
      <c r="H38" s="3">
        <f>'Monthly Data'!EJ38</f>
        <v>0</v>
      </c>
      <c r="J38" s="3">
        <f t="shared" si="11"/>
        <v>-35488752.832239702</v>
      </c>
      <c r="K38" s="3">
        <f t="shared" si="12"/>
        <v>8621179.5602302477</v>
      </c>
      <c r="L38" s="3">
        <f t="shared" si="13"/>
        <v>49758187.676559955</v>
      </c>
      <c r="M38" s="3">
        <f t="shared" si="14"/>
        <v>0</v>
      </c>
      <c r="N38" s="3">
        <f t="shared" si="15"/>
        <v>0</v>
      </c>
      <c r="O38" s="47">
        <f t="shared" si="6"/>
        <v>22890614.4045505</v>
      </c>
      <c r="P38" s="47">
        <f>'Monthly Data'!AJ38</f>
        <v>0</v>
      </c>
      <c r="Q38" s="47">
        <f t="shared" si="7"/>
        <v>22890614.4045505</v>
      </c>
      <c r="R38" s="47">
        <f t="shared" si="8"/>
        <v>-211599.97037008405</v>
      </c>
      <c r="S38" s="18">
        <f t="shared" si="10"/>
        <v>9.1592938640459413E-3</v>
      </c>
    </row>
    <row r="39" spans="1:19">
      <c r="A39" s="2">
        <f>'Monthly Data'!A39</f>
        <v>43497</v>
      </c>
      <c r="B39">
        <f>'Monthly Data'!B39</f>
        <v>2019</v>
      </c>
      <c r="C39">
        <f>'Monthly Data'!C39</f>
        <v>2</v>
      </c>
      <c r="D39" s="3">
        <f>'Monthly Data'!AI39</f>
        <v>21315753.793941069</v>
      </c>
      <c r="E39" s="3">
        <f>'Monthly Data'!DR39</f>
        <v>19</v>
      </c>
      <c r="F39" s="3">
        <f>'Monthly Data'!DL39</f>
        <v>800743</v>
      </c>
      <c r="G39" s="3">
        <f>'Monthly Data'!EE39</f>
        <v>0</v>
      </c>
      <c r="H39" s="3">
        <f>'Monthly Data'!EJ39</f>
        <v>0</v>
      </c>
      <c r="J39" s="3">
        <f t="shared" si="11"/>
        <v>-35488752.832239702</v>
      </c>
      <c r="K39" s="3">
        <f t="shared" si="12"/>
        <v>7445564.1656533964</v>
      </c>
      <c r="L39" s="3">
        <f t="shared" si="13"/>
        <v>49758187.676559955</v>
      </c>
      <c r="M39" s="3">
        <f t="shared" si="14"/>
        <v>0</v>
      </c>
      <c r="N39" s="3">
        <f t="shared" si="15"/>
        <v>0</v>
      </c>
      <c r="O39" s="47">
        <f t="shared" si="6"/>
        <v>21714999.009973649</v>
      </c>
      <c r="P39" s="47">
        <f>'Monthly Data'!AJ39</f>
        <v>0</v>
      </c>
      <c r="Q39" s="47">
        <f t="shared" si="7"/>
        <v>21714999.009973649</v>
      </c>
      <c r="R39" s="47">
        <f t="shared" si="8"/>
        <v>399245.21603257954</v>
      </c>
      <c r="S39" s="18">
        <f t="shared" si="10"/>
        <v>1.873005383211283E-2</v>
      </c>
    </row>
    <row r="40" spans="1:19">
      <c r="A40" s="2">
        <f>'Monthly Data'!A40</f>
        <v>43525</v>
      </c>
      <c r="B40">
        <f>'Monthly Data'!B40</f>
        <v>2019</v>
      </c>
      <c r="C40">
        <f>'Monthly Data'!C40</f>
        <v>3</v>
      </c>
      <c r="D40" s="3">
        <f>'Monthly Data'!AI40</f>
        <v>22284080.158749774</v>
      </c>
      <c r="E40" s="3">
        <f>'Monthly Data'!DR40</f>
        <v>22</v>
      </c>
      <c r="F40" s="3">
        <f>'Monthly Data'!DL40</f>
        <v>800743</v>
      </c>
      <c r="G40" s="3">
        <f>'Monthly Data'!EE40</f>
        <v>1</v>
      </c>
      <c r="H40" s="3">
        <f>'Monthly Data'!EJ40</f>
        <v>0</v>
      </c>
      <c r="J40" s="3">
        <f t="shared" si="11"/>
        <v>-35488752.832239702</v>
      </c>
      <c r="K40" s="3">
        <f t="shared" si="12"/>
        <v>8621179.5602302477</v>
      </c>
      <c r="L40" s="3">
        <f t="shared" si="13"/>
        <v>49758187.676559955</v>
      </c>
      <c r="M40" s="3">
        <f t="shared" si="14"/>
        <v>0</v>
      </c>
      <c r="N40" s="3">
        <f t="shared" si="15"/>
        <v>0</v>
      </c>
      <c r="O40" s="47">
        <f t="shared" si="6"/>
        <v>22890614.4045505</v>
      </c>
      <c r="P40" s="47">
        <f>'Monthly Data'!AJ40</f>
        <v>0</v>
      </c>
      <c r="Q40" s="47">
        <f t="shared" si="7"/>
        <v>22890614.4045505</v>
      </c>
      <c r="R40" s="47">
        <f t="shared" si="8"/>
        <v>606534.24580072612</v>
      </c>
      <c r="S40" s="18">
        <f t="shared" si="10"/>
        <v>2.7218276073314715E-2</v>
      </c>
    </row>
    <row r="41" spans="1:19">
      <c r="A41" s="2">
        <f>'Monthly Data'!A41</f>
        <v>43556</v>
      </c>
      <c r="B41">
        <f>'Monthly Data'!B41</f>
        <v>2019</v>
      </c>
      <c r="C41">
        <f>'Monthly Data'!C41</f>
        <v>4</v>
      </c>
      <c r="D41" s="3">
        <f>'Monthly Data'!AI41</f>
        <v>22534922.417074468</v>
      </c>
      <c r="E41" s="3">
        <f>'Monthly Data'!DR41</f>
        <v>21</v>
      </c>
      <c r="F41" s="3">
        <f>'Monthly Data'!DL41</f>
        <v>806729</v>
      </c>
      <c r="G41" s="3">
        <f>'Monthly Data'!EE41</f>
        <v>1</v>
      </c>
      <c r="H41" s="3">
        <f>'Monthly Data'!EJ41</f>
        <v>0</v>
      </c>
      <c r="J41" s="3">
        <f t="shared" si="11"/>
        <v>-35488752.832239702</v>
      </c>
      <c r="K41" s="3">
        <f t="shared" si="12"/>
        <v>8229307.7620379645</v>
      </c>
      <c r="L41" s="3">
        <f t="shared" si="13"/>
        <v>50130157.848552577</v>
      </c>
      <c r="M41" s="3">
        <f t="shared" si="14"/>
        <v>0</v>
      </c>
      <c r="N41" s="3">
        <f t="shared" si="15"/>
        <v>0</v>
      </c>
      <c r="O41" s="47">
        <f t="shared" si="6"/>
        <v>22870712.778350838</v>
      </c>
      <c r="P41" s="47">
        <f>'Monthly Data'!AJ41</f>
        <v>0</v>
      </c>
      <c r="Q41" s="47">
        <f t="shared" si="7"/>
        <v>22870712.778350838</v>
      </c>
      <c r="R41" s="47">
        <f t="shared" si="8"/>
        <v>335790.36127636954</v>
      </c>
      <c r="S41" s="18">
        <f t="shared" si="10"/>
        <v>1.4900888277385184E-2</v>
      </c>
    </row>
    <row r="42" spans="1:19">
      <c r="A42" s="2">
        <f>'Monthly Data'!A42</f>
        <v>43586</v>
      </c>
      <c r="B42">
        <f>'Monthly Data'!B42</f>
        <v>2019</v>
      </c>
      <c r="C42">
        <f>'Monthly Data'!C42</f>
        <v>5</v>
      </c>
      <c r="D42" s="3">
        <f>'Monthly Data'!AI42</f>
        <v>23423953.516985402</v>
      </c>
      <c r="E42" s="3">
        <f>'Monthly Data'!DR42</f>
        <v>20</v>
      </c>
      <c r="F42" s="3">
        <f>'Monthly Data'!DL42</f>
        <v>806729</v>
      </c>
      <c r="G42" s="3">
        <f>'Monthly Data'!EE42</f>
        <v>1</v>
      </c>
      <c r="H42" s="3">
        <f>'Monthly Data'!EJ42</f>
        <v>0</v>
      </c>
      <c r="J42" s="3">
        <f t="shared" si="11"/>
        <v>-35488752.832239702</v>
      </c>
      <c r="K42" s="3">
        <f t="shared" si="12"/>
        <v>7837435.9638456805</v>
      </c>
      <c r="L42" s="3">
        <f t="shared" si="13"/>
        <v>50130157.848552577</v>
      </c>
      <c r="M42" s="3">
        <f t="shared" si="14"/>
        <v>0</v>
      </c>
      <c r="N42" s="3">
        <f t="shared" si="15"/>
        <v>0</v>
      </c>
      <c r="O42" s="47">
        <f t="shared" si="6"/>
        <v>22478840.980158556</v>
      </c>
      <c r="P42" s="47">
        <f>'Monthly Data'!AJ42</f>
        <v>0</v>
      </c>
      <c r="Q42" s="47">
        <f t="shared" si="7"/>
        <v>22478840.980158556</v>
      </c>
      <c r="R42" s="47">
        <f t="shared" si="8"/>
        <v>-945112.53682684526</v>
      </c>
      <c r="S42" s="18">
        <f t="shared" ref="S42:S73" si="16">ABS(R42/D42)</f>
        <v>4.0348122111048254E-2</v>
      </c>
    </row>
    <row r="43" spans="1:19">
      <c r="A43" s="2">
        <f>'Monthly Data'!A43</f>
        <v>43617</v>
      </c>
      <c r="B43">
        <f>'Monthly Data'!B43</f>
        <v>2019</v>
      </c>
      <c r="C43">
        <f>'Monthly Data'!C43</f>
        <v>6</v>
      </c>
      <c r="D43" s="3">
        <f>'Monthly Data'!AI43</f>
        <v>24112197.633311499</v>
      </c>
      <c r="E43" s="3">
        <f>'Monthly Data'!DR43</f>
        <v>22</v>
      </c>
      <c r="F43" s="3">
        <f>'Monthly Data'!DL43</f>
        <v>806729</v>
      </c>
      <c r="G43" s="3">
        <f>'Monthly Data'!EE43</f>
        <v>0</v>
      </c>
      <c r="H43" s="3">
        <f>'Monthly Data'!EJ43</f>
        <v>0</v>
      </c>
      <c r="J43" s="3">
        <f t="shared" si="11"/>
        <v>-35488752.832239702</v>
      </c>
      <c r="K43" s="3">
        <f t="shared" si="12"/>
        <v>8621179.5602302477</v>
      </c>
      <c r="L43" s="3">
        <f t="shared" si="13"/>
        <v>50130157.848552577</v>
      </c>
      <c r="M43" s="3">
        <f t="shared" si="14"/>
        <v>0</v>
      </c>
      <c r="N43" s="3">
        <f t="shared" si="15"/>
        <v>0</v>
      </c>
      <c r="O43" s="47">
        <f t="shared" ref="O43:O97" si="17">SUM(J43:N43)</f>
        <v>23262584.576543123</v>
      </c>
      <c r="P43" s="47">
        <f>'Monthly Data'!AJ43</f>
        <v>0</v>
      </c>
      <c r="Q43" s="47">
        <f t="shared" ref="Q43:Q106" si="18">O43+P43</f>
        <v>23262584.576543123</v>
      </c>
      <c r="R43" s="47">
        <f t="shared" ref="R43:R106" si="19">Q43-D43</f>
        <v>-849613.05676837638</v>
      </c>
      <c r="S43" s="18">
        <f t="shared" si="16"/>
        <v>3.5235820047966861E-2</v>
      </c>
    </row>
    <row r="44" spans="1:19">
      <c r="A44" s="2">
        <f>'Monthly Data'!A44</f>
        <v>43647</v>
      </c>
      <c r="B44">
        <f>'Monthly Data'!B44</f>
        <v>2019</v>
      </c>
      <c r="C44">
        <f>'Monthly Data'!C44</f>
        <v>7</v>
      </c>
      <c r="D44" s="3">
        <f>'Monthly Data'!AI44</f>
        <v>24159197.130645622</v>
      </c>
      <c r="E44" s="3">
        <f>'Monthly Data'!DR44</f>
        <v>22</v>
      </c>
      <c r="F44" s="3">
        <f>'Monthly Data'!DL44</f>
        <v>810697</v>
      </c>
      <c r="G44" s="3">
        <f>'Monthly Data'!EE44</f>
        <v>0</v>
      </c>
      <c r="H44" s="3">
        <f>'Monthly Data'!EJ44</f>
        <v>0</v>
      </c>
      <c r="J44" s="3">
        <f t="shared" si="11"/>
        <v>-35488752.832239702</v>
      </c>
      <c r="K44" s="3">
        <f t="shared" si="12"/>
        <v>8621179.5602302477</v>
      </c>
      <c r="L44" s="3">
        <f t="shared" si="13"/>
        <v>50376729.456047855</v>
      </c>
      <c r="M44" s="3">
        <f t="shared" si="14"/>
        <v>0</v>
      </c>
      <c r="N44" s="3">
        <f t="shared" si="15"/>
        <v>0</v>
      </c>
      <c r="O44" s="47">
        <f t="shared" si="17"/>
        <v>23509156.184038401</v>
      </c>
      <c r="P44" s="47">
        <f>'Monthly Data'!AJ44</f>
        <v>0</v>
      </c>
      <c r="Q44" s="47">
        <f t="shared" si="18"/>
        <v>23509156.184038401</v>
      </c>
      <c r="R44" s="47">
        <f t="shared" si="19"/>
        <v>-650040.94660722092</v>
      </c>
      <c r="S44" s="18">
        <f t="shared" si="16"/>
        <v>2.6906562461161118E-2</v>
      </c>
    </row>
    <row r="45" spans="1:19">
      <c r="A45" s="2">
        <f>'Monthly Data'!A45</f>
        <v>43678</v>
      </c>
      <c r="B45">
        <f>'Monthly Data'!B45</f>
        <v>2019</v>
      </c>
      <c r="C45">
        <f>'Monthly Data'!C45</f>
        <v>8</v>
      </c>
      <c r="D45" s="3">
        <f>'Monthly Data'!AI45</f>
        <v>20560969.589388464</v>
      </c>
      <c r="E45" s="3">
        <f>'Monthly Data'!DR45</f>
        <v>20</v>
      </c>
      <c r="F45" s="3">
        <f>'Monthly Data'!DL45</f>
        <v>810697</v>
      </c>
      <c r="G45" s="3">
        <f>'Monthly Data'!EE45</f>
        <v>0</v>
      </c>
      <c r="H45" s="3">
        <f>'Monthly Data'!EJ45</f>
        <v>0</v>
      </c>
      <c r="J45" s="3">
        <f t="shared" si="11"/>
        <v>-35488752.832239702</v>
      </c>
      <c r="K45" s="3">
        <f t="shared" si="12"/>
        <v>7837435.9638456805</v>
      </c>
      <c r="L45" s="3">
        <f t="shared" si="13"/>
        <v>50376729.456047855</v>
      </c>
      <c r="M45" s="3">
        <f t="shared" si="14"/>
        <v>0</v>
      </c>
      <c r="N45" s="3">
        <f t="shared" si="15"/>
        <v>0</v>
      </c>
      <c r="O45" s="47">
        <f t="shared" si="17"/>
        <v>22725412.587653834</v>
      </c>
      <c r="P45" s="47">
        <f>'Monthly Data'!AJ45</f>
        <v>0</v>
      </c>
      <c r="Q45" s="47">
        <f t="shared" si="18"/>
        <v>22725412.587653834</v>
      </c>
      <c r="R45" s="47">
        <f t="shared" si="19"/>
        <v>2164442.9982653707</v>
      </c>
      <c r="S45" s="18">
        <f t="shared" si="16"/>
        <v>0.10526950049001783</v>
      </c>
    </row>
    <row r="46" spans="1:19">
      <c r="A46" s="2">
        <f>'Monthly Data'!A46</f>
        <v>43709</v>
      </c>
      <c r="B46">
        <f>'Monthly Data'!B46</f>
        <v>2019</v>
      </c>
      <c r="C46">
        <f>'Monthly Data'!C46</f>
        <v>9</v>
      </c>
      <c r="D46" s="3">
        <f>'Monthly Data'!AI46</f>
        <v>22666422.479033254</v>
      </c>
      <c r="E46" s="3">
        <f>'Monthly Data'!DR46</f>
        <v>21</v>
      </c>
      <c r="F46" s="3">
        <f>'Monthly Data'!DL46</f>
        <v>810697</v>
      </c>
      <c r="G46" s="3">
        <f>'Monthly Data'!EE46</f>
        <v>0</v>
      </c>
      <c r="H46" s="3">
        <f>'Monthly Data'!EJ46</f>
        <v>0</v>
      </c>
      <c r="J46" s="3">
        <f t="shared" si="11"/>
        <v>-35488752.832239702</v>
      </c>
      <c r="K46" s="3">
        <f t="shared" si="12"/>
        <v>8229307.7620379645</v>
      </c>
      <c r="L46" s="3">
        <f t="shared" si="13"/>
        <v>50376729.456047855</v>
      </c>
      <c r="M46" s="3">
        <f t="shared" si="14"/>
        <v>0</v>
      </c>
      <c r="N46" s="3">
        <f t="shared" si="15"/>
        <v>0</v>
      </c>
      <c r="O46" s="47">
        <f t="shared" si="17"/>
        <v>23117284.385846116</v>
      </c>
      <c r="P46" s="47">
        <f>'Monthly Data'!AJ46</f>
        <v>0</v>
      </c>
      <c r="Q46" s="47">
        <f t="shared" si="18"/>
        <v>23117284.385846116</v>
      </c>
      <c r="R46" s="47">
        <f t="shared" si="19"/>
        <v>450861.90681286156</v>
      </c>
      <c r="S46" s="18">
        <f t="shared" si="16"/>
        <v>1.9891180764406685E-2</v>
      </c>
    </row>
    <row r="47" spans="1:19">
      <c r="A47" s="2">
        <f>'Monthly Data'!A47</f>
        <v>43739</v>
      </c>
      <c r="B47">
        <f>'Monthly Data'!B47</f>
        <v>2019</v>
      </c>
      <c r="C47">
        <f>'Monthly Data'!C47</f>
        <v>10</v>
      </c>
      <c r="D47" s="3">
        <f>'Monthly Data'!AI47</f>
        <v>24902468.71280143</v>
      </c>
      <c r="E47" s="3">
        <f>'Monthly Data'!DR47</f>
        <v>21</v>
      </c>
      <c r="F47" s="3">
        <f>'Monthly Data'!DL47</f>
        <v>812164</v>
      </c>
      <c r="G47" s="3">
        <f>'Monthly Data'!EE47</f>
        <v>0</v>
      </c>
      <c r="H47" s="3">
        <f>'Monthly Data'!EJ47</f>
        <v>0</v>
      </c>
      <c r="J47" s="3">
        <f t="shared" si="11"/>
        <v>-35488752.832239702</v>
      </c>
      <c r="K47" s="3">
        <f t="shared" si="12"/>
        <v>8229307.7620379645</v>
      </c>
      <c r="L47" s="3">
        <f t="shared" si="13"/>
        <v>50467888.868395522</v>
      </c>
      <c r="M47" s="3">
        <f t="shared" si="14"/>
        <v>0</v>
      </c>
      <c r="N47" s="3">
        <f t="shared" si="15"/>
        <v>0</v>
      </c>
      <c r="O47" s="47">
        <f t="shared" si="17"/>
        <v>23208443.798193783</v>
      </c>
      <c r="P47" s="47">
        <f>'Monthly Data'!AJ47</f>
        <v>0</v>
      </c>
      <c r="Q47" s="47">
        <f t="shared" si="18"/>
        <v>23208443.798193783</v>
      </c>
      <c r="R47" s="47">
        <f t="shared" si="19"/>
        <v>-1694024.9146076478</v>
      </c>
      <c r="S47" s="18">
        <f t="shared" si="16"/>
        <v>6.8026384618518274E-2</v>
      </c>
    </row>
    <row r="48" spans="1:19">
      <c r="A48" s="2">
        <f>'Monthly Data'!A48</f>
        <v>43770</v>
      </c>
      <c r="B48">
        <f>'Monthly Data'!B48</f>
        <v>2019</v>
      </c>
      <c r="C48">
        <f>'Monthly Data'!C48</f>
        <v>11</v>
      </c>
      <c r="D48" s="3">
        <f>'Monthly Data'!AI48</f>
        <v>23543510.459450614</v>
      </c>
      <c r="E48" s="3">
        <f>'Monthly Data'!DR48</f>
        <v>21</v>
      </c>
      <c r="F48" s="3">
        <f>'Monthly Data'!DL48</f>
        <v>812164</v>
      </c>
      <c r="G48" s="3">
        <f>'Monthly Data'!EE48</f>
        <v>0</v>
      </c>
      <c r="H48" s="3">
        <f>'Monthly Data'!EJ48</f>
        <v>0</v>
      </c>
      <c r="J48" s="3">
        <f t="shared" si="11"/>
        <v>-35488752.832239702</v>
      </c>
      <c r="K48" s="3">
        <f t="shared" si="12"/>
        <v>8229307.7620379645</v>
      </c>
      <c r="L48" s="3">
        <f t="shared" si="13"/>
        <v>50467888.868395522</v>
      </c>
      <c r="M48" s="3">
        <f t="shared" si="14"/>
        <v>0</v>
      </c>
      <c r="N48" s="3">
        <f t="shared" si="15"/>
        <v>0</v>
      </c>
      <c r="O48" s="47">
        <f t="shared" si="17"/>
        <v>23208443.798193783</v>
      </c>
      <c r="P48" s="47">
        <f>'Monthly Data'!AJ48</f>
        <v>0</v>
      </c>
      <c r="Q48" s="47">
        <f t="shared" si="18"/>
        <v>23208443.798193783</v>
      </c>
      <c r="R48" s="47">
        <f t="shared" si="19"/>
        <v>-335066.66125683114</v>
      </c>
      <c r="S48" s="18">
        <f t="shared" si="16"/>
        <v>1.4231805483465268E-2</v>
      </c>
    </row>
    <row r="49" spans="1:19">
      <c r="A49" s="2">
        <f>'Monthly Data'!A49</f>
        <v>43800</v>
      </c>
      <c r="B49">
        <f>'Monthly Data'!B49</f>
        <v>2019</v>
      </c>
      <c r="C49">
        <f>'Monthly Data'!C49</f>
        <v>12</v>
      </c>
      <c r="D49" s="3">
        <f>'Monthly Data'!AI49</f>
        <v>23918338.166187197</v>
      </c>
      <c r="E49" s="3">
        <f>'Monthly Data'!DR49</f>
        <v>21</v>
      </c>
      <c r="F49" s="3">
        <f>'Monthly Data'!DL49</f>
        <v>812164</v>
      </c>
      <c r="G49" s="3">
        <f>'Monthly Data'!EE49</f>
        <v>0</v>
      </c>
      <c r="H49" s="3">
        <f>'Monthly Data'!EJ49</f>
        <v>0</v>
      </c>
      <c r="J49" s="3">
        <f t="shared" si="11"/>
        <v>-35488752.832239702</v>
      </c>
      <c r="K49" s="3">
        <f t="shared" si="12"/>
        <v>8229307.7620379645</v>
      </c>
      <c r="L49" s="3">
        <f t="shared" si="13"/>
        <v>50467888.868395522</v>
      </c>
      <c r="M49" s="3">
        <f t="shared" si="14"/>
        <v>0</v>
      </c>
      <c r="N49" s="3">
        <f t="shared" si="15"/>
        <v>0</v>
      </c>
      <c r="O49" s="47">
        <f t="shared" si="17"/>
        <v>23208443.798193783</v>
      </c>
      <c r="P49" s="47">
        <f>'Monthly Data'!AJ49</f>
        <v>0</v>
      </c>
      <c r="Q49" s="47">
        <f t="shared" si="18"/>
        <v>23208443.798193783</v>
      </c>
      <c r="R49" s="47">
        <f t="shared" si="19"/>
        <v>-709894.3679934144</v>
      </c>
      <c r="S49" s="18">
        <f t="shared" si="16"/>
        <v>2.9679920196001564E-2</v>
      </c>
    </row>
    <row r="50" spans="1:19">
      <c r="A50" s="2">
        <f>'Monthly Data'!A50</f>
        <v>43831</v>
      </c>
      <c r="B50">
        <f>'Monthly Data'!B50</f>
        <v>2020</v>
      </c>
      <c r="C50">
        <f>'Monthly Data'!C50</f>
        <v>1</v>
      </c>
      <c r="D50" s="3">
        <f>'Monthly Data'!AI50</f>
        <v>24698084.943008494</v>
      </c>
      <c r="E50" s="3">
        <f>'Monthly Data'!DR50</f>
        <v>22</v>
      </c>
      <c r="F50" s="3">
        <f>'Monthly Data'!DL50</f>
        <v>801246</v>
      </c>
      <c r="G50" s="3">
        <f>'Monthly Data'!EE50</f>
        <v>0</v>
      </c>
      <c r="H50" s="3">
        <f>'Monthly Data'!EJ50</f>
        <v>0</v>
      </c>
      <c r="J50" s="3">
        <f t="shared" si="11"/>
        <v>-35488752.832239702</v>
      </c>
      <c r="K50" s="3">
        <f t="shared" si="12"/>
        <v>8621179.5602302477</v>
      </c>
      <c r="L50" s="3">
        <f t="shared" si="13"/>
        <v>49789444.107651219</v>
      </c>
      <c r="M50" s="3">
        <f t="shared" si="14"/>
        <v>0</v>
      </c>
      <c r="N50" s="3">
        <f t="shared" si="15"/>
        <v>0</v>
      </c>
      <c r="O50" s="47">
        <f t="shared" si="17"/>
        <v>22921870.835641764</v>
      </c>
      <c r="P50" s="47">
        <f>'Monthly Data'!AJ50</f>
        <v>0</v>
      </c>
      <c r="Q50" s="47">
        <f t="shared" si="18"/>
        <v>22921870.835641764</v>
      </c>
      <c r="R50" s="47">
        <f t="shared" si="19"/>
        <v>-1776214.1073667295</v>
      </c>
      <c r="S50" s="18">
        <f t="shared" si="16"/>
        <v>7.1917078245758409E-2</v>
      </c>
    </row>
    <row r="51" spans="1:19">
      <c r="A51" s="2">
        <f>'Monthly Data'!A51</f>
        <v>43862</v>
      </c>
      <c r="B51">
        <f>'Monthly Data'!B51</f>
        <v>2020</v>
      </c>
      <c r="C51">
        <f>'Monthly Data'!C51</f>
        <v>2</v>
      </c>
      <c r="D51" s="3">
        <f>'Monthly Data'!AI51</f>
        <v>22856300.672675312</v>
      </c>
      <c r="E51" s="3">
        <f>'Monthly Data'!DR51</f>
        <v>19</v>
      </c>
      <c r="F51" s="3">
        <f>'Monthly Data'!DL51</f>
        <v>801246</v>
      </c>
      <c r="G51" s="3">
        <f>'Monthly Data'!EE51</f>
        <v>0</v>
      </c>
      <c r="H51" s="3">
        <f>'Monthly Data'!EJ51</f>
        <v>0</v>
      </c>
      <c r="J51" s="3">
        <f t="shared" si="11"/>
        <v>-35488752.832239702</v>
      </c>
      <c r="K51" s="3">
        <f t="shared" si="12"/>
        <v>7445564.1656533964</v>
      </c>
      <c r="L51" s="3">
        <f t="shared" si="13"/>
        <v>49789444.107651219</v>
      </c>
      <c r="M51" s="3">
        <f t="shared" si="14"/>
        <v>0</v>
      </c>
      <c r="N51" s="3">
        <f t="shared" si="15"/>
        <v>0</v>
      </c>
      <c r="O51" s="47">
        <f t="shared" si="17"/>
        <v>21746255.441064913</v>
      </c>
      <c r="P51" s="47">
        <f>'Monthly Data'!AJ51</f>
        <v>0</v>
      </c>
      <c r="Q51" s="47">
        <f t="shared" si="18"/>
        <v>21746255.441064913</v>
      </c>
      <c r="R51" s="47">
        <f t="shared" si="19"/>
        <v>-1110045.2316103987</v>
      </c>
      <c r="S51" s="18">
        <f t="shared" si="16"/>
        <v>4.8566268334816615E-2</v>
      </c>
    </row>
    <row r="52" spans="1:19">
      <c r="A52" s="2">
        <f>'Monthly Data'!A52</f>
        <v>43891</v>
      </c>
      <c r="B52">
        <f>'Monthly Data'!B52</f>
        <v>2020</v>
      </c>
      <c r="C52">
        <f>'Monthly Data'!C52</f>
        <v>3</v>
      </c>
      <c r="D52" s="3">
        <f>'Monthly Data'!AI52</f>
        <v>24723944.506790649</v>
      </c>
      <c r="E52" s="3">
        <f>'Monthly Data'!DR52</f>
        <v>22</v>
      </c>
      <c r="F52" s="3">
        <f>'Monthly Data'!DL52</f>
        <v>801246</v>
      </c>
      <c r="G52" s="3">
        <f>'Monthly Data'!EE52</f>
        <v>1</v>
      </c>
      <c r="H52" s="3">
        <f>'Monthly Data'!EJ52</f>
        <v>0.5</v>
      </c>
      <c r="J52" s="3">
        <f t="shared" si="11"/>
        <v>-35488752.832239702</v>
      </c>
      <c r="K52" s="3">
        <f t="shared" si="12"/>
        <v>8621179.5602302477</v>
      </c>
      <c r="L52" s="3">
        <f t="shared" si="13"/>
        <v>49789444.107651219</v>
      </c>
      <c r="M52" s="3">
        <f t="shared" si="14"/>
        <v>0</v>
      </c>
      <c r="N52" s="3">
        <f t="shared" si="15"/>
        <v>1899637.928520455</v>
      </c>
      <c r="O52" s="47">
        <f t="shared" si="17"/>
        <v>24821508.76416222</v>
      </c>
      <c r="P52" s="47">
        <f>'Monthly Data'!AJ52</f>
        <v>0</v>
      </c>
      <c r="Q52" s="47">
        <f t="shared" si="18"/>
        <v>24821508.76416222</v>
      </c>
      <c r="R52" s="47">
        <f t="shared" si="19"/>
        <v>97564.257371570915</v>
      </c>
      <c r="S52" s="18">
        <f t="shared" si="16"/>
        <v>3.946144489394645E-3</v>
      </c>
    </row>
    <row r="53" spans="1:19">
      <c r="A53" s="2">
        <f>'Monthly Data'!A53</f>
        <v>43922</v>
      </c>
      <c r="B53">
        <f>'Monthly Data'!B53</f>
        <v>2020</v>
      </c>
      <c r="C53">
        <f>'Monthly Data'!C53</f>
        <v>4</v>
      </c>
      <c r="D53" s="3">
        <f>'Monthly Data'!AI53</f>
        <v>20883726.349137239</v>
      </c>
      <c r="E53" s="3">
        <f>'Monthly Data'!DR53</f>
        <v>21</v>
      </c>
      <c r="F53" s="3">
        <f>'Monthly Data'!DL53</f>
        <v>705711</v>
      </c>
      <c r="G53" s="3">
        <f>'Monthly Data'!EE53</f>
        <v>1</v>
      </c>
      <c r="H53" s="3">
        <f>'Monthly Data'!EJ53</f>
        <v>1</v>
      </c>
      <c r="J53" s="3">
        <f t="shared" si="11"/>
        <v>-35488752.832239702</v>
      </c>
      <c r="K53" s="3">
        <f t="shared" si="12"/>
        <v>8229307.7620379645</v>
      </c>
      <c r="L53" s="3">
        <f t="shared" si="13"/>
        <v>43852897.101083368</v>
      </c>
      <c r="M53" s="3">
        <f t="shared" si="14"/>
        <v>0</v>
      </c>
      <c r="N53" s="3">
        <f t="shared" si="15"/>
        <v>3799275.8570409101</v>
      </c>
      <c r="O53" s="47">
        <f t="shared" si="17"/>
        <v>20392727.88792254</v>
      </c>
      <c r="P53" s="47">
        <f>'Monthly Data'!AJ53</f>
        <v>0</v>
      </c>
      <c r="Q53" s="47">
        <f t="shared" si="18"/>
        <v>20392727.88792254</v>
      </c>
      <c r="R53" s="47">
        <f t="shared" si="19"/>
        <v>-490998.46121469885</v>
      </c>
      <c r="S53" s="18">
        <f t="shared" si="16"/>
        <v>2.3511056073332585E-2</v>
      </c>
    </row>
    <row r="54" spans="1:19">
      <c r="A54" s="2">
        <f>'Monthly Data'!A54</f>
        <v>43952</v>
      </c>
      <c r="B54">
        <f>'Monthly Data'!B54</f>
        <v>2020</v>
      </c>
      <c r="C54">
        <f>'Monthly Data'!C54</f>
        <v>5</v>
      </c>
      <c r="D54" s="3">
        <f>'Monthly Data'!AI54</f>
        <v>22175174.890061915</v>
      </c>
      <c r="E54" s="3">
        <f>'Monthly Data'!DR54</f>
        <v>20</v>
      </c>
      <c r="F54" s="3">
        <f>'Monthly Data'!DL54</f>
        <v>705711</v>
      </c>
      <c r="G54" s="3">
        <f>'Monthly Data'!EE54</f>
        <v>1</v>
      </c>
      <c r="H54" s="3">
        <f>'Monthly Data'!EJ54</f>
        <v>1</v>
      </c>
      <c r="J54" s="3">
        <f t="shared" si="11"/>
        <v>-35488752.832239702</v>
      </c>
      <c r="K54" s="3">
        <f t="shared" si="12"/>
        <v>7837435.9638456805</v>
      </c>
      <c r="L54" s="3">
        <f t="shared" si="13"/>
        <v>43852897.101083368</v>
      </c>
      <c r="M54" s="3">
        <f t="shared" si="14"/>
        <v>0</v>
      </c>
      <c r="N54" s="3">
        <f t="shared" si="15"/>
        <v>3799275.8570409101</v>
      </c>
      <c r="O54" s="47">
        <f t="shared" si="17"/>
        <v>20000856.089730255</v>
      </c>
      <c r="P54" s="47">
        <f>'Monthly Data'!AJ54</f>
        <v>0</v>
      </c>
      <c r="Q54" s="47">
        <f t="shared" si="18"/>
        <v>20000856.089730255</v>
      </c>
      <c r="R54" s="47">
        <f t="shared" si="19"/>
        <v>-2174318.8003316596</v>
      </c>
      <c r="S54" s="18">
        <f t="shared" si="16"/>
        <v>9.8051934702265101E-2</v>
      </c>
    </row>
    <row r="55" spans="1:19">
      <c r="A55" s="2">
        <f>'Monthly Data'!A55</f>
        <v>43983</v>
      </c>
      <c r="B55">
        <f>'Monthly Data'!B55</f>
        <v>2020</v>
      </c>
      <c r="C55">
        <f>'Monthly Data'!C55</f>
        <v>6</v>
      </c>
      <c r="D55" s="3">
        <f>'Monthly Data'!AI55</f>
        <v>24128951.853554606</v>
      </c>
      <c r="E55" s="3">
        <f>'Monthly Data'!DR55</f>
        <v>22</v>
      </c>
      <c r="F55" s="3">
        <f>'Monthly Data'!DL55</f>
        <v>705711</v>
      </c>
      <c r="G55" s="3">
        <f>'Monthly Data'!EE55</f>
        <v>0</v>
      </c>
      <c r="H55" s="3">
        <f>'Monthly Data'!EJ55</f>
        <v>0.5</v>
      </c>
      <c r="J55" s="3">
        <f t="shared" si="11"/>
        <v>-35488752.832239702</v>
      </c>
      <c r="K55" s="3">
        <f t="shared" si="12"/>
        <v>8621179.5602302477</v>
      </c>
      <c r="L55" s="3">
        <f t="shared" si="13"/>
        <v>43852897.101083368</v>
      </c>
      <c r="M55" s="3">
        <f t="shared" si="14"/>
        <v>0</v>
      </c>
      <c r="N55" s="3">
        <f t="shared" si="15"/>
        <v>1899637.928520455</v>
      </c>
      <c r="O55" s="47">
        <f t="shared" si="17"/>
        <v>18884961.757594369</v>
      </c>
      <c r="P55" s="47">
        <f>'Monthly Data'!AJ55</f>
        <v>0</v>
      </c>
      <c r="Q55" s="47">
        <f t="shared" si="18"/>
        <v>18884961.757594369</v>
      </c>
      <c r="R55" s="47">
        <f t="shared" si="19"/>
        <v>-5243990.0959602371</v>
      </c>
      <c r="S55" s="18">
        <f t="shared" si="16"/>
        <v>0.21733186454958706</v>
      </c>
    </row>
    <row r="56" spans="1:19">
      <c r="A56" s="2">
        <f>'Monthly Data'!A56</f>
        <v>44013</v>
      </c>
      <c r="B56">
        <f>'Monthly Data'!B56</f>
        <v>2020</v>
      </c>
      <c r="C56">
        <f>'Monthly Data'!C56</f>
        <v>7</v>
      </c>
      <c r="D56" s="3">
        <f>'Monthly Data'!AI56</f>
        <v>24825722.509709779</v>
      </c>
      <c r="E56" s="3">
        <f>'Monthly Data'!DR56</f>
        <v>22</v>
      </c>
      <c r="F56" s="3">
        <f>'Monthly Data'!DL56</f>
        <v>778294</v>
      </c>
      <c r="G56" s="3">
        <f>'Monthly Data'!EE56</f>
        <v>0</v>
      </c>
      <c r="H56" s="3">
        <f>'Monthly Data'!EJ56</f>
        <v>0.5</v>
      </c>
      <c r="J56" s="3">
        <f t="shared" si="11"/>
        <v>-35488752.832239702</v>
      </c>
      <c r="K56" s="3">
        <f t="shared" si="12"/>
        <v>8621179.5602302477</v>
      </c>
      <c r="L56" s="3">
        <f t="shared" si="13"/>
        <v>48363206.321554549</v>
      </c>
      <c r="M56" s="3">
        <f t="shared" si="14"/>
        <v>0</v>
      </c>
      <c r="N56" s="3">
        <f t="shared" si="15"/>
        <v>1899637.928520455</v>
      </c>
      <c r="O56" s="47">
        <f t="shared" si="17"/>
        <v>23395270.97806555</v>
      </c>
      <c r="P56" s="47">
        <f>'Monthly Data'!AJ56</f>
        <v>0</v>
      </c>
      <c r="Q56" s="47">
        <f t="shared" si="18"/>
        <v>23395270.97806555</v>
      </c>
      <c r="R56" s="47">
        <f t="shared" si="19"/>
        <v>-1430451.5316442288</v>
      </c>
      <c r="S56" s="18">
        <f t="shared" si="16"/>
        <v>5.7619734172278531E-2</v>
      </c>
    </row>
    <row r="57" spans="1:19">
      <c r="A57" s="2">
        <f>'Monthly Data'!A57</f>
        <v>44044</v>
      </c>
      <c r="B57">
        <f>'Monthly Data'!B57</f>
        <v>2020</v>
      </c>
      <c r="C57">
        <f>'Monthly Data'!C57</f>
        <v>8</v>
      </c>
      <c r="D57" s="3">
        <f>'Monthly Data'!AI57</f>
        <v>22517423.441537522</v>
      </c>
      <c r="E57" s="3">
        <f>'Monthly Data'!DR57</f>
        <v>20</v>
      </c>
      <c r="F57" s="3">
        <f>'Monthly Data'!DL57</f>
        <v>778294</v>
      </c>
      <c r="G57" s="3">
        <f>'Monthly Data'!EE57</f>
        <v>0</v>
      </c>
      <c r="H57" s="3">
        <f>'Monthly Data'!EJ57</f>
        <v>0.5</v>
      </c>
      <c r="J57" s="3">
        <f t="shared" si="11"/>
        <v>-35488752.832239702</v>
      </c>
      <c r="K57" s="3">
        <f t="shared" si="12"/>
        <v>7837435.9638456805</v>
      </c>
      <c r="L57" s="3">
        <f t="shared" si="13"/>
        <v>48363206.321554549</v>
      </c>
      <c r="M57" s="3">
        <f t="shared" si="14"/>
        <v>0</v>
      </c>
      <c r="N57" s="3">
        <f t="shared" si="15"/>
        <v>1899637.928520455</v>
      </c>
      <c r="O57" s="47">
        <f t="shared" si="17"/>
        <v>22611527.381680984</v>
      </c>
      <c r="P57" s="47">
        <f>'Monthly Data'!AJ57</f>
        <v>0</v>
      </c>
      <c r="Q57" s="47">
        <f t="shared" si="18"/>
        <v>22611527.381680984</v>
      </c>
      <c r="R57" s="47">
        <f t="shared" si="19"/>
        <v>94103.94014346227</v>
      </c>
      <c r="S57" s="18">
        <f t="shared" si="16"/>
        <v>4.1791611010818528E-3</v>
      </c>
    </row>
    <row r="58" spans="1:19">
      <c r="A58" s="2">
        <f>'Monthly Data'!A58</f>
        <v>44075</v>
      </c>
      <c r="B58">
        <f>'Monthly Data'!B58</f>
        <v>2020</v>
      </c>
      <c r="C58">
        <f>'Monthly Data'!C58</f>
        <v>9</v>
      </c>
      <c r="D58" s="3">
        <f>'Monthly Data'!AI58</f>
        <v>23104655.938898016</v>
      </c>
      <c r="E58" s="3">
        <f>'Monthly Data'!DR58</f>
        <v>21</v>
      </c>
      <c r="F58" s="3">
        <f>'Monthly Data'!DL58</f>
        <v>778294</v>
      </c>
      <c r="G58" s="3">
        <f>'Monthly Data'!EE58</f>
        <v>0</v>
      </c>
      <c r="H58" s="3">
        <f>'Monthly Data'!EJ58</f>
        <v>0.5</v>
      </c>
      <c r="J58" s="3">
        <f t="shared" si="11"/>
        <v>-35488752.832239702</v>
      </c>
      <c r="K58" s="3">
        <f t="shared" si="12"/>
        <v>8229307.7620379645</v>
      </c>
      <c r="L58" s="3">
        <f t="shared" si="13"/>
        <v>48363206.321554549</v>
      </c>
      <c r="M58" s="3">
        <f t="shared" si="14"/>
        <v>0</v>
      </c>
      <c r="N58" s="3">
        <f t="shared" si="15"/>
        <v>1899637.928520455</v>
      </c>
      <c r="O58" s="47">
        <f t="shared" si="17"/>
        <v>23003399.179873265</v>
      </c>
      <c r="P58" s="47">
        <f>'Monthly Data'!AJ58</f>
        <v>0</v>
      </c>
      <c r="Q58" s="47">
        <f t="shared" si="18"/>
        <v>23003399.179873265</v>
      </c>
      <c r="R58" s="47">
        <f t="shared" si="19"/>
        <v>-101256.75902475044</v>
      </c>
      <c r="S58" s="18">
        <f t="shared" si="16"/>
        <v>4.3825261580406772E-3</v>
      </c>
    </row>
    <row r="59" spans="1:19">
      <c r="A59" s="2">
        <f>'Monthly Data'!A59</f>
        <v>44105</v>
      </c>
      <c r="B59">
        <f>'Monthly Data'!B59</f>
        <v>2020</v>
      </c>
      <c r="C59">
        <f>'Monthly Data'!C59</f>
        <v>10</v>
      </c>
      <c r="D59" s="3">
        <f>'Monthly Data'!AI59</f>
        <v>24111573.215971805</v>
      </c>
      <c r="E59" s="3">
        <f>'Monthly Data'!DR59</f>
        <v>21</v>
      </c>
      <c r="F59" s="3">
        <f>'Monthly Data'!DL59</f>
        <v>797313</v>
      </c>
      <c r="G59" s="3">
        <f>'Monthly Data'!EE59</f>
        <v>0</v>
      </c>
      <c r="H59" s="3">
        <f>'Monthly Data'!EJ59</f>
        <v>0.5</v>
      </c>
      <c r="J59" s="3">
        <f t="shared" si="11"/>
        <v>-35488752.832239702</v>
      </c>
      <c r="K59" s="3">
        <f t="shared" si="12"/>
        <v>8229307.7620379645</v>
      </c>
      <c r="L59" s="3">
        <f t="shared" si="13"/>
        <v>49545047.4009277</v>
      </c>
      <c r="M59" s="3">
        <f t="shared" si="14"/>
        <v>0</v>
      </c>
      <c r="N59" s="3">
        <f t="shared" si="15"/>
        <v>1899637.928520455</v>
      </c>
      <c r="O59" s="47">
        <f t="shared" si="17"/>
        <v>24185240.259246416</v>
      </c>
      <c r="P59" s="47">
        <f>'Monthly Data'!AJ59</f>
        <v>0</v>
      </c>
      <c r="Q59" s="47">
        <f t="shared" si="18"/>
        <v>24185240.259246416</v>
      </c>
      <c r="R59" s="47">
        <f t="shared" si="19"/>
        <v>73667.043274611235</v>
      </c>
      <c r="S59" s="18">
        <f t="shared" si="16"/>
        <v>3.0552566029085682E-3</v>
      </c>
    </row>
    <row r="60" spans="1:19">
      <c r="A60" s="2">
        <f>'Monthly Data'!A60</f>
        <v>44136</v>
      </c>
      <c r="B60">
        <f>'Monthly Data'!B60</f>
        <v>2020</v>
      </c>
      <c r="C60">
        <f>'Monthly Data'!C60</f>
        <v>11</v>
      </c>
      <c r="D60" s="3">
        <f>'Monthly Data'!AI60</f>
        <v>23937218.623693932</v>
      </c>
      <c r="E60" s="3">
        <f>'Monthly Data'!DR60</f>
        <v>21</v>
      </c>
      <c r="F60" s="3">
        <f>'Monthly Data'!DL60</f>
        <v>797313</v>
      </c>
      <c r="G60" s="3">
        <f>'Monthly Data'!EE60</f>
        <v>0</v>
      </c>
      <c r="H60" s="3">
        <f>'Monthly Data'!EJ60</f>
        <v>0.5</v>
      </c>
      <c r="J60" s="3">
        <f t="shared" si="11"/>
        <v>-35488752.832239702</v>
      </c>
      <c r="K60" s="3">
        <f t="shared" si="12"/>
        <v>8229307.7620379645</v>
      </c>
      <c r="L60" s="3">
        <f t="shared" si="13"/>
        <v>49545047.4009277</v>
      </c>
      <c r="M60" s="3">
        <f t="shared" si="14"/>
        <v>0</v>
      </c>
      <c r="N60" s="3">
        <f t="shared" si="15"/>
        <v>1899637.928520455</v>
      </c>
      <c r="O60" s="47">
        <f t="shared" si="17"/>
        <v>24185240.259246416</v>
      </c>
      <c r="P60" s="47">
        <f>'Monthly Data'!AJ60</f>
        <v>0</v>
      </c>
      <c r="Q60" s="47">
        <f t="shared" si="18"/>
        <v>24185240.259246416</v>
      </c>
      <c r="R60" s="47">
        <f t="shared" si="19"/>
        <v>248021.63555248454</v>
      </c>
      <c r="S60" s="18">
        <f t="shared" si="16"/>
        <v>1.0361338944658495E-2</v>
      </c>
    </row>
    <row r="61" spans="1:19">
      <c r="A61" s="2">
        <f>'Monthly Data'!A61</f>
        <v>44166</v>
      </c>
      <c r="B61">
        <f>'Monthly Data'!B61</f>
        <v>2020</v>
      </c>
      <c r="C61">
        <f>'Monthly Data'!C61</f>
        <v>12</v>
      </c>
      <c r="D61" s="3">
        <f>'Monthly Data'!AI61</f>
        <v>23963891.936554126</v>
      </c>
      <c r="E61" s="3">
        <f>'Monthly Data'!DR61</f>
        <v>21</v>
      </c>
      <c r="F61" s="3">
        <f>'Monthly Data'!DL61</f>
        <v>797313</v>
      </c>
      <c r="G61" s="3">
        <f>'Monthly Data'!EE61</f>
        <v>0</v>
      </c>
      <c r="H61" s="3">
        <f>'Monthly Data'!EJ61</f>
        <v>0.5</v>
      </c>
      <c r="J61" s="3">
        <f t="shared" si="11"/>
        <v>-35488752.832239702</v>
      </c>
      <c r="K61" s="3">
        <f t="shared" si="12"/>
        <v>8229307.7620379645</v>
      </c>
      <c r="L61" s="3">
        <f t="shared" si="13"/>
        <v>49545047.4009277</v>
      </c>
      <c r="M61" s="3">
        <f t="shared" si="14"/>
        <v>0</v>
      </c>
      <c r="N61" s="3">
        <f t="shared" si="15"/>
        <v>1899637.928520455</v>
      </c>
      <c r="O61" s="47">
        <f t="shared" si="17"/>
        <v>24185240.259246416</v>
      </c>
      <c r="P61" s="47">
        <f>'Monthly Data'!AJ61</f>
        <v>0</v>
      </c>
      <c r="Q61" s="47">
        <f t="shared" si="18"/>
        <v>24185240.259246416</v>
      </c>
      <c r="R61" s="47">
        <f t="shared" si="19"/>
        <v>221348.32269228995</v>
      </c>
      <c r="S61" s="18">
        <f t="shared" si="16"/>
        <v>9.2367434838348961E-3</v>
      </c>
    </row>
    <row r="62" spans="1:19">
      <c r="A62" s="2">
        <f>'Monthly Data'!A62</f>
        <v>44197</v>
      </c>
      <c r="B62">
        <f>'Monthly Data'!B62</f>
        <v>2021</v>
      </c>
      <c r="C62">
        <f>'Monthly Data'!C62</f>
        <v>1</v>
      </c>
      <c r="D62" s="3">
        <f ca="1">'Monthly Data'!AI62</f>
        <v>26189938.431877881</v>
      </c>
      <c r="E62" s="3">
        <f>'Monthly Data'!DR62</f>
        <v>20</v>
      </c>
      <c r="F62" s="3">
        <f>'Monthly Data'!DL62</f>
        <v>809994</v>
      </c>
      <c r="G62" s="3">
        <f>'Monthly Data'!EE62</f>
        <v>0</v>
      </c>
      <c r="H62" s="3">
        <f>'Monthly Data'!EJ62</f>
        <v>0.5</v>
      </c>
      <c r="J62" s="3">
        <f t="shared" si="11"/>
        <v>-35488752.832239702</v>
      </c>
      <c r="K62" s="3">
        <f t="shared" si="12"/>
        <v>7837435.9638456805</v>
      </c>
      <c r="L62" s="3">
        <f t="shared" si="13"/>
        <v>50333045.020546548</v>
      </c>
      <c r="M62" s="3">
        <f t="shared" si="14"/>
        <v>0</v>
      </c>
      <c r="N62" s="3">
        <f t="shared" si="15"/>
        <v>1899637.928520455</v>
      </c>
      <c r="O62" s="47">
        <f t="shared" si="17"/>
        <v>24581366.080672983</v>
      </c>
      <c r="P62" s="47">
        <f>'Monthly Data'!AJ62</f>
        <v>0</v>
      </c>
      <c r="Q62" s="47">
        <f t="shared" si="18"/>
        <v>24581366.080672983</v>
      </c>
      <c r="R62" s="47">
        <f t="shared" ca="1" si="19"/>
        <v>-1608572.3512048982</v>
      </c>
      <c r="S62" s="18">
        <f t="shared" ca="1" si="16"/>
        <v>6.1419478147645257E-2</v>
      </c>
    </row>
    <row r="63" spans="1:19">
      <c r="A63" s="2">
        <f>'Monthly Data'!A63</f>
        <v>44228</v>
      </c>
      <c r="B63">
        <f>'Monthly Data'!B63</f>
        <v>2021</v>
      </c>
      <c r="C63">
        <f>'Monthly Data'!C63</f>
        <v>2</v>
      </c>
      <c r="D63" s="3">
        <f ca="1">'Monthly Data'!AI63</f>
        <v>24141908.835624848</v>
      </c>
      <c r="E63" s="3">
        <f>'Monthly Data'!DR63</f>
        <v>19</v>
      </c>
      <c r="F63" s="3">
        <f>'Monthly Data'!DL63</f>
        <v>809994</v>
      </c>
      <c r="G63" s="3">
        <f>'Monthly Data'!EE63</f>
        <v>0</v>
      </c>
      <c r="H63" s="3">
        <f>'Monthly Data'!EJ63</f>
        <v>0.5</v>
      </c>
      <c r="J63" s="3">
        <f t="shared" si="11"/>
        <v>-35488752.832239702</v>
      </c>
      <c r="K63" s="3">
        <f t="shared" si="12"/>
        <v>7445564.1656533964</v>
      </c>
      <c r="L63" s="3">
        <f t="shared" si="13"/>
        <v>50333045.020546548</v>
      </c>
      <c r="M63" s="3">
        <f t="shared" si="14"/>
        <v>0</v>
      </c>
      <c r="N63" s="3">
        <f t="shared" si="15"/>
        <v>1899637.928520455</v>
      </c>
      <c r="O63" s="47">
        <f t="shared" si="17"/>
        <v>24189494.282480698</v>
      </c>
      <c r="P63" s="47">
        <f>'Monthly Data'!AJ63</f>
        <v>0</v>
      </c>
      <c r="Q63" s="47">
        <f t="shared" si="18"/>
        <v>24189494.282480698</v>
      </c>
      <c r="R63" s="47">
        <f t="shared" ca="1" si="19"/>
        <v>47585.446855850518</v>
      </c>
      <c r="S63" s="18">
        <f t="shared" ca="1" si="16"/>
        <v>1.9710722619261725E-3</v>
      </c>
    </row>
    <row r="64" spans="1:19">
      <c r="A64" s="2">
        <f>'Monthly Data'!A64</f>
        <v>44256</v>
      </c>
      <c r="B64">
        <f>'Monthly Data'!B64</f>
        <v>2021</v>
      </c>
      <c r="C64">
        <f>'Monthly Data'!C64</f>
        <v>3</v>
      </c>
      <c r="D64" s="3">
        <f ca="1">'Monthly Data'!AI64</f>
        <v>26234461.586210579</v>
      </c>
      <c r="E64" s="3">
        <f>'Monthly Data'!DR64</f>
        <v>23</v>
      </c>
      <c r="F64" s="3">
        <f>'Monthly Data'!DL64</f>
        <v>809994</v>
      </c>
      <c r="G64" s="3">
        <f>'Monthly Data'!EE64</f>
        <v>1</v>
      </c>
      <c r="H64" s="3">
        <f>'Monthly Data'!EJ64</f>
        <v>0.5</v>
      </c>
      <c r="J64" s="3">
        <f t="shared" si="11"/>
        <v>-35488752.832239702</v>
      </c>
      <c r="K64" s="3">
        <f t="shared" si="12"/>
        <v>9013051.3584225327</v>
      </c>
      <c r="L64" s="3">
        <f t="shared" si="13"/>
        <v>50333045.020546548</v>
      </c>
      <c r="M64" s="3">
        <f t="shared" si="14"/>
        <v>0</v>
      </c>
      <c r="N64" s="3">
        <f t="shared" si="15"/>
        <v>1899637.928520455</v>
      </c>
      <c r="O64" s="47">
        <f t="shared" si="17"/>
        <v>25756981.475249834</v>
      </c>
      <c r="P64" s="47">
        <f>'Monthly Data'!AJ64</f>
        <v>0</v>
      </c>
      <c r="Q64" s="47">
        <f t="shared" si="18"/>
        <v>25756981.475249834</v>
      </c>
      <c r="R64" s="47">
        <f t="shared" ca="1" si="19"/>
        <v>-477480.11096074432</v>
      </c>
      <c r="S64" s="18">
        <f t="shared" ca="1" si="16"/>
        <v>1.8200492104313609E-2</v>
      </c>
    </row>
    <row r="65" spans="1:19">
      <c r="A65" s="2">
        <f>'Monthly Data'!A65</f>
        <v>44287</v>
      </c>
      <c r="B65">
        <f>'Monthly Data'!B65</f>
        <v>2021</v>
      </c>
      <c r="C65">
        <f>'Monthly Data'!C65</f>
        <v>4</v>
      </c>
      <c r="D65" s="3">
        <f ca="1">'Monthly Data'!AI65</f>
        <v>24262627.358479142</v>
      </c>
      <c r="E65" s="3">
        <f>'Monthly Data'!DR65</f>
        <v>21</v>
      </c>
      <c r="F65" s="3">
        <f>'Monthly Data'!DL65</f>
        <v>803585</v>
      </c>
      <c r="G65" s="3">
        <f>'Monthly Data'!EE65</f>
        <v>1</v>
      </c>
      <c r="H65" s="3">
        <f>'Monthly Data'!EJ65</f>
        <v>0.5</v>
      </c>
      <c r="J65" s="3">
        <f t="shared" si="11"/>
        <v>-35488752.832239702</v>
      </c>
      <c r="K65" s="3">
        <f t="shared" si="12"/>
        <v>8229307.7620379645</v>
      </c>
      <c r="L65" s="3">
        <f t="shared" si="13"/>
        <v>49934789.619226679</v>
      </c>
      <c r="M65" s="3">
        <f t="shared" si="14"/>
        <v>0</v>
      </c>
      <c r="N65" s="3">
        <f t="shared" si="15"/>
        <v>1899637.928520455</v>
      </c>
      <c r="O65" s="47">
        <f t="shared" si="17"/>
        <v>24574982.477545395</v>
      </c>
      <c r="P65" s="47">
        <f>'Monthly Data'!AJ65</f>
        <v>0</v>
      </c>
      <c r="Q65" s="47">
        <f t="shared" si="18"/>
        <v>24574982.477545395</v>
      </c>
      <c r="R65" s="47">
        <f t="shared" ca="1" si="19"/>
        <v>312355.1190662533</v>
      </c>
      <c r="S65" s="18">
        <f t="shared" ca="1" si="16"/>
        <v>1.2873919813020312E-2</v>
      </c>
    </row>
    <row r="66" spans="1:19">
      <c r="A66" s="2">
        <f>'Monthly Data'!A66</f>
        <v>44317</v>
      </c>
      <c r="B66">
        <f>'Monthly Data'!B66</f>
        <v>2021</v>
      </c>
      <c r="C66">
        <f>'Monthly Data'!C66</f>
        <v>5</v>
      </c>
      <c r="D66" s="3">
        <f ca="1">'Monthly Data'!AI66</f>
        <v>27208862.188208409</v>
      </c>
      <c r="E66" s="3">
        <f>'Monthly Data'!DR66</f>
        <v>20</v>
      </c>
      <c r="F66" s="3">
        <f>'Monthly Data'!DL66</f>
        <v>803585</v>
      </c>
      <c r="G66" s="3">
        <f>'Monthly Data'!EE66</f>
        <v>1</v>
      </c>
      <c r="H66" s="3">
        <f>'Monthly Data'!EJ66</f>
        <v>0.5</v>
      </c>
      <c r="J66" s="3">
        <f t="shared" ref="J66:J97" si="20">$W$8</f>
        <v>-35488752.832239702</v>
      </c>
      <c r="K66" s="3">
        <f t="shared" ref="K66:K97" si="21">E66*$W$9</f>
        <v>7837435.9638456805</v>
      </c>
      <c r="L66" s="3">
        <f t="shared" ref="L66:L97" si="22">F66*$W$10</f>
        <v>49934789.619226679</v>
      </c>
      <c r="M66" s="3">
        <f t="shared" ref="M66:M97" si="23">G66*$W$11</f>
        <v>0</v>
      </c>
      <c r="N66" s="3">
        <f t="shared" ref="N66:N97" si="24">H66*$W$12</f>
        <v>1899637.928520455</v>
      </c>
      <c r="O66" s="47">
        <f t="shared" si="17"/>
        <v>24183110.679353114</v>
      </c>
      <c r="P66" s="47">
        <f>'Monthly Data'!AJ66</f>
        <v>0</v>
      </c>
      <c r="Q66" s="47">
        <f t="shared" si="18"/>
        <v>24183110.679353114</v>
      </c>
      <c r="R66" s="47">
        <f t="shared" ca="1" si="19"/>
        <v>-3025751.5088552944</v>
      </c>
      <c r="S66" s="18">
        <f t="shared" ca="1" si="16"/>
        <v>0.11120463207633041</v>
      </c>
    </row>
    <row r="67" spans="1:19">
      <c r="A67" s="2">
        <f>'Monthly Data'!A67</f>
        <v>44348</v>
      </c>
      <c r="B67">
        <f>'Monthly Data'!B67</f>
        <v>2021</v>
      </c>
      <c r="C67">
        <f>'Monthly Data'!C67</f>
        <v>6</v>
      </c>
      <c r="D67" s="3">
        <f ca="1">'Monthly Data'!AI67</f>
        <v>26492589.334294867</v>
      </c>
      <c r="E67" s="3">
        <f>'Monthly Data'!DR67</f>
        <v>22</v>
      </c>
      <c r="F67" s="3">
        <f>'Monthly Data'!DL67</f>
        <v>803585</v>
      </c>
      <c r="G67" s="3">
        <f>'Monthly Data'!EE67</f>
        <v>0</v>
      </c>
      <c r="H67" s="3">
        <f>'Monthly Data'!EJ67</f>
        <v>0.5</v>
      </c>
      <c r="J67" s="3">
        <f t="shared" si="20"/>
        <v>-35488752.832239702</v>
      </c>
      <c r="K67" s="3">
        <f t="shared" si="21"/>
        <v>8621179.5602302477</v>
      </c>
      <c r="L67" s="3">
        <f t="shared" si="22"/>
        <v>49934789.619226679</v>
      </c>
      <c r="M67" s="3">
        <f t="shared" si="23"/>
        <v>0</v>
      </c>
      <c r="N67" s="3">
        <f t="shared" si="24"/>
        <v>1899637.928520455</v>
      </c>
      <c r="O67" s="47">
        <f t="shared" si="17"/>
        <v>24966854.27573768</v>
      </c>
      <c r="P67" s="47">
        <f>'Monthly Data'!AJ67</f>
        <v>0</v>
      </c>
      <c r="Q67" s="47">
        <f t="shared" si="18"/>
        <v>24966854.27573768</v>
      </c>
      <c r="R67" s="47">
        <f t="shared" ca="1" si="19"/>
        <v>-1525735.0585571863</v>
      </c>
      <c r="S67" s="18">
        <f t="shared" ca="1" si="16"/>
        <v>5.7591013068024659E-2</v>
      </c>
    </row>
    <row r="68" spans="1:19">
      <c r="A68" s="2">
        <f>'Monthly Data'!A68</f>
        <v>44378</v>
      </c>
      <c r="B68">
        <f>'Monthly Data'!B68</f>
        <v>2021</v>
      </c>
      <c r="C68">
        <f>'Monthly Data'!C68</f>
        <v>7</v>
      </c>
      <c r="D68" s="3">
        <f ca="1">'Monthly Data'!AI68</f>
        <v>26773869.976003654</v>
      </c>
      <c r="E68" s="3">
        <f>'Monthly Data'!DR68</f>
        <v>21</v>
      </c>
      <c r="F68" s="3">
        <f>'Monthly Data'!DL68</f>
        <v>821006</v>
      </c>
      <c r="G68" s="3">
        <f>'Monthly Data'!EE68</f>
        <v>0</v>
      </c>
      <c r="H68" s="3">
        <f>'Monthly Data'!EJ68</f>
        <v>0.5</v>
      </c>
      <c r="J68" s="3">
        <f t="shared" si="20"/>
        <v>-35488752.832239702</v>
      </c>
      <c r="K68" s="3">
        <f t="shared" si="21"/>
        <v>8229307.7620379645</v>
      </c>
      <c r="L68" s="3">
        <f t="shared" si="22"/>
        <v>51017330.943363577</v>
      </c>
      <c r="M68" s="3">
        <f t="shared" si="23"/>
        <v>0</v>
      </c>
      <c r="N68" s="3">
        <f t="shared" si="24"/>
        <v>1899637.928520455</v>
      </c>
      <c r="O68" s="47">
        <f t="shared" si="17"/>
        <v>25657523.801682293</v>
      </c>
      <c r="P68" s="47">
        <f>'Monthly Data'!AJ68</f>
        <v>0</v>
      </c>
      <c r="Q68" s="47">
        <f t="shared" si="18"/>
        <v>25657523.801682293</v>
      </c>
      <c r="R68" s="47">
        <f t="shared" ca="1" si="19"/>
        <v>-1116346.1743213609</v>
      </c>
      <c r="S68" s="18">
        <f t="shared" ca="1" si="16"/>
        <v>4.1695361011385247E-2</v>
      </c>
    </row>
    <row r="69" spans="1:19">
      <c r="A69" s="2">
        <f>'Monthly Data'!A69</f>
        <v>44409</v>
      </c>
      <c r="B69">
        <f>'Monthly Data'!B69</f>
        <v>2021</v>
      </c>
      <c r="C69">
        <f>'Monthly Data'!C69</f>
        <v>8</v>
      </c>
      <c r="D69" s="3">
        <f ca="1">'Monthly Data'!AI69</f>
        <v>23634495.910954766</v>
      </c>
      <c r="E69" s="3">
        <f>'Monthly Data'!DR69</f>
        <v>20</v>
      </c>
      <c r="F69" s="3">
        <f>'Monthly Data'!DL69</f>
        <v>821006</v>
      </c>
      <c r="G69" s="3">
        <f>'Monthly Data'!EE69</f>
        <v>0</v>
      </c>
      <c r="H69" s="3">
        <f>'Monthly Data'!EJ69</f>
        <v>0.5</v>
      </c>
      <c r="J69" s="3">
        <f t="shared" si="20"/>
        <v>-35488752.832239702</v>
      </c>
      <c r="K69" s="3">
        <f t="shared" si="21"/>
        <v>7837435.9638456805</v>
      </c>
      <c r="L69" s="3">
        <f t="shared" si="22"/>
        <v>51017330.943363577</v>
      </c>
      <c r="M69" s="3">
        <f t="shared" si="23"/>
        <v>0</v>
      </c>
      <c r="N69" s="3">
        <f t="shared" si="24"/>
        <v>1899637.928520455</v>
      </c>
      <c r="O69" s="47">
        <f t="shared" si="17"/>
        <v>25265652.003490012</v>
      </c>
      <c r="P69" s="47">
        <f>'Monthly Data'!AJ69</f>
        <v>0</v>
      </c>
      <c r="Q69" s="47">
        <f t="shared" si="18"/>
        <v>25265652.003490012</v>
      </c>
      <c r="R69" s="47">
        <f t="shared" ca="1" si="19"/>
        <v>1631156.0925352462</v>
      </c>
      <c r="S69" s="18">
        <f t="shared" ca="1" si="16"/>
        <v>6.9015903646973617E-2</v>
      </c>
    </row>
    <row r="70" spans="1:19">
      <c r="A70" s="2">
        <f>'Monthly Data'!A70</f>
        <v>44440</v>
      </c>
      <c r="B70">
        <f>'Monthly Data'!B70</f>
        <v>2021</v>
      </c>
      <c r="C70">
        <f>'Monthly Data'!C70</f>
        <v>9</v>
      </c>
      <c r="D70" s="3">
        <f ca="1">'Monthly Data'!AI70</f>
        <v>24565533.412133057</v>
      </c>
      <c r="E70" s="3">
        <f>'Monthly Data'!DR70</f>
        <v>20</v>
      </c>
      <c r="F70" s="3">
        <f>'Monthly Data'!DL70</f>
        <v>821006</v>
      </c>
      <c r="G70" s="3">
        <f>'Monthly Data'!EE70</f>
        <v>0</v>
      </c>
      <c r="H70" s="3">
        <f>'Monthly Data'!EJ70</f>
        <v>0.5</v>
      </c>
      <c r="J70" s="3">
        <f t="shared" si="20"/>
        <v>-35488752.832239702</v>
      </c>
      <c r="K70" s="3">
        <f t="shared" si="21"/>
        <v>7837435.9638456805</v>
      </c>
      <c r="L70" s="3">
        <f t="shared" si="22"/>
        <v>51017330.943363577</v>
      </c>
      <c r="M70" s="3">
        <f t="shared" si="23"/>
        <v>0</v>
      </c>
      <c r="N70" s="3">
        <f t="shared" si="24"/>
        <v>1899637.928520455</v>
      </c>
      <c r="O70" s="47">
        <f t="shared" si="17"/>
        <v>25265652.003490012</v>
      </c>
      <c r="P70" s="47">
        <f>'Monthly Data'!AJ70</f>
        <v>0</v>
      </c>
      <c r="Q70" s="47">
        <f t="shared" si="18"/>
        <v>25265652.003490012</v>
      </c>
      <c r="R70" s="47">
        <f t="shared" ca="1" si="19"/>
        <v>700118.59135695547</v>
      </c>
      <c r="S70" s="18">
        <f t="shared" ca="1" si="16"/>
        <v>2.8500036193440152E-2</v>
      </c>
    </row>
    <row r="71" spans="1:19">
      <c r="A71" s="2">
        <f>'Monthly Data'!A71</f>
        <v>44470</v>
      </c>
      <c r="B71">
        <f>'Monthly Data'!B71</f>
        <v>2021</v>
      </c>
      <c r="C71">
        <f>'Monthly Data'!C71</f>
        <v>10</v>
      </c>
      <c r="D71" s="3">
        <f ca="1">'Monthly Data'!AI71</f>
        <v>24983050.912364129</v>
      </c>
      <c r="E71" s="3">
        <f>'Monthly Data'!DR71</f>
        <v>20</v>
      </c>
      <c r="F71" s="3">
        <f>'Monthly Data'!DL71</f>
        <v>840399</v>
      </c>
      <c r="G71" s="3">
        <f>'Monthly Data'!EE71</f>
        <v>0</v>
      </c>
      <c r="H71" s="3">
        <f>'Monthly Data'!EJ71</f>
        <v>0.5</v>
      </c>
      <c r="J71" s="3">
        <f t="shared" si="20"/>
        <v>-35488752.832239702</v>
      </c>
      <c r="K71" s="3">
        <f t="shared" si="21"/>
        <v>7837435.9638456805</v>
      </c>
      <c r="L71" s="3">
        <f t="shared" si="22"/>
        <v>52222412.390983507</v>
      </c>
      <c r="M71" s="3">
        <f t="shared" si="23"/>
        <v>0</v>
      </c>
      <c r="N71" s="3">
        <f t="shared" si="24"/>
        <v>1899637.928520455</v>
      </c>
      <c r="O71" s="47">
        <f t="shared" si="17"/>
        <v>26470733.451109942</v>
      </c>
      <c r="P71" s="47">
        <f>'Monthly Data'!AJ71</f>
        <v>0</v>
      </c>
      <c r="Q71" s="47">
        <f t="shared" si="18"/>
        <v>26470733.451109942</v>
      </c>
      <c r="R71" s="47">
        <f t="shared" ca="1" si="19"/>
        <v>1487682.5387458131</v>
      </c>
      <c r="S71" s="18">
        <f t="shared" ca="1" si="16"/>
        <v>5.9547672698755855E-2</v>
      </c>
    </row>
    <row r="72" spans="1:19">
      <c r="A72" s="2">
        <f>'Monthly Data'!A72</f>
        <v>44501</v>
      </c>
      <c r="B72">
        <f>'Monthly Data'!B72</f>
        <v>2021</v>
      </c>
      <c r="C72">
        <f>'Monthly Data'!C72</f>
        <v>11</v>
      </c>
      <c r="D72" s="3">
        <f ca="1">'Monthly Data'!AI72</f>
        <v>24894524.973444503</v>
      </c>
      <c r="E72" s="3">
        <f>'Monthly Data'!DR72</f>
        <v>22</v>
      </c>
      <c r="F72" s="3">
        <f>'Monthly Data'!DL72</f>
        <v>840399</v>
      </c>
      <c r="G72" s="3">
        <f>'Monthly Data'!EE72</f>
        <v>0</v>
      </c>
      <c r="H72" s="3">
        <f>'Monthly Data'!EJ72</f>
        <v>0.5</v>
      </c>
      <c r="J72" s="3">
        <f t="shared" si="20"/>
        <v>-35488752.832239702</v>
      </c>
      <c r="K72" s="3">
        <f t="shared" si="21"/>
        <v>8621179.5602302477</v>
      </c>
      <c r="L72" s="3">
        <f t="shared" si="22"/>
        <v>52222412.390983507</v>
      </c>
      <c r="M72" s="3">
        <f t="shared" si="23"/>
        <v>0</v>
      </c>
      <c r="N72" s="3">
        <f t="shared" si="24"/>
        <v>1899637.928520455</v>
      </c>
      <c r="O72" s="47">
        <f t="shared" si="17"/>
        <v>27254477.047494508</v>
      </c>
      <c r="P72" s="47">
        <f>'Monthly Data'!AJ72</f>
        <v>0</v>
      </c>
      <c r="Q72" s="47">
        <f t="shared" si="18"/>
        <v>27254477.047494508</v>
      </c>
      <c r="R72" s="47">
        <f t="shared" ca="1" si="19"/>
        <v>2359952.0740500055</v>
      </c>
      <c r="S72" s="18">
        <f t="shared" ca="1" si="16"/>
        <v>9.4798035976481357E-2</v>
      </c>
    </row>
    <row r="73" spans="1:19">
      <c r="A73" s="2">
        <f>'Monthly Data'!A73</f>
        <v>44531</v>
      </c>
      <c r="B73">
        <f>'Monthly Data'!B73</f>
        <v>2021</v>
      </c>
      <c r="C73">
        <f>'Monthly Data'!C73</f>
        <v>12</v>
      </c>
      <c r="D73" s="3">
        <f ca="1">'Monthly Data'!AI73</f>
        <v>24087532.811756127</v>
      </c>
      <c r="E73" s="3">
        <f>'Monthly Data'!DR73</f>
        <v>21</v>
      </c>
      <c r="F73" s="3">
        <f>'Monthly Data'!DL73</f>
        <v>840399</v>
      </c>
      <c r="G73" s="3">
        <f>'Monthly Data'!EE73</f>
        <v>0</v>
      </c>
      <c r="H73" s="3">
        <f>'Monthly Data'!EJ73</f>
        <v>0.5</v>
      </c>
      <c r="J73" s="3">
        <f t="shared" si="20"/>
        <v>-35488752.832239702</v>
      </c>
      <c r="K73" s="3">
        <f t="shared" si="21"/>
        <v>8229307.7620379645</v>
      </c>
      <c r="L73" s="3">
        <f t="shared" si="22"/>
        <v>52222412.390983507</v>
      </c>
      <c r="M73" s="3">
        <f t="shared" si="23"/>
        <v>0</v>
      </c>
      <c r="N73" s="3">
        <f t="shared" si="24"/>
        <v>1899637.928520455</v>
      </c>
      <c r="O73" s="47">
        <f t="shared" si="17"/>
        <v>26862605.249302223</v>
      </c>
      <c r="P73" s="47">
        <f>'Monthly Data'!AJ73</f>
        <v>0</v>
      </c>
      <c r="Q73" s="47">
        <f t="shared" si="18"/>
        <v>26862605.249302223</v>
      </c>
      <c r="R73" s="47">
        <f t="shared" ca="1" si="19"/>
        <v>2775072.4375460967</v>
      </c>
      <c r="S73" s="18">
        <f t="shared" ca="1" si="16"/>
        <v>0.11520783216916673</v>
      </c>
    </row>
    <row r="74" spans="1:19">
      <c r="A74" s="2">
        <f>'Monthly Data'!A74</f>
        <v>44562</v>
      </c>
      <c r="B74">
        <f>'Monthly Data'!B74</f>
        <v>2022</v>
      </c>
      <c r="C74">
        <f>'Monthly Data'!C74</f>
        <v>1</v>
      </c>
      <c r="D74" s="3">
        <f ca="1">'Monthly Data'!AI74</f>
        <v>25714750.850941792</v>
      </c>
      <c r="E74" s="3">
        <f>'Monthly Data'!DR74</f>
        <v>20</v>
      </c>
      <c r="F74" s="3">
        <f>'Monthly Data'!DL74</f>
        <v>847546</v>
      </c>
      <c r="G74" s="3">
        <f>'Monthly Data'!EE74</f>
        <v>0</v>
      </c>
      <c r="H74" s="3">
        <f>'Monthly Data'!EJ74</f>
        <v>0.25</v>
      </c>
      <c r="J74" s="3">
        <f t="shared" si="20"/>
        <v>-35488752.832239702</v>
      </c>
      <c r="K74" s="3">
        <f t="shared" si="21"/>
        <v>7837435.9638456805</v>
      </c>
      <c r="L74" s="3">
        <f t="shared" si="22"/>
        <v>52666527.128576435</v>
      </c>
      <c r="M74" s="3">
        <f t="shared" si="23"/>
        <v>0</v>
      </c>
      <c r="N74" s="3">
        <f t="shared" si="24"/>
        <v>949818.96426022751</v>
      </c>
      <c r="O74" s="47">
        <f t="shared" si="17"/>
        <v>25965029.224442642</v>
      </c>
      <c r="P74" s="47">
        <f>'Monthly Data'!AJ74</f>
        <v>13.461538461538462</v>
      </c>
      <c r="Q74" s="47">
        <f t="shared" si="18"/>
        <v>25965042.685981102</v>
      </c>
      <c r="R74" s="47">
        <f t="shared" ca="1" si="19"/>
        <v>250291.83503931016</v>
      </c>
      <c r="S74" s="18">
        <f t="shared" ref="S74:S97" ca="1" si="25">ABS(R74/D74)</f>
        <v>9.7333952986810024E-3</v>
      </c>
    </row>
    <row r="75" spans="1:19">
      <c r="A75" s="2">
        <f>'Monthly Data'!A75</f>
        <v>44593</v>
      </c>
      <c r="B75">
        <f>'Monthly Data'!B75</f>
        <v>2022</v>
      </c>
      <c r="C75">
        <f>'Monthly Data'!C75</f>
        <v>2</v>
      </c>
      <c r="D75" s="3">
        <f ca="1">'Monthly Data'!AI75</f>
        <v>24633344.4596388</v>
      </c>
      <c r="E75" s="3">
        <f>'Monthly Data'!DR75</f>
        <v>19</v>
      </c>
      <c r="F75" s="3">
        <f>'Monthly Data'!DL75</f>
        <v>847546</v>
      </c>
      <c r="G75" s="3">
        <f>'Monthly Data'!EE75</f>
        <v>0</v>
      </c>
      <c r="H75" s="3">
        <f>'Monthly Data'!EJ75</f>
        <v>0.25</v>
      </c>
      <c r="J75" s="3">
        <f t="shared" si="20"/>
        <v>-35488752.832239702</v>
      </c>
      <c r="K75" s="3">
        <f t="shared" si="21"/>
        <v>7445564.1656533964</v>
      </c>
      <c r="L75" s="3">
        <f t="shared" si="22"/>
        <v>52666527.128576435</v>
      </c>
      <c r="M75" s="3">
        <f t="shared" si="23"/>
        <v>0</v>
      </c>
      <c r="N75" s="3">
        <f t="shared" si="24"/>
        <v>949818.96426022751</v>
      </c>
      <c r="O75" s="47">
        <f t="shared" si="17"/>
        <v>25573157.426250357</v>
      </c>
      <c r="P75" s="47">
        <f>'Monthly Data'!AJ75</f>
        <v>26.923076923076923</v>
      </c>
      <c r="Q75" s="47">
        <f t="shared" si="18"/>
        <v>25573184.349327281</v>
      </c>
      <c r="R75" s="47">
        <f t="shared" ca="1" si="19"/>
        <v>939839.88968848065</v>
      </c>
      <c r="S75" s="18">
        <f t="shared" ca="1" si="25"/>
        <v>3.8153158261899349E-2</v>
      </c>
    </row>
    <row r="76" spans="1:19">
      <c r="A76" s="2">
        <f>'Monthly Data'!A76</f>
        <v>44621</v>
      </c>
      <c r="B76">
        <f>'Monthly Data'!B76</f>
        <v>2022</v>
      </c>
      <c r="C76">
        <f>'Monthly Data'!C76</f>
        <v>3</v>
      </c>
      <c r="D76" s="3">
        <f ca="1">'Monthly Data'!AI76</f>
        <v>27835611.741129071</v>
      </c>
      <c r="E76" s="3">
        <f>'Monthly Data'!DR76</f>
        <v>23</v>
      </c>
      <c r="F76" s="3">
        <f>'Monthly Data'!DL76</f>
        <v>847546</v>
      </c>
      <c r="G76" s="3">
        <f>'Monthly Data'!EE76</f>
        <v>1</v>
      </c>
      <c r="H76" s="3">
        <f>'Monthly Data'!EJ76</f>
        <v>0.25</v>
      </c>
      <c r="J76" s="3">
        <f t="shared" si="20"/>
        <v>-35488752.832239702</v>
      </c>
      <c r="K76" s="3">
        <f t="shared" si="21"/>
        <v>9013051.3584225327</v>
      </c>
      <c r="L76" s="3">
        <f t="shared" si="22"/>
        <v>52666527.128576435</v>
      </c>
      <c r="M76" s="3">
        <f t="shared" si="23"/>
        <v>0</v>
      </c>
      <c r="N76" s="3">
        <f t="shared" si="24"/>
        <v>949818.96426022751</v>
      </c>
      <c r="O76" s="47">
        <f t="shared" si="17"/>
        <v>27140644.619019493</v>
      </c>
      <c r="P76" s="47">
        <f>'Monthly Data'!AJ76</f>
        <v>40.384615384615387</v>
      </c>
      <c r="Q76" s="47">
        <f t="shared" si="18"/>
        <v>27140685.003634878</v>
      </c>
      <c r="R76" s="47">
        <f t="shared" ca="1" si="19"/>
        <v>-694926.73749419302</v>
      </c>
      <c r="S76" s="18">
        <f t="shared" ca="1" si="25"/>
        <v>2.4965384053959552E-2</v>
      </c>
    </row>
    <row r="77" spans="1:19">
      <c r="A77" s="2">
        <f>'Monthly Data'!A77</f>
        <v>44652</v>
      </c>
      <c r="B77">
        <f>'Monthly Data'!B77</f>
        <v>2022</v>
      </c>
      <c r="C77">
        <f>'Monthly Data'!C77</f>
        <v>4</v>
      </c>
      <c r="D77" s="3">
        <f ca="1">'Monthly Data'!AI77</f>
        <v>26219154.21886107</v>
      </c>
      <c r="E77" s="3">
        <f>'Monthly Data'!DR77</f>
        <v>20</v>
      </c>
      <c r="F77" s="3">
        <f>'Monthly Data'!DL77</f>
        <v>854755</v>
      </c>
      <c r="G77" s="3">
        <f>'Monthly Data'!EE77</f>
        <v>1</v>
      </c>
      <c r="H77" s="3">
        <f>'Monthly Data'!EJ77</f>
        <v>0.25</v>
      </c>
      <c r="J77" s="3">
        <f t="shared" si="20"/>
        <v>-35488752.832239702</v>
      </c>
      <c r="K77" s="3">
        <f t="shared" si="21"/>
        <v>7837435.9638456805</v>
      </c>
      <c r="L77" s="3">
        <f t="shared" si="22"/>
        <v>53114494.547536477</v>
      </c>
      <c r="M77" s="3">
        <f t="shared" si="23"/>
        <v>0</v>
      </c>
      <c r="N77" s="3">
        <f t="shared" si="24"/>
        <v>949818.96426022751</v>
      </c>
      <c r="O77" s="47">
        <f t="shared" si="17"/>
        <v>26412996.643402684</v>
      </c>
      <c r="P77" s="47">
        <f>'Monthly Data'!AJ77</f>
        <v>53.846153846153847</v>
      </c>
      <c r="Q77" s="47">
        <f t="shared" si="18"/>
        <v>26413050.489556532</v>
      </c>
      <c r="R77" s="47">
        <f t="shared" ca="1" si="19"/>
        <v>193896.27069546282</v>
      </c>
      <c r="S77" s="18">
        <f t="shared" ca="1" si="25"/>
        <v>7.3952145472328456E-3</v>
      </c>
    </row>
    <row r="78" spans="1:19">
      <c r="A78" s="2">
        <f>'Monthly Data'!A78</f>
        <v>44682</v>
      </c>
      <c r="B78">
        <f>'Monthly Data'!B78</f>
        <v>2022</v>
      </c>
      <c r="C78">
        <f>'Monthly Data'!C78</f>
        <v>5</v>
      </c>
      <c r="D78" s="3">
        <f ca="1">'Monthly Data'!AI78</f>
        <v>27190067.63039704</v>
      </c>
      <c r="E78" s="3">
        <f>'Monthly Data'!DR78</f>
        <v>21</v>
      </c>
      <c r="F78" s="3">
        <f>'Monthly Data'!DL78</f>
        <v>854755</v>
      </c>
      <c r="G78" s="3">
        <f>'Monthly Data'!EE78</f>
        <v>1</v>
      </c>
      <c r="H78" s="3">
        <f>'Monthly Data'!EJ78</f>
        <v>0.25</v>
      </c>
      <c r="J78" s="3">
        <f t="shared" si="20"/>
        <v>-35488752.832239702</v>
      </c>
      <c r="K78" s="3">
        <f t="shared" si="21"/>
        <v>8229307.7620379645</v>
      </c>
      <c r="L78" s="3">
        <f t="shared" si="22"/>
        <v>53114494.547536477</v>
      </c>
      <c r="M78" s="3">
        <f t="shared" si="23"/>
        <v>0</v>
      </c>
      <c r="N78" s="3">
        <f t="shared" si="24"/>
        <v>949818.96426022751</v>
      </c>
      <c r="O78" s="47">
        <f t="shared" si="17"/>
        <v>26804868.441594966</v>
      </c>
      <c r="P78" s="47">
        <f>'Monthly Data'!AJ78</f>
        <v>67.307692307692307</v>
      </c>
      <c r="Q78" s="47">
        <f t="shared" si="18"/>
        <v>26804935.749287274</v>
      </c>
      <c r="R78" s="47">
        <f t="shared" ca="1" si="19"/>
        <v>-385131.88110976666</v>
      </c>
      <c r="S78" s="18">
        <f t="shared" ca="1" si="25"/>
        <v>1.4164432628303206E-2</v>
      </c>
    </row>
    <row r="79" spans="1:19">
      <c r="A79" s="2">
        <f>'Monthly Data'!A79</f>
        <v>44713</v>
      </c>
      <c r="B79">
        <f>'Monthly Data'!B79</f>
        <v>2022</v>
      </c>
      <c r="C79">
        <f>'Monthly Data'!C79</f>
        <v>6</v>
      </c>
      <c r="D79" s="3">
        <f ca="1">'Monthly Data'!AI79</f>
        <v>26845969.559002332</v>
      </c>
      <c r="E79" s="3">
        <f>'Monthly Data'!DR79</f>
        <v>22</v>
      </c>
      <c r="F79" s="3">
        <f>'Monthly Data'!DL79</f>
        <v>854755</v>
      </c>
      <c r="G79" s="3">
        <f>'Monthly Data'!EE79</f>
        <v>0</v>
      </c>
      <c r="H79" s="3">
        <f>'Monthly Data'!EJ79</f>
        <v>0.25</v>
      </c>
      <c r="J79" s="3">
        <f t="shared" si="20"/>
        <v>-35488752.832239702</v>
      </c>
      <c r="K79" s="3">
        <f t="shared" si="21"/>
        <v>8621179.5602302477</v>
      </c>
      <c r="L79" s="3">
        <f t="shared" si="22"/>
        <v>53114494.547536477</v>
      </c>
      <c r="M79" s="3">
        <f t="shared" si="23"/>
        <v>0</v>
      </c>
      <c r="N79" s="3">
        <f t="shared" si="24"/>
        <v>949818.96426022751</v>
      </c>
      <c r="O79" s="47">
        <f t="shared" si="17"/>
        <v>27196740.239787251</v>
      </c>
      <c r="P79" s="47">
        <f>'Monthly Data'!AJ79</f>
        <v>80.769230769230774</v>
      </c>
      <c r="Q79" s="47">
        <f t="shared" si="18"/>
        <v>27196821.009018019</v>
      </c>
      <c r="R79" s="47">
        <f t="shared" ca="1" si="19"/>
        <v>350851.45001568645</v>
      </c>
      <c r="S79" s="18">
        <f t="shared" ca="1" si="25"/>
        <v>1.3069054900199516E-2</v>
      </c>
    </row>
    <row r="80" spans="1:19">
      <c r="A80" s="2">
        <f>'Monthly Data'!A80</f>
        <v>44743</v>
      </c>
      <c r="B80">
        <f>'Monthly Data'!B80</f>
        <v>2022</v>
      </c>
      <c r="C80">
        <f>'Monthly Data'!C80</f>
        <v>7</v>
      </c>
      <c r="D80" s="3">
        <f ca="1">'Monthly Data'!AI80</f>
        <v>26578206.888927151</v>
      </c>
      <c r="E80" s="3">
        <f>'Monthly Data'!DR80</f>
        <v>20</v>
      </c>
      <c r="F80" s="3">
        <f>'Monthly Data'!DL80</f>
        <v>856819</v>
      </c>
      <c r="G80" s="3">
        <f>'Monthly Data'!EE80</f>
        <v>0</v>
      </c>
      <c r="H80" s="3">
        <f>'Monthly Data'!EJ80</f>
        <v>0.25</v>
      </c>
      <c r="J80" s="3">
        <f t="shared" si="20"/>
        <v>-35488752.832239702</v>
      </c>
      <c r="K80" s="3">
        <f t="shared" si="21"/>
        <v>7837435.9638456805</v>
      </c>
      <c r="L80" s="3">
        <f t="shared" si="22"/>
        <v>53242751.553048134</v>
      </c>
      <c r="M80" s="3">
        <f t="shared" si="23"/>
        <v>0</v>
      </c>
      <c r="N80" s="3">
        <f t="shared" si="24"/>
        <v>949818.96426022751</v>
      </c>
      <c r="O80" s="47">
        <f t="shared" si="17"/>
        <v>26541253.648914341</v>
      </c>
      <c r="P80" s="47">
        <f>'Monthly Data'!AJ80</f>
        <v>94.230769230769226</v>
      </c>
      <c r="Q80" s="47">
        <f t="shared" si="18"/>
        <v>26541347.879683573</v>
      </c>
      <c r="R80" s="47">
        <f t="shared" ca="1" si="19"/>
        <v>-36859.009243577719</v>
      </c>
      <c r="S80" s="18">
        <f t="shared" ca="1" si="25"/>
        <v>1.3868132413001003E-3</v>
      </c>
    </row>
    <row r="81" spans="1:19">
      <c r="A81" s="2">
        <f>'Monthly Data'!A81</f>
        <v>44774</v>
      </c>
      <c r="B81">
        <f>'Monthly Data'!B81</f>
        <v>2022</v>
      </c>
      <c r="C81">
        <f>'Monthly Data'!C81</f>
        <v>8</v>
      </c>
      <c r="D81" s="3">
        <f ca="1">'Monthly Data'!AI81</f>
        <v>20993520.046876647</v>
      </c>
      <c r="E81" s="3">
        <f>'Monthly Data'!DR81</f>
        <v>22</v>
      </c>
      <c r="F81" s="3">
        <f>'Monthly Data'!DL81</f>
        <v>856819</v>
      </c>
      <c r="G81" s="3">
        <f>'Monthly Data'!EE81</f>
        <v>0</v>
      </c>
      <c r="H81" s="3">
        <f>'Monthly Data'!EJ81</f>
        <v>0.25</v>
      </c>
      <c r="J81" s="3">
        <f t="shared" si="20"/>
        <v>-35488752.832239702</v>
      </c>
      <c r="K81" s="3">
        <f t="shared" si="21"/>
        <v>8621179.5602302477</v>
      </c>
      <c r="L81" s="3">
        <f t="shared" si="22"/>
        <v>53242751.553048134</v>
      </c>
      <c r="M81" s="3">
        <f t="shared" si="23"/>
        <v>0</v>
      </c>
      <c r="N81" s="3">
        <f t="shared" si="24"/>
        <v>949818.96426022751</v>
      </c>
      <c r="O81" s="47">
        <f t="shared" si="17"/>
        <v>27324997.245298907</v>
      </c>
      <c r="P81" s="47">
        <f>'Monthly Data'!AJ81</f>
        <v>107.69230769230769</v>
      </c>
      <c r="Q81" s="47">
        <f t="shared" si="18"/>
        <v>27325104.937606599</v>
      </c>
      <c r="R81" s="47">
        <f t="shared" ca="1" si="19"/>
        <v>6331584.8907299526</v>
      </c>
      <c r="S81" s="18">
        <f t="shared" ca="1" si="25"/>
        <v>0.30159710599232964</v>
      </c>
    </row>
    <row r="82" spans="1:19">
      <c r="A82" s="2">
        <f>'Monthly Data'!A82</f>
        <v>44805</v>
      </c>
      <c r="B82">
        <f>'Monthly Data'!B82</f>
        <v>2022</v>
      </c>
      <c r="C82">
        <f>'Monthly Data'!C82</f>
        <v>9</v>
      </c>
      <c r="D82" s="3">
        <f ca="1">'Monthly Data'!AI82</f>
        <v>25449598.868150312</v>
      </c>
      <c r="E82" s="3">
        <f>'Monthly Data'!DR82</f>
        <v>20</v>
      </c>
      <c r="F82" s="3">
        <f>'Monthly Data'!DL82</f>
        <v>856819</v>
      </c>
      <c r="G82" s="3">
        <f>'Monthly Data'!EE82</f>
        <v>0</v>
      </c>
      <c r="H82" s="3">
        <f>'Monthly Data'!EJ82</f>
        <v>0.25</v>
      </c>
      <c r="J82" s="3">
        <f t="shared" si="20"/>
        <v>-35488752.832239702</v>
      </c>
      <c r="K82" s="3">
        <f t="shared" si="21"/>
        <v>7837435.9638456805</v>
      </c>
      <c r="L82" s="3">
        <f t="shared" si="22"/>
        <v>53242751.553048134</v>
      </c>
      <c r="M82" s="3">
        <f t="shared" si="23"/>
        <v>0</v>
      </c>
      <c r="N82" s="3">
        <f t="shared" si="24"/>
        <v>949818.96426022751</v>
      </c>
      <c r="O82" s="47">
        <f t="shared" si="17"/>
        <v>26541253.648914341</v>
      </c>
      <c r="P82" s="47">
        <f>'Monthly Data'!AJ82</f>
        <v>121.15384615384616</v>
      </c>
      <c r="Q82" s="47">
        <f t="shared" si="18"/>
        <v>26541374.802760493</v>
      </c>
      <c r="R82" s="47">
        <f t="shared" ca="1" si="19"/>
        <v>1091775.9346101806</v>
      </c>
      <c r="S82" s="18">
        <f t="shared" ca="1" si="25"/>
        <v>4.2899534105290647E-2</v>
      </c>
    </row>
    <row r="83" spans="1:19">
      <c r="A83" s="2">
        <f>'Monthly Data'!A83</f>
        <v>44835</v>
      </c>
      <c r="B83">
        <f>'Monthly Data'!B83</f>
        <v>2022</v>
      </c>
      <c r="C83">
        <f>'Monthly Data'!C83</f>
        <v>10</v>
      </c>
      <c r="D83" s="3">
        <f ca="1">'Monthly Data'!AI83</f>
        <v>25929089.388716023</v>
      </c>
      <c r="E83" s="3">
        <f>'Monthly Data'!DR83</f>
        <v>20</v>
      </c>
      <c r="F83" s="3">
        <f>'Monthly Data'!DL83</f>
        <v>856887</v>
      </c>
      <c r="G83" s="3">
        <f>'Monthly Data'!EE83</f>
        <v>0</v>
      </c>
      <c r="H83" s="3">
        <f>'Monthly Data'!EJ83</f>
        <v>0.25</v>
      </c>
      <c r="J83" s="3">
        <f t="shared" si="20"/>
        <v>-35488752.832239702</v>
      </c>
      <c r="K83" s="3">
        <f t="shared" si="21"/>
        <v>7837435.9638456805</v>
      </c>
      <c r="L83" s="3">
        <f t="shared" si="22"/>
        <v>53246977.074547552</v>
      </c>
      <c r="M83" s="3">
        <f t="shared" si="23"/>
        <v>0</v>
      </c>
      <c r="N83" s="3">
        <f t="shared" si="24"/>
        <v>949818.96426022751</v>
      </c>
      <c r="O83" s="47">
        <f t="shared" si="17"/>
        <v>26545479.170413759</v>
      </c>
      <c r="P83" s="47">
        <f>'Monthly Data'!AJ83</f>
        <v>134.61538461538461</v>
      </c>
      <c r="Q83" s="47">
        <f t="shared" si="18"/>
        <v>26545613.785798375</v>
      </c>
      <c r="R83" s="47">
        <f t="shared" ca="1" si="19"/>
        <v>616524.39708235115</v>
      </c>
      <c r="S83" s="18">
        <f t="shared" ca="1" si="25"/>
        <v>2.3777325452495602E-2</v>
      </c>
    </row>
    <row r="84" spans="1:19">
      <c r="A84" s="2">
        <f>'Monthly Data'!A84</f>
        <v>44866</v>
      </c>
      <c r="B84">
        <f>'Monthly Data'!B84</f>
        <v>2022</v>
      </c>
      <c r="C84">
        <f>'Monthly Data'!C84</f>
        <v>11</v>
      </c>
      <c r="D84" s="3">
        <f ca="1">'Monthly Data'!AI84</f>
        <v>25110158.162168786</v>
      </c>
      <c r="E84" s="3">
        <f>'Monthly Data'!DR84</f>
        <v>22</v>
      </c>
      <c r="F84" s="3">
        <f>'Monthly Data'!DL84</f>
        <v>856887</v>
      </c>
      <c r="G84" s="3">
        <f>'Monthly Data'!EE84</f>
        <v>0</v>
      </c>
      <c r="H84" s="3">
        <f>'Monthly Data'!EJ84</f>
        <v>0.25</v>
      </c>
      <c r="J84" s="3">
        <f t="shared" si="20"/>
        <v>-35488752.832239702</v>
      </c>
      <c r="K84" s="3">
        <f t="shared" si="21"/>
        <v>8621179.5602302477</v>
      </c>
      <c r="L84" s="3">
        <f t="shared" si="22"/>
        <v>53246977.074547552</v>
      </c>
      <c r="M84" s="3">
        <f t="shared" si="23"/>
        <v>0</v>
      </c>
      <c r="N84" s="3">
        <f t="shared" si="24"/>
        <v>949818.96426022751</v>
      </c>
      <c r="O84" s="47">
        <f t="shared" si="17"/>
        <v>27329222.766798325</v>
      </c>
      <c r="P84" s="47">
        <f>'Monthly Data'!AJ84</f>
        <v>148.07692307692307</v>
      </c>
      <c r="Q84" s="47">
        <f t="shared" si="18"/>
        <v>27329370.843721401</v>
      </c>
      <c r="R84" s="47">
        <f t="shared" ca="1" si="19"/>
        <v>2219212.681552615</v>
      </c>
      <c r="S84" s="18">
        <f t="shared" ca="1" si="25"/>
        <v>8.8379080180231717E-2</v>
      </c>
    </row>
    <row r="85" spans="1:19">
      <c r="A85" s="2">
        <f>'Monthly Data'!A85</f>
        <v>44896</v>
      </c>
      <c r="B85">
        <f>'Monthly Data'!B85</f>
        <v>2022</v>
      </c>
      <c r="C85">
        <f>'Monthly Data'!C85</f>
        <v>12</v>
      </c>
      <c r="D85" s="3">
        <f ca="1">'Monthly Data'!AI85</f>
        <v>25555432.132288653</v>
      </c>
      <c r="E85" s="3">
        <f>'Monthly Data'!DR85</f>
        <v>20</v>
      </c>
      <c r="F85" s="3">
        <f>'Monthly Data'!DL85</f>
        <v>856887</v>
      </c>
      <c r="G85" s="3">
        <f>'Monthly Data'!EE85</f>
        <v>0</v>
      </c>
      <c r="H85" s="3">
        <f>'Monthly Data'!EJ85</f>
        <v>0.25</v>
      </c>
      <c r="J85" s="3">
        <f t="shared" si="20"/>
        <v>-35488752.832239702</v>
      </c>
      <c r="K85" s="3">
        <f t="shared" si="21"/>
        <v>7837435.9638456805</v>
      </c>
      <c r="L85" s="3">
        <f t="shared" si="22"/>
        <v>53246977.074547552</v>
      </c>
      <c r="M85" s="3">
        <f t="shared" si="23"/>
        <v>0</v>
      </c>
      <c r="N85" s="3">
        <f t="shared" si="24"/>
        <v>949818.96426022751</v>
      </c>
      <c r="O85" s="47">
        <f t="shared" si="17"/>
        <v>26545479.170413759</v>
      </c>
      <c r="P85" s="47">
        <f>'Monthly Data'!AJ85</f>
        <v>161.53846153846155</v>
      </c>
      <c r="Q85" s="47">
        <f t="shared" si="18"/>
        <v>26545640.708875299</v>
      </c>
      <c r="R85" s="47">
        <f t="shared" ca="1" si="19"/>
        <v>990208.5765866451</v>
      </c>
      <c r="S85" s="18">
        <f t="shared" ca="1" si="25"/>
        <v>3.8747479262365561E-2</v>
      </c>
    </row>
    <row r="86" spans="1:19">
      <c r="A86" s="2">
        <f>'Monthly Data'!A86</f>
        <v>44927</v>
      </c>
      <c r="B86">
        <f>'Monthly Data'!B86</f>
        <v>2023</v>
      </c>
      <c r="C86">
        <f>'Monthly Data'!C86</f>
        <v>1</v>
      </c>
      <c r="D86" s="3">
        <f ca="1">'Monthly Data'!AI86</f>
        <v>26662521.527001314</v>
      </c>
      <c r="E86" s="3">
        <f>'Monthly Data'!DR86</f>
        <v>21</v>
      </c>
      <c r="F86" s="3">
        <f>'Monthly Data'!DL86</f>
        <v>867096</v>
      </c>
      <c r="G86" s="3">
        <f>'Monthly Data'!EE86</f>
        <v>0</v>
      </c>
      <c r="H86" s="3">
        <f>'Monthly Data'!EJ86</f>
        <v>0</v>
      </c>
      <c r="J86" s="3">
        <f t="shared" si="20"/>
        <v>-35488752.832239702</v>
      </c>
      <c r="K86" s="3">
        <f t="shared" si="21"/>
        <v>8229307.7620379645</v>
      </c>
      <c r="L86" s="3">
        <f t="shared" si="22"/>
        <v>53881364.559658252</v>
      </c>
      <c r="M86" s="3">
        <f t="shared" si="23"/>
        <v>0</v>
      </c>
      <c r="N86" s="3">
        <f t="shared" si="24"/>
        <v>0</v>
      </c>
      <c r="O86" s="47">
        <f t="shared" si="17"/>
        <v>26621919.489456512</v>
      </c>
      <c r="P86" s="47">
        <f>'Monthly Data'!AJ86</f>
        <v>215.38461538461539</v>
      </c>
      <c r="Q86" s="47">
        <f t="shared" si="18"/>
        <v>26622134.874071896</v>
      </c>
      <c r="R86" s="47">
        <f t="shared" ca="1" si="19"/>
        <v>-40386.652929417789</v>
      </c>
      <c r="S86" s="18">
        <f t="shared" ca="1" si="25"/>
        <v>1.5147349393986596E-3</v>
      </c>
    </row>
    <row r="87" spans="1:19">
      <c r="A87" s="2">
        <f>'Monthly Data'!A87</f>
        <v>44958</v>
      </c>
      <c r="B87">
        <f>'Monthly Data'!B87</f>
        <v>2023</v>
      </c>
      <c r="C87">
        <f>'Monthly Data'!C87</f>
        <v>2</v>
      </c>
      <c r="D87" s="3">
        <f ca="1">'Monthly Data'!AI87</f>
        <v>24798406.9429878</v>
      </c>
      <c r="E87" s="3">
        <f>'Monthly Data'!DR87</f>
        <v>19</v>
      </c>
      <c r="F87" s="3">
        <f>'Monthly Data'!DL87</f>
        <v>867096</v>
      </c>
      <c r="G87" s="3">
        <f>'Monthly Data'!EE87</f>
        <v>0</v>
      </c>
      <c r="H87" s="3">
        <f>'Monthly Data'!EJ87</f>
        <v>0</v>
      </c>
      <c r="J87" s="3">
        <f t="shared" si="20"/>
        <v>-35488752.832239702</v>
      </c>
      <c r="K87" s="3">
        <f t="shared" si="21"/>
        <v>7445564.1656533964</v>
      </c>
      <c r="L87" s="3">
        <f t="shared" si="22"/>
        <v>53881364.559658252</v>
      </c>
      <c r="M87" s="3">
        <f t="shared" si="23"/>
        <v>0</v>
      </c>
      <c r="N87" s="3">
        <f t="shared" si="24"/>
        <v>0</v>
      </c>
      <c r="O87" s="47">
        <f t="shared" si="17"/>
        <v>25838175.893071946</v>
      </c>
      <c r="P87" s="47">
        <f>'Monthly Data'!AJ87</f>
        <v>255.76923076923077</v>
      </c>
      <c r="Q87" s="47">
        <f t="shared" si="18"/>
        <v>25838431.662302714</v>
      </c>
      <c r="R87" s="47">
        <f t="shared" ca="1" si="19"/>
        <v>1040024.7193149142</v>
      </c>
      <c r="S87" s="18">
        <f t="shared" ca="1" si="25"/>
        <v>4.1939174629481595E-2</v>
      </c>
    </row>
    <row r="88" spans="1:19">
      <c r="A88" s="2">
        <f>'Monthly Data'!A88</f>
        <v>44986</v>
      </c>
      <c r="B88">
        <f>'Monthly Data'!B88</f>
        <v>2023</v>
      </c>
      <c r="C88">
        <f>'Monthly Data'!C88</f>
        <v>3</v>
      </c>
      <c r="D88" s="3">
        <f ca="1">'Monthly Data'!AI88</f>
        <v>27926512.923752379</v>
      </c>
      <c r="E88" s="3">
        <f>'Monthly Data'!DR88</f>
        <v>23</v>
      </c>
      <c r="F88" s="3">
        <f>'Monthly Data'!DL88</f>
        <v>867096</v>
      </c>
      <c r="G88" s="3">
        <f>'Monthly Data'!EE88</f>
        <v>1</v>
      </c>
      <c r="H88" s="3">
        <f>'Monthly Data'!EJ88</f>
        <v>0</v>
      </c>
      <c r="J88" s="3">
        <f t="shared" si="20"/>
        <v>-35488752.832239702</v>
      </c>
      <c r="K88" s="3">
        <f t="shared" si="21"/>
        <v>9013051.3584225327</v>
      </c>
      <c r="L88" s="3">
        <f t="shared" si="22"/>
        <v>53881364.559658252</v>
      </c>
      <c r="M88" s="3">
        <f t="shared" si="23"/>
        <v>0</v>
      </c>
      <c r="N88" s="3">
        <f t="shared" si="24"/>
        <v>0</v>
      </c>
      <c r="O88" s="47">
        <f t="shared" si="17"/>
        <v>27405663.085841082</v>
      </c>
      <c r="P88" s="47">
        <f>'Monthly Data'!AJ88</f>
        <v>296.15384615384619</v>
      </c>
      <c r="Q88" s="47">
        <f t="shared" si="18"/>
        <v>27405959.239687234</v>
      </c>
      <c r="R88" s="47">
        <f t="shared" ca="1" si="19"/>
        <v>-520553.68406514451</v>
      </c>
      <c r="S88" s="18">
        <f t="shared" ca="1" si="25"/>
        <v>1.8640124726148576E-2</v>
      </c>
    </row>
    <row r="89" spans="1:19">
      <c r="A89" s="2">
        <f>'Monthly Data'!A89</f>
        <v>45017</v>
      </c>
      <c r="B89">
        <f>'Monthly Data'!B89</f>
        <v>2023</v>
      </c>
      <c r="C89">
        <f>'Monthly Data'!C89</f>
        <v>4</v>
      </c>
      <c r="D89" s="3">
        <f ca="1">'Monthly Data'!AI89</f>
        <v>26103228.316903759</v>
      </c>
      <c r="E89" s="3">
        <f>'Monthly Data'!DR89</f>
        <v>19</v>
      </c>
      <c r="F89" s="3">
        <f>'Monthly Data'!DL89</f>
        <v>873385</v>
      </c>
      <c r="G89" s="3">
        <f>'Monthly Data'!EE89</f>
        <v>1</v>
      </c>
      <c r="H89" s="3">
        <f>'Monthly Data'!EJ89</f>
        <v>0</v>
      </c>
      <c r="J89" s="3">
        <f t="shared" si="20"/>
        <v>-35488752.832239702</v>
      </c>
      <c r="K89" s="3">
        <f t="shared" si="21"/>
        <v>7445564.1656533964</v>
      </c>
      <c r="L89" s="3">
        <f t="shared" si="22"/>
        <v>54272163.158332095</v>
      </c>
      <c r="M89" s="3">
        <f t="shared" si="23"/>
        <v>0</v>
      </c>
      <c r="N89" s="3">
        <f t="shared" si="24"/>
        <v>0</v>
      </c>
      <c r="O89" s="47">
        <f t="shared" si="17"/>
        <v>26228974.491745789</v>
      </c>
      <c r="P89" s="47">
        <f>'Monthly Data'!AJ89</f>
        <v>336.53846153846155</v>
      </c>
      <c r="Q89" s="47">
        <f t="shared" si="18"/>
        <v>26229311.030207328</v>
      </c>
      <c r="R89" s="47">
        <f t="shared" ca="1" si="19"/>
        <v>126082.7133035697</v>
      </c>
      <c r="S89" s="18">
        <f t="shared" ca="1" si="25"/>
        <v>4.8301578552995255E-3</v>
      </c>
    </row>
    <row r="90" spans="1:19">
      <c r="A90" s="2">
        <f>'Monthly Data'!A90</f>
        <v>45047</v>
      </c>
      <c r="B90">
        <f>'Monthly Data'!B90</f>
        <v>2023</v>
      </c>
      <c r="C90">
        <f>'Monthly Data'!C90</f>
        <v>5</v>
      </c>
      <c r="D90" s="3">
        <f ca="1">'Monthly Data'!AI90</f>
        <v>25031148.66160468</v>
      </c>
      <c r="E90" s="3">
        <f>'Monthly Data'!DR90</f>
        <v>22</v>
      </c>
      <c r="F90" s="3">
        <f>'Monthly Data'!DL90</f>
        <v>873385</v>
      </c>
      <c r="G90" s="3">
        <f>'Monthly Data'!EE90</f>
        <v>1</v>
      </c>
      <c r="H90" s="3">
        <f>'Monthly Data'!EJ90</f>
        <v>0</v>
      </c>
      <c r="J90" s="3">
        <f t="shared" si="20"/>
        <v>-35488752.832239702</v>
      </c>
      <c r="K90" s="3">
        <f t="shared" si="21"/>
        <v>8621179.5602302477</v>
      </c>
      <c r="L90" s="3">
        <f t="shared" si="22"/>
        <v>54272163.158332095</v>
      </c>
      <c r="M90" s="3">
        <f t="shared" si="23"/>
        <v>0</v>
      </c>
      <c r="N90" s="3">
        <f t="shared" si="24"/>
        <v>0</v>
      </c>
      <c r="O90" s="47">
        <f t="shared" si="17"/>
        <v>27404589.88632264</v>
      </c>
      <c r="P90" s="47">
        <f>'Monthly Data'!AJ90</f>
        <v>376.92307692307691</v>
      </c>
      <c r="Q90" s="47">
        <f t="shared" si="18"/>
        <v>27404966.809399564</v>
      </c>
      <c r="R90" s="47">
        <f t="shared" ca="1" si="19"/>
        <v>2373818.1477948837</v>
      </c>
      <c r="S90" s="18">
        <f t="shared" ca="1" si="25"/>
        <v>9.4834567118211685E-2</v>
      </c>
    </row>
    <row r="91" spans="1:19">
      <c r="A91" s="2">
        <f>'Monthly Data'!A91</f>
        <v>45078</v>
      </c>
      <c r="B91">
        <f>'Monthly Data'!B91</f>
        <v>2023</v>
      </c>
      <c r="C91">
        <f>'Monthly Data'!C91</f>
        <v>6</v>
      </c>
      <c r="D91" s="3">
        <f ca="1">'Monthly Data'!AI91</f>
        <v>26944484.766983312</v>
      </c>
      <c r="E91" s="3">
        <f>'Monthly Data'!DR91</f>
        <v>22</v>
      </c>
      <c r="F91" s="3">
        <f>'Monthly Data'!DL91</f>
        <v>873385</v>
      </c>
      <c r="G91" s="3">
        <f>'Monthly Data'!EE91</f>
        <v>0</v>
      </c>
      <c r="H91" s="3">
        <f>'Monthly Data'!EJ91</f>
        <v>0</v>
      </c>
      <c r="J91" s="3">
        <f t="shared" si="20"/>
        <v>-35488752.832239702</v>
      </c>
      <c r="K91" s="3">
        <f t="shared" si="21"/>
        <v>8621179.5602302477</v>
      </c>
      <c r="L91" s="3">
        <f t="shared" si="22"/>
        <v>54272163.158332095</v>
      </c>
      <c r="M91" s="3">
        <f t="shared" si="23"/>
        <v>0</v>
      </c>
      <c r="N91" s="3">
        <f t="shared" si="24"/>
        <v>0</v>
      </c>
      <c r="O91" s="47">
        <f t="shared" si="17"/>
        <v>27404589.88632264</v>
      </c>
      <c r="P91" s="47">
        <f>'Monthly Data'!AJ91</f>
        <v>417.30769230769232</v>
      </c>
      <c r="Q91" s="47">
        <f t="shared" si="18"/>
        <v>27405007.194014948</v>
      </c>
      <c r="R91" s="47">
        <f t="shared" ca="1" si="19"/>
        <v>460522.42703163624</v>
      </c>
      <c r="S91" s="18">
        <f t="shared" ca="1" si="25"/>
        <v>1.7091528415341676E-2</v>
      </c>
    </row>
    <row r="92" spans="1:19">
      <c r="A92" s="2">
        <f>'Monthly Data'!A92</f>
        <v>45108</v>
      </c>
      <c r="B92">
        <f>'Monthly Data'!B92</f>
        <v>2023</v>
      </c>
      <c r="C92">
        <f>'Monthly Data'!C92</f>
        <v>7</v>
      </c>
      <c r="D92" s="3">
        <f ca="1">'Monthly Data'!AI92</f>
        <v>25371368.634494543</v>
      </c>
      <c r="E92" s="3">
        <f>'Monthly Data'!DR92</f>
        <v>20</v>
      </c>
      <c r="F92" s="3">
        <f>'Monthly Data'!DL92</f>
        <v>876964</v>
      </c>
      <c r="G92" s="3">
        <f>'Monthly Data'!EE92</f>
        <v>0</v>
      </c>
      <c r="H92" s="3">
        <f>'Monthly Data'!EJ92</f>
        <v>0</v>
      </c>
      <c r="J92" s="3">
        <f t="shared" si="20"/>
        <v>-35488752.832239702</v>
      </c>
      <c r="K92" s="3">
        <f t="shared" si="21"/>
        <v>7837435.9638456805</v>
      </c>
      <c r="L92" s="3">
        <f t="shared" si="22"/>
        <v>54494562.297249831</v>
      </c>
      <c r="M92" s="3">
        <f t="shared" si="23"/>
        <v>0</v>
      </c>
      <c r="N92" s="3">
        <f t="shared" si="24"/>
        <v>0</v>
      </c>
      <c r="O92" s="47">
        <f t="shared" si="17"/>
        <v>26843245.42885581</v>
      </c>
      <c r="P92" s="47">
        <f>'Monthly Data'!AJ92</f>
        <v>457.69230769230768</v>
      </c>
      <c r="Q92" s="47">
        <f t="shared" si="18"/>
        <v>26843703.121163502</v>
      </c>
      <c r="R92" s="47">
        <f t="shared" ca="1" si="19"/>
        <v>1472334.4866689593</v>
      </c>
      <c r="S92" s="18">
        <f t="shared" ca="1" si="25"/>
        <v>5.8031338706229459E-2</v>
      </c>
    </row>
    <row r="93" spans="1:19">
      <c r="A93" s="2">
        <f>'Monthly Data'!A93</f>
        <v>45139</v>
      </c>
      <c r="B93">
        <f>'Monthly Data'!B93</f>
        <v>2023</v>
      </c>
      <c r="C93">
        <f>'Monthly Data'!C93</f>
        <v>8</v>
      </c>
      <c r="D93" s="3">
        <f ca="1">'Monthly Data'!AI93</f>
        <v>27448956.79707963</v>
      </c>
      <c r="E93" s="3">
        <f>'Monthly Data'!DR93</f>
        <v>22</v>
      </c>
      <c r="F93" s="3">
        <f>'Monthly Data'!DL93</f>
        <v>876964</v>
      </c>
      <c r="G93" s="3">
        <f>'Monthly Data'!EE93</f>
        <v>0</v>
      </c>
      <c r="H93" s="3">
        <f>'Monthly Data'!EJ93</f>
        <v>0</v>
      </c>
      <c r="J93" s="3">
        <f t="shared" si="20"/>
        <v>-35488752.832239702</v>
      </c>
      <c r="K93" s="3">
        <f t="shared" si="21"/>
        <v>8621179.5602302477</v>
      </c>
      <c r="L93" s="3">
        <f t="shared" si="22"/>
        <v>54494562.297249831</v>
      </c>
      <c r="M93" s="3">
        <f t="shared" si="23"/>
        <v>0</v>
      </c>
      <c r="N93" s="3">
        <f t="shared" si="24"/>
        <v>0</v>
      </c>
      <c r="O93" s="47">
        <f t="shared" si="17"/>
        <v>27626989.025240377</v>
      </c>
      <c r="P93" s="47">
        <f>'Monthly Data'!AJ93</f>
        <v>498.07692307692309</v>
      </c>
      <c r="Q93" s="47">
        <f t="shared" si="18"/>
        <v>27627487.102163453</v>
      </c>
      <c r="R93" s="47">
        <f t="shared" ca="1" si="19"/>
        <v>178530.30508382246</v>
      </c>
      <c r="S93" s="18">
        <f t="shared" ca="1" si="25"/>
        <v>6.5040834303333808E-3</v>
      </c>
    </row>
    <row r="94" spans="1:19">
      <c r="A94" s="2">
        <f>'Monthly Data'!A94</f>
        <v>45170</v>
      </c>
      <c r="B94">
        <f>'Monthly Data'!B94</f>
        <v>2023</v>
      </c>
      <c r="C94">
        <f>'Monthly Data'!C94</f>
        <v>9</v>
      </c>
      <c r="D94" s="3">
        <f ca="1">'Monthly Data'!AI94</f>
        <v>28072962.413866222</v>
      </c>
      <c r="E94" s="3">
        <f>'Monthly Data'!DR94</f>
        <v>20</v>
      </c>
      <c r="F94" s="3">
        <f>'Monthly Data'!DL94</f>
        <v>876964</v>
      </c>
      <c r="G94" s="3">
        <f>'Monthly Data'!EE94</f>
        <v>0</v>
      </c>
      <c r="H94" s="3">
        <f>'Monthly Data'!EJ94</f>
        <v>0</v>
      </c>
      <c r="J94" s="3">
        <f t="shared" si="20"/>
        <v>-35488752.832239702</v>
      </c>
      <c r="K94" s="3">
        <f t="shared" si="21"/>
        <v>7837435.9638456805</v>
      </c>
      <c r="L94" s="3">
        <f t="shared" si="22"/>
        <v>54494562.297249831</v>
      </c>
      <c r="M94" s="3">
        <f t="shared" si="23"/>
        <v>0</v>
      </c>
      <c r="N94" s="3">
        <f t="shared" si="24"/>
        <v>0</v>
      </c>
      <c r="O94" s="47">
        <f t="shared" si="17"/>
        <v>26843245.42885581</v>
      </c>
      <c r="P94" s="47">
        <f>'Monthly Data'!AJ94</f>
        <v>538.46153846153845</v>
      </c>
      <c r="Q94" s="47">
        <f t="shared" si="18"/>
        <v>26843783.89039427</v>
      </c>
      <c r="R94" s="47">
        <f t="shared" ca="1" si="19"/>
        <v>-1229178.5234719515</v>
      </c>
      <c r="S94" s="18">
        <f t="shared" ca="1" si="25"/>
        <v>4.3785137647775182E-2</v>
      </c>
    </row>
    <row r="95" spans="1:19">
      <c r="A95" s="2">
        <f>'Monthly Data'!A95</f>
        <v>45200</v>
      </c>
      <c r="B95">
        <f>'Monthly Data'!B95</f>
        <v>2023</v>
      </c>
      <c r="C95">
        <f>'Monthly Data'!C95</f>
        <v>10</v>
      </c>
      <c r="D95" s="3">
        <f ca="1">'Monthly Data'!AI95</f>
        <v>29837767.631071053</v>
      </c>
      <c r="E95" s="3">
        <f>'Monthly Data'!DR95</f>
        <v>21</v>
      </c>
      <c r="F95" s="3">
        <f>'Monthly Data'!DL95</f>
        <v>880255</v>
      </c>
      <c r="G95" s="3">
        <f>'Monthly Data'!EE95</f>
        <v>0</v>
      </c>
      <c r="H95" s="3">
        <f>'Monthly Data'!EJ95</f>
        <v>0</v>
      </c>
      <c r="J95" s="3">
        <f t="shared" si="20"/>
        <v>-35488752.832239702</v>
      </c>
      <c r="K95" s="3">
        <f t="shared" si="21"/>
        <v>8229307.7620379645</v>
      </c>
      <c r="L95" s="3">
        <f t="shared" si="22"/>
        <v>54699065.10981711</v>
      </c>
      <c r="M95" s="3">
        <f t="shared" si="23"/>
        <v>0</v>
      </c>
      <c r="N95" s="3">
        <f t="shared" si="24"/>
        <v>0</v>
      </c>
      <c r="O95" s="47">
        <f t="shared" si="17"/>
        <v>27439620.03961537</v>
      </c>
      <c r="P95" s="47">
        <f>'Monthly Data'!AJ95</f>
        <v>578.84615384615381</v>
      </c>
      <c r="Q95" s="47">
        <f t="shared" si="18"/>
        <v>27440198.885769218</v>
      </c>
      <c r="R95" s="47">
        <f t="shared" ca="1" si="19"/>
        <v>-2397568.7453018352</v>
      </c>
      <c r="S95" s="18">
        <f t="shared" ca="1" si="25"/>
        <v>8.0353489408006767E-2</v>
      </c>
    </row>
    <row r="96" spans="1:19">
      <c r="A96" s="2">
        <f>'Monthly Data'!A96</f>
        <v>45231</v>
      </c>
      <c r="B96">
        <f>'Monthly Data'!B96</f>
        <v>2023</v>
      </c>
      <c r="C96">
        <f>'Monthly Data'!C96</f>
        <v>11</v>
      </c>
      <c r="D96" s="3">
        <f ca="1">'Monthly Data'!AI96</f>
        <v>28237094.767794933</v>
      </c>
      <c r="E96" s="3">
        <f>'Monthly Data'!DR96</f>
        <v>22</v>
      </c>
      <c r="F96" s="3">
        <f>'Monthly Data'!DL96</f>
        <v>880255</v>
      </c>
      <c r="G96" s="3">
        <f>'Monthly Data'!EE96</f>
        <v>0</v>
      </c>
      <c r="H96" s="3">
        <f>'Monthly Data'!EJ96</f>
        <v>0</v>
      </c>
      <c r="J96" s="3">
        <f t="shared" si="20"/>
        <v>-35488752.832239702</v>
      </c>
      <c r="K96" s="3">
        <f t="shared" si="21"/>
        <v>8621179.5602302477</v>
      </c>
      <c r="L96" s="3">
        <f t="shared" si="22"/>
        <v>54699065.10981711</v>
      </c>
      <c r="M96" s="3">
        <f t="shared" si="23"/>
        <v>0</v>
      </c>
      <c r="N96" s="3">
        <f t="shared" si="24"/>
        <v>0</v>
      </c>
      <c r="O96" s="47">
        <f t="shared" si="17"/>
        <v>27831491.837807655</v>
      </c>
      <c r="P96" s="47">
        <f>'Monthly Data'!AJ96</f>
        <v>619.23076923076928</v>
      </c>
      <c r="Q96" s="47">
        <f t="shared" si="18"/>
        <v>27832111.068576887</v>
      </c>
      <c r="R96" s="47">
        <f t="shared" ca="1" si="19"/>
        <v>-404983.69921804592</v>
      </c>
      <c r="S96" s="18">
        <f t="shared" ca="1" si="25"/>
        <v>1.4342258031443776E-2</v>
      </c>
    </row>
    <row r="97" spans="1:19">
      <c r="A97" s="2">
        <f>'Monthly Data'!A97</f>
        <v>45261</v>
      </c>
      <c r="B97">
        <f>'Monthly Data'!B97</f>
        <v>2023</v>
      </c>
      <c r="C97">
        <f>'Monthly Data'!C97</f>
        <v>12</v>
      </c>
      <c r="D97" s="3">
        <f ca="1">'Monthly Data'!AI97</f>
        <v>27574553.180735718</v>
      </c>
      <c r="E97" s="3">
        <f>'Monthly Data'!DR97</f>
        <v>19</v>
      </c>
      <c r="F97" s="3">
        <f>'Monthly Data'!DL97</f>
        <v>880255</v>
      </c>
      <c r="G97" s="3">
        <f>'Monthly Data'!EE97</f>
        <v>0</v>
      </c>
      <c r="H97" s="3">
        <f>'Monthly Data'!EJ97</f>
        <v>0</v>
      </c>
      <c r="J97" s="3">
        <f t="shared" si="20"/>
        <v>-35488752.832239702</v>
      </c>
      <c r="K97" s="3">
        <f t="shared" si="21"/>
        <v>7445564.1656533964</v>
      </c>
      <c r="L97" s="3">
        <f t="shared" si="22"/>
        <v>54699065.10981711</v>
      </c>
      <c r="M97" s="3">
        <f t="shared" si="23"/>
        <v>0</v>
      </c>
      <c r="N97" s="3">
        <f t="shared" si="24"/>
        <v>0</v>
      </c>
      <c r="O97" s="47">
        <f t="shared" si="17"/>
        <v>26655876.443230804</v>
      </c>
      <c r="P97" s="47">
        <f>'Monthly Data'!AJ97</f>
        <v>659.61538461538464</v>
      </c>
      <c r="Q97" s="47">
        <f t="shared" si="18"/>
        <v>26656536.05861542</v>
      </c>
      <c r="R97" s="47">
        <f t="shared" ca="1" si="19"/>
        <v>-918017.12212029845</v>
      </c>
      <c r="S97" s="18">
        <f t="shared" ca="1" si="25"/>
        <v>3.3292184867084212E-2</v>
      </c>
    </row>
    <row r="98" spans="1:19">
      <c r="A98" s="2">
        <f>'Monthly Data'!A98</f>
        <v>45292</v>
      </c>
      <c r="B98">
        <f>'Monthly Data'!B98</f>
        <v>2024</v>
      </c>
      <c r="C98">
        <f>'Monthly Data'!C98</f>
        <v>1</v>
      </c>
      <c r="D98" s="3">
        <f ca="1">'Monthly Data'!AI98</f>
        <v>28487457.895537898</v>
      </c>
      <c r="E98" s="3">
        <f>'Monthly Data'!DR98</f>
        <v>22</v>
      </c>
      <c r="F98" s="3">
        <f>'Monthly Data'!DL98</f>
        <v>885802</v>
      </c>
      <c r="G98" s="3">
        <f>'Monthly Data'!EE98</f>
        <v>0</v>
      </c>
      <c r="H98" s="3">
        <f>'Monthly Data'!EJ98</f>
        <v>0</v>
      </c>
      <c r="J98" s="3">
        <f t="shared" ref="J98:J121" si="26">$W$8</f>
        <v>-35488752.832239702</v>
      </c>
      <c r="K98" s="3">
        <f t="shared" ref="K98:K121" si="27">E98*$W$9</f>
        <v>8621179.5602302477</v>
      </c>
      <c r="L98" s="3">
        <f t="shared" ref="L98:L121" si="28">F98*$W$10</f>
        <v>55043755.812129684</v>
      </c>
      <c r="M98" s="3">
        <f t="shared" ref="M98:M121" si="29">G98*$W$11</f>
        <v>0</v>
      </c>
      <c r="N98" s="3">
        <f t="shared" ref="N98:N121" si="30">H98*$W$12</f>
        <v>0</v>
      </c>
      <c r="O98" s="47">
        <f t="shared" ref="O98:O108" si="31">SUM(J98:N98)</f>
        <v>28176182.540120229</v>
      </c>
      <c r="P98" s="47">
        <f>'Monthly Data'!AJ98</f>
        <v>790.38461538461536</v>
      </c>
      <c r="Q98" s="47">
        <f t="shared" si="18"/>
        <v>28176972.924735613</v>
      </c>
      <c r="R98" s="47">
        <f t="shared" ca="1" si="19"/>
        <v>-310484.97080228478</v>
      </c>
      <c r="S98" s="18">
        <f t="shared" ref="S98:S108" ca="1" si="32">ABS(R98/D98)</f>
        <v>1.0899005869208051E-2</v>
      </c>
    </row>
    <row r="99" spans="1:19">
      <c r="A99" s="2">
        <f>'Monthly Data'!A99</f>
        <v>45323</v>
      </c>
      <c r="B99">
        <f>'Monthly Data'!B99</f>
        <v>2024</v>
      </c>
      <c r="C99">
        <f>'Monthly Data'!C99</f>
        <v>2</v>
      </c>
      <c r="D99" s="3">
        <f ca="1">'Monthly Data'!AI99</f>
        <v>28602328.805234969</v>
      </c>
      <c r="E99" s="3">
        <f>'Monthly Data'!DR99</f>
        <v>20</v>
      </c>
      <c r="F99" s="3">
        <f>'Monthly Data'!DL99</f>
        <v>885802</v>
      </c>
      <c r="G99" s="3">
        <f>'Monthly Data'!EE99</f>
        <v>0</v>
      </c>
      <c r="H99" s="3">
        <f>'Monthly Data'!EJ99</f>
        <v>0</v>
      </c>
      <c r="J99" s="3">
        <f t="shared" si="26"/>
        <v>-35488752.832239702</v>
      </c>
      <c r="K99" s="3">
        <f t="shared" si="27"/>
        <v>7837435.9638456805</v>
      </c>
      <c r="L99" s="3">
        <f t="shared" si="28"/>
        <v>55043755.812129684</v>
      </c>
      <c r="M99" s="3">
        <f t="shared" si="29"/>
        <v>0</v>
      </c>
      <c r="N99" s="3">
        <f t="shared" si="30"/>
        <v>0</v>
      </c>
      <c r="O99" s="47">
        <f t="shared" si="31"/>
        <v>27392438.943735663</v>
      </c>
      <c r="P99" s="47">
        <f>'Monthly Data'!AJ99</f>
        <v>880.76923076923072</v>
      </c>
      <c r="Q99" s="47">
        <f t="shared" si="18"/>
        <v>27393319.712966431</v>
      </c>
      <c r="R99" s="47">
        <f t="shared" ca="1" si="19"/>
        <v>-1209009.0922685377</v>
      </c>
      <c r="S99" s="18">
        <f t="shared" ca="1" si="32"/>
        <v>4.2269603307520109E-2</v>
      </c>
    </row>
    <row r="100" spans="1:19">
      <c r="A100" s="2">
        <f>'Monthly Data'!A100</f>
        <v>45352</v>
      </c>
      <c r="B100">
        <f>'Monthly Data'!B100</f>
        <v>2024</v>
      </c>
      <c r="C100">
        <f>'Monthly Data'!C100</f>
        <v>3</v>
      </c>
      <c r="D100" s="3">
        <f ca="1">'Monthly Data'!AI100</f>
        <v>29363092.588848915</v>
      </c>
      <c r="E100" s="3">
        <f>'Monthly Data'!DR100</f>
        <v>20</v>
      </c>
      <c r="F100" s="3">
        <f>'Monthly Data'!DL100</f>
        <v>885802</v>
      </c>
      <c r="G100" s="3">
        <f>'Monthly Data'!EE100</f>
        <v>1</v>
      </c>
      <c r="H100" s="3">
        <f>'Monthly Data'!EJ100</f>
        <v>0</v>
      </c>
      <c r="J100" s="3">
        <f t="shared" si="26"/>
        <v>-35488752.832239702</v>
      </c>
      <c r="K100" s="3">
        <f t="shared" si="27"/>
        <v>7837435.9638456805</v>
      </c>
      <c r="L100" s="3">
        <f t="shared" si="28"/>
        <v>55043755.812129684</v>
      </c>
      <c r="M100" s="3">
        <f t="shared" si="29"/>
        <v>0</v>
      </c>
      <c r="N100" s="3">
        <f t="shared" si="30"/>
        <v>0</v>
      </c>
      <c r="O100" s="47">
        <f t="shared" si="31"/>
        <v>27392438.943735663</v>
      </c>
      <c r="P100" s="47">
        <f>'Monthly Data'!AJ100</f>
        <v>971.15384615384619</v>
      </c>
      <c r="Q100" s="47">
        <f t="shared" si="18"/>
        <v>27393410.097581815</v>
      </c>
      <c r="R100" s="47">
        <f t="shared" ca="1" si="19"/>
        <v>-1969682.4912671</v>
      </c>
      <c r="S100" s="18">
        <f t="shared" ca="1" si="32"/>
        <v>6.7080212525540209E-2</v>
      </c>
    </row>
    <row r="101" spans="1:19">
      <c r="A101" s="2">
        <f>'Monthly Data'!A101</f>
        <v>45383</v>
      </c>
      <c r="B101">
        <f>'Monthly Data'!B101</f>
        <v>2024</v>
      </c>
      <c r="C101">
        <f>'Monthly Data'!C101</f>
        <v>4</v>
      </c>
      <c r="D101" s="3">
        <f ca="1">'Monthly Data'!AI101</f>
        <v>24355003.501614686</v>
      </c>
      <c r="E101" s="3">
        <f>'Monthly Data'!DR101</f>
        <v>22</v>
      </c>
      <c r="F101" s="3">
        <f>'Monthly Data'!DL101</f>
        <v>888733</v>
      </c>
      <c r="G101" s="3">
        <f>'Monthly Data'!EE101</f>
        <v>1</v>
      </c>
      <c r="H101" s="3">
        <f>'Monthly Data'!EJ101</f>
        <v>0</v>
      </c>
      <c r="J101" s="3">
        <f t="shared" si="26"/>
        <v>-35488752.832239702</v>
      </c>
      <c r="K101" s="3">
        <f t="shared" si="27"/>
        <v>8621179.5602302477</v>
      </c>
      <c r="L101" s="3">
        <f t="shared" si="28"/>
        <v>55225888.216758884</v>
      </c>
      <c r="M101" s="3">
        <f t="shared" si="29"/>
        <v>0</v>
      </c>
      <c r="N101" s="3">
        <f t="shared" si="30"/>
        <v>0</v>
      </c>
      <c r="O101" s="47">
        <f t="shared" si="31"/>
        <v>28358314.94474943</v>
      </c>
      <c r="P101" s="47">
        <f>'Monthly Data'!AJ101</f>
        <v>1061.5384615384614</v>
      </c>
      <c r="Q101" s="47">
        <f t="shared" si="18"/>
        <v>28359376.48321097</v>
      </c>
      <c r="R101" s="47">
        <f t="shared" ca="1" si="19"/>
        <v>4004372.9815962836</v>
      </c>
      <c r="S101" s="18">
        <f t="shared" ca="1" si="32"/>
        <v>0.16441685099042594</v>
      </c>
    </row>
    <row r="102" spans="1:19">
      <c r="A102" s="2">
        <f>'Monthly Data'!A102</f>
        <v>45413</v>
      </c>
      <c r="B102">
        <f>'Monthly Data'!B102</f>
        <v>2024</v>
      </c>
      <c r="C102">
        <f>'Monthly Data'!C102</f>
        <v>5</v>
      </c>
      <c r="D102" s="3">
        <f ca="1">'Monthly Data'!AI102</f>
        <v>29075946.28509783</v>
      </c>
      <c r="E102" s="3">
        <f>'Monthly Data'!DR102</f>
        <v>22</v>
      </c>
      <c r="F102" s="3">
        <f>'Monthly Data'!DL102</f>
        <v>888733</v>
      </c>
      <c r="G102" s="3">
        <f>'Monthly Data'!EE102</f>
        <v>1</v>
      </c>
      <c r="H102" s="3">
        <f>'Monthly Data'!EJ102</f>
        <v>0</v>
      </c>
      <c r="J102" s="3">
        <f t="shared" si="26"/>
        <v>-35488752.832239702</v>
      </c>
      <c r="K102" s="3">
        <f t="shared" si="27"/>
        <v>8621179.5602302477</v>
      </c>
      <c r="L102" s="3">
        <f t="shared" si="28"/>
        <v>55225888.216758884</v>
      </c>
      <c r="M102" s="3">
        <f t="shared" si="29"/>
        <v>0</v>
      </c>
      <c r="N102" s="3">
        <f t="shared" si="30"/>
        <v>0</v>
      </c>
      <c r="O102" s="47">
        <f t="shared" si="31"/>
        <v>28358314.94474943</v>
      </c>
      <c r="P102" s="47">
        <f>'Monthly Data'!AJ102</f>
        <v>1151.9230769230769</v>
      </c>
      <c r="Q102" s="47">
        <f t="shared" si="18"/>
        <v>28359466.867826354</v>
      </c>
      <c r="R102" s="47">
        <f t="shared" ca="1" si="19"/>
        <v>-716479.41727147624</v>
      </c>
      <c r="S102" s="18">
        <f t="shared" ca="1" si="32"/>
        <v>2.4641654316120757E-2</v>
      </c>
    </row>
    <row r="103" spans="1:19">
      <c r="A103" s="2">
        <f>'Monthly Data'!A103</f>
        <v>45444</v>
      </c>
      <c r="B103">
        <f>'Monthly Data'!B103</f>
        <v>2024</v>
      </c>
      <c r="C103">
        <f>'Monthly Data'!C103</f>
        <v>6</v>
      </c>
      <c r="D103" s="3">
        <f ca="1">'Monthly Data'!AI103</f>
        <v>28951172.626360152</v>
      </c>
      <c r="E103" s="3">
        <f>'Monthly Data'!DR103</f>
        <v>20</v>
      </c>
      <c r="F103" s="3">
        <f>'Monthly Data'!DL103</f>
        <v>888733</v>
      </c>
      <c r="G103" s="3">
        <f>'Monthly Data'!EE103</f>
        <v>0</v>
      </c>
      <c r="H103" s="3">
        <f>'Monthly Data'!EJ103</f>
        <v>0</v>
      </c>
      <c r="J103" s="3">
        <f t="shared" si="26"/>
        <v>-35488752.832239702</v>
      </c>
      <c r="K103" s="3">
        <f t="shared" si="27"/>
        <v>7837435.9638456805</v>
      </c>
      <c r="L103" s="3">
        <f t="shared" si="28"/>
        <v>55225888.216758884</v>
      </c>
      <c r="M103" s="3">
        <f t="shared" si="29"/>
        <v>0</v>
      </c>
      <c r="N103" s="3">
        <f t="shared" si="30"/>
        <v>0</v>
      </c>
      <c r="O103" s="47">
        <f t="shared" si="31"/>
        <v>27574571.348364864</v>
      </c>
      <c r="P103" s="47">
        <f>'Monthly Data'!AJ103</f>
        <v>1242.3076923076924</v>
      </c>
      <c r="Q103" s="47">
        <f t="shared" si="18"/>
        <v>27575813.656057172</v>
      </c>
      <c r="R103" s="47">
        <f t="shared" ca="1" si="19"/>
        <v>-1375358.9703029804</v>
      </c>
      <c r="S103" s="18">
        <f t="shared" ca="1" si="32"/>
        <v>4.7506157627988821E-2</v>
      </c>
    </row>
    <row r="104" spans="1:19">
      <c r="A104" s="2">
        <f>'Monthly Data'!A104</f>
        <v>45474</v>
      </c>
      <c r="B104">
        <f>'Monthly Data'!B104</f>
        <v>2024</v>
      </c>
      <c r="C104">
        <f>'Monthly Data'!C104</f>
        <v>7</v>
      </c>
      <c r="D104" s="3">
        <f ca="1">'Monthly Data'!AI104</f>
        <v>30087644.082628775</v>
      </c>
      <c r="E104" s="3">
        <f>'Monthly Data'!DR104</f>
        <v>22</v>
      </c>
      <c r="F104" s="3">
        <f>'Monthly Data'!DL104</f>
        <v>890079</v>
      </c>
      <c r="G104" s="3">
        <f>'Monthly Data'!EE104</f>
        <v>0</v>
      </c>
      <c r="H104" s="3">
        <f>'Monthly Data'!EJ104</f>
        <v>0</v>
      </c>
      <c r="J104" s="3">
        <f t="shared" si="26"/>
        <v>-35488752.832239702</v>
      </c>
      <c r="K104" s="3">
        <f t="shared" si="27"/>
        <v>8621179.5602302477</v>
      </c>
      <c r="L104" s="3">
        <f t="shared" si="28"/>
        <v>55309528.686438479</v>
      </c>
      <c r="M104" s="3">
        <f t="shared" si="29"/>
        <v>0</v>
      </c>
      <c r="N104" s="3">
        <f t="shared" si="30"/>
        <v>0</v>
      </c>
      <c r="O104" s="47">
        <f t="shared" si="31"/>
        <v>28441955.414429024</v>
      </c>
      <c r="P104" s="47">
        <f>'Monthly Data'!AJ104</f>
        <v>1332.6923076923076</v>
      </c>
      <c r="Q104" s="47">
        <f t="shared" si="18"/>
        <v>28443288.106736716</v>
      </c>
      <c r="R104" s="47">
        <f t="shared" ca="1" si="19"/>
        <v>-1644355.9758920595</v>
      </c>
      <c r="S104" s="18">
        <f t="shared" ca="1" si="32"/>
        <v>5.4652201128683089E-2</v>
      </c>
    </row>
    <row r="105" spans="1:19">
      <c r="A105" s="2">
        <f>'Monthly Data'!A105</f>
        <v>45505</v>
      </c>
      <c r="B105">
        <f>'Monthly Data'!B105</f>
        <v>2024</v>
      </c>
      <c r="C105">
        <f>'Monthly Data'!C105</f>
        <v>8</v>
      </c>
      <c r="D105" s="3">
        <f ca="1">'Monthly Data'!AI105</f>
        <v>29302430.072760686</v>
      </c>
      <c r="E105" s="3">
        <f>'Monthly Data'!DR105</f>
        <v>21</v>
      </c>
      <c r="F105" s="3">
        <f>'Monthly Data'!DL105</f>
        <v>890079</v>
      </c>
      <c r="G105" s="3">
        <f>'Monthly Data'!EE105</f>
        <v>0</v>
      </c>
      <c r="H105" s="3">
        <f>'Monthly Data'!EJ105</f>
        <v>0</v>
      </c>
      <c r="J105" s="3">
        <f t="shared" si="26"/>
        <v>-35488752.832239702</v>
      </c>
      <c r="K105" s="3">
        <f t="shared" si="27"/>
        <v>8229307.7620379645</v>
      </c>
      <c r="L105" s="3">
        <f t="shared" si="28"/>
        <v>55309528.686438479</v>
      </c>
      <c r="M105" s="3">
        <f t="shared" si="29"/>
        <v>0</v>
      </c>
      <c r="N105" s="3">
        <f t="shared" si="30"/>
        <v>0</v>
      </c>
      <c r="O105" s="47">
        <f t="shared" si="31"/>
        <v>28050083.616236739</v>
      </c>
      <c r="P105" s="47">
        <f>'Monthly Data'!AJ105</f>
        <v>1423.0769230769231</v>
      </c>
      <c r="Q105" s="47">
        <f t="shared" si="18"/>
        <v>28051506.693159815</v>
      </c>
      <c r="R105" s="47">
        <f t="shared" ca="1" si="19"/>
        <v>-1250923.3796008714</v>
      </c>
      <c r="S105" s="18">
        <f t="shared" ca="1" si="32"/>
        <v>4.2690090087911178E-2</v>
      </c>
    </row>
    <row r="106" spans="1:19">
      <c r="A106" s="2">
        <f>'Monthly Data'!A106</f>
        <v>45536</v>
      </c>
      <c r="B106">
        <f>'Monthly Data'!B106</f>
        <v>2024</v>
      </c>
      <c r="C106">
        <f>'Monthly Data'!C106</f>
        <v>9</v>
      </c>
      <c r="D106" s="3">
        <f ca="1">'Monthly Data'!AI106</f>
        <v>29339226.816615965</v>
      </c>
      <c r="E106" s="3">
        <f>'Monthly Data'!DR106</f>
        <v>20</v>
      </c>
      <c r="F106" s="3">
        <f>'Monthly Data'!DL106</f>
        <v>890079</v>
      </c>
      <c r="G106" s="3">
        <f>'Monthly Data'!EE106</f>
        <v>0</v>
      </c>
      <c r="H106" s="3">
        <f>'Monthly Data'!EJ106</f>
        <v>0</v>
      </c>
      <c r="J106" s="3">
        <f t="shared" si="26"/>
        <v>-35488752.832239702</v>
      </c>
      <c r="K106" s="3">
        <f t="shared" si="27"/>
        <v>7837435.9638456805</v>
      </c>
      <c r="L106" s="3">
        <f t="shared" si="28"/>
        <v>55309528.686438479</v>
      </c>
      <c r="M106" s="3">
        <f t="shared" si="29"/>
        <v>0</v>
      </c>
      <c r="N106" s="3">
        <f t="shared" si="30"/>
        <v>0</v>
      </c>
      <c r="O106" s="47">
        <f t="shared" si="31"/>
        <v>27658211.818044458</v>
      </c>
      <c r="P106" s="47">
        <f>'Monthly Data'!AJ106</f>
        <v>1513.4615384615386</v>
      </c>
      <c r="Q106" s="47">
        <f t="shared" si="18"/>
        <v>27659725.279582918</v>
      </c>
      <c r="R106" s="47">
        <f t="shared" ca="1" si="19"/>
        <v>-1679501.5370330475</v>
      </c>
      <c r="S106" s="18">
        <f t="shared" ca="1" si="32"/>
        <v>5.7244233037589097E-2</v>
      </c>
    </row>
    <row r="107" spans="1:19">
      <c r="A107" s="2">
        <f>'Monthly Data'!A107</f>
        <v>45566</v>
      </c>
      <c r="B107">
        <f>'Monthly Data'!B107</f>
        <v>2024</v>
      </c>
      <c r="C107">
        <f>'Monthly Data'!C107</f>
        <v>10</v>
      </c>
      <c r="D107" s="3">
        <f ca="1">'Monthly Data'!AI107</f>
        <v>29094842.562664524</v>
      </c>
      <c r="E107" s="3">
        <f>'Monthly Data'!DR107</f>
        <v>22</v>
      </c>
      <c r="F107" s="3">
        <f>'Monthly Data'!DL107</f>
        <v>893201</v>
      </c>
      <c r="G107" s="3">
        <f>'Monthly Data'!EE107</f>
        <v>0</v>
      </c>
      <c r="H107" s="3">
        <f>'Monthly Data'!EJ107</f>
        <v>0</v>
      </c>
      <c r="J107" s="3">
        <f t="shared" si="26"/>
        <v>-35488752.832239702</v>
      </c>
      <c r="K107" s="3">
        <f t="shared" si="27"/>
        <v>8621179.5602302477</v>
      </c>
      <c r="L107" s="3">
        <f t="shared" si="28"/>
        <v>55503529.835279271</v>
      </c>
      <c r="M107" s="3">
        <f t="shared" si="29"/>
        <v>0</v>
      </c>
      <c r="N107" s="3">
        <f t="shared" si="30"/>
        <v>0</v>
      </c>
      <c r="O107" s="47">
        <f t="shared" si="31"/>
        <v>28635956.563269816</v>
      </c>
      <c r="P107" s="47">
        <f>'Monthly Data'!AJ107</f>
        <v>1603.8461538461538</v>
      </c>
      <c r="Q107" s="47">
        <f t="shared" ref="Q107:Q108" si="33">O107+P107</f>
        <v>28637560.409423664</v>
      </c>
      <c r="R107" s="47">
        <f t="shared" ref="R107:R108" ca="1" si="34">Q107-D107</f>
        <v>-457282.15324085951</v>
      </c>
      <c r="S107" s="18">
        <f t="shared" ca="1" si="32"/>
        <v>1.5716948880406017E-2</v>
      </c>
    </row>
    <row r="108" spans="1:19">
      <c r="A108" s="2">
        <f>'Monthly Data'!A108</f>
        <v>45597</v>
      </c>
      <c r="B108">
        <f>'Monthly Data'!B108</f>
        <v>2024</v>
      </c>
      <c r="C108">
        <f>'Monthly Data'!C108</f>
        <v>11</v>
      </c>
      <c r="D108" s="3">
        <f ca="1">'Monthly Data'!AI108</f>
        <v>28865745.64565761</v>
      </c>
      <c r="E108" s="3">
        <f>'Monthly Data'!DR108</f>
        <v>21</v>
      </c>
      <c r="F108" s="3">
        <f>'Monthly Data'!DL108</f>
        <v>893201</v>
      </c>
      <c r="G108" s="3">
        <f>'Monthly Data'!EE108</f>
        <v>0</v>
      </c>
      <c r="H108" s="3">
        <f>'Monthly Data'!EJ108</f>
        <v>0</v>
      </c>
      <c r="J108" s="3">
        <f t="shared" si="26"/>
        <v>-35488752.832239702</v>
      </c>
      <c r="K108" s="3">
        <f t="shared" si="27"/>
        <v>8229307.7620379645</v>
      </c>
      <c r="L108" s="3">
        <f t="shared" si="28"/>
        <v>55503529.835279271</v>
      </c>
      <c r="M108" s="3">
        <f t="shared" si="29"/>
        <v>0</v>
      </c>
      <c r="N108" s="3">
        <f t="shared" si="30"/>
        <v>0</v>
      </c>
      <c r="O108" s="47">
        <f t="shared" si="31"/>
        <v>28244084.765077531</v>
      </c>
      <c r="P108" s="47">
        <f>'Monthly Data'!AJ108</f>
        <v>1694.2307692307693</v>
      </c>
      <c r="Q108" s="47">
        <f t="shared" si="33"/>
        <v>28245778.995846763</v>
      </c>
      <c r="R108" s="47">
        <f t="shared" ca="1" si="34"/>
        <v>-619966.64981084689</v>
      </c>
      <c r="S108" s="18">
        <f t="shared" ca="1" si="32"/>
        <v>2.1477589992694713E-2</v>
      </c>
    </row>
    <row r="109" spans="1:19">
      <c r="A109" s="2">
        <f>'Monthly Data'!A109</f>
        <v>45627</v>
      </c>
      <c r="B109">
        <f>'Monthly Data'!B109</f>
        <v>2024</v>
      </c>
      <c r="C109">
        <f>'Monthly Data'!C109</f>
        <v>12</v>
      </c>
      <c r="D109" s="3">
        <f ca="1">'Monthly Data'!AI109</f>
        <v>28392937.062120438</v>
      </c>
      <c r="E109" s="3">
        <f>'Monthly Data'!DR109</f>
        <v>20</v>
      </c>
      <c r="F109" s="3">
        <f>'Monthly Data'!DL109</f>
        <v>893201</v>
      </c>
      <c r="G109" s="3">
        <f>'Monthly Data'!EE109</f>
        <v>0</v>
      </c>
      <c r="H109" s="3">
        <f>'Monthly Data'!EJ109</f>
        <v>0</v>
      </c>
      <c r="J109" s="3">
        <f t="shared" si="26"/>
        <v>-35488752.832239702</v>
      </c>
      <c r="K109" s="3">
        <f t="shared" si="27"/>
        <v>7837435.9638456805</v>
      </c>
      <c r="L109" s="3">
        <f t="shared" si="28"/>
        <v>55503529.835279271</v>
      </c>
      <c r="M109" s="3">
        <f t="shared" si="29"/>
        <v>0</v>
      </c>
      <c r="N109" s="3">
        <f t="shared" si="30"/>
        <v>0</v>
      </c>
      <c r="O109" s="47">
        <f t="shared" ref="O109:O121" si="35">SUM(J109:N109)</f>
        <v>27852212.96688525</v>
      </c>
      <c r="P109" s="47">
        <f>'Monthly Data'!AJ109</f>
        <v>1784.6153846153845</v>
      </c>
      <c r="Q109" s="47">
        <f t="shared" ref="Q109:Q121" si="36">O109+P109</f>
        <v>27853997.582269866</v>
      </c>
      <c r="R109" s="47">
        <f t="shared" ref="R109:R121" ca="1" si="37">Q109-D109</f>
        <v>-538939.4798505716</v>
      </c>
      <c r="S109" s="18">
        <f t="shared" ref="S109:S121" ca="1" si="38">ABS(R109/D109)</f>
        <v>1.8981462843080828E-2</v>
      </c>
    </row>
    <row r="110" spans="1:19">
      <c r="A110" s="2">
        <f>'Monthly Data'!A110</f>
        <v>45658</v>
      </c>
      <c r="B110">
        <f>'Monthly Data'!B110</f>
        <v>2025</v>
      </c>
      <c r="C110">
        <f>'Monthly Data'!C110</f>
        <v>1</v>
      </c>
      <c r="D110" s="3">
        <f ca="1">'Monthly Data'!AI110</f>
        <v>28350275.697790779</v>
      </c>
      <c r="E110" s="3">
        <f>'Monthly Data'!DR110</f>
        <v>22</v>
      </c>
      <c r="F110" s="3">
        <f>'Monthly Data'!DL110</f>
        <v>897872</v>
      </c>
      <c r="G110" s="3">
        <f>'Monthly Data'!EE110</f>
        <v>0</v>
      </c>
      <c r="H110" s="3">
        <f>'Monthly Data'!EJ110</f>
        <v>0</v>
      </c>
      <c r="J110" s="3">
        <f t="shared" si="26"/>
        <v>-35488752.832239702</v>
      </c>
      <c r="K110" s="3">
        <f t="shared" si="27"/>
        <v>8621179.5602302477</v>
      </c>
      <c r="L110" s="3">
        <f t="shared" si="28"/>
        <v>55793785.878275849</v>
      </c>
      <c r="M110" s="3">
        <f t="shared" si="29"/>
        <v>0</v>
      </c>
      <c r="N110" s="3">
        <f t="shared" si="30"/>
        <v>0</v>
      </c>
      <c r="O110" s="47">
        <f t="shared" si="35"/>
        <v>28926212.606266394</v>
      </c>
      <c r="P110" s="47">
        <f>'Monthly Data'!AJ110</f>
        <v>1989.4230769230769</v>
      </c>
      <c r="Q110" s="47">
        <f t="shared" si="36"/>
        <v>28928202.029343318</v>
      </c>
      <c r="R110" s="47">
        <f t="shared" ca="1" si="37"/>
        <v>577926.33155253902</v>
      </c>
      <c r="S110" s="18">
        <f t="shared" ca="1" si="38"/>
        <v>2.0385210278486797E-2</v>
      </c>
    </row>
    <row r="111" spans="1:19">
      <c r="A111" s="2">
        <f>'Monthly Data'!A111</f>
        <v>45689</v>
      </c>
      <c r="B111">
        <f>'Monthly Data'!B111</f>
        <v>2025</v>
      </c>
      <c r="C111">
        <f>'Monthly Data'!C111</f>
        <v>2</v>
      </c>
      <c r="D111" s="3">
        <f ca="1">'Monthly Data'!AI111</f>
        <v>27236939.524469193</v>
      </c>
      <c r="E111" s="3">
        <f>'Monthly Data'!DR111</f>
        <v>19</v>
      </c>
      <c r="F111" s="3">
        <f>'Monthly Data'!DL111</f>
        <v>897872</v>
      </c>
      <c r="G111" s="3">
        <f>'Monthly Data'!EE111</f>
        <v>0</v>
      </c>
      <c r="H111" s="3">
        <f>'Monthly Data'!EJ111</f>
        <v>0</v>
      </c>
      <c r="J111" s="3">
        <f t="shared" si="26"/>
        <v>-35488752.832239702</v>
      </c>
      <c r="K111" s="3">
        <f t="shared" si="27"/>
        <v>7445564.1656533964</v>
      </c>
      <c r="L111" s="3">
        <f t="shared" si="28"/>
        <v>55793785.878275849</v>
      </c>
      <c r="M111" s="3">
        <f t="shared" si="29"/>
        <v>0</v>
      </c>
      <c r="N111" s="3">
        <f t="shared" si="30"/>
        <v>0</v>
      </c>
      <c r="O111" s="47">
        <f t="shared" si="35"/>
        <v>27750597.211689543</v>
      </c>
      <c r="P111" s="47">
        <f>'Monthly Data'!AJ111</f>
        <v>2103.8461538461538</v>
      </c>
      <c r="Q111" s="47">
        <f t="shared" si="36"/>
        <v>27752701.057843391</v>
      </c>
      <c r="R111" s="47">
        <f t="shared" ca="1" si="37"/>
        <v>515761.53337419778</v>
      </c>
      <c r="S111" s="18">
        <f t="shared" ca="1" si="38"/>
        <v>1.8936104510231283E-2</v>
      </c>
    </row>
    <row r="112" spans="1:19">
      <c r="A112" s="2">
        <f>'Monthly Data'!A112</f>
        <v>45717</v>
      </c>
      <c r="B112">
        <f>'Monthly Data'!B112</f>
        <v>2025</v>
      </c>
      <c r="C112">
        <f>'Monthly Data'!C112</f>
        <v>3</v>
      </c>
      <c r="D112" s="3">
        <f ca="1">'Monthly Data'!AI112</f>
        <v>29418694.335992847</v>
      </c>
      <c r="E112" s="3">
        <f>'Monthly Data'!DR112</f>
        <v>21</v>
      </c>
      <c r="F112" s="3">
        <f>'Monthly Data'!DL112</f>
        <v>897872</v>
      </c>
      <c r="G112" s="3">
        <f>'Monthly Data'!EE112</f>
        <v>1</v>
      </c>
      <c r="H112" s="3">
        <f>'Monthly Data'!EJ112</f>
        <v>0</v>
      </c>
      <c r="J112" s="3">
        <f t="shared" si="26"/>
        <v>-35488752.832239702</v>
      </c>
      <c r="K112" s="3">
        <f t="shared" si="27"/>
        <v>8229307.7620379645</v>
      </c>
      <c r="L112" s="3">
        <f t="shared" si="28"/>
        <v>55793785.878275849</v>
      </c>
      <c r="M112" s="3">
        <f t="shared" si="29"/>
        <v>0</v>
      </c>
      <c r="N112" s="3">
        <f t="shared" si="30"/>
        <v>0</v>
      </c>
      <c r="O112" s="47">
        <f t="shared" si="35"/>
        <v>28534340.808074109</v>
      </c>
      <c r="P112" s="47">
        <f>'Monthly Data'!AJ112</f>
        <v>2218.2692307692309</v>
      </c>
      <c r="Q112" s="47">
        <f t="shared" si="36"/>
        <v>28536559.077304877</v>
      </c>
      <c r="R112" s="47">
        <f t="shared" ca="1" si="37"/>
        <v>-882135.2586879693</v>
      </c>
      <c r="S112" s="18">
        <f t="shared" ca="1" si="38"/>
        <v>2.9985533980979726E-2</v>
      </c>
    </row>
    <row r="113" spans="1:19">
      <c r="A113" s="2">
        <f>'Monthly Data'!A113</f>
        <v>45748</v>
      </c>
      <c r="B113">
        <f>'Monthly Data'!B113</f>
        <v>2025</v>
      </c>
      <c r="C113">
        <f>'Monthly Data'!C113</f>
        <v>4</v>
      </c>
      <c r="D113" s="3">
        <f ca="1">'Monthly Data'!AI113</f>
        <v>25520852.259343944</v>
      </c>
      <c r="E113" s="3">
        <f>'Monthly Data'!DR113</f>
        <v>21</v>
      </c>
      <c r="F113" s="3">
        <f>'Monthly Data'!DL113</f>
        <v>894654</v>
      </c>
      <c r="G113" s="3">
        <f>'Monthly Data'!EE113</f>
        <v>1</v>
      </c>
      <c r="H113" s="3">
        <f>'Monthly Data'!EJ113</f>
        <v>0</v>
      </c>
      <c r="J113" s="3">
        <f t="shared" si="26"/>
        <v>-35488752.832239702</v>
      </c>
      <c r="K113" s="3">
        <f t="shared" si="27"/>
        <v>8229307.7620379645</v>
      </c>
      <c r="L113" s="3">
        <f t="shared" si="28"/>
        <v>55593819.287318237</v>
      </c>
      <c r="M113" s="3">
        <f t="shared" si="29"/>
        <v>0</v>
      </c>
      <c r="N113" s="3">
        <f t="shared" si="30"/>
        <v>0</v>
      </c>
      <c r="O113" s="47">
        <f t="shared" si="35"/>
        <v>28334374.217116497</v>
      </c>
      <c r="P113" s="47">
        <f>'Monthly Data'!AJ113</f>
        <v>2332.6923076923076</v>
      </c>
      <c r="Q113" s="47">
        <f t="shared" si="36"/>
        <v>28336706.909424189</v>
      </c>
      <c r="R113" s="47">
        <f t="shared" ca="1" si="37"/>
        <v>2815854.650080245</v>
      </c>
      <c r="S113" s="18">
        <f t="shared" ca="1" si="38"/>
        <v>0.11033544732226866</v>
      </c>
    </row>
    <row r="114" spans="1:19">
      <c r="A114" s="2">
        <f>'Monthly Data'!A114</f>
        <v>45778</v>
      </c>
      <c r="B114">
        <f>'Monthly Data'!B114</f>
        <v>2025</v>
      </c>
      <c r="C114">
        <f>'Monthly Data'!C114</f>
        <v>5</v>
      </c>
      <c r="D114" s="3">
        <f ca="1">'Monthly Data'!AI114</f>
        <v>29794028.892617255</v>
      </c>
      <c r="E114" s="3">
        <f>'Monthly Data'!DR114</f>
        <v>21</v>
      </c>
      <c r="F114" s="3">
        <f>'Monthly Data'!DL114</f>
        <v>894654</v>
      </c>
      <c r="G114" s="3">
        <f>'Monthly Data'!EE114</f>
        <v>1</v>
      </c>
      <c r="H114" s="3">
        <f>'Monthly Data'!EJ114</f>
        <v>0</v>
      </c>
      <c r="J114" s="3">
        <f t="shared" si="26"/>
        <v>-35488752.832239702</v>
      </c>
      <c r="K114" s="3">
        <f t="shared" si="27"/>
        <v>8229307.7620379645</v>
      </c>
      <c r="L114" s="3">
        <f t="shared" si="28"/>
        <v>55593819.287318237</v>
      </c>
      <c r="M114" s="3">
        <f t="shared" si="29"/>
        <v>0</v>
      </c>
      <c r="N114" s="3">
        <f t="shared" si="30"/>
        <v>0</v>
      </c>
      <c r="O114" s="47">
        <f t="shared" si="35"/>
        <v>28334374.217116497</v>
      </c>
      <c r="P114" s="47">
        <f>'Monthly Data'!AJ114</f>
        <v>2447.1153846153848</v>
      </c>
      <c r="Q114" s="47">
        <f t="shared" si="36"/>
        <v>28336821.332501113</v>
      </c>
      <c r="R114" s="47">
        <f t="shared" ca="1" si="37"/>
        <v>-1457207.560116142</v>
      </c>
      <c r="S114" s="18">
        <f t="shared" ca="1" si="38"/>
        <v>4.8909382660806494E-2</v>
      </c>
    </row>
    <row r="115" spans="1:19">
      <c r="A115" s="2">
        <f>'Monthly Data'!A115</f>
        <v>45809</v>
      </c>
      <c r="B115">
        <f>'Monthly Data'!B115</f>
        <v>2025</v>
      </c>
      <c r="C115">
        <f>'Monthly Data'!C115</f>
        <v>6</v>
      </c>
      <c r="D115" s="3">
        <f ca="1">'Monthly Data'!AI115</f>
        <v>30614865.305405341</v>
      </c>
      <c r="E115" s="3">
        <f>'Monthly Data'!DR115</f>
        <v>21</v>
      </c>
      <c r="F115" s="3">
        <f>'Monthly Data'!DL115</f>
        <v>894654</v>
      </c>
      <c r="G115" s="3">
        <f>'Monthly Data'!EE115</f>
        <v>0</v>
      </c>
      <c r="H115" s="3">
        <f>'Monthly Data'!EJ115</f>
        <v>0</v>
      </c>
      <c r="J115" s="3">
        <f t="shared" si="26"/>
        <v>-35488752.832239702</v>
      </c>
      <c r="K115" s="3">
        <f t="shared" si="27"/>
        <v>8229307.7620379645</v>
      </c>
      <c r="L115" s="3">
        <f t="shared" si="28"/>
        <v>55593819.287318237</v>
      </c>
      <c r="M115" s="3">
        <f t="shared" si="29"/>
        <v>0</v>
      </c>
      <c r="N115" s="3">
        <f t="shared" si="30"/>
        <v>0</v>
      </c>
      <c r="O115" s="47">
        <f t="shared" si="35"/>
        <v>28334374.217116497</v>
      </c>
      <c r="P115" s="47">
        <f>'Monthly Data'!AJ115</f>
        <v>2561.5384615384614</v>
      </c>
      <c r="Q115" s="47">
        <f t="shared" si="36"/>
        <v>28336935.755578037</v>
      </c>
      <c r="R115" s="47">
        <f t="shared" ca="1" si="37"/>
        <v>-2277929.5498273037</v>
      </c>
      <c r="S115" s="18">
        <f t="shared" ca="1" si="38"/>
        <v>7.4405996142831762E-2</v>
      </c>
    </row>
    <row r="116" spans="1:19">
      <c r="A116" s="2">
        <f>'Monthly Data'!A116</f>
        <v>45839</v>
      </c>
      <c r="B116">
        <f>'Monthly Data'!B116</f>
        <v>2025</v>
      </c>
      <c r="C116">
        <f>'Monthly Data'!C116</f>
        <v>7</v>
      </c>
      <c r="D116" s="3">
        <f ca="1">'Monthly Data'!AI116</f>
        <v>31727218.177868605</v>
      </c>
      <c r="E116" s="3">
        <f>'Monthly Data'!DR116</f>
        <v>22</v>
      </c>
      <c r="F116" s="3">
        <f>'Monthly Data'!DL116</f>
        <v>899254</v>
      </c>
      <c r="G116" s="3">
        <f>'Monthly Data'!EE116</f>
        <v>0</v>
      </c>
      <c r="H116" s="3">
        <f>'Monthly Data'!EJ116</f>
        <v>0</v>
      </c>
      <c r="J116" s="3">
        <f t="shared" si="26"/>
        <v>-35488752.832239702</v>
      </c>
      <c r="K116" s="3">
        <f t="shared" si="27"/>
        <v>8621179.5602302477</v>
      </c>
      <c r="L116" s="3">
        <f t="shared" si="28"/>
        <v>55879663.388749257</v>
      </c>
      <c r="M116" s="3">
        <f t="shared" si="29"/>
        <v>0</v>
      </c>
      <c r="N116" s="3">
        <f t="shared" si="30"/>
        <v>0</v>
      </c>
      <c r="O116" s="47">
        <f t="shared" si="35"/>
        <v>29012090.116739802</v>
      </c>
      <c r="P116" s="47">
        <f>'Monthly Data'!AJ116</f>
        <v>2675.9615384615386</v>
      </c>
      <c r="Q116" s="47">
        <f t="shared" si="36"/>
        <v>29014766.078278262</v>
      </c>
      <c r="R116" s="47">
        <f t="shared" ca="1" si="37"/>
        <v>-2712452.0995903425</v>
      </c>
      <c r="S116" s="18">
        <f t="shared" ca="1" si="38"/>
        <v>8.5492906575793642E-2</v>
      </c>
    </row>
    <row r="117" spans="1:19">
      <c r="A117" s="2">
        <f>'Monthly Data'!A117</f>
        <v>45870</v>
      </c>
      <c r="B117">
        <f>'Monthly Data'!B117</f>
        <v>2025</v>
      </c>
      <c r="C117">
        <f>'Monthly Data'!C117</f>
        <v>8</v>
      </c>
      <c r="D117" s="3">
        <f ca="1">'Monthly Data'!AI117</f>
        <v>30575986.092831805</v>
      </c>
      <c r="E117" s="3">
        <f>'Monthly Data'!DR117</f>
        <v>21</v>
      </c>
      <c r="F117" s="3">
        <f>'Monthly Data'!DL117</f>
        <v>899254</v>
      </c>
      <c r="G117" s="3">
        <f>'Monthly Data'!EE117</f>
        <v>0</v>
      </c>
      <c r="H117" s="3">
        <f>'Monthly Data'!EJ117</f>
        <v>0</v>
      </c>
      <c r="J117" s="3">
        <f t="shared" si="26"/>
        <v>-35488752.832239702</v>
      </c>
      <c r="K117" s="3">
        <f t="shared" si="27"/>
        <v>8229307.7620379645</v>
      </c>
      <c r="L117" s="3">
        <f t="shared" si="28"/>
        <v>55879663.388749257</v>
      </c>
      <c r="M117" s="3">
        <f t="shared" si="29"/>
        <v>0</v>
      </c>
      <c r="N117" s="3">
        <f t="shared" si="30"/>
        <v>0</v>
      </c>
      <c r="O117" s="47">
        <f t="shared" si="35"/>
        <v>28620218.318547517</v>
      </c>
      <c r="P117" s="47">
        <f>'Monthly Data'!AJ117</f>
        <v>2790.3846153846152</v>
      </c>
      <c r="Q117" s="47">
        <f t="shared" si="36"/>
        <v>28623008.703162901</v>
      </c>
      <c r="R117" s="47">
        <f t="shared" ca="1" si="37"/>
        <v>-1952977.3896689042</v>
      </c>
      <c r="S117" s="18">
        <f t="shared" ca="1" si="38"/>
        <v>6.3872915945849346E-2</v>
      </c>
    </row>
    <row r="118" spans="1:19">
      <c r="A118" s="2">
        <f>'Monthly Data'!A118</f>
        <v>45901</v>
      </c>
      <c r="B118">
        <f>'Monthly Data'!B118</f>
        <v>2025</v>
      </c>
      <c r="C118">
        <f>'Monthly Data'!C118</f>
        <v>9</v>
      </c>
      <c r="D118" s="3">
        <f ca="1">'Monthly Data'!AI118</f>
        <v>29232613.696968108</v>
      </c>
      <c r="E118" s="3">
        <f>'Monthly Data'!DR118</f>
        <v>21</v>
      </c>
      <c r="F118" s="3">
        <f>'Monthly Data'!DL118</f>
        <v>899254</v>
      </c>
      <c r="G118" s="3">
        <f>'Monthly Data'!EE118</f>
        <v>0</v>
      </c>
      <c r="H118" s="3">
        <f>'Monthly Data'!EJ118</f>
        <v>0</v>
      </c>
      <c r="J118" s="3">
        <f t="shared" si="26"/>
        <v>-35488752.832239702</v>
      </c>
      <c r="K118" s="3">
        <f t="shared" si="27"/>
        <v>8229307.7620379645</v>
      </c>
      <c r="L118" s="3">
        <f t="shared" si="28"/>
        <v>55879663.388749257</v>
      </c>
      <c r="M118" s="3">
        <f t="shared" si="29"/>
        <v>0</v>
      </c>
      <c r="N118" s="3">
        <f t="shared" si="30"/>
        <v>0</v>
      </c>
      <c r="O118" s="47">
        <f t="shared" si="35"/>
        <v>28620218.318547517</v>
      </c>
      <c r="P118" s="47">
        <f>'Monthly Data'!AJ118</f>
        <v>2904.8076923076924</v>
      </c>
      <c r="Q118" s="47">
        <f t="shared" si="36"/>
        <v>28623123.126239825</v>
      </c>
      <c r="R118" s="47">
        <f t="shared" ca="1" si="37"/>
        <v>-609490.57072828338</v>
      </c>
      <c r="S118" s="18">
        <f t="shared" ca="1" si="38"/>
        <v>2.0849677591145307E-2</v>
      </c>
    </row>
    <row r="119" spans="1:19">
      <c r="A119" s="2">
        <f>'Monthly Data'!A119</f>
        <v>45931</v>
      </c>
      <c r="B119">
        <f>'Monthly Data'!B119</f>
        <v>2025</v>
      </c>
      <c r="C119">
        <f>'Monthly Data'!C119</f>
        <v>10</v>
      </c>
      <c r="D119" s="3">
        <f ca="1">'Monthly Data'!AI119</f>
        <v>28773558.578480989</v>
      </c>
      <c r="E119" s="3">
        <f>'Monthly Data'!DR119</f>
        <v>22</v>
      </c>
      <c r="F119" s="3">
        <f>'Monthly Data'!DL119</f>
        <v>904812.6129999999</v>
      </c>
      <c r="G119" s="3">
        <f>'Monthly Data'!EE119</f>
        <v>0</v>
      </c>
      <c r="H119" s="3">
        <f>'Monthly Data'!EJ119</f>
        <v>0</v>
      </c>
      <c r="J119" s="3">
        <f t="shared" si="26"/>
        <v>-35488752.832239702</v>
      </c>
      <c r="K119" s="3">
        <f t="shared" si="27"/>
        <v>8621179.5602302477</v>
      </c>
      <c r="L119" s="3">
        <f t="shared" si="28"/>
        <v>56225075.723137893</v>
      </c>
      <c r="M119" s="3">
        <f t="shared" si="29"/>
        <v>0</v>
      </c>
      <c r="N119" s="3">
        <f t="shared" si="30"/>
        <v>0</v>
      </c>
      <c r="O119" s="47">
        <f t="shared" si="35"/>
        <v>29357502.451128438</v>
      </c>
      <c r="P119" s="47">
        <f>'Monthly Data'!AJ119</f>
        <v>3019.2307692307695</v>
      </c>
      <c r="Q119" s="47">
        <f t="shared" si="36"/>
        <v>29360521.68189767</v>
      </c>
      <c r="R119" s="47">
        <f t="shared" ca="1" si="37"/>
        <v>586963.10341668129</v>
      </c>
      <c r="S119" s="18">
        <f t="shared" ca="1" si="38"/>
        <v>2.039939209520146E-2</v>
      </c>
    </row>
    <row r="120" spans="1:19">
      <c r="A120" s="2">
        <f>'Monthly Data'!A120</f>
        <v>45962</v>
      </c>
      <c r="B120">
        <f>'Monthly Data'!B120</f>
        <v>2025</v>
      </c>
      <c r="C120">
        <f>'Monthly Data'!C120</f>
        <v>11</v>
      </c>
      <c r="D120" s="3">
        <f ca="1">'Monthly Data'!AI120</f>
        <v>28636957.327388141</v>
      </c>
      <c r="E120" s="3">
        <f>'Monthly Data'!DR120</f>
        <v>20</v>
      </c>
      <c r="F120" s="3">
        <f>'Monthly Data'!DL120</f>
        <v>904812.6129999999</v>
      </c>
      <c r="G120" s="3">
        <f>'Monthly Data'!EE120</f>
        <v>0</v>
      </c>
      <c r="H120" s="3">
        <f>'Monthly Data'!EJ120</f>
        <v>0</v>
      </c>
      <c r="J120" s="3">
        <f t="shared" si="26"/>
        <v>-35488752.832239702</v>
      </c>
      <c r="K120" s="3">
        <f t="shared" si="27"/>
        <v>7837435.9638456805</v>
      </c>
      <c r="L120" s="3">
        <f t="shared" si="28"/>
        <v>56225075.723137893</v>
      </c>
      <c r="M120" s="3">
        <f t="shared" si="29"/>
        <v>0</v>
      </c>
      <c r="N120" s="3">
        <f t="shared" si="30"/>
        <v>0</v>
      </c>
      <c r="O120" s="47">
        <f t="shared" si="35"/>
        <v>28573758.854743872</v>
      </c>
      <c r="P120" s="47">
        <f>'Monthly Data'!AJ120</f>
        <v>3133.6538461538462</v>
      </c>
      <c r="Q120" s="47">
        <f t="shared" si="36"/>
        <v>28576892.508590024</v>
      </c>
      <c r="R120" s="47">
        <f t="shared" ca="1" si="37"/>
        <v>-60064.81879811734</v>
      </c>
      <c r="S120" s="18">
        <f t="shared" ca="1" si="38"/>
        <v>2.0974581241796895E-3</v>
      </c>
    </row>
    <row r="121" spans="1:19">
      <c r="A121" s="2">
        <f>'Monthly Data'!A121</f>
        <v>45992</v>
      </c>
      <c r="B121">
        <f>'Monthly Data'!B121</f>
        <v>2025</v>
      </c>
      <c r="C121">
        <f>'Monthly Data'!C121</f>
        <v>12</v>
      </c>
      <c r="D121" s="3">
        <f ca="1">'Monthly Data'!AI121</f>
        <v>29219345.500602182</v>
      </c>
      <c r="E121" s="3">
        <f>'Monthly Data'!DR121</f>
        <v>21</v>
      </c>
      <c r="F121" s="3">
        <f>'Monthly Data'!DL121</f>
        <v>904812.6129999999</v>
      </c>
      <c r="G121" s="3">
        <f>'Monthly Data'!EE121</f>
        <v>0</v>
      </c>
      <c r="H121" s="3">
        <f>'Monthly Data'!EJ121</f>
        <v>0</v>
      </c>
      <c r="J121" s="3">
        <f t="shared" si="26"/>
        <v>-35488752.832239702</v>
      </c>
      <c r="K121" s="3">
        <f t="shared" si="27"/>
        <v>8229307.7620379645</v>
      </c>
      <c r="L121" s="3">
        <f t="shared" si="28"/>
        <v>56225075.723137893</v>
      </c>
      <c r="M121" s="3">
        <f t="shared" si="29"/>
        <v>0</v>
      </c>
      <c r="N121" s="3">
        <f t="shared" si="30"/>
        <v>0</v>
      </c>
      <c r="O121" s="47">
        <f t="shared" si="35"/>
        <v>28965630.652936153</v>
      </c>
      <c r="P121" s="47">
        <f>'Monthly Data'!AJ121</f>
        <v>3248.0769230769229</v>
      </c>
      <c r="Q121" s="47">
        <f t="shared" si="36"/>
        <v>28968878.729859229</v>
      </c>
      <c r="R121" s="47">
        <f t="shared" ca="1" si="37"/>
        <v>-250466.77074295282</v>
      </c>
      <c r="S121" s="18">
        <f t="shared" ca="1" si="38"/>
        <v>8.5719500711537479E-3</v>
      </c>
    </row>
    <row r="122" spans="1:19">
      <c r="S122" s="17">
        <f ca="1">AVERAGE(S2:S120)</f>
        <v>4.6201643490867972E-2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F9755-CA19-4229-ACE8-E7227DE7ABBA}">
  <sheetPr codeName="Sheet15">
    <tabColor theme="9" tint="0.79998168889431442"/>
  </sheetPr>
  <dimension ref="A1:AF122"/>
  <sheetViews>
    <sheetView topLeftCell="O19" workbookViewId="0">
      <selection activeCell="AD21" sqref="AD21"/>
    </sheetView>
  </sheetViews>
  <sheetFormatPr defaultRowHeight="14.5"/>
  <cols>
    <col min="4" max="4" width="28" customWidth="1"/>
    <col min="13" max="13" width="13.81640625" bestFit="1" customWidth="1"/>
    <col min="14" max="15" width="11.1796875" bestFit="1" customWidth="1"/>
    <col min="16" max="18" width="10.1796875" bestFit="1" customWidth="1"/>
    <col min="19" max="20" width="11.1796875" bestFit="1" customWidth="1"/>
    <col min="21" max="23" width="12.54296875" customWidth="1"/>
    <col min="24" max="24" width="10.453125" bestFit="1" customWidth="1"/>
    <col min="28" max="28" width="16.6328125" customWidth="1"/>
    <col min="29" max="29" width="13.81640625" bestFit="1" customWidth="1"/>
    <col min="30" max="30" width="12.81640625" bestFit="1" customWidth="1"/>
    <col min="31" max="31" width="13.81640625" bestFit="1" customWidth="1"/>
    <col min="32" max="32" width="8.81640625" bestFit="1" customWidth="1"/>
  </cols>
  <sheetData>
    <row r="1" spans="1:32">
      <c r="A1" s="541" t="str">
        <f>'Monthly Data'!A1</f>
        <v>Date</v>
      </c>
      <c r="B1" s="541" t="str">
        <f>'Monthly Data'!B1</f>
        <v>Year</v>
      </c>
      <c r="C1" s="541" t="str">
        <f>'Monthly Data'!C1</f>
        <v>Month</v>
      </c>
      <c r="D1" s="541" t="str">
        <f>'Monthly Data'!BE1</f>
        <v>WRZ_ResidentialkWh_No_CDM</v>
      </c>
      <c r="E1" s="541" t="str">
        <f>'Monthly Data'!CP1</f>
        <v>HDD18</v>
      </c>
      <c r="F1" s="541" t="str">
        <f>'Monthly Data'!CU1</f>
        <v>CDD14</v>
      </c>
      <c r="G1" s="541" t="str">
        <f>'Monthly Data'!EM1</f>
        <v>CovHDD20</v>
      </c>
      <c r="H1" s="541" t="str">
        <f>'Monthly Data'!ET1</f>
        <v>CovCDD14</v>
      </c>
      <c r="I1" s="541" t="str">
        <f>'Monthly Data'!EG1</f>
        <v>Shoulder</v>
      </c>
      <c r="J1" s="541" t="str">
        <f>'Monthly Data'!EH1</f>
        <v>Trend</v>
      </c>
      <c r="K1" s="541" t="str">
        <f>'Monthly Data'!DQ1</f>
        <v>Month Days</v>
      </c>
      <c r="L1" s="541"/>
      <c r="M1" s="541" t="str">
        <f>AB8</f>
        <v>const</v>
      </c>
      <c r="N1" s="541" t="str">
        <f>E1</f>
        <v>HDD18</v>
      </c>
      <c r="O1" s="541" t="str">
        <f>F1</f>
        <v>CDD14</v>
      </c>
      <c r="P1" s="541" t="str">
        <f>G1</f>
        <v>CovHDD20</v>
      </c>
      <c r="Q1" s="541" t="str">
        <f>H1</f>
        <v>CovCDD14</v>
      </c>
      <c r="R1" s="541" t="str">
        <f>I1</f>
        <v>Shoulder</v>
      </c>
      <c r="S1" s="541" t="str">
        <f t="shared" ref="S1:T1" si="0">J1</f>
        <v>Trend</v>
      </c>
      <c r="T1" s="541" t="str">
        <f t="shared" si="0"/>
        <v>Month Days</v>
      </c>
      <c r="U1" s="541" t="s">
        <v>293</v>
      </c>
      <c r="V1" s="541" t="s">
        <v>294</v>
      </c>
      <c r="W1" s="541" t="s">
        <v>295</v>
      </c>
      <c r="X1" s="541" t="s">
        <v>296</v>
      </c>
      <c r="Y1" s="541"/>
    </row>
    <row r="2" spans="1:32">
      <c r="A2" s="2">
        <f>'Monthly Data'!A2</f>
        <v>42370</v>
      </c>
      <c r="B2">
        <f>'Monthly Data'!B2</f>
        <v>2016</v>
      </c>
      <c r="C2">
        <f>'Monthly Data'!C2</f>
        <v>1</v>
      </c>
      <c r="D2" s="3">
        <f>'Monthly Data'!BE2</f>
        <v>29960911.944665615</v>
      </c>
      <c r="E2" s="3">
        <f>'Monthly Data'!CP2</f>
        <v>675.87916666666683</v>
      </c>
      <c r="F2" s="3">
        <f>'Monthly Data'!CU2</f>
        <v>0</v>
      </c>
      <c r="G2" s="3">
        <f>'Monthly Data'!EM2</f>
        <v>0</v>
      </c>
      <c r="H2" s="3">
        <f>'Monthly Data'!ET2</f>
        <v>0</v>
      </c>
      <c r="I2" s="3">
        <f>'Monthly Data'!EG2</f>
        <v>0</v>
      </c>
      <c r="J2">
        <f>'Monthly Data'!EH2</f>
        <v>1</v>
      </c>
      <c r="K2" s="3">
        <f>'Monthly Data'!DQ2</f>
        <v>31</v>
      </c>
      <c r="M2" s="3">
        <f t="shared" ref="M2:M33" si="1">$AC$8</f>
        <v>-5660024.0454457896</v>
      </c>
      <c r="N2" s="3">
        <f t="shared" ref="N2:N33" si="2">E2*$AC$9</f>
        <v>9642361.1637173574</v>
      </c>
      <c r="O2" s="3">
        <f t="shared" ref="O2:O33" si="3">F2*$AC$10</f>
        <v>0</v>
      </c>
      <c r="P2" s="3">
        <f t="shared" ref="P2:P33" si="4">G2*$AC$11</f>
        <v>0</v>
      </c>
      <c r="Q2" s="3">
        <f t="shared" ref="Q2:Q33" si="5">H2*$AC$12</f>
        <v>0</v>
      </c>
      <c r="R2" s="3">
        <f t="shared" ref="R2:R33" si="6">I2*$AC$13</f>
        <v>0</v>
      </c>
      <c r="S2" s="3">
        <f t="shared" ref="S2:S33" si="7">J2*$AC$14</f>
        <v>47394.050458225698</v>
      </c>
      <c r="T2" s="3">
        <f t="shared" ref="T2:T33" si="8">K2*$AC$15</f>
        <v>24925623.239568908</v>
      </c>
      <c r="U2" s="47">
        <f t="shared" ref="U2:U42" si="9">SUM(M2:T2)</f>
        <v>28955354.408298701</v>
      </c>
      <c r="V2" s="47">
        <f>'Monthly Data'!BF2+'Monthly Data'!BG2</f>
        <v>0</v>
      </c>
      <c r="W2" s="47">
        <f t="shared" ref="W2:W42" si="10">U2+V2</f>
        <v>28955354.408298701</v>
      </c>
      <c r="X2" s="47">
        <f t="shared" ref="X2:X42" si="11">W2-D2</f>
        <v>-1005557.5363669135</v>
      </c>
      <c r="Y2" s="18">
        <f t="shared" ref="Y2:Y9" si="12">ABS(X2/D2)</f>
        <v>3.3562314065208147E-2</v>
      </c>
    </row>
    <row r="3" spans="1:32">
      <c r="A3" s="2">
        <f>'Monthly Data'!A3</f>
        <v>42401</v>
      </c>
      <c r="B3">
        <f>'Monthly Data'!B3</f>
        <v>2016</v>
      </c>
      <c r="C3">
        <f>'Monthly Data'!C3</f>
        <v>2</v>
      </c>
      <c r="D3" s="3">
        <f>'Monthly Data'!BE3</f>
        <v>26909411.130641416</v>
      </c>
      <c r="E3" s="3">
        <f>'Monthly Data'!CP3</f>
        <v>603.70833333333337</v>
      </c>
      <c r="F3" s="3">
        <f>'Monthly Data'!CU3</f>
        <v>0</v>
      </c>
      <c r="G3" s="3">
        <f>'Monthly Data'!EM3</f>
        <v>0</v>
      </c>
      <c r="H3" s="3">
        <f>'Monthly Data'!ET3</f>
        <v>0</v>
      </c>
      <c r="I3" s="3">
        <f>'Monthly Data'!EG3</f>
        <v>0</v>
      </c>
      <c r="J3">
        <f>'Monthly Data'!EH3</f>
        <v>2</v>
      </c>
      <c r="K3" s="3">
        <f>'Monthly Data'!DQ3</f>
        <v>29</v>
      </c>
      <c r="M3" s="3">
        <f t="shared" si="1"/>
        <v>-5660024.0454457896</v>
      </c>
      <c r="N3" s="3">
        <f t="shared" si="2"/>
        <v>8612743.3343670145</v>
      </c>
      <c r="O3" s="3">
        <f t="shared" si="3"/>
        <v>0</v>
      </c>
      <c r="P3" s="3">
        <f t="shared" si="4"/>
        <v>0</v>
      </c>
      <c r="Q3" s="3">
        <f t="shared" si="5"/>
        <v>0</v>
      </c>
      <c r="R3" s="3">
        <f t="shared" si="6"/>
        <v>0</v>
      </c>
      <c r="S3" s="3">
        <f t="shared" si="7"/>
        <v>94788.100916451396</v>
      </c>
      <c r="T3" s="3">
        <f t="shared" si="8"/>
        <v>23317518.514435429</v>
      </c>
      <c r="U3" s="47">
        <f t="shared" si="9"/>
        <v>26365025.904273104</v>
      </c>
      <c r="V3" s="47">
        <f>'Monthly Data'!BF3+'Monthly Data'!BG3</f>
        <v>0</v>
      </c>
      <c r="W3" s="47">
        <f t="shared" si="10"/>
        <v>26365025.904273104</v>
      </c>
      <c r="X3" s="47">
        <f t="shared" si="11"/>
        <v>-544385.22636831179</v>
      </c>
      <c r="Y3" s="18">
        <f t="shared" si="12"/>
        <v>2.0230291317985292E-2</v>
      </c>
      <c r="AB3" s="651" t="s">
        <v>345</v>
      </c>
      <c r="AC3" s="651"/>
      <c r="AD3" s="651"/>
      <c r="AE3" s="651"/>
      <c r="AF3" s="651"/>
    </row>
    <row r="4" spans="1:32">
      <c r="A4" s="2">
        <f>'Monthly Data'!A4</f>
        <v>42430</v>
      </c>
      <c r="B4">
        <f>'Monthly Data'!B4</f>
        <v>2016</v>
      </c>
      <c r="C4">
        <f>'Monthly Data'!C4</f>
        <v>3</v>
      </c>
      <c r="D4" s="3">
        <f>'Monthly Data'!BE4</f>
        <v>26314086.65198138</v>
      </c>
      <c r="E4" s="3">
        <f>'Monthly Data'!CP4</f>
        <v>515.07934782608686</v>
      </c>
      <c r="F4" s="3">
        <f>'Monthly Data'!CU4</f>
        <v>0</v>
      </c>
      <c r="G4" s="3">
        <f>'Monthly Data'!EM4</f>
        <v>0</v>
      </c>
      <c r="H4" s="3">
        <f>'Monthly Data'!ET4</f>
        <v>0</v>
      </c>
      <c r="I4" s="3">
        <f>'Monthly Data'!EG4</f>
        <v>1</v>
      </c>
      <c r="J4">
        <f>'Monthly Data'!EH4</f>
        <v>3</v>
      </c>
      <c r="K4" s="3">
        <f>'Monthly Data'!DQ4</f>
        <v>31</v>
      </c>
      <c r="M4" s="3">
        <f t="shared" si="1"/>
        <v>-5660024.0454457896</v>
      </c>
      <c r="N4" s="3">
        <f t="shared" si="2"/>
        <v>7348326.9564374164</v>
      </c>
      <c r="O4" s="3">
        <f t="shared" si="3"/>
        <v>0</v>
      </c>
      <c r="P4" s="3">
        <f t="shared" si="4"/>
        <v>0</v>
      </c>
      <c r="Q4" s="3">
        <f t="shared" si="5"/>
        <v>0</v>
      </c>
      <c r="R4" s="3">
        <f t="shared" si="6"/>
        <v>-701201.51304507197</v>
      </c>
      <c r="S4" s="3">
        <f t="shared" si="7"/>
        <v>142182.15137467708</v>
      </c>
      <c r="T4" s="3">
        <f t="shared" si="8"/>
        <v>24925623.239568908</v>
      </c>
      <c r="U4" s="47">
        <f t="shared" si="9"/>
        <v>26054906.788890138</v>
      </c>
      <c r="V4" s="47">
        <f>'Monthly Data'!BF4+'Monthly Data'!BG4</f>
        <v>0</v>
      </c>
      <c r="W4" s="47">
        <f t="shared" si="10"/>
        <v>26054906.788890138</v>
      </c>
      <c r="X4" s="47">
        <f t="shared" si="11"/>
        <v>-259179.86309124157</v>
      </c>
      <c r="Y4" s="18">
        <f t="shared" si="12"/>
        <v>9.8494721294735115E-3</v>
      </c>
      <c r="AB4" s="651" t="s">
        <v>346</v>
      </c>
      <c r="AC4" s="651"/>
      <c r="AD4" s="651"/>
      <c r="AE4" s="651"/>
      <c r="AF4" s="651"/>
    </row>
    <row r="5" spans="1:32">
      <c r="A5" s="2">
        <f>'Monthly Data'!A5</f>
        <v>42461</v>
      </c>
      <c r="B5">
        <f>'Monthly Data'!B5</f>
        <v>2016</v>
      </c>
      <c r="C5">
        <f>'Monthly Data'!C5</f>
        <v>4</v>
      </c>
      <c r="D5" s="3">
        <f>'Monthly Data'!BE5</f>
        <v>23886895.211393088</v>
      </c>
      <c r="E5" s="3">
        <f>'Monthly Data'!CP5</f>
        <v>405.98333333333341</v>
      </c>
      <c r="F5" s="3">
        <f>'Monthly Data'!CU5</f>
        <v>0.83333333333333393</v>
      </c>
      <c r="G5" s="3">
        <f>'Monthly Data'!EM5</f>
        <v>0</v>
      </c>
      <c r="H5" s="3">
        <f>'Monthly Data'!ET5</f>
        <v>0</v>
      </c>
      <c r="I5" s="3">
        <f>'Monthly Data'!EG5</f>
        <v>1</v>
      </c>
      <c r="J5">
        <f>'Monthly Data'!EH5</f>
        <v>4</v>
      </c>
      <c r="K5" s="3">
        <f>'Monthly Data'!DQ5</f>
        <v>30</v>
      </c>
      <c r="M5" s="3">
        <f t="shared" si="1"/>
        <v>-5660024.0454457896</v>
      </c>
      <c r="N5" s="3">
        <f t="shared" si="2"/>
        <v>5791919.7979666265</v>
      </c>
      <c r="O5" s="3">
        <f t="shared" si="3"/>
        <v>76147.801078373232</v>
      </c>
      <c r="P5" s="3">
        <f t="shared" si="4"/>
        <v>0</v>
      </c>
      <c r="Q5" s="3">
        <f t="shared" si="5"/>
        <v>0</v>
      </c>
      <c r="R5" s="3">
        <f t="shared" si="6"/>
        <v>-701201.51304507197</v>
      </c>
      <c r="S5" s="3">
        <f t="shared" si="7"/>
        <v>189576.20183290279</v>
      </c>
      <c r="T5" s="3">
        <f t="shared" si="8"/>
        <v>24121570.877002168</v>
      </c>
      <c r="U5" s="47">
        <f t="shared" si="9"/>
        <v>23817989.11938921</v>
      </c>
      <c r="V5" s="47">
        <f>'Monthly Data'!BF5+'Monthly Data'!BG5</f>
        <v>0</v>
      </c>
      <c r="W5" s="47">
        <f t="shared" si="10"/>
        <v>23817989.11938921</v>
      </c>
      <c r="X5" s="47">
        <f t="shared" si="11"/>
        <v>-68906.092003878206</v>
      </c>
      <c r="Y5" s="18">
        <f t="shared" si="12"/>
        <v>2.8846818054031891E-3</v>
      </c>
      <c r="AB5" s="651" t="s">
        <v>347</v>
      </c>
      <c r="AC5" s="651"/>
      <c r="AD5" s="651"/>
      <c r="AE5" s="651"/>
      <c r="AF5" s="651"/>
    </row>
    <row r="6" spans="1:32">
      <c r="A6" s="2">
        <f>'Monthly Data'!A6</f>
        <v>42491</v>
      </c>
      <c r="B6">
        <f>'Monthly Data'!B6</f>
        <v>2016</v>
      </c>
      <c r="C6">
        <f>'Monthly Data'!C6</f>
        <v>5</v>
      </c>
      <c r="D6" s="3">
        <f>'Monthly Data'!BE6</f>
        <v>26353067.108886197</v>
      </c>
      <c r="E6" s="3">
        <f>'Monthly Data'!CP6</f>
        <v>154.58611111111114</v>
      </c>
      <c r="F6" s="3">
        <f>'Monthly Data'!CU6</f>
        <v>66.604166666666671</v>
      </c>
      <c r="G6" s="3">
        <f>'Monthly Data'!EM6</f>
        <v>0</v>
      </c>
      <c r="H6" s="3">
        <f>'Monthly Data'!ET6</f>
        <v>0</v>
      </c>
      <c r="I6" s="3">
        <f>'Monthly Data'!EG6</f>
        <v>1</v>
      </c>
      <c r="J6">
        <f>'Monthly Data'!EH6</f>
        <v>5</v>
      </c>
      <c r="K6" s="3">
        <f>'Monthly Data'!DQ6</f>
        <v>31</v>
      </c>
      <c r="M6" s="3">
        <f t="shared" si="1"/>
        <v>-5660024.0454457896</v>
      </c>
      <c r="N6" s="3">
        <f t="shared" si="2"/>
        <v>2205386.9800117733</v>
      </c>
      <c r="O6" s="3">
        <f t="shared" si="3"/>
        <v>6086113.0011889758</v>
      </c>
      <c r="P6" s="3">
        <f t="shared" si="4"/>
        <v>0</v>
      </c>
      <c r="Q6" s="3">
        <f t="shared" si="5"/>
        <v>0</v>
      </c>
      <c r="R6" s="3">
        <f t="shared" si="6"/>
        <v>-701201.51304507197</v>
      </c>
      <c r="S6" s="3">
        <f t="shared" si="7"/>
        <v>236970.25229112851</v>
      </c>
      <c r="T6" s="3">
        <f t="shared" si="8"/>
        <v>24925623.239568908</v>
      </c>
      <c r="U6" s="47">
        <f t="shared" si="9"/>
        <v>27092867.914569922</v>
      </c>
      <c r="V6" s="47">
        <f>'Monthly Data'!BF6+'Monthly Data'!BG6</f>
        <v>0</v>
      </c>
      <c r="W6" s="47">
        <f t="shared" si="10"/>
        <v>27092867.914569922</v>
      </c>
      <c r="X6" s="47">
        <f t="shared" si="11"/>
        <v>739800.80568372458</v>
      </c>
      <c r="Y6" s="18">
        <f t="shared" si="12"/>
        <v>2.8072664279531447E-2</v>
      </c>
      <c r="AB6" s="652"/>
      <c r="AC6" s="652"/>
      <c r="AD6" s="652"/>
      <c r="AE6" s="652"/>
      <c r="AF6" s="652"/>
    </row>
    <row r="7" spans="1:32">
      <c r="A7" s="2">
        <f>'Monthly Data'!A7</f>
        <v>42522</v>
      </c>
      <c r="B7">
        <f>'Monthly Data'!B7</f>
        <v>2016</v>
      </c>
      <c r="C7">
        <f>'Monthly Data'!C7</f>
        <v>6</v>
      </c>
      <c r="D7" s="3">
        <f>'Monthly Data'!BE7</f>
        <v>32102680.887218602</v>
      </c>
      <c r="E7" s="3">
        <f>'Monthly Data'!CP7</f>
        <v>30.204166666666669</v>
      </c>
      <c r="F7" s="3">
        <f>'Monthly Data'!CU7</f>
        <v>147.17916666666667</v>
      </c>
      <c r="G7" s="3">
        <f>'Monthly Data'!EM7</f>
        <v>0</v>
      </c>
      <c r="H7" s="3">
        <f>'Monthly Data'!ET7</f>
        <v>0</v>
      </c>
      <c r="I7" s="3">
        <f>'Monthly Data'!EG7</f>
        <v>0</v>
      </c>
      <c r="J7">
        <f>'Monthly Data'!EH7</f>
        <v>6</v>
      </c>
      <c r="K7" s="3">
        <f>'Monthly Data'!DQ7</f>
        <v>30</v>
      </c>
      <c r="M7" s="3">
        <f t="shared" si="1"/>
        <v>-5660024.0454457896</v>
      </c>
      <c r="N7" s="3">
        <f t="shared" si="2"/>
        <v>430904.6616800779</v>
      </c>
      <c r="O7" s="3">
        <f t="shared" si="3"/>
        <v>13448843.887456879</v>
      </c>
      <c r="P7" s="3">
        <f t="shared" si="4"/>
        <v>0</v>
      </c>
      <c r="Q7" s="3">
        <f t="shared" si="5"/>
        <v>0</v>
      </c>
      <c r="R7" s="3">
        <f t="shared" si="6"/>
        <v>0</v>
      </c>
      <c r="S7" s="3">
        <f t="shared" si="7"/>
        <v>284364.30274935416</v>
      </c>
      <c r="T7" s="3">
        <f t="shared" si="8"/>
        <v>24121570.877002168</v>
      </c>
      <c r="U7" s="47">
        <f t="shared" si="9"/>
        <v>32625659.683442689</v>
      </c>
      <c r="V7" s="47">
        <f>'Monthly Data'!BF7+'Monthly Data'!BG7</f>
        <v>0</v>
      </c>
      <c r="W7" s="47">
        <f t="shared" si="10"/>
        <v>32625659.683442689</v>
      </c>
      <c r="X7" s="47">
        <f t="shared" si="11"/>
        <v>522978.79622408748</v>
      </c>
      <c r="Y7" s="18">
        <f t="shared" si="12"/>
        <v>1.6290813781608713E-2</v>
      </c>
      <c r="AB7" s="652"/>
      <c r="AC7" s="652" t="s">
        <v>300</v>
      </c>
      <c r="AD7" s="652" t="s">
        <v>301</v>
      </c>
      <c r="AE7" s="652" t="s">
        <v>302</v>
      </c>
      <c r="AF7" s="652" t="s">
        <v>303</v>
      </c>
    </row>
    <row r="8" spans="1:32">
      <c r="A8" s="2">
        <f>'Monthly Data'!A8</f>
        <v>42552</v>
      </c>
      <c r="B8">
        <f>'Monthly Data'!B8</f>
        <v>2016</v>
      </c>
      <c r="C8">
        <f>'Monthly Data'!C8</f>
        <v>7</v>
      </c>
      <c r="D8" s="3">
        <f>'Monthly Data'!BE8</f>
        <v>41813657.982731514</v>
      </c>
      <c r="E8" s="3">
        <f>'Monthly Data'!CP8</f>
        <v>1.6583333333333314</v>
      </c>
      <c r="F8" s="3">
        <f>'Monthly Data'!CU8</f>
        <v>251.2291666666666</v>
      </c>
      <c r="G8" s="3">
        <f>'Monthly Data'!EM8</f>
        <v>0</v>
      </c>
      <c r="H8" s="3">
        <f>'Monthly Data'!ET8</f>
        <v>0</v>
      </c>
      <c r="I8" s="3">
        <f>'Monthly Data'!EG8</f>
        <v>0</v>
      </c>
      <c r="J8">
        <f>'Monthly Data'!EH8</f>
        <v>7</v>
      </c>
      <c r="K8" s="3">
        <f>'Monthly Data'!DQ8</f>
        <v>31</v>
      </c>
      <c r="M8" s="3">
        <f t="shared" si="1"/>
        <v>-5660024.0454457896</v>
      </c>
      <c r="N8" s="3">
        <f t="shared" si="2"/>
        <v>23658.443281648615</v>
      </c>
      <c r="O8" s="3">
        <f t="shared" si="3"/>
        <v>22956658.330102544</v>
      </c>
      <c r="P8" s="3">
        <f t="shared" si="4"/>
        <v>0</v>
      </c>
      <c r="Q8" s="3">
        <f t="shared" si="5"/>
        <v>0</v>
      </c>
      <c r="R8" s="3">
        <f t="shared" si="6"/>
        <v>0</v>
      </c>
      <c r="S8" s="3">
        <f t="shared" si="7"/>
        <v>331758.35320757987</v>
      </c>
      <c r="T8" s="3">
        <f t="shared" si="8"/>
        <v>24925623.239568908</v>
      </c>
      <c r="U8" s="47">
        <f t="shared" si="9"/>
        <v>42577674.320714891</v>
      </c>
      <c r="V8" s="47">
        <f>'Monthly Data'!BF8+'Monthly Data'!BG8</f>
        <v>0</v>
      </c>
      <c r="W8" s="47">
        <f t="shared" si="10"/>
        <v>42577674.320714891</v>
      </c>
      <c r="X8" s="47">
        <f t="shared" si="11"/>
        <v>764016.33798337728</v>
      </c>
      <c r="Y8" s="18">
        <f t="shared" si="12"/>
        <v>1.8271932541728493E-2</v>
      </c>
      <c r="AB8" s="652" t="s">
        <v>304</v>
      </c>
      <c r="AC8" s="654">
        <v>-5660024.0454457896</v>
      </c>
      <c r="AD8" s="654">
        <v>2366440.1537987501</v>
      </c>
      <c r="AE8" s="655">
        <v>-2.3917883730801202</v>
      </c>
      <c r="AF8" s="656">
        <v>1.8432213519403901E-2</v>
      </c>
    </row>
    <row r="9" spans="1:32">
      <c r="A9" s="2">
        <f>'Monthly Data'!A9</f>
        <v>42583</v>
      </c>
      <c r="B9">
        <f>'Monthly Data'!B9</f>
        <v>2016</v>
      </c>
      <c r="C9">
        <f>'Monthly Data'!C9</f>
        <v>8</v>
      </c>
      <c r="D9" s="3">
        <f>'Monthly Data'!BE9</f>
        <v>44304186.134557702</v>
      </c>
      <c r="E9" s="3">
        <f>'Monthly Data'!CP9</f>
        <v>1.1291666666666664</v>
      </c>
      <c r="F9" s="3">
        <f>'Monthly Data'!CU9</f>
        <v>266.02500000000003</v>
      </c>
      <c r="G9" s="3">
        <f>'Monthly Data'!EM9</f>
        <v>0</v>
      </c>
      <c r="H9" s="3">
        <f>'Monthly Data'!ET9</f>
        <v>0</v>
      </c>
      <c r="I9" s="3">
        <f>'Monthly Data'!EG9</f>
        <v>0</v>
      </c>
      <c r="J9">
        <f>'Monthly Data'!EH9</f>
        <v>8</v>
      </c>
      <c r="K9" s="3">
        <f>'Monthly Data'!DQ9</f>
        <v>31</v>
      </c>
      <c r="M9" s="3">
        <f t="shared" si="1"/>
        <v>-5660024.0454457896</v>
      </c>
      <c r="N9" s="3">
        <f t="shared" si="2"/>
        <v>16109.141028459248</v>
      </c>
      <c r="O9" s="3">
        <f t="shared" si="3"/>
        <v>24308662.538249072</v>
      </c>
      <c r="P9" s="3">
        <f t="shared" si="4"/>
        <v>0</v>
      </c>
      <c r="Q9" s="3">
        <f t="shared" si="5"/>
        <v>0</v>
      </c>
      <c r="R9" s="3">
        <f t="shared" si="6"/>
        <v>0</v>
      </c>
      <c r="S9" s="3">
        <f t="shared" si="7"/>
        <v>379152.40366580558</v>
      </c>
      <c r="T9" s="3">
        <f t="shared" si="8"/>
        <v>24925623.239568908</v>
      </c>
      <c r="U9" s="47">
        <f t="shared" si="9"/>
        <v>43969523.277066454</v>
      </c>
      <c r="V9" s="47">
        <f>'Monthly Data'!BF9+'Monthly Data'!BG9</f>
        <v>0</v>
      </c>
      <c r="W9" s="47">
        <f t="shared" si="10"/>
        <v>43969523.277066454</v>
      </c>
      <c r="X9" s="47">
        <f t="shared" si="11"/>
        <v>-334662.85749124736</v>
      </c>
      <c r="Y9" s="18">
        <f t="shared" si="12"/>
        <v>7.5537525161805657E-3</v>
      </c>
      <c r="AB9" s="652" t="s">
        <v>118</v>
      </c>
      <c r="AC9" s="654">
        <v>14266.3979587831</v>
      </c>
      <c r="AD9" s="654">
        <v>731.97070634940496</v>
      </c>
      <c r="AE9" s="655">
        <v>19.490394677042001</v>
      </c>
      <c r="AF9" s="656">
        <v>8.7835840492490498E-38</v>
      </c>
    </row>
    <row r="10" spans="1:32">
      <c r="A10" s="2">
        <f>'Monthly Data'!A10</f>
        <v>42614</v>
      </c>
      <c r="B10">
        <f>'Monthly Data'!B10</f>
        <v>2016</v>
      </c>
      <c r="C10">
        <f>'Monthly Data'!C10</f>
        <v>9</v>
      </c>
      <c r="D10" s="3">
        <f>'Monthly Data'!BE10</f>
        <v>30897555.458088223</v>
      </c>
      <c r="E10" s="3">
        <f>'Monthly Data'!CP10</f>
        <v>40.929166666666667</v>
      </c>
      <c r="F10" s="3">
        <f>'Monthly Data'!CU10</f>
        <v>120.65416666666664</v>
      </c>
      <c r="G10" s="3">
        <f>'Monthly Data'!EM10</f>
        <v>0</v>
      </c>
      <c r="H10" s="3">
        <f>'Monthly Data'!ET10</f>
        <v>0</v>
      </c>
      <c r="I10" s="3">
        <f>'Monthly Data'!EG10</f>
        <v>1</v>
      </c>
      <c r="J10">
        <f>'Monthly Data'!EH10</f>
        <v>9</v>
      </c>
      <c r="K10" s="3">
        <f>'Monthly Data'!DQ10</f>
        <v>30</v>
      </c>
      <c r="M10" s="3">
        <f t="shared" si="1"/>
        <v>-5660024.0454457896</v>
      </c>
      <c r="N10" s="3">
        <f t="shared" si="2"/>
        <v>583911.77978802659</v>
      </c>
      <c r="O10" s="3">
        <f t="shared" si="3"/>
        <v>11025059.379132258</v>
      </c>
      <c r="P10" s="3">
        <f t="shared" si="4"/>
        <v>0</v>
      </c>
      <c r="Q10" s="3">
        <f t="shared" si="5"/>
        <v>0</v>
      </c>
      <c r="R10" s="3">
        <f t="shared" si="6"/>
        <v>-701201.51304507197</v>
      </c>
      <c r="S10" s="3">
        <f t="shared" si="7"/>
        <v>426546.4541240313</v>
      </c>
      <c r="T10" s="3">
        <f t="shared" si="8"/>
        <v>24121570.877002168</v>
      </c>
      <c r="U10" s="47">
        <f t="shared" si="9"/>
        <v>29795862.931555621</v>
      </c>
      <c r="V10" s="47">
        <f>'Monthly Data'!BF10+'Monthly Data'!BG10</f>
        <v>0</v>
      </c>
      <c r="W10" s="47">
        <f t="shared" si="10"/>
        <v>29795862.931555621</v>
      </c>
      <c r="X10" s="47">
        <f t="shared" si="11"/>
        <v>-1101692.5265326016</v>
      </c>
      <c r="Y10" s="18">
        <f t="shared" ref="Y10:Y41" si="13">ABS(X10/D10)</f>
        <v>3.5656300642522364E-2</v>
      </c>
      <c r="AB10" s="652" t="s">
        <v>123</v>
      </c>
      <c r="AC10" s="654">
        <v>91377.361294047805</v>
      </c>
      <c r="AD10" s="654">
        <v>2350.2652717157398</v>
      </c>
      <c r="AE10" s="655">
        <v>38.879594739252802</v>
      </c>
      <c r="AF10" s="656">
        <v>7.2550555684328494E-67</v>
      </c>
    </row>
    <row r="11" spans="1:32">
      <c r="A11" s="2">
        <f>'Monthly Data'!A11</f>
        <v>42644</v>
      </c>
      <c r="B11">
        <f>'Monthly Data'!B11</f>
        <v>2016</v>
      </c>
      <c r="C11">
        <f>'Monthly Data'!C11</f>
        <v>10</v>
      </c>
      <c r="D11" s="3">
        <f>'Monthly Data'!BE11</f>
        <v>24772539.484086975</v>
      </c>
      <c r="E11" s="3">
        <f>'Monthly Data'!CP11</f>
        <v>222.13333333333333</v>
      </c>
      <c r="F11" s="3">
        <f>'Monthly Data'!CU11</f>
        <v>24.770833333333336</v>
      </c>
      <c r="G11" s="3">
        <f>'Monthly Data'!EM11</f>
        <v>0</v>
      </c>
      <c r="H11" s="3">
        <f>'Monthly Data'!ET11</f>
        <v>0</v>
      </c>
      <c r="I11" s="3">
        <f>'Monthly Data'!EG11</f>
        <v>1</v>
      </c>
      <c r="J11">
        <f>'Monthly Data'!EH11</f>
        <v>10</v>
      </c>
      <c r="K11" s="3">
        <f>'Monthly Data'!DQ11</f>
        <v>31</v>
      </c>
      <c r="M11" s="3">
        <f t="shared" si="1"/>
        <v>-5660024.0454457896</v>
      </c>
      <c r="N11" s="3">
        <f t="shared" si="2"/>
        <v>3169042.5332443523</v>
      </c>
      <c r="O11" s="3">
        <f t="shared" si="3"/>
        <v>2263493.3870546427</v>
      </c>
      <c r="P11" s="3">
        <f t="shared" si="4"/>
        <v>0</v>
      </c>
      <c r="Q11" s="3">
        <f t="shared" si="5"/>
        <v>0</v>
      </c>
      <c r="R11" s="3">
        <f t="shared" si="6"/>
        <v>-701201.51304507197</v>
      </c>
      <c r="S11" s="3">
        <f t="shared" si="7"/>
        <v>473940.50458225701</v>
      </c>
      <c r="T11" s="3">
        <f t="shared" si="8"/>
        <v>24925623.239568908</v>
      </c>
      <c r="U11" s="47">
        <f t="shared" si="9"/>
        <v>24470874.1059593</v>
      </c>
      <c r="V11" s="47">
        <f>'Monthly Data'!BF11+'Monthly Data'!BG11</f>
        <v>0</v>
      </c>
      <c r="W11" s="47">
        <f t="shared" si="10"/>
        <v>24470874.1059593</v>
      </c>
      <c r="X11" s="47">
        <f t="shared" si="11"/>
        <v>-301665.3781276755</v>
      </c>
      <c r="Y11" s="18">
        <f t="shared" si="13"/>
        <v>1.2177410326521225E-2</v>
      </c>
      <c r="AB11" s="652" t="s">
        <v>169</v>
      </c>
      <c r="AC11" s="654">
        <v>4748.6435264424899</v>
      </c>
      <c r="AD11" s="654">
        <v>1313.0110126196701</v>
      </c>
      <c r="AE11" s="655">
        <v>3.6166060153358401</v>
      </c>
      <c r="AF11" s="656">
        <v>4.4904794196891801E-4</v>
      </c>
    </row>
    <row r="12" spans="1:32">
      <c r="A12" s="2">
        <f>'Monthly Data'!A12</f>
        <v>42675</v>
      </c>
      <c r="B12">
        <f>'Monthly Data'!B12</f>
        <v>2016</v>
      </c>
      <c r="C12">
        <f>'Monthly Data'!C12</f>
        <v>11</v>
      </c>
      <c r="D12" s="3">
        <f>'Monthly Data'!BE12</f>
        <v>24562187.195038669</v>
      </c>
      <c r="E12" s="3">
        <f>'Monthly Data'!CP12</f>
        <v>377.33511904761912</v>
      </c>
      <c r="F12" s="3">
        <f>'Monthly Data'!CU12</f>
        <v>0</v>
      </c>
      <c r="G12" s="3">
        <f>'Monthly Data'!EM12</f>
        <v>0</v>
      </c>
      <c r="H12" s="3">
        <f>'Monthly Data'!ET12</f>
        <v>0</v>
      </c>
      <c r="I12" s="3">
        <f>'Monthly Data'!EG12</f>
        <v>1</v>
      </c>
      <c r="J12">
        <f>'Monthly Data'!EH12</f>
        <v>11</v>
      </c>
      <c r="K12" s="3">
        <f>'Monthly Data'!DQ12</f>
        <v>30</v>
      </c>
      <c r="M12" s="3">
        <f t="shared" si="1"/>
        <v>-5660024.0454457896</v>
      </c>
      <c r="N12" s="3">
        <f t="shared" si="2"/>
        <v>5383212.9721581312</v>
      </c>
      <c r="O12" s="3">
        <f t="shared" si="3"/>
        <v>0</v>
      </c>
      <c r="P12" s="3">
        <f t="shared" si="4"/>
        <v>0</v>
      </c>
      <c r="Q12" s="3">
        <f t="shared" si="5"/>
        <v>0</v>
      </c>
      <c r="R12" s="3">
        <f t="shared" si="6"/>
        <v>-701201.51304507197</v>
      </c>
      <c r="S12" s="3">
        <f t="shared" si="7"/>
        <v>521334.55504048266</v>
      </c>
      <c r="T12" s="3">
        <f t="shared" si="8"/>
        <v>24121570.877002168</v>
      </c>
      <c r="U12" s="47">
        <f t="shared" si="9"/>
        <v>23664892.84570992</v>
      </c>
      <c r="V12" s="47">
        <f>'Monthly Data'!BF12+'Monthly Data'!BG12</f>
        <v>0</v>
      </c>
      <c r="W12" s="47">
        <f t="shared" si="10"/>
        <v>23664892.84570992</v>
      </c>
      <c r="X12" s="47">
        <f t="shared" si="11"/>
        <v>-897294.34932874888</v>
      </c>
      <c r="Y12" s="18">
        <f t="shared" si="13"/>
        <v>3.6531532888487796E-2</v>
      </c>
      <c r="AB12" s="652" t="s">
        <v>174</v>
      </c>
      <c r="AC12" s="654">
        <v>12220.1995527173</v>
      </c>
      <c r="AD12" s="654">
        <v>4389.3952068791295</v>
      </c>
      <c r="AE12" s="655">
        <v>2.7840280896934502</v>
      </c>
      <c r="AF12" s="656">
        <v>6.3043346145759196E-3</v>
      </c>
    </row>
    <row r="13" spans="1:32">
      <c r="A13" s="2">
        <f>'Monthly Data'!A13</f>
        <v>42705</v>
      </c>
      <c r="B13">
        <f>'Monthly Data'!B13</f>
        <v>2016</v>
      </c>
      <c r="C13">
        <f>'Monthly Data'!C13</f>
        <v>12</v>
      </c>
      <c r="D13" s="3">
        <f>'Monthly Data'!BE13</f>
        <v>30212610.490226153</v>
      </c>
      <c r="E13" s="3">
        <f>'Monthly Data'!CP13</f>
        <v>616.67083333333335</v>
      </c>
      <c r="F13" s="3">
        <f>'Monthly Data'!CU13</f>
        <v>0</v>
      </c>
      <c r="G13" s="3">
        <f>'Monthly Data'!EM13</f>
        <v>0</v>
      </c>
      <c r="H13" s="3">
        <f>'Monthly Data'!ET13</f>
        <v>0</v>
      </c>
      <c r="I13" s="3">
        <f>'Monthly Data'!EG13</f>
        <v>0</v>
      </c>
      <c r="J13">
        <f>'Monthly Data'!EH13</f>
        <v>12</v>
      </c>
      <c r="K13" s="3">
        <f>'Monthly Data'!DQ13</f>
        <v>31</v>
      </c>
      <c r="M13" s="3">
        <f t="shared" si="1"/>
        <v>-5660024.0454457896</v>
      </c>
      <c r="N13" s="3">
        <f t="shared" si="2"/>
        <v>8797671.5179077405</v>
      </c>
      <c r="O13" s="3">
        <f t="shared" si="3"/>
        <v>0</v>
      </c>
      <c r="P13" s="3">
        <f t="shared" si="4"/>
        <v>0</v>
      </c>
      <c r="Q13" s="3">
        <f t="shared" si="5"/>
        <v>0</v>
      </c>
      <c r="R13" s="3">
        <f t="shared" si="6"/>
        <v>0</v>
      </c>
      <c r="S13" s="3">
        <f t="shared" si="7"/>
        <v>568728.60549870832</v>
      </c>
      <c r="T13" s="3">
        <f t="shared" si="8"/>
        <v>24925623.239568908</v>
      </c>
      <c r="U13" s="47">
        <f t="shared" si="9"/>
        <v>28631999.317529567</v>
      </c>
      <c r="V13" s="47">
        <f>'Monthly Data'!BF13+'Monthly Data'!BG13</f>
        <v>0</v>
      </c>
      <c r="W13" s="47">
        <f t="shared" si="10"/>
        <v>28631999.317529567</v>
      </c>
      <c r="X13" s="47">
        <f t="shared" si="11"/>
        <v>-1580611.1726965867</v>
      </c>
      <c r="Y13" s="18">
        <f t="shared" si="13"/>
        <v>5.2316272809591148E-2</v>
      </c>
      <c r="AB13" s="652" t="s">
        <v>161</v>
      </c>
      <c r="AC13" s="654">
        <v>-701201.51304507197</v>
      </c>
      <c r="AD13" s="654">
        <v>221808.86339376599</v>
      </c>
      <c r="AE13" s="655">
        <v>-3.1612871655190098</v>
      </c>
      <c r="AF13" s="656">
        <v>2.0209629304864798E-3</v>
      </c>
    </row>
    <row r="14" spans="1:32">
      <c r="A14" s="2">
        <f>'Monthly Data'!A14</f>
        <v>42736</v>
      </c>
      <c r="B14">
        <f>'Monthly Data'!B14</f>
        <v>2017</v>
      </c>
      <c r="C14">
        <f>'Monthly Data'!C14</f>
        <v>1</v>
      </c>
      <c r="D14" s="3">
        <f>'Monthly Data'!BE14</f>
        <v>29209278.175967161</v>
      </c>
      <c r="E14" s="3">
        <f>'Monthly Data'!CP14</f>
        <v>620.2166666666667</v>
      </c>
      <c r="F14" s="3">
        <f>'Monthly Data'!CU14</f>
        <v>0</v>
      </c>
      <c r="G14" s="3">
        <f>'Monthly Data'!EM14</f>
        <v>0</v>
      </c>
      <c r="H14" s="3">
        <f>'Monthly Data'!ET14</f>
        <v>0</v>
      </c>
      <c r="I14" s="3">
        <f>'Monthly Data'!EG14</f>
        <v>0</v>
      </c>
      <c r="J14">
        <f>'Monthly Data'!EH14</f>
        <v>13</v>
      </c>
      <c r="K14" s="3">
        <f>'Monthly Data'!DQ14</f>
        <v>31</v>
      </c>
      <c r="M14" s="3">
        <f t="shared" si="1"/>
        <v>-5660024.0454457896</v>
      </c>
      <c r="N14" s="3">
        <f t="shared" si="2"/>
        <v>8848257.7873365916</v>
      </c>
      <c r="O14" s="3">
        <f t="shared" si="3"/>
        <v>0</v>
      </c>
      <c r="P14" s="3">
        <f t="shared" si="4"/>
        <v>0</v>
      </c>
      <c r="Q14" s="3">
        <f t="shared" si="5"/>
        <v>0</v>
      </c>
      <c r="R14" s="3">
        <f t="shared" si="6"/>
        <v>0</v>
      </c>
      <c r="S14" s="3">
        <f t="shared" si="7"/>
        <v>616122.65595693409</v>
      </c>
      <c r="T14" s="3">
        <f t="shared" si="8"/>
        <v>24925623.239568908</v>
      </c>
      <c r="U14" s="47">
        <f t="shared" si="9"/>
        <v>28729979.637416646</v>
      </c>
      <c r="V14" s="47">
        <f>'Monthly Data'!BF14+'Monthly Data'!BG14</f>
        <v>1012.7023076923077</v>
      </c>
      <c r="W14" s="47">
        <f t="shared" si="10"/>
        <v>28730992.33972434</v>
      </c>
      <c r="X14" s="47">
        <f t="shared" si="11"/>
        <v>-478285.83624282107</v>
      </c>
      <c r="Y14" s="18">
        <f t="shared" si="13"/>
        <v>1.6374449014503398E-2</v>
      </c>
      <c r="AB14" s="652" t="s">
        <v>162</v>
      </c>
      <c r="AC14" s="654">
        <v>47394.050458225698</v>
      </c>
      <c r="AD14" s="654">
        <v>3356.22661701773</v>
      </c>
      <c r="AE14" s="655">
        <v>14.121230735110201</v>
      </c>
      <c r="AF14" s="656">
        <v>1.2609339545024401E-26</v>
      </c>
    </row>
    <row r="15" spans="1:32">
      <c r="A15" s="2">
        <f>'Monthly Data'!A15</f>
        <v>42767</v>
      </c>
      <c r="B15">
        <f>'Monthly Data'!B15</f>
        <v>2017</v>
      </c>
      <c r="C15">
        <f>'Monthly Data'!C15</f>
        <v>2</v>
      </c>
      <c r="D15" s="3">
        <f>'Monthly Data'!BE15</f>
        <v>25296050.784227852</v>
      </c>
      <c r="E15" s="3">
        <f>'Monthly Data'!CP15</f>
        <v>530.08333333333337</v>
      </c>
      <c r="F15" s="3">
        <f>'Monthly Data'!CU15</f>
        <v>0</v>
      </c>
      <c r="G15" s="3">
        <f>'Monthly Data'!EM15</f>
        <v>0</v>
      </c>
      <c r="H15" s="3">
        <f>'Monthly Data'!ET15</f>
        <v>0</v>
      </c>
      <c r="I15" s="3">
        <f>'Monthly Data'!EG15</f>
        <v>0</v>
      </c>
      <c r="J15">
        <f>'Monthly Data'!EH15</f>
        <v>14</v>
      </c>
      <c r="K15" s="3">
        <f>'Monthly Data'!DQ15</f>
        <v>28</v>
      </c>
      <c r="M15" s="3">
        <f t="shared" si="1"/>
        <v>-5660024.0454457896</v>
      </c>
      <c r="N15" s="3">
        <f t="shared" si="2"/>
        <v>7562379.7846516091</v>
      </c>
      <c r="O15" s="3">
        <f t="shared" si="3"/>
        <v>0</v>
      </c>
      <c r="P15" s="3">
        <f t="shared" si="4"/>
        <v>0</v>
      </c>
      <c r="Q15" s="3">
        <f t="shared" si="5"/>
        <v>0</v>
      </c>
      <c r="R15" s="3">
        <f t="shared" si="6"/>
        <v>0</v>
      </c>
      <c r="S15" s="3">
        <f t="shared" si="7"/>
        <v>663516.70641515974</v>
      </c>
      <c r="T15" s="3">
        <f t="shared" si="8"/>
        <v>22513466.15186869</v>
      </c>
      <c r="U15" s="47">
        <f t="shared" si="9"/>
        <v>25079338.59748967</v>
      </c>
      <c r="V15" s="47">
        <f>'Monthly Data'!BF15+'Monthly Data'!BG15</f>
        <v>2025.4046153846155</v>
      </c>
      <c r="W15" s="47">
        <f t="shared" si="10"/>
        <v>25081364.002105054</v>
      </c>
      <c r="X15" s="47">
        <f t="shared" si="11"/>
        <v>-214686.78212279826</v>
      </c>
      <c r="Y15" s="18">
        <f t="shared" si="13"/>
        <v>8.4869683396056432E-3</v>
      </c>
      <c r="AB15" s="652" t="s">
        <v>305</v>
      </c>
      <c r="AC15" s="654">
        <v>804052.36256673897</v>
      </c>
      <c r="AD15" s="654">
        <v>80753.865361589502</v>
      </c>
      <c r="AE15" s="655">
        <v>9.9568281835978407</v>
      </c>
      <c r="AF15" s="656">
        <v>4.13772574058381E-17</v>
      </c>
    </row>
    <row r="16" spans="1:32">
      <c r="A16" s="2">
        <f>'Monthly Data'!A16</f>
        <v>42795</v>
      </c>
      <c r="B16">
        <f>'Monthly Data'!B16</f>
        <v>2017</v>
      </c>
      <c r="C16">
        <f>'Monthly Data'!C16</f>
        <v>3</v>
      </c>
      <c r="D16" s="3">
        <f>'Monthly Data'!BE16</f>
        <v>27398839.264766809</v>
      </c>
      <c r="E16" s="3">
        <f>'Monthly Data'!CP16</f>
        <v>599.67916666666667</v>
      </c>
      <c r="F16" s="3">
        <f>'Monthly Data'!CU16</f>
        <v>0</v>
      </c>
      <c r="G16" s="3">
        <f>'Monthly Data'!EM16</f>
        <v>0</v>
      </c>
      <c r="H16" s="3">
        <f>'Monthly Data'!ET16</f>
        <v>0</v>
      </c>
      <c r="I16" s="3">
        <f>'Monthly Data'!EG16</f>
        <v>1</v>
      </c>
      <c r="J16">
        <f>'Monthly Data'!EH16</f>
        <v>15</v>
      </c>
      <c r="K16" s="3">
        <f>'Monthly Data'!DQ16</f>
        <v>31</v>
      </c>
      <c r="M16" s="3">
        <f t="shared" si="1"/>
        <v>-5660024.0454457896</v>
      </c>
      <c r="N16" s="3">
        <f t="shared" si="2"/>
        <v>8555261.639258083</v>
      </c>
      <c r="O16" s="3">
        <f t="shared" si="3"/>
        <v>0</v>
      </c>
      <c r="P16" s="3">
        <f t="shared" si="4"/>
        <v>0</v>
      </c>
      <c r="Q16" s="3">
        <f t="shared" si="5"/>
        <v>0</v>
      </c>
      <c r="R16" s="3">
        <f t="shared" si="6"/>
        <v>-701201.51304507197</v>
      </c>
      <c r="S16" s="3">
        <f t="shared" si="7"/>
        <v>710910.75687338552</v>
      </c>
      <c r="T16" s="3">
        <f t="shared" si="8"/>
        <v>24925623.239568908</v>
      </c>
      <c r="U16" s="47">
        <f t="shared" si="9"/>
        <v>27830570.077209514</v>
      </c>
      <c r="V16" s="47">
        <f>'Monthly Data'!BF16+'Monthly Data'!BG16</f>
        <v>3038.1069230769231</v>
      </c>
      <c r="W16" s="47">
        <f t="shared" si="10"/>
        <v>27833608.184132591</v>
      </c>
      <c r="X16" s="47">
        <f t="shared" si="11"/>
        <v>434768.91936578229</v>
      </c>
      <c r="Y16" s="18">
        <f t="shared" si="13"/>
        <v>1.5868151025100828E-2</v>
      </c>
    </row>
    <row r="17" spans="1:31">
      <c r="A17" s="2">
        <f>'Monthly Data'!A17</f>
        <v>42826</v>
      </c>
      <c r="B17">
        <f>'Monthly Data'!B17</f>
        <v>2017</v>
      </c>
      <c r="C17">
        <f>'Monthly Data'!C17</f>
        <v>4</v>
      </c>
      <c r="D17" s="3">
        <f>'Monthly Data'!BE17</f>
        <v>23562603.660563469</v>
      </c>
      <c r="E17" s="3">
        <f>'Monthly Data'!CP17</f>
        <v>288.73333333333335</v>
      </c>
      <c r="F17" s="3">
        <f>'Monthly Data'!CU17</f>
        <v>5.6500000000000057</v>
      </c>
      <c r="G17" s="3">
        <f>'Monthly Data'!EM17</f>
        <v>0</v>
      </c>
      <c r="H17" s="3">
        <f>'Monthly Data'!ET17</f>
        <v>0</v>
      </c>
      <c r="I17" s="3">
        <f>'Monthly Data'!EG17</f>
        <v>1</v>
      </c>
      <c r="J17">
        <f>'Monthly Data'!EH17</f>
        <v>16</v>
      </c>
      <c r="K17" s="3">
        <f>'Monthly Data'!DQ17</f>
        <v>30</v>
      </c>
      <c r="M17" s="3">
        <f t="shared" si="1"/>
        <v>-5660024.0454457896</v>
      </c>
      <c r="N17" s="3">
        <f t="shared" si="2"/>
        <v>4119184.6372993072</v>
      </c>
      <c r="O17" s="3">
        <f t="shared" si="3"/>
        <v>516282.0913113706</v>
      </c>
      <c r="P17" s="3">
        <f t="shared" si="4"/>
        <v>0</v>
      </c>
      <c r="Q17" s="3">
        <f t="shared" si="5"/>
        <v>0</v>
      </c>
      <c r="R17" s="3">
        <f t="shared" si="6"/>
        <v>-701201.51304507197</v>
      </c>
      <c r="S17" s="3">
        <f t="shared" si="7"/>
        <v>758304.80733161117</v>
      </c>
      <c r="T17" s="3">
        <f t="shared" si="8"/>
        <v>24121570.877002168</v>
      </c>
      <c r="U17" s="47">
        <f t="shared" si="9"/>
        <v>23154116.854453597</v>
      </c>
      <c r="V17" s="47">
        <f>'Monthly Data'!BF17+'Monthly Data'!BG17</f>
        <v>4050.8092307692309</v>
      </c>
      <c r="W17" s="47">
        <f t="shared" si="10"/>
        <v>23158167.663684368</v>
      </c>
      <c r="X17" s="47">
        <f t="shared" si="11"/>
        <v>-404435.9968791008</v>
      </c>
      <c r="Y17" s="18">
        <f t="shared" si="13"/>
        <v>1.7164316928014279E-2</v>
      </c>
      <c r="AB17" s="657" t="s">
        <v>306</v>
      </c>
      <c r="AC17" s="658"/>
      <c r="AD17" s="658"/>
      <c r="AE17" s="659"/>
    </row>
    <row r="18" spans="1:31">
      <c r="A18" s="2">
        <f>'Monthly Data'!A18</f>
        <v>42856</v>
      </c>
      <c r="B18">
        <f>'Monthly Data'!B18</f>
        <v>2017</v>
      </c>
      <c r="C18">
        <f>'Monthly Data'!C18</f>
        <v>5</v>
      </c>
      <c r="D18" s="3">
        <f>'Monthly Data'!BE18</f>
        <v>24502885.271349702</v>
      </c>
      <c r="E18" s="3">
        <f>'Monthly Data'!CP18</f>
        <v>188.63749999999999</v>
      </c>
      <c r="F18" s="3">
        <f>'Monthly Data'!CU18</f>
        <v>28.370833333333344</v>
      </c>
      <c r="G18" s="3">
        <f>'Monthly Data'!EM18</f>
        <v>0</v>
      </c>
      <c r="H18" s="3">
        <f>'Monthly Data'!ET18</f>
        <v>0</v>
      </c>
      <c r="I18" s="3">
        <f>'Monthly Data'!EG18</f>
        <v>1</v>
      </c>
      <c r="J18">
        <f>'Monthly Data'!EH18</f>
        <v>17</v>
      </c>
      <c r="K18" s="3">
        <f>'Monthly Data'!DQ18</f>
        <v>31</v>
      </c>
      <c r="M18" s="3">
        <f t="shared" si="1"/>
        <v>-5660024.0454457896</v>
      </c>
      <c r="N18" s="3">
        <f t="shared" si="2"/>
        <v>2691177.644949947</v>
      </c>
      <c r="O18" s="3">
        <f t="shared" si="3"/>
        <v>2592451.8877132158</v>
      </c>
      <c r="P18" s="3">
        <f t="shared" si="4"/>
        <v>0</v>
      </c>
      <c r="Q18" s="3">
        <f t="shared" si="5"/>
        <v>0</v>
      </c>
      <c r="R18" s="3">
        <f t="shared" si="6"/>
        <v>-701201.51304507197</v>
      </c>
      <c r="S18" s="3">
        <f t="shared" si="7"/>
        <v>805698.85778983682</v>
      </c>
      <c r="T18" s="3">
        <f t="shared" si="8"/>
        <v>24925623.239568908</v>
      </c>
      <c r="U18" s="47">
        <f t="shared" si="9"/>
        <v>24653726.071531046</v>
      </c>
      <c r="V18" s="47">
        <f>'Monthly Data'!BF18+'Monthly Data'!BG18</f>
        <v>5063.5115384615392</v>
      </c>
      <c r="W18" s="47">
        <f t="shared" si="10"/>
        <v>24658789.583069507</v>
      </c>
      <c r="X18" s="47">
        <f t="shared" si="11"/>
        <v>155904.311719805</v>
      </c>
      <c r="Y18" s="18">
        <f t="shared" si="13"/>
        <v>6.362691984772015E-3</v>
      </c>
      <c r="AB18" s="652" t="s">
        <v>307</v>
      </c>
      <c r="AC18" s="660">
        <v>74216713715280</v>
      </c>
      <c r="AD18" s="652" t="s">
        <v>308</v>
      </c>
      <c r="AE18" s="654">
        <v>814032.69565829705</v>
      </c>
    </row>
    <row r="19" spans="1:31">
      <c r="A19" s="2">
        <f>'Monthly Data'!A19</f>
        <v>42887</v>
      </c>
      <c r="B19">
        <f>'Monthly Data'!B19</f>
        <v>2017</v>
      </c>
      <c r="C19">
        <f>'Monthly Data'!C19</f>
        <v>6</v>
      </c>
      <c r="D19" s="3">
        <f>'Monthly Data'!BE19</f>
        <v>29320511.109340541</v>
      </c>
      <c r="E19" s="3">
        <f>'Monthly Data'!CP19</f>
        <v>47.73249999999998</v>
      </c>
      <c r="F19" s="3">
        <f>'Monthly Data'!CU19</f>
        <v>112.71333333333334</v>
      </c>
      <c r="G19" s="3">
        <f>'Monthly Data'!EM19</f>
        <v>0</v>
      </c>
      <c r="H19" s="3">
        <f>'Monthly Data'!ET19</f>
        <v>0</v>
      </c>
      <c r="I19" s="3">
        <f>'Monthly Data'!EG19</f>
        <v>0</v>
      </c>
      <c r="J19">
        <f>'Monthly Data'!EH19</f>
        <v>18</v>
      </c>
      <c r="K19" s="3">
        <f>'Monthly Data'!DQ19</f>
        <v>30</v>
      </c>
      <c r="M19" s="3">
        <f t="shared" si="1"/>
        <v>-5660024.0454457896</v>
      </c>
      <c r="N19" s="3">
        <f t="shared" si="2"/>
        <v>680970.84056761407</v>
      </c>
      <c r="O19" s="3">
        <f t="shared" si="3"/>
        <v>10299446.982656442</v>
      </c>
      <c r="P19" s="3">
        <f t="shared" si="4"/>
        <v>0</v>
      </c>
      <c r="Q19" s="3">
        <f t="shared" si="5"/>
        <v>0</v>
      </c>
      <c r="R19" s="3">
        <f t="shared" si="6"/>
        <v>0</v>
      </c>
      <c r="S19" s="3">
        <f t="shared" si="7"/>
        <v>853092.90824806259</v>
      </c>
      <c r="T19" s="3">
        <f t="shared" si="8"/>
        <v>24121570.877002168</v>
      </c>
      <c r="U19" s="47">
        <f t="shared" si="9"/>
        <v>30295057.563028496</v>
      </c>
      <c r="V19" s="47">
        <f>'Monthly Data'!BF19+'Monthly Data'!BG19</f>
        <v>6076.2138461538461</v>
      </c>
      <c r="W19" s="47">
        <f t="shared" si="10"/>
        <v>30301133.77687465</v>
      </c>
      <c r="X19" s="47">
        <f t="shared" si="11"/>
        <v>980622.66753410921</v>
      </c>
      <c r="Y19" s="18">
        <f t="shared" si="13"/>
        <v>3.3444937705117812E-2</v>
      </c>
      <c r="AB19" s="652" t="s">
        <v>309</v>
      </c>
      <c r="AC19" s="661">
        <v>0.98430825770656905</v>
      </c>
      <c r="AD19" s="652" t="s">
        <v>310</v>
      </c>
      <c r="AE19" s="661">
        <v>0.98332752381322897</v>
      </c>
    </row>
    <row r="20" spans="1:31">
      <c r="A20" s="2">
        <f>'Monthly Data'!A20</f>
        <v>42917</v>
      </c>
      <c r="B20">
        <f>'Monthly Data'!B20</f>
        <v>2017</v>
      </c>
      <c r="C20">
        <f>'Monthly Data'!C20</f>
        <v>7</v>
      </c>
      <c r="D20" s="3">
        <f>'Monthly Data'!BE20</f>
        <v>36406078.266357593</v>
      </c>
      <c r="E20" s="3">
        <f>'Monthly Data'!CP20</f>
        <v>1.8041666666666707</v>
      </c>
      <c r="F20" s="3">
        <f>'Monthly Data'!CU20</f>
        <v>198.16666666666666</v>
      </c>
      <c r="G20" s="3">
        <f>'Monthly Data'!EM20</f>
        <v>0</v>
      </c>
      <c r="H20" s="3">
        <f>'Monthly Data'!ET20</f>
        <v>0</v>
      </c>
      <c r="I20" s="3">
        <f>'Monthly Data'!EG20</f>
        <v>0</v>
      </c>
      <c r="J20">
        <f>'Monthly Data'!EH20</f>
        <v>19</v>
      </c>
      <c r="K20" s="3">
        <f>'Monthly Data'!DQ20</f>
        <v>31</v>
      </c>
      <c r="M20" s="3">
        <f t="shared" si="1"/>
        <v>-5660024.0454457896</v>
      </c>
      <c r="N20" s="3">
        <f t="shared" si="2"/>
        <v>25738.959650637902</v>
      </c>
      <c r="O20" s="3">
        <f t="shared" si="3"/>
        <v>18107947.096437138</v>
      </c>
      <c r="P20" s="3">
        <f t="shared" si="4"/>
        <v>0</v>
      </c>
      <c r="Q20" s="3">
        <f t="shared" si="5"/>
        <v>0</v>
      </c>
      <c r="R20" s="3">
        <f t="shared" si="6"/>
        <v>0</v>
      </c>
      <c r="S20" s="3">
        <f t="shared" si="7"/>
        <v>900486.95870628825</v>
      </c>
      <c r="T20" s="3">
        <f t="shared" si="8"/>
        <v>24925623.239568908</v>
      </c>
      <c r="U20" s="47">
        <f t="shared" si="9"/>
        <v>38299772.208917178</v>
      </c>
      <c r="V20" s="47">
        <f>'Monthly Data'!BF20+'Monthly Data'!BG20</f>
        <v>7088.9161538461531</v>
      </c>
      <c r="W20" s="47">
        <f t="shared" si="10"/>
        <v>38306861.125071026</v>
      </c>
      <c r="X20" s="47">
        <f t="shared" si="11"/>
        <v>1900782.8587134331</v>
      </c>
      <c r="Y20" s="18">
        <f t="shared" si="13"/>
        <v>5.2210590902067117E-2</v>
      </c>
      <c r="AB20" s="652" t="s">
        <v>311</v>
      </c>
      <c r="AC20" s="655">
        <v>718.72283750867598</v>
      </c>
      <c r="AD20" s="652" t="s">
        <v>312</v>
      </c>
      <c r="AE20" s="661">
        <v>6.1171934133578298E-90</v>
      </c>
    </row>
    <row r="21" spans="1:31">
      <c r="A21" s="2">
        <f>'Monthly Data'!A21</f>
        <v>42948</v>
      </c>
      <c r="B21">
        <f>'Monthly Data'!B21</f>
        <v>2017</v>
      </c>
      <c r="C21">
        <f>'Monthly Data'!C21</f>
        <v>8</v>
      </c>
      <c r="D21" s="3">
        <f>'Monthly Data'!BE21</f>
        <v>33695531.342850439</v>
      </c>
      <c r="E21" s="3">
        <f>'Monthly Data'!CP21</f>
        <v>17.950000000000006</v>
      </c>
      <c r="F21" s="3">
        <f>'Monthly Data'!CU21</f>
        <v>155.42409420289857</v>
      </c>
      <c r="G21" s="3">
        <f>'Monthly Data'!EM21</f>
        <v>0</v>
      </c>
      <c r="H21" s="3">
        <f>'Monthly Data'!ET21</f>
        <v>0</v>
      </c>
      <c r="I21" s="3">
        <f>'Monthly Data'!EG21</f>
        <v>0</v>
      </c>
      <c r="J21">
        <f>'Monthly Data'!EH21</f>
        <v>20</v>
      </c>
      <c r="K21" s="3">
        <f>'Monthly Data'!DQ21</f>
        <v>31</v>
      </c>
      <c r="M21" s="3">
        <f t="shared" si="1"/>
        <v>-5660024.0454457896</v>
      </c>
      <c r="N21" s="3">
        <f t="shared" si="2"/>
        <v>256081.84336015672</v>
      </c>
      <c r="O21" s="3">
        <f t="shared" si="3"/>
        <v>14202243.609778384</v>
      </c>
      <c r="P21" s="3">
        <f t="shared" si="4"/>
        <v>0</v>
      </c>
      <c r="Q21" s="3">
        <f t="shared" si="5"/>
        <v>0</v>
      </c>
      <c r="R21" s="3">
        <f t="shared" si="6"/>
        <v>0</v>
      </c>
      <c r="S21" s="3">
        <f t="shared" si="7"/>
        <v>947881.00916451402</v>
      </c>
      <c r="T21" s="3">
        <f t="shared" si="8"/>
        <v>24925623.239568908</v>
      </c>
      <c r="U21" s="47">
        <f t="shared" si="9"/>
        <v>34671805.656426176</v>
      </c>
      <c r="V21" s="47">
        <f>'Monthly Data'!BF21+'Monthly Data'!BG21</f>
        <v>8101.6184615384618</v>
      </c>
      <c r="W21" s="47">
        <f t="shared" si="10"/>
        <v>34679907.274887718</v>
      </c>
      <c r="X21" s="47">
        <f t="shared" si="11"/>
        <v>984375.93203727901</v>
      </c>
      <c r="Y21" s="18">
        <f t="shared" si="13"/>
        <v>2.9213842097377853E-2</v>
      </c>
      <c r="AB21" s="652" t="s">
        <v>313</v>
      </c>
      <c r="AC21" s="661">
        <v>-1.40911154538521E-2</v>
      </c>
      <c r="AD21" s="652" t="s">
        <v>314</v>
      </c>
      <c r="AE21" s="661">
        <v>2.0158561669736201</v>
      </c>
    </row>
    <row r="22" spans="1:31">
      <c r="A22" s="2">
        <f>'Monthly Data'!A22</f>
        <v>42979</v>
      </c>
      <c r="B22">
        <f>'Monthly Data'!B22</f>
        <v>2017</v>
      </c>
      <c r="C22">
        <f>'Monthly Data'!C22</f>
        <v>9</v>
      </c>
      <c r="D22" s="3">
        <f>'Monthly Data'!BE22</f>
        <v>31233762.674260356</v>
      </c>
      <c r="E22" s="3">
        <f>'Monthly Data'!CP22</f>
        <v>65.699999999999989</v>
      </c>
      <c r="F22" s="3">
        <f>'Monthly Data'!CU22</f>
        <v>112.67916666666666</v>
      </c>
      <c r="G22" s="3">
        <f>'Monthly Data'!EM22</f>
        <v>0</v>
      </c>
      <c r="H22" s="3">
        <f>'Monthly Data'!ET22</f>
        <v>0</v>
      </c>
      <c r="I22" s="3">
        <f>'Monthly Data'!EG22</f>
        <v>1</v>
      </c>
      <c r="J22">
        <f>'Monthly Data'!EH22</f>
        <v>21</v>
      </c>
      <c r="K22" s="3">
        <f>'Monthly Data'!DQ22</f>
        <v>30</v>
      </c>
      <c r="M22" s="3">
        <f t="shared" si="1"/>
        <v>-5660024.0454457896</v>
      </c>
      <c r="N22" s="3">
        <f t="shared" si="2"/>
        <v>937302.34589204949</v>
      </c>
      <c r="O22" s="3">
        <f t="shared" si="3"/>
        <v>10296324.922812227</v>
      </c>
      <c r="P22" s="3">
        <f t="shared" si="4"/>
        <v>0</v>
      </c>
      <c r="Q22" s="3">
        <f t="shared" si="5"/>
        <v>0</v>
      </c>
      <c r="R22" s="3">
        <f t="shared" si="6"/>
        <v>-701201.51304507197</v>
      </c>
      <c r="S22" s="3">
        <f t="shared" si="7"/>
        <v>995275.05962273967</v>
      </c>
      <c r="T22" s="3">
        <f t="shared" si="8"/>
        <v>24121570.877002168</v>
      </c>
      <c r="U22" s="47">
        <f t="shared" si="9"/>
        <v>29989247.646838322</v>
      </c>
      <c r="V22" s="47">
        <f>'Monthly Data'!BF22+'Monthly Data'!BG22</f>
        <v>9114.3207692307697</v>
      </c>
      <c r="W22" s="47">
        <f t="shared" si="10"/>
        <v>29998361.967607554</v>
      </c>
      <c r="X22" s="47">
        <f t="shared" si="11"/>
        <v>-1235400.7066528015</v>
      </c>
      <c r="Y22" s="18">
        <f t="shared" si="13"/>
        <v>3.9553374325626521E-2</v>
      </c>
    </row>
    <row r="23" spans="1:31">
      <c r="A23" s="2">
        <f>'Monthly Data'!A23</f>
        <v>43009</v>
      </c>
      <c r="B23">
        <f>'Monthly Data'!B23</f>
        <v>2017</v>
      </c>
      <c r="C23">
        <f>'Monthly Data'!C23</f>
        <v>10</v>
      </c>
      <c r="D23" s="3">
        <f>'Monthly Data'!BE23</f>
        <v>25389882.474390097</v>
      </c>
      <c r="E23" s="3">
        <f>'Monthly Data'!CP23</f>
        <v>179.70833333333334</v>
      </c>
      <c r="F23" s="3">
        <f>'Monthly Data'!CU23</f>
        <v>29.654166666666669</v>
      </c>
      <c r="G23" s="3">
        <f>'Monthly Data'!EM23</f>
        <v>0</v>
      </c>
      <c r="H23" s="3">
        <f>'Monthly Data'!ET23</f>
        <v>0</v>
      </c>
      <c r="I23" s="3">
        <f>'Monthly Data'!EG23</f>
        <v>1</v>
      </c>
      <c r="J23">
        <f>'Monthly Data'!EH23</f>
        <v>22</v>
      </c>
      <c r="K23" s="3">
        <f>'Monthly Data'!DQ23</f>
        <v>31</v>
      </c>
      <c r="M23" s="3">
        <f t="shared" si="1"/>
        <v>-5660024.0454457896</v>
      </c>
      <c r="N23" s="3">
        <f t="shared" si="2"/>
        <v>2563790.5998429796</v>
      </c>
      <c r="O23" s="3">
        <f t="shared" si="3"/>
        <v>2709719.5013739094</v>
      </c>
      <c r="P23" s="3">
        <f t="shared" si="4"/>
        <v>0</v>
      </c>
      <c r="Q23" s="3">
        <f t="shared" si="5"/>
        <v>0</v>
      </c>
      <c r="R23" s="3">
        <f t="shared" si="6"/>
        <v>-701201.51304507197</v>
      </c>
      <c r="S23" s="3">
        <f t="shared" si="7"/>
        <v>1042669.1100809653</v>
      </c>
      <c r="T23" s="3">
        <f t="shared" si="8"/>
        <v>24925623.239568908</v>
      </c>
      <c r="U23" s="47">
        <f t="shared" si="9"/>
        <v>24880576.892375901</v>
      </c>
      <c r="V23" s="47">
        <f>'Monthly Data'!BF23+'Monthly Data'!BG23</f>
        <v>10127.023076923078</v>
      </c>
      <c r="W23" s="47">
        <f t="shared" si="10"/>
        <v>24890703.915452823</v>
      </c>
      <c r="X23" s="47">
        <f t="shared" si="11"/>
        <v>-499178.55893727392</v>
      </c>
      <c r="Y23" s="18">
        <f t="shared" si="13"/>
        <v>1.9660530506227361E-2</v>
      </c>
      <c r="AB23" s="657" t="s">
        <v>315</v>
      </c>
      <c r="AC23" s="658"/>
      <c r="AD23" s="658"/>
      <c r="AE23" s="659"/>
    </row>
    <row r="24" spans="1:31">
      <c r="A24" s="2">
        <f>'Monthly Data'!A24</f>
        <v>43040</v>
      </c>
      <c r="B24">
        <f>'Monthly Data'!B24</f>
        <v>2017</v>
      </c>
      <c r="C24">
        <f>'Monthly Data'!C24</f>
        <v>11</v>
      </c>
      <c r="D24" s="3">
        <f>'Monthly Data'!BE24</f>
        <v>26427042.049821343</v>
      </c>
      <c r="E24" s="3">
        <f>'Monthly Data'!CP24</f>
        <v>442.61174242424244</v>
      </c>
      <c r="F24" s="3">
        <f>'Monthly Data'!CU24</f>
        <v>0</v>
      </c>
      <c r="G24" s="3">
        <f>'Monthly Data'!EM24</f>
        <v>0</v>
      </c>
      <c r="H24" s="3">
        <f>'Monthly Data'!ET24</f>
        <v>0</v>
      </c>
      <c r="I24" s="3">
        <f>'Monthly Data'!EG24</f>
        <v>1</v>
      </c>
      <c r="J24">
        <f>'Monthly Data'!EH24</f>
        <v>23</v>
      </c>
      <c r="K24" s="3">
        <f>'Monthly Data'!DQ24</f>
        <v>30</v>
      </c>
      <c r="M24" s="3">
        <f t="shared" si="1"/>
        <v>-5660024.0454457896</v>
      </c>
      <c r="N24" s="3">
        <f t="shared" si="2"/>
        <v>6314475.2586546438</v>
      </c>
      <c r="O24" s="3">
        <f t="shared" si="3"/>
        <v>0</v>
      </c>
      <c r="P24" s="3">
        <f t="shared" si="4"/>
        <v>0</v>
      </c>
      <c r="Q24" s="3">
        <f t="shared" si="5"/>
        <v>0</v>
      </c>
      <c r="R24" s="3">
        <f t="shared" si="6"/>
        <v>-701201.51304507197</v>
      </c>
      <c r="S24" s="3">
        <f t="shared" si="7"/>
        <v>1090063.160539191</v>
      </c>
      <c r="T24" s="3">
        <f t="shared" si="8"/>
        <v>24121570.877002168</v>
      </c>
      <c r="U24" s="47">
        <f t="shared" si="9"/>
        <v>25164883.737705141</v>
      </c>
      <c r="V24" s="47">
        <f>'Monthly Data'!BF24+'Monthly Data'!BG24</f>
        <v>11139.725384615384</v>
      </c>
      <c r="W24" s="47">
        <f t="shared" si="10"/>
        <v>25176023.463089757</v>
      </c>
      <c r="X24" s="47">
        <f t="shared" si="11"/>
        <v>-1251018.5867315866</v>
      </c>
      <c r="Y24" s="18">
        <f t="shared" si="13"/>
        <v>4.7338577823924262E-2</v>
      </c>
      <c r="AB24" s="652" t="s">
        <v>316</v>
      </c>
      <c r="AC24" s="654">
        <v>31905993.277894299</v>
      </c>
      <c r="AD24" s="652" t="s">
        <v>317</v>
      </c>
      <c r="AE24" s="654">
        <v>6295605.6395033803</v>
      </c>
    </row>
    <row r="25" spans="1:31">
      <c r="A25" s="2">
        <f>'Monthly Data'!A25</f>
        <v>43070</v>
      </c>
      <c r="B25">
        <f>'Monthly Data'!B25</f>
        <v>2017</v>
      </c>
      <c r="C25">
        <f>'Monthly Data'!C25</f>
        <v>12</v>
      </c>
      <c r="D25" s="3">
        <f>'Monthly Data'!BE25</f>
        <v>32215739.695158463</v>
      </c>
      <c r="E25" s="3">
        <f>'Monthly Data'!CP25</f>
        <v>736.31250000000011</v>
      </c>
      <c r="F25" s="3">
        <f>'Monthly Data'!CU25</f>
        <v>0</v>
      </c>
      <c r="G25" s="3">
        <f>'Monthly Data'!EM25</f>
        <v>0</v>
      </c>
      <c r="H25" s="3">
        <f>'Monthly Data'!ET25</f>
        <v>0</v>
      </c>
      <c r="I25" s="3">
        <f>'Monthly Data'!EG25</f>
        <v>0</v>
      </c>
      <c r="J25">
        <f>'Monthly Data'!EH25</f>
        <v>24</v>
      </c>
      <c r="K25" s="3">
        <f>'Monthly Data'!DQ25</f>
        <v>31</v>
      </c>
      <c r="M25" s="3">
        <f t="shared" si="1"/>
        <v>-5660024.0454457896</v>
      </c>
      <c r="N25" s="3">
        <f t="shared" si="2"/>
        <v>10504527.147026483</v>
      </c>
      <c r="O25" s="3">
        <f t="shared" si="3"/>
        <v>0</v>
      </c>
      <c r="P25" s="3">
        <f t="shared" si="4"/>
        <v>0</v>
      </c>
      <c r="Q25" s="3">
        <f t="shared" si="5"/>
        <v>0</v>
      </c>
      <c r="R25" s="3">
        <f t="shared" si="6"/>
        <v>0</v>
      </c>
      <c r="S25" s="3">
        <f t="shared" si="7"/>
        <v>1137457.2109974166</v>
      </c>
      <c r="T25" s="3">
        <f t="shared" si="8"/>
        <v>24925623.239568908</v>
      </c>
      <c r="U25" s="47">
        <f t="shared" si="9"/>
        <v>30907583.552147016</v>
      </c>
      <c r="V25" s="47">
        <f>'Monthly Data'!BF25+'Monthly Data'!BG25</f>
        <v>12152.427692307692</v>
      </c>
      <c r="W25" s="47">
        <f t="shared" si="10"/>
        <v>30919735.979839325</v>
      </c>
      <c r="X25" s="47">
        <f t="shared" si="11"/>
        <v>-1296003.715319138</v>
      </c>
      <c r="Y25" s="18">
        <f t="shared" si="13"/>
        <v>4.0228898283341537E-2</v>
      </c>
    </row>
    <row r="26" spans="1:31">
      <c r="A26" s="2">
        <f>'Monthly Data'!A26</f>
        <v>43101</v>
      </c>
      <c r="B26">
        <f>'Monthly Data'!B26</f>
        <v>2018</v>
      </c>
      <c r="C26">
        <f>'Monthly Data'!C26</f>
        <v>1</v>
      </c>
      <c r="D26" s="3">
        <f>'Monthly Data'!BE26</f>
        <v>31275860.7753461</v>
      </c>
      <c r="E26" s="3">
        <f>'Monthly Data'!CP26</f>
        <v>750.53750000000002</v>
      </c>
      <c r="F26" s="3">
        <f>'Monthly Data'!CU26</f>
        <v>0</v>
      </c>
      <c r="G26" s="3">
        <f>'Monthly Data'!EM26</f>
        <v>0</v>
      </c>
      <c r="H26" s="3">
        <f>'Monthly Data'!ET26</f>
        <v>0</v>
      </c>
      <c r="I26" s="3">
        <f>'Monthly Data'!EG26</f>
        <v>0</v>
      </c>
      <c r="J26">
        <f>'Monthly Data'!EH26</f>
        <v>25</v>
      </c>
      <c r="K26" s="3">
        <f>'Monthly Data'!DQ26</f>
        <v>31</v>
      </c>
      <c r="M26" s="3">
        <f t="shared" si="1"/>
        <v>-5660024.0454457896</v>
      </c>
      <c r="N26" s="3">
        <f t="shared" si="2"/>
        <v>10707466.657990171</v>
      </c>
      <c r="O26" s="3">
        <f t="shared" si="3"/>
        <v>0</v>
      </c>
      <c r="P26" s="3">
        <f t="shared" si="4"/>
        <v>0</v>
      </c>
      <c r="Q26" s="3">
        <f t="shared" si="5"/>
        <v>0</v>
      </c>
      <c r="R26" s="3">
        <f t="shared" si="6"/>
        <v>0</v>
      </c>
      <c r="S26" s="3">
        <f t="shared" si="7"/>
        <v>1184851.2614556425</v>
      </c>
      <c r="T26" s="3">
        <f t="shared" si="8"/>
        <v>24925623.239568908</v>
      </c>
      <c r="U26" s="47">
        <f t="shared" si="9"/>
        <v>31157917.113568932</v>
      </c>
      <c r="V26" s="47">
        <f>'Monthly Data'!BF26+'Monthly Data'!BG26</f>
        <v>15248.211666666666</v>
      </c>
      <c r="W26" s="47">
        <f t="shared" si="10"/>
        <v>31173165.325235598</v>
      </c>
      <c r="X26" s="47">
        <f t="shared" si="11"/>
        <v>-102695.45011050254</v>
      </c>
      <c r="Y26" s="18">
        <f t="shared" si="13"/>
        <v>3.2835371294226549E-3</v>
      </c>
    </row>
    <row r="27" spans="1:31">
      <c r="A27" s="2">
        <f>'Monthly Data'!A27</f>
        <v>43132</v>
      </c>
      <c r="B27">
        <f>'Monthly Data'!B27</f>
        <v>2018</v>
      </c>
      <c r="C27">
        <f>'Monthly Data'!C27</f>
        <v>2</v>
      </c>
      <c r="D27" s="3">
        <f>'Monthly Data'!BE27</f>
        <v>26429364.692639478</v>
      </c>
      <c r="E27" s="3">
        <f>'Monthly Data'!CP27</f>
        <v>576.49583333333317</v>
      </c>
      <c r="F27" s="3">
        <f>'Monthly Data'!CU27</f>
        <v>0</v>
      </c>
      <c r="G27" s="3">
        <f>'Monthly Data'!EM27</f>
        <v>0</v>
      </c>
      <c r="H27" s="3">
        <f>'Monthly Data'!ET27</f>
        <v>0</v>
      </c>
      <c r="I27" s="3">
        <f>'Monthly Data'!EG27</f>
        <v>0</v>
      </c>
      <c r="J27">
        <f>'Monthly Data'!EH27</f>
        <v>26</v>
      </c>
      <c r="K27" s="3">
        <f>'Monthly Data'!DQ27</f>
        <v>28</v>
      </c>
      <c r="M27" s="3">
        <f t="shared" si="1"/>
        <v>-5660024.0454457896</v>
      </c>
      <c r="N27" s="3">
        <f t="shared" si="2"/>
        <v>8224518.9799136268</v>
      </c>
      <c r="O27" s="3">
        <f t="shared" si="3"/>
        <v>0</v>
      </c>
      <c r="P27" s="3">
        <f t="shared" si="4"/>
        <v>0</v>
      </c>
      <c r="Q27" s="3">
        <f t="shared" si="5"/>
        <v>0</v>
      </c>
      <c r="R27" s="3">
        <f t="shared" si="6"/>
        <v>0</v>
      </c>
      <c r="S27" s="3">
        <f t="shared" si="7"/>
        <v>1232245.3119138682</v>
      </c>
      <c r="T27" s="3">
        <f t="shared" si="8"/>
        <v>22513466.15186869</v>
      </c>
      <c r="U27" s="47">
        <f t="shared" si="9"/>
        <v>26310206.398250394</v>
      </c>
      <c r="V27" s="47">
        <f>'Monthly Data'!BF27+'Monthly Data'!BG27</f>
        <v>17331.293333333335</v>
      </c>
      <c r="W27" s="47">
        <f t="shared" si="10"/>
        <v>26327537.691583727</v>
      </c>
      <c r="X27" s="47">
        <f t="shared" si="11"/>
        <v>-101827.001055751</v>
      </c>
      <c r="Y27" s="18">
        <f t="shared" si="13"/>
        <v>3.8527979102013603E-3</v>
      </c>
    </row>
    <row r="28" spans="1:31">
      <c r="A28" s="2">
        <f>'Monthly Data'!A28</f>
        <v>43160</v>
      </c>
      <c r="B28">
        <f>'Monthly Data'!B28</f>
        <v>2018</v>
      </c>
      <c r="C28">
        <f>'Monthly Data'!C28</f>
        <v>3</v>
      </c>
      <c r="D28" s="3">
        <f>'Monthly Data'!BE28</f>
        <v>27404396.138697155</v>
      </c>
      <c r="E28" s="3">
        <f>'Monthly Data'!CP28</f>
        <v>567.2791666666667</v>
      </c>
      <c r="F28" s="3">
        <f>'Monthly Data'!CU28</f>
        <v>0</v>
      </c>
      <c r="G28" s="3">
        <f>'Monthly Data'!EM28</f>
        <v>0</v>
      </c>
      <c r="H28" s="3">
        <f>'Monthly Data'!ET28</f>
        <v>0</v>
      </c>
      <c r="I28" s="3">
        <f>'Monthly Data'!EG28</f>
        <v>1</v>
      </c>
      <c r="J28">
        <f>'Monthly Data'!EH28</f>
        <v>27</v>
      </c>
      <c r="K28" s="3">
        <f>'Monthly Data'!DQ28</f>
        <v>31</v>
      </c>
      <c r="M28" s="3">
        <f t="shared" si="1"/>
        <v>-5660024.0454457896</v>
      </c>
      <c r="N28" s="3">
        <f t="shared" si="2"/>
        <v>8093030.3453935115</v>
      </c>
      <c r="O28" s="3">
        <f t="shared" si="3"/>
        <v>0</v>
      </c>
      <c r="P28" s="3">
        <f t="shared" si="4"/>
        <v>0</v>
      </c>
      <c r="Q28" s="3">
        <f t="shared" si="5"/>
        <v>0</v>
      </c>
      <c r="R28" s="3">
        <f t="shared" si="6"/>
        <v>-701201.51304507197</v>
      </c>
      <c r="S28" s="3">
        <f t="shared" si="7"/>
        <v>1279639.3623720938</v>
      </c>
      <c r="T28" s="3">
        <f t="shared" si="8"/>
        <v>24925623.239568908</v>
      </c>
      <c r="U28" s="47">
        <f t="shared" si="9"/>
        <v>27937067.388843652</v>
      </c>
      <c r="V28" s="47">
        <f>'Monthly Data'!BF28+'Monthly Data'!BG28</f>
        <v>19414.375</v>
      </c>
      <c r="W28" s="47">
        <f t="shared" si="10"/>
        <v>27956481.763843652</v>
      </c>
      <c r="X28" s="47">
        <f t="shared" si="11"/>
        <v>552085.62514649704</v>
      </c>
      <c r="Y28" s="18">
        <f t="shared" si="13"/>
        <v>2.01458781413143E-2</v>
      </c>
    </row>
    <row r="29" spans="1:31">
      <c r="A29" s="2">
        <f>'Monthly Data'!A29</f>
        <v>43191</v>
      </c>
      <c r="B29">
        <f>'Monthly Data'!B29</f>
        <v>2018</v>
      </c>
      <c r="C29">
        <f>'Monthly Data'!C29</f>
        <v>4</v>
      </c>
      <c r="D29" s="3">
        <f>'Monthly Data'!BE29</f>
        <v>25874137.348979145</v>
      </c>
      <c r="E29" s="3">
        <f>'Monthly Data'!CP29</f>
        <v>452.51666666666677</v>
      </c>
      <c r="F29" s="3">
        <f>'Monthly Data'!CU29</f>
        <v>0</v>
      </c>
      <c r="G29" s="3">
        <f>'Monthly Data'!EM29</f>
        <v>0</v>
      </c>
      <c r="H29" s="3">
        <f>'Monthly Data'!ET29</f>
        <v>0</v>
      </c>
      <c r="I29" s="3">
        <f>'Monthly Data'!EG29</f>
        <v>1</v>
      </c>
      <c r="J29">
        <f>'Monthly Data'!EH29</f>
        <v>28</v>
      </c>
      <c r="K29" s="3">
        <f>'Monthly Data'!DQ29</f>
        <v>30</v>
      </c>
      <c r="M29" s="3">
        <f t="shared" si="1"/>
        <v>-5660024.0454457896</v>
      </c>
      <c r="N29" s="3">
        <f t="shared" si="2"/>
        <v>6455782.8496486675</v>
      </c>
      <c r="O29" s="3">
        <f t="shared" si="3"/>
        <v>0</v>
      </c>
      <c r="P29" s="3">
        <f t="shared" si="4"/>
        <v>0</v>
      </c>
      <c r="Q29" s="3">
        <f t="shared" si="5"/>
        <v>0</v>
      </c>
      <c r="R29" s="3">
        <f t="shared" si="6"/>
        <v>-701201.51304507197</v>
      </c>
      <c r="S29" s="3">
        <f t="shared" si="7"/>
        <v>1327033.4128303195</v>
      </c>
      <c r="T29" s="3">
        <f t="shared" si="8"/>
        <v>24121570.877002168</v>
      </c>
      <c r="U29" s="47">
        <f t="shared" si="9"/>
        <v>25543161.580990292</v>
      </c>
      <c r="V29" s="47">
        <f>'Monthly Data'!BF29+'Monthly Data'!BG29</f>
        <v>21497.456666666669</v>
      </c>
      <c r="W29" s="47">
        <f t="shared" si="10"/>
        <v>25564659.037656959</v>
      </c>
      <c r="X29" s="47">
        <f t="shared" si="11"/>
        <v>-309478.31132218614</v>
      </c>
      <c r="Y29" s="18">
        <f t="shared" si="13"/>
        <v>1.196091321415191E-2</v>
      </c>
    </row>
    <row r="30" spans="1:31">
      <c r="A30" s="2">
        <f>'Monthly Data'!A30</f>
        <v>43221</v>
      </c>
      <c r="B30">
        <f>'Monthly Data'!B30</f>
        <v>2018</v>
      </c>
      <c r="C30">
        <f>'Monthly Data'!C30</f>
        <v>5</v>
      </c>
      <c r="D30" s="3">
        <f>'Monthly Data'!BE30</f>
        <v>26901859.850431498</v>
      </c>
      <c r="E30" s="3">
        <f>'Monthly Data'!CP30</f>
        <v>95.407196969696969</v>
      </c>
      <c r="F30" s="3">
        <f>'Monthly Data'!CU30</f>
        <v>80.600541125541127</v>
      </c>
      <c r="G30" s="3">
        <f>'Monthly Data'!EM30</f>
        <v>0</v>
      </c>
      <c r="H30" s="3">
        <f>'Monthly Data'!ET30</f>
        <v>0</v>
      </c>
      <c r="I30" s="3">
        <f>'Monthly Data'!EG30</f>
        <v>1</v>
      </c>
      <c r="J30">
        <f>'Monthly Data'!EH30</f>
        <v>29</v>
      </c>
      <c r="K30" s="3">
        <f>'Monthly Data'!DQ30</f>
        <v>31</v>
      </c>
      <c r="M30" s="3">
        <f t="shared" si="1"/>
        <v>-5660024.0454457896</v>
      </c>
      <c r="N30" s="3">
        <f t="shared" si="2"/>
        <v>1361117.0401017021</v>
      </c>
      <c r="O30" s="3">
        <f t="shared" si="3"/>
        <v>7365064.76692433</v>
      </c>
      <c r="P30" s="3">
        <f t="shared" si="4"/>
        <v>0</v>
      </c>
      <c r="Q30" s="3">
        <f t="shared" si="5"/>
        <v>0</v>
      </c>
      <c r="R30" s="3">
        <f t="shared" si="6"/>
        <v>-701201.51304507197</v>
      </c>
      <c r="S30" s="3">
        <f t="shared" si="7"/>
        <v>1374427.4632885451</v>
      </c>
      <c r="T30" s="3">
        <f t="shared" si="8"/>
        <v>24925623.239568908</v>
      </c>
      <c r="U30" s="47">
        <f t="shared" si="9"/>
        <v>28665006.951392625</v>
      </c>
      <c r="V30" s="47">
        <f>'Monthly Data'!BF30+'Monthly Data'!BG30</f>
        <v>23580.538333333338</v>
      </c>
      <c r="W30" s="47">
        <f t="shared" si="10"/>
        <v>28688587.489725959</v>
      </c>
      <c r="X30" s="47">
        <f t="shared" si="11"/>
        <v>1786727.6392944604</v>
      </c>
      <c r="Y30" s="18">
        <f t="shared" si="13"/>
        <v>6.6416509833456802E-2</v>
      </c>
    </row>
    <row r="31" spans="1:31">
      <c r="A31" s="2">
        <f>'Monthly Data'!A31</f>
        <v>43252</v>
      </c>
      <c r="B31">
        <f>'Monthly Data'!B31</f>
        <v>2018</v>
      </c>
      <c r="C31">
        <f>'Monthly Data'!C31</f>
        <v>6</v>
      </c>
      <c r="D31" s="3">
        <f>'Monthly Data'!BE31</f>
        <v>31951168.759527341</v>
      </c>
      <c r="E31" s="3">
        <f>'Monthly Data'!CP31</f>
        <v>23.060227272727261</v>
      </c>
      <c r="F31" s="3">
        <f>'Monthly Data'!CU31</f>
        <v>141.51477272727271</v>
      </c>
      <c r="G31" s="3">
        <f>'Monthly Data'!EM31</f>
        <v>0</v>
      </c>
      <c r="H31" s="3">
        <f>'Monthly Data'!ET31</f>
        <v>0</v>
      </c>
      <c r="I31" s="3">
        <f>'Monthly Data'!EG31</f>
        <v>0</v>
      </c>
      <c r="J31">
        <f>'Monthly Data'!EH31</f>
        <v>30</v>
      </c>
      <c r="K31" s="3">
        <f>'Monthly Data'!DQ31</f>
        <v>30</v>
      </c>
      <c r="M31" s="3">
        <f t="shared" si="1"/>
        <v>-5660024.0454457896</v>
      </c>
      <c r="N31" s="3">
        <f t="shared" si="2"/>
        <v>328986.37929271057</v>
      </c>
      <c r="O31" s="3">
        <f t="shared" si="3"/>
        <v>12931246.515945062</v>
      </c>
      <c r="P31" s="3">
        <f t="shared" si="4"/>
        <v>0</v>
      </c>
      <c r="Q31" s="3">
        <f t="shared" si="5"/>
        <v>0</v>
      </c>
      <c r="R31" s="3">
        <f t="shared" si="6"/>
        <v>0</v>
      </c>
      <c r="S31" s="3">
        <f t="shared" si="7"/>
        <v>1421821.513746771</v>
      </c>
      <c r="T31" s="3">
        <f t="shared" si="8"/>
        <v>24121570.877002168</v>
      </c>
      <c r="U31" s="47">
        <f t="shared" si="9"/>
        <v>33143601.240540922</v>
      </c>
      <c r="V31" s="47">
        <f>'Monthly Data'!BF31+'Monthly Data'!BG31</f>
        <v>25663.620000000003</v>
      </c>
      <c r="W31" s="47">
        <f t="shared" si="10"/>
        <v>33169264.860540923</v>
      </c>
      <c r="X31" s="47">
        <f t="shared" si="11"/>
        <v>1218096.1010135822</v>
      </c>
      <c r="Y31" s="18">
        <f t="shared" si="13"/>
        <v>3.8123678985932712E-2</v>
      </c>
    </row>
    <row r="32" spans="1:31">
      <c r="A32" s="2">
        <f>'Monthly Data'!A32</f>
        <v>43282</v>
      </c>
      <c r="B32">
        <f>'Monthly Data'!B32</f>
        <v>2018</v>
      </c>
      <c r="C32">
        <f>'Monthly Data'!C32</f>
        <v>7</v>
      </c>
      <c r="D32" s="3">
        <f>'Monthly Data'!BE32</f>
        <v>43487059.509650059</v>
      </c>
      <c r="E32" s="3">
        <f>'Monthly Data'!CP32</f>
        <v>0.19999999999999574</v>
      </c>
      <c r="F32" s="3">
        <f>'Monthly Data'!CU32</f>
        <v>256.39861424807077</v>
      </c>
      <c r="G32" s="3">
        <f>'Monthly Data'!EM32</f>
        <v>0</v>
      </c>
      <c r="H32" s="3">
        <f>'Monthly Data'!ET32</f>
        <v>0</v>
      </c>
      <c r="I32" s="3">
        <f>'Monthly Data'!EG32</f>
        <v>0</v>
      </c>
      <c r="J32">
        <f>'Monthly Data'!EH32</f>
        <v>31</v>
      </c>
      <c r="K32" s="3">
        <f>'Monthly Data'!DQ32</f>
        <v>31</v>
      </c>
      <c r="M32" s="3">
        <f t="shared" si="1"/>
        <v>-5660024.0454457896</v>
      </c>
      <c r="N32" s="3">
        <f t="shared" si="2"/>
        <v>2853.2795917565591</v>
      </c>
      <c r="O32" s="3">
        <f t="shared" si="3"/>
        <v>23429028.809439156</v>
      </c>
      <c r="P32" s="3">
        <f t="shared" si="4"/>
        <v>0</v>
      </c>
      <c r="Q32" s="3">
        <f t="shared" si="5"/>
        <v>0</v>
      </c>
      <c r="R32" s="3">
        <f t="shared" si="6"/>
        <v>0</v>
      </c>
      <c r="S32" s="3">
        <f t="shared" si="7"/>
        <v>1469215.5642049967</v>
      </c>
      <c r="T32" s="3">
        <f t="shared" si="8"/>
        <v>24925623.239568908</v>
      </c>
      <c r="U32" s="47">
        <f t="shared" si="9"/>
        <v>44166696.847359031</v>
      </c>
      <c r="V32" s="47">
        <f>'Monthly Data'!BF32+'Monthly Data'!BG32</f>
        <v>27746.701666666668</v>
      </c>
      <c r="W32" s="47">
        <f t="shared" si="10"/>
        <v>44194443.549025699</v>
      </c>
      <c r="X32" s="47">
        <f t="shared" si="11"/>
        <v>707384.03937564045</v>
      </c>
      <c r="Y32" s="18">
        <f t="shared" si="13"/>
        <v>1.626654106651353E-2</v>
      </c>
    </row>
    <row r="33" spans="1:25">
      <c r="A33" s="2">
        <f>'Monthly Data'!A33</f>
        <v>43313</v>
      </c>
      <c r="B33">
        <f>'Monthly Data'!B33</f>
        <v>2018</v>
      </c>
      <c r="C33">
        <f>'Monthly Data'!C33</f>
        <v>8</v>
      </c>
      <c r="D33" s="3">
        <f>'Monthly Data'!BE33</f>
        <v>42559990.952053435</v>
      </c>
      <c r="E33" s="3">
        <f>'Monthly Data'!CP33</f>
        <v>0.90833333333333144</v>
      </c>
      <c r="F33" s="3">
        <f>'Monthly Data'!CU33</f>
        <v>252.24583333333339</v>
      </c>
      <c r="G33" s="3">
        <f>'Monthly Data'!EM33</f>
        <v>0</v>
      </c>
      <c r="H33" s="3">
        <f>'Monthly Data'!ET33</f>
        <v>0</v>
      </c>
      <c r="I33" s="3">
        <f>'Monthly Data'!EG33</f>
        <v>0</v>
      </c>
      <c r="J33">
        <f>'Monthly Data'!EH33</f>
        <v>32</v>
      </c>
      <c r="K33" s="3">
        <f>'Monthly Data'!DQ33</f>
        <v>31</v>
      </c>
      <c r="M33" s="3">
        <f t="shared" si="1"/>
        <v>-5660024.0454457896</v>
      </c>
      <c r="N33" s="3">
        <f t="shared" si="2"/>
        <v>12958.64481256129</v>
      </c>
      <c r="O33" s="3">
        <f t="shared" si="3"/>
        <v>23049558.647418171</v>
      </c>
      <c r="P33" s="3">
        <f t="shared" si="4"/>
        <v>0</v>
      </c>
      <c r="Q33" s="3">
        <f t="shared" si="5"/>
        <v>0</v>
      </c>
      <c r="R33" s="3">
        <f t="shared" si="6"/>
        <v>0</v>
      </c>
      <c r="S33" s="3">
        <f t="shared" si="7"/>
        <v>1516609.6146632223</v>
      </c>
      <c r="T33" s="3">
        <f t="shared" si="8"/>
        <v>24925623.239568908</v>
      </c>
      <c r="U33" s="47">
        <f t="shared" si="9"/>
        <v>43844726.101017073</v>
      </c>
      <c r="V33" s="47">
        <f>'Monthly Data'!BF33+'Monthly Data'!BG33</f>
        <v>29829.78333333334</v>
      </c>
      <c r="W33" s="47">
        <f t="shared" si="10"/>
        <v>43874555.884350404</v>
      </c>
      <c r="X33" s="47">
        <f t="shared" si="11"/>
        <v>1314564.932296969</v>
      </c>
      <c r="Y33" s="18">
        <f t="shared" si="13"/>
        <v>3.0887340501973105E-2</v>
      </c>
    </row>
    <row r="34" spans="1:25">
      <c r="A34" s="2">
        <f>'Monthly Data'!A34</f>
        <v>43344</v>
      </c>
      <c r="B34">
        <f>'Monthly Data'!B34</f>
        <v>2018</v>
      </c>
      <c r="C34">
        <f>'Monthly Data'!C34</f>
        <v>9</v>
      </c>
      <c r="D34" s="3">
        <f>'Monthly Data'!BE34</f>
        <v>33828727.436575055</v>
      </c>
      <c r="E34" s="3">
        <f>'Monthly Data'!CP34</f>
        <v>59.1875</v>
      </c>
      <c r="F34" s="3">
        <f>'Monthly Data'!CU34</f>
        <v>135.06250000000003</v>
      </c>
      <c r="G34" s="3">
        <f>'Monthly Data'!EM34</f>
        <v>0</v>
      </c>
      <c r="H34" s="3">
        <f>'Monthly Data'!ET34</f>
        <v>0</v>
      </c>
      <c r="I34" s="3">
        <f>'Monthly Data'!EG34</f>
        <v>1</v>
      </c>
      <c r="J34">
        <f>'Monthly Data'!EH34</f>
        <v>33</v>
      </c>
      <c r="K34" s="3">
        <f>'Monthly Data'!DQ34</f>
        <v>30</v>
      </c>
      <c r="M34" s="3">
        <f t="shared" ref="M34:M65" si="14">$AC$8</f>
        <v>-5660024.0454457896</v>
      </c>
      <c r="N34" s="3">
        <f t="shared" ref="N34:N65" si="15">E34*$AC$9</f>
        <v>844392.42918547476</v>
      </c>
      <c r="O34" s="3">
        <f t="shared" ref="O34:O65" si="16">F34*$AC$10</f>
        <v>12341654.859777335</v>
      </c>
      <c r="P34" s="3">
        <f t="shared" ref="P34:P65" si="17">G34*$AC$11</f>
        <v>0</v>
      </c>
      <c r="Q34" s="3">
        <f t="shared" ref="Q34:Q65" si="18">H34*$AC$12</f>
        <v>0</v>
      </c>
      <c r="R34" s="3">
        <f t="shared" ref="R34:R65" si="19">I34*$AC$13</f>
        <v>-701201.51304507197</v>
      </c>
      <c r="S34" s="3">
        <f t="shared" ref="S34:S65" si="20">J34*$AC$14</f>
        <v>1564003.665121448</v>
      </c>
      <c r="T34" s="3">
        <f t="shared" ref="T34:T65" si="21">K34*$AC$15</f>
        <v>24121570.877002168</v>
      </c>
      <c r="U34" s="47">
        <f t="shared" si="9"/>
        <v>32510396.272595566</v>
      </c>
      <c r="V34" s="47">
        <f>'Monthly Data'!BF34+'Monthly Data'!BG34</f>
        <v>31912.865000000005</v>
      </c>
      <c r="W34" s="47">
        <f t="shared" si="10"/>
        <v>32542309.137595564</v>
      </c>
      <c r="X34" s="47">
        <f t="shared" si="11"/>
        <v>-1286418.298979491</v>
      </c>
      <c r="Y34" s="18">
        <f t="shared" si="13"/>
        <v>3.8027392587893713E-2</v>
      </c>
    </row>
    <row r="35" spans="1:25">
      <c r="A35" s="2">
        <f>'Monthly Data'!A35</f>
        <v>43374</v>
      </c>
      <c r="B35">
        <f>'Monthly Data'!B35</f>
        <v>2018</v>
      </c>
      <c r="C35">
        <f>'Monthly Data'!C35</f>
        <v>10</v>
      </c>
      <c r="D35" s="3">
        <f>'Monthly Data'!BE35</f>
        <v>26322264.040371206</v>
      </c>
      <c r="E35" s="3">
        <f>'Monthly Data'!CP35</f>
        <v>305.10000000000002</v>
      </c>
      <c r="F35" s="3">
        <f>'Monthly Data'!CU35</f>
        <v>15.387500000000001</v>
      </c>
      <c r="G35" s="3">
        <f>'Monthly Data'!EM35</f>
        <v>0</v>
      </c>
      <c r="H35" s="3">
        <f>'Monthly Data'!ET35</f>
        <v>0</v>
      </c>
      <c r="I35" s="3">
        <f>'Monthly Data'!EG35</f>
        <v>1</v>
      </c>
      <c r="J35">
        <f>'Monthly Data'!EH35</f>
        <v>34</v>
      </c>
      <c r="K35" s="3">
        <f>'Monthly Data'!DQ35</f>
        <v>31</v>
      </c>
      <c r="M35" s="3">
        <f t="shared" si="14"/>
        <v>-5660024.0454457896</v>
      </c>
      <c r="N35" s="3">
        <f t="shared" si="15"/>
        <v>4352678.0172247244</v>
      </c>
      <c r="O35" s="3">
        <f t="shared" si="16"/>
        <v>1406069.1469121608</v>
      </c>
      <c r="P35" s="3">
        <f t="shared" si="17"/>
        <v>0</v>
      </c>
      <c r="Q35" s="3">
        <f t="shared" si="18"/>
        <v>0</v>
      </c>
      <c r="R35" s="3">
        <f t="shared" si="19"/>
        <v>-701201.51304507197</v>
      </c>
      <c r="S35" s="3">
        <f t="shared" si="20"/>
        <v>1611397.7155796736</v>
      </c>
      <c r="T35" s="3">
        <f t="shared" si="21"/>
        <v>24925623.239568908</v>
      </c>
      <c r="U35" s="47">
        <f t="shared" si="9"/>
        <v>25934542.560794607</v>
      </c>
      <c r="V35" s="47">
        <f>'Monthly Data'!BF35+'Monthly Data'!BG35</f>
        <v>33995.946666666678</v>
      </c>
      <c r="W35" s="47">
        <f t="shared" si="10"/>
        <v>25968538.507461272</v>
      </c>
      <c r="X35" s="47">
        <f t="shared" si="11"/>
        <v>-353725.53290993348</v>
      </c>
      <c r="Y35" s="18">
        <f t="shared" si="13"/>
        <v>1.3438263986996504E-2</v>
      </c>
    </row>
    <row r="36" spans="1:25">
      <c r="A36" s="2">
        <f>'Monthly Data'!A36</f>
        <v>43405</v>
      </c>
      <c r="B36">
        <f>'Monthly Data'!B36</f>
        <v>2018</v>
      </c>
      <c r="C36">
        <f>'Monthly Data'!C36</f>
        <v>11</v>
      </c>
      <c r="D36" s="3">
        <f>'Monthly Data'!BE36</f>
        <v>27365977.74422475</v>
      </c>
      <c r="E36" s="3">
        <f>'Monthly Data'!CP36</f>
        <v>503.52500000000003</v>
      </c>
      <c r="F36" s="3">
        <f>'Monthly Data'!CU36</f>
        <v>0</v>
      </c>
      <c r="G36" s="3">
        <f>'Monthly Data'!EM36</f>
        <v>0</v>
      </c>
      <c r="H36" s="3">
        <f>'Monthly Data'!ET36</f>
        <v>0</v>
      </c>
      <c r="I36" s="3">
        <f>'Monthly Data'!EG36</f>
        <v>1</v>
      </c>
      <c r="J36">
        <f>'Monthly Data'!EH36</f>
        <v>35</v>
      </c>
      <c r="K36" s="3">
        <f>'Monthly Data'!DQ36</f>
        <v>30</v>
      </c>
      <c r="M36" s="3">
        <f t="shared" si="14"/>
        <v>-5660024.0454457896</v>
      </c>
      <c r="N36" s="3">
        <f t="shared" si="15"/>
        <v>7183488.032196261</v>
      </c>
      <c r="O36" s="3">
        <f t="shared" si="16"/>
        <v>0</v>
      </c>
      <c r="P36" s="3">
        <f t="shared" si="17"/>
        <v>0</v>
      </c>
      <c r="Q36" s="3">
        <f t="shared" si="18"/>
        <v>0</v>
      </c>
      <c r="R36" s="3">
        <f t="shared" si="19"/>
        <v>-701201.51304507197</v>
      </c>
      <c r="S36" s="3">
        <f t="shared" si="20"/>
        <v>1658791.7660378995</v>
      </c>
      <c r="T36" s="3">
        <f t="shared" si="21"/>
        <v>24121570.877002168</v>
      </c>
      <c r="U36" s="47">
        <f t="shared" si="9"/>
        <v>26602625.116745468</v>
      </c>
      <c r="V36" s="47">
        <f>'Monthly Data'!BF36+'Monthly Data'!BG36</f>
        <v>36079.028333333343</v>
      </c>
      <c r="W36" s="47">
        <f t="shared" si="10"/>
        <v>26638704.145078801</v>
      </c>
      <c r="X36" s="47">
        <f t="shared" si="11"/>
        <v>-727273.59914594889</v>
      </c>
      <c r="Y36" s="18">
        <f t="shared" si="13"/>
        <v>2.6575830980474686E-2</v>
      </c>
    </row>
    <row r="37" spans="1:25">
      <c r="A37" s="2">
        <f>'Monthly Data'!A37</f>
        <v>43435</v>
      </c>
      <c r="B37">
        <f>'Monthly Data'!B37</f>
        <v>2018</v>
      </c>
      <c r="C37">
        <f>'Monthly Data'!C37</f>
        <v>12</v>
      </c>
      <c r="D37" s="3">
        <f>'Monthly Data'!BE37</f>
        <v>31027183.870988276</v>
      </c>
      <c r="E37" s="3">
        <f>'Monthly Data'!CP37</f>
        <v>584.91666666666663</v>
      </c>
      <c r="F37" s="3">
        <f>'Monthly Data'!CU37</f>
        <v>0</v>
      </c>
      <c r="G37" s="3">
        <f>'Monthly Data'!EM37</f>
        <v>0</v>
      </c>
      <c r="H37" s="3">
        <f>'Monthly Data'!ET37</f>
        <v>0</v>
      </c>
      <c r="I37" s="3">
        <f>'Monthly Data'!EG37</f>
        <v>0</v>
      </c>
      <c r="J37">
        <f>'Monthly Data'!EH37</f>
        <v>36</v>
      </c>
      <c r="K37" s="3">
        <f>'Monthly Data'!DQ37</f>
        <v>31</v>
      </c>
      <c r="M37" s="3">
        <f t="shared" si="14"/>
        <v>-5660024.0454457896</v>
      </c>
      <c r="N37" s="3">
        <f t="shared" si="15"/>
        <v>8344653.9393915478</v>
      </c>
      <c r="O37" s="3">
        <f t="shared" si="16"/>
        <v>0</v>
      </c>
      <c r="P37" s="3">
        <f t="shared" si="17"/>
        <v>0</v>
      </c>
      <c r="Q37" s="3">
        <f t="shared" si="18"/>
        <v>0</v>
      </c>
      <c r="R37" s="3">
        <f t="shared" si="19"/>
        <v>0</v>
      </c>
      <c r="S37" s="3">
        <f t="shared" si="20"/>
        <v>1706185.8164961252</v>
      </c>
      <c r="T37" s="3">
        <f t="shared" si="21"/>
        <v>24925623.239568908</v>
      </c>
      <c r="U37" s="47">
        <f t="shared" si="9"/>
        <v>29316438.950010791</v>
      </c>
      <c r="V37" s="47">
        <f>'Monthly Data'!BF37+'Monthly Data'!BG37</f>
        <v>38162.110000000008</v>
      </c>
      <c r="W37" s="47">
        <f t="shared" si="10"/>
        <v>29354601.060010791</v>
      </c>
      <c r="X37" s="47">
        <f t="shared" si="11"/>
        <v>-1672582.810977485</v>
      </c>
      <c r="Y37" s="18">
        <f t="shared" si="13"/>
        <v>5.3907013215640898E-2</v>
      </c>
    </row>
    <row r="38" spans="1:25">
      <c r="A38" s="2">
        <f>'Monthly Data'!A38</f>
        <v>43466</v>
      </c>
      <c r="B38">
        <f>'Monthly Data'!B38</f>
        <v>2019</v>
      </c>
      <c r="C38">
        <f>'Monthly Data'!C38</f>
        <v>1</v>
      </c>
      <c r="D38" s="3">
        <f>'Monthly Data'!BE38</f>
        <v>31579914.736934498</v>
      </c>
      <c r="E38" s="3">
        <f>'Monthly Data'!CP38</f>
        <v>779.93333333333351</v>
      </c>
      <c r="F38" s="3">
        <f>'Monthly Data'!CU38</f>
        <v>0</v>
      </c>
      <c r="G38" s="3">
        <f>'Monthly Data'!EM38</f>
        <v>0</v>
      </c>
      <c r="H38" s="3">
        <f>'Monthly Data'!ET38</f>
        <v>0</v>
      </c>
      <c r="I38" s="3">
        <f>'Monthly Data'!EG38</f>
        <v>0</v>
      </c>
      <c r="J38">
        <f>'Monthly Data'!EH38</f>
        <v>37</v>
      </c>
      <c r="K38" s="3">
        <f>'Monthly Data'!DQ38</f>
        <v>31</v>
      </c>
      <c r="M38" s="3">
        <f t="shared" si="14"/>
        <v>-5660024.0454457896</v>
      </c>
      <c r="N38" s="3">
        <f t="shared" si="15"/>
        <v>11126839.314653568</v>
      </c>
      <c r="O38" s="3">
        <f t="shared" si="16"/>
        <v>0</v>
      </c>
      <c r="P38" s="3">
        <f t="shared" si="17"/>
        <v>0</v>
      </c>
      <c r="Q38" s="3">
        <f t="shared" si="18"/>
        <v>0</v>
      </c>
      <c r="R38" s="3">
        <f t="shared" si="19"/>
        <v>0</v>
      </c>
      <c r="S38" s="3">
        <f t="shared" si="20"/>
        <v>1753579.8669543508</v>
      </c>
      <c r="T38" s="3">
        <f t="shared" si="21"/>
        <v>24925623.239568908</v>
      </c>
      <c r="U38" s="47">
        <f t="shared" si="9"/>
        <v>32146018.375731036</v>
      </c>
      <c r="V38" s="47">
        <f ca="1">'Monthly Data'!BF38+'Monthly Data'!BG38</f>
        <v>94838.599317514396</v>
      </c>
      <c r="W38" s="47">
        <f t="shared" ca="1" si="10"/>
        <v>32240856.975048549</v>
      </c>
      <c r="X38" s="47">
        <f t="shared" ca="1" si="11"/>
        <v>660942.23811405152</v>
      </c>
      <c r="Y38" s="18">
        <f t="shared" ca="1" si="13"/>
        <v>2.0929196409167062E-2</v>
      </c>
    </row>
    <row r="39" spans="1:25">
      <c r="A39" s="2">
        <f>'Monthly Data'!A39</f>
        <v>43497</v>
      </c>
      <c r="B39">
        <f>'Monthly Data'!B39</f>
        <v>2019</v>
      </c>
      <c r="C39">
        <f>'Monthly Data'!C39</f>
        <v>2</v>
      </c>
      <c r="D39" s="3">
        <f>'Monthly Data'!BE39</f>
        <v>27623537.657875959</v>
      </c>
      <c r="E39" s="3">
        <f>'Monthly Data'!CP39</f>
        <v>639.30416666666645</v>
      </c>
      <c r="F39" s="3">
        <f>'Monthly Data'!CU39</f>
        <v>0</v>
      </c>
      <c r="G39" s="3">
        <f>'Monthly Data'!EM39</f>
        <v>0</v>
      </c>
      <c r="H39" s="3">
        <f>'Monthly Data'!ET39</f>
        <v>0</v>
      </c>
      <c r="I39" s="3">
        <f>'Monthly Data'!EG39</f>
        <v>0</v>
      </c>
      <c r="J39">
        <f>'Monthly Data'!EH39</f>
        <v>38</v>
      </c>
      <c r="K39" s="3">
        <f>'Monthly Data'!DQ39</f>
        <v>28</v>
      </c>
      <c r="M39" s="3">
        <f t="shared" si="14"/>
        <v>-5660024.0454457896</v>
      </c>
      <c r="N39" s="3">
        <f t="shared" si="15"/>
        <v>9120567.6583748609</v>
      </c>
      <c r="O39" s="3">
        <f t="shared" si="16"/>
        <v>0</v>
      </c>
      <c r="P39" s="3">
        <f t="shared" si="17"/>
        <v>0</v>
      </c>
      <c r="Q39" s="3">
        <f t="shared" si="18"/>
        <v>0</v>
      </c>
      <c r="R39" s="3">
        <f t="shared" si="19"/>
        <v>0</v>
      </c>
      <c r="S39" s="3">
        <f t="shared" si="20"/>
        <v>1800973.9174125765</v>
      </c>
      <c r="T39" s="3">
        <f t="shared" si="21"/>
        <v>22513466.15186869</v>
      </c>
      <c r="U39" s="47">
        <f t="shared" si="9"/>
        <v>27774983.682210337</v>
      </c>
      <c r="V39" s="47">
        <f ca="1">'Monthly Data'!BF39+'Monthly Data'!BG39</f>
        <v>86765.766666893804</v>
      </c>
      <c r="W39" s="47">
        <f t="shared" ca="1" si="10"/>
        <v>27861749.44887723</v>
      </c>
      <c r="X39" s="47">
        <f t="shared" ca="1" si="11"/>
        <v>238211.79100127146</v>
      </c>
      <c r="Y39" s="18">
        <f t="shared" ca="1" si="13"/>
        <v>8.6235077473269632E-3</v>
      </c>
    </row>
    <row r="40" spans="1:25">
      <c r="A40" s="2">
        <f>'Monthly Data'!A40</f>
        <v>43525</v>
      </c>
      <c r="B40">
        <f>'Monthly Data'!B40</f>
        <v>2019</v>
      </c>
      <c r="C40">
        <f>'Monthly Data'!C40</f>
        <v>3</v>
      </c>
      <c r="D40" s="3">
        <f>'Monthly Data'!BE40</f>
        <v>28346668.669596348</v>
      </c>
      <c r="E40" s="3">
        <f>'Monthly Data'!CP40</f>
        <v>611.45833333333337</v>
      </c>
      <c r="F40" s="3">
        <f>'Monthly Data'!CU40</f>
        <v>0</v>
      </c>
      <c r="G40" s="3">
        <f>'Monthly Data'!EM40</f>
        <v>0</v>
      </c>
      <c r="H40" s="3">
        <f>'Monthly Data'!ET40</f>
        <v>0</v>
      </c>
      <c r="I40" s="3">
        <f>'Monthly Data'!EG40</f>
        <v>1</v>
      </c>
      <c r="J40">
        <f>'Monthly Data'!EH40</f>
        <v>39</v>
      </c>
      <c r="K40" s="3">
        <f>'Monthly Data'!DQ40</f>
        <v>31</v>
      </c>
      <c r="M40" s="3">
        <f t="shared" si="14"/>
        <v>-5660024.0454457896</v>
      </c>
      <c r="N40" s="3">
        <f t="shared" si="15"/>
        <v>8723307.9185475837</v>
      </c>
      <c r="O40" s="3">
        <f t="shared" si="16"/>
        <v>0</v>
      </c>
      <c r="P40" s="3">
        <f t="shared" si="17"/>
        <v>0</v>
      </c>
      <c r="Q40" s="3">
        <f t="shared" si="18"/>
        <v>0</v>
      </c>
      <c r="R40" s="3">
        <f t="shared" si="19"/>
        <v>-701201.51304507197</v>
      </c>
      <c r="S40" s="3">
        <f t="shared" si="20"/>
        <v>1848367.9678708022</v>
      </c>
      <c r="T40" s="3">
        <f t="shared" si="21"/>
        <v>24925623.239568908</v>
      </c>
      <c r="U40" s="47">
        <f t="shared" si="9"/>
        <v>29136073.567496434</v>
      </c>
      <c r="V40" s="47">
        <f ca="1">'Monthly Data'!BF40+'Monthly Data'!BG40</f>
        <v>86370.530560415849</v>
      </c>
      <c r="W40" s="47">
        <f t="shared" ca="1" si="10"/>
        <v>29222444.098056849</v>
      </c>
      <c r="X40" s="47">
        <f t="shared" ca="1" si="11"/>
        <v>875775.42846050113</v>
      </c>
      <c r="Y40" s="18">
        <f t="shared" ca="1" si="13"/>
        <v>3.0895179912263461E-2</v>
      </c>
    </row>
    <row r="41" spans="1:25">
      <c r="A41" s="2">
        <f>'Monthly Data'!A41</f>
        <v>43556</v>
      </c>
      <c r="B41">
        <f>'Monthly Data'!B41</f>
        <v>2019</v>
      </c>
      <c r="C41">
        <f>'Monthly Data'!C41</f>
        <v>4</v>
      </c>
      <c r="D41" s="3">
        <f>'Monthly Data'!BE41</f>
        <v>24905528.717427131</v>
      </c>
      <c r="E41" s="3">
        <f>'Monthly Data'!CP41</f>
        <v>366.65416666666664</v>
      </c>
      <c r="F41" s="3">
        <f>'Monthly Data'!CU41</f>
        <v>0</v>
      </c>
      <c r="G41" s="3">
        <f>'Monthly Data'!EM41</f>
        <v>0</v>
      </c>
      <c r="H41" s="3">
        <f>'Monthly Data'!ET41</f>
        <v>0</v>
      </c>
      <c r="I41" s="3">
        <f>'Monthly Data'!EG41</f>
        <v>1</v>
      </c>
      <c r="J41">
        <f>'Monthly Data'!EH41</f>
        <v>40</v>
      </c>
      <c r="K41" s="3">
        <f>'Monthly Data'!DQ41</f>
        <v>30</v>
      </c>
      <c r="M41" s="3">
        <f t="shared" si="14"/>
        <v>-5660024.0454457896</v>
      </c>
      <c r="N41" s="3">
        <f t="shared" si="15"/>
        <v>5230834.2549126511</v>
      </c>
      <c r="O41" s="3">
        <f t="shared" si="16"/>
        <v>0</v>
      </c>
      <c r="P41" s="3">
        <f t="shared" si="17"/>
        <v>0</v>
      </c>
      <c r="Q41" s="3">
        <f t="shared" si="18"/>
        <v>0</v>
      </c>
      <c r="R41" s="3">
        <f t="shared" si="19"/>
        <v>-701201.51304507197</v>
      </c>
      <c r="S41" s="3">
        <f t="shared" si="20"/>
        <v>1895762.018329028</v>
      </c>
      <c r="T41" s="3">
        <f t="shared" si="21"/>
        <v>24121570.877002168</v>
      </c>
      <c r="U41" s="47">
        <f t="shared" si="9"/>
        <v>24886941.591752987</v>
      </c>
      <c r="V41" s="47">
        <f ca="1">'Monthly Data'!BF41+'Monthly Data'!BG41</f>
        <v>71206.103820957767</v>
      </c>
      <c r="W41" s="47">
        <f t="shared" ca="1" si="10"/>
        <v>24958147.695573945</v>
      </c>
      <c r="X41" s="47">
        <f t="shared" ca="1" si="11"/>
        <v>52618.97814681381</v>
      </c>
      <c r="Y41" s="18">
        <f t="shared" ca="1" si="13"/>
        <v>2.1127428670082707E-3</v>
      </c>
    </row>
    <row r="42" spans="1:25">
      <c r="A42" s="2">
        <f>'Monthly Data'!A42</f>
        <v>43586</v>
      </c>
      <c r="B42">
        <f>'Monthly Data'!B42</f>
        <v>2019</v>
      </c>
      <c r="C42">
        <f>'Monthly Data'!C42</f>
        <v>5</v>
      </c>
      <c r="D42" s="3">
        <f>'Monthly Data'!BE42</f>
        <v>24707670.950823154</v>
      </c>
      <c r="E42" s="3">
        <f>'Monthly Data'!CP42</f>
        <v>205.53464912280697</v>
      </c>
      <c r="F42" s="3">
        <f>'Monthly Data'!CU42</f>
        <v>11.208333333333332</v>
      </c>
      <c r="G42" s="3">
        <f>'Monthly Data'!EM42</f>
        <v>0</v>
      </c>
      <c r="H42" s="3">
        <f>'Monthly Data'!ET42</f>
        <v>0</v>
      </c>
      <c r="I42" s="3">
        <f>'Monthly Data'!EG42</f>
        <v>1</v>
      </c>
      <c r="J42">
        <f>'Monthly Data'!EH42</f>
        <v>41</v>
      </c>
      <c r="K42" s="3">
        <f>'Monthly Data'!DQ42</f>
        <v>31</v>
      </c>
      <c r="M42" s="3">
        <f t="shared" si="14"/>
        <v>-5660024.0454457896</v>
      </c>
      <c r="N42" s="3">
        <f t="shared" si="15"/>
        <v>2932239.098704814</v>
      </c>
      <c r="O42" s="3">
        <f t="shared" si="16"/>
        <v>1024187.9245041191</v>
      </c>
      <c r="P42" s="3">
        <f t="shared" si="17"/>
        <v>0</v>
      </c>
      <c r="Q42" s="3">
        <f t="shared" si="18"/>
        <v>0</v>
      </c>
      <c r="R42" s="3">
        <f t="shared" si="19"/>
        <v>-701201.51304507197</v>
      </c>
      <c r="S42" s="3">
        <f t="shared" si="20"/>
        <v>1943156.0687872537</v>
      </c>
      <c r="T42" s="3">
        <f t="shared" si="21"/>
        <v>24925623.239568908</v>
      </c>
      <c r="U42" s="47">
        <f t="shared" si="9"/>
        <v>24463980.773074232</v>
      </c>
      <c r="V42" s="47">
        <f ca="1">'Monthly Data'!BF42+'Monthly Data'!BG42</f>
        <v>61738.413947789493</v>
      </c>
      <c r="W42" s="47">
        <f t="shared" ca="1" si="10"/>
        <v>24525719.187022023</v>
      </c>
      <c r="X42" s="47">
        <f t="shared" ca="1" si="11"/>
        <v>-181951.7638011314</v>
      </c>
      <c r="Y42" s="18">
        <f t="shared" ref="Y42:Y73" ca="1" si="22">ABS(X42/D42)</f>
        <v>7.3641811145728226E-3</v>
      </c>
    </row>
    <row r="43" spans="1:25">
      <c r="A43" s="2">
        <f>'Monthly Data'!A43</f>
        <v>43617</v>
      </c>
      <c r="B43">
        <f>'Monthly Data'!B43</f>
        <v>2019</v>
      </c>
      <c r="C43">
        <f>'Monthly Data'!C43</f>
        <v>6</v>
      </c>
      <c r="D43" s="3">
        <f>'Monthly Data'!BE43</f>
        <v>29672644.429283168</v>
      </c>
      <c r="E43" s="3">
        <f>'Monthly Data'!CP43</f>
        <v>46.120833333333351</v>
      </c>
      <c r="F43" s="3">
        <f>'Monthly Data'!CU43</f>
        <v>118.81666666666663</v>
      </c>
      <c r="G43" s="3">
        <f>'Monthly Data'!EM43</f>
        <v>0</v>
      </c>
      <c r="H43" s="3">
        <f>'Monthly Data'!ET43</f>
        <v>0</v>
      </c>
      <c r="I43" s="3">
        <f>'Monthly Data'!EG43</f>
        <v>0</v>
      </c>
      <c r="J43">
        <f>'Monthly Data'!EH43</f>
        <v>42</v>
      </c>
      <c r="K43" s="3">
        <f>'Monthly Data'!DQ43</f>
        <v>30</v>
      </c>
      <c r="M43" s="3">
        <f t="shared" si="14"/>
        <v>-5660024.0454457896</v>
      </c>
      <c r="N43" s="3">
        <f t="shared" si="15"/>
        <v>657978.16252404253</v>
      </c>
      <c r="O43" s="3">
        <f t="shared" si="16"/>
        <v>10857153.477754444</v>
      </c>
      <c r="P43" s="3">
        <f t="shared" si="17"/>
        <v>0</v>
      </c>
      <c r="Q43" s="3">
        <f t="shared" si="18"/>
        <v>0</v>
      </c>
      <c r="R43" s="3">
        <f t="shared" si="19"/>
        <v>0</v>
      </c>
      <c r="S43" s="3">
        <f t="shared" si="20"/>
        <v>1990550.1192454793</v>
      </c>
      <c r="T43" s="3">
        <f t="shared" si="21"/>
        <v>24121570.877002168</v>
      </c>
      <c r="U43" s="47">
        <f t="shared" ref="U43:U97" si="23">SUM(M43:T43)</f>
        <v>31967228.591080345</v>
      </c>
      <c r="V43" s="47">
        <f ca="1">'Monthly Data'!BF43+'Monthly Data'!BG43</f>
        <v>52386.837772521125</v>
      </c>
      <c r="W43" s="47">
        <f t="shared" ref="W43:W106" ca="1" si="24">U43+V43</f>
        <v>32019615.428852867</v>
      </c>
      <c r="X43" s="47">
        <f t="shared" ref="X43:X106" ca="1" si="25">W43-D43</f>
        <v>2346970.9995696992</v>
      </c>
      <c r="Y43" s="18">
        <f t="shared" ca="1" si="22"/>
        <v>7.9095444464448675E-2</v>
      </c>
    </row>
    <row r="44" spans="1:25">
      <c r="A44" s="2">
        <f>'Monthly Data'!A44</f>
        <v>43647</v>
      </c>
      <c r="B44">
        <f>'Monthly Data'!B44</f>
        <v>2019</v>
      </c>
      <c r="C44">
        <f>'Monthly Data'!C44</f>
        <v>7</v>
      </c>
      <c r="D44" s="3">
        <f>'Monthly Data'!BE44</f>
        <v>44473472.383532733</v>
      </c>
      <c r="E44" s="3">
        <f>'Monthly Data'!CP44</f>
        <v>0</v>
      </c>
      <c r="F44" s="3">
        <f>'Monthly Data'!CU44</f>
        <v>259.60000000000008</v>
      </c>
      <c r="G44" s="3">
        <f>'Monthly Data'!EM44</f>
        <v>0</v>
      </c>
      <c r="H44" s="3">
        <f>'Monthly Data'!ET44</f>
        <v>0</v>
      </c>
      <c r="I44" s="3">
        <f>'Monthly Data'!EG44</f>
        <v>0</v>
      </c>
      <c r="J44">
        <f>'Monthly Data'!EH44</f>
        <v>43</v>
      </c>
      <c r="K44" s="3">
        <f>'Monthly Data'!DQ44</f>
        <v>31</v>
      </c>
      <c r="M44" s="3">
        <f t="shared" si="14"/>
        <v>-5660024.0454457896</v>
      </c>
      <c r="N44" s="3">
        <f t="shared" si="15"/>
        <v>0</v>
      </c>
      <c r="O44" s="3">
        <f t="shared" si="16"/>
        <v>23721562.991934817</v>
      </c>
      <c r="P44" s="3">
        <f t="shared" si="17"/>
        <v>0</v>
      </c>
      <c r="Q44" s="3">
        <f t="shared" si="18"/>
        <v>0</v>
      </c>
      <c r="R44" s="3">
        <f t="shared" si="19"/>
        <v>0</v>
      </c>
      <c r="S44" s="3">
        <f t="shared" si="20"/>
        <v>2037944.169703705</v>
      </c>
      <c r="T44" s="3">
        <f t="shared" si="21"/>
        <v>24925623.239568908</v>
      </c>
      <c r="U44" s="47">
        <f t="shared" si="23"/>
        <v>45025106.35576164</v>
      </c>
      <c r="V44" s="47">
        <f ca="1">'Monthly Data'!BF44+'Monthly Data'!BG44</f>
        <v>50747.551923076935</v>
      </c>
      <c r="W44" s="47">
        <f t="shared" ca="1" si="24"/>
        <v>45075853.907684714</v>
      </c>
      <c r="X44" s="47">
        <f t="shared" ca="1" si="25"/>
        <v>602381.52415198088</v>
      </c>
      <c r="Y44" s="18">
        <f t="shared" ca="1" si="22"/>
        <v>1.3544737837359102E-2</v>
      </c>
    </row>
    <row r="45" spans="1:25">
      <c r="A45" s="2">
        <f>'Monthly Data'!A45</f>
        <v>43678</v>
      </c>
      <c r="B45">
        <f>'Monthly Data'!B45</f>
        <v>2019</v>
      </c>
      <c r="C45">
        <f>'Monthly Data'!C45</f>
        <v>8</v>
      </c>
      <c r="D45" s="3">
        <f>'Monthly Data'!BE45</f>
        <v>37582282.23285567</v>
      </c>
      <c r="E45" s="3">
        <f>'Monthly Data'!CP45</f>
        <v>4.645833333333325</v>
      </c>
      <c r="F45" s="3">
        <f>'Monthly Data'!CU45</f>
        <v>190.07083333333335</v>
      </c>
      <c r="G45" s="3">
        <f>'Monthly Data'!EM45</f>
        <v>0</v>
      </c>
      <c r="H45" s="3">
        <f>'Monthly Data'!ET45</f>
        <v>0</v>
      </c>
      <c r="I45" s="3">
        <f>'Monthly Data'!EG45</f>
        <v>0</v>
      </c>
      <c r="J45">
        <f>'Monthly Data'!EH45</f>
        <v>44</v>
      </c>
      <c r="K45" s="3">
        <f>'Monthly Data'!DQ45</f>
        <v>31</v>
      </c>
      <c r="M45" s="3">
        <f t="shared" si="14"/>
        <v>-5660024.0454457896</v>
      </c>
      <c r="N45" s="3">
        <f t="shared" si="15"/>
        <v>66279.307183513039</v>
      </c>
      <c r="O45" s="3">
        <f t="shared" si="16"/>
        <v>17368171.208960745</v>
      </c>
      <c r="P45" s="3">
        <f t="shared" si="17"/>
        <v>0</v>
      </c>
      <c r="Q45" s="3">
        <f t="shared" si="18"/>
        <v>0</v>
      </c>
      <c r="R45" s="3">
        <f t="shared" si="19"/>
        <v>0</v>
      </c>
      <c r="S45" s="3">
        <f t="shared" si="20"/>
        <v>2085338.2201619307</v>
      </c>
      <c r="T45" s="3">
        <f t="shared" si="21"/>
        <v>24925623.239568908</v>
      </c>
      <c r="U45" s="47">
        <f t="shared" si="23"/>
        <v>38785387.93042931</v>
      </c>
      <c r="V45" s="47">
        <f ca="1">'Monthly Data'!BF45+'Monthly Data'!BG45</f>
        <v>52564.148898142616</v>
      </c>
      <c r="W45" s="47">
        <f t="shared" ca="1" si="24"/>
        <v>38837952.079327449</v>
      </c>
      <c r="X45" s="47">
        <f t="shared" ca="1" si="25"/>
        <v>1255669.846471779</v>
      </c>
      <c r="Y45" s="18">
        <f t="shared" ca="1" si="22"/>
        <v>3.341121858145249E-2</v>
      </c>
    </row>
    <row r="46" spans="1:25">
      <c r="A46" s="2">
        <f>'Monthly Data'!A46</f>
        <v>43709</v>
      </c>
      <c r="B46">
        <f>'Monthly Data'!B46</f>
        <v>2019</v>
      </c>
      <c r="C46">
        <f>'Monthly Data'!C46</f>
        <v>9</v>
      </c>
      <c r="D46" s="3">
        <f>'Monthly Data'!BE46</f>
        <v>27502801.782867629</v>
      </c>
      <c r="E46" s="3">
        <f>'Monthly Data'!CP46</f>
        <v>62.054166666666653</v>
      </c>
      <c r="F46" s="3">
        <f>'Monthly Data'!CU46</f>
        <v>76.5</v>
      </c>
      <c r="G46" s="3">
        <f>'Monthly Data'!EM46</f>
        <v>0</v>
      </c>
      <c r="H46" s="3">
        <f>'Monthly Data'!ET46</f>
        <v>0</v>
      </c>
      <c r="I46" s="3">
        <f>'Monthly Data'!EG46</f>
        <v>1</v>
      </c>
      <c r="J46">
        <f>'Monthly Data'!EH46</f>
        <v>45</v>
      </c>
      <c r="K46" s="3">
        <f>'Monthly Data'!DQ46</f>
        <v>30</v>
      </c>
      <c r="M46" s="3">
        <f t="shared" si="14"/>
        <v>-5660024.0454457896</v>
      </c>
      <c r="N46" s="3">
        <f t="shared" si="15"/>
        <v>885289.43666731939</v>
      </c>
      <c r="O46" s="3">
        <f t="shared" si="16"/>
        <v>6990368.1389946574</v>
      </c>
      <c r="P46" s="3">
        <f t="shared" si="17"/>
        <v>0</v>
      </c>
      <c r="Q46" s="3">
        <f t="shared" si="18"/>
        <v>0</v>
      </c>
      <c r="R46" s="3">
        <f t="shared" si="19"/>
        <v>-701201.51304507197</v>
      </c>
      <c r="S46" s="3">
        <f t="shared" si="20"/>
        <v>2132732.2706201565</v>
      </c>
      <c r="T46" s="3">
        <f t="shared" si="21"/>
        <v>24121570.877002168</v>
      </c>
      <c r="U46" s="47">
        <f t="shared" si="23"/>
        <v>27768735.164793439</v>
      </c>
      <c r="V46" s="47">
        <f ca="1">'Monthly Data'!BF46+'Monthly Data'!BG46</f>
        <v>57972.492771334415</v>
      </c>
      <c r="W46" s="47">
        <f t="shared" ca="1" si="24"/>
        <v>27826707.657564774</v>
      </c>
      <c r="X46" s="47">
        <f t="shared" ca="1" si="25"/>
        <v>323905.87469714507</v>
      </c>
      <c r="Y46" s="18">
        <f t="shared" ca="1" si="22"/>
        <v>1.1777195547361155E-2</v>
      </c>
    </row>
    <row r="47" spans="1:25">
      <c r="A47" s="2">
        <f>'Monthly Data'!A47</f>
        <v>43739</v>
      </c>
      <c r="B47">
        <f>'Monthly Data'!B47</f>
        <v>2019</v>
      </c>
      <c r="C47">
        <f>'Monthly Data'!C47</f>
        <v>10</v>
      </c>
      <c r="D47" s="3">
        <f>'Monthly Data'!BE47</f>
        <v>25307838.950786512</v>
      </c>
      <c r="E47" s="3">
        <f>'Monthly Data'!CP47</f>
        <v>243.77916666666664</v>
      </c>
      <c r="F47" s="3">
        <f>'Monthly Data'!CU47</f>
        <v>7.3333333333333357</v>
      </c>
      <c r="G47" s="3">
        <f>'Monthly Data'!EM47</f>
        <v>0</v>
      </c>
      <c r="H47" s="3">
        <f>'Monthly Data'!ET47</f>
        <v>0</v>
      </c>
      <c r="I47" s="3">
        <f>'Monthly Data'!EG47</f>
        <v>1</v>
      </c>
      <c r="J47">
        <f>'Monthly Data'!EH47</f>
        <v>46</v>
      </c>
      <c r="K47" s="3">
        <f>'Monthly Data'!DQ47</f>
        <v>31</v>
      </c>
      <c r="M47" s="3">
        <f t="shared" si="14"/>
        <v>-5660024.0454457896</v>
      </c>
      <c r="N47" s="3">
        <f t="shared" si="15"/>
        <v>3477850.605727178</v>
      </c>
      <c r="O47" s="3">
        <f t="shared" si="16"/>
        <v>670100.64948968415</v>
      </c>
      <c r="P47" s="3">
        <f t="shared" si="17"/>
        <v>0</v>
      </c>
      <c r="Q47" s="3">
        <f t="shared" si="18"/>
        <v>0</v>
      </c>
      <c r="R47" s="3">
        <f t="shared" si="19"/>
        <v>-701201.51304507197</v>
      </c>
      <c r="S47" s="3">
        <f t="shared" si="20"/>
        <v>2180126.321078382</v>
      </c>
      <c r="T47" s="3">
        <f t="shared" si="21"/>
        <v>24925623.239568908</v>
      </c>
      <c r="U47" s="47">
        <f t="shared" si="23"/>
        <v>24892475.257373288</v>
      </c>
      <c r="V47" s="47">
        <f ca="1">'Monthly Data'!BF47+'Monthly Data'!BG47</f>
        <v>71843.551676705858</v>
      </c>
      <c r="W47" s="47">
        <f t="shared" ca="1" si="24"/>
        <v>24964318.809049994</v>
      </c>
      <c r="X47" s="47">
        <f t="shared" ca="1" si="25"/>
        <v>-343520.14173651859</v>
      </c>
      <c r="Y47" s="18">
        <f t="shared" ca="1" si="22"/>
        <v>1.3573665550998882E-2</v>
      </c>
    </row>
    <row r="48" spans="1:25">
      <c r="A48" s="2">
        <f>'Monthly Data'!A48</f>
        <v>43770</v>
      </c>
      <c r="B48">
        <f>'Monthly Data'!B48</f>
        <v>2019</v>
      </c>
      <c r="C48">
        <f>'Monthly Data'!C48</f>
        <v>11</v>
      </c>
      <c r="D48" s="3">
        <f>'Monthly Data'!BE48</f>
        <v>27635260.908651348</v>
      </c>
      <c r="E48" s="3">
        <f>'Monthly Data'!CP48</f>
        <v>529.72500000000002</v>
      </c>
      <c r="F48" s="3">
        <f>'Monthly Data'!CU48</f>
        <v>0</v>
      </c>
      <c r="G48" s="3">
        <f>'Monthly Data'!EM48</f>
        <v>0</v>
      </c>
      <c r="H48" s="3">
        <f>'Monthly Data'!ET48</f>
        <v>0</v>
      </c>
      <c r="I48" s="3">
        <f>'Monthly Data'!EG48</f>
        <v>1</v>
      </c>
      <c r="J48">
        <f>'Monthly Data'!EH48</f>
        <v>47</v>
      </c>
      <c r="K48" s="3">
        <f>'Monthly Data'!DQ48</f>
        <v>30</v>
      </c>
      <c r="M48" s="3">
        <f t="shared" si="14"/>
        <v>-5660024.0454457896</v>
      </c>
      <c r="N48" s="3">
        <f t="shared" si="15"/>
        <v>7557267.6587163778</v>
      </c>
      <c r="O48" s="3">
        <f t="shared" si="16"/>
        <v>0</v>
      </c>
      <c r="P48" s="3">
        <f t="shared" si="17"/>
        <v>0</v>
      </c>
      <c r="Q48" s="3">
        <f t="shared" si="18"/>
        <v>0</v>
      </c>
      <c r="R48" s="3">
        <f t="shared" si="19"/>
        <v>-701201.51304507197</v>
      </c>
      <c r="S48" s="3">
        <f t="shared" si="20"/>
        <v>2227520.3715366079</v>
      </c>
      <c r="T48" s="3">
        <f t="shared" si="21"/>
        <v>24121570.877002168</v>
      </c>
      <c r="U48" s="47">
        <f t="shared" si="23"/>
        <v>27545133.348764293</v>
      </c>
      <c r="V48" s="47">
        <f ca="1">'Monthly Data'!BF48+'Monthly Data'!BG48</f>
        <v>92809.324722709716</v>
      </c>
      <c r="W48" s="47">
        <f t="shared" ca="1" si="24"/>
        <v>27637942.673487004</v>
      </c>
      <c r="X48" s="47">
        <f t="shared" ca="1" si="25"/>
        <v>2681.7648356556892</v>
      </c>
      <c r="Y48" s="18">
        <f t="shared" ca="1" si="22"/>
        <v>9.704141547714319E-5</v>
      </c>
    </row>
    <row r="49" spans="1:25">
      <c r="A49" s="2">
        <f>'Monthly Data'!A49</f>
        <v>43800</v>
      </c>
      <c r="B49">
        <f>'Monthly Data'!B49</f>
        <v>2019</v>
      </c>
      <c r="C49">
        <f>'Monthly Data'!C49</f>
        <v>12</v>
      </c>
      <c r="D49" s="3">
        <f>'Monthly Data'!BE49</f>
        <v>31541363.377651349</v>
      </c>
      <c r="E49" s="3">
        <f>'Monthly Data'!CP49</f>
        <v>614.42916666666667</v>
      </c>
      <c r="F49" s="3">
        <f>'Monthly Data'!CU49</f>
        <v>0</v>
      </c>
      <c r="G49" s="3">
        <f>'Monthly Data'!EM49</f>
        <v>0</v>
      </c>
      <c r="H49" s="3">
        <f>'Monthly Data'!ET49</f>
        <v>0</v>
      </c>
      <c r="I49" s="3">
        <f>'Monthly Data'!EG49</f>
        <v>0</v>
      </c>
      <c r="J49">
        <f>'Monthly Data'!EH49</f>
        <v>48</v>
      </c>
      <c r="K49" s="3">
        <f>'Monthly Data'!DQ49</f>
        <v>31</v>
      </c>
      <c r="M49" s="3">
        <f t="shared" si="14"/>
        <v>-5660024.0454457896</v>
      </c>
      <c r="N49" s="3">
        <f t="shared" si="15"/>
        <v>8765691.0091501344</v>
      </c>
      <c r="O49" s="3">
        <f t="shared" si="16"/>
        <v>0</v>
      </c>
      <c r="P49" s="3">
        <f t="shared" si="17"/>
        <v>0</v>
      </c>
      <c r="Q49" s="3">
        <f t="shared" si="18"/>
        <v>0</v>
      </c>
      <c r="R49" s="3">
        <f t="shared" si="19"/>
        <v>0</v>
      </c>
      <c r="S49" s="3">
        <f t="shared" si="20"/>
        <v>2274914.4219948333</v>
      </c>
      <c r="T49" s="3">
        <f t="shared" si="21"/>
        <v>24925623.239568908</v>
      </c>
      <c r="U49" s="47">
        <f t="shared" si="23"/>
        <v>30306204.625268087</v>
      </c>
      <c r="V49" s="47">
        <f ca="1">'Monthly Data'!BF49+'Monthly Data'!BG49</f>
        <v>100075.80126032734</v>
      </c>
      <c r="W49" s="47">
        <f t="shared" ca="1" si="24"/>
        <v>30406280.426528413</v>
      </c>
      <c r="X49" s="47">
        <f t="shared" ca="1" si="25"/>
        <v>-1135082.9511229359</v>
      </c>
      <c r="Y49" s="18">
        <f t="shared" ca="1" si="22"/>
        <v>3.5987123877061052E-2</v>
      </c>
    </row>
    <row r="50" spans="1:25">
      <c r="A50" s="2">
        <f>'Monthly Data'!A50</f>
        <v>43831</v>
      </c>
      <c r="B50">
        <f>'Monthly Data'!B50</f>
        <v>2020</v>
      </c>
      <c r="C50">
        <f>'Monthly Data'!C50</f>
        <v>1</v>
      </c>
      <c r="D50" s="3">
        <f>'Monthly Data'!BE50</f>
        <v>30225099.865594532</v>
      </c>
      <c r="E50" s="3">
        <f>'Monthly Data'!CP50</f>
        <v>628.82083333333333</v>
      </c>
      <c r="F50" s="3">
        <f>'Monthly Data'!CU50</f>
        <v>0</v>
      </c>
      <c r="G50" s="3">
        <f>'Monthly Data'!EM50</f>
        <v>0</v>
      </c>
      <c r="H50" s="3">
        <f>'Monthly Data'!ET50</f>
        <v>0</v>
      </c>
      <c r="I50" s="3">
        <f>'Monthly Data'!EG50</f>
        <v>0</v>
      </c>
      <c r="J50">
        <f>'Monthly Data'!EH50</f>
        <v>49</v>
      </c>
      <c r="K50" s="3">
        <f>'Monthly Data'!DQ50</f>
        <v>31</v>
      </c>
      <c r="M50" s="3">
        <f t="shared" si="14"/>
        <v>-5660024.0454457896</v>
      </c>
      <c r="N50" s="3">
        <f t="shared" si="15"/>
        <v>8971008.2531069536</v>
      </c>
      <c r="O50" s="3">
        <f t="shared" si="16"/>
        <v>0</v>
      </c>
      <c r="P50" s="3">
        <f t="shared" si="17"/>
        <v>0</v>
      </c>
      <c r="Q50" s="3">
        <f t="shared" si="18"/>
        <v>0</v>
      </c>
      <c r="R50" s="3">
        <f t="shared" si="19"/>
        <v>0</v>
      </c>
      <c r="S50" s="3">
        <f t="shared" si="20"/>
        <v>2322308.4724530592</v>
      </c>
      <c r="T50" s="3">
        <f t="shared" si="21"/>
        <v>24925623.239568908</v>
      </c>
      <c r="U50" s="47">
        <f t="shared" si="23"/>
        <v>30558915.919683129</v>
      </c>
      <c r="V50" s="47">
        <f ca="1">'Monthly Data'!BF50+'Monthly Data'!BG50</f>
        <v>252916.22619624605</v>
      </c>
      <c r="W50" s="47">
        <f t="shared" ca="1" si="24"/>
        <v>30811832.145879373</v>
      </c>
      <c r="X50" s="47">
        <f t="shared" ca="1" si="25"/>
        <v>586732.28028484061</v>
      </c>
      <c r="Y50" s="18">
        <f t="shared" ca="1" si="22"/>
        <v>1.9412087400668031E-2</v>
      </c>
    </row>
    <row r="51" spans="1:25">
      <c r="A51" s="2">
        <f>'Monthly Data'!A51</f>
        <v>43862</v>
      </c>
      <c r="B51">
        <f>'Monthly Data'!B51</f>
        <v>2020</v>
      </c>
      <c r="C51">
        <f>'Monthly Data'!C51</f>
        <v>2</v>
      </c>
      <c r="D51" s="3">
        <f>'Monthly Data'!BE51</f>
        <v>28085370.737541087</v>
      </c>
      <c r="E51" s="3">
        <f>'Monthly Data'!CP51</f>
        <v>620.40000000000009</v>
      </c>
      <c r="F51" s="3">
        <f>'Monthly Data'!CU51</f>
        <v>0</v>
      </c>
      <c r="G51" s="3">
        <f>'Monthly Data'!EM51</f>
        <v>0</v>
      </c>
      <c r="H51" s="3">
        <f>'Monthly Data'!ET51</f>
        <v>0</v>
      </c>
      <c r="I51" s="3">
        <f>'Monthly Data'!EG51</f>
        <v>0</v>
      </c>
      <c r="J51">
        <f>'Monthly Data'!EH51</f>
        <v>50</v>
      </c>
      <c r="K51" s="3">
        <f>'Monthly Data'!DQ51</f>
        <v>29</v>
      </c>
      <c r="M51" s="3">
        <f t="shared" si="14"/>
        <v>-5660024.0454457896</v>
      </c>
      <c r="N51" s="3">
        <f t="shared" si="15"/>
        <v>8850873.2936290372</v>
      </c>
      <c r="O51" s="3">
        <f t="shared" si="16"/>
        <v>0</v>
      </c>
      <c r="P51" s="3">
        <f t="shared" si="17"/>
        <v>0</v>
      </c>
      <c r="Q51" s="3">
        <f t="shared" si="18"/>
        <v>0</v>
      </c>
      <c r="R51" s="3">
        <f t="shared" si="19"/>
        <v>0</v>
      </c>
      <c r="S51" s="3">
        <f t="shared" si="20"/>
        <v>2369702.5229112851</v>
      </c>
      <c r="T51" s="3">
        <f t="shared" si="21"/>
        <v>23317518.514435429</v>
      </c>
      <c r="U51" s="47">
        <f t="shared" si="23"/>
        <v>28878070.285529964</v>
      </c>
      <c r="V51" s="47">
        <f ca="1">'Monthly Data'!BF51+'Monthly Data'!BG51</f>
        <v>252006.54008970442</v>
      </c>
      <c r="W51" s="47">
        <f t="shared" ca="1" si="24"/>
        <v>29130076.825619668</v>
      </c>
      <c r="X51" s="47">
        <f t="shared" ca="1" si="25"/>
        <v>1044706.0880785808</v>
      </c>
      <c r="Y51" s="18">
        <f t="shared" ca="1" si="22"/>
        <v>3.7197518161373087E-2</v>
      </c>
    </row>
    <row r="52" spans="1:25">
      <c r="A52" s="2">
        <f>'Monthly Data'!A52</f>
        <v>43891</v>
      </c>
      <c r="B52">
        <f>'Monthly Data'!B52</f>
        <v>2020</v>
      </c>
      <c r="C52">
        <f>'Monthly Data'!C52</f>
        <v>3</v>
      </c>
      <c r="D52" s="3">
        <f>'Monthly Data'!BE52</f>
        <v>28695730.8053938</v>
      </c>
      <c r="E52" s="3">
        <f>'Monthly Data'!CP52</f>
        <v>481.57083333333344</v>
      </c>
      <c r="F52" s="3">
        <f>'Monthly Data'!CU52</f>
        <v>0</v>
      </c>
      <c r="G52" s="3">
        <f>'Monthly Data'!EM52</f>
        <v>271.78541666666672</v>
      </c>
      <c r="H52" s="3">
        <f>'Monthly Data'!ET52</f>
        <v>0</v>
      </c>
      <c r="I52" s="3">
        <f>'Monthly Data'!EG52</f>
        <v>1</v>
      </c>
      <c r="J52">
        <f>'Monthly Data'!EH52</f>
        <v>51</v>
      </c>
      <c r="K52" s="3">
        <f>'Monthly Data'!DQ52</f>
        <v>31</v>
      </c>
      <c r="M52" s="3">
        <f t="shared" si="14"/>
        <v>-5660024.0454457896</v>
      </c>
      <c r="N52" s="3">
        <f t="shared" si="15"/>
        <v>6870281.1536761448</v>
      </c>
      <c r="O52" s="3">
        <f t="shared" si="16"/>
        <v>0</v>
      </c>
      <c r="P52" s="3">
        <f t="shared" si="17"/>
        <v>1290612.0594356416</v>
      </c>
      <c r="Q52" s="3">
        <f t="shared" si="18"/>
        <v>0</v>
      </c>
      <c r="R52" s="3">
        <f t="shared" si="19"/>
        <v>-701201.51304507197</v>
      </c>
      <c r="S52" s="3">
        <f t="shared" si="20"/>
        <v>2417096.5733695105</v>
      </c>
      <c r="T52" s="3">
        <f t="shared" si="21"/>
        <v>24925623.239568908</v>
      </c>
      <c r="U52" s="47">
        <f t="shared" si="23"/>
        <v>29142387.467559345</v>
      </c>
      <c r="V52" s="47">
        <f ca="1">'Monthly Data'!BF52+'Monthly Data'!BG52</f>
        <v>211380.0981415626</v>
      </c>
      <c r="W52" s="47">
        <f t="shared" ca="1" si="24"/>
        <v>29353767.565700907</v>
      </c>
      <c r="X52" s="47">
        <f t="shared" ca="1" si="25"/>
        <v>658036.76030710712</v>
      </c>
      <c r="Y52" s="18">
        <f t="shared" ca="1" si="22"/>
        <v>2.2931521234629753E-2</v>
      </c>
    </row>
    <row r="53" spans="1:25">
      <c r="A53" s="2">
        <f>'Monthly Data'!A53</f>
        <v>43922</v>
      </c>
      <c r="B53">
        <f>'Monthly Data'!B53</f>
        <v>2020</v>
      </c>
      <c r="C53">
        <f>'Monthly Data'!C53</f>
        <v>4</v>
      </c>
      <c r="D53" s="3">
        <f>'Monthly Data'!BE53</f>
        <v>27587121.222299505</v>
      </c>
      <c r="E53" s="3">
        <f>'Monthly Data'!CP53</f>
        <v>379.67500000000013</v>
      </c>
      <c r="F53" s="3">
        <f>'Monthly Data'!CU53</f>
        <v>0</v>
      </c>
      <c r="G53" s="3">
        <f>'Monthly Data'!EM53</f>
        <v>439.67500000000013</v>
      </c>
      <c r="H53" s="3">
        <f>'Monthly Data'!ET53</f>
        <v>0</v>
      </c>
      <c r="I53" s="3">
        <f>'Monthly Data'!EG53</f>
        <v>1</v>
      </c>
      <c r="J53">
        <f>'Monthly Data'!EH53</f>
        <v>52</v>
      </c>
      <c r="K53" s="3">
        <f>'Monthly Data'!DQ53</f>
        <v>30</v>
      </c>
      <c r="M53" s="3">
        <f t="shared" si="14"/>
        <v>-5660024.0454457896</v>
      </c>
      <c r="N53" s="3">
        <f t="shared" si="15"/>
        <v>5416594.6450009756</v>
      </c>
      <c r="O53" s="3">
        <f t="shared" si="16"/>
        <v>0</v>
      </c>
      <c r="P53" s="3">
        <f t="shared" si="17"/>
        <v>2087859.8424886023</v>
      </c>
      <c r="Q53" s="3">
        <f t="shared" si="18"/>
        <v>0</v>
      </c>
      <c r="R53" s="3">
        <f t="shared" si="19"/>
        <v>-701201.51304507197</v>
      </c>
      <c r="S53" s="3">
        <f t="shared" si="20"/>
        <v>2464490.6238277364</v>
      </c>
      <c r="T53" s="3">
        <f t="shared" si="21"/>
        <v>24121570.877002168</v>
      </c>
      <c r="U53" s="47">
        <f t="shared" si="23"/>
        <v>27729290.429828621</v>
      </c>
      <c r="V53" s="47">
        <f ca="1">'Monthly Data'!BF53+'Monthly Data'!BG53</f>
        <v>182001.95716408803</v>
      </c>
      <c r="W53" s="47">
        <f t="shared" ca="1" si="24"/>
        <v>27911292.386992708</v>
      </c>
      <c r="X53" s="47">
        <f t="shared" ca="1" si="25"/>
        <v>324171.16469320282</v>
      </c>
      <c r="Y53" s="18">
        <f t="shared" ca="1" si="22"/>
        <v>1.1750815247484593E-2</v>
      </c>
    </row>
    <row r="54" spans="1:25">
      <c r="A54" s="2">
        <f>'Monthly Data'!A54</f>
        <v>43952</v>
      </c>
      <c r="B54">
        <f>'Monthly Data'!B54</f>
        <v>2020</v>
      </c>
      <c r="C54">
        <f>'Monthly Data'!C54</f>
        <v>5</v>
      </c>
      <c r="D54" s="3">
        <f>'Monthly Data'!BE54</f>
        <v>30698108.359589659</v>
      </c>
      <c r="E54" s="3">
        <f>'Monthly Data'!CP54</f>
        <v>212.73690476190475</v>
      </c>
      <c r="F54" s="3">
        <f>'Monthly Data'!CU54</f>
        <v>50.900595238095221</v>
      </c>
      <c r="G54" s="3">
        <f>'Monthly Data'!EM54</f>
        <v>265.14107142857148</v>
      </c>
      <c r="H54" s="3">
        <f>'Monthly Data'!ET54</f>
        <v>50.900595238095221</v>
      </c>
      <c r="I54" s="3">
        <f>'Monthly Data'!EG54</f>
        <v>1</v>
      </c>
      <c r="J54">
        <f>'Monthly Data'!EH54</f>
        <v>53</v>
      </c>
      <c r="K54" s="3">
        <f>'Monthly Data'!DQ54</f>
        <v>31</v>
      </c>
      <c r="M54" s="3">
        <f t="shared" si="14"/>
        <v>-5660024.0454457896</v>
      </c>
      <c r="N54" s="3">
        <f t="shared" si="15"/>
        <v>3034989.3438530727</v>
      </c>
      <c r="O54" s="3">
        <f t="shared" si="16"/>
        <v>4651162.0811535167</v>
      </c>
      <c r="P54" s="3">
        <f t="shared" si="17"/>
        <v>1259060.4324333118</v>
      </c>
      <c r="Q54" s="3">
        <f t="shared" si="18"/>
        <v>622015.43116161553</v>
      </c>
      <c r="R54" s="3">
        <f t="shared" si="19"/>
        <v>-701201.51304507197</v>
      </c>
      <c r="S54" s="3">
        <f t="shared" si="20"/>
        <v>2511884.6742859618</v>
      </c>
      <c r="T54" s="3">
        <f t="shared" si="21"/>
        <v>24925623.239568908</v>
      </c>
      <c r="U54" s="47">
        <f t="shared" si="23"/>
        <v>30643509.643965524</v>
      </c>
      <c r="V54" s="47">
        <f ca="1">'Monthly Data'!BF54+'Monthly Data'!BG54</f>
        <v>132814.7474758446</v>
      </c>
      <c r="W54" s="47">
        <f t="shared" ca="1" si="24"/>
        <v>30776324.391441368</v>
      </c>
      <c r="X54" s="47">
        <f t="shared" ca="1" si="25"/>
        <v>78216.031851708889</v>
      </c>
      <c r="Y54" s="18">
        <f t="shared" ca="1" si="22"/>
        <v>2.5479104749877952E-3</v>
      </c>
    </row>
    <row r="55" spans="1:25">
      <c r="A55" s="2">
        <f>'Monthly Data'!A55</f>
        <v>43983</v>
      </c>
      <c r="B55">
        <f>'Monthly Data'!B55</f>
        <v>2020</v>
      </c>
      <c r="C55">
        <f>'Monthly Data'!C55</f>
        <v>6</v>
      </c>
      <c r="D55" s="3">
        <f>'Monthly Data'!BE55</f>
        <v>38666018.771530479</v>
      </c>
      <c r="E55" s="3">
        <f>'Monthly Data'!CP55</f>
        <v>29.733333333333348</v>
      </c>
      <c r="F55" s="3">
        <f>'Monthly Data'!CU55</f>
        <v>165.96956521739128</v>
      </c>
      <c r="G55" s="3">
        <f>'Monthly Data'!EM55</f>
        <v>26.637500000000003</v>
      </c>
      <c r="H55" s="3">
        <f>'Monthly Data'!ET55</f>
        <v>82.984782608695639</v>
      </c>
      <c r="I55" s="3">
        <f>'Monthly Data'!EG55</f>
        <v>0</v>
      </c>
      <c r="J55">
        <f>'Monthly Data'!EH55</f>
        <v>54</v>
      </c>
      <c r="K55" s="3">
        <f>'Monthly Data'!DQ55</f>
        <v>30</v>
      </c>
      <c r="M55" s="3">
        <f t="shared" si="14"/>
        <v>-5660024.0454457896</v>
      </c>
      <c r="N55" s="3">
        <f t="shared" si="15"/>
        <v>424187.56597448437</v>
      </c>
      <c r="O55" s="3">
        <f t="shared" si="16"/>
        <v>15165860.924685592</v>
      </c>
      <c r="P55" s="3">
        <f t="shared" si="17"/>
        <v>126491.99193561183</v>
      </c>
      <c r="Q55" s="3">
        <f t="shared" si="18"/>
        <v>1014090.6033171249</v>
      </c>
      <c r="R55" s="3">
        <f t="shared" si="19"/>
        <v>0</v>
      </c>
      <c r="S55" s="3">
        <f t="shared" si="20"/>
        <v>2559278.7247441877</v>
      </c>
      <c r="T55" s="3">
        <f t="shared" si="21"/>
        <v>24121570.877002168</v>
      </c>
      <c r="U55" s="47">
        <f t="shared" si="23"/>
        <v>37751456.642213382</v>
      </c>
      <c r="V55" s="47">
        <f ca="1">'Monthly Data'!BF55+'Monthly Data'!BG55</f>
        <v>78734.686395158133</v>
      </c>
      <c r="W55" s="47">
        <f t="shared" ca="1" si="24"/>
        <v>37830191.328608543</v>
      </c>
      <c r="X55" s="47">
        <f t="shared" ca="1" si="25"/>
        <v>-835827.44292193651</v>
      </c>
      <c r="Y55" s="18">
        <f t="shared" ca="1" si="22"/>
        <v>2.1616589177713596E-2</v>
      </c>
    </row>
    <row r="56" spans="1:25">
      <c r="A56" s="2">
        <f>'Monthly Data'!A56</f>
        <v>44013</v>
      </c>
      <c r="B56">
        <f>'Monthly Data'!B56</f>
        <v>2020</v>
      </c>
      <c r="C56">
        <f>'Monthly Data'!C56</f>
        <v>7</v>
      </c>
      <c r="D56" s="3">
        <f>'Monthly Data'!BE56</f>
        <v>52884414.346289635</v>
      </c>
      <c r="E56" s="3">
        <f>'Monthly Data'!CP56</f>
        <v>0</v>
      </c>
      <c r="F56" s="3">
        <f>'Monthly Data'!CU56</f>
        <v>308.88750000000005</v>
      </c>
      <c r="G56" s="3">
        <f>'Monthly Data'!EM56</f>
        <v>0</v>
      </c>
      <c r="H56" s="3">
        <f>'Monthly Data'!ET56</f>
        <v>154.44375000000002</v>
      </c>
      <c r="I56" s="3">
        <f>'Monthly Data'!EG56</f>
        <v>0</v>
      </c>
      <c r="J56">
        <f>'Monthly Data'!EH56</f>
        <v>55</v>
      </c>
      <c r="K56" s="3">
        <f>'Monthly Data'!DQ56</f>
        <v>31</v>
      </c>
      <c r="M56" s="3">
        <f t="shared" si="14"/>
        <v>-5660024.0454457896</v>
      </c>
      <c r="N56" s="3">
        <f t="shared" si="15"/>
        <v>0</v>
      </c>
      <c r="O56" s="3">
        <f t="shared" si="16"/>
        <v>28225324.686715197</v>
      </c>
      <c r="P56" s="3">
        <f t="shared" si="17"/>
        <v>0</v>
      </c>
      <c r="Q56" s="3">
        <f t="shared" si="18"/>
        <v>1887333.4446699829</v>
      </c>
      <c r="R56" s="3">
        <f t="shared" si="19"/>
        <v>0</v>
      </c>
      <c r="S56" s="3">
        <f t="shared" si="20"/>
        <v>2606672.7752024136</v>
      </c>
      <c r="T56" s="3">
        <f t="shared" si="21"/>
        <v>24925623.239568908</v>
      </c>
      <c r="U56" s="47">
        <f t="shared" si="23"/>
        <v>51984930.100710712</v>
      </c>
      <c r="V56" s="47">
        <f ca="1">'Monthly Data'!BF56+'Monthly Data'!BG56</f>
        <v>71334.131666666683</v>
      </c>
      <c r="W56" s="47">
        <f t="shared" ca="1" si="24"/>
        <v>52056264.23237738</v>
      </c>
      <c r="X56" s="47">
        <f t="shared" ca="1" si="25"/>
        <v>-828150.11391225457</v>
      </c>
      <c r="Y56" s="18">
        <f t="shared" ca="1" si="22"/>
        <v>1.5659625319654456E-2</v>
      </c>
    </row>
    <row r="57" spans="1:25">
      <c r="A57" s="2">
        <f>'Monthly Data'!A57</f>
        <v>44044</v>
      </c>
      <c r="B57">
        <f>'Monthly Data'!B57</f>
        <v>2020</v>
      </c>
      <c r="C57">
        <f>'Monthly Data'!C57</f>
        <v>8</v>
      </c>
      <c r="D57" s="3">
        <f>'Monthly Data'!BE57</f>
        <v>43853441.776462704</v>
      </c>
      <c r="E57" s="3">
        <f>'Monthly Data'!CP57</f>
        <v>3.4874999999999972</v>
      </c>
      <c r="F57" s="3">
        <f>'Monthly Data'!CU57</f>
        <v>216.93106060606064</v>
      </c>
      <c r="G57" s="3">
        <f>'Monthly Data'!EM57</f>
        <v>9.8604166666666604</v>
      </c>
      <c r="H57" s="3">
        <f>'Monthly Data'!ET57</f>
        <v>108.46553030303032</v>
      </c>
      <c r="I57" s="3">
        <f>'Monthly Data'!EG57</f>
        <v>0</v>
      </c>
      <c r="J57">
        <f>'Monthly Data'!EH57</f>
        <v>56</v>
      </c>
      <c r="K57" s="3">
        <f>'Monthly Data'!DQ57</f>
        <v>31</v>
      </c>
      <c r="M57" s="3">
        <f t="shared" si="14"/>
        <v>-5660024.0454457896</v>
      </c>
      <c r="N57" s="3">
        <f t="shared" si="15"/>
        <v>49754.062881256017</v>
      </c>
      <c r="O57" s="3">
        <f t="shared" si="16"/>
        <v>19822587.900900982</v>
      </c>
      <c r="P57" s="3">
        <f t="shared" si="17"/>
        <v>46823.603772192269</v>
      </c>
      <c r="Q57" s="3">
        <f t="shared" si="18"/>
        <v>1325470.4248943359</v>
      </c>
      <c r="R57" s="3">
        <f t="shared" si="19"/>
        <v>0</v>
      </c>
      <c r="S57" s="3">
        <f t="shared" si="20"/>
        <v>2654066.825660639</v>
      </c>
      <c r="T57" s="3">
        <f t="shared" si="21"/>
        <v>24925623.239568908</v>
      </c>
      <c r="U57" s="47">
        <f t="shared" si="23"/>
        <v>43164302.012232527</v>
      </c>
      <c r="V57" s="47">
        <f ca="1">'Monthly Data'!BF57+'Monthly Data'!BG57</f>
        <v>74051.210471470578</v>
      </c>
      <c r="W57" s="47">
        <f t="shared" ca="1" si="24"/>
        <v>43238353.222704001</v>
      </c>
      <c r="X57" s="47">
        <f t="shared" ca="1" si="25"/>
        <v>-615088.55375870317</v>
      </c>
      <c r="Y57" s="18">
        <f t="shared" ca="1" si="22"/>
        <v>1.4026004090945432E-2</v>
      </c>
    </row>
    <row r="58" spans="1:25">
      <c r="A58" s="2">
        <f>'Monthly Data'!A58</f>
        <v>44075</v>
      </c>
      <c r="B58">
        <f>'Monthly Data'!B58</f>
        <v>2020</v>
      </c>
      <c r="C58">
        <f>'Monthly Data'!C58</f>
        <v>9</v>
      </c>
      <c r="D58" s="3">
        <f>'Monthly Data'!BE58</f>
        <v>29946855.289398734</v>
      </c>
      <c r="E58" s="3">
        <f>'Monthly Data'!CP58</f>
        <v>85.042028985507244</v>
      </c>
      <c r="F58" s="3">
        <f>'Monthly Data'!CU58</f>
        <v>75.812499999999972</v>
      </c>
      <c r="G58" s="3">
        <f>'Monthly Data'!EM58</f>
        <v>66.37934782608697</v>
      </c>
      <c r="H58" s="3">
        <f>'Monthly Data'!ET58</f>
        <v>37.906249999999986</v>
      </c>
      <c r="I58" s="3">
        <f>'Monthly Data'!EG58</f>
        <v>1</v>
      </c>
      <c r="J58">
        <f>'Monthly Data'!EH58</f>
        <v>57</v>
      </c>
      <c r="K58" s="3">
        <f>'Monthly Data'!DQ58</f>
        <v>30</v>
      </c>
      <c r="M58" s="3">
        <f t="shared" si="14"/>
        <v>-5660024.0454457896</v>
      </c>
      <c r="N58" s="3">
        <f t="shared" si="15"/>
        <v>1213243.4287296138</v>
      </c>
      <c r="O58" s="3">
        <f t="shared" si="16"/>
        <v>6927546.2031049971</v>
      </c>
      <c r="P58" s="3">
        <f t="shared" si="17"/>
        <v>315211.86034382228</v>
      </c>
      <c r="Q58" s="3">
        <f t="shared" si="18"/>
        <v>463221.93929518998</v>
      </c>
      <c r="R58" s="3">
        <f t="shared" si="19"/>
        <v>-701201.51304507197</v>
      </c>
      <c r="S58" s="3">
        <f t="shared" si="20"/>
        <v>2701460.8761188649</v>
      </c>
      <c r="T58" s="3">
        <f t="shared" si="21"/>
        <v>24121570.877002168</v>
      </c>
      <c r="U58" s="47">
        <f t="shared" si="23"/>
        <v>29381029.626103796</v>
      </c>
      <c r="V58" s="47">
        <f ca="1">'Monthly Data'!BF58+'Monthly Data'!BG58</f>
        <v>100544.14048335365</v>
      </c>
      <c r="W58" s="47">
        <f t="shared" ca="1" si="24"/>
        <v>29481573.766587149</v>
      </c>
      <c r="X58" s="47">
        <f t="shared" ca="1" si="25"/>
        <v>-465281.52281158417</v>
      </c>
      <c r="Y58" s="18">
        <f t="shared" ca="1" si="22"/>
        <v>1.5536907575610956E-2</v>
      </c>
    </row>
    <row r="59" spans="1:25">
      <c r="A59" s="2">
        <f>'Monthly Data'!A59</f>
        <v>44105</v>
      </c>
      <c r="B59">
        <f>'Monthly Data'!B59</f>
        <v>2020</v>
      </c>
      <c r="C59">
        <f>'Monthly Data'!C59</f>
        <v>10</v>
      </c>
      <c r="D59" s="3">
        <f>'Monthly Data'!BE59</f>
        <v>27564334.790061668</v>
      </c>
      <c r="E59" s="3">
        <f>'Monthly Data'!CP59</f>
        <v>287.83333333333331</v>
      </c>
      <c r="F59" s="3">
        <f>'Monthly Data'!CU59</f>
        <v>3.9291666666666654</v>
      </c>
      <c r="G59" s="3">
        <f>'Monthly Data'!EM59</f>
        <v>174.91666666666663</v>
      </c>
      <c r="H59" s="3">
        <f>'Monthly Data'!ET59</f>
        <v>1.9645833333333327</v>
      </c>
      <c r="I59" s="3">
        <f>'Monthly Data'!EG59</f>
        <v>1</v>
      </c>
      <c r="J59">
        <f>'Monthly Data'!EH59</f>
        <v>58</v>
      </c>
      <c r="K59" s="3">
        <f>'Monthly Data'!DQ59</f>
        <v>31</v>
      </c>
      <c r="M59" s="3">
        <f t="shared" si="14"/>
        <v>-5660024.0454457896</v>
      </c>
      <c r="N59" s="3">
        <f t="shared" si="15"/>
        <v>4106344.8791364022</v>
      </c>
      <c r="O59" s="3">
        <f t="shared" si="16"/>
        <v>359036.88208452938</v>
      </c>
      <c r="P59" s="3">
        <f t="shared" si="17"/>
        <v>830616.89683356532</v>
      </c>
      <c r="Q59" s="3">
        <f t="shared" si="18"/>
        <v>24007.600371275854</v>
      </c>
      <c r="R59" s="3">
        <f t="shared" si="19"/>
        <v>-701201.51304507197</v>
      </c>
      <c r="S59" s="3">
        <f t="shared" si="20"/>
        <v>2748854.9265770903</v>
      </c>
      <c r="T59" s="3">
        <f t="shared" si="21"/>
        <v>24925623.239568908</v>
      </c>
      <c r="U59" s="47">
        <f t="shared" si="23"/>
        <v>26633258.86608091</v>
      </c>
      <c r="V59" s="47">
        <f ca="1">'Monthly Data'!BF59+'Monthly Data'!BG59</f>
        <v>163960.56520611778</v>
      </c>
      <c r="W59" s="47">
        <f t="shared" ca="1" si="24"/>
        <v>26797219.431287028</v>
      </c>
      <c r="X59" s="47">
        <f t="shared" ca="1" si="25"/>
        <v>-767115.35877463967</v>
      </c>
      <c r="Y59" s="18">
        <f t="shared" ca="1" si="22"/>
        <v>2.7829997154555801E-2</v>
      </c>
    </row>
    <row r="60" spans="1:25">
      <c r="A60" s="2">
        <f>'Monthly Data'!A60</f>
        <v>44136</v>
      </c>
      <c r="B60">
        <f>'Monthly Data'!B60</f>
        <v>2020</v>
      </c>
      <c r="C60">
        <f>'Monthly Data'!C60</f>
        <v>11</v>
      </c>
      <c r="D60" s="3">
        <f>'Monthly Data'!BE60</f>
        <v>28100106.078566764</v>
      </c>
      <c r="E60" s="3">
        <f>'Monthly Data'!CP60</f>
        <v>366.30072463768118</v>
      </c>
      <c r="F60" s="3">
        <f>'Monthly Data'!CU60</f>
        <v>0</v>
      </c>
      <c r="G60" s="3">
        <f>'Monthly Data'!EM60</f>
        <v>213.15036231884056</v>
      </c>
      <c r="H60" s="3">
        <f>'Monthly Data'!ET60</f>
        <v>0</v>
      </c>
      <c r="I60" s="3">
        <f>'Monthly Data'!EG60</f>
        <v>1</v>
      </c>
      <c r="J60">
        <f>'Monthly Data'!EH60</f>
        <v>59</v>
      </c>
      <c r="K60" s="3">
        <f>'Monthly Data'!DQ60</f>
        <v>30</v>
      </c>
      <c r="M60" s="3">
        <f t="shared" si="14"/>
        <v>-5660024.0454457896</v>
      </c>
      <c r="N60" s="3">
        <f t="shared" si="15"/>
        <v>5225791.9102717852</v>
      </c>
      <c r="O60" s="3">
        <f t="shared" si="16"/>
        <v>0</v>
      </c>
      <c r="P60" s="3">
        <f t="shared" si="17"/>
        <v>1012175.0881842335</v>
      </c>
      <c r="Q60" s="3">
        <f t="shared" si="18"/>
        <v>0</v>
      </c>
      <c r="R60" s="3">
        <f t="shared" si="19"/>
        <v>-701201.51304507197</v>
      </c>
      <c r="S60" s="3">
        <f t="shared" si="20"/>
        <v>2796248.9770353162</v>
      </c>
      <c r="T60" s="3">
        <f t="shared" si="21"/>
        <v>24121570.877002168</v>
      </c>
      <c r="U60" s="47">
        <f t="shared" si="23"/>
        <v>26794561.294002641</v>
      </c>
      <c r="V60" s="47">
        <f ca="1">'Monthly Data'!BF60+'Monthly Data'!BG60</f>
        <v>189513.28618075623</v>
      </c>
      <c r="W60" s="47">
        <f t="shared" ca="1" si="24"/>
        <v>26984074.580183398</v>
      </c>
      <c r="X60" s="47">
        <f t="shared" ca="1" si="25"/>
        <v>-1116031.4983833656</v>
      </c>
      <c r="Y60" s="18">
        <f t="shared" ca="1" si="22"/>
        <v>3.9716273499572796E-2</v>
      </c>
    </row>
    <row r="61" spans="1:25">
      <c r="A61" s="2">
        <f>'Monthly Data'!A61</f>
        <v>44166</v>
      </c>
      <c r="B61">
        <f>'Monthly Data'!B61</f>
        <v>2020</v>
      </c>
      <c r="C61">
        <f>'Monthly Data'!C61</f>
        <v>12</v>
      </c>
      <c r="D61" s="3">
        <f>'Monthly Data'!BE61</f>
        <v>33541571.294209413</v>
      </c>
      <c r="E61" s="3">
        <f>'Monthly Data'!CP61</f>
        <v>582.90416666666681</v>
      </c>
      <c r="F61" s="3">
        <f>'Monthly Data'!CU61</f>
        <v>0</v>
      </c>
      <c r="G61" s="3">
        <f>'Monthly Data'!EM61</f>
        <v>322.45208333333341</v>
      </c>
      <c r="H61" s="3">
        <f>'Monthly Data'!ET61</f>
        <v>0</v>
      </c>
      <c r="I61" s="3">
        <f>'Monthly Data'!EG61</f>
        <v>0</v>
      </c>
      <c r="J61">
        <f>'Monthly Data'!EH61</f>
        <v>60</v>
      </c>
      <c r="K61" s="3">
        <f>'Monthly Data'!DQ61</f>
        <v>31</v>
      </c>
      <c r="M61" s="3">
        <f t="shared" si="14"/>
        <v>-5660024.0454457896</v>
      </c>
      <c r="N61" s="3">
        <f t="shared" si="15"/>
        <v>8315942.8134994991</v>
      </c>
      <c r="O61" s="3">
        <f t="shared" si="16"/>
        <v>0</v>
      </c>
      <c r="P61" s="3">
        <f t="shared" si="17"/>
        <v>1531209.9981087281</v>
      </c>
      <c r="Q61" s="3">
        <f t="shared" si="18"/>
        <v>0</v>
      </c>
      <c r="R61" s="3">
        <f t="shared" si="19"/>
        <v>0</v>
      </c>
      <c r="S61" s="3">
        <f t="shared" si="20"/>
        <v>2843643.0274935421</v>
      </c>
      <c r="T61" s="3">
        <f t="shared" si="21"/>
        <v>24925623.239568908</v>
      </c>
      <c r="U61" s="47">
        <f t="shared" si="23"/>
        <v>31956395.033224888</v>
      </c>
      <c r="V61" s="47">
        <f ca="1">'Monthly Data'!BF61+'Monthly Data'!BG61</f>
        <v>257136.29253761721</v>
      </c>
      <c r="W61" s="47">
        <f t="shared" ca="1" si="24"/>
        <v>32213531.325762507</v>
      </c>
      <c r="X61" s="47">
        <f t="shared" ca="1" si="25"/>
        <v>-1328039.9684469067</v>
      </c>
      <c r="Y61" s="18">
        <f t="shared" ca="1" si="22"/>
        <v>3.9593850770973819E-2</v>
      </c>
    </row>
    <row r="62" spans="1:25">
      <c r="A62" s="2">
        <f>'Monthly Data'!A62</f>
        <v>44197</v>
      </c>
      <c r="B62">
        <f>'Monthly Data'!B62</f>
        <v>2021</v>
      </c>
      <c r="C62">
        <f>'Monthly Data'!C62</f>
        <v>1</v>
      </c>
      <c r="D62" s="3">
        <f ca="1">'Monthly Data'!BE62</f>
        <v>33060529.53418494</v>
      </c>
      <c r="E62" s="3">
        <f>'Monthly Data'!CP62</f>
        <v>653.50416666666661</v>
      </c>
      <c r="F62" s="3">
        <f>'Monthly Data'!CU62</f>
        <v>0</v>
      </c>
      <c r="G62" s="3">
        <f>'Monthly Data'!EM62</f>
        <v>357.7520833333333</v>
      </c>
      <c r="H62" s="3">
        <f>'Monthly Data'!ET62</f>
        <v>0</v>
      </c>
      <c r="I62" s="3">
        <f>'Monthly Data'!EG62</f>
        <v>0</v>
      </c>
      <c r="J62">
        <f>'Monthly Data'!EH62</f>
        <v>61</v>
      </c>
      <c r="K62" s="3">
        <f>'Monthly Data'!DQ62</f>
        <v>31</v>
      </c>
      <c r="M62" s="3">
        <f t="shared" si="14"/>
        <v>-5660024.0454457896</v>
      </c>
      <c r="N62" s="3">
        <f t="shared" si="15"/>
        <v>9323150.509389583</v>
      </c>
      <c r="O62" s="3">
        <f t="shared" si="16"/>
        <v>0</v>
      </c>
      <c r="P62" s="3">
        <f t="shared" si="17"/>
        <v>1698837.1145921473</v>
      </c>
      <c r="Q62" s="3">
        <f t="shared" si="18"/>
        <v>0</v>
      </c>
      <c r="R62" s="3">
        <f t="shared" si="19"/>
        <v>0</v>
      </c>
      <c r="S62" s="3">
        <f t="shared" si="20"/>
        <v>2891037.0779517675</v>
      </c>
      <c r="T62" s="3">
        <f t="shared" si="21"/>
        <v>24925623.239568908</v>
      </c>
      <c r="U62" s="47">
        <f t="shared" si="23"/>
        <v>33178623.896056615</v>
      </c>
      <c r="V62" s="47">
        <f ca="1">'Monthly Data'!BF62+'Monthly Data'!BG62</f>
        <v>492768.7045080688</v>
      </c>
      <c r="W62" s="47">
        <f t="shared" ca="1" si="24"/>
        <v>33671392.600564681</v>
      </c>
      <c r="X62" s="47">
        <f t="shared" ca="1" si="25"/>
        <v>610863.06637974083</v>
      </c>
      <c r="Y62" s="18">
        <f t="shared" ca="1" si="22"/>
        <v>1.8477110771867762E-2</v>
      </c>
    </row>
    <row r="63" spans="1:25">
      <c r="A63" s="2">
        <f>'Monthly Data'!A63</f>
        <v>44228</v>
      </c>
      <c r="B63">
        <f>'Monthly Data'!B63</f>
        <v>2021</v>
      </c>
      <c r="C63">
        <f>'Monthly Data'!C63</f>
        <v>2</v>
      </c>
      <c r="D63" s="3">
        <f ca="1">'Monthly Data'!BE63</f>
        <v>30340153.167896137</v>
      </c>
      <c r="E63" s="3">
        <f>'Monthly Data'!CP63</f>
        <v>653.45416666666654</v>
      </c>
      <c r="F63" s="3">
        <f>'Monthly Data'!CU63</f>
        <v>0</v>
      </c>
      <c r="G63" s="3">
        <f>'Monthly Data'!EM63</f>
        <v>354.72708333333327</v>
      </c>
      <c r="H63" s="3">
        <f>'Monthly Data'!ET63</f>
        <v>0</v>
      </c>
      <c r="I63" s="3">
        <f>'Monthly Data'!EG63</f>
        <v>0</v>
      </c>
      <c r="J63">
        <f>'Monthly Data'!EH63</f>
        <v>62</v>
      </c>
      <c r="K63" s="3">
        <f>'Monthly Data'!DQ63</f>
        <v>28</v>
      </c>
      <c r="M63" s="3">
        <f t="shared" si="14"/>
        <v>-5660024.0454457896</v>
      </c>
      <c r="N63" s="3">
        <f t="shared" si="15"/>
        <v>9322437.1894916426</v>
      </c>
      <c r="O63" s="3">
        <f t="shared" si="16"/>
        <v>0</v>
      </c>
      <c r="P63" s="3">
        <f t="shared" si="17"/>
        <v>1684472.4679246587</v>
      </c>
      <c r="Q63" s="3">
        <f t="shared" si="18"/>
        <v>0</v>
      </c>
      <c r="R63" s="3">
        <f t="shared" si="19"/>
        <v>0</v>
      </c>
      <c r="S63" s="3">
        <f t="shared" si="20"/>
        <v>2938431.1284099934</v>
      </c>
      <c r="T63" s="3">
        <f t="shared" si="21"/>
        <v>22513466.15186869</v>
      </c>
      <c r="U63" s="47">
        <f t="shared" si="23"/>
        <v>30798782.892249197</v>
      </c>
      <c r="V63" s="47">
        <f ca="1">'Monthly Data'!BF63+'Monthly Data'!BG63</f>
        <v>496045.5336291744</v>
      </c>
      <c r="W63" s="47">
        <f t="shared" ca="1" si="24"/>
        <v>31294828.425878372</v>
      </c>
      <c r="X63" s="47">
        <f t="shared" ca="1" si="25"/>
        <v>954675.2579822354</v>
      </c>
      <c r="Y63" s="18">
        <f t="shared" ca="1" si="22"/>
        <v>3.1465736270323348E-2</v>
      </c>
    </row>
    <row r="64" spans="1:25">
      <c r="A64" s="2">
        <f>'Monthly Data'!A64</f>
        <v>44256</v>
      </c>
      <c r="B64">
        <f>'Monthly Data'!B64</f>
        <v>2021</v>
      </c>
      <c r="C64">
        <f>'Monthly Data'!C64</f>
        <v>3</v>
      </c>
      <c r="D64" s="3">
        <f ca="1">'Monthly Data'!BE64</f>
        <v>29674127.193667971</v>
      </c>
      <c r="E64" s="3">
        <f>'Monthly Data'!CP64</f>
        <v>492.59637681159415</v>
      </c>
      <c r="F64" s="3">
        <f>'Monthly Data'!CU64</f>
        <v>0</v>
      </c>
      <c r="G64" s="3">
        <f>'Monthly Data'!EM64</f>
        <v>277.29818840579713</v>
      </c>
      <c r="H64" s="3">
        <f>'Monthly Data'!ET64</f>
        <v>0</v>
      </c>
      <c r="I64" s="3">
        <f>'Monthly Data'!EG64</f>
        <v>1</v>
      </c>
      <c r="J64">
        <f>'Monthly Data'!EH64</f>
        <v>63</v>
      </c>
      <c r="K64" s="3">
        <f>'Monthly Data'!DQ64</f>
        <v>31</v>
      </c>
      <c r="M64" s="3">
        <f t="shared" si="14"/>
        <v>-5660024.0454457896</v>
      </c>
      <c r="N64" s="3">
        <f t="shared" si="15"/>
        <v>7027575.9446488777</v>
      </c>
      <c r="O64" s="3">
        <f t="shared" si="16"/>
        <v>0</v>
      </c>
      <c r="P64" s="3">
        <f t="shared" si="17"/>
        <v>1316790.2472674185</v>
      </c>
      <c r="Q64" s="3">
        <f t="shared" si="18"/>
        <v>0</v>
      </c>
      <c r="R64" s="3">
        <f t="shared" si="19"/>
        <v>-701201.51304507197</v>
      </c>
      <c r="S64" s="3">
        <f t="shared" si="20"/>
        <v>2985825.1788682188</v>
      </c>
      <c r="T64" s="3">
        <f t="shared" si="21"/>
        <v>24925623.239568908</v>
      </c>
      <c r="U64" s="47">
        <f t="shared" si="23"/>
        <v>29894589.05186256</v>
      </c>
      <c r="V64" s="47">
        <f ca="1">'Monthly Data'!BF64+'Monthly Data'!BG64</f>
        <v>398877.34123513824</v>
      </c>
      <c r="W64" s="47">
        <f t="shared" ca="1" si="24"/>
        <v>30293466.393097699</v>
      </c>
      <c r="X64" s="47">
        <f t="shared" ca="1" si="25"/>
        <v>619339.19942972809</v>
      </c>
      <c r="Y64" s="18">
        <f t="shared" ca="1" si="22"/>
        <v>2.0871353532577904E-2</v>
      </c>
    </row>
    <row r="65" spans="1:25">
      <c r="A65" s="2">
        <f>'Monthly Data'!A65</f>
        <v>44287</v>
      </c>
      <c r="B65">
        <f>'Monthly Data'!B65</f>
        <v>2021</v>
      </c>
      <c r="C65">
        <f>'Monthly Data'!C65</f>
        <v>4</v>
      </c>
      <c r="D65" s="3">
        <f ca="1">'Monthly Data'!BE65</f>
        <v>26890372.122003525</v>
      </c>
      <c r="E65" s="3">
        <f>'Monthly Data'!CP65</f>
        <v>319.79583333333329</v>
      </c>
      <c r="F65" s="3">
        <f>'Monthly Data'!CU65</f>
        <v>3.7083333333333339</v>
      </c>
      <c r="G65" s="3">
        <f>'Monthly Data'!EM65</f>
        <v>189.89791666666665</v>
      </c>
      <c r="H65" s="3">
        <f>'Monthly Data'!ET65</f>
        <v>1.854166666666667</v>
      </c>
      <c r="I65" s="3">
        <f>'Monthly Data'!EG65</f>
        <v>1</v>
      </c>
      <c r="J65">
        <f>'Monthly Data'!EH65</f>
        <v>64</v>
      </c>
      <c r="K65" s="3">
        <f>'Monthly Data'!DQ65</f>
        <v>30</v>
      </c>
      <c r="M65" s="3">
        <f t="shared" si="14"/>
        <v>-5660024.0454457896</v>
      </c>
      <c r="N65" s="3">
        <f t="shared" si="15"/>
        <v>4562334.6238940069</v>
      </c>
      <c r="O65" s="3">
        <f t="shared" si="16"/>
        <v>338857.71479876066</v>
      </c>
      <c r="P65" s="3">
        <f t="shared" si="17"/>
        <v>901757.51266408199</v>
      </c>
      <c r="Q65" s="3">
        <f t="shared" si="18"/>
        <v>22658.286670663332</v>
      </c>
      <c r="R65" s="3">
        <f t="shared" si="19"/>
        <v>-701201.51304507197</v>
      </c>
      <c r="S65" s="3">
        <f t="shared" si="20"/>
        <v>3033219.2293264447</v>
      </c>
      <c r="T65" s="3">
        <f t="shared" si="21"/>
        <v>24121570.877002168</v>
      </c>
      <c r="U65" s="47">
        <f t="shared" si="23"/>
        <v>26619172.685865264</v>
      </c>
      <c r="V65" s="47">
        <f ca="1">'Monthly Data'!BF65+'Monthly Data'!BG65</f>
        <v>294249.37250991614</v>
      </c>
      <c r="W65" s="47">
        <f t="shared" ca="1" si="24"/>
        <v>26913422.05837518</v>
      </c>
      <c r="X65" s="47">
        <f t="shared" ca="1" si="25"/>
        <v>23049.936371654272</v>
      </c>
      <c r="Y65" s="18">
        <f t="shared" ca="1" si="22"/>
        <v>8.5718175513061238E-4</v>
      </c>
    </row>
    <row r="66" spans="1:25">
      <c r="A66" s="2">
        <f>'Monthly Data'!A66</f>
        <v>44317</v>
      </c>
      <c r="B66">
        <f>'Monthly Data'!B66</f>
        <v>2021</v>
      </c>
      <c r="C66">
        <f>'Monthly Data'!C66</f>
        <v>5</v>
      </c>
      <c r="D66" s="3">
        <f ca="1">'Monthly Data'!BE66</f>
        <v>30126536.180929851</v>
      </c>
      <c r="E66" s="3">
        <f>'Monthly Data'!CP66</f>
        <v>173.64305555555555</v>
      </c>
      <c r="F66" s="3">
        <f>'Monthly Data'!CU66</f>
        <v>53.908333333333317</v>
      </c>
      <c r="G66" s="3">
        <f>'Monthly Data'!EM66</f>
        <v>110.96111111111111</v>
      </c>
      <c r="H66" s="3">
        <f>'Monthly Data'!ET66</f>
        <v>26.954166666666659</v>
      </c>
      <c r="I66" s="3">
        <f>'Monthly Data'!EG66</f>
        <v>1</v>
      </c>
      <c r="J66">
        <f>'Monthly Data'!EH66</f>
        <v>65</v>
      </c>
      <c r="K66" s="3">
        <f>'Monthly Data'!DQ66</f>
        <v>31</v>
      </c>
      <c r="M66" s="3">
        <f t="shared" ref="M66:M97" si="26">$AC$8</f>
        <v>-5660024.0454457896</v>
      </c>
      <c r="N66" s="3">
        <f t="shared" ref="N66:N97" si="27">E66*$AC$9</f>
        <v>2477260.9333346379</v>
      </c>
      <c r="O66" s="3">
        <f t="shared" ref="O66:O97" si="28">F66*$AC$10</f>
        <v>4926001.2517599594</v>
      </c>
      <c r="P66" s="3">
        <f t="shared" ref="P66:P97" si="29">G66*$AC$11</f>
        <v>526914.76196464361</v>
      </c>
      <c r="Q66" s="3">
        <f t="shared" ref="Q66:Q97" si="30">H66*$AC$12</f>
        <v>329385.29544386745</v>
      </c>
      <c r="R66" s="3">
        <f t="shared" ref="R66:R97" si="31">I66*$AC$13</f>
        <v>-701201.51304507197</v>
      </c>
      <c r="S66" s="3">
        <f t="shared" ref="S66:S97" si="32">J66*$AC$14</f>
        <v>3080613.2797846706</v>
      </c>
      <c r="T66" s="3">
        <f t="shared" ref="T66:T97" si="33">K66*$AC$15</f>
        <v>24925623.239568908</v>
      </c>
      <c r="U66" s="47">
        <f t="shared" si="23"/>
        <v>29904573.203365825</v>
      </c>
      <c r="V66" s="47">
        <f ca="1">'Monthly Data'!BF66+'Monthly Data'!BG66</f>
        <v>206266.33996302093</v>
      </c>
      <c r="W66" s="47">
        <f t="shared" ca="1" si="24"/>
        <v>30110839.543328848</v>
      </c>
      <c r="X66" s="47">
        <f t="shared" ca="1" si="25"/>
        <v>-15696.637601003051</v>
      </c>
      <c r="Y66" s="18">
        <f t="shared" ca="1" si="22"/>
        <v>5.2102364197245644E-4</v>
      </c>
    </row>
    <row r="67" spans="1:25">
      <c r="A67" s="2">
        <f>'Monthly Data'!A67</f>
        <v>44348</v>
      </c>
      <c r="B67">
        <f>'Monthly Data'!B67</f>
        <v>2021</v>
      </c>
      <c r="C67">
        <f>'Monthly Data'!C67</f>
        <v>6</v>
      </c>
      <c r="D67" s="3">
        <f ca="1">'Monthly Data'!BE67</f>
        <v>38779277.658758134</v>
      </c>
      <c r="E67" s="3">
        <f>'Monthly Data'!CP67</f>
        <v>14.254166666666677</v>
      </c>
      <c r="F67" s="3">
        <f>'Monthly Data'!CU67</f>
        <v>181.67499999999995</v>
      </c>
      <c r="G67" s="3">
        <f>'Monthly Data'!EM67</f>
        <v>18.033333333333339</v>
      </c>
      <c r="H67" s="3">
        <f>'Monthly Data'!ET67</f>
        <v>90.837499999999977</v>
      </c>
      <c r="I67" s="3">
        <f>'Monthly Data'!EG67</f>
        <v>0</v>
      </c>
      <c r="J67">
        <f>'Monthly Data'!EH67</f>
        <v>66</v>
      </c>
      <c r="K67" s="3">
        <f>'Monthly Data'!DQ67</f>
        <v>30</v>
      </c>
      <c r="M67" s="3">
        <f t="shared" si="26"/>
        <v>-5660024.0454457896</v>
      </c>
      <c r="N67" s="3">
        <f t="shared" si="27"/>
        <v>203355.61423748758</v>
      </c>
      <c r="O67" s="3">
        <f t="shared" si="28"/>
        <v>16600982.113096131</v>
      </c>
      <c r="P67" s="3">
        <f t="shared" si="29"/>
        <v>85633.871593512929</v>
      </c>
      <c r="Q67" s="3">
        <f t="shared" si="30"/>
        <v>1110052.3768699574</v>
      </c>
      <c r="R67" s="3">
        <f t="shared" si="31"/>
        <v>0</v>
      </c>
      <c r="S67" s="3">
        <f t="shared" si="32"/>
        <v>3128007.330242896</v>
      </c>
      <c r="T67" s="3">
        <f t="shared" si="33"/>
        <v>24121570.877002168</v>
      </c>
      <c r="U67" s="47">
        <f t="shared" si="23"/>
        <v>39589578.137596361</v>
      </c>
      <c r="V67" s="47">
        <f ca="1">'Monthly Data'!BF67+'Monthly Data'!BG67</f>
        <v>110015.66399828768</v>
      </c>
      <c r="W67" s="47">
        <f t="shared" ca="1" si="24"/>
        <v>39699593.801594652</v>
      </c>
      <c r="X67" s="47">
        <f t="shared" ca="1" si="25"/>
        <v>920316.14283651859</v>
      </c>
      <c r="Y67" s="18">
        <f t="shared" ca="1" si="22"/>
        <v>2.373216311389104E-2</v>
      </c>
    </row>
    <row r="68" spans="1:25">
      <c r="A68" s="2">
        <f>'Monthly Data'!A68</f>
        <v>44378</v>
      </c>
      <c r="B68">
        <f>'Monthly Data'!B68</f>
        <v>2021</v>
      </c>
      <c r="C68">
        <f>'Monthly Data'!C68</f>
        <v>7</v>
      </c>
      <c r="D68" s="3">
        <f ca="1">'Monthly Data'!BE68</f>
        <v>40741425.086318761</v>
      </c>
      <c r="E68" s="3">
        <f>'Monthly Data'!CP68</f>
        <v>5.3541666666666572</v>
      </c>
      <c r="F68" s="3">
        <f>'Monthly Data'!CU68</f>
        <v>192.87499999999994</v>
      </c>
      <c r="G68" s="3">
        <f>'Monthly Data'!EM68</f>
        <v>12.758333333333335</v>
      </c>
      <c r="H68" s="3">
        <f>'Monthly Data'!ET68</f>
        <v>96.437499999999972</v>
      </c>
      <c r="I68" s="3">
        <f>'Monthly Data'!EG68</f>
        <v>0</v>
      </c>
      <c r="J68">
        <f>'Monthly Data'!EH68</f>
        <v>67</v>
      </c>
      <c r="K68" s="3">
        <f>'Monthly Data'!DQ68</f>
        <v>31</v>
      </c>
      <c r="M68" s="3">
        <f t="shared" si="26"/>
        <v>-5660024.0454457896</v>
      </c>
      <c r="N68" s="3">
        <f t="shared" si="27"/>
        <v>76384.672404317709</v>
      </c>
      <c r="O68" s="3">
        <f t="shared" si="28"/>
        <v>17624408.559589464</v>
      </c>
      <c r="P68" s="3">
        <f t="shared" si="29"/>
        <v>60584.776991528772</v>
      </c>
      <c r="Q68" s="3">
        <f t="shared" si="30"/>
        <v>1178485.4943651743</v>
      </c>
      <c r="R68" s="3">
        <f t="shared" si="31"/>
        <v>0</v>
      </c>
      <c r="S68" s="3">
        <f t="shared" si="32"/>
        <v>3175401.3807011219</v>
      </c>
      <c r="T68" s="3">
        <f t="shared" si="33"/>
        <v>24925623.239568908</v>
      </c>
      <c r="U68" s="47">
        <f t="shared" si="23"/>
        <v>41380864.078174725</v>
      </c>
      <c r="V68" s="47">
        <f ca="1">'Monthly Data'!BF68+'Monthly Data'!BG68</f>
        <v>107764.53678587147</v>
      </c>
      <c r="W68" s="47">
        <f t="shared" ca="1" si="24"/>
        <v>41488628.614960596</v>
      </c>
      <c r="X68" s="47">
        <f t="shared" ca="1" si="25"/>
        <v>747203.52864183486</v>
      </c>
      <c r="Y68" s="18">
        <f t="shared" ca="1" si="22"/>
        <v>1.8340142178599216E-2</v>
      </c>
    </row>
    <row r="69" spans="1:25">
      <c r="A69" s="2">
        <f>'Monthly Data'!A69</f>
        <v>44409</v>
      </c>
      <c r="B69">
        <f>'Monthly Data'!B69</f>
        <v>2021</v>
      </c>
      <c r="C69">
        <f>'Monthly Data'!C69</f>
        <v>8</v>
      </c>
      <c r="D69" s="3">
        <f ca="1">'Monthly Data'!BE69</f>
        <v>48235165.982398331</v>
      </c>
      <c r="E69" s="3">
        <f>'Monthly Data'!CP69</f>
        <v>0.69166666666666643</v>
      </c>
      <c r="F69" s="3">
        <f>'Monthly Data'!CU69</f>
        <v>266.0625</v>
      </c>
      <c r="G69" s="3">
        <f>'Monthly Data'!EM69</f>
        <v>4.2624999999999975</v>
      </c>
      <c r="H69" s="3">
        <f>'Monthly Data'!ET69</f>
        <v>133.03125</v>
      </c>
      <c r="I69" s="3">
        <f>'Monthly Data'!EG69</f>
        <v>0</v>
      </c>
      <c r="J69">
        <f>'Monthly Data'!EH69</f>
        <v>68</v>
      </c>
      <c r="K69" s="3">
        <f>'Monthly Data'!DQ69</f>
        <v>31</v>
      </c>
      <c r="M69" s="3">
        <f t="shared" si="26"/>
        <v>-5660024.0454457896</v>
      </c>
      <c r="N69" s="3">
        <f t="shared" si="27"/>
        <v>9867.5919214916412</v>
      </c>
      <c r="O69" s="3">
        <f t="shared" si="28"/>
        <v>24312089.189297594</v>
      </c>
      <c r="P69" s="3">
        <f t="shared" si="29"/>
        <v>20241.093031461103</v>
      </c>
      <c r="Q69" s="3">
        <f t="shared" si="30"/>
        <v>1625668.4217474232</v>
      </c>
      <c r="R69" s="3">
        <f t="shared" si="31"/>
        <v>0</v>
      </c>
      <c r="S69" s="3">
        <f t="shared" si="32"/>
        <v>3222795.4311593473</v>
      </c>
      <c r="T69" s="3">
        <f t="shared" si="33"/>
        <v>24925623.239568908</v>
      </c>
      <c r="U69" s="47">
        <f t="shared" si="23"/>
        <v>48456260.921280436</v>
      </c>
      <c r="V69" s="47">
        <f ca="1">'Monthly Data'!BF69+'Monthly Data'!BG69</f>
        <v>108160.27002128569</v>
      </c>
      <c r="W69" s="47">
        <f t="shared" ca="1" si="24"/>
        <v>48564421.191301718</v>
      </c>
      <c r="X69" s="47">
        <f t="shared" ca="1" si="25"/>
        <v>329255.20890338719</v>
      </c>
      <c r="Y69" s="18">
        <f t="shared" ca="1" si="22"/>
        <v>6.826040756727921E-3</v>
      </c>
    </row>
    <row r="70" spans="1:25">
      <c r="A70" s="2">
        <f>'Monthly Data'!A70</f>
        <v>44440</v>
      </c>
      <c r="B70">
        <f>'Monthly Data'!B70</f>
        <v>2021</v>
      </c>
      <c r="C70">
        <f>'Monthly Data'!C70</f>
        <v>9</v>
      </c>
      <c r="D70" s="3">
        <f ca="1">'Monthly Data'!BE70</f>
        <v>31476609.199991003</v>
      </c>
      <c r="E70" s="3">
        <f>'Monthly Data'!CP70</f>
        <v>45.679166666666674</v>
      </c>
      <c r="F70" s="3">
        <f>'Monthly Data'!CU70</f>
        <v>95.25833333333334</v>
      </c>
      <c r="G70" s="3">
        <f>'Monthly Data'!EM70</f>
        <v>46.552083333333336</v>
      </c>
      <c r="H70" s="3">
        <f>'Monthly Data'!ET70</f>
        <v>47.62916666666667</v>
      </c>
      <c r="I70" s="3">
        <f>'Monthly Data'!EG70</f>
        <v>1</v>
      </c>
      <c r="J70">
        <f>'Monthly Data'!EH70</f>
        <v>69</v>
      </c>
      <c r="K70" s="3">
        <f>'Monthly Data'!DQ70</f>
        <v>30</v>
      </c>
      <c r="M70" s="3">
        <f t="shared" si="26"/>
        <v>-5660024.0454457896</v>
      </c>
      <c r="N70" s="3">
        <f t="shared" si="27"/>
        <v>651677.1700922465</v>
      </c>
      <c r="O70" s="3">
        <f t="shared" si="28"/>
        <v>8704455.1412688382</v>
      </c>
      <c r="P70" s="3">
        <f t="shared" si="29"/>
        <v>221059.24916324468</v>
      </c>
      <c r="Q70" s="3">
        <f t="shared" si="30"/>
        <v>582037.92119629774</v>
      </c>
      <c r="R70" s="3">
        <f t="shared" si="31"/>
        <v>-701201.51304507197</v>
      </c>
      <c r="S70" s="3">
        <f t="shared" si="32"/>
        <v>3270189.4816175732</v>
      </c>
      <c r="T70" s="3">
        <f t="shared" si="33"/>
        <v>24121570.877002168</v>
      </c>
      <c r="U70" s="47">
        <f t="shared" si="23"/>
        <v>31189764.281849507</v>
      </c>
      <c r="V70" s="47">
        <f ca="1">'Monthly Data'!BF70+'Monthly Data'!BG70</f>
        <v>139568.77522950916</v>
      </c>
      <c r="W70" s="47">
        <f t="shared" ca="1" si="24"/>
        <v>31329333.057079017</v>
      </c>
      <c r="X70" s="47">
        <f t="shared" ca="1" si="25"/>
        <v>-147276.14291198552</v>
      </c>
      <c r="Y70" s="18">
        <f t="shared" ca="1" si="22"/>
        <v>4.6789075016386329E-3</v>
      </c>
    </row>
    <row r="71" spans="1:25">
      <c r="A71" s="2">
        <f>'Monthly Data'!A71</f>
        <v>44470</v>
      </c>
      <c r="B71">
        <f>'Monthly Data'!B71</f>
        <v>2021</v>
      </c>
      <c r="C71">
        <f>'Monthly Data'!C71</f>
        <v>10</v>
      </c>
      <c r="D71" s="3">
        <f ca="1">'Monthly Data'!BE71</f>
        <v>28074339.642655801</v>
      </c>
      <c r="E71" s="3">
        <f>'Monthly Data'!CP71</f>
        <v>153.47499999999997</v>
      </c>
      <c r="F71" s="3">
        <f>'Monthly Data'!CU71</f>
        <v>44.562500000000028</v>
      </c>
      <c r="G71" s="3">
        <f>'Monthly Data'!EM71</f>
        <v>107.09374999999997</v>
      </c>
      <c r="H71" s="3">
        <f>'Monthly Data'!ET71</f>
        <v>22.281250000000014</v>
      </c>
      <c r="I71" s="3">
        <f>'Monthly Data'!EG71</f>
        <v>1</v>
      </c>
      <c r="J71">
        <f>'Monthly Data'!EH71</f>
        <v>70</v>
      </c>
      <c r="K71" s="3">
        <f>'Monthly Data'!DQ71</f>
        <v>31</v>
      </c>
      <c r="M71" s="3">
        <f t="shared" si="26"/>
        <v>-5660024.0454457896</v>
      </c>
      <c r="N71" s="3">
        <f t="shared" si="27"/>
        <v>2189535.426724236</v>
      </c>
      <c r="O71" s="3">
        <f t="shared" si="28"/>
        <v>4072003.6626660079</v>
      </c>
      <c r="P71" s="3">
        <f t="shared" si="29"/>
        <v>508550.04265995027</v>
      </c>
      <c r="Q71" s="3">
        <f t="shared" si="30"/>
        <v>272281.32128398254</v>
      </c>
      <c r="R71" s="3">
        <f t="shared" si="31"/>
        <v>-701201.51304507197</v>
      </c>
      <c r="S71" s="3">
        <f t="shared" si="32"/>
        <v>3317583.5320757991</v>
      </c>
      <c r="T71" s="3">
        <f t="shared" si="33"/>
        <v>24925623.239568908</v>
      </c>
      <c r="U71" s="47">
        <f t="shared" si="23"/>
        <v>28924351.666488022</v>
      </c>
      <c r="V71" s="47">
        <f ca="1">'Monthly Data'!BF71+'Monthly Data'!BG71</f>
        <v>210209.11366349016</v>
      </c>
      <c r="W71" s="47">
        <f t="shared" ca="1" si="24"/>
        <v>29134560.780151512</v>
      </c>
      <c r="X71" s="47">
        <f t="shared" ca="1" si="25"/>
        <v>1060221.1374957114</v>
      </c>
      <c r="Y71" s="18">
        <f t="shared" ca="1" si="22"/>
        <v>3.7764775627520897E-2</v>
      </c>
    </row>
    <row r="72" spans="1:25">
      <c r="A72" s="2">
        <f>'Monthly Data'!A72</f>
        <v>44501</v>
      </c>
      <c r="B72">
        <f>'Monthly Data'!B72</f>
        <v>2021</v>
      </c>
      <c r="C72">
        <f>'Monthly Data'!C72</f>
        <v>11</v>
      </c>
      <c r="D72" s="3">
        <f ca="1">'Monthly Data'!BE72</f>
        <v>28246007.996990778</v>
      </c>
      <c r="E72" s="3">
        <f>'Monthly Data'!CP72</f>
        <v>446.3126035196687</v>
      </c>
      <c r="F72" s="3">
        <f>'Monthly Data'!CU72</f>
        <v>0</v>
      </c>
      <c r="G72" s="3">
        <f>'Monthly Data'!EM72</f>
        <v>253.15630175983441</v>
      </c>
      <c r="H72" s="3">
        <f>'Monthly Data'!ET72</f>
        <v>0</v>
      </c>
      <c r="I72" s="3">
        <f>'Monthly Data'!EG72</f>
        <v>1</v>
      </c>
      <c r="J72">
        <f>'Monthly Data'!EH72</f>
        <v>71</v>
      </c>
      <c r="K72" s="3">
        <f>'Monthly Data'!DQ72</f>
        <v>30</v>
      </c>
      <c r="M72" s="3">
        <f t="shared" si="26"/>
        <v>-5660024.0454457896</v>
      </c>
      <c r="N72" s="3">
        <f t="shared" si="27"/>
        <v>6367273.2158321729</v>
      </c>
      <c r="O72" s="3">
        <f t="shared" si="28"/>
        <v>0</v>
      </c>
      <c r="P72" s="3">
        <f t="shared" si="29"/>
        <v>1202149.0335299592</v>
      </c>
      <c r="Q72" s="3">
        <f t="shared" si="30"/>
        <v>0</v>
      </c>
      <c r="R72" s="3">
        <f t="shared" si="31"/>
        <v>-701201.51304507197</v>
      </c>
      <c r="S72" s="3">
        <f t="shared" si="32"/>
        <v>3364977.5825340245</v>
      </c>
      <c r="T72" s="3">
        <f t="shared" si="33"/>
        <v>24121570.877002168</v>
      </c>
      <c r="U72" s="47">
        <f t="shared" si="23"/>
        <v>28694745.150407463</v>
      </c>
      <c r="V72" s="47">
        <f ca="1">'Monthly Data'!BF72+'Monthly Data'!BG72</f>
        <v>396431.69226330798</v>
      </c>
      <c r="W72" s="47">
        <f t="shared" ca="1" si="24"/>
        <v>29091176.842670772</v>
      </c>
      <c r="X72" s="47">
        <f t="shared" ca="1" si="25"/>
        <v>845168.84567999467</v>
      </c>
      <c r="Y72" s="18">
        <f t="shared" ca="1" si="22"/>
        <v>2.992170949502088E-2</v>
      </c>
    </row>
    <row r="73" spans="1:25">
      <c r="A73" s="2">
        <f>'Monthly Data'!A73</f>
        <v>44531</v>
      </c>
      <c r="B73">
        <f>'Monthly Data'!B73</f>
        <v>2021</v>
      </c>
      <c r="C73">
        <f>'Monthly Data'!C73</f>
        <v>12</v>
      </c>
      <c r="D73" s="3">
        <f ca="1">'Monthly Data'!BE73</f>
        <v>32598413.787024714</v>
      </c>
      <c r="E73" s="3">
        <f>'Monthly Data'!CP73</f>
        <v>533.04583333333346</v>
      </c>
      <c r="F73" s="3">
        <f>'Monthly Data'!CU73</f>
        <v>0</v>
      </c>
      <c r="G73" s="3">
        <f>'Monthly Data'!EM73</f>
        <v>297.52291666666667</v>
      </c>
      <c r="H73" s="3">
        <f>'Monthly Data'!ET73</f>
        <v>0</v>
      </c>
      <c r="I73" s="3">
        <f>'Monthly Data'!EG73</f>
        <v>0</v>
      </c>
      <c r="J73">
        <f>'Monthly Data'!EH73</f>
        <v>72</v>
      </c>
      <c r="K73" s="3">
        <f>'Monthly Data'!DQ73</f>
        <v>31</v>
      </c>
      <c r="M73" s="3">
        <f t="shared" si="26"/>
        <v>-5660024.0454457896</v>
      </c>
      <c r="N73" s="3">
        <f t="shared" si="27"/>
        <v>7604643.9886045046</v>
      </c>
      <c r="O73" s="3">
        <f t="shared" si="28"/>
        <v>0</v>
      </c>
      <c r="P73" s="3">
        <f t="shared" si="29"/>
        <v>1412830.2721974552</v>
      </c>
      <c r="Q73" s="3">
        <f t="shared" si="30"/>
        <v>0</v>
      </c>
      <c r="R73" s="3">
        <f t="shared" si="31"/>
        <v>0</v>
      </c>
      <c r="S73" s="3">
        <f t="shared" si="32"/>
        <v>3412371.6329922504</v>
      </c>
      <c r="T73" s="3">
        <f t="shared" si="33"/>
        <v>24925623.239568908</v>
      </c>
      <c r="U73" s="47">
        <f t="shared" si="23"/>
        <v>31695445.087917328</v>
      </c>
      <c r="V73" s="47">
        <f ca="1">'Monthly Data'!BF73+'Monthly Data'!BG73</f>
        <v>453915.7422761576</v>
      </c>
      <c r="W73" s="47">
        <f t="shared" ca="1" si="24"/>
        <v>32149360.830193486</v>
      </c>
      <c r="X73" s="47">
        <f t="shared" ca="1" si="25"/>
        <v>-449052.95683122799</v>
      </c>
      <c r="Y73" s="18">
        <f t="shared" ca="1" si="22"/>
        <v>1.3775300840250283E-2</v>
      </c>
    </row>
    <row r="74" spans="1:25">
      <c r="A74" s="2">
        <f>'Monthly Data'!A74</f>
        <v>44562</v>
      </c>
      <c r="B74">
        <f>'Monthly Data'!B74</f>
        <v>2022</v>
      </c>
      <c r="C74">
        <f>'Monthly Data'!C74</f>
        <v>1</v>
      </c>
      <c r="D74" s="3">
        <f ca="1">'Monthly Data'!BE74</f>
        <v>35475683.829534754</v>
      </c>
      <c r="E74" s="3">
        <f>'Monthly Data'!CP74</f>
        <v>825.49166666666656</v>
      </c>
      <c r="F74" s="3">
        <f>'Monthly Data'!CU74</f>
        <v>0</v>
      </c>
      <c r="G74" s="3">
        <f>'Monthly Data'!EM74</f>
        <v>221.87291666666664</v>
      </c>
      <c r="H74" s="3">
        <f>'Monthly Data'!ET74</f>
        <v>0</v>
      </c>
      <c r="I74" s="3">
        <f>'Monthly Data'!EG74</f>
        <v>0</v>
      </c>
      <c r="J74">
        <f>'Monthly Data'!EH74</f>
        <v>73</v>
      </c>
      <c r="K74" s="3">
        <f>'Monthly Data'!DQ74</f>
        <v>31</v>
      </c>
      <c r="M74" s="3">
        <f t="shared" si="26"/>
        <v>-5660024.0454457896</v>
      </c>
      <c r="N74" s="3">
        <f t="shared" si="27"/>
        <v>11776792.62832579</v>
      </c>
      <c r="O74" s="3">
        <f t="shared" si="28"/>
        <v>0</v>
      </c>
      <c r="P74" s="3">
        <f t="shared" si="29"/>
        <v>1053595.3894220805</v>
      </c>
      <c r="Q74" s="3">
        <f t="shared" si="30"/>
        <v>0</v>
      </c>
      <c r="R74" s="3">
        <f t="shared" si="31"/>
        <v>0</v>
      </c>
      <c r="S74" s="3">
        <f t="shared" si="32"/>
        <v>3459765.6834504758</v>
      </c>
      <c r="T74" s="3">
        <f t="shared" si="33"/>
        <v>24925623.239568908</v>
      </c>
      <c r="U74" s="47">
        <f t="shared" si="23"/>
        <v>35555752.895321466</v>
      </c>
      <c r="V74" s="47">
        <f ca="1">'Monthly Data'!BF74+'Monthly Data'!BG74</f>
        <v>923106.35538899701</v>
      </c>
      <c r="W74" s="47">
        <f t="shared" ca="1" si="24"/>
        <v>36478859.250710465</v>
      </c>
      <c r="X74" s="47">
        <f t="shared" ca="1" si="25"/>
        <v>1003175.4211757109</v>
      </c>
      <c r="Y74" s="18">
        <f t="shared" ref="Y74:Y97" ca="1" si="34">ABS(X74/D74)</f>
        <v>2.8277831824076977E-2</v>
      </c>
    </row>
    <row r="75" spans="1:25">
      <c r="A75" s="2">
        <f>'Monthly Data'!A75</f>
        <v>44593</v>
      </c>
      <c r="B75">
        <f>'Monthly Data'!B75</f>
        <v>2022</v>
      </c>
      <c r="C75">
        <f>'Monthly Data'!C75</f>
        <v>2</v>
      </c>
      <c r="D75" s="3">
        <f ca="1">'Monthly Data'!BE75</f>
        <v>30208571.870110713</v>
      </c>
      <c r="E75" s="3">
        <f>'Monthly Data'!CP75</f>
        <v>636.84999999999991</v>
      </c>
      <c r="F75" s="3">
        <f>'Monthly Data'!CU75</f>
        <v>0</v>
      </c>
      <c r="G75" s="3">
        <f>'Monthly Data'!EM75</f>
        <v>173.21250000000001</v>
      </c>
      <c r="H75" s="3">
        <f>'Monthly Data'!ET75</f>
        <v>0</v>
      </c>
      <c r="I75" s="3">
        <f>'Monthly Data'!EG75</f>
        <v>0</v>
      </c>
      <c r="J75">
        <f>'Monthly Data'!EH75</f>
        <v>74</v>
      </c>
      <c r="K75" s="3">
        <f>'Monthly Data'!DQ75</f>
        <v>28</v>
      </c>
      <c r="M75" s="3">
        <f t="shared" si="26"/>
        <v>-5660024.0454457896</v>
      </c>
      <c r="N75" s="3">
        <f t="shared" si="27"/>
        <v>9085555.5400510151</v>
      </c>
      <c r="O75" s="3">
        <f t="shared" si="28"/>
        <v>0</v>
      </c>
      <c r="P75" s="3">
        <f t="shared" si="29"/>
        <v>822524.41682391986</v>
      </c>
      <c r="Q75" s="3">
        <f t="shared" si="30"/>
        <v>0</v>
      </c>
      <c r="R75" s="3">
        <f t="shared" si="31"/>
        <v>0</v>
      </c>
      <c r="S75" s="3">
        <f t="shared" si="32"/>
        <v>3507159.7339087017</v>
      </c>
      <c r="T75" s="3">
        <f t="shared" si="33"/>
        <v>22513466.15186869</v>
      </c>
      <c r="U75" s="47">
        <f t="shared" si="23"/>
        <v>30268681.797206536</v>
      </c>
      <c r="V75" s="47">
        <f ca="1">'Monthly Data'!BF75+'Monthly Data'!BG75</f>
        <v>748302.05927000637</v>
      </c>
      <c r="W75" s="47">
        <f t="shared" ca="1" si="24"/>
        <v>31016983.856476542</v>
      </c>
      <c r="X75" s="47">
        <f t="shared" ca="1" si="25"/>
        <v>808411.98636582866</v>
      </c>
      <c r="Y75" s="18">
        <f t="shared" ca="1" si="34"/>
        <v>2.6761013060855626E-2</v>
      </c>
    </row>
    <row r="76" spans="1:25">
      <c r="A76" s="2">
        <f>'Monthly Data'!A76</f>
        <v>44621</v>
      </c>
      <c r="B76">
        <f>'Monthly Data'!B76</f>
        <v>2022</v>
      </c>
      <c r="C76">
        <f>'Monthly Data'!C76</f>
        <v>3</v>
      </c>
      <c r="D76" s="3">
        <f ca="1">'Monthly Data'!BE76</f>
        <v>30581481.262140367</v>
      </c>
      <c r="E76" s="3">
        <f>'Monthly Data'!CP76</f>
        <v>544.7208333333333</v>
      </c>
      <c r="F76" s="3">
        <f>'Monthly Data'!CU76</f>
        <v>0</v>
      </c>
      <c r="G76" s="3">
        <f>'Monthly Data'!EM76</f>
        <v>151.68020833333333</v>
      </c>
      <c r="H76" s="3">
        <f>'Monthly Data'!ET76</f>
        <v>0</v>
      </c>
      <c r="I76" s="3">
        <f>'Monthly Data'!EG76</f>
        <v>1</v>
      </c>
      <c r="J76">
        <f>'Monthly Data'!EH76</f>
        <v>75</v>
      </c>
      <c r="K76" s="3">
        <f>'Monthly Data'!DQ76</f>
        <v>31</v>
      </c>
      <c r="M76" s="3">
        <f t="shared" si="26"/>
        <v>-5660024.0454457896</v>
      </c>
      <c r="N76" s="3">
        <f t="shared" si="27"/>
        <v>7771204.1847732952</v>
      </c>
      <c r="O76" s="3">
        <f t="shared" si="28"/>
        <v>0</v>
      </c>
      <c r="P76" s="3">
        <f t="shared" si="29"/>
        <v>720275.23939153156</v>
      </c>
      <c r="Q76" s="3">
        <f t="shared" si="30"/>
        <v>0</v>
      </c>
      <c r="R76" s="3">
        <f t="shared" si="31"/>
        <v>-701201.51304507197</v>
      </c>
      <c r="S76" s="3">
        <f t="shared" si="32"/>
        <v>3554553.7843669276</v>
      </c>
      <c r="T76" s="3">
        <f t="shared" si="33"/>
        <v>24925623.239568908</v>
      </c>
      <c r="U76" s="47">
        <f t="shared" si="23"/>
        <v>30610430.889609799</v>
      </c>
      <c r="V76" s="47">
        <f ca="1">'Monthly Data'!BF76+'Monthly Data'!BG76</f>
        <v>666156.81631407968</v>
      </c>
      <c r="W76" s="47">
        <f t="shared" ca="1" si="24"/>
        <v>31276587.705923878</v>
      </c>
      <c r="X76" s="47">
        <f t="shared" ca="1" si="25"/>
        <v>695106.44378351048</v>
      </c>
      <c r="Y76" s="18">
        <f t="shared" ca="1" si="34"/>
        <v>2.2729652557544579E-2</v>
      </c>
    </row>
    <row r="77" spans="1:25">
      <c r="A77" s="2">
        <f>'Monthly Data'!A77</f>
        <v>44652</v>
      </c>
      <c r="B77">
        <f>'Monthly Data'!B77</f>
        <v>2022</v>
      </c>
      <c r="C77">
        <f>'Monthly Data'!C77</f>
        <v>4</v>
      </c>
      <c r="D77" s="3">
        <f ca="1">'Monthly Data'!BE77</f>
        <v>27060335.304275431</v>
      </c>
      <c r="E77" s="3">
        <f>'Monthly Data'!CP77</f>
        <v>354.33333333333331</v>
      </c>
      <c r="F77" s="3">
        <f>'Monthly Data'!CU77</f>
        <v>0</v>
      </c>
      <c r="G77" s="3">
        <f>'Monthly Data'!EM77</f>
        <v>103.58333333333333</v>
      </c>
      <c r="H77" s="3">
        <f>'Monthly Data'!ET77</f>
        <v>0</v>
      </c>
      <c r="I77" s="3">
        <f>'Monthly Data'!EG77</f>
        <v>1</v>
      </c>
      <c r="J77">
        <f>'Monthly Data'!EH77</f>
        <v>76</v>
      </c>
      <c r="K77" s="3">
        <f>'Monthly Data'!DQ77</f>
        <v>30</v>
      </c>
      <c r="M77" s="3">
        <f t="shared" si="26"/>
        <v>-5660024.0454457896</v>
      </c>
      <c r="N77" s="3">
        <f t="shared" si="27"/>
        <v>5055060.3433954781</v>
      </c>
      <c r="O77" s="3">
        <f t="shared" si="28"/>
        <v>0</v>
      </c>
      <c r="P77" s="3">
        <f t="shared" si="29"/>
        <v>491880.32528066786</v>
      </c>
      <c r="Q77" s="3">
        <f t="shared" si="30"/>
        <v>0</v>
      </c>
      <c r="R77" s="3">
        <f t="shared" si="31"/>
        <v>-701201.51304507197</v>
      </c>
      <c r="S77" s="3">
        <f t="shared" si="32"/>
        <v>3601947.834825153</v>
      </c>
      <c r="T77" s="3">
        <f t="shared" si="33"/>
        <v>24121570.877002168</v>
      </c>
      <c r="U77" s="47">
        <f t="shared" si="23"/>
        <v>26909233.822012607</v>
      </c>
      <c r="V77" s="47">
        <f ca="1">'Monthly Data'!BF77+'Monthly Data'!BG77</f>
        <v>489676.39260905411</v>
      </c>
      <c r="W77" s="47">
        <f t="shared" ca="1" si="24"/>
        <v>27398910.214621659</v>
      </c>
      <c r="X77" s="47">
        <f t="shared" ca="1" si="25"/>
        <v>338574.91034622863</v>
      </c>
      <c r="Y77" s="18">
        <f t="shared" ca="1" si="34"/>
        <v>1.2511851998106433E-2</v>
      </c>
    </row>
    <row r="78" spans="1:25">
      <c r="A78" s="2">
        <f>'Monthly Data'!A78</f>
        <v>44682</v>
      </c>
      <c r="B78">
        <f>'Monthly Data'!B78</f>
        <v>2022</v>
      </c>
      <c r="C78">
        <f>'Monthly Data'!C78</f>
        <v>5</v>
      </c>
      <c r="D78" s="3">
        <f ca="1">'Monthly Data'!BE78</f>
        <v>29424882.43980021</v>
      </c>
      <c r="E78" s="3">
        <f>'Monthly Data'!CP78</f>
        <v>109.50833333333333</v>
      </c>
      <c r="F78" s="3">
        <f>'Monthly Data'!CU78</f>
        <v>72.362499999999997</v>
      </c>
      <c r="G78" s="3">
        <f>'Monthly Data'!EM78</f>
        <v>39.744791666666671</v>
      </c>
      <c r="H78" s="3">
        <f>'Monthly Data'!ET78</f>
        <v>18.090624999999999</v>
      </c>
      <c r="I78" s="3">
        <f>'Monthly Data'!EG78</f>
        <v>1</v>
      </c>
      <c r="J78">
        <f>'Monthly Data'!EH78</f>
        <v>77</v>
      </c>
      <c r="K78" s="3">
        <f>'Monthly Data'!DQ78</f>
        <v>31</v>
      </c>
      <c r="M78" s="3">
        <f t="shared" si="26"/>
        <v>-5660024.0454457896</v>
      </c>
      <c r="N78" s="3">
        <f t="shared" si="27"/>
        <v>1562289.4631364059</v>
      </c>
      <c r="O78" s="3">
        <f t="shared" si="28"/>
        <v>6612294.3066405337</v>
      </c>
      <c r="P78" s="3">
        <f t="shared" si="29"/>
        <v>188733.8476577221</v>
      </c>
      <c r="Q78" s="3">
        <f t="shared" si="30"/>
        <v>221071.0475333764</v>
      </c>
      <c r="R78" s="3">
        <f t="shared" si="31"/>
        <v>-701201.51304507197</v>
      </c>
      <c r="S78" s="3">
        <f t="shared" si="32"/>
        <v>3649341.8852833789</v>
      </c>
      <c r="T78" s="3">
        <f t="shared" si="33"/>
        <v>24925623.239568908</v>
      </c>
      <c r="U78" s="47">
        <f t="shared" si="23"/>
        <v>30798128.231329463</v>
      </c>
      <c r="V78" s="47">
        <f ca="1">'Monthly Data'!BF78+'Monthly Data'!BG78</f>
        <v>260931.99059485283</v>
      </c>
      <c r="W78" s="47">
        <f t="shared" ca="1" si="24"/>
        <v>31059060.221924316</v>
      </c>
      <c r="X78" s="47">
        <f t="shared" ca="1" si="25"/>
        <v>1634177.7821241058</v>
      </c>
      <c r="Y78" s="18">
        <f t="shared" ca="1" si="34"/>
        <v>5.5537274803644093E-2</v>
      </c>
    </row>
    <row r="79" spans="1:25">
      <c r="A79" s="2">
        <f>'Monthly Data'!A79</f>
        <v>44713</v>
      </c>
      <c r="B79">
        <f>'Monthly Data'!B79</f>
        <v>2022</v>
      </c>
      <c r="C79">
        <f>'Monthly Data'!C79</f>
        <v>6</v>
      </c>
      <c r="D79" s="3">
        <f ca="1">'Monthly Data'!BE79</f>
        <v>34530277.871671163</v>
      </c>
      <c r="E79" s="3">
        <f>'Monthly Data'!CP79</f>
        <v>36.166510989010987</v>
      </c>
      <c r="F79" s="3">
        <f>'Monthly Data'!CU79</f>
        <v>120.92250416250417</v>
      </c>
      <c r="G79" s="3">
        <f>'Monthly Data'!EM79</f>
        <v>18.882252747252753</v>
      </c>
      <c r="H79" s="3">
        <f>'Monthly Data'!ET79</f>
        <v>30.230626040626042</v>
      </c>
      <c r="I79" s="3">
        <f>'Monthly Data'!EG79</f>
        <v>0</v>
      </c>
      <c r="J79">
        <f>'Monthly Data'!EH79</f>
        <v>78</v>
      </c>
      <c r="K79" s="3">
        <f>'Monthly Data'!DQ79</f>
        <v>30</v>
      </c>
      <c r="M79" s="3">
        <f t="shared" si="26"/>
        <v>-5660024.0454457896</v>
      </c>
      <c r="N79" s="3">
        <f t="shared" si="27"/>
        <v>515965.83854993293</v>
      </c>
      <c r="O79" s="3">
        <f t="shared" si="28"/>
        <v>11049579.351438142</v>
      </c>
      <c r="P79" s="3">
        <f t="shared" si="29"/>
        <v>89665.087272892706</v>
      </c>
      <c r="Q79" s="3">
        <f t="shared" si="30"/>
        <v>369424.28282002232</v>
      </c>
      <c r="R79" s="3">
        <f t="shared" si="31"/>
        <v>0</v>
      </c>
      <c r="S79" s="3">
        <f t="shared" si="32"/>
        <v>3696735.9357416043</v>
      </c>
      <c r="T79" s="3">
        <f t="shared" si="33"/>
        <v>24121570.877002168</v>
      </c>
      <c r="U79" s="47">
        <f t="shared" si="23"/>
        <v>34182917.327378973</v>
      </c>
      <c r="V79" s="47">
        <f ca="1">'Monthly Data'!BF79+'Monthly Data'!BG79</f>
        <v>196823.97117325489</v>
      </c>
      <c r="W79" s="47">
        <f t="shared" ca="1" si="24"/>
        <v>34379741.29855223</v>
      </c>
      <c r="X79" s="47">
        <f t="shared" ca="1" si="25"/>
        <v>-150536.57311893255</v>
      </c>
      <c r="Y79" s="18">
        <f t="shared" ca="1" si="34"/>
        <v>4.3595529024813787E-3</v>
      </c>
    </row>
    <row r="80" spans="1:25">
      <c r="A80" s="2">
        <f>'Monthly Data'!A80</f>
        <v>44743</v>
      </c>
      <c r="B80">
        <f>'Monthly Data'!B80</f>
        <v>2022</v>
      </c>
      <c r="C80">
        <f>'Monthly Data'!C80</f>
        <v>7</v>
      </c>
      <c r="D80" s="3">
        <f ca="1">'Monthly Data'!BE80</f>
        <v>43594410.740580678</v>
      </c>
      <c r="E80" s="3">
        <f>'Monthly Data'!CP80</f>
        <v>0.62083333333333357</v>
      </c>
      <c r="F80" s="3">
        <f>'Monthly Data'!CU80</f>
        <v>221.8543382913806</v>
      </c>
      <c r="G80" s="3">
        <f>'Monthly Data'!EM80</f>
        <v>2.2486413043478271</v>
      </c>
      <c r="H80" s="3">
        <f>'Monthly Data'!ET80</f>
        <v>55.46358457284515</v>
      </c>
      <c r="I80" s="3">
        <f>'Monthly Data'!EG80</f>
        <v>0</v>
      </c>
      <c r="J80">
        <f>'Monthly Data'!EH80</f>
        <v>79</v>
      </c>
      <c r="K80" s="3">
        <f>'Monthly Data'!DQ80</f>
        <v>31</v>
      </c>
      <c r="M80" s="3">
        <f t="shared" si="26"/>
        <v>-5660024.0454457896</v>
      </c>
      <c r="N80" s="3">
        <f t="shared" si="27"/>
        <v>8857.0553994111779</v>
      </c>
      <c r="O80" s="3">
        <f t="shared" si="28"/>
        <v>20272464.024703391</v>
      </c>
      <c r="P80" s="3">
        <f t="shared" si="29"/>
        <v>10677.995973182506</v>
      </c>
      <c r="Q80" s="3">
        <f t="shared" si="30"/>
        <v>677776.07138918049</v>
      </c>
      <c r="R80" s="3">
        <f t="shared" si="31"/>
        <v>0</v>
      </c>
      <c r="S80" s="3">
        <f t="shared" si="32"/>
        <v>3744129.9861998302</v>
      </c>
      <c r="T80" s="3">
        <f t="shared" si="33"/>
        <v>24925623.239568908</v>
      </c>
      <c r="U80" s="47">
        <f t="shared" si="23"/>
        <v>43979504.327788115</v>
      </c>
      <c r="V80" s="47">
        <f ca="1">'Monthly Data'!BF80+'Monthly Data'!BG80</f>
        <v>169003.01280658762</v>
      </c>
      <c r="W80" s="47">
        <f t="shared" ca="1" si="24"/>
        <v>44148507.340594701</v>
      </c>
      <c r="X80" s="47">
        <f t="shared" ca="1" si="25"/>
        <v>554096.60001402348</v>
      </c>
      <c r="Y80" s="18">
        <f t="shared" ca="1" si="34"/>
        <v>1.2710266995264882E-2</v>
      </c>
    </row>
    <row r="81" spans="1:25">
      <c r="A81" s="2">
        <f>'Monthly Data'!A81</f>
        <v>44774</v>
      </c>
      <c r="B81">
        <f>'Monthly Data'!B81</f>
        <v>2022</v>
      </c>
      <c r="C81">
        <f>'Monthly Data'!C81</f>
        <v>8</v>
      </c>
      <c r="D81" s="3">
        <f ca="1">'Monthly Data'!BE81</f>
        <v>44691814.183758497</v>
      </c>
      <c r="E81" s="3">
        <f>'Monthly Data'!CP81</f>
        <v>0.76250000000000284</v>
      </c>
      <c r="F81" s="3">
        <f>'Monthly Data'!CU81</f>
        <v>228.28333333333333</v>
      </c>
      <c r="G81" s="3">
        <f>'Monthly Data'!EM81</f>
        <v>1.8479166666666691</v>
      </c>
      <c r="H81" s="3">
        <f>'Monthly Data'!ET81</f>
        <v>57.070833333333333</v>
      </c>
      <c r="I81" s="3">
        <f>'Monthly Data'!EG81</f>
        <v>0</v>
      </c>
      <c r="J81">
        <f>'Monthly Data'!EH81</f>
        <v>80</v>
      </c>
      <c r="K81" s="3">
        <f>'Monthly Data'!DQ81</f>
        <v>31</v>
      </c>
      <c r="M81" s="3">
        <f t="shared" si="26"/>
        <v>-5660024.0454457896</v>
      </c>
      <c r="N81" s="3">
        <f t="shared" si="27"/>
        <v>10878.128443572154</v>
      </c>
      <c r="O81" s="3">
        <f t="shared" si="28"/>
        <v>20859928.627409548</v>
      </c>
      <c r="P81" s="3">
        <f t="shared" si="29"/>
        <v>8775.0975165718628</v>
      </c>
      <c r="Q81" s="3">
        <f t="shared" si="30"/>
        <v>697416.97197320359</v>
      </c>
      <c r="R81" s="3">
        <f t="shared" si="31"/>
        <v>0</v>
      </c>
      <c r="S81" s="3">
        <f t="shared" si="32"/>
        <v>3791524.0366580561</v>
      </c>
      <c r="T81" s="3">
        <f t="shared" si="33"/>
        <v>24925623.239568908</v>
      </c>
      <c r="U81" s="47">
        <f t="shared" si="23"/>
        <v>44634122.056124069</v>
      </c>
      <c r="V81" s="47">
        <f ca="1">'Monthly Data'!BF81+'Monthly Data'!BG81</f>
        <v>175444.51303142589</v>
      </c>
      <c r="W81" s="47">
        <f t="shared" ca="1" si="24"/>
        <v>44809566.569155492</v>
      </c>
      <c r="X81" s="47">
        <f t="shared" ca="1" si="25"/>
        <v>117752.38539699465</v>
      </c>
      <c r="Y81" s="18">
        <f t="shared" ca="1" si="34"/>
        <v>2.634764051260805E-3</v>
      </c>
    </row>
    <row r="82" spans="1:25">
      <c r="A82" s="2">
        <f>'Monthly Data'!A82</f>
        <v>44805</v>
      </c>
      <c r="B82">
        <f>'Monthly Data'!B82</f>
        <v>2022</v>
      </c>
      <c r="C82">
        <f>'Monthly Data'!C82</f>
        <v>9</v>
      </c>
      <c r="D82" s="3">
        <f ca="1">'Monthly Data'!BE82</f>
        <v>32256765.82815098</v>
      </c>
      <c r="E82" s="3">
        <f>'Monthly Data'!CP82</f>
        <v>71.412499999999994</v>
      </c>
      <c r="F82" s="3">
        <f>'Monthly Data'!CU82</f>
        <v>94.054166666666674</v>
      </c>
      <c r="G82" s="3">
        <f>'Monthly Data'!EM82</f>
        <v>27.947916666666664</v>
      </c>
      <c r="H82" s="3">
        <f>'Monthly Data'!ET82</f>
        <v>23.513541666666669</v>
      </c>
      <c r="I82" s="3">
        <f>'Monthly Data'!EG82</f>
        <v>1</v>
      </c>
      <c r="J82">
        <f>'Monthly Data'!EH82</f>
        <v>81</v>
      </c>
      <c r="K82" s="3">
        <f>'Monthly Data'!DQ82</f>
        <v>30</v>
      </c>
      <c r="M82" s="3">
        <f t="shared" si="26"/>
        <v>-5660024.0454457896</v>
      </c>
      <c r="N82" s="3">
        <f t="shared" si="27"/>
        <v>1018799.144231598</v>
      </c>
      <c r="O82" s="3">
        <f t="shared" si="28"/>
        <v>8594421.5687105879</v>
      </c>
      <c r="P82" s="3">
        <f t="shared" si="29"/>
        <v>132714.69355672083</v>
      </c>
      <c r="Q82" s="3">
        <f t="shared" si="30"/>
        <v>287340.17135779961</v>
      </c>
      <c r="R82" s="3">
        <f t="shared" si="31"/>
        <v>-701201.51304507197</v>
      </c>
      <c r="S82" s="3">
        <f t="shared" si="32"/>
        <v>3838918.0871162815</v>
      </c>
      <c r="T82" s="3">
        <f t="shared" si="33"/>
        <v>24121570.877002168</v>
      </c>
      <c r="U82" s="47">
        <f t="shared" si="23"/>
        <v>31632538.983484294</v>
      </c>
      <c r="V82" s="47">
        <f ca="1">'Monthly Data'!BF82+'Monthly Data'!BG82</f>
        <v>249579.16602686263</v>
      </c>
      <c r="W82" s="47">
        <f t="shared" ca="1" si="24"/>
        <v>31882118.149511158</v>
      </c>
      <c r="X82" s="47">
        <f t="shared" ca="1" si="25"/>
        <v>-374647.67863982171</v>
      </c>
      <c r="Y82" s="18">
        <f t="shared" ca="1" si="34"/>
        <v>1.1614545631628725E-2</v>
      </c>
    </row>
    <row r="83" spans="1:25">
      <c r="A83" s="2">
        <f>'Monthly Data'!A83</f>
        <v>44835</v>
      </c>
      <c r="B83">
        <f>'Monthly Data'!B83</f>
        <v>2022</v>
      </c>
      <c r="C83">
        <f>'Monthly Data'!C83</f>
        <v>10</v>
      </c>
      <c r="D83" s="3">
        <f ca="1">'Monthly Data'!BE83</f>
        <v>27267174.522275336</v>
      </c>
      <c r="E83" s="3">
        <f>'Monthly Data'!CP83</f>
        <v>268.85561594202898</v>
      </c>
      <c r="F83" s="3">
        <f>'Monthly Data'!CU83</f>
        <v>2.4208333333333307</v>
      </c>
      <c r="G83" s="3">
        <f>'Monthly Data'!EM83</f>
        <v>82.713903985507258</v>
      </c>
      <c r="H83" s="3">
        <f>'Monthly Data'!ET83</f>
        <v>0.60520833333333268</v>
      </c>
      <c r="I83" s="3">
        <f>'Monthly Data'!EG83</f>
        <v>1</v>
      </c>
      <c r="J83">
        <f>'Monthly Data'!EH83</f>
        <v>82</v>
      </c>
      <c r="K83" s="3">
        <f>'Monthly Data'!DQ83</f>
        <v>31</v>
      </c>
      <c r="M83" s="3">
        <f t="shared" si="26"/>
        <v>-5660024.0454457896</v>
      </c>
      <c r="N83" s="3">
        <f t="shared" si="27"/>
        <v>3835601.2104827352</v>
      </c>
      <c r="O83" s="3">
        <f t="shared" si="28"/>
        <v>221209.36213267382</v>
      </c>
      <c r="P83" s="3">
        <f t="shared" si="29"/>
        <v>392778.84470756468</v>
      </c>
      <c r="Q83" s="3">
        <f t="shared" si="30"/>
        <v>7395.7666043007748</v>
      </c>
      <c r="R83" s="3">
        <f t="shared" si="31"/>
        <v>-701201.51304507197</v>
      </c>
      <c r="S83" s="3">
        <f t="shared" si="32"/>
        <v>3886312.1375745074</v>
      </c>
      <c r="T83" s="3">
        <f t="shared" si="33"/>
        <v>24925623.239568908</v>
      </c>
      <c r="U83" s="47">
        <f t="shared" si="23"/>
        <v>26907695.002579827</v>
      </c>
      <c r="V83" s="47">
        <f ca="1">'Monthly Data'!BF83+'Monthly Data'!BG83</f>
        <v>445444.47640640015</v>
      </c>
      <c r="W83" s="47">
        <f t="shared" ca="1" si="24"/>
        <v>27353139.478986226</v>
      </c>
      <c r="X83" s="47">
        <f t="shared" ca="1" si="25"/>
        <v>85964.956710889935</v>
      </c>
      <c r="Y83" s="18">
        <f t="shared" ca="1" si="34"/>
        <v>3.1526903031578392E-3</v>
      </c>
    </row>
    <row r="84" spans="1:25">
      <c r="A84" s="2">
        <f>'Monthly Data'!A84</f>
        <v>44866</v>
      </c>
      <c r="B84">
        <f>'Monthly Data'!B84</f>
        <v>2022</v>
      </c>
      <c r="C84">
        <f>'Monthly Data'!C84</f>
        <v>11</v>
      </c>
      <c r="D84" s="3">
        <f ca="1">'Monthly Data'!BE84</f>
        <v>28333844.891644187</v>
      </c>
      <c r="E84" s="3">
        <f>'Monthly Data'!CP84</f>
        <v>411.83333333333348</v>
      </c>
      <c r="F84" s="3">
        <f>'Monthly Data'!CU84</f>
        <v>2.3083333333333318</v>
      </c>
      <c r="G84" s="3">
        <f>'Monthly Data'!EM84</f>
        <v>117.95833333333337</v>
      </c>
      <c r="H84" s="3">
        <f>'Monthly Data'!ET84</f>
        <v>0.57708333333333295</v>
      </c>
      <c r="I84" s="3">
        <f>'Monthly Data'!EG84</f>
        <v>1</v>
      </c>
      <c r="J84">
        <f>'Monthly Data'!EH84</f>
        <v>83</v>
      </c>
      <c r="K84" s="3">
        <f>'Monthly Data'!DQ84</f>
        <v>30</v>
      </c>
      <c r="M84" s="3">
        <f t="shared" si="26"/>
        <v>-5660024.0454457896</v>
      </c>
      <c r="N84" s="3">
        <f t="shared" si="27"/>
        <v>5875378.2260255087</v>
      </c>
      <c r="O84" s="3">
        <f t="shared" si="28"/>
        <v>210929.40898709354</v>
      </c>
      <c r="P84" s="3">
        <f t="shared" si="29"/>
        <v>560142.07597327884</v>
      </c>
      <c r="Q84" s="3">
        <f t="shared" si="30"/>
        <v>7052.0734918806038</v>
      </c>
      <c r="R84" s="3">
        <f t="shared" si="31"/>
        <v>-701201.51304507197</v>
      </c>
      <c r="S84" s="3">
        <f t="shared" si="32"/>
        <v>3933706.1880327328</v>
      </c>
      <c r="T84" s="3">
        <f t="shared" si="33"/>
        <v>24121570.877002168</v>
      </c>
      <c r="U84" s="47">
        <f t="shared" si="23"/>
        <v>28347553.291021802</v>
      </c>
      <c r="V84" s="47">
        <f ca="1">'Monthly Data'!BF84+'Monthly Data'!BG84</f>
        <v>589019.02382923197</v>
      </c>
      <c r="W84" s="47">
        <f t="shared" ca="1" si="24"/>
        <v>28936572.314851034</v>
      </c>
      <c r="X84" s="47">
        <f t="shared" ca="1" si="25"/>
        <v>602727.42320684716</v>
      </c>
      <c r="Y84" s="18">
        <f t="shared" ca="1" si="34"/>
        <v>2.1272348511535578E-2</v>
      </c>
    </row>
    <row r="85" spans="1:25">
      <c r="A85" s="2">
        <f>'Monthly Data'!A85</f>
        <v>44896</v>
      </c>
      <c r="B85">
        <f>'Monthly Data'!B85</f>
        <v>2022</v>
      </c>
      <c r="C85">
        <f>'Monthly Data'!C85</f>
        <v>12</v>
      </c>
      <c r="D85" s="3">
        <f ca="1">'Monthly Data'!BE85</f>
        <v>33485861.190255057</v>
      </c>
      <c r="E85" s="3">
        <f>'Monthly Data'!CP85</f>
        <v>585.12083333333328</v>
      </c>
      <c r="F85" s="3">
        <f>'Monthly Data'!CU85</f>
        <v>0</v>
      </c>
      <c r="G85" s="3">
        <f>'Monthly Data'!EM85</f>
        <v>161.78020833333332</v>
      </c>
      <c r="H85" s="3">
        <f>'Monthly Data'!ET85</f>
        <v>0</v>
      </c>
      <c r="I85" s="3">
        <f>'Monthly Data'!EG85</f>
        <v>0</v>
      </c>
      <c r="J85">
        <f>'Monthly Data'!EH85</f>
        <v>84</v>
      </c>
      <c r="K85" s="3">
        <f>'Monthly Data'!DQ85</f>
        <v>31</v>
      </c>
      <c r="M85" s="3">
        <f t="shared" si="26"/>
        <v>-5660024.0454457896</v>
      </c>
      <c r="N85" s="3">
        <f t="shared" si="27"/>
        <v>8347566.6623081323</v>
      </c>
      <c r="O85" s="3">
        <f t="shared" si="28"/>
        <v>0</v>
      </c>
      <c r="P85" s="3">
        <f t="shared" si="29"/>
        <v>768236.53900860064</v>
      </c>
      <c r="Q85" s="3">
        <f t="shared" si="30"/>
        <v>0</v>
      </c>
      <c r="R85" s="3">
        <f t="shared" si="31"/>
        <v>0</v>
      </c>
      <c r="S85" s="3">
        <f t="shared" si="32"/>
        <v>3981100.2384909587</v>
      </c>
      <c r="T85" s="3">
        <f t="shared" si="33"/>
        <v>24925623.239568908</v>
      </c>
      <c r="U85" s="47">
        <f t="shared" si="23"/>
        <v>32362502.63393081</v>
      </c>
      <c r="V85" s="47">
        <f ca="1">'Monthly Data'!BF85+'Monthly Data'!BG85</f>
        <v>761693.17760460905</v>
      </c>
      <c r="W85" s="47">
        <f t="shared" ca="1" si="24"/>
        <v>33124195.811535418</v>
      </c>
      <c r="X85" s="47">
        <f t="shared" ca="1" si="25"/>
        <v>-361665.37871963903</v>
      </c>
      <c r="Y85" s="18">
        <f t="shared" ca="1" si="34"/>
        <v>1.0800539865610196E-2</v>
      </c>
    </row>
    <row r="86" spans="1:25">
      <c r="A86" s="2">
        <f>'Monthly Data'!A86</f>
        <v>44927</v>
      </c>
      <c r="B86">
        <f>'Monthly Data'!B86</f>
        <v>2023</v>
      </c>
      <c r="C86">
        <f>'Monthly Data'!C86</f>
        <v>1</v>
      </c>
      <c r="D86" s="3">
        <f ca="1">'Monthly Data'!BE86</f>
        <v>32425030.693477109</v>
      </c>
      <c r="E86" s="3">
        <f>'Monthly Data'!CP86</f>
        <v>604.07083333333344</v>
      </c>
      <c r="F86" s="3">
        <f>'Monthly Data'!CU86</f>
        <v>0</v>
      </c>
      <c r="G86" s="3">
        <f>'Monthly Data'!EM86</f>
        <v>0</v>
      </c>
      <c r="H86" s="3">
        <f>'Monthly Data'!ET86</f>
        <v>0</v>
      </c>
      <c r="I86" s="3">
        <f>'Monthly Data'!EG86</f>
        <v>0</v>
      </c>
      <c r="J86">
        <f>'Monthly Data'!EH86</f>
        <v>85</v>
      </c>
      <c r="K86" s="3">
        <f>'Monthly Data'!DQ86</f>
        <v>31</v>
      </c>
      <c r="M86" s="3">
        <f t="shared" si="26"/>
        <v>-5660024.0454457896</v>
      </c>
      <c r="N86" s="3">
        <f t="shared" si="27"/>
        <v>8617914.9036270753</v>
      </c>
      <c r="O86" s="3">
        <f t="shared" si="28"/>
        <v>0</v>
      </c>
      <c r="P86" s="3">
        <f t="shared" si="29"/>
        <v>0</v>
      </c>
      <c r="Q86" s="3">
        <f t="shared" si="30"/>
        <v>0</v>
      </c>
      <c r="R86" s="3">
        <f t="shared" si="31"/>
        <v>0</v>
      </c>
      <c r="S86" s="3">
        <f t="shared" si="32"/>
        <v>4028494.2889491841</v>
      </c>
      <c r="T86" s="3">
        <f t="shared" si="33"/>
        <v>24925623.239568908</v>
      </c>
      <c r="U86" s="47">
        <f t="shared" si="23"/>
        <v>31912008.386699378</v>
      </c>
      <c r="V86" s="47">
        <f ca="1">'Monthly Data'!BF86+'Monthly Data'!BG86</f>
        <v>1015630.9260341626</v>
      </c>
      <c r="W86" s="47">
        <f t="shared" ca="1" si="24"/>
        <v>32927639.312733542</v>
      </c>
      <c r="X86" s="47">
        <f t="shared" ca="1" si="25"/>
        <v>502608.6192564331</v>
      </c>
      <c r="Y86" s="18">
        <f t="shared" ca="1" si="34"/>
        <v>1.5500636653446316E-2</v>
      </c>
    </row>
    <row r="87" spans="1:25">
      <c r="A87" s="2">
        <f>'Monthly Data'!A87</f>
        <v>44958</v>
      </c>
      <c r="B87">
        <f>'Monthly Data'!B87</f>
        <v>2023</v>
      </c>
      <c r="C87">
        <f>'Monthly Data'!C87</f>
        <v>2</v>
      </c>
      <c r="D87" s="3">
        <f ca="1">'Monthly Data'!BE87</f>
        <v>29362111.603566822</v>
      </c>
      <c r="E87" s="3">
        <f>'Monthly Data'!CP87</f>
        <v>573.43333333333328</v>
      </c>
      <c r="F87" s="3">
        <f>'Monthly Data'!CU87</f>
        <v>0</v>
      </c>
      <c r="G87" s="3">
        <f>'Monthly Data'!EM87</f>
        <v>0</v>
      </c>
      <c r="H87" s="3">
        <f>'Monthly Data'!ET87</f>
        <v>0</v>
      </c>
      <c r="I87" s="3">
        <f>'Monthly Data'!EG87</f>
        <v>0</v>
      </c>
      <c r="J87">
        <f>'Monthly Data'!EH87</f>
        <v>86</v>
      </c>
      <c r="K87" s="3">
        <f>'Monthly Data'!DQ87</f>
        <v>28</v>
      </c>
      <c r="M87" s="3">
        <f t="shared" si="26"/>
        <v>-5660024.0454457896</v>
      </c>
      <c r="N87" s="3">
        <f t="shared" si="27"/>
        <v>8180828.1361648552</v>
      </c>
      <c r="O87" s="3">
        <f t="shared" si="28"/>
        <v>0</v>
      </c>
      <c r="P87" s="3">
        <f t="shared" si="29"/>
        <v>0</v>
      </c>
      <c r="Q87" s="3">
        <f t="shared" si="30"/>
        <v>0</v>
      </c>
      <c r="R87" s="3">
        <f t="shared" si="31"/>
        <v>0</v>
      </c>
      <c r="S87" s="3">
        <f t="shared" si="32"/>
        <v>4075888.33940741</v>
      </c>
      <c r="T87" s="3">
        <f t="shared" si="33"/>
        <v>22513466.15186869</v>
      </c>
      <c r="U87" s="47">
        <f t="shared" si="23"/>
        <v>29110158.581995167</v>
      </c>
      <c r="V87" s="47">
        <f ca="1">'Monthly Data'!BF87+'Monthly Data'!BG87</f>
        <v>984013.34032573819</v>
      </c>
      <c r="W87" s="47">
        <f t="shared" ca="1" si="24"/>
        <v>30094171.922320906</v>
      </c>
      <c r="X87" s="47">
        <f t="shared" ca="1" si="25"/>
        <v>732060.31875408441</v>
      </c>
      <c r="Y87" s="18">
        <f t="shared" ca="1" si="34"/>
        <v>2.4932141415372724E-2</v>
      </c>
    </row>
    <row r="88" spans="1:25">
      <c r="A88" s="2">
        <f>'Monthly Data'!A88</f>
        <v>44986</v>
      </c>
      <c r="B88">
        <f>'Monthly Data'!B88</f>
        <v>2023</v>
      </c>
      <c r="C88">
        <f>'Monthly Data'!C88</f>
        <v>3</v>
      </c>
      <c r="D88" s="3">
        <f ca="1">'Monthly Data'!BE88</f>
        <v>30422452.137694888</v>
      </c>
      <c r="E88" s="3">
        <f>'Monthly Data'!CP88</f>
        <v>551.03333333333342</v>
      </c>
      <c r="F88" s="3">
        <f>'Monthly Data'!CU88</f>
        <v>0</v>
      </c>
      <c r="G88" s="3">
        <f>'Monthly Data'!EM88</f>
        <v>0</v>
      </c>
      <c r="H88" s="3">
        <f>'Monthly Data'!ET88</f>
        <v>0</v>
      </c>
      <c r="I88" s="3">
        <f>'Monthly Data'!EG88</f>
        <v>1</v>
      </c>
      <c r="J88">
        <f>'Monthly Data'!EH88</f>
        <v>87</v>
      </c>
      <c r="K88" s="3">
        <f>'Monthly Data'!DQ88</f>
        <v>31</v>
      </c>
      <c r="M88" s="3">
        <f t="shared" si="26"/>
        <v>-5660024.0454457896</v>
      </c>
      <c r="N88" s="3">
        <f t="shared" si="27"/>
        <v>7861260.8218881153</v>
      </c>
      <c r="O88" s="3">
        <f t="shared" si="28"/>
        <v>0</v>
      </c>
      <c r="P88" s="3">
        <f t="shared" si="29"/>
        <v>0</v>
      </c>
      <c r="Q88" s="3">
        <f t="shared" si="30"/>
        <v>0</v>
      </c>
      <c r="R88" s="3">
        <f t="shared" si="31"/>
        <v>-701201.51304507197</v>
      </c>
      <c r="S88" s="3">
        <f t="shared" si="32"/>
        <v>4123282.3898656359</v>
      </c>
      <c r="T88" s="3">
        <f t="shared" si="33"/>
        <v>24925623.239568908</v>
      </c>
      <c r="U88" s="47">
        <f t="shared" si="23"/>
        <v>30548940.892831795</v>
      </c>
      <c r="V88" s="47">
        <f ca="1">'Monthly Data'!BF88+'Monthly Data'!BG88</f>
        <v>963310.70250830799</v>
      </c>
      <c r="W88" s="47">
        <f t="shared" ca="1" si="24"/>
        <v>31512251.595340103</v>
      </c>
      <c r="X88" s="47">
        <f t="shared" ca="1" si="25"/>
        <v>1089799.4576452151</v>
      </c>
      <c r="Y88" s="18">
        <f t="shared" ca="1" si="34"/>
        <v>3.5822209620469773E-2</v>
      </c>
    </row>
    <row r="89" spans="1:25">
      <c r="A89" s="2">
        <f>'Monthly Data'!A89</f>
        <v>45017</v>
      </c>
      <c r="B89">
        <f>'Monthly Data'!B89</f>
        <v>2023</v>
      </c>
      <c r="C89">
        <f>'Monthly Data'!C89</f>
        <v>4</v>
      </c>
      <c r="D89" s="3">
        <f ca="1">'Monthly Data'!BE89</f>
        <v>27186651.748520873</v>
      </c>
      <c r="E89" s="3">
        <f>'Monthly Data'!CP89</f>
        <v>301.39999999999998</v>
      </c>
      <c r="F89" s="3">
        <f>'Monthly Data'!CU89</f>
        <v>11.71666666666667</v>
      </c>
      <c r="G89" s="3">
        <f>'Monthly Data'!EM89</f>
        <v>0</v>
      </c>
      <c r="H89" s="3">
        <f>'Monthly Data'!ET89</f>
        <v>0</v>
      </c>
      <c r="I89" s="3">
        <f>'Monthly Data'!EG89</f>
        <v>1</v>
      </c>
      <c r="J89">
        <f>'Monthly Data'!EH89</f>
        <v>88</v>
      </c>
      <c r="K89" s="3">
        <f>'Monthly Data'!DQ89</f>
        <v>30</v>
      </c>
      <c r="M89" s="3">
        <f t="shared" si="26"/>
        <v>-5660024.0454457896</v>
      </c>
      <c r="N89" s="3">
        <f t="shared" si="27"/>
        <v>4299892.3447772264</v>
      </c>
      <c r="O89" s="3">
        <f t="shared" si="28"/>
        <v>1070638.0831619271</v>
      </c>
      <c r="P89" s="3">
        <f t="shared" si="29"/>
        <v>0</v>
      </c>
      <c r="Q89" s="3">
        <f t="shared" si="30"/>
        <v>0</v>
      </c>
      <c r="R89" s="3">
        <f t="shared" si="31"/>
        <v>-701201.51304507197</v>
      </c>
      <c r="S89" s="3">
        <f t="shared" si="32"/>
        <v>4170676.4403238613</v>
      </c>
      <c r="T89" s="3">
        <f t="shared" si="33"/>
        <v>24121570.877002168</v>
      </c>
      <c r="U89" s="47">
        <f t="shared" si="23"/>
        <v>27301552.186774321</v>
      </c>
      <c r="V89" s="47">
        <f ca="1">'Monthly Data'!BF89+'Monthly Data'!BG89</f>
        <v>641516.7150787171</v>
      </c>
      <c r="W89" s="47">
        <f t="shared" ca="1" si="24"/>
        <v>27943068.90185304</v>
      </c>
      <c r="X89" s="47">
        <f t="shared" ca="1" si="25"/>
        <v>756417.15333216637</v>
      </c>
      <c r="Y89" s="18">
        <f t="shared" ca="1" si="34"/>
        <v>2.7823108205052145E-2</v>
      </c>
    </row>
    <row r="90" spans="1:25">
      <c r="A90" s="2">
        <f>'Monthly Data'!A90</f>
        <v>45047</v>
      </c>
      <c r="B90">
        <f>'Monthly Data'!B90</f>
        <v>2023</v>
      </c>
      <c r="C90">
        <f>'Monthly Data'!C90</f>
        <v>5</v>
      </c>
      <c r="D90" s="3">
        <f ca="1">'Monthly Data'!BE90</f>
        <v>28653334.459720019</v>
      </c>
      <c r="E90" s="3">
        <f>'Monthly Data'!CP90</f>
        <v>163.56416666666669</v>
      </c>
      <c r="F90" s="3">
        <f>'Monthly Data'!CU90</f>
        <v>37.345833333333331</v>
      </c>
      <c r="G90" s="3">
        <f>'Monthly Data'!EM90</f>
        <v>0</v>
      </c>
      <c r="H90" s="3">
        <f>'Monthly Data'!ET90</f>
        <v>0</v>
      </c>
      <c r="I90" s="3">
        <f>'Monthly Data'!EG90</f>
        <v>1</v>
      </c>
      <c r="J90">
        <f>'Monthly Data'!EH90</f>
        <v>89</v>
      </c>
      <c r="K90" s="3">
        <f>'Monthly Data'!DQ90</f>
        <v>31</v>
      </c>
      <c r="M90" s="3">
        <f t="shared" si="26"/>
        <v>-5660024.0454457896</v>
      </c>
      <c r="N90" s="3">
        <f t="shared" si="27"/>
        <v>2333471.4934633924</v>
      </c>
      <c r="O90" s="3">
        <f t="shared" si="28"/>
        <v>3412563.7053272934</v>
      </c>
      <c r="P90" s="3">
        <f t="shared" si="29"/>
        <v>0</v>
      </c>
      <c r="Q90" s="3">
        <f t="shared" si="30"/>
        <v>0</v>
      </c>
      <c r="R90" s="3">
        <f t="shared" si="31"/>
        <v>-701201.51304507197</v>
      </c>
      <c r="S90" s="3">
        <f t="shared" si="32"/>
        <v>4218070.4907820867</v>
      </c>
      <c r="T90" s="3">
        <f t="shared" si="33"/>
        <v>24925623.239568908</v>
      </c>
      <c r="U90" s="47">
        <f t="shared" si="23"/>
        <v>28528503.37065082</v>
      </c>
      <c r="V90" s="47">
        <f ca="1">'Monthly Data'!BF90+'Monthly Data'!BG90</f>
        <v>467857.94911721582</v>
      </c>
      <c r="W90" s="47">
        <f t="shared" ca="1" si="24"/>
        <v>28996361.319768038</v>
      </c>
      <c r="X90" s="47">
        <f t="shared" ca="1" si="25"/>
        <v>343026.8600480184</v>
      </c>
      <c r="Y90" s="18">
        <f t="shared" ca="1" si="34"/>
        <v>1.1971620982899393E-2</v>
      </c>
    </row>
    <row r="91" spans="1:25">
      <c r="A91" s="2">
        <f>'Monthly Data'!A91</f>
        <v>45078</v>
      </c>
      <c r="B91">
        <f>'Monthly Data'!B91</f>
        <v>2023</v>
      </c>
      <c r="C91">
        <f>'Monthly Data'!C91</f>
        <v>6</v>
      </c>
      <c r="D91" s="3">
        <f ca="1">'Monthly Data'!BE91</f>
        <v>36466432.147397168</v>
      </c>
      <c r="E91" s="3">
        <f>'Monthly Data'!CP91</f>
        <v>21.441666666666659</v>
      </c>
      <c r="F91" s="3">
        <f>'Monthly Data'!CU91</f>
        <v>145.54166666666666</v>
      </c>
      <c r="G91" s="3">
        <f>'Monthly Data'!EM91</f>
        <v>0</v>
      </c>
      <c r="H91" s="3">
        <f>'Monthly Data'!ET91</f>
        <v>0</v>
      </c>
      <c r="I91" s="3">
        <f>'Monthly Data'!EG91</f>
        <v>0</v>
      </c>
      <c r="J91">
        <f>'Monthly Data'!EH91</f>
        <v>90</v>
      </c>
      <c r="K91" s="3">
        <f>'Monthly Data'!DQ91</f>
        <v>30</v>
      </c>
      <c r="M91" s="3">
        <f t="shared" si="26"/>
        <v>-5660024.0454457896</v>
      </c>
      <c r="N91" s="3">
        <f t="shared" si="27"/>
        <v>305895.34956624085</v>
      </c>
      <c r="O91" s="3">
        <f t="shared" si="28"/>
        <v>13299213.458337873</v>
      </c>
      <c r="P91" s="3">
        <f t="shared" si="29"/>
        <v>0</v>
      </c>
      <c r="Q91" s="3">
        <f t="shared" si="30"/>
        <v>0</v>
      </c>
      <c r="R91" s="3">
        <f t="shared" si="31"/>
        <v>0</v>
      </c>
      <c r="S91" s="3">
        <f t="shared" si="32"/>
        <v>4265464.5412403131</v>
      </c>
      <c r="T91" s="3">
        <f t="shared" si="33"/>
        <v>24121570.877002168</v>
      </c>
      <c r="U91" s="47">
        <f t="shared" si="23"/>
        <v>36332120.180700809</v>
      </c>
      <c r="V91" s="47">
        <f ca="1">'Monthly Data'!BF91+'Monthly Data'!BG91</f>
        <v>288519.21431896451</v>
      </c>
      <c r="W91" s="47">
        <f t="shared" ca="1" si="24"/>
        <v>36620639.39501977</v>
      </c>
      <c r="X91" s="47">
        <f t="shared" ca="1" si="25"/>
        <v>154207.24762260169</v>
      </c>
      <c r="Y91" s="18">
        <f t="shared" ca="1" si="34"/>
        <v>4.2287451374265692E-3</v>
      </c>
    </row>
    <row r="92" spans="1:25">
      <c r="A92" s="2">
        <f>'Monthly Data'!A92</f>
        <v>45108</v>
      </c>
      <c r="B92">
        <f>'Monthly Data'!B92</f>
        <v>2023</v>
      </c>
      <c r="C92">
        <f>'Monthly Data'!C92</f>
        <v>7</v>
      </c>
      <c r="D92" s="3">
        <f ca="1">'Monthly Data'!BE92</f>
        <v>45286912.264689282</v>
      </c>
      <c r="E92" s="3">
        <f>'Monthly Data'!CP92</f>
        <v>0.12499999999999645</v>
      </c>
      <c r="F92" s="3">
        <f>'Monthly Data'!CU92</f>
        <v>223.78333333333336</v>
      </c>
      <c r="G92" s="3">
        <f>'Monthly Data'!EM92</f>
        <v>0</v>
      </c>
      <c r="H92" s="3">
        <f>'Monthly Data'!ET92</f>
        <v>0</v>
      </c>
      <c r="I92" s="3">
        <f>'Monthly Data'!EG92</f>
        <v>0</v>
      </c>
      <c r="J92">
        <f>'Monthly Data'!EH92</f>
        <v>91</v>
      </c>
      <c r="K92" s="3">
        <f>'Monthly Data'!DQ92</f>
        <v>31</v>
      </c>
      <c r="M92" s="3">
        <f t="shared" si="26"/>
        <v>-5660024.0454457896</v>
      </c>
      <c r="N92" s="3">
        <f t="shared" si="27"/>
        <v>1783.2997448478368</v>
      </c>
      <c r="O92" s="3">
        <f t="shared" si="28"/>
        <v>20448730.501586333</v>
      </c>
      <c r="P92" s="3">
        <f t="shared" si="29"/>
        <v>0</v>
      </c>
      <c r="Q92" s="3">
        <f t="shared" si="30"/>
        <v>0</v>
      </c>
      <c r="R92" s="3">
        <f t="shared" si="31"/>
        <v>0</v>
      </c>
      <c r="S92" s="3">
        <f t="shared" si="32"/>
        <v>4312858.5916985385</v>
      </c>
      <c r="T92" s="3">
        <f t="shared" si="33"/>
        <v>24925623.239568908</v>
      </c>
      <c r="U92" s="47">
        <f t="shared" si="23"/>
        <v>44028971.587152839</v>
      </c>
      <c r="V92" s="47">
        <f ca="1">'Monthly Data'!BF92+'Monthly Data'!BG92</f>
        <v>269252.02741284331</v>
      </c>
      <c r="W92" s="47">
        <f t="shared" ca="1" si="24"/>
        <v>44298223.614565685</v>
      </c>
      <c r="X92" s="47">
        <f t="shared" ca="1" si="25"/>
        <v>-988688.65012359619</v>
      </c>
      <c r="Y92" s="18">
        <f t="shared" ca="1" si="34"/>
        <v>2.1831663955029407E-2</v>
      </c>
    </row>
    <row r="93" spans="1:25">
      <c r="A93" s="2">
        <f>'Monthly Data'!A93</f>
        <v>45139</v>
      </c>
      <c r="B93">
        <f>'Monthly Data'!B93</f>
        <v>2023</v>
      </c>
      <c r="C93">
        <f>'Monthly Data'!C93</f>
        <v>8</v>
      </c>
      <c r="D93" s="3">
        <f ca="1">'Monthly Data'!BE93</f>
        <v>39289994.687740542</v>
      </c>
      <c r="E93" s="3">
        <f>'Monthly Data'!CP93</f>
        <v>9.274999999999995</v>
      </c>
      <c r="F93" s="3">
        <f>'Monthly Data'!CU93</f>
        <v>165.80489130434788</v>
      </c>
      <c r="G93" s="3">
        <f>'Monthly Data'!EM93</f>
        <v>0</v>
      </c>
      <c r="H93" s="3">
        <f>'Monthly Data'!ET93</f>
        <v>0</v>
      </c>
      <c r="I93" s="3">
        <f>'Monthly Data'!EG93</f>
        <v>0</v>
      </c>
      <c r="J93">
        <f>'Monthly Data'!EH93</f>
        <v>92</v>
      </c>
      <c r="K93" s="3">
        <f>'Monthly Data'!DQ93</f>
        <v>31</v>
      </c>
      <c r="M93" s="3">
        <f t="shared" si="26"/>
        <v>-5660024.0454457896</v>
      </c>
      <c r="N93" s="3">
        <f t="shared" si="27"/>
        <v>132320.84106771319</v>
      </c>
      <c r="O93" s="3">
        <f t="shared" si="28"/>
        <v>15150813.457037721</v>
      </c>
      <c r="P93" s="3">
        <f t="shared" si="29"/>
        <v>0</v>
      </c>
      <c r="Q93" s="3">
        <f t="shared" si="30"/>
        <v>0</v>
      </c>
      <c r="R93" s="3">
        <f t="shared" si="31"/>
        <v>0</v>
      </c>
      <c r="S93" s="3">
        <f t="shared" si="32"/>
        <v>4360252.6421567639</v>
      </c>
      <c r="T93" s="3">
        <f t="shared" si="33"/>
        <v>24925623.239568908</v>
      </c>
      <c r="U93" s="47">
        <f t="shared" si="23"/>
        <v>38908986.134385318</v>
      </c>
      <c r="V93" s="47">
        <f ca="1">'Monthly Data'!BF93+'Monthly Data'!BG93</f>
        <v>290354.13690477336</v>
      </c>
      <c r="W93" s="47">
        <f t="shared" ca="1" si="24"/>
        <v>39199340.271290094</v>
      </c>
      <c r="X93" s="47">
        <f t="shared" ca="1" si="25"/>
        <v>-90654.416450448334</v>
      </c>
      <c r="Y93" s="18">
        <f t="shared" ca="1" si="34"/>
        <v>2.3073155690381086E-3</v>
      </c>
    </row>
    <row r="94" spans="1:25">
      <c r="A94" s="2">
        <f>'Monthly Data'!A94</f>
        <v>45170</v>
      </c>
      <c r="B94">
        <f>'Monthly Data'!B94</f>
        <v>2023</v>
      </c>
      <c r="C94">
        <f>'Monthly Data'!C94</f>
        <v>9</v>
      </c>
      <c r="D94" s="3">
        <f ca="1">'Monthly Data'!BE94</f>
        <v>34152262.92373392</v>
      </c>
      <c r="E94" s="3">
        <f>'Monthly Data'!CP94</f>
        <v>47.591666666666676</v>
      </c>
      <c r="F94" s="3">
        <f>'Monthly Data'!CU94</f>
        <v>105.35</v>
      </c>
      <c r="G94" s="3">
        <f>'Monthly Data'!EM94</f>
        <v>0</v>
      </c>
      <c r="H94" s="3">
        <f>'Monthly Data'!ET94</f>
        <v>0</v>
      </c>
      <c r="I94" s="3">
        <f>'Monthly Data'!EG94</f>
        <v>1</v>
      </c>
      <c r="J94">
        <f>'Monthly Data'!EH94</f>
        <v>93</v>
      </c>
      <c r="K94" s="3">
        <f>'Monthly Data'!DQ94</f>
        <v>30</v>
      </c>
      <c r="M94" s="3">
        <f t="shared" si="26"/>
        <v>-5660024.0454457896</v>
      </c>
      <c r="N94" s="3">
        <f t="shared" si="27"/>
        <v>678961.65618841921</v>
      </c>
      <c r="O94" s="3">
        <f t="shared" si="28"/>
        <v>9626605.0123279355</v>
      </c>
      <c r="P94" s="3">
        <f t="shared" si="29"/>
        <v>0</v>
      </c>
      <c r="Q94" s="3">
        <f t="shared" si="30"/>
        <v>0</v>
      </c>
      <c r="R94" s="3">
        <f t="shared" si="31"/>
        <v>-701201.51304507197</v>
      </c>
      <c r="S94" s="3">
        <f t="shared" si="32"/>
        <v>4407646.6926149903</v>
      </c>
      <c r="T94" s="3">
        <f t="shared" si="33"/>
        <v>24121570.877002168</v>
      </c>
      <c r="U94" s="47">
        <f t="shared" si="23"/>
        <v>32473558.679642651</v>
      </c>
      <c r="V94" s="47">
        <f ca="1">'Monthly Data'!BF94+'Monthly Data'!BG94</f>
        <v>350103.00170118333</v>
      </c>
      <c r="W94" s="47">
        <f t="shared" ca="1" si="24"/>
        <v>32823661.681343835</v>
      </c>
      <c r="X94" s="47">
        <f t="shared" ca="1" si="25"/>
        <v>-1328601.242390085</v>
      </c>
      <c r="Y94" s="18">
        <f t="shared" ca="1" si="34"/>
        <v>3.8902290174944197E-2</v>
      </c>
    </row>
    <row r="95" spans="1:25">
      <c r="A95" s="2">
        <f>'Monthly Data'!A95</f>
        <v>45200</v>
      </c>
      <c r="B95">
        <f>'Monthly Data'!B95</f>
        <v>2023</v>
      </c>
      <c r="C95">
        <f>'Monthly Data'!C95</f>
        <v>10</v>
      </c>
      <c r="D95" s="3">
        <f ca="1">'Monthly Data'!BE95</f>
        <v>29617828.682503663</v>
      </c>
      <c r="E95" s="3">
        <f>'Monthly Data'!CP95</f>
        <v>207.15416666666667</v>
      </c>
      <c r="F95" s="3">
        <f>'Monthly Data'!CU95</f>
        <v>35.333333333333343</v>
      </c>
      <c r="G95" s="3">
        <f>'Monthly Data'!EM95</f>
        <v>0</v>
      </c>
      <c r="H95" s="3">
        <f>'Monthly Data'!ET95</f>
        <v>0</v>
      </c>
      <c r="I95" s="3">
        <f>'Monthly Data'!EG95</f>
        <v>1</v>
      </c>
      <c r="J95">
        <f>'Monthly Data'!EH95</f>
        <v>94</v>
      </c>
      <c r="K95" s="3">
        <f>'Monthly Data'!DQ95</f>
        <v>31</v>
      </c>
      <c r="M95" s="3">
        <f t="shared" si="26"/>
        <v>-5660024.0454457896</v>
      </c>
      <c r="N95" s="3">
        <f t="shared" si="27"/>
        <v>2955343.7804867476</v>
      </c>
      <c r="O95" s="3">
        <f t="shared" si="28"/>
        <v>3228666.7657230231</v>
      </c>
      <c r="P95" s="3">
        <f t="shared" si="29"/>
        <v>0</v>
      </c>
      <c r="Q95" s="3">
        <f t="shared" si="30"/>
        <v>0</v>
      </c>
      <c r="R95" s="3">
        <f t="shared" si="31"/>
        <v>-701201.51304507197</v>
      </c>
      <c r="S95" s="3">
        <f t="shared" si="32"/>
        <v>4455040.7430732157</v>
      </c>
      <c r="T95" s="3">
        <f t="shared" si="33"/>
        <v>24925623.239568908</v>
      </c>
      <c r="U95" s="47">
        <f t="shared" si="23"/>
        <v>29203448.970361032</v>
      </c>
      <c r="V95" s="47">
        <f ca="1">'Monthly Data'!BF95+'Monthly Data'!BG95</f>
        <v>570506.42829831678</v>
      </c>
      <c r="W95" s="47">
        <f t="shared" ca="1" si="24"/>
        <v>29773955.398659348</v>
      </c>
      <c r="X95" s="47">
        <f t="shared" ca="1" si="25"/>
        <v>156126.71615568548</v>
      </c>
      <c r="Y95" s="18">
        <f t="shared" ca="1" si="34"/>
        <v>5.2713761643140055E-3</v>
      </c>
    </row>
    <row r="96" spans="1:25">
      <c r="A96" s="2">
        <f>'Monthly Data'!A96</f>
        <v>45231</v>
      </c>
      <c r="B96">
        <f>'Monthly Data'!B96</f>
        <v>2023</v>
      </c>
      <c r="C96">
        <f>'Monthly Data'!C96</f>
        <v>11</v>
      </c>
      <c r="D96" s="3">
        <f ca="1">'Monthly Data'!BE96</f>
        <v>29749525.858147036</v>
      </c>
      <c r="E96" s="3">
        <f>'Monthly Data'!CP96</f>
        <v>450.59311594202899</v>
      </c>
      <c r="F96" s="3">
        <f>'Monthly Data'!CU96</f>
        <v>0</v>
      </c>
      <c r="G96" s="3">
        <f>'Monthly Data'!EM96</f>
        <v>0</v>
      </c>
      <c r="H96" s="3">
        <f>'Monthly Data'!ET96</f>
        <v>0</v>
      </c>
      <c r="I96" s="3">
        <f>'Monthly Data'!EG96</f>
        <v>1</v>
      </c>
      <c r="J96">
        <f>'Monthly Data'!EH96</f>
        <v>95</v>
      </c>
      <c r="K96" s="3">
        <f>'Monthly Data'!DQ96</f>
        <v>30</v>
      </c>
      <c r="M96" s="3">
        <f t="shared" si="26"/>
        <v>-5660024.0454457896</v>
      </c>
      <c r="N96" s="3">
        <f t="shared" si="27"/>
        <v>6428340.7095170794</v>
      </c>
      <c r="O96" s="3">
        <f t="shared" si="28"/>
        <v>0</v>
      </c>
      <c r="P96" s="3">
        <f t="shared" si="29"/>
        <v>0</v>
      </c>
      <c r="Q96" s="3">
        <f t="shared" si="30"/>
        <v>0</v>
      </c>
      <c r="R96" s="3">
        <f t="shared" si="31"/>
        <v>-701201.51304507197</v>
      </c>
      <c r="S96" s="3">
        <f t="shared" si="32"/>
        <v>4502434.7935314411</v>
      </c>
      <c r="T96" s="3">
        <f t="shared" si="33"/>
        <v>24121570.877002168</v>
      </c>
      <c r="U96" s="47">
        <f t="shared" si="23"/>
        <v>28691120.821559828</v>
      </c>
      <c r="V96" s="47">
        <f ca="1">'Monthly Data'!BF96+'Monthly Data'!BG96</f>
        <v>902048.80155671504</v>
      </c>
      <c r="W96" s="47">
        <f t="shared" ca="1" si="24"/>
        <v>29593169.623116542</v>
      </c>
      <c r="X96" s="47">
        <f t="shared" ca="1" si="25"/>
        <v>-156356.23503049463</v>
      </c>
      <c r="Y96" s="18">
        <f t="shared" ca="1" si="34"/>
        <v>5.2557555295516013E-3</v>
      </c>
    </row>
    <row r="97" spans="1:25">
      <c r="A97" s="2">
        <f>'Monthly Data'!A97</f>
        <v>45261</v>
      </c>
      <c r="B97">
        <f>'Monthly Data'!B97</f>
        <v>2023</v>
      </c>
      <c r="C97">
        <f>'Monthly Data'!C97</f>
        <v>12</v>
      </c>
      <c r="D97" s="3">
        <f ca="1">'Monthly Data'!BE97</f>
        <v>33318299.780423377</v>
      </c>
      <c r="E97" s="3">
        <f>'Monthly Data'!CP97</f>
        <v>489.67916666666667</v>
      </c>
      <c r="F97" s="3">
        <f>'Monthly Data'!CU97</f>
        <v>0</v>
      </c>
      <c r="G97" s="3">
        <f>'Monthly Data'!EM97</f>
        <v>0</v>
      </c>
      <c r="H97" s="3">
        <f>'Monthly Data'!ET97</f>
        <v>0</v>
      </c>
      <c r="I97" s="3">
        <f>'Monthly Data'!EG97</f>
        <v>0</v>
      </c>
      <c r="J97">
        <f>'Monthly Data'!EH97</f>
        <v>96</v>
      </c>
      <c r="K97" s="3">
        <f>'Monthly Data'!DQ97</f>
        <v>31</v>
      </c>
      <c r="M97" s="3">
        <f t="shared" si="26"/>
        <v>-5660024.0454457896</v>
      </c>
      <c r="N97" s="3">
        <f t="shared" si="27"/>
        <v>6985957.8637919426</v>
      </c>
      <c r="O97" s="3">
        <f t="shared" si="28"/>
        <v>0</v>
      </c>
      <c r="P97" s="3">
        <f t="shared" si="29"/>
        <v>0</v>
      </c>
      <c r="Q97" s="3">
        <f t="shared" si="30"/>
        <v>0</v>
      </c>
      <c r="R97" s="3">
        <f t="shared" si="31"/>
        <v>0</v>
      </c>
      <c r="S97" s="3">
        <f t="shared" si="32"/>
        <v>4549828.8439896666</v>
      </c>
      <c r="T97" s="3">
        <f t="shared" si="33"/>
        <v>24925623.239568908</v>
      </c>
      <c r="U97" s="47">
        <f t="shared" si="23"/>
        <v>30801385.901904728</v>
      </c>
      <c r="V97" s="47">
        <f ca="1">'Monthly Data'!BF97+'Monthly Data'!BG97</f>
        <v>962817.12455050461</v>
      </c>
      <c r="W97" s="47">
        <f t="shared" ca="1" si="24"/>
        <v>31764203.026455231</v>
      </c>
      <c r="X97" s="47">
        <f t="shared" ca="1" si="25"/>
        <v>-1554096.7539681457</v>
      </c>
      <c r="Y97" s="18">
        <f t="shared" ca="1" si="34"/>
        <v>4.6643939342945598E-2</v>
      </c>
    </row>
    <row r="98" spans="1:25">
      <c r="A98" s="2">
        <f>'Monthly Data'!A98</f>
        <v>45292</v>
      </c>
      <c r="B98">
        <f>'Monthly Data'!B98</f>
        <v>2024</v>
      </c>
      <c r="C98">
        <f>'Monthly Data'!C98</f>
        <v>1</v>
      </c>
      <c r="D98" s="3">
        <f ca="1">'Monthly Data'!BE98</f>
        <v>34365090.724822946</v>
      </c>
      <c r="E98" s="3">
        <f>'Monthly Data'!CP98</f>
        <v>636.99583333333339</v>
      </c>
      <c r="F98" s="3">
        <f>'Monthly Data'!CU98</f>
        <v>0</v>
      </c>
      <c r="G98" s="3">
        <f>'Monthly Data'!EM98</f>
        <v>0</v>
      </c>
      <c r="H98" s="3">
        <f>'Monthly Data'!ET98</f>
        <v>0</v>
      </c>
      <c r="I98" s="3">
        <f>'Monthly Data'!EG98</f>
        <v>0</v>
      </c>
      <c r="J98">
        <f>'Monthly Data'!EH98</f>
        <v>97</v>
      </c>
      <c r="K98" s="3">
        <f>'Monthly Data'!DQ98</f>
        <v>31</v>
      </c>
      <c r="M98" s="3">
        <f t="shared" ref="M98:M121" si="35">$AC$8</f>
        <v>-5660024.0454457896</v>
      </c>
      <c r="N98" s="3">
        <f t="shared" ref="N98:N121" si="36">E98*$AC$9</f>
        <v>9087636.0564200077</v>
      </c>
      <c r="O98" s="3">
        <f t="shared" ref="O98:O121" si="37">F98*$AC$10</f>
        <v>0</v>
      </c>
      <c r="P98" s="3">
        <f t="shared" ref="P98:P121" si="38">G98*$AC$11</f>
        <v>0</v>
      </c>
      <c r="Q98" s="3">
        <f t="shared" ref="Q98:Q121" si="39">H98*$AC$12</f>
        <v>0</v>
      </c>
      <c r="R98" s="3">
        <f t="shared" ref="R98:R121" si="40">I98*$AC$13</f>
        <v>0</v>
      </c>
      <c r="S98" s="3">
        <f t="shared" ref="S98:S121" si="41">J98*$AC$14</f>
        <v>4597222.8944478929</v>
      </c>
      <c r="T98" s="3">
        <f t="shared" ref="T98:T121" si="42">K98*$AC$15</f>
        <v>24925623.239568908</v>
      </c>
      <c r="U98" s="47">
        <f t="shared" ref="U98:U108" si="43">SUM(M98:T98)</f>
        <v>32950458.144991018</v>
      </c>
      <c r="V98" s="47">
        <f ca="1">'Monthly Data'!BF98+'Monthly Data'!BG98</f>
        <v>1407753.0840203594</v>
      </c>
      <c r="W98" s="47">
        <f t="shared" ca="1" si="24"/>
        <v>34358211.229011379</v>
      </c>
      <c r="X98" s="47">
        <f t="shared" ca="1" si="25"/>
        <v>-6879.4958115667105</v>
      </c>
      <c r="Y98" s="18">
        <f t="shared" ref="Y98:Y108" ca="1" si="44">ABS(X98/D98)</f>
        <v>2.0018849554782179E-4</v>
      </c>
    </row>
    <row r="99" spans="1:25">
      <c r="A99" s="2">
        <f>'Monthly Data'!A99</f>
        <v>45323</v>
      </c>
      <c r="B99">
        <f>'Monthly Data'!B99</f>
        <v>2024</v>
      </c>
      <c r="C99">
        <f>'Monthly Data'!C99</f>
        <v>2</v>
      </c>
      <c r="D99" s="3">
        <f ca="1">'Monthly Data'!BE99</f>
        <v>30382962.44441903</v>
      </c>
      <c r="E99" s="3">
        <f>'Monthly Data'!CP99</f>
        <v>542.96666666666658</v>
      </c>
      <c r="F99" s="3">
        <f>'Monthly Data'!CU99</f>
        <v>0</v>
      </c>
      <c r="G99" s="3">
        <f>'Monthly Data'!EM99</f>
        <v>0</v>
      </c>
      <c r="H99" s="3">
        <f>'Monthly Data'!ET99</f>
        <v>0</v>
      </c>
      <c r="I99" s="3">
        <f>'Monthly Data'!EG99</f>
        <v>0</v>
      </c>
      <c r="J99">
        <f>'Monthly Data'!EH99</f>
        <v>98</v>
      </c>
      <c r="K99" s="3">
        <f>'Monthly Data'!DQ99</f>
        <v>29</v>
      </c>
      <c r="M99" s="3">
        <f t="shared" si="35"/>
        <v>-5660024.0454457896</v>
      </c>
      <c r="N99" s="3">
        <f t="shared" si="36"/>
        <v>7746178.5450205961</v>
      </c>
      <c r="O99" s="3">
        <f t="shared" si="37"/>
        <v>0</v>
      </c>
      <c r="P99" s="3">
        <f t="shared" si="38"/>
        <v>0</v>
      </c>
      <c r="Q99" s="3">
        <f t="shared" si="39"/>
        <v>0</v>
      </c>
      <c r="R99" s="3">
        <f t="shared" si="40"/>
        <v>0</v>
      </c>
      <c r="S99" s="3">
        <f t="shared" si="41"/>
        <v>4644616.9449061183</v>
      </c>
      <c r="T99" s="3">
        <f t="shared" si="42"/>
        <v>23317518.514435429</v>
      </c>
      <c r="U99" s="47">
        <f t="shared" si="43"/>
        <v>30048289.958916355</v>
      </c>
      <c r="V99" s="47">
        <f ca="1">'Monthly Data'!BF99+'Monthly Data'!BG99</f>
        <v>1261948.3158017648</v>
      </c>
      <c r="W99" s="47">
        <f t="shared" ca="1" si="24"/>
        <v>31310238.274718121</v>
      </c>
      <c r="X99" s="47">
        <f t="shared" ca="1" si="25"/>
        <v>927275.83029909059</v>
      </c>
      <c r="Y99" s="18">
        <f t="shared" ca="1" si="44"/>
        <v>3.0519599002085444E-2</v>
      </c>
    </row>
    <row r="100" spans="1:25">
      <c r="A100" s="2">
        <f>'Monthly Data'!A100</f>
        <v>45352</v>
      </c>
      <c r="B100">
        <f>'Monthly Data'!B100</f>
        <v>2024</v>
      </c>
      <c r="C100">
        <f>'Monthly Data'!C100</f>
        <v>3</v>
      </c>
      <c r="D100" s="3">
        <f ca="1">'Monthly Data'!BE100</f>
        <v>30639068.95448155</v>
      </c>
      <c r="E100" s="3">
        <f>'Monthly Data'!CP100</f>
        <v>460.11250000000001</v>
      </c>
      <c r="F100" s="3">
        <f>'Monthly Data'!CU100</f>
        <v>0</v>
      </c>
      <c r="G100" s="3">
        <f>'Monthly Data'!EM100</f>
        <v>0</v>
      </c>
      <c r="H100" s="3">
        <f>'Monthly Data'!ET100</f>
        <v>0</v>
      </c>
      <c r="I100" s="3">
        <f>'Monthly Data'!EG100</f>
        <v>1</v>
      </c>
      <c r="J100">
        <f>'Monthly Data'!EH100</f>
        <v>99</v>
      </c>
      <c r="K100" s="3">
        <f>'Monthly Data'!DQ100</f>
        <v>31</v>
      </c>
      <c r="M100" s="3">
        <f t="shared" si="35"/>
        <v>-5660024.0454457896</v>
      </c>
      <c r="N100" s="3">
        <f t="shared" si="36"/>
        <v>6564148.030810589</v>
      </c>
      <c r="O100" s="3">
        <f t="shared" si="37"/>
        <v>0</v>
      </c>
      <c r="P100" s="3">
        <f t="shared" si="38"/>
        <v>0</v>
      </c>
      <c r="Q100" s="3">
        <f t="shared" si="39"/>
        <v>0</v>
      </c>
      <c r="R100" s="3">
        <f t="shared" si="40"/>
        <v>-701201.51304507197</v>
      </c>
      <c r="S100" s="3">
        <f t="shared" si="41"/>
        <v>4692010.9953643437</v>
      </c>
      <c r="T100" s="3">
        <f t="shared" si="42"/>
        <v>24925623.239568908</v>
      </c>
      <c r="U100" s="47">
        <f t="shared" si="43"/>
        <v>29820556.707252979</v>
      </c>
      <c r="V100" s="47">
        <f ca="1">'Monthly Data'!BF100+'Monthly Data'!BG100</f>
        <v>1134955.4745149035</v>
      </c>
      <c r="W100" s="47">
        <f t="shared" ca="1" si="24"/>
        <v>30955512.181767881</v>
      </c>
      <c r="X100" s="47">
        <f t="shared" ca="1" si="25"/>
        <v>316443.22728633136</v>
      </c>
      <c r="Y100" s="18">
        <f t="shared" ca="1" si="44"/>
        <v>1.0328095405132912E-2</v>
      </c>
    </row>
    <row r="101" spans="1:25">
      <c r="A101" s="2">
        <f>'Monthly Data'!A101</f>
        <v>45383</v>
      </c>
      <c r="B101">
        <f>'Monthly Data'!B101</f>
        <v>2024</v>
      </c>
      <c r="C101">
        <f>'Monthly Data'!C101</f>
        <v>4</v>
      </c>
      <c r="D101" s="3">
        <f ca="1">'Monthly Data'!BE101</f>
        <v>27893692.720808491</v>
      </c>
      <c r="E101" s="3">
        <f>'Monthly Data'!CP101</f>
        <v>308.29791666666665</v>
      </c>
      <c r="F101" s="3">
        <f>'Monthly Data'!CU101</f>
        <v>0</v>
      </c>
      <c r="G101" s="3">
        <f>'Monthly Data'!EM101</f>
        <v>0</v>
      </c>
      <c r="H101" s="3">
        <f>'Monthly Data'!ET101</f>
        <v>0</v>
      </c>
      <c r="I101" s="3">
        <f>'Monthly Data'!EG101</f>
        <v>1</v>
      </c>
      <c r="J101">
        <f>'Monthly Data'!EH101</f>
        <v>100</v>
      </c>
      <c r="K101" s="3">
        <f>'Monthly Data'!DQ101</f>
        <v>30</v>
      </c>
      <c r="M101" s="3">
        <f t="shared" si="35"/>
        <v>-5660024.0454457896</v>
      </c>
      <c r="N101" s="3">
        <f t="shared" si="36"/>
        <v>4398300.7690304155</v>
      </c>
      <c r="O101" s="3">
        <f t="shared" si="37"/>
        <v>0</v>
      </c>
      <c r="P101" s="3">
        <f t="shared" si="38"/>
        <v>0</v>
      </c>
      <c r="Q101" s="3">
        <f t="shared" si="39"/>
        <v>0</v>
      </c>
      <c r="R101" s="3">
        <f t="shared" si="40"/>
        <v>-701201.51304507197</v>
      </c>
      <c r="S101" s="3">
        <f t="shared" si="41"/>
        <v>4739405.0458225701</v>
      </c>
      <c r="T101" s="3">
        <f t="shared" si="42"/>
        <v>24121570.877002168</v>
      </c>
      <c r="U101" s="47">
        <f t="shared" si="43"/>
        <v>26898051.133364294</v>
      </c>
      <c r="V101" s="47">
        <f ca="1">'Monthly Data'!BF101+'Monthly Data'!BG101</f>
        <v>891875.08785755304</v>
      </c>
      <c r="W101" s="47">
        <f t="shared" ca="1" si="24"/>
        <v>27789926.221221846</v>
      </c>
      <c r="X101" s="47">
        <f t="shared" ca="1" si="25"/>
        <v>-103766.49958664551</v>
      </c>
      <c r="Y101" s="18">
        <f t="shared" ca="1" si="44"/>
        <v>3.7200703623309246E-3</v>
      </c>
    </row>
    <row r="102" spans="1:25">
      <c r="A102" s="2">
        <f>'Monthly Data'!A102</f>
        <v>45413</v>
      </c>
      <c r="B102">
        <f>'Monthly Data'!B102</f>
        <v>2024</v>
      </c>
      <c r="C102">
        <f>'Monthly Data'!C102</f>
        <v>5</v>
      </c>
      <c r="D102" s="3">
        <f ca="1">'Monthly Data'!BE102</f>
        <v>30524857.726516318</v>
      </c>
      <c r="E102" s="3">
        <f>'Monthly Data'!CP102</f>
        <v>89.52916666666664</v>
      </c>
      <c r="F102" s="3">
        <f>'Monthly Data'!CU102</f>
        <v>60.691666666666663</v>
      </c>
      <c r="G102" s="3">
        <f>'Monthly Data'!EM102</f>
        <v>0</v>
      </c>
      <c r="H102" s="3">
        <f>'Monthly Data'!ET102</f>
        <v>0</v>
      </c>
      <c r="I102" s="3">
        <f>'Monthly Data'!EG102</f>
        <v>1</v>
      </c>
      <c r="J102">
        <f>'Monthly Data'!EH102</f>
        <v>101</v>
      </c>
      <c r="K102" s="3">
        <f>'Monthly Data'!DQ102</f>
        <v>31</v>
      </c>
      <c r="M102" s="3">
        <f t="shared" si="35"/>
        <v>-5660024.0454457896</v>
      </c>
      <c r="N102" s="3">
        <f t="shared" si="36"/>
        <v>1277258.720584885</v>
      </c>
      <c r="O102" s="3">
        <f t="shared" si="37"/>
        <v>5545844.3525379179</v>
      </c>
      <c r="P102" s="3">
        <f t="shared" si="38"/>
        <v>0</v>
      </c>
      <c r="Q102" s="3">
        <f t="shared" si="39"/>
        <v>0</v>
      </c>
      <c r="R102" s="3">
        <f t="shared" si="40"/>
        <v>-701201.51304507197</v>
      </c>
      <c r="S102" s="3">
        <f t="shared" si="41"/>
        <v>4786799.0962807955</v>
      </c>
      <c r="T102" s="3">
        <f t="shared" si="42"/>
        <v>24925623.239568908</v>
      </c>
      <c r="U102" s="47">
        <f t="shared" si="43"/>
        <v>30174299.850481644</v>
      </c>
      <c r="V102" s="47">
        <f ca="1">'Monthly Data'!BF102+'Monthly Data'!BG102</f>
        <v>536084.46485940402</v>
      </c>
      <c r="W102" s="47">
        <f t="shared" ca="1" si="24"/>
        <v>30710384.315341048</v>
      </c>
      <c r="X102" s="47">
        <f t="shared" ca="1" si="25"/>
        <v>185526.58882473037</v>
      </c>
      <c r="Y102" s="18">
        <f t="shared" ca="1" si="44"/>
        <v>6.0778854560742876E-3</v>
      </c>
    </row>
    <row r="103" spans="1:25">
      <c r="A103" s="2">
        <f>'Monthly Data'!A103</f>
        <v>45444</v>
      </c>
      <c r="B103">
        <f>'Monthly Data'!B103</f>
        <v>2024</v>
      </c>
      <c r="C103">
        <f>'Monthly Data'!C103</f>
        <v>6</v>
      </c>
      <c r="D103" s="3">
        <f ca="1">'Monthly Data'!BE103</f>
        <v>38509632.420643851</v>
      </c>
      <c r="E103" s="3">
        <f>'Monthly Data'!CP103</f>
        <v>31.570833333333319</v>
      </c>
      <c r="F103" s="3">
        <f>'Monthly Data'!CU103</f>
        <v>146.61250000000007</v>
      </c>
      <c r="G103" s="3">
        <f>'Monthly Data'!EM103</f>
        <v>0</v>
      </c>
      <c r="H103" s="3">
        <f>'Monthly Data'!ET103</f>
        <v>0</v>
      </c>
      <c r="I103" s="3">
        <f>'Monthly Data'!EG103</f>
        <v>0</v>
      </c>
      <c r="J103">
        <f>'Monthly Data'!EH103</f>
        <v>102</v>
      </c>
      <c r="K103" s="3">
        <f>'Monthly Data'!DQ103</f>
        <v>30</v>
      </c>
      <c r="M103" s="3">
        <f t="shared" si="35"/>
        <v>-5660024.0454457896</v>
      </c>
      <c r="N103" s="3">
        <f t="shared" si="36"/>
        <v>450402.07222374791</v>
      </c>
      <c r="O103" s="3">
        <f t="shared" si="37"/>
        <v>13397063.38272359</v>
      </c>
      <c r="P103" s="3">
        <f t="shared" si="38"/>
        <v>0</v>
      </c>
      <c r="Q103" s="3">
        <f t="shared" si="39"/>
        <v>0</v>
      </c>
      <c r="R103" s="3">
        <f t="shared" si="40"/>
        <v>0</v>
      </c>
      <c r="S103" s="3">
        <f t="shared" si="41"/>
        <v>4834193.1467390209</v>
      </c>
      <c r="T103" s="3">
        <f t="shared" si="42"/>
        <v>24121570.877002168</v>
      </c>
      <c r="U103" s="47">
        <f t="shared" si="43"/>
        <v>37143205.433242738</v>
      </c>
      <c r="V103" s="47">
        <f ca="1">'Monthly Data'!BF103+'Monthly Data'!BG103</f>
        <v>451001.11776236608</v>
      </c>
      <c r="W103" s="47">
        <f t="shared" ca="1" si="24"/>
        <v>37594206.551005103</v>
      </c>
      <c r="X103" s="47">
        <f t="shared" ca="1" si="25"/>
        <v>-915425.86963874847</v>
      </c>
      <c r="Y103" s="18">
        <f t="shared" ca="1" si="44"/>
        <v>2.3771347896533446E-2</v>
      </c>
    </row>
    <row r="104" spans="1:25">
      <c r="A104" s="2">
        <f>'Monthly Data'!A104</f>
        <v>45474</v>
      </c>
      <c r="B104">
        <f>'Monthly Data'!B104</f>
        <v>2024</v>
      </c>
      <c r="C104">
        <f>'Monthly Data'!C104</f>
        <v>7</v>
      </c>
      <c r="D104" s="3">
        <f ca="1">'Monthly Data'!BE104</f>
        <v>48461758.654568501</v>
      </c>
      <c r="E104" s="3">
        <f>'Monthly Data'!CP104</f>
        <v>0.32916666666666927</v>
      </c>
      <c r="F104" s="3">
        <f>'Monthly Data'!CU104</f>
        <v>241.14166666666668</v>
      </c>
      <c r="G104" s="3">
        <f>'Monthly Data'!EM104</f>
        <v>0</v>
      </c>
      <c r="H104" s="3">
        <f>'Monthly Data'!ET104</f>
        <v>0</v>
      </c>
      <c r="I104" s="3">
        <f>'Monthly Data'!EG104</f>
        <v>0</v>
      </c>
      <c r="J104">
        <f>'Monthly Data'!EH104</f>
        <v>103</v>
      </c>
      <c r="K104" s="3">
        <f>'Monthly Data'!DQ104</f>
        <v>31</v>
      </c>
      <c r="M104" s="3">
        <f t="shared" si="35"/>
        <v>-5660024.0454457896</v>
      </c>
      <c r="N104" s="3">
        <f t="shared" si="36"/>
        <v>4696.0226614328076</v>
      </c>
      <c r="O104" s="3">
        <f t="shared" si="37"/>
        <v>22034889.198048845</v>
      </c>
      <c r="P104" s="3">
        <f t="shared" si="38"/>
        <v>0</v>
      </c>
      <c r="Q104" s="3">
        <f t="shared" si="39"/>
        <v>0</v>
      </c>
      <c r="R104" s="3">
        <f t="shared" si="40"/>
        <v>0</v>
      </c>
      <c r="S104" s="3">
        <f t="shared" si="41"/>
        <v>4881587.1971972473</v>
      </c>
      <c r="T104" s="3">
        <f t="shared" si="42"/>
        <v>24925623.239568908</v>
      </c>
      <c r="U104" s="47">
        <f t="shared" si="43"/>
        <v>46186771.61203064</v>
      </c>
      <c r="V104" s="47">
        <f ca="1">'Monthly Data'!BF104+'Monthly Data'!BG104</f>
        <v>410892.4445975704</v>
      </c>
      <c r="W104" s="47">
        <f t="shared" ca="1" si="24"/>
        <v>46597664.056628212</v>
      </c>
      <c r="X104" s="47">
        <f t="shared" ca="1" si="25"/>
        <v>-1864094.5979402885</v>
      </c>
      <c r="Y104" s="18">
        <f t="shared" ca="1" si="44"/>
        <v>3.846526931115736E-2</v>
      </c>
    </row>
    <row r="105" spans="1:25">
      <c r="A105" s="2">
        <f>'Monthly Data'!A105</f>
        <v>45505</v>
      </c>
      <c r="B105">
        <f>'Monthly Data'!B105</f>
        <v>2024</v>
      </c>
      <c r="C105">
        <f>'Monthly Data'!C105</f>
        <v>8</v>
      </c>
      <c r="D105" s="3">
        <f ca="1">'Monthly Data'!BE105</f>
        <v>44037848.165859461</v>
      </c>
      <c r="E105" s="3">
        <f>'Monthly Data'!CP105</f>
        <v>8.2333333333333432</v>
      </c>
      <c r="F105" s="3">
        <f>'Monthly Data'!CU105</f>
        <v>200.86666666666665</v>
      </c>
      <c r="G105" s="3">
        <f>'Monthly Data'!EM105</f>
        <v>0</v>
      </c>
      <c r="H105" s="3">
        <f>'Monthly Data'!ET105</f>
        <v>0</v>
      </c>
      <c r="I105" s="3">
        <f>'Monthly Data'!EG105</f>
        <v>0</v>
      </c>
      <c r="J105">
        <f>'Monthly Data'!EH105</f>
        <v>104</v>
      </c>
      <c r="K105" s="3">
        <f>'Monthly Data'!DQ105</f>
        <v>31</v>
      </c>
      <c r="M105" s="3">
        <f t="shared" si="35"/>
        <v>-5660024.0454457896</v>
      </c>
      <c r="N105" s="3">
        <f t="shared" si="36"/>
        <v>117460.00986064767</v>
      </c>
      <c r="O105" s="3">
        <f t="shared" si="37"/>
        <v>18354665.971931066</v>
      </c>
      <c r="P105" s="3">
        <f t="shared" si="38"/>
        <v>0</v>
      </c>
      <c r="Q105" s="3">
        <f t="shared" si="39"/>
        <v>0</v>
      </c>
      <c r="R105" s="3">
        <f t="shared" si="40"/>
        <v>0</v>
      </c>
      <c r="S105" s="3">
        <f t="shared" si="41"/>
        <v>4928981.2476554727</v>
      </c>
      <c r="T105" s="3">
        <f t="shared" si="42"/>
        <v>24925623.239568908</v>
      </c>
      <c r="U105" s="47">
        <f t="shared" si="43"/>
        <v>42666706.423570305</v>
      </c>
      <c r="V105" s="47">
        <f ca="1">'Monthly Data'!BF105+'Monthly Data'!BG105</f>
        <v>436681.62882413709</v>
      </c>
      <c r="W105" s="47">
        <f t="shared" ca="1" si="24"/>
        <v>43103388.052394442</v>
      </c>
      <c r="X105" s="47">
        <f t="shared" ca="1" si="25"/>
        <v>-934460.11346501857</v>
      </c>
      <c r="Y105" s="18">
        <f t="shared" ca="1" si="44"/>
        <v>2.1219477163043197E-2</v>
      </c>
    </row>
    <row r="106" spans="1:25">
      <c r="A106" s="2">
        <f>'Monthly Data'!A106</f>
        <v>45536</v>
      </c>
      <c r="B106">
        <f>'Monthly Data'!B106</f>
        <v>2024</v>
      </c>
      <c r="C106">
        <f>'Monthly Data'!C106</f>
        <v>9</v>
      </c>
      <c r="D106" s="3">
        <f ca="1">'Monthly Data'!BE106</f>
        <v>35356837.521232605</v>
      </c>
      <c r="E106" s="3">
        <f>'Monthly Data'!CP106</f>
        <v>29.36666666666666</v>
      </c>
      <c r="F106" s="3">
        <f>'Monthly Data'!CU106</f>
        <v>113.86250000000001</v>
      </c>
      <c r="G106" s="3">
        <f>'Monthly Data'!EM106</f>
        <v>0</v>
      </c>
      <c r="H106" s="3">
        <f>'Monthly Data'!ET106</f>
        <v>0</v>
      </c>
      <c r="I106" s="3">
        <f>'Monthly Data'!EG106</f>
        <v>1</v>
      </c>
      <c r="J106">
        <f>'Monthly Data'!EH106</f>
        <v>105</v>
      </c>
      <c r="K106" s="3">
        <f>'Monthly Data'!DQ106</f>
        <v>30</v>
      </c>
      <c r="M106" s="3">
        <f t="shared" si="35"/>
        <v>-5660024.0454457896</v>
      </c>
      <c r="N106" s="3">
        <f t="shared" si="36"/>
        <v>418956.55338959693</v>
      </c>
      <c r="O106" s="3">
        <f t="shared" si="37"/>
        <v>10404454.800343519</v>
      </c>
      <c r="P106" s="3">
        <f t="shared" si="38"/>
        <v>0</v>
      </c>
      <c r="Q106" s="3">
        <f t="shared" si="39"/>
        <v>0</v>
      </c>
      <c r="R106" s="3">
        <f t="shared" si="40"/>
        <v>-701201.51304507197</v>
      </c>
      <c r="S106" s="3">
        <f t="shared" si="41"/>
        <v>4976375.2981136981</v>
      </c>
      <c r="T106" s="3">
        <f t="shared" si="42"/>
        <v>24121570.877002168</v>
      </c>
      <c r="U106" s="47">
        <f t="shared" si="43"/>
        <v>33560131.970358118</v>
      </c>
      <c r="V106" s="47">
        <f ca="1">'Monthly Data'!BF106+'Monthly Data'!BG106</f>
        <v>484740.71163692785</v>
      </c>
      <c r="W106" s="47">
        <f t="shared" ca="1" si="24"/>
        <v>34044872.681995049</v>
      </c>
      <c r="X106" s="47">
        <f t="shared" ca="1" si="25"/>
        <v>-1311964.8392375559</v>
      </c>
      <c r="Y106" s="18">
        <f t="shared" ca="1" si="44"/>
        <v>3.7106396703316308E-2</v>
      </c>
    </row>
    <row r="107" spans="1:25">
      <c r="A107" s="2">
        <f>'Monthly Data'!A107</f>
        <v>45566</v>
      </c>
      <c r="B107">
        <f>'Monthly Data'!B107</f>
        <v>2024</v>
      </c>
      <c r="C107">
        <f>'Monthly Data'!C107</f>
        <v>10</v>
      </c>
      <c r="D107" s="3">
        <f ca="1">'Monthly Data'!BE107</f>
        <v>28891807.480928354</v>
      </c>
      <c r="E107" s="3">
        <f>'Monthly Data'!CP107</f>
        <v>233.94166666666658</v>
      </c>
      <c r="F107" s="3">
        <f>'Monthly Data'!CU107</f>
        <v>12.120833333333337</v>
      </c>
      <c r="G107" s="3">
        <f>'Monthly Data'!EM107</f>
        <v>0</v>
      </c>
      <c r="H107" s="3">
        <f>'Monthly Data'!ET107</f>
        <v>0</v>
      </c>
      <c r="I107" s="3">
        <f>'Monthly Data'!EG107</f>
        <v>1</v>
      </c>
      <c r="J107">
        <f>'Monthly Data'!EH107</f>
        <v>106</v>
      </c>
      <c r="K107" s="3">
        <f>'Monthly Data'!DQ107</f>
        <v>31</v>
      </c>
      <c r="M107" s="3">
        <f t="shared" si="35"/>
        <v>-5660024.0454457896</v>
      </c>
      <c r="N107" s="3">
        <f t="shared" si="36"/>
        <v>3337504.9158076486</v>
      </c>
      <c r="O107" s="3">
        <f t="shared" si="37"/>
        <v>1107569.7666849382</v>
      </c>
      <c r="P107" s="3">
        <f t="shared" si="38"/>
        <v>0</v>
      </c>
      <c r="Q107" s="3">
        <f t="shared" si="39"/>
        <v>0</v>
      </c>
      <c r="R107" s="3">
        <f t="shared" si="40"/>
        <v>-701201.51304507197</v>
      </c>
      <c r="S107" s="3">
        <f t="shared" si="41"/>
        <v>5023769.3485719236</v>
      </c>
      <c r="T107" s="3">
        <f t="shared" si="42"/>
        <v>24925623.239568908</v>
      </c>
      <c r="U107" s="47">
        <f t="shared" si="43"/>
        <v>28033241.712142557</v>
      </c>
      <c r="V107" s="47">
        <f ca="1">'Monthly Data'!BF107+'Monthly Data'!BG107</f>
        <v>841604.37875116849</v>
      </c>
      <c r="W107" s="47">
        <f t="shared" ref="W107:W108" ca="1" si="45">U107+V107</f>
        <v>28874846.090893727</v>
      </c>
      <c r="X107" s="47">
        <f t="shared" ref="X107:X108" ca="1" si="46">W107-D107</f>
        <v>-16961.390034627169</v>
      </c>
      <c r="Y107" s="18">
        <f t="shared" ca="1" si="44"/>
        <v>5.8706572947447053E-4</v>
      </c>
    </row>
    <row r="108" spans="1:25">
      <c r="A108" s="2">
        <f>'Monthly Data'!A108</f>
        <v>45597</v>
      </c>
      <c r="B108">
        <f>'Monthly Data'!B108</f>
        <v>2024</v>
      </c>
      <c r="C108">
        <f>'Monthly Data'!C108</f>
        <v>11</v>
      </c>
      <c r="D108" s="3">
        <f ca="1">'Monthly Data'!BE108</f>
        <v>29635213.323712032</v>
      </c>
      <c r="E108" s="3">
        <f>'Monthly Data'!CP108</f>
        <v>366.29166666666663</v>
      </c>
      <c r="F108" s="3">
        <f>'Monthly Data'!CU108</f>
        <v>5.5041666666666629</v>
      </c>
      <c r="G108" s="3">
        <f>'Monthly Data'!EM108</f>
        <v>0</v>
      </c>
      <c r="H108" s="3">
        <f>'Monthly Data'!ET108</f>
        <v>0</v>
      </c>
      <c r="I108" s="3">
        <f>'Monthly Data'!EG108</f>
        <v>1</v>
      </c>
      <c r="J108">
        <f>'Monthly Data'!EH108</f>
        <v>107</v>
      </c>
      <c r="K108" s="3">
        <f>'Monthly Data'!DQ108</f>
        <v>30</v>
      </c>
      <c r="M108" s="3">
        <f t="shared" si="35"/>
        <v>-5660024.0454457896</v>
      </c>
      <c r="N108" s="3">
        <f t="shared" si="36"/>
        <v>5225662.6856525922</v>
      </c>
      <c r="O108" s="3">
        <f t="shared" si="37"/>
        <v>502956.22612265445</v>
      </c>
      <c r="P108" s="3">
        <f t="shared" si="38"/>
        <v>0</v>
      </c>
      <c r="Q108" s="3">
        <f t="shared" si="39"/>
        <v>0</v>
      </c>
      <c r="R108" s="3">
        <f t="shared" si="40"/>
        <v>-701201.51304507197</v>
      </c>
      <c r="S108" s="3">
        <f t="shared" si="41"/>
        <v>5071163.3990301499</v>
      </c>
      <c r="T108" s="3">
        <f t="shared" si="42"/>
        <v>24121570.877002168</v>
      </c>
      <c r="U108" s="47">
        <f t="shared" si="43"/>
        <v>28560127.629316702</v>
      </c>
      <c r="V108" s="47">
        <f ca="1">'Monthly Data'!BF108+'Monthly Data'!BG108</f>
        <v>1076884.9207965562</v>
      </c>
      <c r="W108" s="47">
        <f t="shared" ca="1" si="45"/>
        <v>29637012.550113257</v>
      </c>
      <c r="X108" s="47">
        <f t="shared" ca="1" si="46"/>
        <v>1799.2264012247324</v>
      </c>
      <c r="Y108" s="18">
        <f t="shared" ca="1" si="44"/>
        <v>6.0712449799884409E-5</v>
      </c>
    </row>
    <row r="109" spans="1:25">
      <c r="A109" s="2">
        <f>'Monthly Data'!A109</f>
        <v>45627</v>
      </c>
      <c r="B109">
        <f>'Monthly Data'!B109</f>
        <v>2024</v>
      </c>
      <c r="C109">
        <f>'Monthly Data'!C109</f>
        <v>12</v>
      </c>
      <c r="D109" s="3">
        <f ca="1">'Monthly Data'!BE109</f>
        <v>35684472.821925662</v>
      </c>
      <c r="E109" s="3">
        <f>'Monthly Data'!CP109</f>
        <v>598.57499999999993</v>
      </c>
      <c r="F109" s="3">
        <f>'Monthly Data'!CU109</f>
        <v>0</v>
      </c>
      <c r="G109" s="3">
        <f>'Monthly Data'!EM109</f>
        <v>0</v>
      </c>
      <c r="H109" s="3">
        <f>'Monthly Data'!ET109</f>
        <v>0</v>
      </c>
      <c r="I109" s="3">
        <f>'Monthly Data'!EG109</f>
        <v>0</v>
      </c>
      <c r="J109">
        <f>'Monthly Data'!EH109</f>
        <v>108</v>
      </c>
      <c r="K109" s="3">
        <f>'Monthly Data'!DQ109</f>
        <v>31</v>
      </c>
      <c r="M109" s="3">
        <f t="shared" si="35"/>
        <v>-5660024.0454457896</v>
      </c>
      <c r="N109" s="3">
        <f t="shared" si="36"/>
        <v>8539509.158178594</v>
      </c>
      <c r="O109" s="3">
        <f t="shared" si="37"/>
        <v>0</v>
      </c>
      <c r="P109" s="3">
        <f t="shared" si="38"/>
        <v>0</v>
      </c>
      <c r="Q109" s="3">
        <f t="shared" si="39"/>
        <v>0</v>
      </c>
      <c r="R109" s="3">
        <f t="shared" si="40"/>
        <v>0</v>
      </c>
      <c r="S109" s="3">
        <f t="shared" si="41"/>
        <v>5118557.4494883753</v>
      </c>
      <c r="T109" s="3">
        <f t="shared" si="42"/>
        <v>24925623.239568908</v>
      </c>
      <c r="U109" s="47">
        <f t="shared" ref="U109:U121" si="47">SUM(M109:T109)</f>
        <v>32923665.801790088</v>
      </c>
      <c r="V109" s="47">
        <f ca="1">'Monthly Data'!BF109+'Monthly Data'!BG109</f>
        <v>1480392.627469345</v>
      </c>
      <c r="W109" s="47">
        <f t="shared" ref="W109:W121" ca="1" si="48">U109+V109</f>
        <v>34404058.429259434</v>
      </c>
      <c r="X109" s="47">
        <f t="shared" ref="X109:X121" ca="1" si="49">W109-D109</f>
        <v>-1280414.3926662281</v>
      </c>
      <c r="Y109" s="18">
        <f t="shared" ref="Y109:Y121" ca="1" si="50">ABS(X109/D109)</f>
        <v>3.5881555517320161E-2</v>
      </c>
    </row>
    <row r="110" spans="1:25">
      <c r="A110" s="2">
        <f>'Monthly Data'!A110</f>
        <v>45658</v>
      </c>
      <c r="B110">
        <f>'Monthly Data'!B110</f>
        <v>2025</v>
      </c>
      <c r="C110">
        <f>'Monthly Data'!C110</f>
        <v>1</v>
      </c>
      <c r="D110" s="3">
        <f ca="1">'Monthly Data'!BE110</f>
        <v>36034907.267739922</v>
      </c>
      <c r="E110" s="3">
        <f>'Monthly Data'!CP110</f>
        <v>732.42499999999995</v>
      </c>
      <c r="F110" s="3">
        <f>'Monthly Data'!CU110</f>
        <v>0</v>
      </c>
      <c r="G110" s="3">
        <f>'Monthly Data'!EM110</f>
        <v>0</v>
      </c>
      <c r="H110" s="3">
        <f>'Monthly Data'!ET110</f>
        <v>0</v>
      </c>
      <c r="I110" s="3">
        <f>'Monthly Data'!EG110</f>
        <v>0</v>
      </c>
      <c r="J110">
        <f>'Monthly Data'!EH110</f>
        <v>109</v>
      </c>
      <c r="K110" s="3">
        <f>'Monthly Data'!DQ110</f>
        <v>31</v>
      </c>
      <c r="M110" s="3">
        <f t="shared" si="35"/>
        <v>-5660024.0454457896</v>
      </c>
      <c r="N110" s="3">
        <f t="shared" si="36"/>
        <v>10449066.524961712</v>
      </c>
      <c r="O110" s="3">
        <f t="shared" si="37"/>
        <v>0</v>
      </c>
      <c r="P110" s="3">
        <f t="shared" si="38"/>
        <v>0</v>
      </c>
      <c r="Q110" s="3">
        <f t="shared" si="39"/>
        <v>0</v>
      </c>
      <c r="R110" s="3">
        <f t="shared" si="40"/>
        <v>0</v>
      </c>
      <c r="S110" s="3">
        <f t="shared" si="41"/>
        <v>5165951.4999466008</v>
      </c>
      <c r="T110" s="3">
        <f t="shared" si="42"/>
        <v>24925623.239568908</v>
      </c>
      <c r="U110" s="47">
        <f t="shared" si="47"/>
        <v>34880617.219031431</v>
      </c>
      <c r="V110" s="47">
        <f ca="1">'Monthly Data'!BF110+'Monthly Data'!BG110</f>
        <v>1976304.2653599526</v>
      </c>
      <c r="W110" s="47">
        <f t="shared" ca="1" si="48"/>
        <v>36856921.484391384</v>
      </c>
      <c r="X110" s="47">
        <f t="shared" ca="1" si="49"/>
        <v>822014.21665146202</v>
      </c>
      <c r="Y110" s="18">
        <f t="shared" ca="1" si="50"/>
        <v>2.2811609047412931E-2</v>
      </c>
    </row>
    <row r="111" spans="1:25">
      <c r="A111" s="2">
        <f>'Monthly Data'!A111</f>
        <v>45689</v>
      </c>
      <c r="B111">
        <f>'Monthly Data'!B111</f>
        <v>2025</v>
      </c>
      <c r="C111">
        <f>'Monthly Data'!C111</f>
        <v>2</v>
      </c>
      <c r="D111" s="3">
        <f ca="1">'Monthly Data'!BE111</f>
        <v>32142266.904301614</v>
      </c>
      <c r="E111" s="3">
        <f>'Monthly Data'!CP111</f>
        <v>665.25833333333344</v>
      </c>
      <c r="F111" s="3">
        <f>'Monthly Data'!CU111</f>
        <v>0</v>
      </c>
      <c r="G111" s="3">
        <f>'Monthly Data'!EM111</f>
        <v>0</v>
      </c>
      <c r="H111" s="3">
        <f>'Monthly Data'!ET111</f>
        <v>0</v>
      </c>
      <c r="I111" s="3">
        <f>'Monthly Data'!EG111</f>
        <v>0</v>
      </c>
      <c r="J111">
        <f>'Monthly Data'!EH111</f>
        <v>110</v>
      </c>
      <c r="K111" s="3">
        <f>'Monthly Data'!DQ111</f>
        <v>28</v>
      </c>
      <c r="M111" s="3">
        <f t="shared" si="35"/>
        <v>-5660024.0454457896</v>
      </c>
      <c r="N111" s="3">
        <f t="shared" si="36"/>
        <v>9490840.1287301145</v>
      </c>
      <c r="O111" s="3">
        <f t="shared" si="37"/>
        <v>0</v>
      </c>
      <c r="P111" s="3">
        <f t="shared" si="38"/>
        <v>0</v>
      </c>
      <c r="Q111" s="3">
        <f t="shared" si="39"/>
        <v>0</v>
      </c>
      <c r="R111" s="3">
        <f t="shared" si="40"/>
        <v>0</v>
      </c>
      <c r="S111" s="3">
        <f t="shared" si="41"/>
        <v>5213345.5504048271</v>
      </c>
      <c r="T111" s="3">
        <f t="shared" si="42"/>
        <v>22513466.15186869</v>
      </c>
      <c r="U111" s="47">
        <f t="shared" si="47"/>
        <v>31557627.785557844</v>
      </c>
      <c r="V111" s="47">
        <f ca="1">'Monthly Data'!BF111+'Monthly Data'!BG111</f>
        <v>1848366.0412449122</v>
      </c>
      <c r="W111" s="47">
        <f t="shared" ca="1" si="48"/>
        <v>33405993.826802757</v>
      </c>
      <c r="X111" s="47">
        <f t="shared" ca="1" si="49"/>
        <v>1263726.9225011431</v>
      </c>
      <c r="Y111" s="18">
        <f t="shared" ca="1" si="50"/>
        <v>3.9316670671165947E-2</v>
      </c>
    </row>
    <row r="112" spans="1:25">
      <c r="A112" s="2">
        <f>'Monthly Data'!A112</f>
        <v>45717</v>
      </c>
      <c r="B112">
        <f>'Monthly Data'!B112</f>
        <v>2025</v>
      </c>
      <c r="C112">
        <f>'Monthly Data'!C112</f>
        <v>3</v>
      </c>
      <c r="D112" s="3">
        <f ca="1">'Monthly Data'!BE112</f>
        <v>32007255.533239383</v>
      </c>
      <c r="E112" s="3">
        <f>'Monthly Data'!CP112</f>
        <v>518.62916666666672</v>
      </c>
      <c r="F112" s="3">
        <f>'Monthly Data'!CU112</f>
        <v>0</v>
      </c>
      <c r="G112" s="3">
        <f>'Monthly Data'!EM112</f>
        <v>0</v>
      </c>
      <c r="H112" s="3">
        <f>'Monthly Data'!ET112</f>
        <v>0</v>
      </c>
      <c r="I112" s="3">
        <f>'Monthly Data'!EG112</f>
        <v>1</v>
      </c>
      <c r="J112">
        <f>'Monthly Data'!EH112</f>
        <v>111</v>
      </c>
      <c r="K112" s="3">
        <f>'Monthly Data'!DQ112</f>
        <v>31</v>
      </c>
      <c r="M112" s="3">
        <f t="shared" si="35"/>
        <v>-5660024.0454457896</v>
      </c>
      <c r="N112" s="3">
        <f t="shared" si="36"/>
        <v>7398970.0846987143</v>
      </c>
      <c r="O112" s="3">
        <f t="shared" si="37"/>
        <v>0</v>
      </c>
      <c r="P112" s="3">
        <f t="shared" si="38"/>
        <v>0</v>
      </c>
      <c r="Q112" s="3">
        <f t="shared" si="39"/>
        <v>0</v>
      </c>
      <c r="R112" s="3">
        <f t="shared" si="40"/>
        <v>-701201.51304507197</v>
      </c>
      <c r="S112" s="3">
        <f t="shared" si="41"/>
        <v>5260739.6008630525</v>
      </c>
      <c r="T112" s="3">
        <f t="shared" si="42"/>
        <v>24925623.239568908</v>
      </c>
      <c r="U112" s="47">
        <f t="shared" si="47"/>
        <v>31224107.366639815</v>
      </c>
      <c r="V112" s="47">
        <f ca="1">'Monthly Data'!BF112+'Monthly Data'!BG112</f>
        <v>1559533.0608049363</v>
      </c>
      <c r="W112" s="47">
        <f t="shared" ca="1" si="48"/>
        <v>32783640.427444752</v>
      </c>
      <c r="X112" s="47">
        <f t="shared" ca="1" si="49"/>
        <v>776384.89420536906</v>
      </c>
      <c r="Y112" s="18">
        <f t="shared" ca="1" si="50"/>
        <v>2.425652812997656E-2</v>
      </c>
    </row>
    <row r="113" spans="1:25">
      <c r="A113" s="2">
        <f>'Monthly Data'!A113</f>
        <v>45748</v>
      </c>
      <c r="B113">
        <f>'Monthly Data'!B113</f>
        <v>2025</v>
      </c>
      <c r="C113">
        <f>'Monthly Data'!C113</f>
        <v>4</v>
      </c>
      <c r="D113" s="3">
        <f ca="1">'Monthly Data'!BE113</f>
        <v>28718318.144021403</v>
      </c>
      <c r="E113" s="3">
        <f>'Monthly Data'!CP113</f>
        <v>351.84166666666653</v>
      </c>
      <c r="F113" s="3">
        <f>'Monthly Data'!CU113</f>
        <v>0.11666666666666714</v>
      </c>
      <c r="G113" s="3">
        <f>'Monthly Data'!EM113</f>
        <v>0</v>
      </c>
      <c r="H113" s="3">
        <f>'Monthly Data'!ET113</f>
        <v>0</v>
      </c>
      <c r="I113" s="3">
        <f>'Monthly Data'!EG113</f>
        <v>1</v>
      </c>
      <c r="J113">
        <f>'Monthly Data'!EH113</f>
        <v>112</v>
      </c>
      <c r="K113" s="3">
        <f>'Monthly Data'!DQ113</f>
        <v>30</v>
      </c>
      <c r="M113" s="3">
        <f t="shared" si="35"/>
        <v>-5660024.0454457896</v>
      </c>
      <c r="N113" s="3">
        <f t="shared" si="36"/>
        <v>5019513.2351481756</v>
      </c>
      <c r="O113" s="3">
        <f t="shared" si="37"/>
        <v>10660.692150972287</v>
      </c>
      <c r="P113" s="3">
        <f t="shared" si="38"/>
        <v>0</v>
      </c>
      <c r="Q113" s="3">
        <f t="shared" si="39"/>
        <v>0</v>
      </c>
      <c r="R113" s="3">
        <f t="shared" si="40"/>
        <v>-701201.51304507197</v>
      </c>
      <c r="S113" s="3">
        <f t="shared" si="41"/>
        <v>5308133.651321278</v>
      </c>
      <c r="T113" s="3">
        <f t="shared" si="42"/>
        <v>24121570.877002168</v>
      </c>
      <c r="U113" s="47">
        <f t="shared" si="47"/>
        <v>28098652.897131734</v>
      </c>
      <c r="V113" s="47">
        <f ca="1">'Monthly Data'!BF113+'Monthly Data'!BG113</f>
        <v>1229883.7188160098</v>
      </c>
      <c r="W113" s="47">
        <f t="shared" ca="1" si="48"/>
        <v>29328536.615947742</v>
      </c>
      <c r="X113" s="47">
        <f t="shared" ca="1" si="49"/>
        <v>610218.47192633897</v>
      </c>
      <c r="Y113" s="18">
        <f t="shared" ca="1" si="50"/>
        <v>2.1248405594858091E-2</v>
      </c>
    </row>
    <row r="114" spans="1:25">
      <c r="A114" s="2">
        <f>'Monthly Data'!A114</f>
        <v>45778</v>
      </c>
      <c r="B114">
        <f>'Monthly Data'!B114</f>
        <v>2025</v>
      </c>
      <c r="C114">
        <f>'Monthly Data'!C114</f>
        <v>5</v>
      </c>
      <c r="D114" s="3">
        <f ca="1">'Monthly Data'!BE114</f>
        <v>29108990.702010304</v>
      </c>
      <c r="E114" s="3">
        <f>'Monthly Data'!CP114</f>
        <v>159.32500000000002</v>
      </c>
      <c r="F114" s="3">
        <f>'Monthly Data'!CU114</f>
        <v>27.408333333333335</v>
      </c>
      <c r="G114" s="3">
        <f>'Monthly Data'!EM114</f>
        <v>0</v>
      </c>
      <c r="H114" s="3">
        <f>'Monthly Data'!ET114</f>
        <v>0</v>
      </c>
      <c r="I114" s="3">
        <f>'Monthly Data'!EG114</f>
        <v>1</v>
      </c>
      <c r="J114">
        <f>'Monthly Data'!EH114</f>
        <v>113</v>
      </c>
      <c r="K114" s="3">
        <f>'Monthly Data'!DQ114</f>
        <v>31</v>
      </c>
      <c r="M114" s="3">
        <f t="shared" si="35"/>
        <v>-5660024.0454457896</v>
      </c>
      <c r="N114" s="3">
        <f t="shared" si="36"/>
        <v>2272993.8547831178</v>
      </c>
      <c r="O114" s="3">
        <f t="shared" si="37"/>
        <v>2504501.1774676936</v>
      </c>
      <c r="P114" s="3">
        <f t="shared" si="38"/>
        <v>0</v>
      </c>
      <c r="Q114" s="3">
        <f t="shared" si="39"/>
        <v>0</v>
      </c>
      <c r="R114" s="3">
        <f t="shared" si="40"/>
        <v>-701201.51304507197</v>
      </c>
      <c r="S114" s="3">
        <f t="shared" si="41"/>
        <v>5355527.7017795043</v>
      </c>
      <c r="T114" s="3">
        <f t="shared" si="42"/>
        <v>24925623.239568908</v>
      </c>
      <c r="U114" s="47">
        <f t="shared" si="47"/>
        <v>28697420.41510836</v>
      </c>
      <c r="V114" s="47">
        <f ca="1">'Monthly Data'!BF114+'Monthly Data'!BG114</f>
        <v>848138.25599931041</v>
      </c>
      <c r="W114" s="47">
        <f t="shared" ca="1" si="48"/>
        <v>29545558.671107672</v>
      </c>
      <c r="X114" s="47">
        <f t="shared" ca="1" si="49"/>
        <v>436567.96909736842</v>
      </c>
      <c r="Y114" s="18">
        <f t="shared" ca="1" si="50"/>
        <v>1.4997702035310296E-2</v>
      </c>
    </row>
    <row r="115" spans="1:25">
      <c r="A115" s="2">
        <f>'Monthly Data'!A115</f>
        <v>45809</v>
      </c>
      <c r="B115">
        <f>'Monthly Data'!B115</f>
        <v>2025</v>
      </c>
      <c r="C115">
        <f>'Monthly Data'!C115</f>
        <v>6</v>
      </c>
      <c r="D115" s="3">
        <f ca="1">'Monthly Data'!BE115</f>
        <v>39595367.294694006</v>
      </c>
      <c r="E115" s="3">
        <f>'Monthly Data'!CP115</f>
        <v>22.454166666666659</v>
      </c>
      <c r="F115" s="3">
        <f>'Monthly Data'!CU115</f>
        <v>168.17083333333329</v>
      </c>
      <c r="G115" s="3">
        <f>'Monthly Data'!EM115</f>
        <v>0</v>
      </c>
      <c r="H115" s="3">
        <f>'Monthly Data'!ET115</f>
        <v>0</v>
      </c>
      <c r="I115" s="3">
        <f>'Monthly Data'!EG115</f>
        <v>0</v>
      </c>
      <c r="J115">
        <f>'Monthly Data'!EH115</f>
        <v>114</v>
      </c>
      <c r="K115" s="3">
        <f>'Monthly Data'!DQ115</f>
        <v>30</v>
      </c>
      <c r="M115" s="3">
        <f t="shared" si="35"/>
        <v>-5660024.0454457896</v>
      </c>
      <c r="N115" s="3">
        <f t="shared" si="36"/>
        <v>320340.07749950874</v>
      </c>
      <c r="O115" s="3">
        <f t="shared" si="37"/>
        <v>15367006.996621095</v>
      </c>
      <c r="P115" s="3">
        <f t="shared" si="38"/>
        <v>0</v>
      </c>
      <c r="Q115" s="3">
        <f t="shared" si="39"/>
        <v>0</v>
      </c>
      <c r="R115" s="3">
        <f t="shared" si="40"/>
        <v>0</v>
      </c>
      <c r="S115" s="3">
        <f t="shared" si="41"/>
        <v>5402921.7522377297</v>
      </c>
      <c r="T115" s="3">
        <f t="shared" si="42"/>
        <v>24121570.877002168</v>
      </c>
      <c r="U115" s="47">
        <f t="shared" si="47"/>
        <v>39551815.657914713</v>
      </c>
      <c r="V115" s="47">
        <f ca="1">'Monthly Data'!BF115+'Monthly Data'!BG115</f>
        <v>579063.83668947988</v>
      </c>
      <c r="W115" s="47">
        <f t="shared" ca="1" si="48"/>
        <v>40130879.494604193</v>
      </c>
      <c r="X115" s="47">
        <f t="shared" ca="1" si="49"/>
        <v>535512.19991018623</v>
      </c>
      <c r="Y115" s="18">
        <f t="shared" ca="1" si="50"/>
        <v>1.3524617562568937E-2</v>
      </c>
    </row>
    <row r="116" spans="1:25">
      <c r="A116" s="2">
        <f>'Monthly Data'!A116</f>
        <v>45839</v>
      </c>
      <c r="B116">
        <f>'Monthly Data'!B116</f>
        <v>2025</v>
      </c>
      <c r="C116">
        <f>'Monthly Data'!C116</f>
        <v>7</v>
      </c>
      <c r="D116" s="3">
        <f ca="1">'Monthly Data'!BE116</f>
        <v>52203745.797354855</v>
      </c>
      <c r="E116" s="3">
        <f>'Monthly Data'!CP116</f>
        <v>0.75416666666666288</v>
      </c>
      <c r="F116" s="3">
        <f>'Monthly Data'!CU116</f>
        <v>273.3145833333333</v>
      </c>
      <c r="G116" s="3">
        <f>'Monthly Data'!EM116</f>
        <v>0</v>
      </c>
      <c r="H116" s="3">
        <f>'Monthly Data'!ET116</f>
        <v>0</v>
      </c>
      <c r="I116" s="3">
        <f>'Monthly Data'!EG116</f>
        <v>0</v>
      </c>
      <c r="J116">
        <f>'Monthly Data'!EH116</f>
        <v>115</v>
      </c>
      <c r="K116" s="3">
        <f>'Monthly Data'!DQ116</f>
        <v>31</v>
      </c>
      <c r="M116" s="3">
        <f t="shared" si="35"/>
        <v>-5660024.0454457896</v>
      </c>
      <c r="N116" s="3">
        <f t="shared" si="36"/>
        <v>10759.241793915533</v>
      </c>
      <c r="O116" s="3">
        <f t="shared" si="37"/>
        <v>24974765.428182133</v>
      </c>
      <c r="P116" s="3">
        <f t="shared" si="38"/>
        <v>0</v>
      </c>
      <c r="Q116" s="3">
        <f t="shared" si="39"/>
        <v>0</v>
      </c>
      <c r="R116" s="3">
        <f t="shared" si="40"/>
        <v>0</v>
      </c>
      <c r="S116" s="3">
        <f t="shared" si="41"/>
        <v>5450315.8026959551</v>
      </c>
      <c r="T116" s="3">
        <f t="shared" si="42"/>
        <v>24925623.239568908</v>
      </c>
      <c r="U116" s="47">
        <f t="shared" si="47"/>
        <v>49701439.66679512</v>
      </c>
      <c r="V116" s="47">
        <f ca="1">'Monthly Data'!BF116+'Monthly Data'!BG116</f>
        <v>543185.99645665206</v>
      </c>
      <c r="W116" s="47">
        <f t="shared" ca="1" si="48"/>
        <v>50244625.663251773</v>
      </c>
      <c r="X116" s="47">
        <f t="shared" ca="1" si="49"/>
        <v>-1959120.1341030821</v>
      </c>
      <c r="Y116" s="18">
        <f t="shared" ca="1" si="50"/>
        <v>3.752834407147753E-2</v>
      </c>
    </row>
    <row r="117" spans="1:25">
      <c r="A117" s="2">
        <f>'Monthly Data'!A117</f>
        <v>45870</v>
      </c>
      <c r="B117">
        <f>'Monthly Data'!B117</f>
        <v>2025</v>
      </c>
      <c r="C117">
        <f>'Monthly Data'!C117</f>
        <v>8</v>
      </c>
      <c r="D117" s="3">
        <f ca="1">'Monthly Data'!BE117</f>
        <v>44781623.9720359</v>
      </c>
      <c r="E117" s="3">
        <f>'Monthly Data'!CP117</f>
        <v>17.162500000000001</v>
      </c>
      <c r="F117" s="3">
        <f>'Monthly Data'!CU117</f>
        <v>198.54166666666663</v>
      </c>
      <c r="G117" s="3">
        <f>'Monthly Data'!EM117</f>
        <v>0</v>
      </c>
      <c r="H117" s="3">
        <f>'Monthly Data'!ET117</f>
        <v>0</v>
      </c>
      <c r="I117" s="3">
        <f>'Monthly Data'!EG117</f>
        <v>0</v>
      </c>
      <c r="J117">
        <f>'Monthly Data'!EH117</f>
        <v>116</v>
      </c>
      <c r="K117" s="3">
        <f>'Monthly Data'!DQ117</f>
        <v>31</v>
      </c>
      <c r="M117" s="3">
        <f t="shared" si="35"/>
        <v>-5660024.0454457896</v>
      </c>
      <c r="N117" s="3">
        <f t="shared" si="36"/>
        <v>244847.05496761497</v>
      </c>
      <c r="O117" s="3">
        <f t="shared" si="37"/>
        <v>18142213.606922403</v>
      </c>
      <c r="P117" s="3">
        <f t="shared" si="38"/>
        <v>0</v>
      </c>
      <c r="Q117" s="3">
        <f t="shared" si="39"/>
        <v>0</v>
      </c>
      <c r="R117" s="3">
        <f t="shared" si="40"/>
        <v>0</v>
      </c>
      <c r="S117" s="3">
        <f t="shared" si="41"/>
        <v>5497709.8531541806</v>
      </c>
      <c r="T117" s="3">
        <f t="shared" si="42"/>
        <v>24925623.239568908</v>
      </c>
      <c r="U117" s="47">
        <f t="shared" si="47"/>
        <v>43150369.709167317</v>
      </c>
      <c r="V117" s="47">
        <f ca="1">'Monthly Data'!BF117+'Monthly Data'!BG117</f>
        <v>584469.4713802319</v>
      </c>
      <c r="W117" s="47">
        <f t="shared" ca="1" si="48"/>
        <v>43734839.18054755</v>
      </c>
      <c r="X117" s="47">
        <f t="shared" ca="1" si="49"/>
        <v>-1046784.7914883494</v>
      </c>
      <c r="Y117" s="18">
        <f t="shared" ca="1" si="50"/>
        <v>2.3375320022829438E-2</v>
      </c>
    </row>
    <row r="118" spans="1:25">
      <c r="A118" s="2">
        <f>'Monthly Data'!A118</f>
        <v>45901</v>
      </c>
      <c r="B118">
        <f>'Monthly Data'!B118</f>
        <v>2025</v>
      </c>
      <c r="C118">
        <f>'Monthly Data'!C118</f>
        <v>9</v>
      </c>
      <c r="D118" s="3">
        <f ca="1">'Monthly Data'!BE118</f>
        <v>33269740.412395149</v>
      </c>
      <c r="E118" s="3">
        <f>'Monthly Data'!CP118</f>
        <v>37.166666666666657</v>
      </c>
      <c r="F118" s="3">
        <f>'Monthly Data'!CU118</f>
        <v>94.837499999999977</v>
      </c>
      <c r="G118" s="3">
        <f>'Monthly Data'!EM118</f>
        <v>0</v>
      </c>
      <c r="H118" s="3">
        <f>'Monthly Data'!ET118</f>
        <v>0</v>
      </c>
      <c r="I118" s="3">
        <f>'Monthly Data'!EG118</f>
        <v>1</v>
      </c>
      <c r="J118">
        <f>'Monthly Data'!EH118</f>
        <v>117</v>
      </c>
      <c r="K118" s="3">
        <f>'Monthly Data'!DQ118</f>
        <v>30</v>
      </c>
      <c r="M118" s="3">
        <f t="shared" si="35"/>
        <v>-5660024.0454457896</v>
      </c>
      <c r="N118" s="3">
        <f t="shared" si="36"/>
        <v>530234.45746810513</v>
      </c>
      <c r="O118" s="3">
        <f t="shared" si="37"/>
        <v>8666000.5017242562</v>
      </c>
      <c r="P118" s="3">
        <f t="shared" si="38"/>
        <v>0</v>
      </c>
      <c r="Q118" s="3">
        <f t="shared" si="39"/>
        <v>0</v>
      </c>
      <c r="R118" s="3">
        <f t="shared" si="40"/>
        <v>-701201.51304507197</v>
      </c>
      <c r="S118" s="3">
        <f t="shared" si="41"/>
        <v>5545103.9036124069</v>
      </c>
      <c r="T118" s="3">
        <f t="shared" si="42"/>
        <v>24121570.877002168</v>
      </c>
      <c r="U118" s="47">
        <f t="shared" si="47"/>
        <v>32501684.181316078</v>
      </c>
      <c r="V118" s="47">
        <f ca="1">'Monthly Data'!BF118+'Monthly Data'!BG118</f>
        <v>633033.74829156394</v>
      </c>
      <c r="W118" s="47">
        <f t="shared" ca="1" si="48"/>
        <v>33134717.929607641</v>
      </c>
      <c r="X118" s="47">
        <f t="shared" ca="1" si="49"/>
        <v>-135022.48278750852</v>
      </c>
      <c r="Y118" s="18">
        <f t="shared" ca="1" si="50"/>
        <v>4.0584170815232403E-3</v>
      </c>
    </row>
    <row r="119" spans="1:25">
      <c r="A119" s="2">
        <f>'Monthly Data'!A119</f>
        <v>45931</v>
      </c>
      <c r="B119">
        <f>'Monthly Data'!B119</f>
        <v>2025</v>
      </c>
      <c r="C119">
        <f>'Monthly Data'!C119</f>
        <v>10</v>
      </c>
      <c r="D119" s="3">
        <f ca="1">'Monthly Data'!BE119</f>
        <v>29877532.560799152</v>
      </c>
      <c r="E119" s="3">
        <f>'Monthly Data'!CP119</f>
        <v>220.16250000000002</v>
      </c>
      <c r="F119" s="3">
        <f>'Monthly Data'!CU119</f>
        <v>21.899999999999995</v>
      </c>
      <c r="G119" s="3">
        <f>'Monthly Data'!EM119</f>
        <v>0</v>
      </c>
      <c r="H119" s="3">
        <f>'Monthly Data'!ET119</f>
        <v>0</v>
      </c>
      <c r="I119" s="3">
        <f>'Monthly Data'!EG119</f>
        <v>1</v>
      </c>
      <c r="J119">
        <f>'Monthly Data'!EH119</f>
        <v>118</v>
      </c>
      <c r="K119" s="3">
        <f>'Monthly Data'!DQ119</f>
        <v>31</v>
      </c>
      <c r="M119" s="3">
        <f t="shared" si="35"/>
        <v>-5660024.0454457896</v>
      </c>
      <c r="N119" s="3">
        <f t="shared" si="36"/>
        <v>3140925.8406005846</v>
      </c>
      <c r="O119" s="3">
        <f t="shared" si="37"/>
        <v>2001164.2123396464</v>
      </c>
      <c r="P119" s="3">
        <f t="shared" si="38"/>
        <v>0</v>
      </c>
      <c r="Q119" s="3">
        <f t="shared" si="39"/>
        <v>0</v>
      </c>
      <c r="R119" s="3">
        <f t="shared" si="40"/>
        <v>-701201.51304507197</v>
      </c>
      <c r="S119" s="3">
        <f t="shared" si="41"/>
        <v>5592497.9540706323</v>
      </c>
      <c r="T119" s="3">
        <f t="shared" si="42"/>
        <v>24925623.239568908</v>
      </c>
      <c r="U119" s="47">
        <f t="shared" si="47"/>
        <v>29298985.688088909</v>
      </c>
      <c r="V119" s="47">
        <f ca="1">'Monthly Data'!BF119+'Monthly Data'!BG119</f>
        <v>1011621.6777601186</v>
      </c>
      <c r="W119" s="47">
        <f t="shared" ca="1" si="48"/>
        <v>30310607.365849026</v>
      </c>
      <c r="X119" s="47">
        <f t="shared" ca="1" si="49"/>
        <v>433074.80504987389</v>
      </c>
      <c r="Y119" s="18">
        <f t="shared" ca="1" si="50"/>
        <v>1.4494999015350087E-2</v>
      </c>
    </row>
    <row r="120" spans="1:25">
      <c r="A120" s="2">
        <f>'Monthly Data'!A120</f>
        <v>45962</v>
      </c>
      <c r="B120">
        <f>'Monthly Data'!B120</f>
        <v>2025</v>
      </c>
      <c r="C120">
        <f>'Monthly Data'!C120</f>
        <v>11</v>
      </c>
      <c r="D120" s="3">
        <f ca="1">'Monthly Data'!BE120</f>
        <v>31494935.916023552</v>
      </c>
      <c r="E120" s="3">
        <f>'Monthly Data'!CP120</f>
        <v>460.61250000000013</v>
      </c>
      <c r="F120" s="3">
        <f>'Monthly Data'!CU120</f>
        <v>0</v>
      </c>
      <c r="G120" s="3">
        <f>'Monthly Data'!EM120</f>
        <v>0</v>
      </c>
      <c r="H120" s="3">
        <f>'Monthly Data'!ET120</f>
        <v>0</v>
      </c>
      <c r="I120" s="3">
        <f>'Monthly Data'!EG120</f>
        <v>1</v>
      </c>
      <c r="J120">
        <f>'Monthly Data'!EH120</f>
        <v>119</v>
      </c>
      <c r="K120" s="3">
        <f>'Monthly Data'!DQ120</f>
        <v>30</v>
      </c>
      <c r="M120" s="3">
        <f t="shared" si="35"/>
        <v>-5660024.0454457896</v>
      </c>
      <c r="N120" s="3">
        <f t="shared" si="36"/>
        <v>6571281.2297899825</v>
      </c>
      <c r="O120" s="3">
        <f t="shared" si="37"/>
        <v>0</v>
      </c>
      <c r="P120" s="3">
        <f t="shared" si="38"/>
        <v>0</v>
      </c>
      <c r="Q120" s="3">
        <f t="shared" si="39"/>
        <v>0</v>
      </c>
      <c r="R120" s="3">
        <f t="shared" si="40"/>
        <v>-701201.51304507197</v>
      </c>
      <c r="S120" s="3">
        <f t="shared" si="41"/>
        <v>5639892.0045288578</v>
      </c>
      <c r="T120" s="3">
        <f t="shared" si="42"/>
        <v>24121570.877002168</v>
      </c>
      <c r="U120" s="47">
        <f t="shared" si="47"/>
        <v>29971518.552830148</v>
      </c>
      <c r="V120" s="47">
        <f ca="1">'Monthly Data'!BF120+'Monthly Data'!BG120</f>
        <v>1506542.1432763124</v>
      </c>
      <c r="W120" s="47">
        <f t="shared" ca="1" si="48"/>
        <v>31478060.69610646</v>
      </c>
      <c r="X120" s="47">
        <f t="shared" ca="1" si="49"/>
        <v>-16875.219917092472</v>
      </c>
      <c r="Y120" s="18">
        <f t="shared" ca="1" si="50"/>
        <v>5.3580740605688724E-4</v>
      </c>
    </row>
    <row r="121" spans="1:25">
      <c r="A121" s="2">
        <f>'Monthly Data'!A121</f>
        <v>45992</v>
      </c>
      <c r="B121">
        <f>'Monthly Data'!B121</f>
        <v>2025</v>
      </c>
      <c r="C121">
        <f>'Monthly Data'!C121</f>
        <v>12</v>
      </c>
      <c r="D121" s="3">
        <f ca="1">'Monthly Data'!BE121</f>
        <v>36852000.337815709</v>
      </c>
      <c r="E121" s="3">
        <f>'Monthly Data'!CP121</f>
        <v>682.2</v>
      </c>
      <c r="F121" s="3">
        <f>'Monthly Data'!CU121</f>
        <v>0</v>
      </c>
      <c r="G121" s="3">
        <f>'Monthly Data'!EM121</f>
        <v>0</v>
      </c>
      <c r="H121" s="3">
        <f>'Monthly Data'!ET121</f>
        <v>0</v>
      </c>
      <c r="I121" s="3">
        <f>'Monthly Data'!EG121</f>
        <v>0</v>
      </c>
      <c r="J121">
        <f>'Monthly Data'!EH121</f>
        <v>120</v>
      </c>
      <c r="K121" s="3">
        <f>'Monthly Data'!DQ121</f>
        <v>31</v>
      </c>
      <c r="M121" s="3">
        <f t="shared" si="35"/>
        <v>-5660024.0454457896</v>
      </c>
      <c r="N121" s="3">
        <f t="shared" si="36"/>
        <v>9732536.6874818318</v>
      </c>
      <c r="O121" s="3">
        <f t="shared" si="37"/>
        <v>0</v>
      </c>
      <c r="P121" s="3">
        <f t="shared" si="38"/>
        <v>0</v>
      </c>
      <c r="Q121" s="3">
        <f t="shared" si="39"/>
        <v>0</v>
      </c>
      <c r="R121" s="3">
        <f t="shared" si="40"/>
        <v>0</v>
      </c>
      <c r="S121" s="3">
        <f t="shared" si="41"/>
        <v>5687286.0549870841</v>
      </c>
      <c r="T121" s="3">
        <f t="shared" si="42"/>
        <v>24925623.239568908</v>
      </c>
      <c r="U121" s="47">
        <f t="shared" si="47"/>
        <v>34685421.936592035</v>
      </c>
      <c r="V121" s="47">
        <f ca="1">'Monthly Data'!BF121+'Monthly Data'!BG121</f>
        <v>1963270.0356771485</v>
      </c>
      <c r="W121" s="47">
        <f t="shared" ca="1" si="48"/>
        <v>36648691.972269185</v>
      </c>
      <c r="X121" s="47">
        <f t="shared" ca="1" si="49"/>
        <v>-203308.36554652452</v>
      </c>
      <c r="Y121" s="18">
        <f t="shared" ca="1" si="50"/>
        <v>5.51688819284796E-3</v>
      </c>
    </row>
    <row r="122" spans="1:25">
      <c r="Y122" s="17">
        <f ca="1">AVERAGE(Y2:Y120)</f>
        <v>2.1273877864689782E-2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4A2AC-DDEA-463A-B14C-1DBB6BFB4CAC}">
  <sheetPr codeName="Sheet16">
    <tabColor theme="9" tint="0.79998168889431442"/>
  </sheetPr>
  <dimension ref="A1:AJ122"/>
  <sheetViews>
    <sheetView topLeftCell="S25" workbookViewId="0">
      <selection activeCell="X15" sqref="X15"/>
    </sheetView>
  </sheetViews>
  <sheetFormatPr defaultRowHeight="14.5"/>
  <cols>
    <col min="4" max="4" width="24.81640625" customWidth="1"/>
    <col min="8" max="8" width="9.1796875" bestFit="1" customWidth="1"/>
    <col min="12" max="12" width="13.81640625" bestFit="1" customWidth="1"/>
    <col min="13" max="14" width="11.1796875" bestFit="1" customWidth="1"/>
    <col min="15" max="15" width="10.1796875" bestFit="1" customWidth="1"/>
    <col min="16" max="17" width="11.1796875" bestFit="1" customWidth="1"/>
    <col min="18" max="18" width="11.1796875" customWidth="1"/>
    <col min="19" max="21" width="12.54296875" customWidth="1"/>
    <col min="22" max="22" width="10.1796875" bestFit="1" customWidth="1"/>
    <col min="26" max="26" width="11.81640625" customWidth="1"/>
    <col min="27" max="27" width="13.81640625" bestFit="1" customWidth="1"/>
    <col min="28" max="28" width="12.81640625" bestFit="1" customWidth="1"/>
    <col min="29" max="29" width="13.81640625" bestFit="1" customWidth="1"/>
    <col min="30" max="30" width="8.81640625" bestFit="1" customWidth="1"/>
    <col min="33" max="33" width="10.1796875" bestFit="1" customWidth="1"/>
  </cols>
  <sheetData>
    <row r="1" spans="1:36">
      <c r="A1" s="541" t="str">
        <f>'Monthly Data'!A1</f>
        <v>Date</v>
      </c>
      <c r="B1" s="541" t="str">
        <f>'Monthly Data'!B1</f>
        <v>Year</v>
      </c>
      <c r="C1" s="541" t="str">
        <f>'Monthly Data'!C1</f>
        <v>Month</v>
      </c>
      <c r="D1" s="541" t="str">
        <f>'Monthly Data'!BK1</f>
        <v>WRZ_GSlt50kWh_No_CDM</v>
      </c>
      <c r="E1" s="541" t="str">
        <f>'Monthly Data'!CN1</f>
        <v>HDD20</v>
      </c>
      <c r="F1" s="541" t="str">
        <f>'Monthly Data'!CW1</f>
        <v>CDD12</v>
      </c>
      <c r="G1" s="541" t="str">
        <f>'Monthly Data'!DQ1</f>
        <v>Month Days</v>
      </c>
      <c r="H1" s="541" t="str">
        <f>'Monthly Data'!DD1</f>
        <v>Osh_FTEAdj</v>
      </c>
      <c r="I1" s="541" t="str">
        <f>'Monthly Data'!EJ1</f>
        <v>COVID_AM</v>
      </c>
      <c r="J1" s="541" t="str">
        <f>'Monthly Data'!EF1</f>
        <v>Fall</v>
      </c>
      <c r="K1" s="541"/>
      <c r="L1" s="541" t="str">
        <f>Z8</f>
        <v>const</v>
      </c>
      <c r="M1" s="541" t="str">
        <f>E1</f>
        <v>HDD20</v>
      </c>
      <c r="N1" s="541" t="str">
        <f>F1</f>
        <v>CDD12</v>
      </c>
      <c r="O1" s="541" t="str">
        <f t="shared" ref="O1:R1" si="0">G1</f>
        <v>Month Days</v>
      </c>
      <c r="P1" s="541" t="str">
        <f t="shared" si="0"/>
        <v>Osh_FTEAdj</v>
      </c>
      <c r="Q1" s="541" t="str">
        <f t="shared" si="0"/>
        <v>COVID_AM</v>
      </c>
      <c r="R1" s="541" t="str">
        <f t="shared" si="0"/>
        <v>Fall</v>
      </c>
      <c r="S1" s="541" t="s">
        <v>293</v>
      </c>
      <c r="T1" s="541" t="s">
        <v>294</v>
      </c>
      <c r="U1" s="541" t="s">
        <v>295</v>
      </c>
      <c r="V1" s="541" t="s">
        <v>296</v>
      </c>
      <c r="W1" s="541"/>
    </row>
    <row r="2" spans="1:36">
      <c r="A2" s="2">
        <f>'Monthly Data'!A2</f>
        <v>42370</v>
      </c>
      <c r="B2">
        <f>'Monthly Data'!B2</f>
        <v>2016</v>
      </c>
      <c r="C2">
        <f>'Monthly Data'!C2</f>
        <v>1</v>
      </c>
      <c r="D2" s="3">
        <f>'Monthly Data'!BK2</f>
        <v>7678617.2533886498</v>
      </c>
      <c r="E2" s="3">
        <f>'Monthly Data'!CN2</f>
        <v>737.87916666666683</v>
      </c>
      <c r="F2" s="3">
        <f>'Monthly Data'!CW2</f>
        <v>0</v>
      </c>
      <c r="G2" s="3">
        <f>'Monthly Data'!DQ2</f>
        <v>31</v>
      </c>
      <c r="H2" s="3">
        <f>'Monthly Data'!DD2</f>
        <v>203.1</v>
      </c>
      <c r="I2">
        <f>'Monthly Data'!EJ2</f>
        <v>0</v>
      </c>
      <c r="J2">
        <f>'Monthly Data'!EF2</f>
        <v>0</v>
      </c>
      <c r="L2" s="3">
        <f t="shared" ref="L2:L33" si="1">$AA$8</f>
        <v>172054.52120783599</v>
      </c>
      <c r="M2" s="3">
        <f t="shared" ref="M2:M33" si="2">E2*$AA$9</f>
        <v>2836460.8142881277</v>
      </c>
      <c r="N2" s="3">
        <f t="shared" ref="N2:N33" si="3">F2*$AA$10</f>
        <v>0</v>
      </c>
      <c r="O2" s="3">
        <f t="shared" ref="O2:O33" si="4">G2*$AA$11</f>
        <v>4884782.537752077</v>
      </c>
      <c r="P2" s="3">
        <f t="shared" ref="P2:P33" si="5">H2*$AA$12</f>
        <v>0</v>
      </c>
      <c r="Q2" s="3">
        <f t="shared" ref="Q2:Q33" si="6">I2*$AA$13</f>
        <v>0</v>
      </c>
      <c r="R2" s="3">
        <f t="shared" ref="R2:R33" si="7">J2*$AA$14</f>
        <v>0</v>
      </c>
      <c r="S2" s="47">
        <f t="shared" ref="S2:S42" si="8">SUM(L2:R2)</f>
        <v>7893297.8732480407</v>
      </c>
      <c r="T2" s="47">
        <f>'Monthly Data'!BL2+'Monthly Data'!BM2</f>
        <v>0</v>
      </c>
      <c r="U2" s="47">
        <f t="shared" ref="U2:U42" si="9">S2+T2</f>
        <v>7893297.8732480407</v>
      </c>
      <c r="V2" s="47">
        <f t="shared" ref="V2:V42" si="10">U2-D2</f>
        <v>214680.61985939089</v>
      </c>
      <c r="W2" s="18">
        <f t="shared" ref="W2:W9" si="11">ABS(V2/D2)</f>
        <v>2.7958239455762719E-2</v>
      </c>
    </row>
    <row r="3" spans="1:36">
      <c r="A3" s="2">
        <f>'Monthly Data'!A3</f>
        <v>42401</v>
      </c>
      <c r="B3">
        <f>'Monthly Data'!B3</f>
        <v>2016</v>
      </c>
      <c r="C3">
        <f>'Monthly Data'!C3</f>
        <v>2</v>
      </c>
      <c r="D3" s="3">
        <f>'Monthly Data'!BK3</f>
        <v>7199584.2390929768</v>
      </c>
      <c r="E3" s="3">
        <f>'Monthly Data'!CN3</f>
        <v>661.70833333333326</v>
      </c>
      <c r="F3" s="3">
        <f>'Monthly Data'!CW3</f>
        <v>0</v>
      </c>
      <c r="G3" s="3">
        <f>'Monthly Data'!DQ3</f>
        <v>29</v>
      </c>
      <c r="H3" s="3">
        <f>'Monthly Data'!DD3</f>
        <v>204.7</v>
      </c>
      <c r="I3">
        <f>'Monthly Data'!EJ3</f>
        <v>0</v>
      </c>
      <c r="J3">
        <f>'Monthly Data'!EF3</f>
        <v>0</v>
      </c>
      <c r="L3" s="3">
        <f t="shared" si="1"/>
        <v>172054.52120783599</v>
      </c>
      <c r="M3" s="3">
        <f t="shared" si="2"/>
        <v>2543654.6290726089</v>
      </c>
      <c r="N3" s="3">
        <f t="shared" si="3"/>
        <v>0</v>
      </c>
      <c r="O3" s="3">
        <f t="shared" si="4"/>
        <v>4569635.277251943</v>
      </c>
      <c r="P3" s="3">
        <f t="shared" si="5"/>
        <v>0</v>
      </c>
      <c r="Q3" s="3">
        <f t="shared" si="6"/>
        <v>0</v>
      </c>
      <c r="R3" s="3">
        <f t="shared" si="7"/>
        <v>0</v>
      </c>
      <c r="S3" s="47">
        <f t="shared" si="8"/>
        <v>7285344.4275323879</v>
      </c>
      <c r="T3" s="47">
        <f>'Monthly Data'!BL3+'Monthly Data'!BM3</f>
        <v>0</v>
      </c>
      <c r="U3" s="47">
        <f t="shared" si="9"/>
        <v>7285344.4275323879</v>
      </c>
      <c r="V3" s="47">
        <f t="shared" si="10"/>
        <v>85760.188439411111</v>
      </c>
      <c r="W3" s="18">
        <f t="shared" si="11"/>
        <v>1.1911825126476389E-2</v>
      </c>
      <c r="Z3" s="651" t="s">
        <v>348</v>
      </c>
      <c r="AA3" s="651"/>
      <c r="AB3" s="651"/>
      <c r="AC3" s="651"/>
      <c r="AD3" s="651"/>
      <c r="AF3" s="651" t="s">
        <v>349</v>
      </c>
      <c r="AG3" s="651"/>
      <c r="AH3" s="651"/>
      <c r="AI3" s="651"/>
      <c r="AJ3" s="651"/>
    </row>
    <row r="4" spans="1:36">
      <c r="A4" s="2">
        <f>'Monthly Data'!A4</f>
        <v>42430</v>
      </c>
      <c r="B4">
        <f>'Monthly Data'!B4</f>
        <v>2016</v>
      </c>
      <c r="C4">
        <f>'Monthly Data'!C4</f>
        <v>3</v>
      </c>
      <c r="D4" s="3">
        <f>'Monthly Data'!BK4</f>
        <v>7114142.7948183576</v>
      </c>
      <c r="E4" s="3">
        <f>'Monthly Data'!CN4</f>
        <v>577.07934782608709</v>
      </c>
      <c r="F4" s="3">
        <f>'Monthly Data'!CW4</f>
        <v>0</v>
      </c>
      <c r="G4" s="3">
        <f>'Monthly Data'!DQ4</f>
        <v>31</v>
      </c>
      <c r="H4" s="3">
        <f>'Monthly Data'!DD4</f>
        <v>205.8</v>
      </c>
      <c r="I4">
        <f>'Monthly Data'!EJ4</f>
        <v>0</v>
      </c>
      <c r="J4">
        <f>'Monthly Data'!EF4</f>
        <v>0</v>
      </c>
      <c r="L4" s="3">
        <f t="shared" si="1"/>
        <v>172054.52120783599</v>
      </c>
      <c r="M4" s="3">
        <f t="shared" si="2"/>
        <v>2218334.6959612551</v>
      </c>
      <c r="N4" s="3">
        <f t="shared" si="3"/>
        <v>0</v>
      </c>
      <c r="O4" s="3">
        <f t="shared" si="4"/>
        <v>4884782.537752077</v>
      </c>
      <c r="P4" s="3">
        <f t="shared" si="5"/>
        <v>0</v>
      </c>
      <c r="Q4" s="3">
        <f t="shared" si="6"/>
        <v>0</v>
      </c>
      <c r="R4" s="3">
        <f t="shared" si="7"/>
        <v>0</v>
      </c>
      <c r="S4" s="47">
        <f t="shared" si="8"/>
        <v>7275171.7549211681</v>
      </c>
      <c r="T4" s="47">
        <f>'Monthly Data'!BL4+'Monthly Data'!BM4</f>
        <v>0</v>
      </c>
      <c r="U4" s="47">
        <f t="shared" si="9"/>
        <v>7275171.7549211681</v>
      </c>
      <c r="V4" s="47">
        <f t="shared" si="10"/>
        <v>161028.96010281052</v>
      </c>
      <c r="W4" s="18">
        <f t="shared" si="11"/>
        <v>2.2635047502855474E-2</v>
      </c>
      <c r="Z4" s="651" t="s">
        <v>350</v>
      </c>
      <c r="AA4" s="651"/>
      <c r="AB4" s="651"/>
      <c r="AC4" s="651"/>
      <c r="AD4" s="651"/>
      <c r="AF4" s="651" t="s">
        <v>350</v>
      </c>
      <c r="AG4" s="651"/>
      <c r="AH4" s="651"/>
      <c r="AI4" s="651"/>
      <c r="AJ4" s="651"/>
    </row>
    <row r="5" spans="1:36">
      <c r="A5" s="2">
        <f>'Monthly Data'!A5</f>
        <v>42461</v>
      </c>
      <c r="B5">
        <f>'Monthly Data'!B5</f>
        <v>2016</v>
      </c>
      <c r="C5">
        <f>'Monthly Data'!C5</f>
        <v>4</v>
      </c>
      <c r="D5" s="3">
        <f>'Monthly Data'!BK5</f>
        <v>6627203.0664132619</v>
      </c>
      <c r="E5" s="3">
        <f>'Monthly Data'!CN5</f>
        <v>465.98333333333341</v>
      </c>
      <c r="F5" s="3">
        <f>'Monthly Data'!CW5</f>
        <v>3.2208333333333368</v>
      </c>
      <c r="G5" s="3">
        <f>'Monthly Data'!DQ5</f>
        <v>30</v>
      </c>
      <c r="H5" s="3">
        <f>'Monthly Data'!DD5</f>
        <v>205.3</v>
      </c>
      <c r="I5">
        <f>'Monthly Data'!EJ5</f>
        <v>0</v>
      </c>
      <c r="J5">
        <f>'Monthly Data'!EF5</f>
        <v>0</v>
      </c>
      <c r="L5" s="3">
        <f t="shared" si="1"/>
        <v>172054.52120783599</v>
      </c>
      <c r="M5" s="3">
        <f t="shared" si="2"/>
        <v>1791273.5916942535</v>
      </c>
      <c r="N5" s="3">
        <f t="shared" si="3"/>
        <v>31461.176591970074</v>
      </c>
      <c r="O5" s="3">
        <f t="shared" si="4"/>
        <v>4727208.9075020105</v>
      </c>
      <c r="P5" s="3">
        <f t="shared" si="5"/>
        <v>0</v>
      </c>
      <c r="Q5" s="3">
        <f t="shared" si="6"/>
        <v>0</v>
      </c>
      <c r="R5" s="3">
        <f t="shared" si="7"/>
        <v>0</v>
      </c>
      <c r="S5" s="47">
        <f t="shared" si="8"/>
        <v>6721998.1969960704</v>
      </c>
      <c r="T5" s="47">
        <f>'Monthly Data'!BL5+'Monthly Data'!BM5</f>
        <v>0</v>
      </c>
      <c r="U5" s="47">
        <f t="shared" si="9"/>
        <v>6721998.1969960704</v>
      </c>
      <c r="V5" s="47">
        <f t="shared" si="10"/>
        <v>94795.130582808517</v>
      </c>
      <c r="W5" s="18">
        <f t="shared" si="11"/>
        <v>1.4303942346844822E-2</v>
      </c>
      <c r="Z5" s="651" t="s">
        <v>351</v>
      </c>
      <c r="AA5" s="651"/>
      <c r="AB5" s="651"/>
      <c r="AC5" s="651"/>
      <c r="AD5" s="651"/>
      <c r="AF5" s="651" t="s">
        <v>352</v>
      </c>
      <c r="AG5" s="651"/>
      <c r="AH5" s="651"/>
      <c r="AI5" s="651"/>
      <c r="AJ5" s="651"/>
    </row>
    <row r="6" spans="1:36">
      <c r="A6" s="2">
        <f>'Monthly Data'!A6</f>
        <v>42491</v>
      </c>
      <c r="B6">
        <f>'Monthly Data'!B6</f>
        <v>2016</v>
      </c>
      <c r="C6">
        <f>'Monthly Data'!C6</f>
        <v>5</v>
      </c>
      <c r="D6" s="3">
        <f>'Monthly Data'!BK6</f>
        <v>6644336.0235639242</v>
      </c>
      <c r="E6" s="3">
        <f>'Monthly Data'!CN6</f>
        <v>203.72361111111115</v>
      </c>
      <c r="F6" s="3">
        <f>'Monthly Data'!CW6</f>
        <v>98.295833333333348</v>
      </c>
      <c r="G6" s="3">
        <f>'Monthly Data'!DQ6</f>
        <v>31</v>
      </c>
      <c r="H6" s="3">
        <f>'Monthly Data'!DD6</f>
        <v>204.8</v>
      </c>
      <c r="I6">
        <f>'Monthly Data'!EJ6</f>
        <v>0</v>
      </c>
      <c r="J6">
        <f>'Monthly Data'!EF6</f>
        <v>0</v>
      </c>
      <c r="L6" s="3">
        <f t="shared" si="1"/>
        <v>172054.52120783599</v>
      </c>
      <c r="M6" s="3">
        <f t="shared" si="2"/>
        <v>783128.27623575239</v>
      </c>
      <c r="N6" s="3">
        <f t="shared" si="3"/>
        <v>960156.03749180504</v>
      </c>
      <c r="O6" s="3">
        <f t="shared" si="4"/>
        <v>4884782.537752077</v>
      </c>
      <c r="P6" s="3">
        <f t="shared" si="5"/>
        <v>0</v>
      </c>
      <c r="Q6" s="3">
        <f t="shared" si="6"/>
        <v>0</v>
      </c>
      <c r="R6" s="3">
        <f t="shared" si="7"/>
        <v>0</v>
      </c>
      <c r="S6" s="47">
        <f t="shared" si="8"/>
        <v>6800121.3726874702</v>
      </c>
      <c r="T6" s="47">
        <f>'Monthly Data'!BL6+'Monthly Data'!BM6</f>
        <v>0</v>
      </c>
      <c r="U6" s="47">
        <f t="shared" si="9"/>
        <v>6800121.3726874702</v>
      </c>
      <c r="V6" s="47">
        <f t="shared" si="10"/>
        <v>155785.34912354592</v>
      </c>
      <c r="W6" s="18">
        <f t="shared" si="11"/>
        <v>2.3446338139892109E-2</v>
      </c>
      <c r="Z6" s="652"/>
      <c r="AA6" s="652"/>
      <c r="AB6" s="652"/>
      <c r="AC6" s="652"/>
      <c r="AD6" s="652"/>
      <c r="AF6" s="652"/>
      <c r="AG6" s="652"/>
      <c r="AH6" s="652"/>
      <c r="AI6" s="652"/>
      <c r="AJ6" s="652"/>
    </row>
    <row r="7" spans="1:36">
      <c r="A7" s="2">
        <f>'Monthly Data'!A7</f>
        <v>42522</v>
      </c>
      <c r="B7">
        <f>'Monthly Data'!B7</f>
        <v>2016</v>
      </c>
      <c r="C7">
        <f>'Monthly Data'!C7</f>
        <v>6</v>
      </c>
      <c r="D7" s="3">
        <f>'Monthly Data'!BK7</f>
        <v>7166517.3084073551</v>
      </c>
      <c r="E7" s="3">
        <f>'Monthly Data'!CN7</f>
        <v>56.883333333333326</v>
      </c>
      <c r="F7" s="3">
        <f>'Monthly Data'!CW7</f>
        <v>203.85416666666669</v>
      </c>
      <c r="G7" s="3">
        <f>'Monthly Data'!DQ7</f>
        <v>30</v>
      </c>
      <c r="H7" s="3">
        <f>'Monthly Data'!DD7</f>
        <v>203.4</v>
      </c>
      <c r="I7">
        <f>'Monthly Data'!EJ7</f>
        <v>0</v>
      </c>
      <c r="J7">
        <f>'Monthly Data'!EF7</f>
        <v>0</v>
      </c>
      <c r="L7" s="3">
        <f t="shared" si="1"/>
        <v>172054.52120783599</v>
      </c>
      <c r="M7" s="3">
        <f t="shared" si="2"/>
        <v>218663.64206346741</v>
      </c>
      <c r="N7" s="3">
        <f t="shared" si="3"/>
        <v>1991252.3476871077</v>
      </c>
      <c r="O7" s="3">
        <f t="shared" si="4"/>
        <v>4727208.9075020105</v>
      </c>
      <c r="P7" s="3">
        <f t="shared" si="5"/>
        <v>0</v>
      </c>
      <c r="Q7" s="3">
        <f t="shared" si="6"/>
        <v>0</v>
      </c>
      <c r="R7" s="3">
        <f t="shared" si="7"/>
        <v>0</v>
      </c>
      <c r="S7" s="47">
        <f t="shared" si="8"/>
        <v>7109179.4184604213</v>
      </c>
      <c r="T7" s="47">
        <f>'Monthly Data'!BL7+'Monthly Data'!BM7</f>
        <v>0</v>
      </c>
      <c r="U7" s="47">
        <f t="shared" si="9"/>
        <v>7109179.4184604213</v>
      </c>
      <c r="V7" s="47">
        <f t="shared" si="10"/>
        <v>-57337.889946933836</v>
      </c>
      <c r="W7" s="18">
        <f t="shared" si="11"/>
        <v>8.0008025487733423E-3</v>
      </c>
      <c r="Z7" s="652"/>
      <c r="AA7" s="652" t="s">
        <v>300</v>
      </c>
      <c r="AB7" s="652" t="s">
        <v>301</v>
      </c>
      <c r="AC7" s="652" t="s">
        <v>302</v>
      </c>
      <c r="AD7" s="652" t="s">
        <v>303</v>
      </c>
      <c r="AF7" s="652"/>
      <c r="AG7" s="652" t="s">
        <v>300</v>
      </c>
      <c r="AH7" s="652" t="s">
        <v>301</v>
      </c>
      <c r="AI7" s="652" t="s">
        <v>302</v>
      </c>
      <c r="AJ7" s="652" t="s">
        <v>303</v>
      </c>
    </row>
    <row r="8" spans="1:36">
      <c r="A8" s="2">
        <f>'Monthly Data'!A8</f>
        <v>42552</v>
      </c>
      <c r="B8">
        <f>'Monthly Data'!B8</f>
        <v>2016</v>
      </c>
      <c r="C8">
        <f>'Monthly Data'!C8</f>
        <v>7</v>
      </c>
      <c r="D8" s="3">
        <f>'Monthly Data'!BK8</f>
        <v>7916002.5638074912</v>
      </c>
      <c r="E8" s="3">
        <f>'Monthly Data'!CN8</f>
        <v>8.75416666666667</v>
      </c>
      <c r="F8" s="3">
        <f>'Monthly Data'!CW8</f>
        <v>313.22916666666657</v>
      </c>
      <c r="G8" s="3">
        <f>'Monthly Data'!DQ8</f>
        <v>31</v>
      </c>
      <c r="H8" s="3">
        <f>'Monthly Data'!DD8</f>
        <v>205.8</v>
      </c>
      <c r="I8">
        <f>'Monthly Data'!EJ8</f>
        <v>0</v>
      </c>
      <c r="J8">
        <f>'Monthly Data'!EF8</f>
        <v>0</v>
      </c>
      <c r="L8" s="3">
        <f t="shared" si="1"/>
        <v>172054.52120783599</v>
      </c>
      <c r="M8" s="3">
        <f t="shared" si="2"/>
        <v>33651.648987353154</v>
      </c>
      <c r="N8" s="3">
        <f t="shared" si="3"/>
        <v>3059629.9486433985</v>
      </c>
      <c r="O8" s="3">
        <f t="shared" si="4"/>
        <v>4884782.537752077</v>
      </c>
      <c r="P8" s="3">
        <f t="shared" si="5"/>
        <v>0</v>
      </c>
      <c r="Q8" s="3">
        <f t="shared" si="6"/>
        <v>0</v>
      </c>
      <c r="R8" s="3">
        <f t="shared" si="7"/>
        <v>0</v>
      </c>
      <c r="S8" s="47">
        <f t="shared" si="8"/>
        <v>8150118.6565906648</v>
      </c>
      <c r="T8" s="47">
        <f>'Monthly Data'!BL8+'Monthly Data'!BM8</f>
        <v>0</v>
      </c>
      <c r="U8" s="47">
        <f t="shared" si="9"/>
        <v>8150118.6565906648</v>
      </c>
      <c r="V8" s="47">
        <f t="shared" si="10"/>
        <v>234116.09278317355</v>
      </c>
      <c r="W8" s="18">
        <f t="shared" si="11"/>
        <v>2.9575040040230462E-2</v>
      </c>
      <c r="Z8" s="652" t="s">
        <v>304</v>
      </c>
      <c r="AA8" s="654">
        <v>172054.52120783599</v>
      </c>
      <c r="AB8" s="654">
        <v>775967.46784887498</v>
      </c>
      <c r="AC8" s="655">
        <v>0.22172903934336699</v>
      </c>
      <c r="AD8" s="656">
        <v>0.82492152647510897</v>
      </c>
      <c r="AF8" s="652" t="s">
        <v>304</v>
      </c>
      <c r="AG8" s="654">
        <v>-588744.40026199596</v>
      </c>
      <c r="AH8" s="654">
        <v>937976.87735306402</v>
      </c>
      <c r="AI8" s="655">
        <v>-0.62767474814881397</v>
      </c>
      <c r="AJ8" s="656">
        <v>0.53148340435499297</v>
      </c>
    </row>
    <row r="9" spans="1:36">
      <c r="A9" s="2">
        <f>'Monthly Data'!A9</f>
        <v>42583</v>
      </c>
      <c r="B9">
        <f>'Monthly Data'!B9</f>
        <v>2016</v>
      </c>
      <c r="C9">
        <f>'Monthly Data'!C9</f>
        <v>8</v>
      </c>
      <c r="D9" s="3">
        <f>'Monthly Data'!BK9</f>
        <v>8256899.4190641427</v>
      </c>
      <c r="E9" s="3">
        <f>'Monthly Data'!CN9</f>
        <v>4.029166666666665</v>
      </c>
      <c r="F9" s="3">
        <f>'Monthly Data'!CW9</f>
        <v>328.02499999999998</v>
      </c>
      <c r="G9" s="3">
        <f>'Monthly Data'!DQ9</f>
        <v>31</v>
      </c>
      <c r="H9" s="3">
        <f>'Monthly Data'!DD9</f>
        <v>208.7</v>
      </c>
      <c r="I9">
        <f>'Monthly Data'!EJ9</f>
        <v>0</v>
      </c>
      <c r="J9">
        <f>'Monthly Data'!EF9</f>
        <v>0</v>
      </c>
      <c r="L9" s="3">
        <f t="shared" si="1"/>
        <v>172054.52120783599</v>
      </c>
      <c r="M9" s="3">
        <f t="shared" si="2"/>
        <v>15488.407696701795</v>
      </c>
      <c r="N9" s="3">
        <f t="shared" si="3"/>
        <v>3204156.0004908578</v>
      </c>
      <c r="O9" s="3">
        <f t="shared" si="4"/>
        <v>4884782.537752077</v>
      </c>
      <c r="P9" s="3">
        <f t="shared" si="5"/>
        <v>0</v>
      </c>
      <c r="Q9" s="3">
        <f t="shared" si="6"/>
        <v>0</v>
      </c>
      <c r="R9" s="3">
        <f t="shared" si="7"/>
        <v>0</v>
      </c>
      <c r="S9" s="47">
        <f t="shared" si="8"/>
        <v>8276481.4671474723</v>
      </c>
      <c r="T9" s="47">
        <f>'Monthly Data'!BL9+'Monthly Data'!BM9</f>
        <v>0</v>
      </c>
      <c r="U9" s="47">
        <f t="shared" si="9"/>
        <v>8276481.4671474723</v>
      </c>
      <c r="V9" s="47">
        <f t="shared" si="10"/>
        <v>19582.048083329573</v>
      </c>
      <c r="W9" s="18">
        <f t="shared" si="11"/>
        <v>2.3715982343344385E-3</v>
      </c>
      <c r="Z9" s="652" t="s">
        <v>116</v>
      </c>
      <c r="AA9" s="654">
        <v>3844.07223082568</v>
      </c>
      <c r="AB9" s="654">
        <v>241.89347868603599</v>
      </c>
      <c r="AC9" s="655">
        <v>15.8915910081853</v>
      </c>
      <c r="AD9" s="656">
        <v>1.0970693140708099E-30</v>
      </c>
      <c r="AF9" s="652" t="s">
        <v>116</v>
      </c>
      <c r="AG9" s="654">
        <v>3864.9158211251402</v>
      </c>
      <c r="AH9" s="654">
        <v>240.15923590609901</v>
      </c>
      <c r="AI9" s="655">
        <v>16.093138398542798</v>
      </c>
      <c r="AJ9" s="656">
        <v>5.1928576461468502E-31</v>
      </c>
    </row>
    <row r="10" spans="1:36">
      <c r="A10" s="2">
        <f>'Monthly Data'!A10</f>
        <v>42614</v>
      </c>
      <c r="B10">
        <f>'Monthly Data'!B10</f>
        <v>2016</v>
      </c>
      <c r="C10">
        <f>'Monthly Data'!C10</f>
        <v>9</v>
      </c>
      <c r="D10" s="3">
        <f>'Monthly Data'!BK10</f>
        <v>7135190.4841065407</v>
      </c>
      <c r="E10" s="3">
        <f>'Monthly Data'!CN10</f>
        <v>80.145833333333343</v>
      </c>
      <c r="F10" s="3">
        <f>'Monthly Data'!CW10</f>
        <v>176.5541666666667</v>
      </c>
      <c r="G10" s="3">
        <f>'Monthly Data'!DQ10</f>
        <v>30</v>
      </c>
      <c r="H10" s="3">
        <f>'Monthly Data'!DD10</f>
        <v>213</v>
      </c>
      <c r="I10">
        <f>'Monthly Data'!EJ10</f>
        <v>0</v>
      </c>
      <c r="J10">
        <f>'Monthly Data'!EF10</f>
        <v>1</v>
      </c>
      <c r="L10" s="3">
        <f t="shared" si="1"/>
        <v>172054.52120783599</v>
      </c>
      <c r="M10" s="3">
        <f t="shared" si="2"/>
        <v>308086.37233304983</v>
      </c>
      <c r="N10" s="3">
        <f t="shared" si="3"/>
        <v>1724585.2984884174</v>
      </c>
      <c r="O10" s="3">
        <f t="shared" si="4"/>
        <v>4727208.9075020105</v>
      </c>
      <c r="P10" s="3">
        <f t="shared" si="5"/>
        <v>0</v>
      </c>
      <c r="Q10" s="3">
        <f t="shared" si="6"/>
        <v>0</v>
      </c>
      <c r="R10" s="3">
        <f t="shared" si="7"/>
        <v>188541.63990907301</v>
      </c>
      <c r="S10" s="47">
        <f t="shared" si="8"/>
        <v>7120476.7394403862</v>
      </c>
      <c r="T10" s="47">
        <f>'Monthly Data'!BL10+'Monthly Data'!BM10</f>
        <v>0</v>
      </c>
      <c r="U10" s="47">
        <f t="shared" si="9"/>
        <v>7120476.7394403862</v>
      </c>
      <c r="V10" s="47">
        <f t="shared" si="10"/>
        <v>-14713.744666154496</v>
      </c>
      <c r="W10" s="18">
        <f t="shared" ref="W10:W41" si="12">ABS(V10/D10)</f>
        <v>2.0621376120131614E-3</v>
      </c>
      <c r="Z10" s="652" t="s">
        <v>125</v>
      </c>
      <c r="AA10" s="654">
        <v>9768.0237801718104</v>
      </c>
      <c r="AB10" s="654">
        <v>557.47979940356004</v>
      </c>
      <c r="AC10" s="655">
        <v>17.521753775872199</v>
      </c>
      <c r="AD10" s="656">
        <v>3.9675769213537201E-34</v>
      </c>
      <c r="AF10" s="652" t="s">
        <v>125</v>
      </c>
      <c r="AG10" s="654">
        <v>9815.2267932172999</v>
      </c>
      <c r="AH10" s="654">
        <v>554.808595373971</v>
      </c>
      <c r="AI10" s="655">
        <v>17.691194539986</v>
      </c>
      <c r="AJ10" s="656">
        <v>2.3908891435198998E-34</v>
      </c>
    </row>
    <row r="11" spans="1:36">
      <c r="A11" s="2">
        <f>'Monthly Data'!A11</f>
        <v>42644</v>
      </c>
      <c r="B11">
        <f>'Monthly Data'!B11</f>
        <v>2016</v>
      </c>
      <c r="C11">
        <f>'Monthly Data'!C11</f>
        <v>10</v>
      </c>
      <c r="D11" s="3">
        <f>'Monthly Data'!BK11</f>
        <v>6584974.0438399557</v>
      </c>
      <c r="E11" s="3">
        <f>'Monthly Data'!CN11</f>
        <v>283.19583333333327</v>
      </c>
      <c r="F11" s="3">
        <f>'Monthly Data'!CW11</f>
        <v>52.383333333333333</v>
      </c>
      <c r="G11" s="3">
        <f>'Monthly Data'!DQ11</f>
        <v>31</v>
      </c>
      <c r="H11" s="3">
        <f>'Monthly Data'!DD11</f>
        <v>213.6</v>
      </c>
      <c r="I11">
        <f>'Monthly Data'!EJ11</f>
        <v>0</v>
      </c>
      <c r="J11">
        <f>'Monthly Data'!EF11</f>
        <v>1</v>
      </c>
      <c r="L11" s="3">
        <f t="shared" si="1"/>
        <v>172054.52120783599</v>
      </c>
      <c r="M11" s="3">
        <f t="shared" si="2"/>
        <v>1088625.2388022039</v>
      </c>
      <c r="N11" s="3">
        <f t="shared" si="3"/>
        <v>511681.64568466664</v>
      </c>
      <c r="O11" s="3">
        <f t="shared" si="4"/>
        <v>4884782.537752077</v>
      </c>
      <c r="P11" s="3">
        <f t="shared" si="5"/>
        <v>0</v>
      </c>
      <c r="Q11" s="3">
        <f t="shared" si="6"/>
        <v>0</v>
      </c>
      <c r="R11" s="3">
        <f t="shared" si="7"/>
        <v>188541.63990907301</v>
      </c>
      <c r="S11" s="47">
        <f t="shared" si="8"/>
        <v>6845685.5833558561</v>
      </c>
      <c r="T11" s="47">
        <f>'Monthly Data'!BL11+'Monthly Data'!BM11</f>
        <v>0</v>
      </c>
      <c r="U11" s="47">
        <f t="shared" si="9"/>
        <v>6845685.5833558561</v>
      </c>
      <c r="V11" s="47">
        <f t="shared" si="10"/>
        <v>260711.53951590043</v>
      </c>
      <c r="W11" s="18">
        <f t="shared" si="12"/>
        <v>3.9591885674900754E-2</v>
      </c>
      <c r="Z11" s="652" t="s">
        <v>305</v>
      </c>
      <c r="AA11" s="654">
        <v>157573.63025006701</v>
      </c>
      <c r="AB11" s="654">
        <v>25102.170443032101</v>
      </c>
      <c r="AC11" s="655">
        <v>6.27729106563398</v>
      </c>
      <c r="AD11" s="656">
        <v>6.4308490524180099E-9</v>
      </c>
      <c r="AF11" s="652" t="s">
        <v>305</v>
      </c>
      <c r="AG11" s="654">
        <v>156314.068351756</v>
      </c>
      <c r="AH11" s="654">
        <v>25208.863238291498</v>
      </c>
      <c r="AI11" s="655">
        <v>6.2007583156038502</v>
      </c>
      <c r="AJ11" s="656">
        <v>9.4507654256750503E-9</v>
      </c>
    </row>
    <row r="12" spans="1:36">
      <c r="A12" s="2">
        <f>'Monthly Data'!A12</f>
        <v>42675</v>
      </c>
      <c r="B12">
        <f>'Monthly Data'!B12</f>
        <v>2016</v>
      </c>
      <c r="C12">
        <f>'Monthly Data'!C12</f>
        <v>11</v>
      </c>
      <c r="D12" s="3">
        <f>'Monthly Data'!BK12</f>
        <v>6751282.6928980416</v>
      </c>
      <c r="E12" s="3">
        <f>'Monthly Data'!CN12</f>
        <v>437.33511904761912</v>
      </c>
      <c r="F12" s="3">
        <f>'Monthly Data'!CW12</f>
        <v>1.3291666666666675</v>
      </c>
      <c r="G12" s="3">
        <f>'Monthly Data'!DQ12</f>
        <v>30</v>
      </c>
      <c r="H12" s="3">
        <f>'Monthly Data'!DD12</f>
        <v>214.7</v>
      </c>
      <c r="I12">
        <f>'Monthly Data'!EJ12</f>
        <v>0</v>
      </c>
      <c r="J12">
        <f>'Monthly Data'!EF12</f>
        <v>1</v>
      </c>
      <c r="L12" s="3">
        <f t="shared" si="1"/>
        <v>172054.52120783599</v>
      </c>
      <c r="M12" s="3">
        <f t="shared" si="2"/>
        <v>1681147.7866957956</v>
      </c>
      <c r="N12" s="3">
        <f t="shared" si="3"/>
        <v>12983.331607811706</v>
      </c>
      <c r="O12" s="3">
        <f t="shared" si="4"/>
        <v>4727208.9075020105</v>
      </c>
      <c r="P12" s="3">
        <f t="shared" si="5"/>
        <v>0</v>
      </c>
      <c r="Q12" s="3">
        <f t="shared" si="6"/>
        <v>0</v>
      </c>
      <c r="R12" s="3">
        <f t="shared" si="7"/>
        <v>188541.63990907301</v>
      </c>
      <c r="S12" s="47">
        <f t="shared" si="8"/>
        <v>6781936.1869225269</v>
      </c>
      <c r="T12" s="47">
        <f>'Monthly Data'!BL12+'Monthly Data'!BM12</f>
        <v>0</v>
      </c>
      <c r="U12" s="47">
        <f t="shared" si="9"/>
        <v>6781936.1869225269</v>
      </c>
      <c r="V12" s="47">
        <f t="shared" si="10"/>
        <v>30653.49402448535</v>
      </c>
      <c r="W12" s="18">
        <f t="shared" si="12"/>
        <v>4.5403955690866051E-3</v>
      </c>
      <c r="Z12" s="772" t="s">
        <v>878</v>
      </c>
      <c r="AA12" s="654"/>
      <c r="AB12" s="654"/>
      <c r="AC12" s="655"/>
      <c r="AD12" s="656"/>
      <c r="AF12" s="652" t="s">
        <v>132</v>
      </c>
      <c r="AG12" s="654">
        <v>3509.6094019032698</v>
      </c>
      <c r="AH12" s="654">
        <v>2416.4278010974699</v>
      </c>
      <c r="AI12" s="655">
        <v>1.4523957224417401</v>
      </c>
      <c r="AJ12" s="662">
        <v>0.149162702420681</v>
      </c>
    </row>
    <row r="13" spans="1:36">
      <c r="A13" s="2">
        <f>'Monthly Data'!A13</f>
        <v>42705</v>
      </c>
      <c r="B13">
        <f>'Monthly Data'!B13</f>
        <v>2016</v>
      </c>
      <c r="C13">
        <f>'Monthly Data'!C13</f>
        <v>12</v>
      </c>
      <c r="D13" s="3">
        <f>'Monthly Data'!BK13</f>
        <v>7655445.4257709347</v>
      </c>
      <c r="E13" s="3">
        <f>'Monthly Data'!CN13</f>
        <v>678.67083333333323</v>
      </c>
      <c r="F13" s="3">
        <f>'Monthly Data'!CW13</f>
        <v>0</v>
      </c>
      <c r="G13" s="3">
        <f>'Monthly Data'!DQ13</f>
        <v>31</v>
      </c>
      <c r="H13" s="3">
        <f>'Monthly Data'!DD13</f>
        <v>215.4</v>
      </c>
      <c r="I13">
        <f>'Monthly Data'!EJ13</f>
        <v>0</v>
      </c>
      <c r="J13">
        <f>'Monthly Data'!EF13</f>
        <v>0</v>
      </c>
      <c r="L13" s="3">
        <f t="shared" si="1"/>
        <v>172054.52120783599</v>
      </c>
      <c r="M13" s="3">
        <f t="shared" si="2"/>
        <v>2608859.7042879895</v>
      </c>
      <c r="N13" s="3">
        <f t="shared" si="3"/>
        <v>0</v>
      </c>
      <c r="O13" s="3">
        <f t="shared" si="4"/>
        <v>4884782.537752077</v>
      </c>
      <c r="P13" s="3">
        <f t="shared" si="5"/>
        <v>0</v>
      </c>
      <c r="Q13" s="3">
        <f t="shared" si="6"/>
        <v>0</v>
      </c>
      <c r="R13" s="3">
        <f t="shared" si="7"/>
        <v>0</v>
      </c>
      <c r="S13" s="47">
        <f t="shared" si="8"/>
        <v>7665696.7632479025</v>
      </c>
      <c r="T13" s="47">
        <f>'Monthly Data'!BL13+'Monthly Data'!BM13</f>
        <v>0</v>
      </c>
      <c r="U13" s="47">
        <f t="shared" si="9"/>
        <v>7665696.7632479025</v>
      </c>
      <c r="V13" s="47">
        <f t="shared" si="10"/>
        <v>10251.337476967834</v>
      </c>
      <c r="W13" s="18">
        <f t="shared" si="12"/>
        <v>1.339090922450862E-3</v>
      </c>
      <c r="Z13" s="652" t="s">
        <v>164</v>
      </c>
      <c r="AA13" s="654">
        <v>-989851.59249134804</v>
      </c>
      <c r="AB13" s="654">
        <v>165256.14231672499</v>
      </c>
      <c r="AC13" s="655">
        <v>-5.9898021254436999</v>
      </c>
      <c r="AD13" s="656">
        <v>2.5024569684805001E-8</v>
      </c>
      <c r="AF13" s="652" t="s">
        <v>164</v>
      </c>
      <c r="AG13" s="654">
        <v>-925124.86531682196</v>
      </c>
      <c r="AH13" s="654">
        <v>167677.79823242099</v>
      </c>
      <c r="AI13" s="655">
        <v>-5.5172770341037696</v>
      </c>
      <c r="AJ13" s="656">
        <v>2.2131037003602101E-7</v>
      </c>
    </row>
    <row r="14" spans="1:36">
      <c r="A14" s="2">
        <f>'Monthly Data'!A14</f>
        <v>42736</v>
      </c>
      <c r="B14">
        <f>'Monthly Data'!B14</f>
        <v>2017</v>
      </c>
      <c r="C14">
        <f>'Monthly Data'!C14</f>
        <v>1</v>
      </c>
      <c r="D14" s="3">
        <f>'Monthly Data'!BK14</f>
        <v>7796536.0768345082</v>
      </c>
      <c r="E14" s="3">
        <f>'Monthly Data'!CN14</f>
        <v>682.2166666666667</v>
      </c>
      <c r="F14" s="3">
        <f>'Monthly Data'!CW14</f>
        <v>0</v>
      </c>
      <c r="G14" s="3">
        <f>'Monthly Data'!DQ14</f>
        <v>31</v>
      </c>
      <c r="H14" s="3">
        <f>'Monthly Data'!DD14</f>
        <v>215.3</v>
      </c>
      <c r="I14">
        <f>'Monthly Data'!EJ14</f>
        <v>0</v>
      </c>
      <c r="J14">
        <f>'Monthly Data'!EF14</f>
        <v>0</v>
      </c>
      <c r="L14" s="3">
        <f t="shared" si="1"/>
        <v>172054.52120783599</v>
      </c>
      <c r="M14" s="3">
        <f t="shared" si="2"/>
        <v>2622490.143739793</v>
      </c>
      <c r="N14" s="3">
        <f t="shared" si="3"/>
        <v>0</v>
      </c>
      <c r="O14" s="3">
        <f t="shared" si="4"/>
        <v>4884782.537752077</v>
      </c>
      <c r="P14" s="3">
        <f t="shared" si="5"/>
        <v>0</v>
      </c>
      <c r="Q14" s="3">
        <f t="shared" si="6"/>
        <v>0</v>
      </c>
      <c r="R14" s="3">
        <f t="shared" si="7"/>
        <v>0</v>
      </c>
      <c r="S14" s="47">
        <f t="shared" si="8"/>
        <v>7679327.202699706</v>
      </c>
      <c r="T14" s="47">
        <f>'Monthly Data'!BL14+'Monthly Data'!BM14</f>
        <v>140.52153846153846</v>
      </c>
      <c r="U14" s="47">
        <f t="shared" si="9"/>
        <v>7679467.7242381675</v>
      </c>
      <c r="V14" s="47">
        <f t="shared" si="10"/>
        <v>-117068.3525963407</v>
      </c>
      <c r="W14" s="18">
        <f t="shared" si="12"/>
        <v>1.5015431397050872E-2</v>
      </c>
      <c r="Z14" s="652" t="s">
        <v>160</v>
      </c>
      <c r="AA14" s="654">
        <v>188541.63990907301</v>
      </c>
      <c r="AB14" s="654">
        <v>77372.1290086472</v>
      </c>
      <c r="AC14" s="655">
        <v>2.4368159739794799</v>
      </c>
      <c r="AD14" s="656">
        <v>1.6363716367369899E-2</v>
      </c>
      <c r="AF14" s="652" t="s">
        <v>160</v>
      </c>
      <c r="AG14" s="654">
        <v>184936.42608914099</v>
      </c>
      <c r="AH14" s="654">
        <v>76703.391926444994</v>
      </c>
      <c r="AI14" s="655">
        <v>2.41105929535015</v>
      </c>
      <c r="AJ14" s="656">
        <v>1.7518248435698401E-2</v>
      </c>
    </row>
    <row r="15" spans="1:36">
      <c r="A15" s="2">
        <f>'Monthly Data'!A15</f>
        <v>42767</v>
      </c>
      <c r="B15">
        <f>'Monthly Data'!B15</f>
        <v>2017</v>
      </c>
      <c r="C15">
        <f>'Monthly Data'!C15</f>
        <v>2</v>
      </c>
      <c r="D15" s="3">
        <f>'Monthly Data'!BK15</f>
        <v>6983444.6585424561</v>
      </c>
      <c r="E15" s="3">
        <f>'Monthly Data'!CN15</f>
        <v>586.08333333333337</v>
      </c>
      <c r="F15" s="3">
        <f>'Monthly Data'!CW15</f>
        <v>0</v>
      </c>
      <c r="G15" s="3">
        <f>'Monthly Data'!DQ15</f>
        <v>28</v>
      </c>
      <c r="H15" s="3">
        <f>'Monthly Data'!DD15</f>
        <v>209.7</v>
      </c>
      <c r="I15">
        <f>'Monthly Data'!EJ15</f>
        <v>0</v>
      </c>
      <c r="J15">
        <f>'Monthly Data'!EF15</f>
        <v>0</v>
      </c>
      <c r="L15" s="3">
        <f t="shared" si="1"/>
        <v>172054.52120783599</v>
      </c>
      <c r="M15" s="3">
        <f t="shared" si="2"/>
        <v>2252946.6666164175</v>
      </c>
      <c r="N15" s="3">
        <f t="shared" si="3"/>
        <v>0</v>
      </c>
      <c r="O15" s="3">
        <f t="shared" si="4"/>
        <v>4412061.6470018765</v>
      </c>
      <c r="P15" s="3">
        <f t="shared" si="5"/>
        <v>0</v>
      </c>
      <c r="Q15" s="3">
        <f t="shared" si="6"/>
        <v>0</v>
      </c>
      <c r="R15" s="3">
        <f t="shared" si="7"/>
        <v>0</v>
      </c>
      <c r="S15" s="47">
        <f t="shared" si="8"/>
        <v>6837062.8348261304</v>
      </c>
      <c r="T15" s="47">
        <f>'Monthly Data'!BL15+'Monthly Data'!BM15</f>
        <v>281.04307692307691</v>
      </c>
      <c r="U15" s="47">
        <f t="shared" si="9"/>
        <v>6837343.8779030535</v>
      </c>
      <c r="V15" s="47">
        <f t="shared" si="10"/>
        <v>-146100.78063940257</v>
      </c>
      <c r="W15" s="18">
        <f t="shared" si="12"/>
        <v>2.0921019322561064E-2</v>
      </c>
      <c r="AA15" s="3"/>
      <c r="AB15" s="3"/>
      <c r="AC15" s="235"/>
      <c r="AD15" s="100"/>
      <c r="AG15" s="3"/>
      <c r="AH15" s="3"/>
      <c r="AI15" s="235"/>
      <c r="AJ15" s="100"/>
    </row>
    <row r="16" spans="1:36">
      <c r="A16" s="2">
        <f>'Monthly Data'!A16</f>
        <v>42795</v>
      </c>
      <c r="B16">
        <f>'Monthly Data'!B16</f>
        <v>2017</v>
      </c>
      <c r="C16">
        <f>'Monthly Data'!C16</f>
        <v>3</v>
      </c>
      <c r="D16" s="3">
        <f>'Monthly Data'!BK16</f>
        <v>7621777.2869406473</v>
      </c>
      <c r="E16" s="3">
        <f>'Monthly Data'!CN16</f>
        <v>661.67916666666667</v>
      </c>
      <c r="F16" s="3">
        <f>'Monthly Data'!CW16</f>
        <v>0</v>
      </c>
      <c r="G16" s="3">
        <f>'Monthly Data'!DQ16</f>
        <v>31</v>
      </c>
      <c r="H16" s="3">
        <f>'Monthly Data'!DD16</f>
        <v>202.9</v>
      </c>
      <c r="I16">
        <f>'Monthly Data'!EJ16</f>
        <v>0</v>
      </c>
      <c r="J16">
        <f>'Monthly Data'!EF16</f>
        <v>0</v>
      </c>
      <c r="L16" s="3">
        <f t="shared" si="1"/>
        <v>172054.52120783599</v>
      </c>
      <c r="M16" s="3">
        <f t="shared" si="2"/>
        <v>2543542.5102992104</v>
      </c>
      <c r="N16" s="3">
        <f t="shared" si="3"/>
        <v>0</v>
      </c>
      <c r="O16" s="3">
        <f t="shared" si="4"/>
        <v>4884782.537752077</v>
      </c>
      <c r="P16" s="3">
        <f t="shared" si="5"/>
        <v>0</v>
      </c>
      <c r="Q16" s="3">
        <f t="shared" si="6"/>
        <v>0</v>
      </c>
      <c r="R16" s="3">
        <f t="shared" si="7"/>
        <v>0</v>
      </c>
      <c r="S16" s="47">
        <f t="shared" si="8"/>
        <v>7600379.5692591239</v>
      </c>
      <c r="T16" s="47">
        <f>'Monthly Data'!BL16+'Monthly Data'!BM16</f>
        <v>421.56461538461542</v>
      </c>
      <c r="U16" s="47">
        <f t="shared" si="9"/>
        <v>7600801.1338745086</v>
      </c>
      <c r="V16" s="47">
        <f t="shared" si="10"/>
        <v>-20976.153066138737</v>
      </c>
      <c r="W16" s="18">
        <f t="shared" si="12"/>
        <v>2.7521340858489562E-3</v>
      </c>
      <c r="Z16" s="657" t="s">
        <v>306</v>
      </c>
      <c r="AA16" s="658"/>
      <c r="AB16" s="658"/>
      <c r="AC16" s="659"/>
      <c r="AF16" s="657" t="s">
        <v>306</v>
      </c>
      <c r="AG16" s="658"/>
      <c r="AH16" s="658"/>
      <c r="AI16" s="659"/>
    </row>
    <row r="17" spans="1:35">
      <c r="A17" s="2">
        <f>'Monthly Data'!A17</f>
        <v>42826</v>
      </c>
      <c r="B17">
        <f>'Monthly Data'!B17</f>
        <v>2017</v>
      </c>
      <c r="C17">
        <f>'Monthly Data'!C17</f>
        <v>4</v>
      </c>
      <c r="D17" s="3">
        <f>'Monthly Data'!BK17</f>
        <v>6333115.861034275</v>
      </c>
      <c r="E17" s="3">
        <f>'Monthly Data'!CN17</f>
        <v>348.38749999999999</v>
      </c>
      <c r="F17" s="3">
        <f>'Monthly Data'!CW17</f>
        <v>12.412500000000001</v>
      </c>
      <c r="G17" s="3">
        <f>'Monthly Data'!DQ17</f>
        <v>30</v>
      </c>
      <c r="H17" s="3">
        <f>'Monthly Data'!DD17</f>
        <v>199</v>
      </c>
      <c r="I17">
        <f>'Monthly Data'!EJ17</f>
        <v>0</v>
      </c>
      <c r="J17">
        <f>'Monthly Data'!EF17</f>
        <v>0</v>
      </c>
      <c r="L17" s="3">
        <f t="shared" si="1"/>
        <v>172054.52120783599</v>
      </c>
      <c r="M17" s="3">
        <f t="shared" si="2"/>
        <v>1339226.7143167816</v>
      </c>
      <c r="N17" s="3">
        <f t="shared" si="3"/>
        <v>121245.59517138261</v>
      </c>
      <c r="O17" s="3">
        <f t="shared" si="4"/>
        <v>4727208.9075020105</v>
      </c>
      <c r="P17" s="3">
        <f t="shared" si="5"/>
        <v>0</v>
      </c>
      <c r="Q17" s="3">
        <f t="shared" si="6"/>
        <v>0</v>
      </c>
      <c r="R17" s="3">
        <f t="shared" si="7"/>
        <v>0</v>
      </c>
      <c r="S17" s="47">
        <f t="shared" si="8"/>
        <v>6359735.7381980103</v>
      </c>
      <c r="T17" s="47">
        <f>'Monthly Data'!BL17+'Monthly Data'!BM17</f>
        <v>562.08615384615382</v>
      </c>
      <c r="U17" s="47">
        <f t="shared" si="9"/>
        <v>6360297.8243518565</v>
      </c>
      <c r="V17" s="47">
        <f t="shared" si="10"/>
        <v>27181.963317581452</v>
      </c>
      <c r="W17" s="18">
        <f t="shared" si="12"/>
        <v>4.2920363236718531E-3</v>
      </c>
      <c r="Z17" s="652" t="s">
        <v>307</v>
      </c>
      <c r="AA17" s="660">
        <v>7998743743067.5</v>
      </c>
      <c r="AB17" s="652" t="s">
        <v>308</v>
      </c>
      <c r="AC17" s="654">
        <v>264885.67118445202</v>
      </c>
      <c r="AF17" s="652" t="s">
        <v>307</v>
      </c>
      <c r="AG17" s="660">
        <v>7854906333222.5</v>
      </c>
      <c r="AH17" s="652" t="s">
        <v>308</v>
      </c>
      <c r="AI17" s="654">
        <v>263652.12956990802</v>
      </c>
    </row>
    <row r="18" spans="1:35">
      <c r="A18" s="2">
        <f>'Monthly Data'!A18</f>
        <v>42856</v>
      </c>
      <c r="B18">
        <f>'Monthly Data'!B18</f>
        <v>2017</v>
      </c>
      <c r="C18">
        <f>'Monthly Data'!C18</f>
        <v>5</v>
      </c>
      <c r="D18" s="3">
        <f>'Monthly Data'!BK18</f>
        <v>6510335.4661686532</v>
      </c>
      <c r="E18" s="3">
        <f>'Monthly Data'!CN18</f>
        <v>247.16666666666663</v>
      </c>
      <c r="F18" s="3">
        <f>'Monthly Data'!CW18</f>
        <v>54.529166666666683</v>
      </c>
      <c r="G18" s="3">
        <f>'Monthly Data'!DQ18</f>
        <v>31</v>
      </c>
      <c r="H18" s="3">
        <f>'Monthly Data'!DD18</f>
        <v>201.8</v>
      </c>
      <c r="I18">
        <f>'Monthly Data'!EJ18</f>
        <v>0</v>
      </c>
      <c r="J18">
        <f>'Monthly Data'!EF18</f>
        <v>0</v>
      </c>
      <c r="L18" s="3">
        <f t="shared" si="1"/>
        <v>172054.52120783599</v>
      </c>
      <c r="M18" s="3">
        <f t="shared" si="2"/>
        <v>950126.51971908042</v>
      </c>
      <c r="N18" s="3">
        <f t="shared" si="3"/>
        <v>532642.19671295222</v>
      </c>
      <c r="O18" s="3">
        <f t="shared" si="4"/>
        <v>4884782.537752077</v>
      </c>
      <c r="P18" s="3">
        <f t="shared" si="5"/>
        <v>0</v>
      </c>
      <c r="Q18" s="3">
        <f t="shared" si="6"/>
        <v>0</v>
      </c>
      <c r="R18" s="3">
        <f t="shared" si="7"/>
        <v>0</v>
      </c>
      <c r="S18" s="47">
        <f t="shared" si="8"/>
        <v>6539605.7753919456</v>
      </c>
      <c r="T18" s="47">
        <f>'Monthly Data'!BL18+'Monthly Data'!BM18</f>
        <v>702.60769230769233</v>
      </c>
      <c r="U18" s="47">
        <f t="shared" si="9"/>
        <v>6540308.3830842534</v>
      </c>
      <c r="V18" s="47">
        <f t="shared" si="10"/>
        <v>29972.916915600188</v>
      </c>
      <c r="W18" s="18">
        <f t="shared" si="12"/>
        <v>4.6038974598707301E-3</v>
      </c>
      <c r="Z18" s="652" t="s">
        <v>309</v>
      </c>
      <c r="AA18" s="661">
        <v>0.84421988779253099</v>
      </c>
      <c r="AB18" s="652" t="s">
        <v>310</v>
      </c>
      <c r="AC18" s="661">
        <v>0.83738742673080002</v>
      </c>
      <c r="AF18" s="652" t="s">
        <v>309</v>
      </c>
      <c r="AG18" s="661">
        <v>0.84701623377157498</v>
      </c>
      <c r="AH18" s="652" t="s">
        <v>310</v>
      </c>
      <c r="AI18" s="661">
        <v>0.83889320193643702</v>
      </c>
    </row>
    <row r="19" spans="1:35">
      <c r="A19" s="2">
        <f>'Monthly Data'!A19</f>
        <v>42887</v>
      </c>
      <c r="B19">
        <f>'Monthly Data'!B19</f>
        <v>2017</v>
      </c>
      <c r="C19">
        <f>'Monthly Data'!C19</f>
        <v>6</v>
      </c>
      <c r="D19" s="3">
        <f>'Monthly Data'!BK19</f>
        <v>6775007.1786877653</v>
      </c>
      <c r="E19" s="3">
        <f>'Monthly Data'!CN19</f>
        <v>85.453333333333319</v>
      </c>
      <c r="F19" s="3">
        <f>'Monthly Data'!CW19</f>
        <v>168.62166666666667</v>
      </c>
      <c r="G19" s="3">
        <f>'Monthly Data'!DQ19</f>
        <v>30</v>
      </c>
      <c r="H19" s="3">
        <f>'Monthly Data'!DD19</f>
        <v>205.5</v>
      </c>
      <c r="I19">
        <f>'Monthly Data'!EJ19</f>
        <v>0</v>
      </c>
      <c r="J19">
        <f>'Monthly Data'!EF19</f>
        <v>0</v>
      </c>
      <c r="L19" s="3">
        <f t="shared" si="1"/>
        <v>172054.52120783599</v>
      </c>
      <c r="M19" s="3">
        <f t="shared" si="2"/>
        <v>328488.78569815704</v>
      </c>
      <c r="N19" s="3">
        <f t="shared" si="3"/>
        <v>1647100.4498522044</v>
      </c>
      <c r="O19" s="3">
        <f t="shared" si="4"/>
        <v>4727208.9075020105</v>
      </c>
      <c r="P19" s="3">
        <f t="shared" si="5"/>
        <v>0</v>
      </c>
      <c r="Q19" s="3">
        <f t="shared" si="6"/>
        <v>0</v>
      </c>
      <c r="R19" s="3">
        <f t="shared" si="7"/>
        <v>0</v>
      </c>
      <c r="S19" s="47">
        <f t="shared" si="8"/>
        <v>6874852.6642602077</v>
      </c>
      <c r="T19" s="47">
        <f>'Monthly Data'!BL19+'Monthly Data'!BM19</f>
        <v>843.12923076923084</v>
      </c>
      <c r="U19" s="47">
        <f t="shared" si="9"/>
        <v>6875695.793490977</v>
      </c>
      <c r="V19" s="47">
        <f t="shared" si="10"/>
        <v>100688.61480321176</v>
      </c>
      <c r="W19" s="18">
        <f t="shared" si="12"/>
        <v>1.4861772415525897E-2</v>
      </c>
      <c r="Z19" s="652" t="s">
        <v>328</v>
      </c>
      <c r="AA19" s="655">
        <v>119.853032727114</v>
      </c>
      <c r="AB19" s="652" t="s">
        <v>312</v>
      </c>
      <c r="AC19" s="661">
        <v>1.0501548086506201E-43</v>
      </c>
      <c r="AF19" s="652" t="s">
        <v>321</v>
      </c>
      <c r="AG19" s="655">
        <v>100.46454209390799</v>
      </c>
      <c r="AH19" s="652" t="s">
        <v>312</v>
      </c>
      <c r="AI19" s="661">
        <v>6.0676965815940601E-43</v>
      </c>
    </row>
    <row r="20" spans="1:35">
      <c r="A20" s="2">
        <f>'Monthly Data'!A20</f>
        <v>42917</v>
      </c>
      <c r="B20">
        <f>'Monthly Data'!B20</f>
        <v>2017</v>
      </c>
      <c r="C20">
        <f>'Monthly Data'!C20</f>
        <v>7</v>
      </c>
      <c r="D20" s="3">
        <f>'Monthly Data'!BK20</f>
        <v>7356953.4872371033</v>
      </c>
      <c r="E20" s="3">
        <f>'Monthly Data'!CN20</f>
        <v>14.412500000000009</v>
      </c>
      <c r="F20" s="3">
        <f>'Monthly Data'!CW20</f>
        <v>260.16666666666657</v>
      </c>
      <c r="G20" s="3">
        <f>'Monthly Data'!DQ20</f>
        <v>31</v>
      </c>
      <c r="H20" s="3">
        <f>'Monthly Data'!DD20</f>
        <v>206.4</v>
      </c>
      <c r="I20">
        <f>'Monthly Data'!EJ20</f>
        <v>0</v>
      </c>
      <c r="J20">
        <f>'Monthly Data'!EF20</f>
        <v>0</v>
      </c>
      <c r="L20" s="3">
        <f t="shared" si="1"/>
        <v>172054.52120783599</v>
      </c>
      <c r="M20" s="3">
        <f t="shared" si="2"/>
        <v>55402.691026775145</v>
      </c>
      <c r="N20" s="3">
        <f t="shared" si="3"/>
        <v>2541314.1868080315</v>
      </c>
      <c r="O20" s="3">
        <f t="shared" si="4"/>
        <v>4884782.537752077</v>
      </c>
      <c r="P20" s="3">
        <f t="shared" si="5"/>
        <v>0</v>
      </c>
      <c r="Q20" s="3">
        <f t="shared" si="6"/>
        <v>0</v>
      </c>
      <c r="R20" s="3">
        <f t="shared" si="7"/>
        <v>0</v>
      </c>
      <c r="S20" s="47">
        <f t="shared" si="8"/>
        <v>7653553.9367947197</v>
      </c>
      <c r="T20" s="47">
        <f>'Monthly Data'!BL20+'Monthly Data'!BM20</f>
        <v>983.65076923076936</v>
      </c>
      <c r="U20" s="47">
        <f t="shared" si="9"/>
        <v>7654537.5875639506</v>
      </c>
      <c r="V20" s="47">
        <f t="shared" si="10"/>
        <v>297584.10032684729</v>
      </c>
      <c r="W20" s="18">
        <f t="shared" si="12"/>
        <v>4.0449365466710963E-2</v>
      </c>
      <c r="Z20" s="652" t="s">
        <v>313</v>
      </c>
      <c r="AA20" s="661">
        <v>7.4729845691237598E-2</v>
      </c>
      <c r="AB20" s="652" t="s">
        <v>314</v>
      </c>
      <c r="AC20" s="661">
        <v>1.8351950094032901</v>
      </c>
      <c r="AF20" s="652" t="s">
        <v>313</v>
      </c>
      <c r="AG20" s="661">
        <v>7.7178196301922797E-2</v>
      </c>
      <c r="AH20" s="652" t="s">
        <v>314</v>
      </c>
      <c r="AI20" s="661">
        <v>1.8374483397889101</v>
      </c>
    </row>
    <row r="21" spans="1:35">
      <c r="A21" s="2">
        <f>'Monthly Data'!A21</f>
        <v>42948</v>
      </c>
      <c r="B21">
        <f>'Monthly Data'!B21</f>
        <v>2017</v>
      </c>
      <c r="C21">
        <f>'Monthly Data'!C21</f>
        <v>8</v>
      </c>
      <c r="D21" s="3">
        <f>'Monthly Data'!BK21</f>
        <v>7280911.8941889666</v>
      </c>
      <c r="E21" s="3">
        <f>'Monthly Data'!CN21</f>
        <v>46.587500000000006</v>
      </c>
      <c r="F21" s="3">
        <f>'Monthly Data'!CW21</f>
        <v>217.42409420289852</v>
      </c>
      <c r="G21" s="3">
        <f>'Monthly Data'!DQ21</f>
        <v>31</v>
      </c>
      <c r="H21" s="3">
        <f>'Monthly Data'!DD21</f>
        <v>207.5</v>
      </c>
      <c r="I21">
        <f>'Monthly Data'!EJ21</f>
        <v>0</v>
      </c>
      <c r="J21">
        <f>'Monthly Data'!EF21</f>
        <v>0</v>
      </c>
      <c r="L21" s="3">
        <f t="shared" si="1"/>
        <v>172054.52120783599</v>
      </c>
      <c r="M21" s="3">
        <f t="shared" si="2"/>
        <v>179085.71505359138</v>
      </c>
      <c r="N21" s="3">
        <f t="shared" si="3"/>
        <v>2123803.7225562287</v>
      </c>
      <c r="O21" s="3">
        <f t="shared" si="4"/>
        <v>4884782.537752077</v>
      </c>
      <c r="P21" s="3">
        <f t="shared" si="5"/>
        <v>0</v>
      </c>
      <c r="Q21" s="3">
        <f t="shared" si="6"/>
        <v>0</v>
      </c>
      <c r="R21" s="3">
        <f t="shared" si="7"/>
        <v>0</v>
      </c>
      <c r="S21" s="47">
        <f t="shared" si="8"/>
        <v>7359726.4965697331</v>
      </c>
      <c r="T21" s="47">
        <f>'Monthly Data'!BL21+'Monthly Data'!BM21</f>
        <v>1124.1723076923076</v>
      </c>
      <c r="U21" s="47">
        <f t="shared" si="9"/>
        <v>7360850.6688774256</v>
      </c>
      <c r="V21" s="47">
        <f t="shared" si="10"/>
        <v>79938.774688459001</v>
      </c>
      <c r="W21" s="18">
        <f t="shared" si="12"/>
        <v>1.0979225658843591E-2</v>
      </c>
    </row>
    <row r="22" spans="1:35">
      <c r="A22" s="2">
        <f>'Monthly Data'!A22</f>
        <v>42979</v>
      </c>
      <c r="B22">
        <f>'Monthly Data'!B22</f>
        <v>2017</v>
      </c>
      <c r="C22">
        <f>'Monthly Data'!C22</f>
        <v>9</v>
      </c>
      <c r="D22" s="3">
        <f>'Monthly Data'!BK22</f>
        <v>6946192.6472188877</v>
      </c>
      <c r="E22" s="3">
        <f>'Monthly Data'!CN22</f>
        <v>100.06666666666666</v>
      </c>
      <c r="F22" s="3">
        <f>'Monthly Data'!CW22</f>
        <v>161.3125</v>
      </c>
      <c r="G22" s="3">
        <f>'Monthly Data'!DQ22</f>
        <v>30</v>
      </c>
      <c r="H22" s="3">
        <f>'Monthly Data'!DD22</f>
        <v>207.7</v>
      </c>
      <c r="I22">
        <f>'Monthly Data'!EJ22</f>
        <v>0</v>
      </c>
      <c r="J22">
        <f>'Monthly Data'!EF22</f>
        <v>1</v>
      </c>
      <c r="L22" s="3">
        <f t="shared" si="1"/>
        <v>172054.52120783599</v>
      </c>
      <c r="M22" s="3">
        <f t="shared" si="2"/>
        <v>384663.49456462305</v>
      </c>
      <c r="N22" s="3">
        <f t="shared" si="3"/>
        <v>1575704.3360389653</v>
      </c>
      <c r="O22" s="3">
        <f t="shared" si="4"/>
        <v>4727208.9075020105</v>
      </c>
      <c r="P22" s="3">
        <f t="shared" si="5"/>
        <v>0</v>
      </c>
      <c r="Q22" s="3">
        <f t="shared" si="6"/>
        <v>0</v>
      </c>
      <c r="R22" s="3">
        <f t="shared" si="7"/>
        <v>188541.63990907301</v>
      </c>
      <c r="S22" s="47">
        <f t="shared" si="8"/>
        <v>7048172.8992225071</v>
      </c>
      <c r="T22" s="47">
        <f>'Monthly Data'!BL22+'Monthly Data'!BM22</f>
        <v>1264.6938461538462</v>
      </c>
      <c r="U22" s="47">
        <f t="shared" si="9"/>
        <v>7049437.5930686612</v>
      </c>
      <c r="V22" s="47">
        <f t="shared" si="10"/>
        <v>103244.94584977347</v>
      </c>
      <c r="W22" s="18">
        <f t="shared" si="12"/>
        <v>1.4863530439385471E-2</v>
      </c>
      <c r="Z22" s="657" t="s">
        <v>315</v>
      </c>
      <c r="AA22" s="658"/>
      <c r="AB22" s="658"/>
      <c r="AC22" s="659"/>
      <c r="AF22" s="657" t="s">
        <v>315</v>
      </c>
      <c r="AG22" s="658"/>
      <c r="AH22" s="658"/>
      <c r="AI22" s="659"/>
    </row>
    <row r="23" spans="1:35">
      <c r="A23" s="2">
        <f>'Monthly Data'!A23</f>
        <v>43009</v>
      </c>
      <c r="B23">
        <f>'Monthly Data'!B23</f>
        <v>2017</v>
      </c>
      <c r="C23">
        <f>'Monthly Data'!C23</f>
        <v>10</v>
      </c>
      <c r="D23" s="3">
        <f>'Monthly Data'!BK23</f>
        <v>6500242.8103501946</v>
      </c>
      <c r="E23" s="3">
        <f>'Monthly Data'!CN23</f>
        <v>238.48333333333335</v>
      </c>
      <c r="F23" s="3">
        <f>'Monthly Data'!CW23</f>
        <v>59.400000000000006</v>
      </c>
      <c r="G23" s="3">
        <f>'Monthly Data'!DQ23</f>
        <v>31</v>
      </c>
      <c r="H23" s="3">
        <f>'Monthly Data'!DD23</f>
        <v>209.3</v>
      </c>
      <c r="I23">
        <f>'Monthly Data'!EJ23</f>
        <v>0</v>
      </c>
      <c r="J23">
        <f>'Monthly Data'!EF23</f>
        <v>1</v>
      </c>
      <c r="L23" s="3">
        <f t="shared" si="1"/>
        <v>172054.52120783599</v>
      </c>
      <c r="M23" s="3">
        <f t="shared" si="2"/>
        <v>916747.15918141103</v>
      </c>
      <c r="N23" s="3">
        <f t="shared" si="3"/>
        <v>580220.61254220561</v>
      </c>
      <c r="O23" s="3">
        <f t="shared" si="4"/>
        <v>4884782.537752077</v>
      </c>
      <c r="P23" s="3">
        <f t="shared" si="5"/>
        <v>0</v>
      </c>
      <c r="Q23" s="3">
        <f t="shared" si="6"/>
        <v>0</v>
      </c>
      <c r="R23" s="3">
        <f t="shared" si="7"/>
        <v>188541.63990907301</v>
      </c>
      <c r="S23" s="47">
        <f t="shared" si="8"/>
        <v>6742346.4705926022</v>
      </c>
      <c r="T23" s="47">
        <f>'Monthly Data'!BL23+'Monthly Data'!BM23</f>
        <v>1405.2153846153847</v>
      </c>
      <c r="U23" s="47">
        <f t="shared" si="9"/>
        <v>6743751.6859772177</v>
      </c>
      <c r="V23" s="47">
        <f t="shared" si="10"/>
        <v>243508.87562702317</v>
      </c>
      <c r="W23" s="18">
        <f t="shared" si="12"/>
        <v>3.7461504551689867E-2</v>
      </c>
      <c r="Z23" s="652" t="s">
        <v>316</v>
      </c>
      <c r="AA23" s="654">
        <v>7128676.8042817498</v>
      </c>
      <c r="AB23" s="652" t="s">
        <v>317</v>
      </c>
      <c r="AC23" s="654">
        <v>656238.52052736597</v>
      </c>
      <c r="AF23" s="652" t="s">
        <v>316</v>
      </c>
      <c r="AG23" s="654">
        <v>7128676.8042817498</v>
      </c>
      <c r="AH23" s="652" t="s">
        <v>317</v>
      </c>
      <c r="AI23" s="654">
        <v>656238.52052736597</v>
      </c>
    </row>
    <row r="24" spans="1:35">
      <c r="A24" s="2">
        <f>'Monthly Data'!A24</f>
        <v>43040</v>
      </c>
      <c r="B24">
        <f>'Monthly Data'!B24</f>
        <v>2017</v>
      </c>
      <c r="C24">
        <f>'Monthly Data'!C24</f>
        <v>11</v>
      </c>
      <c r="D24" s="3">
        <f>'Monthly Data'!BK24</f>
        <v>6938927.9339846773</v>
      </c>
      <c r="E24" s="3">
        <f>'Monthly Data'!CN24</f>
        <v>502.61174242424244</v>
      </c>
      <c r="F24" s="3">
        <f>'Monthly Data'!CW24</f>
        <v>0</v>
      </c>
      <c r="G24" s="3">
        <f>'Monthly Data'!DQ24</f>
        <v>30</v>
      </c>
      <c r="H24" s="3">
        <f>'Monthly Data'!DD24</f>
        <v>208.6</v>
      </c>
      <c r="I24">
        <f>'Monthly Data'!EJ24</f>
        <v>0</v>
      </c>
      <c r="J24">
        <f>'Monthly Data'!EF24</f>
        <v>1</v>
      </c>
      <c r="L24" s="3">
        <f t="shared" si="1"/>
        <v>172054.52120783599</v>
      </c>
      <c r="M24" s="3">
        <f t="shared" si="2"/>
        <v>1932075.8419399397</v>
      </c>
      <c r="N24" s="3">
        <f t="shared" si="3"/>
        <v>0</v>
      </c>
      <c r="O24" s="3">
        <f t="shared" si="4"/>
        <v>4727208.9075020105</v>
      </c>
      <c r="P24" s="3">
        <f t="shared" si="5"/>
        <v>0</v>
      </c>
      <c r="Q24" s="3">
        <f t="shared" si="6"/>
        <v>0</v>
      </c>
      <c r="R24" s="3">
        <f t="shared" si="7"/>
        <v>188541.63990907301</v>
      </c>
      <c r="S24" s="47">
        <f t="shared" si="8"/>
        <v>7019880.9105588589</v>
      </c>
      <c r="T24" s="47">
        <f>'Monthly Data'!BL24+'Monthly Data'!BM24</f>
        <v>1545.7369230769232</v>
      </c>
      <c r="U24" s="47">
        <f t="shared" si="9"/>
        <v>7021426.647481936</v>
      </c>
      <c r="V24" s="47">
        <f t="shared" si="10"/>
        <v>82498.713497258723</v>
      </c>
      <c r="W24" s="18">
        <f t="shared" si="12"/>
        <v>1.1889259303761621E-2</v>
      </c>
      <c r="AA24" s="3"/>
      <c r="AC24" s="3"/>
    </row>
    <row r="25" spans="1:35">
      <c r="A25" s="2">
        <f>'Monthly Data'!A25</f>
        <v>43070</v>
      </c>
      <c r="B25">
        <f>'Monthly Data'!B25</f>
        <v>2017</v>
      </c>
      <c r="C25">
        <f>'Monthly Data'!C25</f>
        <v>12</v>
      </c>
      <c r="D25" s="3">
        <f>'Monthly Data'!BK25</f>
        <v>7860342.0808829637</v>
      </c>
      <c r="E25" s="3">
        <f>'Monthly Data'!CN25</f>
        <v>798.31250000000011</v>
      </c>
      <c r="F25" s="3">
        <f>'Monthly Data'!CW25</f>
        <v>0</v>
      </c>
      <c r="G25" s="3">
        <f>'Monthly Data'!DQ25</f>
        <v>31</v>
      </c>
      <c r="H25" s="3">
        <f>'Monthly Data'!DD25</f>
        <v>207.8</v>
      </c>
      <c r="I25">
        <f>'Monthly Data'!EJ25</f>
        <v>0</v>
      </c>
      <c r="J25">
        <f>'Monthly Data'!EF25</f>
        <v>0</v>
      </c>
      <c r="L25" s="3">
        <f t="shared" si="1"/>
        <v>172054.52120783599</v>
      </c>
      <c r="M25" s="3">
        <f t="shared" si="2"/>
        <v>3068770.9127710261</v>
      </c>
      <c r="N25" s="3">
        <f t="shared" si="3"/>
        <v>0</v>
      </c>
      <c r="O25" s="3">
        <f t="shared" si="4"/>
        <v>4884782.537752077</v>
      </c>
      <c r="P25" s="3">
        <f t="shared" si="5"/>
        <v>0</v>
      </c>
      <c r="Q25" s="3">
        <f t="shared" si="6"/>
        <v>0</v>
      </c>
      <c r="R25" s="3">
        <f t="shared" si="7"/>
        <v>0</v>
      </c>
      <c r="S25" s="47">
        <f t="shared" si="8"/>
        <v>8125607.9717309391</v>
      </c>
      <c r="T25" s="47">
        <f>'Monthly Data'!BL25+'Monthly Data'!BM25</f>
        <v>1686.2584615384617</v>
      </c>
      <c r="U25" s="47">
        <f t="shared" si="9"/>
        <v>8127294.2301924778</v>
      </c>
      <c r="V25" s="47">
        <f t="shared" si="10"/>
        <v>266952.14930951409</v>
      </c>
      <c r="W25" s="18">
        <f t="shared" si="12"/>
        <v>3.3961899693750602E-2</v>
      </c>
    </row>
    <row r="26" spans="1:35">
      <c r="A26" s="2">
        <f>'Monthly Data'!A26</f>
        <v>43101</v>
      </c>
      <c r="B26">
        <f>'Monthly Data'!B26</f>
        <v>2018</v>
      </c>
      <c r="C26">
        <f>'Monthly Data'!C26</f>
        <v>1</v>
      </c>
      <c r="D26" s="3">
        <f>'Monthly Data'!BK26</f>
        <v>8410168.8579596728</v>
      </c>
      <c r="E26" s="3">
        <f>'Monthly Data'!CN26</f>
        <v>812.53750000000002</v>
      </c>
      <c r="F26" s="3">
        <f>'Monthly Data'!CW26</f>
        <v>0</v>
      </c>
      <c r="G26" s="3">
        <f>'Monthly Data'!DQ26</f>
        <v>31</v>
      </c>
      <c r="H26" s="3">
        <f>'Monthly Data'!DD26</f>
        <v>206.5</v>
      </c>
      <c r="I26">
        <f>'Monthly Data'!EJ26</f>
        <v>0</v>
      </c>
      <c r="J26">
        <f>'Monthly Data'!EF26</f>
        <v>0</v>
      </c>
      <c r="L26" s="3">
        <f t="shared" si="1"/>
        <v>172054.52120783599</v>
      </c>
      <c r="M26" s="3">
        <f t="shared" si="2"/>
        <v>3123452.840254521</v>
      </c>
      <c r="N26" s="3">
        <f t="shared" si="3"/>
        <v>0</v>
      </c>
      <c r="O26" s="3">
        <f t="shared" si="4"/>
        <v>4884782.537752077</v>
      </c>
      <c r="P26" s="3">
        <f t="shared" si="5"/>
        <v>0</v>
      </c>
      <c r="Q26" s="3">
        <f t="shared" si="6"/>
        <v>0</v>
      </c>
      <c r="R26" s="3">
        <f t="shared" si="7"/>
        <v>0</v>
      </c>
      <c r="S26" s="47">
        <f t="shared" si="8"/>
        <v>8180289.8992144335</v>
      </c>
      <c r="T26" s="47">
        <f>'Monthly Data'!BL26+'Monthly Data'!BM26</f>
        <v>2078.9751282051284</v>
      </c>
      <c r="U26" s="47">
        <f t="shared" si="9"/>
        <v>8182368.874342639</v>
      </c>
      <c r="V26" s="47">
        <f t="shared" si="10"/>
        <v>-227799.98361703381</v>
      </c>
      <c r="W26" s="18">
        <f t="shared" si="12"/>
        <v>2.7086255634622136E-2</v>
      </c>
    </row>
    <row r="27" spans="1:35">
      <c r="A27" s="2">
        <f>'Monthly Data'!A27</f>
        <v>43132</v>
      </c>
      <c r="B27">
        <f>'Monthly Data'!B27</f>
        <v>2018</v>
      </c>
      <c r="C27">
        <f>'Monthly Data'!C27</f>
        <v>2</v>
      </c>
      <c r="D27" s="3">
        <f>'Monthly Data'!BK27</f>
        <v>7178364.4838007502</v>
      </c>
      <c r="E27" s="3">
        <f>'Monthly Data'!CN27</f>
        <v>632.49583333333328</v>
      </c>
      <c r="F27" s="3">
        <f>'Monthly Data'!CW27</f>
        <v>0</v>
      </c>
      <c r="G27" s="3">
        <f>'Monthly Data'!DQ27</f>
        <v>28</v>
      </c>
      <c r="H27" s="3">
        <f>'Monthly Data'!DD27</f>
        <v>206.7</v>
      </c>
      <c r="I27">
        <f>'Monthly Data'!EJ27</f>
        <v>0</v>
      </c>
      <c r="J27">
        <f>'Monthly Data'!EF27</f>
        <v>0</v>
      </c>
      <c r="L27" s="3">
        <f t="shared" si="1"/>
        <v>172054.52120783599</v>
      </c>
      <c r="M27" s="3">
        <f t="shared" si="2"/>
        <v>2431359.669029614</v>
      </c>
      <c r="N27" s="3">
        <f t="shared" si="3"/>
        <v>0</v>
      </c>
      <c r="O27" s="3">
        <f t="shared" si="4"/>
        <v>4412061.6470018765</v>
      </c>
      <c r="P27" s="3">
        <f t="shared" si="5"/>
        <v>0</v>
      </c>
      <c r="Q27" s="3">
        <f t="shared" si="6"/>
        <v>0</v>
      </c>
      <c r="R27" s="3">
        <f t="shared" si="7"/>
        <v>0</v>
      </c>
      <c r="S27" s="47">
        <f t="shared" si="8"/>
        <v>7015475.8372393269</v>
      </c>
      <c r="T27" s="47">
        <f>'Monthly Data'!BL27+'Monthly Data'!BM27</f>
        <v>2331.1702564102566</v>
      </c>
      <c r="U27" s="47">
        <f t="shared" si="9"/>
        <v>7017807.0074957367</v>
      </c>
      <c r="V27" s="47">
        <f t="shared" si="10"/>
        <v>-160557.47630501352</v>
      </c>
      <c r="W27" s="18">
        <f t="shared" si="12"/>
        <v>2.2366860399376472E-2</v>
      </c>
    </row>
    <row r="28" spans="1:35">
      <c r="A28" s="2">
        <f>'Monthly Data'!A28</f>
        <v>43160</v>
      </c>
      <c r="B28">
        <f>'Monthly Data'!B28</f>
        <v>2018</v>
      </c>
      <c r="C28">
        <f>'Monthly Data'!C28</f>
        <v>3</v>
      </c>
      <c r="D28" s="3">
        <f>'Monthly Data'!BK28</f>
        <v>7529857.5160413282</v>
      </c>
      <c r="E28" s="3">
        <f>'Monthly Data'!CN28</f>
        <v>629.27916666666681</v>
      </c>
      <c r="F28" s="3">
        <f>'Monthly Data'!CW28</f>
        <v>0</v>
      </c>
      <c r="G28" s="3">
        <f>'Monthly Data'!DQ28</f>
        <v>31</v>
      </c>
      <c r="H28" s="3">
        <f>'Monthly Data'!DD28</f>
        <v>209.4</v>
      </c>
      <c r="I28">
        <f>'Monthly Data'!EJ28</f>
        <v>0</v>
      </c>
      <c r="J28">
        <f>'Monthly Data'!EF28</f>
        <v>0</v>
      </c>
      <c r="L28" s="3">
        <f t="shared" si="1"/>
        <v>172054.52120783599</v>
      </c>
      <c r="M28" s="3">
        <f t="shared" si="2"/>
        <v>2418994.5700204587</v>
      </c>
      <c r="N28" s="3">
        <f t="shared" si="3"/>
        <v>0</v>
      </c>
      <c r="O28" s="3">
        <f t="shared" si="4"/>
        <v>4884782.537752077</v>
      </c>
      <c r="P28" s="3">
        <f t="shared" si="5"/>
        <v>0</v>
      </c>
      <c r="Q28" s="3">
        <f t="shared" si="6"/>
        <v>0</v>
      </c>
      <c r="R28" s="3">
        <f t="shared" si="7"/>
        <v>0</v>
      </c>
      <c r="S28" s="47">
        <f t="shared" si="8"/>
        <v>7475831.6289803721</v>
      </c>
      <c r="T28" s="47">
        <f>'Monthly Data'!BL28+'Monthly Data'!BM28</f>
        <v>2583.3653846153848</v>
      </c>
      <c r="U28" s="47">
        <f t="shared" si="9"/>
        <v>7478414.9943649871</v>
      </c>
      <c r="V28" s="47">
        <f t="shared" si="10"/>
        <v>-51442.521676341072</v>
      </c>
      <c r="W28" s="18">
        <f t="shared" si="12"/>
        <v>6.8318054580381949E-3</v>
      </c>
    </row>
    <row r="29" spans="1:35">
      <c r="A29" s="2">
        <f>'Monthly Data'!A29</f>
        <v>43191</v>
      </c>
      <c r="B29">
        <f>'Monthly Data'!B29</f>
        <v>2018</v>
      </c>
      <c r="C29">
        <f>'Monthly Data'!C29</f>
        <v>4</v>
      </c>
      <c r="D29" s="3">
        <f>'Monthly Data'!BK29</f>
        <v>6869833.8112721313</v>
      </c>
      <c r="E29" s="3">
        <f>'Monthly Data'!CN29</f>
        <v>512.51666666666677</v>
      </c>
      <c r="F29" s="3">
        <f>'Monthly Data'!CW29</f>
        <v>0</v>
      </c>
      <c r="G29" s="3">
        <f>'Monthly Data'!DQ29</f>
        <v>30</v>
      </c>
      <c r="H29" s="3">
        <f>'Monthly Data'!DD29</f>
        <v>213.7</v>
      </c>
      <c r="I29">
        <f>'Monthly Data'!EJ29</f>
        <v>0</v>
      </c>
      <c r="J29">
        <f>'Monthly Data'!EF29</f>
        <v>0</v>
      </c>
      <c r="L29" s="3">
        <f t="shared" si="1"/>
        <v>172054.52120783599</v>
      </c>
      <c r="M29" s="3">
        <f t="shared" si="2"/>
        <v>1970151.0861686752</v>
      </c>
      <c r="N29" s="3">
        <f t="shared" si="3"/>
        <v>0</v>
      </c>
      <c r="O29" s="3">
        <f t="shared" si="4"/>
        <v>4727208.9075020105</v>
      </c>
      <c r="P29" s="3">
        <f t="shared" si="5"/>
        <v>0</v>
      </c>
      <c r="Q29" s="3">
        <f t="shared" si="6"/>
        <v>0</v>
      </c>
      <c r="R29" s="3">
        <f t="shared" si="7"/>
        <v>0</v>
      </c>
      <c r="S29" s="47">
        <f t="shared" si="8"/>
        <v>6869414.5148785217</v>
      </c>
      <c r="T29" s="47">
        <f>'Monthly Data'!BL29+'Monthly Data'!BM29</f>
        <v>2835.5605128205129</v>
      </c>
      <c r="U29" s="47">
        <f t="shared" si="9"/>
        <v>6872250.0753913419</v>
      </c>
      <c r="V29" s="47">
        <f t="shared" si="10"/>
        <v>2416.264119210653</v>
      </c>
      <c r="W29" s="18">
        <f t="shared" si="12"/>
        <v>3.5172089829101961E-4</v>
      </c>
    </row>
    <row r="30" spans="1:35">
      <c r="A30" s="2">
        <f>'Monthly Data'!A30</f>
        <v>43221</v>
      </c>
      <c r="B30">
        <f>'Monthly Data'!B30</f>
        <v>2018</v>
      </c>
      <c r="C30">
        <f>'Monthly Data'!C30</f>
        <v>5</v>
      </c>
      <c r="D30" s="3">
        <f>'Monthly Data'!BK30</f>
        <v>6770110.0880697882</v>
      </c>
      <c r="E30" s="3">
        <f>'Monthly Data'!CN30</f>
        <v>140.84469696969697</v>
      </c>
      <c r="F30" s="3">
        <f>'Monthly Data'!CW30</f>
        <v>127.46720779220779</v>
      </c>
      <c r="G30" s="3">
        <f>'Monthly Data'!DQ30</f>
        <v>31</v>
      </c>
      <c r="H30" s="3">
        <f>'Monthly Data'!DD30</f>
        <v>217.6</v>
      </c>
      <c r="I30">
        <f>'Monthly Data'!EJ30</f>
        <v>0</v>
      </c>
      <c r="J30">
        <f>'Monthly Data'!EF30</f>
        <v>0</v>
      </c>
      <c r="L30" s="3">
        <f t="shared" si="1"/>
        <v>172054.52120783599</v>
      </c>
      <c r="M30" s="3">
        <f t="shared" si="2"/>
        <v>541417.18848026986</v>
      </c>
      <c r="N30" s="3">
        <f t="shared" si="3"/>
        <v>1245102.7169063871</v>
      </c>
      <c r="O30" s="3">
        <f t="shared" si="4"/>
        <v>4884782.537752077</v>
      </c>
      <c r="P30" s="3">
        <f t="shared" si="5"/>
        <v>0</v>
      </c>
      <c r="Q30" s="3">
        <f t="shared" si="6"/>
        <v>0</v>
      </c>
      <c r="R30" s="3">
        <f t="shared" si="7"/>
        <v>0</v>
      </c>
      <c r="S30" s="47">
        <f t="shared" si="8"/>
        <v>6843356.96434657</v>
      </c>
      <c r="T30" s="47">
        <f>'Monthly Data'!BL30+'Monthly Data'!BM30</f>
        <v>3087.7556410256411</v>
      </c>
      <c r="U30" s="47">
        <f t="shared" si="9"/>
        <v>6846444.7199875955</v>
      </c>
      <c r="V30" s="47">
        <f t="shared" si="10"/>
        <v>76334.631917807274</v>
      </c>
      <c r="W30" s="18">
        <f t="shared" si="12"/>
        <v>1.1275242340936716E-2</v>
      </c>
    </row>
    <row r="31" spans="1:35">
      <c r="A31" s="2">
        <f>'Monthly Data'!A31</f>
        <v>43252</v>
      </c>
      <c r="B31">
        <f>'Monthly Data'!B31</f>
        <v>2018</v>
      </c>
      <c r="C31">
        <f>'Monthly Data'!C31</f>
        <v>6</v>
      </c>
      <c r="D31" s="3">
        <f>'Monthly Data'!BK31</f>
        <v>6985601.5404461809</v>
      </c>
      <c r="E31" s="3">
        <f>'Monthly Data'!CN31</f>
        <v>63.468560606060585</v>
      </c>
      <c r="F31" s="3">
        <f>'Monthly Data'!CW31</f>
        <v>198.19393939393944</v>
      </c>
      <c r="G31" s="3">
        <f>'Monthly Data'!DQ31</f>
        <v>30</v>
      </c>
      <c r="H31" s="3">
        <f>'Monthly Data'!DD31</f>
        <v>219.5</v>
      </c>
      <c r="I31">
        <f>'Monthly Data'!EJ31</f>
        <v>0</v>
      </c>
      <c r="J31">
        <f>'Monthly Data'!EF31</f>
        <v>0</v>
      </c>
      <c r="L31" s="3">
        <f t="shared" si="1"/>
        <v>172054.52120783599</v>
      </c>
      <c r="M31" s="3">
        <f t="shared" si="2"/>
        <v>243977.73135623417</v>
      </c>
      <c r="N31" s="3">
        <f t="shared" si="3"/>
        <v>1935963.1130859312</v>
      </c>
      <c r="O31" s="3">
        <f t="shared" si="4"/>
        <v>4727208.9075020105</v>
      </c>
      <c r="P31" s="3">
        <f t="shared" si="5"/>
        <v>0</v>
      </c>
      <c r="Q31" s="3">
        <f t="shared" si="6"/>
        <v>0</v>
      </c>
      <c r="R31" s="3">
        <f t="shared" si="7"/>
        <v>0</v>
      </c>
      <c r="S31" s="47">
        <f t="shared" si="8"/>
        <v>7079204.2731520124</v>
      </c>
      <c r="T31" s="47">
        <f>'Monthly Data'!BL31+'Monthly Data'!BM31</f>
        <v>3339.9507692307693</v>
      </c>
      <c r="U31" s="47">
        <f t="shared" si="9"/>
        <v>7082544.2239212431</v>
      </c>
      <c r="V31" s="47">
        <f t="shared" si="10"/>
        <v>96942.683475062251</v>
      </c>
      <c r="W31" s="18">
        <f t="shared" si="12"/>
        <v>1.3877499727657007E-2</v>
      </c>
    </row>
    <row r="32" spans="1:35">
      <c r="A32" s="2">
        <f>'Monthly Data'!A32</f>
        <v>43282</v>
      </c>
      <c r="B32">
        <f>'Monthly Data'!B32</f>
        <v>2018</v>
      </c>
      <c r="C32">
        <f>'Monthly Data'!C32</f>
        <v>7</v>
      </c>
      <c r="D32" s="3">
        <f>'Monthly Data'!BK32</f>
        <v>7993952.523872898</v>
      </c>
      <c r="E32" s="3">
        <f>'Monthly Data'!CN32</f>
        <v>4.9668995859213254</v>
      </c>
      <c r="F32" s="3">
        <f>'Monthly Data'!CW32</f>
        <v>318.39861424807077</v>
      </c>
      <c r="G32" s="3">
        <f>'Monthly Data'!DQ32</f>
        <v>31</v>
      </c>
      <c r="H32" s="3">
        <f>'Monthly Data'!DD32</f>
        <v>218.7</v>
      </c>
      <c r="I32">
        <f>'Monthly Data'!EJ32</f>
        <v>0</v>
      </c>
      <c r="J32">
        <f>'Monthly Data'!EF32</f>
        <v>0</v>
      </c>
      <c r="L32" s="3">
        <f t="shared" si="1"/>
        <v>172054.52120783599</v>
      </c>
      <c r="M32" s="3">
        <f t="shared" si="2"/>
        <v>19093.120771539736</v>
      </c>
      <c r="N32" s="3">
        <f t="shared" si="3"/>
        <v>3110125.2355489065</v>
      </c>
      <c r="O32" s="3">
        <f t="shared" si="4"/>
        <v>4884782.537752077</v>
      </c>
      <c r="P32" s="3">
        <f t="shared" si="5"/>
        <v>0</v>
      </c>
      <c r="Q32" s="3">
        <f t="shared" si="6"/>
        <v>0</v>
      </c>
      <c r="R32" s="3">
        <f t="shared" si="7"/>
        <v>0</v>
      </c>
      <c r="S32" s="47">
        <f t="shared" si="8"/>
        <v>8186055.4152803589</v>
      </c>
      <c r="T32" s="47">
        <f>'Monthly Data'!BL32+'Monthly Data'!BM32</f>
        <v>3592.1458974358975</v>
      </c>
      <c r="U32" s="47">
        <f t="shared" si="9"/>
        <v>8189647.5611777948</v>
      </c>
      <c r="V32" s="47">
        <f t="shared" si="10"/>
        <v>195695.03730489686</v>
      </c>
      <c r="W32" s="18">
        <f t="shared" si="12"/>
        <v>2.4480385231270652E-2</v>
      </c>
    </row>
    <row r="33" spans="1:23">
      <c r="A33" s="2">
        <f>'Monthly Data'!A33</f>
        <v>43313</v>
      </c>
      <c r="B33">
        <f>'Monthly Data'!B33</f>
        <v>2018</v>
      </c>
      <c r="C33">
        <f>'Monthly Data'!C33</f>
        <v>8</v>
      </c>
      <c r="D33" s="3">
        <f>'Monthly Data'!BK33</f>
        <v>8077429.5244700667</v>
      </c>
      <c r="E33" s="3">
        <f>'Monthly Data'!CN33</f>
        <v>7.2291666666666679</v>
      </c>
      <c r="F33" s="3">
        <f>'Monthly Data'!CW33</f>
        <v>314.24583333333334</v>
      </c>
      <c r="G33" s="3">
        <f>'Monthly Data'!DQ33</f>
        <v>31</v>
      </c>
      <c r="H33" s="3">
        <f>'Monthly Data'!DD33</f>
        <v>217.1</v>
      </c>
      <c r="I33">
        <f>'Monthly Data'!EJ33</f>
        <v>0</v>
      </c>
      <c r="J33">
        <f>'Monthly Data'!EF33</f>
        <v>0</v>
      </c>
      <c r="L33" s="3">
        <f t="shared" si="1"/>
        <v>172054.52120783599</v>
      </c>
      <c r="M33" s="3">
        <f t="shared" si="2"/>
        <v>27789.438835343983</v>
      </c>
      <c r="N33" s="3">
        <f t="shared" si="3"/>
        <v>3069560.7728199074</v>
      </c>
      <c r="O33" s="3">
        <f t="shared" si="4"/>
        <v>4884782.537752077</v>
      </c>
      <c r="P33" s="3">
        <f t="shared" si="5"/>
        <v>0</v>
      </c>
      <c r="Q33" s="3">
        <f t="shared" si="6"/>
        <v>0</v>
      </c>
      <c r="R33" s="3">
        <f t="shared" si="7"/>
        <v>0</v>
      </c>
      <c r="S33" s="47">
        <f t="shared" si="8"/>
        <v>8154187.2706151642</v>
      </c>
      <c r="T33" s="47">
        <f>'Monthly Data'!BL33+'Monthly Data'!BM33</f>
        <v>3844.3410256410257</v>
      </c>
      <c r="U33" s="47">
        <f t="shared" si="9"/>
        <v>8158031.6116408054</v>
      </c>
      <c r="V33" s="47">
        <f t="shared" si="10"/>
        <v>80602.087170738727</v>
      </c>
      <c r="W33" s="18">
        <f t="shared" si="12"/>
        <v>9.9786803371740666E-3</v>
      </c>
    </row>
    <row r="34" spans="1:23">
      <c r="A34" s="2">
        <f>'Monthly Data'!A34</f>
        <v>43344</v>
      </c>
      <c r="B34">
        <f>'Monthly Data'!B34</f>
        <v>2018</v>
      </c>
      <c r="C34">
        <f>'Monthly Data'!C34</f>
        <v>9</v>
      </c>
      <c r="D34" s="3">
        <f>'Monthly Data'!BK34</f>
        <v>7049345.8021477899</v>
      </c>
      <c r="E34" s="3">
        <f>'Monthly Data'!CN34</f>
        <v>92.370833333333337</v>
      </c>
      <c r="F34" s="3">
        <f>'Monthly Data'!CW34</f>
        <v>183.48333333333329</v>
      </c>
      <c r="G34" s="3">
        <f>'Monthly Data'!DQ34</f>
        <v>30</v>
      </c>
      <c r="H34" s="3">
        <f>'Monthly Data'!DD34</f>
        <v>215.6</v>
      </c>
      <c r="I34">
        <f>'Monthly Data'!EJ34</f>
        <v>0</v>
      </c>
      <c r="J34">
        <f>'Monthly Data'!EF34</f>
        <v>1</v>
      </c>
      <c r="L34" s="3">
        <f t="shared" ref="L34:L65" si="13">$AA$8</f>
        <v>172054.52120783599</v>
      </c>
      <c r="M34" s="3">
        <f t="shared" ref="M34:M65" si="14">E34*$AA$9</f>
        <v>355080.15535489377</v>
      </c>
      <c r="N34" s="3">
        <f t="shared" ref="N34:N65" si="15">F34*$AA$10</f>
        <v>1792269.5632651907</v>
      </c>
      <c r="O34" s="3">
        <f t="shared" ref="O34:O65" si="16">G34*$AA$11</f>
        <v>4727208.9075020105</v>
      </c>
      <c r="P34" s="3">
        <f t="shared" ref="P34:P65" si="17">H34*$AA$12</f>
        <v>0</v>
      </c>
      <c r="Q34" s="3">
        <f t="shared" ref="Q34:Q65" si="18">I34*$AA$13</f>
        <v>0</v>
      </c>
      <c r="R34" s="3">
        <f t="shared" ref="R34:R65" si="19">J34*$AA$14</f>
        <v>188541.63990907301</v>
      </c>
      <c r="S34" s="47">
        <f t="shared" si="8"/>
        <v>7235154.7872390039</v>
      </c>
      <c r="T34" s="47">
        <f>'Monthly Data'!BL34+'Monthly Data'!BM34</f>
        <v>4096.5361538461539</v>
      </c>
      <c r="U34" s="47">
        <f t="shared" si="9"/>
        <v>7239251.3233928503</v>
      </c>
      <c r="V34" s="47">
        <f t="shared" si="10"/>
        <v>189905.52124506049</v>
      </c>
      <c r="W34" s="18">
        <f t="shared" si="12"/>
        <v>2.6939453188294465E-2</v>
      </c>
    </row>
    <row r="35" spans="1:23">
      <c r="A35" s="2">
        <f>'Monthly Data'!A35</f>
        <v>43374</v>
      </c>
      <c r="B35">
        <f>'Monthly Data'!B35</f>
        <v>2018</v>
      </c>
      <c r="C35">
        <f>'Monthly Data'!C35</f>
        <v>10</v>
      </c>
      <c r="D35" s="3">
        <f>'Monthly Data'!BK35</f>
        <v>6709539.9969768031</v>
      </c>
      <c r="E35" s="3">
        <f>'Monthly Data'!CN35</f>
        <v>364.80833333333339</v>
      </c>
      <c r="F35" s="3">
        <f>'Monthly Data'!CW35</f>
        <v>25.358333333333334</v>
      </c>
      <c r="G35" s="3">
        <f>'Monthly Data'!DQ35</f>
        <v>31</v>
      </c>
      <c r="H35" s="3">
        <f>'Monthly Data'!DD35</f>
        <v>214.7</v>
      </c>
      <c r="I35">
        <f>'Monthly Data'!EJ35</f>
        <v>0</v>
      </c>
      <c r="J35">
        <f>'Monthly Data'!EF35</f>
        <v>1</v>
      </c>
      <c r="L35" s="3">
        <f t="shared" si="13"/>
        <v>172054.52120783599</v>
      </c>
      <c r="M35" s="3">
        <f t="shared" si="14"/>
        <v>1402349.5837404651</v>
      </c>
      <c r="N35" s="3">
        <f t="shared" si="15"/>
        <v>247700.80302552349</v>
      </c>
      <c r="O35" s="3">
        <f t="shared" si="16"/>
        <v>4884782.537752077</v>
      </c>
      <c r="P35" s="3">
        <f t="shared" si="17"/>
        <v>0</v>
      </c>
      <c r="Q35" s="3">
        <f t="shared" si="18"/>
        <v>0</v>
      </c>
      <c r="R35" s="3">
        <f t="shared" si="19"/>
        <v>188541.63990907301</v>
      </c>
      <c r="S35" s="47">
        <f t="shared" si="8"/>
        <v>6895429.0856349738</v>
      </c>
      <c r="T35" s="47">
        <f>'Monthly Data'!BL35+'Monthly Data'!BM35</f>
        <v>4348.7312820512825</v>
      </c>
      <c r="U35" s="47">
        <f t="shared" si="9"/>
        <v>6899777.8169170255</v>
      </c>
      <c r="V35" s="47">
        <f t="shared" si="10"/>
        <v>190237.81994022243</v>
      </c>
      <c r="W35" s="18">
        <f t="shared" si="12"/>
        <v>2.8353332721161233E-2</v>
      </c>
    </row>
    <row r="36" spans="1:23">
      <c r="A36" s="2">
        <f>'Monthly Data'!A36</f>
        <v>43405</v>
      </c>
      <c r="B36">
        <f>'Monthly Data'!B36</f>
        <v>2018</v>
      </c>
      <c r="C36">
        <f>'Monthly Data'!C36</f>
        <v>11</v>
      </c>
      <c r="D36" s="3">
        <f>'Monthly Data'!BK36</f>
        <v>7255558.8861429505</v>
      </c>
      <c r="E36" s="3">
        <f>'Monthly Data'!CN36</f>
        <v>563.52499999999998</v>
      </c>
      <c r="F36" s="3">
        <f>'Monthly Data'!CW36</f>
        <v>0</v>
      </c>
      <c r="G36" s="3">
        <f>'Monthly Data'!DQ36</f>
        <v>30</v>
      </c>
      <c r="H36" s="3">
        <f>'Monthly Data'!DD36</f>
        <v>214.8</v>
      </c>
      <c r="I36">
        <f>'Monthly Data'!EJ36</f>
        <v>0</v>
      </c>
      <c r="J36">
        <f>'Monthly Data'!EF36</f>
        <v>1</v>
      </c>
      <c r="L36" s="3">
        <f t="shared" si="13"/>
        <v>172054.52120783599</v>
      </c>
      <c r="M36" s="3">
        <f t="shared" si="14"/>
        <v>2166230.8038760414</v>
      </c>
      <c r="N36" s="3">
        <f t="shared" si="15"/>
        <v>0</v>
      </c>
      <c r="O36" s="3">
        <f t="shared" si="16"/>
        <v>4727208.9075020105</v>
      </c>
      <c r="P36" s="3">
        <f t="shared" si="17"/>
        <v>0</v>
      </c>
      <c r="Q36" s="3">
        <f t="shared" si="18"/>
        <v>0</v>
      </c>
      <c r="R36" s="3">
        <f t="shared" si="19"/>
        <v>188541.63990907301</v>
      </c>
      <c r="S36" s="47">
        <f t="shared" si="8"/>
        <v>7254035.8724949611</v>
      </c>
      <c r="T36" s="47">
        <f>'Monthly Data'!BL36+'Monthly Data'!BM36</f>
        <v>4600.9264102564102</v>
      </c>
      <c r="U36" s="47">
        <f t="shared" si="9"/>
        <v>7258636.7989052171</v>
      </c>
      <c r="V36" s="47">
        <f t="shared" si="10"/>
        <v>3077.9127622665837</v>
      </c>
      <c r="W36" s="18">
        <f t="shared" si="12"/>
        <v>4.2421442793951327E-4</v>
      </c>
    </row>
    <row r="37" spans="1:23">
      <c r="A37" s="2">
        <f>'Monthly Data'!A37</f>
        <v>43435</v>
      </c>
      <c r="B37">
        <f>'Monthly Data'!B37</f>
        <v>2018</v>
      </c>
      <c r="C37">
        <f>'Monthly Data'!C37</f>
        <v>12</v>
      </c>
      <c r="D37" s="3">
        <f>'Monthly Data'!BK37</f>
        <v>7580312.8758256463</v>
      </c>
      <c r="E37" s="3">
        <f>'Monthly Data'!CN37</f>
        <v>646.91666666666663</v>
      </c>
      <c r="F37" s="3">
        <f>'Monthly Data'!CW37</f>
        <v>0</v>
      </c>
      <c r="G37" s="3">
        <f>'Monthly Data'!DQ37</f>
        <v>31</v>
      </c>
      <c r="H37" s="3">
        <f>'Monthly Data'!DD37</f>
        <v>214.1</v>
      </c>
      <c r="I37">
        <f>'Monthly Data'!EJ37</f>
        <v>0</v>
      </c>
      <c r="J37">
        <f>'Monthly Data'!EF37</f>
        <v>0</v>
      </c>
      <c r="L37" s="3">
        <f t="shared" si="13"/>
        <v>172054.52120783599</v>
      </c>
      <c r="M37" s="3">
        <f t="shared" si="14"/>
        <v>2486794.3939916459</v>
      </c>
      <c r="N37" s="3">
        <f t="shared" si="15"/>
        <v>0</v>
      </c>
      <c r="O37" s="3">
        <f t="shared" si="16"/>
        <v>4884782.537752077</v>
      </c>
      <c r="P37" s="3">
        <f t="shared" si="17"/>
        <v>0</v>
      </c>
      <c r="Q37" s="3">
        <f t="shared" si="18"/>
        <v>0</v>
      </c>
      <c r="R37" s="3">
        <f t="shared" si="19"/>
        <v>0</v>
      </c>
      <c r="S37" s="47">
        <f t="shared" si="8"/>
        <v>7543631.4529515589</v>
      </c>
      <c r="T37" s="47">
        <f>'Monthly Data'!BL37+'Monthly Data'!BM37</f>
        <v>4853.1215384615389</v>
      </c>
      <c r="U37" s="47">
        <f t="shared" si="9"/>
        <v>7548484.5744900201</v>
      </c>
      <c r="V37" s="47">
        <f t="shared" si="10"/>
        <v>-31828.301335626282</v>
      </c>
      <c r="W37" s="18">
        <f t="shared" si="12"/>
        <v>4.1988110328704011E-3</v>
      </c>
    </row>
    <row r="38" spans="1:23">
      <c r="A38" s="2">
        <f>'Monthly Data'!A38</f>
        <v>43466</v>
      </c>
      <c r="B38">
        <f>'Monthly Data'!B38</f>
        <v>2019</v>
      </c>
      <c r="C38">
        <f>'Monthly Data'!C38</f>
        <v>1</v>
      </c>
      <c r="D38" s="3">
        <f>'Monthly Data'!BK38</f>
        <v>8472734.8679011315</v>
      </c>
      <c r="E38" s="3">
        <f>'Monthly Data'!CN38</f>
        <v>841.93333333333351</v>
      </c>
      <c r="F38" s="3">
        <f>'Monthly Data'!CW38</f>
        <v>0</v>
      </c>
      <c r="G38" s="3">
        <f>'Monthly Data'!DQ38</f>
        <v>31</v>
      </c>
      <c r="H38" s="3">
        <f>'Monthly Data'!DD38</f>
        <v>216.3</v>
      </c>
      <c r="I38">
        <f>'Monthly Data'!EJ38</f>
        <v>0</v>
      </c>
      <c r="J38">
        <f>'Monthly Data'!EF38</f>
        <v>0</v>
      </c>
      <c r="L38" s="3">
        <f t="shared" si="13"/>
        <v>172054.52120783599</v>
      </c>
      <c r="M38" s="3">
        <f t="shared" si="14"/>
        <v>3236452.5468731681</v>
      </c>
      <c r="N38" s="3">
        <f t="shared" si="15"/>
        <v>0</v>
      </c>
      <c r="O38" s="3">
        <f t="shared" si="16"/>
        <v>4884782.537752077</v>
      </c>
      <c r="P38" s="3">
        <f t="shared" si="17"/>
        <v>0</v>
      </c>
      <c r="Q38" s="3">
        <f t="shared" si="18"/>
        <v>0</v>
      </c>
      <c r="R38" s="3">
        <f t="shared" si="19"/>
        <v>0</v>
      </c>
      <c r="S38" s="47">
        <f t="shared" si="8"/>
        <v>8293289.6058330815</v>
      </c>
      <c r="T38" s="47">
        <f ca="1">'Monthly Data'!BL38+'Monthly Data'!BM38</f>
        <v>14301.761417117421</v>
      </c>
      <c r="U38" s="47">
        <f t="shared" ca="1" si="9"/>
        <v>8307591.3672501985</v>
      </c>
      <c r="V38" s="47">
        <f t="shared" ca="1" si="10"/>
        <v>-165143.50065093301</v>
      </c>
      <c r="W38" s="18">
        <f t="shared" ca="1" si="12"/>
        <v>1.949116822675255E-2</v>
      </c>
    </row>
    <row r="39" spans="1:23">
      <c r="A39" s="2">
        <f>'Monthly Data'!A39</f>
        <v>43497</v>
      </c>
      <c r="B39">
        <f>'Monthly Data'!B39</f>
        <v>2019</v>
      </c>
      <c r="C39">
        <f>'Monthly Data'!C39</f>
        <v>2</v>
      </c>
      <c r="D39" s="3">
        <f>'Monthly Data'!BK39</f>
        <v>7548305.1768436972</v>
      </c>
      <c r="E39" s="3">
        <f>'Monthly Data'!CN39</f>
        <v>695.30416666666645</v>
      </c>
      <c r="F39" s="3">
        <f>'Monthly Data'!CW39</f>
        <v>0</v>
      </c>
      <c r="G39" s="3">
        <f>'Monthly Data'!DQ39</f>
        <v>28</v>
      </c>
      <c r="H39" s="3">
        <f>'Monthly Data'!DD39</f>
        <v>218</v>
      </c>
      <c r="I39">
        <f>'Monthly Data'!EJ39</f>
        <v>0</v>
      </c>
      <c r="J39">
        <f>'Monthly Data'!EF39</f>
        <v>0</v>
      </c>
      <c r="L39" s="3">
        <f t="shared" si="13"/>
        <v>172054.52120783599</v>
      </c>
      <c r="M39" s="3">
        <f t="shared" si="14"/>
        <v>2672799.4390607229</v>
      </c>
      <c r="N39" s="3">
        <f t="shared" si="15"/>
        <v>0</v>
      </c>
      <c r="O39" s="3">
        <f t="shared" si="16"/>
        <v>4412061.6470018765</v>
      </c>
      <c r="P39" s="3">
        <f t="shared" si="17"/>
        <v>0</v>
      </c>
      <c r="Q39" s="3">
        <f t="shared" si="18"/>
        <v>0</v>
      </c>
      <c r="R39" s="3">
        <f t="shared" si="19"/>
        <v>0</v>
      </c>
      <c r="S39" s="47">
        <f t="shared" si="8"/>
        <v>7256915.6072704354</v>
      </c>
      <c r="T39" s="47">
        <f ca="1">'Monthly Data'!BL39+'Monthly Data'!BM39</f>
        <v>12851.894370401547</v>
      </c>
      <c r="U39" s="47">
        <f t="shared" ca="1" si="9"/>
        <v>7269767.5016408367</v>
      </c>
      <c r="V39" s="47">
        <f t="shared" ca="1" si="10"/>
        <v>-278537.6752028605</v>
      </c>
      <c r="W39" s="18">
        <f t="shared" ca="1" si="12"/>
        <v>3.6900690774578651E-2</v>
      </c>
    </row>
    <row r="40" spans="1:23">
      <c r="A40" s="2">
        <f>'Monthly Data'!A40</f>
        <v>43525</v>
      </c>
      <c r="B40">
        <f>'Monthly Data'!B40</f>
        <v>2019</v>
      </c>
      <c r="C40">
        <f>'Monthly Data'!C40</f>
        <v>3</v>
      </c>
      <c r="D40" s="3">
        <f>'Monthly Data'!BK40</f>
        <v>7821830.0137946913</v>
      </c>
      <c r="E40" s="3">
        <f>'Monthly Data'!CN40</f>
        <v>673.45833333333326</v>
      </c>
      <c r="F40" s="3">
        <f>'Monthly Data'!CW40</f>
        <v>0</v>
      </c>
      <c r="G40" s="3">
        <f>'Monthly Data'!DQ40</f>
        <v>31</v>
      </c>
      <c r="H40" s="3">
        <f>'Monthly Data'!DD40</f>
        <v>220.1</v>
      </c>
      <c r="I40">
        <f>'Monthly Data'!EJ40</f>
        <v>0</v>
      </c>
      <c r="J40">
        <f>'Monthly Data'!EF40</f>
        <v>0</v>
      </c>
      <c r="L40" s="3">
        <f t="shared" si="13"/>
        <v>172054.52120783599</v>
      </c>
      <c r="M40" s="3">
        <f t="shared" si="14"/>
        <v>2588822.4777848106</v>
      </c>
      <c r="N40" s="3">
        <f t="shared" si="15"/>
        <v>0</v>
      </c>
      <c r="O40" s="3">
        <f t="shared" si="16"/>
        <v>4884782.537752077</v>
      </c>
      <c r="P40" s="3">
        <f t="shared" si="17"/>
        <v>0</v>
      </c>
      <c r="Q40" s="3">
        <f t="shared" si="18"/>
        <v>0</v>
      </c>
      <c r="R40" s="3">
        <f t="shared" si="19"/>
        <v>0</v>
      </c>
      <c r="S40" s="47">
        <f t="shared" si="8"/>
        <v>7645659.5367447231</v>
      </c>
      <c r="T40" s="47">
        <f ca="1">'Monthly Data'!BL40+'Monthly Data'!BM40</f>
        <v>12706.36736815897</v>
      </c>
      <c r="U40" s="47">
        <f t="shared" ca="1" si="9"/>
        <v>7658365.904112882</v>
      </c>
      <c r="V40" s="47">
        <f t="shared" ca="1" si="10"/>
        <v>-163464.10968180932</v>
      </c>
      <c r="W40" s="18">
        <f t="shared" ca="1" si="12"/>
        <v>2.0898448239545179E-2</v>
      </c>
    </row>
    <row r="41" spans="1:23">
      <c r="A41" s="2">
        <f>'Monthly Data'!A41</f>
        <v>43556</v>
      </c>
      <c r="B41">
        <f>'Monthly Data'!B41</f>
        <v>2019</v>
      </c>
      <c r="C41">
        <f>'Monthly Data'!C41</f>
        <v>4</v>
      </c>
      <c r="D41" s="3">
        <f>'Monthly Data'!BK41</f>
        <v>6774564.6466993866</v>
      </c>
      <c r="E41" s="3">
        <f>'Monthly Data'!CN41</f>
        <v>426.6541666666667</v>
      </c>
      <c r="F41" s="3">
        <f>'Monthly Data'!CW41</f>
        <v>0.84583333333333144</v>
      </c>
      <c r="G41" s="3">
        <f>'Monthly Data'!DQ41</f>
        <v>30</v>
      </c>
      <c r="H41" s="3">
        <f>'Monthly Data'!DD41</f>
        <v>219.6</v>
      </c>
      <c r="I41">
        <f>'Monthly Data'!EJ41</f>
        <v>0</v>
      </c>
      <c r="J41">
        <f>'Monthly Data'!EF41</f>
        <v>0</v>
      </c>
      <c r="L41" s="3">
        <f t="shared" si="13"/>
        <v>172054.52120783599</v>
      </c>
      <c r="M41" s="3">
        <f t="shared" si="14"/>
        <v>1640089.4342494048</v>
      </c>
      <c r="N41" s="3">
        <f t="shared" si="15"/>
        <v>8262.1201140619705</v>
      </c>
      <c r="O41" s="3">
        <f t="shared" si="16"/>
        <v>4727208.9075020105</v>
      </c>
      <c r="P41" s="3">
        <f t="shared" si="17"/>
        <v>0</v>
      </c>
      <c r="Q41" s="3">
        <f t="shared" si="18"/>
        <v>0</v>
      </c>
      <c r="R41" s="3">
        <f t="shared" si="19"/>
        <v>0</v>
      </c>
      <c r="S41" s="47">
        <f t="shared" si="8"/>
        <v>6547614.9830733128</v>
      </c>
      <c r="T41" s="47">
        <f ca="1">'Monthly Data'!BL41+'Monthly Data'!BM41</f>
        <v>10051.71571260901</v>
      </c>
      <c r="U41" s="47">
        <f t="shared" ca="1" si="9"/>
        <v>6557666.6987859216</v>
      </c>
      <c r="V41" s="47">
        <f t="shared" ca="1" si="10"/>
        <v>-216897.94791346509</v>
      </c>
      <c r="W41" s="18">
        <f t="shared" ca="1" si="12"/>
        <v>3.2016514599080434E-2</v>
      </c>
    </row>
    <row r="42" spans="1:23">
      <c r="A42" s="2">
        <f>'Monthly Data'!A42</f>
        <v>43586</v>
      </c>
      <c r="B42">
        <f>'Monthly Data'!B42</f>
        <v>2019</v>
      </c>
      <c r="C42">
        <f>'Monthly Data'!C42</f>
        <v>5</v>
      </c>
      <c r="D42" s="3">
        <f>'Monthly Data'!BK42</f>
        <v>6550326.6643850282</v>
      </c>
      <c r="E42" s="3">
        <f>'Monthly Data'!CN42</f>
        <v>267.53464912280702</v>
      </c>
      <c r="F42" s="3">
        <f>'Monthly Data'!CW42</f>
        <v>27.579166666666666</v>
      </c>
      <c r="G42" s="3">
        <f>'Monthly Data'!DQ42</f>
        <v>31</v>
      </c>
      <c r="H42" s="3">
        <f>'Monthly Data'!DD42</f>
        <v>218.7</v>
      </c>
      <c r="I42">
        <f>'Monthly Data'!EJ42</f>
        <v>0</v>
      </c>
      <c r="J42">
        <f>'Monthly Data'!EF42</f>
        <v>0</v>
      </c>
      <c r="L42" s="3">
        <f t="shared" si="13"/>
        <v>172054.52120783599</v>
      </c>
      <c r="M42" s="3">
        <f t="shared" si="14"/>
        <v>1028422.5154766743</v>
      </c>
      <c r="N42" s="3">
        <f t="shared" si="15"/>
        <v>269393.9558373217</v>
      </c>
      <c r="O42" s="3">
        <f t="shared" si="16"/>
        <v>4884782.537752077</v>
      </c>
      <c r="P42" s="3">
        <f t="shared" si="17"/>
        <v>0</v>
      </c>
      <c r="Q42" s="3">
        <f t="shared" si="18"/>
        <v>0</v>
      </c>
      <c r="R42" s="3">
        <f t="shared" si="19"/>
        <v>0</v>
      </c>
      <c r="S42" s="47">
        <f t="shared" si="8"/>
        <v>6354653.5302739087</v>
      </c>
      <c r="T42" s="47">
        <f ca="1">'Monthly Data'!BL42+'Monthly Data'!BM42</f>
        <v>8364.8776136593751</v>
      </c>
      <c r="U42" s="47">
        <f t="shared" ca="1" si="9"/>
        <v>6363018.4078875678</v>
      </c>
      <c r="V42" s="47">
        <f t="shared" ca="1" si="10"/>
        <v>-187308.25649746042</v>
      </c>
      <c r="W42" s="18">
        <f t="shared" ref="W42:W73" ca="1" si="20">ABS(V42/D42)</f>
        <v>2.859525426661232E-2</v>
      </c>
    </row>
    <row r="43" spans="1:23">
      <c r="A43" s="2">
        <f>'Monthly Data'!A43</f>
        <v>43617</v>
      </c>
      <c r="B43">
        <f>'Monthly Data'!B43</f>
        <v>2019</v>
      </c>
      <c r="C43">
        <f>'Monthly Data'!C43</f>
        <v>6</v>
      </c>
      <c r="D43" s="3">
        <f>'Monthly Data'!BK43</f>
        <v>6794550.4962661918</v>
      </c>
      <c r="E43" s="3">
        <f>'Monthly Data'!CN43</f>
        <v>80.695833333333368</v>
      </c>
      <c r="F43" s="3">
        <f>'Monthly Data'!CW43</f>
        <v>173.67083333333326</v>
      </c>
      <c r="G43" s="3">
        <f>'Monthly Data'!DQ43</f>
        <v>30</v>
      </c>
      <c r="H43" s="3">
        <f>'Monthly Data'!DD43</f>
        <v>217.8</v>
      </c>
      <c r="I43">
        <f>'Monthly Data'!EJ43</f>
        <v>0</v>
      </c>
      <c r="J43">
        <f>'Monthly Data'!EF43</f>
        <v>0</v>
      </c>
      <c r="L43" s="3">
        <f t="shared" si="13"/>
        <v>172054.52120783599</v>
      </c>
      <c r="M43" s="3">
        <f t="shared" si="14"/>
        <v>310200.61206000409</v>
      </c>
      <c r="N43" s="3">
        <f t="shared" si="15"/>
        <v>1696420.8299222544</v>
      </c>
      <c r="O43" s="3">
        <f t="shared" si="16"/>
        <v>4727208.9075020105</v>
      </c>
      <c r="P43" s="3">
        <f t="shared" si="17"/>
        <v>0</v>
      </c>
      <c r="Q43" s="3">
        <f t="shared" si="18"/>
        <v>0</v>
      </c>
      <c r="R43" s="3">
        <f t="shared" si="19"/>
        <v>0</v>
      </c>
      <c r="S43" s="47">
        <f t="shared" ref="S43:S97" si="21">SUM(L43:R43)</f>
        <v>6905884.870692105</v>
      </c>
      <c r="T43" s="47">
        <f ca="1">'Monthly Data'!BL43+'Monthly Data'!BM43</f>
        <v>6697.7659675145969</v>
      </c>
      <c r="U43" s="47">
        <f t="shared" ref="U43:U106" ca="1" si="22">S43+T43</f>
        <v>6912582.6366596194</v>
      </c>
      <c r="V43" s="47">
        <f t="shared" ref="V43:V106" ca="1" si="23">U43-D43</f>
        <v>118032.14039342757</v>
      </c>
      <c r="W43" s="18">
        <f t="shared" ca="1" si="20"/>
        <v>1.7371589254990414E-2</v>
      </c>
    </row>
    <row r="44" spans="1:23">
      <c r="A44" s="2">
        <f>'Monthly Data'!A44</f>
        <v>43647</v>
      </c>
      <c r="B44">
        <f>'Monthly Data'!B44</f>
        <v>2019</v>
      </c>
      <c r="C44">
        <f>'Monthly Data'!C44</f>
        <v>7</v>
      </c>
      <c r="D44" s="3">
        <f>'Monthly Data'!BK44</f>
        <v>8230301.8587098103</v>
      </c>
      <c r="E44" s="3">
        <f>'Monthly Data'!CN44</f>
        <v>0.97500000000000497</v>
      </c>
      <c r="F44" s="3">
        <f>'Monthly Data'!CW44</f>
        <v>321.60000000000002</v>
      </c>
      <c r="G44" s="3">
        <f>'Monthly Data'!DQ44</f>
        <v>31</v>
      </c>
      <c r="H44" s="3">
        <f>'Monthly Data'!DD44</f>
        <v>216.2</v>
      </c>
      <c r="I44">
        <f>'Monthly Data'!EJ44</f>
        <v>0</v>
      </c>
      <c r="J44">
        <f>'Monthly Data'!EF44</f>
        <v>0</v>
      </c>
      <c r="L44" s="3">
        <f t="shared" si="13"/>
        <v>172054.52120783599</v>
      </c>
      <c r="M44" s="3">
        <f t="shared" si="14"/>
        <v>3747.9704250550571</v>
      </c>
      <c r="N44" s="3">
        <f t="shared" si="15"/>
        <v>3141396.4477032544</v>
      </c>
      <c r="O44" s="3">
        <f t="shared" si="16"/>
        <v>4884782.537752077</v>
      </c>
      <c r="P44" s="3">
        <f t="shared" si="17"/>
        <v>0</v>
      </c>
      <c r="Q44" s="3">
        <f t="shared" si="18"/>
        <v>0</v>
      </c>
      <c r="R44" s="3">
        <f t="shared" si="19"/>
        <v>0</v>
      </c>
      <c r="S44" s="47">
        <f t="shared" si="21"/>
        <v>8201981.4770882223</v>
      </c>
      <c r="T44" s="47">
        <f ca="1">'Monthly Data'!BL44+'Monthly Data'!BM44</f>
        <v>6340.8884615384613</v>
      </c>
      <c r="U44" s="47">
        <f t="shared" ca="1" si="22"/>
        <v>8208322.3655497609</v>
      </c>
      <c r="V44" s="47">
        <f t="shared" ca="1" si="23"/>
        <v>-21979.493160049431</v>
      </c>
      <c r="W44" s="18">
        <f t="shared" ca="1" si="20"/>
        <v>2.6705573546843102E-3</v>
      </c>
    </row>
    <row r="45" spans="1:23">
      <c r="A45" s="2">
        <f>'Monthly Data'!A45</f>
        <v>43678</v>
      </c>
      <c r="B45">
        <f>'Monthly Data'!B45</f>
        <v>2019</v>
      </c>
      <c r="C45">
        <f>'Monthly Data'!C45</f>
        <v>8</v>
      </c>
      <c r="D45" s="3">
        <f>'Monthly Data'!BK45</f>
        <v>7664344.0163706075</v>
      </c>
      <c r="E45" s="3">
        <f>'Monthly Data'!CN45</f>
        <v>19.091666666666661</v>
      </c>
      <c r="F45" s="3">
        <f>'Monthly Data'!CW45</f>
        <v>252.07083333333335</v>
      </c>
      <c r="G45" s="3">
        <f>'Monthly Data'!DQ45</f>
        <v>31</v>
      </c>
      <c r="H45" s="3">
        <f>'Monthly Data'!DD45</f>
        <v>213.3</v>
      </c>
      <c r="I45">
        <f>'Monthly Data'!EJ45</f>
        <v>0</v>
      </c>
      <c r="J45">
        <f>'Monthly Data'!EF45</f>
        <v>0</v>
      </c>
      <c r="L45" s="3">
        <f t="shared" si="13"/>
        <v>172054.52120783599</v>
      </c>
      <c r="M45" s="3">
        <f t="shared" si="14"/>
        <v>73389.745673513593</v>
      </c>
      <c r="N45" s="3">
        <f t="shared" si="15"/>
        <v>2462233.8942877254</v>
      </c>
      <c r="O45" s="3">
        <f t="shared" si="16"/>
        <v>4884782.537752077</v>
      </c>
      <c r="P45" s="3">
        <f t="shared" si="17"/>
        <v>0</v>
      </c>
      <c r="Q45" s="3">
        <f t="shared" si="18"/>
        <v>0</v>
      </c>
      <c r="R45" s="3">
        <f t="shared" si="19"/>
        <v>0</v>
      </c>
      <c r="S45" s="47">
        <f t="shared" si="21"/>
        <v>7592460.6989211515</v>
      </c>
      <c r="T45" s="47">
        <f ca="1">'Monthly Data'!BL45+'Monthly Data'!BM45</f>
        <v>6571.1278131751005</v>
      </c>
      <c r="U45" s="47">
        <f t="shared" ca="1" si="22"/>
        <v>7599031.8267343268</v>
      </c>
      <c r="V45" s="47">
        <f t="shared" ca="1" si="23"/>
        <v>-65312.18963628076</v>
      </c>
      <c r="W45" s="18">
        <f t="shared" ca="1" si="20"/>
        <v>8.5215629017666213E-3</v>
      </c>
    </row>
    <row r="46" spans="1:23">
      <c r="A46" s="2">
        <f>'Monthly Data'!A46</f>
        <v>43709</v>
      </c>
      <c r="B46">
        <f>'Monthly Data'!B46</f>
        <v>2019</v>
      </c>
      <c r="C46">
        <f>'Monthly Data'!C46</f>
        <v>9</v>
      </c>
      <c r="D46" s="3">
        <f>'Monthly Data'!BK46</f>
        <v>6595097.9264610605</v>
      </c>
      <c r="E46" s="3">
        <f>'Monthly Data'!CN46</f>
        <v>113.56666666666666</v>
      </c>
      <c r="F46" s="3">
        <f>'Monthly Data'!CW46</f>
        <v>131.93750000000003</v>
      </c>
      <c r="G46" s="3">
        <f>'Monthly Data'!DQ46</f>
        <v>30</v>
      </c>
      <c r="H46" s="3">
        <f>'Monthly Data'!DD46</f>
        <v>209.5</v>
      </c>
      <c r="I46">
        <f>'Monthly Data'!EJ46</f>
        <v>0</v>
      </c>
      <c r="J46">
        <f>'Monthly Data'!EF46</f>
        <v>1</v>
      </c>
      <c r="L46" s="3">
        <f t="shared" si="13"/>
        <v>172054.52120783599</v>
      </c>
      <c r="M46" s="3">
        <f t="shared" si="14"/>
        <v>436558.46968076972</v>
      </c>
      <c r="N46" s="3">
        <f t="shared" si="15"/>
        <v>1288768.6374964186</v>
      </c>
      <c r="O46" s="3">
        <f t="shared" si="16"/>
        <v>4727208.9075020105</v>
      </c>
      <c r="P46" s="3">
        <f t="shared" si="17"/>
        <v>0</v>
      </c>
      <c r="Q46" s="3">
        <f t="shared" si="18"/>
        <v>0</v>
      </c>
      <c r="R46" s="3">
        <f t="shared" si="19"/>
        <v>188541.63990907301</v>
      </c>
      <c r="S46" s="47">
        <f t="shared" si="21"/>
        <v>6813132.1757961074</v>
      </c>
      <c r="T46" s="47">
        <f ca="1">'Monthly Data'!BL46+'Monthly Data'!BM46</f>
        <v>7411.5658489836496</v>
      </c>
      <c r="U46" s="47">
        <f t="shared" ca="1" si="22"/>
        <v>6820543.7416450912</v>
      </c>
      <c r="V46" s="47">
        <f t="shared" ca="1" si="23"/>
        <v>225445.81518403068</v>
      </c>
      <c r="W46" s="18">
        <f t="shared" ca="1" si="20"/>
        <v>3.4183846502034466E-2</v>
      </c>
    </row>
    <row r="47" spans="1:23">
      <c r="A47" s="2">
        <f>'Monthly Data'!A47</f>
        <v>43739</v>
      </c>
      <c r="B47">
        <f>'Monthly Data'!B47</f>
        <v>2019</v>
      </c>
      <c r="C47">
        <f>'Monthly Data'!C47</f>
        <v>10</v>
      </c>
      <c r="D47" s="3">
        <f>'Monthly Data'!BK47</f>
        <v>6485869.3610397754</v>
      </c>
      <c r="E47" s="3">
        <f>'Monthly Data'!CN47</f>
        <v>303.96666666666664</v>
      </c>
      <c r="F47" s="3">
        <f>'Monthly Data'!CW47</f>
        <v>16.670833333333334</v>
      </c>
      <c r="G47" s="3">
        <f>'Monthly Data'!DQ47</f>
        <v>31</v>
      </c>
      <c r="H47" s="3">
        <f>'Monthly Data'!DD47</f>
        <v>206.9</v>
      </c>
      <c r="I47">
        <f>'Monthly Data'!EJ47</f>
        <v>0</v>
      </c>
      <c r="J47">
        <f>'Monthly Data'!EF47</f>
        <v>1</v>
      </c>
      <c r="L47" s="3">
        <f t="shared" si="13"/>
        <v>172054.52120783599</v>
      </c>
      <c r="M47" s="3">
        <f t="shared" si="14"/>
        <v>1168469.822429979</v>
      </c>
      <c r="N47" s="3">
        <f t="shared" si="15"/>
        <v>162841.0964352809</v>
      </c>
      <c r="O47" s="3">
        <f t="shared" si="16"/>
        <v>4884782.537752077</v>
      </c>
      <c r="P47" s="3">
        <f t="shared" si="17"/>
        <v>0</v>
      </c>
      <c r="Q47" s="3">
        <f t="shared" si="18"/>
        <v>0</v>
      </c>
      <c r="R47" s="3">
        <f t="shared" si="19"/>
        <v>188541.63990907301</v>
      </c>
      <c r="S47" s="47">
        <f t="shared" si="21"/>
        <v>6576689.617734246</v>
      </c>
      <c r="T47" s="47">
        <f ca="1">'Monthly Data'!BL47+'Monthly Data'!BM47</f>
        <v>9689.7270105090975</v>
      </c>
      <c r="U47" s="47">
        <f t="shared" ca="1" si="22"/>
        <v>6586379.344744755</v>
      </c>
      <c r="V47" s="47">
        <f t="shared" ca="1" si="23"/>
        <v>100509.98370497953</v>
      </c>
      <c r="W47" s="18">
        <f t="shared" ca="1" si="20"/>
        <v>1.5496763519280379E-2</v>
      </c>
    </row>
    <row r="48" spans="1:23">
      <c r="A48" s="2">
        <f>'Monthly Data'!A48</f>
        <v>43770</v>
      </c>
      <c r="B48">
        <f>'Monthly Data'!B48</f>
        <v>2019</v>
      </c>
      <c r="C48">
        <f>'Monthly Data'!C48</f>
        <v>11</v>
      </c>
      <c r="D48" s="3">
        <f>'Monthly Data'!BK48</f>
        <v>7171908.378151454</v>
      </c>
      <c r="E48" s="3">
        <f>'Monthly Data'!CN48</f>
        <v>589.72500000000002</v>
      </c>
      <c r="F48" s="3">
        <f>'Monthly Data'!CW48</f>
        <v>0</v>
      </c>
      <c r="G48" s="3">
        <f>'Monthly Data'!DQ48</f>
        <v>30</v>
      </c>
      <c r="H48" s="3">
        <f>'Monthly Data'!DD48</f>
        <v>205.5</v>
      </c>
      <c r="I48">
        <f>'Monthly Data'!EJ48</f>
        <v>0</v>
      </c>
      <c r="J48">
        <f>'Monthly Data'!EF48</f>
        <v>1</v>
      </c>
      <c r="L48" s="3">
        <f t="shared" si="13"/>
        <v>172054.52120783599</v>
      </c>
      <c r="M48" s="3">
        <f t="shared" si="14"/>
        <v>2266945.496323674</v>
      </c>
      <c r="N48" s="3">
        <f t="shared" si="15"/>
        <v>0</v>
      </c>
      <c r="O48" s="3">
        <f t="shared" si="16"/>
        <v>4727208.9075020105</v>
      </c>
      <c r="P48" s="3">
        <f t="shared" si="17"/>
        <v>0</v>
      </c>
      <c r="Q48" s="3">
        <f t="shared" si="18"/>
        <v>0</v>
      </c>
      <c r="R48" s="3">
        <f t="shared" si="19"/>
        <v>188541.63990907301</v>
      </c>
      <c r="S48" s="47">
        <f t="shared" si="21"/>
        <v>7354750.5649425937</v>
      </c>
      <c r="T48" s="47">
        <f ca="1">'Monthly Data'!BL48+'Monthly Data'!BM48</f>
        <v>13173.202843691501</v>
      </c>
      <c r="U48" s="47">
        <f t="shared" ca="1" si="22"/>
        <v>7367923.7677862849</v>
      </c>
      <c r="V48" s="47">
        <f t="shared" ca="1" si="23"/>
        <v>196015.38963483088</v>
      </c>
      <c r="W48" s="18">
        <f t="shared" ca="1" si="20"/>
        <v>2.7330994666910885E-2</v>
      </c>
    </row>
    <row r="49" spans="1:23">
      <c r="A49" s="2">
        <f>'Monthly Data'!A49</f>
        <v>43800</v>
      </c>
      <c r="B49">
        <f>'Monthly Data'!B49</f>
        <v>2019</v>
      </c>
      <c r="C49">
        <f>'Monthly Data'!C49</f>
        <v>12</v>
      </c>
      <c r="D49" s="3">
        <f>'Monthly Data'!BK49</f>
        <v>7713076.831411995</v>
      </c>
      <c r="E49" s="3">
        <f>'Monthly Data'!CN49</f>
        <v>676.42916666666656</v>
      </c>
      <c r="F49" s="3">
        <f>'Monthly Data'!CW49</f>
        <v>0</v>
      </c>
      <c r="G49" s="3">
        <f>'Monthly Data'!DQ49</f>
        <v>31</v>
      </c>
      <c r="H49" s="3">
        <f>'Monthly Data'!DD49</f>
        <v>206.4</v>
      </c>
      <c r="I49">
        <f>'Monthly Data'!EJ49</f>
        <v>0</v>
      </c>
      <c r="J49">
        <f>'Monthly Data'!EF49</f>
        <v>0</v>
      </c>
      <c r="L49" s="3">
        <f t="shared" si="13"/>
        <v>172054.52120783599</v>
      </c>
      <c r="M49" s="3">
        <f t="shared" si="14"/>
        <v>2600242.5757038887</v>
      </c>
      <c r="N49" s="3">
        <f t="shared" si="15"/>
        <v>0</v>
      </c>
      <c r="O49" s="3">
        <f t="shared" si="16"/>
        <v>4884782.537752077</v>
      </c>
      <c r="P49" s="3">
        <f t="shared" si="17"/>
        <v>0</v>
      </c>
      <c r="Q49" s="3">
        <f t="shared" si="18"/>
        <v>0</v>
      </c>
      <c r="R49" s="3">
        <f t="shared" si="19"/>
        <v>0</v>
      </c>
      <c r="S49" s="47">
        <f t="shared" si="21"/>
        <v>7657079.6346638016</v>
      </c>
      <c r="T49" s="47">
        <f ca="1">'Monthly Data'!BL49+'Monthly Data'!BM49</f>
        <v>14329.317384278553</v>
      </c>
      <c r="U49" s="47">
        <f t="shared" ca="1" si="22"/>
        <v>7671408.95204808</v>
      </c>
      <c r="V49" s="47">
        <f t="shared" ca="1" si="23"/>
        <v>-41667.879363914952</v>
      </c>
      <c r="W49" s="18">
        <f t="shared" ca="1" si="20"/>
        <v>5.402238338171334E-3</v>
      </c>
    </row>
    <row r="50" spans="1:23">
      <c r="A50" s="2">
        <f>'Monthly Data'!A50</f>
        <v>43831</v>
      </c>
      <c r="B50">
        <f>'Monthly Data'!B50</f>
        <v>2020</v>
      </c>
      <c r="C50">
        <f>'Monthly Data'!C50</f>
        <v>1</v>
      </c>
      <c r="D50" s="3">
        <f>'Monthly Data'!BK50</f>
        <v>7880857.2352294158</v>
      </c>
      <c r="E50" s="3">
        <f>'Monthly Data'!CN50</f>
        <v>690.82083333333321</v>
      </c>
      <c r="F50" s="3">
        <f>'Monthly Data'!CW50</f>
        <v>0</v>
      </c>
      <c r="G50" s="3">
        <f>'Monthly Data'!DQ50</f>
        <v>31</v>
      </c>
      <c r="H50" s="3">
        <f>'Monthly Data'!DD50</f>
        <v>207.2</v>
      </c>
      <c r="I50">
        <f>'Monthly Data'!EJ50</f>
        <v>0</v>
      </c>
      <c r="J50">
        <f>'Monthly Data'!EF50</f>
        <v>0</v>
      </c>
      <c r="L50" s="3">
        <f t="shared" si="13"/>
        <v>172054.52120783599</v>
      </c>
      <c r="M50" s="3">
        <f t="shared" si="14"/>
        <v>2655565.1818925217</v>
      </c>
      <c r="N50" s="3">
        <f t="shared" si="15"/>
        <v>0</v>
      </c>
      <c r="O50" s="3">
        <f t="shared" si="16"/>
        <v>4884782.537752077</v>
      </c>
      <c r="P50" s="3">
        <f t="shared" si="17"/>
        <v>0</v>
      </c>
      <c r="Q50" s="3">
        <f t="shared" si="18"/>
        <v>0</v>
      </c>
      <c r="R50" s="3">
        <f t="shared" si="19"/>
        <v>0</v>
      </c>
      <c r="S50" s="47">
        <f t="shared" si="21"/>
        <v>7712402.2408524342</v>
      </c>
      <c r="T50" s="47">
        <f ca="1">'Monthly Data'!BL50+'Monthly Data'!BM50</f>
        <v>37870.333353993716</v>
      </c>
      <c r="U50" s="47">
        <f t="shared" ca="1" si="22"/>
        <v>7750272.5742064277</v>
      </c>
      <c r="V50" s="47">
        <f t="shared" ca="1" si="23"/>
        <v>-130584.66102298815</v>
      </c>
      <c r="W50" s="18">
        <f t="shared" ca="1" si="20"/>
        <v>1.6569854918731662E-2</v>
      </c>
    </row>
    <row r="51" spans="1:23">
      <c r="A51" s="2">
        <f>'Monthly Data'!A51</f>
        <v>43862</v>
      </c>
      <c r="B51">
        <f>'Monthly Data'!B51</f>
        <v>2020</v>
      </c>
      <c r="C51">
        <f>'Monthly Data'!C51</f>
        <v>2</v>
      </c>
      <c r="D51" s="3">
        <f>'Monthly Data'!BK51</f>
        <v>7406790.3406031318</v>
      </c>
      <c r="E51" s="3">
        <f>'Monthly Data'!CN51</f>
        <v>678.4000000000002</v>
      </c>
      <c r="F51" s="3">
        <f>'Monthly Data'!CW51</f>
        <v>0</v>
      </c>
      <c r="G51" s="3">
        <f>'Monthly Data'!DQ51</f>
        <v>29</v>
      </c>
      <c r="H51" s="3">
        <f>'Monthly Data'!DD51</f>
        <v>209.7</v>
      </c>
      <c r="I51">
        <f>'Monthly Data'!EJ51</f>
        <v>0</v>
      </c>
      <c r="J51">
        <f>'Monthly Data'!EF51</f>
        <v>0</v>
      </c>
      <c r="L51" s="3">
        <f t="shared" si="13"/>
        <v>172054.52120783599</v>
      </c>
      <c r="M51" s="3">
        <f t="shared" si="14"/>
        <v>2607818.601392142</v>
      </c>
      <c r="N51" s="3">
        <f t="shared" si="15"/>
        <v>0</v>
      </c>
      <c r="O51" s="3">
        <f t="shared" si="16"/>
        <v>4569635.277251943</v>
      </c>
      <c r="P51" s="3">
        <f t="shared" si="17"/>
        <v>0</v>
      </c>
      <c r="Q51" s="3">
        <f t="shared" si="18"/>
        <v>0</v>
      </c>
      <c r="R51" s="3">
        <f t="shared" si="19"/>
        <v>0</v>
      </c>
      <c r="S51" s="47">
        <f t="shared" si="21"/>
        <v>7349508.399851921</v>
      </c>
      <c r="T51" s="47">
        <f ca="1">'Monthly Data'!BL51+'Monthly Data'!BM51</f>
        <v>37666.818088642663</v>
      </c>
      <c r="U51" s="47">
        <f t="shared" ca="1" si="22"/>
        <v>7387175.2179405633</v>
      </c>
      <c r="V51" s="47">
        <f t="shared" ca="1" si="23"/>
        <v>-19615.122662568465</v>
      </c>
      <c r="W51" s="18">
        <f t="shared" ca="1" si="20"/>
        <v>2.6482621703277772E-3</v>
      </c>
    </row>
    <row r="52" spans="1:23">
      <c r="A52" s="2">
        <f>'Monthly Data'!A52</f>
        <v>43891</v>
      </c>
      <c r="B52">
        <f>'Monthly Data'!B52</f>
        <v>2020</v>
      </c>
      <c r="C52">
        <f>'Monthly Data'!C52</f>
        <v>3</v>
      </c>
      <c r="D52" s="3">
        <f>'Monthly Data'!BK52</f>
        <v>6792268.7903809408</v>
      </c>
      <c r="E52" s="3">
        <f>'Monthly Data'!CN52</f>
        <v>543.57083333333344</v>
      </c>
      <c r="F52" s="3">
        <f>'Monthly Data'!CW52</f>
        <v>0</v>
      </c>
      <c r="G52" s="3">
        <f>'Monthly Data'!DQ52</f>
        <v>31</v>
      </c>
      <c r="H52" s="3">
        <f>'Monthly Data'!DD52</f>
        <v>208.2</v>
      </c>
      <c r="I52">
        <f>'Monthly Data'!EJ52</f>
        <v>0.5</v>
      </c>
      <c r="J52">
        <f>'Monthly Data'!EF52</f>
        <v>0</v>
      </c>
      <c r="L52" s="3">
        <f t="shared" si="13"/>
        <v>172054.52120783599</v>
      </c>
      <c r="M52" s="3">
        <f t="shared" si="14"/>
        <v>2089525.545903441</v>
      </c>
      <c r="N52" s="3">
        <f t="shared" si="15"/>
        <v>0</v>
      </c>
      <c r="O52" s="3">
        <f t="shared" si="16"/>
        <v>4884782.537752077</v>
      </c>
      <c r="P52" s="3">
        <f t="shared" si="17"/>
        <v>0</v>
      </c>
      <c r="Q52" s="3">
        <f t="shared" si="18"/>
        <v>-494925.79624567402</v>
      </c>
      <c r="R52" s="3">
        <f t="shared" si="19"/>
        <v>0</v>
      </c>
      <c r="S52" s="47">
        <f t="shared" si="21"/>
        <v>6651436.8086176803</v>
      </c>
      <c r="T52" s="47">
        <f ca="1">'Monthly Data'!BL52+'Monthly Data'!BM52</f>
        <v>31186.042240648621</v>
      </c>
      <c r="U52" s="47">
        <f t="shared" ca="1" si="22"/>
        <v>6682622.8508583289</v>
      </c>
      <c r="V52" s="47">
        <f t="shared" ca="1" si="23"/>
        <v>-109645.93952261191</v>
      </c>
      <c r="W52" s="18">
        <f t="shared" ca="1" si="20"/>
        <v>1.6142756258098918E-2</v>
      </c>
    </row>
    <row r="53" spans="1:23">
      <c r="A53" s="2">
        <f>'Monthly Data'!A53</f>
        <v>43922</v>
      </c>
      <c r="B53">
        <f>'Monthly Data'!B53</f>
        <v>2020</v>
      </c>
      <c r="C53">
        <f>'Monthly Data'!C53</f>
        <v>4</v>
      </c>
      <c r="D53" s="3">
        <f>'Monthly Data'!BK53</f>
        <v>5372684.4175932165</v>
      </c>
      <c r="E53" s="3">
        <f>'Monthly Data'!CN53</f>
        <v>439.67500000000013</v>
      </c>
      <c r="F53" s="3">
        <f>'Monthly Data'!CW53</f>
        <v>0</v>
      </c>
      <c r="G53" s="3">
        <f>'Monthly Data'!DQ53</f>
        <v>30</v>
      </c>
      <c r="H53" s="3">
        <f>'Monthly Data'!DD53</f>
        <v>202.5</v>
      </c>
      <c r="I53">
        <f>'Monthly Data'!EJ53</f>
        <v>1</v>
      </c>
      <c r="J53">
        <f>'Monthly Data'!EF53</f>
        <v>0</v>
      </c>
      <c r="L53" s="3">
        <f t="shared" si="13"/>
        <v>172054.52120783599</v>
      </c>
      <c r="M53" s="3">
        <f t="shared" si="14"/>
        <v>1690142.4580882813</v>
      </c>
      <c r="N53" s="3">
        <f t="shared" si="15"/>
        <v>0</v>
      </c>
      <c r="O53" s="3">
        <f t="shared" si="16"/>
        <v>4727208.9075020105</v>
      </c>
      <c r="P53" s="3">
        <f t="shared" si="17"/>
        <v>0</v>
      </c>
      <c r="Q53" s="3">
        <f t="shared" si="18"/>
        <v>-989851.59249134804</v>
      </c>
      <c r="R53" s="3">
        <f t="shared" si="19"/>
        <v>0</v>
      </c>
      <c r="S53" s="47">
        <f t="shared" si="21"/>
        <v>5599554.2943067793</v>
      </c>
      <c r="T53" s="47">
        <f ca="1">'Monthly Data'!BL53+'Monthly Data'!BM53</f>
        <v>26483.068098979187</v>
      </c>
      <c r="U53" s="47">
        <f t="shared" ca="1" si="22"/>
        <v>5626037.3624057584</v>
      </c>
      <c r="V53" s="47">
        <f t="shared" ca="1" si="23"/>
        <v>253352.94481254183</v>
      </c>
      <c r="W53" s="18">
        <f t="shared" ca="1" si="20"/>
        <v>4.7155746572964639E-2</v>
      </c>
    </row>
    <row r="54" spans="1:23">
      <c r="A54" s="2">
        <f>'Monthly Data'!A54</f>
        <v>43952</v>
      </c>
      <c r="B54">
        <f>'Monthly Data'!B54</f>
        <v>2020</v>
      </c>
      <c r="C54">
        <f>'Monthly Data'!C54</f>
        <v>5</v>
      </c>
      <c r="D54" s="3">
        <f>'Monthly Data'!BK54</f>
        <v>5572950.8579296442</v>
      </c>
      <c r="E54" s="3">
        <f>'Monthly Data'!CN54</f>
        <v>265.14107142857148</v>
      </c>
      <c r="F54" s="3">
        <f>'Monthly Data'!CW54</f>
        <v>77.750595238095229</v>
      </c>
      <c r="G54" s="3">
        <f>'Monthly Data'!DQ54</f>
        <v>31</v>
      </c>
      <c r="H54" s="3">
        <f>'Monthly Data'!DD54</f>
        <v>195.4</v>
      </c>
      <c r="I54">
        <f>'Monthly Data'!EJ54</f>
        <v>1</v>
      </c>
      <c r="J54">
        <f>'Monthly Data'!EF54</f>
        <v>0</v>
      </c>
      <c r="L54" s="3">
        <f t="shared" si="13"/>
        <v>172054.52120783599</v>
      </c>
      <c r="M54" s="3">
        <f t="shared" si="14"/>
        <v>1019221.4299299397</v>
      </c>
      <c r="N54" s="3">
        <f t="shared" si="15"/>
        <v>759469.66320822737</v>
      </c>
      <c r="O54" s="3">
        <f t="shared" si="16"/>
        <v>4884782.537752077</v>
      </c>
      <c r="P54" s="3">
        <f t="shared" si="17"/>
        <v>0</v>
      </c>
      <c r="Q54" s="3">
        <f t="shared" si="18"/>
        <v>-989851.59249134804</v>
      </c>
      <c r="R54" s="3">
        <f t="shared" si="19"/>
        <v>0</v>
      </c>
      <c r="S54" s="47">
        <f t="shared" si="21"/>
        <v>5845676.5596067319</v>
      </c>
      <c r="T54" s="47">
        <f ca="1">'Monthly Data'!BL54+'Monthly Data'!BM54</f>
        <v>18649.257020554396</v>
      </c>
      <c r="U54" s="47">
        <f t="shared" ca="1" si="22"/>
        <v>5864325.8166272864</v>
      </c>
      <c r="V54" s="47">
        <f t="shared" ca="1" si="23"/>
        <v>291374.9586976422</v>
      </c>
      <c r="W54" s="18">
        <f t="shared" ca="1" si="20"/>
        <v>5.2283783963939033E-2</v>
      </c>
    </row>
    <row r="55" spans="1:23">
      <c r="A55" s="2">
        <f>'Monthly Data'!A55</f>
        <v>43983</v>
      </c>
      <c r="B55">
        <f>'Monthly Data'!B55</f>
        <v>2020</v>
      </c>
      <c r="C55">
        <f>'Monthly Data'!C55</f>
        <v>6</v>
      </c>
      <c r="D55" s="3">
        <f>'Monthly Data'!BK55</f>
        <v>6381310.3087309944</v>
      </c>
      <c r="E55" s="3">
        <f>'Monthly Data'!CN55</f>
        <v>53.275000000000006</v>
      </c>
      <c r="F55" s="3">
        <f>'Monthly Data'!CW55</f>
        <v>222.53623188405788</v>
      </c>
      <c r="G55" s="3">
        <f>'Monthly Data'!DQ55</f>
        <v>30</v>
      </c>
      <c r="H55" s="3">
        <f>'Monthly Data'!DD55</f>
        <v>193</v>
      </c>
      <c r="I55">
        <f>'Monthly Data'!EJ55</f>
        <v>0.5</v>
      </c>
      <c r="J55">
        <f>'Monthly Data'!EF55</f>
        <v>0</v>
      </c>
      <c r="L55" s="3">
        <f t="shared" si="13"/>
        <v>172054.52120783599</v>
      </c>
      <c r="M55" s="3">
        <f t="shared" si="14"/>
        <v>204792.94809723811</v>
      </c>
      <c r="N55" s="3">
        <f t="shared" si="15"/>
        <v>2173739.2049933057</v>
      </c>
      <c r="O55" s="3">
        <f t="shared" si="16"/>
        <v>4727208.9075020105</v>
      </c>
      <c r="P55" s="3">
        <f t="shared" si="17"/>
        <v>0</v>
      </c>
      <c r="Q55" s="3">
        <f t="shared" si="18"/>
        <v>-494925.79624567402</v>
      </c>
      <c r="R55" s="3">
        <f t="shared" si="19"/>
        <v>0</v>
      </c>
      <c r="S55" s="47">
        <f t="shared" si="21"/>
        <v>6782869.7855547164</v>
      </c>
      <c r="T55" s="47">
        <f ca="1">'Monthly Data'!BL55+'Monthly Data'!BM55</f>
        <v>10042.127413672599</v>
      </c>
      <c r="U55" s="47">
        <f t="shared" ca="1" si="22"/>
        <v>6792911.9129683888</v>
      </c>
      <c r="V55" s="47">
        <f t="shared" ca="1" si="23"/>
        <v>411601.60423739441</v>
      </c>
      <c r="W55" s="18">
        <f t="shared" ca="1" si="20"/>
        <v>6.4501110951184368E-2</v>
      </c>
    </row>
    <row r="56" spans="1:23">
      <c r="A56" s="2">
        <f>'Monthly Data'!A56</f>
        <v>44013</v>
      </c>
      <c r="B56">
        <f>'Monthly Data'!B56</f>
        <v>2020</v>
      </c>
      <c r="C56">
        <f>'Monthly Data'!C56</f>
        <v>7</v>
      </c>
      <c r="D56" s="3">
        <f>'Monthly Data'!BK56</f>
        <v>7934932.0956141995</v>
      </c>
      <c r="E56" s="3">
        <f>'Monthly Data'!CN56</f>
        <v>0</v>
      </c>
      <c r="F56" s="3">
        <f>'Monthly Data'!CW56</f>
        <v>370.88750000000005</v>
      </c>
      <c r="G56" s="3">
        <f>'Monthly Data'!DQ56</f>
        <v>31</v>
      </c>
      <c r="H56" s="3">
        <f>'Monthly Data'!DD56</f>
        <v>198.5</v>
      </c>
      <c r="I56">
        <f>'Monthly Data'!EJ56</f>
        <v>0.5</v>
      </c>
      <c r="J56">
        <f>'Monthly Data'!EF56</f>
        <v>0</v>
      </c>
      <c r="L56" s="3">
        <f t="shared" si="13"/>
        <v>172054.52120783599</v>
      </c>
      <c r="M56" s="3">
        <f t="shared" si="14"/>
        <v>0</v>
      </c>
      <c r="N56" s="3">
        <f t="shared" si="15"/>
        <v>3622837.9197684727</v>
      </c>
      <c r="O56" s="3">
        <f t="shared" si="16"/>
        <v>4884782.537752077</v>
      </c>
      <c r="P56" s="3">
        <f t="shared" si="17"/>
        <v>0</v>
      </c>
      <c r="Q56" s="3">
        <f t="shared" si="18"/>
        <v>-494925.79624567402</v>
      </c>
      <c r="R56" s="3">
        <f t="shared" si="19"/>
        <v>0</v>
      </c>
      <c r="S56" s="47">
        <f t="shared" si="21"/>
        <v>8184749.182482712</v>
      </c>
      <c r="T56" s="47">
        <f ca="1">'Monthly Data'!BL56+'Monthly Data'!BM56</f>
        <v>8812.7258974358974</v>
      </c>
      <c r="U56" s="47">
        <f t="shared" ca="1" si="22"/>
        <v>8193561.908380148</v>
      </c>
      <c r="V56" s="47">
        <f t="shared" ca="1" si="23"/>
        <v>258629.81276594847</v>
      </c>
      <c r="W56" s="18">
        <f t="shared" ca="1" si="20"/>
        <v>3.2593828107098551E-2</v>
      </c>
    </row>
    <row r="57" spans="1:23">
      <c r="A57" s="2">
        <f>'Monthly Data'!A57</f>
        <v>44044</v>
      </c>
      <c r="B57">
        <f>'Monthly Data'!B57</f>
        <v>2020</v>
      </c>
      <c r="C57">
        <f>'Monthly Data'!C57</f>
        <v>8</v>
      </c>
      <c r="D57" s="3">
        <f>'Monthly Data'!BK57</f>
        <v>7325138.1995243989</v>
      </c>
      <c r="E57" s="3">
        <f>'Monthly Data'!CN57</f>
        <v>19.720833333333321</v>
      </c>
      <c r="F57" s="3">
        <f>'Monthly Data'!CW57</f>
        <v>278.93106060606061</v>
      </c>
      <c r="G57" s="3">
        <f>'Monthly Data'!DQ57</f>
        <v>31</v>
      </c>
      <c r="H57" s="3">
        <f>'Monthly Data'!DD57</f>
        <v>205.7</v>
      </c>
      <c r="I57">
        <f>'Monthly Data'!EJ57</f>
        <v>0.5</v>
      </c>
      <c r="J57">
        <f>'Monthly Data'!EF57</f>
        <v>0</v>
      </c>
      <c r="L57" s="3">
        <f t="shared" si="13"/>
        <v>172054.52120783599</v>
      </c>
      <c r="M57" s="3">
        <f t="shared" si="14"/>
        <v>75808.307785408047</v>
      </c>
      <c r="N57" s="3">
        <f t="shared" si="15"/>
        <v>2724605.2330285446</v>
      </c>
      <c r="O57" s="3">
        <f t="shared" si="16"/>
        <v>4884782.537752077</v>
      </c>
      <c r="P57" s="3">
        <f t="shared" si="17"/>
        <v>0</v>
      </c>
      <c r="Q57" s="3">
        <f t="shared" si="18"/>
        <v>-494925.79624567402</v>
      </c>
      <c r="R57" s="3">
        <f t="shared" si="19"/>
        <v>0</v>
      </c>
      <c r="S57" s="47">
        <f t="shared" si="21"/>
        <v>7362324.8035281915</v>
      </c>
      <c r="T57" s="47">
        <f ca="1">'Monthly Data'!BL57+'Monthly Data'!BM57</f>
        <v>9182.4233212404961</v>
      </c>
      <c r="U57" s="47">
        <f t="shared" ca="1" si="22"/>
        <v>7371507.2268494321</v>
      </c>
      <c r="V57" s="47">
        <f t="shared" ca="1" si="23"/>
        <v>46369.02732503321</v>
      </c>
      <c r="W57" s="18">
        <f t="shared" ca="1" si="20"/>
        <v>6.330123208875953E-3</v>
      </c>
    </row>
    <row r="58" spans="1:23">
      <c r="A58" s="2">
        <f>'Monthly Data'!A58</f>
        <v>44075</v>
      </c>
      <c r="B58">
        <f>'Monthly Data'!B58</f>
        <v>2020</v>
      </c>
      <c r="C58">
        <f>'Monthly Data'!C58</f>
        <v>9</v>
      </c>
      <c r="D58" s="3">
        <f>'Monthly Data'!BK58</f>
        <v>6248559.4190171296</v>
      </c>
      <c r="E58" s="3">
        <f>'Monthly Data'!CN58</f>
        <v>132.75869565217394</v>
      </c>
      <c r="F58" s="3">
        <f>'Monthly Data'!CW58</f>
        <v>120.81213768115938</v>
      </c>
      <c r="G58" s="3">
        <f>'Monthly Data'!DQ58</f>
        <v>30</v>
      </c>
      <c r="H58" s="3">
        <f>'Monthly Data'!DD58</f>
        <v>211.9</v>
      </c>
      <c r="I58">
        <f>'Monthly Data'!EJ58</f>
        <v>0.5</v>
      </c>
      <c r="J58">
        <f>'Monthly Data'!EF58</f>
        <v>1</v>
      </c>
      <c r="L58" s="3">
        <f t="shared" si="13"/>
        <v>172054.52120783599</v>
      </c>
      <c r="M58" s="3">
        <f t="shared" si="14"/>
        <v>510334.01535715978</v>
      </c>
      <c r="N58" s="3">
        <f t="shared" si="15"/>
        <v>1180095.8338029557</v>
      </c>
      <c r="O58" s="3">
        <f t="shared" si="16"/>
        <v>4727208.9075020105</v>
      </c>
      <c r="P58" s="3">
        <f t="shared" si="17"/>
        <v>0</v>
      </c>
      <c r="Q58" s="3">
        <f t="shared" si="18"/>
        <v>-494925.79624567402</v>
      </c>
      <c r="R58" s="3">
        <f t="shared" si="19"/>
        <v>188541.63990907301</v>
      </c>
      <c r="S58" s="47">
        <f t="shared" si="21"/>
        <v>6283309.1215333613</v>
      </c>
      <c r="T58" s="47">
        <f ca="1">'Monthly Data'!BL58+'Monthly Data'!BM58</f>
        <v>13309.910384164055</v>
      </c>
      <c r="U58" s="47">
        <f t="shared" ca="1" si="22"/>
        <v>6296619.0319175255</v>
      </c>
      <c r="V58" s="47">
        <f t="shared" ca="1" si="23"/>
        <v>48059.612900395878</v>
      </c>
      <c r="W58" s="18">
        <f t="shared" ca="1" si="20"/>
        <v>7.6913108570479819E-3</v>
      </c>
    </row>
    <row r="59" spans="1:23">
      <c r="A59" s="2">
        <f>'Monthly Data'!A59</f>
        <v>44105</v>
      </c>
      <c r="B59">
        <f>'Monthly Data'!B59</f>
        <v>2020</v>
      </c>
      <c r="C59">
        <f>'Monthly Data'!C59</f>
        <v>10</v>
      </c>
      <c r="D59" s="3">
        <f>'Monthly Data'!BK59</f>
        <v>6204866.4437327534</v>
      </c>
      <c r="E59" s="3">
        <f>'Monthly Data'!CN59</f>
        <v>349.83333333333326</v>
      </c>
      <c r="F59" s="3">
        <f>'Monthly Data'!CW59</f>
        <v>10.262500000000003</v>
      </c>
      <c r="G59" s="3">
        <f>'Monthly Data'!DQ59</f>
        <v>31</v>
      </c>
      <c r="H59" s="3">
        <f>'Monthly Data'!DD59</f>
        <v>216.7</v>
      </c>
      <c r="I59">
        <f>'Monthly Data'!EJ59</f>
        <v>0.5</v>
      </c>
      <c r="J59">
        <f>'Monthly Data'!EF59</f>
        <v>1</v>
      </c>
      <c r="L59" s="3">
        <f t="shared" si="13"/>
        <v>172054.52120783599</v>
      </c>
      <c r="M59" s="3">
        <f t="shared" si="14"/>
        <v>1344784.6020838502</v>
      </c>
      <c r="N59" s="3">
        <f t="shared" si="15"/>
        <v>100244.34404401323</v>
      </c>
      <c r="O59" s="3">
        <f t="shared" si="16"/>
        <v>4884782.537752077</v>
      </c>
      <c r="P59" s="3">
        <f t="shared" si="17"/>
        <v>0</v>
      </c>
      <c r="Q59" s="3">
        <f t="shared" si="18"/>
        <v>-494925.79624567402</v>
      </c>
      <c r="R59" s="3">
        <f t="shared" si="19"/>
        <v>188541.63990907301</v>
      </c>
      <c r="S59" s="47">
        <f t="shared" si="21"/>
        <v>6195481.8487511752</v>
      </c>
      <c r="T59" s="47">
        <f ca="1">'Monthly Data'!BL59+'Monthly Data'!BM59</f>
        <v>23273.181186485344</v>
      </c>
      <c r="U59" s="47">
        <f t="shared" ca="1" si="22"/>
        <v>6218755.0299376603</v>
      </c>
      <c r="V59" s="47">
        <f t="shared" ca="1" si="23"/>
        <v>13888.586204906926</v>
      </c>
      <c r="W59" s="18">
        <f t="shared" ca="1" si="20"/>
        <v>2.2383376549442316E-3</v>
      </c>
    </row>
    <row r="60" spans="1:23">
      <c r="A60" s="2">
        <f>'Monthly Data'!A60</f>
        <v>44136</v>
      </c>
      <c r="B60">
        <f>'Monthly Data'!B60</f>
        <v>2020</v>
      </c>
      <c r="C60">
        <f>'Monthly Data'!C60</f>
        <v>11</v>
      </c>
      <c r="D60" s="3">
        <f>'Monthly Data'!BK60</f>
        <v>6439416.0551902931</v>
      </c>
      <c r="E60" s="3">
        <f>'Monthly Data'!CN60</f>
        <v>426.30072463768113</v>
      </c>
      <c r="F60" s="3">
        <f>'Monthly Data'!CW60</f>
        <v>1.8291666666666622</v>
      </c>
      <c r="G60" s="3">
        <f>'Monthly Data'!DQ60</f>
        <v>30</v>
      </c>
      <c r="H60" s="3">
        <f>'Monthly Data'!DD60</f>
        <v>217</v>
      </c>
      <c r="I60">
        <f>'Monthly Data'!EJ60</f>
        <v>0.5</v>
      </c>
      <c r="J60">
        <f>'Monthly Data'!EF60</f>
        <v>1</v>
      </c>
      <c r="L60" s="3">
        <f t="shared" si="13"/>
        <v>172054.52120783599</v>
      </c>
      <c r="M60" s="3">
        <f t="shared" si="14"/>
        <v>1638730.7775605747</v>
      </c>
      <c r="N60" s="3">
        <f t="shared" si="15"/>
        <v>17867.34349789756</v>
      </c>
      <c r="O60" s="3">
        <f t="shared" si="16"/>
        <v>4727208.9075020105</v>
      </c>
      <c r="P60" s="3">
        <f t="shared" si="17"/>
        <v>0</v>
      </c>
      <c r="Q60" s="3">
        <f t="shared" si="18"/>
        <v>-494925.79624567402</v>
      </c>
      <c r="R60" s="3">
        <f t="shared" si="19"/>
        <v>188541.63990907301</v>
      </c>
      <c r="S60" s="47">
        <f t="shared" si="21"/>
        <v>6249477.3934317175</v>
      </c>
      <c r="T60" s="47">
        <f ca="1">'Monthly Data'!BL60+'Monthly Data'!BM60</f>
        <v>27252.067564285506</v>
      </c>
      <c r="U60" s="47">
        <f t="shared" ca="1" si="22"/>
        <v>6276729.4609960029</v>
      </c>
      <c r="V60" s="47">
        <f t="shared" ca="1" si="23"/>
        <v>-162686.59419429023</v>
      </c>
      <c r="W60" s="18">
        <f t="shared" ca="1" si="20"/>
        <v>2.5264184329751718E-2</v>
      </c>
    </row>
    <row r="61" spans="1:23">
      <c r="A61" s="2">
        <f>'Monthly Data'!A61</f>
        <v>44166</v>
      </c>
      <c r="B61">
        <f>'Monthly Data'!B61</f>
        <v>2020</v>
      </c>
      <c r="C61">
        <f>'Monthly Data'!C61</f>
        <v>12</v>
      </c>
      <c r="D61" s="3">
        <f>'Monthly Data'!BK61</f>
        <v>7178027.5138833318</v>
      </c>
      <c r="E61" s="3">
        <f>'Monthly Data'!CN61</f>
        <v>644.90416666666681</v>
      </c>
      <c r="F61" s="3">
        <f>'Monthly Data'!CW61</f>
        <v>0</v>
      </c>
      <c r="G61" s="3">
        <f>'Monthly Data'!DQ61</f>
        <v>31</v>
      </c>
      <c r="H61" s="3">
        <f>'Monthly Data'!DD61</f>
        <v>216.1</v>
      </c>
      <c r="I61">
        <f>'Monthly Data'!EJ61</f>
        <v>0.5</v>
      </c>
      <c r="J61">
        <f>'Monthly Data'!EF61</f>
        <v>0</v>
      </c>
      <c r="L61" s="3">
        <f t="shared" si="13"/>
        <v>172054.52120783599</v>
      </c>
      <c r="M61" s="3">
        <f t="shared" si="14"/>
        <v>2479058.1986271101</v>
      </c>
      <c r="N61" s="3">
        <f t="shared" si="15"/>
        <v>0</v>
      </c>
      <c r="O61" s="3">
        <f t="shared" si="16"/>
        <v>4884782.537752077</v>
      </c>
      <c r="P61" s="3">
        <f t="shared" si="17"/>
        <v>0</v>
      </c>
      <c r="Q61" s="3">
        <f t="shared" si="18"/>
        <v>-494925.79624567402</v>
      </c>
      <c r="R61" s="3">
        <f t="shared" si="19"/>
        <v>0</v>
      </c>
      <c r="S61" s="47">
        <f t="shared" si="21"/>
        <v>7040969.4613413494</v>
      </c>
      <c r="T61" s="47">
        <f ca="1">'Monthly Data'!BL61+'Monthly Data'!BM61</f>
        <v>37880.191487659758</v>
      </c>
      <c r="U61" s="47">
        <f t="shared" ca="1" si="22"/>
        <v>7078849.6528290091</v>
      </c>
      <c r="V61" s="47">
        <f t="shared" ca="1" si="23"/>
        <v>-99177.861054322682</v>
      </c>
      <c r="W61" s="18">
        <f t="shared" ca="1" si="20"/>
        <v>1.3816868333605369E-2</v>
      </c>
    </row>
    <row r="62" spans="1:23">
      <c r="A62" s="2">
        <f>'Monthly Data'!A62</f>
        <v>44197</v>
      </c>
      <c r="B62">
        <f>'Monthly Data'!B62</f>
        <v>2021</v>
      </c>
      <c r="C62">
        <f>'Monthly Data'!C62</f>
        <v>1</v>
      </c>
      <c r="D62" s="3">
        <f ca="1">'Monthly Data'!BK62</f>
        <v>7145716.6275450271</v>
      </c>
      <c r="E62" s="3">
        <f>'Monthly Data'!CN62</f>
        <v>715.50416666666661</v>
      </c>
      <c r="F62" s="3">
        <f>'Monthly Data'!CW62</f>
        <v>0</v>
      </c>
      <c r="G62" s="3">
        <f>'Monthly Data'!DQ62</f>
        <v>31</v>
      </c>
      <c r="H62" s="3">
        <f>'Monthly Data'!DD62</f>
        <v>209.4</v>
      </c>
      <c r="I62">
        <f>'Monthly Data'!EJ62</f>
        <v>0.5</v>
      </c>
      <c r="J62">
        <f>'Monthly Data'!EF62</f>
        <v>0</v>
      </c>
      <c r="L62" s="3">
        <f t="shared" si="13"/>
        <v>172054.52120783599</v>
      </c>
      <c r="M62" s="3">
        <f t="shared" si="14"/>
        <v>2750449.6981234024</v>
      </c>
      <c r="N62" s="3">
        <f t="shared" si="15"/>
        <v>0</v>
      </c>
      <c r="O62" s="3">
        <f t="shared" si="16"/>
        <v>4884782.537752077</v>
      </c>
      <c r="P62" s="3">
        <f t="shared" si="17"/>
        <v>0</v>
      </c>
      <c r="Q62" s="3">
        <f t="shared" si="18"/>
        <v>-494925.79624567402</v>
      </c>
      <c r="R62" s="3">
        <f t="shared" si="19"/>
        <v>0</v>
      </c>
      <c r="S62" s="47">
        <f t="shared" si="21"/>
        <v>7312360.9608376417</v>
      </c>
      <c r="T62" s="47">
        <f ca="1">'Monthly Data'!BL62+'Monthly Data'!BM62</f>
        <v>72064.364904801841</v>
      </c>
      <c r="U62" s="47">
        <f t="shared" ca="1" si="22"/>
        <v>7384425.325742444</v>
      </c>
      <c r="V62" s="47">
        <f t="shared" ca="1" si="23"/>
        <v>238708.69819741696</v>
      </c>
      <c r="W62" s="18">
        <f t="shared" ca="1" si="20"/>
        <v>3.3405844457538671E-2</v>
      </c>
    </row>
    <row r="63" spans="1:23">
      <c r="A63" s="2">
        <f>'Monthly Data'!A63</f>
        <v>44228</v>
      </c>
      <c r="B63">
        <f>'Monthly Data'!B63</f>
        <v>2021</v>
      </c>
      <c r="C63">
        <f>'Monthly Data'!C63</f>
        <v>2</v>
      </c>
      <c r="D63" s="3">
        <f ca="1">'Monthly Data'!BK63</f>
        <v>6867239.1466897493</v>
      </c>
      <c r="E63" s="3">
        <f>'Monthly Data'!CN63</f>
        <v>709.45416666666654</v>
      </c>
      <c r="F63" s="3">
        <f>'Monthly Data'!CW63</f>
        <v>0</v>
      </c>
      <c r="G63" s="3">
        <f>'Monthly Data'!DQ63</f>
        <v>28</v>
      </c>
      <c r="H63" s="3">
        <f>'Monthly Data'!DD63</f>
        <v>208.2</v>
      </c>
      <c r="I63">
        <f>'Monthly Data'!EJ63</f>
        <v>0.5</v>
      </c>
      <c r="J63">
        <f>'Monthly Data'!EF63</f>
        <v>0</v>
      </c>
      <c r="L63" s="3">
        <f t="shared" si="13"/>
        <v>172054.52120783599</v>
      </c>
      <c r="M63" s="3">
        <f t="shared" si="14"/>
        <v>2727193.0611269064</v>
      </c>
      <c r="N63" s="3">
        <f t="shared" si="15"/>
        <v>0</v>
      </c>
      <c r="O63" s="3">
        <f t="shared" si="16"/>
        <v>4412061.6470018765</v>
      </c>
      <c r="P63" s="3">
        <f t="shared" si="17"/>
        <v>0</v>
      </c>
      <c r="Q63" s="3">
        <f t="shared" si="18"/>
        <v>-494925.79624567402</v>
      </c>
      <c r="R63" s="3">
        <f t="shared" si="19"/>
        <v>0</v>
      </c>
      <c r="S63" s="47">
        <f t="shared" si="21"/>
        <v>6816383.4330909457</v>
      </c>
      <c r="T63" s="47">
        <f ca="1">'Monthly Data'!BL63+'Monthly Data'!BM63</f>
        <v>72448.831500546527</v>
      </c>
      <c r="U63" s="47">
        <f t="shared" ca="1" si="22"/>
        <v>6888832.2645914918</v>
      </c>
      <c r="V63" s="47">
        <f t="shared" ca="1" si="23"/>
        <v>21593.117901742458</v>
      </c>
      <c r="W63" s="18">
        <f t="shared" ca="1" si="20"/>
        <v>3.1443666720345834E-3</v>
      </c>
    </row>
    <row r="64" spans="1:23">
      <c r="A64" s="2">
        <f>'Monthly Data'!A64</f>
        <v>44256</v>
      </c>
      <c r="B64">
        <f>'Monthly Data'!B64</f>
        <v>2021</v>
      </c>
      <c r="C64">
        <f>'Monthly Data'!C64</f>
        <v>3</v>
      </c>
      <c r="D64" s="3">
        <f ca="1">'Monthly Data'!BK64</f>
        <v>6970734.1900262069</v>
      </c>
      <c r="E64" s="3">
        <f>'Monthly Data'!CN64</f>
        <v>554.59637681159427</v>
      </c>
      <c r="F64" s="3">
        <f>'Monthly Data'!CW64</f>
        <v>0.29583333333332895</v>
      </c>
      <c r="G64" s="3">
        <f>'Monthly Data'!DQ64</f>
        <v>31</v>
      </c>
      <c r="H64" s="3">
        <f>'Monthly Data'!DD64</f>
        <v>207.5</v>
      </c>
      <c r="I64">
        <f>'Monthly Data'!EJ64</f>
        <v>0.5</v>
      </c>
      <c r="J64">
        <f>'Monthly Data'!EF64</f>
        <v>0</v>
      </c>
      <c r="L64" s="3">
        <f t="shared" si="13"/>
        <v>172054.52120783599</v>
      </c>
      <c r="M64" s="3">
        <f t="shared" si="14"/>
        <v>2131908.5314179845</v>
      </c>
      <c r="N64" s="3">
        <f t="shared" si="15"/>
        <v>2889.7070349674509</v>
      </c>
      <c r="O64" s="3">
        <f t="shared" si="16"/>
        <v>4884782.537752077</v>
      </c>
      <c r="P64" s="3">
        <f t="shared" si="17"/>
        <v>0</v>
      </c>
      <c r="Q64" s="3">
        <f t="shared" si="18"/>
        <v>-494925.79624567402</v>
      </c>
      <c r="R64" s="3">
        <f t="shared" si="19"/>
        <v>0</v>
      </c>
      <c r="S64" s="47">
        <f t="shared" si="21"/>
        <v>6696709.5011671912</v>
      </c>
      <c r="T64" s="47">
        <f ca="1">'Monthly Data'!BL64+'Monthly Data'!BM64</f>
        <v>57662.710501852154</v>
      </c>
      <c r="U64" s="47">
        <f t="shared" ca="1" si="22"/>
        <v>6754372.2116690436</v>
      </c>
      <c r="V64" s="47">
        <f t="shared" ca="1" si="23"/>
        <v>-216361.97835716326</v>
      </c>
      <c r="W64" s="18">
        <f t="shared" ca="1" si="20"/>
        <v>3.1038621249786864E-2</v>
      </c>
    </row>
    <row r="65" spans="1:23">
      <c r="A65" s="2">
        <f>'Monthly Data'!A65</f>
        <v>44287</v>
      </c>
      <c r="B65">
        <f>'Monthly Data'!B65</f>
        <v>2021</v>
      </c>
      <c r="C65">
        <f>'Monthly Data'!C65</f>
        <v>4</v>
      </c>
      <c r="D65" s="3">
        <f ca="1">'Monthly Data'!BK65</f>
        <v>5856711.4300050689</v>
      </c>
      <c r="E65" s="3">
        <f>'Monthly Data'!CN65</f>
        <v>379.79583333333329</v>
      </c>
      <c r="F65" s="3">
        <f>'Monthly Data'!CW65</f>
        <v>11.054166666666664</v>
      </c>
      <c r="G65" s="3">
        <f>'Monthly Data'!DQ65</f>
        <v>30</v>
      </c>
      <c r="H65" s="3">
        <f>'Monthly Data'!DD65</f>
        <v>209.2</v>
      </c>
      <c r="I65">
        <f>'Monthly Data'!EJ65</f>
        <v>0.5</v>
      </c>
      <c r="J65">
        <f>'Monthly Data'!EF65</f>
        <v>0</v>
      </c>
      <c r="L65" s="3">
        <f t="shared" si="13"/>
        <v>172054.52120783599</v>
      </c>
      <c r="M65" s="3">
        <f t="shared" si="14"/>
        <v>1459962.6162999647</v>
      </c>
      <c r="N65" s="3">
        <f t="shared" si="15"/>
        <v>107977.36286998252</v>
      </c>
      <c r="O65" s="3">
        <f t="shared" si="16"/>
        <v>4727208.9075020105</v>
      </c>
      <c r="P65" s="3">
        <f t="shared" si="17"/>
        <v>0</v>
      </c>
      <c r="Q65" s="3">
        <f t="shared" si="18"/>
        <v>-494925.79624567402</v>
      </c>
      <c r="R65" s="3">
        <f t="shared" si="19"/>
        <v>0</v>
      </c>
      <c r="S65" s="47">
        <f t="shared" si="21"/>
        <v>5972277.6116341203</v>
      </c>
      <c r="T65" s="47">
        <f ca="1">'Monthly Data'!BL65+'Monthly Data'!BM65</f>
        <v>41749.911559740547</v>
      </c>
      <c r="U65" s="47">
        <f t="shared" ca="1" si="22"/>
        <v>6014027.5231938604</v>
      </c>
      <c r="V65" s="47">
        <f t="shared" ca="1" si="23"/>
        <v>157316.09318879154</v>
      </c>
      <c r="W65" s="18">
        <f t="shared" ca="1" si="20"/>
        <v>2.6860823700964789E-2</v>
      </c>
    </row>
    <row r="66" spans="1:23">
      <c r="A66" s="2">
        <f>'Monthly Data'!A66</f>
        <v>44317</v>
      </c>
      <c r="B66">
        <f>'Monthly Data'!B66</f>
        <v>2021</v>
      </c>
      <c r="C66">
        <f>'Monthly Data'!C66</f>
        <v>5</v>
      </c>
      <c r="D66" s="3">
        <f ca="1">'Monthly Data'!BK66</f>
        <v>5914599.8415833376</v>
      </c>
      <c r="E66" s="3">
        <f>'Monthly Data'!CN66</f>
        <v>221.92222222222222</v>
      </c>
      <c r="F66" s="3">
        <f>'Monthly Data'!CW66</f>
        <v>83.256944444444414</v>
      </c>
      <c r="G66" s="3">
        <f>'Monthly Data'!DQ66</f>
        <v>31</v>
      </c>
      <c r="H66" s="3">
        <f>'Monthly Data'!DD66</f>
        <v>207.8</v>
      </c>
      <c r="I66">
        <f>'Monthly Data'!EJ66</f>
        <v>0.5</v>
      </c>
      <c r="J66">
        <f>'Monthly Data'!EF66</f>
        <v>0</v>
      </c>
      <c r="L66" s="3">
        <f t="shared" ref="L66:L97" si="24">$AA$8</f>
        <v>172054.52120783599</v>
      </c>
      <c r="M66" s="3">
        <f t="shared" ref="M66:M97" si="25">E66*$AA$9</f>
        <v>853085.05184756999</v>
      </c>
      <c r="N66" s="3">
        <f t="shared" ref="N66:N97" si="26">F66*$AA$10</f>
        <v>813255.81319777633</v>
      </c>
      <c r="O66" s="3">
        <f t="shared" ref="O66:O97" si="27">G66*$AA$11</f>
        <v>4884782.537752077</v>
      </c>
      <c r="P66" s="3">
        <f t="shared" ref="P66:P97" si="28">H66*$AA$12</f>
        <v>0</v>
      </c>
      <c r="Q66" s="3">
        <f t="shared" ref="Q66:Q97" si="29">I66*$AA$13</f>
        <v>-494925.79624567402</v>
      </c>
      <c r="R66" s="3">
        <f t="shared" ref="R66:R97" si="30">J66*$AA$14</f>
        <v>0</v>
      </c>
      <c r="S66" s="47">
        <f t="shared" si="21"/>
        <v>6228252.1277595852</v>
      </c>
      <c r="T66" s="47">
        <f ca="1">'Monthly Data'!BL66+'Monthly Data'!BM66</f>
        <v>28351.059635491732</v>
      </c>
      <c r="U66" s="47">
        <f t="shared" ca="1" si="22"/>
        <v>6256603.1873950772</v>
      </c>
      <c r="V66" s="47">
        <f t="shared" ca="1" si="23"/>
        <v>342003.34581173956</v>
      </c>
      <c r="W66" s="18">
        <f t="shared" ca="1" si="20"/>
        <v>5.782358147160558E-2</v>
      </c>
    </row>
    <row r="67" spans="1:23">
      <c r="A67" s="2">
        <f>'Monthly Data'!A67</f>
        <v>44348</v>
      </c>
      <c r="B67">
        <f>'Monthly Data'!B67</f>
        <v>2021</v>
      </c>
      <c r="C67">
        <f>'Monthly Data'!C67</f>
        <v>6</v>
      </c>
      <c r="D67" s="3">
        <f ca="1">'Monthly Data'!BK67</f>
        <v>6685319.1952507589</v>
      </c>
      <c r="E67" s="3">
        <f>'Monthly Data'!CN67</f>
        <v>36.066666666666677</v>
      </c>
      <c r="F67" s="3">
        <f>'Monthly Data'!CW67</f>
        <v>241.67500000000001</v>
      </c>
      <c r="G67" s="3">
        <f>'Monthly Data'!DQ67</f>
        <v>30</v>
      </c>
      <c r="H67" s="3">
        <f>'Monthly Data'!DD67</f>
        <v>208</v>
      </c>
      <c r="I67">
        <f>'Monthly Data'!EJ67</f>
        <v>0.5</v>
      </c>
      <c r="J67">
        <f>'Monthly Data'!EF67</f>
        <v>0</v>
      </c>
      <c r="L67" s="3">
        <f t="shared" si="24"/>
        <v>172054.52120783599</v>
      </c>
      <c r="M67" s="3">
        <f t="shared" si="25"/>
        <v>138642.87179177956</v>
      </c>
      <c r="N67" s="3">
        <f t="shared" si="26"/>
        <v>2360687.1470730226</v>
      </c>
      <c r="O67" s="3">
        <f t="shared" si="27"/>
        <v>4727208.9075020105</v>
      </c>
      <c r="P67" s="3">
        <f t="shared" si="28"/>
        <v>0</v>
      </c>
      <c r="Q67" s="3">
        <f t="shared" si="29"/>
        <v>-494925.79624567402</v>
      </c>
      <c r="R67" s="3">
        <f t="shared" si="30"/>
        <v>0</v>
      </c>
      <c r="S67" s="47">
        <f t="shared" si="21"/>
        <v>6903667.6513289753</v>
      </c>
      <c r="T67" s="47">
        <f ca="1">'Monthly Data'!BL67+'Monthly Data'!BM67</f>
        <v>13703.51457764654</v>
      </c>
      <c r="U67" s="47">
        <f t="shared" ca="1" si="22"/>
        <v>6917371.1659066221</v>
      </c>
      <c r="V67" s="47">
        <f t="shared" ca="1" si="23"/>
        <v>232051.97065586317</v>
      </c>
      <c r="W67" s="18">
        <f t="shared" ca="1" si="20"/>
        <v>3.4710679307685496E-2</v>
      </c>
    </row>
    <row r="68" spans="1:23">
      <c r="A68" s="2">
        <f>'Monthly Data'!A68</f>
        <v>44378</v>
      </c>
      <c r="B68">
        <f>'Monthly Data'!B68</f>
        <v>2021</v>
      </c>
      <c r="C68">
        <f>'Monthly Data'!C68</f>
        <v>7</v>
      </c>
      <c r="D68" s="3">
        <f ca="1">'Monthly Data'!BK68</f>
        <v>7202300.3597178645</v>
      </c>
      <c r="E68" s="3">
        <f>'Monthly Data'!CN68</f>
        <v>25.516666666666669</v>
      </c>
      <c r="F68" s="3">
        <f>'Monthly Data'!CW68</f>
        <v>254.87499999999994</v>
      </c>
      <c r="G68" s="3">
        <f>'Monthly Data'!DQ68</f>
        <v>31</v>
      </c>
      <c r="H68" s="3">
        <f>'Monthly Data'!DD68</f>
        <v>210.4</v>
      </c>
      <c r="I68">
        <f>'Monthly Data'!EJ68</f>
        <v>0.5</v>
      </c>
      <c r="J68">
        <f>'Monthly Data'!EF68</f>
        <v>0</v>
      </c>
      <c r="L68" s="3">
        <f t="shared" si="24"/>
        <v>172054.52120783599</v>
      </c>
      <c r="M68" s="3">
        <f t="shared" si="25"/>
        <v>98087.90975656861</v>
      </c>
      <c r="N68" s="3">
        <f t="shared" si="26"/>
        <v>2489625.0609712894</v>
      </c>
      <c r="O68" s="3">
        <f t="shared" si="27"/>
        <v>4884782.537752077</v>
      </c>
      <c r="P68" s="3">
        <f t="shared" si="28"/>
        <v>0</v>
      </c>
      <c r="Q68" s="3">
        <f t="shared" si="29"/>
        <v>-494925.79624567402</v>
      </c>
      <c r="R68" s="3">
        <f t="shared" si="30"/>
        <v>0</v>
      </c>
      <c r="S68" s="47">
        <f t="shared" si="21"/>
        <v>7149624.2334420979</v>
      </c>
      <c r="T68" s="47">
        <f ca="1">'Monthly Data'!BL68+'Monthly Data'!BM68</f>
        <v>13253.073235586806</v>
      </c>
      <c r="U68" s="47">
        <f t="shared" ca="1" si="22"/>
        <v>7162877.3066776851</v>
      </c>
      <c r="V68" s="47">
        <f t="shared" ca="1" si="23"/>
        <v>-39423.053040179424</v>
      </c>
      <c r="W68" s="18">
        <f t="shared" ca="1" si="20"/>
        <v>5.473675224747742E-3</v>
      </c>
    </row>
    <row r="69" spans="1:23">
      <c r="A69" s="2">
        <f>'Monthly Data'!A69</f>
        <v>44409</v>
      </c>
      <c r="B69">
        <f>'Monthly Data'!B69</f>
        <v>2021</v>
      </c>
      <c r="C69">
        <f>'Monthly Data'!C69</f>
        <v>8</v>
      </c>
      <c r="D69" s="3">
        <f ca="1">'Monthly Data'!BK69</f>
        <v>8046304.4842098318</v>
      </c>
      <c r="E69" s="3">
        <f>'Monthly Data'!CN69</f>
        <v>8.524999999999995</v>
      </c>
      <c r="F69" s="3">
        <f>'Monthly Data'!CW69</f>
        <v>328.06249999999989</v>
      </c>
      <c r="G69" s="3">
        <f>'Monthly Data'!DQ69</f>
        <v>31</v>
      </c>
      <c r="H69" s="3">
        <f>'Monthly Data'!DD69</f>
        <v>212.2</v>
      </c>
      <c r="I69">
        <f>'Monthly Data'!EJ69</f>
        <v>0.5</v>
      </c>
      <c r="J69">
        <f>'Monthly Data'!EF69</f>
        <v>0</v>
      </c>
      <c r="L69" s="3">
        <f t="shared" si="24"/>
        <v>172054.52120783599</v>
      </c>
      <c r="M69" s="3">
        <f t="shared" si="25"/>
        <v>32770.715767788904</v>
      </c>
      <c r="N69" s="3">
        <f t="shared" si="26"/>
        <v>3204522.3013826134</v>
      </c>
      <c r="O69" s="3">
        <f t="shared" si="27"/>
        <v>4884782.537752077</v>
      </c>
      <c r="P69" s="3">
        <f t="shared" si="28"/>
        <v>0</v>
      </c>
      <c r="Q69" s="3">
        <f t="shared" si="29"/>
        <v>-494925.79624567402</v>
      </c>
      <c r="R69" s="3">
        <f t="shared" si="30"/>
        <v>0</v>
      </c>
      <c r="S69" s="47">
        <f t="shared" si="21"/>
        <v>7799204.2798646409</v>
      </c>
      <c r="T69" s="47">
        <f ca="1">'Monthly Data'!BL69+'Monthly Data'!BM69</f>
        <v>13202.397134933433</v>
      </c>
      <c r="U69" s="47">
        <f t="shared" ca="1" si="22"/>
        <v>7812406.6769995745</v>
      </c>
      <c r="V69" s="47">
        <f t="shared" ca="1" si="23"/>
        <v>-233897.80721025728</v>
      </c>
      <c r="W69" s="18">
        <f t="shared" ca="1" si="20"/>
        <v>2.906897292654799E-2</v>
      </c>
    </row>
    <row r="70" spans="1:23">
      <c r="A70" s="2">
        <f>'Monthly Data'!A70</f>
        <v>44440</v>
      </c>
      <c r="B70">
        <f>'Monthly Data'!B70</f>
        <v>2021</v>
      </c>
      <c r="C70">
        <f>'Monthly Data'!C70</f>
        <v>9</v>
      </c>
      <c r="D70" s="3">
        <f ca="1">'Monthly Data'!BK70</f>
        <v>6575332.4041389627</v>
      </c>
      <c r="E70" s="3">
        <f>'Monthly Data'!CN70</f>
        <v>93.104166666666671</v>
      </c>
      <c r="F70" s="3">
        <f>'Monthly Data'!CW70</f>
        <v>149.55833333333328</v>
      </c>
      <c r="G70" s="3">
        <f>'Monthly Data'!DQ70</f>
        <v>30</v>
      </c>
      <c r="H70" s="3">
        <f>'Monthly Data'!DD70</f>
        <v>216.7</v>
      </c>
      <c r="I70">
        <f>'Monthly Data'!EJ70</f>
        <v>0.5</v>
      </c>
      <c r="J70">
        <f>'Monthly Data'!EF70</f>
        <v>1</v>
      </c>
      <c r="L70" s="3">
        <f t="shared" si="24"/>
        <v>172054.52120783599</v>
      </c>
      <c r="M70" s="3">
        <f t="shared" si="25"/>
        <v>357899.14165749925</v>
      </c>
      <c r="N70" s="3">
        <f t="shared" si="26"/>
        <v>1460889.3565228619</v>
      </c>
      <c r="O70" s="3">
        <f t="shared" si="27"/>
        <v>4727208.9075020105</v>
      </c>
      <c r="P70" s="3">
        <f t="shared" si="28"/>
        <v>0</v>
      </c>
      <c r="Q70" s="3">
        <f t="shared" si="29"/>
        <v>-494925.79624567402</v>
      </c>
      <c r="R70" s="3">
        <f t="shared" si="30"/>
        <v>188541.63990907301</v>
      </c>
      <c r="S70" s="47">
        <f t="shared" si="21"/>
        <v>6411667.7705536066</v>
      </c>
      <c r="T70" s="47">
        <f ca="1">'Monthly Data'!BL70+'Monthly Data'!BM70</f>
        <v>17835.696075182848</v>
      </c>
      <c r="U70" s="47">
        <f t="shared" ca="1" si="22"/>
        <v>6429503.466628789</v>
      </c>
      <c r="V70" s="47">
        <f t="shared" ca="1" si="23"/>
        <v>-145828.93751017377</v>
      </c>
      <c r="W70" s="18">
        <f t="shared" ca="1" si="20"/>
        <v>2.2178184850149794E-2</v>
      </c>
    </row>
    <row r="71" spans="1:23">
      <c r="A71" s="2">
        <f>'Monthly Data'!A71</f>
        <v>44470</v>
      </c>
      <c r="B71">
        <f>'Monthly Data'!B71</f>
        <v>2021</v>
      </c>
      <c r="C71">
        <f>'Monthly Data'!C71</f>
        <v>10</v>
      </c>
      <c r="D71" s="3">
        <f ca="1">'Monthly Data'!BK71</f>
        <v>6410393.6362930685</v>
      </c>
      <c r="E71" s="3">
        <f>'Monthly Data'!CN71</f>
        <v>214.18749999999994</v>
      </c>
      <c r="F71" s="3">
        <f>'Monthly Data'!CW71</f>
        <v>77.979166666666686</v>
      </c>
      <c r="G71" s="3">
        <f>'Monthly Data'!DQ71</f>
        <v>31</v>
      </c>
      <c r="H71" s="3">
        <f>'Monthly Data'!DD71</f>
        <v>221.3</v>
      </c>
      <c r="I71">
        <f>'Monthly Data'!EJ71</f>
        <v>0.5</v>
      </c>
      <c r="J71">
        <f>'Monthly Data'!EF71</f>
        <v>1</v>
      </c>
      <c r="L71" s="3">
        <f t="shared" si="24"/>
        <v>172054.52120783599</v>
      </c>
      <c r="M71" s="3">
        <f t="shared" si="25"/>
        <v>823352.22093997512</v>
      </c>
      <c r="N71" s="3">
        <f t="shared" si="26"/>
        <v>761702.35435798112</v>
      </c>
      <c r="O71" s="3">
        <f t="shared" si="27"/>
        <v>4884782.537752077</v>
      </c>
      <c r="P71" s="3">
        <f t="shared" si="28"/>
        <v>0</v>
      </c>
      <c r="Q71" s="3">
        <f t="shared" si="29"/>
        <v>-494925.79624567402</v>
      </c>
      <c r="R71" s="3">
        <f t="shared" si="30"/>
        <v>188541.63990907301</v>
      </c>
      <c r="S71" s="47">
        <f t="shared" si="21"/>
        <v>6335507.4779212689</v>
      </c>
      <c r="T71" s="47">
        <f ca="1">'Monthly Data'!BL71+'Monthly Data'!BM71</f>
        <v>28394.325643710927</v>
      </c>
      <c r="U71" s="47">
        <f t="shared" ca="1" si="22"/>
        <v>6363901.8035649797</v>
      </c>
      <c r="V71" s="47">
        <f t="shared" ca="1" si="23"/>
        <v>-46491.832728088833</v>
      </c>
      <c r="W71" s="18">
        <f t="shared" ca="1" si="20"/>
        <v>7.252570647903865E-3</v>
      </c>
    </row>
    <row r="72" spans="1:23">
      <c r="A72" s="2">
        <f>'Monthly Data'!A72</f>
        <v>44501</v>
      </c>
      <c r="B72">
        <f>'Monthly Data'!B72</f>
        <v>2021</v>
      </c>
      <c r="C72">
        <f>'Monthly Data'!C72</f>
        <v>11</v>
      </c>
      <c r="D72" s="3">
        <f ca="1">'Monthly Data'!BK72</f>
        <v>6749789.1937102508</v>
      </c>
      <c r="E72" s="3">
        <f>'Monthly Data'!CN72</f>
        <v>506.31260351966881</v>
      </c>
      <c r="F72" s="3">
        <f>'Monthly Data'!CW72</f>
        <v>0</v>
      </c>
      <c r="G72" s="3">
        <f>'Monthly Data'!DQ72</f>
        <v>30</v>
      </c>
      <c r="H72" s="3">
        <f>'Monthly Data'!DD72</f>
        <v>227.6</v>
      </c>
      <c r="I72">
        <f>'Monthly Data'!EJ72</f>
        <v>0.5</v>
      </c>
      <c r="J72">
        <f>'Monthly Data'!EF72</f>
        <v>1</v>
      </c>
      <c r="L72" s="3">
        <f t="shared" si="24"/>
        <v>172054.52120783599</v>
      </c>
      <c r="M72" s="3">
        <f t="shared" si="25"/>
        <v>1946302.2193070112</v>
      </c>
      <c r="N72" s="3">
        <f t="shared" si="26"/>
        <v>0</v>
      </c>
      <c r="O72" s="3">
        <f t="shared" si="27"/>
        <v>4727208.9075020105</v>
      </c>
      <c r="P72" s="3">
        <f t="shared" si="28"/>
        <v>0</v>
      </c>
      <c r="Q72" s="3">
        <f t="shared" si="29"/>
        <v>-494925.79624567402</v>
      </c>
      <c r="R72" s="3">
        <f t="shared" si="30"/>
        <v>188541.63990907301</v>
      </c>
      <c r="S72" s="47">
        <f t="shared" si="21"/>
        <v>6539181.491680257</v>
      </c>
      <c r="T72" s="47">
        <f ca="1">'Monthly Data'!BL72+'Monthly Data'!BM72</f>
        <v>56409.773602516245</v>
      </c>
      <c r="U72" s="47">
        <f t="shared" ca="1" si="22"/>
        <v>6595591.2652827734</v>
      </c>
      <c r="V72" s="47">
        <f t="shared" ca="1" si="23"/>
        <v>-154197.92842747737</v>
      </c>
      <c r="W72" s="18">
        <f t="shared" ca="1" si="20"/>
        <v>2.2844851002334375E-2</v>
      </c>
    </row>
    <row r="73" spans="1:23">
      <c r="A73" s="2">
        <f>'Monthly Data'!A73</f>
        <v>44531</v>
      </c>
      <c r="B73">
        <f>'Monthly Data'!B73</f>
        <v>2021</v>
      </c>
      <c r="C73">
        <f>'Monthly Data'!C73</f>
        <v>12</v>
      </c>
      <c r="D73" s="3">
        <f ca="1">'Monthly Data'!BK73</f>
        <v>7321612.7961532604</v>
      </c>
      <c r="E73" s="3">
        <f>'Monthly Data'!CN73</f>
        <v>595.04583333333335</v>
      </c>
      <c r="F73" s="3">
        <f>'Monthly Data'!CW73</f>
        <v>0</v>
      </c>
      <c r="G73" s="3">
        <f>'Monthly Data'!DQ73</f>
        <v>31</v>
      </c>
      <c r="H73" s="3">
        <f>'Monthly Data'!DD73</f>
        <v>228.8</v>
      </c>
      <c r="I73">
        <f>'Monthly Data'!EJ73</f>
        <v>0.5</v>
      </c>
      <c r="J73">
        <f>'Monthly Data'!EF73</f>
        <v>0</v>
      </c>
      <c r="L73" s="3">
        <f t="shared" si="24"/>
        <v>172054.52120783599</v>
      </c>
      <c r="M73" s="3">
        <f t="shared" si="25"/>
        <v>2287399.1639851923</v>
      </c>
      <c r="N73" s="3">
        <f t="shared" si="26"/>
        <v>0</v>
      </c>
      <c r="O73" s="3">
        <f t="shared" si="27"/>
        <v>4884782.537752077</v>
      </c>
      <c r="P73" s="3">
        <f t="shared" si="28"/>
        <v>0</v>
      </c>
      <c r="Q73" s="3">
        <f t="shared" si="29"/>
        <v>-494925.79624567402</v>
      </c>
      <c r="R73" s="3">
        <f t="shared" si="30"/>
        <v>0</v>
      </c>
      <c r="S73" s="47">
        <f t="shared" si="21"/>
        <v>6849310.4266994316</v>
      </c>
      <c r="T73" s="47">
        <f ca="1">'Monthly Data'!BL73+'Monthly Data'!BM73</f>
        <v>64981.359682976676</v>
      </c>
      <c r="U73" s="47">
        <f t="shared" ca="1" si="22"/>
        <v>6914291.7863824079</v>
      </c>
      <c r="V73" s="47">
        <f t="shared" ca="1" si="23"/>
        <v>-407321.00977085251</v>
      </c>
      <c r="W73" s="18">
        <f t="shared" ca="1" si="20"/>
        <v>5.5632689287373541E-2</v>
      </c>
    </row>
    <row r="74" spans="1:23">
      <c r="A74" s="2">
        <f>'Monthly Data'!A74</f>
        <v>44562</v>
      </c>
      <c r="B74">
        <f>'Monthly Data'!B74</f>
        <v>2022</v>
      </c>
      <c r="C74">
        <f>'Monthly Data'!C74</f>
        <v>1</v>
      </c>
      <c r="D74" s="3">
        <f ca="1">'Monthly Data'!BK74</f>
        <v>8069275.0656578699</v>
      </c>
      <c r="E74" s="3">
        <f>'Monthly Data'!CN74</f>
        <v>887.49166666666656</v>
      </c>
      <c r="F74" s="3">
        <f>'Monthly Data'!CW74</f>
        <v>0</v>
      </c>
      <c r="G74" s="3">
        <f>'Monthly Data'!DQ74</f>
        <v>31</v>
      </c>
      <c r="H74" s="3">
        <f>'Monthly Data'!DD74</f>
        <v>226.2</v>
      </c>
      <c r="I74">
        <f>'Monthly Data'!EJ74</f>
        <v>0.25</v>
      </c>
      <c r="J74">
        <f>'Monthly Data'!EF74</f>
        <v>0</v>
      </c>
      <c r="L74" s="3">
        <f t="shared" si="24"/>
        <v>172054.52120783599</v>
      </c>
      <c r="M74" s="3">
        <f t="shared" si="25"/>
        <v>3411582.0709225335</v>
      </c>
      <c r="N74" s="3">
        <f t="shared" si="26"/>
        <v>0</v>
      </c>
      <c r="O74" s="3">
        <f t="shared" si="27"/>
        <v>4884782.537752077</v>
      </c>
      <c r="P74" s="3">
        <f t="shared" si="28"/>
        <v>0</v>
      </c>
      <c r="Q74" s="3">
        <f t="shared" si="29"/>
        <v>-247462.89812283701</v>
      </c>
      <c r="R74" s="3">
        <f t="shared" si="30"/>
        <v>0</v>
      </c>
      <c r="S74" s="47">
        <f t="shared" si="21"/>
        <v>8220956.2317596106</v>
      </c>
      <c r="T74" s="47">
        <f ca="1">'Monthly Data'!BL74+'Monthly Data'!BM74</f>
        <v>137533.09143470594</v>
      </c>
      <c r="U74" s="47">
        <f t="shared" ca="1" si="22"/>
        <v>8358489.3231943166</v>
      </c>
      <c r="V74" s="47">
        <f t="shared" ca="1" si="23"/>
        <v>289214.25753644668</v>
      </c>
      <c r="W74" s="18">
        <f t="shared" ref="W74:W97" ca="1" si="31">ABS(V74/D74)</f>
        <v>3.5841417622174923E-2</v>
      </c>
    </row>
    <row r="75" spans="1:23">
      <c r="A75" s="2">
        <f>'Monthly Data'!A75</f>
        <v>44593</v>
      </c>
      <c r="B75">
        <f>'Monthly Data'!B75</f>
        <v>2022</v>
      </c>
      <c r="C75">
        <f>'Monthly Data'!C75</f>
        <v>2</v>
      </c>
      <c r="D75" s="3">
        <f ca="1">'Monthly Data'!BK75</f>
        <v>7376068.720579314</v>
      </c>
      <c r="E75" s="3">
        <f>'Monthly Data'!CN75</f>
        <v>692.85</v>
      </c>
      <c r="F75" s="3">
        <f>'Monthly Data'!CW75</f>
        <v>0</v>
      </c>
      <c r="G75" s="3">
        <f>'Monthly Data'!DQ75</f>
        <v>28</v>
      </c>
      <c r="H75" s="3">
        <f>'Monthly Data'!DD75</f>
        <v>226.3</v>
      </c>
      <c r="I75">
        <f>'Monthly Data'!EJ75</f>
        <v>0.25</v>
      </c>
      <c r="J75">
        <f>'Monthly Data'!EF75</f>
        <v>0</v>
      </c>
      <c r="L75" s="3">
        <f t="shared" si="24"/>
        <v>172054.52120783599</v>
      </c>
      <c r="M75" s="3">
        <f t="shared" si="25"/>
        <v>2663365.4451275724</v>
      </c>
      <c r="N75" s="3">
        <f t="shared" si="26"/>
        <v>0</v>
      </c>
      <c r="O75" s="3">
        <f t="shared" si="27"/>
        <v>4412061.6470018765</v>
      </c>
      <c r="P75" s="3">
        <f t="shared" si="28"/>
        <v>0</v>
      </c>
      <c r="Q75" s="3">
        <f t="shared" si="29"/>
        <v>-247462.89812283701</v>
      </c>
      <c r="R75" s="3">
        <f t="shared" si="30"/>
        <v>0</v>
      </c>
      <c r="S75" s="47">
        <f t="shared" si="21"/>
        <v>7000018.715214448</v>
      </c>
      <c r="T75" s="47">
        <f ca="1">'Monthly Data'!BL75+'Monthly Data'!BM75</f>
        <v>110554.94263122929</v>
      </c>
      <c r="U75" s="47">
        <f t="shared" ca="1" si="22"/>
        <v>7110573.6578456778</v>
      </c>
      <c r="V75" s="47">
        <f t="shared" ca="1" si="23"/>
        <v>-265495.06273363624</v>
      </c>
      <c r="W75" s="18">
        <f t="shared" ca="1" si="31"/>
        <v>3.5994114587476936E-2</v>
      </c>
    </row>
    <row r="76" spans="1:23">
      <c r="A76" s="2">
        <f>'Monthly Data'!A76</f>
        <v>44621</v>
      </c>
      <c r="B76">
        <f>'Monthly Data'!B76</f>
        <v>2022</v>
      </c>
      <c r="C76">
        <f>'Monthly Data'!C76</f>
        <v>3</v>
      </c>
      <c r="D76" s="3">
        <f ca="1">'Monthly Data'!BK76</f>
        <v>7644236.0910833273</v>
      </c>
      <c r="E76" s="3">
        <f>'Monthly Data'!CN76</f>
        <v>606.7208333333333</v>
      </c>
      <c r="F76" s="3">
        <f>'Monthly Data'!CW76</f>
        <v>0</v>
      </c>
      <c r="G76" s="3">
        <f>'Monthly Data'!DQ76</f>
        <v>31</v>
      </c>
      <c r="H76" s="3">
        <f>'Monthly Data'!DD76</f>
        <v>227.8</v>
      </c>
      <c r="I76">
        <f>'Monthly Data'!EJ76</f>
        <v>0.25</v>
      </c>
      <c r="J76">
        <f>'Monthly Data'!EF76</f>
        <v>0</v>
      </c>
      <c r="L76" s="3">
        <f t="shared" si="24"/>
        <v>172054.52120783599</v>
      </c>
      <c r="M76" s="3">
        <f t="shared" si="25"/>
        <v>2332278.7072800822</v>
      </c>
      <c r="N76" s="3">
        <f t="shared" si="26"/>
        <v>0</v>
      </c>
      <c r="O76" s="3">
        <f t="shared" si="27"/>
        <v>4884782.537752077</v>
      </c>
      <c r="P76" s="3">
        <f t="shared" si="28"/>
        <v>0</v>
      </c>
      <c r="Q76" s="3">
        <f t="shared" si="29"/>
        <v>-247462.89812283701</v>
      </c>
      <c r="R76" s="3">
        <f t="shared" si="30"/>
        <v>0</v>
      </c>
      <c r="S76" s="47">
        <f t="shared" si="21"/>
        <v>7141652.8681171583</v>
      </c>
      <c r="T76" s="47">
        <f ca="1">'Monthly Data'!BL76+'Monthly Data'!BM76</f>
        <v>97797.494843591412</v>
      </c>
      <c r="U76" s="47">
        <f t="shared" ca="1" si="22"/>
        <v>7239450.3629607493</v>
      </c>
      <c r="V76" s="47">
        <f t="shared" ca="1" si="23"/>
        <v>-404785.728122578</v>
      </c>
      <c r="W76" s="18">
        <f t="shared" ca="1" si="31"/>
        <v>5.2953064675061924E-2</v>
      </c>
    </row>
    <row r="77" spans="1:23">
      <c r="A77" s="2">
        <f>'Monthly Data'!A77</f>
        <v>44652</v>
      </c>
      <c r="B77">
        <f>'Monthly Data'!B77</f>
        <v>2022</v>
      </c>
      <c r="C77">
        <f>'Monthly Data'!C77</f>
        <v>4</v>
      </c>
      <c r="D77" s="3">
        <f ca="1">'Monthly Data'!BK77</f>
        <v>6592293.3697755849</v>
      </c>
      <c r="E77" s="3">
        <f>'Monthly Data'!CN77</f>
        <v>414.33333333333331</v>
      </c>
      <c r="F77" s="3">
        <f>'Monthly Data'!CW77</f>
        <v>2.2541666666666629</v>
      </c>
      <c r="G77" s="3">
        <f>'Monthly Data'!DQ77</f>
        <v>30</v>
      </c>
      <c r="H77" s="3">
        <f>'Monthly Data'!DD77</f>
        <v>232.8</v>
      </c>
      <c r="I77">
        <f>'Monthly Data'!EJ77</f>
        <v>0.25</v>
      </c>
      <c r="J77">
        <f>'Monthly Data'!EF77</f>
        <v>0</v>
      </c>
      <c r="L77" s="3">
        <f t="shared" si="24"/>
        <v>172054.52120783599</v>
      </c>
      <c r="M77" s="3">
        <f t="shared" si="25"/>
        <v>1592727.2609721066</v>
      </c>
      <c r="N77" s="3">
        <f t="shared" si="26"/>
        <v>22018.753604470585</v>
      </c>
      <c r="O77" s="3">
        <f t="shared" si="27"/>
        <v>4727208.9075020105</v>
      </c>
      <c r="P77" s="3">
        <f t="shared" si="28"/>
        <v>0</v>
      </c>
      <c r="Q77" s="3">
        <f t="shared" si="29"/>
        <v>-247462.89812283701</v>
      </c>
      <c r="R77" s="3">
        <f t="shared" si="30"/>
        <v>0</v>
      </c>
      <c r="S77" s="47">
        <f t="shared" si="21"/>
        <v>6266546.5451635867</v>
      </c>
      <c r="T77" s="47">
        <f ca="1">'Monthly Data'!BL77+'Monthly Data'!BM77</f>
        <v>70562.105021005147</v>
      </c>
      <c r="U77" s="47">
        <f t="shared" ca="1" si="22"/>
        <v>6337108.6501845922</v>
      </c>
      <c r="V77" s="47">
        <f t="shared" ca="1" si="23"/>
        <v>-255184.71959099267</v>
      </c>
      <c r="W77" s="18">
        <f t="shared" ca="1" si="31"/>
        <v>3.8709551483398205E-2</v>
      </c>
    </row>
    <row r="78" spans="1:23">
      <c r="A78" s="2">
        <f>'Monthly Data'!A78</f>
        <v>44682</v>
      </c>
      <c r="B78">
        <f>'Monthly Data'!B78</f>
        <v>2022</v>
      </c>
      <c r="C78">
        <f>'Monthly Data'!C78</f>
        <v>5</v>
      </c>
      <c r="D78" s="3">
        <f ca="1">'Monthly Data'!BK78</f>
        <v>6530168.109621468</v>
      </c>
      <c r="E78" s="3">
        <f>'Monthly Data'!CN78</f>
        <v>158.97916666666669</v>
      </c>
      <c r="F78" s="3">
        <f>'Monthly Data'!CW78</f>
        <v>109.43749999999997</v>
      </c>
      <c r="G78" s="3">
        <f>'Monthly Data'!DQ78</f>
        <v>31</v>
      </c>
      <c r="H78" s="3">
        <f>'Monthly Data'!DD78</f>
        <v>235</v>
      </c>
      <c r="I78">
        <f>'Monthly Data'!EJ78</f>
        <v>0.25</v>
      </c>
      <c r="J78">
        <f>'Monthly Data'!EF78</f>
        <v>0</v>
      </c>
      <c r="L78" s="3">
        <f t="shared" si="24"/>
        <v>172054.52120783599</v>
      </c>
      <c r="M78" s="3">
        <f t="shared" si="25"/>
        <v>611127.39986314101</v>
      </c>
      <c r="N78" s="3">
        <f t="shared" si="26"/>
        <v>1068988.1024425521</v>
      </c>
      <c r="O78" s="3">
        <f t="shared" si="27"/>
        <v>4884782.537752077</v>
      </c>
      <c r="P78" s="3">
        <f t="shared" si="28"/>
        <v>0</v>
      </c>
      <c r="Q78" s="3">
        <f t="shared" si="29"/>
        <v>-247462.89812283701</v>
      </c>
      <c r="R78" s="3">
        <f t="shared" si="30"/>
        <v>0</v>
      </c>
      <c r="S78" s="47">
        <f t="shared" si="21"/>
        <v>6489489.6631427696</v>
      </c>
      <c r="T78" s="47">
        <f ca="1">'Monthly Data'!BL78+'Monthly Data'!BM78</f>
        <v>35305.584137160258</v>
      </c>
      <c r="U78" s="47">
        <f t="shared" ca="1" si="22"/>
        <v>6524795.2472799299</v>
      </c>
      <c r="V78" s="47">
        <f t="shared" ca="1" si="23"/>
        <v>-5372.8623415380716</v>
      </c>
      <c r="W78" s="18">
        <f t="shared" ca="1" si="31"/>
        <v>8.22775501540575E-4</v>
      </c>
    </row>
    <row r="79" spans="1:23">
      <c r="A79" s="2">
        <f>'Monthly Data'!A79</f>
        <v>44713</v>
      </c>
      <c r="B79">
        <f>'Monthly Data'!B79</f>
        <v>2022</v>
      </c>
      <c r="C79">
        <f>'Monthly Data'!C79</f>
        <v>6</v>
      </c>
      <c r="D79" s="3">
        <f ca="1">'Monthly Data'!BK79</f>
        <v>7021628.4928765828</v>
      </c>
      <c r="E79" s="3">
        <f>'Monthly Data'!CN79</f>
        <v>75.529010989011013</v>
      </c>
      <c r="F79" s="3">
        <f>'Monthly Data'!CW79</f>
        <v>180.92250416250408</v>
      </c>
      <c r="G79" s="3">
        <f>'Monthly Data'!DQ79</f>
        <v>30</v>
      </c>
      <c r="H79" s="3">
        <f>'Monthly Data'!DD79</f>
        <v>236.3</v>
      </c>
      <c r="I79">
        <f>'Monthly Data'!EJ79</f>
        <v>0.25</v>
      </c>
      <c r="J79">
        <f>'Monthly Data'!EF79</f>
        <v>0</v>
      </c>
      <c r="L79" s="3">
        <f t="shared" si="24"/>
        <v>172054.52120783599</v>
      </c>
      <c r="M79" s="3">
        <f t="shared" si="25"/>
        <v>290338.97376458487</v>
      </c>
      <c r="N79" s="3">
        <f t="shared" si="26"/>
        <v>1767255.3230275733</v>
      </c>
      <c r="O79" s="3">
        <f t="shared" si="27"/>
        <v>4727208.9075020105</v>
      </c>
      <c r="P79" s="3">
        <f t="shared" si="28"/>
        <v>0</v>
      </c>
      <c r="Q79" s="3">
        <f t="shared" si="29"/>
        <v>-247462.89812283701</v>
      </c>
      <c r="R79" s="3">
        <f t="shared" si="30"/>
        <v>0</v>
      </c>
      <c r="S79" s="47">
        <f t="shared" si="21"/>
        <v>6709394.827379168</v>
      </c>
      <c r="T79" s="47">
        <f ca="1">'Monthly Data'!BL79+'Monthly Data'!BM79</f>
        <v>25316.3705833229</v>
      </c>
      <c r="U79" s="47">
        <f t="shared" ca="1" si="22"/>
        <v>6734711.1979624908</v>
      </c>
      <c r="V79" s="47">
        <f t="shared" ca="1" si="23"/>
        <v>-286917.29491409194</v>
      </c>
      <c r="W79" s="18">
        <f t="shared" ca="1" si="31"/>
        <v>4.0861930420438577E-2</v>
      </c>
    </row>
    <row r="80" spans="1:23">
      <c r="A80" s="2">
        <f>'Monthly Data'!A80</f>
        <v>44743</v>
      </c>
      <c r="B80">
        <f>'Monthly Data'!B80</f>
        <v>2022</v>
      </c>
      <c r="C80">
        <f>'Monthly Data'!C80</f>
        <v>7</v>
      </c>
      <c r="D80" s="3">
        <f ca="1">'Monthly Data'!BK80</f>
        <v>7808663.3388158185</v>
      </c>
      <c r="E80" s="3">
        <f>'Monthly Data'!CN80</f>
        <v>8.9945652173913082</v>
      </c>
      <c r="F80" s="3">
        <f>'Monthly Data'!CW80</f>
        <v>283.8543382913806</v>
      </c>
      <c r="G80" s="3">
        <f>'Monthly Data'!DQ80</f>
        <v>31</v>
      </c>
      <c r="H80" s="3">
        <f>'Monthly Data'!DD80</f>
        <v>236.4</v>
      </c>
      <c r="I80">
        <f>'Monthly Data'!EJ80</f>
        <v>0.25</v>
      </c>
      <c r="J80">
        <f>'Monthly Data'!EF80</f>
        <v>0</v>
      </c>
      <c r="L80" s="3">
        <f t="shared" si="24"/>
        <v>172054.52120783599</v>
      </c>
      <c r="M80" s="3">
        <f t="shared" si="25"/>
        <v>34575.758380524472</v>
      </c>
      <c r="N80" s="3">
        <f t="shared" si="26"/>
        <v>2772695.9265351393</v>
      </c>
      <c r="O80" s="3">
        <f t="shared" si="27"/>
        <v>4884782.537752077</v>
      </c>
      <c r="P80" s="3">
        <f t="shared" si="28"/>
        <v>0</v>
      </c>
      <c r="Q80" s="3">
        <f t="shared" si="29"/>
        <v>-247462.89812283701</v>
      </c>
      <c r="R80" s="3">
        <f t="shared" si="30"/>
        <v>0</v>
      </c>
      <c r="S80" s="47">
        <f t="shared" si="21"/>
        <v>7616645.8457527393</v>
      </c>
      <c r="T80" s="47">
        <f ca="1">'Monthly Data'!BL80+'Monthly Data'!BM80</f>
        <v>20896.256090939729</v>
      </c>
      <c r="U80" s="47">
        <f t="shared" ca="1" si="22"/>
        <v>7637542.1018436793</v>
      </c>
      <c r="V80" s="47">
        <f t="shared" ca="1" si="23"/>
        <v>-171121.23697213922</v>
      </c>
      <c r="W80" s="18">
        <f t="shared" ca="1" si="31"/>
        <v>2.1914280274002655E-2</v>
      </c>
    </row>
    <row r="81" spans="1:23">
      <c r="A81" s="2">
        <f>'Monthly Data'!A81</f>
        <v>44774</v>
      </c>
      <c r="B81">
        <f>'Monthly Data'!B81</f>
        <v>2022</v>
      </c>
      <c r="C81">
        <f>'Monthly Data'!C81</f>
        <v>8</v>
      </c>
      <c r="D81" s="3">
        <f ca="1">'Monthly Data'!BK81</f>
        <v>8030056.4697464537</v>
      </c>
      <c r="E81" s="3">
        <f>'Monthly Data'!CN81</f>
        <v>7.3916666666666764</v>
      </c>
      <c r="F81" s="3">
        <f>'Monthly Data'!CW81</f>
        <v>290.28333333333336</v>
      </c>
      <c r="G81" s="3">
        <f>'Monthly Data'!DQ81</f>
        <v>31</v>
      </c>
      <c r="H81" s="3">
        <f>'Monthly Data'!DD81</f>
        <v>235.2</v>
      </c>
      <c r="I81">
        <f>'Monthly Data'!EJ81</f>
        <v>0.25</v>
      </c>
      <c r="J81">
        <f>'Monthly Data'!EF81</f>
        <v>0</v>
      </c>
      <c r="L81" s="3">
        <f t="shared" si="24"/>
        <v>172054.52120783599</v>
      </c>
      <c r="M81" s="3">
        <f t="shared" si="25"/>
        <v>28414.100572853189</v>
      </c>
      <c r="N81" s="3">
        <f t="shared" si="26"/>
        <v>2835494.5029875408</v>
      </c>
      <c r="O81" s="3">
        <f t="shared" si="27"/>
        <v>4884782.537752077</v>
      </c>
      <c r="P81" s="3">
        <f t="shared" si="28"/>
        <v>0</v>
      </c>
      <c r="Q81" s="3">
        <f t="shared" si="29"/>
        <v>-247462.89812283701</v>
      </c>
      <c r="R81" s="3">
        <f t="shared" si="30"/>
        <v>0</v>
      </c>
      <c r="S81" s="47">
        <f t="shared" si="21"/>
        <v>7673282.7643974703</v>
      </c>
      <c r="T81" s="47">
        <f ca="1">'Monthly Data'!BL81+'Monthly Data'!BM81</f>
        <v>21734.518012568722</v>
      </c>
      <c r="U81" s="47">
        <f t="shared" ca="1" si="22"/>
        <v>7695017.2824100386</v>
      </c>
      <c r="V81" s="47">
        <f t="shared" ca="1" si="23"/>
        <v>-335039.18733641505</v>
      </c>
      <c r="W81" s="18">
        <f t="shared" ca="1" si="31"/>
        <v>4.1723142122186571E-2</v>
      </c>
    </row>
    <row r="82" spans="1:23">
      <c r="A82" s="2">
        <f>'Monthly Data'!A82</f>
        <v>44805</v>
      </c>
      <c r="B82">
        <f>'Monthly Data'!B82</f>
        <v>2022</v>
      </c>
      <c r="C82">
        <f>'Monthly Data'!C82</f>
        <v>9</v>
      </c>
      <c r="D82" s="3">
        <f ca="1">'Monthly Data'!BK82</f>
        <v>6777435.0266384333</v>
      </c>
      <c r="E82" s="3">
        <f>'Monthly Data'!CN82</f>
        <v>111.79166666666666</v>
      </c>
      <c r="F82" s="3">
        <f>'Monthly Data'!CW82</f>
        <v>139.79166666666663</v>
      </c>
      <c r="G82" s="3">
        <f>'Monthly Data'!DQ82</f>
        <v>30</v>
      </c>
      <c r="H82" s="3">
        <f>'Monthly Data'!DD82</f>
        <v>233.8</v>
      </c>
      <c r="I82">
        <f>'Monthly Data'!EJ82</f>
        <v>0.25</v>
      </c>
      <c r="J82">
        <f>'Monthly Data'!EF82</f>
        <v>1</v>
      </c>
      <c r="L82" s="3">
        <f t="shared" si="24"/>
        <v>172054.52120783599</v>
      </c>
      <c r="M82" s="3">
        <f t="shared" si="25"/>
        <v>429735.24147105409</v>
      </c>
      <c r="N82" s="3">
        <f t="shared" si="26"/>
        <v>1365488.3242698505</v>
      </c>
      <c r="O82" s="3">
        <f t="shared" si="27"/>
        <v>4727208.9075020105</v>
      </c>
      <c r="P82" s="3">
        <f t="shared" si="28"/>
        <v>0</v>
      </c>
      <c r="Q82" s="3">
        <f t="shared" si="29"/>
        <v>-247462.89812283701</v>
      </c>
      <c r="R82" s="3">
        <f t="shared" si="30"/>
        <v>188541.63990907301</v>
      </c>
      <c r="S82" s="47">
        <f t="shared" si="21"/>
        <v>6635565.7362369867</v>
      </c>
      <c r="T82" s="47">
        <f ca="1">'Monthly Data'!BL82+'Monthly Data'!BM82</f>
        <v>32961.879040100372</v>
      </c>
      <c r="U82" s="47">
        <f t="shared" ca="1" si="22"/>
        <v>6668527.6152770873</v>
      </c>
      <c r="V82" s="47">
        <f t="shared" ca="1" si="23"/>
        <v>-108907.41136134602</v>
      </c>
      <c r="W82" s="18">
        <f t="shared" ca="1" si="31"/>
        <v>1.6069119207087913E-2</v>
      </c>
    </row>
    <row r="83" spans="1:23">
      <c r="A83" s="2">
        <f>'Monthly Data'!A83</f>
        <v>44835</v>
      </c>
      <c r="B83">
        <f>'Monthly Data'!B83</f>
        <v>2022</v>
      </c>
      <c r="C83">
        <f>'Monthly Data'!C83</f>
        <v>10</v>
      </c>
      <c r="D83" s="3">
        <f ca="1">'Monthly Data'!BK83</f>
        <v>6462770.2915369282</v>
      </c>
      <c r="E83" s="3">
        <f>'Monthly Data'!CN83</f>
        <v>330.85561594202903</v>
      </c>
      <c r="F83" s="3">
        <f>'Monthly Data'!CW83</f>
        <v>11.604166666666668</v>
      </c>
      <c r="G83" s="3">
        <f>'Monthly Data'!DQ83</f>
        <v>31</v>
      </c>
      <c r="H83" s="3">
        <f>'Monthly Data'!DD83</f>
        <v>234</v>
      </c>
      <c r="I83">
        <f>'Monthly Data'!EJ83</f>
        <v>0.25</v>
      </c>
      <c r="J83">
        <f>'Monthly Data'!EF83</f>
        <v>1</v>
      </c>
      <c r="L83" s="3">
        <f t="shared" si="24"/>
        <v>172054.52120783599</v>
      </c>
      <c r="M83" s="3">
        <f t="shared" si="25"/>
        <v>1271832.88565548</v>
      </c>
      <c r="N83" s="3">
        <f t="shared" si="26"/>
        <v>113349.77594907705</v>
      </c>
      <c r="O83" s="3">
        <f t="shared" si="27"/>
        <v>4884782.537752077</v>
      </c>
      <c r="P83" s="3">
        <f t="shared" si="28"/>
        <v>0</v>
      </c>
      <c r="Q83" s="3">
        <f t="shared" si="29"/>
        <v>-247462.89812283701</v>
      </c>
      <c r="R83" s="3">
        <f t="shared" si="30"/>
        <v>188541.63990907301</v>
      </c>
      <c r="S83" s="47">
        <f t="shared" si="21"/>
        <v>6383098.4623507056</v>
      </c>
      <c r="T83" s="47">
        <f ca="1">'Monthly Data'!BL83+'Monthly Data'!BM83</f>
        <v>62871.659367496497</v>
      </c>
      <c r="U83" s="47">
        <f t="shared" ca="1" si="22"/>
        <v>6445970.1217182018</v>
      </c>
      <c r="V83" s="47">
        <f t="shared" ca="1" si="23"/>
        <v>-16800.169818726368</v>
      </c>
      <c r="W83" s="18">
        <f t="shared" ca="1" si="31"/>
        <v>2.5995307060079765E-3</v>
      </c>
    </row>
    <row r="84" spans="1:23">
      <c r="A84" s="2">
        <f>'Monthly Data'!A84</f>
        <v>44866</v>
      </c>
      <c r="B84">
        <f>'Monthly Data'!B84</f>
        <v>2022</v>
      </c>
      <c r="C84">
        <f>'Monthly Data'!C84</f>
        <v>11</v>
      </c>
      <c r="D84" s="3">
        <f ca="1">'Monthly Data'!BK84</f>
        <v>6900158.9461044408</v>
      </c>
      <c r="E84" s="3">
        <f>'Monthly Data'!CN84</f>
        <v>471.83333333333348</v>
      </c>
      <c r="F84" s="3">
        <f>'Monthly Data'!CW84</f>
        <v>6.5791666666666675</v>
      </c>
      <c r="G84" s="3">
        <f>'Monthly Data'!DQ84</f>
        <v>30</v>
      </c>
      <c r="H84" s="3">
        <f>'Monthly Data'!DD84</f>
        <v>234.2</v>
      </c>
      <c r="I84">
        <f>'Monthly Data'!EJ84</f>
        <v>0.25</v>
      </c>
      <c r="J84">
        <f>'Monthly Data'!EF84</f>
        <v>1</v>
      </c>
      <c r="L84" s="3">
        <f t="shared" si="24"/>
        <v>172054.52120783599</v>
      </c>
      <c r="M84" s="3">
        <f t="shared" si="25"/>
        <v>1813761.4142445838</v>
      </c>
      <c r="N84" s="3">
        <f t="shared" si="26"/>
        <v>64265.456453713712</v>
      </c>
      <c r="O84" s="3">
        <f t="shared" si="27"/>
        <v>4727208.9075020105</v>
      </c>
      <c r="P84" s="3">
        <f t="shared" si="28"/>
        <v>0</v>
      </c>
      <c r="Q84" s="3">
        <f t="shared" si="29"/>
        <v>-247462.89812283701</v>
      </c>
      <c r="R84" s="3">
        <f t="shared" si="30"/>
        <v>188541.63990907301</v>
      </c>
      <c r="S84" s="47">
        <f t="shared" si="21"/>
        <v>6718369.0411943803</v>
      </c>
      <c r="T84" s="47">
        <f ca="1">'Monthly Data'!BL84+'Monthly Data'!BM84</f>
        <v>84756.197902395827</v>
      </c>
      <c r="U84" s="47">
        <f t="shared" ca="1" si="22"/>
        <v>6803125.2390967757</v>
      </c>
      <c r="V84" s="47">
        <f t="shared" ca="1" si="23"/>
        <v>-97033.707007665187</v>
      </c>
      <c r="W84" s="18">
        <f t="shared" ca="1" si="31"/>
        <v>1.4062532148255312E-2</v>
      </c>
    </row>
    <row r="85" spans="1:23">
      <c r="A85" s="2">
        <f>'Monthly Data'!A85</f>
        <v>44896</v>
      </c>
      <c r="B85">
        <f>'Monthly Data'!B85</f>
        <v>2022</v>
      </c>
      <c r="C85">
        <f>'Monthly Data'!C85</f>
        <v>12</v>
      </c>
      <c r="D85" s="3">
        <f ca="1">'Monthly Data'!BK85</f>
        <v>7613860.4208652079</v>
      </c>
      <c r="E85" s="3">
        <f>'Monthly Data'!CN85</f>
        <v>647.12083333333328</v>
      </c>
      <c r="F85" s="3">
        <f>'Monthly Data'!CW85</f>
        <v>0</v>
      </c>
      <c r="G85" s="3">
        <f>'Monthly Data'!DQ85</f>
        <v>31</v>
      </c>
      <c r="H85" s="3">
        <f>'Monthly Data'!DD85</f>
        <v>236.7</v>
      </c>
      <c r="I85">
        <f>'Monthly Data'!EJ85</f>
        <v>0.25</v>
      </c>
      <c r="J85">
        <f>'Monthly Data'!EF85</f>
        <v>0</v>
      </c>
      <c r="L85" s="3">
        <f t="shared" si="24"/>
        <v>172054.52120783599</v>
      </c>
      <c r="M85" s="3">
        <f t="shared" si="25"/>
        <v>2487579.2254054397</v>
      </c>
      <c r="N85" s="3">
        <f t="shared" si="26"/>
        <v>0</v>
      </c>
      <c r="O85" s="3">
        <f t="shared" si="27"/>
        <v>4884782.537752077</v>
      </c>
      <c r="P85" s="3">
        <f t="shared" si="28"/>
        <v>0</v>
      </c>
      <c r="Q85" s="3">
        <f t="shared" si="29"/>
        <v>-247462.89812283701</v>
      </c>
      <c r="R85" s="3">
        <f t="shared" si="30"/>
        <v>0</v>
      </c>
      <c r="S85" s="47">
        <f t="shared" si="21"/>
        <v>7296953.3862425154</v>
      </c>
      <c r="T85" s="47">
        <f ca="1">'Monthly Data'!BL85+'Monthly Data'!BM85</f>
        <v>111106.75230397898</v>
      </c>
      <c r="U85" s="47">
        <f t="shared" ca="1" si="22"/>
        <v>7408060.1385464948</v>
      </c>
      <c r="V85" s="47">
        <f t="shared" ca="1" si="23"/>
        <v>-205800.28231871314</v>
      </c>
      <c r="W85" s="18">
        <f t="shared" ca="1" si="31"/>
        <v>2.7029689401020941E-2</v>
      </c>
    </row>
    <row r="86" spans="1:23">
      <c r="A86" s="2">
        <f>'Monthly Data'!A86</f>
        <v>44927</v>
      </c>
      <c r="B86">
        <f>'Monthly Data'!B86</f>
        <v>2023</v>
      </c>
      <c r="C86">
        <f>'Monthly Data'!C86</f>
        <v>1</v>
      </c>
      <c r="D86" s="3">
        <f ca="1">'Monthly Data'!BK86</f>
        <v>7728508.0056255767</v>
      </c>
      <c r="E86" s="3">
        <f>'Monthly Data'!CN86</f>
        <v>666.07083333333355</v>
      </c>
      <c r="F86" s="3">
        <f>'Monthly Data'!CW86</f>
        <v>0</v>
      </c>
      <c r="G86" s="3">
        <f>'Monthly Data'!DQ86</f>
        <v>31</v>
      </c>
      <c r="H86" s="3">
        <f>'Monthly Data'!DD86</f>
        <v>238.3</v>
      </c>
      <c r="I86">
        <f>'Monthly Data'!EJ86</f>
        <v>0</v>
      </c>
      <c r="J86">
        <f>'Monthly Data'!EF86</f>
        <v>0</v>
      </c>
      <c r="L86" s="3">
        <f t="shared" si="24"/>
        <v>172054.52120783599</v>
      </c>
      <c r="M86" s="3">
        <f t="shared" si="25"/>
        <v>2560424.3941795873</v>
      </c>
      <c r="N86" s="3">
        <f t="shared" si="26"/>
        <v>0</v>
      </c>
      <c r="O86" s="3">
        <f t="shared" si="27"/>
        <v>4884782.537752077</v>
      </c>
      <c r="P86" s="3">
        <f t="shared" si="28"/>
        <v>0</v>
      </c>
      <c r="Q86" s="3">
        <f t="shared" si="29"/>
        <v>0</v>
      </c>
      <c r="R86" s="3">
        <f t="shared" si="30"/>
        <v>0</v>
      </c>
      <c r="S86" s="47">
        <f t="shared" si="21"/>
        <v>7617261.4531395007</v>
      </c>
      <c r="T86" s="47">
        <f ca="1">'Monthly Data'!BL86+'Monthly Data'!BM86</f>
        <v>152250.43578470961</v>
      </c>
      <c r="U86" s="47">
        <f t="shared" ca="1" si="22"/>
        <v>7769511.8889242103</v>
      </c>
      <c r="V86" s="47">
        <f t="shared" ca="1" si="23"/>
        <v>41003.88329863362</v>
      </c>
      <c r="W86" s="18">
        <f t="shared" ca="1" si="31"/>
        <v>5.3055367567435936E-3</v>
      </c>
    </row>
    <row r="87" spans="1:23">
      <c r="A87" s="2">
        <f>'Monthly Data'!A87</f>
        <v>44958</v>
      </c>
      <c r="B87">
        <f>'Monthly Data'!B87</f>
        <v>2023</v>
      </c>
      <c r="C87">
        <f>'Monthly Data'!C87</f>
        <v>2</v>
      </c>
      <c r="D87" s="3">
        <f ca="1">'Monthly Data'!BK87</f>
        <v>7143689.5804435685</v>
      </c>
      <c r="E87" s="3">
        <f>'Monthly Data'!CN87</f>
        <v>629.43333333333328</v>
      </c>
      <c r="F87" s="3">
        <f>'Monthly Data'!CW87</f>
        <v>0</v>
      </c>
      <c r="G87" s="3">
        <f>'Monthly Data'!DQ87</f>
        <v>28</v>
      </c>
      <c r="H87" s="3">
        <f>'Monthly Data'!DD87</f>
        <v>238.8</v>
      </c>
      <c r="I87">
        <f>'Monthly Data'!EJ87</f>
        <v>0</v>
      </c>
      <c r="J87">
        <f>'Monthly Data'!EF87</f>
        <v>0</v>
      </c>
      <c r="L87" s="3">
        <f t="shared" si="24"/>
        <v>172054.52120783599</v>
      </c>
      <c r="M87" s="3">
        <f t="shared" si="25"/>
        <v>2419587.1978227105</v>
      </c>
      <c r="N87" s="3">
        <f t="shared" si="26"/>
        <v>0</v>
      </c>
      <c r="O87" s="3">
        <f t="shared" si="27"/>
        <v>4412061.6470018765</v>
      </c>
      <c r="P87" s="3">
        <f t="shared" si="28"/>
        <v>0</v>
      </c>
      <c r="Q87" s="3">
        <f t="shared" si="29"/>
        <v>0</v>
      </c>
      <c r="R87" s="3">
        <f t="shared" si="30"/>
        <v>0</v>
      </c>
      <c r="S87" s="47">
        <f t="shared" si="21"/>
        <v>7003703.3660324235</v>
      </c>
      <c r="T87" s="47">
        <f ca="1">'Monthly Data'!BL87+'Monthly Data'!BM87</f>
        <v>147073.02336014042</v>
      </c>
      <c r="U87" s="47">
        <f t="shared" ca="1" si="22"/>
        <v>7150776.3893925641</v>
      </c>
      <c r="V87" s="47">
        <f t="shared" ca="1" si="23"/>
        <v>7086.8089489955455</v>
      </c>
      <c r="W87" s="18">
        <f t="shared" ca="1" si="31"/>
        <v>9.9203763954081405E-4</v>
      </c>
    </row>
    <row r="88" spans="1:23">
      <c r="A88" s="2">
        <f>'Monthly Data'!A88</f>
        <v>44986</v>
      </c>
      <c r="B88">
        <f>'Monthly Data'!B88</f>
        <v>2023</v>
      </c>
      <c r="C88">
        <f>'Monthly Data'!C88</f>
        <v>3</v>
      </c>
      <c r="D88" s="3">
        <f ca="1">'Monthly Data'!BK88</f>
        <v>7471803.6804959085</v>
      </c>
      <c r="E88" s="3">
        <f>'Monthly Data'!CN88</f>
        <v>613.0333333333333</v>
      </c>
      <c r="F88" s="3">
        <f>'Monthly Data'!CW88</f>
        <v>0</v>
      </c>
      <c r="G88" s="3">
        <f>'Monthly Data'!DQ88</f>
        <v>31</v>
      </c>
      <c r="H88" s="3">
        <f>'Monthly Data'!DD88</f>
        <v>235.9</v>
      </c>
      <c r="I88">
        <f>'Monthly Data'!EJ88</f>
        <v>0</v>
      </c>
      <c r="J88">
        <f>'Monthly Data'!EF88</f>
        <v>0</v>
      </c>
      <c r="L88" s="3">
        <f t="shared" si="24"/>
        <v>172054.52120783599</v>
      </c>
      <c r="M88" s="3">
        <f t="shared" si="25"/>
        <v>2356544.4132371694</v>
      </c>
      <c r="N88" s="3">
        <f t="shared" si="26"/>
        <v>0</v>
      </c>
      <c r="O88" s="3">
        <f t="shared" si="27"/>
        <v>4884782.537752077</v>
      </c>
      <c r="P88" s="3">
        <f t="shared" si="28"/>
        <v>0</v>
      </c>
      <c r="Q88" s="3">
        <f t="shared" si="29"/>
        <v>0</v>
      </c>
      <c r="R88" s="3">
        <f t="shared" si="30"/>
        <v>0</v>
      </c>
      <c r="S88" s="47">
        <f t="shared" si="21"/>
        <v>7413381.4721970819</v>
      </c>
      <c r="T88" s="47">
        <f ca="1">'Monthly Data'!BL88+'Monthly Data'!BM88</f>
        <v>143605.10973442736</v>
      </c>
      <c r="U88" s="47">
        <f t="shared" ca="1" si="22"/>
        <v>7556986.5819315091</v>
      </c>
      <c r="V88" s="47">
        <f t="shared" ca="1" si="23"/>
        <v>85182.901435600594</v>
      </c>
      <c r="W88" s="18">
        <f t="shared" ca="1" si="31"/>
        <v>1.1400580780509338E-2</v>
      </c>
    </row>
    <row r="89" spans="1:23">
      <c r="A89" s="2">
        <f>'Monthly Data'!A89</f>
        <v>45017</v>
      </c>
      <c r="B89">
        <f>'Monthly Data'!B89</f>
        <v>2023</v>
      </c>
      <c r="C89">
        <f>'Monthly Data'!C89</f>
        <v>4</v>
      </c>
      <c r="D89" s="3">
        <f ca="1">'Monthly Data'!BK89</f>
        <v>6432422.5570070287</v>
      </c>
      <c r="E89" s="3">
        <f>'Monthly Data'!CN89</f>
        <v>361.4</v>
      </c>
      <c r="F89" s="3">
        <f>'Monthly Data'!CW89</f>
        <v>22.716666666666676</v>
      </c>
      <c r="G89" s="3">
        <f>'Monthly Data'!DQ89</f>
        <v>30</v>
      </c>
      <c r="H89" s="3">
        <f>'Monthly Data'!DD89</f>
        <v>233.2</v>
      </c>
      <c r="I89">
        <f>'Monthly Data'!EJ89</f>
        <v>0</v>
      </c>
      <c r="J89">
        <f>'Monthly Data'!EF89</f>
        <v>0</v>
      </c>
      <c r="L89" s="3">
        <f t="shared" si="24"/>
        <v>172054.52120783599</v>
      </c>
      <c r="M89" s="3">
        <f t="shared" si="25"/>
        <v>1389247.7042204007</v>
      </c>
      <c r="N89" s="3">
        <f t="shared" si="26"/>
        <v>221896.94020623638</v>
      </c>
      <c r="O89" s="3">
        <f t="shared" si="27"/>
        <v>4727208.9075020105</v>
      </c>
      <c r="P89" s="3">
        <f t="shared" si="28"/>
        <v>0</v>
      </c>
      <c r="Q89" s="3">
        <f t="shared" si="29"/>
        <v>0</v>
      </c>
      <c r="R89" s="3">
        <f t="shared" si="30"/>
        <v>0</v>
      </c>
      <c r="S89" s="47">
        <f t="shared" si="21"/>
        <v>6510408.0731364833</v>
      </c>
      <c r="T89" s="47">
        <f ca="1">'Monthly Data'!BL89+'Monthly Data'!BM89</f>
        <v>92980.278306784894</v>
      </c>
      <c r="U89" s="47">
        <f t="shared" ca="1" si="22"/>
        <v>6603388.3514432684</v>
      </c>
      <c r="V89" s="47">
        <f t="shared" ca="1" si="23"/>
        <v>170965.79443623964</v>
      </c>
      <c r="W89" s="18">
        <f t="shared" ca="1" si="31"/>
        <v>2.6578756746943114E-2</v>
      </c>
    </row>
    <row r="90" spans="1:23">
      <c r="A90" s="2">
        <f>'Monthly Data'!A90</f>
        <v>45047</v>
      </c>
      <c r="B90">
        <f>'Monthly Data'!B90</f>
        <v>2023</v>
      </c>
      <c r="C90">
        <f>'Monthly Data'!C90</f>
        <v>5</v>
      </c>
      <c r="D90" s="3">
        <f ca="1">'Monthly Data'!BK90</f>
        <v>6592308.7806675304</v>
      </c>
      <c r="E90" s="3">
        <f>'Monthly Data'!CN90</f>
        <v>219.04750000000001</v>
      </c>
      <c r="F90" s="3">
        <f>'Monthly Data'!CW90</f>
        <v>68.049999999999983</v>
      </c>
      <c r="G90" s="3">
        <f>'Monthly Data'!DQ90</f>
        <v>31</v>
      </c>
      <c r="H90" s="3">
        <f>'Monthly Data'!DD90</f>
        <v>230.7</v>
      </c>
      <c r="I90">
        <f>'Monthly Data'!EJ90</f>
        <v>0</v>
      </c>
      <c r="J90">
        <f>'Monthly Data'!EF90</f>
        <v>0</v>
      </c>
      <c r="L90" s="3">
        <f t="shared" si="24"/>
        <v>172054.52120783599</v>
      </c>
      <c r="M90" s="3">
        <f t="shared" si="25"/>
        <v>842034.41198178823</v>
      </c>
      <c r="N90" s="3">
        <f t="shared" si="26"/>
        <v>664714.01824069151</v>
      </c>
      <c r="O90" s="3">
        <f t="shared" si="27"/>
        <v>4884782.537752077</v>
      </c>
      <c r="P90" s="3">
        <f t="shared" si="28"/>
        <v>0</v>
      </c>
      <c r="Q90" s="3">
        <f t="shared" si="29"/>
        <v>0</v>
      </c>
      <c r="R90" s="3">
        <f t="shared" si="30"/>
        <v>0</v>
      </c>
      <c r="S90" s="47">
        <f t="shared" si="21"/>
        <v>6563585.4891823921</v>
      </c>
      <c r="T90" s="47">
        <f ca="1">'Monthly Data'!BL90+'Monthly Data'!BM90</f>
        <v>65556.380653359258</v>
      </c>
      <c r="U90" s="47">
        <f t="shared" ca="1" si="22"/>
        <v>6629141.8698357511</v>
      </c>
      <c r="V90" s="47">
        <f t="shared" ca="1" si="23"/>
        <v>36833.089168220758</v>
      </c>
      <c r="W90" s="18">
        <f t="shared" ca="1" si="31"/>
        <v>5.5872821485905997E-3</v>
      </c>
    </row>
    <row r="91" spans="1:23">
      <c r="A91" s="2">
        <f>'Monthly Data'!A91</f>
        <v>45078</v>
      </c>
      <c r="B91">
        <f>'Monthly Data'!B91</f>
        <v>2023</v>
      </c>
      <c r="C91">
        <f>'Monthly Data'!C91</f>
        <v>6</v>
      </c>
      <c r="D91" s="3">
        <f ca="1">'Monthly Data'!BK91</f>
        <v>6957449.2311981851</v>
      </c>
      <c r="E91" s="3">
        <f>'Monthly Data'!CN91</f>
        <v>55.599999999999994</v>
      </c>
      <c r="F91" s="3">
        <f>'Monthly Data'!CW91</f>
        <v>205.54166666666669</v>
      </c>
      <c r="G91" s="3">
        <f>'Monthly Data'!DQ91</f>
        <v>30</v>
      </c>
      <c r="H91" s="3">
        <f>'Monthly Data'!DD91</f>
        <v>232.3</v>
      </c>
      <c r="I91">
        <f>'Monthly Data'!EJ91</f>
        <v>0</v>
      </c>
      <c r="J91">
        <f>'Monthly Data'!EF91</f>
        <v>0</v>
      </c>
      <c r="L91" s="3">
        <f t="shared" si="24"/>
        <v>172054.52120783599</v>
      </c>
      <c r="M91" s="3">
        <f t="shared" si="25"/>
        <v>213730.41603390779</v>
      </c>
      <c r="N91" s="3">
        <f t="shared" si="26"/>
        <v>2007735.8878161476</v>
      </c>
      <c r="O91" s="3">
        <f t="shared" si="27"/>
        <v>4727208.9075020105</v>
      </c>
      <c r="P91" s="3">
        <f t="shared" si="28"/>
        <v>0</v>
      </c>
      <c r="Q91" s="3">
        <f t="shared" si="29"/>
        <v>0</v>
      </c>
      <c r="R91" s="3">
        <f t="shared" si="30"/>
        <v>0</v>
      </c>
      <c r="S91" s="47">
        <f t="shared" si="21"/>
        <v>7120729.7325599017</v>
      </c>
      <c r="T91" s="47">
        <f ca="1">'Monthly Data'!BL91+'Monthly Data'!BM91</f>
        <v>37242.886457564804</v>
      </c>
      <c r="U91" s="47">
        <f t="shared" ca="1" si="22"/>
        <v>7157972.6190174669</v>
      </c>
      <c r="V91" s="47">
        <f t="shared" ca="1" si="23"/>
        <v>200523.38781928178</v>
      </c>
      <c r="W91" s="18">
        <f t="shared" ca="1" si="31"/>
        <v>2.8821394329419839E-2</v>
      </c>
    </row>
    <row r="92" spans="1:23">
      <c r="A92" s="2">
        <f>'Monthly Data'!A92</f>
        <v>45108</v>
      </c>
      <c r="B92">
        <f>'Monthly Data'!B92</f>
        <v>2023</v>
      </c>
      <c r="C92">
        <f>'Monthly Data'!C92</f>
        <v>7</v>
      </c>
      <c r="D92" s="3">
        <f ca="1">'Monthly Data'!BK92</f>
        <v>7513000.1401849054</v>
      </c>
      <c r="E92" s="3">
        <f>'Monthly Data'!CN92</f>
        <v>7.3166666666666593</v>
      </c>
      <c r="F92" s="3">
        <f>'Monthly Data'!CW92</f>
        <v>285.78333333333342</v>
      </c>
      <c r="G92" s="3">
        <f>'Monthly Data'!DQ92</f>
        <v>31</v>
      </c>
      <c r="H92" s="3">
        <f>'Monthly Data'!DD92</f>
        <v>234.3</v>
      </c>
      <c r="I92">
        <f>'Monthly Data'!EJ92</f>
        <v>0</v>
      </c>
      <c r="J92">
        <f>'Monthly Data'!EF92</f>
        <v>0</v>
      </c>
      <c r="L92" s="3">
        <f t="shared" si="24"/>
        <v>172054.52120783599</v>
      </c>
      <c r="M92" s="3">
        <f t="shared" si="25"/>
        <v>28125.795155541196</v>
      </c>
      <c r="N92" s="3">
        <f t="shared" si="26"/>
        <v>2791538.3959767679</v>
      </c>
      <c r="O92" s="3">
        <f t="shared" si="27"/>
        <v>4884782.537752077</v>
      </c>
      <c r="P92" s="3">
        <f t="shared" si="28"/>
        <v>0</v>
      </c>
      <c r="Q92" s="3">
        <f t="shared" si="29"/>
        <v>0</v>
      </c>
      <c r="R92" s="3">
        <f t="shared" si="30"/>
        <v>0</v>
      </c>
      <c r="S92" s="47">
        <f t="shared" si="21"/>
        <v>7876501.2500922214</v>
      </c>
      <c r="T92" s="47">
        <f ca="1">'Monthly Data'!BL92+'Monthly Data'!BM92</f>
        <v>33999.793108888916</v>
      </c>
      <c r="U92" s="47">
        <f t="shared" ca="1" si="22"/>
        <v>7910501.0432011103</v>
      </c>
      <c r="V92" s="47">
        <f t="shared" ca="1" si="23"/>
        <v>397500.90301620495</v>
      </c>
      <c r="W92" s="18">
        <f t="shared" ca="1" si="31"/>
        <v>5.2908411499965967E-2</v>
      </c>
    </row>
    <row r="93" spans="1:23">
      <c r="A93" s="2">
        <f>'Monthly Data'!A93</f>
        <v>45139</v>
      </c>
      <c r="B93">
        <f>'Monthly Data'!B93</f>
        <v>2023</v>
      </c>
      <c r="C93">
        <f>'Monthly Data'!C93</f>
        <v>8</v>
      </c>
      <c r="D93" s="3">
        <f ca="1">'Monthly Data'!BK93</f>
        <v>7248982.599420324</v>
      </c>
      <c r="E93" s="3">
        <f>'Monthly Data'!CN93</f>
        <v>32.211775362318839</v>
      </c>
      <c r="F93" s="3">
        <f>'Monthly Data'!CW93</f>
        <v>227.80489130434788</v>
      </c>
      <c r="G93" s="3">
        <f>'Monthly Data'!DQ93</f>
        <v>31</v>
      </c>
      <c r="H93" s="3">
        <f>'Monthly Data'!DD93</f>
        <v>237</v>
      </c>
      <c r="I93">
        <f>'Monthly Data'!EJ93</f>
        <v>0</v>
      </c>
      <c r="J93">
        <f>'Monthly Data'!EF93</f>
        <v>0</v>
      </c>
      <c r="L93" s="3">
        <f t="shared" si="24"/>
        <v>172054.52120783599</v>
      </c>
      <c r="M93" s="3">
        <f t="shared" si="25"/>
        <v>123824.39117588465</v>
      </c>
      <c r="N93" s="3">
        <f t="shared" si="26"/>
        <v>2225203.5955003244</v>
      </c>
      <c r="O93" s="3">
        <f t="shared" si="27"/>
        <v>4884782.537752077</v>
      </c>
      <c r="P93" s="3">
        <f t="shared" si="28"/>
        <v>0</v>
      </c>
      <c r="Q93" s="3">
        <f t="shared" si="29"/>
        <v>0</v>
      </c>
      <c r="R93" s="3">
        <f t="shared" si="30"/>
        <v>0</v>
      </c>
      <c r="S93" s="47">
        <f t="shared" si="21"/>
        <v>7405865.0456361221</v>
      </c>
      <c r="T93" s="47">
        <f ca="1">'Monthly Data'!BL93+'Monthly Data'!BM93</f>
        <v>37079.337705198115</v>
      </c>
      <c r="U93" s="47">
        <f t="shared" ca="1" si="22"/>
        <v>7442944.3833413199</v>
      </c>
      <c r="V93" s="47">
        <f t="shared" ca="1" si="23"/>
        <v>193961.78392099589</v>
      </c>
      <c r="W93" s="18">
        <f t="shared" ca="1" si="31"/>
        <v>2.6757104360618324E-2</v>
      </c>
    </row>
    <row r="94" spans="1:23">
      <c r="A94" s="2">
        <f>'Monthly Data'!A94</f>
        <v>45170</v>
      </c>
      <c r="B94">
        <f>'Monthly Data'!B94</f>
        <v>2023</v>
      </c>
      <c r="C94">
        <f>'Monthly Data'!C94</f>
        <v>9</v>
      </c>
      <c r="D94" s="3">
        <f ca="1">'Monthly Data'!BK94</f>
        <v>8534990.1360041276</v>
      </c>
      <c r="E94" s="3">
        <f>'Monthly Data'!CN94</f>
        <v>95.22083333333336</v>
      </c>
      <c r="F94" s="3">
        <f>'Monthly Data'!CW94</f>
        <v>162.99166666666662</v>
      </c>
      <c r="G94" s="3">
        <f>'Monthly Data'!DQ94</f>
        <v>30</v>
      </c>
      <c r="H94" s="3">
        <f>'Monthly Data'!DD94</f>
        <v>236.7</v>
      </c>
      <c r="I94">
        <f>'Monthly Data'!EJ94</f>
        <v>0</v>
      </c>
      <c r="J94">
        <f>'Monthly Data'!EF94</f>
        <v>1</v>
      </c>
      <c r="L94" s="3">
        <f t="shared" si="24"/>
        <v>172054.52120783599</v>
      </c>
      <c r="M94" s="3">
        <f t="shared" si="25"/>
        <v>366035.76121274702</v>
      </c>
      <c r="N94" s="3">
        <f t="shared" si="26"/>
        <v>1592106.4759698366</v>
      </c>
      <c r="O94" s="3">
        <f t="shared" si="27"/>
        <v>4727208.9075020105</v>
      </c>
      <c r="P94" s="3">
        <f t="shared" si="28"/>
        <v>0</v>
      </c>
      <c r="Q94" s="3">
        <f t="shared" si="29"/>
        <v>0</v>
      </c>
      <c r="R94" s="3">
        <f t="shared" si="30"/>
        <v>188541.63990907301</v>
      </c>
      <c r="S94" s="47">
        <f t="shared" si="21"/>
        <v>7045947.3058015024</v>
      </c>
      <c r="T94" s="47">
        <f ca="1">'Monthly Data'!BL94+'Monthly Data'!BM94</f>
        <v>46211.735914047764</v>
      </c>
      <c r="U94" s="47">
        <f t="shared" ca="1" si="22"/>
        <v>7092159.0417155502</v>
      </c>
      <c r="V94" s="47">
        <f t="shared" ca="1" si="23"/>
        <v>-1442831.0942885773</v>
      </c>
      <c r="W94" s="18">
        <f t="shared" ca="1" si="31"/>
        <v>0.16904894689943664</v>
      </c>
    </row>
    <row r="95" spans="1:23">
      <c r="A95" s="2">
        <f>'Monthly Data'!A95</f>
        <v>45200</v>
      </c>
      <c r="B95">
        <f>'Monthly Data'!B95</f>
        <v>2023</v>
      </c>
      <c r="C95">
        <f>'Monthly Data'!C95</f>
        <v>10</v>
      </c>
      <c r="D95" s="3">
        <f ca="1">'Monthly Data'!BK95</f>
        <v>8387381.0514955521</v>
      </c>
      <c r="E95" s="3">
        <f>'Monthly Data'!CN95</f>
        <v>261.85000000000002</v>
      </c>
      <c r="F95" s="3">
        <f>'Monthly Data'!CW95</f>
        <v>54.625</v>
      </c>
      <c r="G95" s="3">
        <f>'Monthly Data'!DQ95</f>
        <v>31</v>
      </c>
      <c r="H95" s="3">
        <f>'Monthly Data'!DD95</f>
        <v>235.3</v>
      </c>
      <c r="I95">
        <f>'Monthly Data'!EJ95</f>
        <v>0</v>
      </c>
      <c r="J95">
        <f>'Monthly Data'!EF95</f>
        <v>1</v>
      </c>
      <c r="L95" s="3">
        <f t="shared" si="24"/>
        <v>172054.52120783599</v>
      </c>
      <c r="M95" s="3">
        <f t="shared" si="25"/>
        <v>1006570.3136417044</v>
      </c>
      <c r="N95" s="3">
        <f t="shared" si="26"/>
        <v>533578.29899188515</v>
      </c>
      <c r="O95" s="3">
        <f t="shared" si="27"/>
        <v>4884782.537752077</v>
      </c>
      <c r="P95" s="3">
        <f t="shared" si="28"/>
        <v>0</v>
      </c>
      <c r="Q95" s="3">
        <f t="shared" si="29"/>
        <v>0</v>
      </c>
      <c r="R95" s="3">
        <f t="shared" si="30"/>
        <v>188541.63990907301</v>
      </c>
      <c r="S95" s="47">
        <f t="shared" si="21"/>
        <v>6785527.3115025749</v>
      </c>
      <c r="T95" s="47">
        <f ca="1">'Monthly Data'!BL95+'Monthly Data'!BM95</f>
        <v>80505.846590228</v>
      </c>
      <c r="U95" s="47">
        <f t="shared" ca="1" si="22"/>
        <v>6866033.1580928033</v>
      </c>
      <c r="V95" s="47">
        <f t="shared" ca="1" si="23"/>
        <v>-1521347.8934027487</v>
      </c>
      <c r="W95" s="18">
        <f t="shared" ca="1" si="31"/>
        <v>0.18138533161450648</v>
      </c>
    </row>
    <row r="96" spans="1:23">
      <c r="A96" s="2">
        <f>'Monthly Data'!A96</f>
        <v>45231</v>
      </c>
      <c r="B96">
        <f>'Monthly Data'!B96</f>
        <v>2023</v>
      </c>
      <c r="C96">
        <f>'Monthly Data'!C96</f>
        <v>11</v>
      </c>
      <c r="D96" s="3">
        <f ca="1">'Monthly Data'!BK96</f>
        <v>6975082.2624527905</v>
      </c>
      <c r="E96" s="3">
        <f>'Monthly Data'!CN96</f>
        <v>510.59311594202899</v>
      </c>
      <c r="F96" s="3">
        <f>'Monthly Data'!CW96</f>
        <v>0</v>
      </c>
      <c r="G96" s="3">
        <f>'Monthly Data'!DQ96</f>
        <v>30</v>
      </c>
      <c r="H96" s="3">
        <f>'Monthly Data'!DD96</f>
        <v>236.9</v>
      </c>
      <c r="I96">
        <f>'Monthly Data'!EJ96</f>
        <v>0</v>
      </c>
      <c r="J96">
        <f>'Monthly Data'!EF96</f>
        <v>1</v>
      </c>
      <c r="L96" s="3">
        <f t="shared" si="24"/>
        <v>172054.52120783599</v>
      </c>
      <c r="M96" s="3">
        <f t="shared" si="25"/>
        <v>1962756.8182435103</v>
      </c>
      <c r="N96" s="3">
        <f t="shared" si="26"/>
        <v>0</v>
      </c>
      <c r="O96" s="3">
        <f t="shared" si="27"/>
        <v>4727208.9075020105</v>
      </c>
      <c r="P96" s="3">
        <f t="shared" si="28"/>
        <v>0</v>
      </c>
      <c r="Q96" s="3">
        <f t="shared" si="29"/>
        <v>0</v>
      </c>
      <c r="R96" s="3">
        <f t="shared" si="30"/>
        <v>188541.63990907301</v>
      </c>
      <c r="S96" s="47">
        <f t="shared" si="21"/>
        <v>7050561.8868624298</v>
      </c>
      <c r="T96" s="47">
        <f ca="1">'Monthly Data'!BL96+'Monthly Data'!BM96</f>
        <v>132206.53563224053</v>
      </c>
      <c r="U96" s="47">
        <f t="shared" ca="1" si="22"/>
        <v>7182768.4224946704</v>
      </c>
      <c r="V96" s="47">
        <f t="shared" ca="1" si="23"/>
        <v>207686.16004187986</v>
      </c>
      <c r="W96" s="18">
        <f t="shared" ca="1" si="31"/>
        <v>2.9775442385800183E-2</v>
      </c>
    </row>
    <row r="97" spans="1:23">
      <c r="A97" s="2">
        <f>'Monthly Data'!A97</f>
        <v>45261</v>
      </c>
      <c r="B97">
        <f>'Monthly Data'!B97</f>
        <v>2023</v>
      </c>
      <c r="C97">
        <f>'Monthly Data'!C97</f>
        <v>12</v>
      </c>
      <c r="D97" s="3">
        <f ca="1">'Monthly Data'!BK97</f>
        <v>7297574.1161209811</v>
      </c>
      <c r="E97" s="3">
        <f>'Monthly Data'!CN97</f>
        <v>551.67916666666667</v>
      </c>
      <c r="F97" s="3">
        <f>'Monthly Data'!CW97</f>
        <v>0</v>
      </c>
      <c r="G97" s="3">
        <f>'Monthly Data'!DQ97</f>
        <v>31</v>
      </c>
      <c r="H97" s="3">
        <f>'Monthly Data'!DD97</f>
        <v>239.3</v>
      </c>
      <c r="I97">
        <f>'Monthly Data'!EJ97</f>
        <v>0</v>
      </c>
      <c r="J97">
        <f>'Monthly Data'!EF97</f>
        <v>0</v>
      </c>
      <c r="L97" s="3">
        <f t="shared" si="24"/>
        <v>172054.52120783599</v>
      </c>
      <c r="M97" s="3">
        <f t="shared" si="25"/>
        <v>2120694.5649083853</v>
      </c>
      <c r="N97" s="3">
        <f t="shared" si="26"/>
        <v>0</v>
      </c>
      <c r="O97" s="3">
        <f t="shared" si="27"/>
        <v>4884782.537752077</v>
      </c>
      <c r="P97" s="3">
        <f t="shared" si="28"/>
        <v>0</v>
      </c>
      <c r="Q97" s="3">
        <f t="shared" si="29"/>
        <v>0</v>
      </c>
      <c r="R97" s="3">
        <f t="shared" si="30"/>
        <v>0</v>
      </c>
      <c r="S97" s="47">
        <f t="shared" si="21"/>
        <v>7177531.6238682978</v>
      </c>
      <c r="T97" s="47">
        <f ca="1">'Monthly Data'!BL97+'Monthly Data'!BM97</f>
        <v>141498.60135222343</v>
      </c>
      <c r="U97" s="47">
        <f t="shared" ca="1" si="22"/>
        <v>7319030.225220521</v>
      </c>
      <c r="V97" s="47">
        <f t="shared" ca="1" si="23"/>
        <v>21456.109099539928</v>
      </c>
      <c r="W97" s="18">
        <f t="shared" ca="1" si="31"/>
        <v>2.940170083664036E-3</v>
      </c>
    </row>
    <row r="98" spans="1:23">
      <c r="A98" s="2">
        <f>'Monthly Data'!A98</f>
        <v>45292</v>
      </c>
      <c r="B98">
        <f>'Monthly Data'!B98</f>
        <v>2024</v>
      </c>
      <c r="C98">
        <f>'Monthly Data'!C98</f>
        <v>1</v>
      </c>
      <c r="D98" s="3">
        <f ca="1">'Monthly Data'!BK98</f>
        <v>8325769.1627903711</v>
      </c>
      <c r="E98" s="3">
        <f>'Monthly Data'!CN98</f>
        <v>698.99583333333328</v>
      </c>
      <c r="F98" s="3">
        <f>'Monthly Data'!CW98</f>
        <v>0</v>
      </c>
      <c r="G98" s="3">
        <f>'Monthly Data'!DQ98</f>
        <v>31</v>
      </c>
      <c r="H98" s="3">
        <f>'Monthly Data'!DD98</f>
        <v>241.4</v>
      </c>
      <c r="I98">
        <f>'Monthly Data'!EJ98</f>
        <v>0</v>
      </c>
      <c r="J98">
        <f>'Monthly Data'!EF98</f>
        <v>0</v>
      </c>
      <c r="L98" s="3">
        <f t="shared" ref="L98:L121" si="32">$AA$8</f>
        <v>172054.52120783599</v>
      </c>
      <c r="M98" s="3">
        <f t="shared" ref="M98:M121" si="33">E98*$AA$9</f>
        <v>2686990.4723795215</v>
      </c>
      <c r="N98" s="3">
        <f t="shared" ref="N98:N121" si="34">F98*$AA$10</f>
        <v>0</v>
      </c>
      <c r="O98" s="3">
        <f t="shared" ref="O98:O121" si="35">G98*$AA$11</f>
        <v>4884782.537752077</v>
      </c>
      <c r="P98" s="3">
        <f t="shared" ref="P98:P121" si="36">H98*$AA$12</f>
        <v>0</v>
      </c>
      <c r="Q98" s="3">
        <f t="shared" ref="Q98:Q121" si="37">I98*$AA$13</f>
        <v>0</v>
      </c>
      <c r="R98" s="3">
        <f t="shared" ref="R98:R121" si="38">J98*$AA$14</f>
        <v>0</v>
      </c>
      <c r="S98" s="47">
        <f t="shared" ref="S98:S109" si="39">SUM(L98:R98)</f>
        <v>7743827.5313394349</v>
      </c>
      <c r="T98" s="47">
        <f ca="1">'Monthly Data'!BL98+'Monthly Data'!BM98</f>
        <v>213244.33791539818</v>
      </c>
      <c r="U98" s="47">
        <f t="shared" ca="1" si="22"/>
        <v>7957071.8692548331</v>
      </c>
      <c r="V98" s="47">
        <f t="shared" ca="1" si="23"/>
        <v>-368697.29353553802</v>
      </c>
      <c r="W98" s="18">
        <f t="shared" ref="W98:W109" ca="1" si="40">ABS(V98/D98)</f>
        <v>4.4283871715219351E-2</v>
      </c>
    </row>
    <row r="99" spans="1:23">
      <c r="A99" s="2">
        <f>'Monthly Data'!A99</f>
        <v>45323</v>
      </c>
      <c r="B99">
        <f>'Monthly Data'!B99</f>
        <v>2024</v>
      </c>
      <c r="C99">
        <f>'Monthly Data'!C99</f>
        <v>2</v>
      </c>
      <c r="D99" s="3">
        <f ca="1">'Monthly Data'!BK99</f>
        <v>7123750.3193476247</v>
      </c>
      <c r="E99" s="3">
        <f>'Monthly Data'!CN99</f>
        <v>600.96666666666647</v>
      </c>
      <c r="F99" s="3">
        <f>'Monthly Data'!CW99</f>
        <v>0</v>
      </c>
      <c r="G99" s="3">
        <f>'Monthly Data'!DQ99</f>
        <v>29</v>
      </c>
      <c r="H99" s="3">
        <f>'Monthly Data'!DD99</f>
        <v>242.5</v>
      </c>
      <c r="I99">
        <f>'Monthly Data'!EJ99</f>
        <v>0</v>
      </c>
      <c r="J99">
        <f>'Monthly Data'!EF99</f>
        <v>0</v>
      </c>
      <c r="L99" s="3">
        <f t="shared" si="32"/>
        <v>172054.52120783599</v>
      </c>
      <c r="M99" s="3">
        <f t="shared" si="33"/>
        <v>2310159.2749852054</v>
      </c>
      <c r="N99" s="3">
        <f t="shared" si="34"/>
        <v>0</v>
      </c>
      <c r="O99" s="3">
        <f t="shared" si="35"/>
        <v>4569635.277251943</v>
      </c>
      <c r="P99" s="3">
        <f t="shared" si="36"/>
        <v>0</v>
      </c>
      <c r="Q99" s="3">
        <f t="shared" si="37"/>
        <v>0</v>
      </c>
      <c r="R99" s="3">
        <f t="shared" si="38"/>
        <v>0</v>
      </c>
      <c r="S99" s="47">
        <f t="shared" si="39"/>
        <v>7051849.0734449849</v>
      </c>
      <c r="T99" s="47">
        <f ca="1">'Monthly Data'!BL99+'Monthly Data'!BM99</f>
        <v>190073.67742974596</v>
      </c>
      <c r="U99" s="47">
        <f t="shared" ca="1" si="22"/>
        <v>7241922.7508747308</v>
      </c>
      <c r="V99" s="47">
        <f t="shared" ca="1" si="23"/>
        <v>118172.43152710609</v>
      </c>
      <c r="W99" s="18">
        <f t="shared" ca="1" si="40"/>
        <v>1.6588513946952599E-2</v>
      </c>
    </row>
    <row r="100" spans="1:23">
      <c r="A100" s="2">
        <f>'Monthly Data'!A100</f>
        <v>45352</v>
      </c>
      <c r="B100">
        <f>'Monthly Data'!B100</f>
        <v>2024</v>
      </c>
      <c r="C100">
        <f>'Monthly Data'!C100</f>
        <v>3</v>
      </c>
      <c r="D100" s="3">
        <f ca="1">'Monthly Data'!BK100</f>
        <v>7110362.5255698962</v>
      </c>
      <c r="E100" s="3">
        <f>'Monthly Data'!CN100</f>
        <v>522.11249999999995</v>
      </c>
      <c r="F100" s="3">
        <f>'Monthly Data'!CW100</f>
        <v>0</v>
      </c>
      <c r="G100" s="3">
        <f>'Monthly Data'!DQ100</f>
        <v>31</v>
      </c>
      <c r="H100" s="3">
        <f>'Monthly Data'!DD100</f>
        <v>243.6</v>
      </c>
      <c r="I100">
        <f>'Monthly Data'!EJ100</f>
        <v>0</v>
      </c>
      <c r="J100">
        <f>'Monthly Data'!EF100</f>
        <v>0</v>
      </c>
      <c r="L100" s="3">
        <f t="shared" si="32"/>
        <v>172054.52120783599</v>
      </c>
      <c r="M100" s="3">
        <f t="shared" si="33"/>
        <v>2007038.1626169726</v>
      </c>
      <c r="N100" s="3">
        <f t="shared" si="34"/>
        <v>0</v>
      </c>
      <c r="O100" s="3">
        <f t="shared" si="35"/>
        <v>4884782.537752077</v>
      </c>
      <c r="P100" s="3">
        <f t="shared" si="36"/>
        <v>0</v>
      </c>
      <c r="Q100" s="3">
        <f t="shared" si="37"/>
        <v>0</v>
      </c>
      <c r="R100" s="3">
        <f t="shared" si="38"/>
        <v>0</v>
      </c>
      <c r="S100" s="47">
        <f t="shared" si="39"/>
        <v>7063875.2215768853</v>
      </c>
      <c r="T100" s="47">
        <f ca="1">'Monthly Data'!BL100+'Monthly Data'!BM100</f>
        <v>169889.39271938428</v>
      </c>
      <c r="U100" s="47">
        <f t="shared" ca="1" si="22"/>
        <v>7233764.6142962696</v>
      </c>
      <c r="V100" s="47">
        <f t="shared" ca="1" si="23"/>
        <v>123402.08872637339</v>
      </c>
      <c r="W100" s="18">
        <f t="shared" ca="1" si="40"/>
        <v>1.7355245711115512E-2</v>
      </c>
    </row>
    <row r="101" spans="1:23">
      <c r="A101" s="2">
        <f>'Monthly Data'!A101</f>
        <v>45383</v>
      </c>
      <c r="B101">
        <f>'Monthly Data'!B101</f>
        <v>2024</v>
      </c>
      <c r="C101">
        <f>'Monthly Data'!C101</f>
        <v>4</v>
      </c>
      <c r="D101" s="3">
        <f ca="1">'Monthly Data'!BK101</f>
        <v>6544481.1552796438</v>
      </c>
      <c r="E101" s="3">
        <f>'Monthly Data'!CN101</f>
        <v>368.29791666666671</v>
      </c>
      <c r="F101" s="3">
        <f>'Monthly Data'!CW101</f>
        <v>2.3833333333333346</v>
      </c>
      <c r="G101" s="3">
        <f>'Monthly Data'!DQ101</f>
        <v>30</v>
      </c>
      <c r="H101" s="3">
        <f>'Monthly Data'!DD101</f>
        <v>247</v>
      </c>
      <c r="I101">
        <f>'Monthly Data'!EJ101</f>
        <v>0</v>
      </c>
      <c r="J101">
        <f>'Monthly Data'!EF101</f>
        <v>0</v>
      </c>
      <c r="L101" s="3">
        <f t="shared" si="32"/>
        <v>172054.52120783599</v>
      </c>
      <c r="M101" s="3">
        <f t="shared" si="33"/>
        <v>1415763.7941292839</v>
      </c>
      <c r="N101" s="3">
        <f t="shared" si="34"/>
        <v>23280.456676076159</v>
      </c>
      <c r="O101" s="3">
        <f t="shared" si="35"/>
        <v>4727208.9075020105</v>
      </c>
      <c r="P101" s="3">
        <f t="shared" si="36"/>
        <v>0</v>
      </c>
      <c r="Q101" s="3">
        <f t="shared" si="37"/>
        <v>0</v>
      </c>
      <c r="R101" s="3">
        <f t="shared" si="38"/>
        <v>0</v>
      </c>
      <c r="S101" s="47">
        <f t="shared" si="39"/>
        <v>6338307.6795152063</v>
      </c>
      <c r="T101" s="47">
        <f ca="1">'Monthly Data'!BL101+'Monthly Data'!BM101</f>
        <v>131276.31894528455</v>
      </c>
      <c r="U101" s="47">
        <f t="shared" ca="1" si="22"/>
        <v>6469583.9984604912</v>
      </c>
      <c r="V101" s="47">
        <f t="shared" ca="1" si="23"/>
        <v>-74897.156819152646</v>
      </c>
      <c r="W101" s="18">
        <f t="shared" ca="1" si="40"/>
        <v>1.1444323093318207E-2</v>
      </c>
    </row>
    <row r="102" spans="1:23">
      <c r="A102" s="2">
        <f>'Monthly Data'!A102</f>
        <v>45413</v>
      </c>
      <c r="B102">
        <f>'Monthly Data'!B102</f>
        <v>2024</v>
      </c>
      <c r="C102">
        <f>'Monthly Data'!C102</f>
        <v>5</v>
      </c>
      <c r="D102" s="3">
        <f ca="1">'Monthly Data'!BK102</f>
        <v>6961687.9237786168</v>
      </c>
      <c r="E102" s="3">
        <f>'Monthly Data'!CN102</f>
        <v>143.5708333333333</v>
      </c>
      <c r="F102" s="3">
        <f>'Monthly Data'!CW102</f>
        <v>110.05000000000001</v>
      </c>
      <c r="G102" s="3">
        <f>'Monthly Data'!DQ102</f>
        <v>31</v>
      </c>
      <c r="H102" s="3">
        <f>'Monthly Data'!DD102</f>
        <v>248.1</v>
      </c>
      <c r="I102">
        <f>'Monthly Data'!EJ102</f>
        <v>0</v>
      </c>
      <c r="J102">
        <f>'Monthly Data'!EF102</f>
        <v>0</v>
      </c>
      <c r="L102" s="3">
        <f t="shared" si="32"/>
        <v>172054.52120783599</v>
      </c>
      <c r="M102" s="3">
        <f t="shared" si="33"/>
        <v>551896.65357316844</v>
      </c>
      <c r="N102" s="3">
        <f t="shared" si="34"/>
        <v>1074971.0170079079</v>
      </c>
      <c r="O102" s="3">
        <f t="shared" si="35"/>
        <v>4884782.537752077</v>
      </c>
      <c r="P102" s="3">
        <f t="shared" si="36"/>
        <v>0</v>
      </c>
      <c r="Q102" s="3">
        <f t="shared" si="37"/>
        <v>0</v>
      </c>
      <c r="R102" s="3">
        <f t="shared" si="38"/>
        <v>0</v>
      </c>
      <c r="S102" s="47">
        <f t="shared" si="39"/>
        <v>6683704.7295409888</v>
      </c>
      <c r="T102" s="47">
        <f ca="1">'Monthly Data'!BL102+'Monthly Data'!BM102</f>
        <v>74770.600751668404</v>
      </c>
      <c r="U102" s="47">
        <f t="shared" ca="1" si="22"/>
        <v>6758475.330292657</v>
      </c>
      <c r="V102" s="47">
        <f t="shared" ca="1" si="23"/>
        <v>-203212.59348595981</v>
      </c>
      <c r="W102" s="18">
        <f t="shared" ca="1" si="40"/>
        <v>2.9190132581476229E-2</v>
      </c>
    </row>
    <row r="103" spans="1:23">
      <c r="A103" s="2">
        <f>'Monthly Data'!A103</f>
        <v>45444</v>
      </c>
      <c r="B103">
        <f>'Monthly Data'!B103</f>
        <v>2024</v>
      </c>
      <c r="C103">
        <f>'Monthly Data'!C103</f>
        <v>6</v>
      </c>
      <c r="D103" s="3">
        <f ca="1">'Monthly Data'!BK103</f>
        <v>7419767.5397163788</v>
      </c>
      <c r="E103" s="3">
        <f>'Monthly Data'!CN103</f>
        <v>60.86249999999999</v>
      </c>
      <c r="F103" s="3">
        <f>'Monthly Data'!CW103</f>
        <v>204.15416666666667</v>
      </c>
      <c r="G103" s="3">
        <f>'Monthly Data'!DQ103</f>
        <v>30</v>
      </c>
      <c r="H103" s="3">
        <f>'Monthly Data'!DD103</f>
        <v>246.6</v>
      </c>
      <c r="I103">
        <f>'Monthly Data'!EJ103</f>
        <v>0</v>
      </c>
      <c r="J103">
        <f>'Monthly Data'!EF103</f>
        <v>0</v>
      </c>
      <c r="L103" s="3">
        <f t="shared" si="32"/>
        <v>172054.52120783599</v>
      </c>
      <c r="M103" s="3">
        <f t="shared" si="33"/>
        <v>233959.8461486279</v>
      </c>
      <c r="N103" s="3">
        <f t="shared" si="34"/>
        <v>1994182.7548211592</v>
      </c>
      <c r="O103" s="3">
        <f t="shared" si="35"/>
        <v>4727208.9075020105</v>
      </c>
      <c r="P103" s="3">
        <f t="shared" si="36"/>
        <v>0</v>
      </c>
      <c r="Q103" s="3">
        <f t="shared" si="37"/>
        <v>0</v>
      </c>
      <c r="R103" s="3">
        <f t="shared" si="38"/>
        <v>0</v>
      </c>
      <c r="S103" s="47">
        <f t="shared" si="39"/>
        <v>7127406.0296796337</v>
      </c>
      <c r="T103" s="47">
        <f ca="1">'Monthly Data'!BL103+'Monthly Data'!BM103</f>
        <v>61239.408978428546</v>
      </c>
      <c r="U103" s="47">
        <f t="shared" ca="1" si="22"/>
        <v>7188645.4386580624</v>
      </c>
      <c r="V103" s="47">
        <f t="shared" ca="1" si="23"/>
        <v>-231122.10105831642</v>
      </c>
      <c r="W103" s="18">
        <f t="shared" ca="1" si="40"/>
        <v>3.1149507019077188E-2</v>
      </c>
    </row>
    <row r="104" spans="1:23">
      <c r="A104" s="2">
        <f>'Monthly Data'!A104</f>
        <v>45474</v>
      </c>
      <c r="B104">
        <f>'Monthly Data'!B104</f>
        <v>2024</v>
      </c>
      <c r="C104">
        <f>'Monthly Data'!C104</f>
        <v>7</v>
      </c>
      <c r="D104" s="3">
        <f ca="1">'Monthly Data'!BK104</f>
        <v>9087999.898645319</v>
      </c>
      <c r="E104" s="3">
        <f>'Monthly Data'!CN104</f>
        <v>5.5666666666666629</v>
      </c>
      <c r="F104" s="3">
        <f>'Monthly Data'!CW104</f>
        <v>303.14166666666665</v>
      </c>
      <c r="G104" s="3">
        <f>'Monthly Data'!DQ104</f>
        <v>31</v>
      </c>
      <c r="H104" s="3">
        <f>'Monthly Data'!DD104</f>
        <v>242.6</v>
      </c>
      <c r="I104">
        <f>'Monthly Data'!EJ104</f>
        <v>0</v>
      </c>
      <c r="J104">
        <f>'Monthly Data'!EF104</f>
        <v>0</v>
      </c>
      <c r="L104" s="3">
        <f t="shared" si="32"/>
        <v>172054.52120783599</v>
      </c>
      <c r="M104" s="3">
        <f t="shared" si="33"/>
        <v>21398.668751596269</v>
      </c>
      <c r="N104" s="3">
        <f t="shared" si="34"/>
        <v>2961095.0087609161</v>
      </c>
      <c r="O104" s="3">
        <f t="shared" si="35"/>
        <v>4884782.537752077</v>
      </c>
      <c r="P104" s="3">
        <f t="shared" si="36"/>
        <v>0</v>
      </c>
      <c r="Q104" s="3">
        <f t="shared" si="37"/>
        <v>0</v>
      </c>
      <c r="R104" s="3">
        <f t="shared" si="38"/>
        <v>0</v>
      </c>
      <c r="S104" s="47">
        <f t="shared" si="39"/>
        <v>8039330.736472426</v>
      </c>
      <c r="T104" s="47">
        <f ca="1">'Monthly Data'!BL104+'Monthly Data'!BM104</f>
        <v>54847.904554615488</v>
      </c>
      <c r="U104" s="47">
        <f t="shared" ca="1" si="22"/>
        <v>8094178.6410270417</v>
      </c>
      <c r="V104" s="47">
        <f t="shared" ca="1" si="23"/>
        <v>-993821.25761827733</v>
      </c>
      <c r="W104" s="18">
        <f t="shared" ca="1" si="40"/>
        <v>0.10935533326385918</v>
      </c>
    </row>
    <row r="105" spans="1:23">
      <c r="A105" s="2">
        <f>'Monthly Data'!A105</f>
        <v>45505</v>
      </c>
      <c r="B105">
        <f>'Monthly Data'!B105</f>
        <v>2024</v>
      </c>
      <c r="C105">
        <f>'Monthly Data'!C105</f>
        <v>8</v>
      </c>
      <c r="D105" s="3">
        <f ca="1">'Monthly Data'!BK105</f>
        <v>7748010.6502731862</v>
      </c>
      <c r="E105" s="3">
        <f>'Monthly Data'!CN105</f>
        <v>26.975000000000016</v>
      </c>
      <c r="F105" s="3">
        <f>'Monthly Data'!CW105</f>
        <v>262.86666666666667</v>
      </c>
      <c r="G105" s="3">
        <f>'Monthly Data'!DQ105</f>
        <v>31</v>
      </c>
      <c r="H105" s="3">
        <f>'Monthly Data'!DD105</f>
        <v>239.3</v>
      </c>
      <c r="I105">
        <f>'Monthly Data'!EJ105</f>
        <v>0</v>
      </c>
      <c r="J105">
        <f>'Monthly Data'!EF105</f>
        <v>0</v>
      </c>
      <c r="L105" s="3">
        <f t="shared" si="32"/>
        <v>172054.52120783599</v>
      </c>
      <c r="M105" s="3">
        <f t="shared" si="33"/>
        <v>103693.84842652277</v>
      </c>
      <c r="N105" s="3">
        <f t="shared" si="34"/>
        <v>2567687.8510144968</v>
      </c>
      <c r="O105" s="3">
        <f t="shared" si="35"/>
        <v>4884782.537752077</v>
      </c>
      <c r="P105" s="3">
        <f t="shared" si="36"/>
        <v>0</v>
      </c>
      <c r="Q105" s="3">
        <f t="shared" si="37"/>
        <v>0</v>
      </c>
      <c r="R105" s="3">
        <f t="shared" si="38"/>
        <v>0</v>
      </c>
      <c r="S105" s="47">
        <f t="shared" si="39"/>
        <v>7728218.758400932</v>
      </c>
      <c r="T105" s="47">
        <f ca="1">'Monthly Data'!BL105+'Monthly Data'!BM105</f>
        <v>58917.623251180601</v>
      </c>
      <c r="U105" s="47">
        <f t="shared" ca="1" si="22"/>
        <v>7787136.3816521121</v>
      </c>
      <c r="V105" s="47">
        <f t="shared" ca="1" si="23"/>
        <v>39125.731378925964</v>
      </c>
      <c r="W105" s="18">
        <f t="shared" ca="1" si="40"/>
        <v>5.0497776971365465E-3</v>
      </c>
    </row>
    <row r="106" spans="1:23">
      <c r="A106" s="2">
        <f>'Monthly Data'!A106</f>
        <v>45536</v>
      </c>
      <c r="B106">
        <f>'Monthly Data'!B106</f>
        <v>2024</v>
      </c>
      <c r="C106">
        <f>'Monthly Data'!C106</f>
        <v>9</v>
      </c>
      <c r="D106" s="3">
        <f ca="1">'Monthly Data'!BK106</f>
        <v>6968601.0377719486</v>
      </c>
      <c r="E106" s="3">
        <f>'Monthly Data'!CN106</f>
        <v>69.33750000000002</v>
      </c>
      <c r="F106" s="3">
        <f>'Monthly Data'!CW106</f>
        <v>171.29999999999998</v>
      </c>
      <c r="G106" s="3">
        <f>'Monthly Data'!DQ106</f>
        <v>30</v>
      </c>
      <c r="H106" s="3">
        <f>'Monthly Data'!DD106</f>
        <v>239.6</v>
      </c>
      <c r="I106">
        <f>'Monthly Data'!EJ106</f>
        <v>0</v>
      </c>
      <c r="J106">
        <f>'Monthly Data'!EF106</f>
        <v>1</v>
      </c>
      <c r="L106" s="3">
        <f t="shared" si="32"/>
        <v>172054.52120783599</v>
      </c>
      <c r="M106" s="3">
        <f t="shared" si="33"/>
        <v>266538.35830487567</v>
      </c>
      <c r="N106" s="3">
        <f t="shared" si="34"/>
        <v>1673262.4735434309</v>
      </c>
      <c r="O106" s="3">
        <f t="shared" si="35"/>
        <v>4727208.9075020105</v>
      </c>
      <c r="P106" s="3">
        <f t="shared" si="36"/>
        <v>0</v>
      </c>
      <c r="Q106" s="3">
        <f t="shared" si="37"/>
        <v>0</v>
      </c>
      <c r="R106" s="3">
        <f t="shared" si="38"/>
        <v>188541.63990907301</v>
      </c>
      <c r="S106" s="47">
        <f t="shared" si="39"/>
        <v>7027605.9004672254</v>
      </c>
      <c r="T106" s="47">
        <f ca="1">'Monthly Data'!BL106+'Monthly Data'!BM106</f>
        <v>66522.6674833711</v>
      </c>
      <c r="U106" s="47">
        <f t="shared" ca="1" si="22"/>
        <v>7094128.5679505961</v>
      </c>
      <c r="V106" s="47">
        <f t="shared" ca="1" si="23"/>
        <v>125527.53017864749</v>
      </c>
      <c r="W106" s="18">
        <f t="shared" ca="1" si="40"/>
        <v>1.8013304176584352E-2</v>
      </c>
    </row>
    <row r="107" spans="1:23">
      <c r="A107" s="2">
        <f>'Monthly Data'!A107</f>
        <v>45566</v>
      </c>
      <c r="B107">
        <f>'Monthly Data'!B107</f>
        <v>2024</v>
      </c>
      <c r="C107">
        <f>'Monthly Data'!C107</f>
        <v>10</v>
      </c>
      <c r="D107" s="3">
        <f ca="1">'Monthly Data'!BK107</f>
        <v>6662228.7098549902</v>
      </c>
      <c r="E107" s="3">
        <f>'Monthly Data'!CN107</f>
        <v>295.94166666666661</v>
      </c>
      <c r="F107" s="3">
        <f>'Monthly Data'!CW107</f>
        <v>31.104166666666679</v>
      </c>
      <c r="G107" s="3">
        <f>'Monthly Data'!DQ107</f>
        <v>31</v>
      </c>
      <c r="H107" s="3">
        <f>'Monthly Data'!DD107</f>
        <v>240.3</v>
      </c>
      <c r="I107">
        <f>'Monthly Data'!EJ107</f>
        <v>0</v>
      </c>
      <c r="J107">
        <f>'Monthly Data'!EF107</f>
        <v>1</v>
      </c>
      <c r="L107" s="3">
        <f t="shared" si="32"/>
        <v>172054.52120783599</v>
      </c>
      <c r="M107" s="3">
        <f t="shared" si="33"/>
        <v>1137621.1427776029</v>
      </c>
      <c r="N107" s="3">
        <f t="shared" si="34"/>
        <v>303826.23966242746</v>
      </c>
      <c r="O107" s="3">
        <f t="shared" si="35"/>
        <v>4884782.537752077</v>
      </c>
      <c r="P107" s="3">
        <f t="shared" si="36"/>
        <v>0</v>
      </c>
      <c r="Q107" s="3">
        <f t="shared" si="37"/>
        <v>0</v>
      </c>
      <c r="R107" s="3">
        <f t="shared" si="38"/>
        <v>188541.63990907301</v>
      </c>
      <c r="S107" s="47">
        <f t="shared" si="39"/>
        <v>6686826.0813090159</v>
      </c>
      <c r="T107" s="47">
        <f ca="1">'Monthly Data'!BL107+'Monthly Data'!BM107</f>
        <v>123150.1501506621</v>
      </c>
      <c r="U107" s="47">
        <f t="shared" ref="U107:U109" ca="1" si="41">S107+T107</f>
        <v>6809976.2314596782</v>
      </c>
      <c r="V107" s="47">
        <f t="shared" ref="V107:V109" ca="1" si="42">U107-D107</f>
        <v>147747.52160468791</v>
      </c>
      <c r="W107" s="18">
        <f t="shared" ca="1" si="40"/>
        <v>2.2176891253543256E-2</v>
      </c>
    </row>
    <row r="108" spans="1:23">
      <c r="A108" s="2">
        <f>'Monthly Data'!A108</f>
        <v>45597</v>
      </c>
      <c r="B108">
        <f>'Monthly Data'!B108</f>
        <v>2024</v>
      </c>
      <c r="C108">
        <f>'Monthly Data'!C108</f>
        <v>11</v>
      </c>
      <c r="D108" s="3">
        <f ca="1">'Monthly Data'!BK108</f>
        <v>6722344.8147739833</v>
      </c>
      <c r="E108" s="3">
        <f>'Monthly Data'!CN108</f>
        <v>426.29166666666663</v>
      </c>
      <c r="F108" s="3">
        <f>'Monthly Data'!CW108</f>
        <v>9.5041666666666629</v>
      </c>
      <c r="G108" s="3">
        <f>'Monthly Data'!DQ108</f>
        <v>30</v>
      </c>
      <c r="H108" s="3">
        <f>'Monthly Data'!DD108</f>
        <v>239.1</v>
      </c>
      <c r="I108">
        <f>'Monthly Data'!EJ108</f>
        <v>0</v>
      </c>
      <c r="J108">
        <f>'Monthly Data'!EF108</f>
        <v>1</v>
      </c>
      <c r="L108" s="3">
        <f t="shared" si="32"/>
        <v>172054.52120783599</v>
      </c>
      <c r="M108" s="3">
        <f t="shared" si="33"/>
        <v>1638695.9580657303</v>
      </c>
      <c r="N108" s="3">
        <f t="shared" si="34"/>
        <v>92836.926010716212</v>
      </c>
      <c r="O108" s="3">
        <f t="shared" si="35"/>
        <v>4727208.9075020105</v>
      </c>
      <c r="P108" s="3">
        <f t="shared" si="36"/>
        <v>0</v>
      </c>
      <c r="Q108" s="3">
        <f t="shared" si="37"/>
        <v>0</v>
      </c>
      <c r="R108" s="3">
        <f t="shared" si="38"/>
        <v>188541.63990907301</v>
      </c>
      <c r="S108" s="47">
        <f t="shared" si="39"/>
        <v>6819337.952695366</v>
      </c>
      <c r="T108" s="47">
        <f ca="1">'Monthly Data'!BL108+'Monthly Data'!BM108</f>
        <v>160476.42562597492</v>
      </c>
      <c r="U108" s="47">
        <f t="shared" ca="1" si="41"/>
        <v>6979814.3783213412</v>
      </c>
      <c r="V108" s="47">
        <f t="shared" ca="1" si="42"/>
        <v>257469.56354735792</v>
      </c>
      <c r="W108" s="18">
        <f t="shared" ca="1" si="40"/>
        <v>3.8300558903421038E-2</v>
      </c>
    </row>
    <row r="109" spans="1:23">
      <c r="A109" s="2">
        <f>'Monthly Data'!A109</f>
        <v>45627</v>
      </c>
      <c r="B109">
        <f>'Monthly Data'!B109</f>
        <v>2024</v>
      </c>
      <c r="C109">
        <f>'Monthly Data'!C109</f>
        <v>12</v>
      </c>
      <c r="D109" s="3">
        <f ca="1">'Monthly Data'!BK109</f>
        <v>7678119.538844008</v>
      </c>
      <c r="E109" s="3">
        <f>'Monthly Data'!CN109</f>
        <v>660.57500000000016</v>
      </c>
      <c r="F109" s="3">
        <f>'Monthly Data'!CW109</f>
        <v>0</v>
      </c>
      <c r="G109" s="3">
        <f>'Monthly Data'!DQ109</f>
        <v>31</v>
      </c>
      <c r="H109" s="3">
        <f>'Monthly Data'!DD109</f>
        <v>238.2</v>
      </c>
      <c r="I109">
        <f>'Monthly Data'!EJ109</f>
        <v>0</v>
      </c>
      <c r="J109">
        <f>'Monthly Data'!EF109</f>
        <v>0</v>
      </c>
      <c r="L109" s="3">
        <f t="shared" si="32"/>
        <v>172054.52120783599</v>
      </c>
      <c r="M109" s="3">
        <f t="shared" si="33"/>
        <v>2539298.013877674</v>
      </c>
      <c r="N109" s="3">
        <f t="shared" si="34"/>
        <v>0</v>
      </c>
      <c r="O109" s="3">
        <f t="shared" si="35"/>
        <v>4884782.537752077</v>
      </c>
      <c r="P109" s="3">
        <f t="shared" si="36"/>
        <v>0</v>
      </c>
      <c r="Q109" s="3">
        <f t="shared" si="37"/>
        <v>0</v>
      </c>
      <c r="R109" s="3">
        <f t="shared" si="38"/>
        <v>0</v>
      </c>
      <c r="S109" s="47">
        <f t="shared" si="39"/>
        <v>7596135.0728375874</v>
      </c>
      <c r="T109" s="47">
        <f ca="1">'Monthly Data'!BL109+'Monthly Data'!BM109</f>
        <v>224508.60587181992</v>
      </c>
      <c r="U109" s="47">
        <f t="shared" ca="1" si="41"/>
        <v>7820643.6787094073</v>
      </c>
      <c r="V109" s="47">
        <f t="shared" ca="1" si="42"/>
        <v>142524.13986539934</v>
      </c>
      <c r="W109" s="18">
        <f t="shared" ca="1" si="40"/>
        <v>1.8562375741138473E-2</v>
      </c>
    </row>
    <row r="110" spans="1:23">
      <c r="A110" s="2">
        <f>'Monthly Data'!A110</f>
        <v>45658</v>
      </c>
      <c r="B110">
        <f>'Monthly Data'!B110</f>
        <v>2025</v>
      </c>
      <c r="C110">
        <f>'Monthly Data'!C110</f>
        <v>1</v>
      </c>
      <c r="D110" s="3">
        <f ca="1">'Monthly Data'!BK110</f>
        <v>8211101.0618103305</v>
      </c>
      <c r="E110" s="3">
        <f>'Monthly Data'!CN110</f>
        <v>794.42499999999995</v>
      </c>
      <c r="F110" s="3">
        <f>'Monthly Data'!CW110</f>
        <v>0</v>
      </c>
      <c r="G110" s="3">
        <f>'Monthly Data'!DQ110</f>
        <v>31</v>
      </c>
      <c r="H110" s="3">
        <f>'Monthly Data'!DD110</f>
        <v>241</v>
      </c>
      <c r="I110">
        <f>'Monthly Data'!EJ110</f>
        <v>0</v>
      </c>
      <c r="J110">
        <f>'Monthly Data'!EF110</f>
        <v>0</v>
      </c>
      <c r="L110" s="3">
        <f t="shared" si="32"/>
        <v>172054.52120783599</v>
      </c>
      <c r="M110" s="3">
        <f t="shared" si="33"/>
        <v>3053827.0819736905</v>
      </c>
      <c r="N110" s="3">
        <f t="shared" si="34"/>
        <v>0</v>
      </c>
      <c r="O110" s="3">
        <f t="shared" si="35"/>
        <v>4884782.537752077</v>
      </c>
      <c r="P110" s="3">
        <f t="shared" si="36"/>
        <v>0</v>
      </c>
      <c r="Q110" s="3">
        <f t="shared" si="37"/>
        <v>0</v>
      </c>
      <c r="R110" s="3">
        <f t="shared" si="38"/>
        <v>0</v>
      </c>
      <c r="S110" s="47">
        <f t="shared" ref="S110:S121" si="43">SUM(L110:R110)</f>
        <v>8110664.140933603</v>
      </c>
      <c r="T110" s="47">
        <f ca="1">'Monthly Data'!BL110+'Monthly Data'!BM110</f>
        <v>303583.21419756929</v>
      </c>
      <c r="U110" s="47">
        <f t="shared" ref="U110:U121" ca="1" si="44">S110+T110</f>
        <v>8414247.3551311716</v>
      </c>
      <c r="V110" s="47">
        <f t="shared" ref="V110:V121" ca="1" si="45">U110-D110</f>
        <v>203146.29332084116</v>
      </c>
      <c r="W110" s="18">
        <f t="shared" ref="W110:W121" ca="1" si="46">ABS(V110/D110)</f>
        <v>2.4740444891814883E-2</v>
      </c>
    </row>
    <row r="111" spans="1:23">
      <c r="A111" s="2">
        <f>'Monthly Data'!A111</f>
        <v>45689</v>
      </c>
      <c r="B111">
        <f>'Monthly Data'!B111</f>
        <v>2025</v>
      </c>
      <c r="C111">
        <f>'Monthly Data'!C111</f>
        <v>2</v>
      </c>
      <c r="D111" s="3">
        <f ca="1">'Monthly Data'!BK111</f>
        <v>7388274.7831749693</v>
      </c>
      <c r="E111" s="3">
        <f>'Monthly Data'!CN111</f>
        <v>721.25833333333333</v>
      </c>
      <c r="F111" s="3">
        <f>'Monthly Data'!CW111</f>
        <v>0</v>
      </c>
      <c r="G111" s="3">
        <f>'Monthly Data'!DQ111</f>
        <v>28</v>
      </c>
      <c r="H111" s="3">
        <f>'Monthly Data'!DD111</f>
        <v>243.8</v>
      </c>
      <c r="I111">
        <f>'Monthly Data'!EJ111</f>
        <v>0</v>
      </c>
      <c r="J111">
        <f>'Monthly Data'!EF111</f>
        <v>0</v>
      </c>
      <c r="L111" s="3">
        <f t="shared" si="32"/>
        <v>172054.52120783599</v>
      </c>
      <c r="M111" s="3">
        <f t="shared" si="33"/>
        <v>2772569.1304182787</v>
      </c>
      <c r="N111" s="3">
        <f t="shared" si="34"/>
        <v>0</v>
      </c>
      <c r="O111" s="3">
        <f t="shared" si="35"/>
        <v>4412061.6470018765</v>
      </c>
      <c r="P111" s="3">
        <f t="shared" si="36"/>
        <v>0</v>
      </c>
      <c r="Q111" s="3">
        <f t="shared" si="37"/>
        <v>0</v>
      </c>
      <c r="R111" s="3">
        <f t="shared" si="38"/>
        <v>0</v>
      </c>
      <c r="S111" s="47">
        <f t="shared" si="43"/>
        <v>7356685.2986279912</v>
      </c>
      <c r="T111" s="47">
        <f ca="1">'Monthly Data'!BL111+'Monthly Data'!BM111</f>
        <v>283061.36653281213</v>
      </c>
      <c r="U111" s="47">
        <f t="shared" ca="1" si="44"/>
        <v>7639746.6651608031</v>
      </c>
      <c r="V111" s="47">
        <f t="shared" ca="1" si="45"/>
        <v>251471.88198583387</v>
      </c>
      <c r="W111" s="18">
        <f t="shared" ca="1" si="46"/>
        <v>3.4036617392534045E-2</v>
      </c>
    </row>
    <row r="112" spans="1:23">
      <c r="A112" s="2">
        <f>'Monthly Data'!A112</f>
        <v>45717</v>
      </c>
      <c r="B112">
        <f>'Monthly Data'!B112</f>
        <v>2025</v>
      </c>
      <c r="C112">
        <f>'Monthly Data'!C112</f>
        <v>3</v>
      </c>
      <c r="D112" s="3">
        <f ca="1">'Monthly Data'!BK112</f>
        <v>7309951.5944956243</v>
      </c>
      <c r="E112" s="3">
        <f>'Monthly Data'!CN112</f>
        <v>580.62916666666672</v>
      </c>
      <c r="F112" s="3">
        <f>'Monthly Data'!CW112</f>
        <v>0</v>
      </c>
      <c r="G112" s="3">
        <f>'Monthly Data'!DQ112</f>
        <v>31</v>
      </c>
      <c r="H112" s="3">
        <f>'Monthly Data'!DD112</f>
        <v>246.1</v>
      </c>
      <c r="I112">
        <f>'Monthly Data'!EJ112</f>
        <v>0</v>
      </c>
      <c r="J112">
        <f>'Monthly Data'!EF112</f>
        <v>0</v>
      </c>
      <c r="L112" s="3">
        <f t="shared" si="32"/>
        <v>172054.52120783599</v>
      </c>
      <c r="M112" s="3">
        <f t="shared" si="33"/>
        <v>2231980.455990789</v>
      </c>
      <c r="N112" s="3">
        <f t="shared" si="34"/>
        <v>0</v>
      </c>
      <c r="O112" s="3">
        <f t="shared" si="35"/>
        <v>4884782.537752077</v>
      </c>
      <c r="P112" s="3">
        <f t="shared" si="36"/>
        <v>0</v>
      </c>
      <c r="Q112" s="3">
        <f t="shared" si="37"/>
        <v>0</v>
      </c>
      <c r="R112" s="3">
        <f t="shared" si="38"/>
        <v>0</v>
      </c>
      <c r="S112" s="47">
        <f t="shared" si="43"/>
        <v>7288817.514950702</v>
      </c>
      <c r="T112" s="47">
        <f ca="1">'Monthly Data'!BL112+'Monthly Data'!BM112</f>
        <v>236939.47401851485</v>
      </c>
      <c r="U112" s="47">
        <f t="shared" ca="1" si="44"/>
        <v>7525756.9889692171</v>
      </c>
      <c r="V112" s="47">
        <f t="shared" ca="1" si="45"/>
        <v>215805.39447359275</v>
      </c>
      <c r="W112" s="18">
        <f t="shared" ca="1" si="46"/>
        <v>2.9522137278732964E-2</v>
      </c>
    </row>
    <row r="113" spans="1:23">
      <c r="A113" s="2">
        <f>'Monthly Data'!A113</f>
        <v>45748</v>
      </c>
      <c r="B113">
        <f>'Monthly Data'!B113</f>
        <v>2025</v>
      </c>
      <c r="C113">
        <f>'Monthly Data'!C113</f>
        <v>4</v>
      </c>
      <c r="D113" s="3">
        <f ca="1">'Monthly Data'!BK113</f>
        <v>6616767.6393727968</v>
      </c>
      <c r="E113" s="3">
        <f>'Monthly Data'!CN113</f>
        <v>411.84166666666653</v>
      </c>
      <c r="F113" s="3">
        <f>'Monthly Data'!CW113</f>
        <v>5.2083333333333321</v>
      </c>
      <c r="G113" s="3">
        <f>'Monthly Data'!DQ113</f>
        <v>30</v>
      </c>
      <c r="H113" s="3">
        <f>'Monthly Data'!DD113</f>
        <v>242.5</v>
      </c>
      <c r="I113">
        <f>'Monthly Data'!EJ113</f>
        <v>0</v>
      </c>
      <c r="J113">
        <f>'Monthly Data'!EF113</f>
        <v>0</v>
      </c>
      <c r="L113" s="3">
        <f t="shared" si="32"/>
        <v>172054.52120783599</v>
      </c>
      <c r="M113" s="3">
        <f t="shared" si="33"/>
        <v>1583149.114330299</v>
      </c>
      <c r="N113" s="3">
        <f t="shared" si="34"/>
        <v>50875.123855061502</v>
      </c>
      <c r="O113" s="3">
        <f t="shared" si="35"/>
        <v>4727208.9075020105</v>
      </c>
      <c r="P113" s="3">
        <f t="shared" si="36"/>
        <v>0</v>
      </c>
      <c r="Q113" s="3">
        <f t="shared" si="37"/>
        <v>0</v>
      </c>
      <c r="R113" s="3">
        <f t="shared" si="38"/>
        <v>0</v>
      </c>
      <c r="S113" s="47">
        <f t="shared" si="43"/>
        <v>6533287.666895207</v>
      </c>
      <c r="T113" s="47">
        <f ca="1">'Monthly Data'!BL113+'Monthly Data'!BM113</f>
        <v>184323.26988017713</v>
      </c>
      <c r="U113" s="47">
        <f t="shared" ca="1" si="44"/>
        <v>6717610.9367753845</v>
      </c>
      <c r="V113" s="47">
        <f t="shared" ca="1" si="45"/>
        <v>100843.29740258772</v>
      </c>
      <c r="W113" s="18">
        <f t="shared" ca="1" si="46"/>
        <v>1.5240568038466989E-2</v>
      </c>
    </row>
    <row r="114" spans="1:23">
      <c r="A114" s="2">
        <f>'Monthly Data'!A114</f>
        <v>45778</v>
      </c>
      <c r="B114">
        <f>'Monthly Data'!B114</f>
        <v>2025</v>
      </c>
      <c r="C114">
        <f>'Monthly Data'!C114</f>
        <v>5</v>
      </c>
      <c r="D114" s="3">
        <f ca="1">'Monthly Data'!BK114</f>
        <v>6460366.3323368207</v>
      </c>
      <c r="E114" s="3">
        <f>'Monthly Data'!CN114</f>
        <v>221.07083333333333</v>
      </c>
      <c r="F114" s="3">
        <f>'Monthly Data'!CW114</f>
        <v>58.67083333333332</v>
      </c>
      <c r="G114" s="3">
        <f>'Monthly Data'!DQ114</f>
        <v>31</v>
      </c>
      <c r="H114" s="3">
        <f>'Monthly Data'!DD114</f>
        <v>241.8</v>
      </c>
      <c r="I114">
        <f>'Monthly Data'!EJ114</f>
        <v>0</v>
      </c>
      <c r="J114">
        <f>'Monthly Data'!EF114</f>
        <v>0</v>
      </c>
      <c r="L114" s="3">
        <f t="shared" si="32"/>
        <v>172054.52120783599</v>
      </c>
      <c r="M114" s="3">
        <f t="shared" si="33"/>
        <v>849812.25146215875</v>
      </c>
      <c r="N114" s="3">
        <f t="shared" si="34"/>
        <v>573098.09520249674</v>
      </c>
      <c r="O114" s="3">
        <f t="shared" si="35"/>
        <v>4884782.537752077</v>
      </c>
      <c r="P114" s="3">
        <f t="shared" si="36"/>
        <v>0</v>
      </c>
      <c r="Q114" s="3">
        <f t="shared" si="37"/>
        <v>0</v>
      </c>
      <c r="R114" s="3">
        <f t="shared" si="38"/>
        <v>0</v>
      </c>
      <c r="S114" s="47">
        <f t="shared" si="43"/>
        <v>6479747.4056245685</v>
      </c>
      <c r="T114" s="47">
        <f ca="1">'Monthly Data'!BL114+'Monthly Data'!BM114</f>
        <v>123418.02599846425</v>
      </c>
      <c r="U114" s="47">
        <f t="shared" ca="1" si="44"/>
        <v>6603165.4316230323</v>
      </c>
      <c r="V114" s="47">
        <f t="shared" ca="1" si="45"/>
        <v>142799.09928621165</v>
      </c>
      <c r="W114" s="18">
        <f t="shared" ca="1" si="46"/>
        <v>2.2103870266836537E-2</v>
      </c>
    </row>
    <row r="115" spans="1:23">
      <c r="A115" s="2">
        <f>'Monthly Data'!A115</f>
        <v>45809</v>
      </c>
      <c r="B115">
        <f>'Monthly Data'!B115</f>
        <v>2025</v>
      </c>
      <c r="C115">
        <f>'Monthly Data'!C115</f>
        <v>6</v>
      </c>
      <c r="D115" s="3">
        <f ca="1">'Monthly Data'!BK115</f>
        <v>7196362.1227085413</v>
      </c>
      <c r="E115" s="3">
        <f>'Monthly Data'!CN115</f>
        <v>49.987500000000011</v>
      </c>
      <c r="F115" s="3">
        <f>'Monthly Data'!CW115</f>
        <v>224.42916666666662</v>
      </c>
      <c r="G115" s="3">
        <f>'Monthly Data'!DQ115</f>
        <v>30</v>
      </c>
      <c r="H115" s="3">
        <f>'Monthly Data'!DD115</f>
        <v>241</v>
      </c>
      <c r="I115">
        <f>'Monthly Data'!EJ115</f>
        <v>0</v>
      </c>
      <c r="J115">
        <f>'Monthly Data'!EF115</f>
        <v>0</v>
      </c>
      <c r="L115" s="3">
        <f t="shared" si="32"/>
        <v>172054.52120783599</v>
      </c>
      <c r="M115" s="3">
        <f t="shared" si="33"/>
        <v>192155.56063839872</v>
      </c>
      <c r="N115" s="3">
        <f t="shared" si="34"/>
        <v>2192229.4369641421</v>
      </c>
      <c r="O115" s="3">
        <f t="shared" si="35"/>
        <v>4727208.9075020105</v>
      </c>
      <c r="P115" s="3">
        <f t="shared" si="36"/>
        <v>0</v>
      </c>
      <c r="Q115" s="3">
        <f t="shared" si="37"/>
        <v>0</v>
      </c>
      <c r="R115" s="3">
        <f t="shared" si="38"/>
        <v>0</v>
      </c>
      <c r="S115" s="47">
        <f t="shared" si="43"/>
        <v>7283648.426312387</v>
      </c>
      <c r="T115" s="47">
        <f ca="1">'Monthly Data'!BL115+'Monthly Data'!BM115</f>
        <v>80439.927990885175</v>
      </c>
      <c r="U115" s="47">
        <f t="shared" ca="1" si="44"/>
        <v>7364088.3543032724</v>
      </c>
      <c r="V115" s="47">
        <f t="shared" ca="1" si="45"/>
        <v>167726.2315947311</v>
      </c>
      <c r="W115" s="18">
        <f t="shared" ca="1" si="46"/>
        <v>2.3307086099164074E-2</v>
      </c>
    </row>
    <row r="116" spans="1:23">
      <c r="A116" s="2">
        <f>'Monthly Data'!A116</f>
        <v>45839</v>
      </c>
      <c r="B116">
        <f>'Monthly Data'!B116</f>
        <v>2025</v>
      </c>
      <c r="C116">
        <f>'Monthly Data'!C116</f>
        <v>7</v>
      </c>
      <c r="D116" s="3">
        <f ca="1">'Monthly Data'!BK116</f>
        <v>8387745.0131376553</v>
      </c>
      <c r="E116" s="3">
        <f>'Monthly Data'!CN116</f>
        <v>6.8416666666666615</v>
      </c>
      <c r="F116" s="3">
        <f>'Monthly Data'!CW116</f>
        <v>335.3145833333333</v>
      </c>
      <c r="G116" s="3">
        <f>'Monthly Data'!DQ116</f>
        <v>31</v>
      </c>
      <c r="H116" s="3">
        <f>'Monthly Data'!DD116</f>
        <v>244.8</v>
      </c>
      <c r="I116">
        <f>'Monthly Data'!EJ116</f>
        <v>0</v>
      </c>
      <c r="J116">
        <f>'Monthly Data'!EF116</f>
        <v>0</v>
      </c>
      <c r="L116" s="3">
        <f t="shared" si="32"/>
        <v>172054.52120783599</v>
      </c>
      <c r="M116" s="3">
        <f t="shared" si="33"/>
        <v>26299.860845899006</v>
      </c>
      <c r="N116" s="3">
        <f t="shared" si="34"/>
        <v>3275360.8238384021</v>
      </c>
      <c r="O116" s="3">
        <f t="shared" si="35"/>
        <v>4884782.537752077</v>
      </c>
      <c r="P116" s="3">
        <f t="shared" si="36"/>
        <v>0</v>
      </c>
      <c r="Q116" s="3">
        <f t="shared" si="37"/>
        <v>0</v>
      </c>
      <c r="R116" s="3">
        <f t="shared" si="38"/>
        <v>0</v>
      </c>
      <c r="S116" s="47">
        <f t="shared" si="43"/>
        <v>8358497.7436442142</v>
      </c>
      <c r="T116" s="47">
        <f ca="1">'Monthly Data'!BL116+'Monthly Data'!BM116</f>
        <v>74565.853877498143</v>
      </c>
      <c r="U116" s="47">
        <f t="shared" ca="1" si="44"/>
        <v>8433063.597521713</v>
      </c>
      <c r="V116" s="47">
        <f t="shared" ca="1" si="45"/>
        <v>45318.584384057671</v>
      </c>
      <c r="W116" s="18">
        <f t="shared" ca="1" si="46"/>
        <v>5.4029520822432668E-3</v>
      </c>
    </row>
    <row r="117" spans="1:23">
      <c r="A117" s="2">
        <f>'Monthly Data'!A117</f>
        <v>45870</v>
      </c>
      <c r="B117">
        <f>'Monthly Data'!B117</f>
        <v>2025</v>
      </c>
      <c r="C117">
        <f>'Monthly Data'!C117</f>
        <v>8</v>
      </c>
      <c r="D117" s="3">
        <f ca="1">'Monthly Data'!BK117</f>
        <v>7718548.2104636477</v>
      </c>
      <c r="E117" s="3">
        <f>'Monthly Data'!CN117</f>
        <v>38.787499999999994</v>
      </c>
      <c r="F117" s="3">
        <f>'Monthly Data'!CW117</f>
        <v>259.88749999999993</v>
      </c>
      <c r="G117" s="3">
        <f>'Monthly Data'!DQ117</f>
        <v>31</v>
      </c>
      <c r="H117" s="3">
        <f>'Monthly Data'!DD117</f>
        <v>248.5</v>
      </c>
      <c r="I117">
        <f>'Monthly Data'!EJ117</f>
        <v>0</v>
      </c>
      <c r="J117">
        <f>'Monthly Data'!EF117</f>
        <v>0</v>
      </c>
      <c r="L117" s="3">
        <f t="shared" si="32"/>
        <v>172054.52120783599</v>
      </c>
      <c r="M117" s="3">
        <f t="shared" si="33"/>
        <v>149101.95165315105</v>
      </c>
      <c r="N117" s="3">
        <f t="shared" si="34"/>
        <v>2538587.2801694009</v>
      </c>
      <c r="O117" s="3">
        <f t="shared" si="35"/>
        <v>4884782.537752077</v>
      </c>
      <c r="P117" s="3">
        <f t="shared" si="36"/>
        <v>0</v>
      </c>
      <c r="Q117" s="3">
        <f t="shared" si="37"/>
        <v>0</v>
      </c>
      <c r="R117" s="3">
        <f t="shared" si="38"/>
        <v>0</v>
      </c>
      <c r="S117" s="47">
        <f t="shared" si="43"/>
        <v>7744526.2907824647</v>
      </c>
      <c r="T117" s="47">
        <f ca="1">'Monthly Data'!BL117+'Monthly Data'!BM117</f>
        <v>80968.95506660665</v>
      </c>
      <c r="U117" s="47">
        <f t="shared" ca="1" si="44"/>
        <v>7825495.2458490711</v>
      </c>
      <c r="V117" s="47">
        <f t="shared" ca="1" si="45"/>
        <v>106947.03538542334</v>
      </c>
      <c r="W117" s="18">
        <f t="shared" ca="1" si="46"/>
        <v>1.3855848596040461E-2</v>
      </c>
    </row>
    <row r="118" spans="1:23">
      <c r="A118" s="2">
        <f>'Monthly Data'!A118</f>
        <v>45901</v>
      </c>
      <c r="B118">
        <f>'Monthly Data'!B118</f>
        <v>2025</v>
      </c>
      <c r="C118">
        <f>'Monthly Data'!C118</f>
        <v>9</v>
      </c>
      <c r="D118" s="3">
        <f ca="1">'Monthly Data'!BK118</f>
        <v>6745525.999037018</v>
      </c>
      <c r="E118" s="3">
        <f>'Monthly Data'!CN118</f>
        <v>88.308333333333323</v>
      </c>
      <c r="F118" s="3">
        <f>'Monthly Data'!CW118</f>
        <v>152.10833333333332</v>
      </c>
      <c r="G118" s="3">
        <f>'Monthly Data'!DQ118</f>
        <v>30</v>
      </c>
      <c r="H118" s="3">
        <f>'Monthly Data'!DD118</f>
        <v>253.8</v>
      </c>
      <c r="I118">
        <f>'Monthly Data'!EJ118</f>
        <v>0</v>
      </c>
      <c r="J118">
        <f>'Monthly Data'!EF118</f>
        <v>1</v>
      </c>
      <c r="L118" s="3">
        <f t="shared" si="32"/>
        <v>172054.52120783599</v>
      </c>
      <c r="M118" s="3">
        <f t="shared" si="33"/>
        <v>339463.61191716441</v>
      </c>
      <c r="N118" s="3">
        <f t="shared" si="34"/>
        <v>1485797.8171623002</v>
      </c>
      <c r="O118" s="3">
        <f t="shared" si="35"/>
        <v>4727208.9075020105</v>
      </c>
      <c r="P118" s="3">
        <f t="shared" si="36"/>
        <v>0</v>
      </c>
      <c r="Q118" s="3">
        <f t="shared" si="37"/>
        <v>0</v>
      </c>
      <c r="R118" s="3">
        <f t="shared" si="38"/>
        <v>188541.63990907301</v>
      </c>
      <c r="S118" s="47">
        <f t="shared" si="43"/>
        <v>6913066.4976983843</v>
      </c>
      <c r="T118" s="47">
        <f ca="1">'Monthly Data'!BL118+'Monthly Data'!BM118</f>
        <v>88530.508287866251</v>
      </c>
      <c r="U118" s="47">
        <f t="shared" ca="1" si="44"/>
        <v>7001597.0059862509</v>
      </c>
      <c r="V118" s="47">
        <f t="shared" ca="1" si="45"/>
        <v>256071.00694923289</v>
      </c>
      <c r="W118" s="18">
        <f t="shared" ca="1" si="46"/>
        <v>3.7961606994886571E-2</v>
      </c>
    </row>
    <row r="119" spans="1:23">
      <c r="A119" s="2">
        <f>'Monthly Data'!A119</f>
        <v>45931</v>
      </c>
      <c r="B119">
        <f>'Monthly Data'!B119</f>
        <v>2025</v>
      </c>
      <c r="C119">
        <f>'Monthly Data'!C119</f>
        <v>10</v>
      </c>
      <c r="D119" s="3">
        <f ca="1">'Monthly Data'!BK119</f>
        <v>6670765.025270611</v>
      </c>
      <c r="E119" s="3">
        <f>'Monthly Data'!CN119</f>
        <v>281.52083333333331</v>
      </c>
      <c r="F119" s="3">
        <f>'Monthly Data'!CW119</f>
        <v>44.091666666666669</v>
      </c>
      <c r="G119" s="3">
        <f>'Monthly Data'!DQ119</f>
        <v>31</v>
      </c>
      <c r="H119" s="3">
        <f>'Monthly Data'!DD119</f>
        <v>257.10000000000002</v>
      </c>
      <c r="I119">
        <f>'Monthly Data'!EJ119</f>
        <v>0</v>
      </c>
      <c r="J119">
        <f>'Monthly Data'!EF119</f>
        <v>1</v>
      </c>
      <c r="L119" s="3">
        <f t="shared" si="32"/>
        <v>172054.52120783599</v>
      </c>
      <c r="M119" s="3">
        <f t="shared" si="33"/>
        <v>1082186.417815571</v>
      </c>
      <c r="N119" s="3">
        <f t="shared" si="34"/>
        <v>430688.44850740873</v>
      </c>
      <c r="O119" s="3">
        <f t="shared" si="35"/>
        <v>4884782.537752077</v>
      </c>
      <c r="P119" s="3">
        <f t="shared" si="36"/>
        <v>0</v>
      </c>
      <c r="Q119" s="3">
        <f t="shared" si="37"/>
        <v>0</v>
      </c>
      <c r="R119" s="3">
        <f t="shared" si="38"/>
        <v>188541.63990907301</v>
      </c>
      <c r="S119" s="47">
        <f t="shared" si="43"/>
        <v>6758253.5651919656</v>
      </c>
      <c r="T119" s="47">
        <f ca="1">'Monthly Data'!BL119+'Monthly Data'!BM119</f>
        <v>148602.28931177419</v>
      </c>
      <c r="U119" s="47">
        <f t="shared" ca="1" si="44"/>
        <v>6906855.8545037396</v>
      </c>
      <c r="V119" s="47">
        <f t="shared" ca="1" si="45"/>
        <v>236090.82923312858</v>
      </c>
      <c r="W119" s="18">
        <f t="shared" ca="1" si="46"/>
        <v>3.5391867100513133E-2</v>
      </c>
    </row>
    <row r="120" spans="1:23">
      <c r="A120" s="2">
        <f>'Monthly Data'!A120</f>
        <v>45962</v>
      </c>
      <c r="B120">
        <f>'Monthly Data'!B120</f>
        <v>2025</v>
      </c>
      <c r="C120">
        <f>'Monthly Data'!C120</f>
        <v>11</v>
      </c>
      <c r="D120" s="3">
        <f ca="1">'Monthly Data'!BK120</f>
        <v>7021911.7148675118</v>
      </c>
      <c r="E120" s="3">
        <f>'Monthly Data'!CN120</f>
        <v>520.61249999999995</v>
      </c>
      <c r="F120" s="3">
        <f>'Monthly Data'!CW120</f>
        <v>0</v>
      </c>
      <c r="G120" s="3">
        <f>'Monthly Data'!DQ120</f>
        <v>30</v>
      </c>
      <c r="H120" s="3">
        <f>'Monthly Data'!DD120</f>
        <v>259.60000000000002</v>
      </c>
      <c r="I120">
        <f>'Monthly Data'!EJ120</f>
        <v>0</v>
      </c>
      <c r="J120">
        <f>'Monthly Data'!EF120</f>
        <v>1</v>
      </c>
      <c r="L120" s="3">
        <f t="shared" si="32"/>
        <v>172054.52120783599</v>
      </c>
      <c r="M120" s="3">
        <f t="shared" si="33"/>
        <v>2001272.0542707341</v>
      </c>
      <c r="N120" s="3">
        <f t="shared" si="34"/>
        <v>0</v>
      </c>
      <c r="O120" s="3">
        <f t="shared" si="35"/>
        <v>4727208.9075020105</v>
      </c>
      <c r="P120" s="3">
        <f t="shared" si="36"/>
        <v>0</v>
      </c>
      <c r="Q120" s="3">
        <f t="shared" si="37"/>
        <v>0</v>
      </c>
      <c r="R120" s="3">
        <f t="shared" si="38"/>
        <v>188541.63990907301</v>
      </c>
      <c r="S120" s="47">
        <f t="shared" si="43"/>
        <v>7089077.1228896538</v>
      </c>
      <c r="T120" s="47">
        <f ca="1">'Monthly Data'!BL120+'Monthly Data'!BM120</f>
        <v>227183.79811242735</v>
      </c>
      <c r="U120" s="47">
        <f t="shared" ca="1" si="44"/>
        <v>7316260.9210020807</v>
      </c>
      <c r="V120" s="47">
        <f t="shared" ca="1" si="45"/>
        <v>294349.2061345689</v>
      </c>
      <c r="W120" s="18">
        <f t="shared" ca="1" si="46"/>
        <v>4.191867088151259E-2</v>
      </c>
    </row>
    <row r="121" spans="1:23">
      <c r="A121" s="2">
        <f>'Monthly Data'!A121</f>
        <v>45992</v>
      </c>
      <c r="B121">
        <f>'Monthly Data'!B121</f>
        <v>2025</v>
      </c>
      <c r="C121">
        <f>'Monthly Data'!C121</f>
        <v>12</v>
      </c>
      <c r="D121" s="3">
        <f ca="1">'Monthly Data'!BK121</f>
        <v>8418681.147433605</v>
      </c>
      <c r="E121" s="3">
        <f>'Monthly Data'!CN121</f>
        <v>744.19999999999993</v>
      </c>
      <c r="F121" s="3">
        <f>'Monthly Data'!CW121</f>
        <v>0</v>
      </c>
      <c r="G121" s="3">
        <f>'Monthly Data'!DQ121</f>
        <v>31</v>
      </c>
      <c r="H121" s="3">
        <f>'Monthly Data'!DD121</f>
        <v>256.8</v>
      </c>
      <c r="I121">
        <f>'Monthly Data'!EJ121</f>
        <v>0</v>
      </c>
      <c r="J121">
        <f>'Monthly Data'!EF121</f>
        <v>0</v>
      </c>
      <c r="L121" s="3">
        <f t="shared" si="32"/>
        <v>172054.52120783599</v>
      </c>
      <c r="M121" s="3">
        <f t="shared" si="33"/>
        <v>2860758.5541804708</v>
      </c>
      <c r="N121" s="3">
        <f t="shared" si="34"/>
        <v>0</v>
      </c>
      <c r="O121" s="3">
        <f t="shared" si="35"/>
        <v>4884782.537752077</v>
      </c>
      <c r="P121" s="3">
        <f t="shared" si="36"/>
        <v>0</v>
      </c>
      <c r="Q121" s="3">
        <f t="shared" si="37"/>
        <v>0</v>
      </c>
      <c r="R121" s="3">
        <f t="shared" si="38"/>
        <v>0</v>
      </c>
      <c r="S121" s="47">
        <f t="shared" si="43"/>
        <v>7917595.6131403837</v>
      </c>
      <c r="T121" s="47">
        <f ca="1">'Monthly Data'!BL121+'Monthly Data'!BM121</f>
        <v>299688.46757409099</v>
      </c>
      <c r="U121" s="47">
        <f t="shared" ca="1" si="44"/>
        <v>8217284.0807144744</v>
      </c>
      <c r="V121" s="47">
        <f t="shared" ca="1" si="45"/>
        <v>-201397.06671913061</v>
      </c>
      <c r="W121" s="18">
        <f t="shared" ca="1" si="46"/>
        <v>2.3922638616682323E-2</v>
      </c>
    </row>
    <row r="122" spans="1:23">
      <c r="W122" s="17">
        <f ca="1">AVERAGE(W2:W120)</f>
        <v>2.4844840214954238E-2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52814-A756-463C-A715-F56609CD6BE8}">
  <sheetPr codeName="Sheet17">
    <tabColor theme="9" tint="0.79998168889431442"/>
  </sheetPr>
  <dimension ref="A1:AH122"/>
  <sheetViews>
    <sheetView topLeftCell="R19" workbookViewId="0">
      <selection activeCell="W33" sqref="W33"/>
    </sheetView>
  </sheetViews>
  <sheetFormatPr defaultRowHeight="14.5"/>
  <cols>
    <col min="4" max="4" width="24.81640625" customWidth="1"/>
    <col min="7" max="7" width="9.1796875" style="3" bestFit="1" customWidth="1"/>
    <col min="8" max="8" width="9.1796875" style="3" customWidth="1"/>
    <col min="11" max="11" width="13.81640625" bestFit="1" customWidth="1"/>
    <col min="12" max="13" width="11.1796875" bestFit="1" customWidth="1"/>
    <col min="14" max="14" width="11.81640625" customWidth="1"/>
    <col min="15" max="16" width="11.1796875" bestFit="1" customWidth="1"/>
    <col min="17" max="19" width="12.54296875" customWidth="1"/>
    <col min="20" max="20" width="12" customWidth="1"/>
    <col min="25" max="25" width="13.81640625" bestFit="1" customWidth="1"/>
    <col min="26" max="26" width="14.1796875" bestFit="1" customWidth="1"/>
    <col min="27" max="27" width="13.81640625" bestFit="1" customWidth="1"/>
    <col min="28" max="28" width="8.81640625" bestFit="1" customWidth="1"/>
    <col min="30" max="30" width="11.6328125" customWidth="1"/>
    <col min="31" max="31" width="12" customWidth="1"/>
    <col min="32" max="33" width="10.1796875" bestFit="1" customWidth="1"/>
  </cols>
  <sheetData>
    <row r="1" spans="1:34">
      <c r="A1" s="541" t="str">
        <f>'Monthly Data'!A1</f>
        <v>Date</v>
      </c>
      <c r="B1" s="541" t="str">
        <f>'Monthly Data'!B1</f>
        <v>Year</v>
      </c>
      <c r="C1" s="541" t="str">
        <f>'Monthly Data'!C1</f>
        <v>Month</v>
      </c>
      <c r="D1" s="541" t="str">
        <f>'Monthly Data'!BQ1</f>
        <v>WRZ_GS50to2999kWh_No_CDM</v>
      </c>
      <c r="E1" s="541" t="str">
        <f>'Monthly Data'!CT1</f>
        <v>HDD14</v>
      </c>
      <c r="F1" s="541" t="str">
        <f>'Monthly Data'!CW1</f>
        <v>CDD12</v>
      </c>
      <c r="G1" s="541" t="str">
        <f>'Monthly Data'!DQ1</f>
        <v>Month Days</v>
      </c>
      <c r="H1" s="541" t="str">
        <f>'Monthly Data'!EJ1</f>
        <v>COVID_AM</v>
      </c>
      <c r="I1" s="541" t="str">
        <f>'Monthly Data'!EF1</f>
        <v>Fall</v>
      </c>
      <c r="J1" s="541"/>
      <c r="K1" s="541" t="str">
        <f>X8</f>
        <v>const</v>
      </c>
      <c r="L1" s="541" t="str">
        <f>E1</f>
        <v>HDD14</v>
      </c>
      <c r="M1" s="541" t="str">
        <f>F1</f>
        <v>CDD12</v>
      </c>
      <c r="N1" s="541" t="str">
        <f>G1</f>
        <v>Month Days</v>
      </c>
      <c r="O1" s="541" t="str">
        <f>H1</f>
        <v>COVID_AM</v>
      </c>
      <c r="P1" s="541" t="str">
        <f>I1</f>
        <v>Fall</v>
      </c>
      <c r="Q1" s="541" t="s">
        <v>293</v>
      </c>
      <c r="R1" s="541" t="s">
        <v>294</v>
      </c>
      <c r="S1" s="541" t="s">
        <v>295</v>
      </c>
      <c r="T1" s="541" t="s">
        <v>296</v>
      </c>
      <c r="U1" s="541"/>
    </row>
    <row r="2" spans="1:34">
      <c r="A2" s="2">
        <f>'Monthly Data'!A2</f>
        <v>42370</v>
      </c>
      <c r="B2">
        <f>'Monthly Data'!B2</f>
        <v>2016</v>
      </c>
      <c r="C2">
        <f>'Monthly Data'!C2</f>
        <v>1</v>
      </c>
      <c r="D2" s="3">
        <f>'Monthly Data'!BQ2</f>
        <v>30843852.615811039</v>
      </c>
      <c r="E2" s="3">
        <f>'Monthly Data'!CT2</f>
        <v>551.87916666666672</v>
      </c>
      <c r="F2" s="3">
        <f>'Monthly Data'!CW2</f>
        <v>0</v>
      </c>
      <c r="G2" s="3">
        <f>'Monthly Data'!DQ2</f>
        <v>31</v>
      </c>
      <c r="H2" s="3">
        <f>'Monthly Data'!EJ2</f>
        <v>0</v>
      </c>
      <c r="I2">
        <f>'Monthly Data'!EF2</f>
        <v>0</v>
      </c>
      <c r="K2" s="3">
        <f t="shared" ref="K2:K33" si="0">$Y$8</f>
        <v>13824899.391279301</v>
      </c>
      <c r="L2" s="3">
        <f t="shared" ref="L2:L33" si="1">E2*$Y$9</f>
        <v>4257434.8211268252</v>
      </c>
      <c r="M2" s="3">
        <f t="shared" ref="M2:M33" si="2">F2*$Y$10</f>
        <v>0</v>
      </c>
      <c r="N2" s="3">
        <f t="shared" ref="N2:N33" si="3">G2*$Y$11</f>
        <v>12808183.109129699</v>
      </c>
      <c r="O2" s="3">
        <f t="shared" ref="O2:O33" si="4">H2*$Y$12</f>
        <v>0</v>
      </c>
      <c r="P2" s="3">
        <f t="shared" ref="P2:P33" si="5">I2*$Y$13</f>
        <v>0</v>
      </c>
      <c r="Q2" s="47">
        <f t="shared" ref="Q2:Q9" si="6">SUM(K2:P2)</f>
        <v>30890517.321535826</v>
      </c>
      <c r="R2" s="47">
        <f>'Monthly Data'!BR2+'Monthly Data'!BS2</f>
        <v>0</v>
      </c>
      <c r="S2" s="47">
        <f t="shared" ref="S2:S42" si="7">Q2+R2</f>
        <v>30890517.321535826</v>
      </c>
      <c r="T2" s="47">
        <f t="shared" ref="T2:T42" si="8">S2-D2</f>
        <v>46664.705724786967</v>
      </c>
      <c r="U2" s="18">
        <f t="shared" ref="U2:U9" si="9">ABS(T2/D2)</f>
        <v>1.5129337539651552E-3</v>
      </c>
    </row>
    <row r="3" spans="1:34">
      <c r="A3" s="2">
        <f>'Monthly Data'!A3</f>
        <v>42401</v>
      </c>
      <c r="B3">
        <f>'Monthly Data'!B3</f>
        <v>2016</v>
      </c>
      <c r="C3">
        <f>'Monthly Data'!C3</f>
        <v>2</v>
      </c>
      <c r="D3" s="3">
        <f>'Monthly Data'!BQ3</f>
        <v>30235393.502081621</v>
      </c>
      <c r="E3" s="3">
        <f>'Monthly Data'!CT3</f>
        <v>487.70833333333337</v>
      </c>
      <c r="F3" s="3">
        <f>'Monthly Data'!CW3</f>
        <v>0</v>
      </c>
      <c r="G3" s="3">
        <f>'Monthly Data'!DQ3</f>
        <v>29</v>
      </c>
      <c r="H3" s="3">
        <f>'Monthly Data'!EJ3</f>
        <v>0</v>
      </c>
      <c r="I3">
        <f>'Monthly Data'!EF3</f>
        <v>0</v>
      </c>
      <c r="K3" s="3">
        <f t="shared" si="0"/>
        <v>13824899.391279301</v>
      </c>
      <c r="L3" s="3">
        <f t="shared" si="1"/>
        <v>3762393.2308015409</v>
      </c>
      <c r="M3" s="3">
        <f t="shared" si="2"/>
        <v>0</v>
      </c>
      <c r="N3" s="3">
        <f t="shared" si="3"/>
        <v>11981848.7149923</v>
      </c>
      <c r="O3" s="3">
        <f t="shared" si="4"/>
        <v>0</v>
      </c>
      <c r="P3" s="3">
        <f t="shared" si="5"/>
        <v>0</v>
      </c>
      <c r="Q3" s="47">
        <f t="shared" si="6"/>
        <v>29569141.33707314</v>
      </c>
      <c r="R3" s="47">
        <f>'Monthly Data'!BR3+'Monthly Data'!BS3</f>
        <v>0</v>
      </c>
      <c r="S3" s="47">
        <f t="shared" si="7"/>
        <v>29569141.33707314</v>
      </c>
      <c r="T3" s="47">
        <f t="shared" si="8"/>
        <v>-666252.16500848159</v>
      </c>
      <c r="U3" s="18">
        <f t="shared" si="9"/>
        <v>2.2035505010464376E-2</v>
      </c>
      <c r="X3" s="651" t="s">
        <v>353</v>
      </c>
      <c r="Y3" s="651"/>
      <c r="Z3" s="651"/>
      <c r="AA3" s="651"/>
      <c r="AB3" s="651"/>
      <c r="AD3" s="651" t="s">
        <v>354</v>
      </c>
      <c r="AE3" s="651"/>
      <c r="AF3" s="651"/>
      <c r="AG3" s="651"/>
      <c r="AH3" s="651"/>
    </row>
    <row r="4" spans="1:34">
      <c r="A4" s="2">
        <f>'Monthly Data'!A4</f>
        <v>42430</v>
      </c>
      <c r="B4">
        <f>'Monthly Data'!B4</f>
        <v>2016</v>
      </c>
      <c r="C4">
        <f>'Monthly Data'!C4</f>
        <v>3</v>
      </c>
      <c r="D4" s="3">
        <f>'Monthly Data'!BQ4</f>
        <v>29351880.410567749</v>
      </c>
      <c r="E4" s="3">
        <f>'Monthly Data'!CT4</f>
        <v>391.07934782608697</v>
      </c>
      <c r="F4" s="3">
        <f>'Monthly Data'!CW4</f>
        <v>0</v>
      </c>
      <c r="G4" s="3">
        <f>'Monthly Data'!DQ4</f>
        <v>31</v>
      </c>
      <c r="H4" s="3">
        <f>'Monthly Data'!EJ4</f>
        <v>0</v>
      </c>
      <c r="I4">
        <f>'Monthly Data'!EF4</f>
        <v>0</v>
      </c>
      <c r="K4" s="3">
        <f t="shared" si="0"/>
        <v>13824899.391279301</v>
      </c>
      <c r="L4" s="3">
        <f t="shared" si="1"/>
        <v>3016955.4022393525</v>
      </c>
      <c r="M4" s="3">
        <f t="shared" si="2"/>
        <v>0</v>
      </c>
      <c r="N4" s="3">
        <f t="shared" si="3"/>
        <v>12808183.109129699</v>
      </c>
      <c r="O4" s="3">
        <f t="shared" si="4"/>
        <v>0</v>
      </c>
      <c r="P4" s="3">
        <f t="shared" si="5"/>
        <v>0</v>
      </c>
      <c r="Q4" s="47">
        <f t="shared" si="6"/>
        <v>29650037.902648352</v>
      </c>
      <c r="R4" s="47">
        <f>'Monthly Data'!BR4+'Monthly Data'!BS4</f>
        <v>0</v>
      </c>
      <c r="S4" s="47">
        <f t="shared" si="7"/>
        <v>29650037.902648352</v>
      </c>
      <c r="T4" s="47">
        <f t="shared" si="8"/>
        <v>298157.49208060279</v>
      </c>
      <c r="U4" s="18">
        <f t="shared" si="9"/>
        <v>1.0158037165252799E-2</v>
      </c>
      <c r="X4" s="651" t="s">
        <v>355</v>
      </c>
      <c r="Y4" s="651"/>
      <c r="Z4" s="651"/>
      <c r="AA4" s="651"/>
      <c r="AB4" s="651"/>
      <c r="AD4" s="651" t="s">
        <v>355</v>
      </c>
      <c r="AE4" s="651"/>
      <c r="AF4" s="651"/>
      <c r="AG4" s="651"/>
      <c r="AH4" s="651"/>
    </row>
    <row r="5" spans="1:34">
      <c r="A5" s="2">
        <f>'Monthly Data'!A5</f>
        <v>42461</v>
      </c>
      <c r="B5">
        <f>'Monthly Data'!B5</f>
        <v>2016</v>
      </c>
      <c r="C5">
        <f>'Monthly Data'!C5</f>
        <v>4</v>
      </c>
      <c r="D5" s="3">
        <f>'Monthly Data'!BQ5</f>
        <v>28131199.592845537</v>
      </c>
      <c r="E5" s="3">
        <f>'Monthly Data'!CT5</f>
        <v>286.81666666666661</v>
      </c>
      <c r="F5" s="3">
        <f>'Monthly Data'!CW5</f>
        <v>3.2208333333333368</v>
      </c>
      <c r="G5" s="3">
        <f>'Monthly Data'!DQ5</f>
        <v>30</v>
      </c>
      <c r="H5" s="3">
        <f>'Monthly Data'!EJ5</f>
        <v>0</v>
      </c>
      <c r="I5">
        <f>'Monthly Data'!EF5</f>
        <v>0</v>
      </c>
      <c r="K5" s="3">
        <f t="shared" si="0"/>
        <v>13824899.391279301</v>
      </c>
      <c r="L5" s="3">
        <f t="shared" si="1"/>
        <v>2212627.9404994003</v>
      </c>
      <c r="M5" s="3">
        <f t="shared" si="2"/>
        <v>48507.920950988882</v>
      </c>
      <c r="N5" s="3">
        <f t="shared" si="3"/>
        <v>12395015.912061</v>
      </c>
      <c r="O5" s="3">
        <f t="shared" si="4"/>
        <v>0</v>
      </c>
      <c r="P5" s="3">
        <f t="shared" si="5"/>
        <v>0</v>
      </c>
      <c r="Q5" s="47">
        <f t="shared" si="6"/>
        <v>28481051.16479069</v>
      </c>
      <c r="R5" s="47">
        <f>'Monthly Data'!BR5+'Monthly Data'!BS5</f>
        <v>0</v>
      </c>
      <c r="S5" s="47">
        <f t="shared" si="7"/>
        <v>28481051.16479069</v>
      </c>
      <c r="T5" s="47">
        <f t="shared" si="8"/>
        <v>349851.57194515318</v>
      </c>
      <c r="U5" s="18">
        <f t="shared" si="9"/>
        <v>1.2436425641590098E-2</v>
      </c>
      <c r="X5" s="651" t="s">
        <v>356</v>
      </c>
      <c r="Y5" s="651"/>
      <c r="Z5" s="651"/>
      <c r="AA5" s="651"/>
      <c r="AB5" s="651"/>
      <c r="AD5" s="651" t="s">
        <v>357</v>
      </c>
      <c r="AE5" s="651"/>
      <c r="AF5" s="651"/>
      <c r="AG5" s="651"/>
      <c r="AH5" s="651"/>
    </row>
    <row r="6" spans="1:34">
      <c r="A6" s="2">
        <f>'Monthly Data'!A6</f>
        <v>42491</v>
      </c>
      <c r="B6">
        <f>'Monthly Data'!B6</f>
        <v>2016</v>
      </c>
      <c r="C6">
        <f>'Monthly Data'!C6</f>
        <v>5</v>
      </c>
      <c r="D6" s="3">
        <f>'Monthly Data'!BQ6</f>
        <v>27887826.231142532</v>
      </c>
      <c r="E6" s="3">
        <f>'Monthly Data'!CT6</f>
        <v>75.344444444444463</v>
      </c>
      <c r="F6" s="3">
        <f>'Monthly Data'!CW6</f>
        <v>98.295833333333348</v>
      </c>
      <c r="G6" s="3">
        <f>'Monthly Data'!DQ6</f>
        <v>31</v>
      </c>
      <c r="H6" s="3">
        <f>'Monthly Data'!EJ6</f>
        <v>0</v>
      </c>
      <c r="I6">
        <f>'Monthly Data'!EF6</f>
        <v>0</v>
      </c>
      <c r="K6" s="3">
        <f t="shared" si="0"/>
        <v>13824899.391279301</v>
      </c>
      <c r="L6" s="3">
        <f t="shared" si="1"/>
        <v>581239.66391719214</v>
      </c>
      <c r="M6" s="3">
        <f t="shared" si="2"/>
        <v>1480401.5047280437</v>
      </c>
      <c r="N6" s="3">
        <f t="shared" si="3"/>
        <v>12808183.109129699</v>
      </c>
      <c r="O6" s="3">
        <f t="shared" si="4"/>
        <v>0</v>
      </c>
      <c r="P6" s="3">
        <f t="shared" si="5"/>
        <v>0</v>
      </c>
      <c r="Q6" s="47">
        <f t="shared" si="6"/>
        <v>28694723.669054233</v>
      </c>
      <c r="R6" s="47">
        <f>'Monthly Data'!BR6+'Monthly Data'!BS6</f>
        <v>0</v>
      </c>
      <c r="S6" s="47">
        <f t="shared" si="7"/>
        <v>28694723.669054233</v>
      </c>
      <c r="T6" s="47">
        <f t="shared" si="8"/>
        <v>806897.43791170046</v>
      </c>
      <c r="U6" s="18">
        <f t="shared" si="9"/>
        <v>2.893367992269804E-2</v>
      </c>
      <c r="X6" s="652"/>
      <c r="Y6" s="652"/>
      <c r="Z6" s="652"/>
      <c r="AA6" s="652"/>
      <c r="AB6" s="652"/>
      <c r="AD6" s="652"/>
      <c r="AE6" s="652"/>
      <c r="AF6" s="652"/>
      <c r="AG6" s="652"/>
      <c r="AH6" s="652"/>
    </row>
    <row r="7" spans="1:34">
      <c r="A7" s="2">
        <f>'Monthly Data'!A7</f>
        <v>42522</v>
      </c>
      <c r="B7">
        <f>'Monthly Data'!B7</f>
        <v>2016</v>
      </c>
      <c r="C7">
        <f>'Monthly Data'!C7</f>
        <v>6</v>
      </c>
      <c r="D7" s="3">
        <f>'Monthly Data'!BQ7</f>
        <v>28898634.748755053</v>
      </c>
      <c r="E7" s="3">
        <f>'Monthly Data'!CT7</f>
        <v>3.9749999999999996</v>
      </c>
      <c r="F7" s="3">
        <f>'Monthly Data'!CW7</f>
        <v>203.85416666666669</v>
      </c>
      <c r="G7" s="3">
        <f>'Monthly Data'!DQ7</f>
        <v>30</v>
      </c>
      <c r="H7" s="3">
        <f>'Monthly Data'!EJ7</f>
        <v>0</v>
      </c>
      <c r="I7">
        <f>'Monthly Data'!EF7</f>
        <v>0</v>
      </c>
      <c r="K7" s="3">
        <f t="shared" si="0"/>
        <v>13824899.391279301</v>
      </c>
      <c r="L7" s="3">
        <f t="shared" si="1"/>
        <v>30664.870928531989</v>
      </c>
      <c r="M7" s="3">
        <f t="shared" si="2"/>
        <v>3070181.1546275923</v>
      </c>
      <c r="N7" s="3">
        <f t="shared" si="3"/>
        <v>12395015.912061</v>
      </c>
      <c r="O7" s="3">
        <f t="shared" si="4"/>
        <v>0</v>
      </c>
      <c r="P7" s="3">
        <f t="shared" si="5"/>
        <v>0</v>
      </c>
      <c r="Q7" s="47">
        <f t="shared" si="6"/>
        <v>29320761.328896426</v>
      </c>
      <c r="R7" s="47">
        <f>'Monthly Data'!BR7+'Monthly Data'!BS7</f>
        <v>0</v>
      </c>
      <c r="S7" s="47">
        <f t="shared" si="7"/>
        <v>29320761.328896426</v>
      </c>
      <c r="T7" s="47">
        <f t="shared" si="8"/>
        <v>422126.58014137298</v>
      </c>
      <c r="U7" s="18">
        <f t="shared" si="9"/>
        <v>1.4607146109542704E-2</v>
      </c>
      <c r="X7" s="652"/>
      <c r="Y7" s="652" t="s">
        <v>300</v>
      </c>
      <c r="Z7" s="652" t="s">
        <v>301</v>
      </c>
      <c r="AA7" s="652" t="s">
        <v>302</v>
      </c>
      <c r="AB7" s="652" t="s">
        <v>303</v>
      </c>
      <c r="AD7" s="652"/>
      <c r="AE7" s="652" t="s">
        <v>300</v>
      </c>
      <c r="AF7" s="652" t="s">
        <v>301</v>
      </c>
      <c r="AG7" s="652" t="s">
        <v>302</v>
      </c>
      <c r="AH7" s="652" t="s">
        <v>303</v>
      </c>
    </row>
    <row r="8" spans="1:34">
      <c r="A8" s="2">
        <f>'Monthly Data'!A8</f>
        <v>42552</v>
      </c>
      <c r="B8">
        <f>'Monthly Data'!B8</f>
        <v>2016</v>
      </c>
      <c r="C8">
        <f>'Monthly Data'!C8</f>
        <v>7</v>
      </c>
      <c r="D8" s="3">
        <f>'Monthly Data'!BQ8</f>
        <v>29492405.211729325</v>
      </c>
      <c r="E8" s="3">
        <f>'Monthly Data'!CT8</f>
        <v>0</v>
      </c>
      <c r="F8" s="3">
        <f>'Monthly Data'!CW8</f>
        <v>313.22916666666657</v>
      </c>
      <c r="G8" s="3">
        <f>'Monthly Data'!DQ8</f>
        <v>31</v>
      </c>
      <c r="H8" s="3">
        <f>'Monthly Data'!EJ8</f>
        <v>0</v>
      </c>
      <c r="I8">
        <f>'Monthly Data'!EF8</f>
        <v>0</v>
      </c>
      <c r="K8" s="3">
        <f t="shared" si="0"/>
        <v>13824899.391279301</v>
      </c>
      <c r="L8" s="3">
        <f t="shared" si="1"/>
        <v>0</v>
      </c>
      <c r="M8" s="3">
        <f t="shared" si="2"/>
        <v>4717442.3770900192</v>
      </c>
      <c r="N8" s="3">
        <f t="shared" si="3"/>
        <v>12808183.109129699</v>
      </c>
      <c r="O8" s="3">
        <f t="shared" si="4"/>
        <v>0</v>
      </c>
      <c r="P8" s="3">
        <f t="shared" si="5"/>
        <v>0</v>
      </c>
      <c r="Q8" s="47">
        <f t="shared" si="6"/>
        <v>31350524.877499022</v>
      </c>
      <c r="R8" s="47">
        <f>'Monthly Data'!BR8+'Monthly Data'!BS8</f>
        <v>0</v>
      </c>
      <c r="S8" s="47">
        <f t="shared" si="7"/>
        <v>31350524.877499022</v>
      </c>
      <c r="T8" s="47">
        <f t="shared" si="8"/>
        <v>1858119.6657696962</v>
      </c>
      <c r="U8" s="18">
        <f t="shared" si="9"/>
        <v>6.3003327549246799E-2</v>
      </c>
      <c r="X8" s="652" t="s">
        <v>304</v>
      </c>
      <c r="Y8" s="654">
        <v>13824899.391279301</v>
      </c>
      <c r="Z8" s="654">
        <v>2288344.8652646001</v>
      </c>
      <c r="AA8" s="655">
        <v>6.0414405193601697</v>
      </c>
      <c r="AB8" s="656">
        <v>1.92871110478622E-8</v>
      </c>
      <c r="AD8" s="652" t="s">
        <v>304</v>
      </c>
      <c r="AE8" s="654">
        <v>12734582.359103199</v>
      </c>
      <c r="AF8" s="654">
        <v>2432140.4353725198</v>
      </c>
      <c r="AG8" s="655">
        <v>5.2359568443886504</v>
      </c>
      <c r="AH8" s="656">
        <v>7.5803338009745701E-7</v>
      </c>
    </row>
    <row r="9" spans="1:34">
      <c r="A9" s="2">
        <f>'Monthly Data'!A9</f>
        <v>42583</v>
      </c>
      <c r="B9">
        <f>'Monthly Data'!B9</f>
        <v>2016</v>
      </c>
      <c r="C9">
        <f>'Monthly Data'!C9</f>
        <v>8</v>
      </c>
      <c r="D9" s="3">
        <f>'Monthly Data'!BQ9</f>
        <v>31490742.202473037</v>
      </c>
      <c r="E9" s="3">
        <f>'Monthly Data'!CT9</f>
        <v>0</v>
      </c>
      <c r="F9" s="3">
        <f>'Monthly Data'!CW9</f>
        <v>328.02499999999998</v>
      </c>
      <c r="G9" s="3">
        <f>'Monthly Data'!DQ9</f>
        <v>31</v>
      </c>
      <c r="H9" s="3">
        <f>'Monthly Data'!EJ9</f>
        <v>0</v>
      </c>
      <c r="I9">
        <f>'Monthly Data'!EF9</f>
        <v>0</v>
      </c>
      <c r="K9" s="3">
        <f t="shared" si="0"/>
        <v>13824899.391279301</v>
      </c>
      <c r="L9" s="3">
        <f t="shared" si="1"/>
        <v>0</v>
      </c>
      <c r="M9" s="3">
        <f t="shared" si="2"/>
        <v>4940277.5999838896</v>
      </c>
      <c r="N9" s="3">
        <f t="shared" si="3"/>
        <v>12808183.109129699</v>
      </c>
      <c r="O9" s="3">
        <f t="shared" si="4"/>
        <v>0</v>
      </c>
      <c r="P9" s="3">
        <f t="shared" si="5"/>
        <v>0</v>
      </c>
      <c r="Q9" s="47">
        <f t="shared" si="6"/>
        <v>31573360.100392886</v>
      </c>
      <c r="R9" s="47">
        <f>'Monthly Data'!BR9+'Monthly Data'!BS9</f>
        <v>0</v>
      </c>
      <c r="S9" s="47">
        <f t="shared" si="7"/>
        <v>31573360.100392886</v>
      </c>
      <c r="T9" s="47">
        <f t="shared" si="8"/>
        <v>82617.897919848561</v>
      </c>
      <c r="U9" s="18">
        <f t="shared" si="9"/>
        <v>2.6235614704997459E-3</v>
      </c>
      <c r="X9" s="652" t="s">
        <v>122</v>
      </c>
      <c r="Y9" s="654">
        <v>7714.4329379954697</v>
      </c>
      <c r="Z9" s="654">
        <v>794.02378749933303</v>
      </c>
      <c r="AA9" s="655">
        <v>9.7156194303586307</v>
      </c>
      <c r="AB9" s="656">
        <v>1.1858129729565999E-16</v>
      </c>
      <c r="AD9" s="652" t="s">
        <v>122</v>
      </c>
      <c r="AE9" s="654">
        <v>8285.6738917990897</v>
      </c>
      <c r="AF9" s="654">
        <v>888.42639779310696</v>
      </c>
      <c r="AG9" s="655">
        <v>9.3262355918071496</v>
      </c>
      <c r="AH9" s="656">
        <v>1.0319392942146601E-15</v>
      </c>
    </row>
    <row r="10" spans="1:34">
      <c r="A10" s="2">
        <f>'Monthly Data'!A10</f>
        <v>42614</v>
      </c>
      <c r="B10">
        <f>'Monthly Data'!B10</f>
        <v>2016</v>
      </c>
      <c r="C10">
        <f>'Monthly Data'!C10</f>
        <v>9</v>
      </c>
      <c r="D10" s="3">
        <f>'Monthly Data'!BQ10</f>
        <v>29498749.821856793</v>
      </c>
      <c r="E10" s="3">
        <f>'Monthly Data'!CT10</f>
        <v>4.9124999999999979</v>
      </c>
      <c r="F10" s="3">
        <f>'Monthly Data'!CW10</f>
        <v>176.5541666666667</v>
      </c>
      <c r="G10" s="3">
        <f>'Monthly Data'!DQ10</f>
        <v>30</v>
      </c>
      <c r="H10" s="3">
        <f>'Monthly Data'!EJ10</f>
        <v>0</v>
      </c>
      <c r="I10">
        <f>'Monthly Data'!EF10</f>
        <v>1</v>
      </c>
      <c r="K10" s="3">
        <f t="shared" si="0"/>
        <v>13824899.391279301</v>
      </c>
      <c r="L10" s="3">
        <f t="shared" si="1"/>
        <v>37897.15180790273</v>
      </c>
      <c r="M10" s="3">
        <f t="shared" si="2"/>
        <v>2659024.7535009705</v>
      </c>
      <c r="N10" s="3">
        <f t="shared" si="3"/>
        <v>12395015.912061</v>
      </c>
      <c r="O10" s="3">
        <f t="shared" si="4"/>
        <v>0</v>
      </c>
      <c r="P10" s="3">
        <f t="shared" si="5"/>
        <v>0</v>
      </c>
      <c r="Q10" s="47">
        <f t="shared" ref="Q10:Q41" si="10">SUM(K10:P10)</f>
        <v>28916837.208649173</v>
      </c>
      <c r="R10" s="47">
        <f>'Monthly Data'!BR10+'Monthly Data'!BS10</f>
        <v>0</v>
      </c>
      <c r="S10" s="47">
        <f t="shared" si="7"/>
        <v>28916837.208649173</v>
      </c>
      <c r="T10" s="47">
        <f t="shared" si="8"/>
        <v>-581912.61320761964</v>
      </c>
      <c r="U10" s="18">
        <f t="shared" ref="U10:U41" si="11">ABS(T10/D10)</f>
        <v>1.9726687290878255E-2</v>
      </c>
      <c r="X10" s="652" t="s">
        <v>125</v>
      </c>
      <c r="Y10" s="654">
        <v>15060.674033942199</v>
      </c>
      <c r="Z10" s="654">
        <v>1401.08723519044</v>
      </c>
      <c r="AA10" s="655">
        <v>10.7492764587889</v>
      </c>
      <c r="AB10" s="656">
        <v>4.4513238099265296E-19</v>
      </c>
      <c r="AD10" s="652" t="s">
        <v>125</v>
      </c>
      <c r="AE10" s="654">
        <v>16069.366330218199</v>
      </c>
      <c r="AF10" s="654">
        <v>1579.6818409227701</v>
      </c>
      <c r="AG10" s="655">
        <v>10.1725334266242</v>
      </c>
      <c r="AH10" s="656">
        <v>1.09751115711933E-17</v>
      </c>
    </row>
    <row r="11" spans="1:34">
      <c r="A11" s="2">
        <f>'Monthly Data'!A11</f>
        <v>42644</v>
      </c>
      <c r="B11">
        <f>'Monthly Data'!B11</f>
        <v>2016</v>
      </c>
      <c r="C11">
        <f>'Monthly Data'!C11</f>
        <v>10</v>
      </c>
      <c r="D11" s="3">
        <f>'Monthly Data'!BQ11</f>
        <v>28378040.097499937</v>
      </c>
      <c r="E11" s="3">
        <f>'Monthly Data'!CT11</f>
        <v>121.96666666666667</v>
      </c>
      <c r="F11" s="3">
        <f>'Monthly Data'!CW11</f>
        <v>52.383333333333333</v>
      </c>
      <c r="G11" s="3">
        <f>'Monthly Data'!DQ11</f>
        <v>31</v>
      </c>
      <c r="H11" s="3">
        <f>'Monthly Data'!EJ11</f>
        <v>0</v>
      </c>
      <c r="I11">
        <f>'Monthly Data'!EF11</f>
        <v>1</v>
      </c>
      <c r="K11" s="3">
        <f t="shared" si="0"/>
        <v>13824899.391279301</v>
      </c>
      <c r="L11" s="3">
        <f t="shared" si="1"/>
        <v>940903.67067084752</v>
      </c>
      <c r="M11" s="3">
        <f t="shared" si="2"/>
        <v>788928.30814467219</v>
      </c>
      <c r="N11" s="3">
        <f t="shared" si="3"/>
        <v>12808183.109129699</v>
      </c>
      <c r="O11" s="3">
        <f t="shared" si="4"/>
        <v>0</v>
      </c>
      <c r="P11" s="3">
        <f t="shared" si="5"/>
        <v>0</v>
      </c>
      <c r="Q11" s="47">
        <f t="shared" si="10"/>
        <v>28362914.479224518</v>
      </c>
      <c r="R11" s="47">
        <f>'Monthly Data'!BR11+'Monthly Data'!BS11</f>
        <v>0</v>
      </c>
      <c r="S11" s="47">
        <f t="shared" si="7"/>
        <v>28362914.479224518</v>
      </c>
      <c r="T11" s="47">
        <f t="shared" si="8"/>
        <v>-15125.618275418878</v>
      </c>
      <c r="U11" s="18">
        <f t="shared" si="11"/>
        <v>5.3300433093515234E-4</v>
      </c>
      <c r="X11" s="652" t="s">
        <v>305</v>
      </c>
      <c r="Y11" s="654">
        <v>413167.19706869998</v>
      </c>
      <c r="Z11" s="654">
        <v>75386.536571987497</v>
      </c>
      <c r="AA11" s="655">
        <v>5.4806496737539003</v>
      </c>
      <c r="AB11" s="656">
        <v>2.5371229443073602E-7</v>
      </c>
      <c r="AD11" s="652" t="s">
        <v>305</v>
      </c>
      <c r="AE11" s="654">
        <v>438252.40415986202</v>
      </c>
      <c r="AF11" s="654">
        <v>77962.862621107401</v>
      </c>
      <c r="AG11" s="655">
        <v>5.6212969794314702</v>
      </c>
      <c r="AH11" s="656">
        <v>1.3652897256988299E-7</v>
      </c>
    </row>
    <row r="12" spans="1:34">
      <c r="A12" s="2">
        <f>'Monthly Data'!A12</f>
        <v>42675</v>
      </c>
      <c r="B12">
        <f>'Monthly Data'!B12</f>
        <v>2016</v>
      </c>
      <c r="C12">
        <f>'Monthly Data'!C12</f>
        <v>11</v>
      </c>
      <c r="D12" s="3">
        <f>'Monthly Data'!BQ12</f>
        <v>27564789.38004791</v>
      </c>
      <c r="E12" s="3">
        <f>'Monthly Data'!CT12</f>
        <v>257.33511904761906</v>
      </c>
      <c r="F12" s="3">
        <f>'Monthly Data'!CW12</f>
        <v>1.3291666666666675</v>
      </c>
      <c r="G12" s="3">
        <f>'Monthly Data'!DQ12</f>
        <v>30</v>
      </c>
      <c r="H12" s="3">
        <f>'Monthly Data'!EJ12</f>
        <v>0</v>
      </c>
      <c r="I12">
        <f>'Monthly Data'!EF12</f>
        <v>1</v>
      </c>
      <c r="K12" s="3">
        <f t="shared" si="0"/>
        <v>13824899.391279301</v>
      </c>
      <c r="L12" s="3">
        <f t="shared" si="1"/>
        <v>1985194.518483938</v>
      </c>
      <c r="M12" s="3">
        <f t="shared" si="2"/>
        <v>20018.145903448185</v>
      </c>
      <c r="N12" s="3">
        <f t="shared" si="3"/>
        <v>12395015.912061</v>
      </c>
      <c r="O12" s="3">
        <f t="shared" si="4"/>
        <v>0</v>
      </c>
      <c r="P12" s="3">
        <f t="shared" si="5"/>
        <v>0</v>
      </c>
      <c r="Q12" s="47">
        <f t="shared" si="10"/>
        <v>28225127.967727687</v>
      </c>
      <c r="R12" s="47">
        <f>'Monthly Data'!BR12+'Monthly Data'!BS12</f>
        <v>0</v>
      </c>
      <c r="S12" s="47">
        <f t="shared" si="7"/>
        <v>28225127.967727687</v>
      </c>
      <c r="T12" s="47">
        <f t="shared" si="8"/>
        <v>660338.58767977729</v>
      </c>
      <c r="U12" s="18">
        <f t="shared" si="11"/>
        <v>2.3955872783042086E-2</v>
      </c>
      <c r="X12" s="652" t="s">
        <v>164</v>
      </c>
      <c r="Y12" s="654">
        <v>-3503977.2873818199</v>
      </c>
      <c r="Z12" s="654">
        <v>824968.454046987</v>
      </c>
      <c r="AA12" s="655">
        <v>-4.24740760715469</v>
      </c>
      <c r="AB12" s="656">
        <v>4.41023426466394E-5</v>
      </c>
      <c r="AD12" s="652" t="s">
        <v>164</v>
      </c>
      <c r="AE12" s="654">
        <v>-3437897.5684758802</v>
      </c>
      <c r="AF12" s="654">
        <v>806494.34170491598</v>
      </c>
      <c r="AG12" s="655">
        <v>-4.2627671276753398</v>
      </c>
      <c r="AH12" s="656">
        <v>4.1804161461478398E-5</v>
      </c>
    </row>
    <row r="13" spans="1:34">
      <c r="A13" s="2">
        <f>'Monthly Data'!A13</f>
        <v>42705</v>
      </c>
      <c r="B13">
        <f>'Monthly Data'!B13</f>
        <v>2016</v>
      </c>
      <c r="C13">
        <f>'Monthly Data'!C13</f>
        <v>12</v>
      </c>
      <c r="D13" s="3">
        <f>'Monthly Data'!BQ13</f>
        <v>27986393.377696451</v>
      </c>
      <c r="E13" s="3">
        <f>'Monthly Data'!CT13</f>
        <v>492.67083333333335</v>
      </c>
      <c r="F13" s="3">
        <f>'Monthly Data'!CW13</f>
        <v>0</v>
      </c>
      <c r="G13" s="3">
        <f>'Monthly Data'!DQ13</f>
        <v>31</v>
      </c>
      <c r="H13" s="3">
        <f>'Monthly Data'!EJ13</f>
        <v>0</v>
      </c>
      <c r="I13">
        <f>'Monthly Data'!EF13</f>
        <v>0</v>
      </c>
      <c r="K13" s="3">
        <f t="shared" si="0"/>
        <v>13824899.391279301</v>
      </c>
      <c r="L13" s="3">
        <f t="shared" si="1"/>
        <v>3800676.1042563431</v>
      </c>
      <c r="M13" s="3">
        <f t="shared" si="2"/>
        <v>0</v>
      </c>
      <c r="N13" s="3">
        <f t="shared" si="3"/>
        <v>12808183.109129699</v>
      </c>
      <c r="O13" s="3">
        <f t="shared" si="4"/>
        <v>0</v>
      </c>
      <c r="P13" s="3">
        <f t="shared" si="5"/>
        <v>0</v>
      </c>
      <c r="Q13" s="47">
        <f t="shared" si="10"/>
        <v>30433758.604665339</v>
      </c>
      <c r="R13" s="47">
        <f>'Monthly Data'!BR13+'Monthly Data'!BS13</f>
        <v>0</v>
      </c>
      <c r="S13" s="47">
        <f t="shared" si="7"/>
        <v>30433758.604665339</v>
      </c>
      <c r="T13" s="47">
        <f t="shared" si="8"/>
        <v>2447365.2269688882</v>
      </c>
      <c r="U13" s="18">
        <f t="shared" si="11"/>
        <v>8.7448396581150681E-2</v>
      </c>
      <c r="X13" s="772" t="s">
        <v>879</v>
      </c>
      <c r="Y13" s="654"/>
      <c r="Z13" s="654"/>
      <c r="AA13" s="655"/>
      <c r="AB13" s="656"/>
      <c r="AD13" s="652" t="s">
        <v>160</v>
      </c>
      <c r="AE13" s="654">
        <v>387802.21629696898</v>
      </c>
      <c r="AF13" s="654">
        <v>283831.16242616699</v>
      </c>
      <c r="AG13" s="655">
        <v>1.3663130326566899</v>
      </c>
      <c r="AH13" s="662">
        <v>0.174529759525031</v>
      </c>
    </row>
    <row r="14" spans="1:34">
      <c r="A14" s="2">
        <f>'Monthly Data'!A14</f>
        <v>42736</v>
      </c>
      <c r="B14">
        <f>'Monthly Data'!B14</f>
        <v>2017</v>
      </c>
      <c r="C14">
        <f>'Monthly Data'!C14</f>
        <v>1</v>
      </c>
      <c r="D14" s="3">
        <f>'Monthly Data'!BQ14</f>
        <v>29882819.409545325</v>
      </c>
      <c r="E14" s="3">
        <f>'Monthly Data'!CT14</f>
        <v>496.21666666666664</v>
      </c>
      <c r="F14" s="3">
        <f>'Monthly Data'!CW14</f>
        <v>0</v>
      </c>
      <c r="G14" s="3">
        <f>'Monthly Data'!DQ14</f>
        <v>31</v>
      </c>
      <c r="H14" s="3">
        <f>'Monthly Data'!EJ14</f>
        <v>0</v>
      </c>
      <c r="I14">
        <f>'Monthly Data'!EF14</f>
        <v>0</v>
      </c>
      <c r="K14" s="3">
        <f t="shared" si="0"/>
        <v>13824899.391279301</v>
      </c>
      <c r="L14" s="3">
        <f t="shared" si="1"/>
        <v>3828030.1977156517</v>
      </c>
      <c r="M14" s="3">
        <f t="shared" si="2"/>
        <v>0</v>
      </c>
      <c r="N14" s="3">
        <f t="shared" si="3"/>
        <v>12808183.109129699</v>
      </c>
      <c r="O14" s="3">
        <f t="shared" si="4"/>
        <v>0</v>
      </c>
      <c r="P14" s="3">
        <f t="shared" si="5"/>
        <v>0</v>
      </c>
      <c r="Q14" s="47">
        <f t="shared" si="10"/>
        <v>30461112.698124655</v>
      </c>
      <c r="R14" s="47">
        <f>'Monthly Data'!BR14+'Monthly Data'!BS14</f>
        <v>64.96546153846154</v>
      </c>
      <c r="S14" s="47">
        <f t="shared" si="7"/>
        <v>30461177.663586192</v>
      </c>
      <c r="T14" s="47">
        <f t="shared" si="8"/>
        <v>578358.25404086709</v>
      </c>
      <c r="U14" s="18">
        <f t="shared" si="11"/>
        <v>1.9354206379071613E-2</v>
      </c>
      <c r="Y14" s="3"/>
      <c r="Z14" s="3"/>
      <c r="AA14" s="235"/>
      <c r="AB14" s="100"/>
      <c r="AE14" s="3"/>
      <c r="AF14" s="3"/>
      <c r="AG14" s="235"/>
      <c r="AH14" s="100"/>
    </row>
    <row r="15" spans="1:34">
      <c r="A15" s="2">
        <f>'Monthly Data'!A15</f>
        <v>42767</v>
      </c>
      <c r="B15">
        <f>'Monthly Data'!B15</f>
        <v>2017</v>
      </c>
      <c r="C15">
        <f>'Monthly Data'!C15</f>
        <v>2</v>
      </c>
      <c r="D15" s="3">
        <f>'Monthly Data'!BQ15</f>
        <v>27283341.26792654</v>
      </c>
      <c r="E15" s="3">
        <f>'Monthly Data'!CT15</f>
        <v>418.08333333333331</v>
      </c>
      <c r="F15" s="3">
        <f>'Monthly Data'!CW15</f>
        <v>0</v>
      </c>
      <c r="G15" s="3">
        <f>'Monthly Data'!DQ15</f>
        <v>28</v>
      </c>
      <c r="H15" s="3">
        <f>'Monthly Data'!EJ15</f>
        <v>0</v>
      </c>
      <c r="I15">
        <f>'Monthly Data'!EF15</f>
        <v>0</v>
      </c>
      <c r="K15" s="3">
        <f t="shared" si="0"/>
        <v>13824899.391279301</v>
      </c>
      <c r="L15" s="3">
        <f t="shared" si="1"/>
        <v>3225275.8374936059</v>
      </c>
      <c r="M15" s="3">
        <f t="shared" si="2"/>
        <v>0</v>
      </c>
      <c r="N15" s="3">
        <f t="shared" si="3"/>
        <v>11568681.517923599</v>
      </c>
      <c r="O15" s="3">
        <f t="shared" si="4"/>
        <v>0</v>
      </c>
      <c r="P15" s="3">
        <f t="shared" si="5"/>
        <v>0</v>
      </c>
      <c r="Q15" s="47">
        <f t="shared" si="10"/>
        <v>28618856.746696509</v>
      </c>
      <c r="R15" s="47">
        <f>'Monthly Data'!BR15+'Monthly Data'!BS15</f>
        <v>129.93092307692308</v>
      </c>
      <c r="S15" s="47">
        <f t="shared" si="7"/>
        <v>28618986.677619588</v>
      </c>
      <c r="T15" s="47">
        <f t="shared" si="8"/>
        <v>1335645.4096930474</v>
      </c>
      <c r="U15" s="18">
        <f t="shared" si="11"/>
        <v>4.8954612874457251E-2</v>
      </c>
      <c r="X15" s="657" t="s">
        <v>306</v>
      </c>
      <c r="Y15" s="658"/>
      <c r="Z15" s="658"/>
      <c r="AA15" s="659"/>
      <c r="AB15" s="100"/>
      <c r="AD15" s="657" t="s">
        <v>306</v>
      </c>
      <c r="AE15" s="658"/>
      <c r="AF15" s="658"/>
      <c r="AG15" s="659"/>
      <c r="AH15" s="100"/>
    </row>
    <row r="16" spans="1:34">
      <c r="A16" s="2">
        <f>'Monthly Data'!A16</f>
        <v>42795</v>
      </c>
      <c r="B16">
        <f>'Monthly Data'!B16</f>
        <v>2017</v>
      </c>
      <c r="C16">
        <f>'Monthly Data'!C16</f>
        <v>3</v>
      </c>
      <c r="D16" s="3">
        <f>'Monthly Data'!BQ16</f>
        <v>28468201.331051078</v>
      </c>
      <c r="E16" s="3">
        <f>'Monthly Data'!CT16</f>
        <v>475.67916666666662</v>
      </c>
      <c r="F16" s="3">
        <f>'Monthly Data'!CW16</f>
        <v>0</v>
      </c>
      <c r="G16" s="3">
        <f>'Monthly Data'!DQ16</f>
        <v>31</v>
      </c>
      <c r="H16" s="3">
        <f>'Monthly Data'!EJ16</f>
        <v>0</v>
      </c>
      <c r="I16">
        <f>'Monthly Data'!EF16</f>
        <v>0</v>
      </c>
      <c r="K16" s="3">
        <f t="shared" si="0"/>
        <v>13824899.391279301</v>
      </c>
      <c r="L16" s="3">
        <f t="shared" si="1"/>
        <v>3669595.0312515697</v>
      </c>
      <c r="M16" s="3">
        <f t="shared" si="2"/>
        <v>0</v>
      </c>
      <c r="N16" s="3">
        <f t="shared" si="3"/>
        <v>12808183.109129699</v>
      </c>
      <c r="O16" s="3">
        <f t="shared" si="4"/>
        <v>0</v>
      </c>
      <c r="P16" s="3">
        <f t="shared" si="5"/>
        <v>0</v>
      </c>
      <c r="Q16" s="47">
        <f t="shared" si="10"/>
        <v>30302677.531660572</v>
      </c>
      <c r="R16" s="47">
        <f>'Monthly Data'!BR16+'Monthly Data'!BS16</f>
        <v>194.89638461538465</v>
      </c>
      <c r="S16" s="47">
        <f t="shared" si="7"/>
        <v>30302872.428045187</v>
      </c>
      <c r="T16" s="47">
        <f t="shared" si="8"/>
        <v>1834671.0969941095</v>
      </c>
      <c r="U16" s="18">
        <f t="shared" si="11"/>
        <v>6.4446329982673731E-2</v>
      </c>
      <c r="X16" s="652" t="s">
        <v>307</v>
      </c>
      <c r="Y16" s="660">
        <v>101070955480378</v>
      </c>
      <c r="Z16" s="652" t="s">
        <v>308</v>
      </c>
      <c r="AA16" s="654">
        <v>937484.86587380001</v>
      </c>
      <c r="AD16" s="652" t="s">
        <v>307</v>
      </c>
      <c r="AE16" s="660">
        <v>99482084536176</v>
      </c>
      <c r="AF16" s="652" t="s">
        <v>308</v>
      </c>
      <c r="AG16" s="654">
        <v>934157.30171766097</v>
      </c>
    </row>
    <row r="17" spans="1:33">
      <c r="A17" s="2">
        <f>'Monthly Data'!A17</f>
        <v>42826</v>
      </c>
      <c r="B17">
        <f>'Monthly Data'!B17</f>
        <v>2017</v>
      </c>
      <c r="C17">
        <f>'Monthly Data'!C17</f>
        <v>4</v>
      </c>
      <c r="D17" s="3">
        <f>'Monthly Data'!BQ17</f>
        <v>26922782.381266579</v>
      </c>
      <c r="E17" s="3">
        <f>'Monthly Data'!CT17</f>
        <v>174.03750000000005</v>
      </c>
      <c r="F17" s="3">
        <f>'Monthly Data'!CW17</f>
        <v>12.412500000000001</v>
      </c>
      <c r="G17" s="3">
        <f>'Monthly Data'!DQ17</f>
        <v>30</v>
      </c>
      <c r="H17" s="3">
        <f>'Monthly Data'!EJ17</f>
        <v>0</v>
      </c>
      <c r="I17">
        <f>'Monthly Data'!EF17</f>
        <v>0</v>
      </c>
      <c r="K17" s="3">
        <f t="shared" si="0"/>
        <v>13824899.391279301</v>
      </c>
      <c r="L17" s="3">
        <f t="shared" si="1"/>
        <v>1342600.6224463868</v>
      </c>
      <c r="M17" s="3">
        <f t="shared" si="2"/>
        <v>186940.61644630757</v>
      </c>
      <c r="N17" s="3">
        <f t="shared" si="3"/>
        <v>12395015.912061</v>
      </c>
      <c r="O17" s="3">
        <f t="shared" si="4"/>
        <v>0</v>
      </c>
      <c r="P17" s="3">
        <f t="shared" si="5"/>
        <v>0</v>
      </c>
      <c r="Q17" s="47">
        <f t="shared" si="10"/>
        <v>27749456.542232994</v>
      </c>
      <c r="R17" s="47">
        <f>'Monthly Data'!BR17+'Monthly Data'!BS17</f>
        <v>259.86184615384616</v>
      </c>
      <c r="S17" s="47">
        <f t="shared" si="7"/>
        <v>27749716.404079147</v>
      </c>
      <c r="T17" s="47">
        <f t="shared" si="8"/>
        <v>826934.02281256765</v>
      </c>
      <c r="U17" s="18">
        <f t="shared" si="11"/>
        <v>3.0715028302125458E-2</v>
      </c>
      <c r="X17" s="652" t="s">
        <v>309</v>
      </c>
      <c r="Y17" s="661">
        <v>0.76377545550211501</v>
      </c>
      <c r="Z17" s="652" t="s">
        <v>310</v>
      </c>
      <c r="AA17" s="661">
        <v>0.75555894960653702</v>
      </c>
      <c r="AD17" s="652" t="s">
        <v>309</v>
      </c>
      <c r="AE17" s="661">
        <v>0.76765362858446595</v>
      </c>
      <c r="AF17" s="652" t="s">
        <v>310</v>
      </c>
      <c r="AG17" s="661">
        <v>0.75746299825922303</v>
      </c>
    </row>
    <row r="18" spans="1:33">
      <c r="A18" s="2">
        <f>'Monthly Data'!A18</f>
        <v>42856</v>
      </c>
      <c r="B18">
        <f>'Monthly Data'!B18</f>
        <v>2017</v>
      </c>
      <c r="C18">
        <f>'Monthly Data'!C18</f>
        <v>5</v>
      </c>
      <c r="D18" s="3">
        <f>'Monthly Data'!BQ18</f>
        <v>26797728.323706638</v>
      </c>
      <c r="E18" s="3">
        <f>'Monthly Data'!CT18</f>
        <v>88.129166666666677</v>
      </c>
      <c r="F18" s="3">
        <f>'Monthly Data'!CW18</f>
        <v>54.529166666666683</v>
      </c>
      <c r="G18" s="3">
        <f>'Monthly Data'!DQ18</f>
        <v>31</v>
      </c>
      <c r="H18" s="3">
        <f>'Monthly Data'!EJ18</f>
        <v>0</v>
      </c>
      <c r="I18">
        <f>'Monthly Data'!EF18</f>
        <v>0</v>
      </c>
      <c r="K18" s="3">
        <f t="shared" si="0"/>
        <v>13824899.391279301</v>
      </c>
      <c r="L18" s="3">
        <f t="shared" si="1"/>
        <v>679866.54613142589</v>
      </c>
      <c r="M18" s="3">
        <f t="shared" si="2"/>
        <v>821246.00450917345</v>
      </c>
      <c r="N18" s="3">
        <f t="shared" si="3"/>
        <v>12808183.109129699</v>
      </c>
      <c r="O18" s="3">
        <f t="shared" si="4"/>
        <v>0</v>
      </c>
      <c r="P18" s="3">
        <f t="shared" si="5"/>
        <v>0</v>
      </c>
      <c r="Q18" s="47">
        <f t="shared" si="10"/>
        <v>28134195.051049598</v>
      </c>
      <c r="R18" s="47">
        <f>'Monthly Data'!BR18+'Monthly Data'!BS18</f>
        <v>324.82730769230773</v>
      </c>
      <c r="S18" s="47">
        <f t="shared" si="7"/>
        <v>28134519.878357291</v>
      </c>
      <c r="T18" s="47">
        <f t="shared" si="8"/>
        <v>1336791.5546506532</v>
      </c>
      <c r="U18" s="18">
        <f t="shared" si="11"/>
        <v>4.9884510302616175E-2</v>
      </c>
      <c r="X18" s="652" t="s">
        <v>327</v>
      </c>
      <c r="Y18" s="655">
        <v>103.439778337381</v>
      </c>
      <c r="Z18" s="652" t="s">
        <v>312</v>
      </c>
      <c r="AA18" s="661">
        <v>3.6770760228759201E-37</v>
      </c>
      <c r="AD18" s="652" t="s">
        <v>328</v>
      </c>
      <c r="AE18" s="655">
        <v>83.168641153909107</v>
      </c>
      <c r="AF18" s="652" t="s">
        <v>312</v>
      </c>
      <c r="AG18" s="661">
        <v>2.1713149617491999E-36</v>
      </c>
    </row>
    <row r="19" spans="1:33">
      <c r="A19" s="2">
        <f>'Monthly Data'!A19</f>
        <v>42887</v>
      </c>
      <c r="B19">
        <f>'Monthly Data'!B19</f>
        <v>2017</v>
      </c>
      <c r="C19">
        <f>'Monthly Data'!C19</f>
        <v>6</v>
      </c>
      <c r="D19" s="3">
        <f>'Monthly Data'!BQ19</f>
        <v>28226505.817032319</v>
      </c>
      <c r="E19" s="3">
        <f>'Monthly Data'!CT19</f>
        <v>4.091666666666665</v>
      </c>
      <c r="F19" s="3">
        <f>'Monthly Data'!CW19</f>
        <v>168.62166666666667</v>
      </c>
      <c r="G19" s="3">
        <f>'Monthly Data'!DQ19</f>
        <v>30</v>
      </c>
      <c r="H19" s="3">
        <f>'Monthly Data'!EJ19</f>
        <v>0</v>
      </c>
      <c r="I19">
        <f>'Monthly Data'!EF19</f>
        <v>0</v>
      </c>
      <c r="K19" s="3">
        <f t="shared" si="0"/>
        <v>13824899.391279301</v>
      </c>
      <c r="L19" s="3">
        <f t="shared" si="1"/>
        <v>31564.888104631449</v>
      </c>
      <c r="M19" s="3">
        <f t="shared" si="2"/>
        <v>2539555.9567267238</v>
      </c>
      <c r="N19" s="3">
        <f t="shared" si="3"/>
        <v>12395015.912061</v>
      </c>
      <c r="O19" s="3">
        <f t="shared" si="4"/>
        <v>0</v>
      </c>
      <c r="P19" s="3">
        <f t="shared" si="5"/>
        <v>0</v>
      </c>
      <c r="Q19" s="47">
        <f t="shared" si="10"/>
        <v>28791036.148171656</v>
      </c>
      <c r="R19" s="47">
        <f>'Monthly Data'!BR19+'Monthly Data'!BS19</f>
        <v>389.7927692307693</v>
      </c>
      <c r="S19" s="47">
        <f t="shared" si="7"/>
        <v>28791425.940940887</v>
      </c>
      <c r="T19" s="47">
        <f t="shared" si="8"/>
        <v>564920.12390856817</v>
      </c>
      <c r="U19" s="18">
        <f t="shared" si="11"/>
        <v>2.001381706862514E-2</v>
      </c>
      <c r="X19" s="652" t="s">
        <v>313</v>
      </c>
      <c r="Y19" s="661">
        <v>-0.18942969867738901</v>
      </c>
      <c r="Z19" s="652" t="s">
        <v>314</v>
      </c>
      <c r="AA19" s="661">
        <v>2.34658082515665</v>
      </c>
      <c r="AD19" s="652" t="s">
        <v>313</v>
      </c>
      <c r="AE19" s="661">
        <v>-0.19484043351316099</v>
      </c>
      <c r="AF19" s="652" t="s">
        <v>314</v>
      </c>
      <c r="AG19" s="661">
        <v>2.3481930858304301</v>
      </c>
    </row>
    <row r="20" spans="1:33">
      <c r="A20" s="2">
        <f>'Monthly Data'!A20</f>
        <v>42917</v>
      </c>
      <c r="B20">
        <f>'Monthly Data'!B20</f>
        <v>2017</v>
      </c>
      <c r="C20">
        <f>'Monthly Data'!C20</f>
        <v>7</v>
      </c>
      <c r="D20" s="3">
        <f>'Monthly Data'!BQ20</f>
        <v>27675271.090604164</v>
      </c>
      <c r="E20" s="3">
        <f>'Monthly Data'!CT20</f>
        <v>0</v>
      </c>
      <c r="F20" s="3">
        <f>'Monthly Data'!CW20</f>
        <v>260.16666666666657</v>
      </c>
      <c r="G20" s="3">
        <f>'Monthly Data'!DQ20</f>
        <v>31</v>
      </c>
      <c r="H20" s="3">
        <f>'Monthly Data'!EJ20</f>
        <v>0</v>
      </c>
      <c r="I20">
        <f>'Monthly Data'!EF20</f>
        <v>0</v>
      </c>
      <c r="K20" s="3">
        <f t="shared" si="0"/>
        <v>13824899.391279301</v>
      </c>
      <c r="L20" s="3">
        <f t="shared" si="1"/>
        <v>0</v>
      </c>
      <c r="M20" s="3">
        <f t="shared" si="2"/>
        <v>3918285.3611639608</v>
      </c>
      <c r="N20" s="3">
        <f t="shared" si="3"/>
        <v>12808183.109129699</v>
      </c>
      <c r="O20" s="3">
        <f t="shared" si="4"/>
        <v>0</v>
      </c>
      <c r="P20" s="3">
        <f t="shared" si="5"/>
        <v>0</v>
      </c>
      <c r="Q20" s="47">
        <f t="shared" si="10"/>
        <v>30551367.861572959</v>
      </c>
      <c r="R20" s="47">
        <f>'Monthly Data'!BR20+'Monthly Data'!BS20</f>
        <v>454.75823076923086</v>
      </c>
      <c r="S20" s="47">
        <f t="shared" si="7"/>
        <v>30551822.619803727</v>
      </c>
      <c r="T20" s="47">
        <f t="shared" si="8"/>
        <v>2876551.529199563</v>
      </c>
      <c r="U20" s="18">
        <f t="shared" si="11"/>
        <v>0.10393941652033756</v>
      </c>
    </row>
    <row r="21" spans="1:33">
      <c r="A21" s="2">
        <f>'Monthly Data'!A21</f>
        <v>42948</v>
      </c>
      <c r="B21">
        <f>'Monthly Data'!B21</f>
        <v>2017</v>
      </c>
      <c r="C21">
        <f>'Monthly Data'!C21</f>
        <v>8</v>
      </c>
      <c r="D21" s="3">
        <f>'Monthly Data'!BQ21</f>
        <v>28599413.156730805</v>
      </c>
      <c r="E21" s="3">
        <f>'Monthly Data'!CT21</f>
        <v>0</v>
      </c>
      <c r="F21" s="3">
        <f>'Monthly Data'!CW21</f>
        <v>217.42409420289852</v>
      </c>
      <c r="G21" s="3">
        <f>'Monthly Data'!DQ21</f>
        <v>31</v>
      </c>
      <c r="H21" s="3">
        <f>'Monthly Data'!EJ21</f>
        <v>0</v>
      </c>
      <c r="I21">
        <f>'Monthly Data'!EF21</f>
        <v>0</v>
      </c>
      <c r="K21" s="3">
        <f t="shared" si="0"/>
        <v>13824899.391279301</v>
      </c>
      <c r="L21" s="3">
        <f t="shared" si="1"/>
        <v>0</v>
      </c>
      <c r="M21" s="3">
        <f t="shared" si="2"/>
        <v>3274553.4099149965</v>
      </c>
      <c r="N21" s="3">
        <f t="shared" si="3"/>
        <v>12808183.109129699</v>
      </c>
      <c r="O21" s="3">
        <f t="shared" si="4"/>
        <v>0</v>
      </c>
      <c r="P21" s="3">
        <f t="shared" si="5"/>
        <v>0</v>
      </c>
      <c r="Q21" s="47">
        <f t="shared" si="10"/>
        <v>29907635.910323992</v>
      </c>
      <c r="R21" s="47">
        <f>'Monthly Data'!BR21+'Monthly Data'!BS21</f>
        <v>519.72369230769232</v>
      </c>
      <c r="S21" s="47">
        <f t="shared" si="7"/>
        <v>29908155.634016301</v>
      </c>
      <c r="T21" s="47">
        <f t="shared" si="8"/>
        <v>1308742.4772854969</v>
      </c>
      <c r="U21" s="18">
        <f t="shared" si="11"/>
        <v>4.5761165451658488E-2</v>
      </c>
      <c r="X21" s="657" t="s">
        <v>315</v>
      </c>
      <c r="Y21" s="658"/>
      <c r="Z21" s="658"/>
      <c r="AA21" s="659"/>
      <c r="AD21" s="657" t="s">
        <v>315</v>
      </c>
      <c r="AE21" s="658"/>
      <c r="AF21" s="658"/>
      <c r="AG21" s="659"/>
    </row>
    <row r="22" spans="1:33">
      <c r="A22" s="2">
        <f>'Monthly Data'!A22</f>
        <v>42979</v>
      </c>
      <c r="B22">
        <f>'Monthly Data'!B22</f>
        <v>2017</v>
      </c>
      <c r="C22">
        <f>'Monthly Data'!C22</f>
        <v>9</v>
      </c>
      <c r="D22" s="3">
        <f>'Monthly Data'!BQ22</f>
        <v>29212333.29070494</v>
      </c>
      <c r="E22" s="3">
        <f>'Monthly Data'!CT22</f>
        <v>16.833333333333329</v>
      </c>
      <c r="F22" s="3">
        <f>'Monthly Data'!CW22</f>
        <v>161.3125</v>
      </c>
      <c r="G22" s="3">
        <f>'Monthly Data'!DQ22</f>
        <v>30</v>
      </c>
      <c r="H22" s="3">
        <f>'Monthly Data'!EJ22</f>
        <v>0</v>
      </c>
      <c r="I22">
        <f>'Monthly Data'!EF22</f>
        <v>1</v>
      </c>
      <c r="K22" s="3">
        <f t="shared" si="0"/>
        <v>13824899.391279301</v>
      </c>
      <c r="L22" s="3">
        <f t="shared" si="1"/>
        <v>129859.62112292371</v>
      </c>
      <c r="M22" s="3">
        <f t="shared" si="2"/>
        <v>2429474.9801003011</v>
      </c>
      <c r="N22" s="3">
        <f t="shared" si="3"/>
        <v>12395015.912061</v>
      </c>
      <c r="O22" s="3">
        <f t="shared" si="4"/>
        <v>0</v>
      </c>
      <c r="P22" s="3">
        <f t="shared" si="5"/>
        <v>0</v>
      </c>
      <c r="Q22" s="47">
        <f t="shared" si="10"/>
        <v>28779249.904563524</v>
      </c>
      <c r="R22" s="47">
        <f>'Monthly Data'!BR22+'Monthly Data'!BS22</f>
        <v>584.68915384615389</v>
      </c>
      <c r="S22" s="47">
        <f t="shared" si="7"/>
        <v>28779834.59371737</v>
      </c>
      <c r="T22" s="47">
        <f t="shared" si="8"/>
        <v>-432498.69698756933</v>
      </c>
      <c r="U22" s="18">
        <f t="shared" si="11"/>
        <v>1.4805345834020931E-2</v>
      </c>
      <c r="X22" s="652" t="s">
        <v>316</v>
      </c>
      <c r="Y22" s="654">
        <v>28995625.564184599</v>
      </c>
      <c r="Z22" s="652" t="s">
        <v>317</v>
      </c>
      <c r="AA22" s="654">
        <v>1884051.73463586</v>
      </c>
      <c r="AD22" s="652" t="s">
        <v>316</v>
      </c>
      <c r="AE22" s="654">
        <v>28995625.564184599</v>
      </c>
      <c r="AF22" s="652" t="s">
        <v>317</v>
      </c>
      <c r="AG22" s="654">
        <v>1884051.73463586</v>
      </c>
    </row>
    <row r="23" spans="1:33">
      <c r="A23" s="2">
        <f>'Monthly Data'!A23</f>
        <v>43009</v>
      </c>
      <c r="B23">
        <f>'Monthly Data'!B23</f>
        <v>2017</v>
      </c>
      <c r="C23">
        <f>'Monthly Data'!C23</f>
        <v>10</v>
      </c>
      <c r="D23" s="3">
        <f>'Monthly Data'!BQ23</f>
        <v>27215513.618014403</v>
      </c>
      <c r="E23" s="3">
        <f>'Monthly Data'!CT23</f>
        <v>82.137500000000017</v>
      </c>
      <c r="F23" s="3">
        <f>'Monthly Data'!CW23</f>
        <v>59.400000000000006</v>
      </c>
      <c r="G23" s="3">
        <f>'Monthly Data'!DQ23</f>
        <v>31</v>
      </c>
      <c r="H23" s="3">
        <f>'Monthly Data'!EJ23</f>
        <v>0</v>
      </c>
      <c r="I23">
        <f>'Monthly Data'!EF23</f>
        <v>1</v>
      </c>
      <c r="K23" s="3">
        <f t="shared" si="0"/>
        <v>13824899.391279301</v>
      </c>
      <c r="L23" s="3">
        <f t="shared" si="1"/>
        <v>633644.23544460302</v>
      </c>
      <c r="M23" s="3">
        <f t="shared" si="2"/>
        <v>894604.03761616675</v>
      </c>
      <c r="N23" s="3">
        <f t="shared" si="3"/>
        <v>12808183.109129699</v>
      </c>
      <c r="O23" s="3">
        <f t="shared" si="4"/>
        <v>0</v>
      </c>
      <c r="P23" s="3">
        <f t="shared" si="5"/>
        <v>0</v>
      </c>
      <c r="Q23" s="47">
        <f t="shared" si="10"/>
        <v>28161330.773469768</v>
      </c>
      <c r="R23" s="47">
        <f>'Monthly Data'!BR23+'Monthly Data'!BS23</f>
        <v>649.65461538461545</v>
      </c>
      <c r="S23" s="47">
        <f t="shared" si="7"/>
        <v>28161980.428085152</v>
      </c>
      <c r="T23" s="47">
        <f t="shared" si="8"/>
        <v>946466.81007074937</v>
      </c>
      <c r="U23" s="18">
        <f t="shared" si="11"/>
        <v>3.4776738861333381E-2</v>
      </c>
    </row>
    <row r="24" spans="1:33">
      <c r="A24" s="2">
        <f>'Monthly Data'!A24</f>
        <v>43040</v>
      </c>
      <c r="B24">
        <f>'Monthly Data'!B24</f>
        <v>2017</v>
      </c>
      <c r="C24">
        <f>'Monthly Data'!C24</f>
        <v>11</v>
      </c>
      <c r="D24" s="3">
        <f>'Monthly Data'!BQ24</f>
        <v>28848071.770601567</v>
      </c>
      <c r="E24" s="3">
        <f>'Monthly Data'!CT24</f>
        <v>322.61174242424249</v>
      </c>
      <c r="F24" s="3">
        <f>'Monthly Data'!CW24</f>
        <v>0</v>
      </c>
      <c r="G24" s="3">
        <f>'Monthly Data'!DQ24</f>
        <v>30</v>
      </c>
      <c r="H24" s="3">
        <f>'Monthly Data'!EJ24</f>
        <v>0</v>
      </c>
      <c r="I24">
        <f>'Monthly Data'!EF24</f>
        <v>1</v>
      </c>
      <c r="K24" s="3">
        <f t="shared" si="0"/>
        <v>13824899.391279301</v>
      </c>
      <c r="L24" s="3">
        <f t="shared" si="1"/>
        <v>2488766.6519416869</v>
      </c>
      <c r="M24" s="3">
        <f t="shared" si="2"/>
        <v>0</v>
      </c>
      <c r="N24" s="3">
        <f t="shared" si="3"/>
        <v>12395015.912061</v>
      </c>
      <c r="O24" s="3">
        <f t="shared" si="4"/>
        <v>0</v>
      </c>
      <c r="P24" s="3">
        <f t="shared" si="5"/>
        <v>0</v>
      </c>
      <c r="Q24" s="47">
        <f t="shared" si="10"/>
        <v>28708681.955281988</v>
      </c>
      <c r="R24" s="47">
        <f>'Monthly Data'!BR24+'Monthly Data'!BS24</f>
        <v>714.62007692307702</v>
      </c>
      <c r="S24" s="47">
        <f t="shared" si="7"/>
        <v>28709396.575358912</v>
      </c>
      <c r="T24" s="47">
        <f t="shared" si="8"/>
        <v>-138675.19524265453</v>
      </c>
      <c r="U24" s="18">
        <f t="shared" si="11"/>
        <v>4.8070871545728526E-3</v>
      </c>
      <c r="Y24" s="3"/>
      <c r="AA24" s="3"/>
    </row>
    <row r="25" spans="1:33">
      <c r="A25" s="2">
        <f>'Monthly Data'!A25</f>
        <v>43070</v>
      </c>
      <c r="B25">
        <f>'Monthly Data'!B25</f>
        <v>2017</v>
      </c>
      <c r="C25">
        <f>'Monthly Data'!C25</f>
        <v>12</v>
      </c>
      <c r="D25" s="3">
        <f>'Monthly Data'!BQ25</f>
        <v>29396179.953810159</v>
      </c>
      <c r="E25" s="3">
        <f>'Monthly Data'!CT25</f>
        <v>612.31250000000011</v>
      </c>
      <c r="F25" s="3">
        <f>'Monthly Data'!CW25</f>
        <v>0</v>
      </c>
      <c r="G25" s="3">
        <f>'Monthly Data'!DQ25</f>
        <v>31</v>
      </c>
      <c r="H25" s="3">
        <f>'Monthly Data'!EJ25</f>
        <v>0</v>
      </c>
      <c r="I25">
        <f>'Monthly Data'!EF25</f>
        <v>0</v>
      </c>
      <c r="K25" s="3">
        <f t="shared" si="0"/>
        <v>13824899.391279301</v>
      </c>
      <c r="L25" s="3">
        <f t="shared" si="1"/>
        <v>4723643.7183463518</v>
      </c>
      <c r="M25" s="3">
        <f t="shared" si="2"/>
        <v>0</v>
      </c>
      <c r="N25" s="3">
        <f t="shared" si="3"/>
        <v>12808183.109129699</v>
      </c>
      <c r="O25" s="3">
        <f t="shared" si="4"/>
        <v>0</v>
      </c>
      <c r="P25" s="3">
        <f t="shared" si="5"/>
        <v>0</v>
      </c>
      <c r="Q25" s="47">
        <f t="shared" si="10"/>
        <v>31356726.21875535</v>
      </c>
      <c r="R25" s="47">
        <f>'Monthly Data'!BR25+'Monthly Data'!BS25</f>
        <v>779.58553846153859</v>
      </c>
      <c r="S25" s="47">
        <f t="shared" si="7"/>
        <v>31357505.804293811</v>
      </c>
      <c r="T25" s="47">
        <f t="shared" si="8"/>
        <v>1961325.8504836522</v>
      </c>
      <c r="U25" s="18">
        <f t="shared" si="11"/>
        <v>6.6720432844181055E-2</v>
      </c>
    </row>
    <row r="26" spans="1:33">
      <c r="A26" s="2">
        <f>'Monthly Data'!A26</f>
        <v>43101</v>
      </c>
      <c r="B26">
        <f>'Monthly Data'!B26</f>
        <v>2018</v>
      </c>
      <c r="C26">
        <f>'Monthly Data'!C26</f>
        <v>1</v>
      </c>
      <c r="D26" s="3">
        <f>'Monthly Data'!BQ26</f>
        <v>32811608.305590458</v>
      </c>
      <c r="E26" s="3">
        <f>'Monthly Data'!CT26</f>
        <v>626.53750000000002</v>
      </c>
      <c r="F26" s="3">
        <f>'Monthly Data'!CW26</f>
        <v>0</v>
      </c>
      <c r="G26" s="3">
        <f>'Monthly Data'!DQ26</f>
        <v>31</v>
      </c>
      <c r="H26" s="3">
        <f>'Monthly Data'!EJ26</f>
        <v>0</v>
      </c>
      <c r="I26">
        <f>'Monthly Data'!EF26</f>
        <v>0</v>
      </c>
      <c r="K26" s="3">
        <f t="shared" si="0"/>
        <v>13824899.391279301</v>
      </c>
      <c r="L26" s="3">
        <f t="shared" si="1"/>
        <v>4833381.5268893372</v>
      </c>
      <c r="M26" s="3">
        <f t="shared" si="2"/>
        <v>0</v>
      </c>
      <c r="N26" s="3">
        <f t="shared" si="3"/>
        <v>12808183.109129699</v>
      </c>
      <c r="O26" s="3">
        <f t="shared" si="4"/>
        <v>0</v>
      </c>
      <c r="P26" s="3">
        <f t="shared" si="5"/>
        <v>0</v>
      </c>
      <c r="Q26" s="47">
        <f t="shared" si="10"/>
        <v>31466464.027298339</v>
      </c>
      <c r="R26" s="47">
        <f>'Monthly Data'!BR26+'Monthly Data'!BS26</f>
        <v>958.61573076923082</v>
      </c>
      <c r="S26" s="47">
        <f t="shared" si="7"/>
        <v>31467422.643029109</v>
      </c>
      <c r="T26" s="47">
        <f t="shared" si="8"/>
        <v>-1344185.6625613496</v>
      </c>
      <c r="U26" s="18">
        <f t="shared" si="11"/>
        <v>4.0966771577982251E-2</v>
      </c>
    </row>
    <row r="27" spans="1:33">
      <c r="A27" s="2">
        <f>'Monthly Data'!A27</f>
        <v>43132</v>
      </c>
      <c r="B27">
        <f>'Monthly Data'!B27</f>
        <v>2018</v>
      </c>
      <c r="C27">
        <f>'Monthly Data'!C27</f>
        <v>2</v>
      </c>
      <c r="D27" s="3">
        <f>'Monthly Data'!BQ27</f>
        <v>28448522.450221829</v>
      </c>
      <c r="E27" s="3">
        <f>'Monthly Data'!CT27</f>
        <v>464.49583333333334</v>
      </c>
      <c r="F27" s="3">
        <f>'Monthly Data'!CW27</f>
        <v>0</v>
      </c>
      <c r="G27" s="3">
        <f>'Monthly Data'!DQ27</f>
        <v>28</v>
      </c>
      <c r="H27" s="3">
        <f>'Monthly Data'!EJ27</f>
        <v>0</v>
      </c>
      <c r="I27">
        <f>'Monthly Data'!EF27</f>
        <v>0</v>
      </c>
      <c r="K27" s="3">
        <f t="shared" si="0"/>
        <v>13824899.391279301</v>
      </c>
      <c r="L27" s="3">
        <f t="shared" si="1"/>
        <v>3583321.956228321</v>
      </c>
      <c r="M27" s="3">
        <f t="shared" si="2"/>
        <v>0</v>
      </c>
      <c r="N27" s="3">
        <f t="shared" si="3"/>
        <v>11568681.517923599</v>
      </c>
      <c r="O27" s="3">
        <f t="shared" si="4"/>
        <v>0</v>
      </c>
      <c r="P27" s="3">
        <f t="shared" si="5"/>
        <v>0</v>
      </c>
      <c r="Q27" s="47">
        <f t="shared" si="10"/>
        <v>28976902.865431219</v>
      </c>
      <c r="R27" s="47">
        <f>'Monthly Data'!BR27+'Monthly Data'!BS27</f>
        <v>1072.6804615384615</v>
      </c>
      <c r="S27" s="47">
        <f t="shared" si="7"/>
        <v>28977975.545892756</v>
      </c>
      <c r="T27" s="47">
        <f t="shared" si="8"/>
        <v>529453.09567092732</v>
      </c>
      <c r="U27" s="18">
        <f t="shared" si="11"/>
        <v>1.8610917196045761E-2</v>
      </c>
    </row>
    <row r="28" spans="1:33">
      <c r="A28" s="2">
        <f>'Monthly Data'!A28</f>
        <v>43160</v>
      </c>
      <c r="B28">
        <f>'Monthly Data'!B28</f>
        <v>2018</v>
      </c>
      <c r="C28">
        <f>'Monthly Data'!C28</f>
        <v>3</v>
      </c>
      <c r="D28" s="3">
        <f>'Monthly Data'!BQ28</f>
        <v>28693158.336072054</v>
      </c>
      <c r="E28" s="3">
        <f>'Monthly Data'!CT28</f>
        <v>443.2791666666667</v>
      </c>
      <c r="F28" s="3">
        <f>'Monthly Data'!CW28</f>
        <v>0</v>
      </c>
      <c r="G28" s="3">
        <f>'Monthly Data'!DQ28</f>
        <v>31</v>
      </c>
      <c r="H28" s="3">
        <f>'Monthly Data'!EJ28</f>
        <v>0</v>
      </c>
      <c r="I28">
        <f>'Monthly Data'!EF28</f>
        <v>0</v>
      </c>
      <c r="K28" s="3">
        <f t="shared" si="0"/>
        <v>13824899.391279301</v>
      </c>
      <c r="L28" s="3">
        <f t="shared" si="1"/>
        <v>3419647.404060517</v>
      </c>
      <c r="M28" s="3">
        <f t="shared" si="2"/>
        <v>0</v>
      </c>
      <c r="N28" s="3">
        <f t="shared" si="3"/>
        <v>12808183.109129699</v>
      </c>
      <c r="O28" s="3">
        <f t="shared" si="4"/>
        <v>0</v>
      </c>
      <c r="P28" s="3">
        <f t="shared" si="5"/>
        <v>0</v>
      </c>
      <c r="Q28" s="47">
        <f t="shared" si="10"/>
        <v>30052729.90446952</v>
      </c>
      <c r="R28" s="47">
        <f>'Monthly Data'!BR28+'Monthly Data'!BS28</f>
        <v>1186.7451923076924</v>
      </c>
      <c r="S28" s="47">
        <f t="shared" si="7"/>
        <v>30053916.649661828</v>
      </c>
      <c r="T28" s="47">
        <f t="shared" si="8"/>
        <v>1360758.3135897741</v>
      </c>
      <c r="U28" s="18">
        <f t="shared" si="11"/>
        <v>4.7424486968347272E-2</v>
      </c>
    </row>
    <row r="29" spans="1:33">
      <c r="A29" s="2">
        <f>'Monthly Data'!A29</f>
        <v>43191</v>
      </c>
      <c r="B29">
        <f>'Monthly Data'!B29</f>
        <v>2018</v>
      </c>
      <c r="C29">
        <f>'Monthly Data'!C29</f>
        <v>4</v>
      </c>
      <c r="D29" s="3">
        <f>'Monthly Data'!BQ29</f>
        <v>27590400.876980819</v>
      </c>
      <c r="E29" s="3">
        <f>'Monthly Data'!CT29</f>
        <v>332.51666666666671</v>
      </c>
      <c r="F29" s="3">
        <f>'Monthly Data'!CW29</f>
        <v>0</v>
      </c>
      <c r="G29" s="3">
        <f>'Monthly Data'!DQ29</f>
        <v>30</v>
      </c>
      <c r="H29" s="3">
        <f>'Monthly Data'!EJ29</f>
        <v>0</v>
      </c>
      <c r="I29">
        <f>'Monthly Data'!EF29</f>
        <v>0</v>
      </c>
      <c r="K29" s="3">
        <f t="shared" si="0"/>
        <v>13824899.391279301</v>
      </c>
      <c r="L29" s="3">
        <f t="shared" si="1"/>
        <v>2565177.5257657939</v>
      </c>
      <c r="M29" s="3">
        <f t="shared" si="2"/>
        <v>0</v>
      </c>
      <c r="N29" s="3">
        <f t="shared" si="3"/>
        <v>12395015.912061</v>
      </c>
      <c r="O29" s="3">
        <f t="shared" si="4"/>
        <v>0</v>
      </c>
      <c r="P29" s="3">
        <f t="shared" si="5"/>
        <v>0</v>
      </c>
      <c r="Q29" s="47">
        <f t="shared" si="10"/>
        <v>28785092.829106092</v>
      </c>
      <c r="R29" s="47">
        <f>'Monthly Data'!BR29+'Monthly Data'!BS29</f>
        <v>1300.809923076923</v>
      </c>
      <c r="S29" s="47">
        <f t="shared" si="7"/>
        <v>28786393.639029168</v>
      </c>
      <c r="T29" s="47">
        <f t="shared" si="8"/>
        <v>1195992.7620483488</v>
      </c>
      <c r="U29" s="18">
        <f t="shared" si="11"/>
        <v>4.3348147327797168E-2</v>
      </c>
    </row>
    <row r="30" spans="1:33">
      <c r="A30" s="2">
        <f>'Monthly Data'!A30</f>
        <v>43221</v>
      </c>
      <c r="B30">
        <f>'Monthly Data'!B30</f>
        <v>2018</v>
      </c>
      <c r="C30">
        <f>'Monthly Data'!C30</f>
        <v>5</v>
      </c>
      <c r="D30" s="3">
        <f>'Monthly Data'!BQ30</f>
        <v>27516810.807862565</v>
      </c>
      <c r="E30" s="3">
        <f>'Monthly Data'!CT30</f>
        <v>22.062500000000014</v>
      </c>
      <c r="F30" s="3">
        <f>'Monthly Data'!CW30</f>
        <v>127.46720779220779</v>
      </c>
      <c r="G30" s="3">
        <f>'Monthly Data'!DQ30</f>
        <v>31</v>
      </c>
      <c r="H30" s="3">
        <f>'Monthly Data'!EJ30</f>
        <v>0</v>
      </c>
      <c r="I30">
        <f>'Monthly Data'!EF30</f>
        <v>0</v>
      </c>
      <c r="K30" s="3">
        <f t="shared" si="0"/>
        <v>13824899.391279301</v>
      </c>
      <c r="L30" s="3">
        <f t="shared" si="1"/>
        <v>170199.67669452517</v>
      </c>
      <c r="M30" s="3">
        <f t="shared" si="2"/>
        <v>1919742.0665752187</v>
      </c>
      <c r="N30" s="3">
        <f t="shared" si="3"/>
        <v>12808183.109129699</v>
      </c>
      <c r="O30" s="3">
        <f t="shared" si="4"/>
        <v>0</v>
      </c>
      <c r="P30" s="3">
        <f t="shared" si="5"/>
        <v>0</v>
      </c>
      <c r="Q30" s="47">
        <f t="shared" si="10"/>
        <v>28723024.243678741</v>
      </c>
      <c r="R30" s="47">
        <f>'Monthly Data'!BR30+'Monthly Data'!BS30</f>
        <v>1414.8746538461537</v>
      </c>
      <c r="S30" s="47">
        <f t="shared" si="7"/>
        <v>28724439.118332587</v>
      </c>
      <c r="T30" s="47">
        <f t="shared" si="8"/>
        <v>1207628.3104700223</v>
      </c>
      <c r="U30" s="18">
        <f t="shared" si="11"/>
        <v>4.3886928572585832E-2</v>
      </c>
    </row>
    <row r="31" spans="1:33">
      <c r="A31" s="2">
        <f>'Monthly Data'!A31</f>
        <v>43252</v>
      </c>
      <c r="B31">
        <f>'Monthly Data'!B31</f>
        <v>2018</v>
      </c>
      <c r="C31">
        <f>'Monthly Data'!C31</f>
        <v>6</v>
      </c>
      <c r="D31" s="3">
        <f>'Monthly Data'!BQ31</f>
        <v>28125707.035952359</v>
      </c>
      <c r="E31" s="3">
        <f>'Monthly Data'!CT31</f>
        <v>3.3208333333333275</v>
      </c>
      <c r="F31" s="3">
        <f>'Monthly Data'!CW31</f>
        <v>198.19393939393944</v>
      </c>
      <c r="G31" s="3">
        <f>'Monthly Data'!DQ31</f>
        <v>30</v>
      </c>
      <c r="H31" s="3">
        <f>'Monthly Data'!EJ31</f>
        <v>0</v>
      </c>
      <c r="I31">
        <f>'Monthly Data'!EF31</f>
        <v>0</v>
      </c>
      <c r="K31" s="3">
        <f t="shared" si="0"/>
        <v>13824899.391279301</v>
      </c>
      <c r="L31" s="3">
        <f t="shared" si="1"/>
        <v>25618.346048259911</v>
      </c>
      <c r="M31" s="3">
        <f t="shared" si="2"/>
        <v>2984934.3167150179</v>
      </c>
      <c r="N31" s="3">
        <f t="shared" si="3"/>
        <v>12395015.912061</v>
      </c>
      <c r="O31" s="3">
        <f t="shared" si="4"/>
        <v>0</v>
      </c>
      <c r="P31" s="3">
        <f t="shared" si="5"/>
        <v>0</v>
      </c>
      <c r="Q31" s="47">
        <f t="shared" si="10"/>
        <v>29230467.966103576</v>
      </c>
      <c r="R31" s="47">
        <f>'Monthly Data'!BR31+'Monthly Data'!BS31</f>
        <v>1528.9393846153846</v>
      </c>
      <c r="S31" s="47">
        <f t="shared" si="7"/>
        <v>29231996.905488193</v>
      </c>
      <c r="T31" s="47">
        <f t="shared" si="8"/>
        <v>1106289.8695358336</v>
      </c>
      <c r="U31" s="18">
        <f t="shared" si="11"/>
        <v>3.9333762103178134E-2</v>
      </c>
    </row>
    <row r="32" spans="1:33">
      <c r="A32" s="2">
        <f>'Monthly Data'!A32</f>
        <v>43282</v>
      </c>
      <c r="B32">
        <f>'Monthly Data'!B32</f>
        <v>2018</v>
      </c>
      <c r="C32">
        <f>'Monthly Data'!C32</f>
        <v>7</v>
      </c>
      <c r="D32" s="3">
        <f>'Monthly Data'!BQ32</f>
        <v>29630412.0229734</v>
      </c>
      <c r="E32" s="3">
        <f>'Monthly Data'!CT32</f>
        <v>0</v>
      </c>
      <c r="F32" s="3">
        <f>'Monthly Data'!CW32</f>
        <v>318.39861424807077</v>
      </c>
      <c r="G32" s="3">
        <f>'Monthly Data'!DQ32</f>
        <v>31</v>
      </c>
      <c r="H32" s="3">
        <f>'Monthly Data'!EJ32</f>
        <v>0</v>
      </c>
      <c r="I32">
        <f>'Monthly Data'!EF32</f>
        <v>0</v>
      </c>
      <c r="K32" s="3">
        <f t="shared" si="0"/>
        <v>13824899.391279301</v>
      </c>
      <c r="L32" s="3">
        <f t="shared" si="1"/>
        <v>0</v>
      </c>
      <c r="M32" s="3">
        <f t="shared" si="2"/>
        <v>4795297.742049098</v>
      </c>
      <c r="N32" s="3">
        <f t="shared" si="3"/>
        <v>12808183.109129699</v>
      </c>
      <c r="O32" s="3">
        <f t="shared" si="4"/>
        <v>0</v>
      </c>
      <c r="P32" s="3">
        <f t="shared" si="5"/>
        <v>0</v>
      </c>
      <c r="Q32" s="47">
        <f t="shared" si="10"/>
        <v>31428380.242458098</v>
      </c>
      <c r="R32" s="47">
        <f>'Monthly Data'!BR32+'Monthly Data'!BS32</f>
        <v>1643.0041153846155</v>
      </c>
      <c r="S32" s="47">
        <f t="shared" si="7"/>
        <v>31430023.246573482</v>
      </c>
      <c r="T32" s="47">
        <f t="shared" si="8"/>
        <v>1799611.2236000821</v>
      </c>
      <c r="U32" s="18">
        <f t="shared" si="11"/>
        <v>6.0735275034474255E-2</v>
      </c>
    </row>
    <row r="33" spans="1:21">
      <c r="A33" s="2">
        <f>'Monthly Data'!A33</f>
        <v>43313</v>
      </c>
      <c r="B33">
        <f>'Monthly Data'!B33</f>
        <v>2018</v>
      </c>
      <c r="C33">
        <f>'Monthly Data'!C33</f>
        <v>8</v>
      </c>
      <c r="D33" s="3">
        <f>'Monthly Data'!BQ33</f>
        <v>30927685.411075201</v>
      </c>
      <c r="E33" s="3">
        <f>'Monthly Data'!CT33</f>
        <v>0</v>
      </c>
      <c r="F33" s="3">
        <f>'Monthly Data'!CW33</f>
        <v>314.24583333333334</v>
      </c>
      <c r="G33" s="3">
        <f>'Monthly Data'!DQ33</f>
        <v>31</v>
      </c>
      <c r="H33" s="3">
        <f>'Monthly Data'!EJ33</f>
        <v>0</v>
      </c>
      <c r="I33">
        <f>'Monthly Data'!EF33</f>
        <v>0</v>
      </c>
      <c r="K33" s="3">
        <f t="shared" si="0"/>
        <v>13824899.391279301</v>
      </c>
      <c r="L33" s="3">
        <f t="shared" si="1"/>
        <v>0</v>
      </c>
      <c r="M33" s="3">
        <f t="shared" si="2"/>
        <v>4732754.0623578615</v>
      </c>
      <c r="N33" s="3">
        <f t="shared" si="3"/>
        <v>12808183.109129699</v>
      </c>
      <c r="O33" s="3">
        <f t="shared" si="4"/>
        <v>0</v>
      </c>
      <c r="P33" s="3">
        <f t="shared" si="5"/>
        <v>0</v>
      </c>
      <c r="Q33" s="47">
        <f t="shared" si="10"/>
        <v>31365836.562766857</v>
      </c>
      <c r="R33" s="47">
        <f>'Monthly Data'!BR33+'Monthly Data'!BS33</f>
        <v>1757.0688461538462</v>
      </c>
      <c r="S33" s="47">
        <f t="shared" si="7"/>
        <v>31367593.631613012</v>
      </c>
      <c r="T33" s="47">
        <f t="shared" si="8"/>
        <v>439908.22053781152</v>
      </c>
      <c r="U33" s="18">
        <f t="shared" si="11"/>
        <v>1.4223767950649176E-2</v>
      </c>
    </row>
    <row r="34" spans="1:21">
      <c r="A34" s="2">
        <f>'Monthly Data'!A34</f>
        <v>43344</v>
      </c>
      <c r="B34">
        <f>'Monthly Data'!B34</f>
        <v>2018</v>
      </c>
      <c r="C34">
        <f>'Monthly Data'!C34</f>
        <v>9</v>
      </c>
      <c r="D34" s="3">
        <f>'Monthly Data'!BQ34</f>
        <v>30565508.01562852</v>
      </c>
      <c r="E34" s="3">
        <f>'Monthly Data'!CT34</f>
        <v>13.695833333333338</v>
      </c>
      <c r="F34" s="3">
        <f>'Monthly Data'!CW34</f>
        <v>183.48333333333329</v>
      </c>
      <c r="G34" s="3">
        <f>'Monthly Data'!DQ34</f>
        <v>30</v>
      </c>
      <c r="H34" s="3">
        <f>'Monthly Data'!EJ34</f>
        <v>0</v>
      </c>
      <c r="I34">
        <f>'Monthly Data'!EF34</f>
        <v>1</v>
      </c>
      <c r="K34" s="3">
        <f t="shared" ref="K34:K65" si="12">$Y$8</f>
        <v>13824899.391279301</v>
      </c>
      <c r="L34" s="3">
        <f t="shared" ref="L34:L65" si="13">E34*$Y$9</f>
        <v>105655.587779963</v>
      </c>
      <c r="M34" s="3">
        <f t="shared" ref="M34:M65" si="14">F34*$Y$10</f>
        <v>2763382.6739944941</v>
      </c>
      <c r="N34" s="3">
        <f t="shared" ref="N34:N65" si="15">G34*$Y$11</f>
        <v>12395015.912061</v>
      </c>
      <c r="O34" s="3">
        <f t="shared" ref="O34:O65" si="16">H34*$Y$12</f>
        <v>0</v>
      </c>
      <c r="P34" s="3">
        <f t="shared" ref="P34:P65" si="17">I34*$Y$13</f>
        <v>0</v>
      </c>
      <c r="Q34" s="47">
        <f t="shared" si="10"/>
        <v>29088953.565114759</v>
      </c>
      <c r="R34" s="47">
        <f>'Monthly Data'!BR34+'Monthly Data'!BS34</f>
        <v>1871.1335769230768</v>
      </c>
      <c r="S34" s="47">
        <f t="shared" si="7"/>
        <v>29090824.698691681</v>
      </c>
      <c r="T34" s="47">
        <f t="shared" si="8"/>
        <v>-1474683.3169368394</v>
      </c>
      <c r="U34" s="18">
        <f t="shared" si="11"/>
        <v>4.8246648352215038E-2</v>
      </c>
    </row>
    <row r="35" spans="1:21">
      <c r="A35" s="2">
        <f>'Monthly Data'!A35</f>
        <v>43374</v>
      </c>
      <c r="B35">
        <f>'Monthly Data'!B35</f>
        <v>2018</v>
      </c>
      <c r="C35">
        <f>'Monthly Data'!C35</f>
        <v>10</v>
      </c>
      <c r="D35" s="3">
        <f>'Monthly Data'!BQ35</f>
        <v>28239750.328377575</v>
      </c>
      <c r="E35" s="3">
        <f>'Monthly Data'!CT35</f>
        <v>194.17916666666662</v>
      </c>
      <c r="F35" s="3">
        <f>'Monthly Data'!CW35</f>
        <v>25.358333333333334</v>
      </c>
      <c r="G35" s="3">
        <f>'Monthly Data'!DQ35</f>
        <v>31</v>
      </c>
      <c r="H35" s="3">
        <f>'Monthly Data'!EJ35</f>
        <v>0</v>
      </c>
      <c r="I35">
        <f>'Monthly Data'!EF35</f>
        <v>1</v>
      </c>
      <c r="K35" s="3">
        <f t="shared" si="12"/>
        <v>13824899.391279301</v>
      </c>
      <c r="L35" s="3">
        <f t="shared" si="13"/>
        <v>1497982.1592058449</v>
      </c>
      <c r="M35" s="3">
        <f t="shared" si="14"/>
        <v>381913.59237738431</v>
      </c>
      <c r="N35" s="3">
        <f t="shared" si="15"/>
        <v>12808183.109129699</v>
      </c>
      <c r="O35" s="3">
        <f t="shared" si="16"/>
        <v>0</v>
      </c>
      <c r="P35" s="3">
        <f t="shared" si="17"/>
        <v>0</v>
      </c>
      <c r="Q35" s="47">
        <f t="shared" si="10"/>
        <v>28512978.251992229</v>
      </c>
      <c r="R35" s="47">
        <f>'Monthly Data'!BR35+'Monthly Data'!BS35</f>
        <v>1985.1983076923075</v>
      </c>
      <c r="S35" s="47">
        <f t="shared" si="7"/>
        <v>28514963.450299922</v>
      </c>
      <c r="T35" s="47">
        <f t="shared" si="8"/>
        <v>275213.12192234769</v>
      </c>
      <c r="U35" s="18">
        <f t="shared" si="11"/>
        <v>9.7455933116303572E-3</v>
      </c>
    </row>
    <row r="36" spans="1:21">
      <c r="A36" s="2">
        <f>'Monthly Data'!A36</f>
        <v>43405</v>
      </c>
      <c r="B36">
        <f>'Monthly Data'!B36</f>
        <v>2018</v>
      </c>
      <c r="C36">
        <f>'Monthly Data'!C36</f>
        <v>11</v>
      </c>
      <c r="D36" s="3">
        <f>'Monthly Data'!BQ36</f>
        <v>28258256.201618973</v>
      </c>
      <c r="E36" s="3">
        <f>'Monthly Data'!CT36</f>
        <v>383.52500000000003</v>
      </c>
      <c r="F36" s="3">
        <f>'Monthly Data'!CW36</f>
        <v>0</v>
      </c>
      <c r="G36" s="3">
        <f>'Monthly Data'!DQ36</f>
        <v>30</v>
      </c>
      <c r="H36" s="3">
        <f>'Monthly Data'!EJ36</f>
        <v>0</v>
      </c>
      <c r="I36">
        <f>'Monthly Data'!EF36</f>
        <v>1</v>
      </c>
      <c r="K36" s="3">
        <f t="shared" si="12"/>
        <v>13824899.391279301</v>
      </c>
      <c r="L36" s="3">
        <f t="shared" si="13"/>
        <v>2958677.8925447129</v>
      </c>
      <c r="M36" s="3">
        <f t="shared" si="14"/>
        <v>0</v>
      </c>
      <c r="N36" s="3">
        <f t="shared" si="15"/>
        <v>12395015.912061</v>
      </c>
      <c r="O36" s="3">
        <f t="shared" si="16"/>
        <v>0</v>
      </c>
      <c r="P36" s="3">
        <f t="shared" si="17"/>
        <v>0</v>
      </c>
      <c r="Q36" s="47">
        <f t="shared" si="10"/>
        <v>29178593.19588501</v>
      </c>
      <c r="R36" s="47">
        <f>'Monthly Data'!BR36+'Monthly Data'!BS36</f>
        <v>2099.2630384615386</v>
      </c>
      <c r="S36" s="47">
        <f t="shared" si="7"/>
        <v>29180692.45892347</v>
      </c>
      <c r="T36" s="47">
        <f t="shared" si="8"/>
        <v>922436.25730449706</v>
      </c>
      <c r="U36" s="18">
        <f t="shared" si="11"/>
        <v>3.2643070779846947E-2</v>
      </c>
    </row>
    <row r="37" spans="1:21">
      <c r="A37" s="2">
        <f>'Monthly Data'!A37</f>
        <v>43435</v>
      </c>
      <c r="B37">
        <f>'Monthly Data'!B37</f>
        <v>2018</v>
      </c>
      <c r="C37">
        <f>'Monthly Data'!C37</f>
        <v>12</v>
      </c>
      <c r="D37" s="3">
        <f>'Monthly Data'!BQ37</f>
        <v>28639918.729318488</v>
      </c>
      <c r="E37" s="3">
        <f>'Monthly Data'!CT37</f>
        <v>460.91666666666657</v>
      </c>
      <c r="F37" s="3">
        <f>'Monthly Data'!CW37</f>
        <v>0</v>
      </c>
      <c r="G37" s="3">
        <f>'Monthly Data'!DQ37</f>
        <v>31</v>
      </c>
      <c r="H37" s="3">
        <f>'Monthly Data'!EJ37</f>
        <v>0</v>
      </c>
      <c r="I37">
        <f>'Monthly Data'!EF37</f>
        <v>0</v>
      </c>
      <c r="K37" s="3">
        <f t="shared" si="12"/>
        <v>13824899.391279301</v>
      </c>
      <c r="L37" s="3">
        <f t="shared" si="13"/>
        <v>3555710.7150044111</v>
      </c>
      <c r="M37" s="3">
        <f t="shared" si="14"/>
        <v>0</v>
      </c>
      <c r="N37" s="3">
        <f t="shared" si="15"/>
        <v>12808183.109129699</v>
      </c>
      <c r="O37" s="3">
        <f t="shared" si="16"/>
        <v>0</v>
      </c>
      <c r="P37" s="3">
        <f t="shared" si="17"/>
        <v>0</v>
      </c>
      <c r="Q37" s="47">
        <f t="shared" si="10"/>
        <v>30188793.215413414</v>
      </c>
      <c r="R37" s="47">
        <f>'Monthly Data'!BR37+'Monthly Data'!BS37</f>
        <v>2213.3277692307693</v>
      </c>
      <c r="S37" s="47">
        <f t="shared" si="7"/>
        <v>30191006.543182645</v>
      </c>
      <c r="T37" s="47">
        <f t="shared" si="8"/>
        <v>1551087.8138641566</v>
      </c>
      <c r="U37" s="18">
        <f t="shared" si="11"/>
        <v>5.4158247742383384E-2</v>
      </c>
    </row>
    <row r="38" spans="1:21">
      <c r="A38" s="2">
        <f>'Monthly Data'!A38</f>
        <v>43466</v>
      </c>
      <c r="B38">
        <f>'Monthly Data'!B38</f>
        <v>2019</v>
      </c>
      <c r="C38">
        <f>'Monthly Data'!C38</f>
        <v>1</v>
      </c>
      <c r="D38" s="3">
        <f>'Monthly Data'!BQ38</f>
        <v>30583890.625875287</v>
      </c>
      <c r="E38" s="3">
        <f>'Monthly Data'!CT38</f>
        <v>655.93333333333339</v>
      </c>
      <c r="F38" s="3">
        <f>'Monthly Data'!CW38</f>
        <v>0</v>
      </c>
      <c r="G38" s="3">
        <f>'Monthly Data'!DQ38</f>
        <v>31</v>
      </c>
      <c r="H38" s="3">
        <f>'Monthly Data'!EJ38</f>
        <v>0</v>
      </c>
      <c r="I38">
        <f>'Monthly Data'!EF38</f>
        <v>0</v>
      </c>
      <c r="K38" s="3">
        <f t="shared" si="12"/>
        <v>13824899.391279301</v>
      </c>
      <c r="L38" s="3">
        <f t="shared" si="13"/>
        <v>5060153.7117958292</v>
      </c>
      <c r="M38" s="3">
        <f t="shared" si="14"/>
        <v>0</v>
      </c>
      <c r="N38" s="3">
        <f t="shared" si="15"/>
        <v>12808183.109129699</v>
      </c>
      <c r="O38" s="3">
        <f t="shared" si="16"/>
        <v>0</v>
      </c>
      <c r="P38" s="3">
        <f t="shared" si="17"/>
        <v>0</v>
      </c>
      <c r="Q38" s="47">
        <f t="shared" si="10"/>
        <v>31693236.212204829</v>
      </c>
      <c r="R38" s="47">
        <f ca="1">'Monthly Data'!BR38+'Monthly Data'!BS38</f>
        <v>8831.2280981697841</v>
      </c>
      <c r="S38" s="47">
        <f t="shared" ca="1" si="7"/>
        <v>31702067.440302998</v>
      </c>
      <c r="T38" s="47">
        <f t="shared" ca="1" si="8"/>
        <v>1118176.8144277111</v>
      </c>
      <c r="U38" s="18">
        <f t="shared" ca="1" si="11"/>
        <v>3.6560973491112522E-2</v>
      </c>
    </row>
    <row r="39" spans="1:21">
      <c r="A39" s="2">
        <f>'Monthly Data'!A39</f>
        <v>43497</v>
      </c>
      <c r="B39">
        <f>'Monthly Data'!B39</f>
        <v>2019</v>
      </c>
      <c r="C39">
        <f>'Monthly Data'!C39</f>
        <v>2</v>
      </c>
      <c r="D39" s="3">
        <f>'Monthly Data'!BQ39</f>
        <v>29919475.508018777</v>
      </c>
      <c r="E39" s="3">
        <f>'Monthly Data'!CT39</f>
        <v>527.30416666666656</v>
      </c>
      <c r="F39" s="3">
        <f>'Monthly Data'!CW39</f>
        <v>0</v>
      </c>
      <c r="G39" s="3">
        <f>'Monthly Data'!DQ39</f>
        <v>28</v>
      </c>
      <c r="H39" s="3">
        <f>'Monthly Data'!EJ39</f>
        <v>0</v>
      </c>
      <c r="I39">
        <f>'Monthly Data'!EF39</f>
        <v>0</v>
      </c>
      <c r="K39" s="3">
        <f t="shared" si="12"/>
        <v>13824899.391279301</v>
      </c>
      <c r="L39" s="3">
        <f t="shared" si="13"/>
        <v>4067852.6316755852</v>
      </c>
      <c r="M39" s="3">
        <f t="shared" si="14"/>
        <v>0</v>
      </c>
      <c r="N39" s="3">
        <f t="shared" si="15"/>
        <v>11568681.517923599</v>
      </c>
      <c r="O39" s="3">
        <f t="shared" si="16"/>
        <v>0</v>
      </c>
      <c r="P39" s="3">
        <f t="shared" si="17"/>
        <v>0</v>
      </c>
      <c r="Q39" s="47">
        <f t="shared" si="10"/>
        <v>29461433.540878482</v>
      </c>
      <c r="R39" s="47">
        <f ca="1">'Monthly Data'!BR39+'Monthly Data'!BS39</f>
        <v>7752.2781174084521</v>
      </c>
      <c r="S39" s="47">
        <f t="shared" ca="1" si="7"/>
        <v>29469185.818995889</v>
      </c>
      <c r="T39" s="47">
        <f t="shared" ca="1" si="8"/>
        <v>-450289.6890228875</v>
      </c>
      <c r="U39" s="18">
        <f t="shared" ca="1" si="11"/>
        <v>1.5050052896221543E-2</v>
      </c>
    </row>
    <row r="40" spans="1:21">
      <c r="A40" s="2">
        <f>'Monthly Data'!A40</f>
        <v>43525</v>
      </c>
      <c r="B40">
        <f>'Monthly Data'!B40</f>
        <v>2019</v>
      </c>
      <c r="C40">
        <f>'Monthly Data'!C40</f>
        <v>3</v>
      </c>
      <c r="D40" s="3">
        <f>'Monthly Data'!BQ40</f>
        <v>29177700.980975837</v>
      </c>
      <c r="E40" s="3">
        <f>'Monthly Data'!CT40</f>
        <v>487.45833333333331</v>
      </c>
      <c r="F40" s="3">
        <f>'Monthly Data'!CW40</f>
        <v>0</v>
      </c>
      <c r="G40" s="3">
        <f>'Monthly Data'!DQ40</f>
        <v>31</v>
      </c>
      <c r="H40" s="3">
        <f>'Monthly Data'!EJ40</f>
        <v>0</v>
      </c>
      <c r="I40">
        <f>'Monthly Data'!EF40</f>
        <v>0</v>
      </c>
      <c r="K40" s="3">
        <f t="shared" si="12"/>
        <v>13824899.391279301</v>
      </c>
      <c r="L40" s="3">
        <f t="shared" si="13"/>
        <v>3760464.6225670413</v>
      </c>
      <c r="M40" s="3">
        <f t="shared" si="14"/>
        <v>0</v>
      </c>
      <c r="N40" s="3">
        <f t="shared" si="15"/>
        <v>12808183.109129699</v>
      </c>
      <c r="O40" s="3">
        <f t="shared" si="16"/>
        <v>0</v>
      </c>
      <c r="P40" s="3">
        <f t="shared" si="17"/>
        <v>0</v>
      </c>
      <c r="Q40" s="47">
        <f t="shared" si="10"/>
        <v>30393547.122976042</v>
      </c>
      <c r="R40" s="47">
        <f ca="1">'Monthly Data'!BR40+'Monthly Data'!BS40</f>
        <v>7602.3382077110491</v>
      </c>
      <c r="S40" s="47">
        <f t="shared" ca="1" si="7"/>
        <v>30401149.461183753</v>
      </c>
      <c r="T40" s="47">
        <f t="shared" ca="1" si="8"/>
        <v>1223448.4802079163</v>
      </c>
      <c r="U40" s="18">
        <f t="shared" ca="1" si="11"/>
        <v>4.1930941749167193E-2</v>
      </c>
    </row>
    <row r="41" spans="1:21">
      <c r="A41" s="2">
        <f>'Monthly Data'!A41</f>
        <v>43556</v>
      </c>
      <c r="B41">
        <f>'Monthly Data'!B41</f>
        <v>2019</v>
      </c>
      <c r="C41">
        <f>'Monthly Data'!C41</f>
        <v>4</v>
      </c>
      <c r="D41" s="3">
        <f>'Monthly Data'!BQ41</f>
        <v>27823303.88053152</v>
      </c>
      <c r="E41" s="3">
        <f>'Monthly Data'!CT41</f>
        <v>246.6541666666667</v>
      </c>
      <c r="F41" s="3">
        <f>'Monthly Data'!CW41</f>
        <v>0.84583333333333144</v>
      </c>
      <c r="G41" s="3">
        <f>'Monthly Data'!DQ41</f>
        <v>30</v>
      </c>
      <c r="H41" s="3">
        <f>'Monthly Data'!EJ41</f>
        <v>0</v>
      </c>
      <c r="I41">
        <f>'Monthly Data'!EF41</f>
        <v>0</v>
      </c>
      <c r="K41" s="3">
        <f t="shared" si="12"/>
        <v>13824899.391279301</v>
      </c>
      <c r="L41" s="3">
        <f t="shared" si="13"/>
        <v>1902797.0276271577</v>
      </c>
      <c r="M41" s="3">
        <f t="shared" si="14"/>
        <v>12738.820120376082</v>
      </c>
      <c r="N41" s="3">
        <f t="shared" si="15"/>
        <v>12395015.912061</v>
      </c>
      <c r="O41" s="3">
        <f t="shared" si="16"/>
        <v>0</v>
      </c>
      <c r="P41" s="3">
        <f t="shared" si="17"/>
        <v>0</v>
      </c>
      <c r="Q41" s="47">
        <f t="shared" si="10"/>
        <v>28135451.151087835</v>
      </c>
      <c r="R41" s="47">
        <f ca="1">'Monthly Data'!BR41+'Monthly Data'!BS41</f>
        <v>5665.2860473745714</v>
      </c>
      <c r="S41" s="47">
        <f t="shared" ca="1" si="7"/>
        <v>28141116.437135208</v>
      </c>
      <c r="T41" s="47">
        <f t="shared" ca="1" si="8"/>
        <v>317812.55660368875</v>
      </c>
      <c r="U41" s="18">
        <f t="shared" ca="1" si="11"/>
        <v>1.1422531197887971E-2</v>
      </c>
    </row>
    <row r="42" spans="1:21">
      <c r="A42" s="2">
        <f>'Monthly Data'!A42</f>
        <v>43586</v>
      </c>
      <c r="B42">
        <f>'Monthly Data'!B42</f>
        <v>2019</v>
      </c>
      <c r="C42">
        <f>'Monthly Data'!C42</f>
        <v>5</v>
      </c>
      <c r="D42" s="3">
        <f>'Monthly Data'!BQ42</f>
        <v>26769079.143941894</v>
      </c>
      <c r="E42" s="3">
        <f>'Monthly Data'!CT42</f>
        <v>92.742982456140368</v>
      </c>
      <c r="F42" s="3">
        <f>'Monthly Data'!CW42</f>
        <v>27.579166666666666</v>
      </c>
      <c r="G42" s="3">
        <f>'Monthly Data'!DQ42</f>
        <v>31</v>
      </c>
      <c r="H42" s="3">
        <f>'Monthly Data'!EJ42</f>
        <v>0</v>
      </c>
      <c r="I42">
        <f>'Monthly Data'!EF42</f>
        <v>0</v>
      </c>
      <c r="K42" s="3">
        <f t="shared" si="12"/>
        <v>13824899.391279301</v>
      </c>
      <c r="L42" s="3">
        <f t="shared" si="13"/>
        <v>715459.51862758526</v>
      </c>
      <c r="M42" s="3">
        <f t="shared" si="14"/>
        <v>415360.83929443092</v>
      </c>
      <c r="N42" s="3">
        <f t="shared" si="15"/>
        <v>12808183.109129699</v>
      </c>
      <c r="O42" s="3">
        <f t="shared" si="16"/>
        <v>0</v>
      </c>
      <c r="P42" s="3">
        <f t="shared" si="17"/>
        <v>0</v>
      </c>
      <c r="Q42" s="47">
        <f t="shared" ref="Q42:Q73" si="18">SUM(K42:P42)</f>
        <v>27763902.858331017</v>
      </c>
      <c r="R42" s="47">
        <f ca="1">'Monthly Data'!BR42+'Monthly Data'!BS42</f>
        <v>4417.5545475541712</v>
      </c>
      <c r="S42" s="47">
        <f t="shared" ca="1" si="7"/>
        <v>27768320.412878573</v>
      </c>
      <c r="T42" s="47">
        <f t="shared" ca="1" si="8"/>
        <v>999241.26893667877</v>
      </c>
      <c r="U42" s="18">
        <f t="shared" ref="U42:U73" ca="1" si="19">ABS(T42/D42)</f>
        <v>3.7328189870245013E-2</v>
      </c>
    </row>
    <row r="43" spans="1:21">
      <c r="A43" s="2">
        <f>'Monthly Data'!A43</f>
        <v>43617</v>
      </c>
      <c r="B43">
        <f>'Monthly Data'!B43</f>
        <v>2019</v>
      </c>
      <c r="C43">
        <f>'Monthly Data'!C43</f>
        <v>6</v>
      </c>
      <c r="D43" s="3">
        <f>'Monthly Data'!BQ43</f>
        <v>27247207.646619752</v>
      </c>
      <c r="E43" s="3">
        <f>'Monthly Data'!CT43</f>
        <v>9.0750000000000011</v>
      </c>
      <c r="F43" s="3">
        <f>'Monthly Data'!CW43</f>
        <v>173.67083333333326</v>
      </c>
      <c r="G43" s="3">
        <f>'Monthly Data'!DQ43</f>
        <v>30</v>
      </c>
      <c r="H43" s="3">
        <f>'Monthly Data'!EJ43</f>
        <v>0</v>
      </c>
      <c r="I43">
        <f>'Monthly Data'!EF43</f>
        <v>0</v>
      </c>
      <c r="K43" s="3">
        <f t="shared" si="12"/>
        <v>13824899.391279301</v>
      </c>
      <c r="L43" s="3">
        <f t="shared" si="13"/>
        <v>70008.478912308899</v>
      </c>
      <c r="M43" s="3">
        <f t="shared" si="14"/>
        <v>2615599.8100364357</v>
      </c>
      <c r="N43" s="3">
        <f t="shared" si="15"/>
        <v>12395015.912061</v>
      </c>
      <c r="O43" s="3">
        <f t="shared" si="16"/>
        <v>0</v>
      </c>
      <c r="P43" s="3">
        <f t="shared" si="17"/>
        <v>0</v>
      </c>
      <c r="Q43" s="47">
        <f t="shared" si="18"/>
        <v>28905523.592289045</v>
      </c>
      <c r="R43" s="47">
        <f ca="1">'Monthly Data'!BR43+'Monthly Data'!BS43</f>
        <v>3183.8731211020818</v>
      </c>
      <c r="S43" s="47">
        <f t="shared" ref="S43:S106" ca="1" si="20">Q43+R43</f>
        <v>28908707.465410147</v>
      </c>
      <c r="T43" s="47">
        <f t="shared" ref="T43:T106" ca="1" si="21">S43-D43</f>
        <v>1661499.8187903948</v>
      </c>
      <c r="U43" s="18">
        <f t="shared" ca="1" si="19"/>
        <v>6.0978719006331575E-2</v>
      </c>
    </row>
    <row r="44" spans="1:21">
      <c r="A44" s="2">
        <f>'Monthly Data'!A44</f>
        <v>43647</v>
      </c>
      <c r="B44">
        <f>'Monthly Data'!B44</f>
        <v>2019</v>
      </c>
      <c r="C44">
        <f>'Monthly Data'!C44</f>
        <v>7</v>
      </c>
      <c r="D44" s="3">
        <f>'Monthly Data'!BQ44</f>
        <v>30235453.019907042</v>
      </c>
      <c r="E44" s="3">
        <f>'Monthly Data'!CT44</f>
        <v>0</v>
      </c>
      <c r="F44" s="3">
        <f>'Monthly Data'!CW44</f>
        <v>321.60000000000002</v>
      </c>
      <c r="G44" s="3">
        <f>'Monthly Data'!DQ44</f>
        <v>31</v>
      </c>
      <c r="H44" s="3">
        <f>'Monthly Data'!EJ44</f>
        <v>0</v>
      </c>
      <c r="I44">
        <f>'Monthly Data'!EF44</f>
        <v>0</v>
      </c>
      <c r="K44" s="3">
        <f t="shared" si="12"/>
        <v>13824899.391279301</v>
      </c>
      <c r="L44" s="3">
        <f t="shared" si="13"/>
        <v>0</v>
      </c>
      <c r="M44" s="3">
        <f t="shared" si="14"/>
        <v>4843512.7693158118</v>
      </c>
      <c r="N44" s="3">
        <f t="shared" si="15"/>
        <v>12808183.109129699</v>
      </c>
      <c r="O44" s="3">
        <f t="shared" si="16"/>
        <v>0</v>
      </c>
      <c r="P44" s="3">
        <f t="shared" si="17"/>
        <v>0</v>
      </c>
      <c r="Q44" s="47">
        <f t="shared" si="18"/>
        <v>31476595.269724809</v>
      </c>
      <c r="R44" s="47">
        <f ca="1">'Monthly Data'!BR44+'Monthly Data'!BS44</f>
        <v>2883.3998076923081</v>
      </c>
      <c r="S44" s="47">
        <f t="shared" ca="1" si="20"/>
        <v>31479478.6695325</v>
      </c>
      <c r="T44" s="47">
        <f t="shared" ca="1" si="21"/>
        <v>1244025.6496254578</v>
      </c>
      <c r="U44" s="18">
        <f t="shared" ca="1" si="19"/>
        <v>4.1144600969146732E-2</v>
      </c>
    </row>
    <row r="45" spans="1:21">
      <c r="A45" s="2">
        <f>'Monthly Data'!A45</f>
        <v>43678</v>
      </c>
      <c r="B45">
        <f>'Monthly Data'!B45</f>
        <v>2019</v>
      </c>
      <c r="C45">
        <f>'Monthly Data'!C45</f>
        <v>8</v>
      </c>
      <c r="D45" s="3">
        <f>'Monthly Data'!BQ45</f>
        <v>30625745.192353752</v>
      </c>
      <c r="E45" s="3">
        <f>'Monthly Data'!CT45</f>
        <v>0</v>
      </c>
      <c r="F45" s="3">
        <f>'Monthly Data'!CW45</f>
        <v>252.07083333333335</v>
      </c>
      <c r="G45" s="3">
        <f>'Monthly Data'!DQ45</f>
        <v>31</v>
      </c>
      <c r="H45" s="3">
        <f>'Monthly Data'!EJ45</f>
        <v>0</v>
      </c>
      <c r="I45">
        <f>'Monthly Data'!EF45</f>
        <v>0</v>
      </c>
      <c r="K45" s="3">
        <f t="shared" si="12"/>
        <v>13824899.391279301</v>
      </c>
      <c r="L45" s="3">
        <f t="shared" si="13"/>
        <v>0</v>
      </c>
      <c r="M45" s="3">
        <f t="shared" si="14"/>
        <v>3796356.6542975055</v>
      </c>
      <c r="N45" s="3">
        <f t="shared" si="15"/>
        <v>12808183.109129699</v>
      </c>
      <c r="O45" s="3">
        <f t="shared" si="16"/>
        <v>0</v>
      </c>
      <c r="P45" s="3">
        <f t="shared" si="17"/>
        <v>0</v>
      </c>
      <c r="Q45" s="47">
        <f t="shared" si="18"/>
        <v>30429439.154706508</v>
      </c>
      <c r="R45" s="47">
        <f ca="1">'Monthly Data'!BR45+'Monthly Data'!BS45</f>
        <v>3001.0977188223155</v>
      </c>
      <c r="S45" s="47">
        <f t="shared" ca="1" si="20"/>
        <v>30432440.252425332</v>
      </c>
      <c r="T45" s="47">
        <f t="shared" ca="1" si="21"/>
        <v>-193304.93992841989</v>
      </c>
      <c r="U45" s="18">
        <f t="shared" ca="1" si="19"/>
        <v>6.3118444535573883E-3</v>
      </c>
    </row>
    <row r="46" spans="1:21">
      <c r="A46" s="2">
        <f>'Monthly Data'!A46</f>
        <v>43709</v>
      </c>
      <c r="B46">
        <f>'Monthly Data'!B46</f>
        <v>2019</v>
      </c>
      <c r="C46">
        <f>'Monthly Data'!C46</f>
        <v>9</v>
      </c>
      <c r="D46" s="3">
        <f>'Monthly Data'!BQ46</f>
        <v>28006360.511002794</v>
      </c>
      <c r="E46" s="3">
        <f>'Monthly Data'!CT46</f>
        <v>4.9833333333333325</v>
      </c>
      <c r="F46" s="3">
        <f>'Monthly Data'!CW46</f>
        <v>131.93750000000003</v>
      </c>
      <c r="G46" s="3">
        <f>'Monthly Data'!DQ46</f>
        <v>30</v>
      </c>
      <c r="H46" s="3">
        <f>'Monthly Data'!EJ46</f>
        <v>0</v>
      </c>
      <c r="I46">
        <f>'Monthly Data'!EF46</f>
        <v>1</v>
      </c>
      <c r="K46" s="3">
        <f t="shared" si="12"/>
        <v>13824899.391279301</v>
      </c>
      <c r="L46" s="3">
        <f t="shared" si="13"/>
        <v>38443.590807677421</v>
      </c>
      <c r="M46" s="3">
        <f t="shared" si="14"/>
        <v>1987067.6803532494</v>
      </c>
      <c r="N46" s="3">
        <f t="shared" si="15"/>
        <v>12395015.912061</v>
      </c>
      <c r="O46" s="3">
        <f t="shared" si="16"/>
        <v>0</v>
      </c>
      <c r="P46" s="3">
        <f t="shared" si="17"/>
        <v>0</v>
      </c>
      <c r="Q46" s="47">
        <f t="shared" si="18"/>
        <v>28245426.574501231</v>
      </c>
      <c r="R46" s="47">
        <f ca="1">'Monthly Data'!BR46+'Monthly Data'!BS46</f>
        <v>3553.4067770589586</v>
      </c>
      <c r="S46" s="47">
        <f t="shared" ca="1" si="20"/>
        <v>28248979.981278289</v>
      </c>
      <c r="T46" s="47">
        <f t="shared" ca="1" si="21"/>
        <v>242619.4702754952</v>
      </c>
      <c r="U46" s="18">
        <f t="shared" ca="1" si="19"/>
        <v>8.6630131816012954E-3</v>
      </c>
    </row>
    <row r="47" spans="1:21">
      <c r="A47" s="2">
        <f>'Monthly Data'!A47</f>
        <v>43739</v>
      </c>
      <c r="B47">
        <f>'Monthly Data'!B47</f>
        <v>2019</v>
      </c>
      <c r="C47">
        <f>'Monthly Data'!C47</f>
        <v>10</v>
      </c>
      <c r="D47" s="3">
        <f>'Monthly Data'!BQ47</f>
        <v>27168041.974353127</v>
      </c>
      <c r="E47" s="3">
        <f>'Monthly Data'!CT47</f>
        <v>125.30000000000004</v>
      </c>
      <c r="F47" s="3">
        <f>'Monthly Data'!CW47</f>
        <v>16.670833333333334</v>
      </c>
      <c r="G47" s="3">
        <f>'Monthly Data'!DQ47</f>
        <v>31</v>
      </c>
      <c r="H47" s="3">
        <f>'Monthly Data'!EJ47</f>
        <v>0</v>
      </c>
      <c r="I47">
        <f>'Monthly Data'!EF47</f>
        <v>1</v>
      </c>
      <c r="K47" s="3">
        <f t="shared" si="12"/>
        <v>13824899.391279301</v>
      </c>
      <c r="L47" s="3">
        <f t="shared" si="13"/>
        <v>966618.4471308327</v>
      </c>
      <c r="M47" s="3">
        <f t="shared" si="14"/>
        <v>251073.98670751145</v>
      </c>
      <c r="N47" s="3">
        <f t="shared" si="15"/>
        <v>12808183.109129699</v>
      </c>
      <c r="O47" s="3">
        <f t="shared" si="16"/>
        <v>0</v>
      </c>
      <c r="P47" s="3">
        <f t="shared" si="17"/>
        <v>0</v>
      </c>
      <c r="Q47" s="47">
        <f t="shared" si="18"/>
        <v>27850774.934247345</v>
      </c>
      <c r="R47" s="47">
        <f ca="1">'Monthly Data'!BR47+'Monthly Data'!BS47</f>
        <v>5129.7273795642268</v>
      </c>
      <c r="S47" s="47">
        <f t="shared" ca="1" si="20"/>
        <v>27855904.661626909</v>
      </c>
      <c r="T47" s="47">
        <f t="shared" ca="1" si="21"/>
        <v>687862.68727378175</v>
      </c>
      <c r="U47" s="18">
        <f t="shared" ca="1" si="19"/>
        <v>2.5318817157420848E-2</v>
      </c>
    </row>
    <row r="48" spans="1:21">
      <c r="A48" s="2">
        <f>'Monthly Data'!A48</f>
        <v>43770</v>
      </c>
      <c r="B48">
        <f>'Monthly Data'!B48</f>
        <v>2019</v>
      </c>
      <c r="C48">
        <f>'Monthly Data'!C48</f>
        <v>11</v>
      </c>
      <c r="D48" s="3">
        <f>'Monthly Data'!BQ48</f>
        <v>28167253.96187038</v>
      </c>
      <c r="E48" s="3">
        <f>'Monthly Data'!CT48</f>
        <v>409.72499999999997</v>
      </c>
      <c r="F48" s="3">
        <f>'Monthly Data'!CW48</f>
        <v>0</v>
      </c>
      <c r="G48" s="3">
        <f>'Monthly Data'!DQ48</f>
        <v>30</v>
      </c>
      <c r="H48" s="3">
        <f>'Monthly Data'!EJ48</f>
        <v>0</v>
      </c>
      <c r="I48">
        <f>'Monthly Data'!EF48</f>
        <v>1</v>
      </c>
      <c r="K48" s="3">
        <f t="shared" si="12"/>
        <v>13824899.391279301</v>
      </c>
      <c r="L48" s="3">
        <f t="shared" si="13"/>
        <v>3160796.0355201936</v>
      </c>
      <c r="M48" s="3">
        <f t="shared" si="14"/>
        <v>0</v>
      </c>
      <c r="N48" s="3">
        <f t="shared" si="15"/>
        <v>12395015.912061</v>
      </c>
      <c r="O48" s="3">
        <f t="shared" si="16"/>
        <v>0</v>
      </c>
      <c r="P48" s="3">
        <f t="shared" si="17"/>
        <v>0</v>
      </c>
      <c r="Q48" s="47">
        <f t="shared" si="18"/>
        <v>29380711.338860497</v>
      </c>
      <c r="R48" s="47">
        <f ca="1">'Monthly Data'!BR48+'Monthly Data'!BS48</f>
        <v>7564.5276964008772</v>
      </c>
      <c r="S48" s="47">
        <f t="shared" ca="1" si="20"/>
        <v>29388275.866556898</v>
      </c>
      <c r="T48" s="47">
        <f t="shared" ca="1" si="21"/>
        <v>1221021.904686518</v>
      </c>
      <c r="U48" s="18">
        <f t="shared" ca="1" si="19"/>
        <v>4.3348986249756485E-2</v>
      </c>
    </row>
    <row r="49" spans="1:21">
      <c r="A49" s="2">
        <f>'Monthly Data'!A49</f>
        <v>43800</v>
      </c>
      <c r="B49">
        <f>'Monthly Data'!B49</f>
        <v>2019</v>
      </c>
      <c r="C49">
        <f>'Monthly Data'!C49</f>
        <v>12</v>
      </c>
      <c r="D49" s="3">
        <f>'Monthly Data'!BQ49</f>
        <v>29039341.006727766</v>
      </c>
      <c r="E49" s="3">
        <f>'Monthly Data'!CT49</f>
        <v>490.42916666666656</v>
      </c>
      <c r="F49" s="3">
        <f>'Monthly Data'!CW49</f>
        <v>0</v>
      </c>
      <c r="G49" s="3">
        <f>'Monthly Data'!DQ49</f>
        <v>31</v>
      </c>
      <c r="H49" s="3">
        <f>'Monthly Data'!EJ49</f>
        <v>0</v>
      </c>
      <c r="I49">
        <f>'Monthly Data'!EF49</f>
        <v>0</v>
      </c>
      <c r="K49" s="3">
        <f t="shared" si="12"/>
        <v>13824899.391279301</v>
      </c>
      <c r="L49" s="3">
        <f t="shared" si="13"/>
        <v>3783382.9170870022</v>
      </c>
      <c r="M49" s="3">
        <f t="shared" si="14"/>
        <v>0</v>
      </c>
      <c r="N49" s="3">
        <f t="shared" si="15"/>
        <v>12808183.109129699</v>
      </c>
      <c r="O49" s="3">
        <f t="shared" si="16"/>
        <v>0</v>
      </c>
      <c r="P49" s="3">
        <f t="shared" si="17"/>
        <v>0</v>
      </c>
      <c r="Q49" s="47">
        <f t="shared" si="18"/>
        <v>30416465.417496003</v>
      </c>
      <c r="R49" s="47">
        <f ca="1">'Monthly Data'!BR49+'Monthly Data'!BS49</f>
        <v>8341.6758626447518</v>
      </c>
      <c r="S49" s="47">
        <f t="shared" ca="1" si="20"/>
        <v>30424807.093358647</v>
      </c>
      <c r="T49" s="47">
        <f t="shared" ca="1" si="21"/>
        <v>1385466.0866308808</v>
      </c>
      <c r="U49" s="18">
        <f t="shared" ca="1" si="19"/>
        <v>4.7709969944218063E-2</v>
      </c>
    </row>
    <row r="50" spans="1:21">
      <c r="A50" s="2">
        <f>'Monthly Data'!A50</f>
        <v>43831</v>
      </c>
      <c r="B50">
        <f>'Monthly Data'!B50</f>
        <v>2020</v>
      </c>
      <c r="C50">
        <f>'Monthly Data'!C50</f>
        <v>1</v>
      </c>
      <c r="D50" s="3">
        <f>'Monthly Data'!BQ50</f>
        <v>30668364.111504901</v>
      </c>
      <c r="E50" s="3">
        <f>'Monthly Data'!CT50</f>
        <v>504.82083333333333</v>
      </c>
      <c r="F50" s="3">
        <f>'Monthly Data'!CW50</f>
        <v>0</v>
      </c>
      <c r="G50" s="3">
        <f>'Monthly Data'!DQ50</f>
        <v>31</v>
      </c>
      <c r="H50" s="3">
        <f>'Monthly Data'!EJ50</f>
        <v>0</v>
      </c>
      <c r="I50">
        <f>'Monthly Data'!EF50</f>
        <v>0</v>
      </c>
      <c r="K50" s="3">
        <f t="shared" si="12"/>
        <v>13824899.391279301</v>
      </c>
      <c r="L50" s="3">
        <f t="shared" si="13"/>
        <v>3894406.464452988</v>
      </c>
      <c r="M50" s="3">
        <f t="shared" si="14"/>
        <v>0</v>
      </c>
      <c r="N50" s="3">
        <f t="shared" si="15"/>
        <v>12808183.109129699</v>
      </c>
      <c r="O50" s="3">
        <f t="shared" si="16"/>
        <v>0</v>
      </c>
      <c r="P50" s="3">
        <f t="shared" si="17"/>
        <v>0</v>
      </c>
      <c r="Q50" s="47">
        <f t="shared" si="18"/>
        <v>30527488.964861989</v>
      </c>
      <c r="R50" s="47">
        <f ca="1">'Monthly Data'!BR50+'Monthly Data'!BS50</f>
        <v>23710.975233490288</v>
      </c>
      <c r="S50" s="47">
        <f t="shared" ca="1" si="20"/>
        <v>30551199.940095481</v>
      </c>
      <c r="T50" s="47">
        <f t="shared" ca="1" si="21"/>
        <v>-117164.17140942067</v>
      </c>
      <c r="U50" s="18">
        <f t="shared" ca="1" si="19"/>
        <v>3.8203593443534149E-3</v>
      </c>
    </row>
    <row r="51" spans="1:21">
      <c r="A51" s="2">
        <f>'Monthly Data'!A51</f>
        <v>43862</v>
      </c>
      <c r="B51">
        <f>'Monthly Data'!B51</f>
        <v>2020</v>
      </c>
      <c r="C51">
        <f>'Monthly Data'!C51</f>
        <v>2</v>
      </c>
      <c r="D51" s="3">
        <f>'Monthly Data'!BQ51</f>
        <v>28703003.715840835</v>
      </c>
      <c r="E51" s="3">
        <f>'Monthly Data'!CT51</f>
        <v>504.40000000000003</v>
      </c>
      <c r="F51" s="3">
        <f>'Monthly Data'!CW51</f>
        <v>0</v>
      </c>
      <c r="G51" s="3">
        <f>'Monthly Data'!DQ51</f>
        <v>29</v>
      </c>
      <c r="H51" s="3">
        <f>'Monthly Data'!EJ51</f>
        <v>0</v>
      </c>
      <c r="I51">
        <f>'Monthly Data'!EF51</f>
        <v>0</v>
      </c>
      <c r="K51" s="3">
        <f t="shared" si="12"/>
        <v>13824899.391279301</v>
      </c>
      <c r="L51" s="3">
        <f t="shared" si="13"/>
        <v>3891159.9739249153</v>
      </c>
      <c r="M51" s="3">
        <f t="shared" si="14"/>
        <v>0</v>
      </c>
      <c r="N51" s="3">
        <f t="shared" si="15"/>
        <v>11981848.7149923</v>
      </c>
      <c r="O51" s="3">
        <f t="shared" si="16"/>
        <v>0</v>
      </c>
      <c r="P51" s="3">
        <f t="shared" si="17"/>
        <v>0</v>
      </c>
      <c r="Q51" s="47">
        <f t="shared" si="18"/>
        <v>29697908.080196515</v>
      </c>
      <c r="R51" s="47">
        <f ca="1">'Monthly Data'!BR51+'Monthly Data'!BS51</f>
        <v>23531.067709473784</v>
      </c>
      <c r="S51" s="47">
        <f t="shared" ca="1" si="20"/>
        <v>29721439.147905987</v>
      </c>
      <c r="T51" s="47">
        <f t="shared" ca="1" si="21"/>
        <v>1018435.4320651516</v>
      </c>
      <c r="U51" s="18">
        <f t="shared" ca="1" si="19"/>
        <v>3.548184162701723E-2</v>
      </c>
    </row>
    <row r="52" spans="1:21">
      <c r="A52" s="2">
        <f>'Monthly Data'!A52</f>
        <v>43891</v>
      </c>
      <c r="B52">
        <f>'Monthly Data'!B52</f>
        <v>2020</v>
      </c>
      <c r="C52">
        <f>'Monthly Data'!C52</f>
        <v>3</v>
      </c>
      <c r="D52" s="3">
        <f>'Monthly Data'!BQ52</f>
        <v>27710384.046685323</v>
      </c>
      <c r="E52" s="3">
        <f>'Monthly Data'!CT52</f>
        <v>357.57083333333344</v>
      </c>
      <c r="F52" s="3">
        <f>'Monthly Data'!CW52</f>
        <v>0</v>
      </c>
      <c r="G52" s="3">
        <f>'Monthly Data'!DQ52</f>
        <v>31</v>
      </c>
      <c r="H52" s="3">
        <f>'Monthly Data'!EJ52</f>
        <v>0.5</v>
      </c>
      <c r="I52">
        <f>'Monthly Data'!EF52</f>
        <v>0</v>
      </c>
      <c r="K52" s="3">
        <f t="shared" si="12"/>
        <v>13824899.391279301</v>
      </c>
      <c r="L52" s="3">
        <f t="shared" si="13"/>
        <v>2758456.2143331561</v>
      </c>
      <c r="M52" s="3">
        <f t="shared" si="14"/>
        <v>0</v>
      </c>
      <c r="N52" s="3">
        <f t="shared" si="15"/>
        <v>12808183.109129699</v>
      </c>
      <c r="O52" s="3">
        <f t="shared" si="16"/>
        <v>-1751988.64369091</v>
      </c>
      <c r="P52" s="3">
        <f t="shared" si="17"/>
        <v>0</v>
      </c>
      <c r="Q52" s="47">
        <f t="shared" si="18"/>
        <v>27639550.071051244</v>
      </c>
      <c r="R52" s="47">
        <f ca="1">'Monthly Data'!BR52+'Monthly Data'!BS52</f>
        <v>19149.612677647263</v>
      </c>
      <c r="S52" s="47">
        <f t="shared" ca="1" si="20"/>
        <v>27658699.683728892</v>
      </c>
      <c r="T52" s="47">
        <f t="shared" ca="1" si="21"/>
        <v>-51684.362956430763</v>
      </c>
      <c r="U52" s="18">
        <f t="shared" ca="1" si="19"/>
        <v>1.8651622752450872E-3</v>
      </c>
    </row>
    <row r="53" spans="1:21">
      <c r="A53" s="2">
        <f>'Monthly Data'!A53</f>
        <v>43922</v>
      </c>
      <c r="B53">
        <f>'Monthly Data'!B53</f>
        <v>2020</v>
      </c>
      <c r="C53">
        <f>'Monthly Data'!C53</f>
        <v>4</v>
      </c>
      <c r="D53" s="3">
        <f>'Monthly Data'!BQ53</f>
        <v>25000248.061708741</v>
      </c>
      <c r="E53" s="3">
        <f>'Monthly Data'!CT53</f>
        <v>259.67500000000007</v>
      </c>
      <c r="F53" s="3">
        <f>'Monthly Data'!CW53</f>
        <v>0</v>
      </c>
      <c r="G53" s="3">
        <f>'Monthly Data'!DQ53</f>
        <v>30</v>
      </c>
      <c r="H53" s="3">
        <f>'Monthly Data'!EJ53</f>
        <v>1</v>
      </c>
      <c r="I53">
        <f>'Monthly Data'!EF53</f>
        <v>0</v>
      </c>
      <c r="K53" s="3">
        <f t="shared" si="12"/>
        <v>13824899.391279301</v>
      </c>
      <c r="L53" s="3">
        <f t="shared" si="13"/>
        <v>2003245.3731739742</v>
      </c>
      <c r="M53" s="3">
        <f t="shared" si="14"/>
        <v>0</v>
      </c>
      <c r="N53" s="3">
        <f t="shared" si="15"/>
        <v>12395015.912061</v>
      </c>
      <c r="O53" s="3">
        <f t="shared" si="16"/>
        <v>-3503977.2873818199</v>
      </c>
      <c r="P53" s="3">
        <f t="shared" si="17"/>
        <v>0</v>
      </c>
      <c r="Q53" s="47">
        <f t="shared" si="18"/>
        <v>24719183.389132455</v>
      </c>
      <c r="R53" s="47">
        <f ca="1">'Monthly Data'!BR53+'Monthly Data'!BS53</f>
        <v>15958.090456518807</v>
      </c>
      <c r="S53" s="47">
        <f t="shared" ca="1" si="20"/>
        <v>24735141.479588974</v>
      </c>
      <c r="T53" s="47">
        <f t="shared" ca="1" si="21"/>
        <v>-265106.58211976662</v>
      </c>
      <c r="U53" s="18">
        <f t="shared" ca="1" si="19"/>
        <v>1.0604158065367887E-2</v>
      </c>
    </row>
    <row r="54" spans="1:21">
      <c r="A54" s="2">
        <f>'Monthly Data'!A54</f>
        <v>43952</v>
      </c>
      <c r="B54">
        <f>'Monthly Data'!B54</f>
        <v>2020</v>
      </c>
      <c r="C54">
        <f>'Monthly Data'!C54</f>
        <v>5</v>
      </c>
      <c r="D54" s="3">
        <f>'Monthly Data'!BQ54</f>
        <v>24388113.176702131</v>
      </c>
      <c r="E54" s="3">
        <f>'Monthly Data'!CT54</f>
        <v>122.05</v>
      </c>
      <c r="F54" s="3">
        <f>'Monthly Data'!CW54</f>
        <v>77.750595238095229</v>
      </c>
      <c r="G54" s="3">
        <f>'Monthly Data'!DQ54</f>
        <v>31</v>
      </c>
      <c r="H54" s="3">
        <f>'Monthly Data'!EJ54</f>
        <v>1</v>
      </c>
      <c r="I54">
        <f>'Monthly Data'!EF54</f>
        <v>0</v>
      </c>
      <c r="K54" s="3">
        <f t="shared" si="12"/>
        <v>13824899.391279301</v>
      </c>
      <c r="L54" s="3">
        <f t="shared" si="13"/>
        <v>941546.54008234711</v>
      </c>
      <c r="M54" s="3">
        <f t="shared" si="14"/>
        <v>1170976.3708259307</v>
      </c>
      <c r="N54" s="3">
        <f t="shared" si="15"/>
        <v>12808183.109129699</v>
      </c>
      <c r="O54" s="3">
        <f t="shared" si="16"/>
        <v>-3503977.2873818199</v>
      </c>
      <c r="P54" s="3">
        <f t="shared" si="17"/>
        <v>0</v>
      </c>
      <c r="Q54" s="47">
        <f t="shared" si="18"/>
        <v>25241628.123935457</v>
      </c>
      <c r="R54" s="47">
        <f ca="1">'Monthly Data'!BR54+'Monthly Data'!BS54</f>
        <v>10671.010793445594</v>
      </c>
      <c r="S54" s="47">
        <f t="shared" ca="1" si="20"/>
        <v>25252299.134728901</v>
      </c>
      <c r="T54" s="47">
        <f t="shared" ca="1" si="21"/>
        <v>864185.9580267705</v>
      </c>
      <c r="U54" s="18">
        <f t="shared" ca="1" si="19"/>
        <v>3.5434719847549499E-2</v>
      </c>
    </row>
    <row r="55" spans="1:21">
      <c r="A55" s="2">
        <f>'Monthly Data'!A55</f>
        <v>43983</v>
      </c>
      <c r="B55">
        <f>'Monthly Data'!B55</f>
        <v>2020</v>
      </c>
      <c r="C55">
        <f>'Monthly Data'!C55</f>
        <v>6</v>
      </c>
      <c r="D55" s="3">
        <f>'Monthly Data'!BQ55</f>
        <v>28918574.4033737</v>
      </c>
      <c r="E55" s="3">
        <f>'Monthly Data'!CT55</f>
        <v>3.4333333333333353</v>
      </c>
      <c r="F55" s="3">
        <f>'Monthly Data'!CW55</f>
        <v>222.53623188405788</v>
      </c>
      <c r="G55" s="3">
        <f>'Monthly Data'!DQ55</f>
        <v>30</v>
      </c>
      <c r="H55" s="3">
        <f>'Monthly Data'!EJ55</f>
        <v>0.5</v>
      </c>
      <c r="I55">
        <f>'Monthly Data'!EF55</f>
        <v>0</v>
      </c>
      <c r="K55" s="3">
        <f t="shared" si="12"/>
        <v>13824899.391279301</v>
      </c>
      <c r="L55" s="3">
        <f t="shared" si="13"/>
        <v>26486.219753784462</v>
      </c>
      <c r="M55" s="3">
        <f t="shared" si="14"/>
        <v>3351545.6491475706</v>
      </c>
      <c r="N55" s="3">
        <f t="shared" si="15"/>
        <v>12395015.912061</v>
      </c>
      <c r="O55" s="3">
        <f t="shared" si="16"/>
        <v>-1751988.64369091</v>
      </c>
      <c r="P55" s="3">
        <f t="shared" si="17"/>
        <v>0</v>
      </c>
      <c r="Q55" s="47">
        <f t="shared" si="18"/>
        <v>27845958.528550748</v>
      </c>
      <c r="R55" s="47">
        <f ca="1">'Monthly Data'!BR55+'Monthly Data'!BS55</f>
        <v>4866.3272340221283</v>
      </c>
      <c r="S55" s="47">
        <f t="shared" ca="1" si="20"/>
        <v>27850824.85578477</v>
      </c>
      <c r="T55" s="47">
        <f t="shared" ca="1" si="21"/>
        <v>-1067749.5475889295</v>
      </c>
      <c r="U55" s="18">
        <f t="shared" ca="1" si="19"/>
        <v>3.6922620482438571E-2</v>
      </c>
    </row>
    <row r="56" spans="1:21">
      <c r="A56" s="2">
        <f>'Monthly Data'!A56</f>
        <v>44013</v>
      </c>
      <c r="B56">
        <f>'Monthly Data'!B56</f>
        <v>2020</v>
      </c>
      <c r="C56">
        <f>'Monthly Data'!C56</f>
        <v>7</v>
      </c>
      <c r="D56" s="3">
        <f>'Monthly Data'!BQ56</f>
        <v>29561488.452621069</v>
      </c>
      <c r="E56" s="3">
        <f>'Monthly Data'!CT56</f>
        <v>0</v>
      </c>
      <c r="F56" s="3">
        <f>'Monthly Data'!CW56</f>
        <v>370.88750000000005</v>
      </c>
      <c r="G56" s="3">
        <f>'Monthly Data'!DQ56</f>
        <v>31</v>
      </c>
      <c r="H56" s="3">
        <f>'Monthly Data'!EJ56</f>
        <v>0.5</v>
      </c>
      <c r="I56">
        <f>'Monthly Data'!EF56</f>
        <v>0</v>
      </c>
      <c r="K56" s="3">
        <f t="shared" si="12"/>
        <v>13824899.391279301</v>
      </c>
      <c r="L56" s="3">
        <f t="shared" si="13"/>
        <v>0</v>
      </c>
      <c r="M56" s="3">
        <f t="shared" si="14"/>
        <v>5585815.7407637378</v>
      </c>
      <c r="N56" s="3">
        <f t="shared" si="15"/>
        <v>12808183.109129699</v>
      </c>
      <c r="O56" s="3">
        <f t="shared" si="16"/>
        <v>-1751988.64369091</v>
      </c>
      <c r="P56" s="3">
        <f t="shared" si="17"/>
        <v>0</v>
      </c>
      <c r="Q56" s="47">
        <f t="shared" si="18"/>
        <v>30466909.597481828</v>
      </c>
      <c r="R56" s="47">
        <f ca="1">'Monthly Data'!BR56+'Monthly Data'!BS56</f>
        <v>3999.7651153846155</v>
      </c>
      <c r="S56" s="47">
        <f t="shared" ca="1" si="20"/>
        <v>30470909.362597212</v>
      </c>
      <c r="T56" s="47">
        <f t="shared" ca="1" si="21"/>
        <v>909420.90997614339</v>
      </c>
      <c r="U56" s="18">
        <f t="shared" ca="1" si="19"/>
        <v>3.0763704995223594E-2</v>
      </c>
    </row>
    <row r="57" spans="1:21">
      <c r="A57" s="2">
        <f>'Monthly Data'!A57</f>
        <v>44044</v>
      </c>
      <c r="B57">
        <f>'Monthly Data'!B57</f>
        <v>2020</v>
      </c>
      <c r="C57">
        <f>'Monthly Data'!C57</f>
        <v>8</v>
      </c>
      <c r="D57" s="3">
        <f>'Monthly Data'!BQ57</f>
        <v>28647072.719821006</v>
      </c>
      <c r="E57" s="3">
        <f>'Monthly Data'!CT57</f>
        <v>0</v>
      </c>
      <c r="F57" s="3">
        <f>'Monthly Data'!CW57</f>
        <v>278.93106060606061</v>
      </c>
      <c r="G57" s="3">
        <f>'Monthly Data'!DQ57</f>
        <v>31</v>
      </c>
      <c r="H57" s="3">
        <f>'Monthly Data'!EJ57</f>
        <v>0.5</v>
      </c>
      <c r="I57">
        <f>'Monthly Data'!EF57</f>
        <v>0</v>
      </c>
      <c r="K57" s="3">
        <f t="shared" si="12"/>
        <v>13824899.391279301</v>
      </c>
      <c r="L57" s="3">
        <f t="shared" si="13"/>
        <v>0</v>
      </c>
      <c r="M57" s="3">
        <f t="shared" si="14"/>
        <v>4200889.7817296553</v>
      </c>
      <c r="N57" s="3">
        <f t="shared" si="15"/>
        <v>12808183.109129699</v>
      </c>
      <c r="O57" s="3">
        <f t="shared" si="16"/>
        <v>-1751988.64369091</v>
      </c>
      <c r="P57" s="3">
        <f t="shared" si="17"/>
        <v>0</v>
      </c>
      <c r="Q57" s="47">
        <f t="shared" si="18"/>
        <v>29081983.638447743</v>
      </c>
      <c r="R57" s="47">
        <f ca="1">'Monthly Data'!BR57+'Monthly Data'!BS57</f>
        <v>4203.5250070918291</v>
      </c>
      <c r="S57" s="47">
        <f t="shared" ca="1" si="20"/>
        <v>29086187.163454834</v>
      </c>
      <c r="T57" s="47">
        <f t="shared" ca="1" si="21"/>
        <v>439114.44363382831</v>
      </c>
      <c r="U57" s="18">
        <f t="shared" ca="1" si="19"/>
        <v>1.5328422834979699E-2</v>
      </c>
    </row>
    <row r="58" spans="1:21">
      <c r="A58" s="2">
        <f>'Monthly Data'!A58</f>
        <v>44075</v>
      </c>
      <c r="B58">
        <f>'Monthly Data'!B58</f>
        <v>2020</v>
      </c>
      <c r="C58">
        <f>'Monthly Data'!C58</f>
        <v>9</v>
      </c>
      <c r="D58" s="3">
        <f>'Monthly Data'!BQ58</f>
        <v>26313202.783478461</v>
      </c>
      <c r="E58" s="3">
        <f>'Monthly Data'!CT58</f>
        <v>23.967028985507248</v>
      </c>
      <c r="F58" s="3">
        <f>'Monthly Data'!CW58</f>
        <v>120.81213768115938</v>
      </c>
      <c r="G58" s="3">
        <f>'Monthly Data'!DQ58</f>
        <v>30</v>
      </c>
      <c r="H58" s="3">
        <f>'Monthly Data'!EJ58</f>
        <v>0.5</v>
      </c>
      <c r="I58">
        <f>'Monthly Data'!EF58</f>
        <v>1</v>
      </c>
      <c r="K58" s="3">
        <f t="shared" si="12"/>
        <v>13824899.391279301</v>
      </c>
      <c r="L58" s="3">
        <f t="shared" si="13"/>
        <v>184892.03783168926</v>
      </c>
      <c r="M58" s="3">
        <f t="shared" si="14"/>
        <v>1819512.2249596871</v>
      </c>
      <c r="N58" s="3">
        <f t="shared" si="15"/>
        <v>12395015.912061</v>
      </c>
      <c r="O58" s="3">
        <f t="shared" si="16"/>
        <v>-1751988.64369091</v>
      </c>
      <c r="P58" s="3">
        <f t="shared" si="17"/>
        <v>0</v>
      </c>
      <c r="Q58" s="47">
        <f t="shared" si="18"/>
        <v>26472330.922440767</v>
      </c>
      <c r="R58" s="47">
        <f ca="1">'Monthly Data'!BR58+'Monthly Data'!BS58</f>
        <v>6922.4794626141611</v>
      </c>
      <c r="S58" s="47">
        <f t="shared" ca="1" si="20"/>
        <v>26479253.40190338</v>
      </c>
      <c r="T58" s="47">
        <f t="shared" ca="1" si="21"/>
        <v>166050.6184249185</v>
      </c>
      <c r="U58" s="18">
        <f t="shared" ca="1" si="19"/>
        <v>6.3105437901758727E-3</v>
      </c>
    </row>
    <row r="59" spans="1:21">
      <c r="A59" s="2">
        <f>'Monthly Data'!A59</f>
        <v>44105</v>
      </c>
      <c r="B59">
        <f>'Monthly Data'!B59</f>
        <v>2020</v>
      </c>
      <c r="C59">
        <f>'Monthly Data'!C59</f>
        <v>10</v>
      </c>
      <c r="D59" s="3">
        <f>'Monthly Data'!BQ59</f>
        <v>26266410.745664895</v>
      </c>
      <c r="E59" s="3">
        <f>'Monthly Data'!CT59</f>
        <v>167.76250000000005</v>
      </c>
      <c r="F59" s="3">
        <f>'Monthly Data'!CW59</f>
        <v>10.262500000000003</v>
      </c>
      <c r="G59" s="3">
        <f>'Monthly Data'!DQ59</f>
        <v>31</v>
      </c>
      <c r="H59" s="3">
        <f>'Monthly Data'!EJ59</f>
        <v>0.5</v>
      </c>
      <c r="I59">
        <f>'Monthly Data'!EF59</f>
        <v>1</v>
      </c>
      <c r="K59" s="3">
        <f t="shared" si="12"/>
        <v>13824899.391279301</v>
      </c>
      <c r="L59" s="3">
        <f t="shared" si="13"/>
        <v>1294192.5557604653</v>
      </c>
      <c r="M59" s="3">
        <f t="shared" si="14"/>
        <v>154560.16727333187</v>
      </c>
      <c r="N59" s="3">
        <f t="shared" si="15"/>
        <v>12808183.109129699</v>
      </c>
      <c r="O59" s="3">
        <f t="shared" si="16"/>
        <v>-1751988.64369091</v>
      </c>
      <c r="P59" s="3">
        <f t="shared" si="17"/>
        <v>0</v>
      </c>
      <c r="Q59" s="47">
        <f t="shared" si="18"/>
        <v>26329846.579751886</v>
      </c>
      <c r="R59" s="47">
        <f ca="1">'Monthly Data'!BR59+'Monthly Data'!BS59</f>
        <v>13547.488526444806</v>
      </c>
      <c r="S59" s="47">
        <f t="shared" ca="1" si="20"/>
        <v>26343394.068278331</v>
      </c>
      <c r="T59" s="47">
        <f t="shared" ca="1" si="21"/>
        <v>76983.322613436729</v>
      </c>
      <c r="U59" s="18">
        <f t="shared" ca="1" si="19"/>
        <v>2.9308657113017371E-3</v>
      </c>
    </row>
    <row r="60" spans="1:21">
      <c r="A60" s="2">
        <f>'Monthly Data'!A60</f>
        <v>44136</v>
      </c>
      <c r="B60">
        <f>'Monthly Data'!B60</f>
        <v>2020</v>
      </c>
      <c r="C60">
        <f>'Monthly Data'!C60</f>
        <v>11</v>
      </c>
      <c r="D60" s="3">
        <f>'Monthly Data'!BQ60</f>
        <v>26688674.621390801</v>
      </c>
      <c r="E60" s="3">
        <f>'Monthly Data'!CT60</f>
        <v>246.30072463768118</v>
      </c>
      <c r="F60" s="3">
        <f>'Monthly Data'!CW60</f>
        <v>1.8291666666666622</v>
      </c>
      <c r="G60" s="3">
        <f>'Monthly Data'!DQ60</f>
        <v>30</v>
      </c>
      <c r="H60" s="3">
        <f>'Monthly Data'!EJ60</f>
        <v>0.5</v>
      </c>
      <c r="I60">
        <f>'Monthly Data'!EF60</f>
        <v>1</v>
      </c>
      <c r="K60" s="3">
        <f t="shared" si="12"/>
        <v>13824899.391279301</v>
      </c>
      <c r="L60" s="3">
        <f t="shared" si="13"/>
        <v>1900070.4227970801</v>
      </c>
      <c r="M60" s="3">
        <f t="shared" si="14"/>
        <v>27548.482920419206</v>
      </c>
      <c r="N60" s="3">
        <f t="shared" si="15"/>
        <v>12395015.912061</v>
      </c>
      <c r="O60" s="3">
        <f t="shared" si="16"/>
        <v>-1751988.64369091</v>
      </c>
      <c r="P60" s="3">
        <f t="shared" si="17"/>
        <v>0</v>
      </c>
      <c r="Q60" s="47">
        <f t="shared" si="18"/>
        <v>26395545.56536689</v>
      </c>
      <c r="R60" s="47">
        <f ca="1">'Monthly Data'!BR60+'Monthly Data'!BS60</f>
        <v>16166.980353322175</v>
      </c>
      <c r="S60" s="47">
        <f t="shared" ca="1" si="20"/>
        <v>26411712.545720212</v>
      </c>
      <c r="T60" s="47">
        <f t="shared" ca="1" si="21"/>
        <v>-276962.07567058876</v>
      </c>
      <c r="U60" s="18">
        <f t="shared" ca="1" si="19"/>
        <v>1.0377513293545325E-2</v>
      </c>
    </row>
    <row r="61" spans="1:21">
      <c r="A61" s="2">
        <f>'Monthly Data'!A61</f>
        <v>44166</v>
      </c>
      <c r="B61">
        <f>'Monthly Data'!B61</f>
        <v>2020</v>
      </c>
      <c r="C61">
        <f>'Monthly Data'!C61</f>
        <v>12</v>
      </c>
      <c r="D61" s="3">
        <f>'Monthly Data'!BQ61</f>
        <v>29542203.236834507</v>
      </c>
      <c r="E61" s="3">
        <f>'Monthly Data'!CT61</f>
        <v>458.90416666666681</v>
      </c>
      <c r="F61" s="3">
        <f>'Monthly Data'!CW61</f>
        <v>0</v>
      </c>
      <c r="G61" s="3">
        <f>'Monthly Data'!DQ61</f>
        <v>31</v>
      </c>
      <c r="H61" s="3">
        <f>'Monthly Data'!EJ61</f>
        <v>0.5</v>
      </c>
      <c r="I61">
        <f>'Monthly Data'!EF61</f>
        <v>0</v>
      </c>
      <c r="K61" s="3">
        <f t="shared" si="12"/>
        <v>13824899.391279301</v>
      </c>
      <c r="L61" s="3">
        <f t="shared" si="13"/>
        <v>3540185.418716697</v>
      </c>
      <c r="M61" s="3">
        <f t="shared" si="14"/>
        <v>0</v>
      </c>
      <c r="N61" s="3">
        <f t="shared" si="15"/>
        <v>12808183.109129699</v>
      </c>
      <c r="O61" s="3">
        <f t="shared" si="16"/>
        <v>-1751988.64369091</v>
      </c>
      <c r="P61" s="3">
        <f t="shared" si="17"/>
        <v>0</v>
      </c>
      <c r="Q61" s="47">
        <f t="shared" si="18"/>
        <v>28421279.275434788</v>
      </c>
      <c r="R61" s="47">
        <f ca="1">'Monthly Data'!BR61+'Monthly Data'!BS61</f>
        <v>23236.994357929645</v>
      </c>
      <c r="S61" s="47">
        <f t="shared" ca="1" si="20"/>
        <v>28444516.269792717</v>
      </c>
      <c r="T61" s="47">
        <f t="shared" ca="1" si="21"/>
        <v>-1097686.9670417905</v>
      </c>
      <c r="U61" s="18">
        <f t="shared" ca="1" si="19"/>
        <v>3.7156570829935474E-2</v>
      </c>
    </row>
    <row r="62" spans="1:21">
      <c r="A62" s="2">
        <f>'Monthly Data'!A62</f>
        <v>44197</v>
      </c>
      <c r="B62">
        <f>'Monthly Data'!B62</f>
        <v>2021</v>
      </c>
      <c r="C62">
        <f>'Monthly Data'!C62</f>
        <v>1</v>
      </c>
      <c r="D62" s="3">
        <f ca="1">'Monthly Data'!BQ62</f>
        <v>29024209.879696224</v>
      </c>
      <c r="E62" s="3">
        <f>'Monthly Data'!CT62</f>
        <v>529.50416666666661</v>
      </c>
      <c r="F62" s="3">
        <f>'Monthly Data'!CW62</f>
        <v>0</v>
      </c>
      <c r="G62" s="3">
        <f>'Monthly Data'!DQ62</f>
        <v>31</v>
      </c>
      <c r="H62" s="3">
        <f>'Monthly Data'!EJ62</f>
        <v>0.5</v>
      </c>
      <c r="I62">
        <f>'Monthly Data'!EF62</f>
        <v>0</v>
      </c>
      <c r="K62" s="3">
        <f t="shared" si="12"/>
        <v>13824899.391279301</v>
      </c>
      <c r="L62" s="3">
        <f t="shared" si="13"/>
        <v>4084824.3841391755</v>
      </c>
      <c r="M62" s="3">
        <f t="shared" si="14"/>
        <v>0</v>
      </c>
      <c r="N62" s="3">
        <f t="shared" si="15"/>
        <v>12808183.109129699</v>
      </c>
      <c r="O62" s="3">
        <f t="shared" si="16"/>
        <v>-1751988.64369091</v>
      </c>
      <c r="P62" s="3">
        <f t="shared" si="17"/>
        <v>0</v>
      </c>
      <c r="Q62" s="47">
        <f t="shared" si="18"/>
        <v>28965918.240857262</v>
      </c>
      <c r="R62" s="47">
        <f ca="1">'Monthly Data'!BR62+'Monthly Data'!BS62</f>
        <v>42450.112039140338</v>
      </c>
      <c r="S62" s="47">
        <f t="shared" ca="1" si="20"/>
        <v>29008368.352896404</v>
      </c>
      <c r="T62" s="47">
        <f t="shared" ca="1" si="21"/>
        <v>-15841.526799820364</v>
      </c>
      <c r="U62" s="18">
        <f t="shared" ca="1" si="19"/>
        <v>5.4580389493745507E-4</v>
      </c>
    </row>
    <row r="63" spans="1:21">
      <c r="A63" s="2">
        <f>'Monthly Data'!A63</f>
        <v>44228</v>
      </c>
      <c r="B63">
        <f>'Monthly Data'!B63</f>
        <v>2021</v>
      </c>
      <c r="C63">
        <f>'Monthly Data'!C63</f>
        <v>2</v>
      </c>
      <c r="D63" s="3">
        <f ca="1">'Monthly Data'!BQ63</f>
        <v>27383449.558295596</v>
      </c>
      <c r="E63" s="3">
        <f>'Monthly Data'!CT63</f>
        <v>541.45416666666677</v>
      </c>
      <c r="F63" s="3">
        <f>'Monthly Data'!CW63</f>
        <v>0</v>
      </c>
      <c r="G63" s="3">
        <f>'Monthly Data'!DQ63</f>
        <v>28</v>
      </c>
      <c r="H63" s="3">
        <f>'Monthly Data'!EJ63</f>
        <v>0.5</v>
      </c>
      <c r="I63">
        <f>'Monthly Data'!EF63</f>
        <v>0</v>
      </c>
      <c r="K63" s="3">
        <f t="shared" si="12"/>
        <v>13824899.391279301</v>
      </c>
      <c r="L63" s="3">
        <f t="shared" si="13"/>
        <v>4177011.857748223</v>
      </c>
      <c r="M63" s="3">
        <f t="shared" si="14"/>
        <v>0</v>
      </c>
      <c r="N63" s="3">
        <f t="shared" si="15"/>
        <v>11568681.517923599</v>
      </c>
      <c r="O63" s="3">
        <f t="shared" si="16"/>
        <v>-1751988.64369091</v>
      </c>
      <c r="P63" s="3">
        <f t="shared" si="17"/>
        <v>0</v>
      </c>
      <c r="Q63" s="47">
        <f t="shared" si="18"/>
        <v>27818604.123260211</v>
      </c>
      <c r="R63" s="47">
        <f ca="1">'Monthly Data'!BR63+'Monthly Data'!BS63</f>
        <v>42622.358152276909</v>
      </c>
      <c r="S63" s="47">
        <f t="shared" ca="1" si="20"/>
        <v>27861226.481412489</v>
      </c>
      <c r="T63" s="47">
        <f t="shared" ca="1" si="21"/>
        <v>477776.92311689258</v>
      </c>
      <c r="U63" s="18">
        <f t="shared" ca="1" si="19"/>
        <v>1.7447652900697237E-2</v>
      </c>
    </row>
    <row r="64" spans="1:21">
      <c r="A64" s="2">
        <f>'Monthly Data'!A64</f>
        <v>44256</v>
      </c>
      <c r="B64">
        <f>'Monthly Data'!B64</f>
        <v>2021</v>
      </c>
      <c r="C64">
        <f>'Monthly Data'!C64</f>
        <v>3</v>
      </c>
      <c r="D64" s="3">
        <f ca="1">'Monthly Data'!BQ64</f>
        <v>28051255.486069389</v>
      </c>
      <c r="E64" s="3">
        <f>'Monthly Data'!CT64</f>
        <v>368.59637681159427</v>
      </c>
      <c r="F64" s="3">
        <f>'Monthly Data'!CW64</f>
        <v>0.29583333333332895</v>
      </c>
      <c r="G64" s="3">
        <f>'Monthly Data'!DQ64</f>
        <v>31</v>
      </c>
      <c r="H64" s="3">
        <f>'Monthly Data'!EJ64</f>
        <v>0.5</v>
      </c>
      <c r="I64">
        <f>'Monthly Data'!EF64</f>
        <v>0</v>
      </c>
      <c r="K64" s="3">
        <f t="shared" si="12"/>
        <v>13824899.391279301</v>
      </c>
      <c r="L64" s="3">
        <f t="shared" si="13"/>
        <v>2843512.0301011526</v>
      </c>
      <c r="M64" s="3">
        <f t="shared" si="14"/>
        <v>4455.449401707835</v>
      </c>
      <c r="N64" s="3">
        <f t="shared" si="15"/>
        <v>12808183.109129699</v>
      </c>
      <c r="O64" s="3">
        <f t="shared" si="16"/>
        <v>-1751988.64369091</v>
      </c>
      <c r="P64" s="3">
        <f t="shared" si="17"/>
        <v>0</v>
      </c>
      <c r="Q64" s="47">
        <f t="shared" si="18"/>
        <v>27729061.33622095</v>
      </c>
      <c r="R64" s="47">
        <f ca="1">'Monthly Data'!BR64+'Monthly Data'!BS64</f>
        <v>33511.163327028618</v>
      </c>
      <c r="S64" s="47">
        <f t="shared" ca="1" si="20"/>
        <v>27762572.499547977</v>
      </c>
      <c r="T64" s="47">
        <f t="shared" ca="1" si="21"/>
        <v>-288682.98652141169</v>
      </c>
      <c r="U64" s="18">
        <f t="shared" ca="1" si="19"/>
        <v>1.0291267949299999E-2</v>
      </c>
    </row>
    <row r="65" spans="1:21">
      <c r="A65" s="2">
        <f>'Monthly Data'!A65</f>
        <v>44287</v>
      </c>
      <c r="B65">
        <f>'Monthly Data'!B65</f>
        <v>2021</v>
      </c>
      <c r="C65">
        <f>'Monthly Data'!C65</f>
        <v>4</v>
      </c>
      <c r="D65" s="3">
        <f ca="1">'Monthly Data'!BQ65</f>
        <v>24675867.120237663</v>
      </c>
      <c r="E65" s="3">
        <f>'Monthly Data'!CT65</f>
        <v>203.50416666666672</v>
      </c>
      <c r="F65" s="3">
        <f>'Monthly Data'!CW65</f>
        <v>11.054166666666664</v>
      </c>
      <c r="G65" s="3">
        <f>'Monthly Data'!DQ65</f>
        <v>30</v>
      </c>
      <c r="H65" s="3">
        <f>'Monthly Data'!EJ65</f>
        <v>0.5</v>
      </c>
      <c r="I65">
        <f>'Monthly Data'!EF65</f>
        <v>0</v>
      </c>
      <c r="K65" s="3">
        <f t="shared" si="12"/>
        <v>13824899.391279301</v>
      </c>
      <c r="L65" s="3">
        <f t="shared" si="13"/>
        <v>1569919.2463526535</v>
      </c>
      <c r="M65" s="3">
        <f t="shared" si="14"/>
        <v>166483.20088353602</v>
      </c>
      <c r="N65" s="3">
        <f t="shared" si="15"/>
        <v>12395015.912061</v>
      </c>
      <c r="O65" s="3">
        <f t="shared" si="16"/>
        <v>-1751988.64369091</v>
      </c>
      <c r="P65" s="3">
        <f t="shared" si="17"/>
        <v>0</v>
      </c>
      <c r="Q65" s="47">
        <f t="shared" si="18"/>
        <v>26204329.106885578</v>
      </c>
      <c r="R65" s="47">
        <f ca="1">'Monthly Data'!BR65+'Monthly Data'!BS65</f>
        <v>23710.512798157557</v>
      </c>
      <c r="S65" s="47">
        <f t="shared" ca="1" si="20"/>
        <v>26228039.619683735</v>
      </c>
      <c r="T65" s="47">
        <f t="shared" ca="1" si="21"/>
        <v>1552172.4994460717</v>
      </c>
      <c r="U65" s="18">
        <f t="shared" ca="1" si="19"/>
        <v>6.29024500692449E-2</v>
      </c>
    </row>
    <row r="66" spans="1:21">
      <c r="A66" s="2">
        <f>'Monthly Data'!A66</f>
        <v>44317</v>
      </c>
      <c r="B66">
        <f>'Monthly Data'!B66</f>
        <v>2021</v>
      </c>
      <c r="C66">
        <f>'Monthly Data'!C66</f>
        <v>5</v>
      </c>
      <c r="D66" s="3">
        <f ca="1">'Monthly Data'!BQ66</f>
        <v>24808278.454195786</v>
      </c>
      <c r="E66" s="3">
        <f>'Monthly Data'!CT66</f>
        <v>83.376388888888897</v>
      </c>
      <c r="F66" s="3">
        <f>'Monthly Data'!CW66</f>
        <v>83.256944444444414</v>
      </c>
      <c r="G66" s="3">
        <f>'Monthly Data'!DQ66</f>
        <v>31</v>
      </c>
      <c r="H66" s="3">
        <f>'Monthly Data'!EJ66</f>
        <v>0.5</v>
      </c>
      <c r="I66">
        <f>'Monthly Data'!EF66</f>
        <v>0</v>
      </c>
      <c r="K66" s="3">
        <f t="shared" ref="K66:K97" si="22">$Y$8</f>
        <v>13824899.391279301</v>
      </c>
      <c r="L66" s="3">
        <f t="shared" ref="L66:L97" si="23">E66*$Y$9</f>
        <v>643201.56069556403</v>
      </c>
      <c r="M66" s="3">
        <f t="shared" ref="M66:M97" si="24">F66*$Y$10</f>
        <v>1253905.7013398123</v>
      </c>
      <c r="N66" s="3">
        <f t="shared" ref="N66:N97" si="25">G66*$Y$11</f>
        <v>12808183.109129699</v>
      </c>
      <c r="O66" s="3">
        <f t="shared" ref="O66:O97" si="26">H66*$Y$12</f>
        <v>-1751988.64369091</v>
      </c>
      <c r="P66" s="3">
        <f t="shared" ref="P66:P97" si="27">I66*$Y$13</f>
        <v>0</v>
      </c>
      <c r="Q66" s="47">
        <f t="shared" si="18"/>
        <v>26778201.118753467</v>
      </c>
      <c r="R66" s="47">
        <f ca="1">'Monthly Data'!BR66+'Monthly Data'!BS66</f>
        <v>15448.238981281018</v>
      </c>
      <c r="S66" s="47">
        <f t="shared" ca="1" si="20"/>
        <v>26793649.357734747</v>
      </c>
      <c r="T66" s="47">
        <f t="shared" ca="1" si="21"/>
        <v>1985370.903538961</v>
      </c>
      <c r="U66" s="18">
        <f t="shared" ca="1" si="19"/>
        <v>8.0028564142594835E-2</v>
      </c>
    </row>
    <row r="67" spans="1:21">
      <c r="A67" s="2">
        <f>'Monthly Data'!A67</f>
        <v>44348</v>
      </c>
      <c r="B67">
        <f>'Monthly Data'!B67</f>
        <v>2021</v>
      </c>
      <c r="C67">
        <f>'Monthly Data'!C67</f>
        <v>6</v>
      </c>
      <c r="D67" s="3">
        <f ca="1">'Monthly Data'!BQ67</f>
        <v>27291992.618535176</v>
      </c>
      <c r="E67" s="3">
        <f>'Monthly Data'!CT67</f>
        <v>0</v>
      </c>
      <c r="F67" s="3">
        <f>'Monthly Data'!CW67</f>
        <v>241.67500000000001</v>
      </c>
      <c r="G67" s="3">
        <f>'Monthly Data'!DQ67</f>
        <v>30</v>
      </c>
      <c r="H67" s="3">
        <f>'Monthly Data'!EJ67</f>
        <v>0.5</v>
      </c>
      <c r="I67">
        <f>'Monthly Data'!EF67</f>
        <v>0</v>
      </c>
      <c r="K67" s="3">
        <f t="shared" si="22"/>
        <v>13824899.391279301</v>
      </c>
      <c r="L67" s="3">
        <f t="shared" si="23"/>
        <v>0</v>
      </c>
      <c r="M67" s="3">
        <f t="shared" si="24"/>
        <v>3639788.3971529813</v>
      </c>
      <c r="N67" s="3">
        <f t="shared" si="25"/>
        <v>12395015.912061</v>
      </c>
      <c r="O67" s="3">
        <f t="shared" si="26"/>
        <v>-1751988.64369091</v>
      </c>
      <c r="P67" s="3">
        <f t="shared" si="27"/>
        <v>0</v>
      </c>
      <c r="Q67" s="47">
        <f t="shared" si="18"/>
        <v>28107715.056802373</v>
      </c>
      <c r="R67" s="47">
        <f ca="1">'Monthly Data'!BR67+'Monthly Data'!BS67</f>
        <v>6421.84387485351</v>
      </c>
      <c r="S67" s="47">
        <f t="shared" ca="1" si="20"/>
        <v>28114136.900677226</v>
      </c>
      <c r="T67" s="47">
        <f t="shared" ca="1" si="21"/>
        <v>822144.28214205056</v>
      </c>
      <c r="U67" s="18">
        <f t="shared" ca="1" si="19"/>
        <v>3.0124010864039905E-2</v>
      </c>
    </row>
    <row r="68" spans="1:21">
      <c r="A68" s="2">
        <f>'Monthly Data'!A68</f>
        <v>44378</v>
      </c>
      <c r="B68">
        <f>'Monthly Data'!B68</f>
        <v>2021</v>
      </c>
      <c r="C68">
        <f>'Monthly Data'!C68</f>
        <v>7</v>
      </c>
      <c r="D68" s="3">
        <f ca="1">'Monthly Data'!BQ68</f>
        <v>28292000.297134548</v>
      </c>
      <c r="E68" s="3">
        <f>'Monthly Data'!CT68</f>
        <v>0</v>
      </c>
      <c r="F68" s="3">
        <f>'Monthly Data'!CW68</f>
        <v>254.87499999999994</v>
      </c>
      <c r="G68" s="3">
        <f>'Monthly Data'!DQ68</f>
        <v>31</v>
      </c>
      <c r="H68" s="3">
        <f>'Monthly Data'!EJ68</f>
        <v>0.5</v>
      </c>
      <c r="I68">
        <f>'Monthly Data'!EF68</f>
        <v>0</v>
      </c>
      <c r="K68" s="3">
        <f t="shared" si="22"/>
        <v>13824899.391279301</v>
      </c>
      <c r="L68" s="3">
        <f t="shared" si="23"/>
        <v>0</v>
      </c>
      <c r="M68" s="3">
        <f t="shared" si="24"/>
        <v>3838589.294401017</v>
      </c>
      <c r="N68" s="3">
        <f t="shared" si="25"/>
        <v>12808183.109129699</v>
      </c>
      <c r="O68" s="3">
        <f t="shared" si="26"/>
        <v>-1751988.64369091</v>
      </c>
      <c r="P68" s="3">
        <f t="shared" si="27"/>
        <v>0</v>
      </c>
      <c r="Q68" s="47">
        <f t="shared" si="18"/>
        <v>28719683.151119109</v>
      </c>
      <c r="R68" s="47">
        <f ca="1">'Monthly Data'!BR68+'Monthly Data'!BS68</f>
        <v>6083.1790900867454</v>
      </c>
      <c r="S68" s="47">
        <f t="shared" ca="1" si="20"/>
        <v>28725766.330209196</v>
      </c>
      <c r="T68" s="47">
        <f t="shared" ca="1" si="21"/>
        <v>433766.03307464719</v>
      </c>
      <c r="U68" s="18">
        <f t="shared" ca="1" si="19"/>
        <v>1.5331755567618158E-2</v>
      </c>
    </row>
    <row r="69" spans="1:21">
      <c r="A69" s="2">
        <f>'Monthly Data'!A69</f>
        <v>44409</v>
      </c>
      <c r="B69">
        <f>'Monthly Data'!B69</f>
        <v>2021</v>
      </c>
      <c r="C69">
        <f>'Monthly Data'!C69</f>
        <v>8</v>
      </c>
      <c r="D69" s="3">
        <f ca="1">'Monthly Data'!BQ69</f>
        <v>30547441.198189639</v>
      </c>
      <c r="E69" s="3">
        <f>'Monthly Data'!CT69</f>
        <v>0</v>
      </c>
      <c r="F69" s="3">
        <f>'Monthly Data'!CW69</f>
        <v>328.06249999999989</v>
      </c>
      <c r="G69" s="3">
        <f>'Monthly Data'!DQ69</f>
        <v>31</v>
      </c>
      <c r="H69" s="3">
        <f>'Monthly Data'!EJ69</f>
        <v>0.5</v>
      </c>
      <c r="I69">
        <f>'Monthly Data'!EF69</f>
        <v>0</v>
      </c>
      <c r="K69" s="3">
        <f t="shared" si="22"/>
        <v>13824899.391279301</v>
      </c>
      <c r="L69" s="3">
        <f t="shared" si="23"/>
        <v>0</v>
      </c>
      <c r="M69" s="3">
        <f t="shared" si="24"/>
        <v>4940842.3752601612</v>
      </c>
      <c r="N69" s="3">
        <f t="shared" si="25"/>
        <v>12808183.109129699</v>
      </c>
      <c r="O69" s="3">
        <f t="shared" si="26"/>
        <v>-1751988.64369091</v>
      </c>
      <c r="P69" s="3">
        <f t="shared" si="27"/>
        <v>0</v>
      </c>
      <c r="Q69" s="47">
        <f t="shared" si="18"/>
        <v>29821936.231978249</v>
      </c>
      <c r="R69" s="47">
        <f ca="1">'Monthly Data'!BR69+'Monthly Data'!BS69</f>
        <v>5989.1453708414974</v>
      </c>
      <c r="S69" s="47">
        <f t="shared" ca="1" si="20"/>
        <v>29827925.37734909</v>
      </c>
      <c r="T69" s="47">
        <f t="shared" ca="1" si="21"/>
        <v>-719515.82084054872</v>
      </c>
      <c r="U69" s="18">
        <f t="shared" ca="1" si="19"/>
        <v>2.3554045531093127E-2</v>
      </c>
    </row>
    <row r="70" spans="1:21">
      <c r="A70" s="2">
        <f>'Monthly Data'!A70</f>
        <v>44440</v>
      </c>
      <c r="B70">
        <f>'Monthly Data'!B70</f>
        <v>2021</v>
      </c>
      <c r="C70">
        <f>'Monthly Data'!C70</f>
        <v>9</v>
      </c>
      <c r="D70" s="3">
        <f ca="1">'Monthly Data'!BQ70</f>
        <v>26774641.537251331</v>
      </c>
      <c r="E70" s="3">
        <f>'Monthly Data'!CT70</f>
        <v>5.9833333333333432</v>
      </c>
      <c r="F70" s="3">
        <f>'Monthly Data'!CW70</f>
        <v>149.55833333333328</v>
      </c>
      <c r="G70" s="3">
        <f>'Monthly Data'!DQ70</f>
        <v>30</v>
      </c>
      <c r="H70" s="3">
        <f>'Monthly Data'!EJ70</f>
        <v>0.5</v>
      </c>
      <c r="I70">
        <f>'Monthly Data'!EF70</f>
        <v>1</v>
      </c>
      <c r="K70" s="3">
        <f t="shared" si="22"/>
        <v>13824899.391279301</v>
      </c>
      <c r="L70" s="3">
        <f t="shared" si="23"/>
        <v>46158.023745672966</v>
      </c>
      <c r="M70" s="3">
        <f t="shared" si="24"/>
        <v>2252449.3073930047</v>
      </c>
      <c r="N70" s="3">
        <f t="shared" si="25"/>
        <v>12395015.912061</v>
      </c>
      <c r="O70" s="3">
        <f t="shared" si="26"/>
        <v>-1751988.64369091</v>
      </c>
      <c r="P70" s="3">
        <f t="shared" si="27"/>
        <v>0</v>
      </c>
      <c r="Q70" s="47">
        <f t="shared" si="18"/>
        <v>26766533.990788069</v>
      </c>
      <c r="R70" s="47">
        <f ca="1">'Monthly Data'!BR70+'Monthly Data'!BS70</f>
        <v>8761.4083839014056</v>
      </c>
      <c r="S70" s="47">
        <f t="shared" ca="1" si="20"/>
        <v>26775295.399171971</v>
      </c>
      <c r="T70" s="47">
        <f t="shared" ca="1" si="21"/>
        <v>653.86192063987255</v>
      </c>
      <c r="U70" s="18">
        <f t="shared" ca="1" si="19"/>
        <v>2.4420940229215021E-5</v>
      </c>
    </row>
    <row r="71" spans="1:21">
      <c r="A71" s="2">
        <f>'Monthly Data'!A71</f>
        <v>44470</v>
      </c>
      <c r="B71">
        <f>'Monthly Data'!B71</f>
        <v>2021</v>
      </c>
      <c r="C71">
        <f>'Monthly Data'!C71</f>
        <v>10</v>
      </c>
      <c r="D71" s="3">
        <f ca="1">'Monthly Data'!BQ71</f>
        <v>26929954.150104683</v>
      </c>
      <c r="E71" s="3">
        <f>'Monthly Data'!CT71</f>
        <v>72.749999999999986</v>
      </c>
      <c r="F71" s="3">
        <f>'Monthly Data'!CW71</f>
        <v>77.979166666666686</v>
      </c>
      <c r="G71" s="3">
        <f>'Monthly Data'!DQ71</f>
        <v>31</v>
      </c>
      <c r="H71" s="3">
        <f>'Monthly Data'!EJ71</f>
        <v>0.5</v>
      </c>
      <c r="I71">
        <f>'Monthly Data'!EF71</f>
        <v>1</v>
      </c>
      <c r="K71" s="3">
        <f t="shared" si="22"/>
        <v>13824899.391279301</v>
      </c>
      <c r="L71" s="3">
        <f t="shared" si="23"/>
        <v>561224.99623917032</v>
      </c>
      <c r="M71" s="3">
        <f t="shared" si="24"/>
        <v>1174418.8106051181</v>
      </c>
      <c r="N71" s="3">
        <f t="shared" si="25"/>
        <v>12808183.109129699</v>
      </c>
      <c r="O71" s="3">
        <f t="shared" si="26"/>
        <v>-1751988.64369091</v>
      </c>
      <c r="P71" s="3">
        <f t="shared" si="27"/>
        <v>0</v>
      </c>
      <c r="Q71" s="47">
        <f t="shared" si="18"/>
        <v>26616737.663562376</v>
      </c>
      <c r="R71" s="47">
        <f ca="1">'Monthly Data'!BR71+'Monthly Data'!BS71</f>
        <v>15159.599304209376</v>
      </c>
      <c r="S71" s="47">
        <f t="shared" ca="1" si="20"/>
        <v>26631897.262866586</v>
      </c>
      <c r="T71" s="47">
        <f t="shared" ca="1" si="21"/>
        <v>-298056.88723809645</v>
      </c>
      <c r="U71" s="18">
        <f t="shared" ca="1" si="19"/>
        <v>1.106785721122135E-2</v>
      </c>
    </row>
    <row r="72" spans="1:21">
      <c r="A72" s="2">
        <f>'Monthly Data'!A72</f>
        <v>44501</v>
      </c>
      <c r="B72">
        <f>'Monthly Data'!B72</f>
        <v>2021</v>
      </c>
      <c r="C72">
        <f>'Monthly Data'!C72</f>
        <v>11</v>
      </c>
      <c r="D72" s="3">
        <f ca="1">'Monthly Data'!BQ72</f>
        <v>27602290.887845457</v>
      </c>
      <c r="E72" s="3">
        <f>'Monthly Data'!CT72</f>
        <v>326.31260351966864</v>
      </c>
      <c r="F72" s="3">
        <f>'Monthly Data'!CW72</f>
        <v>0</v>
      </c>
      <c r="G72" s="3">
        <f>'Monthly Data'!DQ72</f>
        <v>30</v>
      </c>
      <c r="H72" s="3">
        <f>'Monthly Data'!EJ72</f>
        <v>0.5</v>
      </c>
      <c r="I72">
        <f>'Monthly Data'!EF72</f>
        <v>1</v>
      </c>
      <c r="K72" s="3">
        <f t="shared" si="22"/>
        <v>13824899.391279301</v>
      </c>
      <c r="L72" s="3">
        <f t="shared" si="23"/>
        <v>2517316.6966751884</v>
      </c>
      <c r="M72" s="3">
        <f t="shared" si="24"/>
        <v>0</v>
      </c>
      <c r="N72" s="3">
        <f t="shared" si="25"/>
        <v>12395015.912061</v>
      </c>
      <c r="O72" s="3">
        <f t="shared" si="26"/>
        <v>-1751988.64369091</v>
      </c>
      <c r="P72" s="3">
        <f t="shared" si="27"/>
        <v>0</v>
      </c>
      <c r="Q72" s="47">
        <f t="shared" si="18"/>
        <v>26985243.35632458</v>
      </c>
      <c r="R72" s="47">
        <f ca="1">'Monthly Data'!BR72+'Monthly Data'!BS72</f>
        <v>32240.259937005874</v>
      </c>
      <c r="S72" s="47">
        <f t="shared" ca="1" si="20"/>
        <v>27017483.616261587</v>
      </c>
      <c r="T72" s="47">
        <f t="shared" ca="1" si="21"/>
        <v>-584807.27158387005</v>
      </c>
      <c r="U72" s="18">
        <f t="shared" ca="1" si="19"/>
        <v>2.1186910679264932E-2</v>
      </c>
    </row>
    <row r="73" spans="1:21">
      <c r="A73" s="2">
        <f>'Monthly Data'!A73</f>
        <v>44531</v>
      </c>
      <c r="B73">
        <f>'Monthly Data'!B73</f>
        <v>2021</v>
      </c>
      <c r="C73">
        <f>'Monthly Data'!C73</f>
        <v>12</v>
      </c>
      <c r="D73" s="3">
        <f ca="1">'Monthly Data'!BQ73</f>
        <v>29161153.809915259</v>
      </c>
      <c r="E73" s="3">
        <f>'Monthly Data'!CT73</f>
        <v>409.04583333333335</v>
      </c>
      <c r="F73" s="3">
        <f>'Monthly Data'!CW73</f>
        <v>0</v>
      </c>
      <c r="G73" s="3">
        <f>'Monthly Data'!DQ73</f>
        <v>31</v>
      </c>
      <c r="H73" s="3">
        <f>'Monthly Data'!EJ73</f>
        <v>0.5</v>
      </c>
      <c r="I73">
        <f>'Monthly Data'!EF73</f>
        <v>0</v>
      </c>
      <c r="K73" s="3">
        <f t="shared" si="22"/>
        <v>13824899.391279301</v>
      </c>
      <c r="L73" s="3">
        <f t="shared" si="23"/>
        <v>3155556.6498164721</v>
      </c>
      <c r="M73" s="3">
        <f t="shared" si="24"/>
        <v>0</v>
      </c>
      <c r="N73" s="3">
        <f t="shared" si="25"/>
        <v>12808183.109129699</v>
      </c>
      <c r="O73" s="3">
        <f t="shared" si="26"/>
        <v>-1751988.64369091</v>
      </c>
      <c r="P73" s="3">
        <f t="shared" si="27"/>
        <v>0</v>
      </c>
      <c r="Q73" s="47">
        <f t="shared" si="18"/>
        <v>28036650.506534558</v>
      </c>
      <c r="R73" s="47">
        <f ca="1">'Monthly Data'!BR73+'Monthly Data'!BS73</f>
        <v>37422.505809131268</v>
      </c>
      <c r="S73" s="47">
        <f t="shared" ca="1" si="20"/>
        <v>28074073.01234369</v>
      </c>
      <c r="T73" s="47">
        <f t="shared" ca="1" si="21"/>
        <v>-1087080.7975715697</v>
      </c>
      <c r="U73" s="18">
        <f t="shared" ca="1" si="19"/>
        <v>3.727838770227071E-2</v>
      </c>
    </row>
    <row r="74" spans="1:21">
      <c r="A74" s="2">
        <f>'Monthly Data'!A74</f>
        <v>44562</v>
      </c>
      <c r="B74">
        <f>'Monthly Data'!B74</f>
        <v>2022</v>
      </c>
      <c r="C74">
        <f>'Monthly Data'!C74</f>
        <v>1</v>
      </c>
      <c r="D74" s="3">
        <f ca="1">'Monthly Data'!BQ74</f>
        <v>30686239.483162697</v>
      </c>
      <c r="E74" s="3">
        <f>'Monthly Data'!CT74</f>
        <v>701.49166666666656</v>
      </c>
      <c r="F74" s="3">
        <f>'Monthly Data'!CW74</f>
        <v>0</v>
      </c>
      <c r="G74" s="3">
        <f>'Monthly Data'!DQ74</f>
        <v>31</v>
      </c>
      <c r="H74" s="3">
        <f>'Monthly Data'!EJ74</f>
        <v>0.25</v>
      </c>
      <c r="I74">
        <f>'Monthly Data'!EF74</f>
        <v>0</v>
      </c>
      <c r="K74" s="3">
        <f t="shared" si="22"/>
        <v>13824899.391279301</v>
      </c>
      <c r="L74" s="3">
        <f t="shared" si="23"/>
        <v>5411610.4190626713</v>
      </c>
      <c r="M74" s="3">
        <f t="shared" si="24"/>
        <v>0</v>
      </c>
      <c r="N74" s="3">
        <f t="shared" si="25"/>
        <v>12808183.109129699</v>
      </c>
      <c r="O74" s="3">
        <f t="shared" si="26"/>
        <v>-875994.32184545498</v>
      </c>
      <c r="P74" s="3">
        <f t="shared" si="27"/>
        <v>0</v>
      </c>
      <c r="Q74" s="47">
        <f t="shared" ref="Q74:Q97" si="28">SUM(K74:P74)</f>
        <v>31168698.59762622</v>
      </c>
      <c r="R74" s="47">
        <f ca="1">'Monthly Data'!BR74+'Monthly Data'!BS74</f>
        <v>76263.656451643794</v>
      </c>
      <c r="S74" s="47">
        <f t="shared" ca="1" si="20"/>
        <v>31244962.254077863</v>
      </c>
      <c r="T74" s="47">
        <f t="shared" ca="1" si="21"/>
        <v>558722.77091516554</v>
      </c>
      <c r="U74" s="18">
        <f t="shared" ref="U74:U97" ca="1" si="29">ABS(T74/D74)</f>
        <v>1.8207599899027458E-2</v>
      </c>
    </row>
    <row r="75" spans="1:21">
      <c r="A75" s="2">
        <f>'Monthly Data'!A75</f>
        <v>44593</v>
      </c>
      <c r="B75">
        <f>'Monthly Data'!B75</f>
        <v>2022</v>
      </c>
      <c r="C75">
        <f>'Monthly Data'!C75</f>
        <v>2</v>
      </c>
      <c r="D75" s="3">
        <f ca="1">'Monthly Data'!BQ75</f>
        <v>28370529.540817738</v>
      </c>
      <c r="E75" s="3">
        <f>'Monthly Data'!CT75</f>
        <v>524.84999999999991</v>
      </c>
      <c r="F75" s="3">
        <f>'Monthly Data'!CW75</f>
        <v>0</v>
      </c>
      <c r="G75" s="3">
        <f>'Monthly Data'!DQ75</f>
        <v>28</v>
      </c>
      <c r="H75" s="3">
        <f>'Monthly Data'!EJ75</f>
        <v>0.25</v>
      </c>
      <c r="I75">
        <f>'Monthly Data'!EF75</f>
        <v>0</v>
      </c>
      <c r="K75" s="3">
        <f t="shared" si="22"/>
        <v>13824899.391279301</v>
      </c>
      <c r="L75" s="3">
        <f t="shared" si="23"/>
        <v>4048920.1275069215</v>
      </c>
      <c r="M75" s="3">
        <f t="shared" si="24"/>
        <v>0</v>
      </c>
      <c r="N75" s="3">
        <f t="shared" si="25"/>
        <v>11568681.517923599</v>
      </c>
      <c r="O75" s="3">
        <f t="shared" si="26"/>
        <v>-875994.32184545498</v>
      </c>
      <c r="P75" s="3">
        <f t="shared" si="27"/>
        <v>0</v>
      </c>
      <c r="Q75" s="47">
        <f t="shared" si="28"/>
        <v>28566506.714864369</v>
      </c>
      <c r="R75" s="47">
        <f ca="1">'Monthly Data'!BR75+'Monthly Data'!BS75</f>
        <v>60843.383800264295</v>
      </c>
      <c r="S75" s="47">
        <f t="shared" ca="1" si="20"/>
        <v>28627350.098664634</v>
      </c>
      <c r="T75" s="47">
        <f t="shared" ca="1" si="21"/>
        <v>256820.55784689635</v>
      </c>
      <c r="U75" s="18">
        <f t="shared" ca="1" si="29"/>
        <v>9.0523709639398538E-3</v>
      </c>
    </row>
    <row r="76" spans="1:21">
      <c r="A76" s="2">
        <f>'Monthly Data'!A76</f>
        <v>44621</v>
      </c>
      <c r="B76">
        <f>'Monthly Data'!B76</f>
        <v>2022</v>
      </c>
      <c r="C76">
        <f>'Monthly Data'!C76</f>
        <v>3</v>
      </c>
      <c r="D76" s="3">
        <f ca="1">'Monthly Data'!BQ76</f>
        <v>29954508.427052781</v>
      </c>
      <c r="E76" s="3">
        <f>'Monthly Data'!CT76</f>
        <v>420.72083333333353</v>
      </c>
      <c r="F76" s="3">
        <f>'Monthly Data'!CW76</f>
        <v>0</v>
      </c>
      <c r="G76" s="3">
        <f>'Monthly Data'!DQ76</f>
        <v>31</v>
      </c>
      <c r="H76" s="3">
        <f>'Monthly Data'!EJ76</f>
        <v>0.25</v>
      </c>
      <c r="I76">
        <f>'Monthly Data'!EF76</f>
        <v>0</v>
      </c>
      <c r="K76" s="3">
        <f t="shared" si="22"/>
        <v>13824899.391279301</v>
      </c>
      <c r="L76" s="3">
        <f t="shared" si="23"/>
        <v>3245622.6543675708</v>
      </c>
      <c r="M76" s="3">
        <f t="shared" si="24"/>
        <v>0</v>
      </c>
      <c r="N76" s="3">
        <f t="shared" si="25"/>
        <v>12808183.109129699</v>
      </c>
      <c r="O76" s="3">
        <f t="shared" si="26"/>
        <v>-875994.32184545498</v>
      </c>
      <c r="P76" s="3">
        <f t="shared" si="27"/>
        <v>0</v>
      </c>
      <c r="Q76" s="47">
        <f t="shared" si="28"/>
        <v>29002710.83293112</v>
      </c>
      <c r="R76" s="47">
        <f ca="1">'Monthly Data'!BR76+'Monthly Data'!BS76</f>
        <v>53498.932002149617</v>
      </c>
      <c r="S76" s="47">
        <f t="shared" ca="1" si="20"/>
        <v>29056209.764933269</v>
      </c>
      <c r="T76" s="47">
        <f t="shared" ca="1" si="21"/>
        <v>-898298.66211951151</v>
      </c>
      <c r="U76" s="18">
        <f t="shared" ca="1" si="29"/>
        <v>2.9988763271048442E-2</v>
      </c>
    </row>
    <row r="77" spans="1:21">
      <c r="A77" s="2">
        <f>'Monthly Data'!A77</f>
        <v>44652</v>
      </c>
      <c r="B77">
        <f>'Monthly Data'!B77</f>
        <v>2022</v>
      </c>
      <c r="C77">
        <f>'Monthly Data'!C77</f>
        <v>4</v>
      </c>
      <c r="D77" s="3">
        <f ca="1">'Monthly Data'!BQ77</f>
        <v>26938308.801129319</v>
      </c>
      <c r="E77" s="3">
        <f>'Monthly Data'!CT77</f>
        <v>234.33333333333331</v>
      </c>
      <c r="F77" s="3">
        <f>'Monthly Data'!CW77</f>
        <v>2.2541666666666629</v>
      </c>
      <c r="G77" s="3">
        <f>'Monthly Data'!DQ77</f>
        <v>30</v>
      </c>
      <c r="H77" s="3">
        <f>'Monthly Data'!EJ77</f>
        <v>0.25</v>
      </c>
      <c r="I77">
        <f>'Monthly Data'!EF77</f>
        <v>0</v>
      </c>
      <c r="K77" s="3">
        <f t="shared" si="22"/>
        <v>13824899.391279301</v>
      </c>
      <c r="L77" s="3">
        <f t="shared" si="23"/>
        <v>1807748.7851369383</v>
      </c>
      <c r="M77" s="3">
        <f t="shared" si="24"/>
        <v>33949.269384844651</v>
      </c>
      <c r="N77" s="3">
        <f t="shared" si="25"/>
        <v>12395015.912061</v>
      </c>
      <c r="O77" s="3">
        <f t="shared" si="26"/>
        <v>-875994.32184545498</v>
      </c>
      <c r="P77" s="3">
        <f t="shared" si="27"/>
        <v>0</v>
      </c>
      <c r="Q77" s="47">
        <f t="shared" si="28"/>
        <v>27185619.036016632</v>
      </c>
      <c r="R77" s="47">
        <f ca="1">'Monthly Data'!BR77+'Monthly Data'!BS77</f>
        <v>37932.574260863024</v>
      </c>
      <c r="S77" s="47">
        <f t="shared" ca="1" si="20"/>
        <v>27223551.610277496</v>
      </c>
      <c r="T77" s="47">
        <f t="shared" ca="1" si="21"/>
        <v>285242.8091481775</v>
      </c>
      <c r="U77" s="18">
        <f t="shared" ca="1" si="29"/>
        <v>1.0588742272351539E-2</v>
      </c>
    </row>
    <row r="78" spans="1:21">
      <c r="A78" s="2">
        <f>'Monthly Data'!A78</f>
        <v>44682</v>
      </c>
      <c r="B78">
        <f>'Monthly Data'!B78</f>
        <v>2022</v>
      </c>
      <c r="C78">
        <f>'Monthly Data'!C78</f>
        <v>5</v>
      </c>
      <c r="D78" s="3">
        <f ca="1">'Monthly Data'!BQ78</f>
        <v>27035905.065929353</v>
      </c>
      <c r="E78" s="3">
        <f>'Monthly Data'!CT78</f>
        <v>39.324999999999996</v>
      </c>
      <c r="F78" s="3">
        <f>'Monthly Data'!CW78</f>
        <v>109.43749999999997</v>
      </c>
      <c r="G78" s="3">
        <f>'Monthly Data'!DQ78</f>
        <v>31</v>
      </c>
      <c r="H78" s="3">
        <f>'Monthly Data'!EJ78</f>
        <v>0.25</v>
      </c>
      <c r="I78">
        <f>'Monthly Data'!EF78</f>
        <v>0</v>
      </c>
      <c r="K78" s="3">
        <f t="shared" si="22"/>
        <v>13824899.391279301</v>
      </c>
      <c r="L78" s="3">
        <f t="shared" si="23"/>
        <v>303370.07528667181</v>
      </c>
      <c r="M78" s="3">
        <f t="shared" si="24"/>
        <v>1648202.514589549</v>
      </c>
      <c r="N78" s="3">
        <f t="shared" si="25"/>
        <v>12808183.109129699</v>
      </c>
      <c r="O78" s="3">
        <f t="shared" si="26"/>
        <v>-875994.32184545498</v>
      </c>
      <c r="P78" s="3">
        <f t="shared" si="27"/>
        <v>0</v>
      </c>
      <c r="Q78" s="47">
        <f t="shared" si="28"/>
        <v>27708660.768439766</v>
      </c>
      <c r="R78" s="47">
        <f ca="1">'Monthly Data'!BR78+'Monthly Data'!BS78</f>
        <v>17811.081198249114</v>
      </c>
      <c r="S78" s="47">
        <f t="shared" ca="1" si="20"/>
        <v>27726471.849638015</v>
      </c>
      <c r="T78" s="47">
        <f t="shared" ca="1" si="21"/>
        <v>690566.78370866179</v>
      </c>
      <c r="U78" s="18">
        <f t="shared" ca="1" si="29"/>
        <v>2.5542580580330342E-2</v>
      </c>
    </row>
    <row r="79" spans="1:21">
      <c r="A79" s="2">
        <f>'Monthly Data'!A79</f>
        <v>44713</v>
      </c>
      <c r="B79">
        <f>'Monthly Data'!B79</f>
        <v>2022</v>
      </c>
      <c r="C79">
        <f>'Monthly Data'!C79</f>
        <v>6</v>
      </c>
      <c r="D79" s="3">
        <f ca="1">'Monthly Data'!BQ79</f>
        <v>27655496.46492333</v>
      </c>
      <c r="E79" s="3">
        <f>'Monthly Data'!CT79</f>
        <v>0</v>
      </c>
      <c r="F79" s="3">
        <f>'Monthly Data'!CW79</f>
        <v>180.92250416250408</v>
      </c>
      <c r="G79" s="3">
        <f>'Monthly Data'!DQ79</f>
        <v>30</v>
      </c>
      <c r="H79" s="3">
        <f>'Monthly Data'!EJ79</f>
        <v>0.25</v>
      </c>
      <c r="I79">
        <f>'Monthly Data'!EF79</f>
        <v>0</v>
      </c>
      <c r="K79" s="3">
        <f t="shared" si="22"/>
        <v>13824899.391279301</v>
      </c>
      <c r="L79" s="3">
        <f t="shared" si="23"/>
        <v>0</v>
      </c>
      <c r="M79" s="3">
        <f t="shared" si="24"/>
        <v>2724814.8605960249</v>
      </c>
      <c r="N79" s="3">
        <f t="shared" si="25"/>
        <v>12395015.912061</v>
      </c>
      <c r="O79" s="3">
        <f t="shared" si="26"/>
        <v>-875994.32184545498</v>
      </c>
      <c r="P79" s="3">
        <f t="shared" si="27"/>
        <v>0</v>
      </c>
      <c r="Q79" s="47">
        <f t="shared" si="28"/>
        <v>28068735.842090871</v>
      </c>
      <c r="R79" s="47">
        <f ca="1">'Monthly Data'!BR79+'Monthly Data'!BS79</f>
        <v>12038.68718597413</v>
      </c>
      <c r="S79" s="47">
        <f t="shared" ca="1" si="20"/>
        <v>28080774.529276844</v>
      </c>
      <c r="T79" s="47">
        <f t="shared" ca="1" si="21"/>
        <v>425278.06435351446</v>
      </c>
      <c r="U79" s="18">
        <f t="shared" ca="1" si="29"/>
        <v>1.5377704930841257E-2</v>
      </c>
    </row>
    <row r="80" spans="1:21">
      <c r="A80" s="2">
        <f>'Monthly Data'!A80</f>
        <v>44743</v>
      </c>
      <c r="B80">
        <f>'Monthly Data'!B80</f>
        <v>2022</v>
      </c>
      <c r="C80">
        <f>'Monthly Data'!C80</f>
        <v>7</v>
      </c>
      <c r="D80" s="3">
        <f ca="1">'Monthly Data'!BQ80</f>
        <v>29984020.638459489</v>
      </c>
      <c r="E80" s="3">
        <f>'Monthly Data'!CT80</f>
        <v>0</v>
      </c>
      <c r="F80" s="3">
        <f>'Monthly Data'!CW80</f>
        <v>283.8543382913806</v>
      </c>
      <c r="G80" s="3">
        <f>'Monthly Data'!DQ80</f>
        <v>31</v>
      </c>
      <c r="H80" s="3">
        <f>'Monthly Data'!EJ80</f>
        <v>0.25</v>
      </c>
      <c r="I80">
        <f>'Monthly Data'!EF80</f>
        <v>0</v>
      </c>
      <c r="K80" s="3">
        <f t="shared" si="22"/>
        <v>13824899.391279301</v>
      </c>
      <c r="L80" s="3">
        <f t="shared" si="23"/>
        <v>0</v>
      </c>
      <c r="M80" s="3">
        <f t="shared" si="24"/>
        <v>4275037.662126841</v>
      </c>
      <c r="N80" s="3">
        <f t="shared" si="25"/>
        <v>12808183.109129699</v>
      </c>
      <c r="O80" s="3">
        <f t="shared" si="26"/>
        <v>-875994.32184545498</v>
      </c>
      <c r="P80" s="3">
        <f t="shared" si="27"/>
        <v>0</v>
      </c>
      <c r="Q80" s="47">
        <f t="shared" si="28"/>
        <v>30032125.840690386</v>
      </c>
      <c r="R80" s="47">
        <f ca="1">'Monthly Data'!BR80+'Monthly Data'!BS80</f>
        <v>9428.9393951685997</v>
      </c>
      <c r="S80" s="47">
        <f t="shared" ca="1" si="20"/>
        <v>30041554.780085552</v>
      </c>
      <c r="T80" s="47">
        <f t="shared" ca="1" si="21"/>
        <v>57534.141626063734</v>
      </c>
      <c r="U80" s="18">
        <f t="shared" ca="1" si="29"/>
        <v>1.9188267750945528E-3</v>
      </c>
    </row>
    <row r="81" spans="1:26">
      <c r="A81" s="2">
        <f>'Monthly Data'!A81</f>
        <v>44774</v>
      </c>
      <c r="B81">
        <f>'Monthly Data'!B81</f>
        <v>2022</v>
      </c>
      <c r="C81">
        <f>'Monthly Data'!C81</f>
        <v>8</v>
      </c>
      <c r="D81" s="3">
        <f ca="1">'Monthly Data'!BQ81</f>
        <v>31371085.271917589</v>
      </c>
      <c r="E81" s="3">
        <f>'Monthly Data'!CT81</f>
        <v>0</v>
      </c>
      <c r="F81" s="3">
        <f>'Monthly Data'!CW81</f>
        <v>290.28333333333336</v>
      </c>
      <c r="G81" s="3">
        <f>'Monthly Data'!DQ81</f>
        <v>31</v>
      </c>
      <c r="H81" s="3">
        <f>'Monthly Data'!EJ81</f>
        <v>0.25</v>
      </c>
      <c r="I81">
        <f>'Monthly Data'!EF81</f>
        <v>0</v>
      </c>
      <c r="K81" s="3">
        <f t="shared" si="22"/>
        <v>13824899.391279301</v>
      </c>
      <c r="L81" s="3">
        <f t="shared" si="23"/>
        <v>0</v>
      </c>
      <c r="M81" s="3">
        <f t="shared" si="24"/>
        <v>4371862.6608195221</v>
      </c>
      <c r="N81" s="3">
        <f t="shared" si="25"/>
        <v>12808183.109129699</v>
      </c>
      <c r="O81" s="3">
        <f t="shared" si="26"/>
        <v>-875994.32184545498</v>
      </c>
      <c r="P81" s="3">
        <f t="shared" si="27"/>
        <v>0</v>
      </c>
      <c r="Q81" s="47">
        <f t="shared" si="28"/>
        <v>30128950.839383069</v>
      </c>
      <c r="R81" s="47">
        <f ca="1">'Monthly Data'!BR81+'Monthly Data'!BS81</f>
        <v>9805.3809526446912</v>
      </c>
      <c r="S81" s="47">
        <f t="shared" ca="1" si="20"/>
        <v>30138756.220335715</v>
      </c>
      <c r="T81" s="47">
        <f t="shared" ca="1" si="21"/>
        <v>-1232329.0515818745</v>
      </c>
      <c r="U81" s="18">
        <f t="shared" ca="1" si="29"/>
        <v>3.9282321312773226E-2</v>
      </c>
    </row>
    <row r="82" spans="1:26">
      <c r="A82" s="2">
        <f>'Monthly Data'!A82</f>
        <v>44805</v>
      </c>
      <c r="B82">
        <f>'Monthly Data'!B82</f>
        <v>2022</v>
      </c>
      <c r="C82">
        <f>'Monthly Data'!C82</f>
        <v>9</v>
      </c>
      <c r="D82" s="3">
        <f ca="1">'Monthly Data'!BQ82</f>
        <v>28041075.671812195</v>
      </c>
      <c r="E82" s="3">
        <f>'Monthly Data'!CT82</f>
        <v>22.833333333333329</v>
      </c>
      <c r="F82" s="3">
        <f>'Monthly Data'!CW82</f>
        <v>139.79166666666663</v>
      </c>
      <c r="G82" s="3">
        <f>'Monthly Data'!DQ82</f>
        <v>30</v>
      </c>
      <c r="H82" s="3">
        <f>'Monthly Data'!EJ82</f>
        <v>0.25</v>
      </c>
      <c r="I82">
        <f>'Monthly Data'!EF82</f>
        <v>1</v>
      </c>
      <c r="K82" s="3">
        <f t="shared" si="22"/>
        <v>13824899.391279301</v>
      </c>
      <c r="L82" s="3">
        <f t="shared" si="23"/>
        <v>176146.21875089651</v>
      </c>
      <c r="M82" s="3">
        <f t="shared" si="24"/>
        <v>2105356.7243281696</v>
      </c>
      <c r="N82" s="3">
        <f t="shared" si="25"/>
        <v>12395015.912061</v>
      </c>
      <c r="O82" s="3">
        <f t="shared" si="26"/>
        <v>-875994.32184545498</v>
      </c>
      <c r="P82" s="3">
        <f t="shared" si="27"/>
        <v>0</v>
      </c>
      <c r="Q82" s="47">
        <f t="shared" si="28"/>
        <v>27625423.924573913</v>
      </c>
      <c r="R82" s="47">
        <f ca="1">'Monthly Data'!BR82+'Monthly Data'!BS82</f>
        <v>16081.707692478298</v>
      </c>
      <c r="S82" s="47">
        <f t="shared" ca="1" si="20"/>
        <v>27641505.632266391</v>
      </c>
      <c r="T82" s="47">
        <f t="shared" ca="1" si="21"/>
        <v>-399570.03954580426</v>
      </c>
      <c r="U82" s="18">
        <f t="shared" ca="1" si="29"/>
        <v>1.4249454772074422E-2</v>
      </c>
    </row>
    <row r="83" spans="1:26">
      <c r="A83" s="2">
        <f>'Monthly Data'!A83</f>
        <v>44835</v>
      </c>
      <c r="B83">
        <f>'Monthly Data'!B83</f>
        <v>2022</v>
      </c>
      <c r="C83">
        <f>'Monthly Data'!C83</f>
        <v>10</v>
      </c>
      <c r="D83" s="3">
        <f ca="1">'Monthly Data'!BQ83</f>
        <v>27173004.881673779</v>
      </c>
      <c r="E83" s="3">
        <f>'Monthly Data'!CT83</f>
        <v>147.2764492753623</v>
      </c>
      <c r="F83" s="3">
        <f>'Monthly Data'!CW83</f>
        <v>11.604166666666668</v>
      </c>
      <c r="G83" s="3">
        <f>'Monthly Data'!DQ83</f>
        <v>31</v>
      </c>
      <c r="H83" s="3">
        <f>'Monthly Data'!EJ83</f>
        <v>0.25</v>
      </c>
      <c r="I83">
        <f>'Monthly Data'!EF83</f>
        <v>1</v>
      </c>
      <c r="K83" s="3">
        <f t="shared" si="22"/>
        <v>13824899.391279301</v>
      </c>
      <c r="L83" s="3">
        <f t="shared" si="23"/>
        <v>1136154.2912808738</v>
      </c>
      <c r="M83" s="3">
        <f t="shared" si="24"/>
        <v>174766.57160220429</v>
      </c>
      <c r="N83" s="3">
        <f t="shared" si="25"/>
        <v>12808183.109129699</v>
      </c>
      <c r="O83" s="3">
        <f t="shared" si="26"/>
        <v>-875994.32184545498</v>
      </c>
      <c r="P83" s="3">
        <f t="shared" si="27"/>
        <v>0</v>
      </c>
      <c r="Q83" s="47">
        <f t="shared" si="28"/>
        <v>27068009.041446622</v>
      </c>
      <c r="R83" s="47">
        <f ca="1">'Monthly Data'!BR83+'Monthly Data'!BS83</f>
        <v>32967.628938464586</v>
      </c>
      <c r="S83" s="47">
        <f t="shared" ca="1" si="20"/>
        <v>27100976.670385089</v>
      </c>
      <c r="T83" s="47">
        <f t="shared" ca="1" si="21"/>
        <v>-72028.211288690567</v>
      </c>
      <c r="U83" s="18">
        <f t="shared" ca="1" si="29"/>
        <v>2.6507267636516848E-3</v>
      </c>
    </row>
    <row r="84" spans="1:26">
      <c r="A84" s="2">
        <f>'Monthly Data'!A84</f>
        <v>44866</v>
      </c>
      <c r="B84">
        <f>'Monthly Data'!B84</f>
        <v>2022</v>
      </c>
      <c r="C84">
        <f>'Monthly Data'!C84</f>
        <v>11</v>
      </c>
      <c r="D84" s="3">
        <f ca="1">'Monthly Data'!BQ84</f>
        <v>28201099.173492737</v>
      </c>
      <c r="E84" s="3">
        <f>'Monthly Data'!CT84</f>
        <v>294.14166666666671</v>
      </c>
      <c r="F84" s="3">
        <f>'Monthly Data'!CW84</f>
        <v>6.5791666666666675</v>
      </c>
      <c r="G84" s="3">
        <f>'Monthly Data'!DQ84</f>
        <v>30</v>
      </c>
      <c r="H84" s="3">
        <f>'Monthly Data'!EJ84</f>
        <v>0.25</v>
      </c>
      <c r="I84">
        <f>'Monthly Data'!EF84</f>
        <v>1</v>
      </c>
      <c r="K84" s="3">
        <f t="shared" si="22"/>
        <v>13824899.391279301</v>
      </c>
      <c r="L84" s="3">
        <f t="shared" si="23"/>
        <v>2269136.1617702176</v>
      </c>
      <c r="M84" s="3">
        <f t="shared" si="24"/>
        <v>99086.684581644731</v>
      </c>
      <c r="N84" s="3">
        <f t="shared" si="25"/>
        <v>12395015.912061</v>
      </c>
      <c r="O84" s="3">
        <f t="shared" si="26"/>
        <v>-875994.32184545498</v>
      </c>
      <c r="P84" s="3">
        <f t="shared" si="27"/>
        <v>0</v>
      </c>
      <c r="Q84" s="47">
        <f t="shared" si="28"/>
        <v>27712143.82784671</v>
      </c>
      <c r="R84" s="47">
        <f ca="1">'Monthly Data'!BR84+'Monthly Data'!BS84</f>
        <v>45296.080412169358</v>
      </c>
      <c r="S84" s="47">
        <f t="shared" ca="1" si="20"/>
        <v>27757439.908258878</v>
      </c>
      <c r="T84" s="47">
        <f t="shared" ca="1" si="21"/>
        <v>-443659.26523385942</v>
      </c>
      <c r="U84" s="18">
        <f t="shared" ca="1" si="29"/>
        <v>1.5731984860039471E-2</v>
      </c>
    </row>
    <row r="85" spans="1:26">
      <c r="A85" s="2">
        <f>'Monthly Data'!A85</f>
        <v>44896</v>
      </c>
      <c r="B85">
        <f>'Monthly Data'!B85</f>
        <v>2022</v>
      </c>
      <c r="C85">
        <f>'Monthly Data'!C85</f>
        <v>12</v>
      </c>
      <c r="D85" s="3">
        <f ca="1">'Monthly Data'!BQ85</f>
        <v>29983452.957356121</v>
      </c>
      <c r="E85" s="3">
        <f>'Monthly Data'!CT85</f>
        <v>461.12083333333328</v>
      </c>
      <c r="F85" s="3">
        <f>'Monthly Data'!CW85</f>
        <v>0</v>
      </c>
      <c r="G85" s="3">
        <f>'Monthly Data'!DQ85</f>
        <v>31</v>
      </c>
      <c r="H85" s="3">
        <f>'Monthly Data'!EJ85</f>
        <v>0.25</v>
      </c>
      <c r="I85">
        <f>'Monthly Data'!EF85</f>
        <v>0</v>
      </c>
      <c r="K85" s="3">
        <f t="shared" si="22"/>
        <v>13824899.391279301</v>
      </c>
      <c r="L85" s="3">
        <f t="shared" si="23"/>
        <v>3557285.7450625855</v>
      </c>
      <c r="M85" s="3">
        <f t="shared" si="24"/>
        <v>0</v>
      </c>
      <c r="N85" s="3">
        <f t="shared" si="25"/>
        <v>12808183.109129699</v>
      </c>
      <c r="O85" s="3">
        <f t="shared" si="26"/>
        <v>-875994.32184545498</v>
      </c>
      <c r="P85" s="3">
        <f t="shared" si="27"/>
        <v>0</v>
      </c>
      <c r="Q85" s="47">
        <f t="shared" si="28"/>
        <v>29314373.923626129</v>
      </c>
      <c r="R85" s="47">
        <f ca="1">'Monthly Data'!BR85+'Monthly Data'!BS85</f>
        <v>60160.746101123179</v>
      </c>
      <c r="S85" s="47">
        <f t="shared" ca="1" si="20"/>
        <v>29374534.669727251</v>
      </c>
      <c r="T85" s="47">
        <f t="shared" ca="1" si="21"/>
        <v>-608918.28762887046</v>
      </c>
      <c r="U85" s="18">
        <f t="shared" ca="1" si="29"/>
        <v>2.0308477762547985E-2</v>
      </c>
    </row>
    <row r="86" spans="1:26">
      <c r="A86" s="2">
        <f>'Monthly Data'!A86</f>
        <v>44927</v>
      </c>
      <c r="B86">
        <f>'Monthly Data'!B86</f>
        <v>2023</v>
      </c>
      <c r="C86">
        <f>'Monthly Data'!C86</f>
        <v>1</v>
      </c>
      <c r="D86" s="3">
        <f ca="1">'Monthly Data'!BQ86</f>
        <v>30620248.846673649</v>
      </c>
      <c r="E86" s="3">
        <f>'Monthly Data'!CT86</f>
        <v>480.07083333333327</v>
      </c>
      <c r="F86" s="3">
        <f>'Monthly Data'!CW86</f>
        <v>0</v>
      </c>
      <c r="G86" s="3">
        <f>'Monthly Data'!DQ86</f>
        <v>31</v>
      </c>
      <c r="H86" s="3">
        <f>'Monthly Data'!EJ86</f>
        <v>0</v>
      </c>
      <c r="I86">
        <f>'Monthly Data'!EF86</f>
        <v>0</v>
      </c>
      <c r="K86" s="3">
        <f t="shared" si="22"/>
        <v>13824899.391279301</v>
      </c>
      <c r="L86" s="3">
        <f t="shared" si="23"/>
        <v>3703474.2492375998</v>
      </c>
      <c r="M86" s="3">
        <f t="shared" si="24"/>
        <v>0</v>
      </c>
      <c r="N86" s="3">
        <f t="shared" si="25"/>
        <v>12808183.109129699</v>
      </c>
      <c r="O86" s="3">
        <f t="shared" si="26"/>
        <v>0</v>
      </c>
      <c r="P86" s="3">
        <f t="shared" si="27"/>
        <v>0</v>
      </c>
      <c r="Q86" s="47">
        <f t="shared" si="28"/>
        <v>30336556.749646597</v>
      </c>
      <c r="R86" s="47">
        <f ca="1">'Monthly Data'!BR86+'Monthly Data'!BS86</f>
        <v>79788.693765347445</v>
      </c>
      <c r="S86" s="47">
        <f t="shared" ca="1" si="20"/>
        <v>30416345.443411943</v>
      </c>
      <c r="T86" s="47">
        <f t="shared" ca="1" si="21"/>
        <v>-203903.40326170623</v>
      </c>
      <c r="U86" s="18">
        <f t="shared" ca="1" si="29"/>
        <v>6.6591034018933766E-3</v>
      </c>
    </row>
    <row r="87" spans="1:26">
      <c r="A87" s="2">
        <f>'Monthly Data'!A87</f>
        <v>44958</v>
      </c>
      <c r="B87">
        <f>'Monthly Data'!B87</f>
        <v>2023</v>
      </c>
      <c r="C87">
        <f>'Monthly Data'!C87</f>
        <v>2</v>
      </c>
      <c r="D87" s="3">
        <f ca="1">'Monthly Data'!BQ87</f>
        <v>28806353.346567009</v>
      </c>
      <c r="E87" s="3">
        <f>'Monthly Data'!CT87</f>
        <v>461.43333333333328</v>
      </c>
      <c r="F87" s="3">
        <f>'Monthly Data'!CW87</f>
        <v>0</v>
      </c>
      <c r="G87" s="3">
        <f>'Monthly Data'!DQ87</f>
        <v>28</v>
      </c>
      <c r="H87" s="3">
        <f>'Monthly Data'!EJ87</f>
        <v>0</v>
      </c>
      <c r="I87">
        <f>'Monthly Data'!EF87</f>
        <v>0</v>
      </c>
      <c r="K87" s="3">
        <f t="shared" si="22"/>
        <v>13824899.391279301</v>
      </c>
      <c r="L87" s="3">
        <f t="shared" si="23"/>
        <v>3559696.5053557092</v>
      </c>
      <c r="M87" s="3">
        <f t="shared" si="24"/>
        <v>0</v>
      </c>
      <c r="N87" s="3">
        <f t="shared" si="25"/>
        <v>11568681.517923599</v>
      </c>
      <c r="O87" s="3">
        <f t="shared" si="26"/>
        <v>0</v>
      </c>
      <c r="P87" s="3">
        <f t="shared" si="27"/>
        <v>0</v>
      </c>
      <c r="Q87" s="47">
        <f t="shared" si="28"/>
        <v>28953277.414558612</v>
      </c>
      <c r="R87" s="47">
        <f ca="1">'Monthly Data'!BR87+'Monthly Data'!BS87</f>
        <v>76878.743851496998</v>
      </c>
      <c r="S87" s="47">
        <f t="shared" ca="1" si="20"/>
        <v>29030156.15841011</v>
      </c>
      <c r="T87" s="47">
        <f t="shared" ca="1" si="21"/>
        <v>223802.81184310094</v>
      </c>
      <c r="U87" s="18">
        <f t="shared" ca="1" si="29"/>
        <v>7.76921705953359E-3</v>
      </c>
    </row>
    <row r="88" spans="1:26">
      <c r="A88" s="2">
        <f>'Monthly Data'!A88</f>
        <v>44986</v>
      </c>
      <c r="B88">
        <f>'Monthly Data'!B88</f>
        <v>2023</v>
      </c>
      <c r="C88">
        <f>'Monthly Data'!C88</f>
        <v>3</v>
      </c>
      <c r="D88" s="3">
        <f ca="1">'Monthly Data'!BQ88</f>
        <v>30164073.260450158</v>
      </c>
      <c r="E88" s="3">
        <f>'Monthly Data'!CT88</f>
        <v>427.0333333333333</v>
      </c>
      <c r="F88" s="3">
        <f>'Monthly Data'!CW88</f>
        <v>0</v>
      </c>
      <c r="G88" s="3">
        <f>'Monthly Data'!DQ88</f>
        <v>31</v>
      </c>
      <c r="H88" s="3">
        <f>'Monthly Data'!EJ88</f>
        <v>0</v>
      </c>
      <c r="I88">
        <f>'Monthly Data'!EF88</f>
        <v>0</v>
      </c>
      <c r="K88" s="3">
        <f t="shared" si="22"/>
        <v>13824899.391279301</v>
      </c>
      <c r="L88" s="3">
        <f t="shared" si="23"/>
        <v>3294320.0122886654</v>
      </c>
      <c r="M88" s="3">
        <f t="shared" si="24"/>
        <v>0</v>
      </c>
      <c r="N88" s="3">
        <f t="shared" si="25"/>
        <v>12808183.109129699</v>
      </c>
      <c r="O88" s="3">
        <f t="shared" si="26"/>
        <v>0</v>
      </c>
      <c r="P88" s="3">
        <f t="shared" si="27"/>
        <v>0</v>
      </c>
      <c r="Q88" s="47">
        <f t="shared" si="28"/>
        <v>29927402.512697667</v>
      </c>
      <c r="R88" s="47">
        <f ca="1">'Monthly Data'!BR88+'Monthly Data'!BS88</f>
        <v>74892.001270790264</v>
      </c>
      <c r="S88" s="47">
        <f t="shared" ca="1" si="20"/>
        <v>30002294.513968457</v>
      </c>
      <c r="T88" s="47">
        <f t="shared" ca="1" si="21"/>
        <v>-161778.74648170173</v>
      </c>
      <c r="U88" s="18">
        <f t="shared" ca="1" si="29"/>
        <v>5.3632924534041332E-3</v>
      </c>
    </row>
    <row r="89" spans="1:26">
      <c r="A89" s="2">
        <f>'Monthly Data'!A89</f>
        <v>45017</v>
      </c>
      <c r="B89">
        <f>'Monthly Data'!B89</f>
        <v>2023</v>
      </c>
      <c r="C89">
        <f>'Monthly Data'!C89</f>
        <v>4</v>
      </c>
      <c r="D89" s="3">
        <f ca="1">'Monthly Data'!BQ89</f>
        <v>26569773.62464853</v>
      </c>
      <c r="E89" s="3">
        <f>'Monthly Data'!CT89</f>
        <v>193.11666666666667</v>
      </c>
      <c r="F89" s="3">
        <f>'Monthly Data'!CW89</f>
        <v>22.716666666666676</v>
      </c>
      <c r="G89" s="3">
        <f>'Monthly Data'!DQ89</f>
        <v>30</v>
      </c>
      <c r="H89" s="3">
        <f>'Monthly Data'!EJ89</f>
        <v>0</v>
      </c>
      <c r="I89">
        <f>'Monthly Data'!EF89</f>
        <v>0</v>
      </c>
      <c r="K89" s="3">
        <f t="shared" si="22"/>
        <v>13824899.391279301</v>
      </c>
      <c r="L89" s="3">
        <f t="shared" si="23"/>
        <v>1489785.5742092251</v>
      </c>
      <c r="M89" s="3">
        <f t="shared" si="24"/>
        <v>342128.31180438708</v>
      </c>
      <c r="N89" s="3">
        <f t="shared" si="25"/>
        <v>12395015.912061</v>
      </c>
      <c r="O89" s="3">
        <f t="shared" si="26"/>
        <v>0</v>
      </c>
      <c r="P89" s="3">
        <f t="shared" si="27"/>
        <v>0</v>
      </c>
      <c r="Q89" s="47">
        <f t="shared" si="28"/>
        <v>28051829.189353913</v>
      </c>
      <c r="R89" s="47">
        <f ca="1">'Monthly Data'!BR89+'Monthly Data'!BS89</f>
        <v>47438.371932206515</v>
      </c>
      <c r="S89" s="47">
        <f t="shared" ca="1" si="20"/>
        <v>28099267.561286118</v>
      </c>
      <c r="T89" s="47">
        <f t="shared" ca="1" si="21"/>
        <v>1529493.9366375878</v>
      </c>
      <c r="U89" s="18">
        <f t="shared" ca="1" si="29"/>
        <v>5.7565185095092064E-2</v>
      </c>
      <c r="Z89" s="3"/>
    </row>
    <row r="90" spans="1:26">
      <c r="A90" s="2">
        <f>'Monthly Data'!A90</f>
        <v>45047</v>
      </c>
      <c r="B90">
        <f>'Monthly Data'!B90</f>
        <v>2023</v>
      </c>
      <c r="C90">
        <f>'Monthly Data'!C90</f>
        <v>5</v>
      </c>
      <c r="D90" s="3">
        <f ca="1">'Monthly Data'!BQ90</f>
        <v>27252991.543935463</v>
      </c>
      <c r="E90" s="3">
        <f>'Monthly Data'!CT90</f>
        <v>68.776666666666671</v>
      </c>
      <c r="F90" s="3">
        <f>'Monthly Data'!CW90</f>
        <v>68.049999999999983</v>
      </c>
      <c r="G90" s="3">
        <f>'Monthly Data'!DQ90</f>
        <v>31</v>
      </c>
      <c r="H90" s="3">
        <f>'Monthly Data'!EJ90</f>
        <v>0</v>
      </c>
      <c r="I90">
        <f>'Monthly Data'!EF90</f>
        <v>0</v>
      </c>
      <c r="K90" s="3">
        <f t="shared" si="22"/>
        <v>13824899.391279301</v>
      </c>
      <c r="L90" s="3">
        <f t="shared" si="23"/>
        <v>530572.98269886849</v>
      </c>
      <c r="M90" s="3">
        <f t="shared" si="24"/>
        <v>1024878.8680097664</v>
      </c>
      <c r="N90" s="3">
        <f t="shared" si="25"/>
        <v>12808183.109129699</v>
      </c>
      <c r="O90" s="3">
        <f t="shared" si="26"/>
        <v>0</v>
      </c>
      <c r="P90" s="3">
        <f t="shared" si="27"/>
        <v>0</v>
      </c>
      <c r="Q90" s="47">
        <f t="shared" si="28"/>
        <v>28188534.351117633</v>
      </c>
      <c r="R90" s="47">
        <f ca="1">'Monthly Data'!BR90+'Monthly Data'!BS90</f>
        <v>32514.305182652064</v>
      </c>
      <c r="S90" s="47">
        <f t="shared" ca="1" si="20"/>
        <v>28221048.656300284</v>
      </c>
      <c r="T90" s="47">
        <f t="shared" ca="1" si="21"/>
        <v>968057.11236482114</v>
      </c>
      <c r="U90" s="18">
        <f t="shared" ca="1" si="29"/>
        <v>3.5521132085781622E-2</v>
      </c>
      <c r="Z90" s="3"/>
    </row>
    <row r="91" spans="1:26">
      <c r="A91" s="2">
        <f>'Monthly Data'!A91</f>
        <v>45078</v>
      </c>
      <c r="B91">
        <f>'Monthly Data'!B91</f>
        <v>2023</v>
      </c>
      <c r="C91">
        <f>'Monthly Data'!C91</f>
        <v>6</v>
      </c>
      <c r="D91" s="3">
        <f ca="1">'Monthly Data'!BQ91</f>
        <v>28586220.679073494</v>
      </c>
      <c r="E91" s="3">
        <f>'Monthly Data'!CT91</f>
        <v>0</v>
      </c>
      <c r="F91" s="3">
        <f>'Monthly Data'!CW91</f>
        <v>205.54166666666669</v>
      </c>
      <c r="G91" s="3">
        <f>'Monthly Data'!DQ91</f>
        <v>30</v>
      </c>
      <c r="H91" s="3">
        <f>'Monthly Data'!EJ91</f>
        <v>0</v>
      </c>
      <c r="I91">
        <f>'Monthly Data'!EF91</f>
        <v>0</v>
      </c>
      <c r="K91" s="3">
        <f t="shared" si="22"/>
        <v>13824899.391279301</v>
      </c>
      <c r="L91" s="3">
        <f t="shared" si="23"/>
        <v>0</v>
      </c>
      <c r="M91" s="3">
        <f t="shared" si="24"/>
        <v>3095596.04205987</v>
      </c>
      <c r="N91" s="3">
        <f t="shared" si="25"/>
        <v>12395015.912061</v>
      </c>
      <c r="O91" s="3">
        <f t="shared" si="26"/>
        <v>0</v>
      </c>
      <c r="P91" s="3">
        <f t="shared" si="27"/>
        <v>0</v>
      </c>
      <c r="Q91" s="47">
        <f t="shared" si="28"/>
        <v>29315511.345400169</v>
      </c>
      <c r="R91" s="47">
        <f ca="1">'Monthly Data'!BR91+'Monthly Data'!BS91</f>
        <v>17109.815719724709</v>
      </c>
      <c r="S91" s="47">
        <f t="shared" ca="1" si="20"/>
        <v>29332621.161119893</v>
      </c>
      <c r="T91" s="47">
        <f t="shared" ca="1" si="21"/>
        <v>746400.48204639927</v>
      </c>
      <c r="U91" s="18">
        <f t="shared" ca="1" si="29"/>
        <v>2.6110498845788341E-2</v>
      </c>
      <c r="Z91" s="3"/>
    </row>
    <row r="92" spans="1:26">
      <c r="A92" s="2">
        <f>'Monthly Data'!A92</f>
        <v>45108</v>
      </c>
      <c r="B92">
        <f>'Monthly Data'!B92</f>
        <v>2023</v>
      </c>
      <c r="C92">
        <f>'Monthly Data'!C92</f>
        <v>7</v>
      </c>
      <c r="D92" s="3">
        <f ca="1">'Monthly Data'!BQ92</f>
        <v>30529032.349186007</v>
      </c>
      <c r="E92" s="3">
        <f>'Monthly Data'!CT92</f>
        <v>0</v>
      </c>
      <c r="F92" s="3">
        <f>'Monthly Data'!CW92</f>
        <v>285.78333333333342</v>
      </c>
      <c r="G92" s="3">
        <f>'Monthly Data'!DQ92</f>
        <v>31</v>
      </c>
      <c r="H92" s="3">
        <f>'Monthly Data'!EJ92</f>
        <v>0</v>
      </c>
      <c r="I92">
        <f>'Monthly Data'!EF92</f>
        <v>0</v>
      </c>
      <c r="K92" s="3">
        <f t="shared" si="22"/>
        <v>13824899.391279301</v>
      </c>
      <c r="L92" s="3">
        <f t="shared" si="23"/>
        <v>0</v>
      </c>
      <c r="M92" s="3">
        <f t="shared" si="24"/>
        <v>4304089.6276667826</v>
      </c>
      <c r="N92" s="3">
        <f t="shared" si="25"/>
        <v>12808183.109129699</v>
      </c>
      <c r="O92" s="3">
        <f t="shared" si="26"/>
        <v>0</v>
      </c>
      <c r="P92" s="3">
        <f t="shared" si="27"/>
        <v>0</v>
      </c>
      <c r="Q92" s="47">
        <f t="shared" si="28"/>
        <v>30937172.128075778</v>
      </c>
      <c r="R92" s="47">
        <f ca="1">'Monthly Data'!BR92+'Monthly Data'!BS92</f>
        <v>15244.486344186065</v>
      </c>
      <c r="S92" s="47">
        <f t="shared" ca="1" si="20"/>
        <v>30952416.614419963</v>
      </c>
      <c r="T92" s="47">
        <f t="shared" ca="1" si="21"/>
        <v>423384.26523395628</v>
      </c>
      <c r="U92" s="18">
        <f t="shared" ca="1" si="29"/>
        <v>1.3868250404773965E-2</v>
      </c>
      <c r="Z92" s="3"/>
    </row>
    <row r="93" spans="1:26">
      <c r="A93" s="2">
        <f>'Monthly Data'!A93</f>
        <v>45139</v>
      </c>
      <c r="B93">
        <f>'Monthly Data'!B93</f>
        <v>2023</v>
      </c>
      <c r="C93">
        <f>'Monthly Data'!C93</f>
        <v>8</v>
      </c>
      <c r="D93" s="3">
        <f ca="1">'Monthly Data'!BQ93</f>
        <v>30212310.704378072</v>
      </c>
      <c r="E93" s="3">
        <f>'Monthly Data'!CT93</f>
        <v>0</v>
      </c>
      <c r="F93" s="3">
        <f>'Monthly Data'!CW93</f>
        <v>227.80489130434788</v>
      </c>
      <c r="G93" s="3">
        <f>'Monthly Data'!DQ93</f>
        <v>31</v>
      </c>
      <c r="H93" s="3">
        <f>'Monthly Data'!EJ93</f>
        <v>0</v>
      </c>
      <c r="I93">
        <f>'Monthly Data'!EF93</f>
        <v>0</v>
      </c>
      <c r="K93" s="3">
        <f t="shared" si="22"/>
        <v>13824899.391279301</v>
      </c>
      <c r="L93" s="3">
        <f t="shared" si="23"/>
        <v>0</v>
      </c>
      <c r="M93" s="3">
        <f t="shared" si="24"/>
        <v>3430895.2112724171</v>
      </c>
      <c r="N93" s="3">
        <f t="shared" si="25"/>
        <v>12808183.109129699</v>
      </c>
      <c r="O93" s="3">
        <f t="shared" si="26"/>
        <v>0</v>
      </c>
      <c r="P93" s="3">
        <f t="shared" si="27"/>
        <v>0</v>
      </c>
      <c r="Q93" s="47">
        <f t="shared" si="28"/>
        <v>30063977.711681418</v>
      </c>
      <c r="R93" s="47">
        <f ca="1">'Monthly Data'!BR93+'Monthly Data'!BS93</f>
        <v>16793.669877067481</v>
      </c>
      <c r="S93" s="47">
        <f t="shared" ca="1" si="20"/>
        <v>30080771.381558485</v>
      </c>
      <c r="T93" s="47">
        <f t="shared" ca="1" si="21"/>
        <v>-131539.32281958684</v>
      </c>
      <c r="U93" s="18">
        <f t="shared" ca="1" si="29"/>
        <v>4.3538319232406626E-3</v>
      </c>
      <c r="Z93" s="3"/>
    </row>
    <row r="94" spans="1:26">
      <c r="A94" s="2">
        <f>'Monthly Data'!A94</f>
        <v>45170</v>
      </c>
      <c r="B94">
        <f>'Monthly Data'!B94</f>
        <v>2023</v>
      </c>
      <c r="C94">
        <f>'Monthly Data'!C94</f>
        <v>9</v>
      </c>
      <c r="D94" s="3">
        <f ca="1">'Monthly Data'!BQ94</f>
        <v>28890972.634472579</v>
      </c>
      <c r="E94" s="3">
        <f>'Monthly Data'!CT94</f>
        <v>2.3583333333333378</v>
      </c>
      <c r="F94" s="3">
        <f>'Monthly Data'!CW94</f>
        <v>162.99166666666662</v>
      </c>
      <c r="G94" s="3">
        <f>'Monthly Data'!DQ94</f>
        <v>30</v>
      </c>
      <c r="H94" s="3">
        <f>'Monthly Data'!EJ94</f>
        <v>0</v>
      </c>
      <c r="I94">
        <f>'Monthly Data'!EF94</f>
        <v>1</v>
      </c>
      <c r="K94" s="3">
        <f t="shared" si="22"/>
        <v>13824899.391279301</v>
      </c>
      <c r="L94" s="3">
        <f t="shared" si="23"/>
        <v>18193.20434543935</v>
      </c>
      <c r="M94" s="3">
        <f t="shared" si="24"/>
        <v>2454764.3619156284</v>
      </c>
      <c r="N94" s="3">
        <f t="shared" si="25"/>
        <v>12395015.912061</v>
      </c>
      <c r="O94" s="3">
        <f t="shared" si="26"/>
        <v>0</v>
      </c>
      <c r="P94" s="3">
        <f t="shared" si="27"/>
        <v>0</v>
      </c>
      <c r="Q94" s="47">
        <f t="shared" si="28"/>
        <v>28692872.869601369</v>
      </c>
      <c r="R94" s="47">
        <f ca="1">'Monthly Data'!BR94+'Monthly Data'!BS94</f>
        <v>21611.670472167229</v>
      </c>
      <c r="S94" s="47">
        <f t="shared" ca="1" si="20"/>
        <v>28714484.540073536</v>
      </c>
      <c r="T94" s="47">
        <f t="shared" ca="1" si="21"/>
        <v>-176488.09439904243</v>
      </c>
      <c r="U94" s="18">
        <f t="shared" ca="1" si="29"/>
        <v>6.10876264471822E-3</v>
      </c>
      <c r="Z94" s="3"/>
    </row>
    <row r="95" spans="1:26">
      <c r="A95" s="2">
        <f>'Monthly Data'!A95</f>
        <v>45200</v>
      </c>
      <c r="B95">
        <f>'Monthly Data'!B95</f>
        <v>2023</v>
      </c>
      <c r="C95">
        <f>'Monthly Data'!C95</f>
        <v>10</v>
      </c>
      <c r="D95" s="3">
        <f ca="1">'Monthly Data'!BQ95</f>
        <v>28262268.329802737</v>
      </c>
      <c r="E95" s="3">
        <f>'Monthly Data'!CT95</f>
        <v>111.18333333333332</v>
      </c>
      <c r="F95" s="3">
        <f>'Monthly Data'!CW95</f>
        <v>54.625</v>
      </c>
      <c r="G95" s="3">
        <f>'Monthly Data'!DQ95</f>
        <v>31</v>
      </c>
      <c r="H95" s="3">
        <f>'Monthly Data'!EJ95</f>
        <v>0</v>
      </c>
      <c r="I95">
        <f>'Monthly Data'!EF95</f>
        <v>1</v>
      </c>
      <c r="K95" s="3">
        <f t="shared" si="22"/>
        <v>13824899.391279301</v>
      </c>
      <c r="L95" s="3">
        <f t="shared" si="23"/>
        <v>857716.36882279627</v>
      </c>
      <c r="M95" s="3">
        <f t="shared" si="24"/>
        <v>822689.31910409266</v>
      </c>
      <c r="N95" s="3">
        <f t="shared" si="25"/>
        <v>12808183.109129699</v>
      </c>
      <c r="O95" s="3">
        <f t="shared" si="26"/>
        <v>0</v>
      </c>
      <c r="P95" s="3">
        <f t="shared" si="27"/>
        <v>0</v>
      </c>
      <c r="Q95" s="47">
        <f t="shared" si="28"/>
        <v>28313488.188335888</v>
      </c>
      <c r="R95" s="47">
        <f ca="1">'Monthly Data'!BR95+'Monthly Data'!BS95</f>
        <v>40018.143594908579</v>
      </c>
      <c r="S95" s="47">
        <f t="shared" ca="1" si="20"/>
        <v>28353506.331930798</v>
      </c>
      <c r="T95" s="47">
        <f t="shared" ca="1" si="21"/>
        <v>91238.002128060907</v>
      </c>
      <c r="U95" s="18">
        <f t="shared" ca="1" si="29"/>
        <v>3.2282618317599748E-3</v>
      </c>
      <c r="Z95" s="3"/>
    </row>
    <row r="96" spans="1:26">
      <c r="A96" s="2">
        <f>'Monthly Data'!A96</f>
        <v>45231</v>
      </c>
      <c r="B96">
        <f>'Monthly Data'!B96</f>
        <v>2023</v>
      </c>
      <c r="C96">
        <f>'Monthly Data'!C96</f>
        <v>11</v>
      </c>
      <c r="D96" s="3">
        <f ca="1">'Monthly Data'!BQ96</f>
        <v>29001635.393490754</v>
      </c>
      <c r="E96" s="3">
        <f>'Monthly Data'!CT96</f>
        <v>330.59311594202904</v>
      </c>
      <c r="F96" s="3">
        <f>'Monthly Data'!CW96</f>
        <v>0</v>
      </c>
      <c r="G96" s="3">
        <f>'Monthly Data'!DQ96</f>
        <v>30</v>
      </c>
      <c r="H96" s="3">
        <f>'Monthly Data'!EJ96</f>
        <v>0</v>
      </c>
      <c r="I96">
        <f>'Monthly Data'!EF96</f>
        <v>1</v>
      </c>
      <c r="K96" s="3">
        <f t="shared" si="22"/>
        <v>13824899.391279301</v>
      </c>
      <c r="L96" s="3">
        <f t="shared" si="23"/>
        <v>2550338.4226977439</v>
      </c>
      <c r="M96" s="3">
        <f t="shared" si="24"/>
        <v>0</v>
      </c>
      <c r="N96" s="3">
        <f t="shared" si="25"/>
        <v>12395015.912061</v>
      </c>
      <c r="O96" s="3">
        <f t="shared" si="26"/>
        <v>0</v>
      </c>
      <c r="P96" s="3">
        <f t="shared" si="27"/>
        <v>0</v>
      </c>
      <c r="Q96" s="47">
        <f t="shared" si="28"/>
        <v>28770253.726038046</v>
      </c>
      <c r="R96" s="47">
        <f ca="1">'Monthly Data'!BR96+'Monthly Data'!BS96</f>
        <v>67824.963066550306</v>
      </c>
      <c r="S96" s="47">
        <f t="shared" ca="1" si="20"/>
        <v>28838078.689104598</v>
      </c>
      <c r="T96" s="47">
        <f t="shared" ca="1" si="21"/>
        <v>-163556.70438615605</v>
      </c>
      <c r="U96" s="18">
        <f t="shared" ca="1" si="29"/>
        <v>5.6395683266491029E-3</v>
      </c>
      <c r="Z96" s="3"/>
    </row>
    <row r="97" spans="1:26">
      <c r="A97" s="2">
        <f>'Monthly Data'!A97</f>
        <v>45261</v>
      </c>
      <c r="B97">
        <f>'Monthly Data'!B97</f>
        <v>2023</v>
      </c>
      <c r="C97">
        <f>'Monthly Data'!C97</f>
        <v>12</v>
      </c>
      <c r="D97" s="3">
        <f ca="1">'Monthly Data'!BQ97</f>
        <v>29699189.735473577</v>
      </c>
      <c r="E97" s="3">
        <f>'Monthly Data'!CT97</f>
        <v>365.67916666666667</v>
      </c>
      <c r="F97" s="3">
        <f>'Monthly Data'!CW97</f>
        <v>0</v>
      </c>
      <c r="G97" s="3">
        <f>'Monthly Data'!DQ97</f>
        <v>31</v>
      </c>
      <c r="H97" s="3">
        <f>'Monthly Data'!EJ97</f>
        <v>0</v>
      </c>
      <c r="I97">
        <f>'Monthly Data'!EF97</f>
        <v>0</v>
      </c>
      <c r="K97" s="3">
        <f t="shared" si="22"/>
        <v>13824899.391279301</v>
      </c>
      <c r="L97" s="3">
        <f t="shared" si="23"/>
        <v>2821007.4080720684</v>
      </c>
      <c r="M97" s="3">
        <f t="shared" si="24"/>
        <v>0</v>
      </c>
      <c r="N97" s="3">
        <f t="shared" si="25"/>
        <v>12808183.109129699</v>
      </c>
      <c r="O97" s="3">
        <f t="shared" si="26"/>
        <v>0</v>
      </c>
      <c r="P97" s="3">
        <f t="shared" si="27"/>
        <v>0</v>
      </c>
      <c r="Q97" s="47">
        <f t="shared" si="28"/>
        <v>29454089.908481069</v>
      </c>
      <c r="R97" s="47">
        <f ca="1">'Monthly Data'!BR97+'Monthly Data'!BS97</f>
        <v>72729.191401173302</v>
      </c>
      <c r="S97" s="47">
        <f t="shared" ca="1" si="20"/>
        <v>29526819.099882241</v>
      </c>
      <c r="T97" s="47">
        <f t="shared" ca="1" si="21"/>
        <v>-172370.63559133559</v>
      </c>
      <c r="U97" s="18">
        <f t="shared" ca="1" si="29"/>
        <v>5.803883443508598E-3</v>
      </c>
      <c r="Z97" s="3"/>
    </row>
    <row r="98" spans="1:26">
      <c r="A98" s="2">
        <f>'Monthly Data'!A98</f>
        <v>45292</v>
      </c>
      <c r="B98">
        <f>'Monthly Data'!B98</f>
        <v>2024</v>
      </c>
      <c r="C98">
        <f>'Monthly Data'!C98</f>
        <v>1</v>
      </c>
      <c r="D98" s="3">
        <f ca="1">'Monthly Data'!BQ98</f>
        <v>31954341.421856571</v>
      </c>
      <c r="E98" s="3">
        <f>'Monthly Data'!CT98</f>
        <v>512.99583333333328</v>
      </c>
      <c r="F98" s="3">
        <f>'Monthly Data'!CW98</f>
        <v>0</v>
      </c>
      <c r="G98" s="3">
        <f>'Monthly Data'!DQ98</f>
        <v>31</v>
      </c>
      <c r="H98" s="3">
        <f>'Monthly Data'!EJ98</f>
        <v>0</v>
      </c>
      <c r="I98">
        <f>'Monthly Data'!EF98</f>
        <v>0</v>
      </c>
      <c r="K98" s="3">
        <f t="shared" ref="K98:K121" si="30">$Y$8</f>
        <v>13824899.391279301</v>
      </c>
      <c r="L98" s="3">
        <f t="shared" ref="L98:L121" si="31">E98*$Y$9</f>
        <v>3957471.9537211005</v>
      </c>
      <c r="M98" s="3">
        <f t="shared" ref="M98:M121" si="32">F98*$Y$10</f>
        <v>0</v>
      </c>
      <c r="N98" s="3">
        <f t="shared" ref="N98:N121" si="33">G98*$Y$11</f>
        <v>12808183.109129699</v>
      </c>
      <c r="O98" s="3">
        <f t="shared" ref="O98:O121" si="34">H98*$Y$12</f>
        <v>0</v>
      </c>
      <c r="P98" s="3">
        <f t="shared" ref="P98:P121" si="35">I98*$Y$13</f>
        <v>0</v>
      </c>
      <c r="Q98" s="47">
        <f t="shared" ref="Q98:Q109" si="36">SUM(K98:P98)</f>
        <v>30590554.454130098</v>
      </c>
      <c r="R98" s="47">
        <f ca="1">'Monthly Data'!BR98+'Monthly Data'!BS98</f>
        <v>109329.45212387783</v>
      </c>
      <c r="S98" s="47">
        <f t="shared" ca="1" si="20"/>
        <v>30699883.906253975</v>
      </c>
      <c r="T98" s="47">
        <f t="shared" ca="1" si="21"/>
        <v>-1254457.5156025961</v>
      </c>
      <c r="U98" s="18">
        <f t="shared" ref="U98:U109" ca="1" si="37">ABS(T98/D98)</f>
        <v>3.9257811608176499E-2</v>
      </c>
      <c r="Z98" s="3"/>
    </row>
    <row r="99" spans="1:26">
      <c r="A99" s="2">
        <f>'Monthly Data'!A99</f>
        <v>45323</v>
      </c>
      <c r="B99">
        <f>'Monthly Data'!B99</f>
        <v>2024</v>
      </c>
      <c r="C99">
        <f>'Monthly Data'!C99</f>
        <v>2</v>
      </c>
      <c r="D99" s="3">
        <f ca="1">'Monthly Data'!BQ99</f>
        <v>28926920.90323906</v>
      </c>
      <c r="E99" s="3">
        <f>'Monthly Data'!CT99</f>
        <v>426.96666666666664</v>
      </c>
      <c r="F99" s="3">
        <f>'Monthly Data'!CW99</f>
        <v>0</v>
      </c>
      <c r="G99" s="3">
        <f>'Monthly Data'!DQ99</f>
        <v>29</v>
      </c>
      <c r="H99" s="3">
        <f>'Monthly Data'!EJ99</f>
        <v>0</v>
      </c>
      <c r="I99">
        <f>'Monthly Data'!EF99</f>
        <v>0</v>
      </c>
      <c r="K99" s="3">
        <f t="shared" si="30"/>
        <v>13824899.391279301</v>
      </c>
      <c r="L99" s="3">
        <f t="shared" si="31"/>
        <v>3293805.7167594656</v>
      </c>
      <c r="M99" s="3">
        <f t="shared" si="32"/>
        <v>0</v>
      </c>
      <c r="N99" s="3">
        <f t="shared" si="33"/>
        <v>11981848.7149923</v>
      </c>
      <c r="O99" s="3">
        <f t="shared" si="34"/>
        <v>0</v>
      </c>
      <c r="P99" s="3">
        <f t="shared" si="35"/>
        <v>0</v>
      </c>
      <c r="Q99" s="47">
        <f t="shared" si="36"/>
        <v>29100553.823031068</v>
      </c>
      <c r="R99" s="47">
        <f ca="1">'Monthly Data'!BR99+'Monthly Data'!BS99</f>
        <v>96876.990358406416</v>
      </c>
      <c r="S99" s="47">
        <f t="shared" ca="1" si="20"/>
        <v>29197430.813389473</v>
      </c>
      <c r="T99" s="47">
        <f t="shared" ca="1" si="21"/>
        <v>270509.91015041247</v>
      </c>
      <c r="U99" s="18">
        <f t="shared" ca="1" si="37"/>
        <v>9.351493408346909E-3</v>
      </c>
      <c r="Z99" s="3"/>
    </row>
    <row r="100" spans="1:26">
      <c r="A100" s="2">
        <f>'Monthly Data'!A100</f>
        <v>45352</v>
      </c>
      <c r="B100">
        <f>'Monthly Data'!B100</f>
        <v>2024</v>
      </c>
      <c r="C100">
        <f>'Monthly Data'!C100</f>
        <v>3</v>
      </c>
      <c r="D100" s="3">
        <f ca="1">'Monthly Data'!BQ100</f>
        <v>29281414.438058954</v>
      </c>
      <c r="E100" s="3">
        <f>'Monthly Data'!CT100</f>
        <v>336.11249999999995</v>
      </c>
      <c r="F100" s="3">
        <f>'Monthly Data'!CW100</f>
        <v>0</v>
      </c>
      <c r="G100" s="3">
        <f>'Monthly Data'!DQ100</f>
        <v>31</v>
      </c>
      <c r="H100" s="3">
        <f>'Monthly Data'!EJ100</f>
        <v>0</v>
      </c>
      <c r="I100">
        <f>'Monthly Data'!EF100</f>
        <v>0</v>
      </c>
      <c r="K100" s="3">
        <f t="shared" si="30"/>
        <v>13824899.391279301</v>
      </c>
      <c r="L100" s="3">
        <f t="shared" si="31"/>
        <v>2592917.3408720018</v>
      </c>
      <c r="M100" s="3">
        <f t="shared" si="32"/>
        <v>0</v>
      </c>
      <c r="N100" s="3">
        <f t="shared" si="33"/>
        <v>12808183.109129699</v>
      </c>
      <c r="O100" s="3">
        <f t="shared" si="34"/>
        <v>0</v>
      </c>
      <c r="P100" s="3">
        <f t="shared" si="35"/>
        <v>0</v>
      </c>
      <c r="Q100" s="47">
        <f t="shared" si="36"/>
        <v>29225999.841281004</v>
      </c>
      <c r="R100" s="47">
        <f ca="1">'Monthly Data'!BR100+'Monthly Data'!BS100</f>
        <v>86005.319431160111</v>
      </c>
      <c r="S100" s="47">
        <f t="shared" ca="1" si="20"/>
        <v>29312005.160712164</v>
      </c>
      <c r="T100" s="47">
        <f t="shared" ca="1" si="21"/>
        <v>30590.722653210163</v>
      </c>
      <c r="U100" s="18">
        <f t="shared" ca="1" si="37"/>
        <v>1.0447146505822278E-3</v>
      </c>
      <c r="Z100" s="3"/>
    </row>
    <row r="101" spans="1:26">
      <c r="A101" s="2">
        <f>'Monthly Data'!A101</f>
        <v>45383</v>
      </c>
      <c r="B101">
        <f>'Monthly Data'!B101</f>
        <v>2024</v>
      </c>
      <c r="C101">
        <f>'Monthly Data'!C101</f>
        <v>4</v>
      </c>
      <c r="D101" s="3">
        <f ca="1">'Monthly Data'!BQ101</f>
        <v>27542086.864502985</v>
      </c>
      <c r="E101" s="3">
        <f>'Monthly Data'!CT101</f>
        <v>188.29791666666671</v>
      </c>
      <c r="F101" s="3">
        <f>'Monthly Data'!CW101</f>
        <v>2.3833333333333346</v>
      </c>
      <c r="G101" s="3">
        <f>'Monthly Data'!DQ101</f>
        <v>30</v>
      </c>
      <c r="H101" s="3">
        <f>'Monthly Data'!EJ101</f>
        <v>0</v>
      </c>
      <c r="I101">
        <f>'Monthly Data'!EF101</f>
        <v>0</v>
      </c>
      <c r="K101" s="3">
        <f t="shared" si="30"/>
        <v>13824899.391279301</v>
      </c>
      <c r="L101" s="3">
        <f t="shared" si="31"/>
        <v>1452611.6504892597</v>
      </c>
      <c r="M101" s="3">
        <f t="shared" si="32"/>
        <v>35894.606447562262</v>
      </c>
      <c r="N101" s="3">
        <f t="shared" si="33"/>
        <v>12395015.912061</v>
      </c>
      <c r="O101" s="3">
        <f t="shared" si="34"/>
        <v>0</v>
      </c>
      <c r="P101" s="3">
        <f t="shared" si="35"/>
        <v>0</v>
      </c>
      <c r="Q101" s="47">
        <f t="shared" si="36"/>
        <v>27708421.560277123</v>
      </c>
      <c r="R101" s="47">
        <f ca="1">'Monthly Data'!BR101+'Monthly Data'!BS101</f>
        <v>65378.660148938434</v>
      </c>
      <c r="S101" s="47">
        <f t="shared" ca="1" si="20"/>
        <v>27773800.22042606</v>
      </c>
      <c r="T101" s="47">
        <f t="shared" ca="1" si="21"/>
        <v>231713.35592307523</v>
      </c>
      <c r="U101" s="18">
        <f t="shared" ca="1" si="37"/>
        <v>8.4130645968484661E-3</v>
      </c>
    </row>
    <row r="102" spans="1:26">
      <c r="A102" s="2">
        <f>'Monthly Data'!A102</f>
        <v>45413</v>
      </c>
      <c r="B102">
        <f>'Monthly Data'!B102</f>
        <v>2024</v>
      </c>
      <c r="C102">
        <f>'Monthly Data'!C102</f>
        <v>5</v>
      </c>
      <c r="D102" s="3">
        <f ca="1">'Monthly Data'!BQ102</f>
        <v>28231343.706437863</v>
      </c>
      <c r="E102" s="3">
        <f>'Monthly Data'!CT102</f>
        <v>15.562499999999984</v>
      </c>
      <c r="F102" s="3">
        <f>'Monthly Data'!CW102</f>
        <v>110.05000000000001</v>
      </c>
      <c r="G102" s="3">
        <f>'Monthly Data'!DQ102</f>
        <v>31</v>
      </c>
      <c r="H102" s="3">
        <f>'Monthly Data'!EJ102</f>
        <v>0</v>
      </c>
      <c r="I102">
        <f>'Monthly Data'!EF102</f>
        <v>0</v>
      </c>
      <c r="K102" s="3">
        <f t="shared" si="30"/>
        <v>13824899.391279301</v>
      </c>
      <c r="L102" s="3">
        <f t="shared" si="31"/>
        <v>120055.86259755437</v>
      </c>
      <c r="M102" s="3">
        <f t="shared" si="32"/>
        <v>1657427.1774353392</v>
      </c>
      <c r="N102" s="3">
        <f t="shared" si="33"/>
        <v>12808183.109129699</v>
      </c>
      <c r="O102" s="3">
        <f t="shared" si="34"/>
        <v>0</v>
      </c>
      <c r="P102" s="3">
        <f t="shared" si="35"/>
        <v>0</v>
      </c>
      <c r="Q102" s="47">
        <f t="shared" si="36"/>
        <v>28410565.540441893</v>
      </c>
      <c r="R102" s="47">
        <f ca="1">'Monthly Data'!BR102+'Monthly Data'!BS102</f>
        <v>35280.812209207972</v>
      </c>
      <c r="S102" s="47">
        <f t="shared" ca="1" si="20"/>
        <v>28445846.352651101</v>
      </c>
      <c r="T102" s="47">
        <f t="shared" ca="1" si="21"/>
        <v>214502.6462132372</v>
      </c>
      <c r="U102" s="18">
        <f t="shared" ca="1" si="37"/>
        <v>7.5980317636925691E-3</v>
      </c>
      <c r="Z102" s="3"/>
    </row>
    <row r="103" spans="1:26">
      <c r="A103" s="2">
        <f>'Monthly Data'!A103</f>
        <v>45444</v>
      </c>
      <c r="B103">
        <f>'Monthly Data'!B103</f>
        <v>2024</v>
      </c>
      <c r="C103">
        <f>'Monthly Data'!C103</f>
        <v>6</v>
      </c>
      <c r="D103" s="3">
        <f ca="1">'Monthly Data'!BQ103</f>
        <v>29312982.713488318</v>
      </c>
      <c r="E103" s="3">
        <f>'Monthly Data'!CT103</f>
        <v>2.4583333333333321</v>
      </c>
      <c r="F103" s="3">
        <f>'Monthly Data'!CW103</f>
        <v>204.15416666666667</v>
      </c>
      <c r="G103" s="3">
        <f>'Monthly Data'!DQ103</f>
        <v>30</v>
      </c>
      <c r="H103" s="3">
        <f>'Monthly Data'!EJ103</f>
        <v>0</v>
      </c>
      <c r="I103">
        <f>'Monthly Data'!EF103</f>
        <v>0</v>
      </c>
      <c r="K103" s="3">
        <f t="shared" si="30"/>
        <v>13824899.391279301</v>
      </c>
      <c r="L103" s="3">
        <f t="shared" si="31"/>
        <v>18964.647639238854</v>
      </c>
      <c r="M103" s="3">
        <f t="shared" si="32"/>
        <v>3074699.3568377746</v>
      </c>
      <c r="N103" s="3">
        <f t="shared" si="33"/>
        <v>12395015.912061</v>
      </c>
      <c r="O103" s="3">
        <f t="shared" si="34"/>
        <v>0</v>
      </c>
      <c r="P103" s="3">
        <f t="shared" si="35"/>
        <v>0</v>
      </c>
      <c r="Q103" s="47">
        <f t="shared" si="36"/>
        <v>29313579.307817318</v>
      </c>
      <c r="R103" s="47">
        <f ca="1">'Monthly Data'!BR103+'Monthly Data'!BS103</f>
        <v>27930.850923421298</v>
      </c>
      <c r="S103" s="47">
        <f t="shared" ca="1" si="20"/>
        <v>29341510.15874074</v>
      </c>
      <c r="T103" s="47">
        <f t="shared" ca="1" si="21"/>
        <v>28527.445252422243</v>
      </c>
      <c r="U103" s="18">
        <f t="shared" ca="1" si="37"/>
        <v>9.7320172195562303E-4</v>
      </c>
      <c r="Z103" s="3"/>
    </row>
    <row r="104" spans="1:26">
      <c r="A104" s="2">
        <f>'Monthly Data'!A104</f>
        <v>45474</v>
      </c>
      <c r="B104">
        <f>'Monthly Data'!B104</f>
        <v>2024</v>
      </c>
      <c r="C104">
        <f>'Monthly Data'!C104</f>
        <v>7</v>
      </c>
      <c r="D104" s="3">
        <f ca="1">'Monthly Data'!BQ104</f>
        <v>32061130.132427096</v>
      </c>
      <c r="E104" s="3">
        <f>'Monthly Data'!CT104</f>
        <v>0</v>
      </c>
      <c r="F104" s="3">
        <f>'Monthly Data'!CW104</f>
        <v>303.14166666666665</v>
      </c>
      <c r="G104" s="3">
        <f>'Monthly Data'!DQ104</f>
        <v>31</v>
      </c>
      <c r="H104" s="3">
        <f>'Monthly Data'!EJ104</f>
        <v>0</v>
      </c>
      <c r="I104">
        <f>'Monthly Data'!EF104</f>
        <v>0</v>
      </c>
      <c r="K104" s="3">
        <f t="shared" si="30"/>
        <v>13824899.391279301</v>
      </c>
      <c r="L104" s="3">
        <f t="shared" si="31"/>
        <v>0</v>
      </c>
      <c r="M104" s="3">
        <f t="shared" si="32"/>
        <v>4565517.8277726276</v>
      </c>
      <c r="N104" s="3">
        <f t="shared" si="33"/>
        <v>12808183.109129699</v>
      </c>
      <c r="O104" s="3">
        <f t="shared" si="34"/>
        <v>0</v>
      </c>
      <c r="P104" s="3">
        <f t="shared" si="35"/>
        <v>0</v>
      </c>
      <c r="Q104" s="47">
        <f t="shared" si="36"/>
        <v>31198600.328181624</v>
      </c>
      <c r="R104" s="47">
        <f ca="1">'Monthly Data'!BR104+'Monthly Data'!BS104</f>
        <v>24360.170344084705</v>
      </c>
      <c r="S104" s="47">
        <f t="shared" ca="1" si="20"/>
        <v>31222960.498525709</v>
      </c>
      <c r="T104" s="47">
        <f t="shared" ca="1" si="21"/>
        <v>-838169.63390138745</v>
      </c>
      <c r="U104" s="18">
        <f t="shared" ca="1" si="37"/>
        <v>2.6142859919140855E-2</v>
      </c>
      <c r="Z104" s="3"/>
    </row>
    <row r="105" spans="1:26">
      <c r="A105" s="2">
        <f>'Monthly Data'!A105</f>
        <v>45505</v>
      </c>
      <c r="B105">
        <f>'Monthly Data'!B105</f>
        <v>2024</v>
      </c>
      <c r="C105">
        <f>'Monthly Data'!C105</f>
        <v>8</v>
      </c>
      <c r="D105" s="3">
        <f ca="1">'Monthly Data'!BQ105</f>
        <v>31790550.471209764</v>
      </c>
      <c r="E105" s="3">
        <f>'Monthly Data'!CT105</f>
        <v>0</v>
      </c>
      <c r="F105" s="3">
        <f>'Monthly Data'!CW105</f>
        <v>262.86666666666667</v>
      </c>
      <c r="G105" s="3">
        <f>'Monthly Data'!DQ105</f>
        <v>31</v>
      </c>
      <c r="H105" s="3">
        <f>'Monthly Data'!EJ105</f>
        <v>0</v>
      </c>
      <c r="I105">
        <f>'Monthly Data'!EF105</f>
        <v>0</v>
      </c>
      <c r="K105" s="3">
        <f t="shared" si="30"/>
        <v>13824899.391279301</v>
      </c>
      <c r="L105" s="3">
        <f t="shared" si="31"/>
        <v>0</v>
      </c>
      <c r="M105" s="3">
        <f t="shared" si="32"/>
        <v>3958949.1810556063</v>
      </c>
      <c r="N105" s="3">
        <f t="shared" si="33"/>
        <v>12808183.109129699</v>
      </c>
      <c r="O105" s="3">
        <f t="shared" si="34"/>
        <v>0</v>
      </c>
      <c r="P105" s="3">
        <f t="shared" si="35"/>
        <v>0</v>
      </c>
      <c r="Q105" s="47">
        <f t="shared" si="36"/>
        <v>30592031.681464605</v>
      </c>
      <c r="R105" s="47">
        <f ca="1">'Monthly Data'!BR105+'Monthly Data'!BS105</f>
        <v>26326.972958306818</v>
      </c>
      <c r="S105" s="47">
        <f t="shared" ca="1" si="20"/>
        <v>30618358.654422913</v>
      </c>
      <c r="T105" s="47">
        <f t="shared" ca="1" si="21"/>
        <v>-1172191.8167868517</v>
      </c>
      <c r="U105" s="18">
        <f t="shared" ca="1" si="37"/>
        <v>3.6872334684749007E-2</v>
      </c>
      <c r="Z105" s="3"/>
    </row>
    <row r="106" spans="1:26">
      <c r="A106" s="2">
        <f>'Monthly Data'!A106</f>
        <v>45536</v>
      </c>
      <c r="B106">
        <f>'Monthly Data'!B106</f>
        <v>2024</v>
      </c>
      <c r="C106">
        <f>'Monthly Data'!C106</f>
        <v>9</v>
      </c>
      <c r="D106" s="3">
        <f ca="1">'Monthly Data'!BQ106</f>
        <v>29855380.764960915</v>
      </c>
      <c r="E106" s="3">
        <f>'Monthly Data'!CT106</f>
        <v>2.5625000000000036</v>
      </c>
      <c r="F106" s="3">
        <f>'Monthly Data'!CW106</f>
        <v>171.29999999999998</v>
      </c>
      <c r="G106" s="3">
        <f>'Monthly Data'!DQ106</f>
        <v>30</v>
      </c>
      <c r="H106" s="3">
        <f>'Monthly Data'!EJ106</f>
        <v>0</v>
      </c>
      <c r="I106">
        <f>'Monthly Data'!EF106</f>
        <v>1</v>
      </c>
      <c r="K106" s="3">
        <f t="shared" si="30"/>
        <v>13824899.391279301</v>
      </c>
      <c r="L106" s="3">
        <f t="shared" si="31"/>
        <v>19768.23440361342</v>
      </c>
      <c r="M106" s="3">
        <f t="shared" si="32"/>
        <v>2579893.4620142984</v>
      </c>
      <c r="N106" s="3">
        <f t="shared" si="33"/>
        <v>12395015.912061</v>
      </c>
      <c r="O106" s="3">
        <f t="shared" si="34"/>
        <v>0</v>
      </c>
      <c r="P106" s="3">
        <f t="shared" si="35"/>
        <v>0</v>
      </c>
      <c r="Q106" s="47">
        <f t="shared" si="36"/>
        <v>28819576.999758214</v>
      </c>
      <c r="R106" s="47">
        <f ca="1">'Monthly Data'!BR106+'Monthly Data'!BS106</f>
        <v>30165.144294141381</v>
      </c>
      <c r="S106" s="47">
        <f t="shared" ca="1" si="20"/>
        <v>28849742.144052356</v>
      </c>
      <c r="T106" s="47">
        <f t="shared" ca="1" si="21"/>
        <v>-1005638.6209085584</v>
      </c>
      <c r="U106" s="18">
        <f t="shared" ca="1" si="37"/>
        <v>3.3683664222055515E-2</v>
      </c>
      <c r="Z106" s="3"/>
    </row>
    <row r="107" spans="1:26">
      <c r="A107" s="2">
        <f>'Monthly Data'!A107</f>
        <v>45566</v>
      </c>
      <c r="B107">
        <f>'Monthly Data'!B107</f>
        <v>2024</v>
      </c>
      <c r="C107">
        <f>'Monthly Data'!C107</f>
        <v>10</v>
      </c>
      <c r="D107" s="3">
        <f ca="1">'Monthly Data'!BQ107</f>
        <v>29316651.728781112</v>
      </c>
      <c r="E107" s="3">
        <f>'Monthly Data'!CT107</f>
        <v>122.06250000000001</v>
      </c>
      <c r="F107" s="3">
        <f>'Monthly Data'!CW107</f>
        <v>31.104166666666679</v>
      </c>
      <c r="G107" s="3">
        <f>'Monthly Data'!DQ107</f>
        <v>31</v>
      </c>
      <c r="H107" s="3">
        <f>'Monthly Data'!EJ107</f>
        <v>0</v>
      </c>
      <c r="I107">
        <f>'Monthly Data'!EF107</f>
        <v>1</v>
      </c>
      <c r="K107" s="3">
        <f t="shared" si="30"/>
        <v>13824899.391279301</v>
      </c>
      <c r="L107" s="3">
        <f t="shared" si="31"/>
        <v>941642.97049407219</v>
      </c>
      <c r="M107" s="3">
        <f t="shared" si="32"/>
        <v>468449.71526407736</v>
      </c>
      <c r="N107" s="3">
        <f t="shared" si="33"/>
        <v>12808183.109129699</v>
      </c>
      <c r="O107" s="3">
        <f t="shared" si="34"/>
        <v>0</v>
      </c>
      <c r="P107" s="3">
        <f t="shared" si="35"/>
        <v>0</v>
      </c>
      <c r="Q107" s="47">
        <f t="shared" si="36"/>
        <v>28043175.186167151</v>
      </c>
      <c r="R107" s="47">
        <f ca="1">'Monthly Data'!BR107+'Monthly Data'!BS107</f>
        <v>59952.568964687584</v>
      </c>
      <c r="S107" s="47">
        <f t="shared" ref="S107:S109" ca="1" si="38">Q107+R107</f>
        <v>28103127.755131837</v>
      </c>
      <c r="T107" s="47">
        <f t="shared" ref="T107:T109" ca="1" si="39">S107-D107</f>
        <v>-1213523.9736492746</v>
      </c>
      <c r="U107" s="18">
        <f t="shared" ca="1" si="37"/>
        <v>4.1393675678792423E-2</v>
      </c>
      <c r="Z107" s="3"/>
    </row>
    <row r="108" spans="1:26">
      <c r="A108" s="2">
        <f>'Monthly Data'!A108</f>
        <v>45597</v>
      </c>
      <c r="B108">
        <f>'Monthly Data'!B108</f>
        <v>2024</v>
      </c>
      <c r="C108">
        <f>'Monthly Data'!C108</f>
        <v>11</v>
      </c>
      <c r="D108" s="3">
        <f ca="1">'Monthly Data'!BQ108</f>
        <v>29420341.540995181</v>
      </c>
      <c r="E108" s="3">
        <f>'Monthly Data'!CT108</f>
        <v>251.79583333333335</v>
      </c>
      <c r="F108" s="3">
        <f>'Monthly Data'!CW108</f>
        <v>9.5041666666666629</v>
      </c>
      <c r="G108" s="3">
        <f>'Monthly Data'!DQ108</f>
        <v>30</v>
      </c>
      <c r="H108" s="3">
        <f>'Monthly Data'!EJ108</f>
        <v>0</v>
      </c>
      <c r="I108">
        <f>'Monthly Data'!EF108</f>
        <v>1</v>
      </c>
      <c r="K108" s="3">
        <f t="shared" si="30"/>
        <v>13824899.391279301</v>
      </c>
      <c r="L108" s="3">
        <f t="shared" si="31"/>
        <v>1942462.0703166844</v>
      </c>
      <c r="M108" s="3">
        <f t="shared" si="32"/>
        <v>143139.15613092561</v>
      </c>
      <c r="N108" s="3">
        <f t="shared" si="33"/>
        <v>12395015.912061</v>
      </c>
      <c r="O108" s="3">
        <f t="shared" si="34"/>
        <v>0</v>
      </c>
      <c r="P108" s="3">
        <f t="shared" si="35"/>
        <v>0</v>
      </c>
      <c r="Q108" s="47">
        <f t="shared" si="36"/>
        <v>28305516.529787913</v>
      </c>
      <c r="R108" s="47">
        <f ca="1">'Monthly Data'!BR108+'Monthly Data'!BS108</f>
        <v>79523.204526436923</v>
      </c>
      <c r="S108" s="47">
        <f t="shared" ca="1" si="38"/>
        <v>28385039.734314349</v>
      </c>
      <c r="T108" s="47">
        <f t="shared" ca="1" si="39"/>
        <v>-1035301.8066808321</v>
      </c>
      <c r="U108" s="18">
        <f t="shared" ca="1" si="37"/>
        <v>3.5189999587129595E-2</v>
      </c>
      <c r="Z108" s="3"/>
    </row>
    <row r="109" spans="1:26">
      <c r="A109" s="2">
        <f>'Monthly Data'!A109</f>
        <v>45627</v>
      </c>
      <c r="B109">
        <f>'Monthly Data'!B109</f>
        <v>2024</v>
      </c>
      <c r="C109">
        <f>'Monthly Data'!C109</f>
        <v>12</v>
      </c>
      <c r="D109" s="3">
        <f ca="1">'Monthly Data'!BQ109</f>
        <v>32154582.092326634</v>
      </c>
      <c r="E109" s="3">
        <f>'Monthly Data'!CT109</f>
        <v>474.57499999999999</v>
      </c>
      <c r="F109" s="3">
        <f>'Monthly Data'!CW109</f>
        <v>0</v>
      </c>
      <c r="G109" s="3">
        <f>'Monthly Data'!DQ109</f>
        <v>31</v>
      </c>
      <c r="H109" s="3">
        <f>'Monthly Data'!EJ109</f>
        <v>0</v>
      </c>
      <c r="I109">
        <f>'Monthly Data'!EF109</f>
        <v>0</v>
      </c>
      <c r="K109" s="3">
        <f t="shared" si="30"/>
        <v>13824899.391279301</v>
      </c>
      <c r="L109" s="3">
        <f t="shared" si="31"/>
        <v>3661077.0115491999</v>
      </c>
      <c r="M109" s="3">
        <f t="shared" si="32"/>
        <v>0</v>
      </c>
      <c r="N109" s="3">
        <f t="shared" si="33"/>
        <v>12808183.109129699</v>
      </c>
      <c r="O109" s="3">
        <f t="shared" si="34"/>
        <v>0</v>
      </c>
      <c r="P109" s="3">
        <f t="shared" si="35"/>
        <v>0</v>
      </c>
      <c r="Q109" s="47">
        <f t="shared" si="36"/>
        <v>30294159.511958197</v>
      </c>
      <c r="R109" s="47">
        <f ca="1">'Monthly Data'!BR109+'Monthly Data'!BS109</f>
        <v>113230.18888162021</v>
      </c>
      <c r="S109" s="47">
        <f t="shared" ca="1" si="38"/>
        <v>30407389.700839818</v>
      </c>
      <c r="T109" s="47">
        <f t="shared" ca="1" si="39"/>
        <v>-1747192.3914868161</v>
      </c>
      <c r="U109" s="18">
        <f t="shared" ca="1" si="37"/>
        <v>5.4337275678783145E-2</v>
      </c>
      <c r="Z109" s="3"/>
    </row>
    <row r="110" spans="1:26">
      <c r="A110" s="2">
        <f>'Monthly Data'!A110</f>
        <v>45658</v>
      </c>
      <c r="B110">
        <f>'Monthly Data'!B110</f>
        <v>2025</v>
      </c>
      <c r="C110">
        <f>'Monthly Data'!C110</f>
        <v>1</v>
      </c>
      <c r="D110" s="3">
        <f ca="1">'Monthly Data'!BQ110</f>
        <v>34441247.708394289</v>
      </c>
      <c r="E110" s="3">
        <f>'Monthly Data'!CT110</f>
        <v>608.42499999999984</v>
      </c>
      <c r="F110" s="3">
        <f>'Monthly Data'!CW110</f>
        <v>0</v>
      </c>
      <c r="G110" s="3">
        <f>'Monthly Data'!DQ110</f>
        <v>31</v>
      </c>
      <c r="H110" s="3">
        <f>'Monthly Data'!EJ110</f>
        <v>0</v>
      </c>
      <c r="I110">
        <f>'Monthly Data'!EF110</f>
        <v>0</v>
      </c>
      <c r="K110" s="3">
        <f t="shared" si="30"/>
        <v>13824899.391279301</v>
      </c>
      <c r="L110" s="3">
        <f t="shared" si="31"/>
        <v>4693653.8602998927</v>
      </c>
      <c r="M110" s="3">
        <f t="shared" si="32"/>
        <v>0</v>
      </c>
      <c r="N110" s="3">
        <f t="shared" si="33"/>
        <v>12808183.109129699</v>
      </c>
      <c r="O110" s="3">
        <f t="shared" si="34"/>
        <v>0</v>
      </c>
      <c r="P110" s="3">
        <f t="shared" si="35"/>
        <v>0</v>
      </c>
      <c r="Q110" s="47">
        <f t="shared" ref="Q110:Q121" si="40">SUM(K110:P110)</f>
        <v>31326736.360708892</v>
      </c>
      <c r="R110" s="47">
        <f ca="1">'Monthly Data'!BR110+'Monthly Data'!BS110</f>
        <v>155767.79334119719</v>
      </c>
      <c r="S110" s="47">
        <f t="shared" ref="S110:S121" ca="1" si="41">Q110+R110</f>
        <v>31482504.154050089</v>
      </c>
      <c r="T110" s="47">
        <f t="shared" ref="T110:T121" ca="1" si="42">S110-D110</f>
        <v>-2958743.5543441996</v>
      </c>
      <c r="U110" s="18">
        <f t="shared" ref="U110:U121" ca="1" si="43">ABS(T110/D110)</f>
        <v>8.5906979311410711E-2</v>
      </c>
      <c r="Z110" s="3"/>
    </row>
    <row r="111" spans="1:26">
      <c r="A111" s="2">
        <f>'Monthly Data'!A111</f>
        <v>45689</v>
      </c>
      <c r="B111">
        <f>'Monthly Data'!B111</f>
        <v>2025</v>
      </c>
      <c r="C111">
        <f>'Monthly Data'!C111</f>
        <v>2</v>
      </c>
      <c r="D111" s="3">
        <f ca="1">'Monthly Data'!BQ111</f>
        <v>31351518.386020195</v>
      </c>
      <c r="E111" s="3">
        <f>'Monthly Data'!CT111</f>
        <v>553.25833333333333</v>
      </c>
      <c r="F111" s="3">
        <f>'Monthly Data'!CW111</f>
        <v>0</v>
      </c>
      <c r="G111" s="3">
        <f>'Monthly Data'!DQ111</f>
        <v>28</v>
      </c>
      <c r="H111" s="3">
        <f>'Monthly Data'!EJ111</f>
        <v>0</v>
      </c>
      <c r="I111">
        <f>'Monthly Data'!EF111</f>
        <v>0</v>
      </c>
      <c r="K111" s="3">
        <f t="shared" si="30"/>
        <v>13824899.391279301</v>
      </c>
      <c r="L111" s="3">
        <f t="shared" si="31"/>
        <v>4268074.3098871438</v>
      </c>
      <c r="M111" s="3">
        <f t="shared" si="32"/>
        <v>0</v>
      </c>
      <c r="N111" s="3">
        <f t="shared" si="33"/>
        <v>11568681.517923599</v>
      </c>
      <c r="O111" s="3">
        <f t="shared" si="34"/>
        <v>0</v>
      </c>
      <c r="P111" s="3">
        <f t="shared" si="35"/>
        <v>0</v>
      </c>
      <c r="Q111" s="47">
        <f t="shared" si="40"/>
        <v>29661655.219090044</v>
      </c>
      <c r="R111" s="47">
        <f ca="1">'Monthly Data'!BR111+'Monthly Data'!BS111</f>
        <v>144719.6068689106</v>
      </c>
      <c r="S111" s="47">
        <f t="shared" ca="1" si="41"/>
        <v>29806374.825958956</v>
      </c>
      <c r="T111" s="47">
        <f t="shared" ca="1" si="42"/>
        <v>-1545143.5600612387</v>
      </c>
      <c r="U111" s="18">
        <f t="shared" ca="1" si="43"/>
        <v>4.9284488905335641E-2</v>
      </c>
      <c r="Z111" s="3"/>
    </row>
    <row r="112" spans="1:26">
      <c r="A112" s="2">
        <f>'Monthly Data'!A112</f>
        <v>45717</v>
      </c>
      <c r="B112">
        <f>'Monthly Data'!B112</f>
        <v>2025</v>
      </c>
      <c r="C112">
        <f>'Monthly Data'!C112</f>
        <v>3</v>
      </c>
      <c r="D112" s="3">
        <f ca="1">'Monthly Data'!BQ112</f>
        <v>32142014.149205998</v>
      </c>
      <c r="E112" s="3">
        <f>'Monthly Data'!CT112</f>
        <v>394.62916666666666</v>
      </c>
      <c r="F112" s="3">
        <f>'Monthly Data'!CW112</f>
        <v>0</v>
      </c>
      <c r="G112" s="3">
        <f>'Monthly Data'!DQ112</f>
        <v>31</v>
      </c>
      <c r="H112" s="3">
        <f>'Monthly Data'!EJ112</f>
        <v>0</v>
      </c>
      <c r="I112">
        <f>'Monthly Data'!EF112</f>
        <v>0</v>
      </c>
      <c r="K112" s="3">
        <f t="shared" si="30"/>
        <v>13824899.391279301</v>
      </c>
      <c r="L112" s="3">
        <f t="shared" si="31"/>
        <v>3044340.2416270371</v>
      </c>
      <c r="M112" s="3">
        <f t="shared" si="32"/>
        <v>0</v>
      </c>
      <c r="N112" s="3">
        <f t="shared" si="33"/>
        <v>12808183.109129699</v>
      </c>
      <c r="O112" s="3">
        <f t="shared" si="34"/>
        <v>0</v>
      </c>
      <c r="P112" s="3">
        <f t="shared" si="35"/>
        <v>0</v>
      </c>
      <c r="Q112" s="47">
        <f t="shared" si="40"/>
        <v>29677422.742036037</v>
      </c>
      <c r="R112" s="47">
        <f ca="1">'Monthly Data'!BR112+'Monthly Data'!BS112</f>
        <v>120015.75350859809</v>
      </c>
      <c r="S112" s="47">
        <f t="shared" ca="1" si="41"/>
        <v>29797438.495544635</v>
      </c>
      <c r="T112" s="47">
        <f t="shared" ca="1" si="42"/>
        <v>-2344575.6536613628</v>
      </c>
      <c r="U112" s="18">
        <f t="shared" ca="1" si="43"/>
        <v>7.2944266740025715E-2</v>
      </c>
    </row>
    <row r="113" spans="1:21">
      <c r="A113" s="2">
        <f>'Monthly Data'!A113</f>
        <v>45748</v>
      </c>
      <c r="B113">
        <f>'Monthly Data'!B113</f>
        <v>2025</v>
      </c>
      <c r="C113">
        <f>'Monthly Data'!C113</f>
        <v>4</v>
      </c>
      <c r="D113" s="3">
        <f ca="1">'Monthly Data'!BQ113</f>
        <v>29692880.981740344</v>
      </c>
      <c r="E113" s="3">
        <f>'Monthly Data'!CT113</f>
        <v>231.95833333333334</v>
      </c>
      <c r="F113" s="3">
        <f>'Monthly Data'!CW113</f>
        <v>5.2083333333333321</v>
      </c>
      <c r="G113" s="3">
        <f>'Monthly Data'!DQ113</f>
        <v>30</v>
      </c>
      <c r="H113" s="3">
        <f>'Monthly Data'!EJ113</f>
        <v>0</v>
      </c>
      <c r="I113">
        <f>'Monthly Data'!EF113</f>
        <v>0</v>
      </c>
      <c r="K113" s="3">
        <f t="shared" si="30"/>
        <v>13824899.391279301</v>
      </c>
      <c r="L113" s="3">
        <f t="shared" si="31"/>
        <v>1789427.0069091993</v>
      </c>
      <c r="M113" s="3">
        <f t="shared" si="32"/>
        <v>78441.01059344894</v>
      </c>
      <c r="N113" s="3">
        <f t="shared" si="33"/>
        <v>12395015.912061</v>
      </c>
      <c r="O113" s="3">
        <f t="shared" si="34"/>
        <v>0</v>
      </c>
      <c r="P113" s="3">
        <f t="shared" si="35"/>
        <v>0</v>
      </c>
      <c r="Q113" s="47">
        <f t="shared" si="40"/>
        <v>28087783.320842952</v>
      </c>
      <c r="R113" s="47">
        <f ca="1">'Monthly Data'!BR113+'Monthly Data'!BS113</f>
        <v>91847.681365617114</v>
      </c>
      <c r="S113" s="47">
        <f t="shared" ca="1" si="41"/>
        <v>28179631.002208568</v>
      </c>
      <c r="T113" s="47">
        <f t="shared" ca="1" si="42"/>
        <v>-1513249.9795317762</v>
      </c>
      <c r="U113" s="18">
        <f t="shared" ca="1" si="43"/>
        <v>5.0963393564347974E-2</v>
      </c>
    </row>
    <row r="114" spans="1:21">
      <c r="A114" s="2">
        <f>'Monthly Data'!A114</f>
        <v>45778</v>
      </c>
      <c r="B114">
        <f>'Monthly Data'!B114</f>
        <v>2025</v>
      </c>
      <c r="C114">
        <f>'Monthly Data'!C114</f>
        <v>5</v>
      </c>
      <c r="D114" s="3">
        <f ca="1">'Monthly Data'!BQ114</f>
        <v>29355826.839192126</v>
      </c>
      <c r="E114" s="3">
        <f>'Monthly Data'!CT114</f>
        <v>62.479166666666679</v>
      </c>
      <c r="F114" s="3">
        <f>'Monthly Data'!CW114</f>
        <v>58.67083333333332</v>
      </c>
      <c r="G114" s="3">
        <f>'Monthly Data'!DQ114</f>
        <v>31</v>
      </c>
      <c r="H114" s="3">
        <f>'Monthly Data'!EJ114</f>
        <v>0</v>
      </c>
      <c r="I114">
        <f>'Monthly Data'!EF114</f>
        <v>0</v>
      </c>
      <c r="K114" s="3">
        <f t="shared" si="30"/>
        <v>13824899.391279301</v>
      </c>
      <c r="L114" s="3">
        <f t="shared" si="31"/>
        <v>481991.34127184201</v>
      </c>
      <c r="M114" s="3">
        <f t="shared" si="32"/>
        <v>883622.29613308364</v>
      </c>
      <c r="N114" s="3">
        <f t="shared" si="33"/>
        <v>12808183.109129699</v>
      </c>
      <c r="O114" s="3">
        <f t="shared" si="34"/>
        <v>0</v>
      </c>
      <c r="P114" s="3">
        <f t="shared" si="35"/>
        <v>0</v>
      </c>
      <c r="Q114" s="47">
        <f t="shared" si="40"/>
        <v>27998696.137813926</v>
      </c>
      <c r="R114" s="47">
        <f ca="1">'Monthly Data'!BR114+'Monthly Data'!BS114</f>
        <v>59258.040189362655</v>
      </c>
      <c r="S114" s="47">
        <f t="shared" ca="1" si="41"/>
        <v>28057954.178003289</v>
      </c>
      <c r="T114" s="47">
        <f t="shared" ca="1" si="42"/>
        <v>-1297872.6611888371</v>
      </c>
      <c r="U114" s="18">
        <f t="shared" ca="1" si="43"/>
        <v>4.4211756265576697E-2</v>
      </c>
    </row>
    <row r="115" spans="1:21">
      <c r="A115" s="2">
        <f>'Monthly Data'!A115</f>
        <v>45809</v>
      </c>
      <c r="B115">
        <f>'Monthly Data'!B115</f>
        <v>2025</v>
      </c>
      <c r="C115">
        <f>'Monthly Data'!C115</f>
        <v>6</v>
      </c>
      <c r="D115" s="3">
        <f ca="1">'Monthly Data'!BQ115</f>
        <v>30992881.680132356</v>
      </c>
      <c r="E115" s="3">
        <f>'Monthly Data'!CT115</f>
        <v>4.9291666666666671</v>
      </c>
      <c r="F115" s="3">
        <f>'Monthly Data'!CW115</f>
        <v>224.42916666666662</v>
      </c>
      <c r="G115" s="3">
        <f>'Monthly Data'!DQ115</f>
        <v>30</v>
      </c>
      <c r="H115" s="3">
        <f>'Monthly Data'!EJ115</f>
        <v>0</v>
      </c>
      <c r="I115">
        <f>'Monthly Data'!EF115</f>
        <v>0</v>
      </c>
      <c r="K115" s="3">
        <f t="shared" si="30"/>
        <v>13824899.391279301</v>
      </c>
      <c r="L115" s="3">
        <f t="shared" si="31"/>
        <v>38025.725690202671</v>
      </c>
      <c r="M115" s="3">
        <f t="shared" si="32"/>
        <v>3380054.5228759521</v>
      </c>
      <c r="N115" s="3">
        <f t="shared" si="33"/>
        <v>12395015.912061</v>
      </c>
      <c r="O115" s="3">
        <f t="shared" si="34"/>
        <v>0</v>
      </c>
      <c r="P115" s="3">
        <f t="shared" si="35"/>
        <v>0</v>
      </c>
      <c r="Q115" s="47">
        <f t="shared" si="40"/>
        <v>29637995.551906459</v>
      </c>
      <c r="R115" s="47">
        <f ca="1">'Monthly Data'!BR115+'Monthly Data'!BS115</f>
        <v>36231.160865637445</v>
      </c>
      <c r="S115" s="47">
        <f t="shared" ca="1" si="41"/>
        <v>29674226.712772097</v>
      </c>
      <c r="T115" s="47">
        <f t="shared" ca="1" si="42"/>
        <v>-1318654.9673602581</v>
      </c>
      <c r="U115" s="18">
        <f t="shared" ca="1" si="43"/>
        <v>4.254702679698117E-2</v>
      </c>
    </row>
    <row r="116" spans="1:21">
      <c r="A116" s="2">
        <f>'Monthly Data'!A116</f>
        <v>45839</v>
      </c>
      <c r="B116">
        <f>'Monthly Data'!B116</f>
        <v>2025</v>
      </c>
      <c r="C116">
        <f>'Monthly Data'!C116</f>
        <v>7</v>
      </c>
      <c r="D116" s="3">
        <f ca="1">'Monthly Data'!BQ116</f>
        <v>34600164.906542413</v>
      </c>
      <c r="E116" s="3">
        <f>'Monthly Data'!CT116</f>
        <v>0</v>
      </c>
      <c r="F116" s="3">
        <f>'Monthly Data'!CW116</f>
        <v>335.3145833333333</v>
      </c>
      <c r="G116" s="3">
        <f>'Monthly Data'!DQ116</f>
        <v>31</v>
      </c>
      <c r="H116" s="3">
        <f>'Monthly Data'!EJ116</f>
        <v>0</v>
      </c>
      <c r="I116">
        <f>'Monthly Data'!EF116</f>
        <v>0</v>
      </c>
      <c r="K116" s="3">
        <f t="shared" si="30"/>
        <v>13824899.391279301</v>
      </c>
      <c r="L116" s="3">
        <f t="shared" si="31"/>
        <v>0</v>
      </c>
      <c r="M116" s="3">
        <f t="shared" si="32"/>
        <v>5050063.6384104807</v>
      </c>
      <c r="N116" s="3">
        <f t="shared" si="33"/>
        <v>12808183.109129699</v>
      </c>
      <c r="O116" s="3">
        <f t="shared" si="34"/>
        <v>0</v>
      </c>
      <c r="P116" s="3">
        <f t="shared" si="35"/>
        <v>0</v>
      </c>
      <c r="Q116" s="47">
        <f t="shared" si="40"/>
        <v>31683146.138819478</v>
      </c>
      <c r="R116" s="47">
        <f ca="1">'Monthly Data'!BR116+'Monthly Data'!BS116</f>
        <v>32996.441808910524</v>
      </c>
      <c r="S116" s="47">
        <f t="shared" ca="1" si="41"/>
        <v>31716142.580628388</v>
      </c>
      <c r="T116" s="47">
        <f t="shared" ca="1" si="42"/>
        <v>-2884022.3259140253</v>
      </c>
      <c r="U116" s="18">
        <f t="shared" ca="1" si="43"/>
        <v>8.3352849146932723E-2</v>
      </c>
    </row>
    <row r="117" spans="1:21">
      <c r="A117" s="2">
        <f>'Monthly Data'!A117</f>
        <v>45870</v>
      </c>
      <c r="B117">
        <f>'Monthly Data'!B117</f>
        <v>2025</v>
      </c>
      <c r="C117">
        <f>'Monthly Data'!C117</f>
        <v>8</v>
      </c>
      <c r="D117" s="3">
        <f ca="1">'Monthly Data'!BQ117</f>
        <v>33236477.541538484</v>
      </c>
      <c r="E117" s="3">
        <f>'Monthly Data'!CT117</f>
        <v>0.65416666666666856</v>
      </c>
      <c r="F117" s="3">
        <f>'Monthly Data'!CW117</f>
        <v>259.88749999999993</v>
      </c>
      <c r="G117" s="3">
        <f>'Monthly Data'!DQ117</f>
        <v>31</v>
      </c>
      <c r="H117" s="3">
        <f>'Monthly Data'!EJ117</f>
        <v>0</v>
      </c>
      <c r="I117">
        <f>'Monthly Data'!EF117</f>
        <v>0</v>
      </c>
      <c r="K117" s="3">
        <f t="shared" si="30"/>
        <v>13824899.391279301</v>
      </c>
      <c r="L117" s="3">
        <f t="shared" si="31"/>
        <v>5046.5248802720507</v>
      </c>
      <c r="M117" s="3">
        <f t="shared" si="32"/>
        <v>3914080.9229961522</v>
      </c>
      <c r="N117" s="3">
        <f t="shared" si="33"/>
        <v>12808183.109129699</v>
      </c>
      <c r="O117" s="3">
        <f t="shared" si="34"/>
        <v>0</v>
      </c>
      <c r="P117" s="3">
        <f t="shared" si="35"/>
        <v>0</v>
      </c>
      <c r="Q117" s="47">
        <f t="shared" si="40"/>
        <v>30552209.948285423</v>
      </c>
      <c r="R117" s="47">
        <f ca="1">'Monthly Data'!BR117+'Monthly Data'!BS117</f>
        <v>36310.65722640547</v>
      </c>
      <c r="S117" s="47">
        <f t="shared" ca="1" si="41"/>
        <v>30588520.605511829</v>
      </c>
      <c r="T117" s="47">
        <f t="shared" ca="1" si="42"/>
        <v>-2647956.9360266551</v>
      </c>
      <c r="U117" s="18">
        <f t="shared" ca="1" si="43"/>
        <v>7.9670203700656167E-2</v>
      </c>
    </row>
    <row r="118" spans="1:21">
      <c r="A118" s="2">
        <f>'Monthly Data'!A118</f>
        <v>45901</v>
      </c>
      <c r="B118">
        <f>'Monthly Data'!B118</f>
        <v>2025</v>
      </c>
      <c r="C118">
        <f>'Monthly Data'!C118</f>
        <v>9</v>
      </c>
      <c r="D118" s="3">
        <f ca="1">'Monthly Data'!BQ118</f>
        <v>31192892.882028393</v>
      </c>
      <c r="E118" s="3">
        <f>'Monthly Data'!CT118</f>
        <v>2.7291666666666696</v>
      </c>
      <c r="F118" s="3">
        <f>'Monthly Data'!CW118</f>
        <v>152.10833333333332</v>
      </c>
      <c r="G118" s="3">
        <f>'Monthly Data'!DQ118</f>
        <v>30</v>
      </c>
      <c r="H118" s="3">
        <f>'Monthly Data'!EJ118</f>
        <v>0</v>
      </c>
      <c r="I118">
        <f>'Monthly Data'!EF118</f>
        <v>1</v>
      </c>
      <c r="K118" s="3">
        <f t="shared" si="30"/>
        <v>13824899.391279301</v>
      </c>
      <c r="L118" s="3">
        <f t="shared" si="31"/>
        <v>21053.973226612659</v>
      </c>
      <c r="M118" s="3">
        <f t="shared" si="32"/>
        <v>2290854.0261795577</v>
      </c>
      <c r="N118" s="3">
        <f t="shared" si="33"/>
        <v>12395015.912061</v>
      </c>
      <c r="O118" s="3">
        <f t="shared" si="34"/>
        <v>0</v>
      </c>
      <c r="P118" s="3">
        <f t="shared" si="35"/>
        <v>0</v>
      </c>
      <c r="Q118" s="47">
        <f t="shared" si="40"/>
        <v>28531823.302746471</v>
      </c>
      <c r="R118" s="47">
        <f ca="1">'Monthly Data'!BR118+'Monthly Data'!BS118</f>
        <v>40242.8182432065</v>
      </c>
      <c r="S118" s="47">
        <f t="shared" ca="1" si="41"/>
        <v>28572066.120989677</v>
      </c>
      <c r="T118" s="47">
        <f t="shared" ca="1" si="42"/>
        <v>-2620826.7610387169</v>
      </c>
      <c r="U118" s="18">
        <f t="shared" ca="1" si="43"/>
        <v>8.4019996829107546E-2</v>
      </c>
    </row>
    <row r="119" spans="1:21">
      <c r="A119" s="2">
        <f>'Monthly Data'!A119</f>
        <v>45931</v>
      </c>
      <c r="B119">
        <f>'Monthly Data'!B119</f>
        <v>2025</v>
      </c>
      <c r="C119">
        <f>'Monthly Data'!C119</f>
        <v>10</v>
      </c>
      <c r="D119" s="3">
        <f ca="1">'Monthly Data'!BQ119</f>
        <v>31031142.482500292</v>
      </c>
      <c r="E119" s="3">
        <f>'Monthly Data'!CT119</f>
        <v>117.42083333333332</v>
      </c>
      <c r="F119" s="3">
        <f>'Monthly Data'!CW119</f>
        <v>44.091666666666669</v>
      </c>
      <c r="G119" s="3">
        <f>'Monthly Data'!DQ119</f>
        <v>31</v>
      </c>
      <c r="H119" s="3">
        <f>'Monthly Data'!EJ119</f>
        <v>0</v>
      </c>
      <c r="I119">
        <f>'Monthly Data'!EF119</f>
        <v>1</v>
      </c>
      <c r="K119" s="3">
        <f t="shared" si="30"/>
        <v>13824899.391279301</v>
      </c>
      <c r="L119" s="3">
        <f t="shared" si="31"/>
        <v>905835.14427354292</v>
      </c>
      <c r="M119" s="3">
        <f t="shared" si="32"/>
        <v>664050.21927990147</v>
      </c>
      <c r="N119" s="3">
        <f t="shared" si="33"/>
        <v>12808183.109129699</v>
      </c>
      <c r="O119" s="3">
        <f t="shared" si="34"/>
        <v>0</v>
      </c>
      <c r="P119" s="3">
        <f t="shared" si="35"/>
        <v>0</v>
      </c>
      <c r="Q119" s="47">
        <f t="shared" si="40"/>
        <v>28202967.863962445</v>
      </c>
      <c r="R119" s="47">
        <f ca="1">'Monthly Data'!BR119+'Monthly Data'!BS119</f>
        <v>72185.171558565431</v>
      </c>
      <c r="S119" s="47">
        <f t="shared" ca="1" si="41"/>
        <v>28275153.035521012</v>
      </c>
      <c r="T119" s="47">
        <f t="shared" ca="1" si="42"/>
        <v>-2755989.4469792806</v>
      </c>
      <c r="U119" s="18">
        <f t="shared" ca="1" si="43"/>
        <v>8.8813663516691135E-2</v>
      </c>
    </row>
    <row r="120" spans="1:21">
      <c r="A120" s="2">
        <f>'Monthly Data'!A120</f>
        <v>45962</v>
      </c>
      <c r="B120">
        <f>'Monthly Data'!B120</f>
        <v>2025</v>
      </c>
      <c r="C120">
        <f>'Monthly Data'!C120</f>
        <v>11</v>
      </c>
      <c r="D120" s="3">
        <f ca="1">'Monthly Data'!BQ120</f>
        <v>31333351.994109992</v>
      </c>
      <c r="E120" s="3">
        <f>'Monthly Data'!CT120</f>
        <v>340.61250000000007</v>
      </c>
      <c r="F120" s="3">
        <f>'Monthly Data'!CW120</f>
        <v>0</v>
      </c>
      <c r="G120" s="3">
        <f>'Monthly Data'!DQ120</f>
        <v>30</v>
      </c>
      <c r="H120" s="3">
        <f>'Monthly Data'!EJ120</f>
        <v>0</v>
      </c>
      <c r="I120">
        <f>'Monthly Data'!EF120</f>
        <v>1</v>
      </c>
      <c r="K120" s="3">
        <f t="shared" si="30"/>
        <v>13824899.391279301</v>
      </c>
      <c r="L120" s="3">
        <f t="shared" si="31"/>
        <v>2627632.2890929827</v>
      </c>
      <c r="M120" s="3">
        <f t="shared" si="32"/>
        <v>0</v>
      </c>
      <c r="N120" s="3">
        <f t="shared" si="33"/>
        <v>12395015.912061</v>
      </c>
      <c r="O120" s="3">
        <f t="shared" si="34"/>
        <v>0</v>
      </c>
      <c r="P120" s="3">
        <f t="shared" si="35"/>
        <v>0</v>
      </c>
      <c r="Q120" s="47">
        <f t="shared" si="40"/>
        <v>28847547.592433281</v>
      </c>
      <c r="R120" s="47">
        <f ca="1">'Monthly Data'!BR120+'Monthly Data'!BS120</f>
        <v>114001.0496350271</v>
      </c>
      <c r="S120" s="47">
        <f t="shared" ca="1" si="41"/>
        <v>28961548.642068308</v>
      </c>
      <c r="T120" s="47">
        <f t="shared" ca="1" si="42"/>
        <v>-2371803.3520416841</v>
      </c>
      <c r="U120" s="18">
        <f t="shared" ca="1" si="43"/>
        <v>7.5695806579759897E-2</v>
      </c>
    </row>
    <row r="121" spans="1:21">
      <c r="A121" s="2">
        <f>'Monthly Data'!A121</f>
        <v>45992</v>
      </c>
      <c r="B121">
        <f>'Monthly Data'!B121</f>
        <v>2025</v>
      </c>
      <c r="C121">
        <f>'Monthly Data'!C121</f>
        <v>12</v>
      </c>
      <c r="D121" s="3">
        <f ca="1">'Monthly Data'!BQ121</f>
        <v>34151503.663630225</v>
      </c>
      <c r="E121" s="3">
        <f>'Monthly Data'!CT121</f>
        <v>558.20000000000005</v>
      </c>
      <c r="F121" s="3">
        <f>'Monthly Data'!CW121</f>
        <v>0</v>
      </c>
      <c r="G121" s="3">
        <f>'Monthly Data'!DQ121</f>
        <v>31</v>
      </c>
      <c r="H121" s="3">
        <f>'Monthly Data'!EJ121</f>
        <v>0</v>
      </c>
      <c r="I121">
        <f>'Monthly Data'!EF121</f>
        <v>0</v>
      </c>
      <c r="K121" s="3">
        <f t="shared" si="30"/>
        <v>13824899.391279301</v>
      </c>
      <c r="L121" s="3">
        <f t="shared" si="31"/>
        <v>4306196.4659890719</v>
      </c>
      <c r="M121" s="3">
        <f t="shared" si="32"/>
        <v>0</v>
      </c>
      <c r="N121" s="3">
        <f t="shared" si="33"/>
        <v>12808183.109129699</v>
      </c>
      <c r="O121" s="3">
        <f t="shared" si="34"/>
        <v>0</v>
      </c>
      <c r="P121" s="3">
        <f t="shared" si="35"/>
        <v>0</v>
      </c>
      <c r="Q121" s="47">
        <f t="shared" si="40"/>
        <v>30939278.966398068</v>
      </c>
      <c r="R121" s="47">
        <f ca="1">'Monthly Data'!BR121+'Monthly Data'!BS121</f>
        <v>152575.39847851227</v>
      </c>
      <c r="S121" s="47">
        <f t="shared" ca="1" si="41"/>
        <v>31091854.364876579</v>
      </c>
      <c r="T121" s="47">
        <f t="shared" ca="1" si="42"/>
        <v>-3059649.2987536453</v>
      </c>
      <c r="U121" s="18">
        <f t="shared" ca="1" si="43"/>
        <v>8.9590471005000893E-2</v>
      </c>
    </row>
    <row r="122" spans="1:21">
      <c r="U122" s="17">
        <f ca="1">AVERAGE(U2:U120)</f>
        <v>3.0164573423322086E-2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DACEC-FB7D-4106-B09A-C863CAF2675E}">
  <sheetPr codeName="Sheet18">
    <tabColor theme="9" tint="0.79998168889431442"/>
  </sheetPr>
  <dimension ref="A1:Y122"/>
  <sheetViews>
    <sheetView topLeftCell="M19" workbookViewId="0">
      <selection activeCell="Z11" sqref="Z11"/>
    </sheetView>
  </sheetViews>
  <sheetFormatPr defaultRowHeight="14.5"/>
  <cols>
    <col min="4" max="4" width="24.81640625" customWidth="1"/>
    <col min="6" max="7" width="13.453125" style="3" customWidth="1"/>
    <col min="8" max="8" width="8.81640625" customWidth="1"/>
    <col min="9" max="9" width="13.81640625" bestFit="1" customWidth="1"/>
    <col min="10" max="10" width="11.1796875" bestFit="1" customWidth="1"/>
    <col min="11" max="12" width="13.453125" customWidth="1"/>
    <col min="13" max="15" width="12.54296875" customWidth="1"/>
    <col min="16" max="16" width="12" customWidth="1"/>
    <col min="21" max="21" width="13.81640625" bestFit="1" customWidth="1"/>
    <col min="22" max="22" width="12.81640625" bestFit="1" customWidth="1"/>
    <col min="23" max="23" width="13.81640625" bestFit="1" customWidth="1"/>
    <col min="24" max="24" width="8.81640625" bestFit="1" customWidth="1"/>
    <col min="25" max="25" width="10.453125" bestFit="1" customWidth="1"/>
  </cols>
  <sheetData>
    <row r="1" spans="1:24">
      <c r="A1" s="541" t="str">
        <f>'Monthly Data'!A1</f>
        <v>Date</v>
      </c>
      <c r="B1" s="541" t="str">
        <f>'Monthly Data'!B1</f>
        <v>Year</v>
      </c>
      <c r="C1" s="541" t="str">
        <f>'Monthly Data'!C1</f>
        <v>Month</v>
      </c>
      <c r="D1" s="541" t="str">
        <f>'Monthly Data'!BW1</f>
        <v>WRZ_GS3000to4999kWh_No_CDM</v>
      </c>
      <c r="E1" s="541" t="str">
        <f>'Monthly Data'!DQ1</f>
        <v>Month Days</v>
      </c>
      <c r="F1" s="541" t="str">
        <f>'Monthly Data'!CJ1</f>
        <v>WRZ_GS3000-4999Customers</v>
      </c>
      <c r="G1" s="541" t="str">
        <f>'Monthly Data'!ED1</f>
        <v>Dec</v>
      </c>
      <c r="H1" s="541"/>
      <c r="I1" s="541" t="str">
        <f>T8</f>
        <v>const</v>
      </c>
      <c r="J1" s="541" t="str">
        <f>E1</f>
        <v>Month Days</v>
      </c>
      <c r="K1" s="541" t="str">
        <f>F1</f>
        <v>WRZ_GS3000-4999Customers</v>
      </c>
      <c r="L1" s="541" t="str">
        <f>G1</f>
        <v>Dec</v>
      </c>
      <c r="M1" s="541" t="s">
        <v>293</v>
      </c>
      <c r="N1" s="541" t="s">
        <v>332</v>
      </c>
      <c r="O1" s="541" t="s">
        <v>333</v>
      </c>
      <c r="P1" s="541" t="s">
        <v>296</v>
      </c>
      <c r="Q1" s="541"/>
    </row>
    <row r="2" spans="1:24">
      <c r="A2" s="2">
        <f>'Monthly Data'!A2</f>
        <v>42370</v>
      </c>
      <c r="B2">
        <f>'Monthly Data'!B2</f>
        <v>2016</v>
      </c>
      <c r="C2">
        <f>'Monthly Data'!C2</f>
        <v>1</v>
      </c>
      <c r="D2" s="3">
        <f>'Monthly Data'!BW2</f>
        <v>5141689.2920646761</v>
      </c>
      <c r="E2" s="3">
        <f>'Monthly Data'!DQ2</f>
        <v>31</v>
      </c>
      <c r="F2" s="3">
        <f>'Monthly Data'!CJ2</f>
        <v>2</v>
      </c>
      <c r="G2" s="3">
        <f>'Monthly Data'!ED2</f>
        <v>0</v>
      </c>
      <c r="I2" s="3">
        <f t="shared" ref="I2:I33" si="0">$U$8</f>
        <v>-5182660.36787258</v>
      </c>
      <c r="J2" s="3">
        <f t="shared" ref="J2:J33" si="1">E2*$U$9</f>
        <v>5746871.2725865664</v>
      </c>
      <c r="K2" s="3">
        <f t="shared" ref="K2:K33" si="2">F2*$U$10</f>
        <v>4608785.2412954001</v>
      </c>
      <c r="L2" s="3">
        <f t="shared" ref="L2:L33" si="3">G2*$U$11</f>
        <v>0</v>
      </c>
      <c r="M2" s="47">
        <f t="shared" ref="M2:M42" si="4">SUM(I2:L2)</f>
        <v>5172996.1460093865</v>
      </c>
      <c r="N2" s="47">
        <f>'Monthly Data'!BX2</f>
        <v>0</v>
      </c>
      <c r="O2" s="47">
        <f t="shared" ref="O2:O42" si="5">M2+N2</f>
        <v>5172996.1460093865</v>
      </c>
      <c r="P2" s="47">
        <f t="shared" ref="P2:P42" si="6">O2-D2</f>
        <v>31306.853944710456</v>
      </c>
      <c r="Q2" s="18">
        <f t="shared" ref="Q2:Q9" si="7">ABS(P2/D2)</f>
        <v>6.0888264860786637E-3</v>
      </c>
    </row>
    <row r="3" spans="1:24">
      <c r="A3" s="2">
        <f>'Monthly Data'!A3</f>
        <v>42401</v>
      </c>
      <c r="B3">
        <f>'Monthly Data'!B3</f>
        <v>2016</v>
      </c>
      <c r="C3">
        <f>'Monthly Data'!C3</f>
        <v>2</v>
      </c>
      <c r="D3" s="3">
        <f>'Monthly Data'!BW3</f>
        <v>4809699.1898330748</v>
      </c>
      <c r="E3" s="3">
        <f>'Monthly Data'!DQ3</f>
        <v>29</v>
      </c>
      <c r="F3" s="3">
        <f>'Monthly Data'!CJ3</f>
        <v>2</v>
      </c>
      <c r="G3" s="3">
        <f>'Monthly Data'!ED3</f>
        <v>0</v>
      </c>
      <c r="I3" s="3">
        <f t="shared" si="0"/>
        <v>-5182660.36787258</v>
      </c>
      <c r="J3" s="3">
        <f t="shared" si="1"/>
        <v>5376105.384032594</v>
      </c>
      <c r="K3" s="3">
        <f t="shared" si="2"/>
        <v>4608785.2412954001</v>
      </c>
      <c r="L3" s="3">
        <f t="shared" si="3"/>
        <v>0</v>
      </c>
      <c r="M3" s="47">
        <f t="shared" si="4"/>
        <v>4802230.2574554142</v>
      </c>
      <c r="N3" s="47">
        <f>'Monthly Data'!BX3</f>
        <v>0</v>
      </c>
      <c r="O3" s="47">
        <f t="shared" si="5"/>
        <v>4802230.2574554142</v>
      </c>
      <c r="P3" s="47">
        <f t="shared" si="6"/>
        <v>-7468.932377660647</v>
      </c>
      <c r="Q3" s="18">
        <f t="shared" si="7"/>
        <v>1.5528897094955045E-3</v>
      </c>
      <c r="T3" s="651" t="s">
        <v>358</v>
      </c>
      <c r="U3" s="651"/>
      <c r="V3" s="651"/>
      <c r="W3" s="651"/>
      <c r="X3" s="651"/>
    </row>
    <row r="4" spans="1:24">
      <c r="A4" s="2">
        <f>'Monthly Data'!A4</f>
        <v>42430</v>
      </c>
      <c r="B4">
        <f>'Monthly Data'!B4</f>
        <v>2016</v>
      </c>
      <c r="C4">
        <f>'Monthly Data'!C4</f>
        <v>3</v>
      </c>
      <c r="D4" s="3">
        <f>'Monthly Data'!BW4</f>
        <v>5130404.1213526772</v>
      </c>
      <c r="E4" s="3">
        <f>'Monthly Data'!DQ4</f>
        <v>31</v>
      </c>
      <c r="F4" s="3">
        <f>'Monthly Data'!CJ4</f>
        <v>2</v>
      </c>
      <c r="G4" s="3">
        <f>'Monthly Data'!ED4</f>
        <v>0</v>
      </c>
      <c r="I4" s="3">
        <f t="shared" si="0"/>
        <v>-5182660.36787258</v>
      </c>
      <c r="J4" s="3">
        <f t="shared" si="1"/>
        <v>5746871.2725865664</v>
      </c>
      <c r="K4" s="3">
        <f t="shared" si="2"/>
        <v>4608785.2412954001</v>
      </c>
      <c r="L4" s="3">
        <f t="shared" si="3"/>
        <v>0</v>
      </c>
      <c r="M4" s="47">
        <f t="shared" si="4"/>
        <v>5172996.1460093865</v>
      </c>
      <c r="N4" s="47">
        <f>'Monthly Data'!BX4</f>
        <v>0</v>
      </c>
      <c r="O4" s="47">
        <f t="shared" si="5"/>
        <v>5172996.1460093865</v>
      </c>
      <c r="P4" s="47">
        <f t="shared" si="6"/>
        <v>42592.024656709284</v>
      </c>
      <c r="Q4" s="18">
        <f t="shared" si="7"/>
        <v>8.3018849293843757E-3</v>
      </c>
      <c r="T4" s="651" t="s">
        <v>359</v>
      </c>
      <c r="U4" s="651"/>
      <c r="V4" s="651"/>
      <c r="W4" s="651"/>
      <c r="X4" s="651"/>
    </row>
    <row r="5" spans="1:24">
      <c r="A5" s="2">
        <f>'Monthly Data'!A5</f>
        <v>42461</v>
      </c>
      <c r="B5">
        <f>'Monthly Data'!B5</f>
        <v>2016</v>
      </c>
      <c r="C5">
        <f>'Monthly Data'!C5</f>
        <v>4</v>
      </c>
      <c r="D5" s="3">
        <f>'Monthly Data'!BW5</f>
        <v>5035884.4723515455</v>
      </c>
      <c r="E5" s="3">
        <f>'Monthly Data'!DQ5</f>
        <v>30</v>
      </c>
      <c r="F5" s="3">
        <f>'Monthly Data'!CJ5</f>
        <v>2</v>
      </c>
      <c r="G5" s="3">
        <f>'Monthly Data'!ED5</f>
        <v>0</v>
      </c>
      <c r="I5" s="3">
        <f t="shared" si="0"/>
        <v>-5182660.36787258</v>
      </c>
      <c r="J5" s="3">
        <f t="shared" si="1"/>
        <v>5561488.3283095798</v>
      </c>
      <c r="K5" s="3">
        <f t="shared" si="2"/>
        <v>4608785.2412954001</v>
      </c>
      <c r="L5" s="3">
        <f t="shared" si="3"/>
        <v>0</v>
      </c>
      <c r="M5" s="47">
        <f t="shared" si="4"/>
        <v>4987613.2017323999</v>
      </c>
      <c r="N5" s="47">
        <f>'Monthly Data'!BX5</f>
        <v>0</v>
      </c>
      <c r="O5" s="47">
        <f t="shared" si="5"/>
        <v>4987613.2017323999</v>
      </c>
      <c r="P5" s="47">
        <f t="shared" si="6"/>
        <v>-48271.270619145595</v>
      </c>
      <c r="Q5" s="18">
        <f t="shared" si="7"/>
        <v>9.5854602869006947E-3</v>
      </c>
      <c r="T5" s="651" t="s">
        <v>360</v>
      </c>
      <c r="U5" s="651"/>
      <c r="V5" s="651"/>
      <c r="W5" s="651"/>
      <c r="X5" s="651"/>
    </row>
    <row r="6" spans="1:24">
      <c r="A6" s="2">
        <f>'Monthly Data'!A6</f>
        <v>42491</v>
      </c>
      <c r="B6">
        <f>'Monthly Data'!B6</f>
        <v>2016</v>
      </c>
      <c r="C6">
        <f>'Monthly Data'!C6</f>
        <v>5</v>
      </c>
      <c r="D6" s="3">
        <f>'Monthly Data'!BW6</f>
        <v>5183993.704739036</v>
      </c>
      <c r="E6" s="3">
        <f>'Monthly Data'!DQ6</f>
        <v>31</v>
      </c>
      <c r="F6" s="3">
        <f>'Monthly Data'!CJ6</f>
        <v>2</v>
      </c>
      <c r="G6" s="3">
        <f>'Monthly Data'!ED6</f>
        <v>0</v>
      </c>
      <c r="I6" s="3">
        <f t="shared" si="0"/>
        <v>-5182660.36787258</v>
      </c>
      <c r="J6" s="3">
        <f t="shared" si="1"/>
        <v>5746871.2725865664</v>
      </c>
      <c r="K6" s="3">
        <f t="shared" si="2"/>
        <v>4608785.2412954001</v>
      </c>
      <c r="L6" s="3">
        <f t="shared" si="3"/>
        <v>0</v>
      </c>
      <c r="M6" s="47">
        <f t="shared" si="4"/>
        <v>5172996.1460093865</v>
      </c>
      <c r="N6" s="47">
        <f>'Monthly Data'!BX6</f>
        <v>0</v>
      </c>
      <c r="O6" s="47">
        <f t="shared" si="5"/>
        <v>5172996.1460093865</v>
      </c>
      <c r="P6" s="47">
        <f t="shared" si="6"/>
        <v>-10997.558729649521</v>
      </c>
      <c r="Q6" s="18">
        <f t="shared" si="7"/>
        <v>2.121445232388287E-3</v>
      </c>
      <c r="T6" s="652"/>
      <c r="U6" s="652"/>
      <c r="V6" s="652"/>
      <c r="W6" s="652"/>
      <c r="X6" s="652"/>
    </row>
    <row r="7" spans="1:24">
      <c r="A7" s="2">
        <f>'Monthly Data'!A7</f>
        <v>42522</v>
      </c>
      <c r="B7">
        <f>'Monthly Data'!B7</f>
        <v>2016</v>
      </c>
      <c r="C7">
        <f>'Monthly Data'!C7</f>
        <v>6</v>
      </c>
      <c r="D7" s="3">
        <f>'Monthly Data'!BW7</f>
        <v>5038786.8233367484</v>
      </c>
      <c r="E7" s="3">
        <f>'Monthly Data'!DQ7</f>
        <v>30</v>
      </c>
      <c r="F7" s="3">
        <f>'Monthly Data'!CJ7</f>
        <v>2</v>
      </c>
      <c r="G7" s="3">
        <f>'Monthly Data'!ED7</f>
        <v>0</v>
      </c>
      <c r="I7" s="3">
        <f t="shared" si="0"/>
        <v>-5182660.36787258</v>
      </c>
      <c r="J7" s="3">
        <f t="shared" si="1"/>
        <v>5561488.3283095798</v>
      </c>
      <c r="K7" s="3">
        <f t="shared" si="2"/>
        <v>4608785.2412954001</v>
      </c>
      <c r="L7" s="3">
        <f t="shared" si="3"/>
        <v>0</v>
      </c>
      <c r="M7" s="47">
        <f t="shared" si="4"/>
        <v>4987613.2017323999</v>
      </c>
      <c r="N7" s="47">
        <f>'Monthly Data'!BX7</f>
        <v>0</v>
      </c>
      <c r="O7" s="47">
        <f t="shared" si="5"/>
        <v>4987613.2017323999</v>
      </c>
      <c r="P7" s="47">
        <f t="shared" si="6"/>
        <v>-51173.621604348533</v>
      </c>
      <c r="Q7" s="18">
        <f t="shared" si="7"/>
        <v>1.0155940983123536E-2</v>
      </c>
      <c r="T7" s="652"/>
      <c r="U7" s="652" t="s">
        <v>300</v>
      </c>
      <c r="V7" s="652" t="s">
        <v>301</v>
      </c>
      <c r="W7" s="652" t="s">
        <v>302</v>
      </c>
      <c r="X7" s="652" t="s">
        <v>303</v>
      </c>
    </row>
    <row r="8" spans="1:24">
      <c r="A8" s="2">
        <f>'Monthly Data'!A8</f>
        <v>42552</v>
      </c>
      <c r="B8">
        <f>'Monthly Data'!B8</f>
        <v>2016</v>
      </c>
      <c r="C8">
        <f>'Monthly Data'!C8</f>
        <v>7</v>
      </c>
      <c r="D8" s="3">
        <f>'Monthly Data'!BW8</f>
        <v>5334136.6439595334</v>
      </c>
      <c r="E8" s="3">
        <f>'Monthly Data'!DQ8</f>
        <v>31</v>
      </c>
      <c r="F8" s="3">
        <f>'Monthly Data'!CJ8</f>
        <v>2</v>
      </c>
      <c r="G8" s="3">
        <f>'Monthly Data'!ED8</f>
        <v>0</v>
      </c>
      <c r="I8" s="3">
        <f t="shared" si="0"/>
        <v>-5182660.36787258</v>
      </c>
      <c r="J8" s="3">
        <f t="shared" si="1"/>
        <v>5746871.2725865664</v>
      </c>
      <c r="K8" s="3">
        <f t="shared" si="2"/>
        <v>4608785.2412954001</v>
      </c>
      <c r="L8" s="3">
        <f t="shared" si="3"/>
        <v>0</v>
      </c>
      <c r="M8" s="47">
        <f t="shared" si="4"/>
        <v>5172996.1460093865</v>
      </c>
      <c r="N8" s="47">
        <f>'Monthly Data'!BX8</f>
        <v>0</v>
      </c>
      <c r="O8" s="47">
        <f t="shared" si="5"/>
        <v>5172996.1460093865</v>
      </c>
      <c r="P8" s="47">
        <f t="shared" si="6"/>
        <v>-161140.49795014691</v>
      </c>
      <c r="Q8" s="18">
        <f t="shared" si="7"/>
        <v>3.0209293219480068E-2</v>
      </c>
      <c r="T8" s="652" t="s">
        <v>304</v>
      </c>
      <c r="U8" s="654">
        <v>-5182660.36787258</v>
      </c>
      <c r="V8" s="654">
        <v>881968.17224075401</v>
      </c>
      <c r="W8" s="655">
        <v>-5.8762442126515397</v>
      </c>
      <c r="X8" s="656">
        <v>4.10460740519867E-8</v>
      </c>
    </row>
    <row r="9" spans="1:24">
      <c r="A9" s="2">
        <f>'Monthly Data'!A9</f>
        <v>42583</v>
      </c>
      <c r="B9">
        <f>'Monthly Data'!B9</f>
        <v>2016</v>
      </c>
      <c r="C9">
        <f>'Monthly Data'!C9</f>
        <v>8</v>
      </c>
      <c r="D9" s="3">
        <f>'Monthly Data'!BW9</f>
        <v>5472457.9399921549</v>
      </c>
      <c r="E9" s="3">
        <f>'Monthly Data'!DQ9</f>
        <v>31</v>
      </c>
      <c r="F9" s="3">
        <f>'Monthly Data'!CJ9</f>
        <v>2</v>
      </c>
      <c r="G9" s="3">
        <f>'Monthly Data'!ED9</f>
        <v>0</v>
      </c>
      <c r="I9" s="3">
        <f t="shared" si="0"/>
        <v>-5182660.36787258</v>
      </c>
      <c r="J9" s="3">
        <f t="shared" si="1"/>
        <v>5746871.2725865664</v>
      </c>
      <c r="K9" s="3">
        <f t="shared" si="2"/>
        <v>4608785.2412954001</v>
      </c>
      <c r="L9" s="3">
        <f t="shared" si="3"/>
        <v>0</v>
      </c>
      <c r="M9" s="47">
        <f t="shared" si="4"/>
        <v>5172996.1460093865</v>
      </c>
      <c r="N9" s="47">
        <f>'Monthly Data'!BX9</f>
        <v>0</v>
      </c>
      <c r="O9" s="47">
        <f t="shared" si="5"/>
        <v>5172996.1460093865</v>
      </c>
      <c r="P9" s="47">
        <f t="shared" si="6"/>
        <v>-299461.79398276843</v>
      </c>
      <c r="Q9" s="18">
        <f t="shared" si="7"/>
        <v>5.4721625504754033E-2</v>
      </c>
      <c r="T9" s="652" t="s">
        <v>305</v>
      </c>
      <c r="U9" s="654">
        <v>185382.944276986</v>
      </c>
      <c r="V9" s="654">
        <v>23844.0123094191</v>
      </c>
      <c r="W9" s="655">
        <v>7.7748216982656997</v>
      </c>
      <c r="X9" s="656">
        <v>3.3838046773107501E-12</v>
      </c>
    </row>
    <row r="10" spans="1:24">
      <c r="A10" s="2">
        <f>'Monthly Data'!A10</f>
        <v>42614</v>
      </c>
      <c r="B10">
        <f>'Monthly Data'!B10</f>
        <v>2016</v>
      </c>
      <c r="C10">
        <f>'Monthly Data'!C10</f>
        <v>9</v>
      </c>
      <c r="D10" s="3">
        <f>'Monthly Data'!BW10</f>
        <v>5238661.4443179285</v>
      </c>
      <c r="E10" s="3">
        <f>'Monthly Data'!DQ10</f>
        <v>30</v>
      </c>
      <c r="F10" s="3">
        <f>'Monthly Data'!CJ10</f>
        <v>2</v>
      </c>
      <c r="G10" s="3">
        <f>'Monthly Data'!ED10</f>
        <v>0</v>
      </c>
      <c r="I10" s="3">
        <f t="shared" si="0"/>
        <v>-5182660.36787258</v>
      </c>
      <c r="J10" s="3">
        <f t="shared" si="1"/>
        <v>5561488.3283095798</v>
      </c>
      <c r="K10" s="3">
        <f t="shared" si="2"/>
        <v>4608785.2412954001</v>
      </c>
      <c r="L10" s="3">
        <f t="shared" si="3"/>
        <v>0</v>
      </c>
      <c r="M10" s="47">
        <f t="shared" si="4"/>
        <v>4987613.2017323999</v>
      </c>
      <c r="N10" s="47">
        <f>'Monthly Data'!BX10</f>
        <v>0</v>
      </c>
      <c r="O10" s="47">
        <f t="shared" si="5"/>
        <v>4987613.2017323999</v>
      </c>
      <c r="P10" s="47">
        <f t="shared" si="6"/>
        <v>-251048.24258552864</v>
      </c>
      <c r="Q10" s="18">
        <f t="shared" ref="Q10:Q41" si="8">ABS(P10/D10)</f>
        <v>4.7922211666842122E-2</v>
      </c>
      <c r="T10" s="652" t="s">
        <v>361</v>
      </c>
      <c r="U10" s="654">
        <v>2304392.6206477</v>
      </c>
      <c r="V10" s="654">
        <v>179978.3221475</v>
      </c>
      <c r="W10" s="655">
        <v>12.803723210393899</v>
      </c>
      <c r="X10" s="656">
        <v>6.18894740207189E-24</v>
      </c>
    </row>
    <row r="11" spans="1:24">
      <c r="A11" s="2">
        <f>'Monthly Data'!A11</f>
        <v>42644</v>
      </c>
      <c r="B11">
        <f>'Monthly Data'!B11</f>
        <v>2016</v>
      </c>
      <c r="C11">
        <f>'Monthly Data'!C11</f>
        <v>10</v>
      </c>
      <c r="D11" s="3">
        <f>'Monthly Data'!BW11</f>
        <v>5260263.3382290453</v>
      </c>
      <c r="E11" s="3">
        <f>'Monthly Data'!DQ11</f>
        <v>31</v>
      </c>
      <c r="F11" s="3">
        <f>'Monthly Data'!CJ11</f>
        <v>2</v>
      </c>
      <c r="G11" s="3">
        <f>'Monthly Data'!ED11</f>
        <v>0</v>
      </c>
      <c r="I11" s="3">
        <f t="shared" si="0"/>
        <v>-5182660.36787258</v>
      </c>
      <c r="J11" s="3">
        <f t="shared" si="1"/>
        <v>5746871.2725865664</v>
      </c>
      <c r="K11" s="3">
        <f t="shared" si="2"/>
        <v>4608785.2412954001</v>
      </c>
      <c r="L11" s="3">
        <f t="shared" si="3"/>
        <v>0</v>
      </c>
      <c r="M11" s="47">
        <f t="shared" si="4"/>
        <v>5172996.1460093865</v>
      </c>
      <c r="N11" s="47">
        <f>'Monthly Data'!BX11</f>
        <v>0</v>
      </c>
      <c r="O11" s="47">
        <f t="shared" si="5"/>
        <v>5172996.1460093865</v>
      </c>
      <c r="P11" s="47">
        <f t="shared" si="6"/>
        <v>-87267.192219658755</v>
      </c>
      <c r="Q11" s="18">
        <f t="shared" si="8"/>
        <v>1.6589890393023308E-2</v>
      </c>
      <c r="T11" s="652" t="s">
        <v>158</v>
      </c>
      <c r="U11" s="654">
        <v>-145191.56089796999</v>
      </c>
      <c r="V11" s="654">
        <v>81370.179182195294</v>
      </c>
      <c r="W11" s="655">
        <v>-1.78433379841616</v>
      </c>
      <c r="X11" s="656">
        <v>7.6983674702275698E-2</v>
      </c>
    </row>
    <row r="12" spans="1:24">
      <c r="A12" s="2">
        <f>'Monthly Data'!A12</f>
        <v>42675</v>
      </c>
      <c r="B12">
        <f>'Monthly Data'!B12</f>
        <v>2016</v>
      </c>
      <c r="C12">
        <f>'Monthly Data'!C12</f>
        <v>11</v>
      </c>
      <c r="D12" s="3">
        <f>'Monthly Data'!BW12</f>
        <v>4992603.8049463341</v>
      </c>
      <c r="E12" s="3">
        <f>'Monthly Data'!DQ12</f>
        <v>30</v>
      </c>
      <c r="F12" s="3">
        <f>'Monthly Data'!CJ12</f>
        <v>2</v>
      </c>
      <c r="G12" s="3">
        <f>'Monthly Data'!ED12</f>
        <v>0</v>
      </c>
      <c r="I12" s="3">
        <f t="shared" si="0"/>
        <v>-5182660.36787258</v>
      </c>
      <c r="J12" s="3">
        <f t="shared" si="1"/>
        <v>5561488.3283095798</v>
      </c>
      <c r="K12" s="3">
        <f t="shared" si="2"/>
        <v>4608785.2412954001</v>
      </c>
      <c r="L12" s="3">
        <f t="shared" si="3"/>
        <v>0</v>
      </c>
      <c r="M12" s="47">
        <f t="shared" si="4"/>
        <v>4987613.2017323999</v>
      </c>
      <c r="N12" s="47">
        <f>'Monthly Data'!BX12</f>
        <v>0</v>
      </c>
      <c r="O12" s="47">
        <f t="shared" si="5"/>
        <v>4987613.2017323999</v>
      </c>
      <c r="P12" s="47">
        <f t="shared" si="6"/>
        <v>-4990.6032139342278</v>
      </c>
      <c r="Q12" s="18">
        <f t="shared" si="8"/>
        <v>9.9959928905030983E-4</v>
      </c>
      <c r="T12" s="652"/>
      <c r="U12" s="654"/>
      <c r="V12" s="654"/>
      <c r="W12" s="655"/>
      <c r="X12" s="663"/>
    </row>
    <row r="13" spans="1:24">
      <c r="A13" s="2">
        <f>'Monthly Data'!A13</f>
        <v>42705</v>
      </c>
      <c r="B13">
        <f>'Monthly Data'!B13</f>
        <v>2016</v>
      </c>
      <c r="C13">
        <f>'Monthly Data'!C13</f>
        <v>12</v>
      </c>
      <c r="D13" s="3">
        <f>'Monthly Data'!BW13</f>
        <v>4898980.9351158887</v>
      </c>
      <c r="E13" s="3">
        <f>'Monthly Data'!DQ13</f>
        <v>31</v>
      </c>
      <c r="F13" s="3">
        <f>'Monthly Data'!CJ13</f>
        <v>2</v>
      </c>
      <c r="G13" s="3">
        <f>'Monthly Data'!ED13</f>
        <v>1</v>
      </c>
      <c r="I13" s="3">
        <f t="shared" si="0"/>
        <v>-5182660.36787258</v>
      </c>
      <c r="J13" s="3">
        <f t="shared" si="1"/>
        <v>5746871.2725865664</v>
      </c>
      <c r="K13" s="3">
        <f t="shared" si="2"/>
        <v>4608785.2412954001</v>
      </c>
      <c r="L13" s="3">
        <f t="shared" si="3"/>
        <v>-145191.56089796999</v>
      </c>
      <c r="M13" s="47">
        <f t="shared" si="4"/>
        <v>5027804.5851114169</v>
      </c>
      <c r="N13" s="47">
        <f>'Monthly Data'!BX13</f>
        <v>0</v>
      </c>
      <c r="O13" s="47">
        <f t="shared" si="5"/>
        <v>5027804.5851114169</v>
      </c>
      <c r="P13" s="47">
        <f t="shared" si="6"/>
        <v>128823.64999552816</v>
      </c>
      <c r="Q13" s="18">
        <f t="shared" si="8"/>
        <v>2.6296009660319437E-2</v>
      </c>
      <c r="T13" s="657" t="s">
        <v>306</v>
      </c>
      <c r="U13" s="658"/>
      <c r="V13" s="658"/>
      <c r="W13" s="659"/>
    </row>
    <row r="14" spans="1:24">
      <c r="A14" s="2">
        <f>'Monthly Data'!A14</f>
        <v>42736</v>
      </c>
      <c r="B14">
        <f>'Monthly Data'!B14</f>
        <v>2017</v>
      </c>
      <c r="C14">
        <f>'Monthly Data'!C14</f>
        <v>1</v>
      </c>
      <c r="D14" s="3">
        <f>'Monthly Data'!BW14</f>
        <v>5119997.4039993146</v>
      </c>
      <c r="E14" s="3">
        <f>'Monthly Data'!DQ14</f>
        <v>31</v>
      </c>
      <c r="F14" s="3">
        <f>'Monthly Data'!CJ14</f>
        <v>2</v>
      </c>
      <c r="G14" s="3">
        <f>'Monthly Data'!ED14</f>
        <v>0</v>
      </c>
      <c r="I14" s="3">
        <f t="shared" si="0"/>
        <v>-5182660.36787258</v>
      </c>
      <c r="J14" s="3">
        <f t="shared" si="1"/>
        <v>5746871.2725865664</v>
      </c>
      <c r="K14" s="3">
        <f t="shared" si="2"/>
        <v>4608785.2412954001</v>
      </c>
      <c r="L14" s="3">
        <f t="shared" si="3"/>
        <v>0</v>
      </c>
      <c r="M14" s="47">
        <f t="shared" si="4"/>
        <v>5172996.1460093865</v>
      </c>
      <c r="N14" s="47">
        <f>'Monthly Data'!BX14</f>
        <v>13.949153846153845</v>
      </c>
      <c r="O14" s="47">
        <f t="shared" si="5"/>
        <v>5173010.0951632326</v>
      </c>
      <c r="P14" s="47">
        <f t="shared" si="6"/>
        <v>53012.691163918003</v>
      </c>
      <c r="Q14" s="18">
        <f t="shared" si="8"/>
        <v>1.0354046492779257E-2</v>
      </c>
      <c r="T14" s="652" t="s">
        <v>307</v>
      </c>
      <c r="U14" s="660">
        <v>10207926476987.9</v>
      </c>
      <c r="V14" s="652" t="s">
        <v>308</v>
      </c>
      <c r="W14" s="654">
        <v>296646.87118007801</v>
      </c>
    </row>
    <row r="15" spans="1:24">
      <c r="A15" s="2">
        <f>'Monthly Data'!A15</f>
        <v>42767</v>
      </c>
      <c r="B15">
        <f>'Monthly Data'!B15</f>
        <v>2017</v>
      </c>
      <c r="C15">
        <f>'Monthly Data'!C15</f>
        <v>2</v>
      </c>
      <c r="D15" s="3">
        <f>'Monthly Data'!BW15</f>
        <v>4601619.7228876669</v>
      </c>
      <c r="E15" s="3">
        <f>'Monthly Data'!DQ15</f>
        <v>28</v>
      </c>
      <c r="F15" s="3">
        <f>'Monthly Data'!CJ15</f>
        <v>2</v>
      </c>
      <c r="G15" s="3">
        <f>'Monthly Data'!ED15</f>
        <v>0</v>
      </c>
      <c r="I15" s="3">
        <f t="shared" si="0"/>
        <v>-5182660.36787258</v>
      </c>
      <c r="J15" s="3">
        <f t="shared" si="1"/>
        <v>5190722.4397556083</v>
      </c>
      <c r="K15" s="3">
        <f t="shared" si="2"/>
        <v>4608785.2412954001</v>
      </c>
      <c r="L15" s="3">
        <f t="shared" si="3"/>
        <v>0</v>
      </c>
      <c r="M15" s="47">
        <f t="shared" si="4"/>
        <v>4616847.3131784284</v>
      </c>
      <c r="N15" s="47">
        <f>'Monthly Data'!BX15</f>
        <v>27.898307692307689</v>
      </c>
      <c r="O15" s="47">
        <f t="shared" si="5"/>
        <v>4616875.2114861207</v>
      </c>
      <c r="P15" s="47">
        <f t="shared" si="6"/>
        <v>15255.488598453812</v>
      </c>
      <c r="Q15" s="18">
        <f t="shared" si="8"/>
        <v>3.3152432224191905E-3</v>
      </c>
      <c r="T15" s="652" t="s">
        <v>309</v>
      </c>
      <c r="U15" s="661">
        <v>0.91819398783426798</v>
      </c>
      <c r="V15" s="652" t="s">
        <v>310</v>
      </c>
      <c r="W15" s="661">
        <v>0.91607831510584303</v>
      </c>
    </row>
    <row r="16" spans="1:24">
      <c r="A16" s="2">
        <f>'Monthly Data'!A16</f>
        <v>42795</v>
      </c>
      <c r="B16">
        <f>'Monthly Data'!B16</f>
        <v>2017</v>
      </c>
      <c r="C16">
        <f>'Monthly Data'!C16</f>
        <v>3</v>
      </c>
      <c r="D16" s="3">
        <f>'Monthly Data'!BW16</f>
        <v>5259281.1449582772</v>
      </c>
      <c r="E16" s="3">
        <f>'Monthly Data'!DQ16</f>
        <v>31</v>
      </c>
      <c r="F16" s="3">
        <f>'Monthly Data'!CJ16</f>
        <v>2</v>
      </c>
      <c r="G16" s="3">
        <f>'Monthly Data'!ED16</f>
        <v>0</v>
      </c>
      <c r="I16" s="3">
        <f t="shared" si="0"/>
        <v>-5182660.36787258</v>
      </c>
      <c r="J16" s="3">
        <f t="shared" si="1"/>
        <v>5746871.2725865664</v>
      </c>
      <c r="K16" s="3">
        <f t="shared" si="2"/>
        <v>4608785.2412954001</v>
      </c>
      <c r="L16" s="3">
        <f t="shared" si="3"/>
        <v>0</v>
      </c>
      <c r="M16" s="47">
        <f t="shared" si="4"/>
        <v>5172996.1460093865</v>
      </c>
      <c r="N16" s="47">
        <f>'Monthly Data'!BX16</f>
        <v>41.847461538461538</v>
      </c>
      <c r="O16" s="47">
        <f t="shared" si="5"/>
        <v>5173037.9934709249</v>
      </c>
      <c r="P16" s="47">
        <f t="shared" si="6"/>
        <v>-86243.151487352327</v>
      </c>
      <c r="Q16" s="18">
        <f t="shared" si="8"/>
        <v>1.6398277466118709E-2</v>
      </c>
      <c r="T16" s="652" t="s">
        <v>344</v>
      </c>
      <c r="U16" s="655">
        <v>77.002505762947095</v>
      </c>
      <c r="V16" s="652" t="s">
        <v>312</v>
      </c>
      <c r="W16" s="661">
        <v>1.7756171833593401E-27</v>
      </c>
    </row>
    <row r="17" spans="1:23">
      <c r="A17" s="2">
        <f>'Monthly Data'!A17</f>
        <v>42826</v>
      </c>
      <c r="B17">
        <f>'Monthly Data'!B17</f>
        <v>2017</v>
      </c>
      <c r="C17">
        <f>'Monthly Data'!C17</f>
        <v>4</v>
      </c>
      <c r="D17" s="3">
        <f>'Monthly Data'!BW17</f>
        <v>5084683.9074339001</v>
      </c>
      <c r="E17" s="3">
        <f>'Monthly Data'!DQ17</f>
        <v>30</v>
      </c>
      <c r="F17" s="3">
        <f>'Monthly Data'!CJ17</f>
        <v>2</v>
      </c>
      <c r="G17" s="3">
        <f>'Monthly Data'!ED17</f>
        <v>0</v>
      </c>
      <c r="I17" s="3">
        <f t="shared" si="0"/>
        <v>-5182660.36787258</v>
      </c>
      <c r="J17" s="3">
        <f t="shared" si="1"/>
        <v>5561488.3283095798</v>
      </c>
      <c r="K17" s="3">
        <f t="shared" si="2"/>
        <v>4608785.2412954001</v>
      </c>
      <c r="L17" s="3">
        <f t="shared" si="3"/>
        <v>0</v>
      </c>
      <c r="M17" s="47">
        <f t="shared" si="4"/>
        <v>4987613.2017323999</v>
      </c>
      <c r="N17" s="47">
        <f>'Monthly Data'!BX17</f>
        <v>55.796615384615379</v>
      </c>
      <c r="O17" s="47">
        <f t="shared" si="5"/>
        <v>4987668.9983477844</v>
      </c>
      <c r="P17" s="47">
        <f t="shared" si="6"/>
        <v>-97014.909086115658</v>
      </c>
      <c r="Q17" s="18">
        <f t="shared" si="8"/>
        <v>1.9079830890623917E-2</v>
      </c>
      <c r="T17" s="652" t="s">
        <v>313</v>
      </c>
      <c r="U17" s="661">
        <v>-8.88325895705524E-2</v>
      </c>
      <c r="V17" s="652" t="s">
        <v>314</v>
      </c>
      <c r="W17" s="661">
        <v>2.09941116589756</v>
      </c>
    </row>
    <row r="18" spans="1:23">
      <c r="A18" s="2">
        <f>'Monthly Data'!A18</f>
        <v>42856</v>
      </c>
      <c r="B18">
        <f>'Monthly Data'!B18</f>
        <v>2017</v>
      </c>
      <c r="C18">
        <f>'Monthly Data'!C18</f>
        <v>5</v>
      </c>
      <c r="D18" s="3">
        <f>'Monthly Data'!BW18</f>
        <v>5243483.5551554263</v>
      </c>
      <c r="E18" s="3">
        <f>'Monthly Data'!DQ18</f>
        <v>31</v>
      </c>
      <c r="F18" s="3">
        <f>'Monthly Data'!CJ18</f>
        <v>2</v>
      </c>
      <c r="G18" s="3">
        <f>'Monthly Data'!ED18</f>
        <v>0</v>
      </c>
      <c r="I18" s="3">
        <f t="shared" si="0"/>
        <v>-5182660.36787258</v>
      </c>
      <c r="J18" s="3">
        <f t="shared" si="1"/>
        <v>5746871.2725865664</v>
      </c>
      <c r="K18" s="3">
        <f t="shared" si="2"/>
        <v>4608785.2412954001</v>
      </c>
      <c r="L18" s="3">
        <f t="shared" si="3"/>
        <v>0</v>
      </c>
      <c r="M18" s="47">
        <f t="shared" si="4"/>
        <v>5172996.1460093865</v>
      </c>
      <c r="N18" s="47">
        <f>'Monthly Data'!BX18</f>
        <v>69.745769230769227</v>
      </c>
      <c r="O18" s="47">
        <f t="shared" si="5"/>
        <v>5173065.8917786172</v>
      </c>
      <c r="P18" s="47">
        <f t="shared" si="6"/>
        <v>-70417.663376809098</v>
      </c>
      <c r="Q18" s="18">
        <f t="shared" si="8"/>
        <v>1.34295573994075E-2</v>
      </c>
    </row>
    <row r="19" spans="1:23">
      <c r="A19" s="2">
        <f>'Monthly Data'!A19</f>
        <v>42887</v>
      </c>
      <c r="B19">
        <f>'Monthly Data'!B19</f>
        <v>2017</v>
      </c>
      <c r="C19">
        <f>'Monthly Data'!C19</f>
        <v>6</v>
      </c>
      <c r="D19" s="3">
        <f>'Monthly Data'!BW19</f>
        <v>5046822.5760688521</v>
      </c>
      <c r="E19" s="3">
        <f>'Monthly Data'!DQ19</f>
        <v>30</v>
      </c>
      <c r="F19" s="3">
        <f>'Monthly Data'!CJ19</f>
        <v>2</v>
      </c>
      <c r="G19" s="3">
        <f>'Monthly Data'!ED19</f>
        <v>0</v>
      </c>
      <c r="I19" s="3">
        <f t="shared" si="0"/>
        <v>-5182660.36787258</v>
      </c>
      <c r="J19" s="3">
        <f t="shared" si="1"/>
        <v>5561488.3283095798</v>
      </c>
      <c r="K19" s="3">
        <f t="shared" si="2"/>
        <v>4608785.2412954001</v>
      </c>
      <c r="L19" s="3">
        <f t="shared" si="3"/>
        <v>0</v>
      </c>
      <c r="M19" s="47">
        <f t="shared" si="4"/>
        <v>4987613.2017323999</v>
      </c>
      <c r="N19" s="47">
        <f>'Monthly Data'!BX19</f>
        <v>83.694923076923075</v>
      </c>
      <c r="O19" s="47">
        <f t="shared" si="5"/>
        <v>4987696.8966554767</v>
      </c>
      <c r="P19" s="47">
        <f t="shared" si="6"/>
        <v>-59125.679413375445</v>
      </c>
      <c r="Q19" s="18">
        <f t="shared" si="8"/>
        <v>1.1715426592117394E-2</v>
      </c>
      <c r="T19" s="657" t="s">
        <v>315</v>
      </c>
      <c r="U19" s="658"/>
      <c r="V19" s="658"/>
      <c r="W19" s="659"/>
    </row>
    <row r="20" spans="1:23">
      <c r="A20" s="2">
        <f>'Monthly Data'!A20</f>
        <v>42917</v>
      </c>
      <c r="B20">
        <f>'Monthly Data'!B20</f>
        <v>2017</v>
      </c>
      <c r="C20">
        <f>'Monthly Data'!C20</f>
        <v>7</v>
      </c>
      <c r="D20" s="3">
        <f>'Monthly Data'!BW20</f>
        <v>5118068.3086505514</v>
      </c>
      <c r="E20" s="3">
        <f>'Monthly Data'!DQ20</f>
        <v>31</v>
      </c>
      <c r="F20" s="3">
        <f>'Monthly Data'!CJ20</f>
        <v>2</v>
      </c>
      <c r="G20" s="3">
        <f>'Monthly Data'!ED20</f>
        <v>0</v>
      </c>
      <c r="I20" s="3">
        <f t="shared" si="0"/>
        <v>-5182660.36787258</v>
      </c>
      <c r="J20" s="3">
        <f t="shared" si="1"/>
        <v>5746871.2725865664</v>
      </c>
      <c r="K20" s="3">
        <f t="shared" si="2"/>
        <v>4608785.2412954001</v>
      </c>
      <c r="L20" s="3">
        <f t="shared" si="3"/>
        <v>0</v>
      </c>
      <c r="M20" s="47">
        <f t="shared" si="4"/>
        <v>5172996.1460093865</v>
      </c>
      <c r="N20" s="47">
        <f>'Monthly Data'!BX20</f>
        <v>97.644076923076909</v>
      </c>
      <c r="O20" s="47">
        <f t="shared" si="5"/>
        <v>5173093.7900863094</v>
      </c>
      <c r="P20" s="47">
        <f t="shared" si="6"/>
        <v>55025.481435758062</v>
      </c>
      <c r="Q20" s="18">
        <f t="shared" si="8"/>
        <v>1.075122060070087E-2</v>
      </c>
      <c r="T20" s="652" t="s">
        <v>316</v>
      </c>
      <c r="U20" s="654">
        <v>6781348.46242812</v>
      </c>
      <c r="V20" s="652" t="s">
        <v>317</v>
      </c>
      <c r="W20" s="654">
        <v>1023952.9753280201</v>
      </c>
    </row>
    <row r="21" spans="1:23">
      <c r="A21" s="2">
        <f>'Monthly Data'!A21</f>
        <v>42948</v>
      </c>
      <c r="B21">
        <f>'Monthly Data'!B21</f>
        <v>2017</v>
      </c>
      <c r="C21">
        <f>'Monthly Data'!C21</f>
        <v>8</v>
      </c>
      <c r="D21" s="3">
        <f>'Monthly Data'!BW21</f>
        <v>5211369.4607115174</v>
      </c>
      <c r="E21" s="3">
        <f>'Monthly Data'!DQ21</f>
        <v>31</v>
      </c>
      <c r="F21" s="3">
        <f>'Monthly Data'!CJ21</f>
        <v>2</v>
      </c>
      <c r="G21" s="3">
        <f>'Monthly Data'!ED21</f>
        <v>0</v>
      </c>
      <c r="I21" s="3">
        <f t="shared" si="0"/>
        <v>-5182660.36787258</v>
      </c>
      <c r="J21" s="3">
        <f t="shared" si="1"/>
        <v>5746871.2725865664</v>
      </c>
      <c r="K21" s="3">
        <f t="shared" si="2"/>
        <v>4608785.2412954001</v>
      </c>
      <c r="L21" s="3">
        <f t="shared" si="3"/>
        <v>0</v>
      </c>
      <c r="M21" s="47">
        <f t="shared" si="4"/>
        <v>5172996.1460093865</v>
      </c>
      <c r="N21" s="47">
        <f>'Monthly Data'!BX21</f>
        <v>111.59323076923076</v>
      </c>
      <c r="O21" s="47">
        <f t="shared" si="5"/>
        <v>5173107.7392401556</v>
      </c>
      <c r="P21" s="47">
        <f t="shared" si="6"/>
        <v>-38261.721471361816</v>
      </c>
      <c r="Q21" s="18">
        <f t="shared" si="8"/>
        <v>7.341970620163606E-3</v>
      </c>
      <c r="U21" s="99"/>
      <c r="W21" s="99"/>
    </row>
    <row r="22" spans="1:23">
      <c r="A22" s="2">
        <f>'Monthly Data'!A22</f>
        <v>42979</v>
      </c>
      <c r="B22">
        <f>'Monthly Data'!B22</f>
        <v>2017</v>
      </c>
      <c r="C22">
        <f>'Monthly Data'!C22</f>
        <v>9</v>
      </c>
      <c r="D22" s="3">
        <f>'Monthly Data'!BW22</f>
        <v>5099602.7342768228</v>
      </c>
      <c r="E22" s="3">
        <f>'Monthly Data'!DQ22</f>
        <v>30</v>
      </c>
      <c r="F22" s="3">
        <f>'Monthly Data'!CJ22</f>
        <v>2</v>
      </c>
      <c r="G22" s="3">
        <f>'Monthly Data'!ED22</f>
        <v>0</v>
      </c>
      <c r="I22" s="3">
        <f t="shared" si="0"/>
        <v>-5182660.36787258</v>
      </c>
      <c r="J22" s="3">
        <f t="shared" si="1"/>
        <v>5561488.3283095798</v>
      </c>
      <c r="K22" s="3">
        <f t="shared" si="2"/>
        <v>4608785.2412954001</v>
      </c>
      <c r="L22" s="3">
        <f t="shared" si="3"/>
        <v>0</v>
      </c>
      <c r="M22" s="47">
        <f t="shared" si="4"/>
        <v>4987613.2017323999</v>
      </c>
      <c r="N22" s="47">
        <f>'Monthly Data'!BX22</f>
        <v>125.54238461538459</v>
      </c>
      <c r="O22" s="47">
        <f t="shared" si="5"/>
        <v>4987738.744117015</v>
      </c>
      <c r="P22" s="47">
        <f t="shared" si="6"/>
        <v>-111863.99015980773</v>
      </c>
      <c r="Q22" s="18">
        <f t="shared" si="8"/>
        <v>2.1935824413913139E-2</v>
      </c>
    </row>
    <row r="23" spans="1:23">
      <c r="A23" s="2">
        <f>'Monthly Data'!A23</f>
        <v>43009</v>
      </c>
      <c r="B23">
        <f>'Monthly Data'!B23</f>
        <v>2017</v>
      </c>
      <c r="C23">
        <f>'Monthly Data'!C23</f>
        <v>10</v>
      </c>
      <c r="D23" s="3">
        <f>'Monthly Data'!BW23</f>
        <v>5235669.247957848</v>
      </c>
      <c r="E23" s="3">
        <f>'Monthly Data'!DQ23</f>
        <v>31</v>
      </c>
      <c r="F23" s="3">
        <f>'Monthly Data'!CJ23</f>
        <v>2</v>
      </c>
      <c r="G23" s="3">
        <f>'Monthly Data'!ED23</f>
        <v>0</v>
      </c>
      <c r="I23" s="3">
        <f t="shared" si="0"/>
        <v>-5182660.36787258</v>
      </c>
      <c r="J23" s="3">
        <f t="shared" si="1"/>
        <v>5746871.2725865664</v>
      </c>
      <c r="K23" s="3">
        <f t="shared" si="2"/>
        <v>4608785.2412954001</v>
      </c>
      <c r="L23" s="3">
        <f t="shared" si="3"/>
        <v>0</v>
      </c>
      <c r="M23" s="47">
        <f t="shared" si="4"/>
        <v>5172996.1460093865</v>
      </c>
      <c r="N23" s="47">
        <f>'Monthly Data'!BX23</f>
        <v>139.49153846153845</v>
      </c>
      <c r="O23" s="47">
        <f t="shared" si="5"/>
        <v>5173135.6375478478</v>
      </c>
      <c r="P23" s="47">
        <f t="shared" si="6"/>
        <v>-62533.610410000198</v>
      </c>
      <c r="Q23" s="18">
        <f t="shared" si="8"/>
        <v>1.1943766393263132E-2</v>
      </c>
    </row>
    <row r="24" spans="1:23">
      <c r="A24" s="2">
        <f>'Monthly Data'!A24</f>
        <v>43040</v>
      </c>
      <c r="B24">
        <f>'Monthly Data'!B24</f>
        <v>2017</v>
      </c>
      <c r="C24">
        <f>'Monthly Data'!C24</f>
        <v>11</v>
      </c>
      <c r="D24" s="3">
        <f>'Monthly Data'!BW24</f>
        <v>5088964.4887362672</v>
      </c>
      <c r="E24" s="3">
        <f>'Monthly Data'!DQ24</f>
        <v>30</v>
      </c>
      <c r="F24" s="3">
        <f>'Monthly Data'!CJ24</f>
        <v>2</v>
      </c>
      <c r="G24" s="3">
        <f>'Monthly Data'!ED24</f>
        <v>0</v>
      </c>
      <c r="I24" s="3">
        <f t="shared" si="0"/>
        <v>-5182660.36787258</v>
      </c>
      <c r="J24" s="3">
        <f t="shared" si="1"/>
        <v>5561488.3283095798</v>
      </c>
      <c r="K24" s="3">
        <f t="shared" si="2"/>
        <v>4608785.2412954001</v>
      </c>
      <c r="L24" s="3">
        <f t="shared" si="3"/>
        <v>0</v>
      </c>
      <c r="M24" s="47">
        <f t="shared" si="4"/>
        <v>4987613.2017323999</v>
      </c>
      <c r="N24" s="47">
        <f>'Monthly Data'!BX24</f>
        <v>153.44069230769227</v>
      </c>
      <c r="O24" s="47">
        <f t="shared" si="5"/>
        <v>4987766.6424247073</v>
      </c>
      <c r="P24" s="47">
        <f t="shared" si="6"/>
        <v>-101197.8463115599</v>
      </c>
      <c r="Q24" s="18">
        <f t="shared" si="8"/>
        <v>1.9885744248274401E-2</v>
      </c>
      <c r="U24" s="3"/>
      <c r="W24" s="3"/>
    </row>
    <row r="25" spans="1:23">
      <c r="A25" s="2">
        <f>'Monthly Data'!A25</f>
        <v>43070</v>
      </c>
      <c r="B25">
        <f>'Monthly Data'!B25</f>
        <v>2017</v>
      </c>
      <c r="C25">
        <f>'Monthly Data'!C25</f>
        <v>12</v>
      </c>
      <c r="D25" s="3">
        <f>'Monthly Data'!BW25</f>
        <v>4788159.170208999</v>
      </c>
      <c r="E25" s="3">
        <f>'Monthly Data'!DQ25</f>
        <v>31</v>
      </c>
      <c r="F25" s="3">
        <f>'Monthly Data'!CJ25</f>
        <v>2</v>
      </c>
      <c r="G25" s="3">
        <f>'Monthly Data'!ED25</f>
        <v>1</v>
      </c>
      <c r="I25" s="3">
        <f t="shared" si="0"/>
        <v>-5182660.36787258</v>
      </c>
      <c r="J25" s="3">
        <f t="shared" si="1"/>
        <v>5746871.2725865664</v>
      </c>
      <c r="K25" s="3">
        <f t="shared" si="2"/>
        <v>4608785.2412954001</v>
      </c>
      <c r="L25" s="3">
        <f t="shared" si="3"/>
        <v>-145191.56089796999</v>
      </c>
      <c r="M25" s="47">
        <f t="shared" si="4"/>
        <v>5027804.5851114169</v>
      </c>
      <c r="N25" s="47">
        <f>'Monthly Data'!BX25</f>
        <v>167.38984615384615</v>
      </c>
      <c r="O25" s="47">
        <f t="shared" si="5"/>
        <v>5027971.9749575704</v>
      </c>
      <c r="P25" s="47">
        <f t="shared" si="6"/>
        <v>239812.80474857148</v>
      </c>
      <c r="Q25" s="18">
        <f t="shared" si="8"/>
        <v>5.0084551541360697E-2</v>
      </c>
    </row>
    <row r="26" spans="1:23">
      <c r="A26" s="2">
        <f>'Monthly Data'!A26</f>
        <v>43101</v>
      </c>
      <c r="B26">
        <f>'Monthly Data'!B26</f>
        <v>2018</v>
      </c>
      <c r="C26">
        <f>'Monthly Data'!C26</f>
        <v>1</v>
      </c>
      <c r="D26" s="3">
        <f>'Monthly Data'!BW26</f>
        <v>5177918.4467225913</v>
      </c>
      <c r="E26" s="3">
        <f>'Monthly Data'!DQ26</f>
        <v>31</v>
      </c>
      <c r="F26" s="3">
        <f>'Monthly Data'!CJ26</f>
        <v>2.0833333333333335</v>
      </c>
      <c r="G26" s="3">
        <f>'Monthly Data'!ED26</f>
        <v>0</v>
      </c>
      <c r="I26" s="3">
        <f t="shared" si="0"/>
        <v>-5182660.36787258</v>
      </c>
      <c r="J26" s="3">
        <f t="shared" si="1"/>
        <v>5746871.2725865664</v>
      </c>
      <c r="K26" s="3">
        <f t="shared" si="2"/>
        <v>4800817.9596827086</v>
      </c>
      <c r="L26" s="3">
        <f t="shared" si="3"/>
        <v>0</v>
      </c>
      <c r="M26" s="47">
        <f t="shared" si="4"/>
        <v>5365028.864396695</v>
      </c>
      <c r="N26" s="47">
        <f>'Monthly Data'!BX26</f>
        <v>196.25644871794873</v>
      </c>
      <c r="O26" s="47">
        <f t="shared" si="5"/>
        <v>5365225.1208454128</v>
      </c>
      <c r="P26" s="47">
        <f t="shared" si="6"/>
        <v>187306.67412282154</v>
      </c>
      <c r="Q26" s="18">
        <f t="shared" si="8"/>
        <v>3.6174125963953516E-2</v>
      </c>
    </row>
    <row r="27" spans="1:23">
      <c r="A27" s="2">
        <f>'Monthly Data'!A27</f>
        <v>43132</v>
      </c>
      <c r="B27">
        <f>'Monthly Data'!B27</f>
        <v>2018</v>
      </c>
      <c r="C27">
        <f>'Monthly Data'!C27</f>
        <v>2</v>
      </c>
      <c r="D27" s="3">
        <f>'Monthly Data'!BW27</f>
        <v>4743168.4120744802</v>
      </c>
      <c r="E27" s="3">
        <f>'Monthly Data'!DQ27</f>
        <v>28</v>
      </c>
      <c r="F27" s="3">
        <f>'Monthly Data'!CJ27</f>
        <v>2.166666666666667</v>
      </c>
      <c r="G27" s="3">
        <f>'Monthly Data'!ED27</f>
        <v>0</v>
      </c>
      <c r="I27" s="3">
        <f t="shared" si="0"/>
        <v>-5182660.36787258</v>
      </c>
      <c r="J27" s="3">
        <f t="shared" si="1"/>
        <v>5190722.4397556083</v>
      </c>
      <c r="K27" s="3">
        <f t="shared" si="2"/>
        <v>4992850.6780700171</v>
      </c>
      <c r="L27" s="3">
        <f t="shared" si="3"/>
        <v>0</v>
      </c>
      <c r="M27" s="47">
        <f t="shared" si="4"/>
        <v>5000912.7499530455</v>
      </c>
      <c r="N27" s="47">
        <f>'Monthly Data'!BX27</f>
        <v>211.17389743589746</v>
      </c>
      <c r="O27" s="47">
        <f t="shared" si="5"/>
        <v>5001123.9238504814</v>
      </c>
      <c r="P27" s="47">
        <f t="shared" si="6"/>
        <v>257955.51177600119</v>
      </c>
      <c r="Q27" s="18">
        <f t="shared" si="8"/>
        <v>5.43846411017865E-2</v>
      </c>
    </row>
    <row r="28" spans="1:23">
      <c r="A28" s="2">
        <f>'Monthly Data'!A28</f>
        <v>43160</v>
      </c>
      <c r="B28">
        <f>'Monthly Data'!B28</f>
        <v>2018</v>
      </c>
      <c r="C28">
        <f>'Monthly Data'!C28</f>
        <v>3</v>
      </c>
      <c r="D28" s="3">
        <f>'Monthly Data'!BW28</f>
        <v>4925871.3668188471</v>
      </c>
      <c r="E28" s="3">
        <f>'Monthly Data'!DQ28</f>
        <v>31</v>
      </c>
      <c r="F28" s="3">
        <f>'Monthly Data'!CJ28</f>
        <v>2.2500000000000004</v>
      </c>
      <c r="G28" s="3">
        <f>'Monthly Data'!ED28</f>
        <v>0</v>
      </c>
      <c r="I28" s="3">
        <f t="shared" si="0"/>
        <v>-5182660.36787258</v>
      </c>
      <c r="J28" s="3">
        <f t="shared" si="1"/>
        <v>5746871.2725865664</v>
      </c>
      <c r="K28" s="3">
        <f t="shared" si="2"/>
        <v>5184883.3964573257</v>
      </c>
      <c r="L28" s="3">
        <f t="shared" si="3"/>
        <v>0</v>
      </c>
      <c r="M28" s="47">
        <f t="shared" si="4"/>
        <v>5749094.3011713121</v>
      </c>
      <c r="N28" s="47">
        <f>'Monthly Data'!BX28</f>
        <v>226.09134615384616</v>
      </c>
      <c r="O28" s="47">
        <f t="shared" si="5"/>
        <v>5749320.3925174661</v>
      </c>
      <c r="P28" s="47">
        <f t="shared" si="6"/>
        <v>823449.02569861896</v>
      </c>
      <c r="Q28" s="18">
        <f t="shared" si="8"/>
        <v>0.16716819510258679</v>
      </c>
    </row>
    <row r="29" spans="1:23">
      <c r="A29" s="2">
        <f>'Monthly Data'!A29</f>
        <v>43191</v>
      </c>
      <c r="B29">
        <f>'Monthly Data'!B29</f>
        <v>2018</v>
      </c>
      <c r="C29">
        <f>'Monthly Data'!C29</f>
        <v>4</v>
      </c>
      <c r="D29" s="3">
        <f>'Monthly Data'!BW29</f>
        <v>6426291.0235882867</v>
      </c>
      <c r="E29" s="3">
        <f>'Monthly Data'!DQ29</f>
        <v>30</v>
      </c>
      <c r="F29" s="3">
        <f>'Monthly Data'!CJ29</f>
        <v>2.3333333333333339</v>
      </c>
      <c r="G29" s="3">
        <f>'Monthly Data'!ED29</f>
        <v>0</v>
      </c>
      <c r="I29" s="3">
        <f t="shared" si="0"/>
        <v>-5182660.36787258</v>
      </c>
      <c r="J29" s="3">
        <f t="shared" si="1"/>
        <v>5561488.3283095798</v>
      </c>
      <c r="K29" s="3">
        <f t="shared" si="2"/>
        <v>5376916.1148446351</v>
      </c>
      <c r="L29" s="3">
        <f t="shared" si="3"/>
        <v>0</v>
      </c>
      <c r="M29" s="47">
        <f t="shared" si="4"/>
        <v>5755744.0752816349</v>
      </c>
      <c r="N29" s="47">
        <f>'Monthly Data'!BX29</f>
        <v>241.00879487179489</v>
      </c>
      <c r="O29" s="47">
        <f t="shared" si="5"/>
        <v>5755985.084076507</v>
      </c>
      <c r="P29" s="47">
        <f t="shared" si="6"/>
        <v>-670305.9395117797</v>
      </c>
      <c r="Q29" s="18">
        <f t="shared" si="8"/>
        <v>0.10430681353386591</v>
      </c>
    </row>
    <row r="30" spans="1:23">
      <c r="A30" s="2">
        <f>'Monthly Data'!A30</f>
        <v>43221</v>
      </c>
      <c r="B30">
        <f>'Monthly Data'!B30</f>
        <v>2018</v>
      </c>
      <c r="C30">
        <f>'Monthly Data'!C30</f>
        <v>5</v>
      </c>
      <c r="D30" s="3">
        <f>'Monthly Data'!BW30</f>
        <v>5941563.32259495</v>
      </c>
      <c r="E30" s="3">
        <f>'Monthly Data'!DQ30</f>
        <v>31</v>
      </c>
      <c r="F30" s="3">
        <f>'Monthly Data'!CJ30</f>
        <v>2.4166666666666674</v>
      </c>
      <c r="G30" s="3">
        <f>'Monthly Data'!ED30</f>
        <v>0</v>
      </c>
      <c r="I30" s="3">
        <f t="shared" si="0"/>
        <v>-5182660.36787258</v>
      </c>
      <c r="J30" s="3">
        <f t="shared" si="1"/>
        <v>5746871.2725865664</v>
      </c>
      <c r="K30" s="3">
        <f t="shared" si="2"/>
        <v>5568948.8332319437</v>
      </c>
      <c r="L30" s="3">
        <f t="shared" si="3"/>
        <v>0</v>
      </c>
      <c r="M30" s="47">
        <f t="shared" si="4"/>
        <v>6133159.7379459301</v>
      </c>
      <c r="N30" s="47">
        <f>'Monthly Data'!BX30</f>
        <v>255.92624358974359</v>
      </c>
      <c r="O30" s="47">
        <f t="shared" si="5"/>
        <v>6133415.6641895203</v>
      </c>
      <c r="P30" s="47">
        <f t="shared" si="6"/>
        <v>191852.34159457032</v>
      </c>
      <c r="Q30" s="18">
        <f t="shared" si="8"/>
        <v>3.2289875774778362E-2</v>
      </c>
    </row>
    <row r="31" spans="1:23">
      <c r="A31" s="2">
        <f>'Monthly Data'!A31</f>
        <v>43252</v>
      </c>
      <c r="B31">
        <f>'Monthly Data'!B31</f>
        <v>2018</v>
      </c>
      <c r="C31">
        <f>'Monthly Data'!C31</f>
        <v>6</v>
      </c>
      <c r="D31" s="3">
        <f>'Monthly Data'!BW31</f>
        <v>6220112.2464810722</v>
      </c>
      <c r="E31" s="3">
        <f>'Monthly Data'!DQ31</f>
        <v>30</v>
      </c>
      <c r="F31" s="3">
        <f>'Monthly Data'!CJ31</f>
        <v>2.5000000000000009</v>
      </c>
      <c r="G31" s="3">
        <f>'Monthly Data'!ED31</f>
        <v>0</v>
      </c>
      <c r="I31" s="3">
        <f t="shared" si="0"/>
        <v>-5182660.36787258</v>
      </c>
      <c r="J31" s="3">
        <f t="shared" si="1"/>
        <v>5561488.3283095798</v>
      </c>
      <c r="K31" s="3">
        <f t="shared" si="2"/>
        <v>5760981.5516192522</v>
      </c>
      <c r="L31" s="3">
        <f t="shared" si="3"/>
        <v>0</v>
      </c>
      <c r="M31" s="47">
        <f t="shared" si="4"/>
        <v>6139809.512056252</v>
      </c>
      <c r="N31" s="47">
        <f>'Monthly Data'!BX31</f>
        <v>270.84369230769232</v>
      </c>
      <c r="O31" s="47">
        <f t="shared" si="5"/>
        <v>6140080.3557485593</v>
      </c>
      <c r="P31" s="47">
        <f t="shared" si="6"/>
        <v>-80031.890732512809</v>
      </c>
      <c r="Q31" s="18">
        <f t="shared" si="8"/>
        <v>1.2866631269843973E-2</v>
      </c>
    </row>
    <row r="32" spans="1:23">
      <c r="A32" s="2">
        <f>'Monthly Data'!A32</f>
        <v>43282</v>
      </c>
      <c r="B32">
        <f>'Monthly Data'!B32</f>
        <v>2018</v>
      </c>
      <c r="C32">
        <f>'Monthly Data'!C32</f>
        <v>7</v>
      </c>
      <c r="D32" s="3">
        <f>'Monthly Data'!BW32</f>
        <v>6392674.0440412536</v>
      </c>
      <c r="E32" s="3">
        <f>'Monthly Data'!DQ32</f>
        <v>31</v>
      </c>
      <c r="F32" s="3">
        <f>'Monthly Data'!CJ32</f>
        <v>2.5833333333333344</v>
      </c>
      <c r="G32" s="3">
        <f>'Monthly Data'!ED32</f>
        <v>0</v>
      </c>
      <c r="I32" s="3">
        <f t="shared" si="0"/>
        <v>-5182660.36787258</v>
      </c>
      <c r="J32" s="3">
        <f t="shared" si="1"/>
        <v>5746871.2725865664</v>
      </c>
      <c r="K32" s="3">
        <f t="shared" si="2"/>
        <v>5953014.2700065607</v>
      </c>
      <c r="L32" s="3">
        <f t="shared" si="3"/>
        <v>0</v>
      </c>
      <c r="M32" s="47">
        <f t="shared" si="4"/>
        <v>6517225.1747205472</v>
      </c>
      <c r="N32" s="47">
        <f>'Monthly Data'!BX32</f>
        <v>285.761141025641</v>
      </c>
      <c r="O32" s="47">
        <f t="shared" si="5"/>
        <v>6517510.9358615726</v>
      </c>
      <c r="P32" s="47">
        <f t="shared" si="6"/>
        <v>124836.891820319</v>
      </c>
      <c r="Q32" s="18">
        <f t="shared" si="8"/>
        <v>1.9528117804892945E-2</v>
      </c>
    </row>
    <row r="33" spans="1:17">
      <c r="A33" s="2">
        <f>'Monthly Data'!A33</f>
        <v>43313</v>
      </c>
      <c r="B33">
        <f>'Monthly Data'!B33</f>
        <v>2018</v>
      </c>
      <c r="C33">
        <f>'Monthly Data'!C33</f>
        <v>8</v>
      </c>
      <c r="D33" s="3">
        <f>'Monthly Data'!BW33</f>
        <v>6364814.3179755919</v>
      </c>
      <c r="E33" s="3">
        <f>'Monthly Data'!DQ33</f>
        <v>31</v>
      </c>
      <c r="F33" s="3">
        <f>'Monthly Data'!CJ33</f>
        <v>2.6666666666666679</v>
      </c>
      <c r="G33" s="3">
        <f>'Monthly Data'!ED33</f>
        <v>0</v>
      </c>
      <c r="I33" s="3">
        <f t="shared" si="0"/>
        <v>-5182660.36787258</v>
      </c>
      <c r="J33" s="3">
        <f t="shared" si="1"/>
        <v>5746871.2725865664</v>
      </c>
      <c r="K33" s="3">
        <f t="shared" si="2"/>
        <v>6145046.9883938693</v>
      </c>
      <c r="L33" s="3">
        <f t="shared" si="3"/>
        <v>0</v>
      </c>
      <c r="M33" s="47">
        <f t="shared" si="4"/>
        <v>6709257.8931078557</v>
      </c>
      <c r="N33" s="47">
        <f>'Monthly Data'!BX33</f>
        <v>300.67858974358973</v>
      </c>
      <c r="O33" s="47">
        <f t="shared" si="5"/>
        <v>6709558.5716975993</v>
      </c>
      <c r="P33" s="47">
        <f t="shared" si="6"/>
        <v>344744.25372200739</v>
      </c>
      <c r="Q33" s="18">
        <f t="shared" si="8"/>
        <v>5.4164070858811413E-2</v>
      </c>
    </row>
    <row r="34" spans="1:17">
      <c r="A34" s="2">
        <f>'Monthly Data'!A34</f>
        <v>43344</v>
      </c>
      <c r="B34">
        <f>'Monthly Data'!B34</f>
        <v>2018</v>
      </c>
      <c r="C34">
        <f>'Monthly Data'!C34</f>
        <v>9</v>
      </c>
      <c r="D34" s="3">
        <f>'Monthly Data'!BW34</f>
        <v>6465049.1435010592</v>
      </c>
      <c r="E34" s="3">
        <f>'Monthly Data'!DQ34</f>
        <v>30</v>
      </c>
      <c r="F34" s="3">
        <f>'Monthly Data'!CJ34</f>
        <v>2.7500000000000013</v>
      </c>
      <c r="G34" s="3">
        <f>'Monthly Data'!ED34</f>
        <v>0</v>
      </c>
      <c r="I34" s="3">
        <f t="shared" ref="I34:I65" si="9">$U$8</f>
        <v>-5182660.36787258</v>
      </c>
      <c r="J34" s="3">
        <f t="shared" ref="J34:J65" si="10">E34*$U$9</f>
        <v>5561488.3283095798</v>
      </c>
      <c r="K34" s="3">
        <f t="shared" ref="K34:K65" si="11">F34*$U$10</f>
        <v>6337079.7067811778</v>
      </c>
      <c r="L34" s="3">
        <f t="shared" ref="L34:L65" si="12">G34*$U$11</f>
        <v>0</v>
      </c>
      <c r="M34" s="47">
        <f t="shared" si="4"/>
        <v>6715907.6672181776</v>
      </c>
      <c r="N34" s="47">
        <f>'Monthly Data'!BX34</f>
        <v>315.59603846153846</v>
      </c>
      <c r="O34" s="47">
        <f t="shared" si="5"/>
        <v>6716223.2632566392</v>
      </c>
      <c r="P34" s="47">
        <f t="shared" si="6"/>
        <v>251174.11975558009</v>
      </c>
      <c r="Q34" s="18">
        <f t="shared" si="8"/>
        <v>3.8851076640008364E-2</v>
      </c>
    </row>
    <row r="35" spans="1:17">
      <c r="A35" s="2">
        <f>'Monthly Data'!A35</f>
        <v>43374</v>
      </c>
      <c r="B35">
        <f>'Monthly Data'!B35</f>
        <v>2018</v>
      </c>
      <c r="C35">
        <f>'Monthly Data'!C35</f>
        <v>10</v>
      </c>
      <c r="D35" s="3">
        <f>'Monthly Data'!BW35</f>
        <v>6295344.9429898821</v>
      </c>
      <c r="E35" s="3">
        <f>'Monthly Data'!DQ35</f>
        <v>31</v>
      </c>
      <c r="F35" s="3">
        <f>'Monthly Data'!CJ35</f>
        <v>2.8333333333333348</v>
      </c>
      <c r="G35" s="3">
        <f>'Monthly Data'!ED35</f>
        <v>0</v>
      </c>
      <c r="I35" s="3">
        <f t="shared" si="9"/>
        <v>-5182660.36787258</v>
      </c>
      <c r="J35" s="3">
        <f t="shared" si="10"/>
        <v>5746871.2725865664</v>
      </c>
      <c r="K35" s="3">
        <f t="shared" si="11"/>
        <v>6529112.4251684872</v>
      </c>
      <c r="L35" s="3">
        <f t="shared" si="12"/>
        <v>0</v>
      </c>
      <c r="M35" s="47">
        <f t="shared" si="4"/>
        <v>7093323.3298824737</v>
      </c>
      <c r="N35" s="47">
        <f>'Monthly Data'!BX35</f>
        <v>330.51348717948713</v>
      </c>
      <c r="O35" s="47">
        <f t="shared" si="5"/>
        <v>7093653.8433696534</v>
      </c>
      <c r="P35" s="47">
        <f t="shared" si="6"/>
        <v>798308.90037977137</v>
      </c>
      <c r="Q35" s="18">
        <f t="shared" si="8"/>
        <v>0.12680939767545546</v>
      </c>
    </row>
    <row r="36" spans="1:17">
      <c r="A36" s="2">
        <f>'Monthly Data'!A36</f>
        <v>43405</v>
      </c>
      <c r="B36">
        <f>'Monthly Data'!B36</f>
        <v>2018</v>
      </c>
      <c r="C36">
        <f>'Monthly Data'!C36</f>
        <v>11</v>
      </c>
      <c r="D36" s="3">
        <f>'Monthly Data'!BW36</f>
        <v>6641521.1474931687</v>
      </c>
      <c r="E36" s="3">
        <f>'Monthly Data'!DQ36</f>
        <v>30</v>
      </c>
      <c r="F36" s="3">
        <f>'Monthly Data'!CJ36</f>
        <v>2.9166666666666683</v>
      </c>
      <c r="G36" s="3">
        <f>'Monthly Data'!ED36</f>
        <v>0</v>
      </c>
      <c r="I36" s="3">
        <f t="shared" si="9"/>
        <v>-5182660.36787258</v>
      </c>
      <c r="J36" s="3">
        <f t="shared" si="10"/>
        <v>5561488.3283095798</v>
      </c>
      <c r="K36" s="3">
        <f t="shared" si="11"/>
        <v>6721145.1435557958</v>
      </c>
      <c r="L36" s="3">
        <f t="shared" si="12"/>
        <v>0</v>
      </c>
      <c r="M36" s="47">
        <f t="shared" si="4"/>
        <v>7099973.1039927956</v>
      </c>
      <c r="N36" s="47">
        <f>'Monthly Data'!BX36</f>
        <v>345.43093589743592</v>
      </c>
      <c r="O36" s="47">
        <f t="shared" si="5"/>
        <v>7100318.5349286934</v>
      </c>
      <c r="P36" s="47">
        <f t="shared" si="6"/>
        <v>458797.38743552472</v>
      </c>
      <c r="Q36" s="18">
        <f t="shared" si="8"/>
        <v>6.9080166613441712E-2</v>
      </c>
    </row>
    <row r="37" spans="1:17">
      <c r="A37" s="2">
        <f>'Monthly Data'!A37</f>
        <v>43435</v>
      </c>
      <c r="B37">
        <f>'Monthly Data'!B37</f>
        <v>2018</v>
      </c>
      <c r="C37">
        <f>'Monthly Data'!C37</f>
        <v>12</v>
      </c>
      <c r="D37" s="3">
        <f>'Monthly Data'!BW37</f>
        <v>6850341.4503571112</v>
      </c>
      <c r="E37" s="3">
        <f>'Monthly Data'!DQ37</f>
        <v>31</v>
      </c>
      <c r="F37" s="3">
        <f>'Monthly Data'!CJ37</f>
        <v>3</v>
      </c>
      <c r="G37" s="3">
        <f>'Monthly Data'!ED37</f>
        <v>1</v>
      </c>
      <c r="I37" s="3">
        <f t="shared" si="9"/>
        <v>-5182660.36787258</v>
      </c>
      <c r="J37" s="3">
        <f t="shared" si="10"/>
        <v>5746871.2725865664</v>
      </c>
      <c r="K37" s="3">
        <f t="shared" si="11"/>
        <v>6913177.8619430996</v>
      </c>
      <c r="L37" s="3">
        <f t="shared" si="12"/>
        <v>-145191.56089796999</v>
      </c>
      <c r="M37" s="47">
        <f t="shared" si="4"/>
        <v>7332197.2057591164</v>
      </c>
      <c r="N37" s="47">
        <f>'Monthly Data'!BX37</f>
        <v>360.34838461538459</v>
      </c>
      <c r="O37" s="47">
        <f t="shared" si="5"/>
        <v>7332557.5541437315</v>
      </c>
      <c r="P37" s="47">
        <f t="shared" si="6"/>
        <v>482216.10378662031</v>
      </c>
      <c r="Q37" s="18">
        <f t="shared" si="8"/>
        <v>7.0393002638062988E-2</v>
      </c>
    </row>
    <row r="38" spans="1:17">
      <c r="A38" s="2">
        <f>'Monthly Data'!A38</f>
        <v>43466</v>
      </c>
      <c r="B38">
        <f>'Monthly Data'!B38</f>
        <v>2019</v>
      </c>
      <c r="C38">
        <f>'Monthly Data'!C38</f>
        <v>1</v>
      </c>
      <c r="D38" s="3">
        <f>'Monthly Data'!BW38</f>
        <v>6907801.7869382352</v>
      </c>
      <c r="E38" s="3">
        <f>'Monthly Data'!DQ38</f>
        <v>31</v>
      </c>
      <c r="F38" s="3">
        <f>'Monthly Data'!CJ38</f>
        <v>3</v>
      </c>
      <c r="G38" s="3">
        <f>'Monthly Data'!ED38</f>
        <v>0</v>
      </c>
      <c r="I38" s="3">
        <f t="shared" si="9"/>
        <v>-5182660.36787258</v>
      </c>
      <c r="J38" s="3">
        <f t="shared" si="10"/>
        <v>5746871.2725865664</v>
      </c>
      <c r="K38" s="3">
        <f t="shared" si="11"/>
        <v>6913177.8619430996</v>
      </c>
      <c r="L38" s="3">
        <f t="shared" si="12"/>
        <v>0</v>
      </c>
      <c r="M38" s="47">
        <f t="shared" si="4"/>
        <v>7477388.7666570861</v>
      </c>
      <c r="N38" s="47">
        <f>'Monthly Data'!BX38</f>
        <v>384.09134615384619</v>
      </c>
      <c r="O38" s="47">
        <f t="shared" si="5"/>
        <v>7477772.8580032401</v>
      </c>
      <c r="P38" s="47">
        <f t="shared" si="6"/>
        <v>569971.07106500491</v>
      </c>
      <c r="Q38" s="18">
        <f t="shared" si="8"/>
        <v>8.2511208144788822E-2</v>
      </c>
    </row>
    <row r="39" spans="1:17">
      <c r="A39" s="2">
        <f>'Monthly Data'!A39</f>
        <v>43497</v>
      </c>
      <c r="B39">
        <f>'Monthly Data'!B39</f>
        <v>2019</v>
      </c>
      <c r="C39">
        <f>'Monthly Data'!C39</f>
        <v>2</v>
      </c>
      <c r="D39" s="3">
        <f>'Monthly Data'!BW39</f>
        <v>6478625.9176253611</v>
      </c>
      <c r="E39" s="3">
        <f>'Monthly Data'!DQ39</f>
        <v>28</v>
      </c>
      <c r="F39" s="3">
        <f>'Monthly Data'!CJ39</f>
        <v>3</v>
      </c>
      <c r="G39" s="3">
        <f>'Monthly Data'!ED39</f>
        <v>0</v>
      </c>
      <c r="I39" s="3">
        <f t="shared" si="9"/>
        <v>-5182660.36787258</v>
      </c>
      <c r="J39" s="3">
        <f t="shared" si="10"/>
        <v>5190722.4397556083</v>
      </c>
      <c r="K39" s="3">
        <f t="shared" si="11"/>
        <v>6913177.8619430996</v>
      </c>
      <c r="L39" s="3">
        <f t="shared" si="12"/>
        <v>0</v>
      </c>
      <c r="M39" s="47">
        <f t="shared" si="4"/>
        <v>6921239.933826128</v>
      </c>
      <c r="N39" s="47">
        <f>'Monthly Data'!BX39</f>
        <v>392.916858974359</v>
      </c>
      <c r="O39" s="47">
        <f t="shared" si="5"/>
        <v>6921632.8506851019</v>
      </c>
      <c r="P39" s="47">
        <f t="shared" si="6"/>
        <v>443006.93305974081</v>
      </c>
      <c r="Q39" s="18">
        <f t="shared" si="8"/>
        <v>6.8379767360008045E-2</v>
      </c>
    </row>
    <row r="40" spans="1:17">
      <c r="A40" s="2">
        <f>'Monthly Data'!A40</f>
        <v>43525</v>
      </c>
      <c r="B40">
        <f>'Monthly Data'!B40</f>
        <v>2019</v>
      </c>
      <c r="C40">
        <f>'Monthly Data'!C40</f>
        <v>3</v>
      </c>
      <c r="D40" s="3">
        <f>'Monthly Data'!BW40</f>
        <v>7028510.2122469144</v>
      </c>
      <c r="E40" s="3">
        <f>'Monthly Data'!DQ40</f>
        <v>31</v>
      </c>
      <c r="F40" s="3">
        <f>'Monthly Data'!CJ40</f>
        <v>3</v>
      </c>
      <c r="G40" s="3">
        <f>'Monthly Data'!ED40</f>
        <v>0</v>
      </c>
      <c r="I40" s="3">
        <f t="shared" si="9"/>
        <v>-5182660.36787258</v>
      </c>
      <c r="J40" s="3">
        <f t="shared" si="10"/>
        <v>5746871.2725865664</v>
      </c>
      <c r="K40" s="3">
        <f t="shared" si="11"/>
        <v>6913177.8619430996</v>
      </c>
      <c r="L40" s="3">
        <f t="shared" si="12"/>
        <v>0</v>
      </c>
      <c r="M40" s="47">
        <f t="shared" si="4"/>
        <v>7477388.7666570861</v>
      </c>
      <c r="N40" s="47">
        <f>'Monthly Data'!BX40</f>
        <v>401.74237179487181</v>
      </c>
      <c r="O40" s="47">
        <f t="shared" si="5"/>
        <v>7477790.5090288809</v>
      </c>
      <c r="P40" s="47">
        <f t="shared" si="6"/>
        <v>449280.29678196646</v>
      </c>
      <c r="Q40" s="18">
        <f t="shared" si="8"/>
        <v>6.3922550186967422E-2</v>
      </c>
    </row>
    <row r="41" spans="1:17">
      <c r="A41" s="2">
        <f>'Monthly Data'!A41</f>
        <v>43556</v>
      </c>
      <c r="B41">
        <f>'Monthly Data'!B41</f>
        <v>2019</v>
      </c>
      <c r="C41">
        <f>'Monthly Data'!C41</f>
        <v>4</v>
      </c>
      <c r="D41" s="3">
        <f>'Monthly Data'!BW41</f>
        <v>6635792.0382088702</v>
      </c>
      <c r="E41" s="3">
        <f>'Monthly Data'!DQ41</f>
        <v>30</v>
      </c>
      <c r="F41" s="3">
        <f>'Monthly Data'!CJ41</f>
        <v>3</v>
      </c>
      <c r="G41" s="3">
        <f>'Monthly Data'!ED41</f>
        <v>0</v>
      </c>
      <c r="I41" s="3">
        <f t="shared" si="9"/>
        <v>-5182660.36787258</v>
      </c>
      <c r="J41" s="3">
        <f t="shared" si="10"/>
        <v>5561488.3283095798</v>
      </c>
      <c r="K41" s="3">
        <f t="shared" si="11"/>
        <v>6913177.8619430996</v>
      </c>
      <c r="L41" s="3">
        <f t="shared" si="12"/>
        <v>0</v>
      </c>
      <c r="M41" s="47">
        <f t="shared" si="4"/>
        <v>7292005.8223800994</v>
      </c>
      <c r="N41" s="47">
        <f>'Monthly Data'!BX41</f>
        <v>410.56788461538463</v>
      </c>
      <c r="O41" s="47">
        <f t="shared" si="5"/>
        <v>7292416.3902647151</v>
      </c>
      <c r="P41" s="47">
        <f t="shared" si="6"/>
        <v>656624.35205584485</v>
      </c>
      <c r="Q41" s="18">
        <f t="shared" si="8"/>
        <v>9.895191836558527E-2</v>
      </c>
    </row>
    <row r="42" spans="1:17">
      <c r="A42" s="2">
        <f>'Monthly Data'!A42</f>
        <v>43586</v>
      </c>
      <c r="B42">
        <f>'Monthly Data'!B42</f>
        <v>2019</v>
      </c>
      <c r="C42">
        <f>'Monthly Data'!C42</f>
        <v>5</v>
      </c>
      <c r="D42" s="3">
        <f>'Monthly Data'!BW42</f>
        <v>6720394.8959933929</v>
      </c>
      <c r="E42" s="3">
        <f>'Monthly Data'!DQ42</f>
        <v>31</v>
      </c>
      <c r="F42" s="3">
        <f>'Monthly Data'!CJ42</f>
        <v>3</v>
      </c>
      <c r="G42" s="3">
        <f>'Monthly Data'!ED42</f>
        <v>0</v>
      </c>
      <c r="I42" s="3">
        <f t="shared" si="9"/>
        <v>-5182660.36787258</v>
      </c>
      <c r="J42" s="3">
        <f t="shared" si="10"/>
        <v>5746871.2725865664</v>
      </c>
      <c r="K42" s="3">
        <f t="shared" si="11"/>
        <v>6913177.8619430996</v>
      </c>
      <c r="L42" s="3">
        <f t="shared" si="12"/>
        <v>0</v>
      </c>
      <c r="M42" s="47">
        <f t="shared" si="4"/>
        <v>7477388.7666570861</v>
      </c>
      <c r="N42" s="47">
        <f>'Monthly Data'!BX42</f>
        <v>419.39339743589744</v>
      </c>
      <c r="O42" s="47">
        <f t="shared" si="5"/>
        <v>7477808.1600545216</v>
      </c>
      <c r="P42" s="47">
        <f t="shared" si="6"/>
        <v>757413.26406112872</v>
      </c>
      <c r="Q42" s="18">
        <f t="shared" ref="Q42:Q73" si="13">ABS(P42/D42)</f>
        <v>0.11270368420056508</v>
      </c>
    </row>
    <row r="43" spans="1:17">
      <c r="A43" s="2">
        <f>'Monthly Data'!A43</f>
        <v>43617</v>
      </c>
      <c r="B43">
        <f>'Monthly Data'!B43</f>
        <v>2019</v>
      </c>
      <c r="C43">
        <f>'Monthly Data'!C43</f>
        <v>6</v>
      </c>
      <c r="D43" s="3">
        <f>'Monthly Data'!BW43</f>
        <v>6574956.0565744443</v>
      </c>
      <c r="E43" s="3">
        <f>'Monthly Data'!DQ43</f>
        <v>30</v>
      </c>
      <c r="F43" s="3">
        <f>'Monthly Data'!CJ43</f>
        <v>3</v>
      </c>
      <c r="G43" s="3">
        <f>'Monthly Data'!ED43</f>
        <v>0</v>
      </c>
      <c r="I43" s="3">
        <f t="shared" si="9"/>
        <v>-5182660.36787258</v>
      </c>
      <c r="J43" s="3">
        <f t="shared" si="10"/>
        <v>5561488.3283095798</v>
      </c>
      <c r="K43" s="3">
        <f t="shared" si="11"/>
        <v>6913177.8619430996</v>
      </c>
      <c r="L43" s="3">
        <f t="shared" si="12"/>
        <v>0</v>
      </c>
      <c r="M43" s="47">
        <f t="shared" ref="M43:M106" si="14">SUM(I43:L43)</f>
        <v>7292005.8223800994</v>
      </c>
      <c r="N43" s="47">
        <f>'Monthly Data'!BX43</f>
        <v>428.21891025641025</v>
      </c>
      <c r="O43" s="47">
        <f t="shared" ref="O43:O106" si="15">M43+N43</f>
        <v>7292434.0412903558</v>
      </c>
      <c r="P43" s="47">
        <f t="shared" ref="P43:P106" si="16">O43-D43</f>
        <v>717477.98471591156</v>
      </c>
      <c r="Q43" s="18">
        <f t="shared" si="13"/>
        <v>0.10912285626585891</v>
      </c>
    </row>
    <row r="44" spans="1:17">
      <c r="A44" s="2">
        <f>'Monthly Data'!A44</f>
        <v>43647</v>
      </c>
      <c r="B44">
        <f>'Monthly Data'!B44</f>
        <v>2019</v>
      </c>
      <c r="C44">
        <f>'Monthly Data'!C44</f>
        <v>7</v>
      </c>
      <c r="D44" s="3">
        <f>'Monthly Data'!BW44</f>
        <v>6769475.7031728523</v>
      </c>
      <c r="E44" s="3">
        <f>'Monthly Data'!DQ44</f>
        <v>31</v>
      </c>
      <c r="F44" s="3">
        <f>'Monthly Data'!CJ44</f>
        <v>3</v>
      </c>
      <c r="G44" s="3">
        <f>'Monthly Data'!ED44</f>
        <v>0</v>
      </c>
      <c r="I44" s="3">
        <f t="shared" si="9"/>
        <v>-5182660.36787258</v>
      </c>
      <c r="J44" s="3">
        <f t="shared" si="10"/>
        <v>5746871.2725865664</v>
      </c>
      <c r="K44" s="3">
        <f t="shared" si="11"/>
        <v>6913177.8619430996</v>
      </c>
      <c r="L44" s="3">
        <f t="shared" si="12"/>
        <v>0</v>
      </c>
      <c r="M44" s="47">
        <f t="shared" si="14"/>
        <v>7477388.7666570861</v>
      </c>
      <c r="N44" s="47">
        <f>'Monthly Data'!BX44</f>
        <v>437.04442307692307</v>
      </c>
      <c r="O44" s="47">
        <f t="shared" si="15"/>
        <v>7477825.8110801633</v>
      </c>
      <c r="P44" s="47">
        <f t="shared" si="16"/>
        <v>708350.10790731106</v>
      </c>
      <c r="Q44" s="18">
        <f t="shared" si="13"/>
        <v>0.10463884338565652</v>
      </c>
    </row>
    <row r="45" spans="1:17">
      <c r="A45" s="2">
        <f>'Monthly Data'!A45</f>
        <v>43678</v>
      </c>
      <c r="B45">
        <f>'Monthly Data'!B45</f>
        <v>2019</v>
      </c>
      <c r="C45">
        <f>'Monthly Data'!C45</f>
        <v>8</v>
      </c>
      <c r="D45" s="3">
        <f>'Monthly Data'!BW45</f>
        <v>6841267.1337635471</v>
      </c>
      <c r="E45" s="3">
        <f>'Monthly Data'!DQ45</f>
        <v>31</v>
      </c>
      <c r="F45" s="3">
        <f>'Monthly Data'!CJ45</f>
        <v>3</v>
      </c>
      <c r="G45" s="3">
        <f>'Monthly Data'!ED45</f>
        <v>0</v>
      </c>
      <c r="I45" s="3">
        <f t="shared" si="9"/>
        <v>-5182660.36787258</v>
      </c>
      <c r="J45" s="3">
        <f t="shared" si="10"/>
        <v>5746871.2725865664</v>
      </c>
      <c r="K45" s="3">
        <f t="shared" si="11"/>
        <v>6913177.8619430996</v>
      </c>
      <c r="L45" s="3">
        <f t="shared" si="12"/>
        <v>0</v>
      </c>
      <c r="M45" s="47">
        <f t="shared" si="14"/>
        <v>7477388.7666570861</v>
      </c>
      <c r="N45" s="47">
        <f>'Monthly Data'!BX45</f>
        <v>445.86993589743588</v>
      </c>
      <c r="O45" s="47">
        <f t="shared" si="15"/>
        <v>7477834.6365929833</v>
      </c>
      <c r="P45" s="47">
        <f t="shared" si="16"/>
        <v>636567.50282943621</v>
      </c>
      <c r="Q45" s="18">
        <f t="shared" si="13"/>
        <v>9.3048186890378734E-2</v>
      </c>
    </row>
    <row r="46" spans="1:17">
      <c r="A46" s="2">
        <f>'Monthly Data'!A46</f>
        <v>43709</v>
      </c>
      <c r="B46">
        <f>'Monthly Data'!B46</f>
        <v>2019</v>
      </c>
      <c r="C46">
        <f>'Monthly Data'!C46</f>
        <v>9</v>
      </c>
      <c r="D46" s="3">
        <f>'Monthly Data'!BW46</f>
        <v>6502345.3917409331</v>
      </c>
      <c r="E46" s="3">
        <f>'Monthly Data'!DQ46</f>
        <v>30</v>
      </c>
      <c r="F46" s="3">
        <f>'Monthly Data'!CJ46</f>
        <v>3</v>
      </c>
      <c r="G46" s="3">
        <f>'Monthly Data'!ED46</f>
        <v>0</v>
      </c>
      <c r="I46" s="3">
        <f t="shared" si="9"/>
        <v>-5182660.36787258</v>
      </c>
      <c r="J46" s="3">
        <f t="shared" si="10"/>
        <v>5561488.3283095798</v>
      </c>
      <c r="K46" s="3">
        <f t="shared" si="11"/>
        <v>6913177.8619430996</v>
      </c>
      <c r="L46" s="3">
        <f t="shared" si="12"/>
        <v>0</v>
      </c>
      <c r="M46" s="47">
        <f t="shared" si="14"/>
        <v>7292005.8223800994</v>
      </c>
      <c r="N46" s="47">
        <f>'Monthly Data'!BX46</f>
        <v>454.69544871794869</v>
      </c>
      <c r="O46" s="47">
        <f t="shared" si="15"/>
        <v>7292460.5178288175</v>
      </c>
      <c r="P46" s="47">
        <f t="shared" si="16"/>
        <v>790115.12608788442</v>
      </c>
      <c r="Q46" s="18">
        <f t="shared" si="13"/>
        <v>0.12151232801189904</v>
      </c>
    </row>
    <row r="47" spans="1:17">
      <c r="A47" s="2">
        <f>'Monthly Data'!A47</f>
        <v>43739</v>
      </c>
      <c r="B47">
        <f>'Monthly Data'!B47</f>
        <v>2019</v>
      </c>
      <c r="C47">
        <f>'Monthly Data'!C47</f>
        <v>10</v>
      </c>
      <c r="D47" s="3">
        <f>'Monthly Data'!BW47</f>
        <v>7017868.9438359672</v>
      </c>
      <c r="E47" s="3">
        <f>'Monthly Data'!DQ47</f>
        <v>31</v>
      </c>
      <c r="F47" s="3">
        <f>'Monthly Data'!CJ47</f>
        <v>3</v>
      </c>
      <c r="G47" s="3">
        <f>'Monthly Data'!ED47</f>
        <v>0</v>
      </c>
      <c r="I47" s="3">
        <f t="shared" si="9"/>
        <v>-5182660.36787258</v>
      </c>
      <c r="J47" s="3">
        <f t="shared" si="10"/>
        <v>5746871.2725865664</v>
      </c>
      <c r="K47" s="3">
        <f t="shared" si="11"/>
        <v>6913177.8619430996</v>
      </c>
      <c r="L47" s="3">
        <f t="shared" si="12"/>
        <v>0</v>
      </c>
      <c r="M47" s="47">
        <f t="shared" si="14"/>
        <v>7477388.7666570861</v>
      </c>
      <c r="N47" s="47">
        <f>'Monthly Data'!BX47</f>
        <v>463.52096153846151</v>
      </c>
      <c r="O47" s="47">
        <f t="shared" si="15"/>
        <v>7477852.287618625</v>
      </c>
      <c r="P47" s="47">
        <f t="shared" si="16"/>
        <v>459983.34378265776</v>
      </c>
      <c r="Q47" s="18">
        <f t="shared" si="13"/>
        <v>6.5544590168882644E-2</v>
      </c>
    </row>
    <row r="48" spans="1:17">
      <c r="A48" s="2">
        <f>'Monthly Data'!A48</f>
        <v>43770</v>
      </c>
      <c r="B48">
        <f>'Monthly Data'!B48</f>
        <v>2019</v>
      </c>
      <c r="C48">
        <f>'Monthly Data'!C48</f>
        <v>11</v>
      </c>
      <c r="D48" s="3">
        <f>'Monthly Data'!BW48</f>
        <v>6714473.4506079536</v>
      </c>
      <c r="E48" s="3">
        <f>'Monthly Data'!DQ48</f>
        <v>30</v>
      </c>
      <c r="F48" s="3">
        <f>'Monthly Data'!CJ48</f>
        <v>3</v>
      </c>
      <c r="G48" s="3">
        <f>'Monthly Data'!ED48</f>
        <v>0</v>
      </c>
      <c r="I48" s="3">
        <f t="shared" si="9"/>
        <v>-5182660.36787258</v>
      </c>
      <c r="J48" s="3">
        <f t="shared" si="10"/>
        <v>5561488.3283095798</v>
      </c>
      <c r="K48" s="3">
        <f t="shared" si="11"/>
        <v>6913177.8619430996</v>
      </c>
      <c r="L48" s="3">
        <f t="shared" si="12"/>
        <v>0</v>
      </c>
      <c r="M48" s="47">
        <f t="shared" si="14"/>
        <v>7292005.8223800994</v>
      </c>
      <c r="N48" s="47">
        <f>'Monthly Data'!BX48</f>
        <v>472.34647435897432</v>
      </c>
      <c r="O48" s="47">
        <f t="shared" si="15"/>
        <v>7292478.1688544583</v>
      </c>
      <c r="P48" s="47">
        <f t="shared" si="16"/>
        <v>578004.71824650466</v>
      </c>
      <c r="Q48" s="18">
        <f t="shared" si="13"/>
        <v>8.6083402145877869E-2</v>
      </c>
    </row>
    <row r="49" spans="1:17">
      <c r="A49" s="2">
        <f>'Monthly Data'!A49</f>
        <v>43800</v>
      </c>
      <c r="B49">
        <f>'Monthly Data'!B49</f>
        <v>2019</v>
      </c>
      <c r="C49">
        <f>'Monthly Data'!C49</f>
        <v>12</v>
      </c>
      <c r="D49" s="3">
        <f>'Monthly Data'!BW49</f>
        <v>6876129.452076179</v>
      </c>
      <c r="E49" s="3">
        <f>'Monthly Data'!DQ49</f>
        <v>31</v>
      </c>
      <c r="F49" s="3">
        <f>'Monthly Data'!CJ49</f>
        <v>3</v>
      </c>
      <c r="G49" s="3">
        <f>'Monthly Data'!ED49</f>
        <v>1</v>
      </c>
      <c r="I49" s="3">
        <f t="shared" si="9"/>
        <v>-5182660.36787258</v>
      </c>
      <c r="J49" s="3">
        <f t="shared" si="10"/>
        <v>5746871.2725865664</v>
      </c>
      <c r="K49" s="3">
        <f t="shared" si="11"/>
        <v>6913177.8619430996</v>
      </c>
      <c r="L49" s="3">
        <f t="shared" si="12"/>
        <v>-145191.56089796999</v>
      </c>
      <c r="M49" s="47">
        <f t="shared" si="14"/>
        <v>7332197.2057591164</v>
      </c>
      <c r="N49" s="47">
        <f>'Monthly Data'!BX49</f>
        <v>481.17198717948713</v>
      </c>
      <c r="O49" s="47">
        <f t="shared" si="15"/>
        <v>7332678.3777462961</v>
      </c>
      <c r="P49" s="47">
        <f t="shared" si="16"/>
        <v>456548.92567011714</v>
      </c>
      <c r="Q49" s="18">
        <f t="shared" si="13"/>
        <v>6.6396208630462403E-2</v>
      </c>
    </row>
    <row r="50" spans="1:17">
      <c r="A50" s="2">
        <f>'Monthly Data'!A50</f>
        <v>43831</v>
      </c>
      <c r="B50">
        <f>'Monthly Data'!B50</f>
        <v>2020</v>
      </c>
      <c r="C50">
        <f>'Monthly Data'!C50</f>
        <v>1</v>
      </c>
      <c r="D50" s="3">
        <f>'Monthly Data'!BW50</f>
        <v>7331990.714216033</v>
      </c>
      <c r="E50" s="3">
        <f>'Monthly Data'!DQ50</f>
        <v>31</v>
      </c>
      <c r="F50" s="3">
        <f>'Monthly Data'!CJ50</f>
        <v>3</v>
      </c>
      <c r="G50" s="3">
        <f>'Monthly Data'!ED50</f>
        <v>0</v>
      </c>
      <c r="I50" s="3">
        <f t="shared" si="9"/>
        <v>-5182660.36787258</v>
      </c>
      <c r="J50" s="3">
        <f t="shared" si="10"/>
        <v>5746871.2725865664</v>
      </c>
      <c r="K50" s="3">
        <f t="shared" si="11"/>
        <v>6913177.8619430996</v>
      </c>
      <c r="L50" s="3">
        <f t="shared" si="12"/>
        <v>0</v>
      </c>
      <c r="M50" s="47">
        <f t="shared" si="14"/>
        <v>7477388.7666570861</v>
      </c>
      <c r="N50" s="47">
        <f>'Monthly Data'!BX50</f>
        <v>502.39644871794872</v>
      </c>
      <c r="O50" s="47">
        <f t="shared" si="15"/>
        <v>7477891.1631058045</v>
      </c>
      <c r="P50" s="47">
        <f t="shared" si="16"/>
        <v>145900.44888977148</v>
      </c>
      <c r="Q50" s="18">
        <f t="shared" si="13"/>
        <v>1.9899158983778358E-2</v>
      </c>
    </row>
    <row r="51" spans="1:17">
      <c r="A51" s="2">
        <f>'Monthly Data'!A51</f>
        <v>43862</v>
      </c>
      <c r="B51">
        <f>'Monthly Data'!B51</f>
        <v>2020</v>
      </c>
      <c r="C51">
        <f>'Monthly Data'!C51</f>
        <v>2</v>
      </c>
      <c r="D51" s="3">
        <f>'Monthly Data'!BW51</f>
        <v>6829773.7946677273</v>
      </c>
      <c r="E51" s="3">
        <f>'Monthly Data'!DQ51</f>
        <v>29</v>
      </c>
      <c r="F51" s="3">
        <f>'Monthly Data'!CJ51</f>
        <v>3</v>
      </c>
      <c r="G51" s="3">
        <f>'Monthly Data'!ED51</f>
        <v>0</v>
      </c>
      <c r="I51" s="3">
        <f t="shared" si="9"/>
        <v>-5182660.36787258</v>
      </c>
      <c r="J51" s="3">
        <f t="shared" si="10"/>
        <v>5376105.384032594</v>
      </c>
      <c r="K51" s="3">
        <f t="shared" si="11"/>
        <v>6913177.8619430996</v>
      </c>
      <c r="L51" s="3">
        <f t="shared" si="12"/>
        <v>0</v>
      </c>
      <c r="M51" s="47">
        <f t="shared" si="14"/>
        <v>7106622.8781031137</v>
      </c>
      <c r="N51" s="47">
        <f>'Monthly Data'!BX51</f>
        <v>514.79539743589737</v>
      </c>
      <c r="O51" s="47">
        <f t="shared" si="15"/>
        <v>7107137.67350055</v>
      </c>
      <c r="P51" s="47">
        <f t="shared" si="16"/>
        <v>277363.87883282267</v>
      </c>
      <c r="Q51" s="18">
        <f t="shared" si="13"/>
        <v>4.0610990520560365E-2</v>
      </c>
    </row>
    <row r="52" spans="1:17">
      <c r="A52" s="2">
        <f>'Monthly Data'!A52</f>
        <v>43891</v>
      </c>
      <c r="B52">
        <f>'Monthly Data'!B52</f>
        <v>2020</v>
      </c>
      <c r="C52">
        <f>'Monthly Data'!C52</f>
        <v>3</v>
      </c>
      <c r="D52" s="3">
        <f>'Monthly Data'!BW52</f>
        <v>7275369.0159101635</v>
      </c>
      <c r="E52" s="3">
        <f>'Monthly Data'!DQ52</f>
        <v>31</v>
      </c>
      <c r="F52" s="3">
        <f>'Monthly Data'!CJ52</f>
        <v>3</v>
      </c>
      <c r="G52" s="3">
        <f>'Monthly Data'!ED52</f>
        <v>0</v>
      </c>
      <c r="I52" s="3">
        <f t="shared" si="9"/>
        <v>-5182660.36787258</v>
      </c>
      <c r="J52" s="3">
        <f t="shared" si="10"/>
        <v>5746871.2725865664</v>
      </c>
      <c r="K52" s="3">
        <f t="shared" si="11"/>
        <v>6913177.8619430996</v>
      </c>
      <c r="L52" s="3">
        <f t="shared" si="12"/>
        <v>0</v>
      </c>
      <c r="M52" s="47">
        <f t="shared" si="14"/>
        <v>7477388.7666570861</v>
      </c>
      <c r="N52" s="47">
        <f>'Monthly Data'!BX52</f>
        <v>527.19434615384614</v>
      </c>
      <c r="O52" s="47">
        <f t="shared" si="15"/>
        <v>7477915.9610032402</v>
      </c>
      <c r="P52" s="47">
        <f t="shared" si="16"/>
        <v>202546.94509307668</v>
      </c>
      <c r="Q52" s="18">
        <f t="shared" si="13"/>
        <v>2.7840092323858246E-2</v>
      </c>
    </row>
    <row r="53" spans="1:17">
      <c r="A53" s="2">
        <f>'Monthly Data'!A53</f>
        <v>43922</v>
      </c>
      <c r="B53">
        <f>'Monthly Data'!B53</f>
        <v>2020</v>
      </c>
      <c r="C53">
        <f>'Monthly Data'!C53</f>
        <v>4</v>
      </c>
      <c r="D53" s="3">
        <f>'Monthly Data'!BW53</f>
        <v>7443530.8234592555</v>
      </c>
      <c r="E53" s="3">
        <f>'Monthly Data'!DQ53</f>
        <v>30</v>
      </c>
      <c r="F53" s="3">
        <f>'Monthly Data'!CJ53</f>
        <v>3</v>
      </c>
      <c r="G53" s="3">
        <f>'Monthly Data'!ED53</f>
        <v>0</v>
      </c>
      <c r="I53" s="3">
        <f t="shared" si="9"/>
        <v>-5182660.36787258</v>
      </c>
      <c r="J53" s="3">
        <f t="shared" si="10"/>
        <v>5561488.3283095798</v>
      </c>
      <c r="K53" s="3">
        <f t="shared" si="11"/>
        <v>6913177.8619430996</v>
      </c>
      <c r="L53" s="3">
        <f t="shared" si="12"/>
        <v>0</v>
      </c>
      <c r="M53" s="47">
        <f t="shared" si="14"/>
        <v>7292005.8223800994</v>
      </c>
      <c r="N53" s="47">
        <f>'Monthly Data'!BX53</f>
        <v>539.5932948717948</v>
      </c>
      <c r="O53" s="47">
        <f t="shared" si="15"/>
        <v>7292545.4156749714</v>
      </c>
      <c r="P53" s="47">
        <f t="shared" si="16"/>
        <v>-150985.40778428409</v>
      </c>
      <c r="Q53" s="18">
        <f t="shared" si="13"/>
        <v>2.0284111312931483E-2</v>
      </c>
    </row>
    <row r="54" spans="1:17">
      <c r="A54" s="2">
        <f>'Monthly Data'!A54</f>
        <v>43952</v>
      </c>
      <c r="B54">
        <f>'Monthly Data'!B54</f>
        <v>2020</v>
      </c>
      <c r="C54">
        <f>'Monthly Data'!C54</f>
        <v>5</v>
      </c>
      <c r="D54" s="3">
        <f>'Monthly Data'!BW54</f>
        <v>7607514.4728598408</v>
      </c>
      <c r="E54" s="3">
        <f>'Monthly Data'!DQ54</f>
        <v>31</v>
      </c>
      <c r="F54" s="3">
        <f>'Monthly Data'!CJ54</f>
        <v>3</v>
      </c>
      <c r="G54" s="3">
        <f>'Monthly Data'!ED54</f>
        <v>0</v>
      </c>
      <c r="I54" s="3">
        <f t="shared" si="9"/>
        <v>-5182660.36787258</v>
      </c>
      <c r="J54" s="3">
        <f t="shared" si="10"/>
        <v>5746871.2725865664</v>
      </c>
      <c r="K54" s="3">
        <f t="shared" si="11"/>
        <v>6913177.8619430996</v>
      </c>
      <c r="L54" s="3">
        <f t="shared" si="12"/>
        <v>0</v>
      </c>
      <c r="M54" s="47">
        <f t="shared" si="14"/>
        <v>7477388.7666570861</v>
      </c>
      <c r="N54" s="47">
        <f>'Monthly Data'!BX54</f>
        <v>551.99224358974357</v>
      </c>
      <c r="O54" s="47">
        <f t="shared" si="15"/>
        <v>7477940.7589006759</v>
      </c>
      <c r="P54" s="47">
        <f t="shared" si="16"/>
        <v>-129573.71395916492</v>
      </c>
      <c r="Q54" s="18">
        <f t="shared" si="13"/>
        <v>1.7032332231693429E-2</v>
      </c>
    </row>
    <row r="55" spans="1:17">
      <c r="A55" s="2">
        <f>'Monthly Data'!A55</f>
        <v>43983</v>
      </c>
      <c r="B55">
        <f>'Monthly Data'!B55</f>
        <v>2020</v>
      </c>
      <c r="C55">
        <f>'Monthly Data'!C55</f>
        <v>6</v>
      </c>
      <c r="D55" s="3">
        <f>'Monthly Data'!BW55</f>
        <v>7438554.785712692</v>
      </c>
      <c r="E55" s="3">
        <f>'Monthly Data'!DQ55</f>
        <v>30</v>
      </c>
      <c r="F55" s="3">
        <f>'Monthly Data'!CJ55</f>
        <v>3</v>
      </c>
      <c r="G55" s="3">
        <f>'Monthly Data'!ED55</f>
        <v>0</v>
      </c>
      <c r="I55" s="3">
        <f t="shared" si="9"/>
        <v>-5182660.36787258</v>
      </c>
      <c r="J55" s="3">
        <f t="shared" si="10"/>
        <v>5561488.3283095798</v>
      </c>
      <c r="K55" s="3">
        <f t="shared" si="11"/>
        <v>6913177.8619430996</v>
      </c>
      <c r="L55" s="3">
        <f t="shared" si="12"/>
        <v>0</v>
      </c>
      <c r="M55" s="47">
        <f t="shared" si="14"/>
        <v>7292005.8223800994</v>
      </c>
      <c r="N55" s="47">
        <f>'Monthly Data'!BX55</f>
        <v>564.39119230769222</v>
      </c>
      <c r="O55" s="47">
        <f t="shared" si="15"/>
        <v>7292570.2135724071</v>
      </c>
      <c r="P55" s="47">
        <f t="shared" si="16"/>
        <v>-145984.57214028481</v>
      </c>
      <c r="Q55" s="18">
        <f t="shared" si="13"/>
        <v>1.9625394494731541E-2</v>
      </c>
    </row>
    <row r="56" spans="1:17">
      <c r="A56" s="2">
        <f>'Monthly Data'!A56</f>
        <v>44013</v>
      </c>
      <c r="B56">
        <f>'Monthly Data'!B56</f>
        <v>2020</v>
      </c>
      <c r="C56">
        <f>'Monthly Data'!C56</f>
        <v>7</v>
      </c>
      <c r="D56" s="3">
        <f>'Monthly Data'!BW56</f>
        <v>7827764.0860293815</v>
      </c>
      <c r="E56" s="3">
        <f>'Monthly Data'!DQ56</f>
        <v>31</v>
      </c>
      <c r="F56" s="3">
        <f>'Monthly Data'!CJ56</f>
        <v>3</v>
      </c>
      <c r="G56" s="3">
        <f>'Monthly Data'!ED56</f>
        <v>0</v>
      </c>
      <c r="I56" s="3">
        <f t="shared" si="9"/>
        <v>-5182660.36787258</v>
      </c>
      <c r="J56" s="3">
        <f t="shared" si="10"/>
        <v>5746871.2725865664</v>
      </c>
      <c r="K56" s="3">
        <f t="shared" si="11"/>
        <v>6913177.8619430996</v>
      </c>
      <c r="L56" s="3">
        <f t="shared" si="12"/>
        <v>0</v>
      </c>
      <c r="M56" s="47">
        <f t="shared" si="14"/>
        <v>7477388.7666570861</v>
      </c>
      <c r="N56" s="47">
        <f>'Monthly Data'!BX56</f>
        <v>576.79014102564099</v>
      </c>
      <c r="O56" s="47">
        <f t="shared" si="15"/>
        <v>7477965.5567981116</v>
      </c>
      <c r="P56" s="47">
        <f t="shared" si="16"/>
        <v>-349798.52923126984</v>
      </c>
      <c r="Q56" s="18">
        <f t="shared" si="13"/>
        <v>4.46869023372298E-2</v>
      </c>
    </row>
    <row r="57" spans="1:17">
      <c r="A57" s="2">
        <f>'Monthly Data'!A57</f>
        <v>44044</v>
      </c>
      <c r="B57">
        <f>'Monthly Data'!B57</f>
        <v>2020</v>
      </c>
      <c r="C57">
        <f>'Monthly Data'!C57</f>
        <v>8</v>
      </c>
      <c r="D57" s="3">
        <f>'Monthly Data'!BW57</f>
        <v>7629281.0044752909</v>
      </c>
      <c r="E57" s="3">
        <f>'Monthly Data'!DQ57</f>
        <v>31</v>
      </c>
      <c r="F57" s="3">
        <f>'Monthly Data'!CJ57</f>
        <v>3</v>
      </c>
      <c r="G57" s="3">
        <f>'Monthly Data'!ED57</f>
        <v>0</v>
      </c>
      <c r="I57" s="3">
        <f t="shared" si="9"/>
        <v>-5182660.36787258</v>
      </c>
      <c r="J57" s="3">
        <f t="shared" si="10"/>
        <v>5746871.2725865664</v>
      </c>
      <c r="K57" s="3">
        <f t="shared" si="11"/>
        <v>6913177.8619430996</v>
      </c>
      <c r="L57" s="3">
        <f t="shared" si="12"/>
        <v>0</v>
      </c>
      <c r="M57" s="47">
        <f t="shared" si="14"/>
        <v>7477388.7666570861</v>
      </c>
      <c r="N57" s="47">
        <f>'Monthly Data'!BX57</f>
        <v>589.18908974358965</v>
      </c>
      <c r="O57" s="47">
        <f t="shared" si="15"/>
        <v>7477977.9557468295</v>
      </c>
      <c r="P57" s="47">
        <f t="shared" si="16"/>
        <v>-151303.04872846138</v>
      </c>
      <c r="Q57" s="18">
        <f t="shared" si="13"/>
        <v>1.9831888305032665E-2</v>
      </c>
    </row>
    <row r="58" spans="1:17">
      <c r="A58" s="2">
        <f>'Monthly Data'!A58</f>
        <v>44075</v>
      </c>
      <c r="B58">
        <f>'Monthly Data'!B58</f>
        <v>2020</v>
      </c>
      <c r="C58">
        <f>'Monthly Data'!C58</f>
        <v>9</v>
      </c>
      <c r="D58" s="3">
        <f>'Monthly Data'!BW58</f>
        <v>6954633.5641941009</v>
      </c>
      <c r="E58" s="3">
        <f>'Monthly Data'!DQ58</f>
        <v>30</v>
      </c>
      <c r="F58" s="3">
        <f>'Monthly Data'!CJ58</f>
        <v>3</v>
      </c>
      <c r="G58" s="3">
        <f>'Monthly Data'!ED58</f>
        <v>0</v>
      </c>
      <c r="I58" s="3">
        <f t="shared" si="9"/>
        <v>-5182660.36787258</v>
      </c>
      <c r="J58" s="3">
        <f t="shared" si="10"/>
        <v>5561488.3283095798</v>
      </c>
      <c r="K58" s="3">
        <f t="shared" si="11"/>
        <v>6913177.8619430996</v>
      </c>
      <c r="L58" s="3">
        <f t="shared" si="12"/>
        <v>0</v>
      </c>
      <c r="M58" s="47">
        <f t="shared" si="14"/>
        <v>7292005.8223800994</v>
      </c>
      <c r="N58" s="47">
        <f>'Monthly Data'!BX58</f>
        <v>601.58803846153842</v>
      </c>
      <c r="O58" s="47">
        <f t="shared" si="15"/>
        <v>7292607.4104185607</v>
      </c>
      <c r="P58" s="47">
        <f t="shared" si="16"/>
        <v>337973.84622445982</v>
      </c>
      <c r="Q58" s="18">
        <f t="shared" si="13"/>
        <v>4.8596930823863474E-2</v>
      </c>
    </row>
    <row r="59" spans="1:17">
      <c r="A59" s="2">
        <f>'Monthly Data'!A59</f>
        <v>44105</v>
      </c>
      <c r="B59">
        <f>'Monthly Data'!B59</f>
        <v>2020</v>
      </c>
      <c r="C59">
        <f>'Monthly Data'!C59</f>
        <v>10</v>
      </c>
      <c r="D59" s="3">
        <f>'Monthly Data'!BW59</f>
        <v>6913489.8461887073</v>
      </c>
      <c r="E59" s="3">
        <f>'Monthly Data'!DQ59</f>
        <v>31</v>
      </c>
      <c r="F59" s="3">
        <f>'Monthly Data'!CJ59</f>
        <v>3</v>
      </c>
      <c r="G59" s="3">
        <f>'Monthly Data'!ED59</f>
        <v>0</v>
      </c>
      <c r="I59" s="3">
        <f t="shared" si="9"/>
        <v>-5182660.36787258</v>
      </c>
      <c r="J59" s="3">
        <f t="shared" si="10"/>
        <v>5746871.2725865664</v>
      </c>
      <c r="K59" s="3">
        <f t="shared" si="11"/>
        <v>6913177.8619430996</v>
      </c>
      <c r="L59" s="3">
        <f t="shared" si="12"/>
        <v>0</v>
      </c>
      <c r="M59" s="47">
        <f t="shared" si="14"/>
        <v>7477388.7666570861</v>
      </c>
      <c r="N59" s="47">
        <f>'Monthly Data'!BX59</f>
        <v>613.98698717948707</v>
      </c>
      <c r="O59" s="47">
        <f t="shared" si="15"/>
        <v>7478002.7536442652</v>
      </c>
      <c r="P59" s="47">
        <f t="shared" si="16"/>
        <v>564512.90745555796</v>
      </c>
      <c r="Q59" s="18">
        <f t="shared" si="13"/>
        <v>8.1653827519073394E-2</v>
      </c>
    </row>
    <row r="60" spans="1:17">
      <c r="A60" s="2">
        <f>'Monthly Data'!A60</f>
        <v>44136</v>
      </c>
      <c r="B60">
        <f>'Monthly Data'!B60</f>
        <v>2020</v>
      </c>
      <c r="C60">
        <f>'Monthly Data'!C60</f>
        <v>11</v>
      </c>
      <c r="D60" s="3">
        <f>'Monthly Data'!BW60</f>
        <v>6722600.4965536129</v>
      </c>
      <c r="E60" s="3">
        <f>'Monthly Data'!DQ60</f>
        <v>30</v>
      </c>
      <c r="F60" s="3">
        <f>'Monthly Data'!CJ60</f>
        <v>3</v>
      </c>
      <c r="G60" s="3">
        <f>'Monthly Data'!ED60</f>
        <v>0</v>
      </c>
      <c r="I60" s="3">
        <f t="shared" si="9"/>
        <v>-5182660.36787258</v>
      </c>
      <c r="J60" s="3">
        <f t="shared" si="10"/>
        <v>5561488.3283095798</v>
      </c>
      <c r="K60" s="3">
        <f t="shared" si="11"/>
        <v>6913177.8619430996</v>
      </c>
      <c r="L60" s="3">
        <f t="shared" si="12"/>
        <v>0</v>
      </c>
      <c r="M60" s="47">
        <f t="shared" si="14"/>
        <v>7292005.8223800994</v>
      </c>
      <c r="N60" s="47">
        <f>'Monthly Data'!BX60</f>
        <v>626.38593589743584</v>
      </c>
      <c r="O60" s="47">
        <f t="shared" si="15"/>
        <v>7292632.2083159965</v>
      </c>
      <c r="P60" s="47">
        <f t="shared" si="16"/>
        <v>570031.71176238358</v>
      </c>
      <c r="Q60" s="18">
        <f t="shared" si="13"/>
        <v>8.4793334373300069E-2</v>
      </c>
    </row>
    <row r="61" spans="1:17">
      <c r="A61" s="2">
        <f>'Monthly Data'!A61</f>
        <v>44166</v>
      </c>
      <c r="B61">
        <f>'Monthly Data'!B61</f>
        <v>2020</v>
      </c>
      <c r="C61">
        <f>'Monthly Data'!C61</f>
        <v>12</v>
      </c>
      <c r="D61" s="3">
        <f>'Monthly Data'!BW61</f>
        <v>7326414.6763302833</v>
      </c>
      <c r="E61" s="3">
        <f>'Monthly Data'!DQ61</f>
        <v>31</v>
      </c>
      <c r="F61" s="3">
        <f>'Monthly Data'!CJ61</f>
        <v>3</v>
      </c>
      <c r="G61" s="3">
        <f>'Monthly Data'!ED61</f>
        <v>1</v>
      </c>
      <c r="I61" s="3">
        <f t="shared" si="9"/>
        <v>-5182660.36787258</v>
      </c>
      <c r="J61" s="3">
        <f t="shared" si="10"/>
        <v>5746871.2725865664</v>
      </c>
      <c r="K61" s="3">
        <f t="shared" si="11"/>
        <v>6913177.8619430996</v>
      </c>
      <c r="L61" s="3">
        <f t="shared" si="12"/>
        <v>-145191.56089796999</v>
      </c>
      <c r="M61" s="47">
        <f t="shared" si="14"/>
        <v>7332197.2057591164</v>
      </c>
      <c r="N61" s="47">
        <f>'Monthly Data'!BX61</f>
        <v>638.7848846153845</v>
      </c>
      <c r="O61" s="47">
        <f t="shared" si="15"/>
        <v>7332835.9906437322</v>
      </c>
      <c r="P61" s="47">
        <f t="shared" si="16"/>
        <v>6421.3143134489655</v>
      </c>
      <c r="Q61" s="18">
        <f t="shared" si="13"/>
        <v>8.7646066966350425E-4</v>
      </c>
    </row>
    <row r="62" spans="1:17">
      <c r="A62" s="2">
        <f>'Monthly Data'!A62</f>
        <v>44197</v>
      </c>
      <c r="B62">
        <f>'Monthly Data'!B62</f>
        <v>2021</v>
      </c>
      <c r="C62">
        <f>'Monthly Data'!C62</f>
        <v>1</v>
      </c>
      <c r="D62" s="3">
        <f ca="1">'Monthly Data'!BW62</f>
        <v>7897272.6694190977</v>
      </c>
      <c r="E62" s="3">
        <f>'Monthly Data'!DQ62</f>
        <v>31</v>
      </c>
      <c r="F62" s="3">
        <f>'Monthly Data'!CJ62</f>
        <v>3</v>
      </c>
      <c r="G62" s="3">
        <f>'Monthly Data'!ED62</f>
        <v>0</v>
      </c>
      <c r="I62" s="3">
        <f t="shared" si="9"/>
        <v>-5182660.36787258</v>
      </c>
      <c r="J62" s="3">
        <f t="shared" si="10"/>
        <v>5746871.2725865664</v>
      </c>
      <c r="K62" s="3">
        <f t="shared" si="11"/>
        <v>6913177.8619430996</v>
      </c>
      <c r="L62" s="3">
        <f t="shared" si="12"/>
        <v>0</v>
      </c>
      <c r="M62" s="47">
        <f t="shared" si="14"/>
        <v>7477388.7666570861</v>
      </c>
      <c r="N62" s="47">
        <f>'Monthly Data'!BX62</f>
        <v>670.64301282051292</v>
      </c>
      <c r="O62" s="47">
        <f t="shared" si="15"/>
        <v>7478059.4096699068</v>
      </c>
      <c r="P62" s="47">
        <f t="shared" ca="1" si="16"/>
        <v>-419213.25974919088</v>
      </c>
      <c r="Q62" s="18">
        <f t="shared" ca="1" si="13"/>
        <v>5.3083295625909681E-2</v>
      </c>
    </row>
    <row r="63" spans="1:17">
      <c r="A63" s="2">
        <f>'Monthly Data'!A63</f>
        <v>44228</v>
      </c>
      <c r="B63">
        <f>'Monthly Data'!B63</f>
        <v>2021</v>
      </c>
      <c r="C63">
        <f>'Monthly Data'!C63</f>
        <v>2</v>
      </c>
      <c r="D63" s="3">
        <f ca="1">'Monthly Data'!BW63</f>
        <v>7362682.0108770644</v>
      </c>
      <c r="E63" s="3">
        <f>'Monthly Data'!DQ63</f>
        <v>28</v>
      </c>
      <c r="F63" s="3">
        <f>'Monthly Data'!CJ63</f>
        <v>3</v>
      </c>
      <c r="G63" s="3">
        <f>'Monthly Data'!ED63</f>
        <v>0</v>
      </c>
      <c r="I63" s="3">
        <f t="shared" si="9"/>
        <v>-5182660.36787258</v>
      </c>
      <c r="J63" s="3">
        <f t="shared" si="10"/>
        <v>5190722.4397556083</v>
      </c>
      <c r="K63" s="3">
        <f t="shared" si="11"/>
        <v>6913177.8619430996</v>
      </c>
      <c r="L63" s="3">
        <f t="shared" si="12"/>
        <v>0</v>
      </c>
      <c r="M63" s="47">
        <f t="shared" si="14"/>
        <v>6921239.933826128</v>
      </c>
      <c r="N63" s="47">
        <f>'Monthly Data'!BX63</f>
        <v>690.10219230769235</v>
      </c>
      <c r="O63" s="47">
        <f t="shared" si="15"/>
        <v>6921930.0360184358</v>
      </c>
      <c r="P63" s="47">
        <f t="shared" ca="1" si="16"/>
        <v>-440751.97485862859</v>
      </c>
      <c r="Q63" s="18">
        <f t="shared" ca="1" si="13"/>
        <v>5.9862964909729262E-2</v>
      </c>
    </row>
    <row r="64" spans="1:17">
      <c r="A64" s="2">
        <f>'Monthly Data'!A64</f>
        <v>44256</v>
      </c>
      <c r="B64">
        <f>'Monthly Data'!B64</f>
        <v>2021</v>
      </c>
      <c r="C64">
        <f>'Monthly Data'!C64</f>
        <v>3</v>
      </c>
      <c r="D64" s="3">
        <f ca="1">'Monthly Data'!BW64</f>
        <v>7681457.475768012</v>
      </c>
      <c r="E64" s="3">
        <f>'Monthly Data'!DQ64</f>
        <v>31</v>
      </c>
      <c r="F64" s="3">
        <f>'Monthly Data'!CJ64</f>
        <v>3</v>
      </c>
      <c r="G64" s="3">
        <f>'Monthly Data'!ED64</f>
        <v>0</v>
      </c>
      <c r="I64" s="3">
        <f t="shared" si="9"/>
        <v>-5182660.36787258</v>
      </c>
      <c r="J64" s="3">
        <f t="shared" si="10"/>
        <v>5746871.2725865664</v>
      </c>
      <c r="K64" s="3">
        <f t="shared" si="11"/>
        <v>6913177.8619430996</v>
      </c>
      <c r="L64" s="3">
        <f t="shared" si="12"/>
        <v>0</v>
      </c>
      <c r="M64" s="47">
        <f t="shared" si="14"/>
        <v>7477388.7666570861</v>
      </c>
      <c r="N64" s="47">
        <f>'Monthly Data'!BX64</f>
        <v>709.56137179487189</v>
      </c>
      <c r="O64" s="47">
        <f t="shared" si="15"/>
        <v>7478098.328028881</v>
      </c>
      <c r="P64" s="47">
        <f t="shared" ca="1" si="16"/>
        <v>-203359.147739131</v>
      </c>
      <c r="Q64" s="18">
        <f t="shared" ca="1" si="13"/>
        <v>2.6474031572868744E-2</v>
      </c>
    </row>
    <row r="65" spans="1:17">
      <c r="A65" s="2">
        <f>'Monthly Data'!A65</f>
        <v>44287</v>
      </c>
      <c r="B65">
        <f>'Monthly Data'!B65</f>
        <v>2021</v>
      </c>
      <c r="C65">
        <f>'Monthly Data'!C65</f>
        <v>4</v>
      </c>
      <c r="D65" s="3">
        <f ca="1">'Monthly Data'!BW65</f>
        <v>7342324.2617775705</v>
      </c>
      <c r="E65" s="3">
        <f>'Monthly Data'!DQ65</f>
        <v>30</v>
      </c>
      <c r="F65" s="3">
        <f>'Monthly Data'!CJ65</f>
        <v>3</v>
      </c>
      <c r="G65" s="3">
        <f>'Monthly Data'!ED65</f>
        <v>0</v>
      </c>
      <c r="I65" s="3">
        <f t="shared" si="9"/>
        <v>-5182660.36787258</v>
      </c>
      <c r="J65" s="3">
        <f t="shared" si="10"/>
        <v>5561488.3283095798</v>
      </c>
      <c r="K65" s="3">
        <f t="shared" si="11"/>
        <v>6913177.8619430996</v>
      </c>
      <c r="L65" s="3">
        <f t="shared" si="12"/>
        <v>0</v>
      </c>
      <c r="M65" s="47">
        <f t="shared" si="14"/>
        <v>7292005.8223800994</v>
      </c>
      <c r="N65" s="47">
        <f>'Monthly Data'!BX65</f>
        <v>729.02055128205143</v>
      </c>
      <c r="O65" s="47">
        <f t="shared" si="15"/>
        <v>7292734.8429313814</v>
      </c>
      <c r="P65" s="47">
        <f t="shared" ca="1" si="16"/>
        <v>-49589.418846189044</v>
      </c>
      <c r="Q65" s="18">
        <f t="shared" ca="1" si="13"/>
        <v>6.7539129406664873E-3</v>
      </c>
    </row>
    <row r="66" spans="1:17">
      <c r="A66" s="2">
        <f>'Monthly Data'!A66</f>
        <v>44317</v>
      </c>
      <c r="B66">
        <f>'Monthly Data'!B66</f>
        <v>2021</v>
      </c>
      <c r="C66">
        <f>'Monthly Data'!C66</f>
        <v>5</v>
      </c>
      <c r="D66" s="3">
        <f ca="1">'Monthly Data'!BW66</f>
        <v>7598741.2406511586</v>
      </c>
      <c r="E66" s="3">
        <f>'Monthly Data'!DQ66</f>
        <v>31</v>
      </c>
      <c r="F66" s="3">
        <f>'Monthly Data'!CJ66</f>
        <v>3</v>
      </c>
      <c r="G66" s="3">
        <f>'Monthly Data'!ED66</f>
        <v>0</v>
      </c>
      <c r="I66" s="3">
        <f t="shared" ref="I66:I97" si="17">$U$8</f>
        <v>-5182660.36787258</v>
      </c>
      <c r="J66" s="3">
        <f t="shared" ref="J66:J97" si="18">E66*$U$9</f>
        <v>5746871.2725865664</v>
      </c>
      <c r="K66" s="3">
        <f t="shared" ref="K66:K97" si="19">F66*$U$10</f>
        <v>6913177.8619430996</v>
      </c>
      <c r="L66" s="3">
        <f t="shared" ref="L66:L97" si="20">G66*$U$11</f>
        <v>0</v>
      </c>
      <c r="M66" s="47">
        <f t="shared" si="14"/>
        <v>7477388.7666570861</v>
      </c>
      <c r="N66" s="47">
        <f>'Monthly Data'!BX66</f>
        <v>748.47973076923086</v>
      </c>
      <c r="O66" s="47">
        <f t="shared" si="15"/>
        <v>7478137.2463878551</v>
      </c>
      <c r="P66" s="47">
        <f t="shared" ca="1" si="16"/>
        <v>-120603.99426330347</v>
      </c>
      <c r="Q66" s="18">
        <f t="shared" ca="1" si="13"/>
        <v>1.5871575362785818E-2</v>
      </c>
    </row>
    <row r="67" spans="1:17">
      <c r="A67" s="2">
        <f>'Monthly Data'!A67</f>
        <v>44348</v>
      </c>
      <c r="B67">
        <f>'Monthly Data'!B67</f>
        <v>2021</v>
      </c>
      <c r="C67">
        <f>'Monthly Data'!C67</f>
        <v>6</v>
      </c>
      <c r="D67" s="3">
        <f ca="1">'Monthly Data'!BW67</f>
        <v>7414560.4567475058</v>
      </c>
      <c r="E67" s="3">
        <f>'Monthly Data'!DQ67</f>
        <v>30</v>
      </c>
      <c r="F67" s="3">
        <f>'Monthly Data'!CJ67</f>
        <v>3</v>
      </c>
      <c r="G67" s="3">
        <f>'Monthly Data'!ED67</f>
        <v>0</v>
      </c>
      <c r="I67" s="3">
        <f t="shared" si="17"/>
        <v>-5182660.36787258</v>
      </c>
      <c r="J67" s="3">
        <f t="shared" si="18"/>
        <v>5561488.3283095798</v>
      </c>
      <c r="K67" s="3">
        <f t="shared" si="19"/>
        <v>6913177.8619430996</v>
      </c>
      <c r="L67" s="3">
        <f t="shared" si="20"/>
        <v>0</v>
      </c>
      <c r="M67" s="47">
        <f t="shared" si="14"/>
        <v>7292005.8223800994</v>
      </c>
      <c r="N67" s="47">
        <f>'Monthly Data'!BX67</f>
        <v>767.9389102564104</v>
      </c>
      <c r="O67" s="47">
        <f t="shared" si="15"/>
        <v>7292773.7612903556</v>
      </c>
      <c r="P67" s="47">
        <f t="shared" ca="1" si="16"/>
        <v>-121786.69545715023</v>
      </c>
      <c r="Q67" s="18">
        <f t="shared" ca="1" si="13"/>
        <v>1.6425342563134694E-2</v>
      </c>
    </row>
    <row r="68" spans="1:17">
      <c r="A68" s="2">
        <f>'Monthly Data'!A68</f>
        <v>44378</v>
      </c>
      <c r="B68">
        <f>'Monthly Data'!B68</f>
        <v>2021</v>
      </c>
      <c r="C68">
        <f>'Monthly Data'!C68</f>
        <v>7</v>
      </c>
      <c r="D68" s="3">
        <f ca="1">'Monthly Data'!BW68</f>
        <v>7639183.1154668052</v>
      </c>
      <c r="E68" s="3">
        <f>'Monthly Data'!DQ68</f>
        <v>31</v>
      </c>
      <c r="F68" s="3">
        <f>'Monthly Data'!CJ68</f>
        <v>3</v>
      </c>
      <c r="G68" s="3">
        <f>'Monthly Data'!ED68</f>
        <v>0</v>
      </c>
      <c r="I68" s="3">
        <f t="shared" si="17"/>
        <v>-5182660.36787258</v>
      </c>
      <c r="J68" s="3">
        <f t="shared" si="18"/>
        <v>5746871.2725865664</v>
      </c>
      <c r="K68" s="3">
        <f t="shared" si="19"/>
        <v>6913177.8619430996</v>
      </c>
      <c r="L68" s="3">
        <f t="shared" si="20"/>
        <v>0</v>
      </c>
      <c r="M68" s="47">
        <f t="shared" si="14"/>
        <v>7477388.7666570861</v>
      </c>
      <c r="N68" s="47">
        <f>'Monthly Data'!BX68</f>
        <v>787.39808974358982</v>
      </c>
      <c r="O68" s="47">
        <f t="shared" si="15"/>
        <v>7478176.1647468293</v>
      </c>
      <c r="P68" s="47">
        <f t="shared" ca="1" si="16"/>
        <v>-161006.95071997587</v>
      </c>
      <c r="Q68" s="18">
        <f t="shared" ca="1" si="13"/>
        <v>2.1076461748114186E-2</v>
      </c>
    </row>
    <row r="69" spans="1:17">
      <c r="A69" s="2">
        <f>'Monthly Data'!A69</f>
        <v>44409</v>
      </c>
      <c r="B69">
        <f>'Monthly Data'!B69</f>
        <v>2021</v>
      </c>
      <c r="C69">
        <f>'Monthly Data'!C69</f>
        <v>8</v>
      </c>
      <c r="D69" s="3">
        <f ca="1">'Monthly Data'!BW69</f>
        <v>7851829.1396634411</v>
      </c>
      <c r="E69" s="3">
        <f>'Monthly Data'!DQ69</f>
        <v>31</v>
      </c>
      <c r="F69" s="3">
        <f>'Monthly Data'!CJ69</f>
        <v>3</v>
      </c>
      <c r="G69" s="3">
        <f>'Monthly Data'!ED69</f>
        <v>0</v>
      </c>
      <c r="I69" s="3">
        <f t="shared" si="17"/>
        <v>-5182660.36787258</v>
      </c>
      <c r="J69" s="3">
        <f t="shared" si="18"/>
        <v>5746871.2725865664</v>
      </c>
      <c r="K69" s="3">
        <f t="shared" si="19"/>
        <v>6913177.8619430996</v>
      </c>
      <c r="L69" s="3">
        <f t="shared" si="20"/>
        <v>0</v>
      </c>
      <c r="M69" s="47">
        <f t="shared" si="14"/>
        <v>7477388.7666570861</v>
      </c>
      <c r="N69" s="47">
        <f>'Monthly Data'!BX69</f>
        <v>806.85726923076936</v>
      </c>
      <c r="O69" s="47">
        <f t="shared" si="15"/>
        <v>7478195.6239263173</v>
      </c>
      <c r="P69" s="47">
        <f t="shared" ca="1" si="16"/>
        <v>-373633.51573712379</v>
      </c>
      <c r="Q69" s="18">
        <f t="shared" ca="1" si="13"/>
        <v>4.7585538234615622E-2</v>
      </c>
    </row>
    <row r="70" spans="1:17">
      <c r="A70" s="2">
        <f>'Monthly Data'!A70</f>
        <v>44440</v>
      </c>
      <c r="B70">
        <f>'Monthly Data'!B70</f>
        <v>2021</v>
      </c>
      <c r="C70">
        <f>'Monthly Data'!C70</f>
        <v>9</v>
      </c>
      <c r="D70" s="3">
        <f ca="1">'Monthly Data'!BW70</f>
        <v>7602094.9806392472</v>
      </c>
      <c r="E70" s="3">
        <f>'Monthly Data'!DQ70</f>
        <v>30</v>
      </c>
      <c r="F70" s="3">
        <f>'Monthly Data'!CJ70</f>
        <v>3</v>
      </c>
      <c r="G70" s="3">
        <f>'Monthly Data'!ED70</f>
        <v>0</v>
      </c>
      <c r="I70" s="3">
        <f t="shared" si="17"/>
        <v>-5182660.36787258</v>
      </c>
      <c r="J70" s="3">
        <f t="shared" si="18"/>
        <v>5561488.3283095798</v>
      </c>
      <c r="K70" s="3">
        <f t="shared" si="19"/>
        <v>6913177.8619430996</v>
      </c>
      <c r="L70" s="3">
        <f t="shared" si="20"/>
        <v>0</v>
      </c>
      <c r="M70" s="47">
        <f t="shared" si="14"/>
        <v>7292005.8223800994</v>
      </c>
      <c r="N70" s="47">
        <f>'Monthly Data'!BX70</f>
        <v>826.31644871794879</v>
      </c>
      <c r="O70" s="47">
        <f t="shared" si="15"/>
        <v>7292832.1388288178</v>
      </c>
      <c r="P70" s="47">
        <f t="shared" ca="1" si="16"/>
        <v>-309262.84181042947</v>
      </c>
      <c r="Q70" s="18">
        <f t="shared" ca="1" si="13"/>
        <v>4.0681265177303021E-2</v>
      </c>
    </row>
    <row r="71" spans="1:17">
      <c r="A71" s="2">
        <f>'Monthly Data'!A71</f>
        <v>44470</v>
      </c>
      <c r="B71">
        <f>'Monthly Data'!B71</f>
        <v>2021</v>
      </c>
      <c r="C71">
        <f>'Monthly Data'!C71</f>
        <v>10</v>
      </c>
      <c r="D71" s="3">
        <f ca="1">'Monthly Data'!BW71</f>
        <v>7675653.0202650055</v>
      </c>
      <c r="E71" s="3">
        <f>'Monthly Data'!DQ71</f>
        <v>31</v>
      </c>
      <c r="F71" s="3">
        <f>'Monthly Data'!CJ71</f>
        <v>3</v>
      </c>
      <c r="G71" s="3">
        <f>'Monthly Data'!ED71</f>
        <v>0</v>
      </c>
      <c r="I71" s="3">
        <f t="shared" si="17"/>
        <v>-5182660.36787258</v>
      </c>
      <c r="J71" s="3">
        <f t="shared" si="18"/>
        <v>5746871.2725865664</v>
      </c>
      <c r="K71" s="3">
        <f t="shared" si="19"/>
        <v>6913177.8619430996</v>
      </c>
      <c r="L71" s="3">
        <f t="shared" si="20"/>
        <v>0</v>
      </c>
      <c r="M71" s="47">
        <f t="shared" si="14"/>
        <v>7477388.7666570861</v>
      </c>
      <c r="N71" s="47">
        <f>'Monthly Data'!BX71</f>
        <v>845.77562820512833</v>
      </c>
      <c r="O71" s="47">
        <f t="shared" si="15"/>
        <v>7478234.5422852915</v>
      </c>
      <c r="P71" s="47">
        <f t="shared" ca="1" si="16"/>
        <v>-197418.47797971405</v>
      </c>
      <c r="Q71" s="18">
        <f t="shared" ca="1" si="13"/>
        <v>2.5720088891263884E-2</v>
      </c>
    </row>
    <row r="72" spans="1:17">
      <c r="A72" s="2">
        <f>'Monthly Data'!A72</f>
        <v>44501</v>
      </c>
      <c r="B72">
        <f>'Monthly Data'!B72</f>
        <v>2021</v>
      </c>
      <c r="C72">
        <f>'Monthly Data'!C72</f>
        <v>11</v>
      </c>
      <c r="D72" s="3">
        <f ca="1">'Monthly Data'!BW72</f>
        <v>7575112.0434973231</v>
      </c>
      <c r="E72" s="3">
        <f>'Monthly Data'!DQ72</f>
        <v>30</v>
      </c>
      <c r="F72" s="3">
        <f>'Monthly Data'!CJ72</f>
        <v>3</v>
      </c>
      <c r="G72" s="3">
        <f>'Monthly Data'!ED72</f>
        <v>0</v>
      </c>
      <c r="I72" s="3">
        <f t="shared" si="17"/>
        <v>-5182660.36787258</v>
      </c>
      <c r="J72" s="3">
        <f t="shared" si="18"/>
        <v>5561488.3283095798</v>
      </c>
      <c r="K72" s="3">
        <f t="shared" si="19"/>
        <v>6913177.8619430996</v>
      </c>
      <c r="L72" s="3">
        <f t="shared" si="20"/>
        <v>0</v>
      </c>
      <c r="M72" s="47">
        <f t="shared" si="14"/>
        <v>7292005.8223800994</v>
      </c>
      <c r="N72" s="47">
        <f>'Monthly Data'!BX72</f>
        <v>865.23480769230787</v>
      </c>
      <c r="O72" s="47">
        <f t="shared" si="15"/>
        <v>7292871.0571877919</v>
      </c>
      <c r="P72" s="47">
        <f t="shared" ca="1" si="16"/>
        <v>-282240.98630953114</v>
      </c>
      <c r="Q72" s="18">
        <f t="shared" ca="1" si="13"/>
        <v>3.7258985040599407E-2</v>
      </c>
    </row>
    <row r="73" spans="1:17">
      <c r="A73" s="2">
        <f>'Monthly Data'!A73</f>
        <v>44531</v>
      </c>
      <c r="B73">
        <f>'Monthly Data'!B73</f>
        <v>2021</v>
      </c>
      <c r="C73">
        <f>'Monthly Data'!C73</f>
        <v>12</v>
      </c>
      <c r="D73" s="3">
        <f ca="1">'Monthly Data'!BW73</f>
        <v>7578255.4254567362</v>
      </c>
      <c r="E73" s="3">
        <f>'Monthly Data'!DQ73</f>
        <v>31</v>
      </c>
      <c r="F73" s="3">
        <f>'Monthly Data'!CJ73</f>
        <v>3</v>
      </c>
      <c r="G73" s="3">
        <f>'Monthly Data'!ED73</f>
        <v>1</v>
      </c>
      <c r="I73" s="3">
        <f t="shared" si="17"/>
        <v>-5182660.36787258</v>
      </c>
      <c r="J73" s="3">
        <f t="shared" si="18"/>
        <v>5746871.2725865664</v>
      </c>
      <c r="K73" s="3">
        <f t="shared" si="19"/>
        <v>6913177.8619430996</v>
      </c>
      <c r="L73" s="3">
        <f t="shared" si="20"/>
        <v>-145191.56089796999</v>
      </c>
      <c r="M73" s="47">
        <f t="shared" si="14"/>
        <v>7332197.2057591164</v>
      </c>
      <c r="N73" s="47">
        <f>'Monthly Data'!BX73</f>
        <v>884.69398717948729</v>
      </c>
      <c r="O73" s="47">
        <f t="shared" si="15"/>
        <v>7333081.899746296</v>
      </c>
      <c r="P73" s="47">
        <f t="shared" ca="1" si="16"/>
        <v>-245173.52571044024</v>
      </c>
      <c r="Q73" s="18">
        <f t="shared" ca="1" si="13"/>
        <v>3.2352238337976555E-2</v>
      </c>
    </row>
    <row r="74" spans="1:17">
      <c r="A74" s="2">
        <f>'Monthly Data'!A74</f>
        <v>44562</v>
      </c>
      <c r="B74">
        <f>'Monthly Data'!B74</f>
        <v>2022</v>
      </c>
      <c r="C74">
        <f>'Monthly Data'!C74</f>
        <v>1</v>
      </c>
      <c r="D74" s="3">
        <f ca="1">'Monthly Data'!BW74</f>
        <v>8322920.9923291262</v>
      </c>
      <c r="E74" s="3">
        <f>'Monthly Data'!DQ74</f>
        <v>31</v>
      </c>
      <c r="F74" s="3">
        <f>'Monthly Data'!CJ74</f>
        <v>3</v>
      </c>
      <c r="G74" s="3">
        <f>'Monthly Data'!ED74</f>
        <v>0</v>
      </c>
      <c r="I74" s="3">
        <f t="shared" si="17"/>
        <v>-5182660.36787258</v>
      </c>
      <c r="J74" s="3">
        <f t="shared" si="18"/>
        <v>5746871.2725865664</v>
      </c>
      <c r="K74" s="3">
        <f t="shared" si="19"/>
        <v>6913177.8619430996</v>
      </c>
      <c r="L74" s="3">
        <f t="shared" si="20"/>
        <v>0</v>
      </c>
      <c r="M74" s="47">
        <f t="shared" si="14"/>
        <v>7477388.7666570861</v>
      </c>
      <c r="N74" s="47">
        <f>'Monthly Data'!BX74</f>
        <v>962.3623076923077</v>
      </c>
      <c r="O74" s="47">
        <f t="shared" si="15"/>
        <v>7478351.128964778</v>
      </c>
      <c r="P74" s="47">
        <f t="shared" ca="1" si="16"/>
        <v>-844569.86336434819</v>
      </c>
      <c r="Q74" s="18">
        <f t="shared" ref="Q74:Q97" ca="1" si="21">ABS(P74/D74)</f>
        <v>0.10147517489866255</v>
      </c>
    </row>
    <row r="75" spans="1:17">
      <c r="A75" s="2">
        <f>'Monthly Data'!A75</f>
        <v>44593</v>
      </c>
      <c r="B75">
        <f>'Monthly Data'!B75</f>
        <v>2022</v>
      </c>
      <c r="C75">
        <f>'Monthly Data'!C75</f>
        <v>2</v>
      </c>
      <c r="D75" s="3">
        <f ca="1">'Monthly Data'!BW75</f>
        <v>7689767.9800311103</v>
      </c>
      <c r="E75" s="3">
        <f>'Monthly Data'!DQ75</f>
        <v>28</v>
      </c>
      <c r="F75" s="3">
        <f>'Monthly Data'!CJ75</f>
        <v>3</v>
      </c>
      <c r="G75" s="3">
        <f>'Monthly Data'!ED75</f>
        <v>0</v>
      </c>
      <c r="I75" s="3">
        <f t="shared" si="17"/>
        <v>-5182660.36787258</v>
      </c>
      <c r="J75" s="3">
        <f t="shared" si="18"/>
        <v>5190722.4397556083</v>
      </c>
      <c r="K75" s="3">
        <f t="shared" si="19"/>
        <v>6913177.8619430996</v>
      </c>
      <c r="L75" s="3">
        <f t="shared" si="20"/>
        <v>0</v>
      </c>
      <c r="M75" s="47">
        <f t="shared" si="14"/>
        <v>6921239.933826128</v>
      </c>
      <c r="N75" s="47">
        <f>'Monthly Data'!BX75</f>
        <v>1020.5714487179487</v>
      </c>
      <c r="O75" s="47">
        <f t="shared" si="15"/>
        <v>6922260.5052748462</v>
      </c>
      <c r="P75" s="47">
        <f t="shared" ca="1" si="16"/>
        <v>-767507.47475626413</v>
      </c>
      <c r="Q75" s="18">
        <f t="shared" ca="1" si="21"/>
        <v>9.9808924892056242E-2</v>
      </c>
    </row>
    <row r="76" spans="1:17">
      <c r="A76" s="2">
        <f>'Monthly Data'!A76</f>
        <v>44621</v>
      </c>
      <c r="B76">
        <f>'Monthly Data'!B76</f>
        <v>2022</v>
      </c>
      <c r="C76">
        <f>'Monthly Data'!C76</f>
        <v>3</v>
      </c>
      <c r="D76" s="3">
        <f ca="1">'Monthly Data'!BW76</f>
        <v>8523568.1982056126</v>
      </c>
      <c r="E76" s="3">
        <f>'Monthly Data'!DQ76</f>
        <v>31</v>
      </c>
      <c r="F76" s="3">
        <f>'Monthly Data'!CJ76</f>
        <v>3</v>
      </c>
      <c r="G76" s="3">
        <f>'Monthly Data'!ED76</f>
        <v>0</v>
      </c>
      <c r="I76" s="3">
        <f t="shared" si="17"/>
        <v>-5182660.36787258</v>
      </c>
      <c r="J76" s="3">
        <f t="shared" si="18"/>
        <v>5746871.2725865664</v>
      </c>
      <c r="K76" s="3">
        <f t="shared" si="19"/>
        <v>6913177.8619430996</v>
      </c>
      <c r="L76" s="3">
        <f t="shared" si="20"/>
        <v>0</v>
      </c>
      <c r="M76" s="47">
        <f t="shared" si="14"/>
        <v>7477388.7666570861</v>
      </c>
      <c r="N76" s="47">
        <f>'Monthly Data'!BX76</f>
        <v>1078.7805897435896</v>
      </c>
      <c r="O76" s="47">
        <f t="shared" si="15"/>
        <v>7478467.5472468296</v>
      </c>
      <c r="P76" s="47">
        <f t="shared" ca="1" si="16"/>
        <v>-1045100.650958783</v>
      </c>
      <c r="Q76" s="18">
        <f t="shared" ca="1" si="21"/>
        <v>0.1226130449896322</v>
      </c>
    </row>
    <row r="77" spans="1:17">
      <c r="A77" s="2">
        <f>'Monthly Data'!A77</f>
        <v>44652</v>
      </c>
      <c r="B77">
        <f>'Monthly Data'!B77</f>
        <v>2022</v>
      </c>
      <c r="C77">
        <f>'Monthly Data'!C77</f>
        <v>4</v>
      </c>
      <c r="D77" s="3">
        <f ca="1">'Monthly Data'!BW77</f>
        <v>7575683.7587137679</v>
      </c>
      <c r="E77" s="3">
        <f>'Monthly Data'!DQ77</f>
        <v>30</v>
      </c>
      <c r="F77" s="3">
        <f>'Monthly Data'!CJ77</f>
        <v>3</v>
      </c>
      <c r="G77" s="3">
        <f>'Monthly Data'!ED77</f>
        <v>0</v>
      </c>
      <c r="I77" s="3">
        <f t="shared" si="17"/>
        <v>-5182660.36787258</v>
      </c>
      <c r="J77" s="3">
        <f t="shared" si="18"/>
        <v>5561488.3283095798</v>
      </c>
      <c r="K77" s="3">
        <f t="shared" si="19"/>
        <v>6913177.8619430996</v>
      </c>
      <c r="L77" s="3">
        <f t="shared" si="20"/>
        <v>0</v>
      </c>
      <c r="M77" s="47">
        <f t="shared" si="14"/>
        <v>7292005.8223800994</v>
      </c>
      <c r="N77" s="47">
        <f>'Monthly Data'!BX77</f>
        <v>1136.9897307692308</v>
      </c>
      <c r="O77" s="47">
        <f t="shared" si="15"/>
        <v>7293142.8121108683</v>
      </c>
      <c r="P77" s="47">
        <f t="shared" ca="1" si="16"/>
        <v>-282540.94660289958</v>
      </c>
      <c r="Q77" s="18">
        <f t="shared" ca="1" si="21"/>
        <v>3.7295768355947133E-2</v>
      </c>
    </row>
    <row r="78" spans="1:17">
      <c r="A78" s="2">
        <f>'Monthly Data'!A78</f>
        <v>44682</v>
      </c>
      <c r="B78">
        <f>'Monthly Data'!B78</f>
        <v>2022</v>
      </c>
      <c r="C78">
        <f>'Monthly Data'!C78</f>
        <v>5</v>
      </c>
      <c r="D78" s="3">
        <f ca="1">'Monthly Data'!BW78</f>
        <v>7501786.368402251</v>
      </c>
      <c r="E78" s="3">
        <f>'Monthly Data'!DQ78</f>
        <v>31</v>
      </c>
      <c r="F78" s="3">
        <f>'Monthly Data'!CJ78</f>
        <v>3</v>
      </c>
      <c r="G78" s="3">
        <f>'Monthly Data'!ED78</f>
        <v>0</v>
      </c>
      <c r="I78" s="3">
        <f t="shared" si="17"/>
        <v>-5182660.36787258</v>
      </c>
      <c r="J78" s="3">
        <f t="shared" si="18"/>
        <v>5746871.2725865664</v>
      </c>
      <c r="K78" s="3">
        <f t="shared" si="19"/>
        <v>6913177.8619430996</v>
      </c>
      <c r="L78" s="3">
        <f t="shared" si="20"/>
        <v>0</v>
      </c>
      <c r="M78" s="47">
        <f t="shared" si="14"/>
        <v>7477388.7666570861</v>
      </c>
      <c r="N78" s="47">
        <f>'Monthly Data'!BX78</f>
        <v>1195.1988717948718</v>
      </c>
      <c r="O78" s="47">
        <f t="shared" si="15"/>
        <v>7478583.9655288812</v>
      </c>
      <c r="P78" s="47">
        <f t="shared" ca="1" si="16"/>
        <v>-23202.402873369865</v>
      </c>
      <c r="Q78" s="18">
        <f t="shared" ca="1" si="21"/>
        <v>3.0929170378803483E-3</v>
      </c>
    </row>
    <row r="79" spans="1:17">
      <c r="A79" s="2">
        <f>'Monthly Data'!A79</f>
        <v>44713</v>
      </c>
      <c r="B79">
        <f>'Monthly Data'!B79</f>
        <v>2022</v>
      </c>
      <c r="C79">
        <f>'Monthly Data'!C79</f>
        <v>6</v>
      </c>
      <c r="D79" s="3">
        <f ca="1">'Monthly Data'!BW79</f>
        <v>7041647.5991129149</v>
      </c>
      <c r="E79" s="3">
        <f>'Monthly Data'!DQ79</f>
        <v>30</v>
      </c>
      <c r="F79" s="3">
        <f>'Monthly Data'!CJ79</f>
        <v>3</v>
      </c>
      <c r="G79" s="3">
        <f>'Monthly Data'!ED79</f>
        <v>0</v>
      </c>
      <c r="I79" s="3">
        <f t="shared" si="17"/>
        <v>-5182660.36787258</v>
      </c>
      <c r="J79" s="3">
        <f t="shared" si="18"/>
        <v>5561488.3283095798</v>
      </c>
      <c r="K79" s="3">
        <f t="shared" si="19"/>
        <v>6913177.8619430996</v>
      </c>
      <c r="L79" s="3">
        <f t="shared" si="20"/>
        <v>0</v>
      </c>
      <c r="M79" s="47">
        <f t="shared" si="14"/>
        <v>7292005.8223800994</v>
      </c>
      <c r="N79" s="47">
        <f>'Monthly Data'!BX79</f>
        <v>1253.4080128205128</v>
      </c>
      <c r="O79" s="47">
        <f t="shared" si="15"/>
        <v>7293259.2303929199</v>
      </c>
      <c r="P79" s="47">
        <f t="shared" ca="1" si="16"/>
        <v>251611.63128000498</v>
      </c>
      <c r="Q79" s="18">
        <f t="shared" ca="1" si="21"/>
        <v>3.5731926049764579E-2</v>
      </c>
    </row>
    <row r="80" spans="1:17">
      <c r="A80" s="2">
        <f>'Monthly Data'!A80</f>
        <v>44743</v>
      </c>
      <c r="B80">
        <f>'Monthly Data'!B80</f>
        <v>2022</v>
      </c>
      <c r="C80">
        <f>'Monthly Data'!C80</f>
        <v>7</v>
      </c>
      <c r="D80" s="3">
        <f ca="1">'Monthly Data'!BW80</f>
        <v>7624346.4383095959</v>
      </c>
      <c r="E80" s="3">
        <f>'Monthly Data'!DQ80</f>
        <v>31</v>
      </c>
      <c r="F80" s="3">
        <f>'Monthly Data'!CJ80</f>
        <v>3</v>
      </c>
      <c r="G80" s="3">
        <f>'Monthly Data'!ED80</f>
        <v>0</v>
      </c>
      <c r="I80" s="3">
        <f t="shared" si="17"/>
        <v>-5182660.36787258</v>
      </c>
      <c r="J80" s="3">
        <f t="shared" si="18"/>
        <v>5746871.2725865664</v>
      </c>
      <c r="K80" s="3">
        <f t="shared" si="19"/>
        <v>6913177.8619430996</v>
      </c>
      <c r="L80" s="3">
        <f t="shared" si="20"/>
        <v>0</v>
      </c>
      <c r="M80" s="47">
        <f t="shared" si="14"/>
        <v>7477388.7666570861</v>
      </c>
      <c r="N80" s="47">
        <f>'Monthly Data'!BX80</f>
        <v>1311.617153846154</v>
      </c>
      <c r="O80" s="47">
        <f t="shared" si="15"/>
        <v>7478700.3838109318</v>
      </c>
      <c r="P80" s="47">
        <f t="shared" ca="1" si="16"/>
        <v>-145646.0544986641</v>
      </c>
      <c r="Q80" s="18">
        <f t="shared" ca="1" si="21"/>
        <v>1.9102759256432147E-2</v>
      </c>
    </row>
    <row r="81" spans="1:25">
      <c r="A81" s="2">
        <f>'Monthly Data'!A81</f>
        <v>44774</v>
      </c>
      <c r="B81">
        <f>'Monthly Data'!B81</f>
        <v>2022</v>
      </c>
      <c r="C81">
        <f>'Monthly Data'!C81</f>
        <v>8</v>
      </c>
      <c r="D81" s="3">
        <f ca="1">'Monthly Data'!BW81</f>
        <v>7919911.400939256</v>
      </c>
      <c r="E81" s="3">
        <f>'Monthly Data'!DQ81</f>
        <v>31</v>
      </c>
      <c r="F81" s="3">
        <f>'Monthly Data'!CJ81</f>
        <v>3</v>
      </c>
      <c r="G81" s="3">
        <f>'Monthly Data'!ED81</f>
        <v>0</v>
      </c>
      <c r="I81" s="3">
        <f t="shared" si="17"/>
        <v>-5182660.36787258</v>
      </c>
      <c r="J81" s="3">
        <f t="shared" si="18"/>
        <v>5746871.2725865664</v>
      </c>
      <c r="K81" s="3">
        <f t="shared" si="19"/>
        <v>6913177.8619430996</v>
      </c>
      <c r="L81" s="3">
        <f t="shared" si="20"/>
        <v>0</v>
      </c>
      <c r="M81" s="47">
        <f t="shared" si="14"/>
        <v>7477388.7666570861</v>
      </c>
      <c r="N81" s="47">
        <f>'Monthly Data'!BX81</f>
        <v>1369.826294871795</v>
      </c>
      <c r="O81" s="47">
        <f t="shared" si="15"/>
        <v>7478758.5929519581</v>
      </c>
      <c r="P81" s="47">
        <f t="shared" ca="1" si="16"/>
        <v>-441152.80798729789</v>
      </c>
      <c r="Q81" s="18">
        <f t="shared" ca="1" si="21"/>
        <v>5.5701735241000257E-2</v>
      </c>
    </row>
    <row r="82" spans="1:25">
      <c r="A82" s="2">
        <f>'Monthly Data'!A82</f>
        <v>44805</v>
      </c>
      <c r="B82">
        <f>'Monthly Data'!B82</f>
        <v>2022</v>
      </c>
      <c r="C82">
        <f>'Monthly Data'!C82</f>
        <v>9</v>
      </c>
      <c r="D82" s="3">
        <f ca="1">'Monthly Data'!BW82</f>
        <v>7284083.0945235929</v>
      </c>
      <c r="E82" s="3">
        <f>'Monthly Data'!DQ82</f>
        <v>30</v>
      </c>
      <c r="F82" s="3">
        <f>'Monthly Data'!CJ82</f>
        <v>3</v>
      </c>
      <c r="G82" s="3">
        <f>'Monthly Data'!ED82</f>
        <v>0</v>
      </c>
      <c r="I82" s="3">
        <f t="shared" si="17"/>
        <v>-5182660.36787258</v>
      </c>
      <c r="J82" s="3">
        <f t="shared" si="18"/>
        <v>5561488.3283095798</v>
      </c>
      <c r="K82" s="3">
        <f t="shared" si="19"/>
        <v>6913177.8619430996</v>
      </c>
      <c r="L82" s="3">
        <f t="shared" si="20"/>
        <v>0</v>
      </c>
      <c r="M82" s="47">
        <f t="shared" si="14"/>
        <v>7292005.8223800994</v>
      </c>
      <c r="N82" s="47">
        <f>'Monthly Data'!BX82</f>
        <v>1428.0354358974359</v>
      </c>
      <c r="O82" s="47">
        <f t="shared" si="15"/>
        <v>7293433.8578159967</v>
      </c>
      <c r="P82" s="47">
        <f t="shared" ca="1" si="16"/>
        <v>9350.7632924038917</v>
      </c>
      <c r="Q82" s="18">
        <f t="shared" ca="1" si="21"/>
        <v>1.2837255109615781E-3</v>
      </c>
    </row>
    <row r="83" spans="1:25">
      <c r="A83" s="2">
        <f>'Monthly Data'!A83</f>
        <v>44835</v>
      </c>
      <c r="B83">
        <f>'Monthly Data'!B83</f>
        <v>2022</v>
      </c>
      <c r="C83">
        <f>'Monthly Data'!C83</f>
        <v>10</v>
      </c>
      <c r="D83" s="3">
        <f ca="1">'Monthly Data'!BW83</f>
        <v>7816862.2423027232</v>
      </c>
      <c r="E83" s="3">
        <f>'Monthly Data'!DQ83</f>
        <v>31</v>
      </c>
      <c r="F83" s="3">
        <f>'Monthly Data'!CJ83</f>
        <v>3</v>
      </c>
      <c r="G83" s="3">
        <f>'Monthly Data'!ED83</f>
        <v>0</v>
      </c>
      <c r="I83" s="3">
        <f t="shared" si="17"/>
        <v>-5182660.36787258</v>
      </c>
      <c r="J83" s="3">
        <f t="shared" si="18"/>
        <v>5746871.2725865664</v>
      </c>
      <c r="K83" s="3">
        <f t="shared" si="19"/>
        <v>6913177.8619430996</v>
      </c>
      <c r="L83" s="3">
        <f t="shared" si="20"/>
        <v>0</v>
      </c>
      <c r="M83" s="47">
        <f t="shared" si="14"/>
        <v>7477388.7666570861</v>
      </c>
      <c r="N83" s="47">
        <f>'Monthly Data'!BX83</f>
        <v>1486.2445769230771</v>
      </c>
      <c r="O83" s="47">
        <f t="shared" si="15"/>
        <v>7478875.0112340087</v>
      </c>
      <c r="P83" s="47">
        <f t="shared" ca="1" si="16"/>
        <v>-337987.23106871452</v>
      </c>
      <c r="Q83" s="18">
        <f t="shared" ca="1" si="21"/>
        <v>4.3238222779419078E-2</v>
      </c>
    </row>
    <row r="84" spans="1:25">
      <c r="A84" s="2">
        <f>'Monthly Data'!A84</f>
        <v>44866</v>
      </c>
      <c r="B84">
        <f>'Monthly Data'!B84</f>
        <v>2022</v>
      </c>
      <c r="C84">
        <f>'Monthly Data'!C84</f>
        <v>11</v>
      </c>
      <c r="D84" s="3">
        <f ca="1">'Monthly Data'!BW84</f>
        <v>7736024.7652023928</v>
      </c>
      <c r="E84" s="3">
        <f>'Monthly Data'!DQ84</f>
        <v>30</v>
      </c>
      <c r="F84" s="3">
        <f>'Monthly Data'!CJ84</f>
        <v>3</v>
      </c>
      <c r="G84" s="3">
        <f>'Monthly Data'!ED84</f>
        <v>0</v>
      </c>
      <c r="I84" s="3">
        <f t="shared" si="17"/>
        <v>-5182660.36787258</v>
      </c>
      <c r="J84" s="3">
        <f t="shared" si="18"/>
        <v>5561488.3283095798</v>
      </c>
      <c r="K84" s="3">
        <f t="shared" si="19"/>
        <v>6913177.8619430996</v>
      </c>
      <c r="L84" s="3">
        <f t="shared" si="20"/>
        <v>0</v>
      </c>
      <c r="M84" s="47">
        <f t="shared" si="14"/>
        <v>7292005.8223800994</v>
      </c>
      <c r="N84" s="47">
        <f>'Monthly Data'!BX84</f>
        <v>1544.4537179487181</v>
      </c>
      <c r="O84" s="47">
        <f t="shared" si="15"/>
        <v>7293550.2760980483</v>
      </c>
      <c r="P84" s="47">
        <f t="shared" ca="1" si="16"/>
        <v>-442474.48910434451</v>
      </c>
      <c r="Q84" s="18">
        <f t="shared" ca="1" si="21"/>
        <v>5.7196622623889484E-2</v>
      </c>
    </row>
    <row r="85" spans="1:25">
      <c r="A85" s="2">
        <f>'Monthly Data'!A85</f>
        <v>44896</v>
      </c>
      <c r="B85">
        <f>'Monthly Data'!B85</f>
        <v>2022</v>
      </c>
      <c r="C85">
        <f>'Monthly Data'!C85</f>
        <v>12</v>
      </c>
      <c r="D85" s="3">
        <f ca="1">'Monthly Data'!BW85</f>
        <v>7349770.8368002307</v>
      </c>
      <c r="E85" s="3">
        <f>'Monthly Data'!DQ85</f>
        <v>31</v>
      </c>
      <c r="F85" s="3">
        <f>'Monthly Data'!CJ85</f>
        <v>3</v>
      </c>
      <c r="G85" s="3">
        <f>'Monthly Data'!ED85</f>
        <v>1</v>
      </c>
      <c r="I85" s="3">
        <f t="shared" si="17"/>
        <v>-5182660.36787258</v>
      </c>
      <c r="J85" s="3">
        <f t="shared" si="18"/>
        <v>5746871.2725865664</v>
      </c>
      <c r="K85" s="3">
        <f t="shared" si="19"/>
        <v>6913177.8619430996</v>
      </c>
      <c r="L85" s="3">
        <f t="shared" si="20"/>
        <v>-145191.56089796999</v>
      </c>
      <c r="M85" s="47">
        <f t="shared" si="14"/>
        <v>7332197.2057591164</v>
      </c>
      <c r="N85" s="47">
        <f>'Monthly Data'!BX85</f>
        <v>1602.6628589743591</v>
      </c>
      <c r="O85" s="47">
        <f t="shared" si="15"/>
        <v>7333799.8686180906</v>
      </c>
      <c r="P85" s="47">
        <f t="shared" ca="1" si="16"/>
        <v>-15970.96818214003</v>
      </c>
      <c r="Q85" s="18">
        <f t="shared" ca="1" si="21"/>
        <v>2.1729885919943991E-3</v>
      </c>
    </row>
    <row r="86" spans="1:25">
      <c r="A86" s="2">
        <f>'Monthly Data'!A86</f>
        <v>44927</v>
      </c>
      <c r="B86">
        <f>'Monthly Data'!B86</f>
        <v>2023</v>
      </c>
      <c r="C86">
        <f>'Monthly Data'!C86</f>
        <v>1</v>
      </c>
      <c r="D86" s="3">
        <f ca="1">'Monthly Data'!BW86</f>
        <v>8004724.5071544191</v>
      </c>
      <c r="E86" s="3">
        <f>'Monthly Data'!DQ86</f>
        <v>31</v>
      </c>
      <c r="F86" s="3">
        <f>'Monthly Data'!CJ86</f>
        <v>3</v>
      </c>
      <c r="G86" s="3">
        <f>'Monthly Data'!ED86</f>
        <v>0</v>
      </c>
      <c r="I86" s="3">
        <f t="shared" si="17"/>
        <v>-5182660.36787258</v>
      </c>
      <c r="J86" s="3">
        <f t="shared" si="18"/>
        <v>5746871.2725865664</v>
      </c>
      <c r="K86" s="3">
        <f t="shared" si="19"/>
        <v>6913177.8619430996</v>
      </c>
      <c r="L86" s="3">
        <f t="shared" si="20"/>
        <v>0</v>
      </c>
      <c r="M86" s="47">
        <f t="shared" si="14"/>
        <v>7477388.7666570861</v>
      </c>
      <c r="N86" s="47">
        <f>'Monthly Data'!BX86</f>
        <v>1746.7328205128206</v>
      </c>
      <c r="O86" s="47">
        <f t="shared" si="15"/>
        <v>7479135.4994775988</v>
      </c>
      <c r="P86" s="47">
        <f t="shared" ca="1" si="16"/>
        <v>-525589.00767682027</v>
      </c>
      <c r="Q86" s="18">
        <f t="shared" ca="1" si="21"/>
        <v>6.5659849655920352E-2</v>
      </c>
    </row>
    <row r="87" spans="1:25">
      <c r="A87" s="2">
        <f>'Monthly Data'!A87</f>
        <v>44958</v>
      </c>
      <c r="B87">
        <f>'Monthly Data'!B87</f>
        <v>2023</v>
      </c>
      <c r="C87">
        <f>'Monthly Data'!C87</f>
        <v>2</v>
      </c>
      <c r="D87" s="3">
        <f ca="1">'Monthly Data'!BW87</f>
        <v>7496516.6737266537</v>
      </c>
      <c r="E87" s="3">
        <f>'Monthly Data'!DQ87</f>
        <v>28</v>
      </c>
      <c r="F87" s="3">
        <f>'Monthly Data'!CJ87</f>
        <v>3</v>
      </c>
      <c r="G87" s="3">
        <f>'Monthly Data'!ED87</f>
        <v>0</v>
      </c>
      <c r="I87" s="3">
        <f t="shared" si="17"/>
        <v>-5182660.36787258</v>
      </c>
      <c r="J87" s="3">
        <f t="shared" si="18"/>
        <v>5190722.4397556083</v>
      </c>
      <c r="K87" s="3">
        <f t="shared" si="19"/>
        <v>6913177.8619430996</v>
      </c>
      <c r="L87" s="3">
        <f t="shared" si="20"/>
        <v>0</v>
      </c>
      <c r="M87" s="47">
        <f t="shared" si="14"/>
        <v>6921239.933826128</v>
      </c>
      <c r="N87" s="47">
        <f>'Monthly Data'!BX87</f>
        <v>1832.5936410256411</v>
      </c>
      <c r="O87" s="47">
        <f t="shared" si="15"/>
        <v>6923072.527467154</v>
      </c>
      <c r="P87" s="47">
        <f t="shared" ca="1" si="16"/>
        <v>-573444.14625949971</v>
      </c>
      <c r="Q87" s="18">
        <f t="shared" ca="1" si="21"/>
        <v>7.649474698952817E-2</v>
      </c>
    </row>
    <row r="88" spans="1:25">
      <c r="A88" s="2">
        <f>'Monthly Data'!A88</f>
        <v>44986</v>
      </c>
      <c r="B88">
        <f>'Monthly Data'!B88</f>
        <v>2023</v>
      </c>
      <c r="C88">
        <f>'Monthly Data'!C88</f>
        <v>3</v>
      </c>
      <c r="D88" s="3">
        <f ca="1">'Monthly Data'!BW88</f>
        <v>7916052.7457955144</v>
      </c>
      <c r="E88" s="3">
        <f>'Monthly Data'!DQ88</f>
        <v>31</v>
      </c>
      <c r="F88" s="3">
        <f>'Monthly Data'!CJ88</f>
        <v>3</v>
      </c>
      <c r="G88" s="3">
        <f>'Monthly Data'!ED88</f>
        <v>0</v>
      </c>
      <c r="I88" s="3">
        <f t="shared" si="17"/>
        <v>-5182660.36787258</v>
      </c>
      <c r="J88" s="3">
        <f t="shared" si="18"/>
        <v>5746871.2725865664</v>
      </c>
      <c r="K88" s="3">
        <f t="shared" si="19"/>
        <v>6913177.8619430996</v>
      </c>
      <c r="L88" s="3">
        <f t="shared" si="20"/>
        <v>0</v>
      </c>
      <c r="M88" s="47">
        <f t="shared" si="14"/>
        <v>7477388.7666570861</v>
      </c>
      <c r="N88" s="47">
        <f>'Monthly Data'!BX88</f>
        <v>1918.4544615384616</v>
      </c>
      <c r="O88" s="47">
        <f t="shared" si="15"/>
        <v>7479307.2211186243</v>
      </c>
      <c r="P88" s="47">
        <f t="shared" ca="1" si="16"/>
        <v>-436745.52467689011</v>
      </c>
      <c r="Q88" s="18">
        <f t="shared" ca="1" si="21"/>
        <v>5.5172134231781182E-2</v>
      </c>
    </row>
    <row r="89" spans="1:25">
      <c r="A89" s="2">
        <f>'Monthly Data'!A89</f>
        <v>45017</v>
      </c>
      <c r="B89">
        <f>'Monthly Data'!B89</f>
        <v>2023</v>
      </c>
      <c r="C89">
        <f>'Monthly Data'!C89</f>
        <v>4</v>
      </c>
      <c r="D89" s="3">
        <f ca="1">'Monthly Data'!BW89</f>
        <v>7189802.5787129765</v>
      </c>
      <c r="E89" s="3">
        <f>'Monthly Data'!DQ89</f>
        <v>30</v>
      </c>
      <c r="F89" s="3">
        <f>'Monthly Data'!CJ89</f>
        <v>3</v>
      </c>
      <c r="G89" s="3">
        <f>'Monthly Data'!ED89</f>
        <v>0</v>
      </c>
      <c r="I89" s="3">
        <f t="shared" si="17"/>
        <v>-5182660.36787258</v>
      </c>
      <c r="J89" s="3">
        <f t="shared" si="18"/>
        <v>5561488.3283095798</v>
      </c>
      <c r="K89" s="3">
        <f t="shared" si="19"/>
        <v>6913177.8619430996</v>
      </c>
      <c r="L89" s="3">
        <f t="shared" si="20"/>
        <v>0</v>
      </c>
      <c r="M89" s="47">
        <f t="shared" si="14"/>
        <v>7292005.8223800994</v>
      </c>
      <c r="N89" s="47">
        <f>'Monthly Data'!BX89</f>
        <v>2004.3152820512821</v>
      </c>
      <c r="O89" s="47">
        <f t="shared" si="15"/>
        <v>7294010.1376621509</v>
      </c>
      <c r="P89" s="47">
        <f t="shared" ca="1" si="16"/>
        <v>104207.55894917436</v>
      </c>
      <c r="Q89" s="18">
        <f t="shared" ca="1" si="21"/>
        <v>1.4493799768258479E-2</v>
      </c>
      <c r="Y89" s="3"/>
    </row>
    <row r="90" spans="1:25">
      <c r="A90" s="2">
        <f>'Monthly Data'!A90</f>
        <v>45047</v>
      </c>
      <c r="B90">
        <f>'Monthly Data'!B90</f>
        <v>2023</v>
      </c>
      <c r="C90">
        <f>'Monthly Data'!C90</f>
        <v>5</v>
      </c>
      <c r="D90" s="3">
        <f ca="1">'Monthly Data'!BW90</f>
        <v>7349692.0355455782</v>
      </c>
      <c r="E90" s="3">
        <f>'Monthly Data'!DQ90</f>
        <v>31</v>
      </c>
      <c r="F90" s="3">
        <f>'Monthly Data'!CJ90</f>
        <v>3</v>
      </c>
      <c r="G90" s="3">
        <f>'Monthly Data'!ED90</f>
        <v>0</v>
      </c>
      <c r="I90" s="3">
        <f t="shared" si="17"/>
        <v>-5182660.36787258</v>
      </c>
      <c r="J90" s="3">
        <f t="shared" si="18"/>
        <v>5746871.2725865664</v>
      </c>
      <c r="K90" s="3">
        <f t="shared" si="19"/>
        <v>6913177.8619430996</v>
      </c>
      <c r="L90" s="3">
        <f t="shared" si="20"/>
        <v>0</v>
      </c>
      <c r="M90" s="47">
        <f t="shared" si="14"/>
        <v>7477388.7666570861</v>
      </c>
      <c r="N90" s="47">
        <f>'Monthly Data'!BX90</f>
        <v>2090.1761025641026</v>
      </c>
      <c r="O90" s="47">
        <f t="shared" si="15"/>
        <v>7479478.9427596498</v>
      </c>
      <c r="P90" s="47">
        <f t="shared" ca="1" si="16"/>
        <v>129786.9072140716</v>
      </c>
      <c r="Q90" s="18">
        <f t="shared" ca="1" si="21"/>
        <v>1.76588225175121E-2</v>
      </c>
      <c r="Y90" s="3"/>
    </row>
    <row r="91" spans="1:25">
      <c r="A91" s="2">
        <f>'Monthly Data'!A91</f>
        <v>45078</v>
      </c>
      <c r="B91">
        <f>'Monthly Data'!B91</f>
        <v>2023</v>
      </c>
      <c r="C91">
        <f>'Monthly Data'!C91</f>
        <v>6</v>
      </c>
      <c r="D91" s="3">
        <f ca="1">'Monthly Data'!BW91</f>
        <v>7037759.0815777946</v>
      </c>
      <c r="E91" s="3">
        <f>'Monthly Data'!DQ91</f>
        <v>30</v>
      </c>
      <c r="F91" s="3">
        <f>'Monthly Data'!CJ91</f>
        <v>3</v>
      </c>
      <c r="G91" s="3">
        <f>'Monthly Data'!ED91</f>
        <v>0</v>
      </c>
      <c r="I91" s="3">
        <f t="shared" si="17"/>
        <v>-5182660.36787258</v>
      </c>
      <c r="J91" s="3">
        <f t="shared" si="18"/>
        <v>5561488.3283095798</v>
      </c>
      <c r="K91" s="3">
        <f t="shared" si="19"/>
        <v>6913177.8619430996</v>
      </c>
      <c r="L91" s="3">
        <f t="shared" si="20"/>
        <v>0</v>
      </c>
      <c r="M91" s="47">
        <f t="shared" si="14"/>
        <v>7292005.8223800994</v>
      </c>
      <c r="N91" s="47">
        <f>'Monthly Data'!BX91</f>
        <v>2176.0369230769229</v>
      </c>
      <c r="O91" s="47">
        <f t="shared" si="15"/>
        <v>7294181.8593031764</v>
      </c>
      <c r="P91" s="47">
        <f t="shared" ca="1" si="16"/>
        <v>256422.77772538178</v>
      </c>
      <c r="Q91" s="18">
        <f t="shared" ca="1" si="21"/>
        <v>3.6435287817197397E-2</v>
      </c>
      <c r="Y91" s="3"/>
    </row>
    <row r="92" spans="1:25">
      <c r="A92" s="2">
        <f>'Monthly Data'!A92</f>
        <v>45108</v>
      </c>
      <c r="B92">
        <f>'Monthly Data'!B92</f>
        <v>2023</v>
      </c>
      <c r="C92">
        <f>'Monthly Data'!C92</f>
        <v>7</v>
      </c>
      <c r="D92" s="3">
        <f ca="1">'Monthly Data'!BW92</f>
        <v>7093177.9019590942</v>
      </c>
      <c r="E92" s="3">
        <f>'Monthly Data'!DQ92</f>
        <v>31</v>
      </c>
      <c r="F92" s="3">
        <f>'Monthly Data'!CJ92</f>
        <v>3</v>
      </c>
      <c r="G92" s="3">
        <f>'Monthly Data'!ED92</f>
        <v>0</v>
      </c>
      <c r="I92" s="3">
        <f t="shared" si="17"/>
        <v>-5182660.36787258</v>
      </c>
      <c r="J92" s="3">
        <f t="shared" si="18"/>
        <v>5746871.2725865664</v>
      </c>
      <c r="K92" s="3">
        <f t="shared" si="19"/>
        <v>6913177.8619430996</v>
      </c>
      <c r="L92" s="3">
        <f t="shared" si="20"/>
        <v>0</v>
      </c>
      <c r="M92" s="47">
        <f t="shared" si="14"/>
        <v>7477388.7666570861</v>
      </c>
      <c r="N92" s="47">
        <f>'Monthly Data'!BX92</f>
        <v>2261.8977435897436</v>
      </c>
      <c r="O92" s="47">
        <f t="shared" si="15"/>
        <v>7479650.6644006763</v>
      </c>
      <c r="P92" s="47">
        <f t="shared" ca="1" si="16"/>
        <v>386472.76244158205</v>
      </c>
      <c r="Q92" s="18">
        <f t="shared" ca="1" si="21"/>
        <v>5.4485135969145865E-2</v>
      </c>
      <c r="Y92" s="3"/>
    </row>
    <row r="93" spans="1:25">
      <c r="A93" s="2">
        <f>'Monthly Data'!A93</f>
        <v>45139</v>
      </c>
      <c r="B93">
        <f>'Monthly Data'!B93</f>
        <v>2023</v>
      </c>
      <c r="C93">
        <f>'Monthly Data'!C93</f>
        <v>8</v>
      </c>
      <c r="D93" s="3">
        <f ca="1">'Monthly Data'!BW93</f>
        <v>7842158.8534879349</v>
      </c>
      <c r="E93" s="3">
        <f>'Monthly Data'!DQ93</f>
        <v>31</v>
      </c>
      <c r="F93" s="3">
        <f>'Monthly Data'!CJ93</f>
        <v>3</v>
      </c>
      <c r="G93" s="3">
        <f>'Monthly Data'!ED93</f>
        <v>0</v>
      </c>
      <c r="I93" s="3">
        <f t="shared" si="17"/>
        <v>-5182660.36787258</v>
      </c>
      <c r="J93" s="3">
        <f t="shared" si="18"/>
        <v>5746871.2725865664</v>
      </c>
      <c r="K93" s="3">
        <f t="shared" si="19"/>
        <v>6913177.8619430996</v>
      </c>
      <c r="L93" s="3">
        <f t="shared" si="20"/>
        <v>0</v>
      </c>
      <c r="M93" s="47">
        <f t="shared" si="14"/>
        <v>7477388.7666570861</v>
      </c>
      <c r="N93" s="47">
        <f>'Monthly Data'!BX93</f>
        <v>2347.7585641025644</v>
      </c>
      <c r="O93" s="47">
        <f t="shared" si="15"/>
        <v>7479736.5252211886</v>
      </c>
      <c r="P93" s="47">
        <f t="shared" ca="1" si="16"/>
        <v>-362422.32826674636</v>
      </c>
      <c r="Q93" s="18">
        <f t="shared" ca="1" si="21"/>
        <v>4.6214611950324468E-2</v>
      </c>
      <c r="Y93" s="3"/>
    </row>
    <row r="94" spans="1:25">
      <c r="A94" s="2">
        <f>'Monthly Data'!A94</f>
        <v>45170</v>
      </c>
      <c r="B94">
        <f>'Monthly Data'!B94</f>
        <v>2023</v>
      </c>
      <c r="C94">
        <f>'Monthly Data'!C94</f>
        <v>9</v>
      </c>
      <c r="D94" s="3">
        <f ca="1">'Monthly Data'!BW94</f>
        <v>7491489.718227963</v>
      </c>
      <c r="E94" s="3">
        <f>'Monthly Data'!DQ94</f>
        <v>30</v>
      </c>
      <c r="F94" s="3">
        <f>'Monthly Data'!CJ94</f>
        <v>3</v>
      </c>
      <c r="G94" s="3">
        <f>'Monthly Data'!ED94</f>
        <v>0</v>
      </c>
      <c r="I94" s="3">
        <f t="shared" si="17"/>
        <v>-5182660.36787258</v>
      </c>
      <c r="J94" s="3">
        <f t="shared" si="18"/>
        <v>5561488.3283095798</v>
      </c>
      <c r="K94" s="3">
        <f t="shared" si="19"/>
        <v>6913177.8619430996</v>
      </c>
      <c r="L94" s="3">
        <f t="shared" si="20"/>
        <v>0</v>
      </c>
      <c r="M94" s="47">
        <f t="shared" si="14"/>
        <v>7292005.8223800994</v>
      </c>
      <c r="N94" s="47">
        <f>'Monthly Data'!BX94</f>
        <v>2433.6193846153847</v>
      </c>
      <c r="O94" s="47">
        <f t="shared" si="15"/>
        <v>7294439.4417647151</v>
      </c>
      <c r="P94" s="47">
        <f t="shared" ca="1" si="16"/>
        <v>-197050.27646324784</v>
      </c>
      <c r="Q94" s="18">
        <f t="shared" ca="1" si="21"/>
        <v>2.6303216566365136E-2</v>
      </c>
      <c r="Y94" s="3"/>
    </row>
    <row r="95" spans="1:25">
      <c r="A95" s="2">
        <f>'Monthly Data'!A95</f>
        <v>45200</v>
      </c>
      <c r="B95">
        <f>'Monthly Data'!B95</f>
        <v>2023</v>
      </c>
      <c r="C95">
        <f>'Monthly Data'!C95</f>
        <v>10</v>
      </c>
      <c r="D95" s="3">
        <f ca="1">'Monthly Data'!BW95</f>
        <v>7667399.4450702071</v>
      </c>
      <c r="E95" s="3">
        <f>'Monthly Data'!DQ95</f>
        <v>31</v>
      </c>
      <c r="F95" s="3">
        <f>'Monthly Data'!CJ95</f>
        <v>3</v>
      </c>
      <c r="G95" s="3">
        <f>'Monthly Data'!ED95</f>
        <v>0</v>
      </c>
      <c r="I95" s="3">
        <f t="shared" si="17"/>
        <v>-5182660.36787258</v>
      </c>
      <c r="J95" s="3">
        <f t="shared" si="18"/>
        <v>5746871.2725865664</v>
      </c>
      <c r="K95" s="3">
        <f t="shared" si="19"/>
        <v>6913177.8619430996</v>
      </c>
      <c r="L95" s="3">
        <f t="shared" si="20"/>
        <v>0</v>
      </c>
      <c r="M95" s="47">
        <f t="shared" si="14"/>
        <v>7477388.7666570861</v>
      </c>
      <c r="N95" s="47">
        <f>'Monthly Data'!BX95</f>
        <v>2519.4802051282054</v>
      </c>
      <c r="O95" s="47">
        <f t="shared" si="15"/>
        <v>7479908.2468622141</v>
      </c>
      <c r="P95" s="47">
        <f t="shared" ca="1" si="16"/>
        <v>-187491.19820799306</v>
      </c>
      <c r="Q95" s="18">
        <f t="shared" ca="1" si="21"/>
        <v>2.4453036463170243E-2</v>
      </c>
      <c r="Y95" s="3"/>
    </row>
    <row r="96" spans="1:25">
      <c r="A96" s="2">
        <f>'Monthly Data'!A96</f>
        <v>45231</v>
      </c>
      <c r="B96">
        <f>'Monthly Data'!B96</f>
        <v>2023</v>
      </c>
      <c r="C96">
        <f>'Monthly Data'!C96</f>
        <v>11</v>
      </c>
      <c r="D96" s="3">
        <f ca="1">'Monthly Data'!BW96</f>
        <v>7487198.4004563289</v>
      </c>
      <c r="E96" s="3">
        <f>'Monthly Data'!DQ96</f>
        <v>30</v>
      </c>
      <c r="F96" s="3">
        <f>'Monthly Data'!CJ96</f>
        <v>3</v>
      </c>
      <c r="G96" s="3">
        <f>'Monthly Data'!ED96</f>
        <v>0</v>
      </c>
      <c r="I96" s="3">
        <f t="shared" si="17"/>
        <v>-5182660.36787258</v>
      </c>
      <c r="J96" s="3">
        <f t="shared" si="18"/>
        <v>5561488.3283095798</v>
      </c>
      <c r="K96" s="3">
        <f t="shared" si="19"/>
        <v>6913177.8619430996</v>
      </c>
      <c r="L96" s="3">
        <f t="shared" si="20"/>
        <v>0</v>
      </c>
      <c r="M96" s="47">
        <f t="shared" si="14"/>
        <v>7292005.8223800994</v>
      </c>
      <c r="N96" s="47">
        <f>'Monthly Data'!BX96</f>
        <v>2605.3410256410257</v>
      </c>
      <c r="O96" s="47">
        <f t="shared" si="15"/>
        <v>7294611.1634057406</v>
      </c>
      <c r="P96" s="47">
        <f t="shared" ca="1" si="16"/>
        <v>-192587.23705058824</v>
      </c>
      <c r="Q96" s="18">
        <f t="shared" ca="1" si="21"/>
        <v>2.5722202985678923E-2</v>
      </c>
      <c r="Y96" s="3"/>
    </row>
    <row r="97" spans="1:25">
      <c r="A97" s="2">
        <f>'Monthly Data'!A97</f>
        <v>45261</v>
      </c>
      <c r="B97">
        <f>'Monthly Data'!B97</f>
        <v>2023</v>
      </c>
      <c r="C97">
        <f>'Monthly Data'!C97</f>
        <v>12</v>
      </c>
      <c r="D97" s="3">
        <f ca="1">'Monthly Data'!BW97</f>
        <v>7522038.6962474659</v>
      </c>
      <c r="E97" s="3">
        <f>'Monthly Data'!DQ97</f>
        <v>31</v>
      </c>
      <c r="F97" s="3">
        <f>'Monthly Data'!CJ97</f>
        <v>3</v>
      </c>
      <c r="G97" s="3">
        <f>'Monthly Data'!ED97</f>
        <v>1</v>
      </c>
      <c r="I97" s="3">
        <f t="shared" si="17"/>
        <v>-5182660.36787258</v>
      </c>
      <c r="J97" s="3">
        <f t="shared" si="18"/>
        <v>5746871.2725865664</v>
      </c>
      <c r="K97" s="3">
        <f t="shared" si="19"/>
        <v>6913177.8619430996</v>
      </c>
      <c r="L97" s="3">
        <f t="shared" si="20"/>
        <v>-145191.56089796999</v>
      </c>
      <c r="M97" s="47">
        <f t="shared" si="14"/>
        <v>7332197.2057591164</v>
      </c>
      <c r="N97" s="47">
        <f>'Monthly Data'!BX97</f>
        <v>2691.2018461538464</v>
      </c>
      <c r="O97" s="47">
        <f t="shared" si="15"/>
        <v>7334888.4076052699</v>
      </c>
      <c r="P97" s="47">
        <f t="shared" ca="1" si="16"/>
        <v>-187150.28864219598</v>
      </c>
      <c r="Q97" s="18">
        <f t="shared" ca="1" si="21"/>
        <v>2.4880261349301488E-2</v>
      </c>
      <c r="Y97" s="3"/>
    </row>
    <row r="98" spans="1:25">
      <c r="A98" s="2">
        <f>'Monthly Data'!A98</f>
        <v>45292</v>
      </c>
      <c r="B98">
        <f>'Monthly Data'!B98</f>
        <v>2024</v>
      </c>
      <c r="C98">
        <f>'Monthly Data'!C98</f>
        <v>1</v>
      </c>
      <c r="D98" s="3">
        <f ca="1">'Monthly Data'!BW98</f>
        <v>7826708.6426535351</v>
      </c>
      <c r="E98" s="3">
        <f>'Monthly Data'!DQ98</f>
        <v>31</v>
      </c>
      <c r="F98" s="3">
        <f>'Monthly Data'!CJ98</f>
        <v>3</v>
      </c>
      <c r="G98" s="3">
        <f>'Monthly Data'!ED98</f>
        <v>0</v>
      </c>
      <c r="I98" s="3">
        <f t="shared" ref="I98:I121" si="22">$U$8</f>
        <v>-5182660.36787258</v>
      </c>
      <c r="J98" s="3">
        <f t="shared" ref="J98:J121" si="23">E98*$U$9</f>
        <v>5746871.2725865664</v>
      </c>
      <c r="K98" s="3">
        <f t="shared" ref="K98:K121" si="24">F98*$U$10</f>
        <v>6913177.8619430996</v>
      </c>
      <c r="L98" s="3">
        <f t="shared" ref="L98:L121" si="25">G98*$U$11</f>
        <v>0</v>
      </c>
      <c r="M98" s="47">
        <f t="shared" si="14"/>
        <v>7477388.7666570861</v>
      </c>
      <c r="N98" s="47">
        <f>'Monthly Data'!BX98</f>
        <v>2978.5560256410258</v>
      </c>
      <c r="O98" s="47">
        <f t="shared" si="15"/>
        <v>7480367.3226827271</v>
      </c>
      <c r="P98" s="47">
        <f t="shared" ca="1" si="16"/>
        <v>-346341.31997080799</v>
      </c>
      <c r="Q98" s="18">
        <f t="shared" ref="Q98:Q109" ca="1" si="26">ABS(P98/D98)</f>
        <v>4.4251209005448024E-2</v>
      </c>
      <c r="Y98" s="3"/>
    </row>
    <row r="99" spans="1:25">
      <c r="A99" s="2">
        <f>'Monthly Data'!A99</f>
        <v>45323</v>
      </c>
      <c r="B99">
        <f>'Monthly Data'!B99</f>
        <v>2024</v>
      </c>
      <c r="C99">
        <f>'Monthly Data'!C99</f>
        <v>2</v>
      </c>
      <c r="D99" s="3">
        <f ca="1">'Monthly Data'!BW99</f>
        <v>7401020.897422784</v>
      </c>
      <c r="E99" s="3">
        <f>'Monthly Data'!DQ99</f>
        <v>29</v>
      </c>
      <c r="F99" s="3">
        <f>'Monthly Data'!CJ99</f>
        <v>3</v>
      </c>
      <c r="G99" s="3">
        <f>'Monthly Data'!ED99</f>
        <v>0</v>
      </c>
      <c r="I99" s="3">
        <f t="shared" si="22"/>
        <v>-5182660.36787258</v>
      </c>
      <c r="J99" s="3">
        <f t="shared" si="23"/>
        <v>5376105.384032594</v>
      </c>
      <c r="K99" s="3">
        <f t="shared" si="24"/>
        <v>6913177.8619430996</v>
      </c>
      <c r="L99" s="3">
        <f t="shared" si="25"/>
        <v>0</v>
      </c>
      <c r="M99" s="47">
        <f t="shared" si="14"/>
        <v>7106622.8781031137</v>
      </c>
      <c r="N99" s="47">
        <f>'Monthly Data'!BX99</f>
        <v>3180.0493846153845</v>
      </c>
      <c r="O99" s="47">
        <f t="shared" si="15"/>
        <v>7109802.9274877291</v>
      </c>
      <c r="P99" s="47">
        <f t="shared" ca="1" si="16"/>
        <v>-291217.96993505489</v>
      </c>
      <c r="Q99" s="18">
        <f t="shared" ca="1" si="26"/>
        <v>3.9348351257387219E-2</v>
      </c>
      <c r="Y99" s="3"/>
    </row>
    <row r="100" spans="1:25">
      <c r="A100" s="2">
        <f>'Monthly Data'!A100</f>
        <v>45352</v>
      </c>
      <c r="B100">
        <f>'Monthly Data'!B100</f>
        <v>2024</v>
      </c>
      <c r="C100">
        <f>'Monthly Data'!C100</f>
        <v>3</v>
      </c>
      <c r="D100" s="3">
        <f ca="1">'Monthly Data'!BW100</f>
        <v>7811672.573599942</v>
      </c>
      <c r="E100" s="3">
        <f>'Monthly Data'!DQ100</f>
        <v>31</v>
      </c>
      <c r="F100" s="3">
        <f>'Monthly Data'!CJ100</f>
        <v>3</v>
      </c>
      <c r="G100" s="3">
        <f>'Monthly Data'!ED100</f>
        <v>0</v>
      </c>
      <c r="I100" s="3">
        <f t="shared" si="22"/>
        <v>-5182660.36787258</v>
      </c>
      <c r="J100" s="3">
        <f t="shared" si="23"/>
        <v>5746871.2725865664</v>
      </c>
      <c r="K100" s="3">
        <f t="shared" si="24"/>
        <v>6913177.8619430996</v>
      </c>
      <c r="L100" s="3">
        <f t="shared" si="25"/>
        <v>0</v>
      </c>
      <c r="M100" s="47">
        <f t="shared" si="14"/>
        <v>7477388.7666570861</v>
      </c>
      <c r="N100" s="47">
        <f>'Monthly Data'!BX100</f>
        <v>3381.5427435897436</v>
      </c>
      <c r="O100" s="47">
        <f t="shared" si="15"/>
        <v>7480770.3094006758</v>
      </c>
      <c r="P100" s="47">
        <f t="shared" ca="1" si="16"/>
        <v>-330902.26419926621</v>
      </c>
      <c r="Q100" s="18">
        <f t="shared" ca="1" si="26"/>
        <v>4.2359976187119265E-2</v>
      </c>
      <c r="Y100" s="3"/>
    </row>
    <row r="101" spans="1:25">
      <c r="A101" s="2">
        <f>'Monthly Data'!A101</f>
        <v>45383</v>
      </c>
      <c r="B101">
        <f>'Monthly Data'!B101</f>
        <v>2024</v>
      </c>
      <c r="C101">
        <f>'Monthly Data'!C101</f>
        <v>4</v>
      </c>
      <c r="D101" s="3">
        <f ca="1">'Monthly Data'!BW101</f>
        <v>6907362.9479448907</v>
      </c>
      <c r="E101" s="3">
        <f>'Monthly Data'!DQ101</f>
        <v>30</v>
      </c>
      <c r="F101" s="3">
        <f>'Monthly Data'!CJ101</f>
        <v>3</v>
      </c>
      <c r="G101" s="3">
        <f>'Monthly Data'!ED101</f>
        <v>0</v>
      </c>
      <c r="I101" s="3">
        <f t="shared" si="22"/>
        <v>-5182660.36787258</v>
      </c>
      <c r="J101" s="3">
        <f t="shared" si="23"/>
        <v>5561488.3283095798</v>
      </c>
      <c r="K101" s="3">
        <f t="shared" si="24"/>
        <v>6913177.8619430996</v>
      </c>
      <c r="L101" s="3">
        <f t="shared" si="25"/>
        <v>0</v>
      </c>
      <c r="M101" s="47">
        <f t="shared" si="14"/>
        <v>7292005.8223800994</v>
      </c>
      <c r="N101" s="47">
        <f>'Monthly Data'!BX101</f>
        <v>3583.0361025641023</v>
      </c>
      <c r="O101" s="47">
        <f t="shared" si="15"/>
        <v>7295588.8584826635</v>
      </c>
      <c r="P101" s="47">
        <f t="shared" ca="1" si="16"/>
        <v>388225.91053777281</v>
      </c>
      <c r="Q101" s="18">
        <f t="shared" ca="1" si="26"/>
        <v>5.6204649077153168E-2</v>
      </c>
    </row>
    <row r="102" spans="1:25">
      <c r="A102" s="2">
        <f>'Monthly Data'!A102</f>
        <v>45413</v>
      </c>
      <c r="B102">
        <f>'Monthly Data'!B102</f>
        <v>2024</v>
      </c>
      <c r="C102">
        <f>'Monthly Data'!C102</f>
        <v>5</v>
      </c>
      <c r="D102" s="3">
        <f ca="1">'Monthly Data'!BW102</f>
        <v>7313678.4042570516</v>
      </c>
      <c r="E102" s="3">
        <f>'Monthly Data'!DQ102</f>
        <v>31</v>
      </c>
      <c r="F102" s="3">
        <f>'Monthly Data'!CJ102</f>
        <v>3</v>
      </c>
      <c r="G102" s="3">
        <f>'Monthly Data'!ED102</f>
        <v>0</v>
      </c>
      <c r="I102" s="3">
        <f t="shared" si="22"/>
        <v>-5182660.36787258</v>
      </c>
      <c r="J102" s="3">
        <f t="shared" si="23"/>
        <v>5746871.2725865664</v>
      </c>
      <c r="K102" s="3">
        <f t="shared" si="24"/>
        <v>6913177.8619430996</v>
      </c>
      <c r="L102" s="3">
        <f t="shared" si="25"/>
        <v>0</v>
      </c>
      <c r="M102" s="47">
        <f t="shared" si="14"/>
        <v>7477388.7666570861</v>
      </c>
      <c r="N102" s="47">
        <f>'Monthly Data'!BX102</f>
        <v>3784.529461538461</v>
      </c>
      <c r="O102" s="47">
        <f t="shared" si="15"/>
        <v>7481173.2961186245</v>
      </c>
      <c r="P102" s="47">
        <f t="shared" ca="1" si="16"/>
        <v>167494.89186157286</v>
      </c>
      <c r="Q102" s="18">
        <f t="shared" ca="1" si="26"/>
        <v>2.2901593781328913E-2</v>
      </c>
      <c r="Y102" s="3"/>
    </row>
    <row r="103" spans="1:25">
      <c r="A103" s="2">
        <f>'Monthly Data'!A103</f>
        <v>45444</v>
      </c>
      <c r="B103">
        <f>'Monthly Data'!B103</f>
        <v>2024</v>
      </c>
      <c r="C103">
        <f>'Monthly Data'!C103</f>
        <v>6</v>
      </c>
      <c r="D103" s="3">
        <f ca="1">'Monthly Data'!BW103</f>
        <v>7337715.7699231198</v>
      </c>
      <c r="E103" s="3">
        <f>'Monthly Data'!DQ103</f>
        <v>30</v>
      </c>
      <c r="F103" s="3">
        <f>'Monthly Data'!CJ103</f>
        <v>3</v>
      </c>
      <c r="G103" s="3">
        <f>'Monthly Data'!ED103</f>
        <v>0</v>
      </c>
      <c r="I103" s="3">
        <f t="shared" si="22"/>
        <v>-5182660.36787258</v>
      </c>
      <c r="J103" s="3">
        <f t="shared" si="23"/>
        <v>5561488.3283095798</v>
      </c>
      <c r="K103" s="3">
        <f t="shared" si="24"/>
        <v>6913177.8619430996</v>
      </c>
      <c r="L103" s="3">
        <f t="shared" si="25"/>
        <v>0</v>
      </c>
      <c r="M103" s="47">
        <f t="shared" si="14"/>
        <v>7292005.8223800994</v>
      </c>
      <c r="N103" s="47">
        <f>'Monthly Data'!BX103</f>
        <v>3986.0228205128205</v>
      </c>
      <c r="O103" s="47">
        <f t="shared" si="15"/>
        <v>7295991.8452006122</v>
      </c>
      <c r="P103" s="47">
        <f t="shared" ca="1" si="16"/>
        <v>-41723.924722507596</v>
      </c>
      <c r="Q103" s="18">
        <f t="shared" ca="1" si="26"/>
        <v>5.6862279803112014E-3</v>
      </c>
      <c r="Y103" s="3"/>
    </row>
    <row r="104" spans="1:25">
      <c r="A104" s="2">
        <f>'Monthly Data'!A104</f>
        <v>45474</v>
      </c>
      <c r="B104">
        <f>'Monthly Data'!B104</f>
        <v>2024</v>
      </c>
      <c r="C104">
        <f>'Monthly Data'!C104</f>
        <v>7</v>
      </c>
      <c r="D104" s="3">
        <f ca="1">'Monthly Data'!BW104</f>
        <v>7719754.1577685503</v>
      </c>
      <c r="E104" s="3">
        <f>'Monthly Data'!DQ104</f>
        <v>31</v>
      </c>
      <c r="F104" s="3">
        <f>'Monthly Data'!CJ104</f>
        <v>3</v>
      </c>
      <c r="G104" s="3">
        <f>'Monthly Data'!ED104</f>
        <v>0</v>
      </c>
      <c r="I104" s="3">
        <f t="shared" si="22"/>
        <v>-5182660.36787258</v>
      </c>
      <c r="J104" s="3">
        <f t="shared" si="23"/>
        <v>5746871.2725865664</v>
      </c>
      <c r="K104" s="3">
        <f t="shared" si="24"/>
        <v>6913177.8619430996</v>
      </c>
      <c r="L104" s="3">
        <f t="shared" si="25"/>
        <v>0</v>
      </c>
      <c r="M104" s="47">
        <f t="shared" si="14"/>
        <v>7477388.7666570861</v>
      </c>
      <c r="N104" s="47">
        <f>'Monthly Data'!BX104</f>
        <v>4187.5161794871792</v>
      </c>
      <c r="O104" s="47">
        <f t="shared" si="15"/>
        <v>7481576.2828365732</v>
      </c>
      <c r="P104" s="47">
        <f t="shared" ca="1" si="16"/>
        <v>-238177.87493197713</v>
      </c>
      <c r="Q104" s="18">
        <f t="shared" ca="1" si="26"/>
        <v>3.0853038848691023E-2</v>
      </c>
      <c r="Y104" s="3"/>
    </row>
    <row r="105" spans="1:25">
      <c r="A105" s="2">
        <f>'Monthly Data'!A105</f>
        <v>45505</v>
      </c>
      <c r="B105">
        <f>'Monthly Data'!B105</f>
        <v>2024</v>
      </c>
      <c r="C105">
        <f>'Monthly Data'!C105</f>
        <v>8</v>
      </c>
      <c r="D105" s="3">
        <f ca="1">'Monthly Data'!BW105</f>
        <v>7521206.1425281567</v>
      </c>
      <c r="E105" s="3">
        <f>'Monthly Data'!DQ105</f>
        <v>31</v>
      </c>
      <c r="F105" s="3">
        <f>'Monthly Data'!CJ105</f>
        <v>3</v>
      </c>
      <c r="G105" s="3">
        <f>'Monthly Data'!ED105</f>
        <v>0</v>
      </c>
      <c r="I105" s="3">
        <f t="shared" si="22"/>
        <v>-5182660.36787258</v>
      </c>
      <c r="J105" s="3">
        <f t="shared" si="23"/>
        <v>5746871.2725865664</v>
      </c>
      <c r="K105" s="3">
        <f t="shared" si="24"/>
        <v>6913177.8619430996</v>
      </c>
      <c r="L105" s="3">
        <f t="shared" si="25"/>
        <v>0</v>
      </c>
      <c r="M105" s="47">
        <f t="shared" si="14"/>
        <v>7477388.7666570861</v>
      </c>
      <c r="N105" s="47">
        <f>'Monthly Data'!BX105</f>
        <v>4389.0095384615379</v>
      </c>
      <c r="O105" s="47">
        <f t="shared" si="15"/>
        <v>7481777.7761955475</v>
      </c>
      <c r="P105" s="47">
        <f t="shared" ca="1" si="16"/>
        <v>-39428.366332609206</v>
      </c>
      <c r="Q105" s="18">
        <f t="shared" ca="1" si="26"/>
        <v>5.2422930026693659E-3</v>
      </c>
      <c r="Y105" s="3"/>
    </row>
    <row r="106" spans="1:25">
      <c r="A106" s="2">
        <f>'Monthly Data'!A106</f>
        <v>45536</v>
      </c>
      <c r="B106">
        <f>'Monthly Data'!B106</f>
        <v>2024</v>
      </c>
      <c r="C106">
        <f>'Monthly Data'!C106</f>
        <v>9</v>
      </c>
      <c r="D106" s="3">
        <f ca="1">'Monthly Data'!BW106</f>
        <v>7101253.2381845815</v>
      </c>
      <c r="E106" s="3">
        <f>'Monthly Data'!DQ106</f>
        <v>30</v>
      </c>
      <c r="F106" s="3">
        <f>'Monthly Data'!CJ106</f>
        <v>3</v>
      </c>
      <c r="G106" s="3">
        <f>'Monthly Data'!ED106</f>
        <v>0</v>
      </c>
      <c r="I106" s="3">
        <f t="shared" si="22"/>
        <v>-5182660.36787258</v>
      </c>
      <c r="J106" s="3">
        <f t="shared" si="23"/>
        <v>5561488.3283095798</v>
      </c>
      <c r="K106" s="3">
        <f t="shared" si="24"/>
        <v>6913177.8619430996</v>
      </c>
      <c r="L106" s="3">
        <f t="shared" si="25"/>
        <v>0</v>
      </c>
      <c r="M106" s="47">
        <f t="shared" si="14"/>
        <v>7292005.8223800994</v>
      </c>
      <c r="N106" s="47">
        <f>'Monthly Data'!BX106</f>
        <v>4590.5028974358975</v>
      </c>
      <c r="O106" s="47">
        <f t="shared" si="15"/>
        <v>7296596.3252775352</v>
      </c>
      <c r="P106" s="47">
        <f t="shared" ca="1" si="16"/>
        <v>195343.08709295373</v>
      </c>
      <c r="Q106" s="18">
        <f t="shared" ca="1" si="26"/>
        <v>2.7508255309437849E-2</v>
      </c>
      <c r="Y106" s="3"/>
    </row>
    <row r="107" spans="1:25">
      <c r="A107" s="2">
        <f>'Monthly Data'!A107</f>
        <v>45566</v>
      </c>
      <c r="B107">
        <f>'Monthly Data'!B107</f>
        <v>2024</v>
      </c>
      <c r="C107">
        <f>'Monthly Data'!C107</f>
        <v>10</v>
      </c>
      <c r="D107" s="3">
        <f ca="1">'Monthly Data'!BW107</f>
        <v>6787793.1110830493</v>
      </c>
      <c r="E107" s="3">
        <f>'Monthly Data'!DQ107</f>
        <v>31</v>
      </c>
      <c r="F107" s="3">
        <f>'Monthly Data'!CJ107</f>
        <v>3</v>
      </c>
      <c r="G107" s="3">
        <f>'Monthly Data'!ED107</f>
        <v>0</v>
      </c>
      <c r="I107" s="3">
        <f t="shared" si="22"/>
        <v>-5182660.36787258</v>
      </c>
      <c r="J107" s="3">
        <f t="shared" si="23"/>
        <v>5746871.2725865664</v>
      </c>
      <c r="K107" s="3">
        <f t="shared" si="24"/>
        <v>6913177.8619430996</v>
      </c>
      <c r="L107" s="3">
        <f t="shared" si="25"/>
        <v>0</v>
      </c>
      <c r="M107" s="47">
        <f t="shared" ref="M107:M109" si="27">SUM(I107:L107)</f>
        <v>7477388.7666570861</v>
      </c>
      <c r="N107" s="47">
        <f>'Monthly Data'!BX107</f>
        <v>4791.9962564102552</v>
      </c>
      <c r="O107" s="47">
        <f t="shared" ref="O107:O109" si="28">M107+N107</f>
        <v>7482180.7629134962</v>
      </c>
      <c r="P107" s="47">
        <f t="shared" ref="P107:P109" ca="1" si="29">O107-D107</f>
        <v>694387.65183044691</v>
      </c>
      <c r="Q107" s="18">
        <f t="shared" ca="1" si="26"/>
        <v>0.10229947207681636</v>
      </c>
      <c r="Y107" s="3"/>
    </row>
    <row r="108" spans="1:25">
      <c r="A108" s="2">
        <f>'Monthly Data'!A108</f>
        <v>45597</v>
      </c>
      <c r="B108">
        <f>'Monthly Data'!B108</f>
        <v>2024</v>
      </c>
      <c r="C108">
        <f>'Monthly Data'!C108</f>
        <v>11</v>
      </c>
      <c r="D108" s="3">
        <f ca="1">'Monthly Data'!BW108</f>
        <v>6442675.0476266481</v>
      </c>
      <c r="E108" s="3">
        <f>'Monthly Data'!DQ108</f>
        <v>30</v>
      </c>
      <c r="F108" s="3">
        <f>'Monthly Data'!CJ108</f>
        <v>3</v>
      </c>
      <c r="G108" s="3">
        <f>'Monthly Data'!ED108</f>
        <v>0</v>
      </c>
      <c r="I108" s="3">
        <f t="shared" si="22"/>
        <v>-5182660.36787258</v>
      </c>
      <c r="J108" s="3">
        <f t="shared" si="23"/>
        <v>5561488.3283095798</v>
      </c>
      <c r="K108" s="3">
        <f t="shared" si="24"/>
        <v>6913177.8619430996</v>
      </c>
      <c r="L108" s="3">
        <f t="shared" si="25"/>
        <v>0</v>
      </c>
      <c r="M108" s="47">
        <f t="shared" si="27"/>
        <v>7292005.8223800994</v>
      </c>
      <c r="N108" s="47">
        <f>'Monthly Data'!BX108</f>
        <v>4993.4896153846148</v>
      </c>
      <c r="O108" s="47">
        <f t="shared" si="28"/>
        <v>7296999.3119954839</v>
      </c>
      <c r="P108" s="47">
        <f t="shared" ca="1" si="29"/>
        <v>854324.26436883584</v>
      </c>
      <c r="Q108" s="18">
        <f t="shared" ca="1" si="26"/>
        <v>0.13260396621796899</v>
      </c>
      <c r="Y108" s="3"/>
    </row>
    <row r="109" spans="1:25">
      <c r="A109" s="2">
        <f>'Monthly Data'!A109</f>
        <v>45627</v>
      </c>
      <c r="B109">
        <f>'Monthly Data'!B109</f>
        <v>2024</v>
      </c>
      <c r="C109">
        <f>'Monthly Data'!C109</f>
        <v>12</v>
      </c>
      <c r="D109" s="3">
        <f ca="1">'Monthly Data'!BW109</f>
        <v>7518106.0005636895</v>
      </c>
      <c r="E109" s="3">
        <f>'Monthly Data'!DQ109</f>
        <v>31</v>
      </c>
      <c r="F109" s="3">
        <f>'Monthly Data'!CJ109</f>
        <v>3</v>
      </c>
      <c r="G109" s="3">
        <f>'Monthly Data'!ED109</f>
        <v>1</v>
      </c>
      <c r="I109" s="3">
        <f t="shared" si="22"/>
        <v>-5182660.36787258</v>
      </c>
      <c r="J109" s="3">
        <f t="shared" si="23"/>
        <v>5746871.2725865664</v>
      </c>
      <c r="K109" s="3">
        <f t="shared" si="24"/>
        <v>6913177.8619430996</v>
      </c>
      <c r="L109" s="3">
        <f t="shared" si="25"/>
        <v>-145191.56089796999</v>
      </c>
      <c r="M109" s="47">
        <f t="shared" si="27"/>
        <v>7332197.2057591164</v>
      </c>
      <c r="N109" s="47">
        <f>'Monthly Data'!BX109</f>
        <v>5194.9829743589744</v>
      </c>
      <c r="O109" s="47">
        <f t="shared" si="28"/>
        <v>7337392.1887334753</v>
      </c>
      <c r="P109" s="47">
        <f t="shared" ca="1" si="29"/>
        <v>-180713.81183021422</v>
      </c>
      <c r="Q109" s="18">
        <f t="shared" ca="1" si="26"/>
        <v>2.4037146033411172E-2</v>
      </c>
      <c r="Y109" s="3"/>
    </row>
    <row r="110" spans="1:25">
      <c r="A110" s="2">
        <f>'Monthly Data'!A110</f>
        <v>45658</v>
      </c>
      <c r="B110">
        <f>'Monthly Data'!B110</f>
        <v>2025</v>
      </c>
      <c r="C110">
        <f>'Monthly Data'!C110</f>
        <v>1</v>
      </c>
      <c r="D110" s="3">
        <f ca="1">'Monthly Data'!BW110</f>
        <v>7511724.9532214822</v>
      </c>
      <c r="E110" s="3">
        <f>'Monthly Data'!DQ110</f>
        <v>31</v>
      </c>
      <c r="F110" s="3">
        <f>'Monthly Data'!CJ110</f>
        <v>3</v>
      </c>
      <c r="G110" s="3">
        <f>'Monthly Data'!ED110</f>
        <v>0</v>
      </c>
      <c r="I110" s="3">
        <f t="shared" si="22"/>
        <v>-5182660.36787258</v>
      </c>
      <c r="J110" s="3">
        <f t="shared" si="23"/>
        <v>5746871.2725865664</v>
      </c>
      <c r="K110" s="3">
        <f t="shared" si="24"/>
        <v>6913177.8619430996</v>
      </c>
      <c r="L110" s="3">
        <f t="shared" si="25"/>
        <v>0</v>
      </c>
      <c r="M110" s="47">
        <f t="shared" ref="M110:M121" si="30">SUM(I110:L110)</f>
        <v>7477388.7666570861</v>
      </c>
      <c r="N110" s="47">
        <f>'Monthly Data'!BX110</f>
        <v>5490.3025384615394</v>
      </c>
      <c r="O110" s="47">
        <f t="shared" ref="O110:O121" si="31">M110+N110</f>
        <v>7482879.0691955481</v>
      </c>
      <c r="P110" s="47">
        <f t="shared" ref="P110:P121" ca="1" si="32">O110-D110</f>
        <v>-28845.884025934152</v>
      </c>
      <c r="Q110" s="18">
        <f t="shared" ref="Q110:Q121" ca="1" si="33">ABS(P110/D110)</f>
        <v>3.8401145150506731E-3</v>
      </c>
      <c r="Y110" s="3"/>
    </row>
    <row r="111" spans="1:25">
      <c r="A111" s="2">
        <f>'Monthly Data'!A111</f>
        <v>45689</v>
      </c>
      <c r="B111">
        <f>'Monthly Data'!B111</f>
        <v>2025</v>
      </c>
      <c r="C111">
        <f>'Monthly Data'!C111</f>
        <v>2</v>
      </c>
      <c r="D111" s="3">
        <f ca="1">'Monthly Data'!BW111</f>
        <v>7157356.3732128087</v>
      </c>
      <c r="E111" s="3">
        <f>'Monthly Data'!DQ111</f>
        <v>28</v>
      </c>
      <c r="F111" s="3">
        <f>'Monthly Data'!CJ111</f>
        <v>3</v>
      </c>
      <c r="G111" s="3">
        <f>'Monthly Data'!ED111</f>
        <v>0</v>
      </c>
      <c r="I111" s="3">
        <f t="shared" si="22"/>
        <v>-5182660.36787258</v>
      </c>
      <c r="J111" s="3">
        <f t="shared" si="23"/>
        <v>5190722.4397556083</v>
      </c>
      <c r="K111" s="3">
        <f t="shared" si="24"/>
        <v>6913177.8619430996</v>
      </c>
      <c r="L111" s="3">
        <f t="shared" si="25"/>
        <v>0</v>
      </c>
      <c r="M111" s="47">
        <f t="shared" si="30"/>
        <v>6921239.933826128</v>
      </c>
      <c r="N111" s="47">
        <f>'Monthly Data'!BX111</f>
        <v>5584.1287435897439</v>
      </c>
      <c r="O111" s="47">
        <f t="shared" si="31"/>
        <v>6926824.0625697179</v>
      </c>
      <c r="P111" s="47">
        <f t="shared" ca="1" si="32"/>
        <v>-230532.31064309087</v>
      </c>
      <c r="Q111" s="18">
        <f t="shared" ca="1" si="33"/>
        <v>3.2209142401499434E-2</v>
      </c>
      <c r="Y111" s="3"/>
    </row>
    <row r="112" spans="1:25">
      <c r="A112" s="2">
        <f>'Monthly Data'!A112</f>
        <v>45717</v>
      </c>
      <c r="B112">
        <f>'Monthly Data'!B112</f>
        <v>2025</v>
      </c>
      <c r="C112">
        <f>'Monthly Data'!C112</f>
        <v>3</v>
      </c>
      <c r="D112" s="3">
        <f ca="1">'Monthly Data'!BW112</f>
        <v>7626855.5270517739</v>
      </c>
      <c r="E112" s="3">
        <f>'Monthly Data'!DQ112</f>
        <v>31</v>
      </c>
      <c r="F112" s="3">
        <f>'Monthly Data'!CJ112</f>
        <v>3</v>
      </c>
      <c r="G112" s="3">
        <f>'Monthly Data'!ED112</f>
        <v>0</v>
      </c>
      <c r="I112" s="3">
        <f t="shared" si="22"/>
        <v>-5182660.36787258</v>
      </c>
      <c r="J112" s="3">
        <f t="shared" si="23"/>
        <v>5746871.2725865664</v>
      </c>
      <c r="K112" s="3">
        <f t="shared" si="24"/>
        <v>6913177.8619430996</v>
      </c>
      <c r="L112" s="3">
        <f t="shared" si="25"/>
        <v>0</v>
      </c>
      <c r="M112" s="47">
        <f t="shared" si="30"/>
        <v>7477388.7666570861</v>
      </c>
      <c r="N112" s="47">
        <f>'Monthly Data'!BX112</f>
        <v>5677.9549487179493</v>
      </c>
      <c r="O112" s="47">
        <f t="shared" si="31"/>
        <v>7483066.7216058038</v>
      </c>
      <c r="P112" s="47">
        <f t="shared" ca="1" si="32"/>
        <v>-143788.80544597004</v>
      </c>
      <c r="Q112" s="18">
        <f t="shared" ca="1" si="33"/>
        <v>1.885296042857558E-2</v>
      </c>
    </row>
    <row r="113" spans="1:17">
      <c r="A113" s="2">
        <f>'Monthly Data'!A113</f>
        <v>45748</v>
      </c>
      <c r="B113">
        <f>'Monthly Data'!B113</f>
        <v>2025</v>
      </c>
      <c r="C113">
        <f>'Monthly Data'!C113</f>
        <v>4</v>
      </c>
      <c r="D113" s="3">
        <f ca="1">'Monthly Data'!BW113</f>
        <v>7141301.2575541902</v>
      </c>
      <c r="E113" s="3">
        <f>'Monthly Data'!DQ113</f>
        <v>30</v>
      </c>
      <c r="F113" s="3">
        <f>'Monthly Data'!CJ113</f>
        <v>3</v>
      </c>
      <c r="G113" s="3">
        <f>'Monthly Data'!ED113</f>
        <v>0</v>
      </c>
      <c r="I113" s="3">
        <f t="shared" si="22"/>
        <v>-5182660.36787258</v>
      </c>
      <c r="J113" s="3">
        <f t="shared" si="23"/>
        <v>5561488.3283095798</v>
      </c>
      <c r="K113" s="3">
        <f t="shared" si="24"/>
        <v>6913177.8619430996</v>
      </c>
      <c r="L113" s="3">
        <f t="shared" si="25"/>
        <v>0</v>
      </c>
      <c r="M113" s="47">
        <f t="shared" si="30"/>
        <v>7292005.8223800994</v>
      </c>
      <c r="N113" s="47">
        <f>'Monthly Data'!BX113</f>
        <v>5771.7811538461547</v>
      </c>
      <c r="O113" s="47">
        <f t="shared" si="31"/>
        <v>7297777.603533946</v>
      </c>
      <c r="P113" s="47">
        <f t="shared" ca="1" si="32"/>
        <v>156476.34597975574</v>
      </c>
      <c r="Q113" s="18">
        <f t="shared" ca="1" si="33"/>
        <v>2.1911461278045427E-2</v>
      </c>
    </row>
    <row r="114" spans="1:17">
      <c r="A114" s="2">
        <f>'Monthly Data'!A114</f>
        <v>45778</v>
      </c>
      <c r="B114">
        <f>'Monthly Data'!B114</f>
        <v>2025</v>
      </c>
      <c r="C114">
        <f>'Monthly Data'!C114</f>
        <v>5</v>
      </c>
      <c r="D114" s="3">
        <f ca="1">'Monthly Data'!BW114</f>
        <v>7222836.8241221812</v>
      </c>
      <c r="E114" s="3">
        <f>'Monthly Data'!DQ114</f>
        <v>31</v>
      </c>
      <c r="F114" s="3">
        <f>'Monthly Data'!CJ114</f>
        <v>3</v>
      </c>
      <c r="G114" s="3">
        <f>'Monthly Data'!ED114</f>
        <v>0</v>
      </c>
      <c r="I114" s="3">
        <f t="shared" si="22"/>
        <v>-5182660.36787258</v>
      </c>
      <c r="J114" s="3">
        <f t="shared" si="23"/>
        <v>5746871.2725865664</v>
      </c>
      <c r="K114" s="3">
        <f t="shared" si="24"/>
        <v>6913177.8619430996</v>
      </c>
      <c r="L114" s="3">
        <f t="shared" si="25"/>
        <v>0</v>
      </c>
      <c r="M114" s="47">
        <f t="shared" si="30"/>
        <v>7477388.7666570861</v>
      </c>
      <c r="N114" s="47">
        <f>'Monthly Data'!BX114</f>
        <v>5865.6073589743592</v>
      </c>
      <c r="O114" s="47">
        <f t="shared" si="31"/>
        <v>7483254.3740160605</v>
      </c>
      <c r="P114" s="47">
        <f t="shared" ca="1" si="32"/>
        <v>260417.54989387933</v>
      </c>
      <c r="Q114" s="18">
        <f t="shared" ca="1" si="33"/>
        <v>3.6054746387757262E-2</v>
      </c>
    </row>
    <row r="115" spans="1:17">
      <c r="A115" s="2">
        <f>'Monthly Data'!A115</f>
        <v>45809</v>
      </c>
      <c r="B115">
        <f>'Monthly Data'!B115</f>
        <v>2025</v>
      </c>
      <c r="C115">
        <f>'Monthly Data'!C115</f>
        <v>6</v>
      </c>
      <c r="D115" s="3">
        <f ca="1">'Monthly Data'!BW115</f>
        <v>6917228.3116159188</v>
      </c>
      <c r="E115" s="3">
        <f>'Monthly Data'!DQ115</f>
        <v>30</v>
      </c>
      <c r="F115" s="3">
        <f>'Monthly Data'!CJ115</f>
        <v>3</v>
      </c>
      <c r="G115" s="3">
        <f>'Monthly Data'!ED115</f>
        <v>0</v>
      </c>
      <c r="I115" s="3">
        <f t="shared" si="22"/>
        <v>-5182660.36787258</v>
      </c>
      <c r="J115" s="3">
        <f t="shared" si="23"/>
        <v>5561488.3283095798</v>
      </c>
      <c r="K115" s="3">
        <f t="shared" si="24"/>
        <v>6913177.8619430996</v>
      </c>
      <c r="L115" s="3">
        <f t="shared" si="25"/>
        <v>0</v>
      </c>
      <c r="M115" s="47">
        <f t="shared" si="30"/>
        <v>7292005.8223800994</v>
      </c>
      <c r="N115" s="47">
        <f>'Monthly Data'!BX115</f>
        <v>5959.4335641025646</v>
      </c>
      <c r="O115" s="47">
        <f t="shared" si="31"/>
        <v>7297965.2559442017</v>
      </c>
      <c r="P115" s="47">
        <f t="shared" ca="1" si="32"/>
        <v>380736.94432828296</v>
      </c>
      <c r="Q115" s="18">
        <f t="shared" ca="1" si="33"/>
        <v>5.5041835714591272E-2</v>
      </c>
    </row>
    <row r="116" spans="1:17">
      <c r="A116" s="2">
        <f>'Monthly Data'!A116</f>
        <v>45839</v>
      </c>
      <c r="B116">
        <f>'Monthly Data'!B116</f>
        <v>2025</v>
      </c>
      <c r="C116">
        <f>'Monthly Data'!C116</f>
        <v>7</v>
      </c>
      <c r="D116" s="3">
        <f ca="1">'Monthly Data'!BW116</f>
        <v>7716850.5319929738</v>
      </c>
      <c r="E116" s="3">
        <f>'Monthly Data'!DQ116</f>
        <v>31</v>
      </c>
      <c r="F116" s="3">
        <f>'Monthly Data'!CJ116</f>
        <v>3</v>
      </c>
      <c r="G116" s="3">
        <f>'Monthly Data'!ED116</f>
        <v>0</v>
      </c>
      <c r="I116" s="3">
        <f t="shared" si="22"/>
        <v>-5182660.36787258</v>
      </c>
      <c r="J116" s="3">
        <f t="shared" si="23"/>
        <v>5746871.2725865664</v>
      </c>
      <c r="K116" s="3">
        <f t="shared" si="24"/>
        <v>6913177.8619430996</v>
      </c>
      <c r="L116" s="3">
        <f t="shared" si="25"/>
        <v>0</v>
      </c>
      <c r="M116" s="47">
        <f t="shared" si="30"/>
        <v>7477388.7666570861</v>
      </c>
      <c r="N116" s="47">
        <f>'Monthly Data'!BX116</f>
        <v>6053.25976923077</v>
      </c>
      <c r="O116" s="47">
        <f t="shared" si="31"/>
        <v>7483442.0264263172</v>
      </c>
      <c r="P116" s="47">
        <f t="shared" ca="1" si="32"/>
        <v>-233408.50556665659</v>
      </c>
      <c r="Q116" s="18">
        <f t="shared" ca="1" si="33"/>
        <v>3.0246601848639913E-2</v>
      </c>
    </row>
    <row r="117" spans="1:17">
      <c r="A117" s="2">
        <f>'Monthly Data'!A117</f>
        <v>45870</v>
      </c>
      <c r="B117">
        <f>'Monthly Data'!B117</f>
        <v>2025</v>
      </c>
      <c r="C117">
        <f>'Monthly Data'!C117</f>
        <v>8</v>
      </c>
      <c r="D117" s="3">
        <f ca="1">'Monthly Data'!BW117</f>
        <v>7385243.311675719</v>
      </c>
      <c r="E117" s="3">
        <f>'Monthly Data'!DQ117</f>
        <v>31</v>
      </c>
      <c r="F117" s="3">
        <f>'Monthly Data'!CJ117</f>
        <v>3</v>
      </c>
      <c r="G117" s="3">
        <f>'Monthly Data'!ED117</f>
        <v>0</v>
      </c>
      <c r="I117" s="3">
        <f t="shared" si="22"/>
        <v>-5182660.36787258</v>
      </c>
      <c r="J117" s="3">
        <f t="shared" si="23"/>
        <v>5746871.2725865664</v>
      </c>
      <c r="K117" s="3">
        <f t="shared" si="24"/>
        <v>6913177.8619430996</v>
      </c>
      <c r="L117" s="3">
        <f t="shared" si="25"/>
        <v>0</v>
      </c>
      <c r="M117" s="47">
        <f t="shared" si="30"/>
        <v>7477388.7666570861</v>
      </c>
      <c r="N117" s="47">
        <f>'Monthly Data'!BX117</f>
        <v>6147.0859743589745</v>
      </c>
      <c r="O117" s="47">
        <f t="shared" si="31"/>
        <v>7483535.852631445</v>
      </c>
      <c r="P117" s="47">
        <f t="shared" ca="1" si="32"/>
        <v>98292.540955726057</v>
      </c>
      <c r="Q117" s="18">
        <f t="shared" ca="1" si="33"/>
        <v>1.3309316539419929E-2</v>
      </c>
    </row>
    <row r="118" spans="1:17">
      <c r="A118" s="2">
        <f>'Monthly Data'!A118</f>
        <v>45901</v>
      </c>
      <c r="B118">
        <f>'Monthly Data'!B118</f>
        <v>2025</v>
      </c>
      <c r="C118">
        <f>'Monthly Data'!C118</f>
        <v>9</v>
      </c>
      <c r="D118" s="3">
        <f ca="1">'Monthly Data'!BW118</f>
        <v>7250255.7249168046</v>
      </c>
      <c r="E118" s="3">
        <f>'Monthly Data'!DQ118</f>
        <v>30</v>
      </c>
      <c r="F118" s="3">
        <f>'Monthly Data'!CJ118</f>
        <v>3</v>
      </c>
      <c r="G118" s="3">
        <f>'Monthly Data'!ED118</f>
        <v>0</v>
      </c>
      <c r="I118" s="3">
        <f t="shared" si="22"/>
        <v>-5182660.36787258</v>
      </c>
      <c r="J118" s="3">
        <f t="shared" si="23"/>
        <v>5561488.3283095798</v>
      </c>
      <c r="K118" s="3">
        <f t="shared" si="24"/>
        <v>6913177.8619430996</v>
      </c>
      <c r="L118" s="3">
        <f t="shared" si="25"/>
        <v>0</v>
      </c>
      <c r="M118" s="47">
        <f t="shared" si="30"/>
        <v>7292005.8223800994</v>
      </c>
      <c r="N118" s="47">
        <f>'Monthly Data'!BX118</f>
        <v>6240.9121794871799</v>
      </c>
      <c r="O118" s="47">
        <f t="shared" si="31"/>
        <v>7298246.7345595863</v>
      </c>
      <c r="P118" s="47">
        <f t="shared" ca="1" si="32"/>
        <v>47991.00964278169</v>
      </c>
      <c r="Q118" s="18">
        <f t="shared" ca="1" si="33"/>
        <v>6.6192161302465477E-3</v>
      </c>
    </row>
    <row r="119" spans="1:17">
      <c r="A119" s="2">
        <f>'Monthly Data'!A119</f>
        <v>45931</v>
      </c>
      <c r="B119">
        <f>'Monthly Data'!B119</f>
        <v>2025</v>
      </c>
      <c r="C119">
        <f>'Monthly Data'!C119</f>
        <v>10</v>
      </c>
      <c r="D119" s="3">
        <f ca="1">'Monthly Data'!BW119</f>
        <v>7615284.7437509475</v>
      </c>
      <c r="E119" s="3">
        <f>'Monthly Data'!DQ119</f>
        <v>31</v>
      </c>
      <c r="F119" s="3">
        <f>'Monthly Data'!CJ119</f>
        <v>3</v>
      </c>
      <c r="G119" s="3">
        <f>'Monthly Data'!ED119</f>
        <v>0</v>
      </c>
      <c r="I119" s="3">
        <f t="shared" si="22"/>
        <v>-5182660.36787258</v>
      </c>
      <c r="J119" s="3">
        <f t="shared" si="23"/>
        <v>5746871.2725865664</v>
      </c>
      <c r="K119" s="3">
        <f t="shared" si="24"/>
        <v>6913177.8619430996</v>
      </c>
      <c r="L119" s="3">
        <f t="shared" si="25"/>
        <v>0</v>
      </c>
      <c r="M119" s="47">
        <f t="shared" si="30"/>
        <v>7477388.7666570861</v>
      </c>
      <c r="N119" s="47">
        <f>'Monthly Data'!BX119</f>
        <v>6334.7383846153843</v>
      </c>
      <c r="O119" s="47">
        <f t="shared" si="31"/>
        <v>7483723.5050417017</v>
      </c>
      <c r="P119" s="47">
        <f t="shared" ca="1" si="32"/>
        <v>-131561.23870924581</v>
      </c>
      <c r="Q119" s="18">
        <f t="shared" ca="1" si="33"/>
        <v>1.7275944778979421E-2</v>
      </c>
    </row>
    <row r="120" spans="1:17">
      <c r="A120" s="2">
        <f>'Monthly Data'!A120</f>
        <v>45962</v>
      </c>
      <c r="B120">
        <f>'Monthly Data'!B120</f>
        <v>2025</v>
      </c>
      <c r="C120">
        <f>'Monthly Data'!C120</f>
        <v>11</v>
      </c>
      <c r="D120" s="3">
        <f ca="1">'Monthly Data'!BW120</f>
        <v>7483197.4270016775</v>
      </c>
      <c r="E120" s="3">
        <f>'Monthly Data'!DQ120</f>
        <v>30</v>
      </c>
      <c r="F120" s="3">
        <f>'Monthly Data'!CJ120</f>
        <v>3</v>
      </c>
      <c r="G120" s="3">
        <f>'Monthly Data'!ED120</f>
        <v>0</v>
      </c>
      <c r="I120" s="3">
        <f t="shared" si="22"/>
        <v>-5182660.36787258</v>
      </c>
      <c r="J120" s="3">
        <f t="shared" si="23"/>
        <v>5561488.3283095798</v>
      </c>
      <c r="K120" s="3">
        <f t="shared" si="24"/>
        <v>6913177.8619430996</v>
      </c>
      <c r="L120" s="3">
        <f t="shared" si="25"/>
        <v>0</v>
      </c>
      <c r="M120" s="47">
        <f t="shared" si="30"/>
        <v>7292005.8223800994</v>
      </c>
      <c r="N120" s="47">
        <f>'Monthly Data'!BX120</f>
        <v>6428.5645897435897</v>
      </c>
      <c r="O120" s="47">
        <f t="shared" si="31"/>
        <v>7298434.3869698429</v>
      </c>
      <c r="P120" s="47">
        <f t="shared" ca="1" si="32"/>
        <v>-184763.04003183451</v>
      </c>
      <c r="Q120" s="18">
        <f t="shared" ca="1" si="33"/>
        <v>2.4690386941436642E-2</v>
      </c>
    </row>
    <row r="121" spans="1:17">
      <c r="A121" s="2">
        <f>'Monthly Data'!A121</f>
        <v>45992</v>
      </c>
      <c r="B121">
        <f>'Monthly Data'!B121</f>
        <v>2025</v>
      </c>
      <c r="C121">
        <f>'Monthly Data'!C121</f>
        <v>12</v>
      </c>
      <c r="D121" s="3">
        <f ca="1">'Monthly Data'!BW121</f>
        <v>8281605.365334373</v>
      </c>
      <c r="E121" s="3">
        <f>'Monthly Data'!DQ121</f>
        <v>31</v>
      </c>
      <c r="F121" s="3">
        <f>'Monthly Data'!CJ121</f>
        <v>3</v>
      </c>
      <c r="G121" s="3">
        <f>'Monthly Data'!ED121</f>
        <v>1</v>
      </c>
      <c r="I121" s="3">
        <f t="shared" si="22"/>
        <v>-5182660.36787258</v>
      </c>
      <c r="J121" s="3">
        <f t="shared" si="23"/>
        <v>5746871.2725865664</v>
      </c>
      <c r="K121" s="3">
        <f t="shared" si="24"/>
        <v>6913177.8619430996</v>
      </c>
      <c r="L121" s="3">
        <f t="shared" si="25"/>
        <v>-145191.56089796999</v>
      </c>
      <c r="M121" s="47">
        <f t="shared" si="30"/>
        <v>7332197.2057591164</v>
      </c>
      <c r="N121" s="47">
        <f>'Monthly Data'!BX121</f>
        <v>6522.3907948717952</v>
      </c>
      <c r="O121" s="47">
        <f t="shared" si="31"/>
        <v>7338719.5965539878</v>
      </c>
      <c r="P121" s="47">
        <f t="shared" ca="1" si="32"/>
        <v>-942885.76878038514</v>
      </c>
      <c r="Q121" s="18">
        <f t="shared" ca="1" si="33"/>
        <v>0.11385301848928608</v>
      </c>
    </row>
    <row r="122" spans="1:17">
      <c r="Q122" s="17">
        <f ca="1">AVERAGE(Q2:Q120)</f>
        <v>4.1332135651352034E-2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2C4BD-20BD-4C3B-930E-09B20ECA6DDD}">
  <sheetPr codeName="Sheet19">
    <tabColor rgb="FFFF0000"/>
  </sheetPr>
  <dimension ref="B1:BR49"/>
  <sheetViews>
    <sheetView topLeftCell="R16" workbookViewId="0">
      <selection activeCell="F8" sqref="F8"/>
    </sheetView>
  </sheetViews>
  <sheetFormatPr defaultColWidth="8.81640625" defaultRowHeight="14"/>
  <cols>
    <col min="1" max="1" width="13.453125" style="596" customWidth="1"/>
    <col min="2" max="2" width="8.81640625" style="596" bestFit="1" customWidth="1"/>
    <col min="3" max="3" width="19.1796875" style="596" customWidth="1"/>
    <col min="4" max="4" width="16.1796875" style="596" customWidth="1"/>
    <col min="5" max="5" width="8.81640625" style="596" bestFit="1" customWidth="1"/>
    <col min="6" max="7" width="20.453125" style="596" customWidth="1"/>
    <col min="8" max="8" width="8.81640625" style="596" bestFit="1" customWidth="1"/>
    <col min="9" max="9" width="18.1796875" style="596" customWidth="1"/>
    <col min="10" max="10" width="15.1796875" style="596" customWidth="1"/>
    <col min="11" max="11" width="8.81640625" style="596" bestFit="1" customWidth="1"/>
    <col min="12" max="13" width="20.1796875" style="596" customWidth="1"/>
    <col min="14" max="14" width="8.81640625" style="596" bestFit="1" customWidth="1"/>
    <col min="15" max="15" width="17.54296875" style="596" customWidth="1"/>
    <col min="16" max="16" width="16.1796875" style="596" customWidth="1"/>
    <col min="17" max="17" width="8.81640625" style="596" bestFit="1" customWidth="1"/>
    <col min="18" max="18" width="22.81640625" style="596" customWidth="1"/>
    <col min="19" max="20" width="8.81640625" style="596"/>
    <col min="21" max="21" width="5.81640625" style="596" bestFit="1" customWidth="1"/>
    <col min="22" max="22" width="18.1796875" style="596" customWidth="1"/>
    <col min="23" max="23" width="15.81640625" style="596" customWidth="1"/>
    <col min="24" max="24" width="9.1796875" style="596" bestFit="1" customWidth="1"/>
    <col min="25" max="28" width="8.81640625" style="596"/>
    <col min="29" max="29" width="5.81640625" style="596" bestFit="1" customWidth="1"/>
    <col min="30" max="30" width="17" style="596" bestFit="1" customWidth="1"/>
    <col min="31" max="31" width="12.54296875" style="596" customWidth="1"/>
    <col min="32" max="32" width="9.1796875" style="596" bestFit="1" customWidth="1"/>
    <col min="33" max="36" width="8.81640625" style="596"/>
    <col min="37" max="37" width="5.81640625" style="596" bestFit="1" customWidth="1"/>
    <col min="38" max="38" width="17" style="596" bestFit="1" customWidth="1"/>
    <col min="39" max="39" width="16.1796875" style="596" bestFit="1" customWidth="1"/>
    <col min="40" max="40" width="9.1796875" style="596" bestFit="1" customWidth="1"/>
    <col min="41" max="42" width="8.81640625" style="596"/>
    <col min="43" max="43" width="13.453125" style="596" customWidth="1"/>
    <col min="44" max="44" width="8.81640625" style="596" bestFit="1" customWidth="1"/>
    <col min="45" max="45" width="19.1796875" style="596" customWidth="1"/>
    <col min="46" max="46" width="14.1796875" style="596" customWidth="1"/>
    <col min="47" max="47" width="8.81640625" style="596" bestFit="1" customWidth="1"/>
    <col min="48" max="48" width="20.453125" style="596" customWidth="1"/>
    <col min="49" max="49" width="20.1796875" style="596" customWidth="1"/>
    <col min="50" max="50" width="8.81640625" style="596" bestFit="1" customWidth="1"/>
    <col min="51" max="51" width="17.54296875" style="596" customWidth="1"/>
    <col min="52" max="52" width="16.1796875" style="596" customWidth="1"/>
    <col min="53" max="53" width="8.81640625" style="596" bestFit="1" customWidth="1"/>
    <col min="54" max="54" width="22.81640625" style="596" customWidth="1"/>
    <col min="55" max="56" width="8.81640625" style="596"/>
    <col min="57" max="57" width="5.81640625" style="596" bestFit="1" customWidth="1"/>
    <col min="58" max="58" width="18.1796875" style="596" customWidth="1"/>
    <col min="59" max="59" width="15.81640625" style="596" customWidth="1"/>
    <col min="60" max="60" width="9.1796875" style="596" bestFit="1" customWidth="1"/>
    <col min="61" max="64" width="8.81640625" style="596"/>
    <col min="65" max="65" width="5.81640625" style="596" bestFit="1" customWidth="1"/>
    <col min="66" max="66" width="17" style="596" bestFit="1" customWidth="1"/>
    <col min="67" max="67" width="12.54296875" style="596" customWidth="1"/>
    <col min="68" max="68" width="9.1796875" style="596" bestFit="1" customWidth="1"/>
    <col min="69" max="16384" width="8.81640625" style="596"/>
  </cols>
  <sheetData>
    <row r="1" spans="2:70" ht="14.75" customHeight="1">
      <c r="B1" s="795" t="s">
        <v>362</v>
      </c>
      <c r="C1" s="795"/>
      <c r="D1" s="795"/>
      <c r="E1" s="795"/>
      <c r="F1" s="795"/>
      <c r="G1" s="795"/>
      <c r="H1" s="795"/>
      <c r="I1" s="795"/>
      <c r="J1" s="795"/>
      <c r="K1" s="795"/>
      <c r="L1" s="795"/>
      <c r="M1" s="795"/>
      <c r="N1" s="795"/>
      <c r="O1" s="795"/>
      <c r="P1" s="795"/>
      <c r="Q1" s="795"/>
      <c r="R1" s="795"/>
      <c r="S1" s="795"/>
      <c r="T1" s="795"/>
      <c r="U1" s="795"/>
      <c r="V1" s="795"/>
      <c r="W1" s="795"/>
      <c r="X1" s="795"/>
      <c r="Y1" s="795"/>
      <c r="Z1" s="795"/>
      <c r="AA1" s="795"/>
      <c r="AB1" s="795"/>
      <c r="AC1" s="795"/>
      <c r="AD1" s="795"/>
      <c r="AE1" s="795"/>
      <c r="AF1" s="795"/>
      <c r="AG1" s="795"/>
      <c r="AH1" s="795"/>
      <c r="AI1" s="795"/>
      <c r="AJ1" s="795"/>
      <c r="AK1" s="795"/>
      <c r="AL1" s="795"/>
      <c r="AM1" s="795"/>
      <c r="AN1" s="795"/>
      <c r="AO1" s="795"/>
      <c r="AP1" s="795"/>
      <c r="AQ1" s="796" t="s">
        <v>363</v>
      </c>
      <c r="AR1" s="795"/>
      <c r="AS1" s="795"/>
      <c r="AT1" s="795"/>
      <c r="AU1" s="795"/>
      <c r="AV1" s="795"/>
      <c r="AW1" s="795"/>
      <c r="AX1" s="795"/>
      <c r="AY1" s="795"/>
      <c r="AZ1" s="795"/>
      <c r="BA1" s="795"/>
      <c r="BB1" s="795"/>
      <c r="BC1" s="795"/>
      <c r="BD1" s="795"/>
      <c r="BE1" s="795"/>
      <c r="BF1" s="795"/>
      <c r="BG1" s="795"/>
      <c r="BH1" s="795"/>
      <c r="BI1" s="795"/>
      <c r="BJ1" s="795"/>
      <c r="BK1" s="795"/>
      <c r="BL1" s="795"/>
      <c r="BM1" s="795"/>
      <c r="BN1" s="795"/>
      <c r="BO1" s="795"/>
      <c r="BP1" s="795"/>
      <c r="BQ1" s="795"/>
      <c r="BR1" s="795"/>
    </row>
    <row r="2" spans="2:70">
      <c r="B2" s="97"/>
      <c r="C2" s="794" t="s">
        <v>364</v>
      </c>
      <c r="D2" s="794"/>
      <c r="E2" s="96" t="s">
        <v>365</v>
      </c>
      <c r="F2" s="95"/>
      <c r="G2" s="95"/>
      <c r="H2" s="97"/>
      <c r="I2" s="794" t="s">
        <v>366</v>
      </c>
      <c r="J2" s="794"/>
      <c r="K2" s="96" t="s">
        <v>365</v>
      </c>
      <c r="N2" s="97"/>
      <c r="O2" s="794" t="s">
        <v>367</v>
      </c>
      <c r="P2" s="794"/>
      <c r="Q2" s="96" t="s">
        <v>365</v>
      </c>
      <c r="U2" s="97"/>
      <c r="V2" s="794" t="s">
        <v>368</v>
      </c>
      <c r="W2" s="794"/>
      <c r="X2" s="96" t="s">
        <v>365</v>
      </c>
      <c r="AC2" s="97"/>
      <c r="AD2" s="794" t="s">
        <v>369</v>
      </c>
      <c r="AE2" s="794"/>
      <c r="AF2" s="96" t="s">
        <v>365</v>
      </c>
      <c r="AK2" s="97"/>
      <c r="AL2" s="794" t="s">
        <v>370</v>
      </c>
      <c r="AM2" s="794"/>
      <c r="AN2" s="96" t="s">
        <v>365</v>
      </c>
      <c r="AQ2" s="786"/>
      <c r="AR2" s="97"/>
      <c r="AS2" s="794" t="s">
        <v>371</v>
      </c>
      <c r="AT2" s="794"/>
      <c r="AU2" s="96" t="s">
        <v>365</v>
      </c>
      <c r="AV2" s="95"/>
      <c r="AX2" s="97"/>
      <c r="AY2" s="794" t="s">
        <v>372</v>
      </c>
      <c r="AZ2" s="794"/>
      <c r="BA2" s="96" t="s">
        <v>365</v>
      </c>
      <c r="BE2" s="97"/>
      <c r="BF2" s="794" t="s">
        <v>373</v>
      </c>
      <c r="BG2" s="794"/>
      <c r="BH2" s="96" t="s">
        <v>365</v>
      </c>
      <c r="BM2" s="97"/>
      <c r="BN2" s="794" t="s">
        <v>374</v>
      </c>
      <c r="BO2" s="794"/>
      <c r="BP2" s="96" t="s">
        <v>365</v>
      </c>
    </row>
    <row r="3" spans="2:70">
      <c r="B3" s="96" t="s">
        <v>27</v>
      </c>
      <c r="C3" s="96" t="s">
        <v>375</v>
      </c>
      <c r="D3" s="96" t="s">
        <v>293</v>
      </c>
      <c r="E3" s="96" t="s">
        <v>376</v>
      </c>
      <c r="F3" s="95"/>
      <c r="G3" s="95"/>
      <c r="H3" s="96" t="s">
        <v>27</v>
      </c>
      <c r="I3" s="96" t="s">
        <v>375</v>
      </c>
      <c r="J3" s="96" t="s">
        <v>293</v>
      </c>
      <c r="K3" s="96" t="s">
        <v>376</v>
      </c>
      <c r="N3" s="96" t="s">
        <v>27</v>
      </c>
      <c r="O3" s="96" t="s">
        <v>377</v>
      </c>
      <c r="P3" s="96" t="s">
        <v>293</v>
      </c>
      <c r="Q3" s="96" t="s">
        <v>376</v>
      </c>
      <c r="U3" s="96" t="s">
        <v>27</v>
      </c>
      <c r="V3" s="96" t="s">
        <v>377</v>
      </c>
      <c r="W3" s="96" t="s">
        <v>293</v>
      </c>
      <c r="X3" s="96" t="s">
        <v>376</v>
      </c>
      <c r="AC3" s="96" t="s">
        <v>27</v>
      </c>
      <c r="AD3" s="96" t="s">
        <v>377</v>
      </c>
      <c r="AE3" s="96" t="s">
        <v>293</v>
      </c>
      <c r="AF3" s="96" t="s">
        <v>376</v>
      </c>
      <c r="AK3" s="96" t="s">
        <v>27</v>
      </c>
      <c r="AL3" s="96" t="s">
        <v>377</v>
      </c>
      <c r="AM3" s="96" t="s">
        <v>293</v>
      </c>
      <c r="AN3" s="96" t="s">
        <v>376</v>
      </c>
      <c r="AQ3" s="786"/>
      <c r="AR3" s="96" t="s">
        <v>27</v>
      </c>
      <c r="AS3" s="96" t="s">
        <v>375</v>
      </c>
      <c r="AT3" s="96" t="s">
        <v>293</v>
      </c>
      <c r="AU3" s="96" t="s">
        <v>376</v>
      </c>
      <c r="AV3" s="95"/>
      <c r="AX3" s="96" t="s">
        <v>27</v>
      </c>
      <c r="AY3" s="96" t="s">
        <v>377</v>
      </c>
      <c r="AZ3" s="96" t="s">
        <v>293</v>
      </c>
      <c r="BA3" s="96" t="s">
        <v>376</v>
      </c>
      <c r="BE3" s="96" t="s">
        <v>27</v>
      </c>
      <c r="BF3" s="96" t="s">
        <v>377</v>
      </c>
      <c r="BG3" s="96" t="s">
        <v>293</v>
      </c>
      <c r="BH3" s="96" t="s">
        <v>376</v>
      </c>
      <c r="BM3" s="96" t="s">
        <v>27</v>
      </c>
      <c r="BN3" s="96" t="s">
        <v>377</v>
      </c>
      <c r="BO3" s="96" t="s">
        <v>293</v>
      </c>
      <c r="BP3" s="96" t="s">
        <v>376</v>
      </c>
    </row>
    <row r="4" spans="2:70" hidden="1">
      <c r="B4" s="93">
        <v>2014</v>
      </c>
      <c r="C4" s="94">
        <f>SUMIFS('VRZ Residential'!D:D,'VRZ Residential'!B:B,'Model Summary'!B4)</f>
        <v>0</v>
      </c>
      <c r="D4" s="94">
        <f>SUMIFS('VRZ Residential'!W:W,'VRZ Residential'!B:B,'Model Summary'!B4)</f>
        <v>0</v>
      </c>
      <c r="E4" s="597" t="e">
        <f>ABS(C4-D4)/C4</f>
        <v>#DIV/0!</v>
      </c>
      <c r="F4" s="597"/>
      <c r="G4" s="597"/>
      <c r="H4" s="93">
        <v>2014</v>
      </c>
      <c r="I4" s="94">
        <f>SUMIFS('VRZ Seasonal'!D:D,'VRZ Seasonal'!B:B,'Model Summary'!H4)</f>
        <v>0</v>
      </c>
      <c r="J4" s="94">
        <f>SUMIFS('VRZ Seasonal'!U:U,'VRZ Seasonal'!B:B,'Model Summary'!H4)</f>
        <v>0</v>
      </c>
      <c r="K4" s="597" t="e">
        <f>ABS(I4-J4)/I4</f>
        <v>#DIV/0!</v>
      </c>
      <c r="N4" s="93">
        <v>2014</v>
      </c>
      <c r="O4" s="94">
        <f>SUMIFS('VRZ GS &lt; 50'!D:D,'VRZ GS &lt; 50'!B:B,'Model Summary'!N4)</f>
        <v>0</v>
      </c>
      <c r="P4" s="94">
        <f>SUMIFS('VRZ GS &lt; 50'!S:S,'VRZ GS &lt; 50'!B:B,'Model Summary'!N4)</f>
        <v>0</v>
      </c>
      <c r="Q4" s="597" t="e">
        <f>ABS(O4-P4)/O4</f>
        <v>#DIV/0!</v>
      </c>
      <c r="U4" s="93">
        <v>2014</v>
      </c>
      <c r="V4" s="94"/>
      <c r="W4" s="94"/>
      <c r="X4" s="597" t="e">
        <f>ABS(V4-W4)/V4</f>
        <v>#DIV/0!</v>
      </c>
      <c r="AC4" s="93">
        <v>2014</v>
      </c>
      <c r="AD4" s="94"/>
      <c r="AE4" s="94"/>
      <c r="AF4" s="597" t="e">
        <f>ABS(AD4-AE4)/AD4</f>
        <v>#DIV/0!</v>
      </c>
      <c r="AK4" s="93">
        <v>2014</v>
      </c>
      <c r="AL4" s="94"/>
      <c r="AM4" s="94"/>
      <c r="AN4" s="597" t="e">
        <f>ABS(AL4-AM4)/AL4</f>
        <v>#DIV/0!</v>
      </c>
      <c r="AQ4" s="786"/>
      <c r="AR4" s="93">
        <v>2014</v>
      </c>
      <c r="AS4" s="94">
        <f>SUMIFS('WRZ Residential'!D:D,'WRZ Residential'!B:B,'Model Summary'!AR4)</f>
        <v>0</v>
      </c>
      <c r="AT4" s="94">
        <f>SUMIFS('WRZ Residential'!W:W,'WRZ Residential'!B:B,'Model Summary'!AR4)</f>
        <v>0</v>
      </c>
      <c r="AU4" s="597" t="e">
        <f>ABS(AS4-AT4)/AS4</f>
        <v>#DIV/0!</v>
      </c>
      <c r="AV4" s="597"/>
      <c r="AX4" s="93">
        <v>2014</v>
      </c>
      <c r="AY4" s="94">
        <f>SUMIFS('WRZ GS &lt; 50'!D:D,'WRZ GS &lt; 50'!B:B,'Model Summary'!AX4)</f>
        <v>0</v>
      </c>
      <c r="AZ4" s="94">
        <f>SUMIFS('WRZ GS &lt; 50'!U:U,'WRZ GS &lt; 50'!B:B,'Model Summary'!AX4)</f>
        <v>0</v>
      </c>
      <c r="BA4" s="597" t="e">
        <f>ABS(AY4-AZ4)/AY4</f>
        <v>#DIV/0!</v>
      </c>
      <c r="BE4" s="93">
        <v>2014</v>
      </c>
      <c r="BF4" s="94"/>
      <c r="BG4" s="94"/>
      <c r="BH4" s="597"/>
      <c r="BM4" s="93">
        <v>2014</v>
      </c>
      <c r="BN4" s="94"/>
      <c r="BO4" s="94"/>
      <c r="BP4" s="597"/>
    </row>
    <row r="5" spans="2:70">
      <c r="B5" s="93">
        <v>2016</v>
      </c>
      <c r="C5" s="94">
        <f>SUMIFS('VRZ Residential'!D:D,'VRZ Residential'!B:B,'Model Summary'!B5)</f>
        <v>930781392.84004951</v>
      </c>
      <c r="D5" s="94">
        <f>SUMIFS('VRZ Residential'!W:W,'VRZ Residential'!B:B,'Model Summary'!B5)</f>
        <v>932775480.98454106</v>
      </c>
      <c r="E5" s="597">
        <f>ABS(C5-D5)/C5</f>
        <v>2.1423807564599955E-3</v>
      </c>
      <c r="F5" s="597"/>
      <c r="G5" s="597"/>
      <c r="H5" s="93">
        <f>B5</f>
        <v>2016</v>
      </c>
      <c r="I5" s="94">
        <f>SUMIFS('VRZ Seasonal'!D:D,'VRZ Seasonal'!B:B,'Model Summary'!H5)</f>
        <v>9231036.1371730156</v>
      </c>
      <c r="J5" s="94">
        <f>SUMIFS('VRZ Seasonal'!U:U,'VRZ Seasonal'!B:B,'Model Summary'!H5)</f>
        <v>9230379.5097778086</v>
      </c>
      <c r="K5" s="597">
        <f>ABS(I5-J5)/I5</f>
        <v>7.1132577692210511E-5</v>
      </c>
      <c r="N5" s="93">
        <f>H5</f>
        <v>2016</v>
      </c>
      <c r="O5" s="94">
        <f>SUMIFS('VRZ GS &lt; 50'!D:D,'VRZ GS &lt; 50'!B:B,'Model Summary'!N5)</f>
        <v>277304062.77712923</v>
      </c>
      <c r="P5" s="94">
        <f>SUMIFS('VRZ GS &lt; 50'!S:S,'VRZ GS &lt; 50'!B:B,'Model Summary'!N5)</f>
        <v>280579647.30937564</v>
      </c>
      <c r="Q5" s="597">
        <f>ABS(O5-P5)/O5</f>
        <v>1.1812248617788972E-2</v>
      </c>
      <c r="U5" s="93">
        <v>2016</v>
      </c>
      <c r="V5" s="94">
        <f>SUMIFS('VRZ GS 50-2,999'!D:D,'VRZ GS 50-2,999'!B:B,'Model Summary'!U5)</f>
        <v>949600705.67392671</v>
      </c>
      <c r="W5" s="94">
        <f>SUMIFS('VRZ GS 50-2,999'!U:U,'VRZ GS 50-2,999'!B:B,'Model Summary'!U5)</f>
        <v>943975353.49183369</v>
      </c>
      <c r="X5" s="597">
        <f>ABS(V5-W5)/V5</f>
        <v>5.9239132284561024E-3</v>
      </c>
      <c r="AC5" s="93">
        <v>2016</v>
      </c>
      <c r="AD5" s="94">
        <f>SUMIFS('VRZ GS 3,000-4,999'!D:D,'VRZ GS 3,000-4,999'!B:B,'Model Summary'!AC5)</f>
        <v>78864769.700843766</v>
      </c>
      <c r="AE5" s="94">
        <f>SUMIFS('VRZ GS 3,000-4,999'!M:M,'VRZ GS 3,000-4,999'!B:B,'Model Summary'!AC5)</f>
        <v>85219354.991337776</v>
      </c>
      <c r="AF5" s="597">
        <f>ABS(AD5-AE5)/AD5</f>
        <v>8.0575716059258617E-2</v>
      </c>
      <c r="AK5" s="93">
        <v>2016</v>
      </c>
      <c r="AL5" s="94">
        <f>SUMIFS('VRZ Large Use'!D:D,'VRZ Large Use'!B:B,'Model Summary'!AK5)</f>
        <v>221418637.64486113</v>
      </c>
      <c r="AM5" s="94">
        <f>SUMIFS('VRZ Large Use'!Q:Q,'VRZ Large Use'!B:B,'Model Summary'!AK5)</f>
        <v>227004612.86657929</v>
      </c>
      <c r="AN5" s="597">
        <f>ABS(AL5-AM5)/AL5</f>
        <v>2.5228116662327438E-2</v>
      </c>
      <c r="AQ5" s="786"/>
      <c r="AR5" s="93">
        <v>2016</v>
      </c>
      <c r="AS5" s="94">
        <f>SUMIFS('WRZ Residential'!D:D,'WRZ Residential'!B:B,'Model Summary'!AR5)</f>
        <v>362089789.67951554</v>
      </c>
      <c r="AT5" s="94">
        <f>SUMIFS('WRZ Residential'!W:W,'WRZ Residential'!B:B,'Model Summary'!AR5)</f>
        <v>358022630.61739951</v>
      </c>
      <c r="AU5" s="597">
        <f>ABS(AS5-AT5)/AS5</f>
        <v>1.1232459953416129E-2</v>
      </c>
      <c r="AV5" s="597"/>
      <c r="AX5" s="93">
        <v>2016</v>
      </c>
      <c r="AY5" s="94">
        <f>SUMIFS('WRZ GS &lt; 50'!D:D,'WRZ GS &lt; 50'!B:B,'Model Summary'!AX5)</f>
        <v>86730195.315171614</v>
      </c>
      <c r="AZ5" s="94">
        <f>SUMIFS('WRZ GS &lt; 50'!U:U,'WRZ GS &lt; 50'!B:B,'Model Summary'!AX5)</f>
        <v>87925508.440550357</v>
      </c>
      <c r="BA5" s="597">
        <f>ABS(AY5-AZ5)/AY5</f>
        <v>1.3781972022950674E-2</v>
      </c>
      <c r="BE5" s="93">
        <v>2016</v>
      </c>
      <c r="BF5" s="94">
        <f>SUMIFS('WRZ GS 50-2,999'!D:D,'WRZ GS 50-2,999'!B:B,'Model Summary'!BE5)</f>
        <v>349759907.19250697</v>
      </c>
      <c r="BG5" s="94">
        <f>SUMIFS('WRZ GS 50-2,999'!S:S,'WRZ GS 50-2,999'!B:B,'Model Summary'!BE5)</f>
        <v>355468755.96215725</v>
      </c>
      <c r="BH5" s="597">
        <f>ABS(BF5-BG5)/BF5</f>
        <v>1.6322193173810926E-2</v>
      </c>
      <c r="BM5" s="93">
        <v>2016</v>
      </c>
      <c r="BN5" s="94">
        <f>SUMIFS('WRZ GS 3,000-4,999'!D:D,'WRZ GS 3,000-4,999'!B:B,'Model Summary'!BM5)</f>
        <v>61537561.710238636</v>
      </c>
      <c r="BO5" s="94">
        <f>SUMIFS('WRZ GS 3,000-4,999'!O:O,'WRZ GS 3,000-4,999'!B:B,'Model Summary'!BM5)</f>
        <v>60818464.525552742</v>
      </c>
      <c r="BP5" s="597">
        <f>ABS(BN5-BO5)/BN5</f>
        <v>1.1685500118966361E-2</v>
      </c>
    </row>
    <row r="6" spans="2:70">
      <c r="B6" s="93">
        <f t="shared" ref="B6:B14" si="0">B5+1</f>
        <v>2017</v>
      </c>
      <c r="C6" s="94">
        <f>SUMIFS('VRZ Residential'!D:D,'VRZ Residential'!B:B,'Model Summary'!B6)</f>
        <v>893535369.63737249</v>
      </c>
      <c r="D6" s="94">
        <f>SUMIFS('VRZ Residential'!W:W,'VRZ Residential'!B:B,'Model Summary'!B6)</f>
        <v>895562437.78653157</v>
      </c>
      <c r="E6" s="597">
        <f>ABS(C6-D6)/C6</f>
        <v>2.2685930720142931E-3</v>
      </c>
      <c r="F6" s="597"/>
      <c r="G6" s="597"/>
      <c r="H6" s="93">
        <f t="shared" ref="H6:H14" si="1">H5+1</f>
        <v>2017</v>
      </c>
      <c r="I6" s="94">
        <f>SUMIFS('VRZ Seasonal'!D:D,'VRZ Seasonal'!B:B,'Model Summary'!H6)</f>
        <v>9835291.1047094334</v>
      </c>
      <c r="J6" s="94">
        <f>SUMIFS('VRZ Seasonal'!U:U,'VRZ Seasonal'!B:B,'Model Summary'!H6)</f>
        <v>9190004.256946465</v>
      </c>
      <c r="K6" s="597">
        <f>ABS(I6-J6)/I6</f>
        <v>6.5609328782753121E-2</v>
      </c>
      <c r="N6" s="93">
        <f t="shared" ref="N6:N14" si="2">N5+1</f>
        <v>2017</v>
      </c>
      <c r="O6" s="94">
        <f>SUMIFS('VRZ GS &lt; 50'!D:D,'VRZ GS &lt; 50'!B:B,'Model Summary'!N6)</f>
        <v>269761431.64052355</v>
      </c>
      <c r="P6" s="94">
        <f>SUMIFS('VRZ GS &lt; 50'!S:S,'VRZ GS &lt; 50'!B:B,'Model Summary'!N6)</f>
        <v>273671740.18043816</v>
      </c>
      <c r="Q6" s="597">
        <f>ABS(O6-P6)/O6</f>
        <v>1.4495432190341332E-2</v>
      </c>
      <c r="U6" s="93">
        <f t="shared" ref="U6:U14" si="3">U5+1</f>
        <v>2017</v>
      </c>
      <c r="V6" s="94">
        <f>SUMIFS('VRZ GS 50-2,999'!D:D,'VRZ GS 50-2,999'!B:B,'Model Summary'!U6)</f>
        <v>937293316.65521491</v>
      </c>
      <c r="W6" s="94">
        <f>SUMIFS('VRZ GS 50-2,999'!U:U,'VRZ GS 50-2,999'!B:B,'Model Summary'!U6)</f>
        <v>938751239.51112533</v>
      </c>
      <c r="X6" s="597">
        <f>ABS(V6-W6)/V6</f>
        <v>1.5554606332979113E-3</v>
      </c>
      <c r="AC6" s="93">
        <f t="shared" ref="AC6:AC14" si="4">AC5+1</f>
        <v>2017</v>
      </c>
      <c r="AD6" s="94">
        <f>SUMIFS('VRZ GS 3,000-4,999'!D:D,'VRZ GS 3,000-4,999'!B:B,'Model Summary'!AC6)</f>
        <v>88672542.579366088</v>
      </c>
      <c r="AE6" s="94">
        <f>SUMIFS('VRZ GS 3,000-4,999'!M:M,'VRZ GS 3,000-4,999'!B:B,'Model Summary'!AC6)</f>
        <v>87767373.528162256</v>
      </c>
      <c r="AF6" s="597">
        <f>ABS(AD6-AE6)/AD6</f>
        <v>1.0207997028997598E-2</v>
      </c>
      <c r="AK6" s="93">
        <f t="shared" ref="AK6:AK14" si="5">AK5+1</f>
        <v>2017</v>
      </c>
      <c r="AL6" s="94">
        <f>SUMIFS('VRZ Large Use'!D:D,'VRZ Large Use'!B:B,'Model Summary'!AK6)</f>
        <v>232148327.08829373</v>
      </c>
      <c r="AM6" s="94">
        <f>SUMIFS('VRZ Large Use'!Q:Q,'VRZ Large Use'!B:B,'Model Summary'!AK6)</f>
        <v>242541437.25891751</v>
      </c>
      <c r="AN6" s="597">
        <f>ABS(AL6-AM6)/AL6</f>
        <v>4.4769265843862545E-2</v>
      </c>
      <c r="AQ6" s="786"/>
      <c r="AR6" s="93">
        <f t="shared" ref="AR6:AR14" si="6">AR5+1</f>
        <v>2017</v>
      </c>
      <c r="AS6" s="94">
        <f>SUMIFS('WRZ Residential'!D:D,'WRZ Residential'!B:B,'Model Summary'!AR6)</f>
        <v>344658204.76905382</v>
      </c>
      <c r="AT6" s="94">
        <f>SUMIFS('WRZ Residential'!W:W,'WRZ Residential'!B:B,'Model Summary'!AR6)</f>
        <v>343735649.27553868</v>
      </c>
      <c r="AU6" s="597">
        <f>ABS(AS6-AT6)/AS6</f>
        <v>2.676725755399653E-3</v>
      </c>
      <c r="AV6" s="597"/>
      <c r="AX6" s="93">
        <f t="shared" ref="AX6:AX14" si="7">AX5+1</f>
        <v>2017</v>
      </c>
      <c r="AY6" s="94">
        <f>SUMIFS('WRZ GS &lt; 50'!D:D,'WRZ GS &lt; 50'!B:B,'Model Summary'!AX6)</f>
        <v>84903787.382071093</v>
      </c>
      <c r="AZ6" s="94">
        <f>SUMIFS('WRZ GS &lt; 50'!U:U,'WRZ GS &lt; 50'!B:B,'Model Summary'!AX6)</f>
        <v>85851213.150104478</v>
      </c>
      <c r="BA6" s="597">
        <f>ABS(AY6-AZ6)/AY6</f>
        <v>1.1158816317226511E-2</v>
      </c>
      <c r="BE6" s="93">
        <f t="shared" ref="BE6:BE14" si="8">BE5+1</f>
        <v>2017</v>
      </c>
      <c r="BF6" s="94">
        <f>SUMIFS('WRZ GS 50-2,999'!D:D,'WRZ GS 50-2,999'!B:B,'Model Summary'!BE6)</f>
        <v>338528161.41099447</v>
      </c>
      <c r="BG6" s="94">
        <f>SUMIFS('WRZ GS 50-2,999'!S:S,'WRZ GS 50-2,999'!B:B,'Model Summary'!BE6)</f>
        <v>351527394.64790356</v>
      </c>
      <c r="BH6" s="597">
        <f>ABS(BF6-BG6)/BF6</f>
        <v>3.8399266940534395E-2</v>
      </c>
      <c r="BM6" s="93">
        <f t="shared" ref="BM6:BM14" si="9">BM5+1</f>
        <v>2017</v>
      </c>
      <c r="BN6" s="94">
        <f>SUMIFS('WRZ GS 3,000-4,999'!D:D,'WRZ GS 3,000-4,999'!B:B,'Model Summary'!BM6)</f>
        <v>60897721.721045442</v>
      </c>
      <c r="BO6" s="94">
        <f>SUMIFS('WRZ GS 3,000-4,999'!O:O,'WRZ GS 3,000-4,999'!B:B,'Model Summary'!BM6)</f>
        <v>60634169.61527577</v>
      </c>
      <c r="BP6" s="597">
        <f>ABS(BN6-BO6)/BN6</f>
        <v>4.3277826874530082E-3</v>
      </c>
    </row>
    <row r="7" spans="2:70">
      <c r="B7" s="93">
        <f t="shared" si="0"/>
        <v>2018</v>
      </c>
      <c r="C7" s="94">
        <f>SUMIFS('VRZ Residential'!D:D,'VRZ Residential'!B:B,'Model Summary'!B7)</f>
        <v>977456267.87652111</v>
      </c>
      <c r="D7" s="94">
        <f>SUMIFS('VRZ Residential'!W:W,'VRZ Residential'!B:B,'Model Summary'!B7)</f>
        <v>978140423.14225733</v>
      </c>
      <c r="E7" s="597">
        <f>ABS(C7-D7)/C7</f>
        <v>6.9993439933892709E-4</v>
      </c>
      <c r="F7" s="597"/>
      <c r="G7" s="597"/>
      <c r="H7" s="93">
        <f t="shared" si="1"/>
        <v>2018</v>
      </c>
      <c r="I7" s="94">
        <f>SUMIFS('VRZ Seasonal'!D:D,'VRZ Seasonal'!B:B,'Model Summary'!H7)</f>
        <v>10524009.219243117</v>
      </c>
      <c r="J7" s="94">
        <f>SUMIFS('VRZ Seasonal'!U:U,'VRZ Seasonal'!B:B,'Model Summary'!H7)</f>
        <v>10171420.855000585</v>
      </c>
      <c r="K7" s="597">
        <f>ABS(I7-J7)/I7</f>
        <v>3.3503235971878917E-2</v>
      </c>
      <c r="N7" s="93">
        <f t="shared" si="2"/>
        <v>2018</v>
      </c>
      <c r="O7" s="94">
        <f>SUMIFS('VRZ GS &lt; 50'!D:D,'VRZ GS &lt; 50'!B:B,'Model Summary'!N7)</f>
        <v>280070232.28115469</v>
      </c>
      <c r="P7" s="94">
        <f>SUMIFS('VRZ GS &lt; 50'!S:S,'VRZ GS &lt; 50'!B:B,'Model Summary'!N7)</f>
        <v>283294735.64265627</v>
      </c>
      <c r="Q7" s="597">
        <f>ABS(O7-P7)/O7</f>
        <v>1.1513195583972614E-2</v>
      </c>
      <c r="U7" s="93">
        <f t="shared" si="3"/>
        <v>2018</v>
      </c>
      <c r="V7" s="94">
        <f>SUMIFS('VRZ GS 50-2,999'!D:D,'VRZ GS 50-2,999'!B:B,'Model Summary'!U7)</f>
        <v>969803818.47513402</v>
      </c>
      <c r="W7" s="94">
        <f>SUMIFS('VRZ GS 50-2,999'!U:U,'VRZ GS 50-2,999'!B:B,'Model Summary'!U7)</f>
        <v>968822446.80681777</v>
      </c>
      <c r="X7" s="597">
        <f>ABS(V7-W7)/V7</f>
        <v>1.0119280308251413E-3</v>
      </c>
      <c r="AC7" s="93">
        <f t="shared" si="4"/>
        <v>2018</v>
      </c>
      <c r="AD7" s="94">
        <f>SUMIFS('VRZ GS 3,000-4,999'!D:D,'VRZ GS 3,000-4,999'!B:B,'Model Summary'!AC7)</f>
        <v>82846023.315142795</v>
      </c>
      <c r="AE7" s="94">
        <f>SUMIFS('VRZ GS 3,000-4,999'!M:M,'VRZ GS 3,000-4,999'!B:B,'Model Summary'!AC7)</f>
        <v>90738004.658406839</v>
      </c>
      <c r="AF7" s="597">
        <f>ABS(AD7-AE7)/AD7</f>
        <v>9.5260834829008961E-2</v>
      </c>
      <c r="AK7" s="93">
        <f t="shared" si="5"/>
        <v>2018</v>
      </c>
      <c r="AL7" s="94">
        <f>SUMIFS('VRZ Large Use'!D:D,'VRZ Large Use'!B:B,'Model Summary'!AK7)</f>
        <v>264714956.75404868</v>
      </c>
      <c r="AM7" s="94">
        <f>SUMIFS('VRZ Large Use'!Q:Q,'VRZ Large Use'!B:B,'Model Summary'!AK7)</f>
        <v>261454125.81003451</v>
      </c>
      <c r="AN7" s="597">
        <f>ABS(AL7-AM7)/AL7</f>
        <v>1.2318272393818145E-2</v>
      </c>
      <c r="AQ7" s="786"/>
      <c r="AR7" s="93">
        <f t="shared" si="6"/>
        <v>2018</v>
      </c>
      <c r="AS7" s="94">
        <f>SUMIFS('WRZ Residential'!D:D,'WRZ Residential'!B:B,'Model Summary'!AR7)</f>
        <v>374427991.11948341</v>
      </c>
      <c r="AT7" s="94">
        <f>SUMIFS('WRZ Residential'!W:W,'WRZ Residential'!B:B,'Model Summary'!AR7)</f>
        <v>375452848.45210928</v>
      </c>
      <c r="AU7" s="597">
        <f>ABS(AS7-AT7)/AS7</f>
        <v>2.7371279843734346E-3</v>
      </c>
      <c r="AV7" s="597"/>
      <c r="AX7" s="93">
        <f t="shared" si="7"/>
        <v>2018</v>
      </c>
      <c r="AY7" s="94">
        <f>SUMIFS('WRZ GS &lt; 50'!D:D,'WRZ GS &lt; 50'!B:B,'Model Summary'!AX7)</f>
        <v>88410075.907026008</v>
      </c>
      <c r="AZ7" s="94">
        <f>SUMIFS('WRZ GS &lt; 50'!U:U,'WRZ GS &lt; 50'!B:B,'Model Summary'!AX7)</f>
        <v>88773659.582027271</v>
      </c>
      <c r="BA7" s="597">
        <f>ABS(AY7-AZ7)/AY7</f>
        <v>4.1124687573350378E-3</v>
      </c>
      <c r="BE7" s="93">
        <f t="shared" si="8"/>
        <v>2018</v>
      </c>
      <c r="BF7" s="94">
        <f>SUMIFS('WRZ GS 50-2,999'!D:D,'WRZ GS 50-2,999'!B:B,'Model Summary'!BE7)</f>
        <v>349447738.52167225</v>
      </c>
      <c r="BG7" s="94">
        <f>SUMIFS('WRZ GS 50-2,999'!S:S,'WRZ GS 50-2,999'!B:B,'Model Summary'!BE7)</f>
        <v>357017248.53071785</v>
      </c>
      <c r="BH7" s="597">
        <f>ABS(BF7-BG7)/BF7</f>
        <v>2.1661350681701868E-2</v>
      </c>
      <c r="BM7" s="93">
        <f t="shared" si="9"/>
        <v>2018</v>
      </c>
      <c r="BN7" s="94">
        <f>SUMIFS('WRZ GS 3,000-4,999'!D:D,'WRZ GS 3,000-4,999'!B:B,'Model Summary'!BM7)</f>
        <v>72444669.864638299</v>
      </c>
      <c r="BO7" s="94">
        <f>SUMIFS('WRZ GS 3,000-4,999'!O:O,'WRZ GS 3,000-4,999'!B:B,'Model Summary'!BM7)</f>
        <v>75614973.24448584</v>
      </c>
      <c r="BP7" s="597">
        <f>ABS(BN7-BO7)/BN7</f>
        <v>4.3761720300074559E-2</v>
      </c>
    </row>
    <row r="8" spans="2:70">
      <c r="B8" s="93">
        <f t="shared" si="0"/>
        <v>2019</v>
      </c>
      <c r="C8" s="94">
        <f>SUMIFS('VRZ Residential'!D:D,'VRZ Residential'!B:B,'Model Summary'!B8)</f>
        <v>957646686.21659052</v>
      </c>
      <c r="D8" s="94">
        <f ca="1">SUMIFS('VRZ Residential'!W:W,'VRZ Residential'!B:B,'Model Summary'!B8)</f>
        <v>954775798.6956861</v>
      </c>
      <c r="E8" s="597">
        <f t="shared" ref="E8:E11" ca="1" si="10">ABS(C8-D8)/C8</f>
        <v>2.9978566857956153E-3</v>
      </c>
      <c r="F8" s="597"/>
      <c r="G8" s="597"/>
      <c r="H8" s="93">
        <f t="shared" si="1"/>
        <v>2019</v>
      </c>
      <c r="I8" s="94">
        <f>SUMIFS('VRZ Seasonal'!D:D,'VRZ Seasonal'!B:B,'Model Summary'!H8)</f>
        <v>10883890.555316722</v>
      </c>
      <c r="J8" s="94">
        <f ca="1">SUMIFS('VRZ Seasonal'!U:U,'VRZ Seasonal'!B:B,'Model Summary'!H8)</f>
        <v>10309985.374497794</v>
      </c>
      <c r="K8" s="597">
        <f t="shared" ref="K8:K11" ca="1" si="11">ABS(I8-J8)/I8</f>
        <v>5.2729782415772163E-2</v>
      </c>
      <c r="N8" s="93">
        <f t="shared" si="2"/>
        <v>2019</v>
      </c>
      <c r="O8" s="94">
        <f>SUMIFS('VRZ GS &lt; 50'!D:D,'VRZ GS &lt; 50'!B:B,'Model Summary'!N8)</f>
        <v>291086432.62797958</v>
      </c>
      <c r="P8" s="94">
        <f ca="1">SUMIFS('VRZ GS &lt; 50'!S:S,'VRZ GS &lt; 50'!B:B,'Model Summary'!N8)</f>
        <v>278749493.16950846</v>
      </c>
      <c r="Q8" s="597">
        <f t="shared" ref="Q8:Q11" ca="1" si="12">ABS(O8-P8)/O8</f>
        <v>4.2382392566671888E-2</v>
      </c>
      <c r="U8" s="93">
        <f t="shared" si="3"/>
        <v>2019</v>
      </c>
      <c r="V8" s="94">
        <f>SUMIFS('VRZ GS 50-2,999'!D:D,'VRZ GS 50-2,999'!B:B,'Model Summary'!U8)</f>
        <v>958670439.55061078</v>
      </c>
      <c r="W8" s="94">
        <f ca="1">SUMIFS('VRZ GS 50-2,999'!U:U,'VRZ GS 50-2,999'!B:B,'Model Summary'!U8)</f>
        <v>966150628.39534712</v>
      </c>
      <c r="X8" s="597">
        <f t="shared" ref="X8:X11" ca="1" si="13">ABS(V8-W8)/V8</f>
        <v>7.8026697560871633E-3</v>
      </c>
      <c r="AC8" s="93">
        <f t="shared" si="4"/>
        <v>2019</v>
      </c>
      <c r="AD8" s="94">
        <f>SUMIFS('VRZ GS 3,000-4,999'!D:D,'VRZ GS 3,000-4,999'!B:B,'Model Summary'!AC8)</f>
        <v>92449266.843446299</v>
      </c>
      <c r="AE8" s="94">
        <f>SUMIFS('VRZ GS 3,000-4,999'!M:M,'VRZ GS 3,000-4,999'!B:B,'Model Summary'!AC8)</f>
        <v>92992894.678955168</v>
      </c>
      <c r="AF8" s="597">
        <f t="shared" ref="AF8:AF11" si="14">ABS(AD8-AE8)/AD8</f>
        <v>5.8802828196512164E-3</v>
      </c>
      <c r="AK8" s="93">
        <f t="shared" si="5"/>
        <v>2019</v>
      </c>
      <c r="AL8" s="94">
        <f>SUMIFS('VRZ Large Use'!D:D,'VRZ Large Use'!B:B,'Model Summary'!AK8)</f>
        <v>276524028.4324894</v>
      </c>
      <c r="AM8" s="94">
        <f>SUMIFS('VRZ Large Use'!Q:Q,'VRZ Large Use'!B:B,'Model Summary'!AK8)</f>
        <v>275085550.70624685</v>
      </c>
      <c r="AN8" s="597">
        <f t="shared" ref="AN8:AN11" si="15">ABS(AL8-AM8)/AL8</f>
        <v>5.2019990248107226E-3</v>
      </c>
      <c r="AQ8" s="786"/>
      <c r="AR8" s="93">
        <f t="shared" si="6"/>
        <v>2019</v>
      </c>
      <c r="AS8" s="94">
        <f>SUMIFS('WRZ Residential'!D:D,'WRZ Residential'!B:B,'Model Summary'!AR8)</f>
        <v>360878984.79828548</v>
      </c>
      <c r="AT8" s="94">
        <f ca="1">SUMIFS('WRZ Residential'!W:W,'WRZ Residential'!B:B,'Model Summary'!AR8)</f>
        <v>365577588.38707376</v>
      </c>
      <c r="AU8" s="597">
        <f t="shared" ref="AU8:AU11" ca="1" si="16">ABS(AS8-AT8)/AS8</f>
        <v>1.301988696131633E-2</v>
      </c>
      <c r="AV8" s="597"/>
      <c r="AX8" s="93">
        <f t="shared" si="7"/>
        <v>2019</v>
      </c>
      <c r="AY8" s="94">
        <f>SUMIFS('WRZ GS &lt; 50'!D:D,'WRZ GS &lt; 50'!B:B,'Model Summary'!AX8)</f>
        <v>87822910.238034844</v>
      </c>
      <c r="AZ8" s="94">
        <f ca="1">SUMIFS('WRZ GS &lt; 50'!U:U,'WRZ GS &lt; 50'!B:B,'Model Summary'!AX8)</f>
        <v>87322602.514845312</v>
      </c>
      <c r="BA8" s="597">
        <f t="shared" ref="BA8:BA11" ca="1" si="17">ABS(AY8-AZ8)/AY8</f>
        <v>5.6967791414962313E-3</v>
      </c>
      <c r="BE8" s="93">
        <f t="shared" si="8"/>
        <v>2019</v>
      </c>
      <c r="BF8" s="94">
        <f>SUMIFS('WRZ GS 50-2,999'!D:D,'WRZ GS 50-2,999'!B:B,'Model Summary'!BE8)</f>
        <v>344762853.45217794</v>
      </c>
      <c r="BG8" s="94">
        <f ca="1">SUMIFS('WRZ GS 50-2,999'!S:S,'WRZ GS 50-2,999'!B:B,'Model Summary'!BE8)</f>
        <v>354220433.56068516</v>
      </c>
      <c r="BH8" s="597">
        <f t="shared" ref="BH8:BH11" ca="1" si="18">ABS(BF8-BG8)/BF8</f>
        <v>2.7432132011342331E-2</v>
      </c>
      <c r="BM8" s="93">
        <f t="shared" si="9"/>
        <v>2019</v>
      </c>
      <c r="BN8" s="94">
        <f>SUMIFS('WRZ GS 3,000-4,999'!D:D,'WRZ GS 3,000-4,999'!B:B,'Model Summary'!BM8)</f>
        <v>81067640.982784644</v>
      </c>
      <c r="BO8" s="94">
        <f>SUMIFS('WRZ GS 3,000-4,999'!O:O,'WRZ GS 3,000-4,999'!B:B,'Model Summary'!BM8)</f>
        <v>88290984.609048173</v>
      </c>
      <c r="BP8" s="597">
        <f t="shared" ref="BP8:BP11" si="19">ABS(BN8-BO8)/BN8</f>
        <v>8.9102674491261732E-2</v>
      </c>
    </row>
    <row r="9" spans="2:70">
      <c r="B9" s="93">
        <f t="shared" si="0"/>
        <v>2020</v>
      </c>
      <c r="C9" s="94">
        <f>SUMIFS('VRZ Residential'!D:D,'VRZ Residential'!B:B,'Model Summary'!B9)</f>
        <v>1032572124.7647151</v>
      </c>
      <c r="D9" s="94">
        <f ca="1">SUMIFS('VRZ Residential'!W:W,'VRZ Residential'!B:B,'Model Summary'!B9)</f>
        <v>1021835826.9667559</v>
      </c>
      <c r="E9" s="597">
        <f t="shared" ca="1" si="10"/>
        <v>1.0397625057334966E-2</v>
      </c>
      <c r="F9" s="597"/>
      <c r="G9" s="597"/>
      <c r="H9" s="93">
        <f t="shared" si="1"/>
        <v>2020</v>
      </c>
      <c r="I9" s="94">
        <f>SUMIFS('VRZ Seasonal'!D:D,'VRZ Seasonal'!B:B,'Model Summary'!H9)</f>
        <v>12336947.539484285</v>
      </c>
      <c r="J9" s="94">
        <f ca="1">SUMIFS('VRZ Seasonal'!U:U,'VRZ Seasonal'!B:B,'Model Summary'!H9)</f>
        <v>11522639.469738657</v>
      </c>
      <c r="K9" s="597">
        <f t="shared" ca="1" si="11"/>
        <v>6.6005636089433217E-2</v>
      </c>
      <c r="N9" s="93">
        <f t="shared" si="2"/>
        <v>2020</v>
      </c>
      <c r="O9" s="94">
        <f>SUMIFS('VRZ GS &lt; 50'!D:D,'VRZ GS &lt; 50'!B:B,'Model Summary'!N9)</f>
        <v>270603239.00590277</v>
      </c>
      <c r="P9" s="94">
        <f ca="1">SUMIFS('VRZ GS &lt; 50'!S:S,'VRZ GS &lt; 50'!B:B,'Model Summary'!N9)</f>
        <v>264631784.49166319</v>
      </c>
      <c r="Q9" s="597">
        <f t="shared" ca="1" si="12"/>
        <v>2.2067195264094092E-2</v>
      </c>
      <c r="U9" s="93">
        <f t="shared" si="3"/>
        <v>2020</v>
      </c>
      <c r="V9" s="94">
        <f>SUMIFS('VRZ GS 50-2,999'!D:D,'VRZ GS 50-2,999'!B:B,'Model Summary'!U9)</f>
        <v>915935437.41656649</v>
      </c>
      <c r="W9" s="94">
        <f ca="1">SUMIFS('VRZ GS 50-2,999'!U:U,'VRZ GS 50-2,999'!B:B,'Model Summary'!U9)</f>
        <v>915170262.9050374</v>
      </c>
      <c r="X9" s="597">
        <f t="shared" ca="1" si="13"/>
        <v>8.354022349951806E-4</v>
      </c>
      <c r="AC9" s="93">
        <f t="shared" si="4"/>
        <v>2020</v>
      </c>
      <c r="AD9" s="94">
        <f>SUMIFS('VRZ GS 3,000-4,999'!D:D,'VRZ GS 3,000-4,999'!B:B,'Model Summary'!AC9)</f>
        <v>88940529.482721388</v>
      </c>
      <c r="AE9" s="94">
        <f>SUMIFS('VRZ GS 3,000-4,999'!M:M,'VRZ GS 3,000-4,999'!B:B,'Model Summary'!AC9)</f>
        <v>88681787.069527477</v>
      </c>
      <c r="AF9" s="597">
        <f t="shared" si="14"/>
        <v>2.9091620513028043E-3</v>
      </c>
      <c r="AK9" s="93">
        <f t="shared" si="5"/>
        <v>2020</v>
      </c>
      <c r="AL9" s="94">
        <f>SUMIFS('VRZ Large Use'!D:D,'VRZ Large Use'!B:B,'Model Summary'!AK9)</f>
        <v>281926668.88159341</v>
      </c>
      <c r="AM9" s="94">
        <f>SUMIFS('VRZ Large Use'!Q:Q,'VRZ Large Use'!B:B,'Model Summary'!AK9)</f>
        <v>270334099.0934751</v>
      </c>
      <c r="AN9" s="597">
        <f t="shared" si="15"/>
        <v>4.1119096090150575E-2</v>
      </c>
      <c r="AQ9" s="786"/>
      <c r="AR9" s="93">
        <f t="shared" si="6"/>
        <v>2020</v>
      </c>
      <c r="AS9" s="94">
        <f>SUMIFS('WRZ Residential'!D:D,'WRZ Residential'!B:B,'Model Summary'!AR9)</f>
        <v>399848173.33693796</v>
      </c>
      <c r="AT9" s="94">
        <f ca="1">SUMIFS('WRZ Residential'!W:W,'WRZ Residential'!B:B,'Model Summary'!AR9)</f>
        <v>396584501.20314401</v>
      </c>
      <c r="AU9" s="597">
        <f t="shared" ca="1" si="16"/>
        <v>8.1622784632400178E-3</v>
      </c>
      <c r="AV9" s="597"/>
      <c r="AX9" s="93">
        <f t="shared" si="7"/>
        <v>2020</v>
      </c>
      <c r="AY9" s="94">
        <f>SUMIFS('WRZ GS &lt; 50'!D:D,'WRZ GS &lt; 50'!B:B,'Model Summary'!AX9)</f>
        <v>80737801.677429453</v>
      </c>
      <c r="AZ9" s="94">
        <f ca="1">SUMIFS('WRZ GS &lt; 50'!U:U,'WRZ GS &lt; 50'!B:B,'Model Summary'!AX9)</f>
        <v>81539368.045916528</v>
      </c>
      <c r="BA9" s="597">
        <f t="shared" ca="1" si="17"/>
        <v>9.9280182496120119E-3</v>
      </c>
      <c r="BE9" s="93">
        <f t="shared" si="8"/>
        <v>2020</v>
      </c>
      <c r="BF9" s="94">
        <f>SUMIFS('WRZ GS 50-2,999'!D:D,'WRZ GS 50-2,999'!B:B,'Model Summary'!BE9)</f>
        <v>332407740.07562643</v>
      </c>
      <c r="BG9" s="94">
        <f ca="1">SUMIFS('WRZ GS 50-2,999'!S:S,'WRZ GS 50-2,999'!B:B,'Model Summary'!BE9)</f>
        <v>333005577.05357969</v>
      </c>
      <c r="BH9" s="597">
        <f t="shared" ca="1" si="18"/>
        <v>1.7985049861270999E-3</v>
      </c>
      <c r="BM9" s="93">
        <f t="shared" si="9"/>
        <v>2020</v>
      </c>
      <c r="BN9" s="94">
        <f>SUMIFS('WRZ GS 3,000-4,999'!D:D,'WRZ GS 3,000-4,999'!B:B,'Model Summary'!BM9)</f>
        <v>87300917.280597076</v>
      </c>
      <c r="BO9" s="94">
        <f>SUMIFS('WRZ GS 3,000-4,999'!O:O,'WRZ GS 3,000-4,999'!B:B,'Model Summary'!BM9)</f>
        <v>88478023.061325133</v>
      </c>
      <c r="BP9" s="597">
        <f t="shared" si="19"/>
        <v>1.3483315151714595E-2</v>
      </c>
    </row>
    <row r="10" spans="2:70">
      <c r="B10" s="93">
        <f t="shared" si="0"/>
        <v>2021</v>
      </c>
      <c r="C10" s="94">
        <f ca="1">SUMIFS('VRZ Residential'!D:D,'VRZ Residential'!B:B,'Model Summary'!B10)</f>
        <v>1025174351.7429885</v>
      </c>
      <c r="D10" s="94">
        <f ca="1">SUMIFS('VRZ Residential'!W:W,'VRZ Residential'!B:B,'Model Summary'!B10)</f>
        <v>1025346850.1651049</v>
      </c>
      <c r="E10" s="597">
        <f t="shared" ca="1" si="10"/>
        <v>1.6826252219743809E-4</v>
      </c>
      <c r="F10" s="597"/>
      <c r="G10" s="597"/>
      <c r="H10" s="93">
        <f t="shared" si="1"/>
        <v>2021</v>
      </c>
      <c r="I10" s="94">
        <f ca="1">SUMIFS('VRZ Seasonal'!D:D,'VRZ Seasonal'!B:B,'Model Summary'!H10)</f>
        <v>12543160.508944979</v>
      </c>
      <c r="J10" s="94">
        <f ca="1">SUMIFS('VRZ Seasonal'!U:U,'VRZ Seasonal'!B:B,'Model Summary'!H10)</f>
        <v>11899678.175915275</v>
      </c>
      <c r="K10" s="597">
        <f t="shared" ca="1" si="11"/>
        <v>5.1301450903925988E-2</v>
      </c>
      <c r="N10" s="93">
        <f t="shared" si="2"/>
        <v>2021</v>
      </c>
      <c r="O10" s="94">
        <f ca="1">SUMIFS('VRZ GS &lt; 50'!D:D,'VRZ GS &lt; 50'!B:B,'Model Summary'!N10)</f>
        <v>270384824.9115988</v>
      </c>
      <c r="P10" s="94">
        <f ca="1">SUMIFS('VRZ GS &lt; 50'!S:S,'VRZ GS &lt; 50'!B:B,'Model Summary'!N10)</f>
        <v>263438573.10917944</v>
      </c>
      <c r="Q10" s="597">
        <f t="shared" ca="1" si="12"/>
        <v>2.5690242803716564E-2</v>
      </c>
      <c r="U10" s="93">
        <f t="shared" si="3"/>
        <v>2021</v>
      </c>
      <c r="V10" s="94">
        <f ca="1">SUMIFS('VRZ GS 50-2,999'!D:D,'VRZ GS 50-2,999'!B:B,'Model Summary'!U10)</f>
        <v>943010370.73226821</v>
      </c>
      <c r="W10" s="94">
        <f ca="1">SUMIFS('VRZ GS 50-2,999'!U:U,'VRZ GS 50-2,999'!B:B,'Model Summary'!U10)</f>
        <v>936122598.5367372</v>
      </c>
      <c r="X10" s="597">
        <f t="shared" ca="1" si="13"/>
        <v>7.3040259251682506E-3</v>
      </c>
      <c r="AC10" s="93">
        <f t="shared" si="4"/>
        <v>2021</v>
      </c>
      <c r="AD10" s="94">
        <f ca="1">SUMIFS('VRZ GS 3,000-4,999'!D:D,'VRZ GS 3,000-4,999'!B:B,'Model Summary'!AC10)</f>
        <v>97523202.921463251</v>
      </c>
      <c r="AE10" s="94">
        <f>SUMIFS('VRZ GS 3,000-4,999'!M:M,'VRZ GS 3,000-4,999'!B:B,'Model Summary'!AC10)</f>
        <v>93788829.376597568</v>
      </c>
      <c r="AF10" s="597">
        <f t="shared" ca="1" si="14"/>
        <v>3.8292154410402457E-2</v>
      </c>
      <c r="AK10" s="93">
        <f t="shared" si="5"/>
        <v>2021</v>
      </c>
      <c r="AL10" s="94">
        <f ca="1">SUMIFS('VRZ Large Use'!D:D,'VRZ Large Use'!B:B,'Model Summary'!AK10)</f>
        <v>303469395.73135197</v>
      </c>
      <c r="AM10" s="94">
        <f>SUMIFS('VRZ Large Use'!Q:Q,'VRZ Large Use'!B:B,'Model Summary'!AK10)</f>
        <v>305029432.8276087</v>
      </c>
      <c r="AN10" s="597">
        <f t="shared" ca="1" si="15"/>
        <v>5.1406735512722502E-3</v>
      </c>
      <c r="AQ10" s="786"/>
      <c r="AR10" s="93">
        <f t="shared" si="6"/>
        <v>2021</v>
      </c>
      <c r="AS10" s="94">
        <f ca="1">SUMIFS('WRZ Residential'!D:D,'WRZ Residential'!B:B,'Model Summary'!AR10)</f>
        <v>398242957.55281997</v>
      </c>
      <c r="AT10" s="94">
        <f ca="1">SUMIFS('WRZ Residential'!W:W,'WRZ Residential'!B:B,'Model Summary'!AR10)</f>
        <v>403741024.13919646</v>
      </c>
      <c r="AU10" s="597">
        <f t="shared" ca="1" si="16"/>
        <v>1.38058099511961E-2</v>
      </c>
      <c r="AV10" s="597"/>
      <c r="AX10" s="93">
        <f t="shared" si="7"/>
        <v>2021</v>
      </c>
      <c r="AY10" s="94">
        <f ca="1">SUMIFS('WRZ GS &lt; 50'!D:D,'WRZ GS &lt; 50'!B:B,'Model Summary'!AX10)</f>
        <v>81746053.305323392</v>
      </c>
      <c r="AZ10" s="94">
        <f ca="1">SUMIFS('WRZ GS &lt; 50'!U:U,'WRZ GS &lt; 50'!B:B,'Model Summary'!AX10)</f>
        <v>81494203.984034747</v>
      </c>
      <c r="BA10" s="597">
        <f t="shared" ca="1" si="17"/>
        <v>3.0808743799285608E-3</v>
      </c>
      <c r="BE10" s="93">
        <f t="shared" si="8"/>
        <v>2021</v>
      </c>
      <c r="BF10" s="94">
        <f ca="1">SUMIFS('WRZ GS 50-2,999'!D:D,'WRZ GS 50-2,999'!B:B,'Model Summary'!BE10)</f>
        <v>330542534.99747074</v>
      </c>
      <c r="BG10" s="94">
        <f ca="1">SUMIFS('WRZ GS 50-2,999'!S:S,'WRZ GS 50-2,999'!B:B,'Model Summary'!BE10)</f>
        <v>332820434.21015471</v>
      </c>
      <c r="BH10" s="597">
        <f t="shared" ca="1" si="18"/>
        <v>6.8913951201511961E-3</v>
      </c>
      <c r="BM10" s="93">
        <f t="shared" si="9"/>
        <v>2021</v>
      </c>
      <c r="BN10" s="94">
        <f ca="1">SUMIFS('WRZ GS 3,000-4,999'!D:D,'WRZ GS 3,000-4,999'!B:B,'Model Summary'!BM10)</f>
        <v>91219165.840228975</v>
      </c>
      <c r="BO10" s="94">
        <f>SUMIFS('WRZ GS 3,000-4,999'!O:O,'WRZ GS 3,000-4,999'!B:B,'Model Summary'!BM10)</f>
        <v>88295125.051048175</v>
      </c>
      <c r="BP10" s="597">
        <f t="shared" ca="1" si="19"/>
        <v>3.205511431996954E-2</v>
      </c>
    </row>
    <row r="11" spans="2:70">
      <c r="B11" s="93">
        <f t="shared" si="0"/>
        <v>2022</v>
      </c>
      <c r="C11" s="94">
        <f ca="1">SUMIFS('VRZ Residential'!D:D,'VRZ Residential'!B:B,'Model Summary'!B11)</f>
        <v>1017086211.1143632</v>
      </c>
      <c r="D11" s="94">
        <f ca="1">SUMIFS('VRZ Residential'!W:W,'VRZ Residential'!B:B,'Model Summary'!B11)</f>
        <v>1028712833.1671339</v>
      </c>
      <c r="E11" s="597">
        <f t="shared" ca="1" si="10"/>
        <v>1.1431304372942102E-2</v>
      </c>
      <c r="F11" s="597"/>
      <c r="G11" s="597"/>
      <c r="H11" s="93">
        <f t="shared" si="1"/>
        <v>2022</v>
      </c>
      <c r="I11" s="94">
        <f ca="1">SUMIFS('VRZ Seasonal'!D:D,'VRZ Seasonal'!B:B,'Model Summary'!H11)</f>
        <v>12549712.821751935</v>
      </c>
      <c r="J11" s="94">
        <f ca="1">SUMIFS('VRZ Seasonal'!U:U,'VRZ Seasonal'!B:B,'Model Summary'!H11)</f>
        <v>12021382.893256584</v>
      </c>
      <c r="K11" s="597">
        <f t="shared" ca="1" si="11"/>
        <v>4.2098965609764172E-2</v>
      </c>
      <c r="N11" s="93">
        <f t="shared" si="2"/>
        <v>2022</v>
      </c>
      <c r="O11" s="94">
        <f ca="1">SUMIFS('VRZ GS &lt; 50'!D:D,'VRZ GS &lt; 50'!B:B,'Model Summary'!N11)</f>
        <v>284010016.27710396</v>
      </c>
      <c r="P11" s="94">
        <f ca="1">SUMIFS('VRZ GS &lt; 50'!S:S,'VRZ GS &lt; 50'!B:B,'Model Summary'!N11)</f>
        <v>272945466.10811037</v>
      </c>
      <c r="Q11" s="597">
        <f t="shared" ca="1" si="12"/>
        <v>3.8958309689324795E-2</v>
      </c>
      <c r="U11" s="93">
        <f t="shared" si="3"/>
        <v>2022</v>
      </c>
      <c r="V11" s="94">
        <f ca="1">SUMIFS('VRZ GS 50-2,999'!D:D,'VRZ GS 50-2,999'!B:B,'Model Summary'!U11)</f>
        <v>967051784.9542594</v>
      </c>
      <c r="W11" s="94">
        <f ca="1">SUMIFS('VRZ GS 50-2,999'!U:U,'VRZ GS 50-2,999'!B:B,'Model Summary'!U11)</f>
        <v>970698962.58530879</v>
      </c>
      <c r="X11" s="597">
        <f t="shared" ca="1" si="13"/>
        <v>3.7714398419955377E-3</v>
      </c>
      <c r="AC11" s="93">
        <f t="shared" si="4"/>
        <v>2022</v>
      </c>
      <c r="AD11" s="94">
        <f ca="1">SUMIFS('VRZ GS 3,000-4,999'!D:D,'VRZ GS 3,000-4,999'!B:B,'Model Summary'!AC11)</f>
        <v>108191494.03556103</v>
      </c>
      <c r="AE11" s="94">
        <f>SUMIFS('VRZ GS 3,000-4,999'!M:M,'VRZ GS 3,000-4,999'!B:B,'Model Summary'!AC11)</f>
        <v>97923982.74183476</v>
      </c>
      <c r="AF11" s="597">
        <f t="shared" ca="1" si="14"/>
        <v>9.4901280227736556E-2</v>
      </c>
      <c r="AK11" s="93">
        <f t="shared" si="5"/>
        <v>2022</v>
      </c>
      <c r="AL11" s="94">
        <f ca="1">SUMIFS('VRZ Large Use'!D:D,'VRZ Large Use'!B:B,'Model Summary'!AK11)</f>
        <v>308054903.94709766</v>
      </c>
      <c r="AM11" s="94">
        <f>SUMIFS('VRZ Large Use'!Q:Q,'VRZ Large Use'!B:B,'Model Summary'!AK11)</f>
        <v>319922172.24525082</v>
      </c>
      <c r="AN11" s="597">
        <f t="shared" ca="1" si="15"/>
        <v>3.8523224743700658E-2</v>
      </c>
      <c r="AQ11" s="786"/>
      <c r="AR11" s="93">
        <f t="shared" si="6"/>
        <v>2022</v>
      </c>
      <c r="AS11" s="94">
        <f ca="1">SUMIFS('WRZ Residential'!D:D,'WRZ Residential'!B:B,'Model Summary'!AR11)</f>
        <v>396911103.93419737</v>
      </c>
      <c r="AT11" s="94">
        <f ca="1">SUMIFS('WRZ Residential'!W:W,'WRZ Residential'!B:B,'Model Summary'!AR11)</f>
        <v>401864242.21284312</v>
      </c>
      <c r="AU11" s="597">
        <f t="shared" ca="1" si="16"/>
        <v>1.2479213177837723E-2</v>
      </c>
      <c r="AV11" s="597"/>
      <c r="AX11" s="93">
        <f t="shared" si="7"/>
        <v>2022</v>
      </c>
      <c r="AY11" s="94">
        <f ca="1">SUMIFS('WRZ GS &lt; 50'!D:D,'WRZ GS &lt; 50'!B:B,'Model Summary'!AX11)</f>
        <v>86826614.34330143</v>
      </c>
      <c r="AZ11" s="94">
        <f ca="1">SUMIFS('WRZ GS &lt; 50'!U:U,'WRZ GS &lt; 50'!B:B,'Model Summary'!AX11)</f>
        <v>84963370.938320041</v>
      </c>
      <c r="BA11" s="597">
        <f t="shared" ca="1" si="17"/>
        <v>2.145935804446274E-2</v>
      </c>
      <c r="BE11" s="93">
        <f t="shared" si="8"/>
        <v>2022</v>
      </c>
      <c r="BF11" s="94">
        <f ca="1">SUMIFS('WRZ GS 50-2,999'!D:D,'WRZ GS 50-2,999'!B:B,'Model Summary'!BE11)</f>
        <v>345394726.37772709</v>
      </c>
      <c r="BG11" s="94">
        <f ca="1">SUMIFS('WRZ GS 50-2,999'!S:S,'WRZ GS 50-2,999'!B:B,'Model Summary'!BE11)</f>
        <v>344014087.98792702</v>
      </c>
      <c r="BH11" s="597">
        <f t="shared" ca="1" si="18"/>
        <v>3.9972769830023168E-3</v>
      </c>
      <c r="BM11" s="93">
        <f t="shared" si="9"/>
        <v>2022</v>
      </c>
      <c r="BN11" s="94">
        <f ca="1">SUMIFS('WRZ GS 3,000-4,999'!D:D,'WRZ GS 3,000-4,999'!B:B,'Model Summary'!BM11)</f>
        <v>92386373.674872577</v>
      </c>
      <c r="BO11" s="94">
        <f>SUMIFS('WRZ GS 3,000-4,999'!O:O,'WRZ GS 3,000-4,999'!B:B,'Model Summary'!BM11)</f>
        <v>88301183.180048153</v>
      </c>
      <c r="BP11" s="597">
        <f t="shared" ca="1" si="19"/>
        <v>4.4218539296726637E-2</v>
      </c>
    </row>
    <row r="12" spans="2:70">
      <c r="B12" s="93">
        <f t="shared" si="0"/>
        <v>2023</v>
      </c>
      <c r="C12" s="94">
        <f ca="1">SUMIFS('VRZ Residential'!D:D,'VRZ Residential'!B:B,'Model Summary'!B12)</f>
        <v>1008425962.6728997</v>
      </c>
      <c r="D12" s="94">
        <f ca="1">SUMIFS('VRZ Residential'!W:W,'VRZ Residential'!B:B,'Model Summary'!B12)</f>
        <v>1007573359.2705842</v>
      </c>
      <c r="E12" s="597">
        <f ca="1">ABS(C12-D12)/C12</f>
        <v>8.4547942424609507E-4</v>
      </c>
      <c r="F12" s="597"/>
      <c r="G12" s="597"/>
      <c r="H12" s="93">
        <f t="shared" si="1"/>
        <v>2023</v>
      </c>
      <c r="I12" s="94">
        <f ca="1">SUMIFS('VRZ Seasonal'!D:D,'VRZ Seasonal'!B:B,'Model Summary'!H12)</f>
        <v>12141822.564793887</v>
      </c>
      <c r="J12" s="94">
        <f ca="1">SUMIFS('VRZ Seasonal'!U:U,'VRZ Seasonal'!B:B,'Model Summary'!H12)</f>
        <v>11560856.470819732</v>
      </c>
      <c r="K12" s="597">
        <f ca="1">ABS(I12-J12)/I12</f>
        <v>4.7848343267567477E-2</v>
      </c>
      <c r="N12" s="93">
        <f t="shared" si="2"/>
        <v>2023</v>
      </c>
      <c r="O12" s="94">
        <f ca="1">SUMIFS('VRZ GS &lt; 50'!D:D,'VRZ GS &lt; 50'!B:B,'Model Summary'!N12)</f>
        <v>282341199.19501126</v>
      </c>
      <c r="P12" s="94">
        <f ca="1">SUMIFS('VRZ GS &lt; 50'!S:S,'VRZ GS &lt; 50'!B:B,'Model Summary'!N12)</f>
        <v>276829246.57159746</v>
      </c>
      <c r="Q12" s="597">
        <f ca="1">ABS(O12-P12)/O12</f>
        <v>1.9522310733003336E-2</v>
      </c>
      <c r="U12" s="93">
        <f t="shared" si="3"/>
        <v>2023</v>
      </c>
      <c r="V12" s="94">
        <f ca="1">SUMIFS('VRZ GS 50-2,999'!D:D,'VRZ GS 50-2,999'!B:B,'Model Summary'!U12)</f>
        <v>967502842.92821264</v>
      </c>
      <c r="W12" s="94">
        <f ca="1">SUMIFS('VRZ GS 50-2,999'!U:U,'VRZ GS 50-2,999'!B:B,'Model Summary'!U12)</f>
        <v>989837564.75103629</v>
      </c>
      <c r="X12" s="597">
        <f ca="1">ABS(V12-W12)/V12</f>
        <v>2.3084915962857638E-2</v>
      </c>
      <c r="AC12" s="93">
        <f t="shared" si="4"/>
        <v>2023</v>
      </c>
      <c r="AD12" s="94">
        <f ca="1">SUMIFS('VRZ GS 3,000-4,999'!D:D,'VRZ GS 3,000-4,999'!B:B,'Model Summary'!AC12)</f>
        <v>109378869.38290659</v>
      </c>
      <c r="AE12" s="94">
        <f>SUMIFS('VRZ GS 3,000-4,999'!M:M,'VRZ GS 3,000-4,999'!B:B,'Model Summary'!AC12)</f>
        <v>100511378.62520504</v>
      </c>
      <c r="AF12" s="597">
        <f ca="1">ABS(AD12-AE12)/AD12</f>
        <v>8.1071333135276785E-2</v>
      </c>
      <c r="AK12" s="93">
        <f t="shared" si="5"/>
        <v>2023</v>
      </c>
      <c r="AL12" s="94">
        <f ca="1">SUMIFS('VRZ Large Use'!D:D,'VRZ Large Use'!B:B,'Model Summary'!AK12)</f>
        <v>324009006.56427532</v>
      </c>
      <c r="AM12" s="94">
        <f>SUMIFS('VRZ Large Use'!Q:Q,'VRZ Large Use'!B:B,'Model Summary'!AK12)</f>
        <v>324149630.93636644</v>
      </c>
      <c r="AN12" s="597">
        <f ca="1">ABS(AL12-AM12)/AL12</f>
        <v>4.3401377505602811E-4</v>
      </c>
      <c r="AQ12" s="786"/>
      <c r="AR12" s="93">
        <f t="shared" si="6"/>
        <v>2023</v>
      </c>
      <c r="AS12" s="94">
        <f ca="1">SUMIFS('WRZ Residential'!D:D,'WRZ Residential'!B:B,'Model Summary'!AR12)</f>
        <v>395930836.98761469</v>
      </c>
      <c r="AT12" s="94">
        <f ca="1">SUMIFS('WRZ Residential'!W:W,'WRZ Residential'!B:B,'Model Summary'!AR12)</f>
        <v>395546686.0624662</v>
      </c>
      <c r="AU12" s="597">
        <f ca="1">ABS(AS12-AT12)/AS12</f>
        <v>9.7024755149471701E-4</v>
      </c>
      <c r="AV12" s="597"/>
      <c r="AX12" s="93">
        <f t="shared" si="7"/>
        <v>2023</v>
      </c>
      <c r="AY12" s="94">
        <f ca="1">SUMIFS('WRZ GS &lt; 50'!D:D,'WRZ GS &lt; 50'!B:B,'Model Summary'!AX12)</f>
        <v>88283192.14111647</v>
      </c>
      <c r="AZ12" s="94">
        <f ca="1">SUMIFS('WRZ GS &lt; 50'!U:U,'WRZ GS &lt; 50'!B:B,'Model Summary'!AX12)</f>
        <v>86681213.974610731</v>
      </c>
      <c r="BA12" s="597">
        <f ca="1">ABS(AY12-AZ12)/AY12</f>
        <v>1.8145902154795824E-2</v>
      </c>
      <c r="BE12" s="93">
        <f t="shared" si="8"/>
        <v>2023</v>
      </c>
      <c r="BF12" s="94">
        <f ca="1">SUMIFS('WRZ GS 50-2,999'!D:D,'WRZ GS 50-2,999'!B:B,'Model Summary'!BE12)</f>
        <v>348595070.44815201</v>
      </c>
      <c r="BG12" s="94">
        <f ca="1">SUMIFS('WRZ GS 50-2,999'!S:S,'WRZ GS 50-2,999'!B:B,'Model Summary'!BE12)</f>
        <v>351567810.15146649</v>
      </c>
      <c r="BH12" s="597">
        <f ca="1">ABS(BF12-BG12)/BF12</f>
        <v>8.5277732111723337E-3</v>
      </c>
      <c r="BM12" s="93">
        <f t="shared" si="9"/>
        <v>2023</v>
      </c>
      <c r="BN12" s="94">
        <f ca="1">SUMIFS('WRZ GS 3,000-4,999'!D:D,'WRZ GS 3,000-4,999'!B:B,'Model Summary'!BM12)</f>
        <v>90098010.637961924</v>
      </c>
      <c r="BO12" s="94">
        <f>SUMIFS('WRZ GS 3,000-4,999'!O:O,'WRZ GS 3,000-4,999'!B:B,'Model Summary'!BM12)</f>
        <v>88312420.63704817</v>
      </c>
      <c r="BP12" s="597">
        <f ca="1">ABS(BN12-BO12)/BN12</f>
        <v>1.981830662264826E-2</v>
      </c>
    </row>
    <row r="13" spans="2:70">
      <c r="B13" s="93">
        <f t="shared" si="0"/>
        <v>2024</v>
      </c>
      <c r="C13" s="94">
        <f ca="1">SUMIFS('VRZ Residential'!D:D,'VRZ Residential'!B:B,'Model Summary'!B13)</f>
        <v>1053250583.9636493</v>
      </c>
      <c r="D13" s="94">
        <f ca="1">SUMIFS('VRZ Residential'!W:W,'VRZ Residential'!B:B,'Model Summary'!B13)</f>
        <v>1040223205.0193387</v>
      </c>
      <c r="E13" s="597">
        <f t="shared" ref="E13:E15" ca="1" si="20">ABS(C13-D13)/C13</f>
        <v>1.2368736502651832E-2</v>
      </c>
      <c r="F13" s="597"/>
      <c r="G13" s="597"/>
      <c r="H13" s="93">
        <f t="shared" si="1"/>
        <v>2024</v>
      </c>
      <c r="I13" s="94">
        <f ca="1">SUMIFS('VRZ Seasonal'!D:D,'VRZ Seasonal'!B:B,'Model Summary'!H13)</f>
        <v>12226101.763397139</v>
      </c>
      <c r="J13" s="94">
        <f ca="1">SUMIFS('VRZ Seasonal'!U:U,'VRZ Seasonal'!B:B,'Model Summary'!H13)</f>
        <v>12068198.783454204</v>
      </c>
      <c r="K13" s="597">
        <f t="shared" ref="K13" ca="1" si="21">ABS(I13-J13)/I13</f>
        <v>1.2915235207322514E-2</v>
      </c>
      <c r="N13" s="93">
        <f t="shared" si="2"/>
        <v>2024</v>
      </c>
      <c r="O13" s="94">
        <f ca="1">SUMIFS('VRZ GS &lt; 50'!D:D,'VRZ GS &lt; 50'!B:B,'Model Summary'!N13)</f>
        <v>265904595.49275559</v>
      </c>
      <c r="P13" s="94">
        <f ca="1">SUMIFS('VRZ GS &lt; 50'!S:S,'VRZ GS &lt; 50'!B:B,'Model Summary'!N13)</f>
        <v>278969793.51248044</v>
      </c>
      <c r="Q13" s="597">
        <f t="shared" ref="Q13" ca="1" si="22">ABS(O13-P13)/O13</f>
        <v>4.9134908689762752E-2</v>
      </c>
      <c r="U13" s="93">
        <f t="shared" si="3"/>
        <v>2024</v>
      </c>
      <c r="V13" s="94">
        <f ca="1">SUMIFS('VRZ GS 50-2,999'!D:D,'VRZ GS 50-2,999'!B:B,'Model Summary'!U13)</f>
        <v>1010796069.0930438</v>
      </c>
      <c r="W13" s="94">
        <f ca="1">SUMIFS('VRZ GS 50-2,999'!U:U,'VRZ GS 50-2,999'!B:B,'Model Summary'!U13)</f>
        <v>1000172312.7266876</v>
      </c>
      <c r="X13" s="597">
        <f t="shared" ref="X13" ca="1" si="23">ABS(V13-W13)/V13</f>
        <v>1.0510286586184119E-2</v>
      </c>
      <c r="AC13" s="93">
        <f t="shared" si="4"/>
        <v>2024</v>
      </c>
      <c r="AD13" s="94">
        <f ca="1">SUMIFS('VRZ GS 3,000-4,999'!D:D,'VRZ GS 3,000-4,999'!B:B,'Model Summary'!AC13)</f>
        <v>98936429.469787315</v>
      </c>
      <c r="AE13" s="94">
        <f>SUMIFS('VRZ GS 3,000-4,999'!M:M,'VRZ GS 3,000-4,999'!B:B,'Model Summary'!AC13)</f>
        <v>102652191.16987173</v>
      </c>
      <c r="AF13" s="597">
        <f t="shared" ref="AF13" ca="1" si="24">ABS(AD13-AE13)/AD13</f>
        <v>3.755706285336604E-2</v>
      </c>
      <c r="AK13" s="93">
        <f t="shared" si="5"/>
        <v>2024</v>
      </c>
      <c r="AL13" s="94">
        <f ca="1">SUMIFS('VRZ Large Use'!D:D,'VRZ Large Use'!B:B,'Model Summary'!AK13)</f>
        <v>343917827.94514245</v>
      </c>
      <c r="AM13" s="94">
        <f>SUMIFS('VRZ Large Use'!Q:Q,'VRZ Large Use'!B:B,'Model Summary'!AK13)</f>
        <v>336150216.80939806</v>
      </c>
      <c r="AN13" s="597">
        <f t="shared" ref="AN13" ca="1" si="25">ABS(AL13-AM13)/AL13</f>
        <v>2.2585660016971806E-2</v>
      </c>
      <c r="AQ13" s="786"/>
      <c r="AR13" s="93">
        <f t="shared" si="6"/>
        <v>2024</v>
      </c>
      <c r="AS13" s="94">
        <f ca="1">SUMIFS('WRZ Residential'!D:D,'WRZ Residential'!B:B,'Model Summary'!AR13)</f>
        <v>414383242.9599188</v>
      </c>
      <c r="AT13" s="94">
        <f ca="1">SUMIFS('WRZ Residential'!W:W,'WRZ Residential'!B:B,'Model Summary'!AR13)</f>
        <v>409380320.63434947</v>
      </c>
      <c r="AU13" s="597">
        <f t="shared" ref="AU13" ca="1" si="26">ABS(AS13-AT13)/AS13</f>
        <v>1.2073177211109473E-2</v>
      </c>
      <c r="AV13" s="597"/>
      <c r="AX13" s="93">
        <f t="shared" si="7"/>
        <v>2024</v>
      </c>
      <c r="AY13" s="94">
        <f ca="1">SUMIFS('WRZ GS &lt; 50'!D:D,'WRZ GS &lt; 50'!B:B,'Model Summary'!AX13)</f>
        <v>88353123.276645958</v>
      </c>
      <c r="AZ13" s="94">
        <f ca="1">SUMIFS('WRZ GS &lt; 50'!U:U,'WRZ GS &lt; 50'!B:B,'Model Summary'!AX13)</f>
        <v>87435341.880957216</v>
      </c>
      <c r="BA13" s="597">
        <f t="shared" ref="BA13" ca="1" si="27">ABS(AY13-AZ13)/AY13</f>
        <v>1.03876508452909E-2</v>
      </c>
      <c r="BE13" s="93">
        <f t="shared" si="8"/>
        <v>2024</v>
      </c>
      <c r="BF13" s="94">
        <f ca="1">SUMIFS('WRZ GS 50-2,999'!D:D,'WRZ GS 50-2,999'!B:B,'Model Summary'!BE13)</f>
        <v>359847726.77828443</v>
      </c>
      <c r="BG13" s="94">
        <f ca="1">SUMIFS('WRZ GS 50-2,999'!S:S,'WRZ GS 50-2,999'!B:B,'Model Summary'!BE13)</f>
        <v>352357095.09946042</v>
      </c>
      <c r="BH13" s="597">
        <f t="shared" ref="BH13" ca="1" si="28">ABS(BF13-BG13)/BF13</f>
        <v>2.0816115043681419E-2</v>
      </c>
      <c r="BM13" s="93">
        <f t="shared" si="9"/>
        <v>2024</v>
      </c>
      <c r="BN13" s="94">
        <f ca="1">SUMIFS('WRZ GS 3,000-4,999'!D:D,'WRZ GS 3,000-4,999'!B:B,'Model Summary'!BM13)</f>
        <v>87688946.93355599</v>
      </c>
      <c r="BO13" s="94">
        <f>SUMIFS('WRZ GS 3,000-4,999'!O:O,'WRZ GS 3,000-4,999'!B:B,'Model Summary'!BM13)</f>
        <v>88520217.207325146</v>
      </c>
      <c r="BP13" s="597">
        <f t="shared" ref="BP13" ca="1" si="29">ABS(BN13-BO13)/BN13</f>
        <v>9.479761165327125E-3</v>
      </c>
    </row>
    <row r="14" spans="2:70">
      <c r="B14" s="93">
        <f t="shared" si="0"/>
        <v>2025</v>
      </c>
      <c r="C14" s="94">
        <f ca="1">SUMIFS('VRZ Residential'!D:D,'VRZ Residential'!B:B,'Model Summary'!B14)</f>
        <v>1082704065.4431963</v>
      </c>
      <c r="D14" s="94">
        <f ca="1">SUMIFS('VRZ Residential'!W:W,'VRZ Residential'!B:B,'Model Summary'!B14)</f>
        <v>1094790342.0926917</v>
      </c>
      <c r="E14" s="597">
        <f ca="1">ABS(C14-D14)/C14</f>
        <v>1.1163047258484193E-2</v>
      </c>
      <c r="F14" s="597"/>
      <c r="G14" s="597"/>
      <c r="H14" s="93">
        <f t="shared" si="1"/>
        <v>2025</v>
      </c>
      <c r="I14" s="94">
        <f ca="1">SUMIFS('VRZ Seasonal'!D:D,'VRZ Seasonal'!B:B,'Model Summary'!H14)</f>
        <v>13318792.6977387</v>
      </c>
      <c r="J14" s="94">
        <f ca="1">SUMIFS('VRZ Seasonal'!U:U,'VRZ Seasonal'!B:B,'Model Summary'!H14)</f>
        <v>12982959.380594824</v>
      </c>
      <c r="K14" s="597">
        <f ca="1">ABS(I14-J14)/I14</f>
        <v>2.5214996941944654E-2</v>
      </c>
      <c r="N14" s="93">
        <f t="shared" si="2"/>
        <v>2025</v>
      </c>
      <c r="O14" s="94">
        <f ca="1">SUMIFS('VRZ GS &lt; 50'!D:D,'VRZ GS &lt; 50'!B:B,'Model Summary'!N14)</f>
        <v>272814028.01520127</v>
      </c>
      <c r="P14" s="94">
        <f ca="1">SUMIFS('VRZ GS &lt; 50'!S:S,'VRZ GS &lt; 50'!B:B,'Model Summary'!N14)</f>
        <v>286613458.98892647</v>
      </c>
      <c r="Q14" s="597">
        <f ca="1">ABS(O14-P14)/O14</f>
        <v>5.0581823354612442E-2</v>
      </c>
      <c r="U14" s="93">
        <f t="shared" si="3"/>
        <v>2025</v>
      </c>
      <c r="V14" s="94">
        <f ca="1">SUMIFS('VRZ GS 50-2,999'!D:D,'VRZ GS 50-2,999'!B:B,'Model Summary'!U14)</f>
        <v>1025420115.9021995</v>
      </c>
      <c r="W14" s="94">
        <f ca="1">SUMIFS('VRZ GS 50-2,999'!U:U,'VRZ GS 50-2,999'!B:B,'Model Summary'!U14)</f>
        <v>1015925075.7653735</v>
      </c>
      <c r="X14" s="597">
        <f ca="1">ABS(V14-W14)/V14</f>
        <v>9.2596585434370753E-3</v>
      </c>
      <c r="AC14" s="93">
        <f t="shared" si="4"/>
        <v>2025</v>
      </c>
      <c r="AD14" s="94">
        <f ca="1">SUMIFS('VRZ GS 3,000-4,999'!D:D,'VRZ GS 3,000-4,999'!B:B,'Model Summary'!AC14)</f>
        <v>100267899.39201353</v>
      </c>
      <c r="AE14" s="94">
        <f>SUMIFS('VRZ GS 3,000-4,999'!M:M,'VRZ GS 3,000-4,999'!B:B,'Model Summary'!AC14)</f>
        <v>103835270.14932095</v>
      </c>
      <c r="AF14" s="597">
        <f ca="1">ABS(AD14-AE14)/AD14</f>
        <v>3.5578393273805395E-2</v>
      </c>
      <c r="AK14" s="93">
        <f t="shared" si="5"/>
        <v>2025</v>
      </c>
      <c r="AL14" s="94">
        <f ca="1">SUMIFS('VRZ Large Use'!D:D,'VRZ Large Use'!B:B,'Model Summary'!AK14)</f>
        <v>349101335.38975924</v>
      </c>
      <c r="AM14" s="94">
        <f>SUMIFS('VRZ Large Use'!Q:Q,'VRZ Large Use'!B:B,'Model Summary'!AK14)</f>
        <v>343395116.9900229</v>
      </c>
      <c r="AN14" s="597">
        <f ca="1">ABS(AL14-AM14)/AL14</f>
        <v>1.6345449934660247E-2</v>
      </c>
      <c r="AQ14" s="786"/>
      <c r="AR14" s="93">
        <f t="shared" si="6"/>
        <v>2025</v>
      </c>
      <c r="AS14" s="94">
        <f ca="1">SUMIFS('WRZ Residential'!D:D,'WRZ Residential'!B:B,'Model Summary'!AR14)</f>
        <v>426086684.84243095</v>
      </c>
      <c r="AT14" s="94">
        <f ca="1">SUMIFS('WRZ Residential'!W:W,'WRZ Residential'!B:B,'Model Summary'!AR14)</f>
        <v>427603073.32793009</v>
      </c>
      <c r="AU14" s="597">
        <f ca="1">ABS(AS14-AT14)/AS14</f>
        <v>3.5588732045450139E-3</v>
      </c>
      <c r="AV14" s="597"/>
      <c r="AX14" s="93">
        <f t="shared" si="7"/>
        <v>2025</v>
      </c>
      <c r="AY14" s="94">
        <f ca="1">SUMIFS('WRZ GS &lt; 50'!D:D,'WRZ GS &lt; 50'!B:B,'Model Summary'!AX14)</f>
        <v>88146000.644109145</v>
      </c>
      <c r="AZ14" s="94">
        <f ca="1">SUMIFS('WRZ GS &lt; 50'!U:U,'WRZ GS &lt; 50'!B:B,'Model Summary'!AX14)</f>
        <v>89965172.437540218</v>
      </c>
      <c r="BA14" s="597">
        <f ca="1">ABS(AY14-AZ14)/AY14</f>
        <v>2.0638165998886415E-2</v>
      </c>
      <c r="BE14" s="93">
        <f t="shared" si="8"/>
        <v>2025</v>
      </c>
      <c r="BF14" s="94">
        <f ca="1">SUMIFS('WRZ GS 50-2,999'!D:D,'WRZ GS 50-2,999'!B:B,'Model Summary'!BE14)</f>
        <v>383521903.21503514</v>
      </c>
      <c r="BG14" s="94">
        <f ca="1">SUMIFS('WRZ GS 50-2,999'!S:S,'WRZ GS 50-2,999'!B:B,'Model Summary'!BE14)</f>
        <v>356203414.71813345</v>
      </c>
      <c r="BH14" s="597">
        <f ca="1">ABS(BF14-BG14)/BF14</f>
        <v>7.1230582315880434E-2</v>
      </c>
      <c r="BM14" s="93">
        <f t="shared" si="9"/>
        <v>2025</v>
      </c>
      <c r="BN14" s="94">
        <f ca="1">SUMIFS('WRZ GS 3,000-4,999'!D:D,'WRZ GS 3,000-4,999'!B:B,'Model Summary'!BM14)</f>
        <v>89309740.351450846</v>
      </c>
      <c r="BO14" s="94">
        <f>SUMIFS('WRZ GS 3,000-4,999'!O:O,'WRZ GS 3,000-4,999'!B:B,'Model Summary'!BM14)</f>
        <v>88357869.189048156</v>
      </c>
      <c r="BP14" s="597">
        <f ca="1">ABS(BN14-BO14)/BN14</f>
        <v>1.0658089013100867E-2</v>
      </c>
    </row>
    <row r="15" spans="2:70" s="599" customFormat="1">
      <c r="B15" s="491" t="s">
        <v>290</v>
      </c>
      <c r="C15" s="490">
        <f ca="1">SUM(C5:C14)</f>
        <v>9978633016.2723465</v>
      </c>
      <c r="D15" s="490">
        <f ca="1">SUM(D5:D14)</f>
        <v>9979736557.2906265</v>
      </c>
      <c r="E15" s="598">
        <f t="shared" ca="1" si="20"/>
        <v>1.1059040015605985E-4</v>
      </c>
      <c r="F15" s="598"/>
      <c r="G15" s="598"/>
      <c r="H15" s="491" t="s">
        <v>290</v>
      </c>
      <c r="I15" s="490">
        <f ca="1">SUM(I5:I14)</f>
        <v>115590764.91255322</v>
      </c>
      <c r="J15" s="490">
        <f ca="1">SUM(J5:J14)</f>
        <v>110957505.17000192</v>
      </c>
      <c r="K15" s="598">
        <f t="shared" ref="K15" ca="1" si="30">ABS(I15-J15)/I15</f>
        <v>4.0083303766148208E-2</v>
      </c>
      <c r="N15" s="491" t="s">
        <v>290</v>
      </c>
      <c r="O15" s="490">
        <f ca="1">SUM(O5:O14)</f>
        <v>2764280062.22436</v>
      </c>
      <c r="P15" s="490">
        <f ca="1">SUM(P5:P14)</f>
        <v>2759723939.0839357</v>
      </c>
      <c r="Q15" s="598">
        <f t="shared" ref="Q15" ca="1" si="31">ABS(O15-P15)/O15</f>
        <v>1.6482132916583105E-3</v>
      </c>
      <c r="U15" s="491" t="s">
        <v>290</v>
      </c>
      <c r="V15" s="490">
        <f ca="1">SUM(V5:V14)</f>
        <v>9645084901.3814373</v>
      </c>
      <c r="W15" s="490">
        <f ca="1">SUM(W5:W14)</f>
        <v>9645626445.4753056</v>
      </c>
      <c r="X15" s="598">
        <f t="shared" ref="X15" ca="1" si="32">ABS(V15-W15)/V15</f>
        <v>5.6147156754492832E-5</v>
      </c>
      <c r="AC15" s="491" t="s">
        <v>290</v>
      </c>
      <c r="AD15" s="490">
        <f ca="1">SUM(AD5:AD14)</f>
        <v>946071027.12325203</v>
      </c>
      <c r="AE15" s="490">
        <f>SUM(AE5:AE14)</f>
        <v>944111066.98921955</v>
      </c>
      <c r="AF15" s="598">
        <f t="shared" ref="AF15" ca="1" si="33">ABS(AD15-AE15)/AD15</f>
        <v>2.0716839199612742E-3</v>
      </c>
      <c r="AK15" s="491" t="s">
        <v>290</v>
      </c>
      <c r="AL15" s="490">
        <f ca="1">SUM(AL5:AL14)</f>
        <v>2905285088.3789129</v>
      </c>
      <c r="AM15" s="490">
        <f>SUM(AM5:AM14)</f>
        <v>2905066395.5439005</v>
      </c>
      <c r="AN15" s="598">
        <f t="shared" ref="AN15" ca="1" si="34">ABS(AL15-AM15)/AL15</f>
        <v>7.5274139493987431E-5</v>
      </c>
      <c r="AQ15" s="787"/>
      <c r="AR15" s="491" t="s">
        <v>290</v>
      </c>
      <c r="AS15" s="490">
        <f ca="1">SUM(AS5:AS14)</f>
        <v>3873457969.980258</v>
      </c>
      <c r="AT15" s="490">
        <f ca="1">SUM(AT5:AT14)</f>
        <v>3877508564.3120503</v>
      </c>
      <c r="AU15" s="598">
        <f t="shared" ref="AU15" ca="1" si="35">ABS(AS15-AT15)/AS15</f>
        <v>1.0457308077652897E-3</v>
      </c>
      <c r="AV15" s="598"/>
      <c r="AX15" s="491" t="s">
        <v>290</v>
      </c>
      <c r="AY15" s="490">
        <f ca="1">SUM(AY5:AY14)</f>
        <v>861959754.2302295</v>
      </c>
      <c r="AZ15" s="490">
        <f ca="1">SUM(AZ5:AZ14)</f>
        <v>861951654.9489069</v>
      </c>
      <c r="BA15" s="598">
        <f t="shared" ref="BA15" ca="1" si="36">ABS(AY15-AZ15)/AY15</f>
        <v>9.396356712537578E-6</v>
      </c>
      <c r="BE15" s="491" t="s">
        <v>290</v>
      </c>
      <c r="BF15" s="490">
        <f ca="1">SUM(BF5:BF14)</f>
        <v>3482808362.4696474</v>
      </c>
      <c r="BG15" s="490">
        <f ca="1">SUM(BG5:BG14)</f>
        <v>3488202251.9221859</v>
      </c>
      <c r="BH15" s="598">
        <f t="shared" ref="BH15" ca="1" si="37">ABS(BF15-BG15)/BF15</f>
        <v>1.5487184166267771E-3</v>
      </c>
      <c r="BM15" s="491" t="s">
        <v>290</v>
      </c>
      <c r="BN15" s="490">
        <f ca="1">SUM(BN5:BN14)</f>
        <v>813950748.9973743</v>
      </c>
      <c r="BO15" s="490">
        <f>SUM(BO5:BO14)</f>
        <v>815623430.32020533</v>
      </c>
      <c r="BP15" s="598">
        <f t="shared" ref="BP15" ca="1" si="38">ABS(BN15-BO15)/BN15</f>
        <v>2.0550153985255813E-3</v>
      </c>
    </row>
    <row r="16" spans="2:70">
      <c r="B16" s="93"/>
      <c r="C16" s="93"/>
      <c r="D16" s="93"/>
      <c r="E16" s="93"/>
      <c r="F16" s="93"/>
      <c r="G16" s="93"/>
      <c r="H16" s="93"/>
      <c r="I16" s="93"/>
      <c r="J16" s="93"/>
      <c r="K16" s="93"/>
      <c r="N16" s="93"/>
      <c r="O16" s="93"/>
      <c r="P16" s="93"/>
      <c r="Q16" s="93"/>
      <c r="U16" s="93"/>
      <c r="V16" s="93"/>
      <c r="W16" s="93"/>
      <c r="X16" s="93"/>
      <c r="AC16" s="93"/>
      <c r="AD16" s="93"/>
      <c r="AE16" s="93"/>
      <c r="AF16" s="93"/>
      <c r="AK16" s="93"/>
      <c r="AL16" s="93"/>
      <c r="AM16" s="93"/>
      <c r="AN16" s="93"/>
      <c r="AQ16" s="786"/>
      <c r="AR16" s="93"/>
      <c r="AS16" s="93"/>
      <c r="AT16" s="93"/>
      <c r="AU16" s="93"/>
      <c r="AV16" s="93"/>
      <c r="AX16" s="93"/>
      <c r="AY16" s="93"/>
      <c r="AZ16" s="93"/>
      <c r="BA16" s="93"/>
      <c r="BE16" s="93"/>
      <c r="BF16" s="93"/>
      <c r="BG16" s="93"/>
      <c r="BH16" s="93"/>
      <c r="BM16" s="93"/>
      <c r="BN16" s="93"/>
      <c r="BO16" s="93"/>
      <c r="BP16" s="93"/>
    </row>
    <row r="17" spans="2:68">
      <c r="B17" s="793" t="s">
        <v>378</v>
      </c>
      <c r="C17" s="793"/>
      <c r="D17" s="793"/>
      <c r="E17" s="92">
        <f ca="1">AVERAGE(E5:E14)</f>
        <v>5.4483220051465458E-3</v>
      </c>
      <c r="F17" s="92"/>
      <c r="G17" s="92"/>
      <c r="H17" s="793" t="s">
        <v>378</v>
      </c>
      <c r="I17" s="793"/>
      <c r="J17" s="793"/>
      <c r="K17" s="92">
        <f ca="1">AVERAGE(K5:K14)</f>
        <v>3.9729810776805444E-2</v>
      </c>
      <c r="N17" s="793" t="s">
        <v>378</v>
      </c>
      <c r="O17" s="793"/>
      <c r="P17" s="793"/>
      <c r="Q17" s="92">
        <f ca="1">AVERAGE(Q5:Q14)</f>
        <v>2.8615805949328877E-2</v>
      </c>
      <c r="U17" s="793" t="s">
        <v>378</v>
      </c>
      <c r="V17" s="793"/>
      <c r="W17" s="793"/>
      <c r="X17" s="92">
        <f ca="1">AVERAGE(X5:X14)</f>
        <v>7.105970074330413E-3</v>
      </c>
      <c r="AC17" s="793" t="s">
        <v>378</v>
      </c>
      <c r="AD17" s="793"/>
      <c r="AE17" s="793"/>
      <c r="AF17" s="92">
        <f ca="1">AVERAGE(AF5:AF14)</f>
        <v>4.8223421668880641E-2</v>
      </c>
      <c r="AK17" s="793" t="s">
        <v>378</v>
      </c>
      <c r="AL17" s="793"/>
      <c r="AM17" s="793"/>
      <c r="AN17" s="92">
        <f ca="1">AVERAGE(AN5:AN14)</f>
        <v>2.1166577203663044E-2</v>
      </c>
      <c r="AQ17" s="786"/>
      <c r="AR17" s="793" t="s">
        <v>378</v>
      </c>
      <c r="AS17" s="793"/>
      <c r="AT17" s="793"/>
      <c r="AU17" s="92">
        <f ca="1">AVERAGE(AU5:AU14)</f>
        <v>8.071580021392858E-3</v>
      </c>
      <c r="AV17" s="92"/>
      <c r="AX17" s="793" t="s">
        <v>378</v>
      </c>
      <c r="AY17" s="793"/>
      <c r="AZ17" s="793"/>
      <c r="BA17" s="92">
        <f ca="1">AVERAGE(BA5:BA14)</f>
        <v>1.183900059119849E-2</v>
      </c>
      <c r="BE17" s="793" t="s">
        <v>378</v>
      </c>
      <c r="BF17" s="793"/>
      <c r="BG17" s="793"/>
      <c r="BH17" s="92">
        <f ca="1">AVERAGE(BH5:BH14)</f>
        <v>2.1707659046740435E-2</v>
      </c>
      <c r="BM17" s="793" t="s">
        <v>378</v>
      </c>
      <c r="BN17" s="793"/>
      <c r="BO17" s="793"/>
      <c r="BP17" s="92">
        <f ca="1">AVERAGE(BP5:BP14)</f>
        <v>2.7859080316724273E-2</v>
      </c>
    </row>
    <row r="18" spans="2:68">
      <c r="B18" s="793" t="s">
        <v>379</v>
      </c>
      <c r="C18" s="793"/>
      <c r="D18" s="793"/>
      <c r="E18" s="92">
        <f ca="1">'VRZ Residential'!Y122</f>
        <v>2.0903184964471449E-2</v>
      </c>
      <c r="F18" s="92"/>
      <c r="G18" s="92"/>
      <c r="H18" s="793" t="s">
        <v>379</v>
      </c>
      <c r="I18" s="793"/>
      <c r="J18" s="793"/>
      <c r="K18" s="92">
        <f ca="1">'VRZ Seasonal'!W122</f>
        <v>7.0432359656606769E-2</v>
      </c>
      <c r="N18" s="793" t="s">
        <v>379</v>
      </c>
      <c r="O18" s="793"/>
      <c r="P18" s="793"/>
      <c r="Q18" s="92">
        <f ca="1">'VRZ GS &lt; 50'!U122</f>
        <v>3.405213458230482E-2</v>
      </c>
      <c r="U18" s="793" t="s">
        <v>379</v>
      </c>
      <c r="V18" s="793"/>
      <c r="W18" s="793"/>
      <c r="X18" s="92">
        <f ca="1">'VRZ GS 50-2,999'!W122</f>
        <v>1.490861921543388E-2</v>
      </c>
      <c r="AC18" s="793" t="s">
        <v>379</v>
      </c>
      <c r="AD18" s="793"/>
      <c r="AE18" s="793"/>
      <c r="AF18" s="92">
        <f ca="1">'VRZ GS 3,000-4,999'!O122</f>
        <v>6.2138778614164711E-2</v>
      </c>
      <c r="AK18" s="793" t="s">
        <v>379</v>
      </c>
      <c r="AL18" s="793"/>
      <c r="AM18" s="793"/>
      <c r="AN18" s="92">
        <f ca="1">'VRZ Large Use'!S122</f>
        <v>4.6201643490867972E-2</v>
      </c>
      <c r="AQ18" s="786"/>
      <c r="AR18" s="793" t="s">
        <v>379</v>
      </c>
      <c r="AS18" s="793"/>
      <c r="AT18" s="793"/>
      <c r="AU18" s="92">
        <f ca="1">'WRZ Residential'!Y122</f>
        <v>2.1273877864689782E-2</v>
      </c>
      <c r="AV18" s="92"/>
      <c r="AX18" s="793" t="s">
        <v>379</v>
      </c>
      <c r="AY18" s="793"/>
      <c r="AZ18" s="793"/>
      <c r="BA18" s="92">
        <f ca="1">'WRZ GS &lt; 50'!W122</f>
        <v>2.4844840214954238E-2</v>
      </c>
      <c r="BE18" s="793" t="s">
        <v>379</v>
      </c>
      <c r="BF18" s="793"/>
      <c r="BG18" s="793"/>
      <c r="BH18" s="92">
        <f ca="1">'WRZ GS 50-2,999'!U122</f>
        <v>3.0164573423322086E-2</v>
      </c>
      <c r="BM18" s="793" t="s">
        <v>379</v>
      </c>
      <c r="BN18" s="793"/>
      <c r="BO18" s="793"/>
      <c r="BP18" s="92">
        <f ca="1">'WRZ GS 3,000-4,999'!Q122</f>
        <v>4.1332135651352034E-2</v>
      </c>
    </row>
    <row r="19" spans="2:68">
      <c r="AQ19" s="786"/>
    </row>
    <row r="20" spans="2:68">
      <c r="AQ20" s="786"/>
    </row>
    <row r="21" spans="2:68">
      <c r="AQ21" s="786"/>
    </row>
    <row r="22" spans="2:68">
      <c r="AQ22" s="786"/>
    </row>
    <row r="23" spans="2:68">
      <c r="AQ23" s="786"/>
    </row>
    <row r="24" spans="2:68">
      <c r="AQ24" s="786"/>
    </row>
    <row r="25" spans="2:68">
      <c r="AQ25" s="786"/>
    </row>
    <row r="26" spans="2:68">
      <c r="AQ26" s="786"/>
    </row>
    <row r="27" spans="2:68">
      <c r="AQ27" s="786"/>
    </row>
    <row r="28" spans="2:68">
      <c r="AQ28" s="786"/>
    </row>
    <row r="29" spans="2:68">
      <c r="AQ29" s="786"/>
    </row>
    <row r="30" spans="2:68">
      <c r="AQ30" s="786"/>
    </row>
    <row r="31" spans="2:68">
      <c r="AQ31" s="786"/>
    </row>
    <row r="32" spans="2:68">
      <c r="AQ32" s="786"/>
    </row>
    <row r="33" spans="43:43">
      <c r="AQ33" s="786"/>
    </row>
    <row r="34" spans="43:43">
      <c r="AQ34" s="786"/>
    </row>
    <row r="35" spans="43:43">
      <c r="AQ35" s="786"/>
    </row>
    <row r="36" spans="43:43">
      <c r="AQ36" s="786"/>
    </row>
    <row r="37" spans="43:43">
      <c r="AQ37" s="786"/>
    </row>
    <row r="38" spans="43:43">
      <c r="AQ38" s="786"/>
    </row>
    <row r="39" spans="43:43">
      <c r="AQ39" s="786"/>
    </row>
    <row r="40" spans="43:43">
      <c r="AQ40" s="786"/>
    </row>
    <row r="41" spans="43:43">
      <c r="AQ41" s="786"/>
    </row>
    <row r="42" spans="43:43">
      <c r="AQ42" s="786"/>
    </row>
    <row r="43" spans="43:43">
      <c r="AQ43" s="786"/>
    </row>
    <row r="44" spans="43:43">
      <c r="AQ44" s="786"/>
    </row>
    <row r="45" spans="43:43">
      <c r="AQ45" s="786"/>
    </row>
    <row r="46" spans="43:43">
      <c r="AQ46" s="786"/>
    </row>
    <row r="47" spans="43:43">
      <c r="AQ47" s="786"/>
    </row>
    <row r="48" spans="43:43">
      <c r="AQ48" s="786"/>
    </row>
    <row r="49" spans="43:43">
      <c r="AQ49" s="786"/>
    </row>
  </sheetData>
  <mergeCells count="32">
    <mergeCell ref="B1:AP1"/>
    <mergeCell ref="AQ1:BR1"/>
    <mergeCell ref="AR18:AT18"/>
    <mergeCell ref="AX18:AZ18"/>
    <mergeCell ref="BE18:BG18"/>
    <mergeCell ref="BM18:BO18"/>
    <mergeCell ref="AR17:AT17"/>
    <mergeCell ref="AX17:AZ17"/>
    <mergeCell ref="BE17:BG17"/>
    <mergeCell ref="BM17:BO17"/>
    <mergeCell ref="AS2:AT2"/>
    <mergeCell ref="AY2:AZ2"/>
    <mergeCell ref="BF2:BG2"/>
    <mergeCell ref="BN2:BO2"/>
    <mergeCell ref="AC18:AE18"/>
    <mergeCell ref="AD2:AE2"/>
    <mergeCell ref="AC17:AE17"/>
    <mergeCell ref="AL2:AM2"/>
    <mergeCell ref="AK17:AM17"/>
    <mergeCell ref="AK18:AM18"/>
    <mergeCell ref="B18:D18"/>
    <mergeCell ref="H18:J18"/>
    <mergeCell ref="N18:P18"/>
    <mergeCell ref="V2:W2"/>
    <mergeCell ref="U17:W17"/>
    <mergeCell ref="U18:W18"/>
    <mergeCell ref="C2:D2"/>
    <mergeCell ref="I2:J2"/>
    <mergeCell ref="O2:P2"/>
    <mergeCell ref="B17:D17"/>
    <mergeCell ref="H17:J17"/>
    <mergeCell ref="N17:P17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8E887-56AD-4A5F-B95F-89DC7AB6753E}">
  <sheetPr codeName="Sheet54">
    <tabColor theme="3" tint="0.499984740745262"/>
  </sheetPr>
  <dimension ref="A1:EU262"/>
  <sheetViews>
    <sheetView workbookViewId="0">
      <pane xSplit="3" ySplit="4" topLeftCell="D17" activePane="bottomRight" state="frozen"/>
      <selection pane="topRight" activeCell="AG122" sqref="AG122"/>
      <selection pane="bottomLeft" activeCell="AG122" sqref="AG122"/>
      <selection pane="bottomRight" activeCell="ED21" sqref="ED21"/>
    </sheetView>
  </sheetViews>
  <sheetFormatPr defaultColWidth="8.81640625" defaultRowHeight="14"/>
  <cols>
    <col min="1" max="3" width="8.81640625" style="277"/>
    <col min="4" max="4" width="11.81640625" style="277" customWidth="1"/>
    <col min="5" max="5" width="11.54296875" style="277" bestFit="1" customWidth="1"/>
    <col min="6" max="6" width="10.453125" style="277" bestFit="1" customWidth="1"/>
    <col min="7" max="9" width="9.453125" style="277" bestFit="1" customWidth="1"/>
    <col min="10" max="10" width="9" style="277" bestFit="1" customWidth="1"/>
    <col min="11" max="12" width="9.453125" style="277" bestFit="1" customWidth="1"/>
    <col min="13" max="13" width="9" style="277" bestFit="1" customWidth="1"/>
    <col min="14" max="14" width="9.453125" style="277" bestFit="1" customWidth="1"/>
    <col min="15" max="125" width="9" style="277" bestFit="1" customWidth="1"/>
    <col min="126" max="128" width="8.81640625" style="277"/>
    <col min="129" max="129" width="9.81640625" style="277" customWidth="1"/>
    <col min="130" max="139" width="8.81640625" style="277"/>
    <col min="140" max="140" width="9.81640625" style="277" customWidth="1"/>
    <col min="141" max="16384" width="8.81640625" style="277"/>
  </cols>
  <sheetData>
    <row r="1" spans="2:151" ht="14.5" thickBot="1">
      <c r="B1" s="664" t="s">
        <v>380</v>
      </c>
    </row>
    <row r="2" spans="2:151">
      <c r="B2" s="376" t="s">
        <v>381</v>
      </c>
      <c r="C2" s="578"/>
      <c r="D2" s="810" t="s">
        <v>233</v>
      </c>
      <c r="E2" s="811"/>
      <c r="F2" s="811"/>
      <c r="G2" s="811"/>
      <c r="H2" s="811"/>
      <c r="I2" s="811"/>
      <c r="J2" s="811"/>
      <c r="K2" s="811"/>
      <c r="L2" s="811"/>
      <c r="M2" s="811"/>
      <c r="N2" s="811"/>
      <c r="O2" s="812"/>
      <c r="P2" s="797" t="s">
        <v>228</v>
      </c>
      <c r="Q2" s="798"/>
      <c r="R2" s="798"/>
      <c r="S2" s="798"/>
      <c r="T2" s="798"/>
      <c r="U2" s="798"/>
      <c r="V2" s="798"/>
      <c r="W2" s="798"/>
      <c r="X2" s="798"/>
      <c r="Y2" s="798"/>
      <c r="Z2" s="799"/>
      <c r="AA2" s="797" t="s">
        <v>382</v>
      </c>
      <c r="AB2" s="798"/>
      <c r="AC2" s="798"/>
      <c r="AD2" s="798"/>
      <c r="AE2" s="798"/>
      <c r="AF2" s="798"/>
      <c r="AG2" s="798"/>
      <c r="AH2" s="798"/>
      <c r="AI2" s="798"/>
      <c r="AJ2" s="798"/>
      <c r="AK2" s="799"/>
      <c r="AL2" s="797" t="s">
        <v>2</v>
      </c>
      <c r="AM2" s="798"/>
      <c r="AN2" s="798"/>
      <c r="AO2" s="798"/>
      <c r="AP2" s="798"/>
      <c r="AQ2" s="798"/>
      <c r="AR2" s="798"/>
      <c r="AS2" s="798"/>
      <c r="AT2" s="798"/>
      <c r="AU2" s="798"/>
      <c r="AV2" s="799"/>
      <c r="AW2" s="797" t="s">
        <v>383</v>
      </c>
      <c r="AX2" s="798"/>
      <c r="AY2" s="798"/>
      <c r="AZ2" s="798"/>
      <c r="BA2" s="798"/>
      <c r="BB2" s="798"/>
      <c r="BC2" s="798"/>
      <c r="BD2" s="798"/>
      <c r="BE2" s="798"/>
      <c r="BF2" s="798"/>
      <c r="BG2" s="799"/>
      <c r="BH2" s="797" t="s">
        <v>384</v>
      </c>
      <c r="BI2" s="798"/>
      <c r="BJ2" s="798"/>
      <c r="BK2" s="798"/>
      <c r="BL2" s="798"/>
      <c r="BM2" s="798"/>
      <c r="BN2" s="798"/>
      <c r="BO2" s="798"/>
      <c r="BP2" s="798"/>
      <c r="BQ2" s="798"/>
      <c r="BR2" s="799"/>
      <c r="BS2" s="797" t="s">
        <v>385</v>
      </c>
      <c r="BT2" s="798"/>
      <c r="BU2" s="798"/>
      <c r="BV2" s="798"/>
      <c r="BW2" s="798"/>
      <c r="BX2" s="798"/>
      <c r="BY2" s="798"/>
      <c r="BZ2" s="798"/>
      <c r="CA2" s="798"/>
      <c r="CB2" s="798"/>
      <c r="CC2" s="799"/>
      <c r="CD2" s="797" t="s">
        <v>386</v>
      </c>
      <c r="CE2" s="798"/>
      <c r="CF2" s="798"/>
      <c r="CG2" s="798"/>
      <c r="CH2" s="798"/>
      <c r="CI2" s="798"/>
      <c r="CJ2" s="798"/>
      <c r="CK2" s="798"/>
      <c r="CL2" s="798"/>
      <c r="CM2" s="798"/>
      <c r="CN2" s="799"/>
      <c r="CO2" s="797" t="s">
        <v>387</v>
      </c>
      <c r="CP2" s="798"/>
      <c r="CQ2" s="798"/>
      <c r="CR2" s="798"/>
      <c r="CS2" s="798"/>
      <c r="CT2" s="798"/>
      <c r="CU2" s="798"/>
      <c r="CV2" s="798"/>
      <c r="CW2" s="798"/>
      <c r="CX2" s="798"/>
      <c r="CY2" s="799"/>
      <c r="CZ2" s="797" t="s">
        <v>388</v>
      </c>
      <c r="DA2" s="798"/>
      <c r="DB2" s="798"/>
      <c r="DC2" s="798"/>
      <c r="DD2" s="798"/>
      <c r="DE2" s="798"/>
      <c r="DF2" s="798"/>
      <c r="DG2" s="798"/>
      <c r="DH2" s="798"/>
      <c r="DI2" s="798"/>
      <c r="DJ2" s="799"/>
      <c r="DK2" s="797" t="s">
        <v>389</v>
      </c>
      <c r="DL2" s="798"/>
      <c r="DM2" s="798"/>
      <c r="DN2" s="798"/>
      <c r="DO2" s="798"/>
      <c r="DP2" s="798"/>
      <c r="DQ2" s="798"/>
      <c r="DR2" s="798"/>
      <c r="DS2" s="798"/>
      <c r="DT2" s="798"/>
      <c r="DU2" s="799"/>
      <c r="DW2" s="797" t="s">
        <v>362</v>
      </c>
      <c r="DX2" s="798"/>
      <c r="DY2" s="798"/>
      <c r="DZ2" s="798"/>
      <c r="EA2" s="798"/>
      <c r="EB2" s="798"/>
      <c r="EC2" s="798"/>
      <c r="ED2" s="798"/>
      <c r="EE2" s="798"/>
      <c r="EF2" s="798"/>
      <c r="EG2" s="799"/>
      <c r="EH2" s="797" t="s">
        <v>363</v>
      </c>
      <c r="EI2" s="798"/>
      <c r="EJ2" s="798"/>
      <c r="EK2" s="798"/>
      <c r="EL2" s="798"/>
      <c r="EM2" s="798"/>
      <c r="EN2" s="798"/>
      <c r="EO2" s="798"/>
      <c r="EP2" s="798"/>
      <c r="EQ2" s="798"/>
      <c r="ER2" s="799"/>
    </row>
    <row r="3" spans="2:151" ht="14.5" customHeight="1">
      <c r="B3" s="112"/>
      <c r="C3" s="217"/>
      <c r="D3" s="803" t="s">
        <v>390</v>
      </c>
      <c r="E3" s="803" t="s">
        <v>391</v>
      </c>
      <c r="F3" s="800" t="s">
        <v>392</v>
      </c>
      <c r="G3" s="801"/>
      <c r="H3" s="801"/>
      <c r="I3" s="801"/>
      <c r="J3" s="805"/>
      <c r="K3" s="800" t="s">
        <v>393</v>
      </c>
      <c r="L3" s="801"/>
      <c r="M3" s="801"/>
      <c r="N3" s="801"/>
      <c r="O3" s="802"/>
      <c r="P3" s="803" t="s">
        <v>391</v>
      </c>
      <c r="Q3" s="800" t="s">
        <v>392</v>
      </c>
      <c r="R3" s="801"/>
      <c r="S3" s="801"/>
      <c r="T3" s="801"/>
      <c r="U3" s="805"/>
      <c r="V3" s="800" t="s">
        <v>393</v>
      </c>
      <c r="W3" s="801"/>
      <c r="X3" s="801"/>
      <c r="Y3" s="801"/>
      <c r="Z3" s="802"/>
      <c r="AA3" s="803" t="s">
        <v>391</v>
      </c>
      <c r="AB3" s="800" t="s">
        <v>392</v>
      </c>
      <c r="AC3" s="801"/>
      <c r="AD3" s="801"/>
      <c r="AE3" s="801"/>
      <c r="AF3" s="805"/>
      <c r="AG3" s="800" t="s">
        <v>393</v>
      </c>
      <c r="AH3" s="801"/>
      <c r="AI3" s="801"/>
      <c r="AJ3" s="801"/>
      <c r="AK3" s="802"/>
      <c r="AL3" s="803" t="s">
        <v>391</v>
      </c>
      <c r="AM3" s="800" t="s">
        <v>392</v>
      </c>
      <c r="AN3" s="801"/>
      <c r="AO3" s="801"/>
      <c r="AP3" s="801"/>
      <c r="AQ3" s="805"/>
      <c r="AR3" s="800" t="s">
        <v>393</v>
      </c>
      <c r="AS3" s="801"/>
      <c r="AT3" s="801"/>
      <c r="AU3" s="801"/>
      <c r="AV3" s="802"/>
      <c r="AW3" s="803" t="s">
        <v>391</v>
      </c>
      <c r="AX3" s="800" t="s">
        <v>392</v>
      </c>
      <c r="AY3" s="801"/>
      <c r="AZ3" s="801"/>
      <c r="BA3" s="801"/>
      <c r="BB3" s="805"/>
      <c r="BC3" s="800" t="s">
        <v>393</v>
      </c>
      <c r="BD3" s="801"/>
      <c r="BE3" s="801"/>
      <c r="BF3" s="801"/>
      <c r="BG3" s="802"/>
      <c r="BH3" s="803" t="s">
        <v>391</v>
      </c>
      <c r="BI3" s="800" t="s">
        <v>392</v>
      </c>
      <c r="BJ3" s="801"/>
      <c r="BK3" s="801"/>
      <c r="BL3" s="801"/>
      <c r="BM3" s="805"/>
      <c r="BN3" s="800" t="s">
        <v>393</v>
      </c>
      <c r="BO3" s="801"/>
      <c r="BP3" s="801"/>
      <c r="BQ3" s="801"/>
      <c r="BR3" s="802"/>
      <c r="BS3" s="803" t="s">
        <v>391</v>
      </c>
      <c r="BT3" s="800" t="s">
        <v>392</v>
      </c>
      <c r="BU3" s="801"/>
      <c r="BV3" s="801"/>
      <c r="BW3" s="801"/>
      <c r="BX3" s="805"/>
      <c r="BY3" s="800" t="s">
        <v>393</v>
      </c>
      <c r="BZ3" s="801"/>
      <c r="CA3" s="801"/>
      <c r="CB3" s="801"/>
      <c r="CC3" s="802"/>
      <c r="CD3" s="803" t="s">
        <v>391</v>
      </c>
      <c r="CE3" s="800" t="s">
        <v>392</v>
      </c>
      <c r="CF3" s="801"/>
      <c r="CG3" s="801"/>
      <c r="CH3" s="801"/>
      <c r="CI3" s="805"/>
      <c r="CJ3" s="800" t="s">
        <v>393</v>
      </c>
      <c r="CK3" s="801"/>
      <c r="CL3" s="801"/>
      <c r="CM3" s="801"/>
      <c r="CN3" s="802"/>
      <c r="CO3" s="803" t="s">
        <v>391</v>
      </c>
      <c r="CP3" s="800" t="s">
        <v>392</v>
      </c>
      <c r="CQ3" s="801"/>
      <c r="CR3" s="801"/>
      <c r="CS3" s="801"/>
      <c r="CT3" s="805"/>
      <c r="CU3" s="800" t="s">
        <v>393</v>
      </c>
      <c r="CV3" s="801"/>
      <c r="CW3" s="801"/>
      <c r="CX3" s="801"/>
      <c r="CY3" s="802"/>
      <c r="CZ3" s="803" t="s">
        <v>391</v>
      </c>
      <c r="DA3" s="800" t="s">
        <v>392</v>
      </c>
      <c r="DB3" s="801"/>
      <c r="DC3" s="801"/>
      <c r="DD3" s="801"/>
      <c r="DE3" s="805"/>
      <c r="DF3" s="800" t="s">
        <v>393</v>
      </c>
      <c r="DG3" s="801"/>
      <c r="DH3" s="801"/>
      <c r="DI3" s="801"/>
      <c r="DJ3" s="802"/>
      <c r="DK3" s="803" t="s">
        <v>391</v>
      </c>
      <c r="DL3" s="800" t="s">
        <v>392</v>
      </c>
      <c r="DM3" s="801"/>
      <c r="DN3" s="801"/>
      <c r="DO3" s="801"/>
      <c r="DP3" s="805"/>
      <c r="DQ3" s="800" t="s">
        <v>393</v>
      </c>
      <c r="DR3" s="801"/>
      <c r="DS3" s="801"/>
      <c r="DT3" s="801"/>
      <c r="DU3" s="802"/>
      <c r="DW3" s="803" t="s">
        <v>391</v>
      </c>
      <c r="DX3" s="800" t="s">
        <v>392</v>
      </c>
      <c r="DY3" s="801"/>
      <c r="DZ3" s="801"/>
      <c r="EA3" s="801"/>
      <c r="EB3" s="805"/>
      <c r="EC3" s="800" t="s">
        <v>393</v>
      </c>
      <c r="ED3" s="801"/>
      <c r="EE3" s="801"/>
      <c r="EF3" s="801"/>
      <c r="EG3" s="802"/>
      <c r="EH3" s="803" t="s">
        <v>391</v>
      </c>
      <c r="EI3" s="800" t="s">
        <v>392</v>
      </c>
      <c r="EJ3" s="801"/>
      <c r="EK3" s="801"/>
      <c r="EL3" s="801"/>
      <c r="EM3" s="805"/>
      <c r="EN3" s="800" t="s">
        <v>393</v>
      </c>
      <c r="EO3" s="801"/>
      <c r="EP3" s="801"/>
      <c r="EQ3" s="801"/>
      <c r="ER3" s="802"/>
    </row>
    <row r="4" spans="2:151" s="462" customFormat="1" ht="42">
      <c r="B4" s="579" t="s">
        <v>394</v>
      </c>
      <c r="C4" s="594"/>
      <c r="D4" s="804"/>
      <c r="E4" s="804"/>
      <c r="F4" s="445" t="s">
        <v>290</v>
      </c>
      <c r="G4" s="444" t="s">
        <v>395</v>
      </c>
      <c r="H4" s="444" t="s">
        <v>396</v>
      </c>
      <c r="I4" s="444" t="s">
        <v>397</v>
      </c>
      <c r="J4" s="595" t="s">
        <v>398</v>
      </c>
      <c r="K4" s="445" t="s">
        <v>290</v>
      </c>
      <c r="L4" s="444" t="s">
        <v>395</v>
      </c>
      <c r="M4" s="444" t="s">
        <v>396</v>
      </c>
      <c r="N4" s="444" t="s">
        <v>397</v>
      </c>
      <c r="O4" s="463" t="s">
        <v>398</v>
      </c>
      <c r="P4" s="804"/>
      <c r="Q4" s="445" t="s">
        <v>290</v>
      </c>
      <c r="R4" s="444" t="s">
        <v>395</v>
      </c>
      <c r="S4" s="444" t="s">
        <v>396</v>
      </c>
      <c r="T4" s="444" t="s">
        <v>397</v>
      </c>
      <c r="U4" s="595" t="s">
        <v>398</v>
      </c>
      <c r="V4" s="445" t="s">
        <v>290</v>
      </c>
      <c r="W4" s="444" t="s">
        <v>395</v>
      </c>
      <c r="X4" s="444" t="s">
        <v>396</v>
      </c>
      <c r="Y4" s="444" t="s">
        <v>397</v>
      </c>
      <c r="Z4" s="463" t="s">
        <v>398</v>
      </c>
      <c r="AA4" s="804"/>
      <c r="AB4" s="445" t="s">
        <v>290</v>
      </c>
      <c r="AC4" s="444" t="s">
        <v>395</v>
      </c>
      <c r="AD4" s="444" t="s">
        <v>396</v>
      </c>
      <c r="AE4" s="444" t="s">
        <v>397</v>
      </c>
      <c r="AF4" s="595" t="s">
        <v>398</v>
      </c>
      <c r="AG4" s="445" t="s">
        <v>290</v>
      </c>
      <c r="AH4" s="444" t="s">
        <v>395</v>
      </c>
      <c r="AI4" s="444" t="s">
        <v>396</v>
      </c>
      <c r="AJ4" s="444" t="s">
        <v>397</v>
      </c>
      <c r="AK4" s="463" t="s">
        <v>398</v>
      </c>
      <c r="AL4" s="804"/>
      <c r="AM4" s="445" t="s">
        <v>290</v>
      </c>
      <c r="AN4" s="444" t="s">
        <v>395</v>
      </c>
      <c r="AO4" s="444" t="s">
        <v>396</v>
      </c>
      <c r="AP4" s="444" t="s">
        <v>397</v>
      </c>
      <c r="AQ4" s="595" t="s">
        <v>398</v>
      </c>
      <c r="AR4" s="445" t="s">
        <v>290</v>
      </c>
      <c r="AS4" s="444" t="s">
        <v>395</v>
      </c>
      <c r="AT4" s="444" t="s">
        <v>396</v>
      </c>
      <c r="AU4" s="444" t="s">
        <v>397</v>
      </c>
      <c r="AV4" s="463" t="s">
        <v>398</v>
      </c>
      <c r="AW4" s="804"/>
      <c r="AX4" s="445" t="s">
        <v>290</v>
      </c>
      <c r="AY4" s="444" t="s">
        <v>395</v>
      </c>
      <c r="AZ4" s="444" t="s">
        <v>396</v>
      </c>
      <c r="BA4" s="444" t="s">
        <v>397</v>
      </c>
      <c r="BB4" s="595" t="s">
        <v>398</v>
      </c>
      <c r="BC4" s="445" t="s">
        <v>290</v>
      </c>
      <c r="BD4" s="444" t="s">
        <v>395</v>
      </c>
      <c r="BE4" s="444" t="s">
        <v>396</v>
      </c>
      <c r="BF4" s="444" t="s">
        <v>397</v>
      </c>
      <c r="BG4" s="463" t="s">
        <v>398</v>
      </c>
      <c r="BH4" s="804"/>
      <c r="BI4" s="445" t="s">
        <v>290</v>
      </c>
      <c r="BJ4" s="444" t="s">
        <v>395</v>
      </c>
      <c r="BK4" s="444" t="s">
        <v>396</v>
      </c>
      <c r="BL4" s="444" t="s">
        <v>397</v>
      </c>
      <c r="BM4" s="595" t="s">
        <v>398</v>
      </c>
      <c r="BN4" s="445" t="s">
        <v>290</v>
      </c>
      <c r="BO4" s="444" t="s">
        <v>395</v>
      </c>
      <c r="BP4" s="444" t="s">
        <v>396</v>
      </c>
      <c r="BQ4" s="444" t="s">
        <v>397</v>
      </c>
      <c r="BR4" s="463" t="s">
        <v>398</v>
      </c>
      <c r="BS4" s="804"/>
      <c r="BT4" s="445" t="s">
        <v>290</v>
      </c>
      <c r="BU4" s="444" t="s">
        <v>395</v>
      </c>
      <c r="BV4" s="444" t="s">
        <v>396</v>
      </c>
      <c r="BW4" s="444" t="s">
        <v>397</v>
      </c>
      <c r="BX4" s="595" t="s">
        <v>398</v>
      </c>
      <c r="BY4" s="445" t="s">
        <v>290</v>
      </c>
      <c r="BZ4" s="444" t="s">
        <v>395</v>
      </c>
      <c r="CA4" s="444" t="s">
        <v>396</v>
      </c>
      <c r="CB4" s="444" t="s">
        <v>397</v>
      </c>
      <c r="CC4" s="463" t="s">
        <v>398</v>
      </c>
      <c r="CD4" s="804"/>
      <c r="CE4" s="445" t="s">
        <v>290</v>
      </c>
      <c r="CF4" s="444" t="s">
        <v>395</v>
      </c>
      <c r="CG4" s="444" t="s">
        <v>396</v>
      </c>
      <c r="CH4" s="444" t="s">
        <v>397</v>
      </c>
      <c r="CI4" s="595" t="s">
        <v>398</v>
      </c>
      <c r="CJ4" s="445" t="s">
        <v>290</v>
      </c>
      <c r="CK4" s="444" t="s">
        <v>395</v>
      </c>
      <c r="CL4" s="444" t="s">
        <v>396</v>
      </c>
      <c r="CM4" s="444" t="s">
        <v>397</v>
      </c>
      <c r="CN4" s="463" t="s">
        <v>398</v>
      </c>
      <c r="CO4" s="804"/>
      <c r="CP4" s="445" t="s">
        <v>290</v>
      </c>
      <c r="CQ4" s="444" t="s">
        <v>395</v>
      </c>
      <c r="CR4" s="444" t="s">
        <v>396</v>
      </c>
      <c r="CS4" s="444" t="s">
        <v>397</v>
      </c>
      <c r="CT4" s="595" t="s">
        <v>398</v>
      </c>
      <c r="CU4" s="445" t="s">
        <v>290</v>
      </c>
      <c r="CV4" s="444" t="s">
        <v>395</v>
      </c>
      <c r="CW4" s="444" t="s">
        <v>396</v>
      </c>
      <c r="CX4" s="444" t="s">
        <v>397</v>
      </c>
      <c r="CY4" s="463" t="s">
        <v>398</v>
      </c>
      <c r="CZ4" s="804"/>
      <c r="DA4" s="445" t="s">
        <v>290</v>
      </c>
      <c r="DB4" s="444" t="s">
        <v>395</v>
      </c>
      <c r="DC4" s="444" t="s">
        <v>396</v>
      </c>
      <c r="DD4" s="444" t="s">
        <v>397</v>
      </c>
      <c r="DE4" s="595" t="s">
        <v>398</v>
      </c>
      <c r="DF4" s="445" t="s">
        <v>290</v>
      </c>
      <c r="DG4" s="444" t="s">
        <v>395</v>
      </c>
      <c r="DH4" s="444" t="s">
        <v>396</v>
      </c>
      <c r="DI4" s="444" t="s">
        <v>397</v>
      </c>
      <c r="DJ4" s="463" t="s">
        <v>398</v>
      </c>
      <c r="DK4" s="804"/>
      <c r="DL4" s="445" t="s">
        <v>290</v>
      </c>
      <c r="DM4" s="444" t="s">
        <v>395</v>
      </c>
      <c r="DN4" s="444" t="s">
        <v>396</v>
      </c>
      <c r="DO4" s="444" t="s">
        <v>397</v>
      </c>
      <c r="DP4" s="595" t="s">
        <v>398</v>
      </c>
      <c r="DQ4" s="445" t="s">
        <v>290</v>
      </c>
      <c r="DR4" s="444" t="s">
        <v>395</v>
      </c>
      <c r="DS4" s="444" t="s">
        <v>396</v>
      </c>
      <c r="DT4" s="444" t="s">
        <v>397</v>
      </c>
      <c r="DU4" s="463" t="s">
        <v>398</v>
      </c>
      <c r="DV4" s="277"/>
      <c r="DW4" s="804"/>
      <c r="DX4" s="445" t="s">
        <v>290</v>
      </c>
      <c r="DY4" s="444" t="s">
        <v>395</v>
      </c>
      <c r="DZ4" s="444" t="s">
        <v>396</v>
      </c>
      <c r="EA4" s="444" t="s">
        <v>397</v>
      </c>
      <c r="EB4" s="595" t="s">
        <v>398</v>
      </c>
      <c r="EC4" s="445" t="s">
        <v>290</v>
      </c>
      <c r="ED4" s="444" t="s">
        <v>395</v>
      </c>
      <c r="EE4" s="444" t="s">
        <v>396</v>
      </c>
      <c r="EF4" s="444" t="s">
        <v>397</v>
      </c>
      <c r="EG4" s="463" t="s">
        <v>398</v>
      </c>
      <c r="EH4" s="804"/>
      <c r="EI4" s="445" t="s">
        <v>290</v>
      </c>
      <c r="EJ4" s="444" t="s">
        <v>395</v>
      </c>
      <c r="EK4" s="444" t="s">
        <v>396</v>
      </c>
      <c r="EL4" s="444" t="s">
        <v>397</v>
      </c>
      <c r="EM4" s="595" t="s">
        <v>398</v>
      </c>
      <c r="EN4" s="445" t="s">
        <v>290</v>
      </c>
      <c r="EO4" s="444" t="s">
        <v>395</v>
      </c>
      <c r="EP4" s="444" t="s">
        <v>396</v>
      </c>
      <c r="EQ4" s="444" t="s">
        <v>397</v>
      </c>
      <c r="ER4" s="463" t="s">
        <v>398</v>
      </c>
      <c r="ES4" s="474"/>
      <c r="ET4" s="474"/>
      <c r="EU4" s="474"/>
    </row>
    <row r="5" spans="2:151">
      <c r="B5" s="112" t="s">
        <v>399</v>
      </c>
      <c r="C5" s="217">
        <v>2017</v>
      </c>
      <c r="D5" s="446">
        <v>168225</v>
      </c>
      <c r="E5" s="461">
        <v>1320</v>
      </c>
      <c r="F5" s="582">
        <v>595</v>
      </c>
      <c r="G5" s="113">
        <v>414</v>
      </c>
      <c r="H5" s="113">
        <v>0</v>
      </c>
      <c r="I5" s="113">
        <v>181</v>
      </c>
      <c r="J5" s="460">
        <v>0</v>
      </c>
      <c r="K5" s="582">
        <v>725</v>
      </c>
      <c r="L5" s="113">
        <v>628</v>
      </c>
      <c r="M5" s="113">
        <v>0</v>
      </c>
      <c r="N5" s="113">
        <v>88</v>
      </c>
      <c r="O5" s="459">
        <v>9</v>
      </c>
      <c r="P5" s="461">
        <f>Q5+V5</f>
        <v>2</v>
      </c>
      <c r="Q5" s="582">
        <v>0</v>
      </c>
      <c r="R5" s="113">
        <v>0</v>
      </c>
      <c r="S5" s="113">
        <v>0</v>
      </c>
      <c r="T5" s="113">
        <v>0</v>
      </c>
      <c r="U5" s="460">
        <v>0</v>
      </c>
      <c r="V5" s="582">
        <v>2</v>
      </c>
      <c r="W5" s="113">
        <v>1</v>
      </c>
      <c r="X5" s="113">
        <v>0</v>
      </c>
      <c r="Y5" s="113">
        <v>1</v>
      </c>
      <c r="Z5" s="459">
        <v>0</v>
      </c>
      <c r="AA5" s="461">
        <f>AB5+AG5</f>
        <v>1</v>
      </c>
      <c r="AB5" s="582">
        <v>0</v>
      </c>
      <c r="AC5" s="113">
        <v>0</v>
      </c>
      <c r="AD5" s="113">
        <v>0</v>
      </c>
      <c r="AE5" s="113">
        <v>0</v>
      </c>
      <c r="AF5" s="460">
        <v>0</v>
      </c>
      <c r="AG5" s="582">
        <v>1</v>
      </c>
      <c r="AH5" s="113">
        <v>1</v>
      </c>
      <c r="AI5" s="113">
        <v>0</v>
      </c>
      <c r="AJ5" s="113">
        <v>0</v>
      </c>
      <c r="AK5" s="459">
        <v>0</v>
      </c>
      <c r="AL5" s="461">
        <v>11</v>
      </c>
      <c r="AM5" s="582">
        <v>4</v>
      </c>
      <c r="AN5" s="113">
        <v>3</v>
      </c>
      <c r="AO5" s="113">
        <v>0</v>
      </c>
      <c r="AP5" s="113">
        <v>1</v>
      </c>
      <c r="AQ5" s="460">
        <v>0</v>
      </c>
      <c r="AR5" s="582">
        <v>7</v>
      </c>
      <c r="AS5" s="113">
        <v>6</v>
      </c>
      <c r="AT5" s="113">
        <v>0</v>
      </c>
      <c r="AU5" s="113">
        <v>1</v>
      </c>
      <c r="AV5" s="459">
        <v>0</v>
      </c>
      <c r="AW5" s="461">
        <v>4</v>
      </c>
      <c r="AX5" s="582">
        <v>1</v>
      </c>
      <c r="AY5" s="113">
        <v>1</v>
      </c>
      <c r="AZ5" s="113">
        <v>0</v>
      </c>
      <c r="BA5" s="113">
        <v>0</v>
      </c>
      <c r="BB5" s="460">
        <v>0</v>
      </c>
      <c r="BC5" s="582">
        <v>3</v>
      </c>
      <c r="BD5" s="113">
        <v>3</v>
      </c>
      <c r="BE5" s="113">
        <v>0</v>
      </c>
      <c r="BF5" s="113">
        <v>0</v>
      </c>
      <c r="BG5" s="459">
        <v>0</v>
      </c>
      <c r="BH5" s="461">
        <v>6</v>
      </c>
      <c r="BI5" s="582">
        <v>5</v>
      </c>
      <c r="BJ5" s="113">
        <v>3</v>
      </c>
      <c r="BK5" s="113">
        <v>0</v>
      </c>
      <c r="BL5" s="113">
        <v>2</v>
      </c>
      <c r="BM5" s="460">
        <v>0</v>
      </c>
      <c r="BN5" s="582">
        <v>1</v>
      </c>
      <c r="BO5" s="113">
        <v>1</v>
      </c>
      <c r="BP5" s="113">
        <v>0</v>
      </c>
      <c r="BQ5" s="113">
        <v>0</v>
      </c>
      <c r="BR5" s="459">
        <v>0</v>
      </c>
      <c r="BS5" s="461">
        <v>5</v>
      </c>
      <c r="BT5" s="582">
        <v>2</v>
      </c>
      <c r="BU5" s="113">
        <v>1</v>
      </c>
      <c r="BV5" s="113">
        <v>0</v>
      </c>
      <c r="BW5" s="113">
        <v>1</v>
      </c>
      <c r="BX5" s="460">
        <v>0</v>
      </c>
      <c r="BY5" s="582">
        <v>3</v>
      </c>
      <c r="BZ5" s="113">
        <v>3</v>
      </c>
      <c r="CA5" s="113">
        <v>0</v>
      </c>
      <c r="CB5" s="113">
        <v>0</v>
      </c>
      <c r="CC5" s="459">
        <v>0</v>
      </c>
      <c r="CD5" s="461">
        <v>4</v>
      </c>
      <c r="CE5" s="582">
        <v>3</v>
      </c>
      <c r="CF5" s="113">
        <v>2</v>
      </c>
      <c r="CG5" s="113">
        <v>0</v>
      </c>
      <c r="CH5" s="113">
        <v>1</v>
      </c>
      <c r="CI5" s="460">
        <v>0</v>
      </c>
      <c r="CJ5" s="582">
        <v>1</v>
      </c>
      <c r="CK5" s="113">
        <v>1</v>
      </c>
      <c r="CL5" s="113">
        <v>0</v>
      </c>
      <c r="CM5" s="113">
        <v>0</v>
      </c>
      <c r="CN5" s="459">
        <v>0</v>
      </c>
      <c r="CO5" s="461">
        <v>1</v>
      </c>
      <c r="CP5" s="582">
        <v>0</v>
      </c>
      <c r="CQ5" s="113">
        <v>0</v>
      </c>
      <c r="CR5" s="113">
        <v>0</v>
      </c>
      <c r="CS5" s="113">
        <v>0</v>
      </c>
      <c r="CT5" s="460">
        <v>0</v>
      </c>
      <c r="CU5" s="582">
        <v>1</v>
      </c>
      <c r="CV5" s="113">
        <v>1</v>
      </c>
      <c r="CW5" s="113">
        <v>0</v>
      </c>
      <c r="CX5" s="113">
        <v>0</v>
      </c>
      <c r="CY5" s="459">
        <v>0</v>
      </c>
      <c r="CZ5" s="461">
        <v>1</v>
      </c>
      <c r="DA5" s="582">
        <v>0</v>
      </c>
      <c r="DB5" s="113">
        <v>0</v>
      </c>
      <c r="DC5" s="113">
        <v>0</v>
      </c>
      <c r="DD5" s="113">
        <v>0</v>
      </c>
      <c r="DE5" s="460">
        <v>0</v>
      </c>
      <c r="DF5" s="582">
        <v>1</v>
      </c>
      <c r="DG5" s="113">
        <v>1</v>
      </c>
      <c r="DH5" s="113">
        <v>0</v>
      </c>
      <c r="DI5" s="113">
        <v>0</v>
      </c>
      <c r="DJ5" s="459">
        <v>0</v>
      </c>
      <c r="DK5" s="461">
        <v>0</v>
      </c>
      <c r="DL5" s="582">
        <v>0</v>
      </c>
      <c r="DM5" s="113">
        <v>0</v>
      </c>
      <c r="DN5" s="113">
        <v>0</v>
      </c>
      <c r="DO5" s="113">
        <v>0</v>
      </c>
      <c r="DP5" s="460">
        <v>0</v>
      </c>
      <c r="DQ5" s="582">
        <v>0</v>
      </c>
      <c r="DR5" s="113">
        <v>0</v>
      </c>
      <c r="DS5" s="113">
        <v>0</v>
      </c>
      <c r="DT5" s="113">
        <v>0</v>
      </c>
      <c r="DU5" s="459">
        <v>0</v>
      </c>
      <c r="DW5" s="461">
        <f>P5+AA5+AW5+BH5+BS5+CD5+CO5+CZ5+DK5</f>
        <v>24</v>
      </c>
      <c r="DX5" s="582">
        <f t="shared" ref="DX5:EG20" si="0">Q5+AB5+AX5+BI5+BT5+CE5+CP5+DA5+DL5</f>
        <v>11</v>
      </c>
      <c r="DY5" s="113">
        <f t="shared" si="0"/>
        <v>7</v>
      </c>
      <c r="DZ5" s="113">
        <f t="shared" si="0"/>
        <v>0</v>
      </c>
      <c r="EA5" s="113">
        <f t="shared" si="0"/>
        <v>4</v>
      </c>
      <c r="EB5" s="460">
        <f t="shared" si="0"/>
        <v>0</v>
      </c>
      <c r="EC5" s="582">
        <f t="shared" si="0"/>
        <v>13</v>
      </c>
      <c r="ED5" s="113">
        <f t="shared" si="0"/>
        <v>12</v>
      </c>
      <c r="EE5" s="113">
        <f t="shared" si="0"/>
        <v>0</v>
      </c>
      <c r="EF5" s="113">
        <f t="shared" si="0"/>
        <v>1</v>
      </c>
      <c r="EG5" s="459">
        <f t="shared" si="0"/>
        <v>0</v>
      </c>
      <c r="EH5" s="461">
        <f>AL5</f>
        <v>11</v>
      </c>
      <c r="EI5" s="582">
        <f t="shared" ref="EI5:ER20" si="1">AM5</f>
        <v>4</v>
      </c>
      <c r="EJ5" s="113">
        <f t="shared" si="1"/>
        <v>3</v>
      </c>
      <c r="EK5" s="113">
        <f t="shared" si="1"/>
        <v>0</v>
      </c>
      <c r="EL5" s="113">
        <f t="shared" si="1"/>
        <v>1</v>
      </c>
      <c r="EM5" s="460">
        <f t="shared" si="1"/>
        <v>0</v>
      </c>
      <c r="EN5" s="582">
        <f t="shared" si="1"/>
        <v>7</v>
      </c>
      <c r="EO5" s="113">
        <f t="shared" si="1"/>
        <v>6</v>
      </c>
      <c r="EP5" s="113">
        <f t="shared" si="1"/>
        <v>0</v>
      </c>
      <c r="EQ5" s="113">
        <f t="shared" si="1"/>
        <v>1</v>
      </c>
      <c r="ER5" s="459">
        <f t="shared" si="1"/>
        <v>0</v>
      </c>
    </row>
    <row r="6" spans="2:151">
      <c r="B6" s="112" t="s">
        <v>400</v>
      </c>
      <c r="C6" s="217">
        <v>2017</v>
      </c>
      <c r="D6" s="446">
        <v>234021</v>
      </c>
      <c r="E6" s="461">
        <v>2089</v>
      </c>
      <c r="F6" s="582">
        <v>832</v>
      </c>
      <c r="G6" s="113">
        <v>605</v>
      </c>
      <c r="H6" s="113">
        <v>0</v>
      </c>
      <c r="I6" s="113">
        <v>227</v>
      </c>
      <c r="J6" s="460">
        <v>0</v>
      </c>
      <c r="K6" s="582">
        <v>1257</v>
      </c>
      <c r="L6" s="113">
        <v>937</v>
      </c>
      <c r="M6" s="113">
        <v>0</v>
      </c>
      <c r="N6" s="113">
        <v>153</v>
      </c>
      <c r="O6" s="459">
        <v>167</v>
      </c>
      <c r="P6" s="461">
        <f t="shared" ref="P6:P32" si="2">Q6+V6</f>
        <v>3</v>
      </c>
      <c r="Q6" s="582">
        <v>1</v>
      </c>
      <c r="R6" s="113">
        <v>1</v>
      </c>
      <c r="S6" s="113">
        <v>0</v>
      </c>
      <c r="T6" s="113">
        <v>0</v>
      </c>
      <c r="U6" s="460">
        <v>0</v>
      </c>
      <c r="V6" s="582">
        <v>2</v>
      </c>
      <c r="W6" s="113">
        <v>2</v>
      </c>
      <c r="X6" s="113">
        <v>0</v>
      </c>
      <c r="Y6" s="113">
        <v>0</v>
      </c>
      <c r="Z6" s="459">
        <v>0</v>
      </c>
      <c r="AA6" s="461">
        <f t="shared" ref="AA6:AA32" si="3">AB6+AG6</f>
        <v>3</v>
      </c>
      <c r="AB6" s="582">
        <v>0</v>
      </c>
      <c r="AC6" s="113">
        <v>0</v>
      </c>
      <c r="AD6" s="113">
        <v>0</v>
      </c>
      <c r="AE6" s="113">
        <v>0</v>
      </c>
      <c r="AF6" s="460">
        <v>0</v>
      </c>
      <c r="AG6" s="582">
        <v>3</v>
      </c>
      <c r="AH6" s="113">
        <v>3</v>
      </c>
      <c r="AI6" s="113">
        <v>0</v>
      </c>
      <c r="AJ6" s="113">
        <v>0</v>
      </c>
      <c r="AK6" s="459">
        <v>0</v>
      </c>
      <c r="AL6" s="461">
        <v>13</v>
      </c>
      <c r="AM6" s="582">
        <v>6</v>
      </c>
      <c r="AN6" s="113">
        <v>6</v>
      </c>
      <c r="AO6" s="113">
        <v>0</v>
      </c>
      <c r="AP6" s="113">
        <v>0</v>
      </c>
      <c r="AQ6" s="460">
        <v>0</v>
      </c>
      <c r="AR6" s="582">
        <v>7</v>
      </c>
      <c r="AS6" s="113">
        <v>6</v>
      </c>
      <c r="AT6" s="113">
        <v>0</v>
      </c>
      <c r="AU6" s="113">
        <v>0</v>
      </c>
      <c r="AV6" s="459">
        <v>1</v>
      </c>
      <c r="AW6" s="461">
        <v>12</v>
      </c>
      <c r="AX6" s="582">
        <v>5</v>
      </c>
      <c r="AY6" s="113">
        <v>4</v>
      </c>
      <c r="AZ6" s="113">
        <v>0</v>
      </c>
      <c r="BA6" s="113">
        <v>1</v>
      </c>
      <c r="BB6" s="460">
        <v>0</v>
      </c>
      <c r="BC6" s="582">
        <v>7</v>
      </c>
      <c r="BD6" s="113">
        <v>6</v>
      </c>
      <c r="BE6" s="113">
        <v>0</v>
      </c>
      <c r="BF6" s="113">
        <v>1</v>
      </c>
      <c r="BG6" s="459">
        <v>0</v>
      </c>
      <c r="BH6" s="461">
        <v>18</v>
      </c>
      <c r="BI6" s="582">
        <v>4</v>
      </c>
      <c r="BJ6" s="113">
        <v>4</v>
      </c>
      <c r="BK6" s="113">
        <v>0</v>
      </c>
      <c r="BL6" s="113">
        <v>0</v>
      </c>
      <c r="BM6" s="460">
        <v>0</v>
      </c>
      <c r="BN6" s="582">
        <v>14</v>
      </c>
      <c r="BO6" s="113">
        <v>11</v>
      </c>
      <c r="BP6" s="113">
        <v>0</v>
      </c>
      <c r="BQ6" s="113">
        <v>0</v>
      </c>
      <c r="BR6" s="459">
        <v>3</v>
      </c>
      <c r="BS6" s="461">
        <v>27</v>
      </c>
      <c r="BT6" s="582">
        <v>16</v>
      </c>
      <c r="BU6" s="113">
        <v>15</v>
      </c>
      <c r="BV6" s="113">
        <v>0</v>
      </c>
      <c r="BW6" s="113">
        <v>1</v>
      </c>
      <c r="BX6" s="460">
        <v>0</v>
      </c>
      <c r="BY6" s="582">
        <v>11</v>
      </c>
      <c r="BZ6" s="113">
        <v>9</v>
      </c>
      <c r="CA6" s="113">
        <v>0</v>
      </c>
      <c r="CB6" s="113">
        <v>0</v>
      </c>
      <c r="CC6" s="459">
        <v>2</v>
      </c>
      <c r="CD6" s="461">
        <v>11</v>
      </c>
      <c r="CE6" s="582">
        <v>5</v>
      </c>
      <c r="CF6" s="113">
        <v>4</v>
      </c>
      <c r="CG6" s="113">
        <v>0</v>
      </c>
      <c r="CH6" s="113">
        <v>1</v>
      </c>
      <c r="CI6" s="460">
        <v>0</v>
      </c>
      <c r="CJ6" s="582">
        <v>6</v>
      </c>
      <c r="CK6" s="113">
        <v>4</v>
      </c>
      <c r="CL6" s="113">
        <v>0</v>
      </c>
      <c r="CM6" s="113">
        <v>1</v>
      </c>
      <c r="CN6" s="459">
        <v>1</v>
      </c>
      <c r="CO6" s="461">
        <v>3</v>
      </c>
      <c r="CP6" s="582">
        <v>2</v>
      </c>
      <c r="CQ6" s="113">
        <v>2</v>
      </c>
      <c r="CR6" s="113">
        <v>0</v>
      </c>
      <c r="CS6" s="113">
        <v>0</v>
      </c>
      <c r="CT6" s="460">
        <v>0</v>
      </c>
      <c r="CU6" s="582">
        <v>1</v>
      </c>
      <c r="CV6" s="113">
        <v>1</v>
      </c>
      <c r="CW6" s="113">
        <v>0</v>
      </c>
      <c r="CX6" s="113">
        <v>0</v>
      </c>
      <c r="CY6" s="459">
        <v>0</v>
      </c>
      <c r="CZ6" s="461">
        <v>1</v>
      </c>
      <c r="DA6" s="582">
        <v>1</v>
      </c>
      <c r="DB6" s="113">
        <v>0</v>
      </c>
      <c r="DC6" s="113">
        <v>0</v>
      </c>
      <c r="DD6" s="113">
        <v>1</v>
      </c>
      <c r="DE6" s="460">
        <v>0</v>
      </c>
      <c r="DF6" s="582">
        <v>0</v>
      </c>
      <c r="DG6" s="113">
        <v>0</v>
      </c>
      <c r="DH6" s="113">
        <v>0</v>
      </c>
      <c r="DI6" s="113">
        <v>0</v>
      </c>
      <c r="DJ6" s="459">
        <v>0</v>
      </c>
      <c r="DK6" s="461">
        <v>0</v>
      </c>
      <c r="DL6" s="582">
        <v>0</v>
      </c>
      <c r="DM6" s="113">
        <v>0</v>
      </c>
      <c r="DN6" s="113">
        <v>0</v>
      </c>
      <c r="DO6" s="113">
        <v>0</v>
      </c>
      <c r="DP6" s="460">
        <v>0</v>
      </c>
      <c r="DQ6" s="582">
        <v>0</v>
      </c>
      <c r="DR6" s="113">
        <v>0</v>
      </c>
      <c r="DS6" s="113">
        <v>0</v>
      </c>
      <c r="DT6" s="113">
        <v>0</v>
      </c>
      <c r="DU6" s="459">
        <v>0</v>
      </c>
      <c r="DW6" s="461">
        <f t="shared" ref="DW6:EG49" si="4">P6+AA6+AW6+BH6+BS6+CD6+CO6+CZ6+DK6</f>
        <v>78</v>
      </c>
      <c r="DX6" s="582">
        <f t="shared" si="0"/>
        <v>34</v>
      </c>
      <c r="DY6" s="113">
        <f t="shared" si="0"/>
        <v>30</v>
      </c>
      <c r="DZ6" s="113">
        <f t="shared" si="0"/>
        <v>0</v>
      </c>
      <c r="EA6" s="113">
        <f t="shared" si="0"/>
        <v>4</v>
      </c>
      <c r="EB6" s="460">
        <f t="shared" si="0"/>
        <v>0</v>
      </c>
      <c r="EC6" s="582">
        <f t="shared" si="0"/>
        <v>44</v>
      </c>
      <c r="ED6" s="113">
        <f t="shared" si="0"/>
        <v>36</v>
      </c>
      <c r="EE6" s="113">
        <f t="shared" si="0"/>
        <v>0</v>
      </c>
      <c r="EF6" s="113">
        <f t="shared" si="0"/>
        <v>2</v>
      </c>
      <c r="EG6" s="459">
        <f t="shared" si="0"/>
        <v>6</v>
      </c>
      <c r="EH6" s="461">
        <f t="shared" ref="EH6:ER33" si="5">AL6</f>
        <v>13</v>
      </c>
      <c r="EI6" s="582">
        <f t="shared" si="1"/>
        <v>6</v>
      </c>
      <c r="EJ6" s="113">
        <f t="shared" si="1"/>
        <v>6</v>
      </c>
      <c r="EK6" s="113">
        <f t="shared" si="1"/>
        <v>0</v>
      </c>
      <c r="EL6" s="113">
        <f t="shared" si="1"/>
        <v>0</v>
      </c>
      <c r="EM6" s="460">
        <f t="shared" si="1"/>
        <v>0</v>
      </c>
      <c r="EN6" s="582">
        <f t="shared" si="1"/>
        <v>7</v>
      </c>
      <c r="EO6" s="113">
        <f t="shared" si="1"/>
        <v>6</v>
      </c>
      <c r="EP6" s="113">
        <f t="shared" si="1"/>
        <v>0</v>
      </c>
      <c r="EQ6" s="113">
        <f t="shared" si="1"/>
        <v>0</v>
      </c>
      <c r="ER6" s="459">
        <f t="shared" si="1"/>
        <v>1</v>
      </c>
    </row>
    <row r="7" spans="2:151">
      <c r="B7" s="112" t="s">
        <v>401</v>
      </c>
      <c r="C7" s="217">
        <v>2017</v>
      </c>
      <c r="D7" s="446">
        <v>219632</v>
      </c>
      <c r="E7" s="461">
        <v>2129</v>
      </c>
      <c r="F7" s="582">
        <v>950</v>
      </c>
      <c r="G7" s="113">
        <v>685</v>
      </c>
      <c r="H7" s="113">
        <v>0</v>
      </c>
      <c r="I7" s="113">
        <v>265</v>
      </c>
      <c r="J7" s="460">
        <v>0</v>
      </c>
      <c r="K7" s="582">
        <v>1179</v>
      </c>
      <c r="L7" s="113">
        <v>984</v>
      </c>
      <c r="M7" s="113">
        <v>0</v>
      </c>
      <c r="N7" s="113">
        <v>98</v>
      </c>
      <c r="O7" s="459">
        <v>97</v>
      </c>
      <c r="P7" s="461">
        <f t="shared" si="2"/>
        <v>3</v>
      </c>
      <c r="Q7" s="582">
        <v>1</v>
      </c>
      <c r="R7" s="113">
        <v>1</v>
      </c>
      <c r="S7" s="113">
        <v>0</v>
      </c>
      <c r="T7" s="113">
        <v>0</v>
      </c>
      <c r="U7" s="460">
        <v>0</v>
      </c>
      <c r="V7" s="582">
        <v>2</v>
      </c>
      <c r="W7" s="113">
        <v>2</v>
      </c>
      <c r="X7" s="113">
        <v>0</v>
      </c>
      <c r="Y7" s="113">
        <v>0</v>
      </c>
      <c r="Z7" s="459">
        <v>0</v>
      </c>
      <c r="AA7" s="461">
        <f t="shared" si="3"/>
        <v>4</v>
      </c>
      <c r="AB7" s="582">
        <v>2</v>
      </c>
      <c r="AC7" s="113">
        <v>2</v>
      </c>
      <c r="AD7" s="113">
        <v>0</v>
      </c>
      <c r="AE7" s="113">
        <v>0</v>
      </c>
      <c r="AF7" s="460">
        <v>0</v>
      </c>
      <c r="AG7" s="582">
        <v>2</v>
      </c>
      <c r="AH7" s="113">
        <v>2</v>
      </c>
      <c r="AI7" s="113">
        <v>0</v>
      </c>
      <c r="AJ7" s="113">
        <v>0</v>
      </c>
      <c r="AK7" s="459">
        <v>0</v>
      </c>
      <c r="AL7" s="461">
        <v>20</v>
      </c>
      <c r="AM7" s="582">
        <v>9</v>
      </c>
      <c r="AN7" s="113">
        <v>5</v>
      </c>
      <c r="AO7" s="113">
        <v>0</v>
      </c>
      <c r="AP7" s="113">
        <v>4</v>
      </c>
      <c r="AQ7" s="460">
        <v>0</v>
      </c>
      <c r="AR7" s="582">
        <v>11</v>
      </c>
      <c r="AS7" s="113">
        <v>9</v>
      </c>
      <c r="AT7" s="113">
        <v>0</v>
      </c>
      <c r="AU7" s="113">
        <v>1</v>
      </c>
      <c r="AV7" s="459">
        <v>1</v>
      </c>
      <c r="AW7" s="461">
        <v>8</v>
      </c>
      <c r="AX7" s="582">
        <v>3</v>
      </c>
      <c r="AY7" s="113">
        <v>2</v>
      </c>
      <c r="AZ7" s="113">
        <v>0</v>
      </c>
      <c r="BA7" s="113">
        <v>1</v>
      </c>
      <c r="BB7" s="460">
        <v>0</v>
      </c>
      <c r="BC7" s="582">
        <v>5</v>
      </c>
      <c r="BD7" s="113">
        <v>4</v>
      </c>
      <c r="BE7" s="113">
        <v>0</v>
      </c>
      <c r="BF7" s="113">
        <v>0</v>
      </c>
      <c r="BG7" s="459">
        <v>1</v>
      </c>
      <c r="BH7" s="461">
        <v>12</v>
      </c>
      <c r="BI7" s="582">
        <v>9</v>
      </c>
      <c r="BJ7" s="113">
        <v>9</v>
      </c>
      <c r="BK7" s="113">
        <v>0</v>
      </c>
      <c r="BL7" s="113">
        <v>0</v>
      </c>
      <c r="BM7" s="460">
        <v>0</v>
      </c>
      <c r="BN7" s="582">
        <v>3</v>
      </c>
      <c r="BO7" s="113">
        <v>3</v>
      </c>
      <c r="BP7" s="113">
        <v>0</v>
      </c>
      <c r="BQ7" s="113">
        <v>0</v>
      </c>
      <c r="BR7" s="459">
        <v>0</v>
      </c>
      <c r="BS7" s="461">
        <v>16</v>
      </c>
      <c r="BT7" s="582">
        <v>8</v>
      </c>
      <c r="BU7" s="113">
        <v>7</v>
      </c>
      <c r="BV7" s="113">
        <v>0</v>
      </c>
      <c r="BW7" s="113">
        <v>1</v>
      </c>
      <c r="BX7" s="460">
        <v>0</v>
      </c>
      <c r="BY7" s="582">
        <v>8</v>
      </c>
      <c r="BZ7" s="113">
        <v>7</v>
      </c>
      <c r="CA7" s="113">
        <v>0</v>
      </c>
      <c r="CB7" s="113">
        <v>1</v>
      </c>
      <c r="CC7" s="459">
        <v>0</v>
      </c>
      <c r="CD7" s="461">
        <v>7</v>
      </c>
      <c r="CE7" s="582">
        <v>4</v>
      </c>
      <c r="CF7" s="113">
        <v>2</v>
      </c>
      <c r="CG7" s="113">
        <v>0</v>
      </c>
      <c r="CH7" s="113">
        <v>2</v>
      </c>
      <c r="CI7" s="460">
        <v>0</v>
      </c>
      <c r="CJ7" s="582">
        <v>3</v>
      </c>
      <c r="CK7" s="113">
        <v>3</v>
      </c>
      <c r="CL7" s="113">
        <v>0</v>
      </c>
      <c r="CM7" s="113">
        <v>0</v>
      </c>
      <c r="CN7" s="459">
        <v>0</v>
      </c>
      <c r="CO7" s="461">
        <v>2</v>
      </c>
      <c r="CP7" s="582">
        <v>1</v>
      </c>
      <c r="CQ7" s="113">
        <v>1</v>
      </c>
      <c r="CR7" s="113">
        <v>0</v>
      </c>
      <c r="CS7" s="113">
        <v>0</v>
      </c>
      <c r="CT7" s="460">
        <v>0</v>
      </c>
      <c r="CU7" s="582">
        <v>1</v>
      </c>
      <c r="CV7" s="113">
        <v>1</v>
      </c>
      <c r="CW7" s="113">
        <v>0</v>
      </c>
      <c r="CX7" s="113">
        <v>0</v>
      </c>
      <c r="CY7" s="459">
        <v>0</v>
      </c>
      <c r="CZ7" s="461">
        <v>0</v>
      </c>
      <c r="DA7" s="582">
        <v>0</v>
      </c>
      <c r="DB7" s="113">
        <v>0</v>
      </c>
      <c r="DC7" s="113">
        <v>0</v>
      </c>
      <c r="DD7" s="113">
        <v>0</v>
      </c>
      <c r="DE7" s="460">
        <v>0</v>
      </c>
      <c r="DF7" s="582">
        <v>0</v>
      </c>
      <c r="DG7" s="113">
        <v>0</v>
      </c>
      <c r="DH7" s="113">
        <v>0</v>
      </c>
      <c r="DI7" s="113">
        <v>0</v>
      </c>
      <c r="DJ7" s="459">
        <v>0</v>
      </c>
      <c r="DK7" s="461">
        <v>0</v>
      </c>
      <c r="DL7" s="582">
        <v>0</v>
      </c>
      <c r="DM7" s="113">
        <v>0</v>
      </c>
      <c r="DN7" s="113">
        <v>0</v>
      </c>
      <c r="DO7" s="113">
        <v>0</v>
      </c>
      <c r="DP7" s="460">
        <v>0</v>
      </c>
      <c r="DQ7" s="582">
        <v>0</v>
      </c>
      <c r="DR7" s="113">
        <v>0</v>
      </c>
      <c r="DS7" s="113">
        <v>0</v>
      </c>
      <c r="DT7" s="113">
        <v>0</v>
      </c>
      <c r="DU7" s="459">
        <v>0</v>
      </c>
      <c r="DW7" s="461">
        <f t="shared" si="4"/>
        <v>52</v>
      </c>
      <c r="DX7" s="582">
        <f t="shared" si="0"/>
        <v>28</v>
      </c>
      <c r="DY7" s="113">
        <f t="shared" si="0"/>
        <v>24</v>
      </c>
      <c r="DZ7" s="113">
        <f t="shared" si="0"/>
        <v>0</v>
      </c>
      <c r="EA7" s="113">
        <f t="shared" si="0"/>
        <v>4</v>
      </c>
      <c r="EB7" s="460">
        <f t="shared" si="0"/>
        <v>0</v>
      </c>
      <c r="EC7" s="582">
        <f t="shared" si="0"/>
        <v>24</v>
      </c>
      <c r="ED7" s="113">
        <f t="shared" si="0"/>
        <v>22</v>
      </c>
      <c r="EE7" s="113">
        <f t="shared" si="0"/>
        <v>0</v>
      </c>
      <c r="EF7" s="113">
        <f t="shared" si="0"/>
        <v>1</v>
      </c>
      <c r="EG7" s="459">
        <f t="shared" si="0"/>
        <v>1</v>
      </c>
      <c r="EH7" s="461">
        <f t="shared" si="5"/>
        <v>20</v>
      </c>
      <c r="EI7" s="582">
        <f t="shared" si="1"/>
        <v>9</v>
      </c>
      <c r="EJ7" s="113">
        <f t="shared" si="1"/>
        <v>5</v>
      </c>
      <c r="EK7" s="113">
        <f t="shared" si="1"/>
        <v>0</v>
      </c>
      <c r="EL7" s="113">
        <f t="shared" si="1"/>
        <v>4</v>
      </c>
      <c r="EM7" s="460">
        <f t="shared" si="1"/>
        <v>0</v>
      </c>
      <c r="EN7" s="582">
        <f t="shared" si="1"/>
        <v>11</v>
      </c>
      <c r="EO7" s="113">
        <f t="shared" si="1"/>
        <v>9</v>
      </c>
      <c r="EP7" s="113">
        <f t="shared" si="1"/>
        <v>0</v>
      </c>
      <c r="EQ7" s="113">
        <f t="shared" si="1"/>
        <v>1</v>
      </c>
      <c r="ER7" s="459">
        <f t="shared" si="1"/>
        <v>1</v>
      </c>
    </row>
    <row r="8" spans="2:151">
      <c r="B8" s="112" t="s">
        <v>402</v>
      </c>
      <c r="C8" s="217">
        <v>2017</v>
      </c>
      <c r="D8" s="446">
        <v>179517</v>
      </c>
      <c r="E8" s="461">
        <v>2640</v>
      </c>
      <c r="F8" s="582">
        <v>1186</v>
      </c>
      <c r="G8" s="113">
        <v>828</v>
      </c>
      <c r="H8" s="113">
        <v>0</v>
      </c>
      <c r="I8" s="113">
        <v>358</v>
      </c>
      <c r="J8" s="460">
        <v>0</v>
      </c>
      <c r="K8" s="582">
        <v>1454</v>
      </c>
      <c r="L8" s="113">
        <v>1108</v>
      </c>
      <c r="M8" s="113">
        <v>0</v>
      </c>
      <c r="N8" s="113">
        <v>97</v>
      </c>
      <c r="O8" s="459">
        <v>249</v>
      </c>
      <c r="P8" s="461">
        <f t="shared" si="2"/>
        <v>2</v>
      </c>
      <c r="Q8" s="582">
        <v>1</v>
      </c>
      <c r="R8" s="113">
        <v>1</v>
      </c>
      <c r="S8" s="113">
        <v>0</v>
      </c>
      <c r="T8" s="113">
        <v>0</v>
      </c>
      <c r="U8" s="460">
        <v>0</v>
      </c>
      <c r="V8" s="582">
        <v>1</v>
      </c>
      <c r="W8" s="113">
        <v>1</v>
      </c>
      <c r="X8" s="113">
        <v>0</v>
      </c>
      <c r="Y8" s="113">
        <v>0</v>
      </c>
      <c r="Z8" s="459">
        <v>0</v>
      </c>
      <c r="AA8" s="461">
        <f t="shared" si="3"/>
        <v>4</v>
      </c>
      <c r="AB8" s="582">
        <v>0</v>
      </c>
      <c r="AC8" s="113">
        <v>0</v>
      </c>
      <c r="AD8" s="113">
        <v>0</v>
      </c>
      <c r="AE8" s="113">
        <v>0</v>
      </c>
      <c r="AF8" s="460">
        <v>0</v>
      </c>
      <c r="AG8" s="582">
        <v>4</v>
      </c>
      <c r="AH8" s="113">
        <v>4</v>
      </c>
      <c r="AI8" s="113">
        <v>0</v>
      </c>
      <c r="AJ8" s="113">
        <v>0</v>
      </c>
      <c r="AK8" s="459">
        <v>0</v>
      </c>
      <c r="AL8" s="461">
        <v>27</v>
      </c>
      <c r="AM8" s="582">
        <v>11</v>
      </c>
      <c r="AN8" s="113">
        <v>6</v>
      </c>
      <c r="AO8" s="113">
        <v>0</v>
      </c>
      <c r="AP8" s="113">
        <v>5</v>
      </c>
      <c r="AQ8" s="460">
        <v>0</v>
      </c>
      <c r="AR8" s="582">
        <v>16</v>
      </c>
      <c r="AS8" s="113">
        <v>9</v>
      </c>
      <c r="AT8" s="113">
        <v>0</v>
      </c>
      <c r="AU8" s="113">
        <v>0</v>
      </c>
      <c r="AV8" s="459">
        <v>7</v>
      </c>
      <c r="AW8" s="461">
        <v>15</v>
      </c>
      <c r="AX8" s="582">
        <v>5</v>
      </c>
      <c r="AY8" s="113">
        <v>5</v>
      </c>
      <c r="AZ8" s="113">
        <v>0</v>
      </c>
      <c r="BA8" s="113">
        <v>0</v>
      </c>
      <c r="BB8" s="460">
        <v>0</v>
      </c>
      <c r="BC8" s="582">
        <v>10</v>
      </c>
      <c r="BD8" s="113">
        <v>9</v>
      </c>
      <c r="BE8" s="113">
        <v>0</v>
      </c>
      <c r="BF8" s="113">
        <v>0</v>
      </c>
      <c r="BG8" s="459">
        <v>1</v>
      </c>
      <c r="BH8" s="461">
        <v>14</v>
      </c>
      <c r="BI8" s="582">
        <v>6</v>
      </c>
      <c r="BJ8" s="113">
        <v>4</v>
      </c>
      <c r="BK8" s="113">
        <v>0</v>
      </c>
      <c r="BL8" s="113">
        <v>2</v>
      </c>
      <c r="BM8" s="460">
        <v>0</v>
      </c>
      <c r="BN8" s="582">
        <v>8</v>
      </c>
      <c r="BO8" s="113">
        <v>6</v>
      </c>
      <c r="BP8" s="113">
        <v>0</v>
      </c>
      <c r="BQ8" s="113">
        <v>1</v>
      </c>
      <c r="BR8" s="459">
        <v>1</v>
      </c>
      <c r="BS8" s="461">
        <v>22</v>
      </c>
      <c r="BT8" s="582">
        <v>11</v>
      </c>
      <c r="BU8" s="113">
        <v>9</v>
      </c>
      <c r="BV8" s="113">
        <v>0</v>
      </c>
      <c r="BW8" s="113">
        <v>2</v>
      </c>
      <c r="BX8" s="460">
        <v>0</v>
      </c>
      <c r="BY8" s="582">
        <v>11</v>
      </c>
      <c r="BZ8" s="113">
        <v>9</v>
      </c>
      <c r="CA8" s="113">
        <v>0</v>
      </c>
      <c r="CB8" s="113">
        <v>1</v>
      </c>
      <c r="CC8" s="459">
        <v>1</v>
      </c>
      <c r="CD8" s="461">
        <v>4</v>
      </c>
      <c r="CE8" s="582">
        <v>2</v>
      </c>
      <c r="CF8" s="113">
        <v>1</v>
      </c>
      <c r="CG8" s="113">
        <v>0</v>
      </c>
      <c r="CH8" s="113">
        <v>1</v>
      </c>
      <c r="CI8" s="460">
        <v>0</v>
      </c>
      <c r="CJ8" s="582">
        <v>2</v>
      </c>
      <c r="CK8" s="113">
        <v>1</v>
      </c>
      <c r="CL8" s="113">
        <v>0</v>
      </c>
      <c r="CM8" s="113">
        <v>0</v>
      </c>
      <c r="CN8" s="459">
        <v>1</v>
      </c>
      <c r="CO8" s="461">
        <v>3</v>
      </c>
      <c r="CP8" s="582">
        <v>0</v>
      </c>
      <c r="CQ8" s="113">
        <v>0</v>
      </c>
      <c r="CR8" s="113">
        <v>0</v>
      </c>
      <c r="CS8" s="113">
        <v>0</v>
      </c>
      <c r="CT8" s="460">
        <v>0</v>
      </c>
      <c r="CU8" s="582">
        <v>3</v>
      </c>
      <c r="CV8" s="113">
        <v>3</v>
      </c>
      <c r="CW8" s="113">
        <v>0</v>
      </c>
      <c r="CX8" s="113">
        <v>0</v>
      </c>
      <c r="CY8" s="459">
        <v>0</v>
      </c>
      <c r="CZ8" s="461">
        <v>5</v>
      </c>
      <c r="DA8" s="582">
        <v>0</v>
      </c>
      <c r="DB8" s="113">
        <v>0</v>
      </c>
      <c r="DC8" s="113">
        <v>0</v>
      </c>
      <c r="DD8" s="113">
        <v>0</v>
      </c>
      <c r="DE8" s="460">
        <v>0</v>
      </c>
      <c r="DF8" s="582">
        <v>5</v>
      </c>
      <c r="DG8" s="113">
        <v>5</v>
      </c>
      <c r="DH8" s="113">
        <v>0</v>
      </c>
      <c r="DI8" s="113">
        <v>0</v>
      </c>
      <c r="DJ8" s="459">
        <v>0</v>
      </c>
      <c r="DK8" s="461">
        <v>0</v>
      </c>
      <c r="DL8" s="582">
        <v>0</v>
      </c>
      <c r="DM8" s="113">
        <v>0</v>
      </c>
      <c r="DN8" s="113">
        <v>0</v>
      </c>
      <c r="DO8" s="113">
        <v>0</v>
      </c>
      <c r="DP8" s="460">
        <v>0</v>
      </c>
      <c r="DQ8" s="582">
        <v>0</v>
      </c>
      <c r="DR8" s="113">
        <v>0</v>
      </c>
      <c r="DS8" s="113">
        <v>0</v>
      </c>
      <c r="DT8" s="113">
        <v>0</v>
      </c>
      <c r="DU8" s="459">
        <v>0</v>
      </c>
      <c r="DW8" s="461">
        <f t="shared" si="4"/>
        <v>69</v>
      </c>
      <c r="DX8" s="582">
        <f t="shared" si="0"/>
        <v>25</v>
      </c>
      <c r="DY8" s="113">
        <f t="shared" si="0"/>
        <v>20</v>
      </c>
      <c r="DZ8" s="113">
        <f t="shared" si="0"/>
        <v>0</v>
      </c>
      <c r="EA8" s="113">
        <f t="shared" si="0"/>
        <v>5</v>
      </c>
      <c r="EB8" s="460">
        <f t="shared" si="0"/>
        <v>0</v>
      </c>
      <c r="EC8" s="582">
        <f t="shared" si="0"/>
        <v>44</v>
      </c>
      <c r="ED8" s="113">
        <f t="shared" si="0"/>
        <v>38</v>
      </c>
      <c r="EE8" s="113">
        <f t="shared" si="0"/>
        <v>0</v>
      </c>
      <c r="EF8" s="113">
        <f t="shared" si="0"/>
        <v>2</v>
      </c>
      <c r="EG8" s="459">
        <f t="shared" si="0"/>
        <v>4</v>
      </c>
      <c r="EH8" s="461">
        <f t="shared" si="5"/>
        <v>27</v>
      </c>
      <c r="EI8" s="582">
        <f t="shared" si="1"/>
        <v>11</v>
      </c>
      <c r="EJ8" s="113">
        <f t="shared" si="1"/>
        <v>6</v>
      </c>
      <c r="EK8" s="113">
        <f t="shared" si="1"/>
        <v>0</v>
      </c>
      <c r="EL8" s="113">
        <f t="shared" si="1"/>
        <v>5</v>
      </c>
      <c r="EM8" s="460">
        <f t="shared" si="1"/>
        <v>0</v>
      </c>
      <c r="EN8" s="582">
        <f t="shared" si="1"/>
        <v>16</v>
      </c>
      <c r="EO8" s="113">
        <f t="shared" si="1"/>
        <v>9</v>
      </c>
      <c r="EP8" s="113">
        <f t="shared" si="1"/>
        <v>0</v>
      </c>
      <c r="EQ8" s="113">
        <f t="shared" si="1"/>
        <v>0</v>
      </c>
      <c r="ER8" s="459">
        <f t="shared" si="1"/>
        <v>7</v>
      </c>
    </row>
    <row r="9" spans="2:151">
      <c r="B9" s="112" t="s">
        <v>403</v>
      </c>
      <c r="C9" s="217">
        <v>2018</v>
      </c>
      <c r="D9" s="446">
        <v>165397</v>
      </c>
      <c r="E9" s="461">
        <v>2747</v>
      </c>
      <c r="F9" s="582">
        <v>928</v>
      </c>
      <c r="G9" s="113">
        <v>754</v>
      </c>
      <c r="H9" s="113">
        <v>0</v>
      </c>
      <c r="I9" s="113">
        <v>174</v>
      </c>
      <c r="J9" s="460">
        <v>0</v>
      </c>
      <c r="K9" s="582">
        <v>1819</v>
      </c>
      <c r="L9" s="113">
        <v>1251</v>
      </c>
      <c r="M9" s="113">
        <v>0</v>
      </c>
      <c r="N9" s="113">
        <v>359</v>
      </c>
      <c r="O9" s="459">
        <v>209</v>
      </c>
      <c r="P9" s="461">
        <f t="shared" si="2"/>
        <v>5</v>
      </c>
      <c r="Q9" s="582">
        <v>0</v>
      </c>
      <c r="R9" s="113">
        <v>0</v>
      </c>
      <c r="S9" s="113">
        <v>0</v>
      </c>
      <c r="T9" s="113">
        <v>0</v>
      </c>
      <c r="U9" s="460">
        <v>0</v>
      </c>
      <c r="V9" s="582">
        <v>5</v>
      </c>
      <c r="W9" s="113">
        <v>3</v>
      </c>
      <c r="X9" s="113">
        <v>0</v>
      </c>
      <c r="Y9" s="113">
        <v>1</v>
      </c>
      <c r="Z9" s="459">
        <v>1</v>
      </c>
      <c r="AA9" s="461">
        <f t="shared" si="3"/>
        <v>4</v>
      </c>
      <c r="AB9" s="582">
        <v>0</v>
      </c>
      <c r="AC9" s="113">
        <v>0</v>
      </c>
      <c r="AD9" s="113">
        <v>0</v>
      </c>
      <c r="AE9" s="113">
        <v>0</v>
      </c>
      <c r="AF9" s="460">
        <v>0</v>
      </c>
      <c r="AG9" s="582">
        <v>4</v>
      </c>
      <c r="AH9" s="113">
        <v>3</v>
      </c>
      <c r="AI9" s="113">
        <v>0</v>
      </c>
      <c r="AJ9" s="113">
        <v>0</v>
      </c>
      <c r="AK9" s="459">
        <v>1</v>
      </c>
      <c r="AL9" s="461">
        <v>27</v>
      </c>
      <c r="AM9" s="582">
        <v>10</v>
      </c>
      <c r="AN9" s="113">
        <v>8</v>
      </c>
      <c r="AO9" s="113">
        <v>0</v>
      </c>
      <c r="AP9" s="113">
        <v>2</v>
      </c>
      <c r="AQ9" s="460">
        <v>0</v>
      </c>
      <c r="AR9" s="582">
        <v>17</v>
      </c>
      <c r="AS9" s="113">
        <v>14</v>
      </c>
      <c r="AT9" s="113">
        <v>0</v>
      </c>
      <c r="AU9" s="113">
        <v>3</v>
      </c>
      <c r="AV9" s="459">
        <v>0</v>
      </c>
      <c r="AW9" s="461">
        <v>24</v>
      </c>
      <c r="AX9" s="582">
        <v>8</v>
      </c>
      <c r="AY9" s="113">
        <v>7</v>
      </c>
      <c r="AZ9" s="113">
        <v>0</v>
      </c>
      <c r="BA9" s="113">
        <v>1</v>
      </c>
      <c r="BB9" s="460">
        <v>0</v>
      </c>
      <c r="BC9" s="582">
        <v>16</v>
      </c>
      <c r="BD9" s="113">
        <v>14</v>
      </c>
      <c r="BE9" s="113">
        <v>0</v>
      </c>
      <c r="BF9" s="113">
        <v>0</v>
      </c>
      <c r="BG9" s="459">
        <v>2</v>
      </c>
      <c r="BH9" s="461">
        <v>15</v>
      </c>
      <c r="BI9" s="582">
        <v>7</v>
      </c>
      <c r="BJ9" s="113">
        <v>6</v>
      </c>
      <c r="BK9" s="113">
        <v>0</v>
      </c>
      <c r="BL9" s="113">
        <v>1</v>
      </c>
      <c r="BM9" s="460">
        <v>0</v>
      </c>
      <c r="BN9" s="582">
        <v>8</v>
      </c>
      <c r="BO9" s="113">
        <v>6</v>
      </c>
      <c r="BP9" s="113">
        <v>0</v>
      </c>
      <c r="BQ9" s="113">
        <v>2</v>
      </c>
      <c r="BR9" s="459">
        <v>0</v>
      </c>
      <c r="BS9" s="461">
        <v>30</v>
      </c>
      <c r="BT9" s="582">
        <v>7</v>
      </c>
      <c r="BU9" s="113">
        <v>7</v>
      </c>
      <c r="BV9" s="113">
        <v>0</v>
      </c>
      <c r="BW9" s="113">
        <v>0</v>
      </c>
      <c r="BX9" s="460">
        <v>0</v>
      </c>
      <c r="BY9" s="582">
        <v>23</v>
      </c>
      <c r="BZ9" s="113">
        <v>15</v>
      </c>
      <c r="CA9" s="113">
        <v>0</v>
      </c>
      <c r="CB9" s="113">
        <v>4</v>
      </c>
      <c r="CC9" s="459">
        <v>4</v>
      </c>
      <c r="CD9" s="461">
        <v>10</v>
      </c>
      <c r="CE9" s="582">
        <v>6</v>
      </c>
      <c r="CF9" s="113">
        <v>5</v>
      </c>
      <c r="CG9" s="113">
        <v>0</v>
      </c>
      <c r="CH9" s="113">
        <v>1</v>
      </c>
      <c r="CI9" s="460">
        <v>0</v>
      </c>
      <c r="CJ9" s="582">
        <v>4</v>
      </c>
      <c r="CK9" s="113">
        <v>4</v>
      </c>
      <c r="CL9" s="113">
        <v>0</v>
      </c>
      <c r="CM9" s="113">
        <v>0</v>
      </c>
      <c r="CN9" s="459">
        <v>0</v>
      </c>
      <c r="CO9" s="461">
        <v>4</v>
      </c>
      <c r="CP9" s="582">
        <v>2</v>
      </c>
      <c r="CQ9" s="113">
        <v>2</v>
      </c>
      <c r="CR9" s="113">
        <v>0</v>
      </c>
      <c r="CS9" s="113">
        <v>0</v>
      </c>
      <c r="CT9" s="460">
        <v>0</v>
      </c>
      <c r="CU9" s="582">
        <v>2</v>
      </c>
      <c r="CV9" s="113">
        <v>2</v>
      </c>
      <c r="CW9" s="113">
        <v>0</v>
      </c>
      <c r="CX9" s="113">
        <v>0</v>
      </c>
      <c r="CY9" s="459">
        <v>0</v>
      </c>
      <c r="CZ9" s="461">
        <v>2</v>
      </c>
      <c r="DA9" s="582">
        <v>0</v>
      </c>
      <c r="DB9" s="113">
        <v>0</v>
      </c>
      <c r="DC9" s="113">
        <v>0</v>
      </c>
      <c r="DD9" s="113">
        <v>0</v>
      </c>
      <c r="DE9" s="460">
        <v>0</v>
      </c>
      <c r="DF9" s="582">
        <v>2</v>
      </c>
      <c r="DG9" s="113">
        <v>2</v>
      </c>
      <c r="DH9" s="113">
        <v>0</v>
      </c>
      <c r="DI9" s="113">
        <v>0</v>
      </c>
      <c r="DJ9" s="459">
        <v>0</v>
      </c>
      <c r="DK9" s="461">
        <v>0</v>
      </c>
      <c r="DL9" s="582">
        <v>0</v>
      </c>
      <c r="DM9" s="113">
        <v>0</v>
      </c>
      <c r="DN9" s="113">
        <v>0</v>
      </c>
      <c r="DO9" s="113">
        <v>0</v>
      </c>
      <c r="DP9" s="460">
        <v>0</v>
      </c>
      <c r="DQ9" s="582">
        <v>0</v>
      </c>
      <c r="DR9" s="113">
        <v>0</v>
      </c>
      <c r="DS9" s="113">
        <v>0</v>
      </c>
      <c r="DT9" s="113">
        <v>0</v>
      </c>
      <c r="DU9" s="459">
        <v>0</v>
      </c>
      <c r="DW9" s="461">
        <f t="shared" si="4"/>
        <v>94</v>
      </c>
      <c r="DX9" s="582">
        <f t="shared" si="0"/>
        <v>30</v>
      </c>
      <c r="DY9" s="113">
        <f t="shared" si="0"/>
        <v>27</v>
      </c>
      <c r="DZ9" s="113">
        <f t="shared" si="0"/>
        <v>0</v>
      </c>
      <c r="EA9" s="113">
        <f t="shared" si="0"/>
        <v>3</v>
      </c>
      <c r="EB9" s="460">
        <f t="shared" si="0"/>
        <v>0</v>
      </c>
      <c r="EC9" s="582">
        <f t="shared" si="0"/>
        <v>64</v>
      </c>
      <c r="ED9" s="113">
        <f t="shared" si="0"/>
        <v>49</v>
      </c>
      <c r="EE9" s="113">
        <f t="shared" si="0"/>
        <v>0</v>
      </c>
      <c r="EF9" s="113">
        <f t="shared" si="0"/>
        <v>7</v>
      </c>
      <c r="EG9" s="459">
        <f t="shared" si="0"/>
        <v>8</v>
      </c>
      <c r="EH9" s="461">
        <f t="shared" si="5"/>
        <v>27</v>
      </c>
      <c r="EI9" s="582">
        <f t="shared" si="1"/>
        <v>10</v>
      </c>
      <c r="EJ9" s="113">
        <f t="shared" si="1"/>
        <v>8</v>
      </c>
      <c r="EK9" s="113">
        <f t="shared" si="1"/>
        <v>0</v>
      </c>
      <c r="EL9" s="113">
        <f t="shared" si="1"/>
        <v>2</v>
      </c>
      <c r="EM9" s="460">
        <f t="shared" si="1"/>
        <v>0</v>
      </c>
      <c r="EN9" s="582">
        <f t="shared" si="1"/>
        <v>17</v>
      </c>
      <c r="EO9" s="113">
        <f t="shared" si="1"/>
        <v>14</v>
      </c>
      <c r="EP9" s="113">
        <f t="shared" si="1"/>
        <v>0</v>
      </c>
      <c r="EQ9" s="113">
        <f t="shared" si="1"/>
        <v>3</v>
      </c>
      <c r="ER9" s="459">
        <f t="shared" si="1"/>
        <v>0</v>
      </c>
    </row>
    <row r="10" spans="2:151">
      <c r="B10" s="112" t="s">
        <v>404</v>
      </c>
      <c r="C10" s="217">
        <v>2018</v>
      </c>
      <c r="D10" s="446">
        <v>239881</v>
      </c>
      <c r="E10" s="461">
        <v>6949</v>
      </c>
      <c r="F10" s="582">
        <v>3617</v>
      </c>
      <c r="G10" s="113">
        <v>3306</v>
      </c>
      <c r="H10" s="113">
        <v>0</v>
      </c>
      <c r="I10" s="113">
        <v>311</v>
      </c>
      <c r="J10" s="460">
        <v>0</v>
      </c>
      <c r="K10" s="582">
        <v>3332</v>
      </c>
      <c r="L10" s="113">
        <v>2218</v>
      </c>
      <c r="M10" s="113">
        <v>0</v>
      </c>
      <c r="N10" s="113">
        <v>707</v>
      </c>
      <c r="O10" s="459">
        <v>407</v>
      </c>
      <c r="P10" s="461">
        <f t="shared" si="2"/>
        <v>13</v>
      </c>
      <c r="Q10" s="582">
        <v>8</v>
      </c>
      <c r="R10" s="113">
        <v>7</v>
      </c>
      <c r="S10" s="113">
        <v>0</v>
      </c>
      <c r="T10" s="113">
        <v>1</v>
      </c>
      <c r="U10" s="460">
        <v>0</v>
      </c>
      <c r="V10" s="582">
        <v>5</v>
      </c>
      <c r="W10" s="113">
        <v>3</v>
      </c>
      <c r="X10" s="113">
        <v>0</v>
      </c>
      <c r="Y10" s="113">
        <v>1</v>
      </c>
      <c r="Z10" s="459">
        <v>1</v>
      </c>
      <c r="AA10" s="461">
        <f t="shared" si="3"/>
        <v>13</v>
      </c>
      <c r="AB10" s="582">
        <v>5</v>
      </c>
      <c r="AC10" s="113">
        <v>4</v>
      </c>
      <c r="AD10" s="113">
        <v>0</v>
      </c>
      <c r="AE10" s="113">
        <v>1</v>
      </c>
      <c r="AF10" s="460">
        <v>0</v>
      </c>
      <c r="AG10" s="582">
        <v>8</v>
      </c>
      <c r="AH10" s="113">
        <v>7</v>
      </c>
      <c r="AI10" s="113">
        <v>0</v>
      </c>
      <c r="AJ10" s="113">
        <v>0</v>
      </c>
      <c r="AK10" s="459">
        <v>1</v>
      </c>
      <c r="AL10" s="461">
        <v>56</v>
      </c>
      <c r="AM10" s="582">
        <v>30</v>
      </c>
      <c r="AN10" s="113">
        <v>28</v>
      </c>
      <c r="AO10" s="113">
        <v>0</v>
      </c>
      <c r="AP10" s="113">
        <v>2</v>
      </c>
      <c r="AQ10" s="460">
        <v>0</v>
      </c>
      <c r="AR10" s="582">
        <v>26</v>
      </c>
      <c r="AS10" s="113">
        <v>17</v>
      </c>
      <c r="AT10" s="113">
        <v>0</v>
      </c>
      <c r="AU10" s="113">
        <v>7</v>
      </c>
      <c r="AV10" s="459">
        <v>2</v>
      </c>
      <c r="AW10" s="461">
        <v>41</v>
      </c>
      <c r="AX10" s="582">
        <v>20</v>
      </c>
      <c r="AY10" s="113">
        <v>18</v>
      </c>
      <c r="AZ10" s="113">
        <v>0</v>
      </c>
      <c r="BA10" s="113">
        <v>2</v>
      </c>
      <c r="BB10" s="460">
        <v>0</v>
      </c>
      <c r="BC10" s="582">
        <v>21</v>
      </c>
      <c r="BD10" s="113">
        <v>16</v>
      </c>
      <c r="BE10" s="113">
        <v>0</v>
      </c>
      <c r="BF10" s="113">
        <v>3</v>
      </c>
      <c r="BG10" s="459">
        <v>2</v>
      </c>
      <c r="BH10" s="461">
        <v>53</v>
      </c>
      <c r="BI10" s="582">
        <v>33</v>
      </c>
      <c r="BJ10" s="113">
        <v>31</v>
      </c>
      <c r="BK10" s="113">
        <v>0</v>
      </c>
      <c r="BL10" s="113">
        <v>2</v>
      </c>
      <c r="BM10" s="460">
        <v>0</v>
      </c>
      <c r="BN10" s="582">
        <v>20</v>
      </c>
      <c r="BO10" s="113">
        <v>12</v>
      </c>
      <c r="BP10" s="113">
        <v>0</v>
      </c>
      <c r="BQ10" s="113">
        <v>7</v>
      </c>
      <c r="BR10" s="459">
        <v>1</v>
      </c>
      <c r="BS10" s="461">
        <v>75</v>
      </c>
      <c r="BT10" s="582">
        <v>41</v>
      </c>
      <c r="BU10" s="113">
        <v>40</v>
      </c>
      <c r="BV10" s="113">
        <v>0</v>
      </c>
      <c r="BW10" s="113">
        <v>1</v>
      </c>
      <c r="BX10" s="460">
        <v>0</v>
      </c>
      <c r="BY10" s="582">
        <v>34</v>
      </c>
      <c r="BZ10" s="113">
        <v>20</v>
      </c>
      <c r="CA10" s="113">
        <v>0</v>
      </c>
      <c r="CB10" s="113">
        <v>9</v>
      </c>
      <c r="CC10" s="459">
        <v>5</v>
      </c>
      <c r="CD10" s="461">
        <v>18</v>
      </c>
      <c r="CE10" s="582">
        <v>11</v>
      </c>
      <c r="CF10" s="113">
        <v>11</v>
      </c>
      <c r="CG10" s="113">
        <v>0</v>
      </c>
      <c r="CH10" s="113">
        <v>0</v>
      </c>
      <c r="CI10" s="460">
        <v>0</v>
      </c>
      <c r="CJ10" s="582">
        <v>7</v>
      </c>
      <c r="CK10" s="113">
        <v>5</v>
      </c>
      <c r="CL10" s="113">
        <v>0</v>
      </c>
      <c r="CM10" s="113">
        <v>1</v>
      </c>
      <c r="CN10" s="459">
        <v>1</v>
      </c>
      <c r="CO10" s="461">
        <v>20</v>
      </c>
      <c r="CP10" s="582">
        <v>10</v>
      </c>
      <c r="CQ10" s="113">
        <v>10</v>
      </c>
      <c r="CR10" s="113">
        <v>0</v>
      </c>
      <c r="CS10" s="113">
        <v>0</v>
      </c>
      <c r="CT10" s="460">
        <v>0</v>
      </c>
      <c r="CU10" s="582">
        <v>10</v>
      </c>
      <c r="CV10" s="113">
        <v>9</v>
      </c>
      <c r="CW10" s="113">
        <v>0</v>
      </c>
      <c r="CX10" s="113">
        <v>1</v>
      </c>
      <c r="CY10" s="459">
        <v>0</v>
      </c>
      <c r="CZ10" s="461">
        <v>1</v>
      </c>
      <c r="DA10" s="582">
        <v>0</v>
      </c>
      <c r="DB10" s="113">
        <v>0</v>
      </c>
      <c r="DC10" s="113">
        <v>0</v>
      </c>
      <c r="DD10" s="113">
        <v>0</v>
      </c>
      <c r="DE10" s="460">
        <v>0</v>
      </c>
      <c r="DF10" s="582">
        <v>1</v>
      </c>
      <c r="DG10" s="113">
        <v>1</v>
      </c>
      <c r="DH10" s="113">
        <v>0</v>
      </c>
      <c r="DI10" s="113">
        <v>0</v>
      </c>
      <c r="DJ10" s="459">
        <v>0</v>
      </c>
      <c r="DK10" s="461">
        <v>0</v>
      </c>
      <c r="DL10" s="582">
        <v>0</v>
      </c>
      <c r="DM10" s="113">
        <v>0</v>
      </c>
      <c r="DN10" s="113">
        <v>0</v>
      </c>
      <c r="DO10" s="113">
        <v>0</v>
      </c>
      <c r="DP10" s="460">
        <v>0</v>
      </c>
      <c r="DQ10" s="582">
        <v>0</v>
      </c>
      <c r="DR10" s="113">
        <v>0</v>
      </c>
      <c r="DS10" s="113">
        <v>0</v>
      </c>
      <c r="DT10" s="113">
        <v>0</v>
      </c>
      <c r="DU10" s="459">
        <v>0</v>
      </c>
      <c r="DW10" s="461">
        <f t="shared" si="4"/>
        <v>234</v>
      </c>
      <c r="DX10" s="582">
        <f t="shared" si="0"/>
        <v>128</v>
      </c>
      <c r="DY10" s="113">
        <f t="shared" si="0"/>
        <v>121</v>
      </c>
      <c r="DZ10" s="113">
        <f t="shared" si="0"/>
        <v>0</v>
      </c>
      <c r="EA10" s="113">
        <f t="shared" si="0"/>
        <v>7</v>
      </c>
      <c r="EB10" s="460">
        <f t="shared" si="0"/>
        <v>0</v>
      </c>
      <c r="EC10" s="582">
        <f t="shared" si="0"/>
        <v>106</v>
      </c>
      <c r="ED10" s="113">
        <f t="shared" si="0"/>
        <v>73</v>
      </c>
      <c r="EE10" s="113">
        <f t="shared" si="0"/>
        <v>0</v>
      </c>
      <c r="EF10" s="113">
        <f t="shared" si="0"/>
        <v>22</v>
      </c>
      <c r="EG10" s="459">
        <f t="shared" si="0"/>
        <v>11</v>
      </c>
      <c r="EH10" s="461">
        <f t="shared" si="5"/>
        <v>56</v>
      </c>
      <c r="EI10" s="582">
        <f t="shared" si="1"/>
        <v>30</v>
      </c>
      <c r="EJ10" s="113">
        <f t="shared" si="1"/>
        <v>28</v>
      </c>
      <c r="EK10" s="113">
        <f t="shared" si="1"/>
        <v>0</v>
      </c>
      <c r="EL10" s="113">
        <f t="shared" si="1"/>
        <v>2</v>
      </c>
      <c r="EM10" s="460">
        <f t="shared" si="1"/>
        <v>0</v>
      </c>
      <c r="EN10" s="582">
        <f t="shared" si="1"/>
        <v>26</v>
      </c>
      <c r="EO10" s="113">
        <f t="shared" si="1"/>
        <v>17</v>
      </c>
      <c r="EP10" s="113">
        <f t="shared" si="1"/>
        <v>0</v>
      </c>
      <c r="EQ10" s="113">
        <f t="shared" si="1"/>
        <v>7</v>
      </c>
      <c r="ER10" s="459">
        <f t="shared" si="1"/>
        <v>2</v>
      </c>
    </row>
    <row r="11" spans="2:151">
      <c r="B11" s="112" t="s">
        <v>405</v>
      </c>
      <c r="C11" s="217">
        <v>2018</v>
      </c>
      <c r="D11" s="446">
        <v>218772</v>
      </c>
      <c r="E11" s="461">
        <v>5178</v>
      </c>
      <c r="F11" s="582">
        <v>2526</v>
      </c>
      <c r="G11" s="113">
        <v>2275</v>
      </c>
      <c r="H11" s="113">
        <v>0</v>
      </c>
      <c r="I11" s="113">
        <v>251</v>
      </c>
      <c r="J11" s="460">
        <v>0</v>
      </c>
      <c r="K11" s="582">
        <v>2652</v>
      </c>
      <c r="L11" s="113">
        <v>1603</v>
      </c>
      <c r="M11" s="113">
        <v>0</v>
      </c>
      <c r="N11" s="113">
        <v>844</v>
      </c>
      <c r="O11" s="459">
        <v>205</v>
      </c>
      <c r="P11" s="461">
        <f t="shared" si="2"/>
        <v>9</v>
      </c>
      <c r="Q11" s="582">
        <v>4</v>
      </c>
      <c r="R11" s="113">
        <v>4</v>
      </c>
      <c r="S11" s="113">
        <v>0</v>
      </c>
      <c r="T11" s="113">
        <v>0</v>
      </c>
      <c r="U11" s="460">
        <v>0</v>
      </c>
      <c r="V11" s="582">
        <v>5</v>
      </c>
      <c r="W11" s="113">
        <v>3</v>
      </c>
      <c r="X11" s="113">
        <v>0</v>
      </c>
      <c r="Y11" s="113">
        <v>2</v>
      </c>
      <c r="Z11" s="459">
        <v>0</v>
      </c>
      <c r="AA11" s="461">
        <f t="shared" si="3"/>
        <v>7</v>
      </c>
      <c r="AB11" s="582">
        <v>3</v>
      </c>
      <c r="AC11" s="113">
        <v>3</v>
      </c>
      <c r="AD11" s="113">
        <v>0</v>
      </c>
      <c r="AE11" s="113">
        <v>0</v>
      </c>
      <c r="AF11" s="460">
        <v>0</v>
      </c>
      <c r="AG11" s="582">
        <v>4</v>
      </c>
      <c r="AH11" s="113">
        <v>3</v>
      </c>
      <c r="AI11" s="113">
        <v>0</v>
      </c>
      <c r="AJ11" s="113">
        <v>0</v>
      </c>
      <c r="AK11" s="459">
        <v>1</v>
      </c>
      <c r="AL11" s="461">
        <v>42</v>
      </c>
      <c r="AM11" s="582">
        <v>24</v>
      </c>
      <c r="AN11" s="113">
        <v>22</v>
      </c>
      <c r="AO11" s="113">
        <v>0</v>
      </c>
      <c r="AP11" s="113">
        <v>2</v>
      </c>
      <c r="AQ11" s="460">
        <v>0</v>
      </c>
      <c r="AR11" s="582">
        <v>18</v>
      </c>
      <c r="AS11" s="113">
        <v>10</v>
      </c>
      <c r="AT11" s="113">
        <v>0</v>
      </c>
      <c r="AU11" s="113">
        <v>7</v>
      </c>
      <c r="AV11" s="459">
        <v>1</v>
      </c>
      <c r="AW11" s="461">
        <v>23</v>
      </c>
      <c r="AX11" s="582">
        <v>11</v>
      </c>
      <c r="AY11" s="113">
        <v>9</v>
      </c>
      <c r="AZ11" s="113">
        <v>0</v>
      </c>
      <c r="BA11" s="113">
        <v>2</v>
      </c>
      <c r="BB11" s="460">
        <v>0</v>
      </c>
      <c r="BC11" s="582">
        <v>12</v>
      </c>
      <c r="BD11" s="113">
        <v>6</v>
      </c>
      <c r="BE11" s="113">
        <v>0</v>
      </c>
      <c r="BF11" s="113">
        <v>5</v>
      </c>
      <c r="BG11" s="459">
        <v>1</v>
      </c>
      <c r="BH11" s="461">
        <v>41</v>
      </c>
      <c r="BI11" s="582">
        <v>19</v>
      </c>
      <c r="BJ11" s="113">
        <v>18</v>
      </c>
      <c r="BK11" s="113">
        <v>0</v>
      </c>
      <c r="BL11" s="113">
        <v>1</v>
      </c>
      <c r="BM11" s="460">
        <v>0</v>
      </c>
      <c r="BN11" s="582">
        <v>22</v>
      </c>
      <c r="BO11" s="113">
        <v>9</v>
      </c>
      <c r="BP11" s="113">
        <v>0</v>
      </c>
      <c r="BQ11" s="113">
        <v>11</v>
      </c>
      <c r="BR11" s="459">
        <v>2</v>
      </c>
      <c r="BS11" s="461">
        <v>49</v>
      </c>
      <c r="BT11" s="582">
        <v>18</v>
      </c>
      <c r="BU11" s="113">
        <v>15</v>
      </c>
      <c r="BV11" s="113">
        <v>0</v>
      </c>
      <c r="BW11" s="113">
        <v>3</v>
      </c>
      <c r="BX11" s="460">
        <v>0</v>
      </c>
      <c r="BY11" s="582">
        <v>31</v>
      </c>
      <c r="BZ11" s="113">
        <v>14</v>
      </c>
      <c r="CA11" s="113">
        <v>0</v>
      </c>
      <c r="CB11" s="113">
        <v>14</v>
      </c>
      <c r="CC11" s="459">
        <v>3</v>
      </c>
      <c r="CD11" s="461">
        <v>12</v>
      </c>
      <c r="CE11" s="582">
        <v>7</v>
      </c>
      <c r="CF11" s="113">
        <v>6</v>
      </c>
      <c r="CG11" s="113">
        <v>0</v>
      </c>
      <c r="CH11" s="113">
        <v>1</v>
      </c>
      <c r="CI11" s="460">
        <v>0</v>
      </c>
      <c r="CJ11" s="582">
        <v>5</v>
      </c>
      <c r="CK11" s="113">
        <v>1</v>
      </c>
      <c r="CL11" s="113">
        <v>0</v>
      </c>
      <c r="CM11" s="113">
        <v>4</v>
      </c>
      <c r="CN11" s="459">
        <v>0</v>
      </c>
      <c r="CO11" s="461">
        <v>12</v>
      </c>
      <c r="CP11" s="582">
        <v>4</v>
      </c>
      <c r="CQ11" s="113">
        <v>4</v>
      </c>
      <c r="CR11" s="113">
        <v>0</v>
      </c>
      <c r="CS11" s="113">
        <v>0</v>
      </c>
      <c r="CT11" s="460">
        <v>0</v>
      </c>
      <c r="CU11" s="582">
        <v>8</v>
      </c>
      <c r="CV11" s="113">
        <v>1</v>
      </c>
      <c r="CW11" s="113">
        <v>0</v>
      </c>
      <c r="CX11" s="113">
        <v>7</v>
      </c>
      <c r="CY11" s="459">
        <v>0</v>
      </c>
      <c r="CZ11" s="461">
        <v>3</v>
      </c>
      <c r="DA11" s="582">
        <v>1</v>
      </c>
      <c r="DB11" s="113">
        <v>0</v>
      </c>
      <c r="DC11" s="113">
        <v>0</v>
      </c>
      <c r="DD11" s="113">
        <v>1</v>
      </c>
      <c r="DE11" s="460">
        <v>0</v>
      </c>
      <c r="DF11" s="582">
        <v>2</v>
      </c>
      <c r="DG11" s="113">
        <v>1</v>
      </c>
      <c r="DH11" s="113">
        <v>0</v>
      </c>
      <c r="DI11" s="113">
        <v>1</v>
      </c>
      <c r="DJ11" s="459">
        <v>0</v>
      </c>
      <c r="DK11" s="461">
        <v>0</v>
      </c>
      <c r="DL11" s="582">
        <v>0</v>
      </c>
      <c r="DM11" s="113">
        <v>0</v>
      </c>
      <c r="DN11" s="113">
        <v>0</v>
      </c>
      <c r="DO11" s="113">
        <v>0</v>
      </c>
      <c r="DP11" s="460">
        <v>0</v>
      </c>
      <c r="DQ11" s="582">
        <v>0</v>
      </c>
      <c r="DR11" s="113">
        <v>0</v>
      </c>
      <c r="DS11" s="113">
        <v>0</v>
      </c>
      <c r="DT11" s="113">
        <v>0</v>
      </c>
      <c r="DU11" s="459">
        <v>0</v>
      </c>
      <c r="DW11" s="461">
        <f t="shared" si="4"/>
        <v>156</v>
      </c>
      <c r="DX11" s="582">
        <f t="shared" si="0"/>
        <v>67</v>
      </c>
      <c r="DY11" s="113">
        <f t="shared" si="0"/>
        <v>59</v>
      </c>
      <c r="DZ11" s="113">
        <f t="shared" si="0"/>
        <v>0</v>
      </c>
      <c r="EA11" s="113">
        <f t="shared" si="0"/>
        <v>8</v>
      </c>
      <c r="EB11" s="460">
        <f t="shared" si="0"/>
        <v>0</v>
      </c>
      <c r="EC11" s="582">
        <f t="shared" si="0"/>
        <v>89</v>
      </c>
      <c r="ED11" s="113">
        <f t="shared" si="0"/>
        <v>38</v>
      </c>
      <c r="EE11" s="113">
        <f t="shared" si="0"/>
        <v>0</v>
      </c>
      <c r="EF11" s="113">
        <f t="shared" si="0"/>
        <v>44</v>
      </c>
      <c r="EG11" s="459">
        <f t="shared" si="0"/>
        <v>7</v>
      </c>
      <c r="EH11" s="461">
        <f t="shared" si="5"/>
        <v>42</v>
      </c>
      <c r="EI11" s="582">
        <f t="shared" si="1"/>
        <v>24</v>
      </c>
      <c r="EJ11" s="113">
        <f t="shared" si="1"/>
        <v>22</v>
      </c>
      <c r="EK11" s="113">
        <f t="shared" si="1"/>
        <v>0</v>
      </c>
      <c r="EL11" s="113">
        <f t="shared" si="1"/>
        <v>2</v>
      </c>
      <c r="EM11" s="460">
        <f t="shared" si="1"/>
        <v>0</v>
      </c>
      <c r="EN11" s="582">
        <f t="shared" si="1"/>
        <v>18</v>
      </c>
      <c r="EO11" s="113">
        <f t="shared" si="1"/>
        <v>10</v>
      </c>
      <c r="EP11" s="113">
        <f t="shared" si="1"/>
        <v>0</v>
      </c>
      <c r="EQ11" s="113">
        <f t="shared" si="1"/>
        <v>7</v>
      </c>
      <c r="ER11" s="459">
        <f t="shared" si="1"/>
        <v>1</v>
      </c>
    </row>
    <row r="12" spans="2:151">
      <c r="B12" s="112" t="s">
        <v>406</v>
      </c>
      <c r="C12" s="217">
        <v>2018</v>
      </c>
      <c r="D12" s="446">
        <v>174523</v>
      </c>
      <c r="E12" s="461">
        <v>1886</v>
      </c>
      <c r="F12" s="582">
        <v>1145</v>
      </c>
      <c r="G12" s="113">
        <v>981</v>
      </c>
      <c r="H12" s="113">
        <v>0</v>
      </c>
      <c r="I12" s="113">
        <v>164</v>
      </c>
      <c r="J12" s="460">
        <v>0</v>
      </c>
      <c r="K12" s="582">
        <v>741</v>
      </c>
      <c r="L12" s="113">
        <v>446</v>
      </c>
      <c r="M12" s="113">
        <v>0</v>
      </c>
      <c r="N12" s="113">
        <v>242</v>
      </c>
      <c r="O12" s="459">
        <v>53</v>
      </c>
      <c r="P12" s="461">
        <f t="shared" si="2"/>
        <v>4</v>
      </c>
      <c r="Q12" s="582">
        <v>2</v>
      </c>
      <c r="R12" s="113">
        <v>2</v>
      </c>
      <c r="S12" s="113">
        <v>0</v>
      </c>
      <c r="T12" s="113">
        <v>0</v>
      </c>
      <c r="U12" s="460">
        <v>0</v>
      </c>
      <c r="V12" s="582">
        <v>2</v>
      </c>
      <c r="W12" s="113">
        <v>1</v>
      </c>
      <c r="X12" s="113">
        <v>0</v>
      </c>
      <c r="Y12" s="113">
        <v>1</v>
      </c>
      <c r="Z12" s="459">
        <v>0</v>
      </c>
      <c r="AA12" s="461">
        <f t="shared" si="3"/>
        <v>3</v>
      </c>
      <c r="AB12" s="582">
        <v>1</v>
      </c>
      <c r="AC12" s="113">
        <v>1</v>
      </c>
      <c r="AD12" s="113">
        <v>0</v>
      </c>
      <c r="AE12" s="113">
        <v>0</v>
      </c>
      <c r="AF12" s="460">
        <v>0</v>
      </c>
      <c r="AG12" s="582">
        <v>2</v>
      </c>
      <c r="AH12" s="113">
        <v>1</v>
      </c>
      <c r="AI12" s="113">
        <v>0</v>
      </c>
      <c r="AJ12" s="113">
        <v>0</v>
      </c>
      <c r="AK12" s="459">
        <v>1</v>
      </c>
      <c r="AL12" s="461">
        <v>15</v>
      </c>
      <c r="AM12" s="582">
        <v>10</v>
      </c>
      <c r="AN12" s="113">
        <v>9</v>
      </c>
      <c r="AO12" s="113">
        <v>0</v>
      </c>
      <c r="AP12" s="113">
        <v>1</v>
      </c>
      <c r="AQ12" s="460">
        <v>0</v>
      </c>
      <c r="AR12" s="582">
        <v>5</v>
      </c>
      <c r="AS12" s="113">
        <v>0</v>
      </c>
      <c r="AT12" s="113">
        <v>0</v>
      </c>
      <c r="AU12" s="113">
        <v>5</v>
      </c>
      <c r="AV12" s="459">
        <v>0</v>
      </c>
      <c r="AW12" s="461">
        <v>10</v>
      </c>
      <c r="AX12" s="582">
        <v>7</v>
      </c>
      <c r="AY12" s="113">
        <v>7</v>
      </c>
      <c r="AZ12" s="113">
        <v>0</v>
      </c>
      <c r="BA12" s="113">
        <v>0</v>
      </c>
      <c r="BB12" s="460">
        <v>0</v>
      </c>
      <c r="BC12" s="582">
        <v>3</v>
      </c>
      <c r="BD12" s="113">
        <v>2</v>
      </c>
      <c r="BE12" s="113">
        <v>0</v>
      </c>
      <c r="BF12" s="113">
        <v>1</v>
      </c>
      <c r="BG12" s="459">
        <v>0</v>
      </c>
      <c r="BH12" s="461">
        <v>18</v>
      </c>
      <c r="BI12" s="582">
        <v>12</v>
      </c>
      <c r="BJ12" s="113">
        <v>9</v>
      </c>
      <c r="BK12" s="113">
        <v>0</v>
      </c>
      <c r="BL12" s="113">
        <v>3</v>
      </c>
      <c r="BM12" s="460">
        <v>0</v>
      </c>
      <c r="BN12" s="582">
        <v>6</v>
      </c>
      <c r="BO12" s="113">
        <v>4</v>
      </c>
      <c r="BP12" s="113">
        <v>0</v>
      </c>
      <c r="BQ12" s="113">
        <v>2</v>
      </c>
      <c r="BR12" s="459">
        <v>0</v>
      </c>
      <c r="BS12" s="461">
        <v>19</v>
      </c>
      <c r="BT12" s="582">
        <v>12</v>
      </c>
      <c r="BU12" s="113">
        <v>10</v>
      </c>
      <c r="BV12" s="113">
        <v>0</v>
      </c>
      <c r="BW12" s="113">
        <v>2</v>
      </c>
      <c r="BX12" s="460">
        <v>0</v>
      </c>
      <c r="BY12" s="582">
        <v>7</v>
      </c>
      <c r="BZ12" s="113">
        <v>5</v>
      </c>
      <c r="CA12" s="113">
        <v>0</v>
      </c>
      <c r="CB12" s="113">
        <v>1</v>
      </c>
      <c r="CC12" s="459">
        <v>1</v>
      </c>
      <c r="CD12" s="461">
        <v>4</v>
      </c>
      <c r="CE12" s="582">
        <v>4</v>
      </c>
      <c r="CF12" s="113">
        <v>3</v>
      </c>
      <c r="CG12" s="113">
        <v>0</v>
      </c>
      <c r="CH12" s="113">
        <v>1</v>
      </c>
      <c r="CI12" s="460">
        <v>0</v>
      </c>
      <c r="CJ12" s="582">
        <v>0</v>
      </c>
      <c r="CK12" s="113">
        <v>0</v>
      </c>
      <c r="CL12" s="113">
        <v>0</v>
      </c>
      <c r="CM12" s="113">
        <v>0</v>
      </c>
      <c r="CN12" s="459">
        <v>0</v>
      </c>
      <c r="CO12" s="461">
        <v>3</v>
      </c>
      <c r="CP12" s="582">
        <v>2</v>
      </c>
      <c r="CQ12" s="113">
        <v>2</v>
      </c>
      <c r="CR12" s="113">
        <v>0</v>
      </c>
      <c r="CS12" s="113">
        <v>0</v>
      </c>
      <c r="CT12" s="460">
        <v>0</v>
      </c>
      <c r="CU12" s="582">
        <v>1</v>
      </c>
      <c r="CV12" s="113">
        <v>1</v>
      </c>
      <c r="CW12" s="113">
        <v>0</v>
      </c>
      <c r="CX12" s="113">
        <v>0</v>
      </c>
      <c r="CY12" s="459">
        <v>0</v>
      </c>
      <c r="CZ12" s="461">
        <v>1</v>
      </c>
      <c r="DA12" s="582">
        <v>0</v>
      </c>
      <c r="DB12" s="113">
        <v>0</v>
      </c>
      <c r="DC12" s="113">
        <v>0</v>
      </c>
      <c r="DD12" s="113">
        <v>0</v>
      </c>
      <c r="DE12" s="460">
        <v>0</v>
      </c>
      <c r="DF12" s="582">
        <v>1</v>
      </c>
      <c r="DG12" s="113">
        <v>1</v>
      </c>
      <c r="DH12" s="113">
        <v>0</v>
      </c>
      <c r="DI12" s="113">
        <v>0</v>
      </c>
      <c r="DJ12" s="459">
        <v>0</v>
      </c>
      <c r="DK12" s="461">
        <v>0</v>
      </c>
      <c r="DL12" s="582">
        <v>0</v>
      </c>
      <c r="DM12" s="113">
        <v>0</v>
      </c>
      <c r="DN12" s="113">
        <v>0</v>
      </c>
      <c r="DO12" s="113">
        <v>0</v>
      </c>
      <c r="DP12" s="460">
        <v>0</v>
      </c>
      <c r="DQ12" s="582">
        <v>0</v>
      </c>
      <c r="DR12" s="113">
        <v>0</v>
      </c>
      <c r="DS12" s="113">
        <v>0</v>
      </c>
      <c r="DT12" s="113">
        <v>0</v>
      </c>
      <c r="DU12" s="459">
        <v>0</v>
      </c>
      <c r="DW12" s="461">
        <f t="shared" si="4"/>
        <v>62</v>
      </c>
      <c r="DX12" s="582">
        <f t="shared" si="0"/>
        <v>40</v>
      </c>
      <c r="DY12" s="113">
        <f t="shared" si="0"/>
        <v>34</v>
      </c>
      <c r="DZ12" s="113">
        <f t="shared" si="0"/>
        <v>0</v>
      </c>
      <c r="EA12" s="113">
        <f t="shared" si="0"/>
        <v>6</v>
      </c>
      <c r="EB12" s="460">
        <f t="shared" si="0"/>
        <v>0</v>
      </c>
      <c r="EC12" s="582">
        <f t="shared" si="0"/>
        <v>22</v>
      </c>
      <c r="ED12" s="113">
        <f t="shared" si="0"/>
        <v>15</v>
      </c>
      <c r="EE12" s="113">
        <f t="shared" si="0"/>
        <v>0</v>
      </c>
      <c r="EF12" s="113">
        <f t="shared" si="0"/>
        <v>5</v>
      </c>
      <c r="EG12" s="459">
        <f t="shared" si="0"/>
        <v>2</v>
      </c>
      <c r="EH12" s="461">
        <f t="shared" si="5"/>
        <v>15</v>
      </c>
      <c r="EI12" s="582">
        <f t="shared" si="1"/>
        <v>10</v>
      </c>
      <c r="EJ12" s="113">
        <f t="shared" si="1"/>
        <v>9</v>
      </c>
      <c r="EK12" s="113">
        <f t="shared" si="1"/>
        <v>0</v>
      </c>
      <c r="EL12" s="113">
        <f t="shared" si="1"/>
        <v>1</v>
      </c>
      <c r="EM12" s="460">
        <f t="shared" si="1"/>
        <v>0</v>
      </c>
      <c r="EN12" s="582">
        <f t="shared" si="1"/>
        <v>5</v>
      </c>
      <c r="EO12" s="113">
        <f t="shared" si="1"/>
        <v>0</v>
      </c>
      <c r="EP12" s="113">
        <f t="shared" si="1"/>
        <v>0</v>
      </c>
      <c r="EQ12" s="113">
        <f t="shared" si="1"/>
        <v>5</v>
      </c>
      <c r="ER12" s="459">
        <f t="shared" si="1"/>
        <v>0</v>
      </c>
    </row>
    <row r="13" spans="2:151">
      <c r="B13" s="112" t="s">
        <v>407</v>
      </c>
      <c r="C13" s="217">
        <v>2019</v>
      </c>
      <c r="D13" s="446">
        <v>168959</v>
      </c>
      <c r="E13" s="461">
        <v>1343</v>
      </c>
      <c r="F13" s="582">
        <v>850</v>
      </c>
      <c r="G13" s="113">
        <v>565</v>
      </c>
      <c r="H13" s="113">
        <v>0</v>
      </c>
      <c r="I13" s="113">
        <v>285</v>
      </c>
      <c r="J13" s="460">
        <v>0</v>
      </c>
      <c r="K13" s="582">
        <v>493</v>
      </c>
      <c r="L13" s="113">
        <v>280</v>
      </c>
      <c r="M13" s="113">
        <v>0</v>
      </c>
      <c r="N13" s="113">
        <v>189</v>
      </c>
      <c r="O13" s="459">
        <v>24</v>
      </c>
      <c r="P13" s="461">
        <f t="shared" si="2"/>
        <v>3</v>
      </c>
      <c r="Q13" s="582">
        <v>0</v>
      </c>
      <c r="R13" s="113">
        <v>0</v>
      </c>
      <c r="S13" s="113">
        <v>0</v>
      </c>
      <c r="T13" s="113">
        <v>0</v>
      </c>
      <c r="U13" s="460">
        <v>0</v>
      </c>
      <c r="V13" s="582">
        <v>3</v>
      </c>
      <c r="W13" s="113">
        <v>2</v>
      </c>
      <c r="X13" s="113">
        <v>0</v>
      </c>
      <c r="Y13" s="113">
        <v>1</v>
      </c>
      <c r="Z13" s="459">
        <v>0</v>
      </c>
      <c r="AA13" s="461">
        <f t="shared" si="3"/>
        <v>0</v>
      </c>
      <c r="AB13" s="582">
        <v>0</v>
      </c>
      <c r="AC13" s="113">
        <v>0</v>
      </c>
      <c r="AD13" s="113">
        <v>0</v>
      </c>
      <c r="AE13" s="113">
        <v>0</v>
      </c>
      <c r="AF13" s="460">
        <v>0</v>
      </c>
      <c r="AG13" s="582">
        <v>0</v>
      </c>
      <c r="AH13" s="113">
        <v>0</v>
      </c>
      <c r="AI13" s="113">
        <v>0</v>
      </c>
      <c r="AJ13" s="113">
        <v>0</v>
      </c>
      <c r="AK13" s="459">
        <v>0</v>
      </c>
      <c r="AL13" s="461">
        <v>11</v>
      </c>
      <c r="AM13" s="582">
        <v>8</v>
      </c>
      <c r="AN13" s="113">
        <v>4</v>
      </c>
      <c r="AO13" s="113">
        <v>0</v>
      </c>
      <c r="AP13" s="113">
        <v>4</v>
      </c>
      <c r="AQ13" s="460">
        <v>0</v>
      </c>
      <c r="AR13" s="582">
        <v>3</v>
      </c>
      <c r="AS13" s="113">
        <v>0</v>
      </c>
      <c r="AT13" s="113">
        <v>0</v>
      </c>
      <c r="AU13" s="113">
        <v>3</v>
      </c>
      <c r="AV13" s="459">
        <v>0</v>
      </c>
      <c r="AW13" s="461">
        <v>4</v>
      </c>
      <c r="AX13" s="582">
        <v>2</v>
      </c>
      <c r="AY13" s="113">
        <v>2</v>
      </c>
      <c r="AZ13" s="113">
        <v>0</v>
      </c>
      <c r="BA13" s="113">
        <v>0</v>
      </c>
      <c r="BB13" s="460">
        <v>0</v>
      </c>
      <c r="BC13" s="582">
        <v>2</v>
      </c>
      <c r="BD13" s="113">
        <v>1</v>
      </c>
      <c r="BE13" s="113">
        <v>0</v>
      </c>
      <c r="BF13" s="113">
        <v>1</v>
      </c>
      <c r="BG13" s="459">
        <v>0</v>
      </c>
      <c r="BH13" s="461">
        <v>3</v>
      </c>
      <c r="BI13" s="582">
        <v>2</v>
      </c>
      <c r="BJ13" s="113">
        <v>2</v>
      </c>
      <c r="BK13" s="113">
        <v>0</v>
      </c>
      <c r="BL13" s="113">
        <v>0</v>
      </c>
      <c r="BM13" s="460">
        <v>0</v>
      </c>
      <c r="BN13" s="582">
        <v>1</v>
      </c>
      <c r="BO13" s="113">
        <v>0</v>
      </c>
      <c r="BP13" s="113">
        <v>0</v>
      </c>
      <c r="BQ13" s="113">
        <v>1</v>
      </c>
      <c r="BR13" s="459">
        <v>0</v>
      </c>
      <c r="BS13" s="461">
        <v>10</v>
      </c>
      <c r="BT13" s="582">
        <v>5</v>
      </c>
      <c r="BU13" s="113">
        <v>3</v>
      </c>
      <c r="BV13" s="113">
        <v>0</v>
      </c>
      <c r="BW13" s="113">
        <v>2</v>
      </c>
      <c r="BX13" s="460">
        <v>0</v>
      </c>
      <c r="BY13" s="582">
        <v>5</v>
      </c>
      <c r="BZ13" s="113">
        <v>1</v>
      </c>
      <c r="CA13" s="113">
        <v>0</v>
      </c>
      <c r="CB13" s="113">
        <v>4</v>
      </c>
      <c r="CC13" s="459">
        <v>0</v>
      </c>
      <c r="CD13" s="461">
        <v>0</v>
      </c>
      <c r="CE13" s="582">
        <v>0</v>
      </c>
      <c r="CF13" s="113">
        <v>0</v>
      </c>
      <c r="CG13" s="113">
        <v>0</v>
      </c>
      <c r="CH13" s="113">
        <v>0</v>
      </c>
      <c r="CI13" s="460">
        <v>0</v>
      </c>
      <c r="CJ13" s="582">
        <v>0</v>
      </c>
      <c r="CK13" s="113">
        <v>0</v>
      </c>
      <c r="CL13" s="113">
        <v>0</v>
      </c>
      <c r="CM13" s="113">
        <v>0</v>
      </c>
      <c r="CN13" s="459">
        <v>0</v>
      </c>
      <c r="CO13" s="461">
        <v>0</v>
      </c>
      <c r="CP13" s="582">
        <v>0</v>
      </c>
      <c r="CQ13" s="113">
        <v>0</v>
      </c>
      <c r="CR13" s="113">
        <v>0</v>
      </c>
      <c r="CS13" s="113">
        <v>0</v>
      </c>
      <c r="CT13" s="460">
        <v>0</v>
      </c>
      <c r="CU13" s="582">
        <v>0</v>
      </c>
      <c r="CV13" s="113">
        <v>0</v>
      </c>
      <c r="CW13" s="113">
        <v>0</v>
      </c>
      <c r="CX13" s="113">
        <v>0</v>
      </c>
      <c r="CY13" s="459">
        <v>0</v>
      </c>
      <c r="CZ13" s="461">
        <v>0</v>
      </c>
      <c r="DA13" s="582">
        <v>0</v>
      </c>
      <c r="DB13" s="113">
        <v>0</v>
      </c>
      <c r="DC13" s="113">
        <v>0</v>
      </c>
      <c r="DD13" s="113">
        <v>0</v>
      </c>
      <c r="DE13" s="460">
        <v>0</v>
      </c>
      <c r="DF13" s="582">
        <v>0</v>
      </c>
      <c r="DG13" s="113">
        <v>0</v>
      </c>
      <c r="DH13" s="113">
        <v>0</v>
      </c>
      <c r="DI13" s="113">
        <v>0</v>
      </c>
      <c r="DJ13" s="459">
        <v>0</v>
      </c>
      <c r="DK13" s="461">
        <v>0</v>
      </c>
      <c r="DL13" s="582">
        <v>0</v>
      </c>
      <c r="DM13" s="113">
        <v>0</v>
      </c>
      <c r="DN13" s="113">
        <v>0</v>
      </c>
      <c r="DO13" s="113">
        <v>0</v>
      </c>
      <c r="DP13" s="460">
        <v>0</v>
      </c>
      <c r="DQ13" s="582">
        <v>0</v>
      </c>
      <c r="DR13" s="113">
        <v>0</v>
      </c>
      <c r="DS13" s="113">
        <v>0</v>
      </c>
      <c r="DT13" s="113">
        <v>0</v>
      </c>
      <c r="DU13" s="459">
        <v>0</v>
      </c>
      <c r="DW13" s="461">
        <f t="shared" si="4"/>
        <v>20</v>
      </c>
      <c r="DX13" s="582">
        <f t="shared" si="0"/>
        <v>9</v>
      </c>
      <c r="DY13" s="113">
        <f t="shared" si="0"/>
        <v>7</v>
      </c>
      <c r="DZ13" s="113">
        <f t="shared" si="0"/>
        <v>0</v>
      </c>
      <c r="EA13" s="113">
        <f t="shared" si="0"/>
        <v>2</v>
      </c>
      <c r="EB13" s="460">
        <f t="shared" si="0"/>
        <v>0</v>
      </c>
      <c r="EC13" s="582">
        <f t="shared" si="0"/>
        <v>11</v>
      </c>
      <c r="ED13" s="113">
        <f t="shared" si="0"/>
        <v>4</v>
      </c>
      <c r="EE13" s="113">
        <f t="shared" si="0"/>
        <v>0</v>
      </c>
      <c r="EF13" s="113">
        <f t="shared" si="0"/>
        <v>7</v>
      </c>
      <c r="EG13" s="459">
        <f t="shared" si="0"/>
        <v>0</v>
      </c>
      <c r="EH13" s="461">
        <f t="shared" si="5"/>
        <v>11</v>
      </c>
      <c r="EI13" s="582">
        <f t="shared" si="1"/>
        <v>8</v>
      </c>
      <c r="EJ13" s="113">
        <f t="shared" si="1"/>
        <v>4</v>
      </c>
      <c r="EK13" s="113">
        <f t="shared" si="1"/>
        <v>0</v>
      </c>
      <c r="EL13" s="113">
        <f t="shared" si="1"/>
        <v>4</v>
      </c>
      <c r="EM13" s="460">
        <f t="shared" si="1"/>
        <v>0</v>
      </c>
      <c r="EN13" s="582">
        <f t="shared" si="1"/>
        <v>3</v>
      </c>
      <c r="EO13" s="113">
        <f t="shared" si="1"/>
        <v>0</v>
      </c>
      <c r="EP13" s="113">
        <f t="shared" si="1"/>
        <v>0</v>
      </c>
      <c r="EQ13" s="113">
        <f t="shared" si="1"/>
        <v>3</v>
      </c>
      <c r="ER13" s="459">
        <f t="shared" si="1"/>
        <v>0</v>
      </c>
    </row>
    <row r="14" spans="2:151">
      <c r="B14" s="112" t="s">
        <v>408</v>
      </c>
      <c r="C14" s="217">
        <v>2019</v>
      </c>
      <c r="D14" s="446">
        <v>222792</v>
      </c>
      <c r="E14" s="461">
        <v>2875</v>
      </c>
      <c r="F14" s="582">
        <v>1992</v>
      </c>
      <c r="G14" s="113">
        <v>1656</v>
      </c>
      <c r="H14" s="113">
        <v>0</v>
      </c>
      <c r="I14" s="113">
        <v>336</v>
      </c>
      <c r="J14" s="460">
        <v>0</v>
      </c>
      <c r="K14" s="582">
        <v>883</v>
      </c>
      <c r="L14" s="113">
        <v>497</v>
      </c>
      <c r="M14" s="113">
        <v>0</v>
      </c>
      <c r="N14" s="113">
        <v>349</v>
      </c>
      <c r="O14" s="459">
        <v>37</v>
      </c>
      <c r="P14" s="461">
        <f t="shared" si="2"/>
        <v>5</v>
      </c>
      <c r="Q14" s="582">
        <v>1</v>
      </c>
      <c r="R14" s="113">
        <v>1</v>
      </c>
      <c r="S14" s="113">
        <v>0</v>
      </c>
      <c r="T14" s="113">
        <v>0</v>
      </c>
      <c r="U14" s="460">
        <v>0</v>
      </c>
      <c r="V14" s="582">
        <v>4</v>
      </c>
      <c r="W14" s="113">
        <v>2</v>
      </c>
      <c r="X14" s="113">
        <v>0</v>
      </c>
      <c r="Y14" s="113">
        <v>1</v>
      </c>
      <c r="Z14" s="459">
        <v>1</v>
      </c>
      <c r="AA14" s="461">
        <f t="shared" si="3"/>
        <v>2</v>
      </c>
      <c r="AB14" s="582">
        <v>2</v>
      </c>
      <c r="AC14" s="113">
        <v>0</v>
      </c>
      <c r="AD14" s="113">
        <v>0</v>
      </c>
      <c r="AE14" s="113">
        <v>2</v>
      </c>
      <c r="AF14" s="460">
        <v>0</v>
      </c>
      <c r="AG14" s="582">
        <v>0</v>
      </c>
      <c r="AH14" s="113">
        <v>0</v>
      </c>
      <c r="AI14" s="113">
        <v>0</v>
      </c>
      <c r="AJ14" s="113">
        <v>0</v>
      </c>
      <c r="AK14" s="459">
        <v>0</v>
      </c>
      <c r="AL14" s="461">
        <v>21</v>
      </c>
      <c r="AM14" s="582">
        <v>17</v>
      </c>
      <c r="AN14" s="113">
        <v>13</v>
      </c>
      <c r="AO14" s="113">
        <v>0</v>
      </c>
      <c r="AP14" s="113">
        <v>4</v>
      </c>
      <c r="AQ14" s="460">
        <v>0</v>
      </c>
      <c r="AR14" s="582">
        <v>4</v>
      </c>
      <c r="AS14" s="113">
        <v>2</v>
      </c>
      <c r="AT14" s="113">
        <v>0</v>
      </c>
      <c r="AU14" s="113">
        <v>2</v>
      </c>
      <c r="AV14" s="459">
        <v>0</v>
      </c>
      <c r="AW14" s="461">
        <v>16</v>
      </c>
      <c r="AX14" s="582">
        <v>9</v>
      </c>
      <c r="AY14" s="113">
        <v>8</v>
      </c>
      <c r="AZ14" s="113">
        <v>0</v>
      </c>
      <c r="BA14" s="113">
        <v>1</v>
      </c>
      <c r="BB14" s="460">
        <v>0</v>
      </c>
      <c r="BC14" s="582">
        <v>7</v>
      </c>
      <c r="BD14" s="113">
        <v>4</v>
      </c>
      <c r="BE14" s="113">
        <v>0</v>
      </c>
      <c r="BF14" s="113">
        <v>3</v>
      </c>
      <c r="BG14" s="459">
        <v>0</v>
      </c>
      <c r="BH14" s="461">
        <v>14</v>
      </c>
      <c r="BI14" s="582">
        <v>9</v>
      </c>
      <c r="BJ14" s="113">
        <v>9</v>
      </c>
      <c r="BK14" s="113">
        <v>0</v>
      </c>
      <c r="BL14" s="113">
        <v>0</v>
      </c>
      <c r="BM14" s="460">
        <v>0</v>
      </c>
      <c r="BN14" s="582">
        <v>5</v>
      </c>
      <c r="BO14" s="113">
        <v>3</v>
      </c>
      <c r="BP14" s="113">
        <v>0</v>
      </c>
      <c r="BQ14" s="113">
        <v>2</v>
      </c>
      <c r="BR14" s="459">
        <v>0</v>
      </c>
      <c r="BS14" s="461">
        <v>22</v>
      </c>
      <c r="BT14" s="582">
        <v>18</v>
      </c>
      <c r="BU14" s="113">
        <v>9</v>
      </c>
      <c r="BV14" s="113">
        <v>0</v>
      </c>
      <c r="BW14" s="113">
        <v>9</v>
      </c>
      <c r="BX14" s="460">
        <v>0</v>
      </c>
      <c r="BY14" s="582">
        <v>4</v>
      </c>
      <c r="BZ14" s="113">
        <v>2</v>
      </c>
      <c r="CA14" s="113">
        <v>0</v>
      </c>
      <c r="CB14" s="113">
        <v>2</v>
      </c>
      <c r="CC14" s="459">
        <v>0</v>
      </c>
      <c r="CD14" s="461">
        <v>5</v>
      </c>
      <c r="CE14" s="582">
        <v>3</v>
      </c>
      <c r="CF14" s="113">
        <v>2</v>
      </c>
      <c r="CG14" s="113">
        <v>0</v>
      </c>
      <c r="CH14" s="113">
        <v>1</v>
      </c>
      <c r="CI14" s="460">
        <v>0</v>
      </c>
      <c r="CJ14" s="582">
        <v>2</v>
      </c>
      <c r="CK14" s="113">
        <v>1</v>
      </c>
      <c r="CL14" s="113">
        <v>0</v>
      </c>
      <c r="CM14" s="113">
        <v>1</v>
      </c>
      <c r="CN14" s="459">
        <v>0</v>
      </c>
      <c r="CO14" s="461">
        <v>6</v>
      </c>
      <c r="CP14" s="582">
        <v>5</v>
      </c>
      <c r="CQ14" s="113">
        <v>4</v>
      </c>
      <c r="CR14" s="113">
        <v>0</v>
      </c>
      <c r="CS14" s="113">
        <v>1</v>
      </c>
      <c r="CT14" s="460">
        <v>0</v>
      </c>
      <c r="CU14" s="582">
        <v>1</v>
      </c>
      <c r="CV14" s="113">
        <v>1</v>
      </c>
      <c r="CW14" s="113">
        <v>0</v>
      </c>
      <c r="CX14" s="113">
        <v>0</v>
      </c>
      <c r="CY14" s="459">
        <v>0</v>
      </c>
      <c r="CZ14" s="461">
        <v>0</v>
      </c>
      <c r="DA14" s="582">
        <v>0</v>
      </c>
      <c r="DB14" s="113">
        <v>0</v>
      </c>
      <c r="DC14" s="113">
        <v>0</v>
      </c>
      <c r="DD14" s="113">
        <v>0</v>
      </c>
      <c r="DE14" s="460">
        <v>0</v>
      </c>
      <c r="DF14" s="582">
        <v>0</v>
      </c>
      <c r="DG14" s="113">
        <v>0</v>
      </c>
      <c r="DH14" s="113">
        <v>0</v>
      </c>
      <c r="DI14" s="113">
        <v>0</v>
      </c>
      <c r="DJ14" s="459">
        <v>0</v>
      </c>
      <c r="DK14" s="461">
        <v>0</v>
      </c>
      <c r="DL14" s="582">
        <v>0</v>
      </c>
      <c r="DM14" s="113">
        <v>0</v>
      </c>
      <c r="DN14" s="113">
        <v>0</v>
      </c>
      <c r="DO14" s="113">
        <v>0</v>
      </c>
      <c r="DP14" s="460">
        <v>0</v>
      </c>
      <c r="DQ14" s="582">
        <v>0</v>
      </c>
      <c r="DR14" s="113">
        <v>0</v>
      </c>
      <c r="DS14" s="113">
        <v>0</v>
      </c>
      <c r="DT14" s="113">
        <v>0</v>
      </c>
      <c r="DU14" s="459">
        <v>0</v>
      </c>
      <c r="DW14" s="461">
        <f t="shared" si="4"/>
        <v>70</v>
      </c>
      <c r="DX14" s="582">
        <f t="shared" si="0"/>
        <v>47</v>
      </c>
      <c r="DY14" s="113">
        <f t="shared" si="0"/>
        <v>33</v>
      </c>
      <c r="DZ14" s="113">
        <f t="shared" si="0"/>
        <v>0</v>
      </c>
      <c r="EA14" s="113">
        <f t="shared" si="0"/>
        <v>14</v>
      </c>
      <c r="EB14" s="460">
        <f t="shared" si="0"/>
        <v>0</v>
      </c>
      <c r="EC14" s="582">
        <f t="shared" si="0"/>
        <v>23</v>
      </c>
      <c r="ED14" s="113">
        <f t="shared" si="0"/>
        <v>13</v>
      </c>
      <c r="EE14" s="113">
        <f t="shared" si="0"/>
        <v>0</v>
      </c>
      <c r="EF14" s="113">
        <f t="shared" si="0"/>
        <v>9</v>
      </c>
      <c r="EG14" s="459">
        <f t="shared" si="0"/>
        <v>1</v>
      </c>
      <c r="EH14" s="461">
        <f t="shared" si="5"/>
        <v>21</v>
      </c>
      <c r="EI14" s="582">
        <f t="shared" si="1"/>
        <v>17</v>
      </c>
      <c r="EJ14" s="113">
        <f t="shared" si="1"/>
        <v>13</v>
      </c>
      <c r="EK14" s="113">
        <f t="shared" si="1"/>
        <v>0</v>
      </c>
      <c r="EL14" s="113">
        <f t="shared" si="1"/>
        <v>4</v>
      </c>
      <c r="EM14" s="460">
        <f t="shared" si="1"/>
        <v>0</v>
      </c>
      <c r="EN14" s="582">
        <f t="shared" si="1"/>
        <v>4</v>
      </c>
      <c r="EO14" s="113">
        <f t="shared" si="1"/>
        <v>2</v>
      </c>
      <c r="EP14" s="113">
        <f t="shared" si="1"/>
        <v>0</v>
      </c>
      <c r="EQ14" s="113">
        <f t="shared" si="1"/>
        <v>2</v>
      </c>
      <c r="ER14" s="459">
        <f t="shared" si="1"/>
        <v>0</v>
      </c>
    </row>
    <row r="15" spans="2:151">
      <c r="B15" s="112" t="s">
        <v>409</v>
      </c>
      <c r="C15" s="217">
        <v>2019</v>
      </c>
      <c r="D15" s="446">
        <v>219590</v>
      </c>
      <c r="E15" s="461">
        <v>3149</v>
      </c>
      <c r="F15" s="582">
        <v>2181</v>
      </c>
      <c r="G15" s="113">
        <v>1844</v>
      </c>
      <c r="H15" s="113">
        <v>0</v>
      </c>
      <c r="I15" s="113">
        <v>337</v>
      </c>
      <c r="J15" s="460">
        <v>0</v>
      </c>
      <c r="K15" s="582">
        <v>968</v>
      </c>
      <c r="L15" s="113">
        <v>644</v>
      </c>
      <c r="M15" s="113">
        <v>0</v>
      </c>
      <c r="N15" s="113">
        <v>306</v>
      </c>
      <c r="O15" s="459">
        <v>18</v>
      </c>
      <c r="P15" s="461">
        <f t="shared" si="2"/>
        <v>6</v>
      </c>
      <c r="Q15" s="582">
        <v>4</v>
      </c>
      <c r="R15" s="113">
        <v>4</v>
      </c>
      <c r="S15" s="113">
        <v>0</v>
      </c>
      <c r="T15" s="113">
        <v>0</v>
      </c>
      <c r="U15" s="460">
        <v>0</v>
      </c>
      <c r="V15" s="582">
        <v>2</v>
      </c>
      <c r="W15" s="113">
        <v>2</v>
      </c>
      <c r="X15" s="113">
        <v>0</v>
      </c>
      <c r="Y15" s="113">
        <v>0</v>
      </c>
      <c r="Z15" s="459">
        <v>0</v>
      </c>
      <c r="AA15" s="461">
        <f t="shared" si="3"/>
        <v>1</v>
      </c>
      <c r="AB15" s="582">
        <v>1</v>
      </c>
      <c r="AC15" s="113">
        <v>0</v>
      </c>
      <c r="AD15" s="113">
        <v>0</v>
      </c>
      <c r="AE15" s="113">
        <v>1</v>
      </c>
      <c r="AF15" s="460">
        <v>0</v>
      </c>
      <c r="AG15" s="582">
        <v>0</v>
      </c>
      <c r="AH15" s="113">
        <v>0</v>
      </c>
      <c r="AI15" s="113">
        <v>0</v>
      </c>
      <c r="AJ15" s="113">
        <v>0</v>
      </c>
      <c r="AK15" s="459">
        <v>0</v>
      </c>
      <c r="AL15" s="461">
        <v>29</v>
      </c>
      <c r="AM15" s="582">
        <v>24</v>
      </c>
      <c r="AN15" s="113">
        <v>23</v>
      </c>
      <c r="AO15" s="113">
        <v>0</v>
      </c>
      <c r="AP15" s="113">
        <v>1</v>
      </c>
      <c r="AQ15" s="460">
        <v>0</v>
      </c>
      <c r="AR15" s="582">
        <v>5</v>
      </c>
      <c r="AS15" s="113">
        <v>3</v>
      </c>
      <c r="AT15" s="113">
        <v>0</v>
      </c>
      <c r="AU15" s="113">
        <v>2</v>
      </c>
      <c r="AV15" s="459">
        <v>0</v>
      </c>
      <c r="AW15" s="461">
        <v>17</v>
      </c>
      <c r="AX15" s="582">
        <v>13</v>
      </c>
      <c r="AY15" s="113">
        <v>10</v>
      </c>
      <c r="AZ15" s="113">
        <v>0</v>
      </c>
      <c r="BA15" s="113">
        <v>3</v>
      </c>
      <c r="BB15" s="460">
        <v>0</v>
      </c>
      <c r="BC15" s="582">
        <v>4</v>
      </c>
      <c r="BD15" s="113">
        <v>4</v>
      </c>
      <c r="BE15" s="113">
        <v>0</v>
      </c>
      <c r="BF15" s="113">
        <v>0</v>
      </c>
      <c r="BG15" s="459">
        <v>0</v>
      </c>
      <c r="BH15" s="461">
        <v>18</v>
      </c>
      <c r="BI15" s="582">
        <v>16</v>
      </c>
      <c r="BJ15" s="113">
        <v>16</v>
      </c>
      <c r="BK15" s="113">
        <v>0</v>
      </c>
      <c r="BL15" s="113">
        <v>0</v>
      </c>
      <c r="BM15" s="460">
        <v>0</v>
      </c>
      <c r="BN15" s="582">
        <v>2</v>
      </c>
      <c r="BO15" s="113">
        <v>1</v>
      </c>
      <c r="BP15" s="113">
        <v>0</v>
      </c>
      <c r="BQ15" s="113">
        <v>1</v>
      </c>
      <c r="BR15" s="459">
        <v>0</v>
      </c>
      <c r="BS15" s="461">
        <v>35</v>
      </c>
      <c r="BT15" s="582">
        <v>27</v>
      </c>
      <c r="BU15" s="113">
        <v>25</v>
      </c>
      <c r="BV15" s="113">
        <v>0</v>
      </c>
      <c r="BW15" s="113">
        <v>2</v>
      </c>
      <c r="BX15" s="460">
        <v>0</v>
      </c>
      <c r="BY15" s="582">
        <v>8</v>
      </c>
      <c r="BZ15" s="113">
        <v>6</v>
      </c>
      <c r="CA15" s="113">
        <v>0</v>
      </c>
      <c r="CB15" s="113">
        <v>2</v>
      </c>
      <c r="CC15" s="459">
        <v>0</v>
      </c>
      <c r="CD15" s="461">
        <v>3</v>
      </c>
      <c r="CE15" s="582">
        <v>1</v>
      </c>
      <c r="CF15" s="113">
        <v>1</v>
      </c>
      <c r="CG15" s="113">
        <v>0</v>
      </c>
      <c r="CH15" s="113">
        <v>0</v>
      </c>
      <c r="CI15" s="460">
        <v>0</v>
      </c>
      <c r="CJ15" s="582">
        <v>2</v>
      </c>
      <c r="CK15" s="113">
        <v>1</v>
      </c>
      <c r="CL15" s="113">
        <v>0</v>
      </c>
      <c r="CM15" s="113">
        <v>1</v>
      </c>
      <c r="CN15" s="459">
        <v>0</v>
      </c>
      <c r="CO15" s="461">
        <v>5</v>
      </c>
      <c r="CP15" s="582">
        <v>2</v>
      </c>
      <c r="CQ15" s="113">
        <v>2</v>
      </c>
      <c r="CR15" s="113">
        <v>0</v>
      </c>
      <c r="CS15" s="113">
        <v>0</v>
      </c>
      <c r="CT15" s="460">
        <v>0</v>
      </c>
      <c r="CU15" s="582">
        <v>3</v>
      </c>
      <c r="CV15" s="113">
        <v>3</v>
      </c>
      <c r="CW15" s="113">
        <v>0</v>
      </c>
      <c r="CX15" s="113">
        <v>0</v>
      </c>
      <c r="CY15" s="459">
        <v>0</v>
      </c>
      <c r="CZ15" s="461">
        <v>0</v>
      </c>
      <c r="DA15" s="582">
        <v>0</v>
      </c>
      <c r="DB15" s="113">
        <v>0</v>
      </c>
      <c r="DC15" s="113">
        <v>0</v>
      </c>
      <c r="DD15" s="113">
        <v>0</v>
      </c>
      <c r="DE15" s="460">
        <v>0</v>
      </c>
      <c r="DF15" s="582">
        <v>0</v>
      </c>
      <c r="DG15" s="113">
        <v>0</v>
      </c>
      <c r="DH15" s="113">
        <v>0</v>
      </c>
      <c r="DI15" s="113">
        <v>0</v>
      </c>
      <c r="DJ15" s="459">
        <v>0</v>
      </c>
      <c r="DK15" s="461">
        <v>0</v>
      </c>
      <c r="DL15" s="582">
        <v>0</v>
      </c>
      <c r="DM15" s="113">
        <v>0</v>
      </c>
      <c r="DN15" s="113">
        <v>0</v>
      </c>
      <c r="DO15" s="113">
        <v>0</v>
      </c>
      <c r="DP15" s="460">
        <v>0</v>
      </c>
      <c r="DQ15" s="582">
        <v>1</v>
      </c>
      <c r="DR15" s="113">
        <v>1</v>
      </c>
      <c r="DS15" s="113">
        <v>0</v>
      </c>
      <c r="DT15" s="113">
        <v>0</v>
      </c>
      <c r="DU15" s="459">
        <v>0</v>
      </c>
      <c r="DW15" s="461">
        <f t="shared" si="4"/>
        <v>85</v>
      </c>
      <c r="DX15" s="582">
        <f t="shared" si="0"/>
        <v>64</v>
      </c>
      <c r="DY15" s="113">
        <f t="shared" si="0"/>
        <v>58</v>
      </c>
      <c r="DZ15" s="113">
        <f t="shared" si="0"/>
        <v>0</v>
      </c>
      <c r="EA15" s="113">
        <f t="shared" si="0"/>
        <v>6</v>
      </c>
      <c r="EB15" s="460">
        <f t="shared" si="0"/>
        <v>0</v>
      </c>
      <c r="EC15" s="582">
        <f t="shared" si="0"/>
        <v>22</v>
      </c>
      <c r="ED15" s="113">
        <f t="shared" si="0"/>
        <v>18</v>
      </c>
      <c r="EE15" s="113">
        <f t="shared" si="0"/>
        <v>0</v>
      </c>
      <c r="EF15" s="113">
        <f t="shared" si="0"/>
        <v>4</v>
      </c>
      <c r="EG15" s="459">
        <f t="shared" si="0"/>
        <v>0</v>
      </c>
      <c r="EH15" s="461">
        <f t="shared" si="5"/>
        <v>29</v>
      </c>
      <c r="EI15" s="582">
        <f t="shared" si="1"/>
        <v>24</v>
      </c>
      <c r="EJ15" s="113">
        <f t="shared" si="1"/>
        <v>23</v>
      </c>
      <c r="EK15" s="113">
        <f t="shared" si="1"/>
        <v>0</v>
      </c>
      <c r="EL15" s="113">
        <f t="shared" si="1"/>
        <v>1</v>
      </c>
      <c r="EM15" s="460">
        <f t="shared" si="1"/>
        <v>0</v>
      </c>
      <c r="EN15" s="582">
        <f t="shared" si="1"/>
        <v>5</v>
      </c>
      <c r="EO15" s="113">
        <f t="shared" si="1"/>
        <v>3</v>
      </c>
      <c r="EP15" s="113">
        <f t="shared" si="1"/>
        <v>0</v>
      </c>
      <c r="EQ15" s="113">
        <f t="shared" si="1"/>
        <v>2</v>
      </c>
      <c r="ER15" s="459">
        <f t="shared" si="1"/>
        <v>0</v>
      </c>
    </row>
    <row r="16" spans="2:151">
      <c r="B16" s="112" t="s">
        <v>410</v>
      </c>
      <c r="C16" s="217">
        <v>2019</v>
      </c>
      <c r="D16" s="446">
        <v>184737</v>
      </c>
      <c r="E16" s="461">
        <v>2278</v>
      </c>
      <c r="F16" s="582">
        <v>1539</v>
      </c>
      <c r="G16" s="113">
        <v>1194</v>
      </c>
      <c r="H16" s="113">
        <v>0</v>
      </c>
      <c r="I16" s="113">
        <v>345</v>
      </c>
      <c r="J16" s="460">
        <v>0</v>
      </c>
      <c r="K16" s="582">
        <v>739</v>
      </c>
      <c r="L16" s="113">
        <v>442</v>
      </c>
      <c r="M16" s="113">
        <v>0</v>
      </c>
      <c r="N16" s="113">
        <v>284</v>
      </c>
      <c r="O16" s="459">
        <v>13</v>
      </c>
      <c r="P16" s="461">
        <f t="shared" si="2"/>
        <v>7</v>
      </c>
      <c r="Q16" s="582">
        <v>6</v>
      </c>
      <c r="R16" s="113">
        <v>4</v>
      </c>
      <c r="S16" s="113">
        <v>0</v>
      </c>
      <c r="T16" s="113">
        <v>2</v>
      </c>
      <c r="U16" s="460">
        <v>0</v>
      </c>
      <c r="V16" s="582">
        <v>1</v>
      </c>
      <c r="W16" s="113">
        <v>0</v>
      </c>
      <c r="X16" s="113">
        <v>0</v>
      </c>
      <c r="Y16" s="113">
        <v>1</v>
      </c>
      <c r="Z16" s="459">
        <v>0</v>
      </c>
      <c r="AA16" s="461">
        <f t="shared" si="3"/>
        <v>0</v>
      </c>
      <c r="AB16" s="582">
        <v>0</v>
      </c>
      <c r="AC16" s="113">
        <v>0</v>
      </c>
      <c r="AD16" s="113">
        <v>0</v>
      </c>
      <c r="AE16" s="113">
        <v>0</v>
      </c>
      <c r="AF16" s="460">
        <v>0</v>
      </c>
      <c r="AG16" s="582">
        <v>0</v>
      </c>
      <c r="AH16" s="113">
        <v>0</v>
      </c>
      <c r="AI16" s="113">
        <v>0</v>
      </c>
      <c r="AJ16" s="113">
        <v>0</v>
      </c>
      <c r="AK16" s="459">
        <v>0</v>
      </c>
      <c r="AL16" s="461">
        <v>29</v>
      </c>
      <c r="AM16" s="582">
        <v>21</v>
      </c>
      <c r="AN16" s="113">
        <v>18</v>
      </c>
      <c r="AO16" s="113">
        <v>0</v>
      </c>
      <c r="AP16" s="113">
        <v>3</v>
      </c>
      <c r="AQ16" s="460">
        <v>0</v>
      </c>
      <c r="AR16" s="582">
        <v>8</v>
      </c>
      <c r="AS16" s="113">
        <v>6</v>
      </c>
      <c r="AT16" s="113">
        <v>0</v>
      </c>
      <c r="AU16" s="113">
        <v>2</v>
      </c>
      <c r="AV16" s="459">
        <v>0</v>
      </c>
      <c r="AW16" s="461">
        <v>10</v>
      </c>
      <c r="AX16" s="582">
        <v>8</v>
      </c>
      <c r="AY16" s="113">
        <v>7</v>
      </c>
      <c r="AZ16" s="113">
        <v>0</v>
      </c>
      <c r="BA16" s="113">
        <v>1</v>
      </c>
      <c r="BB16" s="460">
        <v>0</v>
      </c>
      <c r="BC16" s="582">
        <v>2</v>
      </c>
      <c r="BD16" s="113">
        <v>1</v>
      </c>
      <c r="BE16" s="113">
        <v>0</v>
      </c>
      <c r="BF16" s="113">
        <v>1</v>
      </c>
      <c r="BG16" s="459">
        <v>0</v>
      </c>
      <c r="BH16" s="461">
        <v>21</v>
      </c>
      <c r="BI16" s="582">
        <v>18</v>
      </c>
      <c r="BJ16" s="113">
        <v>13</v>
      </c>
      <c r="BK16" s="113">
        <v>0</v>
      </c>
      <c r="BL16" s="113">
        <v>5</v>
      </c>
      <c r="BM16" s="460">
        <v>0</v>
      </c>
      <c r="BN16" s="582">
        <v>3</v>
      </c>
      <c r="BO16" s="113">
        <v>2</v>
      </c>
      <c r="BP16" s="113">
        <v>0</v>
      </c>
      <c r="BQ16" s="113">
        <v>1</v>
      </c>
      <c r="BR16" s="459">
        <v>0</v>
      </c>
      <c r="BS16" s="461">
        <v>32</v>
      </c>
      <c r="BT16" s="582">
        <v>25</v>
      </c>
      <c r="BU16" s="113">
        <v>12</v>
      </c>
      <c r="BV16" s="113">
        <v>0</v>
      </c>
      <c r="BW16" s="113">
        <v>13</v>
      </c>
      <c r="BX16" s="460">
        <v>0</v>
      </c>
      <c r="BY16" s="582">
        <v>7</v>
      </c>
      <c r="BZ16" s="113">
        <v>5</v>
      </c>
      <c r="CA16" s="113">
        <v>0</v>
      </c>
      <c r="CB16" s="113">
        <v>2</v>
      </c>
      <c r="CC16" s="459">
        <v>0</v>
      </c>
      <c r="CD16" s="461">
        <v>6</v>
      </c>
      <c r="CE16" s="582">
        <v>4</v>
      </c>
      <c r="CF16" s="113">
        <v>3</v>
      </c>
      <c r="CG16" s="113">
        <v>0</v>
      </c>
      <c r="CH16" s="113">
        <v>1</v>
      </c>
      <c r="CI16" s="460">
        <v>0</v>
      </c>
      <c r="CJ16" s="582">
        <v>2</v>
      </c>
      <c r="CK16" s="113">
        <v>2</v>
      </c>
      <c r="CL16" s="113">
        <v>0</v>
      </c>
      <c r="CM16" s="113">
        <v>0</v>
      </c>
      <c r="CN16" s="459">
        <v>0</v>
      </c>
      <c r="CO16" s="461">
        <v>5</v>
      </c>
      <c r="CP16" s="582">
        <v>5</v>
      </c>
      <c r="CQ16" s="113">
        <v>5</v>
      </c>
      <c r="CR16" s="113">
        <v>0</v>
      </c>
      <c r="CS16" s="113">
        <v>0</v>
      </c>
      <c r="CT16" s="460">
        <v>0</v>
      </c>
      <c r="CU16" s="582">
        <v>0</v>
      </c>
      <c r="CV16" s="113">
        <v>0</v>
      </c>
      <c r="CW16" s="113">
        <v>0</v>
      </c>
      <c r="CX16" s="113">
        <v>0</v>
      </c>
      <c r="CY16" s="459">
        <v>0</v>
      </c>
      <c r="CZ16" s="461">
        <v>0</v>
      </c>
      <c r="DA16" s="582">
        <v>0</v>
      </c>
      <c r="DB16" s="113">
        <v>0</v>
      </c>
      <c r="DC16" s="113">
        <v>0</v>
      </c>
      <c r="DD16" s="113">
        <v>0</v>
      </c>
      <c r="DE16" s="460">
        <v>0</v>
      </c>
      <c r="DF16" s="582">
        <v>0</v>
      </c>
      <c r="DG16" s="113">
        <v>0</v>
      </c>
      <c r="DH16" s="113">
        <v>0</v>
      </c>
      <c r="DI16" s="113">
        <v>0</v>
      </c>
      <c r="DJ16" s="459">
        <v>0</v>
      </c>
      <c r="DK16" s="461">
        <v>0</v>
      </c>
      <c r="DL16" s="582">
        <v>0</v>
      </c>
      <c r="DM16" s="113">
        <v>0</v>
      </c>
      <c r="DN16" s="113">
        <v>0</v>
      </c>
      <c r="DO16" s="113">
        <v>0</v>
      </c>
      <c r="DP16" s="460">
        <v>0</v>
      </c>
      <c r="DQ16" s="582">
        <v>0</v>
      </c>
      <c r="DR16" s="113">
        <v>0</v>
      </c>
      <c r="DS16" s="113">
        <v>0</v>
      </c>
      <c r="DT16" s="113">
        <v>0</v>
      </c>
      <c r="DU16" s="459">
        <v>0</v>
      </c>
      <c r="DW16" s="461">
        <f t="shared" si="4"/>
        <v>81</v>
      </c>
      <c r="DX16" s="582">
        <f t="shared" si="0"/>
        <v>66</v>
      </c>
      <c r="DY16" s="113">
        <f t="shared" si="0"/>
        <v>44</v>
      </c>
      <c r="DZ16" s="113">
        <f t="shared" si="0"/>
        <v>0</v>
      </c>
      <c r="EA16" s="113">
        <f t="shared" si="0"/>
        <v>22</v>
      </c>
      <c r="EB16" s="460">
        <f t="shared" si="0"/>
        <v>0</v>
      </c>
      <c r="EC16" s="582">
        <f t="shared" si="0"/>
        <v>15</v>
      </c>
      <c r="ED16" s="113">
        <f t="shared" si="0"/>
        <v>10</v>
      </c>
      <c r="EE16" s="113">
        <f t="shared" si="0"/>
        <v>0</v>
      </c>
      <c r="EF16" s="113">
        <f t="shared" si="0"/>
        <v>5</v>
      </c>
      <c r="EG16" s="459">
        <f t="shared" si="0"/>
        <v>0</v>
      </c>
      <c r="EH16" s="461">
        <f t="shared" si="5"/>
        <v>29</v>
      </c>
      <c r="EI16" s="582">
        <f t="shared" si="1"/>
        <v>21</v>
      </c>
      <c r="EJ16" s="113">
        <f t="shared" si="1"/>
        <v>18</v>
      </c>
      <c r="EK16" s="113">
        <f t="shared" si="1"/>
        <v>0</v>
      </c>
      <c r="EL16" s="113">
        <f t="shared" si="1"/>
        <v>3</v>
      </c>
      <c r="EM16" s="460">
        <f t="shared" si="1"/>
        <v>0</v>
      </c>
      <c r="EN16" s="582">
        <f t="shared" si="1"/>
        <v>8</v>
      </c>
      <c r="EO16" s="113">
        <f t="shared" si="1"/>
        <v>6</v>
      </c>
      <c r="EP16" s="113">
        <f t="shared" si="1"/>
        <v>0</v>
      </c>
      <c r="EQ16" s="113">
        <f t="shared" si="1"/>
        <v>2</v>
      </c>
      <c r="ER16" s="459">
        <f t="shared" si="1"/>
        <v>0</v>
      </c>
    </row>
    <row r="17" spans="2:148">
      <c r="B17" s="112" t="s">
        <v>411</v>
      </c>
      <c r="C17" s="217">
        <v>2020</v>
      </c>
      <c r="D17" s="446">
        <v>139080</v>
      </c>
      <c r="E17" s="461">
        <v>1712</v>
      </c>
      <c r="F17" s="582">
        <v>1184</v>
      </c>
      <c r="G17" s="113">
        <v>740</v>
      </c>
      <c r="H17" s="113">
        <v>0</v>
      </c>
      <c r="I17" s="113">
        <v>444</v>
      </c>
      <c r="J17" s="460">
        <v>0</v>
      </c>
      <c r="K17" s="582">
        <v>528</v>
      </c>
      <c r="L17" s="113">
        <v>253</v>
      </c>
      <c r="M17" s="113">
        <v>0</v>
      </c>
      <c r="N17" s="113">
        <v>234</v>
      </c>
      <c r="O17" s="459">
        <v>41</v>
      </c>
      <c r="P17" s="461">
        <f t="shared" si="2"/>
        <v>3</v>
      </c>
      <c r="Q17" s="582">
        <v>2</v>
      </c>
      <c r="R17" s="113">
        <v>0</v>
      </c>
      <c r="S17" s="113">
        <v>0</v>
      </c>
      <c r="T17" s="113">
        <v>2</v>
      </c>
      <c r="U17" s="460">
        <v>0</v>
      </c>
      <c r="V17" s="582">
        <v>1</v>
      </c>
      <c r="W17" s="113">
        <v>0</v>
      </c>
      <c r="X17" s="113">
        <v>0</v>
      </c>
      <c r="Y17" s="113">
        <v>1</v>
      </c>
      <c r="Z17" s="459">
        <v>0</v>
      </c>
      <c r="AA17" s="461">
        <f t="shared" si="3"/>
        <v>1</v>
      </c>
      <c r="AB17" s="582">
        <v>0</v>
      </c>
      <c r="AC17" s="113">
        <v>0</v>
      </c>
      <c r="AD17" s="113">
        <v>0</v>
      </c>
      <c r="AE17" s="113">
        <v>0</v>
      </c>
      <c r="AF17" s="460">
        <v>0</v>
      </c>
      <c r="AG17" s="582">
        <v>1</v>
      </c>
      <c r="AH17" s="113">
        <v>0</v>
      </c>
      <c r="AI17" s="113">
        <v>0</v>
      </c>
      <c r="AJ17" s="113">
        <v>1</v>
      </c>
      <c r="AK17" s="459">
        <v>0</v>
      </c>
      <c r="AL17" s="461">
        <v>16</v>
      </c>
      <c r="AM17" s="582">
        <v>10</v>
      </c>
      <c r="AN17" s="113">
        <v>8</v>
      </c>
      <c r="AO17" s="113">
        <v>0</v>
      </c>
      <c r="AP17" s="113">
        <v>2</v>
      </c>
      <c r="AQ17" s="460">
        <v>0</v>
      </c>
      <c r="AR17" s="582">
        <v>6</v>
      </c>
      <c r="AS17" s="113">
        <v>4</v>
      </c>
      <c r="AT17" s="113">
        <v>0</v>
      </c>
      <c r="AU17" s="113">
        <v>1</v>
      </c>
      <c r="AV17" s="459">
        <v>1</v>
      </c>
      <c r="AW17" s="461">
        <v>12</v>
      </c>
      <c r="AX17" s="582">
        <v>10</v>
      </c>
      <c r="AY17" s="113">
        <v>9</v>
      </c>
      <c r="AZ17" s="113">
        <v>0</v>
      </c>
      <c r="BA17" s="113">
        <v>1</v>
      </c>
      <c r="BB17" s="460">
        <v>0</v>
      </c>
      <c r="BC17" s="582">
        <v>2</v>
      </c>
      <c r="BD17" s="113">
        <v>2</v>
      </c>
      <c r="BE17" s="113">
        <v>0</v>
      </c>
      <c r="BF17" s="113">
        <v>0</v>
      </c>
      <c r="BG17" s="459">
        <v>0</v>
      </c>
      <c r="BH17" s="461">
        <v>13</v>
      </c>
      <c r="BI17" s="582">
        <v>10</v>
      </c>
      <c r="BJ17" s="113">
        <v>7</v>
      </c>
      <c r="BK17" s="113">
        <v>0</v>
      </c>
      <c r="BL17" s="113">
        <v>3</v>
      </c>
      <c r="BM17" s="460">
        <v>0</v>
      </c>
      <c r="BN17" s="582">
        <v>3</v>
      </c>
      <c r="BO17" s="113">
        <v>0</v>
      </c>
      <c r="BP17" s="113">
        <v>0</v>
      </c>
      <c r="BQ17" s="113">
        <v>2</v>
      </c>
      <c r="BR17" s="459">
        <v>1</v>
      </c>
      <c r="BS17" s="461">
        <v>22</v>
      </c>
      <c r="BT17" s="582">
        <v>12</v>
      </c>
      <c r="BU17" s="113">
        <v>8</v>
      </c>
      <c r="BV17" s="113">
        <v>0</v>
      </c>
      <c r="BW17" s="113">
        <v>4</v>
      </c>
      <c r="BX17" s="460">
        <v>0</v>
      </c>
      <c r="BY17" s="582">
        <v>10</v>
      </c>
      <c r="BZ17" s="113">
        <v>2</v>
      </c>
      <c r="CA17" s="113">
        <v>0</v>
      </c>
      <c r="CB17" s="113">
        <v>8</v>
      </c>
      <c r="CC17" s="459">
        <v>0</v>
      </c>
      <c r="CD17" s="461">
        <v>2</v>
      </c>
      <c r="CE17" s="582">
        <v>0</v>
      </c>
      <c r="CF17" s="113">
        <v>0</v>
      </c>
      <c r="CG17" s="113">
        <v>0</v>
      </c>
      <c r="CH17" s="113">
        <v>0</v>
      </c>
      <c r="CI17" s="460">
        <v>0</v>
      </c>
      <c r="CJ17" s="582">
        <v>2</v>
      </c>
      <c r="CK17" s="113">
        <v>2</v>
      </c>
      <c r="CL17" s="113">
        <v>0</v>
      </c>
      <c r="CM17" s="113">
        <v>0</v>
      </c>
      <c r="CN17" s="459">
        <v>0</v>
      </c>
      <c r="CO17" s="461">
        <v>1</v>
      </c>
      <c r="CP17" s="582">
        <v>1</v>
      </c>
      <c r="CQ17" s="113">
        <v>1</v>
      </c>
      <c r="CR17" s="113">
        <v>0</v>
      </c>
      <c r="CS17" s="113">
        <v>0</v>
      </c>
      <c r="CT17" s="460">
        <v>0</v>
      </c>
      <c r="CU17" s="582">
        <v>0</v>
      </c>
      <c r="CV17" s="113">
        <v>0</v>
      </c>
      <c r="CW17" s="113">
        <v>0</v>
      </c>
      <c r="CX17" s="113">
        <v>0</v>
      </c>
      <c r="CY17" s="459">
        <v>0</v>
      </c>
      <c r="CZ17" s="461">
        <v>1</v>
      </c>
      <c r="DA17" s="582">
        <v>1</v>
      </c>
      <c r="DB17" s="113">
        <v>0</v>
      </c>
      <c r="DC17" s="113">
        <v>0</v>
      </c>
      <c r="DD17" s="113">
        <v>1</v>
      </c>
      <c r="DE17" s="460">
        <v>0</v>
      </c>
      <c r="DF17" s="582">
        <v>0</v>
      </c>
      <c r="DG17" s="113">
        <v>0</v>
      </c>
      <c r="DH17" s="113">
        <v>0</v>
      </c>
      <c r="DI17" s="113">
        <v>0</v>
      </c>
      <c r="DJ17" s="459">
        <v>0</v>
      </c>
      <c r="DK17" s="461">
        <v>0</v>
      </c>
      <c r="DL17" s="582">
        <v>0</v>
      </c>
      <c r="DM17" s="113">
        <v>0</v>
      </c>
      <c r="DN17" s="113">
        <v>0</v>
      </c>
      <c r="DO17" s="113">
        <v>0</v>
      </c>
      <c r="DP17" s="460">
        <v>0</v>
      </c>
      <c r="DQ17" s="582">
        <v>0</v>
      </c>
      <c r="DR17" s="113">
        <v>0</v>
      </c>
      <c r="DS17" s="113">
        <v>0</v>
      </c>
      <c r="DT17" s="113">
        <v>0</v>
      </c>
      <c r="DU17" s="459">
        <v>0</v>
      </c>
      <c r="DW17" s="461">
        <f t="shared" si="4"/>
        <v>55</v>
      </c>
      <c r="DX17" s="582">
        <f t="shared" si="0"/>
        <v>36</v>
      </c>
      <c r="DY17" s="113">
        <f t="shared" si="0"/>
        <v>25</v>
      </c>
      <c r="DZ17" s="113">
        <f t="shared" si="0"/>
        <v>0</v>
      </c>
      <c r="EA17" s="113">
        <f t="shared" si="0"/>
        <v>11</v>
      </c>
      <c r="EB17" s="460">
        <f t="shared" si="0"/>
        <v>0</v>
      </c>
      <c r="EC17" s="582">
        <f t="shared" si="0"/>
        <v>19</v>
      </c>
      <c r="ED17" s="113">
        <f t="shared" si="0"/>
        <v>6</v>
      </c>
      <c r="EE17" s="113">
        <f t="shared" si="0"/>
        <v>0</v>
      </c>
      <c r="EF17" s="113">
        <f t="shared" si="0"/>
        <v>12</v>
      </c>
      <c r="EG17" s="459">
        <f t="shared" si="0"/>
        <v>1</v>
      </c>
      <c r="EH17" s="461">
        <f t="shared" si="5"/>
        <v>16</v>
      </c>
      <c r="EI17" s="582">
        <f t="shared" si="1"/>
        <v>10</v>
      </c>
      <c r="EJ17" s="113">
        <f t="shared" si="1"/>
        <v>8</v>
      </c>
      <c r="EK17" s="113">
        <f t="shared" si="1"/>
        <v>0</v>
      </c>
      <c r="EL17" s="113">
        <f t="shared" si="1"/>
        <v>2</v>
      </c>
      <c r="EM17" s="460">
        <f t="shared" si="1"/>
        <v>0</v>
      </c>
      <c r="EN17" s="582">
        <f t="shared" si="1"/>
        <v>6</v>
      </c>
      <c r="EO17" s="113">
        <f t="shared" si="1"/>
        <v>4</v>
      </c>
      <c r="EP17" s="113">
        <f t="shared" si="1"/>
        <v>0</v>
      </c>
      <c r="EQ17" s="113">
        <f t="shared" si="1"/>
        <v>1</v>
      </c>
      <c r="ER17" s="459">
        <f t="shared" si="1"/>
        <v>1</v>
      </c>
    </row>
    <row r="18" spans="2:148">
      <c r="B18" s="112" t="s">
        <v>412</v>
      </c>
      <c r="C18" s="217">
        <v>2020</v>
      </c>
      <c r="D18" s="446">
        <v>109197</v>
      </c>
      <c r="E18" s="461">
        <v>1761</v>
      </c>
      <c r="F18" s="582">
        <v>1337</v>
      </c>
      <c r="G18" s="113">
        <v>1122</v>
      </c>
      <c r="H18" s="113">
        <v>0</v>
      </c>
      <c r="I18" s="113">
        <v>215</v>
      </c>
      <c r="J18" s="460">
        <v>0</v>
      </c>
      <c r="K18" s="582">
        <v>424</v>
      </c>
      <c r="L18" s="113">
        <v>210</v>
      </c>
      <c r="M18" s="113">
        <v>0</v>
      </c>
      <c r="N18" s="113">
        <v>192</v>
      </c>
      <c r="O18" s="459">
        <v>22</v>
      </c>
      <c r="P18" s="461">
        <f t="shared" si="2"/>
        <v>5</v>
      </c>
      <c r="Q18" s="582">
        <v>3</v>
      </c>
      <c r="R18" s="113">
        <v>2</v>
      </c>
      <c r="S18" s="113">
        <v>0</v>
      </c>
      <c r="T18" s="113">
        <v>1</v>
      </c>
      <c r="U18" s="460">
        <v>0</v>
      </c>
      <c r="V18" s="582">
        <v>2</v>
      </c>
      <c r="W18" s="113">
        <v>1</v>
      </c>
      <c r="X18" s="113">
        <v>0</v>
      </c>
      <c r="Y18" s="113">
        <v>1</v>
      </c>
      <c r="Z18" s="459">
        <v>0</v>
      </c>
      <c r="AA18" s="461">
        <f t="shared" si="3"/>
        <v>1</v>
      </c>
      <c r="AB18" s="582">
        <v>1</v>
      </c>
      <c r="AC18" s="113">
        <v>0</v>
      </c>
      <c r="AD18" s="113">
        <v>0</v>
      </c>
      <c r="AE18" s="113">
        <v>1</v>
      </c>
      <c r="AF18" s="460">
        <v>0</v>
      </c>
      <c r="AG18" s="582">
        <v>0</v>
      </c>
      <c r="AH18" s="113">
        <v>0</v>
      </c>
      <c r="AI18" s="113">
        <v>0</v>
      </c>
      <c r="AJ18" s="113">
        <v>0</v>
      </c>
      <c r="AK18" s="459">
        <v>0</v>
      </c>
      <c r="AL18" s="461">
        <v>18</v>
      </c>
      <c r="AM18" s="582">
        <v>13</v>
      </c>
      <c r="AN18" s="113">
        <v>12</v>
      </c>
      <c r="AO18" s="113">
        <v>0</v>
      </c>
      <c r="AP18" s="113">
        <v>1</v>
      </c>
      <c r="AQ18" s="460">
        <v>0</v>
      </c>
      <c r="AR18" s="582">
        <v>5</v>
      </c>
      <c r="AS18" s="113">
        <v>4</v>
      </c>
      <c r="AT18" s="113">
        <v>0</v>
      </c>
      <c r="AU18" s="113">
        <v>1</v>
      </c>
      <c r="AV18" s="459">
        <v>0</v>
      </c>
      <c r="AW18" s="461">
        <v>9</v>
      </c>
      <c r="AX18" s="582">
        <v>7</v>
      </c>
      <c r="AY18" s="113">
        <v>6</v>
      </c>
      <c r="AZ18" s="113">
        <v>0</v>
      </c>
      <c r="BA18" s="113">
        <v>1</v>
      </c>
      <c r="BB18" s="460">
        <v>0</v>
      </c>
      <c r="BC18" s="582">
        <v>2</v>
      </c>
      <c r="BD18" s="113">
        <v>1</v>
      </c>
      <c r="BE18" s="113">
        <v>0</v>
      </c>
      <c r="BF18" s="113">
        <v>1</v>
      </c>
      <c r="BG18" s="459">
        <v>0</v>
      </c>
      <c r="BH18" s="461">
        <v>7</v>
      </c>
      <c r="BI18" s="582">
        <v>5</v>
      </c>
      <c r="BJ18" s="113">
        <v>5</v>
      </c>
      <c r="BK18" s="113">
        <v>0</v>
      </c>
      <c r="BL18" s="113">
        <v>0</v>
      </c>
      <c r="BM18" s="460">
        <v>0</v>
      </c>
      <c r="BN18" s="582">
        <v>2</v>
      </c>
      <c r="BO18" s="113">
        <v>1</v>
      </c>
      <c r="BP18" s="113">
        <v>0</v>
      </c>
      <c r="BQ18" s="113">
        <v>1</v>
      </c>
      <c r="BR18" s="459">
        <v>0</v>
      </c>
      <c r="BS18" s="461">
        <v>18</v>
      </c>
      <c r="BT18" s="582">
        <v>15</v>
      </c>
      <c r="BU18" s="113">
        <v>14</v>
      </c>
      <c r="BV18" s="113">
        <v>0</v>
      </c>
      <c r="BW18" s="113">
        <v>1</v>
      </c>
      <c r="BX18" s="460">
        <v>0</v>
      </c>
      <c r="BY18" s="582">
        <v>3</v>
      </c>
      <c r="BZ18" s="113">
        <v>1</v>
      </c>
      <c r="CA18" s="113">
        <v>0</v>
      </c>
      <c r="CB18" s="113">
        <v>1</v>
      </c>
      <c r="CC18" s="459">
        <v>1</v>
      </c>
      <c r="CD18" s="461">
        <v>3</v>
      </c>
      <c r="CE18" s="582">
        <v>3</v>
      </c>
      <c r="CF18" s="113">
        <v>3</v>
      </c>
      <c r="CG18" s="113">
        <v>0</v>
      </c>
      <c r="CH18" s="113">
        <v>0</v>
      </c>
      <c r="CI18" s="460">
        <v>0</v>
      </c>
      <c r="CJ18" s="582">
        <v>0</v>
      </c>
      <c r="CK18" s="113">
        <v>0</v>
      </c>
      <c r="CL18" s="113">
        <v>0</v>
      </c>
      <c r="CM18" s="113">
        <v>0</v>
      </c>
      <c r="CN18" s="459">
        <v>0</v>
      </c>
      <c r="CO18" s="461">
        <v>1</v>
      </c>
      <c r="CP18" s="582">
        <v>1</v>
      </c>
      <c r="CQ18" s="113">
        <v>1</v>
      </c>
      <c r="CR18" s="113">
        <v>0</v>
      </c>
      <c r="CS18" s="113">
        <v>0</v>
      </c>
      <c r="CT18" s="460">
        <v>0</v>
      </c>
      <c r="CU18" s="582">
        <v>0</v>
      </c>
      <c r="CV18" s="113">
        <v>0</v>
      </c>
      <c r="CW18" s="113">
        <v>0</v>
      </c>
      <c r="CX18" s="113">
        <v>0</v>
      </c>
      <c r="CY18" s="459">
        <v>0</v>
      </c>
      <c r="CZ18" s="461">
        <v>0</v>
      </c>
      <c r="DA18" s="582">
        <v>0</v>
      </c>
      <c r="DB18" s="113">
        <v>0</v>
      </c>
      <c r="DC18" s="113">
        <v>0</v>
      </c>
      <c r="DD18" s="113">
        <v>0</v>
      </c>
      <c r="DE18" s="460">
        <v>0</v>
      </c>
      <c r="DF18" s="582">
        <v>0</v>
      </c>
      <c r="DG18" s="113">
        <v>0</v>
      </c>
      <c r="DH18" s="113">
        <v>0</v>
      </c>
      <c r="DI18" s="113">
        <v>0</v>
      </c>
      <c r="DJ18" s="459">
        <v>0</v>
      </c>
      <c r="DK18" s="461">
        <v>0</v>
      </c>
      <c r="DL18" s="582">
        <v>0</v>
      </c>
      <c r="DM18" s="113">
        <v>0</v>
      </c>
      <c r="DN18" s="113">
        <v>0</v>
      </c>
      <c r="DO18" s="113">
        <v>0</v>
      </c>
      <c r="DP18" s="460">
        <v>0</v>
      </c>
      <c r="DQ18" s="582">
        <v>0</v>
      </c>
      <c r="DR18" s="113">
        <v>0</v>
      </c>
      <c r="DS18" s="113">
        <v>0</v>
      </c>
      <c r="DT18" s="113">
        <v>0</v>
      </c>
      <c r="DU18" s="459">
        <v>0</v>
      </c>
      <c r="DW18" s="461">
        <f t="shared" si="4"/>
        <v>44</v>
      </c>
      <c r="DX18" s="582">
        <f t="shared" si="0"/>
        <v>35</v>
      </c>
      <c r="DY18" s="113">
        <f t="shared" si="0"/>
        <v>31</v>
      </c>
      <c r="DZ18" s="113">
        <f t="shared" si="0"/>
        <v>0</v>
      </c>
      <c r="EA18" s="113">
        <f t="shared" si="0"/>
        <v>4</v>
      </c>
      <c r="EB18" s="460">
        <f t="shared" si="0"/>
        <v>0</v>
      </c>
      <c r="EC18" s="582">
        <f t="shared" si="0"/>
        <v>9</v>
      </c>
      <c r="ED18" s="113">
        <f t="shared" si="0"/>
        <v>4</v>
      </c>
      <c r="EE18" s="113">
        <f t="shared" si="0"/>
        <v>0</v>
      </c>
      <c r="EF18" s="113">
        <f t="shared" si="0"/>
        <v>4</v>
      </c>
      <c r="EG18" s="459">
        <f t="shared" si="0"/>
        <v>1</v>
      </c>
      <c r="EH18" s="461">
        <f t="shared" si="5"/>
        <v>18</v>
      </c>
      <c r="EI18" s="582">
        <f t="shared" si="1"/>
        <v>13</v>
      </c>
      <c r="EJ18" s="113">
        <f t="shared" si="1"/>
        <v>12</v>
      </c>
      <c r="EK18" s="113">
        <f t="shared" si="1"/>
        <v>0</v>
      </c>
      <c r="EL18" s="113">
        <f t="shared" si="1"/>
        <v>1</v>
      </c>
      <c r="EM18" s="460">
        <f t="shared" si="1"/>
        <v>0</v>
      </c>
      <c r="EN18" s="582">
        <f t="shared" si="1"/>
        <v>5</v>
      </c>
      <c r="EO18" s="113">
        <f t="shared" si="1"/>
        <v>4</v>
      </c>
      <c r="EP18" s="113">
        <f t="shared" si="1"/>
        <v>0</v>
      </c>
      <c r="EQ18" s="113">
        <f t="shared" si="1"/>
        <v>1</v>
      </c>
      <c r="ER18" s="459">
        <f t="shared" si="1"/>
        <v>0</v>
      </c>
    </row>
    <row r="19" spans="2:148">
      <c r="B19" s="112" t="s">
        <v>413</v>
      </c>
      <c r="C19" s="217">
        <v>2020</v>
      </c>
      <c r="D19" s="446">
        <v>198406</v>
      </c>
      <c r="E19" s="461">
        <v>3568</v>
      </c>
      <c r="F19" s="582">
        <v>2807</v>
      </c>
      <c r="G19" s="113">
        <v>1479</v>
      </c>
      <c r="H19" s="113">
        <v>0</v>
      </c>
      <c r="I19" s="113">
        <v>1328</v>
      </c>
      <c r="J19" s="460">
        <v>0</v>
      </c>
      <c r="K19" s="582">
        <v>761</v>
      </c>
      <c r="L19" s="113">
        <v>324</v>
      </c>
      <c r="M19" s="113">
        <v>0</v>
      </c>
      <c r="N19" s="113">
        <v>405</v>
      </c>
      <c r="O19" s="459">
        <v>32</v>
      </c>
      <c r="P19" s="461">
        <f t="shared" si="2"/>
        <v>7</v>
      </c>
      <c r="Q19" s="582">
        <v>6</v>
      </c>
      <c r="R19" s="113">
        <v>4</v>
      </c>
      <c r="S19" s="113">
        <v>0</v>
      </c>
      <c r="T19" s="113">
        <v>2</v>
      </c>
      <c r="U19" s="460">
        <v>0</v>
      </c>
      <c r="V19" s="582">
        <v>1</v>
      </c>
      <c r="W19" s="113">
        <v>1</v>
      </c>
      <c r="X19" s="113">
        <v>0</v>
      </c>
      <c r="Y19" s="113">
        <v>0</v>
      </c>
      <c r="Z19" s="459">
        <v>0</v>
      </c>
      <c r="AA19" s="461">
        <f t="shared" si="3"/>
        <v>7</v>
      </c>
      <c r="AB19" s="582">
        <v>5</v>
      </c>
      <c r="AC19" s="113">
        <v>3</v>
      </c>
      <c r="AD19" s="113">
        <v>0</v>
      </c>
      <c r="AE19" s="113">
        <v>2</v>
      </c>
      <c r="AF19" s="460">
        <v>0</v>
      </c>
      <c r="AG19" s="582">
        <v>2</v>
      </c>
      <c r="AH19" s="113">
        <v>2</v>
      </c>
      <c r="AI19" s="113">
        <v>0</v>
      </c>
      <c r="AJ19" s="113">
        <v>0</v>
      </c>
      <c r="AK19" s="459">
        <v>0</v>
      </c>
      <c r="AL19" s="461">
        <v>29</v>
      </c>
      <c r="AM19" s="582">
        <v>25</v>
      </c>
      <c r="AN19" s="113">
        <v>13</v>
      </c>
      <c r="AO19" s="113">
        <v>0</v>
      </c>
      <c r="AP19" s="113">
        <v>12</v>
      </c>
      <c r="AQ19" s="460">
        <v>0</v>
      </c>
      <c r="AR19" s="582">
        <v>4</v>
      </c>
      <c r="AS19" s="113">
        <v>0</v>
      </c>
      <c r="AT19" s="113">
        <v>0</v>
      </c>
      <c r="AU19" s="113">
        <v>3</v>
      </c>
      <c r="AV19" s="459">
        <v>1</v>
      </c>
      <c r="AW19" s="461">
        <v>14</v>
      </c>
      <c r="AX19" s="582">
        <v>11</v>
      </c>
      <c r="AY19" s="113">
        <v>3</v>
      </c>
      <c r="AZ19" s="113">
        <v>0</v>
      </c>
      <c r="BA19" s="113">
        <v>8</v>
      </c>
      <c r="BB19" s="460">
        <v>0</v>
      </c>
      <c r="BC19" s="582">
        <v>3</v>
      </c>
      <c r="BD19" s="113">
        <v>1</v>
      </c>
      <c r="BE19" s="113">
        <v>0</v>
      </c>
      <c r="BF19" s="113">
        <v>2</v>
      </c>
      <c r="BG19" s="459">
        <v>0</v>
      </c>
      <c r="BH19" s="461">
        <v>18</v>
      </c>
      <c r="BI19" s="582">
        <v>16</v>
      </c>
      <c r="BJ19" s="113">
        <v>10</v>
      </c>
      <c r="BK19" s="113">
        <v>0</v>
      </c>
      <c r="BL19" s="113">
        <v>6</v>
      </c>
      <c r="BM19" s="460">
        <v>0</v>
      </c>
      <c r="BN19" s="582">
        <v>2</v>
      </c>
      <c r="BO19" s="113">
        <v>1</v>
      </c>
      <c r="BP19" s="113">
        <v>0</v>
      </c>
      <c r="BQ19" s="113">
        <v>1</v>
      </c>
      <c r="BR19" s="459">
        <v>0</v>
      </c>
      <c r="BS19" s="461">
        <v>32</v>
      </c>
      <c r="BT19" s="582">
        <v>31</v>
      </c>
      <c r="BU19" s="113">
        <v>18</v>
      </c>
      <c r="BV19" s="113">
        <v>0</v>
      </c>
      <c r="BW19" s="113">
        <v>13</v>
      </c>
      <c r="BX19" s="460">
        <v>0</v>
      </c>
      <c r="BY19" s="582">
        <v>1</v>
      </c>
      <c r="BZ19" s="113">
        <v>1</v>
      </c>
      <c r="CA19" s="113">
        <v>0</v>
      </c>
      <c r="CB19" s="113">
        <v>0</v>
      </c>
      <c r="CC19" s="459">
        <v>0</v>
      </c>
      <c r="CD19" s="461">
        <v>6</v>
      </c>
      <c r="CE19" s="582">
        <v>6</v>
      </c>
      <c r="CF19" s="113">
        <v>3</v>
      </c>
      <c r="CG19" s="113">
        <v>0</v>
      </c>
      <c r="CH19" s="113">
        <v>3</v>
      </c>
      <c r="CI19" s="460">
        <v>0</v>
      </c>
      <c r="CJ19" s="582">
        <v>0</v>
      </c>
      <c r="CK19" s="113">
        <v>0</v>
      </c>
      <c r="CL19" s="113">
        <v>0</v>
      </c>
      <c r="CM19" s="113">
        <v>0</v>
      </c>
      <c r="CN19" s="459">
        <v>0</v>
      </c>
      <c r="CO19" s="461">
        <v>5</v>
      </c>
      <c r="CP19" s="582">
        <v>5</v>
      </c>
      <c r="CQ19" s="113">
        <v>2</v>
      </c>
      <c r="CR19" s="113">
        <v>0</v>
      </c>
      <c r="CS19" s="113">
        <v>3</v>
      </c>
      <c r="CT19" s="460">
        <v>0</v>
      </c>
      <c r="CU19" s="582">
        <v>0</v>
      </c>
      <c r="CV19" s="113">
        <v>0</v>
      </c>
      <c r="CW19" s="113">
        <v>0</v>
      </c>
      <c r="CX19" s="113">
        <v>0</v>
      </c>
      <c r="CY19" s="459">
        <v>0</v>
      </c>
      <c r="CZ19" s="461">
        <v>4</v>
      </c>
      <c r="DA19" s="582">
        <v>3</v>
      </c>
      <c r="DB19" s="113">
        <v>3</v>
      </c>
      <c r="DC19" s="113">
        <v>0</v>
      </c>
      <c r="DD19" s="113">
        <v>0</v>
      </c>
      <c r="DE19" s="460">
        <v>0</v>
      </c>
      <c r="DF19" s="582">
        <v>1</v>
      </c>
      <c r="DG19" s="113">
        <v>1</v>
      </c>
      <c r="DH19" s="113">
        <v>0</v>
      </c>
      <c r="DI19" s="113">
        <v>0</v>
      </c>
      <c r="DJ19" s="459">
        <v>0</v>
      </c>
      <c r="DK19" s="461">
        <v>0</v>
      </c>
      <c r="DL19" s="582">
        <v>0</v>
      </c>
      <c r="DM19" s="113">
        <v>0</v>
      </c>
      <c r="DN19" s="113">
        <v>0</v>
      </c>
      <c r="DO19" s="113">
        <v>0</v>
      </c>
      <c r="DP19" s="460">
        <v>0</v>
      </c>
      <c r="DQ19" s="582">
        <v>0</v>
      </c>
      <c r="DR19" s="113">
        <v>0</v>
      </c>
      <c r="DS19" s="113">
        <v>0</v>
      </c>
      <c r="DT19" s="113">
        <v>0</v>
      </c>
      <c r="DU19" s="459">
        <v>0</v>
      </c>
      <c r="DW19" s="461">
        <f t="shared" si="4"/>
        <v>93</v>
      </c>
      <c r="DX19" s="582">
        <f t="shared" si="0"/>
        <v>83</v>
      </c>
      <c r="DY19" s="113">
        <f t="shared" si="0"/>
        <v>46</v>
      </c>
      <c r="DZ19" s="113">
        <f t="shared" si="0"/>
        <v>0</v>
      </c>
      <c r="EA19" s="113">
        <f t="shared" si="0"/>
        <v>37</v>
      </c>
      <c r="EB19" s="460">
        <f t="shared" si="0"/>
        <v>0</v>
      </c>
      <c r="EC19" s="582">
        <f t="shared" si="0"/>
        <v>10</v>
      </c>
      <c r="ED19" s="113">
        <f t="shared" si="0"/>
        <v>7</v>
      </c>
      <c r="EE19" s="113">
        <f t="shared" si="0"/>
        <v>0</v>
      </c>
      <c r="EF19" s="113">
        <f t="shared" si="0"/>
        <v>3</v>
      </c>
      <c r="EG19" s="459">
        <f t="shared" si="0"/>
        <v>0</v>
      </c>
      <c r="EH19" s="461">
        <f t="shared" si="5"/>
        <v>29</v>
      </c>
      <c r="EI19" s="582">
        <f t="shared" si="1"/>
        <v>25</v>
      </c>
      <c r="EJ19" s="113">
        <f t="shared" si="1"/>
        <v>13</v>
      </c>
      <c r="EK19" s="113">
        <f t="shared" si="1"/>
        <v>0</v>
      </c>
      <c r="EL19" s="113">
        <f t="shared" si="1"/>
        <v>12</v>
      </c>
      <c r="EM19" s="460">
        <f t="shared" si="1"/>
        <v>0</v>
      </c>
      <c r="EN19" s="582">
        <f t="shared" si="1"/>
        <v>4</v>
      </c>
      <c r="EO19" s="113">
        <f t="shared" si="1"/>
        <v>0</v>
      </c>
      <c r="EP19" s="113">
        <f t="shared" si="1"/>
        <v>0</v>
      </c>
      <c r="EQ19" s="113">
        <f t="shared" si="1"/>
        <v>3</v>
      </c>
      <c r="ER19" s="459">
        <f t="shared" si="1"/>
        <v>1</v>
      </c>
    </row>
    <row r="20" spans="2:148">
      <c r="B20" s="112" t="s">
        <v>414</v>
      </c>
      <c r="C20" s="217">
        <v>2020</v>
      </c>
      <c r="D20" s="446">
        <v>153874</v>
      </c>
      <c r="E20" s="461">
        <v>3476</v>
      </c>
      <c r="F20" s="582">
        <v>2833</v>
      </c>
      <c r="G20" s="113">
        <v>1358</v>
      </c>
      <c r="H20" s="113">
        <v>0</v>
      </c>
      <c r="I20" s="113">
        <v>1475</v>
      </c>
      <c r="J20" s="460">
        <v>0</v>
      </c>
      <c r="K20" s="582">
        <v>643</v>
      </c>
      <c r="L20" s="113">
        <v>219</v>
      </c>
      <c r="M20" s="113">
        <v>0</v>
      </c>
      <c r="N20" s="113">
        <v>384</v>
      </c>
      <c r="O20" s="459">
        <v>40</v>
      </c>
      <c r="P20" s="461">
        <f t="shared" si="2"/>
        <v>3</v>
      </c>
      <c r="Q20" s="582">
        <v>3</v>
      </c>
      <c r="R20" s="113">
        <v>2</v>
      </c>
      <c r="S20" s="113">
        <v>0</v>
      </c>
      <c r="T20" s="113">
        <v>1</v>
      </c>
      <c r="U20" s="460">
        <v>0</v>
      </c>
      <c r="V20" s="582">
        <v>0</v>
      </c>
      <c r="W20" s="113">
        <v>0</v>
      </c>
      <c r="X20" s="113">
        <v>0</v>
      </c>
      <c r="Y20" s="113">
        <v>0</v>
      </c>
      <c r="Z20" s="459">
        <v>0</v>
      </c>
      <c r="AA20" s="461">
        <f t="shared" si="3"/>
        <v>3</v>
      </c>
      <c r="AB20" s="582">
        <v>3</v>
      </c>
      <c r="AC20" s="113">
        <v>1</v>
      </c>
      <c r="AD20" s="113">
        <v>0</v>
      </c>
      <c r="AE20" s="113">
        <v>2</v>
      </c>
      <c r="AF20" s="460">
        <v>0</v>
      </c>
      <c r="AG20" s="582">
        <v>0</v>
      </c>
      <c r="AH20" s="113">
        <v>0</v>
      </c>
      <c r="AI20" s="113">
        <v>0</v>
      </c>
      <c r="AJ20" s="113">
        <v>0</v>
      </c>
      <c r="AK20" s="459">
        <v>0</v>
      </c>
      <c r="AL20" s="461">
        <f t="shared" ref="AL20:AL32" si="6">AM20+AR20</f>
        <v>34</v>
      </c>
      <c r="AM20" s="582">
        <v>32</v>
      </c>
      <c r="AN20" s="113">
        <v>18</v>
      </c>
      <c r="AO20" s="113">
        <v>0</v>
      </c>
      <c r="AP20" s="113">
        <v>14</v>
      </c>
      <c r="AQ20" s="460">
        <v>0</v>
      </c>
      <c r="AR20" s="582">
        <v>2</v>
      </c>
      <c r="AS20" s="113">
        <v>0</v>
      </c>
      <c r="AT20" s="113">
        <v>0</v>
      </c>
      <c r="AU20" s="113">
        <v>1</v>
      </c>
      <c r="AV20" s="459">
        <v>1</v>
      </c>
      <c r="AW20" s="461">
        <f t="shared" ref="AW20:AW32" si="7">AX20+BC20</f>
        <v>8</v>
      </c>
      <c r="AX20" s="582">
        <v>7</v>
      </c>
      <c r="AY20" s="113">
        <v>2</v>
      </c>
      <c r="AZ20" s="113">
        <v>0</v>
      </c>
      <c r="BA20" s="113">
        <v>5</v>
      </c>
      <c r="BB20" s="460">
        <v>0</v>
      </c>
      <c r="BC20" s="582">
        <v>1</v>
      </c>
      <c r="BD20" s="113">
        <v>1</v>
      </c>
      <c r="BE20" s="113">
        <v>0</v>
      </c>
      <c r="BF20" s="113">
        <v>0</v>
      </c>
      <c r="BG20" s="459">
        <v>0</v>
      </c>
      <c r="BH20" s="461">
        <f t="shared" ref="BH20:BH32" si="8">BI20+BN20</f>
        <v>21</v>
      </c>
      <c r="BI20" s="582">
        <v>19</v>
      </c>
      <c r="BJ20" s="113">
        <v>10</v>
      </c>
      <c r="BK20" s="113">
        <v>0</v>
      </c>
      <c r="BL20" s="113">
        <v>9</v>
      </c>
      <c r="BM20" s="460">
        <v>0</v>
      </c>
      <c r="BN20" s="582">
        <v>2</v>
      </c>
      <c r="BO20" s="113">
        <v>0</v>
      </c>
      <c r="BP20" s="113">
        <v>0</v>
      </c>
      <c r="BQ20" s="113">
        <v>2</v>
      </c>
      <c r="BR20" s="459">
        <v>0</v>
      </c>
      <c r="BS20" s="461">
        <f t="shared" ref="BS20:BS32" si="9">BT20+BY20</f>
        <v>50</v>
      </c>
      <c r="BT20" s="582">
        <v>41</v>
      </c>
      <c r="BU20" s="113">
        <v>15</v>
      </c>
      <c r="BV20" s="113">
        <v>0</v>
      </c>
      <c r="BW20" s="113">
        <v>26</v>
      </c>
      <c r="BX20" s="460">
        <v>0</v>
      </c>
      <c r="BY20" s="582">
        <v>9</v>
      </c>
      <c r="BZ20" s="113">
        <v>1</v>
      </c>
      <c r="CA20" s="113">
        <v>0</v>
      </c>
      <c r="CB20" s="113">
        <v>8</v>
      </c>
      <c r="CC20" s="459">
        <v>0</v>
      </c>
      <c r="CD20" s="461">
        <f t="shared" ref="CD20:CD32" si="10">CE20+CJ20</f>
        <v>4</v>
      </c>
      <c r="CE20" s="582">
        <v>4</v>
      </c>
      <c r="CF20" s="113">
        <v>2</v>
      </c>
      <c r="CG20" s="113">
        <v>0</v>
      </c>
      <c r="CH20" s="113">
        <v>2</v>
      </c>
      <c r="CI20" s="460">
        <v>0</v>
      </c>
      <c r="CJ20" s="582">
        <v>0</v>
      </c>
      <c r="CK20" s="113">
        <v>0</v>
      </c>
      <c r="CL20" s="113">
        <v>0</v>
      </c>
      <c r="CM20" s="113">
        <v>0</v>
      </c>
      <c r="CN20" s="459">
        <v>0</v>
      </c>
      <c r="CO20" s="461">
        <f t="shared" ref="CO20:CO32" si="11">CP20+CU20</f>
        <v>3</v>
      </c>
      <c r="CP20" s="582">
        <v>1</v>
      </c>
      <c r="CQ20" s="113">
        <v>0</v>
      </c>
      <c r="CR20" s="113">
        <v>0</v>
      </c>
      <c r="CS20" s="113">
        <v>1</v>
      </c>
      <c r="CT20" s="460">
        <v>0</v>
      </c>
      <c r="CU20" s="582">
        <v>2</v>
      </c>
      <c r="CV20" s="113">
        <v>1</v>
      </c>
      <c r="CW20" s="113">
        <v>0</v>
      </c>
      <c r="CX20" s="113">
        <v>1</v>
      </c>
      <c r="CY20" s="459">
        <v>0</v>
      </c>
      <c r="CZ20" s="461">
        <f t="shared" ref="CZ20:CZ32" si="12">DA20+DF20</f>
        <v>1</v>
      </c>
      <c r="DA20" s="582">
        <v>1</v>
      </c>
      <c r="DB20" s="113">
        <v>1</v>
      </c>
      <c r="DC20" s="113">
        <v>0</v>
      </c>
      <c r="DD20" s="113">
        <v>0</v>
      </c>
      <c r="DE20" s="460">
        <v>0</v>
      </c>
      <c r="DF20" s="582">
        <v>0</v>
      </c>
      <c r="DG20" s="113">
        <v>0</v>
      </c>
      <c r="DH20" s="113">
        <v>0</v>
      </c>
      <c r="DI20" s="113">
        <v>0</v>
      </c>
      <c r="DJ20" s="459">
        <v>0</v>
      </c>
      <c r="DK20" s="461">
        <f t="shared" ref="DK20:DK32" si="13">DL20+DQ20</f>
        <v>0</v>
      </c>
      <c r="DL20" s="582">
        <v>0</v>
      </c>
      <c r="DM20" s="113">
        <v>0</v>
      </c>
      <c r="DN20" s="113">
        <v>0</v>
      </c>
      <c r="DO20" s="113">
        <v>0</v>
      </c>
      <c r="DP20" s="460">
        <v>0</v>
      </c>
      <c r="DQ20" s="582">
        <v>0</v>
      </c>
      <c r="DR20" s="113">
        <v>0</v>
      </c>
      <c r="DS20" s="113">
        <v>0</v>
      </c>
      <c r="DT20" s="113">
        <v>0</v>
      </c>
      <c r="DU20" s="459">
        <v>0</v>
      </c>
      <c r="DW20" s="461">
        <f t="shared" si="4"/>
        <v>93</v>
      </c>
      <c r="DX20" s="582">
        <f t="shared" si="0"/>
        <v>79</v>
      </c>
      <c r="DY20" s="113">
        <f t="shared" si="0"/>
        <v>33</v>
      </c>
      <c r="DZ20" s="113">
        <f t="shared" si="0"/>
        <v>0</v>
      </c>
      <c r="EA20" s="113">
        <f t="shared" si="0"/>
        <v>46</v>
      </c>
      <c r="EB20" s="460">
        <f t="shared" si="0"/>
        <v>0</v>
      </c>
      <c r="EC20" s="582">
        <f t="shared" si="0"/>
        <v>14</v>
      </c>
      <c r="ED20" s="113">
        <f t="shared" si="0"/>
        <v>3</v>
      </c>
      <c r="EE20" s="113">
        <f t="shared" si="0"/>
        <v>0</v>
      </c>
      <c r="EF20" s="113">
        <f t="shared" si="0"/>
        <v>11</v>
      </c>
      <c r="EG20" s="459">
        <f t="shared" si="0"/>
        <v>0</v>
      </c>
      <c r="EH20" s="461">
        <f t="shared" si="5"/>
        <v>34</v>
      </c>
      <c r="EI20" s="582">
        <f t="shared" si="1"/>
        <v>32</v>
      </c>
      <c r="EJ20" s="113">
        <f t="shared" si="1"/>
        <v>18</v>
      </c>
      <c r="EK20" s="113">
        <f t="shared" si="1"/>
        <v>0</v>
      </c>
      <c r="EL20" s="113">
        <f t="shared" si="1"/>
        <v>14</v>
      </c>
      <c r="EM20" s="460">
        <f t="shared" si="1"/>
        <v>0</v>
      </c>
      <c r="EN20" s="582">
        <f t="shared" si="1"/>
        <v>2</v>
      </c>
      <c r="EO20" s="113">
        <f t="shared" si="1"/>
        <v>0</v>
      </c>
      <c r="EP20" s="113">
        <f t="shared" si="1"/>
        <v>0</v>
      </c>
      <c r="EQ20" s="113">
        <f t="shared" si="1"/>
        <v>1</v>
      </c>
      <c r="ER20" s="459">
        <f t="shared" si="1"/>
        <v>1</v>
      </c>
    </row>
    <row r="21" spans="2:148">
      <c r="B21" s="112" t="s">
        <v>415</v>
      </c>
      <c r="C21" s="217">
        <v>2021</v>
      </c>
      <c r="D21" s="446">
        <v>141819</v>
      </c>
      <c r="E21" s="461">
        <v>3362</v>
      </c>
      <c r="F21" s="582">
        <v>2600</v>
      </c>
      <c r="G21" s="113">
        <v>1018</v>
      </c>
      <c r="H21" s="113">
        <v>0</v>
      </c>
      <c r="I21" s="113">
        <v>1582</v>
      </c>
      <c r="J21" s="460">
        <v>0</v>
      </c>
      <c r="K21" s="582">
        <v>762</v>
      </c>
      <c r="L21" s="113">
        <v>183</v>
      </c>
      <c r="M21" s="113">
        <v>0</v>
      </c>
      <c r="N21" s="113">
        <v>512</v>
      </c>
      <c r="O21" s="459">
        <v>67</v>
      </c>
      <c r="P21" s="461">
        <f t="shared" si="2"/>
        <v>5</v>
      </c>
      <c r="Q21" s="582">
        <v>4</v>
      </c>
      <c r="R21" s="113">
        <v>1</v>
      </c>
      <c r="S21" s="113">
        <v>0</v>
      </c>
      <c r="T21" s="113">
        <v>3</v>
      </c>
      <c r="U21" s="460">
        <v>0</v>
      </c>
      <c r="V21" s="582">
        <v>1</v>
      </c>
      <c r="W21" s="113">
        <v>1</v>
      </c>
      <c r="X21" s="113">
        <v>0</v>
      </c>
      <c r="Y21" s="113">
        <v>0</v>
      </c>
      <c r="Z21" s="459">
        <v>0</v>
      </c>
      <c r="AA21" s="461">
        <f t="shared" si="3"/>
        <v>4</v>
      </c>
      <c r="AB21" s="582">
        <v>4</v>
      </c>
      <c r="AC21" s="113">
        <v>3</v>
      </c>
      <c r="AD21" s="113">
        <v>0</v>
      </c>
      <c r="AE21" s="113">
        <v>1</v>
      </c>
      <c r="AF21" s="460">
        <v>0</v>
      </c>
      <c r="AG21" s="582">
        <v>0</v>
      </c>
      <c r="AH21" s="113">
        <v>0</v>
      </c>
      <c r="AI21" s="113">
        <v>0</v>
      </c>
      <c r="AJ21" s="113">
        <v>0</v>
      </c>
      <c r="AK21" s="459">
        <v>0</v>
      </c>
      <c r="AL21" s="461">
        <f t="shared" si="6"/>
        <v>30</v>
      </c>
      <c r="AM21" s="582">
        <v>24</v>
      </c>
      <c r="AN21" s="113">
        <v>12</v>
      </c>
      <c r="AO21" s="113">
        <v>0</v>
      </c>
      <c r="AP21" s="113">
        <v>12</v>
      </c>
      <c r="AQ21" s="460">
        <v>0</v>
      </c>
      <c r="AR21" s="582">
        <v>6</v>
      </c>
      <c r="AS21" s="113">
        <v>3</v>
      </c>
      <c r="AT21" s="113">
        <v>0</v>
      </c>
      <c r="AU21" s="113">
        <v>3</v>
      </c>
      <c r="AV21" s="459">
        <v>0</v>
      </c>
      <c r="AW21" s="461">
        <f t="shared" si="7"/>
        <v>11</v>
      </c>
      <c r="AX21" s="582">
        <v>11</v>
      </c>
      <c r="AY21" s="113">
        <v>4</v>
      </c>
      <c r="AZ21" s="113">
        <v>0</v>
      </c>
      <c r="BA21" s="113">
        <v>7</v>
      </c>
      <c r="BB21" s="460">
        <v>0</v>
      </c>
      <c r="BC21" s="582">
        <v>0</v>
      </c>
      <c r="BD21" s="113">
        <v>0</v>
      </c>
      <c r="BE21" s="113">
        <v>0</v>
      </c>
      <c r="BF21" s="113">
        <v>0</v>
      </c>
      <c r="BG21" s="459">
        <v>0</v>
      </c>
      <c r="BH21" s="461">
        <f t="shared" si="8"/>
        <v>29</v>
      </c>
      <c r="BI21" s="582">
        <v>24</v>
      </c>
      <c r="BJ21" s="113">
        <v>13</v>
      </c>
      <c r="BK21" s="113">
        <v>0</v>
      </c>
      <c r="BL21" s="113">
        <v>11</v>
      </c>
      <c r="BM21" s="460">
        <v>0</v>
      </c>
      <c r="BN21" s="582">
        <v>5</v>
      </c>
      <c r="BO21" s="113">
        <v>0</v>
      </c>
      <c r="BP21" s="113">
        <v>0</v>
      </c>
      <c r="BQ21" s="113">
        <v>4</v>
      </c>
      <c r="BR21" s="459">
        <v>1</v>
      </c>
      <c r="BS21" s="461">
        <f t="shared" si="9"/>
        <v>31</v>
      </c>
      <c r="BT21" s="582">
        <v>28</v>
      </c>
      <c r="BU21" s="113">
        <v>15</v>
      </c>
      <c r="BV21" s="113">
        <v>0</v>
      </c>
      <c r="BW21" s="113">
        <v>13</v>
      </c>
      <c r="BX21" s="460">
        <v>0</v>
      </c>
      <c r="BY21" s="582">
        <v>3</v>
      </c>
      <c r="BZ21" s="113">
        <v>1</v>
      </c>
      <c r="CA21" s="113">
        <v>0</v>
      </c>
      <c r="CB21" s="113">
        <v>2</v>
      </c>
      <c r="CC21" s="459">
        <v>0</v>
      </c>
      <c r="CD21" s="461">
        <f t="shared" si="10"/>
        <v>3</v>
      </c>
      <c r="CE21" s="582">
        <v>3</v>
      </c>
      <c r="CF21" s="113">
        <v>0</v>
      </c>
      <c r="CG21" s="113">
        <v>0</v>
      </c>
      <c r="CH21" s="113">
        <v>3</v>
      </c>
      <c r="CI21" s="460">
        <v>0</v>
      </c>
      <c r="CJ21" s="582">
        <v>0</v>
      </c>
      <c r="CK21" s="113">
        <v>0</v>
      </c>
      <c r="CL21" s="113">
        <v>0</v>
      </c>
      <c r="CM21" s="113">
        <v>0</v>
      </c>
      <c r="CN21" s="459">
        <v>0</v>
      </c>
      <c r="CO21" s="461">
        <f t="shared" si="11"/>
        <v>5</v>
      </c>
      <c r="CP21" s="582">
        <v>4</v>
      </c>
      <c r="CQ21" s="113">
        <v>3</v>
      </c>
      <c r="CR21" s="113">
        <v>0</v>
      </c>
      <c r="CS21" s="113">
        <v>1</v>
      </c>
      <c r="CT21" s="460">
        <v>0</v>
      </c>
      <c r="CU21" s="582">
        <v>1</v>
      </c>
      <c r="CV21" s="113">
        <v>0</v>
      </c>
      <c r="CW21" s="113">
        <v>0</v>
      </c>
      <c r="CX21" s="113">
        <v>1</v>
      </c>
      <c r="CY21" s="459">
        <v>0</v>
      </c>
      <c r="CZ21" s="461">
        <f t="shared" si="12"/>
        <v>1</v>
      </c>
      <c r="DA21" s="582">
        <v>1</v>
      </c>
      <c r="DB21" s="113">
        <v>0</v>
      </c>
      <c r="DC21" s="113">
        <v>0</v>
      </c>
      <c r="DD21" s="113">
        <v>1</v>
      </c>
      <c r="DE21" s="460">
        <v>0</v>
      </c>
      <c r="DF21" s="582">
        <v>0</v>
      </c>
      <c r="DG21" s="113">
        <v>0</v>
      </c>
      <c r="DH21" s="113">
        <v>0</v>
      </c>
      <c r="DI21" s="113">
        <v>0</v>
      </c>
      <c r="DJ21" s="459">
        <v>0</v>
      </c>
      <c r="DK21" s="461">
        <f t="shared" si="13"/>
        <v>0</v>
      </c>
      <c r="DL21" s="582">
        <v>0</v>
      </c>
      <c r="DM21" s="113">
        <v>0</v>
      </c>
      <c r="DN21" s="113">
        <v>0</v>
      </c>
      <c r="DO21" s="113">
        <v>0</v>
      </c>
      <c r="DP21" s="460">
        <v>0</v>
      </c>
      <c r="DQ21" s="582">
        <v>0</v>
      </c>
      <c r="DR21" s="113">
        <v>0</v>
      </c>
      <c r="DS21" s="113">
        <v>0</v>
      </c>
      <c r="DT21" s="113">
        <v>0</v>
      </c>
      <c r="DU21" s="459">
        <v>0</v>
      </c>
      <c r="DW21" s="461">
        <f t="shared" si="4"/>
        <v>89</v>
      </c>
      <c r="DX21" s="582">
        <f t="shared" si="4"/>
        <v>79</v>
      </c>
      <c r="DY21" s="113">
        <f t="shared" si="4"/>
        <v>39</v>
      </c>
      <c r="DZ21" s="113">
        <f t="shared" si="4"/>
        <v>0</v>
      </c>
      <c r="EA21" s="113">
        <f t="shared" si="4"/>
        <v>40</v>
      </c>
      <c r="EB21" s="460">
        <f t="shared" si="4"/>
        <v>0</v>
      </c>
      <c r="EC21" s="582">
        <f t="shared" si="4"/>
        <v>10</v>
      </c>
      <c r="ED21" s="113">
        <f t="shared" si="4"/>
        <v>2</v>
      </c>
      <c r="EE21" s="113">
        <f t="shared" si="4"/>
        <v>0</v>
      </c>
      <c r="EF21" s="113">
        <f t="shared" si="4"/>
        <v>7</v>
      </c>
      <c r="EG21" s="459">
        <f t="shared" si="4"/>
        <v>1</v>
      </c>
      <c r="EH21" s="461">
        <f t="shared" si="5"/>
        <v>30</v>
      </c>
      <c r="EI21" s="582">
        <f t="shared" si="5"/>
        <v>24</v>
      </c>
      <c r="EJ21" s="113">
        <f t="shared" si="5"/>
        <v>12</v>
      </c>
      <c r="EK21" s="113">
        <f t="shared" si="5"/>
        <v>0</v>
      </c>
      <c r="EL21" s="113">
        <f t="shared" si="5"/>
        <v>12</v>
      </c>
      <c r="EM21" s="460">
        <f t="shared" si="5"/>
        <v>0</v>
      </c>
      <c r="EN21" s="582">
        <f t="shared" si="5"/>
        <v>6</v>
      </c>
      <c r="EO21" s="113">
        <f t="shared" si="5"/>
        <v>3</v>
      </c>
      <c r="EP21" s="113">
        <f t="shared" si="5"/>
        <v>0</v>
      </c>
      <c r="EQ21" s="113">
        <f t="shared" si="5"/>
        <v>3</v>
      </c>
      <c r="ER21" s="459">
        <f t="shared" si="5"/>
        <v>0</v>
      </c>
    </row>
    <row r="22" spans="2:148">
      <c r="B22" s="112" t="s">
        <v>416</v>
      </c>
      <c r="C22" s="217">
        <v>2021</v>
      </c>
      <c r="D22" s="446">
        <v>180181</v>
      </c>
      <c r="E22" s="461">
        <v>5148</v>
      </c>
      <c r="F22" s="582">
        <v>3762</v>
      </c>
      <c r="G22" s="113">
        <v>1702</v>
      </c>
      <c r="H22" s="113">
        <v>0</v>
      </c>
      <c r="I22" s="113">
        <v>2060</v>
      </c>
      <c r="J22" s="460">
        <v>0</v>
      </c>
      <c r="K22" s="582">
        <v>1386</v>
      </c>
      <c r="L22" s="113">
        <v>267</v>
      </c>
      <c r="M22" s="113">
        <v>0</v>
      </c>
      <c r="N22" s="113">
        <v>1063</v>
      </c>
      <c r="O22" s="459">
        <v>56</v>
      </c>
      <c r="P22" s="461">
        <f t="shared" si="2"/>
        <v>3</v>
      </c>
      <c r="Q22" s="582">
        <v>3</v>
      </c>
      <c r="R22" s="113">
        <v>2</v>
      </c>
      <c r="S22" s="113">
        <v>0</v>
      </c>
      <c r="T22" s="113">
        <v>1</v>
      </c>
      <c r="U22" s="460">
        <v>0</v>
      </c>
      <c r="V22" s="582">
        <v>0</v>
      </c>
      <c r="W22" s="113">
        <v>0</v>
      </c>
      <c r="X22" s="113">
        <v>0</v>
      </c>
      <c r="Y22" s="113">
        <v>0</v>
      </c>
      <c r="Z22" s="459">
        <v>0</v>
      </c>
      <c r="AA22" s="461">
        <f t="shared" si="3"/>
        <v>4</v>
      </c>
      <c r="AB22" s="582">
        <v>3</v>
      </c>
      <c r="AC22" s="113">
        <v>0</v>
      </c>
      <c r="AD22" s="113">
        <v>0</v>
      </c>
      <c r="AE22" s="113">
        <v>3</v>
      </c>
      <c r="AF22" s="460">
        <v>0</v>
      </c>
      <c r="AG22" s="582">
        <v>1</v>
      </c>
      <c r="AH22" s="113">
        <v>1</v>
      </c>
      <c r="AI22" s="113">
        <v>0</v>
      </c>
      <c r="AJ22" s="113">
        <v>0</v>
      </c>
      <c r="AK22" s="459">
        <v>0</v>
      </c>
      <c r="AL22" s="461">
        <f t="shared" si="6"/>
        <v>56</v>
      </c>
      <c r="AM22" s="582">
        <v>39</v>
      </c>
      <c r="AN22" s="113">
        <v>18</v>
      </c>
      <c r="AO22" s="113">
        <v>0</v>
      </c>
      <c r="AP22" s="113">
        <v>21</v>
      </c>
      <c r="AQ22" s="460">
        <v>0</v>
      </c>
      <c r="AR22" s="582">
        <v>17</v>
      </c>
      <c r="AS22" s="113">
        <v>3</v>
      </c>
      <c r="AT22" s="113">
        <v>0</v>
      </c>
      <c r="AU22" s="113">
        <v>14</v>
      </c>
      <c r="AV22" s="459">
        <v>0</v>
      </c>
      <c r="AW22" s="461">
        <f t="shared" si="7"/>
        <v>24</v>
      </c>
      <c r="AX22" s="582">
        <v>20</v>
      </c>
      <c r="AY22" s="113">
        <v>11</v>
      </c>
      <c r="AZ22" s="113">
        <v>0</v>
      </c>
      <c r="BA22" s="113">
        <v>9</v>
      </c>
      <c r="BB22" s="460">
        <v>0</v>
      </c>
      <c r="BC22" s="582">
        <v>4</v>
      </c>
      <c r="BD22" s="113">
        <v>2</v>
      </c>
      <c r="BE22" s="113">
        <v>0</v>
      </c>
      <c r="BF22" s="113">
        <v>2</v>
      </c>
      <c r="BG22" s="459">
        <v>0</v>
      </c>
      <c r="BH22" s="461">
        <f t="shared" si="8"/>
        <v>45</v>
      </c>
      <c r="BI22" s="582">
        <v>38</v>
      </c>
      <c r="BJ22" s="113">
        <v>17</v>
      </c>
      <c r="BK22" s="113">
        <v>0</v>
      </c>
      <c r="BL22" s="113">
        <v>21</v>
      </c>
      <c r="BM22" s="460">
        <v>0</v>
      </c>
      <c r="BN22" s="582">
        <v>7</v>
      </c>
      <c r="BO22" s="113">
        <v>2</v>
      </c>
      <c r="BP22" s="113">
        <v>0</v>
      </c>
      <c r="BQ22" s="113">
        <v>4</v>
      </c>
      <c r="BR22" s="459">
        <v>1</v>
      </c>
      <c r="BS22" s="461">
        <f t="shared" si="9"/>
        <v>46</v>
      </c>
      <c r="BT22" s="582">
        <v>38</v>
      </c>
      <c r="BU22" s="113">
        <v>16</v>
      </c>
      <c r="BV22" s="113">
        <v>0</v>
      </c>
      <c r="BW22" s="113">
        <v>22</v>
      </c>
      <c r="BX22" s="460">
        <v>0</v>
      </c>
      <c r="BY22" s="582">
        <v>8</v>
      </c>
      <c r="BZ22" s="113">
        <v>3</v>
      </c>
      <c r="CA22" s="113">
        <v>0</v>
      </c>
      <c r="CB22" s="113">
        <v>5</v>
      </c>
      <c r="CC22" s="459">
        <v>0</v>
      </c>
      <c r="CD22" s="461">
        <f t="shared" si="10"/>
        <v>8</v>
      </c>
      <c r="CE22" s="582">
        <v>6</v>
      </c>
      <c r="CF22" s="113">
        <v>0</v>
      </c>
      <c r="CG22" s="113">
        <v>0</v>
      </c>
      <c r="CH22" s="113">
        <v>6</v>
      </c>
      <c r="CI22" s="460">
        <v>0</v>
      </c>
      <c r="CJ22" s="582">
        <v>2</v>
      </c>
      <c r="CK22" s="113">
        <v>0</v>
      </c>
      <c r="CL22" s="113">
        <v>0</v>
      </c>
      <c r="CM22" s="113">
        <v>2</v>
      </c>
      <c r="CN22" s="459">
        <v>0</v>
      </c>
      <c r="CO22" s="461">
        <f t="shared" si="11"/>
        <v>6</v>
      </c>
      <c r="CP22" s="582">
        <v>4</v>
      </c>
      <c r="CQ22" s="113">
        <v>1</v>
      </c>
      <c r="CR22" s="113">
        <v>0</v>
      </c>
      <c r="CS22" s="113">
        <v>3</v>
      </c>
      <c r="CT22" s="460">
        <v>0</v>
      </c>
      <c r="CU22" s="582">
        <v>2</v>
      </c>
      <c r="CV22" s="113">
        <v>0</v>
      </c>
      <c r="CW22" s="113">
        <v>0</v>
      </c>
      <c r="CX22" s="113">
        <v>2</v>
      </c>
      <c r="CY22" s="459">
        <v>0</v>
      </c>
      <c r="CZ22" s="461">
        <f t="shared" si="12"/>
        <v>1</v>
      </c>
      <c r="DA22" s="582">
        <v>1</v>
      </c>
      <c r="DB22" s="113">
        <v>0</v>
      </c>
      <c r="DC22" s="113">
        <v>0</v>
      </c>
      <c r="DD22" s="113">
        <v>1</v>
      </c>
      <c r="DE22" s="460">
        <v>0</v>
      </c>
      <c r="DF22" s="582">
        <v>0</v>
      </c>
      <c r="DG22" s="113">
        <v>0</v>
      </c>
      <c r="DH22" s="113">
        <v>0</v>
      </c>
      <c r="DI22" s="113">
        <v>0</v>
      </c>
      <c r="DJ22" s="459">
        <v>0</v>
      </c>
      <c r="DK22" s="461">
        <f t="shared" si="13"/>
        <v>0</v>
      </c>
      <c r="DL22" s="582">
        <v>0</v>
      </c>
      <c r="DM22" s="113">
        <v>0</v>
      </c>
      <c r="DN22" s="113">
        <v>0</v>
      </c>
      <c r="DO22" s="113">
        <v>0</v>
      </c>
      <c r="DP22" s="460">
        <v>0</v>
      </c>
      <c r="DQ22" s="582">
        <v>0</v>
      </c>
      <c r="DR22" s="113">
        <v>0</v>
      </c>
      <c r="DS22" s="113">
        <v>0</v>
      </c>
      <c r="DT22" s="113">
        <v>0</v>
      </c>
      <c r="DU22" s="459">
        <v>0</v>
      </c>
      <c r="DW22" s="461">
        <f t="shared" si="4"/>
        <v>137</v>
      </c>
      <c r="DX22" s="582">
        <f t="shared" si="4"/>
        <v>113</v>
      </c>
      <c r="DY22" s="113">
        <f t="shared" si="4"/>
        <v>47</v>
      </c>
      <c r="DZ22" s="113">
        <f t="shared" si="4"/>
        <v>0</v>
      </c>
      <c r="EA22" s="113">
        <f t="shared" si="4"/>
        <v>66</v>
      </c>
      <c r="EB22" s="460">
        <f t="shared" si="4"/>
        <v>0</v>
      </c>
      <c r="EC22" s="582">
        <f t="shared" si="4"/>
        <v>24</v>
      </c>
      <c r="ED22" s="113">
        <f t="shared" si="4"/>
        <v>8</v>
      </c>
      <c r="EE22" s="113">
        <f t="shared" si="4"/>
        <v>0</v>
      </c>
      <c r="EF22" s="113">
        <f t="shared" si="4"/>
        <v>15</v>
      </c>
      <c r="EG22" s="459">
        <f t="shared" si="4"/>
        <v>1</v>
      </c>
      <c r="EH22" s="461">
        <f t="shared" si="5"/>
        <v>56</v>
      </c>
      <c r="EI22" s="582">
        <f t="shared" si="5"/>
        <v>39</v>
      </c>
      <c r="EJ22" s="113">
        <f t="shared" si="5"/>
        <v>18</v>
      </c>
      <c r="EK22" s="113">
        <f t="shared" si="5"/>
        <v>0</v>
      </c>
      <c r="EL22" s="113">
        <f t="shared" si="5"/>
        <v>21</v>
      </c>
      <c r="EM22" s="460">
        <f t="shared" si="5"/>
        <v>0</v>
      </c>
      <c r="EN22" s="582">
        <f t="shared" si="5"/>
        <v>17</v>
      </c>
      <c r="EO22" s="113">
        <f t="shared" si="5"/>
        <v>3</v>
      </c>
      <c r="EP22" s="113">
        <f t="shared" si="5"/>
        <v>0</v>
      </c>
      <c r="EQ22" s="113">
        <f t="shared" si="5"/>
        <v>14</v>
      </c>
      <c r="ER22" s="459">
        <f t="shared" si="5"/>
        <v>0</v>
      </c>
    </row>
    <row r="23" spans="2:148">
      <c r="B23" s="112" t="s">
        <v>417</v>
      </c>
      <c r="C23" s="217">
        <v>2021</v>
      </c>
      <c r="D23" s="446">
        <v>174638</v>
      </c>
      <c r="E23" s="461">
        <v>5171</v>
      </c>
      <c r="F23" s="582">
        <v>3672</v>
      </c>
      <c r="G23" s="113">
        <v>2018</v>
      </c>
      <c r="H23" s="113">
        <v>0</v>
      </c>
      <c r="I23" s="113">
        <v>1654</v>
      </c>
      <c r="J23" s="460">
        <v>0</v>
      </c>
      <c r="K23" s="582">
        <v>1499</v>
      </c>
      <c r="L23" s="113">
        <v>382</v>
      </c>
      <c r="M23" s="113">
        <v>0</v>
      </c>
      <c r="N23" s="113">
        <v>987</v>
      </c>
      <c r="O23" s="459">
        <v>130</v>
      </c>
      <c r="P23" s="461">
        <f t="shared" si="2"/>
        <v>9</v>
      </c>
      <c r="Q23" s="582">
        <v>5</v>
      </c>
      <c r="R23" s="113">
        <v>4</v>
      </c>
      <c r="S23" s="113">
        <v>0</v>
      </c>
      <c r="T23" s="113">
        <v>1</v>
      </c>
      <c r="U23" s="460">
        <v>0</v>
      </c>
      <c r="V23" s="582">
        <v>4</v>
      </c>
      <c r="W23" s="113">
        <v>2</v>
      </c>
      <c r="X23" s="113">
        <v>0</v>
      </c>
      <c r="Y23" s="113">
        <v>1</v>
      </c>
      <c r="Z23" s="459">
        <v>1</v>
      </c>
      <c r="AA23" s="461">
        <f t="shared" si="3"/>
        <v>3</v>
      </c>
      <c r="AB23" s="582">
        <v>2</v>
      </c>
      <c r="AC23" s="113">
        <v>0</v>
      </c>
      <c r="AD23" s="113">
        <v>0</v>
      </c>
      <c r="AE23" s="113">
        <v>2</v>
      </c>
      <c r="AF23" s="460">
        <v>0</v>
      </c>
      <c r="AG23" s="582">
        <v>1</v>
      </c>
      <c r="AH23" s="113">
        <v>1</v>
      </c>
      <c r="AI23" s="113">
        <v>0</v>
      </c>
      <c r="AJ23" s="113">
        <v>0</v>
      </c>
      <c r="AK23" s="459">
        <v>0</v>
      </c>
      <c r="AL23" s="461">
        <f t="shared" si="6"/>
        <v>58</v>
      </c>
      <c r="AM23" s="582">
        <v>43</v>
      </c>
      <c r="AN23" s="113">
        <v>26</v>
      </c>
      <c r="AO23" s="113">
        <v>0</v>
      </c>
      <c r="AP23" s="113">
        <v>17</v>
      </c>
      <c r="AQ23" s="460">
        <v>0</v>
      </c>
      <c r="AR23" s="582">
        <v>15</v>
      </c>
      <c r="AS23" s="113">
        <v>3</v>
      </c>
      <c r="AT23" s="113">
        <v>0</v>
      </c>
      <c r="AU23" s="113">
        <v>12</v>
      </c>
      <c r="AV23" s="459">
        <v>0</v>
      </c>
      <c r="AW23" s="461">
        <f t="shared" si="7"/>
        <v>29</v>
      </c>
      <c r="AX23" s="582">
        <v>23</v>
      </c>
      <c r="AY23" s="113">
        <v>17</v>
      </c>
      <c r="AZ23" s="113">
        <v>0</v>
      </c>
      <c r="BA23" s="113">
        <v>6</v>
      </c>
      <c r="BB23" s="460">
        <v>0</v>
      </c>
      <c r="BC23" s="582">
        <v>6</v>
      </c>
      <c r="BD23" s="113">
        <v>3</v>
      </c>
      <c r="BE23" s="113">
        <v>0</v>
      </c>
      <c r="BF23" s="113">
        <v>2</v>
      </c>
      <c r="BG23" s="459">
        <v>1</v>
      </c>
      <c r="BH23" s="461">
        <f t="shared" si="8"/>
        <v>51</v>
      </c>
      <c r="BI23" s="582">
        <v>40</v>
      </c>
      <c r="BJ23" s="113">
        <v>25</v>
      </c>
      <c r="BK23" s="113">
        <v>0</v>
      </c>
      <c r="BL23" s="113">
        <v>15</v>
      </c>
      <c r="BM23" s="460">
        <v>0</v>
      </c>
      <c r="BN23" s="582">
        <v>11</v>
      </c>
      <c r="BO23" s="113">
        <v>0</v>
      </c>
      <c r="BP23" s="113">
        <v>0</v>
      </c>
      <c r="BQ23" s="113">
        <v>10</v>
      </c>
      <c r="BR23" s="459">
        <v>1</v>
      </c>
      <c r="BS23" s="461">
        <f t="shared" si="9"/>
        <v>52</v>
      </c>
      <c r="BT23" s="582">
        <v>39</v>
      </c>
      <c r="BU23" s="113">
        <v>22</v>
      </c>
      <c r="BV23" s="113">
        <v>0</v>
      </c>
      <c r="BW23" s="113">
        <v>17</v>
      </c>
      <c r="BX23" s="460">
        <v>0</v>
      </c>
      <c r="BY23" s="582">
        <v>13</v>
      </c>
      <c r="BZ23" s="113">
        <v>4</v>
      </c>
      <c r="CA23" s="113">
        <v>0</v>
      </c>
      <c r="CB23" s="113">
        <v>7</v>
      </c>
      <c r="CC23" s="459">
        <v>2</v>
      </c>
      <c r="CD23" s="461">
        <f t="shared" si="10"/>
        <v>7</v>
      </c>
      <c r="CE23" s="582">
        <v>6</v>
      </c>
      <c r="CF23" s="113">
        <v>2</v>
      </c>
      <c r="CG23" s="113">
        <v>0</v>
      </c>
      <c r="CH23" s="113">
        <v>4</v>
      </c>
      <c r="CI23" s="460">
        <v>0</v>
      </c>
      <c r="CJ23" s="582">
        <v>1</v>
      </c>
      <c r="CK23" s="113">
        <v>0</v>
      </c>
      <c r="CL23" s="113">
        <v>0</v>
      </c>
      <c r="CM23" s="113">
        <v>1</v>
      </c>
      <c r="CN23" s="459">
        <v>0</v>
      </c>
      <c r="CO23" s="461">
        <f t="shared" si="11"/>
        <v>14</v>
      </c>
      <c r="CP23" s="582">
        <v>9</v>
      </c>
      <c r="CQ23" s="113">
        <v>6</v>
      </c>
      <c r="CR23" s="113">
        <v>0</v>
      </c>
      <c r="CS23" s="113">
        <v>3</v>
      </c>
      <c r="CT23" s="460">
        <v>0</v>
      </c>
      <c r="CU23" s="582">
        <v>5</v>
      </c>
      <c r="CV23" s="113">
        <v>0</v>
      </c>
      <c r="CW23" s="113">
        <v>0</v>
      </c>
      <c r="CX23" s="113">
        <v>5</v>
      </c>
      <c r="CY23" s="459">
        <v>0</v>
      </c>
      <c r="CZ23" s="461">
        <f t="shared" si="12"/>
        <v>4</v>
      </c>
      <c r="DA23" s="582">
        <v>3</v>
      </c>
      <c r="DB23" s="113">
        <v>2</v>
      </c>
      <c r="DC23" s="113">
        <v>0</v>
      </c>
      <c r="DD23" s="113">
        <v>1</v>
      </c>
      <c r="DE23" s="460">
        <v>0</v>
      </c>
      <c r="DF23" s="582">
        <v>1</v>
      </c>
      <c r="DG23" s="113">
        <v>1</v>
      </c>
      <c r="DH23" s="113">
        <v>0</v>
      </c>
      <c r="DI23" s="113">
        <v>0</v>
      </c>
      <c r="DJ23" s="459">
        <v>0</v>
      </c>
      <c r="DK23" s="461">
        <f t="shared" si="13"/>
        <v>0</v>
      </c>
      <c r="DL23" s="582">
        <v>0</v>
      </c>
      <c r="DM23" s="113">
        <v>0</v>
      </c>
      <c r="DN23" s="113">
        <v>0</v>
      </c>
      <c r="DO23" s="113">
        <v>0</v>
      </c>
      <c r="DP23" s="460">
        <v>0</v>
      </c>
      <c r="DQ23" s="582">
        <v>0</v>
      </c>
      <c r="DR23" s="113">
        <v>0</v>
      </c>
      <c r="DS23" s="113">
        <v>0</v>
      </c>
      <c r="DT23" s="113">
        <v>0</v>
      </c>
      <c r="DU23" s="459">
        <v>0</v>
      </c>
      <c r="DW23" s="461">
        <f t="shared" si="4"/>
        <v>169</v>
      </c>
      <c r="DX23" s="582">
        <f t="shared" si="4"/>
        <v>127</v>
      </c>
      <c r="DY23" s="113">
        <f t="shared" si="4"/>
        <v>78</v>
      </c>
      <c r="DZ23" s="113">
        <f t="shared" si="4"/>
        <v>0</v>
      </c>
      <c r="EA23" s="113">
        <f t="shared" si="4"/>
        <v>49</v>
      </c>
      <c r="EB23" s="460">
        <f t="shared" si="4"/>
        <v>0</v>
      </c>
      <c r="EC23" s="582">
        <f t="shared" si="4"/>
        <v>42</v>
      </c>
      <c r="ED23" s="113">
        <f t="shared" si="4"/>
        <v>11</v>
      </c>
      <c r="EE23" s="113">
        <f t="shared" si="4"/>
        <v>0</v>
      </c>
      <c r="EF23" s="113">
        <f t="shared" si="4"/>
        <v>26</v>
      </c>
      <c r="EG23" s="459">
        <f t="shared" si="4"/>
        <v>5</v>
      </c>
      <c r="EH23" s="461">
        <f t="shared" si="5"/>
        <v>58</v>
      </c>
      <c r="EI23" s="582">
        <f t="shared" si="5"/>
        <v>43</v>
      </c>
      <c r="EJ23" s="113">
        <f t="shared" si="5"/>
        <v>26</v>
      </c>
      <c r="EK23" s="113">
        <f t="shared" si="5"/>
        <v>0</v>
      </c>
      <c r="EL23" s="113">
        <f t="shared" si="5"/>
        <v>17</v>
      </c>
      <c r="EM23" s="460">
        <f t="shared" si="5"/>
        <v>0</v>
      </c>
      <c r="EN23" s="582">
        <f t="shared" si="5"/>
        <v>15</v>
      </c>
      <c r="EO23" s="113">
        <f t="shared" si="5"/>
        <v>3</v>
      </c>
      <c r="EP23" s="113">
        <f t="shared" si="5"/>
        <v>0</v>
      </c>
      <c r="EQ23" s="113">
        <f t="shared" si="5"/>
        <v>12</v>
      </c>
      <c r="ER23" s="459">
        <f t="shared" si="5"/>
        <v>0</v>
      </c>
    </row>
    <row r="24" spans="2:148">
      <c r="B24" s="112" t="s">
        <v>418</v>
      </c>
      <c r="C24" s="217">
        <v>2021</v>
      </c>
      <c r="D24" s="446">
        <v>130630</v>
      </c>
      <c r="E24" s="461">
        <v>6129</v>
      </c>
      <c r="F24" s="582">
        <v>4787</v>
      </c>
      <c r="G24" s="113">
        <v>2342</v>
      </c>
      <c r="H24" s="113">
        <v>0</v>
      </c>
      <c r="I24" s="113">
        <v>2445</v>
      </c>
      <c r="J24" s="460">
        <v>0</v>
      </c>
      <c r="K24" s="582">
        <v>1342</v>
      </c>
      <c r="L24" s="113">
        <v>199</v>
      </c>
      <c r="M24" s="113">
        <v>0</v>
      </c>
      <c r="N24" s="113">
        <v>1114</v>
      </c>
      <c r="O24" s="459">
        <v>29</v>
      </c>
      <c r="P24" s="461">
        <f t="shared" si="2"/>
        <v>12</v>
      </c>
      <c r="Q24" s="582">
        <v>6</v>
      </c>
      <c r="R24" s="113">
        <v>2</v>
      </c>
      <c r="S24" s="113">
        <v>0</v>
      </c>
      <c r="T24" s="113">
        <v>4</v>
      </c>
      <c r="U24" s="460">
        <v>0</v>
      </c>
      <c r="V24" s="582">
        <v>6</v>
      </c>
      <c r="W24" s="113">
        <v>0</v>
      </c>
      <c r="X24" s="113">
        <v>0</v>
      </c>
      <c r="Y24" s="113">
        <v>6</v>
      </c>
      <c r="Z24" s="459">
        <v>0</v>
      </c>
      <c r="AA24" s="461">
        <f t="shared" si="3"/>
        <v>4</v>
      </c>
      <c r="AB24" s="582">
        <v>3</v>
      </c>
      <c r="AC24" s="113">
        <v>3</v>
      </c>
      <c r="AD24" s="113">
        <v>0</v>
      </c>
      <c r="AE24" s="113">
        <v>0</v>
      </c>
      <c r="AF24" s="460">
        <v>0</v>
      </c>
      <c r="AG24" s="582">
        <v>1</v>
      </c>
      <c r="AH24" s="113">
        <v>1</v>
      </c>
      <c r="AI24" s="113">
        <v>0</v>
      </c>
      <c r="AJ24" s="113">
        <v>0</v>
      </c>
      <c r="AK24" s="459">
        <v>0</v>
      </c>
      <c r="AL24" s="461">
        <f t="shared" si="6"/>
        <v>54</v>
      </c>
      <c r="AM24" s="582">
        <v>49</v>
      </c>
      <c r="AN24" s="113">
        <v>33</v>
      </c>
      <c r="AO24" s="113">
        <v>0</v>
      </c>
      <c r="AP24" s="113">
        <v>16</v>
      </c>
      <c r="AQ24" s="460">
        <v>0</v>
      </c>
      <c r="AR24" s="582">
        <v>5</v>
      </c>
      <c r="AS24" s="113">
        <v>0</v>
      </c>
      <c r="AT24" s="113">
        <v>0</v>
      </c>
      <c r="AU24" s="113">
        <v>5</v>
      </c>
      <c r="AV24" s="459">
        <v>0</v>
      </c>
      <c r="AW24" s="461">
        <f t="shared" si="7"/>
        <v>33</v>
      </c>
      <c r="AX24" s="582">
        <v>22</v>
      </c>
      <c r="AY24" s="113">
        <v>13</v>
      </c>
      <c r="AZ24" s="113">
        <v>0</v>
      </c>
      <c r="BA24" s="113">
        <v>9</v>
      </c>
      <c r="BB24" s="460">
        <v>0</v>
      </c>
      <c r="BC24" s="582">
        <v>11</v>
      </c>
      <c r="BD24" s="113">
        <v>2</v>
      </c>
      <c r="BE24" s="113">
        <v>0</v>
      </c>
      <c r="BF24" s="113">
        <v>8</v>
      </c>
      <c r="BG24" s="459">
        <v>1</v>
      </c>
      <c r="BH24" s="461">
        <f t="shared" si="8"/>
        <v>34</v>
      </c>
      <c r="BI24" s="582">
        <v>26</v>
      </c>
      <c r="BJ24" s="113">
        <v>11</v>
      </c>
      <c r="BK24" s="113">
        <v>0</v>
      </c>
      <c r="BL24" s="113">
        <v>15</v>
      </c>
      <c r="BM24" s="460">
        <v>0</v>
      </c>
      <c r="BN24" s="582">
        <v>8</v>
      </c>
      <c r="BO24" s="113">
        <v>2</v>
      </c>
      <c r="BP24" s="113">
        <v>0</v>
      </c>
      <c r="BQ24" s="113">
        <v>6</v>
      </c>
      <c r="BR24" s="459">
        <v>0</v>
      </c>
      <c r="BS24" s="461">
        <f t="shared" si="9"/>
        <v>75</v>
      </c>
      <c r="BT24" s="582">
        <v>52</v>
      </c>
      <c r="BU24" s="113">
        <v>19</v>
      </c>
      <c r="BV24" s="113">
        <v>0</v>
      </c>
      <c r="BW24" s="113">
        <v>33</v>
      </c>
      <c r="BX24" s="460">
        <v>0</v>
      </c>
      <c r="BY24" s="582">
        <v>23</v>
      </c>
      <c r="BZ24" s="113">
        <v>4</v>
      </c>
      <c r="CA24" s="113">
        <v>0</v>
      </c>
      <c r="CB24" s="113">
        <v>19</v>
      </c>
      <c r="CC24" s="459">
        <v>0</v>
      </c>
      <c r="CD24" s="461">
        <f t="shared" si="10"/>
        <v>11</v>
      </c>
      <c r="CE24" s="582">
        <v>8</v>
      </c>
      <c r="CF24" s="113">
        <v>4</v>
      </c>
      <c r="CG24" s="113">
        <v>0</v>
      </c>
      <c r="CH24" s="113">
        <v>4</v>
      </c>
      <c r="CI24" s="460">
        <v>0</v>
      </c>
      <c r="CJ24" s="582">
        <v>3</v>
      </c>
      <c r="CK24" s="113">
        <v>0</v>
      </c>
      <c r="CL24" s="113">
        <v>0</v>
      </c>
      <c r="CM24" s="113">
        <v>3</v>
      </c>
      <c r="CN24" s="459">
        <v>0</v>
      </c>
      <c r="CO24" s="461">
        <f t="shared" si="11"/>
        <v>6</v>
      </c>
      <c r="CP24" s="582">
        <v>5</v>
      </c>
      <c r="CQ24" s="113">
        <v>5</v>
      </c>
      <c r="CR24" s="113">
        <v>0</v>
      </c>
      <c r="CS24" s="113">
        <v>0</v>
      </c>
      <c r="CT24" s="460">
        <v>0</v>
      </c>
      <c r="CU24" s="582">
        <v>1</v>
      </c>
      <c r="CV24" s="113">
        <v>0</v>
      </c>
      <c r="CW24" s="113">
        <v>0</v>
      </c>
      <c r="CX24" s="113">
        <v>1</v>
      </c>
      <c r="CY24" s="459">
        <v>0</v>
      </c>
      <c r="CZ24" s="461">
        <f t="shared" si="12"/>
        <v>2</v>
      </c>
      <c r="DA24" s="582">
        <v>2</v>
      </c>
      <c r="DB24" s="113">
        <v>1</v>
      </c>
      <c r="DC24" s="113">
        <v>0</v>
      </c>
      <c r="DD24" s="113">
        <v>1</v>
      </c>
      <c r="DE24" s="460">
        <v>0</v>
      </c>
      <c r="DF24" s="582">
        <v>0</v>
      </c>
      <c r="DG24" s="113">
        <v>0</v>
      </c>
      <c r="DH24" s="113">
        <v>0</v>
      </c>
      <c r="DI24" s="113">
        <v>0</v>
      </c>
      <c r="DJ24" s="459">
        <v>0</v>
      </c>
      <c r="DK24" s="461">
        <f t="shared" si="13"/>
        <v>0</v>
      </c>
      <c r="DL24" s="582">
        <v>0</v>
      </c>
      <c r="DM24" s="113">
        <v>0</v>
      </c>
      <c r="DN24" s="113">
        <v>0</v>
      </c>
      <c r="DO24" s="113">
        <v>0</v>
      </c>
      <c r="DP24" s="460">
        <v>0</v>
      </c>
      <c r="DQ24" s="582">
        <v>0</v>
      </c>
      <c r="DR24" s="113">
        <v>0</v>
      </c>
      <c r="DS24" s="113">
        <v>0</v>
      </c>
      <c r="DT24" s="113">
        <v>0</v>
      </c>
      <c r="DU24" s="459">
        <v>0</v>
      </c>
      <c r="DW24" s="461">
        <f t="shared" si="4"/>
        <v>177</v>
      </c>
      <c r="DX24" s="582">
        <f t="shared" si="4"/>
        <v>124</v>
      </c>
      <c r="DY24" s="113">
        <f t="shared" si="4"/>
        <v>58</v>
      </c>
      <c r="DZ24" s="113">
        <f t="shared" si="4"/>
        <v>0</v>
      </c>
      <c r="EA24" s="113">
        <f t="shared" si="4"/>
        <v>66</v>
      </c>
      <c r="EB24" s="460">
        <f t="shared" si="4"/>
        <v>0</v>
      </c>
      <c r="EC24" s="582">
        <f t="shared" si="4"/>
        <v>53</v>
      </c>
      <c r="ED24" s="113">
        <f t="shared" si="4"/>
        <v>9</v>
      </c>
      <c r="EE24" s="113">
        <f t="shared" si="4"/>
        <v>0</v>
      </c>
      <c r="EF24" s="113">
        <f t="shared" si="4"/>
        <v>43</v>
      </c>
      <c r="EG24" s="459">
        <f t="shared" si="4"/>
        <v>1</v>
      </c>
      <c r="EH24" s="461">
        <f t="shared" si="5"/>
        <v>54</v>
      </c>
      <c r="EI24" s="582">
        <f t="shared" si="5"/>
        <v>49</v>
      </c>
      <c r="EJ24" s="113">
        <f t="shared" si="5"/>
        <v>33</v>
      </c>
      <c r="EK24" s="113">
        <f t="shared" si="5"/>
        <v>0</v>
      </c>
      <c r="EL24" s="113">
        <f t="shared" si="5"/>
        <v>16</v>
      </c>
      <c r="EM24" s="460">
        <f t="shared" si="5"/>
        <v>0</v>
      </c>
      <c r="EN24" s="582">
        <f t="shared" si="5"/>
        <v>5</v>
      </c>
      <c r="EO24" s="113">
        <f t="shared" si="5"/>
        <v>0</v>
      </c>
      <c r="EP24" s="113">
        <f t="shared" si="5"/>
        <v>0</v>
      </c>
      <c r="EQ24" s="113">
        <f t="shared" si="5"/>
        <v>5</v>
      </c>
      <c r="ER24" s="459">
        <f t="shared" si="5"/>
        <v>0</v>
      </c>
    </row>
    <row r="25" spans="2:148">
      <c r="B25" s="112" t="s">
        <v>419</v>
      </c>
      <c r="C25" s="217">
        <v>2022</v>
      </c>
      <c r="D25" s="446">
        <v>135138</v>
      </c>
      <c r="E25" s="461">
        <v>7124</v>
      </c>
      <c r="F25" s="582">
        <v>5686</v>
      </c>
      <c r="G25" s="113">
        <v>2869</v>
      </c>
      <c r="H25" s="113">
        <v>0</v>
      </c>
      <c r="I25" s="113">
        <v>2813</v>
      </c>
      <c r="J25" s="460">
        <v>4</v>
      </c>
      <c r="K25" s="582">
        <v>1438</v>
      </c>
      <c r="L25" s="113">
        <v>152</v>
      </c>
      <c r="M25" s="113">
        <v>0</v>
      </c>
      <c r="N25" s="113">
        <v>1045</v>
      </c>
      <c r="O25" s="459">
        <v>241</v>
      </c>
      <c r="P25" s="461">
        <f t="shared" si="2"/>
        <v>9</v>
      </c>
      <c r="Q25" s="582">
        <v>6</v>
      </c>
      <c r="R25" s="113">
        <v>1</v>
      </c>
      <c r="S25" s="113">
        <v>0</v>
      </c>
      <c r="T25" s="113">
        <v>5</v>
      </c>
      <c r="U25" s="460">
        <v>0</v>
      </c>
      <c r="V25" s="582">
        <v>3</v>
      </c>
      <c r="W25" s="113">
        <v>0</v>
      </c>
      <c r="X25" s="113">
        <v>0</v>
      </c>
      <c r="Y25" s="113">
        <v>3</v>
      </c>
      <c r="Z25" s="459">
        <v>0</v>
      </c>
      <c r="AA25" s="461">
        <f t="shared" si="3"/>
        <v>5</v>
      </c>
      <c r="AB25" s="582">
        <v>5</v>
      </c>
      <c r="AC25" s="113">
        <v>2</v>
      </c>
      <c r="AD25" s="113">
        <v>0</v>
      </c>
      <c r="AE25" s="113">
        <v>3</v>
      </c>
      <c r="AF25" s="460">
        <v>0</v>
      </c>
      <c r="AG25" s="582">
        <v>0</v>
      </c>
      <c r="AH25" s="113">
        <v>0</v>
      </c>
      <c r="AI25" s="113">
        <v>0</v>
      </c>
      <c r="AJ25" s="113">
        <v>0</v>
      </c>
      <c r="AK25" s="459">
        <v>0</v>
      </c>
      <c r="AL25" s="461">
        <f t="shared" si="6"/>
        <v>81</v>
      </c>
      <c r="AM25" s="582">
        <v>60</v>
      </c>
      <c r="AN25" s="113">
        <v>28</v>
      </c>
      <c r="AO25" s="113">
        <v>0</v>
      </c>
      <c r="AP25" s="113">
        <v>32</v>
      </c>
      <c r="AQ25" s="460">
        <v>0</v>
      </c>
      <c r="AR25" s="582">
        <v>21</v>
      </c>
      <c r="AS25" s="113">
        <v>0</v>
      </c>
      <c r="AT25" s="113">
        <v>0</v>
      </c>
      <c r="AU25" s="113">
        <v>20</v>
      </c>
      <c r="AV25" s="459">
        <v>1</v>
      </c>
      <c r="AW25" s="461">
        <f t="shared" si="7"/>
        <v>39</v>
      </c>
      <c r="AX25" s="582">
        <v>31</v>
      </c>
      <c r="AY25" s="113">
        <v>17</v>
      </c>
      <c r="AZ25" s="113">
        <v>0</v>
      </c>
      <c r="BA25" s="113">
        <v>14</v>
      </c>
      <c r="BB25" s="460">
        <v>0</v>
      </c>
      <c r="BC25" s="582">
        <v>8</v>
      </c>
      <c r="BD25" s="113">
        <v>1</v>
      </c>
      <c r="BE25" s="113">
        <v>0</v>
      </c>
      <c r="BF25" s="113">
        <v>7</v>
      </c>
      <c r="BG25" s="459">
        <v>0</v>
      </c>
      <c r="BH25" s="461">
        <f t="shared" si="8"/>
        <v>56</v>
      </c>
      <c r="BI25" s="582">
        <v>45</v>
      </c>
      <c r="BJ25" s="113">
        <v>22</v>
      </c>
      <c r="BK25" s="113">
        <v>0</v>
      </c>
      <c r="BL25" s="113">
        <v>23</v>
      </c>
      <c r="BM25" s="460">
        <v>0</v>
      </c>
      <c r="BN25" s="582">
        <v>11</v>
      </c>
      <c r="BO25" s="113">
        <v>1</v>
      </c>
      <c r="BP25" s="113">
        <v>0</v>
      </c>
      <c r="BQ25" s="113">
        <v>8</v>
      </c>
      <c r="BR25" s="459">
        <v>2</v>
      </c>
      <c r="BS25" s="461">
        <f t="shared" si="9"/>
        <v>88</v>
      </c>
      <c r="BT25" s="582">
        <v>70</v>
      </c>
      <c r="BU25" s="113">
        <v>35</v>
      </c>
      <c r="BV25" s="113">
        <v>0</v>
      </c>
      <c r="BW25" s="113">
        <v>35</v>
      </c>
      <c r="BX25" s="460">
        <v>0</v>
      </c>
      <c r="BY25" s="582">
        <v>18</v>
      </c>
      <c r="BZ25" s="113">
        <v>1</v>
      </c>
      <c r="CA25" s="113">
        <v>0</v>
      </c>
      <c r="CB25" s="113">
        <v>14</v>
      </c>
      <c r="CC25" s="459">
        <v>3</v>
      </c>
      <c r="CD25" s="461">
        <f t="shared" si="10"/>
        <v>12</v>
      </c>
      <c r="CE25" s="582">
        <v>9</v>
      </c>
      <c r="CF25" s="113">
        <v>5</v>
      </c>
      <c r="CG25" s="113">
        <v>0</v>
      </c>
      <c r="CH25" s="113">
        <v>4</v>
      </c>
      <c r="CI25" s="460">
        <v>0</v>
      </c>
      <c r="CJ25" s="582">
        <v>3</v>
      </c>
      <c r="CK25" s="113">
        <v>0</v>
      </c>
      <c r="CL25" s="113">
        <v>0</v>
      </c>
      <c r="CM25" s="113">
        <v>3</v>
      </c>
      <c r="CN25" s="459">
        <v>0</v>
      </c>
      <c r="CO25" s="461">
        <f t="shared" si="11"/>
        <v>4</v>
      </c>
      <c r="CP25" s="582">
        <v>3</v>
      </c>
      <c r="CQ25" s="113">
        <v>1</v>
      </c>
      <c r="CR25" s="113">
        <v>0</v>
      </c>
      <c r="CS25" s="113">
        <v>2</v>
      </c>
      <c r="CT25" s="460">
        <v>0</v>
      </c>
      <c r="CU25" s="582">
        <v>1</v>
      </c>
      <c r="CV25" s="113">
        <v>0</v>
      </c>
      <c r="CW25" s="113">
        <v>0</v>
      </c>
      <c r="CX25" s="113">
        <v>1</v>
      </c>
      <c r="CY25" s="459">
        <v>0</v>
      </c>
      <c r="CZ25" s="461">
        <f t="shared" si="12"/>
        <v>3</v>
      </c>
      <c r="DA25" s="582">
        <v>3</v>
      </c>
      <c r="DB25" s="113">
        <v>1</v>
      </c>
      <c r="DC25" s="113">
        <v>0</v>
      </c>
      <c r="DD25" s="113">
        <v>2</v>
      </c>
      <c r="DE25" s="460">
        <v>0</v>
      </c>
      <c r="DF25" s="582">
        <v>0</v>
      </c>
      <c r="DG25" s="113">
        <v>0</v>
      </c>
      <c r="DH25" s="113">
        <v>0</v>
      </c>
      <c r="DI25" s="113">
        <v>0</v>
      </c>
      <c r="DJ25" s="459">
        <v>0</v>
      </c>
      <c r="DK25" s="461">
        <f t="shared" si="13"/>
        <v>0</v>
      </c>
      <c r="DL25" s="582">
        <v>0</v>
      </c>
      <c r="DM25" s="113">
        <v>0</v>
      </c>
      <c r="DN25" s="113">
        <v>0</v>
      </c>
      <c r="DO25" s="113">
        <v>0</v>
      </c>
      <c r="DP25" s="460">
        <v>0</v>
      </c>
      <c r="DQ25" s="582">
        <v>0</v>
      </c>
      <c r="DR25" s="113">
        <v>0</v>
      </c>
      <c r="DS25" s="113">
        <v>0</v>
      </c>
      <c r="DT25" s="113">
        <v>0</v>
      </c>
      <c r="DU25" s="459">
        <v>0</v>
      </c>
      <c r="DW25" s="461">
        <f t="shared" si="4"/>
        <v>216</v>
      </c>
      <c r="DX25" s="582">
        <f t="shared" si="4"/>
        <v>172</v>
      </c>
      <c r="DY25" s="113">
        <f t="shared" si="4"/>
        <v>84</v>
      </c>
      <c r="DZ25" s="113">
        <f t="shared" si="4"/>
        <v>0</v>
      </c>
      <c r="EA25" s="113">
        <f t="shared" si="4"/>
        <v>88</v>
      </c>
      <c r="EB25" s="460">
        <f t="shared" si="4"/>
        <v>0</v>
      </c>
      <c r="EC25" s="582">
        <f t="shared" si="4"/>
        <v>44</v>
      </c>
      <c r="ED25" s="113">
        <f t="shared" si="4"/>
        <v>3</v>
      </c>
      <c r="EE25" s="113">
        <f t="shared" si="4"/>
        <v>0</v>
      </c>
      <c r="EF25" s="113">
        <f t="shared" si="4"/>
        <v>36</v>
      </c>
      <c r="EG25" s="459">
        <f t="shared" si="4"/>
        <v>5</v>
      </c>
      <c r="EH25" s="461">
        <f t="shared" si="5"/>
        <v>81</v>
      </c>
      <c r="EI25" s="582">
        <f t="shared" si="5"/>
        <v>60</v>
      </c>
      <c r="EJ25" s="113">
        <f t="shared" si="5"/>
        <v>28</v>
      </c>
      <c r="EK25" s="113">
        <f t="shared" si="5"/>
        <v>0</v>
      </c>
      <c r="EL25" s="113">
        <f t="shared" si="5"/>
        <v>32</v>
      </c>
      <c r="EM25" s="460">
        <f t="shared" si="5"/>
        <v>0</v>
      </c>
      <c r="EN25" s="582">
        <f t="shared" si="5"/>
        <v>21</v>
      </c>
      <c r="EO25" s="113">
        <f t="shared" si="5"/>
        <v>0</v>
      </c>
      <c r="EP25" s="113">
        <f t="shared" si="5"/>
        <v>0</v>
      </c>
      <c r="EQ25" s="113">
        <f t="shared" si="5"/>
        <v>20</v>
      </c>
      <c r="ER25" s="459">
        <f t="shared" si="5"/>
        <v>1</v>
      </c>
    </row>
    <row r="26" spans="2:148">
      <c r="B26" s="112" t="s">
        <v>420</v>
      </c>
      <c r="C26" s="217">
        <v>2022</v>
      </c>
      <c r="D26" s="446">
        <v>169244</v>
      </c>
      <c r="E26" s="461">
        <v>9534</v>
      </c>
      <c r="F26" s="582">
        <v>7875</v>
      </c>
      <c r="G26" s="113">
        <v>2904</v>
      </c>
      <c r="H26" s="113">
        <v>59</v>
      </c>
      <c r="I26" s="113">
        <v>4868</v>
      </c>
      <c r="J26" s="460">
        <v>44</v>
      </c>
      <c r="K26" s="582">
        <v>1659</v>
      </c>
      <c r="L26" s="113">
        <v>271</v>
      </c>
      <c r="M26" s="113">
        <v>0</v>
      </c>
      <c r="N26" s="113">
        <v>1271</v>
      </c>
      <c r="O26" s="459">
        <v>117</v>
      </c>
      <c r="P26" s="461">
        <f t="shared" si="2"/>
        <v>13</v>
      </c>
      <c r="Q26" s="582">
        <v>11</v>
      </c>
      <c r="R26" s="113">
        <v>2</v>
      </c>
      <c r="S26" s="113">
        <v>1</v>
      </c>
      <c r="T26" s="113">
        <v>8</v>
      </c>
      <c r="U26" s="460">
        <v>0</v>
      </c>
      <c r="V26" s="582">
        <v>2</v>
      </c>
      <c r="W26" s="113">
        <v>0</v>
      </c>
      <c r="X26" s="113">
        <v>0</v>
      </c>
      <c r="Y26" s="113">
        <v>2</v>
      </c>
      <c r="Z26" s="459">
        <v>0</v>
      </c>
      <c r="AA26" s="461">
        <f t="shared" si="3"/>
        <v>14</v>
      </c>
      <c r="AB26" s="582">
        <v>9</v>
      </c>
      <c r="AC26" s="113">
        <v>4</v>
      </c>
      <c r="AD26" s="113">
        <v>0</v>
      </c>
      <c r="AE26" s="113">
        <v>5</v>
      </c>
      <c r="AF26" s="460">
        <v>0</v>
      </c>
      <c r="AG26" s="582">
        <v>5</v>
      </c>
      <c r="AH26" s="113">
        <v>0</v>
      </c>
      <c r="AI26" s="113">
        <v>0</v>
      </c>
      <c r="AJ26" s="113">
        <v>4</v>
      </c>
      <c r="AK26" s="459">
        <v>1</v>
      </c>
      <c r="AL26" s="461">
        <f t="shared" si="6"/>
        <v>80</v>
      </c>
      <c r="AM26" s="582">
        <v>60</v>
      </c>
      <c r="AN26" s="113">
        <v>20</v>
      </c>
      <c r="AO26" s="113">
        <v>1</v>
      </c>
      <c r="AP26" s="113">
        <v>38</v>
      </c>
      <c r="AQ26" s="460">
        <v>1</v>
      </c>
      <c r="AR26" s="582">
        <v>20</v>
      </c>
      <c r="AS26" s="113">
        <v>1</v>
      </c>
      <c r="AT26" s="113">
        <v>0</v>
      </c>
      <c r="AU26" s="113">
        <v>18</v>
      </c>
      <c r="AV26" s="459">
        <v>1</v>
      </c>
      <c r="AW26" s="461">
        <f t="shared" si="7"/>
        <v>67</v>
      </c>
      <c r="AX26" s="582">
        <v>54</v>
      </c>
      <c r="AY26" s="113">
        <v>29</v>
      </c>
      <c r="AZ26" s="113">
        <v>0</v>
      </c>
      <c r="BA26" s="113">
        <v>25</v>
      </c>
      <c r="BB26" s="460">
        <v>0</v>
      </c>
      <c r="BC26" s="582">
        <v>13</v>
      </c>
      <c r="BD26" s="113">
        <v>1</v>
      </c>
      <c r="BE26" s="113">
        <v>0</v>
      </c>
      <c r="BF26" s="113">
        <v>11</v>
      </c>
      <c r="BG26" s="459">
        <v>1</v>
      </c>
      <c r="BH26" s="461">
        <f t="shared" si="8"/>
        <v>82</v>
      </c>
      <c r="BI26" s="582">
        <v>70</v>
      </c>
      <c r="BJ26" s="113">
        <v>20</v>
      </c>
      <c r="BK26" s="113">
        <v>2</v>
      </c>
      <c r="BL26" s="113">
        <v>48</v>
      </c>
      <c r="BM26" s="460">
        <v>0</v>
      </c>
      <c r="BN26" s="582">
        <v>12</v>
      </c>
      <c r="BO26" s="113">
        <v>2</v>
      </c>
      <c r="BP26" s="113">
        <v>0</v>
      </c>
      <c r="BQ26" s="113">
        <v>9</v>
      </c>
      <c r="BR26" s="459">
        <v>1</v>
      </c>
      <c r="BS26" s="461">
        <f t="shared" si="9"/>
        <v>101</v>
      </c>
      <c r="BT26" s="582">
        <v>93</v>
      </c>
      <c r="BU26" s="113">
        <v>27</v>
      </c>
      <c r="BV26" s="113">
        <v>1</v>
      </c>
      <c r="BW26" s="113">
        <v>65</v>
      </c>
      <c r="BX26" s="460">
        <v>0</v>
      </c>
      <c r="BY26" s="582">
        <v>8</v>
      </c>
      <c r="BZ26" s="113">
        <v>1</v>
      </c>
      <c r="CA26" s="113">
        <v>0</v>
      </c>
      <c r="CB26" s="113">
        <v>7</v>
      </c>
      <c r="CC26" s="459">
        <v>0</v>
      </c>
      <c r="CD26" s="461">
        <f t="shared" si="10"/>
        <v>16</v>
      </c>
      <c r="CE26" s="582">
        <v>13</v>
      </c>
      <c r="CF26" s="113">
        <v>4</v>
      </c>
      <c r="CG26" s="113">
        <v>0</v>
      </c>
      <c r="CH26" s="113">
        <v>9</v>
      </c>
      <c r="CI26" s="460">
        <v>0</v>
      </c>
      <c r="CJ26" s="582">
        <v>3</v>
      </c>
      <c r="CK26" s="113">
        <v>1</v>
      </c>
      <c r="CL26" s="113">
        <v>0</v>
      </c>
      <c r="CM26" s="113">
        <v>1</v>
      </c>
      <c r="CN26" s="459">
        <v>1</v>
      </c>
      <c r="CO26" s="461">
        <f t="shared" si="11"/>
        <v>14</v>
      </c>
      <c r="CP26" s="582">
        <v>13</v>
      </c>
      <c r="CQ26" s="113">
        <v>5</v>
      </c>
      <c r="CR26" s="113">
        <v>1</v>
      </c>
      <c r="CS26" s="113">
        <v>7</v>
      </c>
      <c r="CT26" s="460">
        <v>0</v>
      </c>
      <c r="CU26" s="582">
        <v>1</v>
      </c>
      <c r="CV26" s="113">
        <v>0</v>
      </c>
      <c r="CW26" s="113">
        <v>0</v>
      </c>
      <c r="CX26" s="113">
        <v>1</v>
      </c>
      <c r="CY26" s="459">
        <v>0</v>
      </c>
      <c r="CZ26" s="461">
        <f t="shared" si="12"/>
        <v>4</v>
      </c>
      <c r="DA26" s="582">
        <v>3</v>
      </c>
      <c r="DB26" s="113">
        <v>0</v>
      </c>
      <c r="DC26" s="113">
        <v>0</v>
      </c>
      <c r="DD26" s="113">
        <v>3</v>
      </c>
      <c r="DE26" s="460">
        <v>0</v>
      </c>
      <c r="DF26" s="582">
        <v>1</v>
      </c>
      <c r="DG26" s="113">
        <v>0</v>
      </c>
      <c r="DH26" s="113">
        <v>0</v>
      </c>
      <c r="DI26" s="113">
        <v>1</v>
      </c>
      <c r="DJ26" s="459">
        <v>0</v>
      </c>
      <c r="DK26" s="461">
        <f t="shared" si="13"/>
        <v>0</v>
      </c>
      <c r="DL26" s="582">
        <v>0</v>
      </c>
      <c r="DM26" s="113">
        <v>0</v>
      </c>
      <c r="DN26" s="113">
        <v>0</v>
      </c>
      <c r="DO26" s="113">
        <v>0</v>
      </c>
      <c r="DP26" s="460">
        <v>0</v>
      </c>
      <c r="DQ26" s="582">
        <v>0</v>
      </c>
      <c r="DR26" s="113">
        <v>0</v>
      </c>
      <c r="DS26" s="113">
        <v>0</v>
      </c>
      <c r="DT26" s="113">
        <v>0</v>
      </c>
      <c r="DU26" s="459">
        <v>0</v>
      </c>
      <c r="DW26" s="461">
        <f t="shared" si="4"/>
        <v>311</v>
      </c>
      <c r="DX26" s="582">
        <f t="shared" si="4"/>
        <v>266</v>
      </c>
      <c r="DY26" s="113">
        <f t="shared" si="4"/>
        <v>91</v>
      </c>
      <c r="DZ26" s="113">
        <f t="shared" si="4"/>
        <v>5</v>
      </c>
      <c r="EA26" s="113">
        <f t="shared" si="4"/>
        <v>170</v>
      </c>
      <c r="EB26" s="460">
        <f t="shared" si="4"/>
        <v>0</v>
      </c>
      <c r="EC26" s="582">
        <f t="shared" si="4"/>
        <v>45</v>
      </c>
      <c r="ED26" s="113">
        <f t="shared" si="4"/>
        <v>5</v>
      </c>
      <c r="EE26" s="113">
        <f t="shared" si="4"/>
        <v>0</v>
      </c>
      <c r="EF26" s="113">
        <f t="shared" si="4"/>
        <v>36</v>
      </c>
      <c r="EG26" s="459">
        <f t="shared" si="4"/>
        <v>4</v>
      </c>
      <c r="EH26" s="461">
        <f t="shared" si="5"/>
        <v>80</v>
      </c>
      <c r="EI26" s="582">
        <f t="shared" si="5"/>
        <v>60</v>
      </c>
      <c r="EJ26" s="113">
        <f t="shared" si="5"/>
        <v>20</v>
      </c>
      <c r="EK26" s="113">
        <f t="shared" si="5"/>
        <v>1</v>
      </c>
      <c r="EL26" s="113">
        <f t="shared" si="5"/>
        <v>38</v>
      </c>
      <c r="EM26" s="460">
        <f t="shared" si="5"/>
        <v>1</v>
      </c>
      <c r="EN26" s="582">
        <f t="shared" si="5"/>
        <v>20</v>
      </c>
      <c r="EO26" s="113">
        <f t="shared" si="5"/>
        <v>1</v>
      </c>
      <c r="EP26" s="113">
        <f t="shared" si="5"/>
        <v>0</v>
      </c>
      <c r="EQ26" s="113">
        <f t="shared" si="5"/>
        <v>18</v>
      </c>
      <c r="ER26" s="459">
        <f t="shared" si="5"/>
        <v>1</v>
      </c>
    </row>
    <row r="27" spans="2:148">
      <c r="B27" s="112" t="s">
        <v>421</v>
      </c>
      <c r="C27" s="217">
        <v>2022</v>
      </c>
      <c r="D27" s="446">
        <v>153779</v>
      </c>
      <c r="E27" s="461">
        <v>11013</v>
      </c>
      <c r="F27" s="582">
        <v>9716</v>
      </c>
      <c r="G27" s="113">
        <v>3995</v>
      </c>
      <c r="H27" s="113">
        <v>469</v>
      </c>
      <c r="I27" s="113">
        <v>5206</v>
      </c>
      <c r="J27" s="460">
        <v>46</v>
      </c>
      <c r="K27" s="582">
        <v>1297</v>
      </c>
      <c r="L27" s="113">
        <v>201</v>
      </c>
      <c r="M27" s="113">
        <v>0</v>
      </c>
      <c r="N27" s="113">
        <v>1001</v>
      </c>
      <c r="O27" s="459">
        <v>95</v>
      </c>
      <c r="P27" s="461">
        <f t="shared" si="2"/>
        <v>15</v>
      </c>
      <c r="Q27" s="582">
        <v>11</v>
      </c>
      <c r="R27" s="113">
        <v>4</v>
      </c>
      <c r="S27" s="113">
        <v>0</v>
      </c>
      <c r="T27" s="113">
        <v>7</v>
      </c>
      <c r="U27" s="460">
        <v>0</v>
      </c>
      <c r="V27" s="582">
        <v>4</v>
      </c>
      <c r="W27" s="113">
        <v>0</v>
      </c>
      <c r="X27" s="113">
        <v>0</v>
      </c>
      <c r="Y27" s="113">
        <v>3</v>
      </c>
      <c r="Z27" s="459">
        <v>1</v>
      </c>
      <c r="AA27" s="461">
        <f t="shared" si="3"/>
        <v>7</v>
      </c>
      <c r="AB27" s="582">
        <v>5</v>
      </c>
      <c r="AC27" s="113">
        <v>1</v>
      </c>
      <c r="AD27" s="113">
        <v>1</v>
      </c>
      <c r="AE27" s="113">
        <v>3</v>
      </c>
      <c r="AF27" s="460">
        <v>0</v>
      </c>
      <c r="AG27" s="582">
        <v>2</v>
      </c>
      <c r="AH27" s="113">
        <v>1</v>
      </c>
      <c r="AI27" s="113">
        <v>0</v>
      </c>
      <c r="AJ27" s="113">
        <v>1</v>
      </c>
      <c r="AK27" s="459">
        <v>0</v>
      </c>
      <c r="AL27" s="461">
        <f t="shared" si="6"/>
        <v>104</v>
      </c>
      <c r="AM27" s="582">
        <v>89</v>
      </c>
      <c r="AN27" s="113">
        <v>36</v>
      </c>
      <c r="AO27" s="113">
        <v>5</v>
      </c>
      <c r="AP27" s="113">
        <v>48</v>
      </c>
      <c r="AQ27" s="460">
        <v>0</v>
      </c>
      <c r="AR27" s="582">
        <v>15</v>
      </c>
      <c r="AS27" s="113">
        <v>2</v>
      </c>
      <c r="AT27" s="113">
        <v>0</v>
      </c>
      <c r="AU27" s="113">
        <v>12</v>
      </c>
      <c r="AV27" s="459">
        <v>1</v>
      </c>
      <c r="AW27" s="461">
        <f t="shared" si="7"/>
        <v>48</v>
      </c>
      <c r="AX27" s="582">
        <v>42</v>
      </c>
      <c r="AY27" s="113">
        <v>19</v>
      </c>
      <c r="AZ27" s="113">
        <v>0</v>
      </c>
      <c r="BA27" s="113">
        <v>23</v>
      </c>
      <c r="BB27" s="460">
        <v>0</v>
      </c>
      <c r="BC27" s="582">
        <v>6</v>
      </c>
      <c r="BD27" s="113">
        <v>1</v>
      </c>
      <c r="BE27" s="113">
        <v>0</v>
      </c>
      <c r="BF27" s="113">
        <v>5</v>
      </c>
      <c r="BG27" s="459">
        <v>0</v>
      </c>
      <c r="BH27" s="461">
        <f t="shared" si="8"/>
        <v>105</v>
      </c>
      <c r="BI27" s="582">
        <v>97</v>
      </c>
      <c r="BJ27" s="113">
        <v>42</v>
      </c>
      <c r="BK27" s="113">
        <v>1</v>
      </c>
      <c r="BL27" s="113">
        <v>54</v>
      </c>
      <c r="BM27" s="460">
        <v>0</v>
      </c>
      <c r="BN27" s="582">
        <v>8</v>
      </c>
      <c r="BO27" s="113">
        <v>3</v>
      </c>
      <c r="BP27" s="113">
        <v>0</v>
      </c>
      <c r="BQ27" s="113">
        <v>5</v>
      </c>
      <c r="BR27" s="459">
        <v>0</v>
      </c>
      <c r="BS27" s="461">
        <f t="shared" si="9"/>
        <v>123</v>
      </c>
      <c r="BT27" s="582">
        <v>112</v>
      </c>
      <c r="BU27" s="113">
        <v>46</v>
      </c>
      <c r="BV27" s="113">
        <v>0</v>
      </c>
      <c r="BW27" s="113">
        <v>66</v>
      </c>
      <c r="BX27" s="460">
        <v>0</v>
      </c>
      <c r="BY27" s="582">
        <v>11</v>
      </c>
      <c r="BZ27" s="113">
        <v>4</v>
      </c>
      <c r="CA27" s="113">
        <v>0</v>
      </c>
      <c r="CB27" s="113">
        <v>7</v>
      </c>
      <c r="CC27" s="459">
        <v>0</v>
      </c>
      <c r="CD27" s="461">
        <f t="shared" si="10"/>
        <v>23</v>
      </c>
      <c r="CE27" s="582">
        <v>21</v>
      </c>
      <c r="CF27" s="113">
        <v>7</v>
      </c>
      <c r="CG27" s="113">
        <v>2</v>
      </c>
      <c r="CH27" s="113">
        <v>12</v>
      </c>
      <c r="CI27" s="460">
        <v>0</v>
      </c>
      <c r="CJ27" s="582">
        <v>2</v>
      </c>
      <c r="CK27" s="113">
        <v>0</v>
      </c>
      <c r="CL27" s="113">
        <v>0</v>
      </c>
      <c r="CM27" s="113">
        <v>2</v>
      </c>
      <c r="CN27" s="459">
        <v>0</v>
      </c>
      <c r="CO27" s="461">
        <f t="shared" si="11"/>
        <v>13</v>
      </c>
      <c r="CP27" s="582">
        <v>10</v>
      </c>
      <c r="CQ27" s="113">
        <v>2</v>
      </c>
      <c r="CR27" s="113">
        <v>0</v>
      </c>
      <c r="CS27" s="113">
        <v>8</v>
      </c>
      <c r="CT27" s="460">
        <v>0</v>
      </c>
      <c r="CU27" s="582">
        <v>3</v>
      </c>
      <c r="CV27" s="113">
        <v>0</v>
      </c>
      <c r="CW27" s="113">
        <v>0</v>
      </c>
      <c r="CX27" s="113">
        <v>3</v>
      </c>
      <c r="CY27" s="459">
        <v>0</v>
      </c>
      <c r="CZ27" s="461">
        <f t="shared" si="12"/>
        <v>7</v>
      </c>
      <c r="DA27" s="582">
        <v>5</v>
      </c>
      <c r="DB27" s="113">
        <v>3</v>
      </c>
      <c r="DC27" s="113">
        <v>0</v>
      </c>
      <c r="DD27" s="113">
        <v>2</v>
      </c>
      <c r="DE27" s="460">
        <v>0</v>
      </c>
      <c r="DF27" s="582">
        <v>2</v>
      </c>
      <c r="DG27" s="113">
        <v>0</v>
      </c>
      <c r="DH27" s="113">
        <v>0</v>
      </c>
      <c r="DI27" s="113">
        <v>2</v>
      </c>
      <c r="DJ27" s="459">
        <v>0</v>
      </c>
      <c r="DK27" s="461">
        <f t="shared" si="13"/>
        <v>0</v>
      </c>
      <c r="DL27" s="582">
        <v>0</v>
      </c>
      <c r="DM27" s="113">
        <v>0</v>
      </c>
      <c r="DN27" s="113">
        <v>0</v>
      </c>
      <c r="DO27" s="113">
        <v>0</v>
      </c>
      <c r="DP27" s="460">
        <v>0</v>
      </c>
      <c r="DQ27" s="582">
        <v>0</v>
      </c>
      <c r="DR27" s="113">
        <v>0</v>
      </c>
      <c r="DS27" s="113">
        <v>0</v>
      </c>
      <c r="DT27" s="113">
        <v>0</v>
      </c>
      <c r="DU27" s="459">
        <v>0</v>
      </c>
      <c r="DW27" s="461">
        <f t="shared" si="4"/>
        <v>341</v>
      </c>
      <c r="DX27" s="582">
        <f t="shared" si="4"/>
        <v>303</v>
      </c>
      <c r="DY27" s="113">
        <f t="shared" si="4"/>
        <v>124</v>
      </c>
      <c r="DZ27" s="113">
        <f t="shared" si="4"/>
        <v>4</v>
      </c>
      <c r="EA27" s="113">
        <f t="shared" si="4"/>
        <v>175</v>
      </c>
      <c r="EB27" s="460">
        <f t="shared" si="4"/>
        <v>0</v>
      </c>
      <c r="EC27" s="582">
        <f t="shared" si="4"/>
        <v>38</v>
      </c>
      <c r="ED27" s="113">
        <f t="shared" si="4"/>
        <v>9</v>
      </c>
      <c r="EE27" s="113">
        <f t="shared" si="4"/>
        <v>0</v>
      </c>
      <c r="EF27" s="113">
        <f t="shared" si="4"/>
        <v>28</v>
      </c>
      <c r="EG27" s="459">
        <f t="shared" si="4"/>
        <v>1</v>
      </c>
      <c r="EH27" s="461">
        <f t="shared" si="5"/>
        <v>104</v>
      </c>
      <c r="EI27" s="582">
        <f t="shared" si="5"/>
        <v>89</v>
      </c>
      <c r="EJ27" s="113">
        <f t="shared" si="5"/>
        <v>36</v>
      </c>
      <c r="EK27" s="113">
        <f t="shared" si="5"/>
        <v>5</v>
      </c>
      <c r="EL27" s="113">
        <f t="shared" si="5"/>
        <v>48</v>
      </c>
      <c r="EM27" s="460">
        <f t="shared" si="5"/>
        <v>0</v>
      </c>
      <c r="EN27" s="582">
        <f t="shared" si="5"/>
        <v>15</v>
      </c>
      <c r="EO27" s="113">
        <f t="shared" si="5"/>
        <v>2</v>
      </c>
      <c r="EP27" s="113">
        <f t="shared" si="5"/>
        <v>0</v>
      </c>
      <c r="EQ27" s="113">
        <f t="shared" si="5"/>
        <v>12</v>
      </c>
      <c r="ER27" s="459">
        <f t="shared" si="5"/>
        <v>1</v>
      </c>
    </row>
    <row r="28" spans="2:148">
      <c r="B28" s="112" t="s">
        <v>422</v>
      </c>
      <c r="C28" s="217">
        <v>2022</v>
      </c>
      <c r="D28" s="446">
        <v>136338</v>
      </c>
      <c r="E28" s="461">
        <v>10991</v>
      </c>
      <c r="F28" s="582">
        <v>9506</v>
      </c>
      <c r="G28" s="113">
        <v>2594</v>
      </c>
      <c r="H28" s="113">
        <v>344</v>
      </c>
      <c r="I28" s="113">
        <v>6486</v>
      </c>
      <c r="J28" s="460">
        <v>82</v>
      </c>
      <c r="K28" s="582">
        <v>1485</v>
      </c>
      <c r="L28" s="113">
        <v>171</v>
      </c>
      <c r="M28" s="113">
        <v>0</v>
      </c>
      <c r="N28" s="113">
        <v>1248</v>
      </c>
      <c r="O28" s="459">
        <v>66</v>
      </c>
      <c r="P28" s="461">
        <f t="shared" si="2"/>
        <v>12</v>
      </c>
      <c r="Q28" s="582">
        <v>11</v>
      </c>
      <c r="R28" s="113">
        <v>4</v>
      </c>
      <c r="S28" s="113">
        <v>0</v>
      </c>
      <c r="T28" s="113">
        <v>7</v>
      </c>
      <c r="U28" s="460">
        <v>0</v>
      </c>
      <c r="V28" s="582">
        <v>1</v>
      </c>
      <c r="W28" s="113">
        <v>0</v>
      </c>
      <c r="X28" s="113">
        <v>0</v>
      </c>
      <c r="Y28" s="113">
        <v>1</v>
      </c>
      <c r="Z28" s="459">
        <v>0</v>
      </c>
      <c r="AA28" s="461">
        <f t="shared" si="3"/>
        <v>6</v>
      </c>
      <c r="AB28" s="582">
        <v>5</v>
      </c>
      <c r="AC28" s="113">
        <v>4</v>
      </c>
      <c r="AD28" s="113">
        <v>0</v>
      </c>
      <c r="AE28" s="113">
        <v>1</v>
      </c>
      <c r="AF28" s="460">
        <v>0</v>
      </c>
      <c r="AG28" s="582">
        <v>1</v>
      </c>
      <c r="AH28" s="113">
        <v>1</v>
      </c>
      <c r="AI28" s="113">
        <v>0</v>
      </c>
      <c r="AJ28" s="113">
        <v>0</v>
      </c>
      <c r="AK28" s="459">
        <v>0</v>
      </c>
      <c r="AL28" s="461">
        <f t="shared" si="6"/>
        <v>106</v>
      </c>
      <c r="AM28" s="582">
        <v>89</v>
      </c>
      <c r="AN28" s="113">
        <v>34</v>
      </c>
      <c r="AO28" s="113">
        <v>3</v>
      </c>
      <c r="AP28" s="113">
        <v>52</v>
      </c>
      <c r="AQ28" s="460">
        <v>0</v>
      </c>
      <c r="AR28" s="582">
        <v>17</v>
      </c>
      <c r="AS28" s="113">
        <v>1</v>
      </c>
      <c r="AT28" s="113">
        <v>0</v>
      </c>
      <c r="AU28" s="113">
        <v>15</v>
      </c>
      <c r="AV28" s="459">
        <v>1</v>
      </c>
      <c r="AW28" s="461">
        <f t="shared" si="7"/>
        <v>65</v>
      </c>
      <c r="AX28" s="582">
        <v>51</v>
      </c>
      <c r="AY28" s="113">
        <v>22</v>
      </c>
      <c r="AZ28" s="113">
        <v>0</v>
      </c>
      <c r="BA28" s="113">
        <v>29</v>
      </c>
      <c r="BB28" s="460">
        <v>0</v>
      </c>
      <c r="BC28" s="582">
        <v>14</v>
      </c>
      <c r="BD28" s="113">
        <v>3</v>
      </c>
      <c r="BE28" s="113">
        <v>0</v>
      </c>
      <c r="BF28" s="113">
        <v>11</v>
      </c>
      <c r="BG28" s="459">
        <v>0</v>
      </c>
      <c r="BH28" s="461">
        <f t="shared" si="8"/>
        <v>94</v>
      </c>
      <c r="BI28" s="582">
        <v>83</v>
      </c>
      <c r="BJ28" s="113">
        <v>17</v>
      </c>
      <c r="BK28" s="113">
        <v>2</v>
      </c>
      <c r="BL28" s="113">
        <v>63</v>
      </c>
      <c r="BM28" s="460">
        <v>1</v>
      </c>
      <c r="BN28" s="582">
        <v>11</v>
      </c>
      <c r="BO28" s="113">
        <v>3</v>
      </c>
      <c r="BP28" s="113">
        <v>0</v>
      </c>
      <c r="BQ28" s="113">
        <v>8</v>
      </c>
      <c r="BR28" s="459">
        <v>0</v>
      </c>
      <c r="BS28" s="461">
        <f t="shared" si="9"/>
        <v>141</v>
      </c>
      <c r="BT28" s="582">
        <v>126</v>
      </c>
      <c r="BU28" s="113">
        <v>28</v>
      </c>
      <c r="BV28" s="113">
        <v>1</v>
      </c>
      <c r="BW28" s="113">
        <v>96</v>
      </c>
      <c r="BX28" s="460">
        <v>1</v>
      </c>
      <c r="BY28" s="582">
        <v>15</v>
      </c>
      <c r="BZ28" s="113">
        <v>1</v>
      </c>
      <c r="CA28" s="113">
        <v>0</v>
      </c>
      <c r="CB28" s="113">
        <v>13</v>
      </c>
      <c r="CC28" s="459">
        <v>1</v>
      </c>
      <c r="CD28" s="461">
        <f t="shared" si="10"/>
        <v>32</v>
      </c>
      <c r="CE28" s="582">
        <v>24</v>
      </c>
      <c r="CF28" s="113">
        <v>5</v>
      </c>
      <c r="CG28" s="113">
        <v>0</v>
      </c>
      <c r="CH28" s="113">
        <v>19</v>
      </c>
      <c r="CI28" s="460">
        <v>0</v>
      </c>
      <c r="CJ28" s="582">
        <v>8</v>
      </c>
      <c r="CK28" s="113">
        <v>0</v>
      </c>
      <c r="CL28" s="113">
        <v>0</v>
      </c>
      <c r="CM28" s="113">
        <v>8</v>
      </c>
      <c r="CN28" s="459">
        <v>0</v>
      </c>
      <c r="CO28" s="461">
        <f t="shared" si="11"/>
        <v>18</v>
      </c>
      <c r="CP28" s="582">
        <v>17</v>
      </c>
      <c r="CQ28" s="113">
        <v>8</v>
      </c>
      <c r="CR28" s="113">
        <v>1</v>
      </c>
      <c r="CS28" s="113">
        <v>8</v>
      </c>
      <c r="CT28" s="460">
        <v>0</v>
      </c>
      <c r="CU28" s="582">
        <v>1</v>
      </c>
      <c r="CV28" s="113">
        <v>0</v>
      </c>
      <c r="CW28" s="113">
        <v>0</v>
      </c>
      <c r="CX28" s="113">
        <v>1</v>
      </c>
      <c r="CY28" s="459">
        <v>0</v>
      </c>
      <c r="CZ28" s="461">
        <f t="shared" si="12"/>
        <v>8</v>
      </c>
      <c r="DA28" s="582">
        <v>8</v>
      </c>
      <c r="DB28" s="113">
        <v>0</v>
      </c>
      <c r="DC28" s="113">
        <v>1</v>
      </c>
      <c r="DD28" s="113">
        <v>7</v>
      </c>
      <c r="DE28" s="460">
        <v>0</v>
      </c>
      <c r="DF28" s="582">
        <v>0</v>
      </c>
      <c r="DG28" s="113">
        <v>0</v>
      </c>
      <c r="DH28" s="113">
        <v>0</v>
      </c>
      <c r="DI28" s="113">
        <v>0</v>
      </c>
      <c r="DJ28" s="459">
        <v>0</v>
      </c>
      <c r="DK28" s="461">
        <f t="shared" si="13"/>
        <v>0</v>
      </c>
      <c r="DL28" s="582">
        <v>0</v>
      </c>
      <c r="DM28" s="113">
        <v>0</v>
      </c>
      <c r="DN28" s="113">
        <v>0</v>
      </c>
      <c r="DO28" s="113">
        <v>0</v>
      </c>
      <c r="DP28" s="460">
        <v>0</v>
      </c>
      <c r="DQ28" s="582">
        <v>0</v>
      </c>
      <c r="DR28" s="113">
        <v>0</v>
      </c>
      <c r="DS28" s="113">
        <v>0</v>
      </c>
      <c r="DT28" s="113">
        <v>0</v>
      </c>
      <c r="DU28" s="459">
        <v>0</v>
      </c>
      <c r="DW28" s="461">
        <f t="shared" si="4"/>
        <v>376</v>
      </c>
      <c r="DX28" s="582">
        <f t="shared" si="4"/>
        <v>325</v>
      </c>
      <c r="DY28" s="113">
        <f t="shared" si="4"/>
        <v>88</v>
      </c>
      <c r="DZ28" s="113">
        <f t="shared" si="4"/>
        <v>5</v>
      </c>
      <c r="EA28" s="113">
        <f t="shared" si="4"/>
        <v>230</v>
      </c>
      <c r="EB28" s="460">
        <f t="shared" si="4"/>
        <v>2</v>
      </c>
      <c r="EC28" s="582">
        <f t="shared" si="4"/>
        <v>51</v>
      </c>
      <c r="ED28" s="113">
        <f t="shared" si="4"/>
        <v>8</v>
      </c>
      <c r="EE28" s="113">
        <f t="shared" si="4"/>
        <v>0</v>
      </c>
      <c r="EF28" s="113">
        <f t="shared" si="4"/>
        <v>42</v>
      </c>
      <c r="EG28" s="459">
        <f t="shared" si="4"/>
        <v>1</v>
      </c>
      <c r="EH28" s="461">
        <f t="shared" si="5"/>
        <v>106</v>
      </c>
      <c r="EI28" s="582">
        <f t="shared" si="5"/>
        <v>89</v>
      </c>
      <c r="EJ28" s="113">
        <f t="shared" si="5"/>
        <v>34</v>
      </c>
      <c r="EK28" s="113">
        <f t="shared" si="5"/>
        <v>3</v>
      </c>
      <c r="EL28" s="113">
        <f t="shared" si="5"/>
        <v>52</v>
      </c>
      <c r="EM28" s="460">
        <f t="shared" si="5"/>
        <v>0</v>
      </c>
      <c r="EN28" s="582">
        <f t="shared" si="5"/>
        <v>17</v>
      </c>
      <c r="EO28" s="113">
        <f t="shared" si="5"/>
        <v>1</v>
      </c>
      <c r="EP28" s="113">
        <f t="shared" si="5"/>
        <v>0</v>
      </c>
      <c r="EQ28" s="113">
        <f t="shared" si="5"/>
        <v>15</v>
      </c>
      <c r="ER28" s="459">
        <f t="shared" si="5"/>
        <v>1</v>
      </c>
    </row>
    <row r="29" spans="2:148">
      <c r="B29" s="112" t="s">
        <v>423</v>
      </c>
      <c r="C29" s="217">
        <v>2023</v>
      </c>
      <c r="D29" s="446">
        <v>143618</v>
      </c>
      <c r="E29" s="461">
        <v>8520</v>
      </c>
      <c r="F29" s="582">
        <v>6760</v>
      </c>
      <c r="G29" s="113">
        <v>2365</v>
      </c>
      <c r="H29" s="113">
        <v>354</v>
      </c>
      <c r="I29" s="113">
        <v>3938</v>
      </c>
      <c r="J29" s="460">
        <v>103</v>
      </c>
      <c r="K29" s="582">
        <v>1760</v>
      </c>
      <c r="L29" s="113">
        <v>85</v>
      </c>
      <c r="M29" s="113">
        <v>0</v>
      </c>
      <c r="N29" s="113">
        <v>1480</v>
      </c>
      <c r="O29" s="459">
        <v>195</v>
      </c>
      <c r="P29" s="461">
        <f t="shared" si="2"/>
        <v>19</v>
      </c>
      <c r="Q29" s="582">
        <v>9</v>
      </c>
      <c r="R29" s="113">
        <v>7</v>
      </c>
      <c r="S29" s="113">
        <v>0</v>
      </c>
      <c r="T29" s="113">
        <v>2</v>
      </c>
      <c r="U29" s="460">
        <v>0</v>
      </c>
      <c r="V29" s="582">
        <v>10</v>
      </c>
      <c r="W29" s="113">
        <v>0</v>
      </c>
      <c r="X29" s="113">
        <v>0</v>
      </c>
      <c r="Y29" s="113">
        <v>8</v>
      </c>
      <c r="Z29" s="459">
        <v>2</v>
      </c>
      <c r="AA29" s="461">
        <f t="shared" si="3"/>
        <v>12</v>
      </c>
      <c r="AB29" s="582">
        <v>11</v>
      </c>
      <c r="AC29" s="113">
        <v>2</v>
      </c>
      <c r="AD29" s="113">
        <v>0</v>
      </c>
      <c r="AE29" s="113">
        <v>9</v>
      </c>
      <c r="AF29" s="460">
        <v>0</v>
      </c>
      <c r="AG29" s="582">
        <v>1</v>
      </c>
      <c r="AH29" s="113">
        <v>0</v>
      </c>
      <c r="AI29" s="113">
        <v>0</v>
      </c>
      <c r="AJ29" s="113">
        <v>1</v>
      </c>
      <c r="AK29" s="459">
        <v>0</v>
      </c>
      <c r="AL29" s="461">
        <f t="shared" si="6"/>
        <v>90</v>
      </c>
      <c r="AM29" s="582">
        <v>73</v>
      </c>
      <c r="AN29" s="113">
        <v>22</v>
      </c>
      <c r="AO29" s="113">
        <v>2</v>
      </c>
      <c r="AP29" s="113">
        <v>49</v>
      </c>
      <c r="AQ29" s="460">
        <v>0</v>
      </c>
      <c r="AR29" s="582">
        <v>17</v>
      </c>
      <c r="AS29" s="113">
        <v>0</v>
      </c>
      <c r="AT29" s="113">
        <v>0</v>
      </c>
      <c r="AU29" s="113">
        <v>17</v>
      </c>
      <c r="AV29" s="459">
        <v>0</v>
      </c>
      <c r="AW29" s="461">
        <f t="shared" si="7"/>
        <v>53</v>
      </c>
      <c r="AX29" s="582">
        <v>42</v>
      </c>
      <c r="AY29" s="113">
        <v>14</v>
      </c>
      <c r="AZ29" s="113">
        <v>3</v>
      </c>
      <c r="BA29" s="113">
        <v>25</v>
      </c>
      <c r="BB29" s="460">
        <v>0</v>
      </c>
      <c r="BC29" s="582">
        <v>11</v>
      </c>
      <c r="BD29" s="113">
        <v>0</v>
      </c>
      <c r="BE29" s="113">
        <v>0</v>
      </c>
      <c r="BF29" s="113">
        <v>11</v>
      </c>
      <c r="BG29" s="459">
        <v>0</v>
      </c>
      <c r="BH29" s="461">
        <f t="shared" si="8"/>
        <v>67</v>
      </c>
      <c r="BI29" s="582">
        <v>59</v>
      </c>
      <c r="BJ29" s="113">
        <v>20</v>
      </c>
      <c r="BK29" s="113">
        <v>2</v>
      </c>
      <c r="BL29" s="113">
        <v>37</v>
      </c>
      <c r="BM29" s="460">
        <v>0</v>
      </c>
      <c r="BN29" s="582">
        <v>8</v>
      </c>
      <c r="BO29" s="113">
        <v>0</v>
      </c>
      <c r="BP29" s="113">
        <v>0</v>
      </c>
      <c r="BQ29" s="113">
        <v>7</v>
      </c>
      <c r="BR29" s="459">
        <v>1</v>
      </c>
      <c r="BS29" s="461">
        <f t="shared" si="9"/>
        <v>121</v>
      </c>
      <c r="BT29" s="582">
        <v>101</v>
      </c>
      <c r="BU29" s="113">
        <v>29</v>
      </c>
      <c r="BV29" s="113">
        <v>2</v>
      </c>
      <c r="BW29" s="113">
        <v>70</v>
      </c>
      <c r="BX29" s="460">
        <v>0</v>
      </c>
      <c r="BY29" s="582">
        <v>20</v>
      </c>
      <c r="BZ29" s="113">
        <v>0</v>
      </c>
      <c r="CA29" s="113">
        <v>0</v>
      </c>
      <c r="CB29" s="113">
        <v>19</v>
      </c>
      <c r="CC29" s="459">
        <v>1</v>
      </c>
      <c r="CD29" s="461">
        <f t="shared" si="10"/>
        <v>13</v>
      </c>
      <c r="CE29" s="582">
        <v>9</v>
      </c>
      <c r="CF29" s="113">
        <v>4</v>
      </c>
      <c r="CG29" s="113">
        <v>0</v>
      </c>
      <c r="CH29" s="113">
        <v>5</v>
      </c>
      <c r="CI29" s="460">
        <v>0</v>
      </c>
      <c r="CJ29" s="582">
        <v>4</v>
      </c>
      <c r="CK29" s="113">
        <v>0</v>
      </c>
      <c r="CL29" s="113">
        <v>0</v>
      </c>
      <c r="CM29" s="113">
        <v>4</v>
      </c>
      <c r="CN29" s="459">
        <v>0</v>
      </c>
      <c r="CO29" s="461">
        <f t="shared" si="11"/>
        <v>9</v>
      </c>
      <c r="CP29" s="582">
        <v>8</v>
      </c>
      <c r="CQ29" s="113">
        <v>2</v>
      </c>
      <c r="CR29" s="113">
        <v>1</v>
      </c>
      <c r="CS29" s="113">
        <v>5</v>
      </c>
      <c r="CT29" s="460">
        <v>0</v>
      </c>
      <c r="CU29" s="582">
        <v>1</v>
      </c>
      <c r="CV29" s="113">
        <v>0</v>
      </c>
      <c r="CW29" s="113">
        <v>0</v>
      </c>
      <c r="CX29" s="113">
        <v>1</v>
      </c>
      <c r="CY29" s="459">
        <v>0</v>
      </c>
      <c r="CZ29" s="461">
        <f t="shared" si="12"/>
        <v>6</v>
      </c>
      <c r="DA29" s="582">
        <v>3</v>
      </c>
      <c r="DB29" s="113">
        <v>2</v>
      </c>
      <c r="DC29" s="113">
        <v>0</v>
      </c>
      <c r="DD29" s="113">
        <v>1</v>
      </c>
      <c r="DE29" s="460">
        <v>0</v>
      </c>
      <c r="DF29" s="582">
        <v>3</v>
      </c>
      <c r="DG29" s="113">
        <v>0</v>
      </c>
      <c r="DH29" s="113">
        <v>0</v>
      </c>
      <c r="DI29" s="113">
        <v>0</v>
      </c>
      <c r="DJ29" s="459">
        <v>3</v>
      </c>
      <c r="DK29" s="461">
        <f t="shared" si="13"/>
        <v>1</v>
      </c>
      <c r="DL29" s="582">
        <v>1</v>
      </c>
      <c r="DM29" s="113">
        <v>0</v>
      </c>
      <c r="DN29" s="113">
        <v>1</v>
      </c>
      <c r="DO29" s="113">
        <v>0</v>
      </c>
      <c r="DP29" s="460">
        <v>0</v>
      </c>
      <c r="DQ29" s="582">
        <v>0</v>
      </c>
      <c r="DR29" s="113">
        <v>0</v>
      </c>
      <c r="DS29" s="113">
        <v>0</v>
      </c>
      <c r="DT29" s="113">
        <v>0</v>
      </c>
      <c r="DU29" s="459">
        <v>0</v>
      </c>
      <c r="DW29" s="461">
        <f t="shared" si="4"/>
        <v>301</v>
      </c>
      <c r="DX29" s="582">
        <f t="shared" si="4"/>
        <v>243</v>
      </c>
      <c r="DY29" s="113">
        <f t="shared" si="4"/>
        <v>80</v>
      </c>
      <c r="DZ29" s="113">
        <f t="shared" si="4"/>
        <v>9</v>
      </c>
      <c r="EA29" s="113">
        <f t="shared" si="4"/>
        <v>154</v>
      </c>
      <c r="EB29" s="460">
        <f t="shared" si="4"/>
        <v>0</v>
      </c>
      <c r="EC29" s="582">
        <f t="shared" si="4"/>
        <v>58</v>
      </c>
      <c r="ED29" s="113">
        <f t="shared" si="4"/>
        <v>0</v>
      </c>
      <c r="EE29" s="113">
        <f t="shared" si="4"/>
        <v>0</v>
      </c>
      <c r="EF29" s="113">
        <f t="shared" si="4"/>
        <v>51</v>
      </c>
      <c r="EG29" s="459">
        <f t="shared" si="4"/>
        <v>7</v>
      </c>
      <c r="EH29" s="461">
        <f t="shared" si="5"/>
        <v>90</v>
      </c>
      <c r="EI29" s="582">
        <f t="shared" si="5"/>
        <v>73</v>
      </c>
      <c r="EJ29" s="113">
        <f t="shared" si="5"/>
        <v>22</v>
      </c>
      <c r="EK29" s="113">
        <f t="shared" si="5"/>
        <v>2</v>
      </c>
      <c r="EL29" s="113">
        <f t="shared" si="5"/>
        <v>49</v>
      </c>
      <c r="EM29" s="460">
        <f t="shared" si="5"/>
        <v>0</v>
      </c>
      <c r="EN29" s="582">
        <f t="shared" si="5"/>
        <v>17</v>
      </c>
      <c r="EO29" s="113">
        <f t="shared" si="5"/>
        <v>0</v>
      </c>
      <c r="EP29" s="113">
        <f t="shared" si="5"/>
        <v>0</v>
      </c>
      <c r="EQ29" s="113">
        <f t="shared" si="5"/>
        <v>17</v>
      </c>
      <c r="ER29" s="459">
        <f t="shared" si="5"/>
        <v>0</v>
      </c>
    </row>
    <row r="30" spans="2:148">
      <c r="B30" s="112" t="s">
        <v>424</v>
      </c>
      <c r="C30" s="217">
        <v>2023</v>
      </c>
      <c r="D30" s="446">
        <v>183652</v>
      </c>
      <c r="E30" s="461">
        <v>12797</v>
      </c>
      <c r="F30" s="582">
        <v>9486</v>
      </c>
      <c r="G30" s="113">
        <v>2192</v>
      </c>
      <c r="H30" s="113">
        <v>382</v>
      </c>
      <c r="I30" s="113">
        <v>6743</v>
      </c>
      <c r="J30" s="460">
        <v>169</v>
      </c>
      <c r="K30" s="582">
        <v>3311</v>
      </c>
      <c r="L30" s="113">
        <v>210</v>
      </c>
      <c r="M30" s="113">
        <v>0</v>
      </c>
      <c r="N30" s="113">
        <v>2843</v>
      </c>
      <c r="O30" s="459">
        <v>258</v>
      </c>
      <c r="P30" s="461">
        <f t="shared" si="2"/>
        <v>26</v>
      </c>
      <c r="Q30" s="582">
        <v>12</v>
      </c>
      <c r="R30" s="113">
        <v>1</v>
      </c>
      <c r="S30" s="113">
        <v>1</v>
      </c>
      <c r="T30" s="113">
        <v>10</v>
      </c>
      <c r="U30" s="460">
        <v>0</v>
      </c>
      <c r="V30" s="582">
        <v>14</v>
      </c>
      <c r="W30" s="113">
        <v>1</v>
      </c>
      <c r="X30" s="113">
        <v>0</v>
      </c>
      <c r="Y30" s="113">
        <v>13</v>
      </c>
      <c r="Z30" s="459">
        <v>0</v>
      </c>
      <c r="AA30" s="461">
        <f t="shared" si="3"/>
        <v>5</v>
      </c>
      <c r="AB30" s="582">
        <v>4</v>
      </c>
      <c r="AC30" s="113">
        <v>2</v>
      </c>
      <c r="AD30" s="113">
        <v>0</v>
      </c>
      <c r="AE30" s="113">
        <v>2</v>
      </c>
      <c r="AF30" s="460">
        <v>0</v>
      </c>
      <c r="AG30" s="582">
        <v>1</v>
      </c>
      <c r="AH30" s="113">
        <v>0</v>
      </c>
      <c r="AI30" s="113">
        <v>0</v>
      </c>
      <c r="AJ30" s="113">
        <v>0</v>
      </c>
      <c r="AK30" s="459">
        <v>1</v>
      </c>
      <c r="AL30" s="461">
        <f t="shared" si="6"/>
        <v>150</v>
      </c>
      <c r="AM30" s="582">
        <v>118</v>
      </c>
      <c r="AN30" s="113">
        <v>19</v>
      </c>
      <c r="AO30" s="113">
        <v>3</v>
      </c>
      <c r="AP30" s="113">
        <v>96</v>
      </c>
      <c r="AQ30" s="460">
        <v>0</v>
      </c>
      <c r="AR30" s="582">
        <v>32</v>
      </c>
      <c r="AS30" s="113">
        <v>1</v>
      </c>
      <c r="AT30" s="113">
        <v>0</v>
      </c>
      <c r="AU30" s="113">
        <v>28</v>
      </c>
      <c r="AV30" s="459">
        <v>3</v>
      </c>
      <c r="AW30" s="461">
        <f t="shared" si="7"/>
        <v>65</v>
      </c>
      <c r="AX30" s="582">
        <v>49</v>
      </c>
      <c r="AY30" s="113">
        <v>13</v>
      </c>
      <c r="AZ30" s="113">
        <v>1</v>
      </c>
      <c r="BA30" s="113">
        <v>35</v>
      </c>
      <c r="BB30" s="460">
        <v>0</v>
      </c>
      <c r="BC30" s="582">
        <v>16</v>
      </c>
      <c r="BD30" s="113">
        <v>0</v>
      </c>
      <c r="BE30" s="113">
        <v>0</v>
      </c>
      <c r="BF30" s="113">
        <v>14</v>
      </c>
      <c r="BG30" s="459">
        <v>2</v>
      </c>
      <c r="BH30" s="461">
        <f t="shared" si="8"/>
        <v>100</v>
      </c>
      <c r="BI30" s="582">
        <v>69</v>
      </c>
      <c r="BJ30" s="113">
        <v>14</v>
      </c>
      <c r="BK30" s="113">
        <v>3</v>
      </c>
      <c r="BL30" s="113">
        <v>52</v>
      </c>
      <c r="BM30" s="460">
        <v>0</v>
      </c>
      <c r="BN30" s="582">
        <v>31</v>
      </c>
      <c r="BO30" s="113">
        <v>0</v>
      </c>
      <c r="BP30" s="113">
        <v>0</v>
      </c>
      <c r="BQ30" s="113">
        <v>27</v>
      </c>
      <c r="BR30" s="459">
        <v>4</v>
      </c>
      <c r="BS30" s="461">
        <f t="shared" si="9"/>
        <v>169</v>
      </c>
      <c r="BT30" s="582">
        <v>134</v>
      </c>
      <c r="BU30" s="113">
        <v>30</v>
      </c>
      <c r="BV30" s="113">
        <v>0</v>
      </c>
      <c r="BW30" s="113">
        <v>104</v>
      </c>
      <c r="BX30" s="460">
        <v>0</v>
      </c>
      <c r="BY30" s="582">
        <v>35</v>
      </c>
      <c r="BZ30" s="113">
        <v>2</v>
      </c>
      <c r="CA30" s="113">
        <v>0</v>
      </c>
      <c r="CB30" s="113">
        <v>31</v>
      </c>
      <c r="CC30" s="459">
        <v>2</v>
      </c>
      <c r="CD30" s="461">
        <f t="shared" si="10"/>
        <v>24</v>
      </c>
      <c r="CE30" s="582">
        <v>17</v>
      </c>
      <c r="CF30" s="113">
        <v>2</v>
      </c>
      <c r="CG30" s="113">
        <v>3</v>
      </c>
      <c r="CH30" s="113">
        <v>12</v>
      </c>
      <c r="CI30" s="460">
        <v>0</v>
      </c>
      <c r="CJ30" s="582">
        <v>7</v>
      </c>
      <c r="CK30" s="113">
        <v>0</v>
      </c>
      <c r="CL30" s="113">
        <v>0</v>
      </c>
      <c r="CM30" s="113">
        <v>6</v>
      </c>
      <c r="CN30" s="459">
        <v>1</v>
      </c>
      <c r="CO30" s="461">
        <f t="shared" si="11"/>
        <v>9</v>
      </c>
      <c r="CP30" s="582">
        <v>8</v>
      </c>
      <c r="CQ30" s="113">
        <v>0</v>
      </c>
      <c r="CR30" s="113">
        <v>2</v>
      </c>
      <c r="CS30" s="113">
        <v>6</v>
      </c>
      <c r="CT30" s="460">
        <v>0</v>
      </c>
      <c r="CU30" s="582">
        <v>1</v>
      </c>
      <c r="CV30" s="113">
        <v>0</v>
      </c>
      <c r="CW30" s="113">
        <v>0</v>
      </c>
      <c r="CX30" s="113">
        <v>1</v>
      </c>
      <c r="CY30" s="459">
        <v>0</v>
      </c>
      <c r="CZ30" s="461">
        <f t="shared" si="12"/>
        <v>6</v>
      </c>
      <c r="DA30" s="582">
        <v>5</v>
      </c>
      <c r="DB30" s="113">
        <v>0</v>
      </c>
      <c r="DC30" s="113">
        <v>0</v>
      </c>
      <c r="DD30" s="113">
        <v>5</v>
      </c>
      <c r="DE30" s="460">
        <v>0</v>
      </c>
      <c r="DF30" s="582">
        <v>1</v>
      </c>
      <c r="DG30" s="113">
        <v>0</v>
      </c>
      <c r="DH30" s="113">
        <v>0</v>
      </c>
      <c r="DI30" s="113">
        <v>1</v>
      </c>
      <c r="DJ30" s="459">
        <v>0</v>
      </c>
      <c r="DK30" s="461">
        <f t="shared" si="13"/>
        <v>0</v>
      </c>
      <c r="DL30" s="582">
        <v>0</v>
      </c>
      <c r="DM30" s="113">
        <v>0</v>
      </c>
      <c r="DN30" s="113">
        <v>0</v>
      </c>
      <c r="DO30" s="113">
        <v>0</v>
      </c>
      <c r="DP30" s="460">
        <v>0</v>
      </c>
      <c r="DQ30" s="582">
        <v>0</v>
      </c>
      <c r="DR30" s="113">
        <v>0</v>
      </c>
      <c r="DS30" s="113">
        <v>0</v>
      </c>
      <c r="DT30" s="113">
        <v>0</v>
      </c>
      <c r="DU30" s="459">
        <v>0</v>
      </c>
      <c r="DW30" s="461">
        <f t="shared" si="4"/>
        <v>404</v>
      </c>
      <c r="DX30" s="582">
        <f t="shared" si="4"/>
        <v>298</v>
      </c>
      <c r="DY30" s="113">
        <f t="shared" si="4"/>
        <v>62</v>
      </c>
      <c r="DZ30" s="113">
        <f t="shared" si="4"/>
        <v>10</v>
      </c>
      <c r="EA30" s="113">
        <f t="shared" si="4"/>
        <v>226</v>
      </c>
      <c r="EB30" s="460">
        <f t="shared" si="4"/>
        <v>0</v>
      </c>
      <c r="EC30" s="582">
        <f t="shared" si="4"/>
        <v>106</v>
      </c>
      <c r="ED30" s="113">
        <f t="shared" si="4"/>
        <v>3</v>
      </c>
      <c r="EE30" s="113">
        <f t="shared" si="4"/>
        <v>0</v>
      </c>
      <c r="EF30" s="113">
        <f t="shared" si="4"/>
        <v>93</v>
      </c>
      <c r="EG30" s="459">
        <f t="shared" si="4"/>
        <v>10</v>
      </c>
      <c r="EH30" s="461">
        <f t="shared" si="5"/>
        <v>150</v>
      </c>
      <c r="EI30" s="582">
        <f t="shared" si="5"/>
        <v>118</v>
      </c>
      <c r="EJ30" s="113">
        <f t="shared" si="5"/>
        <v>19</v>
      </c>
      <c r="EK30" s="113">
        <f t="shared" si="5"/>
        <v>3</v>
      </c>
      <c r="EL30" s="113">
        <f t="shared" si="5"/>
        <v>96</v>
      </c>
      <c r="EM30" s="460">
        <f t="shared" si="5"/>
        <v>0</v>
      </c>
      <c r="EN30" s="582">
        <f t="shared" si="5"/>
        <v>32</v>
      </c>
      <c r="EO30" s="113">
        <f t="shared" si="5"/>
        <v>1</v>
      </c>
      <c r="EP30" s="113">
        <f t="shared" si="5"/>
        <v>0</v>
      </c>
      <c r="EQ30" s="113">
        <f t="shared" si="5"/>
        <v>28</v>
      </c>
      <c r="ER30" s="459">
        <f t="shared" si="5"/>
        <v>3</v>
      </c>
    </row>
    <row r="31" spans="2:148">
      <c r="B31" s="112" t="s">
        <v>425</v>
      </c>
      <c r="C31" s="217">
        <v>2023</v>
      </c>
      <c r="D31" s="446">
        <v>178596</v>
      </c>
      <c r="E31" s="461">
        <v>14710</v>
      </c>
      <c r="F31" s="582">
        <v>11458</v>
      </c>
      <c r="G31" s="113">
        <v>3129</v>
      </c>
      <c r="H31" s="113">
        <v>523</v>
      </c>
      <c r="I31" s="113">
        <v>7730</v>
      </c>
      <c r="J31" s="460">
        <v>76</v>
      </c>
      <c r="K31" s="582">
        <v>3252</v>
      </c>
      <c r="L31" s="113">
        <v>322</v>
      </c>
      <c r="M31" s="113">
        <v>0</v>
      </c>
      <c r="N31" s="113">
        <v>2825</v>
      </c>
      <c r="O31" s="459">
        <v>105</v>
      </c>
      <c r="P31" s="461">
        <f t="shared" si="2"/>
        <v>25</v>
      </c>
      <c r="Q31" s="582">
        <v>18</v>
      </c>
      <c r="R31" s="113">
        <v>8</v>
      </c>
      <c r="S31" s="113">
        <v>0</v>
      </c>
      <c r="T31" s="113">
        <v>10</v>
      </c>
      <c r="U31" s="460">
        <v>0</v>
      </c>
      <c r="V31" s="582">
        <v>7</v>
      </c>
      <c r="W31" s="113">
        <v>1</v>
      </c>
      <c r="X31" s="113">
        <v>0</v>
      </c>
      <c r="Y31" s="113">
        <v>6</v>
      </c>
      <c r="Z31" s="459">
        <v>0</v>
      </c>
      <c r="AA31" s="461">
        <f t="shared" si="3"/>
        <v>15</v>
      </c>
      <c r="AB31" s="582">
        <v>9</v>
      </c>
      <c r="AC31" s="113">
        <v>1</v>
      </c>
      <c r="AD31" s="113">
        <v>0</v>
      </c>
      <c r="AE31" s="113">
        <v>8</v>
      </c>
      <c r="AF31" s="460">
        <v>0</v>
      </c>
      <c r="AG31" s="582">
        <v>6</v>
      </c>
      <c r="AH31" s="113">
        <v>2</v>
      </c>
      <c r="AI31" s="113">
        <v>0</v>
      </c>
      <c r="AJ31" s="113">
        <v>4</v>
      </c>
      <c r="AK31" s="459">
        <v>0</v>
      </c>
      <c r="AL31" s="461">
        <f t="shared" si="6"/>
        <v>138</v>
      </c>
      <c r="AM31" s="582">
        <v>92</v>
      </c>
      <c r="AN31" s="113">
        <v>33</v>
      </c>
      <c r="AO31" s="113">
        <v>4</v>
      </c>
      <c r="AP31" s="113">
        <v>55</v>
      </c>
      <c r="AQ31" s="460">
        <v>0</v>
      </c>
      <c r="AR31" s="582">
        <v>46</v>
      </c>
      <c r="AS31" s="113">
        <v>1</v>
      </c>
      <c r="AT31" s="113">
        <v>0</v>
      </c>
      <c r="AU31" s="113">
        <v>45</v>
      </c>
      <c r="AV31" s="459">
        <v>0</v>
      </c>
      <c r="AW31" s="461">
        <f t="shared" si="7"/>
        <v>82</v>
      </c>
      <c r="AX31" s="582">
        <v>69</v>
      </c>
      <c r="AY31" s="113">
        <v>16</v>
      </c>
      <c r="AZ31" s="113">
        <v>4</v>
      </c>
      <c r="BA31" s="113">
        <v>49</v>
      </c>
      <c r="BB31" s="460">
        <v>0</v>
      </c>
      <c r="BC31" s="582">
        <v>13</v>
      </c>
      <c r="BD31" s="113">
        <v>1</v>
      </c>
      <c r="BE31" s="113">
        <v>0</v>
      </c>
      <c r="BF31" s="113">
        <v>12</v>
      </c>
      <c r="BG31" s="459">
        <v>0</v>
      </c>
      <c r="BH31" s="461">
        <f t="shared" si="8"/>
        <v>126</v>
      </c>
      <c r="BI31" s="582">
        <v>104</v>
      </c>
      <c r="BJ31" s="113">
        <v>28</v>
      </c>
      <c r="BK31" s="113">
        <v>2</v>
      </c>
      <c r="BL31" s="113">
        <v>74</v>
      </c>
      <c r="BM31" s="460">
        <v>0</v>
      </c>
      <c r="BN31" s="582">
        <v>22</v>
      </c>
      <c r="BO31" s="113">
        <v>1</v>
      </c>
      <c r="BP31" s="113">
        <v>0</v>
      </c>
      <c r="BQ31" s="113">
        <v>20</v>
      </c>
      <c r="BR31" s="459">
        <v>1</v>
      </c>
      <c r="BS31" s="461">
        <f t="shared" si="9"/>
        <v>171</v>
      </c>
      <c r="BT31" s="582">
        <v>135</v>
      </c>
      <c r="BU31" s="113">
        <v>44</v>
      </c>
      <c r="BV31" s="113">
        <v>2</v>
      </c>
      <c r="BW31" s="113">
        <v>89</v>
      </c>
      <c r="BX31" s="460">
        <v>0</v>
      </c>
      <c r="BY31" s="582">
        <v>36</v>
      </c>
      <c r="BZ31" s="113">
        <v>3</v>
      </c>
      <c r="CA31" s="113">
        <v>0</v>
      </c>
      <c r="CB31" s="113">
        <v>32</v>
      </c>
      <c r="CC31" s="459">
        <v>1</v>
      </c>
      <c r="CD31" s="461">
        <f t="shared" si="10"/>
        <v>28</v>
      </c>
      <c r="CE31" s="582">
        <v>22</v>
      </c>
      <c r="CF31" s="113">
        <v>4</v>
      </c>
      <c r="CG31" s="113">
        <v>2</v>
      </c>
      <c r="CH31" s="113">
        <v>16</v>
      </c>
      <c r="CI31" s="460">
        <v>0</v>
      </c>
      <c r="CJ31" s="582">
        <v>6</v>
      </c>
      <c r="CK31" s="113">
        <v>0</v>
      </c>
      <c r="CL31" s="113">
        <v>0</v>
      </c>
      <c r="CM31" s="113">
        <v>6</v>
      </c>
      <c r="CN31" s="459">
        <v>0</v>
      </c>
      <c r="CO31" s="461">
        <f t="shared" si="11"/>
        <v>28</v>
      </c>
      <c r="CP31" s="582">
        <v>22</v>
      </c>
      <c r="CQ31" s="113">
        <v>6</v>
      </c>
      <c r="CR31" s="113">
        <v>1</v>
      </c>
      <c r="CS31" s="113">
        <v>15</v>
      </c>
      <c r="CT31" s="460">
        <v>0</v>
      </c>
      <c r="CU31" s="582">
        <v>6</v>
      </c>
      <c r="CV31" s="113">
        <v>0</v>
      </c>
      <c r="CW31" s="113">
        <v>0</v>
      </c>
      <c r="CX31" s="113">
        <v>6</v>
      </c>
      <c r="CY31" s="459">
        <v>0</v>
      </c>
      <c r="CZ31" s="461">
        <f t="shared" si="12"/>
        <v>3</v>
      </c>
      <c r="DA31" s="582">
        <v>2</v>
      </c>
      <c r="DB31" s="113">
        <v>0</v>
      </c>
      <c r="DC31" s="113">
        <v>0</v>
      </c>
      <c r="DD31" s="113">
        <v>2</v>
      </c>
      <c r="DE31" s="460">
        <v>0</v>
      </c>
      <c r="DF31" s="582">
        <v>1</v>
      </c>
      <c r="DG31" s="113">
        <v>0</v>
      </c>
      <c r="DH31" s="113">
        <v>0</v>
      </c>
      <c r="DI31" s="113">
        <v>1</v>
      </c>
      <c r="DJ31" s="459">
        <v>0</v>
      </c>
      <c r="DK31" s="461">
        <f t="shared" si="13"/>
        <v>0</v>
      </c>
      <c r="DL31" s="582">
        <v>0</v>
      </c>
      <c r="DM31" s="113">
        <v>0</v>
      </c>
      <c r="DN31" s="113">
        <v>0</v>
      </c>
      <c r="DO31" s="113">
        <v>0</v>
      </c>
      <c r="DP31" s="460">
        <v>0</v>
      </c>
      <c r="DQ31" s="582">
        <v>0</v>
      </c>
      <c r="DR31" s="113">
        <v>0</v>
      </c>
      <c r="DS31" s="113">
        <v>0</v>
      </c>
      <c r="DT31" s="113">
        <v>0</v>
      </c>
      <c r="DU31" s="459">
        <v>0</v>
      </c>
      <c r="DW31" s="461">
        <f t="shared" si="4"/>
        <v>478</v>
      </c>
      <c r="DX31" s="582">
        <f t="shared" si="4"/>
        <v>381</v>
      </c>
      <c r="DY31" s="113">
        <f t="shared" si="4"/>
        <v>107</v>
      </c>
      <c r="DZ31" s="113">
        <f t="shared" si="4"/>
        <v>11</v>
      </c>
      <c r="EA31" s="113">
        <f t="shared" si="4"/>
        <v>263</v>
      </c>
      <c r="EB31" s="460">
        <f t="shared" si="4"/>
        <v>0</v>
      </c>
      <c r="EC31" s="582">
        <f t="shared" si="4"/>
        <v>97</v>
      </c>
      <c r="ED31" s="113">
        <f t="shared" si="4"/>
        <v>8</v>
      </c>
      <c r="EE31" s="113">
        <f t="shared" si="4"/>
        <v>0</v>
      </c>
      <c r="EF31" s="113">
        <f t="shared" si="4"/>
        <v>87</v>
      </c>
      <c r="EG31" s="459">
        <f t="shared" si="4"/>
        <v>2</v>
      </c>
      <c r="EH31" s="461">
        <f t="shared" si="5"/>
        <v>138</v>
      </c>
      <c r="EI31" s="582">
        <f t="shared" si="5"/>
        <v>92</v>
      </c>
      <c r="EJ31" s="113">
        <f t="shared" si="5"/>
        <v>33</v>
      </c>
      <c r="EK31" s="113">
        <f t="shared" si="5"/>
        <v>4</v>
      </c>
      <c r="EL31" s="113">
        <f t="shared" si="5"/>
        <v>55</v>
      </c>
      <c r="EM31" s="460">
        <f t="shared" si="5"/>
        <v>0</v>
      </c>
      <c r="EN31" s="582">
        <f t="shared" si="5"/>
        <v>46</v>
      </c>
      <c r="EO31" s="113">
        <f t="shared" si="5"/>
        <v>1</v>
      </c>
      <c r="EP31" s="113">
        <f t="shared" si="5"/>
        <v>0</v>
      </c>
      <c r="EQ31" s="113">
        <f t="shared" si="5"/>
        <v>45</v>
      </c>
      <c r="ER31" s="459">
        <f t="shared" si="5"/>
        <v>0</v>
      </c>
    </row>
    <row r="32" spans="2:148">
      <c r="B32" s="112" t="s">
        <v>426</v>
      </c>
      <c r="C32" s="217">
        <v>2023</v>
      </c>
      <c r="D32" s="446">
        <v>171135</v>
      </c>
      <c r="E32" s="461">
        <v>14105</v>
      </c>
      <c r="F32" s="582">
        <v>10931</v>
      </c>
      <c r="G32" s="113">
        <v>2488</v>
      </c>
      <c r="H32" s="113">
        <v>550</v>
      </c>
      <c r="I32" s="113">
        <v>7734</v>
      </c>
      <c r="J32" s="460">
        <v>159</v>
      </c>
      <c r="K32" s="582">
        <v>3174</v>
      </c>
      <c r="L32" s="113">
        <v>210</v>
      </c>
      <c r="M32" s="113">
        <v>0</v>
      </c>
      <c r="N32" s="113">
        <v>2902</v>
      </c>
      <c r="O32" s="459">
        <v>62</v>
      </c>
      <c r="P32" s="461">
        <f t="shared" si="2"/>
        <v>27</v>
      </c>
      <c r="Q32" s="582">
        <v>20</v>
      </c>
      <c r="R32" s="113">
        <v>5</v>
      </c>
      <c r="S32" s="113">
        <v>1</v>
      </c>
      <c r="T32" s="113">
        <v>14</v>
      </c>
      <c r="U32" s="460">
        <v>0</v>
      </c>
      <c r="V32" s="582">
        <v>7</v>
      </c>
      <c r="W32" s="113">
        <v>0</v>
      </c>
      <c r="X32" s="113">
        <v>0</v>
      </c>
      <c r="Y32" s="113">
        <v>7</v>
      </c>
      <c r="Z32" s="459">
        <v>0</v>
      </c>
      <c r="AA32" s="461">
        <f t="shared" si="3"/>
        <v>9</v>
      </c>
      <c r="AB32" s="582">
        <v>8</v>
      </c>
      <c r="AC32" s="113">
        <v>3</v>
      </c>
      <c r="AD32" s="113">
        <v>1</v>
      </c>
      <c r="AE32" s="113">
        <v>4</v>
      </c>
      <c r="AF32" s="460">
        <v>0</v>
      </c>
      <c r="AG32" s="582">
        <v>1</v>
      </c>
      <c r="AH32" s="113">
        <v>0</v>
      </c>
      <c r="AI32" s="113">
        <v>0</v>
      </c>
      <c r="AJ32" s="113">
        <v>1</v>
      </c>
      <c r="AK32" s="459">
        <v>0</v>
      </c>
      <c r="AL32" s="461">
        <f t="shared" si="6"/>
        <v>160</v>
      </c>
      <c r="AM32" s="582">
        <v>125</v>
      </c>
      <c r="AN32" s="113">
        <v>20</v>
      </c>
      <c r="AO32" s="113">
        <v>8</v>
      </c>
      <c r="AP32" s="113">
        <v>97</v>
      </c>
      <c r="AQ32" s="460">
        <v>0</v>
      </c>
      <c r="AR32" s="582">
        <v>35</v>
      </c>
      <c r="AS32" s="113">
        <v>1</v>
      </c>
      <c r="AT32" s="113">
        <v>0</v>
      </c>
      <c r="AU32" s="113">
        <v>34</v>
      </c>
      <c r="AV32" s="459">
        <v>0</v>
      </c>
      <c r="AW32" s="461">
        <f t="shared" si="7"/>
        <v>74</v>
      </c>
      <c r="AX32" s="582">
        <v>55</v>
      </c>
      <c r="AY32" s="113">
        <v>12</v>
      </c>
      <c r="AZ32" s="113">
        <v>2</v>
      </c>
      <c r="BA32" s="113">
        <v>41</v>
      </c>
      <c r="BB32" s="460">
        <v>0</v>
      </c>
      <c r="BC32" s="582">
        <v>19</v>
      </c>
      <c r="BD32" s="113">
        <v>1</v>
      </c>
      <c r="BE32" s="113">
        <v>0</v>
      </c>
      <c r="BF32" s="113">
        <v>17</v>
      </c>
      <c r="BG32" s="459">
        <v>1</v>
      </c>
      <c r="BH32" s="461">
        <f t="shared" si="8"/>
        <v>108</v>
      </c>
      <c r="BI32" s="582">
        <v>89</v>
      </c>
      <c r="BJ32" s="113">
        <v>25</v>
      </c>
      <c r="BK32" s="113">
        <v>1</v>
      </c>
      <c r="BL32" s="113">
        <v>63</v>
      </c>
      <c r="BM32" s="460">
        <v>0</v>
      </c>
      <c r="BN32" s="582">
        <v>19</v>
      </c>
      <c r="BO32" s="113">
        <v>0</v>
      </c>
      <c r="BP32" s="113">
        <v>0</v>
      </c>
      <c r="BQ32" s="113">
        <v>19</v>
      </c>
      <c r="BR32" s="459">
        <v>0</v>
      </c>
      <c r="BS32" s="461">
        <f t="shared" si="9"/>
        <v>151</v>
      </c>
      <c r="BT32" s="582">
        <v>116</v>
      </c>
      <c r="BU32" s="113">
        <v>27</v>
      </c>
      <c r="BV32" s="113">
        <v>2</v>
      </c>
      <c r="BW32" s="113">
        <v>87</v>
      </c>
      <c r="BX32" s="460">
        <v>0</v>
      </c>
      <c r="BY32" s="582">
        <v>35</v>
      </c>
      <c r="BZ32" s="113">
        <v>3</v>
      </c>
      <c r="CA32" s="113">
        <v>0</v>
      </c>
      <c r="CB32" s="113">
        <v>31</v>
      </c>
      <c r="CC32" s="459">
        <v>1</v>
      </c>
      <c r="CD32" s="461">
        <f t="shared" si="10"/>
        <v>22</v>
      </c>
      <c r="CE32" s="582">
        <v>19</v>
      </c>
      <c r="CF32" s="113">
        <v>5</v>
      </c>
      <c r="CG32" s="113">
        <v>2</v>
      </c>
      <c r="CH32" s="113">
        <v>12</v>
      </c>
      <c r="CI32" s="460">
        <v>0</v>
      </c>
      <c r="CJ32" s="582">
        <v>3</v>
      </c>
      <c r="CK32" s="113">
        <v>0</v>
      </c>
      <c r="CL32" s="113">
        <v>0</v>
      </c>
      <c r="CM32" s="113">
        <v>3</v>
      </c>
      <c r="CN32" s="459">
        <v>0</v>
      </c>
      <c r="CO32" s="461">
        <f t="shared" si="11"/>
        <v>19</v>
      </c>
      <c r="CP32" s="582">
        <v>16</v>
      </c>
      <c r="CQ32" s="113">
        <v>2</v>
      </c>
      <c r="CR32" s="113">
        <v>3</v>
      </c>
      <c r="CS32" s="113">
        <v>10</v>
      </c>
      <c r="CT32" s="460">
        <v>1</v>
      </c>
      <c r="CU32" s="582">
        <v>3</v>
      </c>
      <c r="CV32" s="113">
        <v>0</v>
      </c>
      <c r="CW32" s="113">
        <v>0</v>
      </c>
      <c r="CX32" s="113">
        <v>3</v>
      </c>
      <c r="CY32" s="459">
        <v>0</v>
      </c>
      <c r="CZ32" s="461">
        <f t="shared" si="12"/>
        <v>4</v>
      </c>
      <c r="DA32" s="582">
        <v>3</v>
      </c>
      <c r="DB32" s="113">
        <v>1</v>
      </c>
      <c r="DC32" s="113">
        <v>0</v>
      </c>
      <c r="DD32" s="113">
        <v>2</v>
      </c>
      <c r="DE32" s="460">
        <v>0</v>
      </c>
      <c r="DF32" s="582">
        <v>1</v>
      </c>
      <c r="DG32" s="113">
        <v>0</v>
      </c>
      <c r="DH32" s="113">
        <v>0</v>
      </c>
      <c r="DI32" s="113">
        <v>1</v>
      </c>
      <c r="DJ32" s="459">
        <v>0</v>
      </c>
      <c r="DK32" s="461">
        <f t="shared" si="13"/>
        <v>0</v>
      </c>
      <c r="DL32" s="582">
        <v>0</v>
      </c>
      <c r="DM32" s="113">
        <v>0</v>
      </c>
      <c r="DN32" s="113">
        <v>0</v>
      </c>
      <c r="DO32" s="113">
        <v>0</v>
      </c>
      <c r="DP32" s="460">
        <v>0</v>
      </c>
      <c r="DQ32" s="582">
        <v>0</v>
      </c>
      <c r="DR32" s="113">
        <v>0</v>
      </c>
      <c r="DS32" s="113">
        <v>0</v>
      </c>
      <c r="DT32" s="113">
        <v>0</v>
      </c>
      <c r="DU32" s="459">
        <v>0</v>
      </c>
      <c r="DW32" s="461">
        <f t="shared" si="4"/>
        <v>414</v>
      </c>
      <c r="DX32" s="582">
        <f t="shared" si="4"/>
        <v>326</v>
      </c>
      <c r="DY32" s="113">
        <f t="shared" si="4"/>
        <v>80</v>
      </c>
      <c r="DZ32" s="113">
        <f t="shared" si="4"/>
        <v>12</v>
      </c>
      <c r="EA32" s="113">
        <f t="shared" si="4"/>
        <v>233</v>
      </c>
      <c r="EB32" s="460">
        <f t="shared" si="4"/>
        <v>1</v>
      </c>
      <c r="EC32" s="582">
        <f t="shared" si="4"/>
        <v>88</v>
      </c>
      <c r="ED32" s="113">
        <f t="shared" si="4"/>
        <v>4</v>
      </c>
      <c r="EE32" s="113">
        <f t="shared" si="4"/>
        <v>0</v>
      </c>
      <c r="EF32" s="113">
        <f t="shared" si="4"/>
        <v>82</v>
      </c>
      <c r="EG32" s="459">
        <f t="shared" si="4"/>
        <v>2</v>
      </c>
      <c r="EH32" s="461">
        <f t="shared" si="5"/>
        <v>160</v>
      </c>
      <c r="EI32" s="582">
        <f t="shared" si="5"/>
        <v>125</v>
      </c>
      <c r="EJ32" s="113">
        <f t="shared" si="5"/>
        <v>20</v>
      </c>
      <c r="EK32" s="113">
        <f t="shared" si="5"/>
        <v>8</v>
      </c>
      <c r="EL32" s="113">
        <f t="shared" si="5"/>
        <v>97</v>
      </c>
      <c r="EM32" s="460">
        <f t="shared" si="5"/>
        <v>0</v>
      </c>
      <c r="EN32" s="582">
        <f t="shared" si="5"/>
        <v>35</v>
      </c>
      <c r="EO32" s="113">
        <f t="shared" si="5"/>
        <v>1</v>
      </c>
      <c r="EP32" s="113">
        <f t="shared" si="5"/>
        <v>0</v>
      </c>
      <c r="EQ32" s="113">
        <f t="shared" si="5"/>
        <v>34</v>
      </c>
      <c r="ER32" s="459">
        <f t="shared" si="5"/>
        <v>0</v>
      </c>
    </row>
    <row r="33" spans="1:148">
      <c r="B33" s="112" t="s">
        <v>427</v>
      </c>
      <c r="C33" s="217">
        <v>2024</v>
      </c>
      <c r="D33" s="446">
        <v>163027</v>
      </c>
      <c r="E33" s="461">
        <v>11026</v>
      </c>
      <c r="F33" s="582">
        <v>8144</v>
      </c>
      <c r="G33" s="113">
        <v>1596</v>
      </c>
      <c r="H33" s="113">
        <v>469</v>
      </c>
      <c r="I33" s="113">
        <v>6030</v>
      </c>
      <c r="J33" s="460">
        <v>49</v>
      </c>
      <c r="K33" s="582">
        <v>2882</v>
      </c>
      <c r="L33" s="113">
        <v>388</v>
      </c>
      <c r="M33" s="113">
        <v>0</v>
      </c>
      <c r="N33" s="113">
        <v>2423</v>
      </c>
      <c r="O33" s="459">
        <v>71</v>
      </c>
      <c r="P33" s="461">
        <f>Q33+V33</f>
        <v>20</v>
      </c>
      <c r="Q33" s="582">
        <v>9</v>
      </c>
      <c r="R33" s="113">
        <v>1</v>
      </c>
      <c r="S33" s="113">
        <v>1</v>
      </c>
      <c r="T33" s="113">
        <v>7</v>
      </c>
      <c r="U33" s="460">
        <v>0</v>
      </c>
      <c r="V33" s="582">
        <v>11</v>
      </c>
      <c r="W33" s="113">
        <v>3</v>
      </c>
      <c r="X33" s="113">
        <v>0</v>
      </c>
      <c r="Y33" s="113">
        <v>8</v>
      </c>
      <c r="Z33" s="459">
        <v>0</v>
      </c>
      <c r="AA33" s="461">
        <f>AB33+AG33</f>
        <v>13</v>
      </c>
      <c r="AB33" s="582">
        <v>12</v>
      </c>
      <c r="AC33" s="113">
        <v>0</v>
      </c>
      <c r="AD33" s="113">
        <v>2</v>
      </c>
      <c r="AE33" s="113">
        <v>10</v>
      </c>
      <c r="AF33" s="460">
        <v>0</v>
      </c>
      <c r="AG33" s="582">
        <v>1</v>
      </c>
      <c r="AH33" s="113">
        <v>0</v>
      </c>
      <c r="AI33" s="113">
        <v>0</v>
      </c>
      <c r="AJ33" s="113">
        <v>1</v>
      </c>
      <c r="AK33" s="459">
        <v>0</v>
      </c>
      <c r="AL33" s="461">
        <f>AM33+AR33</f>
        <v>161</v>
      </c>
      <c r="AM33" s="582">
        <v>109</v>
      </c>
      <c r="AN33" s="113">
        <v>19</v>
      </c>
      <c r="AO33" s="113">
        <v>7</v>
      </c>
      <c r="AP33" s="113">
        <v>83</v>
      </c>
      <c r="AQ33" s="460">
        <v>0</v>
      </c>
      <c r="AR33" s="582">
        <v>52</v>
      </c>
      <c r="AS33" s="113">
        <v>6</v>
      </c>
      <c r="AT33" s="113">
        <v>0</v>
      </c>
      <c r="AU33" s="113">
        <v>45</v>
      </c>
      <c r="AV33" s="459">
        <v>1</v>
      </c>
      <c r="AW33" s="461">
        <f>AX33+BC33</f>
        <v>64</v>
      </c>
      <c r="AX33" s="582">
        <v>48</v>
      </c>
      <c r="AY33" s="113">
        <v>8</v>
      </c>
      <c r="AZ33" s="113">
        <v>4</v>
      </c>
      <c r="BA33" s="113">
        <v>36</v>
      </c>
      <c r="BB33" s="460">
        <v>0</v>
      </c>
      <c r="BC33" s="582">
        <v>16</v>
      </c>
      <c r="BD33" s="113">
        <v>3</v>
      </c>
      <c r="BE33" s="113">
        <v>0</v>
      </c>
      <c r="BF33" s="113">
        <v>13</v>
      </c>
      <c r="BG33" s="459">
        <v>0</v>
      </c>
      <c r="BH33" s="461">
        <f>BI33+BN33</f>
        <v>83</v>
      </c>
      <c r="BI33" s="582">
        <v>68</v>
      </c>
      <c r="BJ33" s="113">
        <v>12</v>
      </c>
      <c r="BK33" s="113">
        <v>3</v>
      </c>
      <c r="BL33" s="113">
        <v>53</v>
      </c>
      <c r="BM33" s="460">
        <v>0</v>
      </c>
      <c r="BN33" s="582">
        <v>15</v>
      </c>
      <c r="BO33" s="113">
        <v>2</v>
      </c>
      <c r="BP33" s="113">
        <v>0</v>
      </c>
      <c r="BQ33" s="113">
        <v>12</v>
      </c>
      <c r="BR33" s="459">
        <v>1</v>
      </c>
      <c r="BS33" s="461">
        <f>BT33+BY33</f>
        <v>174</v>
      </c>
      <c r="BT33" s="582">
        <v>142</v>
      </c>
      <c r="BU33" s="113">
        <v>27</v>
      </c>
      <c r="BV33" s="113">
        <v>0</v>
      </c>
      <c r="BW33" s="113">
        <v>115</v>
      </c>
      <c r="BX33" s="460">
        <v>0</v>
      </c>
      <c r="BY33" s="582">
        <v>32</v>
      </c>
      <c r="BZ33" s="113">
        <v>5</v>
      </c>
      <c r="CA33" s="113">
        <v>0</v>
      </c>
      <c r="CB33" s="113">
        <v>27</v>
      </c>
      <c r="CC33" s="459">
        <v>0</v>
      </c>
      <c r="CD33" s="461">
        <f>CE33+CJ33</f>
        <v>18</v>
      </c>
      <c r="CE33" s="582">
        <v>16</v>
      </c>
      <c r="CF33" s="113">
        <v>2</v>
      </c>
      <c r="CG33" s="113">
        <v>1</v>
      </c>
      <c r="CH33" s="113">
        <v>13</v>
      </c>
      <c r="CI33" s="460">
        <v>0</v>
      </c>
      <c r="CJ33" s="582">
        <v>2</v>
      </c>
      <c r="CK33" s="113">
        <v>0</v>
      </c>
      <c r="CL33" s="113">
        <v>0</v>
      </c>
      <c r="CM33" s="113">
        <v>2</v>
      </c>
      <c r="CN33" s="459">
        <v>0</v>
      </c>
      <c r="CO33" s="461">
        <f>CP33+CU33</f>
        <v>17</v>
      </c>
      <c r="CP33" s="582">
        <v>13</v>
      </c>
      <c r="CQ33" s="113">
        <v>2</v>
      </c>
      <c r="CR33" s="113">
        <v>2</v>
      </c>
      <c r="CS33" s="113">
        <v>9</v>
      </c>
      <c r="CT33" s="460">
        <v>0</v>
      </c>
      <c r="CU33" s="582">
        <v>4</v>
      </c>
      <c r="CV33" s="113">
        <v>1</v>
      </c>
      <c r="CW33" s="113">
        <v>0</v>
      </c>
      <c r="CX33" s="113">
        <v>3</v>
      </c>
      <c r="CY33" s="459">
        <v>0</v>
      </c>
      <c r="CZ33" s="461">
        <f>DA33+DF33</f>
        <v>4</v>
      </c>
      <c r="DA33" s="582">
        <v>3</v>
      </c>
      <c r="DB33" s="113">
        <v>1</v>
      </c>
      <c r="DC33" s="113">
        <v>0</v>
      </c>
      <c r="DD33" s="113">
        <v>2</v>
      </c>
      <c r="DE33" s="460">
        <v>0</v>
      </c>
      <c r="DF33" s="582">
        <v>1</v>
      </c>
      <c r="DG33" s="113">
        <v>0</v>
      </c>
      <c r="DH33" s="113">
        <v>0</v>
      </c>
      <c r="DI33" s="113">
        <v>1</v>
      </c>
      <c r="DJ33" s="459">
        <v>0</v>
      </c>
      <c r="DK33" s="461">
        <f>DL33+DQ33</f>
        <v>5</v>
      </c>
      <c r="DL33" s="582">
        <v>2</v>
      </c>
      <c r="DM33" s="113">
        <v>1</v>
      </c>
      <c r="DN33" s="113">
        <v>1</v>
      </c>
      <c r="DO33" s="113">
        <v>0</v>
      </c>
      <c r="DP33" s="460">
        <v>0</v>
      </c>
      <c r="DQ33" s="582">
        <v>3</v>
      </c>
      <c r="DR33" s="113">
        <v>0</v>
      </c>
      <c r="DS33" s="113">
        <v>0</v>
      </c>
      <c r="DT33" s="113">
        <v>3</v>
      </c>
      <c r="DU33" s="459">
        <v>0</v>
      </c>
      <c r="DW33" s="461">
        <f t="shared" si="4"/>
        <v>398</v>
      </c>
      <c r="DX33" s="582">
        <f t="shared" si="4"/>
        <v>313</v>
      </c>
      <c r="DY33" s="113">
        <f t="shared" si="4"/>
        <v>54</v>
      </c>
      <c r="DZ33" s="113">
        <f t="shared" si="4"/>
        <v>14</v>
      </c>
      <c r="EA33" s="113">
        <f t="shared" si="4"/>
        <v>245</v>
      </c>
      <c r="EB33" s="460">
        <f t="shared" si="4"/>
        <v>0</v>
      </c>
      <c r="EC33" s="582">
        <f t="shared" si="4"/>
        <v>85</v>
      </c>
      <c r="ED33" s="113">
        <f t="shared" si="4"/>
        <v>14</v>
      </c>
      <c r="EE33" s="113">
        <f t="shared" si="4"/>
        <v>0</v>
      </c>
      <c r="EF33" s="113">
        <f t="shared" si="4"/>
        <v>70</v>
      </c>
      <c r="EG33" s="459">
        <f t="shared" si="4"/>
        <v>1</v>
      </c>
      <c r="EH33" s="461">
        <f t="shared" si="5"/>
        <v>161</v>
      </c>
      <c r="EI33" s="582">
        <f t="shared" si="5"/>
        <v>109</v>
      </c>
      <c r="EJ33" s="113">
        <f t="shared" si="5"/>
        <v>19</v>
      </c>
      <c r="EK33" s="113">
        <f t="shared" si="5"/>
        <v>7</v>
      </c>
      <c r="EL33" s="113">
        <f t="shared" si="5"/>
        <v>83</v>
      </c>
      <c r="EM33" s="460">
        <f t="shared" si="5"/>
        <v>0</v>
      </c>
      <c r="EN33" s="582">
        <f t="shared" si="5"/>
        <v>52</v>
      </c>
      <c r="EO33" s="113">
        <f t="shared" si="5"/>
        <v>6</v>
      </c>
      <c r="EP33" s="113">
        <f t="shared" si="5"/>
        <v>0</v>
      </c>
      <c r="EQ33" s="113">
        <f t="shared" si="5"/>
        <v>45</v>
      </c>
      <c r="ER33" s="459">
        <f t="shared" si="5"/>
        <v>1</v>
      </c>
    </row>
    <row r="34" spans="1:148">
      <c r="B34" s="112" t="s">
        <v>428</v>
      </c>
      <c r="C34" s="217">
        <v>2024</v>
      </c>
      <c r="D34" s="446">
        <v>190530</v>
      </c>
      <c r="E34" s="461">
        <v>14370</v>
      </c>
      <c r="F34" s="582">
        <v>10462</v>
      </c>
      <c r="G34" s="113">
        <v>2474</v>
      </c>
      <c r="H34" s="113">
        <v>730</v>
      </c>
      <c r="I34" s="113">
        <v>7209</v>
      </c>
      <c r="J34" s="460">
        <v>49</v>
      </c>
      <c r="K34" s="582">
        <v>3908</v>
      </c>
      <c r="L34" s="113">
        <v>196</v>
      </c>
      <c r="M34" s="113">
        <v>0</v>
      </c>
      <c r="N34" s="113">
        <v>3578</v>
      </c>
      <c r="O34" s="459">
        <v>134</v>
      </c>
      <c r="P34" s="461">
        <f t="shared" ref="P34:P37" si="14">Q34+V34</f>
        <v>32</v>
      </c>
      <c r="Q34" s="582">
        <v>21</v>
      </c>
      <c r="R34" s="113">
        <v>8</v>
      </c>
      <c r="S34" s="113">
        <v>0</v>
      </c>
      <c r="T34" s="113">
        <v>13</v>
      </c>
      <c r="U34" s="460">
        <v>0</v>
      </c>
      <c r="V34" s="582">
        <v>11</v>
      </c>
      <c r="W34" s="113">
        <v>0</v>
      </c>
      <c r="X34" s="113">
        <v>0</v>
      </c>
      <c r="Y34" s="113">
        <v>11</v>
      </c>
      <c r="Z34" s="459">
        <v>0</v>
      </c>
      <c r="AA34" s="461">
        <f t="shared" ref="AA34:AA37" si="15">AB34+AG34</f>
        <v>10</v>
      </c>
      <c r="AB34" s="582">
        <v>9</v>
      </c>
      <c r="AC34" s="113">
        <v>1</v>
      </c>
      <c r="AD34" s="113">
        <v>1</v>
      </c>
      <c r="AE34" s="113">
        <v>7</v>
      </c>
      <c r="AF34" s="460">
        <v>0</v>
      </c>
      <c r="AG34" s="582">
        <v>1</v>
      </c>
      <c r="AH34" s="113">
        <v>0</v>
      </c>
      <c r="AI34" s="113">
        <v>0</v>
      </c>
      <c r="AJ34" s="113">
        <v>1</v>
      </c>
      <c r="AK34" s="459">
        <v>0</v>
      </c>
      <c r="AL34" s="461">
        <f t="shared" ref="AL34:AL37" si="16">AM34+AR34</f>
        <v>173</v>
      </c>
      <c r="AM34" s="582">
        <v>123</v>
      </c>
      <c r="AN34" s="113">
        <v>24</v>
      </c>
      <c r="AO34" s="113">
        <v>8</v>
      </c>
      <c r="AP34" s="113">
        <v>91</v>
      </c>
      <c r="AQ34" s="460">
        <v>0</v>
      </c>
      <c r="AR34" s="582">
        <v>50</v>
      </c>
      <c r="AS34" s="113">
        <v>2</v>
      </c>
      <c r="AT34" s="113">
        <v>0</v>
      </c>
      <c r="AU34" s="113">
        <v>47</v>
      </c>
      <c r="AV34" s="459">
        <v>1</v>
      </c>
      <c r="AW34" s="461">
        <f t="shared" ref="AW34:AW37" si="17">AX34+BC34</f>
        <v>98</v>
      </c>
      <c r="AX34" s="582">
        <v>79</v>
      </c>
      <c r="AY34" s="113">
        <v>17</v>
      </c>
      <c r="AZ34" s="113">
        <v>4</v>
      </c>
      <c r="BA34" s="113">
        <v>58</v>
      </c>
      <c r="BB34" s="460">
        <v>0</v>
      </c>
      <c r="BC34" s="582">
        <v>19</v>
      </c>
      <c r="BD34" s="113">
        <v>0</v>
      </c>
      <c r="BE34" s="113">
        <v>0</v>
      </c>
      <c r="BF34" s="113">
        <v>17</v>
      </c>
      <c r="BG34" s="459">
        <v>2</v>
      </c>
      <c r="BH34" s="461">
        <f t="shared" ref="BH34:BH37" si="18">BI34+BN34</f>
        <v>115</v>
      </c>
      <c r="BI34" s="582">
        <v>95</v>
      </c>
      <c r="BJ34" s="113">
        <v>18</v>
      </c>
      <c r="BK34" s="113">
        <v>5</v>
      </c>
      <c r="BL34" s="113">
        <v>72</v>
      </c>
      <c r="BM34" s="460">
        <v>0</v>
      </c>
      <c r="BN34" s="582">
        <v>20</v>
      </c>
      <c r="BO34" s="113">
        <v>0</v>
      </c>
      <c r="BP34" s="113">
        <v>0</v>
      </c>
      <c r="BQ34" s="113">
        <v>19</v>
      </c>
      <c r="BR34" s="459">
        <v>1</v>
      </c>
      <c r="BS34" s="461">
        <f t="shared" ref="BS34:BS37" si="19">BT34+BY34</f>
        <v>194</v>
      </c>
      <c r="BT34" s="582">
        <v>146</v>
      </c>
      <c r="BU34" s="113">
        <v>35</v>
      </c>
      <c r="BV34" s="113">
        <v>2</v>
      </c>
      <c r="BW34" s="113">
        <v>109</v>
      </c>
      <c r="BX34" s="460">
        <v>0</v>
      </c>
      <c r="BY34" s="582">
        <v>48</v>
      </c>
      <c r="BZ34" s="113">
        <v>0</v>
      </c>
      <c r="CA34" s="113">
        <v>0</v>
      </c>
      <c r="CB34" s="113">
        <v>47</v>
      </c>
      <c r="CC34" s="459">
        <v>1</v>
      </c>
      <c r="CD34" s="461">
        <f t="shared" ref="CD34:CD37" si="20">CE34+CJ34</f>
        <v>24</v>
      </c>
      <c r="CE34" s="582">
        <v>19</v>
      </c>
      <c r="CF34" s="113">
        <v>3</v>
      </c>
      <c r="CG34" s="113">
        <v>1</v>
      </c>
      <c r="CH34" s="113">
        <v>15</v>
      </c>
      <c r="CI34" s="460">
        <v>0</v>
      </c>
      <c r="CJ34" s="582">
        <v>5</v>
      </c>
      <c r="CK34" s="113">
        <v>0</v>
      </c>
      <c r="CL34" s="113">
        <v>0</v>
      </c>
      <c r="CM34" s="113">
        <v>5</v>
      </c>
      <c r="CN34" s="459">
        <v>0</v>
      </c>
      <c r="CO34" s="461">
        <f t="shared" ref="CO34:CO37" si="21">CP34+CU34</f>
        <v>19</v>
      </c>
      <c r="CP34" s="582">
        <v>14</v>
      </c>
      <c r="CQ34" s="113">
        <v>4</v>
      </c>
      <c r="CR34" s="113">
        <v>1</v>
      </c>
      <c r="CS34" s="113">
        <v>9</v>
      </c>
      <c r="CT34" s="460">
        <v>0</v>
      </c>
      <c r="CU34" s="582">
        <v>5</v>
      </c>
      <c r="CV34" s="113">
        <v>0</v>
      </c>
      <c r="CW34" s="113">
        <v>0</v>
      </c>
      <c r="CX34" s="113">
        <v>5</v>
      </c>
      <c r="CY34" s="459">
        <v>0</v>
      </c>
      <c r="CZ34" s="461">
        <f t="shared" ref="CZ34:CZ37" si="22">DA34+DF34</f>
        <v>4</v>
      </c>
      <c r="DA34" s="582">
        <v>2</v>
      </c>
      <c r="DB34" s="113">
        <v>0</v>
      </c>
      <c r="DC34" s="113">
        <v>0</v>
      </c>
      <c r="DD34" s="113">
        <v>2</v>
      </c>
      <c r="DE34" s="460">
        <v>0</v>
      </c>
      <c r="DF34" s="582">
        <v>2</v>
      </c>
      <c r="DG34" s="113">
        <v>0</v>
      </c>
      <c r="DH34" s="113">
        <v>0</v>
      </c>
      <c r="DI34" s="113">
        <v>2</v>
      </c>
      <c r="DJ34" s="459">
        <v>0</v>
      </c>
      <c r="DK34" s="461">
        <f t="shared" ref="DK34:DK37" si="23">DL34+DQ34</f>
        <v>3</v>
      </c>
      <c r="DL34" s="582">
        <v>3</v>
      </c>
      <c r="DM34" s="113">
        <v>0</v>
      </c>
      <c r="DN34" s="113">
        <v>1</v>
      </c>
      <c r="DO34" s="113">
        <v>2</v>
      </c>
      <c r="DP34" s="460">
        <v>0</v>
      </c>
      <c r="DQ34" s="582">
        <v>0</v>
      </c>
      <c r="DR34" s="113">
        <v>0</v>
      </c>
      <c r="DS34" s="113">
        <v>0</v>
      </c>
      <c r="DT34" s="113">
        <v>0</v>
      </c>
      <c r="DU34" s="459">
        <v>0</v>
      </c>
      <c r="DW34" s="461">
        <f t="shared" ref="DW34:EG39" si="24">P34+AA34+AW34+BH34+BS34+CD34+CO34+CZ34+DK34</f>
        <v>499</v>
      </c>
      <c r="DX34" s="582">
        <f t="shared" si="24"/>
        <v>388</v>
      </c>
      <c r="DY34" s="113">
        <f t="shared" si="24"/>
        <v>86</v>
      </c>
      <c r="DZ34" s="113">
        <f t="shared" si="24"/>
        <v>15</v>
      </c>
      <c r="EA34" s="113">
        <f t="shared" si="24"/>
        <v>287</v>
      </c>
      <c r="EB34" s="460">
        <f t="shared" si="24"/>
        <v>0</v>
      </c>
      <c r="EC34" s="582">
        <f t="shared" si="24"/>
        <v>111</v>
      </c>
      <c r="ED34" s="113">
        <f t="shared" si="24"/>
        <v>0</v>
      </c>
      <c r="EE34" s="113">
        <f t="shared" si="24"/>
        <v>0</v>
      </c>
      <c r="EF34" s="113">
        <f t="shared" si="24"/>
        <v>107</v>
      </c>
      <c r="EG34" s="459">
        <f t="shared" si="24"/>
        <v>4</v>
      </c>
      <c r="EH34" s="461">
        <f t="shared" ref="EH34:EH39" si="25">AL34</f>
        <v>173</v>
      </c>
      <c r="EI34" s="582">
        <f t="shared" ref="EI34:EI39" si="26">AM34</f>
        <v>123</v>
      </c>
      <c r="EJ34" s="113">
        <f t="shared" ref="EJ34:EJ39" si="27">AN34</f>
        <v>24</v>
      </c>
      <c r="EK34" s="113">
        <f t="shared" ref="EK34:EK39" si="28">AO34</f>
        <v>8</v>
      </c>
      <c r="EL34" s="113">
        <f t="shared" ref="EL34:EL39" si="29">AP34</f>
        <v>91</v>
      </c>
      <c r="EM34" s="460">
        <f t="shared" ref="EM34:EM39" si="30">AQ34</f>
        <v>0</v>
      </c>
      <c r="EN34" s="582">
        <f t="shared" ref="EN34:EN39" si="31">AR34</f>
        <v>50</v>
      </c>
      <c r="EO34" s="113">
        <f t="shared" ref="EO34:EO39" si="32">AS34</f>
        <v>2</v>
      </c>
      <c r="EP34" s="113">
        <f t="shared" ref="EP34:EP39" si="33">AT34</f>
        <v>0</v>
      </c>
      <c r="EQ34" s="113">
        <f t="shared" ref="EQ34:EQ39" si="34">AU34</f>
        <v>47</v>
      </c>
      <c r="ER34" s="459">
        <f t="shared" ref="ER34:ER39" si="35">AV34</f>
        <v>1</v>
      </c>
    </row>
    <row r="35" spans="1:148">
      <c r="B35" s="112" t="s">
        <v>429</v>
      </c>
      <c r="C35" s="217">
        <v>2024</v>
      </c>
      <c r="D35" s="446">
        <v>182361</v>
      </c>
      <c r="E35" s="461">
        <v>15946</v>
      </c>
      <c r="F35" s="582">
        <v>11771</v>
      </c>
      <c r="G35" s="113">
        <v>2542</v>
      </c>
      <c r="H35" s="113">
        <v>967</v>
      </c>
      <c r="I35" s="113">
        <v>8192</v>
      </c>
      <c r="J35" s="460">
        <v>70</v>
      </c>
      <c r="K35" s="582">
        <v>4175</v>
      </c>
      <c r="L35" s="113">
        <v>435</v>
      </c>
      <c r="M35" s="113">
        <v>0</v>
      </c>
      <c r="N35" s="113">
        <v>3645</v>
      </c>
      <c r="O35" s="459">
        <v>95</v>
      </c>
      <c r="P35" s="461">
        <f t="shared" si="14"/>
        <v>31</v>
      </c>
      <c r="Q35" s="582">
        <v>20</v>
      </c>
      <c r="R35" s="113">
        <v>4</v>
      </c>
      <c r="S35" s="113">
        <v>3</v>
      </c>
      <c r="T35" s="113">
        <v>13</v>
      </c>
      <c r="U35" s="460">
        <v>0</v>
      </c>
      <c r="V35" s="582">
        <v>11</v>
      </c>
      <c r="W35" s="113">
        <v>2</v>
      </c>
      <c r="X35" s="113">
        <v>0</v>
      </c>
      <c r="Y35" s="113">
        <v>9</v>
      </c>
      <c r="Z35" s="459">
        <v>0</v>
      </c>
      <c r="AA35" s="461">
        <f t="shared" si="15"/>
        <v>13</v>
      </c>
      <c r="AB35" s="582">
        <v>11</v>
      </c>
      <c r="AC35" s="113">
        <v>5</v>
      </c>
      <c r="AD35" s="113">
        <v>0</v>
      </c>
      <c r="AE35" s="113">
        <v>6</v>
      </c>
      <c r="AF35" s="460">
        <v>0</v>
      </c>
      <c r="AG35" s="582">
        <v>2</v>
      </c>
      <c r="AH35" s="113">
        <v>0</v>
      </c>
      <c r="AI35" s="113">
        <v>0</v>
      </c>
      <c r="AJ35" s="113">
        <v>2</v>
      </c>
      <c r="AK35" s="459">
        <v>0</v>
      </c>
      <c r="AL35" s="461">
        <f t="shared" si="16"/>
        <v>211</v>
      </c>
      <c r="AM35" s="582">
        <v>160</v>
      </c>
      <c r="AN35" s="113">
        <v>30</v>
      </c>
      <c r="AO35" s="113">
        <v>22</v>
      </c>
      <c r="AP35" s="113">
        <v>107</v>
      </c>
      <c r="AQ35" s="460">
        <v>1</v>
      </c>
      <c r="AR35" s="582">
        <v>51</v>
      </c>
      <c r="AS35" s="113">
        <v>3</v>
      </c>
      <c r="AT35" s="113">
        <v>0</v>
      </c>
      <c r="AU35" s="113">
        <v>48</v>
      </c>
      <c r="AV35" s="459">
        <v>0</v>
      </c>
      <c r="AW35" s="461">
        <f t="shared" si="17"/>
        <v>106</v>
      </c>
      <c r="AX35" s="582">
        <v>84</v>
      </c>
      <c r="AY35" s="113">
        <v>15</v>
      </c>
      <c r="AZ35" s="113">
        <v>2</v>
      </c>
      <c r="BA35" s="113">
        <v>67</v>
      </c>
      <c r="BB35" s="460">
        <v>0</v>
      </c>
      <c r="BC35" s="582">
        <v>22</v>
      </c>
      <c r="BD35" s="113">
        <v>4</v>
      </c>
      <c r="BE35" s="113">
        <v>0</v>
      </c>
      <c r="BF35" s="113">
        <v>18</v>
      </c>
      <c r="BG35" s="459">
        <v>0</v>
      </c>
      <c r="BH35" s="461">
        <f t="shared" si="18"/>
        <v>106</v>
      </c>
      <c r="BI35" s="582">
        <v>77</v>
      </c>
      <c r="BJ35" s="113">
        <v>14</v>
      </c>
      <c r="BK35" s="113">
        <v>3</v>
      </c>
      <c r="BL35" s="113">
        <v>58</v>
      </c>
      <c r="BM35" s="460">
        <v>2</v>
      </c>
      <c r="BN35" s="582">
        <v>29</v>
      </c>
      <c r="BO35" s="113">
        <v>4</v>
      </c>
      <c r="BP35" s="113">
        <v>0</v>
      </c>
      <c r="BQ35" s="113">
        <v>25</v>
      </c>
      <c r="BR35" s="459">
        <v>0</v>
      </c>
      <c r="BS35" s="461">
        <f t="shared" si="19"/>
        <v>188</v>
      </c>
      <c r="BT35" s="582">
        <v>149</v>
      </c>
      <c r="BU35" s="113">
        <v>31</v>
      </c>
      <c r="BV35" s="113">
        <v>4</v>
      </c>
      <c r="BW35" s="113">
        <v>113</v>
      </c>
      <c r="BX35" s="460">
        <v>1</v>
      </c>
      <c r="BY35" s="582">
        <v>39</v>
      </c>
      <c r="BZ35" s="113">
        <v>2</v>
      </c>
      <c r="CA35" s="113">
        <v>0</v>
      </c>
      <c r="CB35" s="113">
        <v>36</v>
      </c>
      <c r="CC35" s="459">
        <v>1</v>
      </c>
      <c r="CD35" s="461">
        <f t="shared" si="20"/>
        <v>19</v>
      </c>
      <c r="CE35" s="582">
        <v>12</v>
      </c>
      <c r="CF35" s="113">
        <v>0</v>
      </c>
      <c r="CG35" s="113">
        <v>1</v>
      </c>
      <c r="CH35" s="113">
        <v>11</v>
      </c>
      <c r="CI35" s="460">
        <v>0</v>
      </c>
      <c r="CJ35" s="582">
        <v>7</v>
      </c>
      <c r="CK35" s="113">
        <v>0</v>
      </c>
      <c r="CL35" s="113">
        <v>0</v>
      </c>
      <c r="CM35" s="113">
        <v>7</v>
      </c>
      <c r="CN35" s="459">
        <v>0</v>
      </c>
      <c r="CO35" s="461">
        <f t="shared" si="21"/>
        <v>20</v>
      </c>
      <c r="CP35" s="582">
        <v>12</v>
      </c>
      <c r="CQ35" s="113">
        <v>1</v>
      </c>
      <c r="CR35" s="113">
        <v>2</v>
      </c>
      <c r="CS35" s="113">
        <v>9</v>
      </c>
      <c r="CT35" s="460">
        <v>0</v>
      </c>
      <c r="CU35" s="582">
        <v>8</v>
      </c>
      <c r="CV35" s="113">
        <v>0</v>
      </c>
      <c r="CW35" s="113">
        <v>0</v>
      </c>
      <c r="CX35" s="113">
        <v>8</v>
      </c>
      <c r="CY35" s="459">
        <v>0</v>
      </c>
      <c r="CZ35" s="461">
        <f t="shared" si="22"/>
        <v>6</v>
      </c>
      <c r="DA35" s="582">
        <v>5</v>
      </c>
      <c r="DB35" s="113">
        <v>1</v>
      </c>
      <c r="DC35" s="113">
        <v>2</v>
      </c>
      <c r="DD35" s="113">
        <v>2</v>
      </c>
      <c r="DE35" s="460">
        <v>0</v>
      </c>
      <c r="DF35" s="582">
        <v>1</v>
      </c>
      <c r="DG35" s="113">
        <v>0</v>
      </c>
      <c r="DH35" s="113">
        <v>0</v>
      </c>
      <c r="DI35" s="113">
        <v>1</v>
      </c>
      <c r="DJ35" s="459">
        <v>0</v>
      </c>
      <c r="DK35" s="461">
        <f t="shared" si="23"/>
        <v>6</v>
      </c>
      <c r="DL35" s="582">
        <v>4</v>
      </c>
      <c r="DM35" s="113">
        <v>2</v>
      </c>
      <c r="DN35" s="113">
        <v>0</v>
      </c>
      <c r="DO35" s="113">
        <v>2</v>
      </c>
      <c r="DP35" s="460">
        <v>0</v>
      </c>
      <c r="DQ35" s="582">
        <v>2</v>
      </c>
      <c r="DR35" s="113">
        <v>0</v>
      </c>
      <c r="DS35" s="113">
        <v>0</v>
      </c>
      <c r="DT35" s="113">
        <v>2</v>
      </c>
      <c r="DU35" s="459">
        <v>0</v>
      </c>
      <c r="DW35" s="461">
        <f t="shared" si="24"/>
        <v>495</v>
      </c>
      <c r="DX35" s="582">
        <f t="shared" si="24"/>
        <v>374</v>
      </c>
      <c r="DY35" s="113">
        <f t="shared" si="24"/>
        <v>73</v>
      </c>
      <c r="DZ35" s="113">
        <f t="shared" si="24"/>
        <v>17</v>
      </c>
      <c r="EA35" s="113">
        <f t="shared" si="24"/>
        <v>281</v>
      </c>
      <c r="EB35" s="460">
        <f t="shared" si="24"/>
        <v>3</v>
      </c>
      <c r="EC35" s="582">
        <f t="shared" si="24"/>
        <v>121</v>
      </c>
      <c r="ED35" s="113">
        <f t="shared" si="24"/>
        <v>12</v>
      </c>
      <c r="EE35" s="113">
        <f t="shared" si="24"/>
        <v>0</v>
      </c>
      <c r="EF35" s="113">
        <f t="shared" si="24"/>
        <v>108</v>
      </c>
      <c r="EG35" s="459">
        <f t="shared" si="24"/>
        <v>1</v>
      </c>
      <c r="EH35" s="461">
        <f t="shared" si="25"/>
        <v>211</v>
      </c>
      <c r="EI35" s="582">
        <f t="shared" si="26"/>
        <v>160</v>
      </c>
      <c r="EJ35" s="113">
        <f t="shared" si="27"/>
        <v>30</v>
      </c>
      <c r="EK35" s="113">
        <f t="shared" si="28"/>
        <v>22</v>
      </c>
      <c r="EL35" s="113">
        <f t="shared" si="29"/>
        <v>107</v>
      </c>
      <c r="EM35" s="460">
        <f t="shared" si="30"/>
        <v>1</v>
      </c>
      <c r="EN35" s="582">
        <f t="shared" si="31"/>
        <v>51</v>
      </c>
      <c r="EO35" s="113">
        <f t="shared" si="32"/>
        <v>3</v>
      </c>
      <c r="EP35" s="113">
        <f t="shared" si="33"/>
        <v>0</v>
      </c>
      <c r="EQ35" s="113">
        <f t="shared" si="34"/>
        <v>48</v>
      </c>
      <c r="ER35" s="459">
        <f t="shared" si="35"/>
        <v>0</v>
      </c>
    </row>
    <row r="36" spans="1:148">
      <c r="B36" s="112" t="s">
        <v>430</v>
      </c>
      <c r="C36" s="217">
        <v>2024</v>
      </c>
      <c r="D36" s="446">
        <v>163345</v>
      </c>
      <c r="E36" s="461">
        <v>15251</v>
      </c>
      <c r="F36" s="582">
        <v>11282</v>
      </c>
      <c r="G36" s="113">
        <v>1816</v>
      </c>
      <c r="H36" s="113">
        <v>1914</v>
      </c>
      <c r="I36" s="113">
        <v>7442</v>
      </c>
      <c r="J36" s="460">
        <v>110</v>
      </c>
      <c r="K36" s="582">
        <v>3969</v>
      </c>
      <c r="L36" s="113">
        <v>341</v>
      </c>
      <c r="M36" s="113">
        <v>0</v>
      </c>
      <c r="N36" s="113">
        <v>3574</v>
      </c>
      <c r="O36" s="459">
        <v>54</v>
      </c>
      <c r="P36" s="461">
        <f t="shared" si="14"/>
        <v>27</v>
      </c>
      <c r="Q36" s="582">
        <v>15</v>
      </c>
      <c r="R36" s="113">
        <v>3</v>
      </c>
      <c r="S36" s="113">
        <v>1</v>
      </c>
      <c r="T36" s="113">
        <v>10</v>
      </c>
      <c r="U36" s="460">
        <v>1</v>
      </c>
      <c r="V36" s="582">
        <v>12</v>
      </c>
      <c r="W36" s="113">
        <v>0</v>
      </c>
      <c r="X36" s="113">
        <v>0</v>
      </c>
      <c r="Y36" s="113">
        <v>12</v>
      </c>
      <c r="Z36" s="459">
        <v>0</v>
      </c>
      <c r="AA36" s="461">
        <f t="shared" si="15"/>
        <v>24</v>
      </c>
      <c r="AB36" s="582">
        <v>18</v>
      </c>
      <c r="AC36" s="113">
        <v>3</v>
      </c>
      <c r="AD36" s="113">
        <v>4</v>
      </c>
      <c r="AE36" s="113">
        <v>10</v>
      </c>
      <c r="AF36" s="460">
        <v>1</v>
      </c>
      <c r="AG36" s="582">
        <v>6</v>
      </c>
      <c r="AH36" s="113">
        <v>0</v>
      </c>
      <c r="AI36" s="113">
        <v>0</v>
      </c>
      <c r="AJ36" s="113">
        <v>6</v>
      </c>
      <c r="AK36" s="459">
        <v>0</v>
      </c>
      <c r="AL36" s="461">
        <f t="shared" si="16"/>
        <v>202</v>
      </c>
      <c r="AM36" s="582">
        <v>147</v>
      </c>
      <c r="AN36" s="113">
        <v>28</v>
      </c>
      <c r="AO36" s="113">
        <v>32</v>
      </c>
      <c r="AP36" s="113">
        <v>86</v>
      </c>
      <c r="AQ36" s="460">
        <v>1</v>
      </c>
      <c r="AR36" s="582">
        <v>55</v>
      </c>
      <c r="AS36" s="113">
        <v>3</v>
      </c>
      <c r="AT36" s="113">
        <v>0</v>
      </c>
      <c r="AU36" s="113">
        <v>52</v>
      </c>
      <c r="AV36" s="459">
        <v>0</v>
      </c>
      <c r="AW36" s="461">
        <f t="shared" si="17"/>
        <v>119</v>
      </c>
      <c r="AX36" s="582">
        <v>99</v>
      </c>
      <c r="AY36" s="113">
        <v>14</v>
      </c>
      <c r="AZ36" s="113">
        <v>13</v>
      </c>
      <c r="BA36" s="113">
        <v>71</v>
      </c>
      <c r="BB36" s="460">
        <v>1</v>
      </c>
      <c r="BC36" s="582">
        <v>20</v>
      </c>
      <c r="BD36" s="113">
        <v>0</v>
      </c>
      <c r="BE36" s="113">
        <v>0</v>
      </c>
      <c r="BF36" s="113">
        <v>20</v>
      </c>
      <c r="BG36" s="459">
        <v>0</v>
      </c>
      <c r="BH36" s="461">
        <f t="shared" si="18"/>
        <v>129</v>
      </c>
      <c r="BI36" s="582">
        <v>100</v>
      </c>
      <c r="BJ36" s="113">
        <v>15</v>
      </c>
      <c r="BK36" s="113">
        <v>16</v>
      </c>
      <c r="BL36" s="113">
        <v>69</v>
      </c>
      <c r="BM36" s="460">
        <v>0</v>
      </c>
      <c r="BN36" s="582">
        <v>29</v>
      </c>
      <c r="BO36" s="113">
        <v>4</v>
      </c>
      <c r="BP36" s="113">
        <v>0</v>
      </c>
      <c r="BQ36" s="113">
        <v>25</v>
      </c>
      <c r="BR36" s="459">
        <v>0</v>
      </c>
      <c r="BS36" s="461">
        <f t="shared" si="19"/>
        <v>174</v>
      </c>
      <c r="BT36" s="582">
        <v>135</v>
      </c>
      <c r="BU36" s="113">
        <v>18</v>
      </c>
      <c r="BV36" s="113">
        <v>7</v>
      </c>
      <c r="BW36" s="113">
        <v>110</v>
      </c>
      <c r="BX36" s="460">
        <v>0</v>
      </c>
      <c r="BY36" s="582">
        <v>39</v>
      </c>
      <c r="BZ36" s="113">
        <v>2</v>
      </c>
      <c r="CA36" s="113">
        <v>0</v>
      </c>
      <c r="CB36" s="113">
        <v>36</v>
      </c>
      <c r="CC36" s="459">
        <v>1</v>
      </c>
      <c r="CD36" s="461">
        <f t="shared" si="20"/>
        <v>24</v>
      </c>
      <c r="CE36" s="582">
        <v>20</v>
      </c>
      <c r="CF36" s="113">
        <v>2</v>
      </c>
      <c r="CG36" s="113">
        <v>5</v>
      </c>
      <c r="CH36" s="113">
        <v>13</v>
      </c>
      <c r="CI36" s="460">
        <v>0</v>
      </c>
      <c r="CJ36" s="582">
        <v>4</v>
      </c>
      <c r="CK36" s="113">
        <v>0</v>
      </c>
      <c r="CL36" s="113">
        <v>0</v>
      </c>
      <c r="CM36" s="113">
        <v>4</v>
      </c>
      <c r="CN36" s="459">
        <v>0</v>
      </c>
      <c r="CO36" s="461">
        <f t="shared" si="21"/>
        <v>26</v>
      </c>
      <c r="CP36" s="582">
        <v>16</v>
      </c>
      <c r="CQ36" s="113">
        <v>4</v>
      </c>
      <c r="CR36" s="113">
        <v>0</v>
      </c>
      <c r="CS36" s="113">
        <v>12</v>
      </c>
      <c r="CT36" s="460">
        <v>0</v>
      </c>
      <c r="CU36" s="582">
        <v>10</v>
      </c>
      <c r="CV36" s="113">
        <v>0</v>
      </c>
      <c r="CW36" s="113">
        <v>0</v>
      </c>
      <c r="CX36" s="113">
        <v>10</v>
      </c>
      <c r="CY36" s="459">
        <v>0</v>
      </c>
      <c r="CZ36" s="461">
        <f t="shared" si="22"/>
        <v>6</v>
      </c>
      <c r="DA36" s="582">
        <v>4</v>
      </c>
      <c r="DB36" s="113">
        <v>0</v>
      </c>
      <c r="DC36" s="113">
        <v>1</v>
      </c>
      <c r="DD36" s="113">
        <v>3</v>
      </c>
      <c r="DE36" s="460">
        <v>0</v>
      </c>
      <c r="DF36" s="582">
        <v>2</v>
      </c>
      <c r="DG36" s="113">
        <v>0</v>
      </c>
      <c r="DH36" s="113">
        <v>0</v>
      </c>
      <c r="DI36" s="113">
        <v>2</v>
      </c>
      <c r="DJ36" s="459">
        <v>0</v>
      </c>
      <c r="DK36" s="461">
        <f t="shared" si="23"/>
        <v>4</v>
      </c>
      <c r="DL36" s="582">
        <v>3</v>
      </c>
      <c r="DM36" s="113">
        <v>0</v>
      </c>
      <c r="DN36" s="113">
        <v>1</v>
      </c>
      <c r="DO36" s="113">
        <v>2</v>
      </c>
      <c r="DP36" s="460">
        <v>0</v>
      </c>
      <c r="DQ36" s="582">
        <v>1</v>
      </c>
      <c r="DR36" s="113">
        <v>0</v>
      </c>
      <c r="DS36" s="113">
        <v>0</v>
      </c>
      <c r="DT36" s="113">
        <v>1</v>
      </c>
      <c r="DU36" s="459">
        <v>0</v>
      </c>
      <c r="DW36" s="461">
        <f t="shared" si="24"/>
        <v>533</v>
      </c>
      <c r="DX36" s="582">
        <f t="shared" si="24"/>
        <v>410</v>
      </c>
      <c r="DY36" s="113">
        <f t="shared" si="24"/>
        <v>59</v>
      </c>
      <c r="DZ36" s="113">
        <f t="shared" si="24"/>
        <v>48</v>
      </c>
      <c r="EA36" s="113">
        <f t="shared" si="24"/>
        <v>300</v>
      </c>
      <c r="EB36" s="460">
        <f t="shared" si="24"/>
        <v>3</v>
      </c>
      <c r="EC36" s="582">
        <f t="shared" si="24"/>
        <v>123</v>
      </c>
      <c r="ED36" s="113">
        <f t="shared" si="24"/>
        <v>6</v>
      </c>
      <c r="EE36" s="113">
        <f t="shared" si="24"/>
        <v>0</v>
      </c>
      <c r="EF36" s="113">
        <f t="shared" si="24"/>
        <v>116</v>
      </c>
      <c r="EG36" s="459">
        <f t="shared" si="24"/>
        <v>1</v>
      </c>
      <c r="EH36" s="461">
        <f t="shared" si="25"/>
        <v>202</v>
      </c>
      <c r="EI36" s="582">
        <f t="shared" si="26"/>
        <v>147</v>
      </c>
      <c r="EJ36" s="113">
        <f t="shared" si="27"/>
        <v>28</v>
      </c>
      <c r="EK36" s="113">
        <f t="shared" si="28"/>
        <v>32</v>
      </c>
      <c r="EL36" s="113">
        <f t="shared" si="29"/>
        <v>86</v>
      </c>
      <c r="EM36" s="460">
        <f t="shared" si="30"/>
        <v>1</v>
      </c>
      <c r="EN36" s="582">
        <f t="shared" si="31"/>
        <v>55</v>
      </c>
      <c r="EO36" s="113">
        <f t="shared" si="32"/>
        <v>3</v>
      </c>
      <c r="EP36" s="113">
        <f t="shared" si="33"/>
        <v>0</v>
      </c>
      <c r="EQ36" s="113">
        <f t="shared" si="34"/>
        <v>52</v>
      </c>
      <c r="ER36" s="459">
        <f t="shared" si="35"/>
        <v>0</v>
      </c>
    </row>
    <row r="37" spans="1:148">
      <c r="B37" s="112" t="s">
        <v>431</v>
      </c>
      <c r="C37" s="217">
        <v>2025</v>
      </c>
      <c r="D37" s="446">
        <v>173667</v>
      </c>
      <c r="E37" s="461">
        <v>12006</v>
      </c>
      <c r="F37" s="582">
        <v>8450</v>
      </c>
      <c r="G37" s="113">
        <v>1121</v>
      </c>
      <c r="H37" s="113">
        <v>1188</v>
      </c>
      <c r="I37" s="113">
        <v>5991</v>
      </c>
      <c r="J37" s="460">
        <v>150</v>
      </c>
      <c r="K37" s="582">
        <v>3556</v>
      </c>
      <c r="L37" s="113">
        <v>404</v>
      </c>
      <c r="M37" s="113">
        <v>0</v>
      </c>
      <c r="N37" s="113">
        <v>3061</v>
      </c>
      <c r="O37" s="459">
        <v>91</v>
      </c>
      <c r="P37" s="461">
        <f t="shared" si="14"/>
        <v>35</v>
      </c>
      <c r="Q37" s="582">
        <v>22</v>
      </c>
      <c r="R37" s="113">
        <v>1</v>
      </c>
      <c r="S37" s="113">
        <v>4</v>
      </c>
      <c r="T37" s="113">
        <v>16</v>
      </c>
      <c r="U37" s="460">
        <v>1</v>
      </c>
      <c r="V37" s="582">
        <v>13</v>
      </c>
      <c r="W37" s="113">
        <v>0</v>
      </c>
      <c r="X37" s="113">
        <v>0</v>
      </c>
      <c r="Y37" s="113">
        <v>12</v>
      </c>
      <c r="Z37" s="459">
        <v>1</v>
      </c>
      <c r="AA37" s="461">
        <f t="shared" si="15"/>
        <v>11</v>
      </c>
      <c r="AB37" s="582">
        <v>8</v>
      </c>
      <c r="AC37" s="113">
        <v>1</v>
      </c>
      <c r="AD37" s="113">
        <v>1</v>
      </c>
      <c r="AE37" s="113">
        <v>6</v>
      </c>
      <c r="AF37" s="460">
        <v>0</v>
      </c>
      <c r="AG37" s="582">
        <v>3</v>
      </c>
      <c r="AH37" s="113">
        <v>0</v>
      </c>
      <c r="AI37" s="113">
        <v>0</v>
      </c>
      <c r="AJ37" s="113">
        <v>3</v>
      </c>
      <c r="AK37" s="459">
        <v>0</v>
      </c>
      <c r="AL37" s="461">
        <f t="shared" si="16"/>
        <v>118</v>
      </c>
      <c r="AM37" s="582">
        <v>66</v>
      </c>
      <c r="AN37" s="113">
        <v>9</v>
      </c>
      <c r="AO37" s="113">
        <v>5</v>
      </c>
      <c r="AP37" s="113">
        <v>52</v>
      </c>
      <c r="AQ37" s="460">
        <v>0</v>
      </c>
      <c r="AR37" s="582">
        <v>52</v>
      </c>
      <c r="AS37" s="113">
        <v>7</v>
      </c>
      <c r="AT37" s="113">
        <v>0</v>
      </c>
      <c r="AU37" s="113">
        <v>45</v>
      </c>
      <c r="AV37" s="459">
        <v>0</v>
      </c>
      <c r="AW37" s="461">
        <f t="shared" si="17"/>
        <v>67</v>
      </c>
      <c r="AX37" s="582">
        <v>54</v>
      </c>
      <c r="AY37" s="113">
        <v>7</v>
      </c>
      <c r="AZ37" s="113">
        <v>5</v>
      </c>
      <c r="BA37" s="113">
        <v>42</v>
      </c>
      <c r="BB37" s="460">
        <v>0</v>
      </c>
      <c r="BC37" s="582">
        <v>13</v>
      </c>
      <c r="BD37" s="113">
        <v>0</v>
      </c>
      <c r="BE37" s="113">
        <v>0</v>
      </c>
      <c r="BF37" s="113">
        <v>13</v>
      </c>
      <c r="BG37" s="459">
        <v>0</v>
      </c>
      <c r="BH37" s="461">
        <f t="shared" si="18"/>
        <v>85</v>
      </c>
      <c r="BI37" s="582">
        <v>61</v>
      </c>
      <c r="BJ37" s="113">
        <v>8</v>
      </c>
      <c r="BK37" s="113">
        <v>5</v>
      </c>
      <c r="BL37" s="113">
        <v>48</v>
      </c>
      <c r="BM37" s="460">
        <v>0</v>
      </c>
      <c r="BN37" s="582">
        <v>24</v>
      </c>
      <c r="BO37" s="113">
        <v>2</v>
      </c>
      <c r="BP37" s="113">
        <v>0</v>
      </c>
      <c r="BQ37" s="113">
        <v>22</v>
      </c>
      <c r="BR37" s="459">
        <v>0</v>
      </c>
      <c r="BS37" s="461">
        <f t="shared" si="19"/>
        <v>150</v>
      </c>
      <c r="BT37" s="582">
        <v>122</v>
      </c>
      <c r="BU37" s="113">
        <v>20</v>
      </c>
      <c r="BV37" s="113">
        <v>10</v>
      </c>
      <c r="BW37" s="113">
        <v>90</v>
      </c>
      <c r="BX37" s="460">
        <v>2</v>
      </c>
      <c r="BY37" s="582">
        <v>28</v>
      </c>
      <c r="BZ37" s="113">
        <v>2</v>
      </c>
      <c r="CA37" s="113">
        <v>0</v>
      </c>
      <c r="CB37" s="113">
        <v>26</v>
      </c>
      <c r="CC37" s="459">
        <v>0</v>
      </c>
      <c r="CD37" s="461">
        <f t="shared" si="20"/>
        <v>18</v>
      </c>
      <c r="CE37" s="582">
        <v>13</v>
      </c>
      <c r="CF37" s="113">
        <v>1</v>
      </c>
      <c r="CG37" s="113">
        <v>2</v>
      </c>
      <c r="CH37" s="113">
        <v>10</v>
      </c>
      <c r="CI37" s="460">
        <v>0</v>
      </c>
      <c r="CJ37" s="582">
        <v>5</v>
      </c>
      <c r="CK37" s="113">
        <v>0</v>
      </c>
      <c r="CL37" s="113">
        <v>0</v>
      </c>
      <c r="CM37" s="113">
        <v>5</v>
      </c>
      <c r="CN37" s="459">
        <v>0</v>
      </c>
      <c r="CO37" s="461">
        <f t="shared" si="21"/>
        <v>28</v>
      </c>
      <c r="CP37" s="582">
        <v>20</v>
      </c>
      <c r="CQ37" s="113">
        <v>1</v>
      </c>
      <c r="CR37" s="113">
        <v>11</v>
      </c>
      <c r="CS37" s="113">
        <v>8</v>
      </c>
      <c r="CT37" s="460">
        <v>0</v>
      </c>
      <c r="CU37" s="582">
        <v>8</v>
      </c>
      <c r="CV37" s="113">
        <v>1</v>
      </c>
      <c r="CW37" s="113">
        <v>0</v>
      </c>
      <c r="CX37" s="113">
        <v>7</v>
      </c>
      <c r="CY37" s="459">
        <v>0</v>
      </c>
      <c r="CZ37" s="461">
        <f t="shared" si="22"/>
        <v>5</v>
      </c>
      <c r="DA37" s="582">
        <v>4</v>
      </c>
      <c r="DB37" s="113">
        <v>0</v>
      </c>
      <c r="DC37" s="113">
        <v>0</v>
      </c>
      <c r="DD37" s="113">
        <v>4</v>
      </c>
      <c r="DE37" s="460">
        <v>0</v>
      </c>
      <c r="DF37" s="582">
        <v>1</v>
      </c>
      <c r="DG37" s="113">
        <v>0</v>
      </c>
      <c r="DH37" s="113">
        <v>0</v>
      </c>
      <c r="DI37" s="113">
        <v>1</v>
      </c>
      <c r="DJ37" s="459">
        <v>0</v>
      </c>
      <c r="DK37" s="461">
        <f t="shared" si="23"/>
        <v>2</v>
      </c>
      <c r="DL37" s="582">
        <v>1</v>
      </c>
      <c r="DM37" s="113">
        <v>1</v>
      </c>
      <c r="DN37" s="113">
        <v>0</v>
      </c>
      <c r="DO37" s="113">
        <v>0</v>
      </c>
      <c r="DP37" s="460">
        <v>0</v>
      </c>
      <c r="DQ37" s="582">
        <v>1</v>
      </c>
      <c r="DR37" s="113">
        <v>0</v>
      </c>
      <c r="DS37" s="113">
        <v>0</v>
      </c>
      <c r="DT37" s="113">
        <v>1</v>
      </c>
      <c r="DU37" s="459">
        <v>0</v>
      </c>
      <c r="DW37" s="461">
        <f t="shared" si="24"/>
        <v>401</v>
      </c>
      <c r="DX37" s="582">
        <f t="shared" si="24"/>
        <v>305</v>
      </c>
      <c r="DY37" s="113">
        <f t="shared" si="24"/>
        <v>40</v>
      </c>
      <c r="DZ37" s="113">
        <f t="shared" si="24"/>
        <v>38</v>
      </c>
      <c r="EA37" s="113">
        <f t="shared" si="24"/>
        <v>224</v>
      </c>
      <c r="EB37" s="460">
        <f t="shared" si="24"/>
        <v>3</v>
      </c>
      <c r="EC37" s="582">
        <f t="shared" si="24"/>
        <v>96</v>
      </c>
      <c r="ED37" s="113">
        <f t="shared" si="24"/>
        <v>5</v>
      </c>
      <c r="EE37" s="113">
        <f t="shared" si="24"/>
        <v>0</v>
      </c>
      <c r="EF37" s="113">
        <f t="shared" si="24"/>
        <v>90</v>
      </c>
      <c r="EG37" s="459">
        <f t="shared" si="24"/>
        <v>1</v>
      </c>
      <c r="EH37" s="461">
        <f t="shared" si="25"/>
        <v>118</v>
      </c>
      <c r="EI37" s="582">
        <f t="shared" si="26"/>
        <v>66</v>
      </c>
      <c r="EJ37" s="113">
        <f t="shared" si="27"/>
        <v>9</v>
      </c>
      <c r="EK37" s="113">
        <f t="shared" si="28"/>
        <v>5</v>
      </c>
      <c r="EL37" s="113">
        <f t="shared" si="29"/>
        <v>52</v>
      </c>
      <c r="EM37" s="460">
        <f t="shared" si="30"/>
        <v>0</v>
      </c>
      <c r="EN37" s="582">
        <f t="shared" si="31"/>
        <v>52</v>
      </c>
      <c r="EO37" s="113">
        <f t="shared" si="32"/>
        <v>7</v>
      </c>
      <c r="EP37" s="113">
        <f t="shared" si="33"/>
        <v>0</v>
      </c>
      <c r="EQ37" s="113">
        <f t="shared" si="34"/>
        <v>45</v>
      </c>
      <c r="ER37" s="459">
        <f t="shared" si="35"/>
        <v>0</v>
      </c>
    </row>
    <row r="38" spans="1:148">
      <c r="B38" s="112" t="s">
        <v>432</v>
      </c>
      <c r="C38" s="217">
        <v>2025</v>
      </c>
      <c r="D38" s="446">
        <v>202204</v>
      </c>
      <c r="E38" s="461">
        <v>11694</v>
      </c>
      <c r="F38" s="582">
        <v>7530</v>
      </c>
      <c r="G38" s="113">
        <v>1093</v>
      </c>
      <c r="H38" s="113">
        <v>1082</v>
      </c>
      <c r="I38" s="113">
        <v>5176</v>
      </c>
      <c r="J38" s="460">
        <v>179</v>
      </c>
      <c r="K38" s="582">
        <v>4164</v>
      </c>
      <c r="L38" s="113">
        <v>708</v>
      </c>
      <c r="M38" s="113">
        <v>0</v>
      </c>
      <c r="N38" s="113">
        <v>3389</v>
      </c>
      <c r="O38" s="459">
        <v>67</v>
      </c>
      <c r="P38" s="461">
        <f t="shared" ref="P38:P40" si="36">Q38+V38</f>
        <v>31</v>
      </c>
      <c r="Q38" s="582">
        <v>19</v>
      </c>
      <c r="R38" s="113">
        <v>0</v>
      </c>
      <c r="S38" s="113">
        <v>1</v>
      </c>
      <c r="T38" s="113">
        <v>16</v>
      </c>
      <c r="U38" s="460">
        <v>2</v>
      </c>
      <c r="V38" s="582">
        <v>12</v>
      </c>
      <c r="W38" s="113">
        <v>1</v>
      </c>
      <c r="X38" s="113">
        <v>0</v>
      </c>
      <c r="Y38" s="113">
        <v>10</v>
      </c>
      <c r="Z38" s="459">
        <v>1</v>
      </c>
      <c r="AA38" s="461">
        <f t="shared" ref="AA38:AA40" si="37">AB38+AG38</f>
        <v>12</v>
      </c>
      <c r="AB38" s="582">
        <v>11</v>
      </c>
      <c r="AC38" s="113">
        <v>3</v>
      </c>
      <c r="AD38" s="113">
        <v>0</v>
      </c>
      <c r="AE38" s="113">
        <v>8</v>
      </c>
      <c r="AF38" s="460">
        <v>0</v>
      </c>
      <c r="AG38" s="582">
        <v>1</v>
      </c>
      <c r="AH38" s="113">
        <v>0</v>
      </c>
      <c r="AI38" s="113">
        <v>0</v>
      </c>
      <c r="AJ38" s="113">
        <v>0</v>
      </c>
      <c r="AK38" s="459">
        <v>1</v>
      </c>
      <c r="AL38" s="461">
        <f t="shared" ref="AL38:AL40" si="38">AM38+AR38</f>
        <v>116</v>
      </c>
      <c r="AM38" s="582">
        <v>76</v>
      </c>
      <c r="AN38" s="113">
        <v>12</v>
      </c>
      <c r="AO38" s="113">
        <v>10</v>
      </c>
      <c r="AP38" s="113">
        <v>53</v>
      </c>
      <c r="AQ38" s="460">
        <v>1</v>
      </c>
      <c r="AR38" s="582">
        <v>40</v>
      </c>
      <c r="AS38" s="113">
        <v>9</v>
      </c>
      <c r="AT38" s="113">
        <v>0</v>
      </c>
      <c r="AU38" s="113">
        <v>31</v>
      </c>
      <c r="AV38" s="459">
        <v>0</v>
      </c>
      <c r="AW38" s="461">
        <f t="shared" ref="AW38:AW40" si="39">AX38+BC38</f>
        <v>67</v>
      </c>
      <c r="AX38" s="582">
        <v>48</v>
      </c>
      <c r="AY38" s="113">
        <v>2</v>
      </c>
      <c r="AZ38" s="113">
        <v>6</v>
      </c>
      <c r="BA38" s="113">
        <v>39</v>
      </c>
      <c r="BB38" s="460">
        <v>1</v>
      </c>
      <c r="BC38" s="582">
        <v>19</v>
      </c>
      <c r="BD38" s="113">
        <v>1</v>
      </c>
      <c r="BE38" s="113">
        <v>0</v>
      </c>
      <c r="BF38" s="113">
        <v>18</v>
      </c>
      <c r="BG38" s="459">
        <v>0</v>
      </c>
      <c r="BH38" s="461">
        <f t="shared" ref="BH38:BH40" si="40">BI38+BN38</f>
        <v>70</v>
      </c>
      <c r="BI38" s="582">
        <v>50</v>
      </c>
      <c r="BJ38" s="113">
        <v>7</v>
      </c>
      <c r="BK38" s="113">
        <v>6</v>
      </c>
      <c r="BL38" s="113">
        <v>37</v>
      </c>
      <c r="BM38" s="460">
        <v>0</v>
      </c>
      <c r="BN38" s="582">
        <v>20</v>
      </c>
      <c r="BO38" s="113">
        <v>7</v>
      </c>
      <c r="BP38" s="113">
        <v>0</v>
      </c>
      <c r="BQ38" s="113">
        <v>13</v>
      </c>
      <c r="BR38" s="459">
        <v>0</v>
      </c>
      <c r="BS38" s="461">
        <f t="shared" ref="BS38:BS40" si="41">BT38+BY38</f>
        <v>161</v>
      </c>
      <c r="BT38" s="582">
        <v>118</v>
      </c>
      <c r="BU38" s="113">
        <v>25</v>
      </c>
      <c r="BV38" s="113">
        <v>6</v>
      </c>
      <c r="BW38" s="113">
        <v>84</v>
      </c>
      <c r="BX38" s="460">
        <v>3</v>
      </c>
      <c r="BY38" s="582">
        <v>43</v>
      </c>
      <c r="BZ38" s="113">
        <v>2</v>
      </c>
      <c r="CA38" s="113">
        <v>0</v>
      </c>
      <c r="CB38" s="113">
        <v>41</v>
      </c>
      <c r="CC38" s="459">
        <v>0</v>
      </c>
      <c r="CD38" s="461">
        <f t="shared" ref="CD38:CD40" si="42">CE38+CJ38</f>
        <v>28</v>
      </c>
      <c r="CE38" s="582">
        <v>19</v>
      </c>
      <c r="CF38" s="113">
        <v>1</v>
      </c>
      <c r="CG38" s="113">
        <v>4</v>
      </c>
      <c r="CH38" s="113">
        <v>14</v>
      </c>
      <c r="CI38" s="460">
        <v>0</v>
      </c>
      <c r="CJ38" s="582">
        <v>9</v>
      </c>
      <c r="CK38" s="113">
        <v>0</v>
      </c>
      <c r="CL38" s="113">
        <v>0</v>
      </c>
      <c r="CM38" s="113">
        <v>9</v>
      </c>
      <c r="CN38" s="459">
        <v>0</v>
      </c>
      <c r="CO38" s="461">
        <f t="shared" ref="CO38:CO40" si="43">CP38+CU38</f>
        <v>16</v>
      </c>
      <c r="CP38" s="582">
        <v>8</v>
      </c>
      <c r="CQ38" s="113">
        <v>1</v>
      </c>
      <c r="CR38" s="113">
        <v>0</v>
      </c>
      <c r="CS38" s="113">
        <v>7</v>
      </c>
      <c r="CT38" s="460">
        <v>0</v>
      </c>
      <c r="CU38" s="582">
        <v>8</v>
      </c>
      <c r="CV38" s="113">
        <v>1</v>
      </c>
      <c r="CW38" s="113">
        <v>0</v>
      </c>
      <c r="CX38" s="113">
        <v>7</v>
      </c>
      <c r="CY38" s="459">
        <v>0</v>
      </c>
      <c r="CZ38" s="461">
        <f t="shared" ref="CZ38:CZ40" si="44">DA38+DF38</f>
        <v>4</v>
      </c>
      <c r="DA38" s="582">
        <v>4</v>
      </c>
      <c r="DB38" s="113">
        <v>1</v>
      </c>
      <c r="DC38" s="113">
        <v>0</v>
      </c>
      <c r="DD38" s="113">
        <v>3</v>
      </c>
      <c r="DE38" s="460">
        <v>0</v>
      </c>
      <c r="DF38" s="582">
        <v>0</v>
      </c>
      <c r="DG38" s="113">
        <v>0</v>
      </c>
      <c r="DH38" s="113">
        <v>0</v>
      </c>
      <c r="DI38" s="113">
        <v>0</v>
      </c>
      <c r="DJ38" s="459">
        <v>0</v>
      </c>
      <c r="DK38" s="461">
        <f t="shared" ref="DK38:DK40" si="45">DL38+DQ38</f>
        <v>5</v>
      </c>
      <c r="DL38" s="582">
        <v>3</v>
      </c>
      <c r="DM38" s="113">
        <v>0</v>
      </c>
      <c r="DN38" s="113">
        <v>1</v>
      </c>
      <c r="DO38" s="113">
        <v>2</v>
      </c>
      <c r="DP38" s="460">
        <v>0</v>
      </c>
      <c r="DQ38" s="582">
        <v>2</v>
      </c>
      <c r="DR38" s="113">
        <v>0</v>
      </c>
      <c r="DS38" s="113">
        <v>0</v>
      </c>
      <c r="DT38" s="113">
        <v>2</v>
      </c>
      <c r="DU38" s="459">
        <v>0</v>
      </c>
      <c r="DW38" s="461">
        <f t="shared" si="24"/>
        <v>394</v>
      </c>
      <c r="DX38" s="582">
        <f t="shared" si="24"/>
        <v>280</v>
      </c>
      <c r="DY38" s="113">
        <f t="shared" si="24"/>
        <v>40</v>
      </c>
      <c r="DZ38" s="113">
        <f t="shared" si="24"/>
        <v>24</v>
      </c>
      <c r="EA38" s="113">
        <f t="shared" si="24"/>
        <v>210</v>
      </c>
      <c r="EB38" s="460">
        <f t="shared" si="24"/>
        <v>6</v>
      </c>
      <c r="EC38" s="582">
        <f t="shared" si="24"/>
        <v>114</v>
      </c>
      <c r="ED38" s="113">
        <f t="shared" si="24"/>
        <v>12</v>
      </c>
      <c r="EE38" s="113">
        <f t="shared" si="24"/>
        <v>0</v>
      </c>
      <c r="EF38" s="113">
        <f t="shared" si="24"/>
        <v>100</v>
      </c>
      <c r="EG38" s="459">
        <f t="shared" si="24"/>
        <v>2</v>
      </c>
      <c r="EH38" s="461">
        <f t="shared" si="25"/>
        <v>116</v>
      </c>
      <c r="EI38" s="582">
        <f t="shared" si="26"/>
        <v>76</v>
      </c>
      <c r="EJ38" s="113">
        <f t="shared" si="27"/>
        <v>12</v>
      </c>
      <c r="EK38" s="113">
        <f t="shared" si="28"/>
        <v>10</v>
      </c>
      <c r="EL38" s="113">
        <f t="shared" si="29"/>
        <v>53</v>
      </c>
      <c r="EM38" s="460">
        <f t="shared" si="30"/>
        <v>1</v>
      </c>
      <c r="EN38" s="582">
        <f t="shared" si="31"/>
        <v>40</v>
      </c>
      <c r="EO38" s="113">
        <f t="shared" si="32"/>
        <v>9</v>
      </c>
      <c r="EP38" s="113">
        <f t="shared" si="33"/>
        <v>0</v>
      </c>
      <c r="EQ38" s="113">
        <f t="shared" si="34"/>
        <v>31</v>
      </c>
      <c r="ER38" s="459">
        <f t="shared" si="35"/>
        <v>0</v>
      </c>
    </row>
    <row r="39" spans="1:148">
      <c r="B39" s="112" t="s">
        <v>433</v>
      </c>
      <c r="C39" s="217">
        <v>2025</v>
      </c>
      <c r="D39" s="446">
        <v>184799</v>
      </c>
      <c r="E39" s="461">
        <v>11890</v>
      </c>
      <c r="F39" s="582">
        <v>7426</v>
      </c>
      <c r="G39" s="113">
        <v>1158</v>
      </c>
      <c r="H39" s="113">
        <v>808</v>
      </c>
      <c r="I39" s="113">
        <v>5108</v>
      </c>
      <c r="J39" s="460">
        <v>352</v>
      </c>
      <c r="K39" s="582">
        <v>4464</v>
      </c>
      <c r="L39" s="113">
        <v>861</v>
      </c>
      <c r="M39" s="113">
        <v>0</v>
      </c>
      <c r="N39" s="113">
        <v>3539</v>
      </c>
      <c r="O39" s="459">
        <v>64</v>
      </c>
      <c r="P39" s="461">
        <f t="shared" si="36"/>
        <v>26</v>
      </c>
      <c r="Q39" s="582">
        <v>15</v>
      </c>
      <c r="R39" s="113">
        <v>1</v>
      </c>
      <c r="S39" s="113">
        <v>1</v>
      </c>
      <c r="T39" s="113">
        <v>13</v>
      </c>
      <c r="U39" s="460">
        <v>0</v>
      </c>
      <c r="V39" s="582">
        <v>11</v>
      </c>
      <c r="W39" s="113">
        <v>1</v>
      </c>
      <c r="X39" s="113">
        <v>0</v>
      </c>
      <c r="Y39" s="113">
        <v>10</v>
      </c>
      <c r="Z39" s="459">
        <v>0</v>
      </c>
      <c r="AA39" s="461">
        <f t="shared" si="37"/>
        <v>11</v>
      </c>
      <c r="AB39" s="582">
        <v>7</v>
      </c>
      <c r="AC39" s="113">
        <v>1</v>
      </c>
      <c r="AD39" s="113">
        <v>0</v>
      </c>
      <c r="AE39" s="113">
        <v>6</v>
      </c>
      <c r="AF39" s="460">
        <v>0</v>
      </c>
      <c r="AG39" s="582">
        <v>4</v>
      </c>
      <c r="AH39" s="113">
        <v>1</v>
      </c>
      <c r="AI39" s="113">
        <v>0</v>
      </c>
      <c r="AJ39" s="113">
        <v>3</v>
      </c>
      <c r="AK39" s="459">
        <v>0</v>
      </c>
      <c r="AL39" s="461">
        <f t="shared" si="38"/>
        <v>151</v>
      </c>
      <c r="AM39" s="582">
        <v>93</v>
      </c>
      <c r="AN39" s="113">
        <v>18</v>
      </c>
      <c r="AO39" s="113">
        <v>4</v>
      </c>
      <c r="AP39" s="113">
        <v>70</v>
      </c>
      <c r="AQ39" s="460">
        <v>1</v>
      </c>
      <c r="AR39" s="582">
        <v>58</v>
      </c>
      <c r="AS39" s="113">
        <v>7</v>
      </c>
      <c r="AT39" s="113">
        <v>0</v>
      </c>
      <c r="AU39" s="113">
        <v>51</v>
      </c>
      <c r="AV39" s="459">
        <v>0</v>
      </c>
      <c r="AW39" s="461">
        <f t="shared" si="39"/>
        <v>88</v>
      </c>
      <c r="AX39" s="582">
        <v>58</v>
      </c>
      <c r="AY39" s="113">
        <v>12</v>
      </c>
      <c r="AZ39" s="113">
        <v>3</v>
      </c>
      <c r="BA39" s="113">
        <v>42</v>
      </c>
      <c r="BB39" s="460">
        <v>1</v>
      </c>
      <c r="BC39" s="582">
        <v>30</v>
      </c>
      <c r="BD39" s="113">
        <v>3</v>
      </c>
      <c r="BE39" s="113">
        <v>0</v>
      </c>
      <c r="BF39" s="113">
        <v>27</v>
      </c>
      <c r="BG39" s="459">
        <v>0</v>
      </c>
      <c r="BH39" s="461">
        <f t="shared" si="40"/>
        <v>89</v>
      </c>
      <c r="BI39" s="582">
        <v>57</v>
      </c>
      <c r="BJ39" s="113">
        <v>8</v>
      </c>
      <c r="BK39" s="113">
        <v>3</v>
      </c>
      <c r="BL39" s="113">
        <v>25</v>
      </c>
      <c r="BM39" s="460">
        <v>21</v>
      </c>
      <c r="BN39" s="582">
        <v>32</v>
      </c>
      <c r="BO39" s="113">
        <v>4</v>
      </c>
      <c r="BP39" s="113">
        <v>0</v>
      </c>
      <c r="BQ39" s="113">
        <v>27</v>
      </c>
      <c r="BR39" s="459">
        <v>1</v>
      </c>
      <c r="BS39" s="461">
        <f t="shared" si="41"/>
        <v>163</v>
      </c>
      <c r="BT39" s="582">
        <v>119</v>
      </c>
      <c r="BU39" s="113">
        <v>25</v>
      </c>
      <c r="BV39" s="113">
        <v>18</v>
      </c>
      <c r="BW39" s="113">
        <v>66</v>
      </c>
      <c r="BX39" s="460">
        <v>10</v>
      </c>
      <c r="BY39" s="582">
        <v>44</v>
      </c>
      <c r="BZ39" s="113">
        <v>5</v>
      </c>
      <c r="CA39" s="113">
        <v>0</v>
      </c>
      <c r="CB39" s="113">
        <v>37</v>
      </c>
      <c r="CC39" s="459">
        <v>2</v>
      </c>
      <c r="CD39" s="461">
        <f t="shared" si="42"/>
        <v>16</v>
      </c>
      <c r="CE39" s="582">
        <v>13</v>
      </c>
      <c r="CF39" s="113">
        <v>1</v>
      </c>
      <c r="CG39" s="113">
        <v>2</v>
      </c>
      <c r="CH39" s="113">
        <v>10</v>
      </c>
      <c r="CI39" s="460">
        <v>0</v>
      </c>
      <c r="CJ39" s="582">
        <v>3</v>
      </c>
      <c r="CK39" s="113">
        <v>1</v>
      </c>
      <c r="CL39" s="113">
        <v>0</v>
      </c>
      <c r="CM39" s="113">
        <v>2</v>
      </c>
      <c r="CN39" s="459">
        <v>0</v>
      </c>
      <c r="CO39" s="461">
        <f t="shared" si="43"/>
        <v>20</v>
      </c>
      <c r="CP39" s="582">
        <v>13</v>
      </c>
      <c r="CQ39" s="113">
        <v>2</v>
      </c>
      <c r="CR39" s="113">
        <v>1</v>
      </c>
      <c r="CS39" s="113">
        <v>10</v>
      </c>
      <c r="CT39" s="460">
        <v>0</v>
      </c>
      <c r="CU39" s="582">
        <v>7</v>
      </c>
      <c r="CV39" s="113">
        <v>0</v>
      </c>
      <c r="CW39" s="113">
        <v>0</v>
      </c>
      <c r="CX39" s="113">
        <v>7</v>
      </c>
      <c r="CY39" s="459">
        <v>0</v>
      </c>
      <c r="CZ39" s="461">
        <f t="shared" si="44"/>
        <v>6</v>
      </c>
      <c r="DA39" s="582">
        <v>3</v>
      </c>
      <c r="DB39" s="113">
        <v>1</v>
      </c>
      <c r="DC39" s="113">
        <v>0</v>
      </c>
      <c r="DD39" s="113">
        <v>1</v>
      </c>
      <c r="DE39" s="460">
        <v>1</v>
      </c>
      <c r="DF39" s="582">
        <v>3</v>
      </c>
      <c r="DG39" s="113">
        <v>0</v>
      </c>
      <c r="DH39" s="113">
        <v>0</v>
      </c>
      <c r="DI39" s="113">
        <v>3</v>
      </c>
      <c r="DJ39" s="459">
        <v>0</v>
      </c>
      <c r="DK39" s="461">
        <f t="shared" si="45"/>
        <v>1</v>
      </c>
      <c r="DL39" s="582">
        <v>0</v>
      </c>
      <c r="DM39" s="113">
        <v>0</v>
      </c>
      <c r="DN39" s="113">
        <v>0</v>
      </c>
      <c r="DO39" s="113">
        <v>0</v>
      </c>
      <c r="DP39" s="460">
        <v>0</v>
      </c>
      <c r="DQ39" s="582">
        <v>1</v>
      </c>
      <c r="DR39" s="113">
        <v>0</v>
      </c>
      <c r="DS39" s="113">
        <v>0</v>
      </c>
      <c r="DT39" s="113">
        <v>1</v>
      </c>
      <c r="DU39" s="459">
        <v>0</v>
      </c>
      <c r="DW39" s="461">
        <f t="shared" si="24"/>
        <v>420</v>
      </c>
      <c r="DX39" s="582">
        <f t="shared" si="24"/>
        <v>285</v>
      </c>
      <c r="DY39" s="113">
        <f t="shared" si="24"/>
        <v>51</v>
      </c>
      <c r="DZ39" s="113">
        <f t="shared" si="24"/>
        <v>28</v>
      </c>
      <c r="EA39" s="113">
        <f t="shared" si="24"/>
        <v>173</v>
      </c>
      <c r="EB39" s="460">
        <f t="shared" si="24"/>
        <v>33</v>
      </c>
      <c r="EC39" s="582">
        <f t="shared" si="24"/>
        <v>135</v>
      </c>
      <c r="ED39" s="113">
        <f t="shared" si="24"/>
        <v>15</v>
      </c>
      <c r="EE39" s="113">
        <f t="shared" si="24"/>
        <v>0</v>
      </c>
      <c r="EF39" s="113">
        <f t="shared" si="24"/>
        <v>117</v>
      </c>
      <c r="EG39" s="459">
        <f t="shared" si="24"/>
        <v>3</v>
      </c>
      <c r="EH39" s="461">
        <f t="shared" si="25"/>
        <v>151</v>
      </c>
      <c r="EI39" s="582">
        <f t="shared" si="26"/>
        <v>93</v>
      </c>
      <c r="EJ39" s="113">
        <f t="shared" si="27"/>
        <v>18</v>
      </c>
      <c r="EK39" s="113">
        <f t="shared" si="28"/>
        <v>4</v>
      </c>
      <c r="EL39" s="113">
        <f t="shared" si="29"/>
        <v>70</v>
      </c>
      <c r="EM39" s="460">
        <f t="shared" si="30"/>
        <v>1</v>
      </c>
      <c r="EN39" s="582">
        <f t="shared" si="31"/>
        <v>58</v>
      </c>
      <c r="EO39" s="113">
        <f t="shared" si="32"/>
        <v>7</v>
      </c>
      <c r="EP39" s="113">
        <f t="shared" si="33"/>
        <v>0</v>
      </c>
      <c r="EQ39" s="113">
        <f t="shared" si="34"/>
        <v>51</v>
      </c>
      <c r="ER39" s="459">
        <f t="shared" si="35"/>
        <v>0</v>
      </c>
    </row>
    <row r="40" spans="1:148" ht="14.5" thickBot="1">
      <c r="B40" s="108" t="s">
        <v>434</v>
      </c>
      <c r="C40" s="642">
        <v>2025</v>
      </c>
      <c r="D40" s="447">
        <v>154190</v>
      </c>
      <c r="E40" s="458">
        <v>11261</v>
      </c>
      <c r="F40" s="457">
        <v>7488</v>
      </c>
      <c r="G40" s="643">
        <v>740</v>
      </c>
      <c r="H40" s="643">
        <v>627</v>
      </c>
      <c r="I40" s="643">
        <v>5784</v>
      </c>
      <c r="J40" s="465">
        <v>337</v>
      </c>
      <c r="K40" s="457">
        <v>3773</v>
      </c>
      <c r="L40" s="643">
        <v>728</v>
      </c>
      <c r="M40" s="643">
        <v>0</v>
      </c>
      <c r="N40" s="643">
        <v>2980</v>
      </c>
      <c r="O40" s="456">
        <v>65</v>
      </c>
      <c r="P40" s="458">
        <f t="shared" si="36"/>
        <v>29</v>
      </c>
      <c r="Q40" s="457">
        <v>22</v>
      </c>
      <c r="R40" s="643">
        <v>3</v>
      </c>
      <c r="S40" s="643">
        <v>1</v>
      </c>
      <c r="T40" s="643">
        <v>18</v>
      </c>
      <c r="U40" s="465">
        <v>0</v>
      </c>
      <c r="V40" s="457">
        <v>7</v>
      </c>
      <c r="W40" s="643">
        <v>0</v>
      </c>
      <c r="X40" s="643">
        <v>0</v>
      </c>
      <c r="Y40" s="643">
        <v>7</v>
      </c>
      <c r="Z40" s="456">
        <v>0</v>
      </c>
      <c r="AA40" s="458">
        <f t="shared" si="37"/>
        <v>10</v>
      </c>
      <c r="AB40" s="457">
        <v>8</v>
      </c>
      <c r="AC40" s="643">
        <v>2</v>
      </c>
      <c r="AD40" s="643">
        <v>0</v>
      </c>
      <c r="AE40" s="643">
        <v>6</v>
      </c>
      <c r="AF40" s="465">
        <v>0</v>
      </c>
      <c r="AG40" s="457">
        <v>2</v>
      </c>
      <c r="AH40" s="643">
        <v>0</v>
      </c>
      <c r="AI40" s="643">
        <v>0</v>
      </c>
      <c r="AJ40" s="643">
        <v>2</v>
      </c>
      <c r="AK40" s="456">
        <v>0</v>
      </c>
      <c r="AL40" s="458">
        <f t="shared" si="38"/>
        <v>126</v>
      </c>
      <c r="AM40" s="457">
        <v>84</v>
      </c>
      <c r="AN40" s="643">
        <v>12</v>
      </c>
      <c r="AO40" s="643">
        <v>2</v>
      </c>
      <c r="AP40" s="643">
        <v>66</v>
      </c>
      <c r="AQ40" s="465">
        <v>4</v>
      </c>
      <c r="AR40" s="457">
        <v>42</v>
      </c>
      <c r="AS40" s="643">
        <v>9</v>
      </c>
      <c r="AT40" s="643">
        <v>0</v>
      </c>
      <c r="AU40" s="643">
        <v>33</v>
      </c>
      <c r="AV40" s="456">
        <v>0</v>
      </c>
      <c r="AW40" s="458">
        <f t="shared" si="39"/>
        <v>65</v>
      </c>
      <c r="AX40" s="457">
        <v>48</v>
      </c>
      <c r="AY40" s="643">
        <v>1</v>
      </c>
      <c r="AZ40" s="643">
        <v>3</v>
      </c>
      <c r="BA40" s="643">
        <v>43</v>
      </c>
      <c r="BB40" s="465">
        <v>1</v>
      </c>
      <c r="BC40" s="457">
        <v>17</v>
      </c>
      <c r="BD40" s="643">
        <v>3</v>
      </c>
      <c r="BE40" s="643">
        <v>0</v>
      </c>
      <c r="BF40" s="643">
        <v>14</v>
      </c>
      <c r="BG40" s="456">
        <v>0</v>
      </c>
      <c r="BH40" s="458">
        <f t="shared" si="40"/>
        <v>86</v>
      </c>
      <c r="BI40" s="457">
        <v>66</v>
      </c>
      <c r="BJ40" s="643">
        <v>5</v>
      </c>
      <c r="BK40" s="643">
        <v>1</v>
      </c>
      <c r="BL40" s="643">
        <v>39</v>
      </c>
      <c r="BM40" s="465">
        <v>21</v>
      </c>
      <c r="BN40" s="457">
        <v>20</v>
      </c>
      <c r="BO40" s="643">
        <v>5</v>
      </c>
      <c r="BP40" s="643">
        <v>0</v>
      </c>
      <c r="BQ40" s="643">
        <v>14</v>
      </c>
      <c r="BR40" s="456">
        <v>1</v>
      </c>
      <c r="BS40" s="458">
        <f t="shared" si="41"/>
        <v>145</v>
      </c>
      <c r="BT40" s="457">
        <v>108</v>
      </c>
      <c r="BU40" s="643">
        <v>12</v>
      </c>
      <c r="BV40" s="643">
        <v>22</v>
      </c>
      <c r="BW40" s="643">
        <v>68</v>
      </c>
      <c r="BX40" s="465">
        <v>6</v>
      </c>
      <c r="BY40" s="457">
        <v>37</v>
      </c>
      <c r="BZ40" s="643">
        <v>4</v>
      </c>
      <c r="CA40" s="643">
        <v>0</v>
      </c>
      <c r="CB40" s="643">
        <v>33</v>
      </c>
      <c r="CC40" s="456">
        <v>0</v>
      </c>
      <c r="CD40" s="458">
        <f t="shared" si="42"/>
        <v>12</v>
      </c>
      <c r="CE40" s="457">
        <v>10</v>
      </c>
      <c r="CF40" s="643">
        <v>1</v>
      </c>
      <c r="CG40" s="643">
        <v>0</v>
      </c>
      <c r="CH40" s="643">
        <v>9</v>
      </c>
      <c r="CI40" s="465">
        <v>0</v>
      </c>
      <c r="CJ40" s="457">
        <v>2</v>
      </c>
      <c r="CK40" s="643">
        <v>0</v>
      </c>
      <c r="CL40" s="643">
        <v>0</v>
      </c>
      <c r="CM40" s="643">
        <v>2</v>
      </c>
      <c r="CN40" s="456">
        <v>0</v>
      </c>
      <c r="CO40" s="458">
        <f t="shared" si="43"/>
        <v>21</v>
      </c>
      <c r="CP40" s="457">
        <v>18</v>
      </c>
      <c r="CQ40" s="643">
        <v>1</v>
      </c>
      <c r="CR40" s="643">
        <v>1</v>
      </c>
      <c r="CS40" s="643">
        <v>16</v>
      </c>
      <c r="CT40" s="465">
        <v>0</v>
      </c>
      <c r="CU40" s="457">
        <v>3</v>
      </c>
      <c r="CV40" s="643">
        <v>0</v>
      </c>
      <c r="CW40" s="643">
        <v>0</v>
      </c>
      <c r="CX40" s="643">
        <v>3</v>
      </c>
      <c r="CY40" s="456">
        <v>0</v>
      </c>
      <c r="CZ40" s="458">
        <f t="shared" si="44"/>
        <v>4</v>
      </c>
      <c r="DA40" s="457">
        <v>0</v>
      </c>
      <c r="DB40" s="643">
        <v>0</v>
      </c>
      <c r="DC40" s="643">
        <v>0</v>
      </c>
      <c r="DD40" s="643">
        <v>0</v>
      </c>
      <c r="DE40" s="465">
        <v>0</v>
      </c>
      <c r="DF40" s="457">
        <v>4</v>
      </c>
      <c r="DG40" s="643">
        <v>0</v>
      </c>
      <c r="DH40" s="643">
        <v>0</v>
      </c>
      <c r="DI40" s="643">
        <v>4</v>
      </c>
      <c r="DJ40" s="456">
        <v>0</v>
      </c>
      <c r="DK40" s="458">
        <f t="shared" si="45"/>
        <v>7</v>
      </c>
      <c r="DL40" s="457">
        <v>4</v>
      </c>
      <c r="DM40" s="643">
        <v>0</v>
      </c>
      <c r="DN40" s="643">
        <v>1</v>
      </c>
      <c r="DO40" s="643">
        <v>3</v>
      </c>
      <c r="DP40" s="465">
        <v>0</v>
      </c>
      <c r="DQ40" s="457">
        <v>3</v>
      </c>
      <c r="DR40" s="643">
        <v>0</v>
      </c>
      <c r="DS40" s="643">
        <v>0</v>
      </c>
      <c r="DT40" s="643">
        <v>3</v>
      </c>
      <c r="DU40" s="456">
        <v>0</v>
      </c>
      <c r="DW40" s="458">
        <f t="shared" ref="DW40" si="46">P40+AA40+AW40+BH40+BS40+CD40+CO40+CZ40+DK40</f>
        <v>379</v>
      </c>
      <c r="DX40" s="457">
        <f t="shared" ref="DX40" si="47">Q40+AB40+AX40+BI40+BT40+CE40+CP40+DA40+DL40</f>
        <v>284</v>
      </c>
      <c r="DY40" s="643">
        <f t="shared" ref="DY40" si="48">R40+AC40+AY40+BJ40+BU40+CF40+CQ40+DB40+DM40</f>
        <v>25</v>
      </c>
      <c r="DZ40" s="643">
        <f t="shared" ref="DZ40" si="49">S40+AD40+AZ40+BK40+BV40+CG40+CR40+DC40+DN40</f>
        <v>29</v>
      </c>
      <c r="EA40" s="643">
        <f t="shared" ref="EA40" si="50">T40+AE40+BA40+BL40+BW40+CH40+CS40+DD40+DO40</f>
        <v>202</v>
      </c>
      <c r="EB40" s="465">
        <f t="shared" ref="EB40" si="51">U40+AF40+BB40+BM40+BX40+CI40+CT40+DE40+DP40</f>
        <v>28</v>
      </c>
      <c r="EC40" s="457">
        <f t="shared" ref="EC40" si="52">V40+AG40+BC40+BN40+BY40+CJ40+CU40+DF40+DQ40</f>
        <v>95</v>
      </c>
      <c r="ED40" s="643">
        <f t="shared" ref="ED40" si="53">W40+AH40+BD40+BO40+BZ40+CK40+CV40+DG40+DR40</f>
        <v>12</v>
      </c>
      <c r="EE40" s="643">
        <f t="shared" ref="EE40" si="54">X40+AI40+BE40+BP40+CA40+CL40+CW40+DH40+DS40</f>
        <v>0</v>
      </c>
      <c r="EF40" s="643">
        <f t="shared" ref="EF40" si="55">Y40+AJ40+BF40+BQ40+CB40+CM40+CX40+DI40+DT40</f>
        <v>82</v>
      </c>
      <c r="EG40" s="456">
        <f t="shared" ref="EG40" si="56">Z40+AK40+BG40+BR40+CC40+CN40+CY40+DJ40+DU40</f>
        <v>1</v>
      </c>
      <c r="EH40" s="458">
        <f t="shared" ref="EH40" si="57">AL40</f>
        <v>126</v>
      </c>
      <c r="EI40" s="457">
        <f t="shared" ref="EI40" si="58">AM40</f>
        <v>84</v>
      </c>
      <c r="EJ40" s="643">
        <f t="shared" ref="EJ40" si="59">AN40</f>
        <v>12</v>
      </c>
      <c r="EK40" s="643">
        <f t="shared" ref="EK40" si="60">AO40</f>
        <v>2</v>
      </c>
      <c r="EL40" s="643">
        <f t="shared" ref="EL40" si="61">AP40</f>
        <v>66</v>
      </c>
      <c r="EM40" s="465">
        <f t="shared" ref="EM40" si="62">AQ40</f>
        <v>4</v>
      </c>
      <c r="EN40" s="457">
        <f t="shared" ref="EN40" si="63">AR40</f>
        <v>42</v>
      </c>
      <c r="EO40" s="643">
        <f t="shared" ref="EO40" si="64">AS40</f>
        <v>9</v>
      </c>
      <c r="EP40" s="643">
        <f t="shared" ref="EP40" si="65">AT40</f>
        <v>0</v>
      </c>
      <c r="EQ40" s="643">
        <f t="shared" ref="EQ40" si="66">AU40</f>
        <v>33</v>
      </c>
      <c r="ER40" s="456">
        <f t="shared" ref="ER40" si="67">AV40</f>
        <v>0</v>
      </c>
    </row>
    <row r="41" spans="1:148">
      <c r="DW41" s="455"/>
      <c r="DX41" s="455"/>
      <c r="DY41" s="455"/>
      <c r="DZ41" s="455"/>
      <c r="EA41" s="455"/>
      <c r="EB41" s="455"/>
      <c r="EC41" s="455"/>
      <c r="ED41" s="455"/>
      <c r="EE41" s="455"/>
      <c r="EF41" s="455"/>
      <c r="EG41" s="455"/>
      <c r="EH41" s="455"/>
      <c r="EI41" s="455"/>
      <c r="EJ41" s="455"/>
      <c r="EK41" s="455"/>
      <c r="EL41" s="455"/>
      <c r="EM41" s="455"/>
      <c r="EN41" s="455"/>
      <c r="EO41" s="455"/>
      <c r="EP41" s="455"/>
      <c r="EQ41" s="455"/>
      <c r="ER41" s="455"/>
    </row>
    <row r="42" spans="1:148">
      <c r="A42" s="806" t="s">
        <v>435</v>
      </c>
      <c r="B42" s="806"/>
      <c r="C42" s="806"/>
      <c r="D42" s="806"/>
      <c r="E42" s="806"/>
      <c r="F42" s="806"/>
      <c r="G42" s="806"/>
      <c r="H42" s="806"/>
      <c r="I42" s="806"/>
      <c r="J42" s="806"/>
      <c r="K42" s="806"/>
      <c r="L42" s="806"/>
      <c r="M42" s="806"/>
      <c r="N42" s="806"/>
      <c r="O42" s="806"/>
      <c r="P42" s="806"/>
      <c r="Q42" s="806"/>
      <c r="R42" s="806"/>
      <c r="S42" s="806"/>
      <c r="T42" s="806"/>
      <c r="U42" s="806"/>
      <c r="V42" s="806"/>
      <c r="W42" s="806"/>
      <c r="X42" s="806"/>
      <c r="Y42" s="806"/>
      <c r="Z42" s="806"/>
      <c r="AA42" s="806"/>
      <c r="AB42" s="806"/>
      <c r="AC42" s="806"/>
      <c r="AD42" s="806"/>
      <c r="AE42" s="806"/>
      <c r="AF42" s="806"/>
      <c r="AG42" s="806"/>
      <c r="AH42" s="806"/>
      <c r="AI42" s="806"/>
      <c r="AJ42" s="806"/>
      <c r="AK42" s="806"/>
      <c r="AL42" s="806"/>
      <c r="AM42" s="806"/>
      <c r="AN42" s="806"/>
      <c r="AO42" s="806"/>
      <c r="AP42" s="806"/>
      <c r="AQ42" s="806"/>
      <c r="AR42" s="806"/>
      <c r="AS42" s="806"/>
      <c r="AT42" s="806"/>
      <c r="AU42" s="806"/>
      <c r="AV42" s="806"/>
      <c r="AW42" s="806"/>
      <c r="AX42" s="806"/>
      <c r="AY42" s="806"/>
      <c r="AZ42" s="806"/>
      <c r="BA42" s="806"/>
      <c r="BB42" s="806"/>
      <c r="BC42" s="806"/>
      <c r="BD42" s="806"/>
      <c r="BE42" s="806"/>
      <c r="BF42" s="806"/>
      <c r="BG42" s="806"/>
      <c r="BH42" s="806"/>
      <c r="BI42" s="806"/>
      <c r="BJ42" s="806"/>
      <c r="BK42" s="806"/>
      <c r="BL42" s="806"/>
      <c r="BM42" s="806"/>
      <c r="BN42" s="806"/>
      <c r="BO42" s="806"/>
      <c r="BP42" s="806"/>
      <c r="BQ42" s="806"/>
      <c r="BR42" s="806"/>
      <c r="BS42" s="806"/>
      <c r="BT42" s="806"/>
      <c r="BU42" s="806"/>
      <c r="BV42" s="806"/>
      <c r="BW42" s="806"/>
      <c r="BX42" s="806"/>
      <c r="BY42" s="806"/>
      <c r="BZ42" s="806"/>
      <c r="CA42" s="806"/>
      <c r="CB42" s="806"/>
      <c r="CC42" s="806"/>
      <c r="CD42" s="806"/>
      <c r="CE42" s="806"/>
      <c r="CF42" s="806"/>
      <c r="CG42" s="806"/>
      <c r="CH42" s="806"/>
      <c r="CI42" s="806"/>
      <c r="CJ42" s="806"/>
      <c r="CK42" s="806"/>
      <c r="CL42" s="806"/>
      <c r="CM42" s="806"/>
      <c r="CN42" s="806"/>
      <c r="CO42" s="806"/>
      <c r="CP42" s="806"/>
      <c r="CQ42" s="806"/>
      <c r="CR42" s="806"/>
      <c r="CS42" s="806"/>
      <c r="CT42" s="806"/>
      <c r="CU42" s="806"/>
      <c r="CV42" s="806"/>
      <c r="CW42" s="806"/>
      <c r="CX42" s="806"/>
      <c r="CY42" s="806"/>
      <c r="CZ42" s="806"/>
      <c r="DA42" s="806"/>
      <c r="DB42" s="806"/>
      <c r="DC42" s="806"/>
      <c r="DD42" s="806"/>
      <c r="DE42" s="806"/>
      <c r="DF42" s="806"/>
      <c r="DG42" s="806"/>
      <c r="DH42" s="806"/>
      <c r="DI42" s="806"/>
      <c r="DJ42" s="806"/>
      <c r="DK42" s="806"/>
      <c r="DL42" s="806"/>
      <c r="DM42" s="806"/>
      <c r="DN42" s="806"/>
      <c r="DO42" s="806"/>
      <c r="DP42" s="806"/>
      <c r="DQ42" s="806"/>
      <c r="DR42" s="806"/>
      <c r="DS42" s="806"/>
      <c r="DT42" s="806"/>
      <c r="DU42" s="806"/>
      <c r="DW42" s="455"/>
      <c r="DX42" s="455"/>
      <c r="DY42" s="455"/>
      <c r="DZ42" s="455"/>
      <c r="EA42" s="455"/>
      <c r="EB42" s="455"/>
      <c r="EC42" s="455"/>
      <c r="ED42" s="455"/>
      <c r="EE42" s="455"/>
      <c r="EF42" s="455"/>
      <c r="EG42" s="455"/>
      <c r="EH42" s="455"/>
      <c r="EI42" s="455"/>
      <c r="EJ42" s="455"/>
      <c r="EK42" s="455"/>
      <c r="EL42" s="455"/>
      <c r="EM42" s="455"/>
      <c r="EN42" s="455"/>
      <c r="EO42" s="455"/>
      <c r="EP42" s="455"/>
      <c r="EQ42" s="455"/>
      <c r="ER42" s="455"/>
    </row>
    <row r="43" spans="1:148" ht="14.5" thickBot="1">
      <c r="DW43" s="455"/>
      <c r="DX43" s="455"/>
      <c r="DY43" s="455"/>
      <c r="DZ43" s="455"/>
      <c r="EA43" s="455"/>
      <c r="EB43" s="455"/>
      <c r="EC43" s="455"/>
      <c r="ED43" s="455"/>
      <c r="EE43" s="455"/>
      <c r="EF43" s="455"/>
      <c r="EG43" s="455"/>
      <c r="EH43" s="455"/>
      <c r="EI43" s="455"/>
      <c r="EJ43" s="455"/>
      <c r="EK43" s="455"/>
      <c r="EL43" s="455"/>
      <c r="EM43" s="455"/>
      <c r="EN43" s="455"/>
      <c r="EO43" s="455"/>
      <c r="EP43" s="455"/>
      <c r="EQ43" s="455"/>
      <c r="ER43" s="455"/>
    </row>
    <row r="44" spans="1:148">
      <c r="A44" s="473" t="s">
        <v>399</v>
      </c>
      <c r="B44" s="472">
        <v>42736</v>
      </c>
      <c r="C44" s="471">
        <v>2017</v>
      </c>
      <c r="D44" s="454">
        <f>SUMIFS(D$5:D$36,$B$5:$B$36,$A44)</f>
        <v>168225</v>
      </c>
      <c r="E44" s="454">
        <f>SUMIFS(E$5:E$36,$B$5:$B$36,$A44)</f>
        <v>1320</v>
      </c>
      <c r="F44" s="453">
        <f t="shared" ref="F44:AH53" si="68">SUMIFS(F$5:F$36,$B$5:$B$36,$A44)</f>
        <v>595</v>
      </c>
      <c r="G44" s="580">
        <f t="shared" si="68"/>
        <v>414</v>
      </c>
      <c r="H44" s="580">
        <f t="shared" si="68"/>
        <v>0</v>
      </c>
      <c r="I44" s="580">
        <f t="shared" si="68"/>
        <v>181</v>
      </c>
      <c r="J44" s="452">
        <f t="shared" si="68"/>
        <v>0</v>
      </c>
      <c r="K44" s="453">
        <f t="shared" si="68"/>
        <v>725</v>
      </c>
      <c r="L44" s="580">
        <f t="shared" si="68"/>
        <v>628</v>
      </c>
      <c r="M44" s="580">
        <f t="shared" si="68"/>
        <v>0</v>
      </c>
      <c r="N44" s="580">
        <f t="shared" si="68"/>
        <v>88</v>
      </c>
      <c r="O44" s="451">
        <f t="shared" si="68"/>
        <v>9</v>
      </c>
      <c r="P44" s="454">
        <f t="shared" si="68"/>
        <v>2</v>
      </c>
      <c r="Q44" s="453">
        <f t="shared" si="68"/>
        <v>0</v>
      </c>
      <c r="R44" s="580">
        <f t="shared" si="68"/>
        <v>0</v>
      </c>
      <c r="S44" s="580">
        <f t="shared" si="68"/>
        <v>0</v>
      </c>
      <c r="T44" s="580">
        <f t="shared" si="68"/>
        <v>0</v>
      </c>
      <c r="U44" s="452">
        <f t="shared" si="68"/>
        <v>0</v>
      </c>
      <c r="V44" s="453">
        <f t="shared" si="68"/>
        <v>2</v>
      </c>
      <c r="W44" s="580">
        <f t="shared" si="68"/>
        <v>1</v>
      </c>
      <c r="X44" s="580">
        <f t="shared" si="68"/>
        <v>0</v>
      </c>
      <c r="Y44" s="580">
        <f t="shared" si="68"/>
        <v>1</v>
      </c>
      <c r="Z44" s="451">
        <f t="shared" si="68"/>
        <v>0</v>
      </c>
      <c r="AA44" s="454">
        <f t="shared" si="68"/>
        <v>1</v>
      </c>
      <c r="AB44" s="453">
        <f t="shared" si="68"/>
        <v>0</v>
      </c>
      <c r="AC44" s="580">
        <f t="shared" si="68"/>
        <v>0</v>
      </c>
      <c r="AD44" s="580">
        <f t="shared" si="68"/>
        <v>0</v>
      </c>
      <c r="AE44" s="580">
        <f t="shared" si="68"/>
        <v>0</v>
      </c>
      <c r="AF44" s="452">
        <f t="shared" si="68"/>
        <v>0</v>
      </c>
      <c r="AG44" s="453">
        <f t="shared" si="68"/>
        <v>1</v>
      </c>
      <c r="AH44" s="580">
        <f t="shared" si="68"/>
        <v>1</v>
      </c>
      <c r="AI44" s="580">
        <f t="shared" ref="AI44:CT47" si="69">SUMIFS(AI$5:AI$36,$B$5:$B$36,$A44)</f>
        <v>0</v>
      </c>
      <c r="AJ44" s="580">
        <f t="shared" si="69"/>
        <v>0</v>
      </c>
      <c r="AK44" s="451">
        <f t="shared" si="69"/>
        <v>0</v>
      </c>
      <c r="AL44" s="454">
        <f t="shared" si="69"/>
        <v>11</v>
      </c>
      <c r="AM44" s="453">
        <f t="shared" si="69"/>
        <v>4</v>
      </c>
      <c r="AN44" s="580">
        <f t="shared" si="69"/>
        <v>3</v>
      </c>
      <c r="AO44" s="580">
        <f t="shared" si="69"/>
        <v>0</v>
      </c>
      <c r="AP44" s="580">
        <f t="shared" si="69"/>
        <v>1</v>
      </c>
      <c r="AQ44" s="452">
        <f t="shared" si="69"/>
        <v>0</v>
      </c>
      <c r="AR44" s="453">
        <f t="shared" si="69"/>
        <v>7</v>
      </c>
      <c r="AS44" s="580">
        <f t="shared" si="69"/>
        <v>6</v>
      </c>
      <c r="AT44" s="580">
        <f t="shared" si="69"/>
        <v>0</v>
      </c>
      <c r="AU44" s="580">
        <f t="shared" si="69"/>
        <v>1</v>
      </c>
      <c r="AV44" s="451">
        <f t="shared" si="69"/>
        <v>0</v>
      </c>
      <c r="AW44" s="454">
        <f t="shared" si="69"/>
        <v>4</v>
      </c>
      <c r="AX44" s="453">
        <f t="shared" si="69"/>
        <v>1</v>
      </c>
      <c r="AY44" s="580">
        <f t="shared" si="69"/>
        <v>1</v>
      </c>
      <c r="AZ44" s="580">
        <f t="shared" si="69"/>
        <v>0</v>
      </c>
      <c r="BA44" s="580">
        <f t="shared" si="69"/>
        <v>0</v>
      </c>
      <c r="BB44" s="452">
        <f t="shared" si="69"/>
        <v>0</v>
      </c>
      <c r="BC44" s="453">
        <f t="shared" si="69"/>
        <v>3</v>
      </c>
      <c r="BD44" s="580">
        <f t="shared" si="69"/>
        <v>3</v>
      </c>
      <c r="BE44" s="580">
        <f t="shared" si="69"/>
        <v>0</v>
      </c>
      <c r="BF44" s="580">
        <f t="shared" si="69"/>
        <v>0</v>
      </c>
      <c r="BG44" s="451">
        <f t="shared" si="69"/>
        <v>0</v>
      </c>
      <c r="BH44" s="454">
        <f t="shared" si="69"/>
        <v>6</v>
      </c>
      <c r="BI44" s="453">
        <f t="shared" si="69"/>
        <v>5</v>
      </c>
      <c r="BJ44" s="580">
        <f t="shared" si="69"/>
        <v>3</v>
      </c>
      <c r="BK44" s="580">
        <f t="shared" si="69"/>
        <v>0</v>
      </c>
      <c r="BL44" s="580">
        <f t="shared" si="69"/>
        <v>2</v>
      </c>
      <c r="BM44" s="452">
        <f t="shared" si="69"/>
        <v>0</v>
      </c>
      <c r="BN44" s="453">
        <f t="shared" si="69"/>
        <v>1</v>
      </c>
      <c r="BO44" s="580">
        <f t="shared" si="69"/>
        <v>1</v>
      </c>
      <c r="BP44" s="580">
        <f t="shared" si="69"/>
        <v>0</v>
      </c>
      <c r="BQ44" s="580">
        <f t="shared" si="69"/>
        <v>0</v>
      </c>
      <c r="BR44" s="451">
        <f t="shared" si="69"/>
        <v>0</v>
      </c>
      <c r="BS44" s="454">
        <f t="shared" si="69"/>
        <v>5</v>
      </c>
      <c r="BT44" s="453">
        <f t="shared" si="69"/>
        <v>2</v>
      </c>
      <c r="BU44" s="580">
        <f t="shared" si="69"/>
        <v>1</v>
      </c>
      <c r="BV44" s="580">
        <f t="shared" si="69"/>
        <v>0</v>
      </c>
      <c r="BW44" s="580">
        <f t="shared" si="69"/>
        <v>1</v>
      </c>
      <c r="BX44" s="452">
        <f t="shared" si="69"/>
        <v>0</v>
      </c>
      <c r="BY44" s="453">
        <f t="shared" si="69"/>
        <v>3</v>
      </c>
      <c r="BZ44" s="580">
        <f t="shared" si="69"/>
        <v>3</v>
      </c>
      <c r="CA44" s="580">
        <f t="shared" si="69"/>
        <v>0</v>
      </c>
      <c r="CB44" s="580">
        <f t="shared" si="69"/>
        <v>0</v>
      </c>
      <c r="CC44" s="451">
        <f t="shared" si="69"/>
        <v>0</v>
      </c>
      <c r="CD44" s="454">
        <f t="shared" si="69"/>
        <v>4</v>
      </c>
      <c r="CE44" s="453">
        <f t="shared" si="69"/>
        <v>3</v>
      </c>
      <c r="CF44" s="580">
        <f t="shared" si="69"/>
        <v>2</v>
      </c>
      <c r="CG44" s="580">
        <f t="shared" si="69"/>
        <v>0</v>
      </c>
      <c r="CH44" s="580">
        <f t="shared" si="69"/>
        <v>1</v>
      </c>
      <c r="CI44" s="452">
        <f t="shared" si="69"/>
        <v>0</v>
      </c>
      <c r="CJ44" s="453">
        <f t="shared" si="69"/>
        <v>1</v>
      </c>
      <c r="CK44" s="580">
        <f t="shared" si="69"/>
        <v>1</v>
      </c>
      <c r="CL44" s="580">
        <f t="shared" si="69"/>
        <v>0</v>
      </c>
      <c r="CM44" s="580">
        <f t="shared" si="69"/>
        <v>0</v>
      </c>
      <c r="CN44" s="451">
        <f t="shared" si="69"/>
        <v>0</v>
      </c>
      <c r="CO44" s="454">
        <f t="shared" si="69"/>
        <v>1</v>
      </c>
      <c r="CP44" s="453">
        <f t="shared" si="69"/>
        <v>0</v>
      </c>
      <c r="CQ44" s="580">
        <f t="shared" si="69"/>
        <v>0</v>
      </c>
      <c r="CR44" s="580">
        <f t="shared" si="69"/>
        <v>0</v>
      </c>
      <c r="CS44" s="580">
        <f t="shared" si="69"/>
        <v>0</v>
      </c>
      <c r="CT44" s="452">
        <f t="shared" si="69"/>
        <v>0</v>
      </c>
      <c r="CU44" s="453">
        <f t="shared" ref="CU44:DU59" si="70">SUMIFS(CU$5:CU$36,$B$5:$B$36,$A44)</f>
        <v>1</v>
      </c>
      <c r="CV44" s="580">
        <f t="shared" si="70"/>
        <v>1</v>
      </c>
      <c r="CW44" s="580">
        <f t="shared" si="70"/>
        <v>0</v>
      </c>
      <c r="CX44" s="580">
        <f t="shared" si="70"/>
        <v>0</v>
      </c>
      <c r="CY44" s="451">
        <f t="shared" si="70"/>
        <v>0</v>
      </c>
      <c r="CZ44" s="454">
        <f t="shared" si="70"/>
        <v>1</v>
      </c>
      <c r="DA44" s="453">
        <f t="shared" si="70"/>
        <v>0</v>
      </c>
      <c r="DB44" s="580">
        <f t="shared" si="70"/>
        <v>0</v>
      </c>
      <c r="DC44" s="580">
        <f t="shared" si="70"/>
        <v>0</v>
      </c>
      <c r="DD44" s="580">
        <f t="shared" si="70"/>
        <v>0</v>
      </c>
      <c r="DE44" s="452">
        <f t="shared" si="70"/>
        <v>0</v>
      </c>
      <c r="DF44" s="453">
        <f t="shared" si="70"/>
        <v>1</v>
      </c>
      <c r="DG44" s="580">
        <f t="shared" si="70"/>
        <v>1</v>
      </c>
      <c r="DH44" s="580">
        <f t="shared" si="70"/>
        <v>0</v>
      </c>
      <c r="DI44" s="580">
        <f t="shared" si="70"/>
        <v>0</v>
      </c>
      <c r="DJ44" s="451">
        <f t="shared" si="70"/>
        <v>0</v>
      </c>
      <c r="DK44" s="454">
        <f t="shared" si="70"/>
        <v>0</v>
      </c>
      <c r="DL44" s="453">
        <f t="shared" si="70"/>
        <v>0</v>
      </c>
      <c r="DM44" s="580">
        <f t="shared" si="70"/>
        <v>0</v>
      </c>
      <c r="DN44" s="580">
        <f t="shared" si="70"/>
        <v>0</v>
      </c>
      <c r="DO44" s="580">
        <f t="shared" si="70"/>
        <v>0</v>
      </c>
      <c r="DP44" s="452">
        <f t="shared" si="70"/>
        <v>0</v>
      </c>
      <c r="DQ44" s="453">
        <f t="shared" si="70"/>
        <v>0</v>
      </c>
      <c r="DR44" s="580">
        <f t="shared" si="70"/>
        <v>0</v>
      </c>
      <c r="DS44" s="580">
        <f t="shared" si="70"/>
        <v>0</v>
      </c>
      <c r="DT44" s="580">
        <f t="shared" si="70"/>
        <v>0</v>
      </c>
      <c r="DU44" s="451">
        <f t="shared" si="70"/>
        <v>0</v>
      </c>
      <c r="DW44" s="454">
        <f t="shared" si="4"/>
        <v>24</v>
      </c>
      <c r="DX44" s="453">
        <f t="shared" si="4"/>
        <v>11</v>
      </c>
      <c r="DY44" s="580">
        <f t="shared" si="4"/>
        <v>7</v>
      </c>
      <c r="DZ44" s="580">
        <f t="shared" si="4"/>
        <v>0</v>
      </c>
      <c r="EA44" s="580">
        <f t="shared" si="4"/>
        <v>4</v>
      </c>
      <c r="EB44" s="452">
        <f t="shared" si="4"/>
        <v>0</v>
      </c>
      <c r="EC44" s="453">
        <f t="shared" si="4"/>
        <v>13</v>
      </c>
      <c r="ED44" s="580">
        <f t="shared" si="4"/>
        <v>12</v>
      </c>
      <c r="EE44" s="580">
        <f t="shared" si="4"/>
        <v>0</v>
      </c>
      <c r="EF44" s="580">
        <f t="shared" si="4"/>
        <v>1</v>
      </c>
      <c r="EG44" s="451">
        <f t="shared" si="4"/>
        <v>0</v>
      </c>
      <c r="EH44" s="454">
        <f t="shared" ref="EH44:ER65" si="71">AL44</f>
        <v>11</v>
      </c>
      <c r="EI44" s="453">
        <f t="shared" si="71"/>
        <v>4</v>
      </c>
      <c r="EJ44" s="580">
        <f t="shared" si="71"/>
        <v>3</v>
      </c>
      <c r="EK44" s="580">
        <f t="shared" si="71"/>
        <v>0</v>
      </c>
      <c r="EL44" s="580">
        <f t="shared" si="71"/>
        <v>1</v>
      </c>
      <c r="EM44" s="452">
        <f t="shared" si="71"/>
        <v>0</v>
      </c>
      <c r="EN44" s="453">
        <f t="shared" si="71"/>
        <v>7</v>
      </c>
      <c r="EO44" s="580">
        <f t="shared" si="71"/>
        <v>6</v>
      </c>
      <c r="EP44" s="580">
        <f t="shared" si="71"/>
        <v>0</v>
      </c>
      <c r="EQ44" s="580">
        <f t="shared" si="71"/>
        <v>1</v>
      </c>
      <c r="ER44" s="451">
        <f t="shared" si="71"/>
        <v>0</v>
      </c>
    </row>
    <row r="45" spans="1:148">
      <c r="A45" s="466" t="s">
        <v>399</v>
      </c>
      <c r="B45" s="581">
        <v>42767</v>
      </c>
      <c r="C45" s="470">
        <v>2017</v>
      </c>
      <c r="D45" s="461">
        <f t="shared" ref="D45:D108" si="72">SUMIFS(D$5:D$36,$B$5:$B$36,$A45)</f>
        <v>168225</v>
      </c>
      <c r="E45" s="461">
        <f t="shared" ref="E45:T68" si="73">SUMIFS(E$5:E$36,$B$5:$B$36,$A45)</f>
        <v>1320</v>
      </c>
      <c r="F45" s="582">
        <f t="shared" si="73"/>
        <v>595</v>
      </c>
      <c r="G45" s="113">
        <f t="shared" si="73"/>
        <v>414</v>
      </c>
      <c r="H45" s="113">
        <f t="shared" si="73"/>
        <v>0</v>
      </c>
      <c r="I45" s="113">
        <f t="shared" si="73"/>
        <v>181</v>
      </c>
      <c r="J45" s="460">
        <f t="shared" si="73"/>
        <v>0</v>
      </c>
      <c r="K45" s="582">
        <f t="shared" si="73"/>
        <v>725</v>
      </c>
      <c r="L45" s="113">
        <f t="shared" si="73"/>
        <v>628</v>
      </c>
      <c r="M45" s="113">
        <f t="shared" si="73"/>
        <v>0</v>
      </c>
      <c r="N45" s="113">
        <f t="shared" si="73"/>
        <v>88</v>
      </c>
      <c r="O45" s="459">
        <f t="shared" si="73"/>
        <v>9</v>
      </c>
      <c r="P45" s="461">
        <f t="shared" si="73"/>
        <v>2</v>
      </c>
      <c r="Q45" s="582">
        <f t="shared" si="73"/>
        <v>0</v>
      </c>
      <c r="R45" s="113">
        <f t="shared" si="73"/>
        <v>0</v>
      </c>
      <c r="S45" s="113">
        <f t="shared" si="73"/>
        <v>0</v>
      </c>
      <c r="T45" s="113">
        <f t="shared" si="73"/>
        <v>0</v>
      </c>
      <c r="U45" s="460">
        <f t="shared" si="68"/>
        <v>0</v>
      </c>
      <c r="V45" s="582">
        <f t="shared" si="68"/>
        <v>2</v>
      </c>
      <c r="W45" s="113">
        <f t="shared" si="68"/>
        <v>1</v>
      </c>
      <c r="X45" s="113">
        <f t="shared" si="68"/>
        <v>0</v>
      </c>
      <c r="Y45" s="113">
        <f t="shared" si="68"/>
        <v>1</v>
      </c>
      <c r="Z45" s="459">
        <f t="shared" si="68"/>
        <v>0</v>
      </c>
      <c r="AA45" s="461">
        <f t="shared" si="68"/>
        <v>1</v>
      </c>
      <c r="AB45" s="582">
        <f t="shared" si="68"/>
        <v>0</v>
      </c>
      <c r="AC45" s="113">
        <f t="shared" si="68"/>
        <v>0</v>
      </c>
      <c r="AD45" s="113">
        <f t="shared" si="68"/>
        <v>0</v>
      </c>
      <c r="AE45" s="113">
        <f t="shared" si="68"/>
        <v>0</v>
      </c>
      <c r="AF45" s="460">
        <f t="shared" si="68"/>
        <v>0</v>
      </c>
      <c r="AG45" s="582">
        <f t="shared" si="68"/>
        <v>1</v>
      </c>
      <c r="AH45" s="113">
        <f t="shared" si="68"/>
        <v>1</v>
      </c>
      <c r="AI45" s="113">
        <f t="shared" si="69"/>
        <v>0</v>
      </c>
      <c r="AJ45" s="113">
        <f t="shared" si="69"/>
        <v>0</v>
      </c>
      <c r="AK45" s="459">
        <f t="shared" si="69"/>
        <v>0</v>
      </c>
      <c r="AL45" s="461">
        <f t="shared" si="69"/>
        <v>11</v>
      </c>
      <c r="AM45" s="582">
        <f t="shared" si="69"/>
        <v>4</v>
      </c>
      <c r="AN45" s="113">
        <f t="shared" si="69"/>
        <v>3</v>
      </c>
      <c r="AO45" s="113">
        <f t="shared" si="69"/>
        <v>0</v>
      </c>
      <c r="AP45" s="113">
        <f t="shared" si="69"/>
        <v>1</v>
      </c>
      <c r="AQ45" s="460">
        <f t="shared" si="69"/>
        <v>0</v>
      </c>
      <c r="AR45" s="582">
        <f t="shared" si="69"/>
        <v>7</v>
      </c>
      <c r="AS45" s="113">
        <f t="shared" si="69"/>
        <v>6</v>
      </c>
      <c r="AT45" s="113">
        <f t="shared" si="69"/>
        <v>0</v>
      </c>
      <c r="AU45" s="113">
        <f t="shared" si="69"/>
        <v>1</v>
      </c>
      <c r="AV45" s="459">
        <f t="shared" si="69"/>
        <v>0</v>
      </c>
      <c r="AW45" s="461">
        <f t="shared" si="69"/>
        <v>4</v>
      </c>
      <c r="AX45" s="582">
        <f t="shared" si="69"/>
        <v>1</v>
      </c>
      <c r="AY45" s="113">
        <f t="shared" si="69"/>
        <v>1</v>
      </c>
      <c r="AZ45" s="113">
        <f t="shared" si="69"/>
        <v>0</v>
      </c>
      <c r="BA45" s="113">
        <f t="shared" si="69"/>
        <v>0</v>
      </c>
      <c r="BB45" s="460">
        <f t="shared" si="69"/>
        <v>0</v>
      </c>
      <c r="BC45" s="582">
        <f t="shared" si="69"/>
        <v>3</v>
      </c>
      <c r="BD45" s="113">
        <f t="shared" si="69"/>
        <v>3</v>
      </c>
      <c r="BE45" s="113">
        <f t="shared" si="69"/>
        <v>0</v>
      </c>
      <c r="BF45" s="113">
        <f t="shared" si="69"/>
        <v>0</v>
      </c>
      <c r="BG45" s="459">
        <f t="shared" si="69"/>
        <v>0</v>
      </c>
      <c r="BH45" s="461">
        <f t="shared" si="69"/>
        <v>6</v>
      </c>
      <c r="BI45" s="582">
        <f t="shared" si="69"/>
        <v>5</v>
      </c>
      <c r="BJ45" s="113">
        <f t="shared" si="69"/>
        <v>3</v>
      </c>
      <c r="BK45" s="113">
        <f t="shared" si="69"/>
        <v>0</v>
      </c>
      <c r="BL45" s="113">
        <f t="shared" si="69"/>
        <v>2</v>
      </c>
      <c r="BM45" s="460">
        <f t="shared" si="69"/>
        <v>0</v>
      </c>
      <c r="BN45" s="582">
        <f t="shared" si="69"/>
        <v>1</v>
      </c>
      <c r="BO45" s="113">
        <f t="shared" si="69"/>
        <v>1</v>
      </c>
      <c r="BP45" s="113">
        <f t="shared" si="69"/>
        <v>0</v>
      </c>
      <c r="BQ45" s="113">
        <f t="shared" si="69"/>
        <v>0</v>
      </c>
      <c r="BR45" s="459">
        <f t="shared" si="69"/>
        <v>0</v>
      </c>
      <c r="BS45" s="461">
        <f t="shared" si="69"/>
        <v>5</v>
      </c>
      <c r="BT45" s="582">
        <f t="shared" si="69"/>
        <v>2</v>
      </c>
      <c r="BU45" s="113">
        <f t="shared" si="69"/>
        <v>1</v>
      </c>
      <c r="BV45" s="113">
        <f t="shared" si="69"/>
        <v>0</v>
      </c>
      <c r="BW45" s="113">
        <f t="shared" si="69"/>
        <v>1</v>
      </c>
      <c r="BX45" s="460">
        <f t="shared" si="69"/>
        <v>0</v>
      </c>
      <c r="BY45" s="582">
        <f t="shared" si="69"/>
        <v>3</v>
      </c>
      <c r="BZ45" s="113">
        <f t="shared" si="69"/>
        <v>3</v>
      </c>
      <c r="CA45" s="113">
        <f t="shared" si="69"/>
        <v>0</v>
      </c>
      <c r="CB45" s="113">
        <f t="shared" si="69"/>
        <v>0</v>
      </c>
      <c r="CC45" s="459">
        <f t="shared" si="69"/>
        <v>0</v>
      </c>
      <c r="CD45" s="461">
        <f t="shared" si="69"/>
        <v>4</v>
      </c>
      <c r="CE45" s="582">
        <f t="shared" si="69"/>
        <v>3</v>
      </c>
      <c r="CF45" s="113">
        <f t="shared" si="69"/>
        <v>2</v>
      </c>
      <c r="CG45" s="113">
        <f t="shared" si="69"/>
        <v>0</v>
      </c>
      <c r="CH45" s="113">
        <f t="shared" si="69"/>
        <v>1</v>
      </c>
      <c r="CI45" s="460">
        <f t="shared" si="69"/>
        <v>0</v>
      </c>
      <c r="CJ45" s="582">
        <f t="shared" si="69"/>
        <v>1</v>
      </c>
      <c r="CK45" s="113">
        <f t="shared" si="69"/>
        <v>1</v>
      </c>
      <c r="CL45" s="113">
        <f t="shared" si="69"/>
        <v>0</v>
      </c>
      <c r="CM45" s="113">
        <f t="shared" si="69"/>
        <v>0</v>
      </c>
      <c r="CN45" s="459">
        <f t="shared" si="69"/>
        <v>0</v>
      </c>
      <c r="CO45" s="461">
        <f t="shared" si="69"/>
        <v>1</v>
      </c>
      <c r="CP45" s="582">
        <f t="shared" si="69"/>
        <v>0</v>
      </c>
      <c r="CQ45" s="113">
        <f t="shared" si="69"/>
        <v>0</v>
      </c>
      <c r="CR45" s="113">
        <f t="shared" si="69"/>
        <v>0</v>
      </c>
      <c r="CS45" s="113">
        <f t="shared" si="69"/>
        <v>0</v>
      </c>
      <c r="CT45" s="460">
        <f t="shared" si="69"/>
        <v>0</v>
      </c>
      <c r="CU45" s="582">
        <f t="shared" si="70"/>
        <v>1</v>
      </c>
      <c r="CV45" s="113">
        <f t="shared" si="70"/>
        <v>1</v>
      </c>
      <c r="CW45" s="113">
        <f t="shared" si="70"/>
        <v>0</v>
      </c>
      <c r="CX45" s="113">
        <f t="shared" si="70"/>
        <v>0</v>
      </c>
      <c r="CY45" s="459">
        <f t="shared" si="70"/>
        <v>0</v>
      </c>
      <c r="CZ45" s="461">
        <f t="shared" si="70"/>
        <v>1</v>
      </c>
      <c r="DA45" s="582">
        <f t="shared" si="70"/>
        <v>0</v>
      </c>
      <c r="DB45" s="113">
        <f t="shared" si="70"/>
        <v>0</v>
      </c>
      <c r="DC45" s="113">
        <f t="shared" si="70"/>
        <v>0</v>
      </c>
      <c r="DD45" s="113">
        <f t="shared" si="70"/>
        <v>0</v>
      </c>
      <c r="DE45" s="460">
        <f t="shared" si="70"/>
        <v>0</v>
      </c>
      <c r="DF45" s="582">
        <f t="shared" si="70"/>
        <v>1</v>
      </c>
      <c r="DG45" s="113">
        <f t="shared" si="70"/>
        <v>1</v>
      </c>
      <c r="DH45" s="113">
        <f t="shared" si="70"/>
        <v>0</v>
      </c>
      <c r="DI45" s="113">
        <f t="shared" si="70"/>
        <v>0</v>
      </c>
      <c r="DJ45" s="459">
        <f t="shared" si="70"/>
        <v>0</v>
      </c>
      <c r="DK45" s="461">
        <f t="shared" si="70"/>
        <v>0</v>
      </c>
      <c r="DL45" s="582">
        <f t="shared" si="70"/>
        <v>0</v>
      </c>
      <c r="DM45" s="113">
        <f t="shared" si="70"/>
        <v>0</v>
      </c>
      <c r="DN45" s="113">
        <f t="shared" si="70"/>
        <v>0</v>
      </c>
      <c r="DO45" s="113">
        <f t="shared" si="70"/>
        <v>0</v>
      </c>
      <c r="DP45" s="460">
        <f t="shared" si="70"/>
        <v>0</v>
      </c>
      <c r="DQ45" s="582">
        <f t="shared" si="70"/>
        <v>0</v>
      </c>
      <c r="DR45" s="113">
        <f t="shared" si="70"/>
        <v>0</v>
      </c>
      <c r="DS45" s="113">
        <f t="shared" si="70"/>
        <v>0</v>
      </c>
      <c r="DT45" s="113">
        <f t="shared" si="70"/>
        <v>0</v>
      </c>
      <c r="DU45" s="459">
        <f t="shared" si="70"/>
        <v>0</v>
      </c>
      <c r="DW45" s="461">
        <f t="shared" si="4"/>
        <v>24</v>
      </c>
      <c r="DX45" s="582">
        <f t="shared" si="4"/>
        <v>11</v>
      </c>
      <c r="DY45" s="113">
        <f t="shared" si="4"/>
        <v>7</v>
      </c>
      <c r="DZ45" s="113">
        <f t="shared" si="4"/>
        <v>0</v>
      </c>
      <c r="EA45" s="113">
        <f t="shared" si="4"/>
        <v>4</v>
      </c>
      <c r="EB45" s="460">
        <f t="shared" si="4"/>
        <v>0</v>
      </c>
      <c r="EC45" s="582">
        <f t="shared" si="4"/>
        <v>13</v>
      </c>
      <c r="ED45" s="113">
        <f t="shared" si="4"/>
        <v>12</v>
      </c>
      <c r="EE45" s="113">
        <f t="shared" si="4"/>
        <v>0</v>
      </c>
      <c r="EF45" s="113">
        <f t="shared" si="4"/>
        <v>1</v>
      </c>
      <c r="EG45" s="459">
        <f t="shared" si="4"/>
        <v>0</v>
      </c>
      <c r="EH45" s="461">
        <f t="shared" si="71"/>
        <v>11</v>
      </c>
      <c r="EI45" s="582">
        <f t="shared" si="71"/>
        <v>4</v>
      </c>
      <c r="EJ45" s="113">
        <f t="shared" si="71"/>
        <v>3</v>
      </c>
      <c r="EK45" s="113">
        <f t="shared" si="71"/>
        <v>0</v>
      </c>
      <c r="EL45" s="113">
        <f t="shared" si="71"/>
        <v>1</v>
      </c>
      <c r="EM45" s="460">
        <f t="shared" si="71"/>
        <v>0</v>
      </c>
      <c r="EN45" s="582">
        <f t="shared" si="71"/>
        <v>7</v>
      </c>
      <c r="EO45" s="113">
        <f t="shared" si="71"/>
        <v>6</v>
      </c>
      <c r="EP45" s="113">
        <f t="shared" si="71"/>
        <v>0</v>
      </c>
      <c r="EQ45" s="113">
        <f t="shared" si="71"/>
        <v>1</v>
      </c>
      <c r="ER45" s="459">
        <f t="shared" si="71"/>
        <v>0</v>
      </c>
    </row>
    <row r="46" spans="1:148">
      <c r="A46" s="466" t="s">
        <v>399</v>
      </c>
      <c r="B46" s="581">
        <v>42795</v>
      </c>
      <c r="C46" s="470">
        <v>2017</v>
      </c>
      <c r="D46" s="461">
        <f t="shared" si="72"/>
        <v>168225</v>
      </c>
      <c r="E46" s="461">
        <f t="shared" si="73"/>
        <v>1320</v>
      </c>
      <c r="F46" s="582">
        <f t="shared" si="68"/>
        <v>595</v>
      </c>
      <c r="G46" s="113">
        <f t="shared" si="68"/>
        <v>414</v>
      </c>
      <c r="H46" s="113">
        <f t="shared" si="68"/>
        <v>0</v>
      </c>
      <c r="I46" s="113">
        <f t="shared" si="68"/>
        <v>181</v>
      </c>
      <c r="J46" s="460">
        <f t="shared" si="68"/>
        <v>0</v>
      </c>
      <c r="K46" s="582">
        <f t="shared" si="68"/>
        <v>725</v>
      </c>
      <c r="L46" s="113">
        <f t="shared" si="68"/>
        <v>628</v>
      </c>
      <c r="M46" s="113">
        <f t="shared" si="68"/>
        <v>0</v>
      </c>
      <c r="N46" s="113">
        <f t="shared" si="68"/>
        <v>88</v>
      </c>
      <c r="O46" s="459">
        <f t="shared" si="68"/>
        <v>9</v>
      </c>
      <c r="P46" s="461">
        <f t="shared" si="68"/>
        <v>2</v>
      </c>
      <c r="Q46" s="582">
        <f t="shared" si="68"/>
        <v>0</v>
      </c>
      <c r="R46" s="113">
        <f t="shared" si="68"/>
        <v>0</v>
      </c>
      <c r="S46" s="113">
        <f t="shared" si="68"/>
        <v>0</v>
      </c>
      <c r="T46" s="113">
        <f t="shared" si="68"/>
        <v>0</v>
      </c>
      <c r="U46" s="460">
        <f t="shared" si="68"/>
        <v>0</v>
      </c>
      <c r="V46" s="582">
        <f t="shared" si="68"/>
        <v>2</v>
      </c>
      <c r="W46" s="113">
        <f t="shared" si="68"/>
        <v>1</v>
      </c>
      <c r="X46" s="113">
        <f t="shared" si="68"/>
        <v>0</v>
      </c>
      <c r="Y46" s="113">
        <f t="shared" si="68"/>
        <v>1</v>
      </c>
      <c r="Z46" s="459">
        <f t="shared" si="68"/>
        <v>0</v>
      </c>
      <c r="AA46" s="461">
        <f t="shared" si="68"/>
        <v>1</v>
      </c>
      <c r="AB46" s="582">
        <f t="shared" si="68"/>
        <v>0</v>
      </c>
      <c r="AC46" s="113">
        <f t="shared" si="68"/>
        <v>0</v>
      </c>
      <c r="AD46" s="113">
        <f t="shared" si="68"/>
        <v>0</v>
      </c>
      <c r="AE46" s="113">
        <f t="shared" si="68"/>
        <v>0</v>
      </c>
      <c r="AF46" s="460">
        <f t="shared" si="68"/>
        <v>0</v>
      </c>
      <c r="AG46" s="582">
        <f t="shared" si="68"/>
        <v>1</v>
      </c>
      <c r="AH46" s="113">
        <f t="shared" si="68"/>
        <v>1</v>
      </c>
      <c r="AI46" s="113">
        <f t="shared" si="69"/>
        <v>0</v>
      </c>
      <c r="AJ46" s="113">
        <f t="shared" si="69"/>
        <v>0</v>
      </c>
      <c r="AK46" s="459">
        <f t="shared" si="69"/>
        <v>0</v>
      </c>
      <c r="AL46" s="461">
        <f t="shared" si="69"/>
        <v>11</v>
      </c>
      <c r="AM46" s="582">
        <f t="shared" si="69"/>
        <v>4</v>
      </c>
      <c r="AN46" s="113">
        <f t="shared" si="69"/>
        <v>3</v>
      </c>
      <c r="AO46" s="113">
        <f t="shared" si="69"/>
        <v>0</v>
      </c>
      <c r="AP46" s="113">
        <f t="shared" si="69"/>
        <v>1</v>
      </c>
      <c r="AQ46" s="460">
        <f t="shared" si="69"/>
        <v>0</v>
      </c>
      <c r="AR46" s="582">
        <f t="shared" si="69"/>
        <v>7</v>
      </c>
      <c r="AS46" s="113">
        <f t="shared" si="69"/>
        <v>6</v>
      </c>
      <c r="AT46" s="113">
        <f t="shared" si="69"/>
        <v>0</v>
      </c>
      <c r="AU46" s="113">
        <f t="shared" si="69"/>
        <v>1</v>
      </c>
      <c r="AV46" s="459">
        <f t="shared" si="69"/>
        <v>0</v>
      </c>
      <c r="AW46" s="461">
        <f t="shared" si="69"/>
        <v>4</v>
      </c>
      <c r="AX46" s="582">
        <f t="shared" si="69"/>
        <v>1</v>
      </c>
      <c r="AY46" s="113">
        <f t="shared" si="69"/>
        <v>1</v>
      </c>
      <c r="AZ46" s="113">
        <f t="shared" si="69"/>
        <v>0</v>
      </c>
      <c r="BA46" s="113">
        <f t="shared" si="69"/>
        <v>0</v>
      </c>
      <c r="BB46" s="460">
        <f t="shared" si="69"/>
        <v>0</v>
      </c>
      <c r="BC46" s="582">
        <f t="shared" si="69"/>
        <v>3</v>
      </c>
      <c r="BD46" s="113">
        <f t="shared" si="69"/>
        <v>3</v>
      </c>
      <c r="BE46" s="113">
        <f t="shared" si="69"/>
        <v>0</v>
      </c>
      <c r="BF46" s="113">
        <f t="shared" si="69"/>
        <v>0</v>
      </c>
      <c r="BG46" s="459">
        <f t="shared" si="69"/>
        <v>0</v>
      </c>
      <c r="BH46" s="461">
        <f t="shared" si="69"/>
        <v>6</v>
      </c>
      <c r="BI46" s="582">
        <f t="shared" si="69"/>
        <v>5</v>
      </c>
      <c r="BJ46" s="113">
        <f t="shared" si="69"/>
        <v>3</v>
      </c>
      <c r="BK46" s="113">
        <f t="shared" si="69"/>
        <v>0</v>
      </c>
      <c r="BL46" s="113">
        <f t="shared" si="69"/>
        <v>2</v>
      </c>
      <c r="BM46" s="460">
        <f t="shared" si="69"/>
        <v>0</v>
      </c>
      <c r="BN46" s="582">
        <f t="shared" si="69"/>
        <v>1</v>
      </c>
      <c r="BO46" s="113">
        <f t="shared" si="69"/>
        <v>1</v>
      </c>
      <c r="BP46" s="113">
        <f t="shared" si="69"/>
        <v>0</v>
      </c>
      <c r="BQ46" s="113">
        <f t="shared" si="69"/>
        <v>0</v>
      </c>
      <c r="BR46" s="459">
        <f t="shared" si="69"/>
        <v>0</v>
      </c>
      <c r="BS46" s="461">
        <f t="shared" si="69"/>
        <v>5</v>
      </c>
      <c r="BT46" s="582">
        <f t="shared" si="69"/>
        <v>2</v>
      </c>
      <c r="BU46" s="113">
        <f t="shared" si="69"/>
        <v>1</v>
      </c>
      <c r="BV46" s="113">
        <f t="shared" si="69"/>
        <v>0</v>
      </c>
      <c r="BW46" s="113">
        <f t="shared" si="69"/>
        <v>1</v>
      </c>
      <c r="BX46" s="460">
        <f t="shared" si="69"/>
        <v>0</v>
      </c>
      <c r="BY46" s="582">
        <f t="shared" si="69"/>
        <v>3</v>
      </c>
      <c r="BZ46" s="113">
        <f t="shared" si="69"/>
        <v>3</v>
      </c>
      <c r="CA46" s="113">
        <f t="shared" si="69"/>
        <v>0</v>
      </c>
      <c r="CB46" s="113">
        <f t="shared" si="69"/>
        <v>0</v>
      </c>
      <c r="CC46" s="459">
        <f t="shared" si="69"/>
        <v>0</v>
      </c>
      <c r="CD46" s="461">
        <f t="shared" si="69"/>
        <v>4</v>
      </c>
      <c r="CE46" s="582">
        <f t="shared" si="69"/>
        <v>3</v>
      </c>
      <c r="CF46" s="113">
        <f t="shared" si="69"/>
        <v>2</v>
      </c>
      <c r="CG46" s="113">
        <f t="shared" si="69"/>
        <v>0</v>
      </c>
      <c r="CH46" s="113">
        <f t="shared" si="69"/>
        <v>1</v>
      </c>
      <c r="CI46" s="460">
        <f t="shared" si="69"/>
        <v>0</v>
      </c>
      <c r="CJ46" s="582">
        <f t="shared" si="69"/>
        <v>1</v>
      </c>
      <c r="CK46" s="113">
        <f t="shared" si="69"/>
        <v>1</v>
      </c>
      <c r="CL46" s="113">
        <f t="shared" si="69"/>
        <v>0</v>
      </c>
      <c r="CM46" s="113">
        <f t="shared" si="69"/>
        <v>0</v>
      </c>
      <c r="CN46" s="459">
        <f t="shared" si="69"/>
        <v>0</v>
      </c>
      <c r="CO46" s="461">
        <f t="shared" si="69"/>
        <v>1</v>
      </c>
      <c r="CP46" s="582">
        <f t="shared" si="69"/>
        <v>0</v>
      </c>
      <c r="CQ46" s="113">
        <f t="shared" si="69"/>
        <v>0</v>
      </c>
      <c r="CR46" s="113">
        <f t="shared" si="69"/>
        <v>0</v>
      </c>
      <c r="CS46" s="113">
        <f t="shared" si="69"/>
        <v>0</v>
      </c>
      <c r="CT46" s="460">
        <f t="shared" si="69"/>
        <v>0</v>
      </c>
      <c r="CU46" s="582">
        <f t="shared" si="70"/>
        <v>1</v>
      </c>
      <c r="CV46" s="113">
        <f t="shared" si="70"/>
        <v>1</v>
      </c>
      <c r="CW46" s="113">
        <f t="shared" si="70"/>
        <v>0</v>
      </c>
      <c r="CX46" s="113">
        <f t="shared" si="70"/>
        <v>0</v>
      </c>
      <c r="CY46" s="459">
        <f t="shared" si="70"/>
        <v>0</v>
      </c>
      <c r="CZ46" s="461">
        <f t="shared" si="70"/>
        <v>1</v>
      </c>
      <c r="DA46" s="582">
        <f t="shared" si="70"/>
        <v>0</v>
      </c>
      <c r="DB46" s="113">
        <f t="shared" si="70"/>
        <v>0</v>
      </c>
      <c r="DC46" s="113">
        <f t="shared" si="70"/>
        <v>0</v>
      </c>
      <c r="DD46" s="113">
        <f t="shared" si="70"/>
        <v>0</v>
      </c>
      <c r="DE46" s="460">
        <f t="shared" si="70"/>
        <v>0</v>
      </c>
      <c r="DF46" s="582">
        <f t="shared" si="70"/>
        <v>1</v>
      </c>
      <c r="DG46" s="113">
        <f t="shared" si="70"/>
        <v>1</v>
      </c>
      <c r="DH46" s="113">
        <f t="shared" si="70"/>
        <v>0</v>
      </c>
      <c r="DI46" s="113">
        <f t="shared" si="70"/>
        <v>0</v>
      </c>
      <c r="DJ46" s="459">
        <f t="shared" si="70"/>
        <v>0</v>
      </c>
      <c r="DK46" s="461">
        <f t="shared" si="70"/>
        <v>0</v>
      </c>
      <c r="DL46" s="582">
        <f t="shared" si="70"/>
        <v>0</v>
      </c>
      <c r="DM46" s="113">
        <f t="shared" si="70"/>
        <v>0</v>
      </c>
      <c r="DN46" s="113">
        <f t="shared" si="70"/>
        <v>0</v>
      </c>
      <c r="DO46" s="113">
        <f t="shared" si="70"/>
        <v>0</v>
      </c>
      <c r="DP46" s="460">
        <f t="shared" si="70"/>
        <v>0</v>
      </c>
      <c r="DQ46" s="582">
        <f t="shared" si="70"/>
        <v>0</v>
      </c>
      <c r="DR46" s="113">
        <f t="shared" si="70"/>
        <v>0</v>
      </c>
      <c r="DS46" s="113">
        <f t="shared" si="70"/>
        <v>0</v>
      </c>
      <c r="DT46" s="113">
        <f t="shared" si="70"/>
        <v>0</v>
      </c>
      <c r="DU46" s="459">
        <f t="shared" si="70"/>
        <v>0</v>
      </c>
      <c r="DW46" s="461">
        <f t="shared" si="4"/>
        <v>24</v>
      </c>
      <c r="DX46" s="582">
        <f t="shared" si="4"/>
        <v>11</v>
      </c>
      <c r="DY46" s="113">
        <f t="shared" si="4"/>
        <v>7</v>
      </c>
      <c r="DZ46" s="113">
        <f t="shared" si="4"/>
        <v>0</v>
      </c>
      <c r="EA46" s="113">
        <f t="shared" si="4"/>
        <v>4</v>
      </c>
      <c r="EB46" s="460">
        <f t="shared" si="4"/>
        <v>0</v>
      </c>
      <c r="EC46" s="582">
        <f t="shared" si="4"/>
        <v>13</v>
      </c>
      <c r="ED46" s="113">
        <f t="shared" si="4"/>
        <v>12</v>
      </c>
      <c r="EE46" s="113">
        <f t="shared" si="4"/>
        <v>0</v>
      </c>
      <c r="EF46" s="113">
        <f t="shared" si="4"/>
        <v>1</v>
      </c>
      <c r="EG46" s="459">
        <f t="shared" si="4"/>
        <v>0</v>
      </c>
      <c r="EH46" s="461">
        <f t="shared" si="71"/>
        <v>11</v>
      </c>
      <c r="EI46" s="582">
        <f t="shared" si="71"/>
        <v>4</v>
      </c>
      <c r="EJ46" s="113">
        <f t="shared" si="71"/>
        <v>3</v>
      </c>
      <c r="EK46" s="113">
        <f t="shared" si="71"/>
        <v>0</v>
      </c>
      <c r="EL46" s="113">
        <f t="shared" si="71"/>
        <v>1</v>
      </c>
      <c r="EM46" s="460">
        <f t="shared" si="71"/>
        <v>0</v>
      </c>
      <c r="EN46" s="582">
        <f t="shared" si="71"/>
        <v>7</v>
      </c>
      <c r="EO46" s="113">
        <f t="shared" si="71"/>
        <v>6</v>
      </c>
      <c r="EP46" s="113">
        <f t="shared" si="71"/>
        <v>0</v>
      </c>
      <c r="EQ46" s="113">
        <f t="shared" si="71"/>
        <v>1</v>
      </c>
      <c r="ER46" s="459">
        <f t="shared" si="71"/>
        <v>0</v>
      </c>
    </row>
    <row r="47" spans="1:148">
      <c r="A47" s="466" t="s">
        <v>400</v>
      </c>
      <c r="B47" s="581">
        <v>42826</v>
      </c>
      <c r="C47" s="470">
        <v>2017</v>
      </c>
      <c r="D47" s="461">
        <f t="shared" si="72"/>
        <v>234021</v>
      </c>
      <c r="E47" s="461">
        <f t="shared" si="73"/>
        <v>2089</v>
      </c>
      <c r="F47" s="582">
        <f t="shared" si="68"/>
        <v>832</v>
      </c>
      <c r="G47" s="113">
        <f t="shared" si="68"/>
        <v>605</v>
      </c>
      <c r="H47" s="113">
        <f t="shared" si="68"/>
        <v>0</v>
      </c>
      <c r="I47" s="113">
        <f t="shared" si="68"/>
        <v>227</v>
      </c>
      <c r="J47" s="460">
        <f t="shared" si="68"/>
        <v>0</v>
      </c>
      <c r="K47" s="582">
        <f t="shared" si="68"/>
        <v>1257</v>
      </c>
      <c r="L47" s="113">
        <f t="shared" si="68"/>
        <v>937</v>
      </c>
      <c r="M47" s="113">
        <f t="shared" si="68"/>
        <v>0</v>
      </c>
      <c r="N47" s="113">
        <f t="shared" si="68"/>
        <v>153</v>
      </c>
      <c r="O47" s="459">
        <f t="shared" si="68"/>
        <v>167</v>
      </c>
      <c r="P47" s="461">
        <f t="shared" si="68"/>
        <v>3</v>
      </c>
      <c r="Q47" s="582">
        <f t="shared" si="68"/>
        <v>1</v>
      </c>
      <c r="R47" s="113">
        <f t="shared" si="68"/>
        <v>1</v>
      </c>
      <c r="S47" s="113">
        <f t="shared" si="68"/>
        <v>0</v>
      </c>
      <c r="T47" s="113">
        <f t="shared" si="68"/>
        <v>0</v>
      </c>
      <c r="U47" s="460">
        <f t="shared" si="68"/>
        <v>0</v>
      </c>
      <c r="V47" s="582">
        <f t="shared" si="68"/>
        <v>2</v>
      </c>
      <c r="W47" s="113">
        <f t="shared" si="68"/>
        <v>2</v>
      </c>
      <c r="X47" s="113">
        <f t="shared" si="68"/>
        <v>0</v>
      </c>
      <c r="Y47" s="113">
        <f t="shared" si="68"/>
        <v>0</v>
      </c>
      <c r="Z47" s="459">
        <f t="shared" si="68"/>
        <v>0</v>
      </c>
      <c r="AA47" s="461">
        <f t="shared" si="68"/>
        <v>3</v>
      </c>
      <c r="AB47" s="582">
        <f t="shared" si="68"/>
        <v>0</v>
      </c>
      <c r="AC47" s="113">
        <f t="shared" si="68"/>
        <v>0</v>
      </c>
      <c r="AD47" s="113">
        <f t="shared" si="68"/>
        <v>0</v>
      </c>
      <c r="AE47" s="113">
        <f t="shared" si="68"/>
        <v>0</v>
      </c>
      <c r="AF47" s="460">
        <f t="shared" si="68"/>
        <v>0</v>
      </c>
      <c r="AG47" s="582">
        <f t="shared" si="68"/>
        <v>3</v>
      </c>
      <c r="AH47" s="113">
        <f t="shared" si="68"/>
        <v>3</v>
      </c>
      <c r="AI47" s="113">
        <f t="shared" si="69"/>
        <v>0</v>
      </c>
      <c r="AJ47" s="113">
        <f t="shared" si="69"/>
        <v>0</v>
      </c>
      <c r="AK47" s="459">
        <f t="shared" si="69"/>
        <v>0</v>
      </c>
      <c r="AL47" s="461">
        <f t="shared" si="69"/>
        <v>13</v>
      </c>
      <c r="AM47" s="582">
        <f t="shared" si="69"/>
        <v>6</v>
      </c>
      <c r="AN47" s="113">
        <f t="shared" si="69"/>
        <v>6</v>
      </c>
      <c r="AO47" s="113">
        <f t="shared" si="69"/>
        <v>0</v>
      </c>
      <c r="AP47" s="113">
        <f t="shared" si="69"/>
        <v>0</v>
      </c>
      <c r="AQ47" s="460">
        <f t="shared" si="69"/>
        <v>0</v>
      </c>
      <c r="AR47" s="582">
        <f t="shared" si="69"/>
        <v>7</v>
      </c>
      <c r="AS47" s="113">
        <f t="shared" si="69"/>
        <v>6</v>
      </c>
      <c r="AT47" s="113">
        <f t="shared" si="69"/>
        <v>0</v>
      </c>
      <c r="AU47" s="113">
        <f t="shared" si="69"/>
        <v>0</v>
      </c>
      <c r="AV47" s="459">
        <f t="shared" si="69"/>
        <v>1</v>
      </c>
      <c r="AW47" s="461">
        <f t="shared" si="69"/>
        <v>12</v>
      </c>
      <c r="AX47" s="582">
        <f t="shared" si="69"/>
        <v>5</v>
      </c>
      <c r="AY47" s="113">
        <f t="shared" si="69"/>
        <v>4</v>
      </c>
      <c r="AZ47" s="113">
        <f t="shared" si="69"/>
        <v>0</v>
      </c>
      <c r="BA47" s="113">
        <f t="shared" si="69"/>
        <v>1</v>
      </c>
      <c r="BB47" s="460">
        <f t="shared" si="69"/>
        <v>0</v>
      </c>
      <c r="BC47" s="582">
        <f t="shared" si="69"/>
        <v>7</v>
      </c>
      <c r="BD47" s="113">
        <f t="shared" si="69"/>
        <v>6</v>
      </c>
      <c r="BE47" s="113">
        <f t="shared" si="69"/>
        <v>0</v>
      </c>
      <c r="BF47" s="113">
        <f t="shared" si="69"/>
        <v>1</v>
      </c>
      <c r="BG47" s="459">
        <f t="shared" si="69"/>
        <v>0</v>
      </c>
      <c r="BH47" s="461">
        <f t="shared" si="69"/>
        <v>18</v>
      </c>
      <c r="BI47" s="582">
        <f t="shared" si="69"/>
        <v>4</v>
      </c>
      <c r="BJ47" s="113">
        <f t="shared" si="69"/>
        <v>4</v>
      </c>
      <c r="BK47" s="113">
        <f t="shared" si="69"/>
        <v>0</v>
      </c>
      <c r="BL47" s="113">
        <f t="shared" si="69"/>
        <v>0</v>
      </c>
      <c r="BM47" s="460">
        <f t="shared" si="69"/>
        <v>0</v>
      </c>
      <c r="BN47" s="582">
        <f t="shared" si="69"/>
        <v>14</v>
      </c>
      <c r="BO47" s="113">
        <f t="shared" si="69"/>
        <v>11</v>
      </c>
      <c r="BP47" s="113">
        <f t="shared" si="69"/>
        <v>0</v>
      </c>
      <c r="BQ47" s="113">
        <f t="shared" si="69"/>
        <v>0</v>
      </c>
      <c r="BR47" s="459">
        <f t="shared" si="69"/>
        <v>3</v>
      </c>
      <c r="BS47" s="461">
        <f t="shared" si="69"/>
        <v>27</v>
      </c>
      <c r="BT47" s="582">
        <f t="shared" si="69"/>
        <v>16</v>
      </c>
      <c r="BU47" s="113">
        <f t="shared" si="69"/>
        <v>15</v>
      </c>
      <c r="BV47" s="113">
        <f t="shared" si="69"/>
        <v>0</v>
      </c>
      <c r="BW47" s="113">
        <f t="shared" si="69"/>
        <v>1</v>
      </c>
      <c r="BX47" s="460">
        <f t="shared" si="69"/>
        <v>0</v>
      </c>
      <c r="BY47" s="582">
        <f t="shared" si="69"/>
        <v>11</v>
      </c>
      <c r="BZ47" s="113">
        <f t="shared" si="69"/>
        <v>9</v>
      </c>
      <c r="CA47" s="113">
        <f t="shared" si="69"/>
        <v>0</v>
      </c>
      <c r="CB47" s="113">
        <f t="shared" si="69"/>
        <v>0</v>
      </c>
      <c r="CC47" s="459">
        <f t="shared" si="69"/>
        <v>2</v>
      </c>
      <c r="CD47" s="461">
        <f t="shared" si="69"/>
        <v>11</v>
      </c>
      <c r="CE47" s="582">
        <f t="shared" si="69"/>
        <v>5</v>
      </c>
      <c r="CF47" s="113">
        <f t="shared" si="69"/>
        <v>4</v>
      </c>
      <c r="CG47" s="113">
        <f t="shared" si="69"/>
        <v>0</v>
      </c>
      <c r="CH47" s="113">
        <f t="shared" si="69"/>
        <v>1</v>
      </c>
      <c r="CI47" s="460">
        <f t="shared" si="69"/>
        <v>0</v>
      </c>
      <c r="CJ47" s="582">
        <f t="shared" si="69"/>
        <v>6</v>
      </c>
      <c r="CK47" s="113">
        <f t="shared" si="69"/>
        <v>4</v>
      </c>
      <c r="CL47" s="113">
        <f t="shared" si="69"/>
        <v>0</v>
      </c>
      <c r="CM47" s="113">
        <f t="shared" si="69"/>
        <v>1</v>
      </c>
      <c r="CN47" s="459">
        <f t="shared" si="69"/>
        <v>1</v>
      </c>
      <c r="CO47" s="461">
        <f t="shared" si="69"/>
        <v>3</v>
      </c>
      <c r="CP47" s="582">
        <f t="shared" si="69"/>
        <v>2</v>
      </c>
      <c r="CQ47" s="113">
        <f t="shared" si="69"/>
        <v>2</v>
      </c>
      <c r="CR47" s="113">
        <f t="shared" si="69"/>
        <v>0</v>
      </c>
      <c r="CS47" s="113">
        <f t="shared" si="69"/>
        <v>0</v>
      </c>
      <c r="CT47" s="460">
        <f t="shared" ref="CT47:DT50" si="74">SUMIFS(CT$5:CT$36,$B$5:$B$36,$A47)</f>
        <v>0</v>
      </c>
      <c r="CU47" s="582">
        <f t="shared" si="74"/>
        <v>1</v>
      </c>
      <c r="CV47" s="113">
        <f t="shared" si="74"/>
        <v>1</v>
      </c>
      <c r="CW47" s="113">
        <f t="shared" si="74"/>
        <v>0</v>
      </c>
      <c r="CX47" s="113">
        <f t="shared" si="74"/>
        <v>0</v>
      </c>
      <c r="CY47" s="459">
        <f t="shared" si="74"/>
        <v>0</v>
      </c>
      <c r="CZ47" s="461">
        <f t="shared" si="74"/>
        <v>1</v>
      </c>
      <c r="DA47" s="582">
        <f t="shared" si="74"/>
        <v>1</v>
      </c>
      <c r="DB47" s="113">
        <f t="shared" si="74"/>
        <v>0</v>
      </c>
      <c r="DC47" s="113">
        <f t="shared" si="74"/>
        <v>0</v>
      </c>
      <c r="DD47" s="113">
        <f t="shared" si="74"/>
        <v>1</v>
      </c>
      <c r="DE47" s="460">
        <f t="shared" si="74"/>
        <v>0</v>
      </c>
      <c r="DF47" s="582">
        <f t="shared" si="74"/>
        <v>0</v>
      </c>
      <c r="DG47" s="113">
        <f t="shared" si="74"/>
        <v>0</v>
      </c>
      <c r="DH47" s="113">
        <f t="shared" si="74"/>
        <v>0</v>
      </c>
      <c r="DI47" s="113">
        <f t="shared" si="74"/>
        <v>0</v>
      </c>
      <c r="DJ47" s="459">
        <f t="shared" si="74"/>
        <v>0</v>
      </c>
      <c r="DK47" s="461">
        <f t="shared" si="74"/>
        <v>0</v>
      </c>
      <c r="DL47" s="582">
        <f t="shared" si="74"/>
        <v>0</v>
      </c>
      <c r="DM47" s="113">
        <f t="shared" si="74"/>
        <v>0</v>
      </c>
      <c r="DN47" s="113">
        <f t="shared" si="74"/>
        <v>0</v>
      </c>
      <c r="DO47" s="113">
        <f t="shared" si="74"/>
        <v>0</v>
      </c>
      <c r="DP47" s="460">
        <f t="shared" si="74"/>
        <v>0</v>
      </c>
      <c r="DQ47" s="582">
        <f t="shared" si="74"/>
        <v>0</v>
      </c>
      <c r="DR47" s="113">
        <f t="shared" si="74"/>
        <v>0</v>
      </c>
      <c r="DS47" s="113">
        <f t="shared" si="74"/>
        <v>0</v>
      </c>
      <c r="DT47" s="113">
        <f t="shared" si="74"/>
        <v>0</v>
      </c>
      <c r="DU47" s="459">
        <f t="shared" si="70"/>
        <v>0</v>
      </c>
      <c r="DW47" s="461">
        <f t="shared" si="4"/>
        <v>78</v>
      </c>
      <c r="DX47" s="582">
        <f t="shared" si="4"/>
        <v>34</v>
      </c>
      <c r="DY47" s="113">
        <f t="shared" si="4"/>
        <v>30</v>
      </c>
      <c r="DZ47" s="113">
        <f t="shared" si="4"/>
        <v>0</v>
      </c>
      <c r="EA47" s="113">
        <f t="shared" si="4"/>
        <v>4</v>
      </c>
      <c r="EB47" s="460">
        <f t="shared" si="4"/>
        <v>0</v>
      </c>
      <c r="EC47" s="582">
        <f t="shared" si="4"/>
        <v>44</v>
      </c>
      <c r="ED47" s="113">
        <f t="shared" si="4"/>
        <v>36</v>
      </c>
      <c r="EE47" s="113">
        <f t="shared" si="4"/>
        <v>0</v>
      </c>
      <c r="EF47" s="113">
        <f t="shared" si="4"/>
        <v>2</v>
      </c>
      <c r="EG47" s="459">
        <f t="shared" si="4"/>
        <v>6</v>
      </c>
      <c r="EH47" s="461">
        <f t="shared" si="71"/>
        <v>13</v>
      </c>
      <c r="EI47" s="582">
        <f t="shared" si="71"/>
        <v>6</v>
      </c>
      <c r="EJ47" s="113">
        <f t="shared" si="71"/>
        <v>6</v>
      </c>
      <c r="EK47" s="113">
        <f t="shared" si="71"/>
        <v>0</v>
      </c>
      <c r="EL47" s="113">
        <f t="shared" si="71"/>
        <v>0</v>
      </c>
      <c r="EM47" s="460">
        <f t="shared" si="71"/>
        <v>0</v>
      </c>
      <c r="EN47" s="582">
        <f t="shared" si="71"/>
        <v>7</v>
      </c>
      <c r="EO47" s="113">
        <f t="shared" si="71"/>
        <v>6</v>
      </c>
      <c r="EP47" s="113">
        <f t="shared" si="71"/>
        <v>0</v>
      </c>
      <c r="EQ47" s="113">
        <f t="shared" si="71"/>
        <v>0</v>
      </c>
      <c r="ER47" s="459">
        <f t="shared" si="71"/>
        <v>1</v>
      </c>
    </row>
    <row r="48" spans="1:148">
      <c r="A48" s="466" t="s">
        <v>400</v>
      </c>
      <c r="B48" s="581">
        <v>42856</v>
      </c>
      <c r="C48" s="470">
        <v>2017</v>
      </c>
      <c r="D48" s="461">
        <f t="shared" si="72"/>
        <v>234021</v>
      </c>
      <c r="E48" s="461">
        <f t="shared" si="73"/>
        <v>2089</v>
      </c>
      <c r="F48" s="582">
        <f t="shared" si="68"/>
        <v>832</v>
      </c>
      <c r="G48" s="113">
        <f t="shared" si="68"/>
        <v>605</v>
      </c>
      <c r="H48" s="113">
        <f t="shared" si="68"/>
        <v>0</v>
      </c>
      <c r="I48" s="113">
        <f t="shared" si="68"/>
        <v>227</v>
      </c>
      <c r="J48" s="460">
        <f t="shared" si="68"/>
        <v>0</v>
      </c>
      <c r="K48" s="582">
        <f t="shared" si="68"/>
        <v>1257</v>
      </c>
      <c r="L48" s="113">
        <f t="shared" si="68"/>
        <v>937</v>
      </c>
      <c r="M48" s="113">
        <f t="shared" si="68"/>
        <v>0</v>
      </c>
      <c r="N48" s="113">
        <f t="shared" si="68"/>
        <v>153</v>
      </c>
      <c r="O48" s="459">
        <f t="shared" si="68"/>
        <v>167</v>
      </c>
      <c r="P48" s="461">
        <f t="shared" si="68"/>
        <v>3</v>
      </c>
      <c r="Q48" s="582">
        <f t="shared" si="68"/>
        <v>1</v>
      </c>
      <c r="R48" s="113">
        <f t="shared" si="68"/>
        <v>1</v>
      </c>
      <c r="S48" s="113">
        <f t="shared" si="68"/>
        <v>0</v>
      </c>
      <c r="T48" s="113">
        <f t="shared" si="68"/>
        <v>0</v>
      </c>
      <c r="U48" s="460">
        <f t="shared" si="68"/>
        <v>0</v>
      </c>
      <c r="V48" s="582">
        <f t="shared" si="68"/>
        <v>2</v>
      </c>
      <c r="W48" s="113">
        <f t="shared" si="68"/>
        <v>2</v>
      </c>
      <c r="X48" s="113">
        <f t="shared" si="68"/>
        <v>0</v>
      </c>
      <c r="Y48" s="113">
        <f t="shared" si="68"/>
        <v>0</v>
      </c>
      <c r="Z48" s="459">
        <f t="shared" si="68"/>
        <v>0</v>
      </c>
      <c r="AA48" s="461">
        <f t="shared" si="68"/>
        <v>3</v>
      </c>
      <c r="AB48" s="582">
        <f t="shared" si="68"/>
        <v>0</v>
      </c>
      <c r="AC48" s="113">
        <f t="shared" si="68"/>
        <v>0</v>
      </c>
      <c r="AD48" s="113">
        <f t="shared" si="68"/>
        <v>0</v>
      </c>
      <c r="AE48" s="113">
        <f t="shared" si="68"/>
        <v>0</v>
      </c>
      <c r="AF48" s="460">
        <f t="shared" si="68"/>
        <v>0</v>
      </c>
      <c r="AG48" s="582">
        <f t="shared" si="68"/>
        <v>3</v>
      </c>
      <c r="AH48" s="113">
        <f t="shared" si="68"/>
        <v>3</v>
      </c>
      <c r="AI48" s="113">
        <f t="shared" ref="AI48:CT51" si="75">SUMIFS(AI$5:AI$36,$B$5:$B$36,$A48)</f>
        <v>0</v>
      </c>
      <c r="AJ48" s="113">
        <f t="shared" si="75"/>
        <v>0</v>
      </c>
      <c r="AK48" s="459">
        <f t="shared" si="75"/>
        <v>0</v>
      </c>
      <c r="AL48" s="461">
        <f t="shared" si="75"/>
        <v>13</v>
      </c>
      <c r="AM48" s="582">
        <f t="shared" si="75"/>
        <v>6</v>
      </c>
      <c r="AN48" s="113">
        <f t="shared" si="75"/>
        <v>6</v>
      </c>
      <c r="AO48" s="113">
        <f t="shared" si="75"/>
        <v>0</v>
      </c>
      <c r="AP48" s="113">
        <f t="shared" si="75"/>
        <v>0</v>
      </c>
      <c r="AQ48" s="460">
        <f t="shared" si="75"/>
        <v>0</v>
      </c>
      <c r="AR48" s="582">
        <f t="shared" si="75"/>
        <v>7</v>
      </c>
      <c r="AS48" s="113">
        <f t="shared" si="75"/>
        <v>6</v>
      </c>
      <c r="AT48" s="113">
        <f t="shared" si="75"/>
        <v>0</v>
      </c>
      <c r="AU48" s="113">
        <f t="shared" si="75"/>
        <v>0</v>
      </c>
      <c r="AV48" s="459">
        <f t="shared" si="75"/>
        <v>1</v>
      </c>
      <c r="AW48" s="461">
        <f t="shared" si="75"/>
        <v>12</v>
      </c>
      <c r="AX48" s="582">
        <f t="shared" si="75"/>
        <v>5</v>
      </c>
      <c r="AY48" s="113">
        <f t="shared" si="75"/>
        <v>4</v>
      </c>
      <c r="AZ48" s="113">
        <f t="shared" si="75"/>
        <v>0</v>
      </c>
      <c r="BA48" s="113">
        <f t="shared" si="75"/>
        <v>1</v>
      </c>
      <c r="BB48" s="460">
        <f t="shared" si="75"/>
        <v>0</v>
      </c>
      <c r="BC48" s="582">
        <f t="shared" si="75"/>
        <v>7</v>
      </c>
      <c r="BD48" s="113">
        <f t="shared" si="75"/>
        <v>6</v>
      </c>
      <c r="BE48" s="113">
        <f t="shared" si="75"/>
        <v>0</v>
      </c>
      <c r="BF48" s="113">
        <f t="shared" si="75"/>
        <v>1</v>
      </c>
      <c r="BG48" s="459">
        <f t="shared" si="75"/>
        <v>0</v>
      </c>
      <c r="BH48" s="461">
        <f t="shared" si="75"/>
        <v>18</v>
      </c>
      <c r="BI48" s="582">
        <f t="shared" si="75"/>
        <v>4</v>
      </c>
      <c r="BJ48" s="113">
        <f t="shared" si="75"/>
        <v>4</v>
      </c>
      <c r="BK48" s="113">
        <f t="shared" si="75"/>
        <v>0</v>
      </c>
      <c r="BL48" s="113">
        <f t="shared" si="75"/>
        <v>0</v>
      </c>
      <c r="BM48" s="460">
        <f t="shared" si="75"/>
        <v>0</v>
      </c>
      <c r="BN48" s="582">
        <f t="shared" si="75"/>
        <v>14</v>
      </c>
      <c r="BO48" s="113">
        <f t="shared" si="75"/>
        <v>11</v>
      </c>
      <c r="BP48" s="113">
        <f t="shared" si="75"/>
        <v>0</v>
      </c>
      <c r="BQ48" s="113">
        <f t="shared" si="75"/>
        <v>0</v>
      </c>
      <c r="BR48" s="459">
        <f t="shared" si="75"/>
        <v>3</v>
      </c>
      <c r="BS48" s="461">
        <f t="shared" si="75"/>
        <v>27</v>
      </c>
      <c r="BT48" s="582">
        <f t="shared" si="75"/>
        <v>16</v>
      </c>
      <c r="BU48" s="113">
        <f t="shared" si="75"/>
        <v>15</v>
      </c>
      <c r="BV48" s="113">
        <f t="shared" si="75"/>
        <v>0</v>
      </c>
      <c r="BW48" s="113">
        <f t="shared" si="75"/>
        <v>1</v>
      </c>
      <c r="BX48" s="460">
        <f t="shared" si="75"/>
        <v>0</v>
      </c>
      <c r="BY48" s="582">
        <f t="shared" si="75"/>
        <v>11</v>
      </c>
      <c r="BZ48" s="113">
        <f t="shared" si="75"/>
        <v>9</v>
      </c>
      <c r="CA48" s="113">
        <f t="shared" si="75"/>
        <v>0</v>
      </c>
      <c r="CB48" s="113">
        <f t="shared" si="75"/>
        <v>0</v>
      </c>
      <c r="CC48" s="459">
        <f t="shared" si="75"/>
        <v>2</v>
      </c>
      <c r="CD48" s="461">
        <f t="shared" si="75"/>
        <v>11</v>
      </c>
      <c r="CE48" s="582">
        <f t="shared" si="75"/>
        <v>5</v>
      </c>
      <c r="CF48" s="113">
        <f t="shared" si="75"/>
        <v>4</v>
      </c>
      <c r="CG48" s="113">
        <f t="shared" si="75"/>
        <v>0</v>
      </c>
      <c r="CH48" s="113">
        <f t="shared" si="75"/>
        <v>1</v>
      </c>
      <c r="CI48" s="460">
        <f t="shared" si="75"/>
        <v>0</v>
      </c>
      <c r="CJ48" s="582">
        <f t="shared" si="75"/>
        <v>6</v>
      </c>
      <c r="CK48" s="113">
        <f t="shared" si="75"/>
        <v>4</v>
      </c>
      <c r="CL48" s="113">
        <f t="shared" si="75"/>
        <v>0</v>
      </c>
      <c r="CM48" s="113">
        <f t="shared" si="75"/>
        <v>1</v>
      </c>
      <c r="CN48" s="459">
        <f t="shared" si="75"/>
        <v>1</v>
      </c>
      <c r="CO48" s="461">
        <f t="shared" si="75"/>
        <v>3</v>
      </c>
      <c r="CP48" s="582">
        <f t="shared" si="75"/>
        <v>2</v>
      </c>
      <c r="CQ48" s="113">
        <f t="shared" si="75"/>
        <v>2</v>
      </c>
      <c r="CR48" s="113">
        <f t="shared" si="75"/>
        <v>0</v>
      </c>
      <c r="CS48" s="113">
        <f t="shared" si="75"/>
        <v>0</v>
      </c>
      <c r="CT48" s="460">
        <f t="shared" si="75"/>
        <v>0</v>
      </c>
      <c r="CU48" s="582">
        <f t="shared" si="74"/>
        <v>1</v>
      </c>
      <c r="CV48" s="113">
        <f t="shared" si="74"/>
        <v>1</v>
      </c>
      <c r="CW48" s="113">
        <f t="shared" si="74"/>
        <v>0</v>
      </c>
      <c r="CX48" s="113">
        <f t="shared" si="74"/>
        <v>0</v>
      </c>
      <c r="CY48" s="459">
        <f t="shared" si="74"/>
        <v>0</v>
      </c>
      <c r="CZ48" s="461">
        <f t="shared" si="74"/>
        <v>1</v>
      </c>
      <c r="DA48" s="582">
        <f t="shared" si="74"/>
        <v>1</v>
      </c>
      <c r="DB48" s="113">
        <f t="shared" si="74"/>
        <v>0</v>
      </c>
      <c r="DC48" s="113">
        <f t="shared" si="74"/>
        <v>0</v>
      </c>
      <c r="DD48" s="113">
        <f t="shared" si="74"/>
        <v>1</v>
      </c>
      <c r="DE48" s="460">
        <f t="shared" si="74"/>
        <v>0</v>
      </c>
      <c r="DF48" s="582">
        <f t="shared" si="74"/>
        <v>0</v>
      </c>
      <c r="DG48" s="113">
        <f t="shared" si="74"/>
        <v>0</v>
      </c>
      <c r="DH48" s="113">
        <f t="shared" si="74"/>
        <v>0</v>
      </c>
      <c r="DI48" s="113">
        <f t="shared" si="74"/>
        <v>0</v>
      </c>
      <c r="DJ48" s="459">
        <f t="shared" si="74"/>
        <v>0</v>
      </c>
      <c r="DK48" s="461">
        <f t="shared" si="74"/>
        <v>0</v>
      </c>
      <c r="DL48" s="582">
        <f t="shared" si="74"/>
        <v>0</v>
      </c>
      <c r="DM48" s="113">
        <f t="shared" si="74"/>
        <v>0</v>
      </c>
      <c r="DN48" s="113">
        <f t="shared" si="74"/>
        <v>0</v>
      </c>
      <c r="DO48" s="113">
        <f t="shared" si="74"/>
        <v>0</v>
      </c>
      <c r="DP48" s="460">
        <f t="shared" si="74"/>
        <v>0</v>
      </c>
      <c r="DQ48" s="582">
        <f t="shared" si="74"/>
        <v>0</v>
      </c>
      <c r="DR48" s="113">
        <f t="shared" si="74"/>
        <v>0</v>
      </c>
      <c r="DS48" s="113">
        <f t="shared" si="74"/>
        <v>0</v>
      </c>
      <c r="DT48" s="113">
        <f t="shared" si="74"/>
        <v>0</v>
      </c>
      <c r="DU48" s="459">
        <f t="shared" si="70"/>
        <v>0</v>
      </c>
      <c r="DW48" s="461">
        <f t="shared" si="4"/>
        <v>78</v>
      </c>
      <c r="DX48" s="582">
        <f t="shared" si="4"/>
        <v>34</v>
      </c>
      <c r="DY48" s="113">
        <f t="shared" si="4"/>
        <v>30</v>
      </c>
      <c r="DZ48" s="113">
        <f t="shared" si="4"/>
        <v>0</v>
      </c>
      <c r="EA48" s="113">
        <f t="shared" si="4"/>
        <v>4</v>
      </c>
      <c r="EB48" s="460">
        <f t="shared" si="4"/>
        <v>0</v>
      </c>
      <c r="EC48" s="582">
        <f t="shared" si="4"/>
        <v>44</v>
      </c>
      <c r="ED48" s="113">
        <f t="shared" si="4"/>
        <v>36</v>
      </c>
      <c r="EE48" s="113">
        <f t="shared" si="4"/>
        <v>0</v>
      </c>
      <c r="EF48" s="113">
        <f t="shared" si="4"/>
        <v>2</v>
      </c>
      <c r="EG48" s="459">
        <f t="shared" si="4"/>
        <v>6</v>
      </c>
      <c r="EH48" s="461">
        <f t="shared" si="71"/>
        <v>13</v>
      </c>
      <c r="EI48" s="582">
        <f t="shared" si="71"/>
        <v>6</v>
      </c>
      <c r="EJ48" s="113">
        <f t="shared" si="71"/>
        <v>6</v>
      </c>
      <c r="EK48" s="113">
        <f t="shared" si="71"/>
        <v>0</v>
      </c>
      <c r="EL48" s="113">
        <f t="shared" si="71"/>
        <v>0</v>
      </c>
      <c r="EM48" s="460">
        <f t="shared" si="71"/>
        <v>0</v>
      </c>
      <c r="EN48" s="582">
        <f t="shared" si="71"/>
        <v>7</v>
      </c>
      <c r="EO48" s="113">
        <f t="shared" si="71"/>
        <v>6</v>
      </c>
      <c r="EP48" s="113">
        <f t="shared" si="71"/>
        <v>0</v>
      </c>
      <c r="EQ48" s="113">
        <f t="shared" si="71"/>
        <v>0</v>
      </c>
      <c r="ER48" s="459">
        <f t="shared" si="71"/>
        <v>1</v>
      </c>
    </row>
    <row r="49" spans="1:148">
      <c r="A49" s="466" t="s">
        <v>400</v>
      </c>
      <c r="B49" s="581">
        <v>42887</v>
      </c>
      <c r="C49" s="470">
        <v>2017</v>
      </c>
      <c r="D49" s="461">
        <f t="shared" si="72"/>
        <v>234021</v>
      </c>
      <c r="E49" s="461">
        <f t="shared" si="73"/>
        <v>2089</v>
      </c>
      <c r="F49" s="582">
        <f t="shared" si="68"/>
        <v>832</v>
      </c>
      <c r="G49" s="113">
        <f t="shared" si="68"/>
        <v>605</v>
      </c>
      <c r="H49" s="113">
        <f t="shared" si="68"/>
        <v>0</v>
      </c>
      <c r="I49" s="113">
        <f t="shared" si="68"/>
        <v>227</v>
      </c>
      <c r="J49" s="460">
        <f t="shared" si="68"/>
        <v>0</v>
      </c>
      <c r="K49" s="582">
        <f t="shared" si="68"/>
        <v>1257</v>
      </c>
      <c r="L49" s="113">
        <f t="shared" si="68"/>
        <v>937</v>
      </c>
      <c r="M49" s="113">
        <f t="shared" si="68"/>
        <v>0</v>
      </c>
      <c r="N49" s="113">
        <f t="shared" si="68"/>
        <v>153</v>
      </c>
      <c r="O49" s="459">
        <f t="shared" si="68"/>
        <v>167</v>
      </c>
      <c r="P49" s="461">
        <f t="shared" si="68"/>
        <v>3</v>
      </c>
      <c r="Q49" s="582">
        <f t="shared" si="68"/>
        <v>1</v>
      </c>
      <c r="R49" s="113">
        <f t="shared" si="68"/>
        <v>1</v>
      </c>
      <c r="S49" s="113">
        <f t="shared" si="68"/>
        <v>0</v>
      </c>
      <c r="T49" s="113">
        <f t="shared" si="68"/>
        <v>0</v>
      </c>
      <c r="U49" s="460">
        <f t="shared" si="68"/>
        <v>0</v>
      </c>
      <c r="V49" s="582">
        <f t="shared" si="68"/>
        <v>2</v>
      </c>
      <c r="W49" s="113">
        <f t="shared" si="68"/>
        <v>2</v>
      </c>
      <c r="X49" s="113">
        <f t="shared" si="68"/>
        <v>0</v>
      </c>
      <c r="Y49" s="113">
        <f t="shared" si="68"/>
        <v>0</v>
      </c>
      <c r="Z49" s="459">
        <f t="shared" si="68"/>
        <v>0</v>
      </c>
      <c r="AA49" s="461">
        <f t="shared" si="68"/>
        <v>3</v>
      </c>
      <c r="AB49" s="582">
        <f t="shared" si="68"/>
        <v>0</v>
      </c>
      <c r="AC49" s="113">
        <f t="shared" si="68"/>
        <v>0</v>
      </c>
      <c r="AD49" s="113">
        <f t="shared" si="68"/>
        <v>0</v>
      </c>
      <c r="AE49" s="113">
        <f t="shared" si="68"/>
        <v>0</v>
      </c>
      <c r="AF49" s="460">
        <f t="shared" si="68"/>
        <v>0</v>
      </c>
      <c r="AG49" s="582">
        <f t="shared" si="68"/>
        <v>3</v>
      </c>
      <c r="AH49" s="113">
        <f t="shared" si="68"/>
        <v>3</v>
      </c>
      <c r="AI49" s="113">
        <f t="shared" si="75"/>
        <v>0</v>
      </c>
      <c r="AJ49" s="113">
        <f t="shared" si="75"/>
        <v>0</v>
      </c>
      <c r="AK49" s="459">
        <f t="shared" si="75"/>
        <v>0</v>
      </c>
      <c r="AL49" s="461">
        <f t="shared" si="75"/>
        <v>13</v>
      </c>
      <c r="AM49" s="582">
        <f t="shared" si="75"/>
        <v>6</v>
      </c>
      <c r="AN49" s="113">
        <f t="shared" si="75"/>
        <v>6</v>
      </c>
      <c r="AO49" s="113">
        <f t="shared" si="75"/>
        <v>0</v>
      </c>
      <c r="AP49" s="113">
        <f t="shared" si="75"/>
        <v>0</v>
      </c>
      <c r="AQ49" s="460">
        <f t="shared" si="75"/>
        <v>0</v>
      </c>
      <c r="AR49" s="582">
        <f t="shared" si="75"/>
        <v>7</v>
      </c>
      <c r="AS49" s="113">
        <f t="shared" si="75"/>
        <v>6</v>
      </c>
      <c r="AT49" s="113">
        <f t="shared" si="75"/>
        <v>0</v>
      </c>
      <c r="AU49" s="113">
        <f t="shared" si="75"/>
        <v>0</v>
      </c>
      <c r="AV49" s="459">
        <f t="shared" si="75"/>
        <v>1</v>
      </c>
      <c r="AW49" s="461">
        <f t="shared" si="75"/>
        <v>12</v>
      </c>
      <c r="AX49" s="582">
        <f t="shared" si="75"/>
        <v>5</v>
      </c>
      <c r="AY49" s="113">
        <f t="shared" si="75"/>
        <v>4</v>
      </c>
      <c r="AZ49" s="113">
        <f t="shared" si="75"/>
        <v>0</v>
      </c>
      <c r="BA49" s="113">
        <f t="shared" si="75"/>
        <v>1</v>
      </c>
      <c r="BB49" s="460">
        <f t="shared" si="75"/>
        <v>0</v>
      </c>
      <c r="BC49" s="582">
        <f t="shared" si="75"/>
        <v>7</v>
      </c>
      <c r="BD49" s="113">
        <f t="shared" si="75"/>
        <v>6</v>
      </c>
      <c r="BE49" s="113">
        <f t="shared" si="75"/>
        <v>0</v>
      </c>
      <c r="BF49" s="113">
        <f t="shared" si="75"/>
        <v>1</v>
      </c>
      <c r="BG49" s="459">
        <f t="shared" si="75"/>
        <v>0</v>
      </c>
      <c r="BH49" s="461">
        <f t="shared" si="75"/>
        <v>18</v>
      </c>
      <c r="BI49" s="582">
        <f t="shared" si="75"/>
        <v>4</v>
      </c>
      <c r="BJ49" s="113">
        <f t="shared" si="75"/>
        <v>4</v>
      </c>
      <c r="BK49" s="113">
        <f t="shared" si="75"/>
        <v>0</v>
      </c>
      <c r="BL49" s="113">
        <f t="shared" si="75"/>
        <v>0</v>
      </c>
      <c r="BM49" s="460">
        <f t="shared" si="75"/>
        <v>0</v>
      </c>
      <c r="BN49" s="582">
        <f t="shared" si="75"/>
        <v>14</v>
      </c>
      <c r="BO49" s="113">
        <f t="shared" si="75"/>
        <v>11</v>
      </c>
      <c r="BP49" s="113">
        <f t="shared" si="75"/>
        <v>0</v>
      </c>
      <c r="BQ49" s="113">
        <f t="shared" si="75"/>
        <v>0</v>
      </c>
      <c r="BR49" s="459">
        <f t="shared" si="75"/>
        <v>3</v>
      </c>
      <c r="BS49" s="461">
        <f t="shared" si="75"/>
        <v>27</v>
      </c>
      <c r="BT49" s="582">
        <f t="shared" si="75"/>
        <v>16</v>
      </c>
      <c r="BU49" s="113">
        <f t="shared" si="75"/>
        <v>15</v>
      </c>
      <c r="BV49" s="113">
        <f t="shared" si="75"/>
        <v>0</v>
      </c>
      <c r="BW49" s="113">
        <f t="shared" si="75"/>
        <v>1</v>
      </c>
      <c r="BX49" s="460">
        <f t="shared" si="75"/>
        <v>0</v>
      </c>
      <c r="BY49" s="582">
        <f t="shared" si="75"/>
        <v>11</v>
      </c>
      <c r="BZ49" s="113">
        <f t="shared" si="75"/>
        <v>9</v>
      </c>
      <c r="CA49" s="113">
        <f t="shared" si="75"/>
        <v>0</v>
      </c>
      <c r="CB49" s="113">
        <f t="shared" si="75"/>
        <v>0</v>
      </c>
      <c r="CC49" s="459">
        <f t="shared" si="75"/>
        <v>2</v>
      </c>
      <c r="CD49" s="461">
        <f t="shared" si="75"/>
        <v>11</v>
      </c>
      <c r="CE49" s="582">
        <f t="shared" si="75"/>
        <v>5</v>
      </c>
      <c r="CF49" s="113">
        <f t="shared" si="75"/>
        <v>4</v>
      </c>
      <c r="CG49" s="113">
        <f t="shared" si="75"/>
        <v>0</v>
      </c>
      <c r="CH49" s="113">
        <f t="shared" si="75"/>
        <v>1</v>
      </c>
      <c r="CI49" s="460">
        <f t="shared" si="75"/>
        <v>0</v>
      </c>
      <c r="CJ49" s="582">
        <f t="shared" si="75"/>
        <v>6</v>
      </c>
      <c r="CK49" s="113">
        <f t="shared" si="75"/>
        <v>4</v>
      </c>
      <c r="CL49" s="113">
        <f t="shared" si="75"/>
        <v>0</v>
      </c>
      <c r="CM49" s="113">
        <f t="shared" si="75"/>
        <v>1</v>
      </c>
      <c r="CN49" s="459">
        <f t="shared" si="75"/>
        <v>1</v>
      </c>
      <c r="CO49" s="461">
        <f t="shared" si="75"/>
        <v>3</v>
      </c>
      <c r="CP49" s="582">
        <f t="shared" si="75"/>
        <v>2</v>
      </c>
      <c r="CQ49" s="113">
        <f t="shared" si="75"/>
        <v>2</v>
      </c>
      <c r="CR49" s="113">
        <f t="shared" si="75"/>
        <v>0</v>
      </c>
      <c r="CS49" s="113">
        <f t="shared" si="75"/>
        <v>0</v>
      </c>
      <c r="CT49" s="460">
        <f t="shared" si="75"/>
        <v>0</v>
      </c>
      <c r="CU49" s="582">
        <f t="shared" si="74"/>
        <v>1</v>
      </c>
      <c r="CV49" s="113">
        <f t="shared" si="74"/>
        <v>1</v>
      </c>
      <c r="CW49" s="113">
        <f t="shared" si="74"/>
        <v>0</v>
      </c>
      <c r="CX49" s="113">
        <f t="shared" si="74"/>
        <v>0</v>
      </c>
      <c r="CY49" s="459">
        <f t="shared" si="74"/>
        <v>0</v>
      </c>
      <c r="CZ49" s="461">
        <f t="shared" si="74"/>
        <v>1</v>
      </c>
      <c r="DA49" s="582">
        <f t="shared" si="74"/>
        <v>1</v>
      </c>
      <c r="DB49" s="113">
        <f t="shared" si="74"/>
        <v>0</v>
      </c>
      <c r="DC49" s="113">
        <f t="shared" si="74"/>
        <v>0</v>
      </c>
      <c r="DD49" s="113">
        <f t="shared" si="74"/>
        <v>1</v>
      </c>
      <c r="DE49" s="460">
        <f t="shared" si="74"/>
        <v>0</v>
      </c>
      <c r="DF49" s="582">
        <f t="shared" si="74"/>
        <v>0</v>
      </c>
      <c r="DG49" s="113">
        <f t="shared" si="74"/>
        <v>0</v>
      </c>
      <c r="DH49" s="113">
        <f t="shared" si="74"/>
        <v>0</v>
      </c>
      <c r="DI49" s="113">
        <f t="shared" si="74"/>
        <v>0</v>
      </c>
      <c r="DJ49" s="459">
        <f t="shared" si="74"/>
        <v>0</v>
      </c>
      <c r="DK49" s="461">
        <f t="shared" si="74"/>
        <v>0</v>
      </c>
      <c r="DL49" s="582">
        <f t="shared" si="74"/>
        <v>0</v>
      </c>
      <c r="DM49" s="113">
        <f t="shared" si="74"/>
        <v>0</v>
      </c>
      <c r="DN49" s="113">
        <f t="shared" si="74"/>
        <v>0</v>
      </c>
      <c r="DO49" s="113">
        <f t="shared" si="74"/>
        <v>0</v>
      </c>
      <c r="DP49" s="460">
        <f t="shared" si="74"/>
        <v>0</v>
      </c>
      <c r="DQ49" s="582">
        <f t="shared" si="74"/>
        <v>0</v>
      </c>
      <c r="DR49" s="113">
        <f t="shared" si="74"/>
        <v>0</v>
      </c>
      <c r="DS49" s="113">
        <f t="shared" si="74"/>
        <v>0</v>
      </c>
      <c r="DT49" s="113">
        <f t="shared" si="74"/>
        <v>0</v>
      </c>
      <c r="DU49" s="459">
        <f t="shared" si="70"/>
        <v>0</v>
      </c>
      <c r="DW49" s="461">
        <f t="shared" si="4"/>
        <v>78</v>
      </c>
      <c r="DX49" s="582">
        <f t="shared" si="4"/>
        <v>34</v>
      </c>
      <c r="DY49" s="113">
        <f t="shared" si="4"/>
        <v>30</v>
      </c>
      <c r="DZ49" s="113">
        <f t="shared" si="4"/>
        <v>0</v>
      </c>
      <c r="EA49" s="113">
        <f t="shared" si="4"/>
        <v>4</v>
      </c>
      <c r="EB49" s="460">
        <f t="shared" si="4"/>
        <v>0</v>
      </c>
      <c r="EC49" s="582">
        <f t="shared" si="4"/>
        <v>44</v>
      </c>
      <c r="ED49" s="113">
        <f t="shared" si="4"/>
        <v>36</v>
      </c>
      <c r="EE49" s="113">
        <f t="shared" si="4"/>
        <v>0</v>
      </c>
      <c r="EF49" s="113">
        <f t="shared" ref="EF49:EG114" si="76">Y49+AJ49+BF49+BQ49+CB49+CM49+CX49+DI49+DT49</f>
        <v>2</v>
      </c>
      <c r="EG49" s="459">
        <f t="shared" si="76"/>
        <v>6</v>
      </c>
      <c r="EH49" s="461">
        <f t="shared" si="71"/>
        <v>13</v>
      </c>
      <c r="EI49" s="582">
        <f t="shared" si="71"/>
        <v>6</v>
      </c>
      <c r="EJ49" s="113">
        <f t="shared" si="71"/>
        <v>6</v>
      </c>
      <c r="EK49" s="113">
        <f t="shared" si="71"/>
        <v>0</v>
      </c>
      <c r="EL49" s="113">
        <f t="shared" si="71"/>
        <v>0</v>
      </c>
      <c r="EM49" s="460">
        <f t="shared" si="71"/>
        <v>0</v>
      </c>
      <c r="EN49" s="582">
        <f t="shared" si="71"/>
        <v>7</v>
      </c>
      <c r="EO49" s="113">
        <f t="shared" si="71"/>
        <v>6</v>
      </c>
      <c r="EP49" s="113">
        <f t="shared" si="71"/>
        <v>0</v>
      </c>
      <c r="EQ49" s="113">
        <f t="shared" si="71"/>
        <v>0</v>
      </c>
      <c r="ER49" s="459">
        <f t="shared" si="71"/>
        <v>1</v>
      </c>
    </row>
    <row r="50" spans="1:148">
      <c r="A50" s="466" t="s">
        <v>401</v>
      </c>
      <c r="B50" s="581">
        <v>42917</v>
      </c>
      <c r="C50" s="470">
        <v>2017</v>
      </c>
      <c r="D50" s="461">
        <f t="shared" si="72"/>
        <v>219632</v>
      </c>
      <c r="E50" s="461">
        <f t="shared" si="73"/>
        <v>2129</v>
      </c>
      <c r="F50" s="582">
        <f t="shared" si="68"/>
        <v>950</v>
      </c>
      <c r="G50" s="113">
        <f t="shared" si="68"/>
        <v>685</v>
      </c>
      <c r="H50" s="113">
        <f t="shared" si="68"/>
        <v>0</v>
      </c>
      <c r="I50" s="113">
        <f t="shared" si="68"/>
        <v>265</v>
      </c>
      <c r="J50" s="460">
        <f t="shared" si="68"/>
        <v>0</v>
      </c>
      <c r="K50" s="582">
        <f t="shared" si="68"/>
        <v>1179</v>
      </c>
      <c r="L50" s="113">
        <f t="shared" si="68"/>
        <v>984</v>
      </c>
      <c r="M50" s="113">
        <f t="shared" si="68"/>
        <v>0</v>
      </c>
      <c r="N50" s="113">
        <f t="shared" si="68"/>
        <v>98</v>
      </c>
      <c r="O50" s="459">
        <f t="shared" si="68"/>
        <v>97</v>
      </c>
      <c r="P50" s="461">
        <f t="shared" si="68"/>
        <v>3</v>
      </c>
      <c r="Q50" s="582">
        <f t="shared" si="68"/>
        <v>1</v>
      </c>
      <c r="R50" s="113">
        <f t="shared" si="68"/>
        <v>1</v>
      </c>
      <c r="S50" s="113">
        <f t="shared" si="68"/>
        <v>0</v>
      </c>
      <c r="T50" s="113">
        <f t="shared" si="68"/>
        <v>0</v>
      </c>
      <c r="U50" s="460">
        <f t="shared" si="68"/>
        <v>0</v>
      </c>
      <c r="V50" s="582">
        <f t="shared" si="68"/>
        <v>2</v>
      </c>
      <c r="W50" s="113">
        <f t="shared" si="68"/>
        <v>2</v>
      </c>
      <c r="X50" s="113">
        <f t="shared" si="68"/>
        <v>0</v>
      </c>
      <c r="Y50" s="113">
        <f t="shared" si="68"/>
        <v>0</v>
      </c>
      <c r="Z50" s="459">
        <f t="shared" si="68"/>
        <v>0</v>
      </c>
      <c r="AA50" s="461">
        <f t="shared" si="68"/>
        <v>4</v>
      </c>
      <c r="AB50" s="582">
        <f t="shared" si="68"/>
        <v>2</v>
      </c>
      <c r="AC50" s="113">
        <f t="shared" si="68"/>
        <v>2</v>
      </c>
      <c r="AD50" s="113">
        <f t="shared" si="68"/>
        <v>0</v>
      </c>
      <c r="AE50" s="113">
        <f t="shared" si="68"/>
        <v>0</v>
      </c>
      <c r="AF50" s="460">
        <f t="shared" si="68"/>
        <v>0</v>
      </c>
      <c r="AG50" s="582">
        <f t="shared" si="68"/>
        <v>2</v>
      </c>
      <c r="AH50" s="113">
        <f t="shared" si="68"/>
        <v>2</v>
      </c>
      <c r="AI50" s="113">
        <f t="shared" si="75"/>
        <v>0</v>
      </c>
      <c r="AJ50" s="113">
        <f t="shared" si="75"/>
        <v>0</v>
      </c>
      <c r="AK50" s="459">
        <f t="shared" si="75"/>
        <v>0</v>
      </c>
      <c r="AL50" s="461">
        <f t="shared" si="75"/>
        <v>20</v>
      </c>
      <c r="AM50" s="582">
        <f t="shared" si="75"/>
        <v>9</v>
      </c>
      <c r="AN50" s="113">
        <f t="shared" si="75"/>
        <v>5</v>
      </c>
      <c r="AO50" s="113">
        <f t="shared" si="75"/>
        <v>0</v>
      </c>
      <c r="AP50" s="113">
        <f t="shared" si="75"/>
        <v>4</v>
      </c>
      <c r="AQ50" s="460">
        <f t="shared" si="75"/>
        <v>0</v>
      </c>
      <c r="AR50" s="582">
        <f t="shared" si="75"/>
        <v>11</v>
      </c>
      <c r="AS50" s="113">
        <f t="shared" si="75"/>
        <v>9</v>
      </c>
      <c r="AT50" s="113">
        <f t="shared" si="75"/>
        <v>0</v>
      </c>
      <c r="AU50" s="113">
        <f t="shared" si="75"/>
        <v>1</v>
      </c>
      <c r="AV50" s="459">
        <f t="shared" si="75"/>
        <v>1</v>
      </c>
      <c r="AW50" s="461">
        <f t="shared" si="75"/>
        <v>8</v>
      </c>
      <c r="AX50" s="582">
        <f t="shared" si="75"/>
        <v>3</v>
      </c>
      <c r="AY50" s="113">
        <f t="shared" si="75"/>
        <v>2</v>
      </c>
      <c r="AZ50" s="113">
        <f t="shared" si="75"/>
        <v>0</v>
      </c>
      <c r="BA50" s="113">
        <f t="shared" si="75"/>
        <v>1</v>
      </c>
      <c r="BB50" s="460">
        <f t="shared" si="75"/>
        <v>0</v>
      </c>
      <c r="BC50" s="582">
        <f t="shared" si="75"/>
        <v>5</v>
      </c>
      <c r="BD50" s="113">
        <f t="shared" si="75"/>
        <v>4</v>
      </c>
      <c r="BE50" s="113">
        <f t="shared" si="75"/>
        <v>0</v>
      </c>
      <c r="BF50" s="113">
        <f t="shared" si="75"/>
        <v>0</v>
      </c>
      <c r="BG50" s="459">
        <f t="shared" si="75"/>
        <v>1</v>
      </c>
      <c r="BH50" s="461">
        <f t="shared" si="75"/>
        <v>12</v>
      </c>
      <c r="BI50" s="582">
        <f t="shared" si="75"/>
        <v>9</v>
      </c>
      <c r="BJ50" s="113">
        <f t="shared" si="75"/>
        <v>9</v>
      </c>
      <c r="BK50" s="113">
        <f t="shared" si="75"/>
        <v>0</v>
      </c>
      <c r="BL50" s="113">
        <f t="shared" si="75"/>
        <v>0</v>
      </c>
      <c r="BM50" s="460">
        <f t="shared" si="75"/>
        <v>0</v>
      </c>
      <c r="BN50" s="582">
        <f t="shared" si="75"/>
        <v>3</v>
      </c>
      <c r="BO50" s="113">
        <f t="shared" si="75"/>
        <v>3</v>
      </c>
      <c r="BP50" s="113">
        <f t="shared" si="75"/>
        <v>0</v>
      </c>
      <c r="BQ50" s="113">
        <f t="shared" si="75"/>
        <v>0</v>
      </c>
      <c r="BR50" s="459">
        <f t="shared" si="75"/>
        <v>0</v>
      </c>
      <c r="BS50" s="461">
        <f t="shared" si="75"/>
        <v>16</v>
      </c>
      <c r="BT50" s="582">
        <f t="shared" si="75"/>
        <v>8</v>
      </c>
      <c r="BU50" s="113">
        <f t="shared" si="75"/>
        <v>7</v>
      </c>
      <c r="BV50" s="113">
        <f t="shared" si="75"/>
        <v>0</v>
      </c>
      <c r="BW50" s="113">
        <f t="shared" si="75"/>
        <v>1</v>
      </c>
      <c r="BX50" s="460">
        <f t="shared" si="75"/>
        <v>0</v>
      </c>
      <c r="BY50" s="582">
        <f t="shared" si="75"/>
        <v>8</v>
      </c>
      <c r="BZ50" s="113">
        <f t="shared" si="75"/>
        <v>7</v>
      </c>
      <c r="CA50" s="113">
        <f t="shared" si="75"/>
        <v>0</v>
      </c>
      <c r="CB50" s="113">
        <f t="shared" si="75"/>
        <v>1</v>
      </c>
      <c r="CC50" s="459">
        <f t="shared" si="75"/>
        <v>0</v>
      </c>
      <c r="CD50" s="461">
        <f t="shared" si="75"/>
        <v>7</v>
      </c>
      <c r="CE50" s="582">
        <f t="shared" si="75"/>
        <v>4</v>
      </c>
      <c r="CF50" s="113">
        <f t="shared" si="75"/>
        <v>2</v>
      </c>
      <c r="CG50" s="113">
        <f t="shared" si="75"/>
        <v>0</v>
      </c>
      <c r="CH50" s="113">
        <f t="shared" si="75"/>
        <v>2</v>
      </c>
      <c r="CI50" s="460">
        <f t="shared" si="75"/>
        <v>0</v>
      </c>
      <c r="CJ50" s="582">
        <f t="shared" si="75"/>
        <v>3</v>
      </c>
      <c r="CK50" s="113">
        <f t="shared" si="75"/>
        <v>3</v>
      </c>
      <c r="CL50" s="113">
        <f t="shared" si="75"/>
        <v>0</v>
      </c>
      <c r="CM50" s="113">
        <f t="shared" si="75"/>
        <v>0</v>
      </c>
      <c r="CN50" s="459">
        <f t="shared" si="75"/>
        <v>0</v>
      </c>
      <c r="CO50" s="461">
        <f t="shared" si="75"/>
        <v>2</v>
      </c>
      <c r="CP50" s="582">
        <f t="shared" si="75"/>
        <v>1</v>
      </c>
      <c r="CQ50" s="113">
        <f t="shared" si="75"/>
        <v>1</v>
      </c>
      <c r="CR50" s="113">
        <f t="shared" si="75"/>
        <v>0</v>
      </c>
      <c r="CS50" s="113">
        <f t="shared" si="75"/>
        <v>0</v>
      </c>
      <c r="CT50" s="460">
        <f t="shared" si="75"/>
        <v>0</v>
      </c>
      <c r="CU50" s="582">
        <f t="shared" si="74"/>
        <v>1</v>
      </c>
      <c r="CV50" s="113">
        <f t="shared" si="74"/>
        <v>1</v>
      </c>
      <c r="CW50" s="113">
        <f t="shared" si="74"/>
        <v>0</v>
      </c>
      <c r="CX50" s="113">
        <f t="shared" si="74"/>
        <v>0</v>
      </c>
      <c r="CY50" s="459">
        <f t="shared" si="74"/>
        <v>0</v>
      </c>
      <c r="CZ50" s="461">
        <f t="shared" si="74"/>
        <v>0</v>
      </c>
      <c r="DA50" s="582">
        <f t="shared" si="74"/>
        <v>0</v>
      </c>
      <c r="DB50" s="113">
        <f t="shared" si="74"/>
        <v>0</v>
      </c>
      <c r="DC50" s="113">
        <f t="shared" si="74"/>
        <v>0</v>
      </c>
      <c r="DD50" s="113">
        <f t="shared" si="74"/>
        <v>0</v>
      </c>
      <c r="DE50" s="460">
        <f t="shared" si="74"/>
        <v>0</v>
      </c>
      <c r="DF50" s="582">
        <f t="shared" si="74"/>
        <v>0</v>
      </c>
      <c r="DG50" s="113">
        <f t="shared" si="74"/>
        <v>0</v>
      </c>
      <c r="DH50" s="113">
        <f t="shared" si="74"/>
        <v>0</v>
      </c>
      <c r="DI50" s="113">
        <f t="shared" si="74"/>
        <v>0</v>
      </c>
      <c r="DJ50" s="459">
        <f t="shared" si="74"/>
        <v>0</v>
      </c>
      <c r="DK50" s="461">
        <f t="shared" si="74"/>
        <v>0</v>
      </c>
      <c r="DL50" s="582">
        <f t="shared" si="74"/>
        <v>0</v>
      </c>
      <c r="DM50" s="113">
        <f t="shared" si="74"/>
        <v>0</v>
      </c>
      <c r="DN50" s="113">
        <f t="shared" si="74"/>
        <v>0</v>
      </c>
      <c r="DO50" s="113">
        <f t="shared" si="74"/>
        <v>0</v>
      </c>
      <c r="DP50" s="460">
        <f t="shared" si="74"/>
        <v>0</v>
      </c>
      <c r="DQ50" s="582">
        <f t="shared" si="74"/>
        <v>0</v>
      </c>
      <c r="DR50" s="113">
        <f t="shared" si="74"/>
        <v>0</v>
      </c>
      <c r="DS50" s="113">
        <f t="shared" si="74"/>
        <v>0</v>
      </c>
      <c r="DT50" s="113">
        <f t="shared" si="74"/>
        <v>0</v>
      </c>
      <c r="DU50" s="459">
        <f t="shared" si="70"/>
        <v>0</v>
      </c>
      <c r="DW50" s="461">
        <f t="shared" ref="DW50:EE78" si="77">P50+AA50+AW50+BH50+BS50+CD50+CO50+CZ50+DK50</f>
        <v>52</v>
      </c>
      <c r="DX50" s="582">
        <f t="shared" si="77"/>
        <v>28</v>
      </c>
      <c r="DY50" s="113">
        <f t="shared" si="77"/>
        <v>24</v>
      </c>
      <c r="DZ50" s="113">
        <f t="shared" si="77"/>
        <v>0</v>
      </c>
      <c r="EA50" s="113">
        <f t="shared" si="77"/>
        <v>4</v>
      </c>
      <c r="EB50" s="460">
        <f t="shared" si="77"/>
        <v>0</v>
      </c>
      <c r="EC50" s="582">
        <f t="shared" si="77"/>
        <v>24</v>
      </c>
      <c r="ED50" s="113">
        <f t="shared" si="77"/>
        <v>22</v>
      </c>
      <c r="EE50" s="113">
        <f t="shared" si="77"/>
        <v>0</v>
      </c>
      <c r="EF50" s="113">
        <f t="shared" si="76"/>
        <v>1</v>
      </c>
      <c r="EG50" s="459">
        <f t="shared" si="76"/>
        <v>1</v>
      </c>
      <c r="EH50" s="461">
        <f t="shared" si="71"/>
        <v>20</v>
      </c>
      <c r="EI50" s="582">
        <f t="shared" si="71"/>
        <v>9</v>
      </c>
      <c r="EJ50" s="113">
        <f t="shared" si="71"/>
        <v>5</v>
      </c>
      <c r="EK50" s="113">
        <f t="shared" si="71"/>
        <v>0</v>
      </c>
      <c r="EL50" s="113">
        <f t="shared" si="71"/>
        <v>4</v>
      </c>
      <c r="EM50" s="460">
        <f t="shared" si="71"/>
        <v>0</v>
      </c>
      <c r="EN50" s="582">
        <f t="shared" si="71"/>
        <v>11</v>
      </c>
      <c r="EO50" s="113">
        <f t="shared" si="71"/>
        <v>9</v>
      </c>
      <c r="EP50" s="113">
        <f t="shared" si="71"/>
        <v>0</v>
      </c>
      <c r="EQ50" s="113">
        <f t="shared" si="71"/>
        <v>1</v>
      </c>
      <c r="ER50" s="459">
        <f t="shared" si="71"/>
        <v>1</v>
      </c>
    </row>
    <row r="51" spans="1:148">
      <c r="A51" s="466" t="s">
        <v>401</v>
      </c>
      <c r="B51" s="581">
        <v>42948</v>
      </c>
      <c r="C51" s="470">
        <v>2017</v>
      </c>
      <c r="D51" s="461">
        <f t="shared" si="72"/>
        <v>219632</v>
      </c>
      <c r="E51" s="461">
        <f t="shared" si="73"/>
        <v>2129</v>
      </c>
      <c r="F51" s="582">
        <f t="shared" si="68"/>
        <v>950</v>
      </c>
      <c r="G51" s="113">
        <f t="shared" si="68"/>
        <v>685</v>
      </c>
      <c r="H51" s="113">
        <f t="shared" si="68"/>
        <v>0</v>
      </c>
      <c r="I51" s="113">
        <f t="shared" si="68"/>
        <v>265</v>
      </c>
      <c r="J51" s="460">
        <f t="shared" si="68"/>
        <v>0</v>
      </c>
      <c r="K51" s="582">
        <f t="shared" si="68"/>
        <v>1179</v>
      </c>
      <c r="L51" s="113">
        <f t="shared" si="68"/>
        <v>984</v>
      </c>
      <c r="M51" s="113">
        <f t="shared" si="68"/>
        <v>0</v>
      </c>
      <c r="N51" s="113">
        <f t="shared" si="68"/>
        <v>98</v>
      </c>
      <c r="O51" s="459">
        <f t="shared" si="68"/>
        <v>97</v>
      </c>
      <c r="P51" s="461">
        <f t="shared" si="68"/>
        <v>3</v>
      </c>
      <c r="Q51" s="582">
        <f t="shared" si="68"/>
        <v>1</v>
      </c>
      <c r="R51" s="113">
        <f t="shared" si="68"/>
        <v>1</v>
      </c>
      <c r="S51" s="113">
        <f t="shared" si="68"/>
        <v>0</v>
      </c>
      <c r="T51" s="113">
        <f t="shared" si="68"/>
        <v>0</v>
      </c>
      <c r="U51" s="460">
        <f t="shared" si="68"/>
        <v>0</v>
      </c>
      <c r="V51" s="582">
        <f t="shared" si="68"/>
        <v>2</v>
      </c>
      <c r="W51" s="113">
        <f t="shared" si="68"/>
        <v>2</v>
      </c>
      <c r="X51" s="113">
        <f t="shared" si="68"/>
        <v>0</v>
      </c>
      <c r="Y51" s="113">
        <f t="shared" si="68"/>
        <v>0</v>
      </c>
      <c r="Z51" s="459">
        <f t="shared" si="68"/>
        <v>0</v>
      </c>
      <c r="AA51" s="461">
        <f t="shared" si="68"/>
        <v>4</v>
      </c>
      <c r="AB51" s="582">
        <f t="shared" si="68"/>
        <v>2</v>
      </c>
      <c r="AC51" s="113">
        <f t="shared" si="68"/>
        <v>2</v>
      </c>
      <c r="AD51" s="113">
        <f t="shared" si="68"/>
        <v>0</v>
      </c>
      <c r="AE51" s="113">
        <f t="shared" si="68"/>
        <v>0</v>
      </c>
      <c r="AF51" s="460">
        <f t="shared" si="68"/>
        <v>0</v>
      </c>
      <c r="AG51" s="582">
        <f t="shared" si="68"/>
        <v>2</v>
      </c>
      <c r="AH51" s="113">
        <f t="shared" si="68"/>
        <v>2</v>
      </c>
      <c r="AI51" s="113">
        <f t="shared" si="75"/>
        <v>0</v>
      </c>
      <c r="AJ51" s="113">
        <f t="shared" si="75"/>
        <v>0</v>
      </c>
      <c r="AK51" s="459">
        <f t="shared" si="75"/>
        <v>0</v>
      </c>
      <c r="AL51" s="461">
        <f t="shared" si="75"/>
        <v>20</v>
      </c>
      <c r="AM51" s="582">
        <f t="shared" si="75"/>
        <v>9</v>
      </c>
      <c r="AN51" s="113">
        <f t="shared" si="75"/>
        <v>5</v>
      </c>
      <c r="AO51" s="113">
        <f t="shared" si="75"/>
        <v>0</v>
      </c>
      <c r="AP51" s="113">
        <f t="shared" si="75"/>
        <v>4</v>
      </c>
      <c r="AQ51" s="460">
        <f t="shared" si="75"/>
        <v>0</v>
      </c>
      <c r="AR51" s="582">
        <f t="shared" si="75"/>
        <v>11</v>
      </c>
      <c r="AS51" s="113">
        <f t="shared" si="75"/>
        <v>9</v>
      </c>
      <c r="AT51" s="113">
        <f t="shared" si="75"/>
        <v>0</v>
      </c>
      <c r="AU51" s="113">
        <f t="shared" si="75"/>
        <v>1</v>
      </c>
      <c r="AV51" s="459">
        <f t="shared" si="75"/>
        <v>1</v>
      </c>
      <c r="AW51" s="461">
        <f t="shared" si="75"/>
        <v>8</v>
      </c>
      <c r="AX51" s="582">
        <f t="shared" si="75"/>
        <v>3</v>
      </c>
      <c r="AY51" s="113">
        <f t="shared" si="75"/>
        <v>2</v>
      </c>
      <c r="AZ51" s="113">
        <f t="shared" si="75"/>
        <v>0</v>
      </c>
      <c r="BA51" s="113">
        <f t="shared" si="75"/>
        <v>1</v>
      </c>
      <c r="BB51" s="460">
        <f t="shared" si="75"/>
        <v>0</v>
      </c>
      <c r="BC51" s="582">
        <f t="shared" si="75"/>
        <v>5</v>
      </c>
      <c r="BD51" s="113">
        <f t="shared" si="75"/>
        <v>4</v>
      </c>
      <c r="BE51" s="113">
        <f t="shared" si="75"/>
        <v>0</v>
      </c>
      <c r="BF51" s="113">
        <f t="shared" si="75"/>
        <v>0</v>
      </c>
      <c r="BG51" s="459">
        <f t="shared" si="75"/>
        <v>1</v>
      </c>
      <c r="BH51" s="461">
        <f t="shared" si="75"/>
        <v>12</v>
      </c>
      <c r="BI51" s="582">
        <f t="shared" si="75"/>
        <v>9</v>
      </c>
      <c r="BJ51" s="113">
        <f t="shared" si="75"/>
        <v>9</v>
      </c>
      <c r="BK51" s="113">
        <f t="shared" si="75"/>
        <v>0</v>
      </c>
      <c r="BL51" s="113">
        <f t="shared" si="75"/>
        <v>0</v>
      </c>
      <c r="BM51" s="460">
        <f t="shared" si="75"/>
        <v>0</v>
      </c>
      <c r="BN51" s="582">
        <f t="shared" si="75"/>
        <v>3</v>
      </c>
      <c r="BO51" s="113">
        <f t="shared" si="75"/>
        <v>3</v>
      </c>
      <c r="BP51" s="113">
        <f t="shared" si="75"/>
        <v>0</v>
      </c>
      <c r="BQ51" s="113">
        <f t="shared" si="75"/>
        <v>0</v>
      </c>
      <c r="BR51" s="459">
        <f t="shared" si="75"/>
        <v>0</v>
      </c>
      <c r="BS51" s="461">
        <f t="shared" si="75"/>
        <v>16</v>
      </c>
      <c r="BT51" s="582">
        <f t="shared" si="75"/>
        <v>8</v>
      </c>
      <c r="BU51" s="113">
        <f t="shared" si="75"/>
        <v>7</v>
      </c>
      <c r="BV51" s="113">
        <f t="shared" si="75"/>
        <v>0</v>
      </c>
      <c r="BW51" s="113">
        <f t="shared" si="75"/>
        <v>1</v>
      </c>
      <c r="BX51" s="460">
        <f t="shared" si="75"/>
        <v>0</v>
      </c>
      <c r="BY51" s="582">
        <f t="shared" si="75"/>
        <v>8</v>
      </c>
      <c r="BZ51" s="113">
        <f t="shared" si="75"/>
        <v>7</v>
      </c>
      <c r="CA51" s="113">
        <f t="shared" si="75"/>
        <v>0</v>
      </c>
      <c r="CB51" s="113">
        <f t="shared" si="75"/>
        <v>1</v>
      </c>
      <c r="CC51" s="459">
        <f t="shared" si="75"/>
        <v>0</v>
      </c>
      <c r="CD51" s="461">
        <f t="shared" si="75"/>
        <v>7</v>
      </c>
      <c r="CE51" s="582">
        <f t="shared" si="75"/>
        <v>4</v>
      </c>
      <c r="CF51" s="113">
        <f t="shared" si="75"/>
        <v>2</v>
      </c>
      <c r="CG51" s="113">
        <f t="shared" si="75"/>
        <v>0</v>
      </c>
      <c r="CH51" s="113">
        <f t="shared" si="75"/>
        <v>2</v>
      </c>
      <c r="CI51" s="460">
        <f t="shared" si="75"/>
        <v>0</v>
      </c>
      <c r="CJ51" s="582">
        <f t="shared" si="75"/>
        <v>3</v>
      </c>
      <c r="CK51" s="113">
        <f t="shared" si="75"/>
        <v>3</v>
      </c>
      <c r="CL51" s="113">
        <f t="shared" si="75"/>
        <v>0</v>
      </c>
      <c r="CM51" s="113">
        <f t="shared" si="75"/>
        <v>0</v>
      </c>
      <c r="CN51" s="459">
        <f t="shared" si="75"/>
        <v>0</v>
      </c>
      <c r="CO51" s="461">
        <f t="shared" si="75"/>
        <v>2</v>
      </c>
      <c r="CP51" s="582">
        <f t="shared" si="75"/>
        <v>1</v>
      </c>
      <c r="CQ51" s="113">
        <f t="shared" si="75"/>
        <v>1</v>
      </c>
      <c r="CR51" s="113">
        <f t="shared" si="75"/>
        <v>0</v>
      </c>
      <c r="CS51" s="113">
        <f t="shared" si="75"/>
        <v>0</v>
      </c>
      <c r="CT51" s="460">
        <f t="shared" ref="CT51:DT54" si="78">SUMIFS(CT$5:CT$36,$B$5:$B$36,$A51)</f>
        <v>0</v>
      </c>
      <c r="CU51" s="582">
        <f t="shared" si="78"/>
        <v>1</v>
      </c>
      <c r="CV51" s="113">
        <f t="shared" si="78"/>
        <v>1</v>
      </c>
      <c r="CW51" s="113">
        <f t="shared" si="78"/>
        <v>0</v>
      </c>
      <c r="CX51" s="113">
        <f t="shared" si="78"/>
        <v>0</v>
      </c>
      <c r="CY51" s="459">
        <f t="shared" si="78"/>
        <v>0</v>
      </c>
      <c r="CZ51" s="461">
        <f t="shared" si="78"/>
        <v>0</v>
      </c>
      <c r="DA51" s="582">
        <f t="shared" si="78"/>
        <v>0</v>
      </c>
      <c r="DB51" s="113">
        <f t="shared" si="78"/>
        <v>0</v>
      </c>
      <c r="DC51" s="113">
        <f t="shared" si="78"/>
        <v>0</v>
      </c>
      <c r="DD51" s="113">
        <f t="shared" si="78"/>
        <v>0</v>
      </c>
      <c r="DE51" s="460">
        <f t="shared" si="78"/>
        <v>0</v>
      </c>
      <c r="DF51" s="582">
        <f t="shared" si="78"/>
        <v>0</v>
      </c>
      <c r="DG51" s="113">
        <f t="shared" si="78"/>
        <v>0</v>
      </c>
      <c r="DH51" s="113">
        <f t="shared" si="78"/>
        <v>0</v>
      </c>
      <c r="DI51" s="113">
        <f t="shared" si="78"/>
        <v>0</v>
      </c>
      <c r="DJ51" s="459">
        <f t="shared" si="78"/>
        <v>0</v>
      </c>
      <c r="DK51" s="461">
        <f t="shared" si="78"/>
        <v>0</v>
      </c>
      <c r="DL51" s="582">
        <f t="shared" si="78"/>
        <v>0</v>
      </c>
      <c r="DM51" s="113">
        <f t="shared" si="78"/>
        <v>0</v>
      </c>
      <c r="DN51" s="113">
        <f t="shared" si="78"/>
        <v>0</v>
      </c>
      <c r="DO51" s="113">
        <f t="shared" si="78"/>
        <v>0</v>
      </c>
      <c r="DP51" s="460">
        <f t="shared" si="78"/>
        <v>0</v>
      </c>
      <c r="DQ51" s="582">
        <f t="shared" si="78"/>
        <v>0</v>
      </c>
      <c r="DR51" s="113">
        <f t="shared" si="78"/>
        <v>0</v>
      </c>
      <c r="DS51" s="113">
        <f t="shared" si="78"/>
        <v>0</v>
      </c>
      <c r="DT51" s="113">
        <f t="shared" si="78"/>
        <v>0</v>
      </c>
      <c r="DU51" s="459">
        <f t="shared" si="70"/>
        <v>0</v>
      </c>
      <c r="DW51" s="461">
        <f t="shared" si="77"/>
        <v>52</v>
      </c>
      <c r="DX51" s="582">
        <f t="shared" si="77"/>
        <v>28</v>
      </c>
      <c r="DY51" s="113">
        <f t="shared" si="77"/>
        <v>24</v>
      </c>
      <c r="DZ51" s="113">
        <f t="shared" si="77"/>
        <v>0</v>
      </c>
      <c r="EA51" s="113">
        <f t="shared" si="77"/>
        <v>4</v>
      </c>
      <c r="EB51" s="460">
        <f t="shared" si="77"/>
        <v>0</v>
      </c>
      <c r="EC51" s="582">
        <f t="shared" si="77"/>
        <v>24</v>
      </c>
      <c r="ED51" s="113">
        <f t="shared" si="77"/>
        <v>22</v>
      </c>
      <c r="EE51" s="113">
        <f t="shared" si="77"/>
        <v>0</v>
      </c>
      <c r="EF51" s="113">
        <f t="shared" si="76"/>
        <v>1</v>
      </c>
      <c r="EG51" s="459">
        <f t="shared" si="76"/>
        <v>1</v>
      </c>
      <c r="EH51" s="461">
        <f t="shared" si="71"/>
        <v>20</v>
      </c>
      <c r="EI51" s="582">
        <f t="shared" si="71"/>
        <v>9</v>
      </c>
      <c r="EJ51" s="113">
        <f t="shared" si="71"/>
        <v>5</v>
      </c>
      <c r="EK51" s="113">
        <f t="shared" si="71"/>
        <v>0</v>
      </c>
      <c r="EL51" s="113">
        <f t="shared" si="71"/>
        <v>4</v>
      </c>
      <c r="EM51" s="460">
        <f t="shared" si="71"/>
        <v>0</v>
      </c>
      <c r="EN51" s="582">
        <f t="shared" si="71"/>
        <v>11</v>
      </c>
      <c r="EO51" s="113">
        <f t="shared" si="71"/>
        <v>9</v>
      </c>
      <c r="EP51" s="113">
        <f t="shared" si="71"/>
        <v>0</v>
      </c>
      <c r="EQ51" s="113">
        <f t="shared" si="71"/>
        <v>1</v>
      </c>
      <c r="ER51" s="459">
        <f t="shared" si="71"/>
        <v>1</v>
      </c>
    </row>
    <row r="52" spans="1:148">
      <c r="A52" s="466" t="s">
        <v>401</v>
      </c>
      <c r="B52" s="581">
        <v>42979</v>
      </c>
      <c r="C52" s="470">
        <v>2017</v>
      </c>
      <c r="D52" s="461">
        <f t="shared" si="72"/>
        <v>219632</v>
      </c>
      <c r="E52" s="461">
        <f t="shared" si="73"/>
        <v>2129</v>
      </c>
      <c r="F52" s="582">
        <f t="shared" si="68"/>
        <v>950</v>
      </c>
      <c r="G52" s="113">
        <f t="shared" si="68"/>
        <v>685</v>
      </c>
      <c r="H52" s="113">
        <f t="shared" si="68"/>
        <v>0</v>
      </c>
      <c r="I52" s="113">
        <f t="shared" si="68"/>
        <v>265</v>
      </c>
      <c r="J52" s="460">
        <f t="shared" si="68"/>
        <v>0</v>
      </c>
      <c r="K52" s="582">
        <f t="shared" si="68"/>
        <v>1179</v>
      </c>
      <c r="L52" s="113">
        <f t="shared" si="68"/>
        <v>984</v>
      </c>
      <c r="M52" s="113">
        <f t="shared" si="68"/>
        <v>0</v>
      </c>
      <c r="N52" s="113">
        <f t="shared" si="68"/>
        <v>98</v>
      </c>
      <c r="O52" s="459">
        <f t="shared" si="68"/>
        <v>97</v>
      </c>
      <c r="P52" s="461">
        <f t="shared" si="68"/>
        <v>3</v>
      </c>
      <c r="Q52" s="582">
        <f t="shared" si="68"/>
        <v>1</v>
      </c>
      <c r="R52" s="113">
        <f t="shared" si="68"/>
        <v>1</v>
      </c>
      <c r="S52" s="113">
        <f t="shared" si="68"/>
        <v>0</v>
      </c>
      <c r="T52" s="113">
        <f t="shared" si="68"/>
        <v>0</v>
      </c>
      <c r="U52" s="460">
        <f t="shared" si="68"/>
        <v>0</v>
      </c>
      <c r="V52" s="582">
        <f t="shared" si="68"/>
        <v>2</v>
      </c>
      <c r="W52" s="113">
        <f t="shared" si="68"/>
        <v>2</v>
      </c>
      <c r="X52" s="113">
        <f t="shared" si="68"/>
        <v>0</v>
      </c>
      <c r="Y52" s="113">
        <f t="shared" si="68"/>
        <v>0</v>
      </c>
      <c r="Z52" s="459">
        <f t="shared" si="68"/>
        <v>0</v>
      </c>
      <c r="AA52" s="461">
        <f t="shared" si="68"/>
        <v>4</v>
      </c>
      <c r="AB52" s="582">
        <f t="shared" si="68"/>
        <v>2</v>
      </c>
      <c r="AC52" s="113">
        <f t="shared" si="68"/>
        <v>2</v>
      </c>
      <c r="AD52" s="113">
        <f t="shared" si="68"/>
        <v>0</v>
      </c>
      <c r="AE52" s="113">
        <f t="shared" si="68"/>
        <v>0</v>
      </c>
      <c r="AF52" s="460">
        <f t="shared" si="68"/>
        <v>0</v>
      </c>
      <c r="AG52" s="582">
        <f t="shared" si="68"/>
        <v>2</v>
      </c>
      <c r="AH52" s="113">
        <f t="shared" si="68"/>
        <v>2</v>
      </c>
      <c r="AI52" s="113">
        <f t="shared" ref="AI52:CT55" si="79">SUMIFS(AI$5:AI$36,$B$5:$B$36,$A52)</f>
        <v>0</v>
      </c>
      <c r="AJ52" s="113">
        <f t="shared" si="79"/>
        <v>0</v>
      </c>
      <c r="AK52" s="459">
        <f t="shared" si="79"/>
        <v>0</v>
      </c>
      <c r="AL52" s="461">
        <f t="shared" si="79"/>
        <v>20</v>
      </c>
      <c r="AM52" s="582">
        <f t="shared" si="79"/>
        <v>9</v>
      </c>
      <c r="AN52" s="113">
        <f t="shared" si="79"/>
        <v>5</v>
      </c>
      <c r="AO52" s="113">
        <f t="shared" si="79"/>
        <v>0</v>
      </c>
      <c r="AP52" s="113">
        <f t="shared" si="79"/>
        <v>4</v>
      </c>
      <c r="AQ52" s="460">
        <f t="shared" si="79"/>
        <v>0</v>
      </c>
      <c r="AR52" s="582">
        <f t="shared" si="79"/>
        <v>11</v>
      </c>
      <c r="AS52" s="113">
        <f t="shared" si="79"/>
        <v>9</v>
      </c>
      <c r="AT52" s="113">
        <f t="shared" si="79"/>
        <v>0</v>
      </c>
      <c r="AU52" s="113">
        <f t="shared" si="79"/>
        <v>1</v>
      </c>
      <c r="AV52" s="459">
        <f t="shared" si="79"/>
        <v>1</v>
      </c>
      <c r="AW52" s="461">
        <f t="shared" si="79"/>
        <v>8</v>
      </c>
      <c r="AX52" s="582">
        <f t="shared" si="79"/>
        <v>3</v>
      </c>
      <c r="AY52" s="113">
        <f t="shared" si="79"/>
        <v>2</v>
      </c>
      <c r="AZ52" s="113">
        <f t="shared" si="79"/>
        <v>0</v>
      </c>
      <c r="BA52" s="113">
        <f t="shared" si="79"/>
        <v>1</v>
      </c>
      <c r="BB52" s="460">
        <f t="shared" si="79"/>
        <v>0</v>
      </c>
      <c r="BC52" s="582">
        <f t="shared" si="79"/>
        <v>5</v>
      </c>
      <c r="BD52" s="113">
        <f t="shared" si="79"/>
        <v>4</v>
      </c>
      <c r="BE52" s="113">
        <f t="shared" si="79"/>
        <v>0</v>
      </c>
      <c r="BF52" s="113">
        <f t="shared" si="79"/>
        <v>0</v>
      </c>
      <c r="BG52" s="459">
        <f t="shared" si="79"/>
        <v>1</v>
      </c>
      <c r="BH52" s="461">
        <f t="shared" si="79"/>
        <v>12</v>
      </c>
      <c r="BI52" s="582">
        <f t="shared" si="79"/>
        <v>9</v>
      </c>
      <c r="BJ52" s="113">
        <f t="shared" si="79"/>
        <v>9</v>
      </c>
      <c r="BK52" s="113">
        <f t="shared" si="79"/>
        <v>0</v>
      </c>
      <c r="BL52" s="113">
        <f t="shared" si="79"/>
        <v>0</v>
      </c>
      <c r="BM52" s="460">
        <f t="shared" si="79"/>
        <v>0</v>
      </c>
      <c r="BN52" s="582">
        <f t="shared" si="79"/>
        <v>3</v>
      </c>
      <c r="BO52" s="113">
        <f t="shared" si="79"/>
        <v>3</v>
      </c>
      <c r="BP52" s="113">
        <f t="shared" si="79"/>
        <v>0</v>
      </c>
      <c r="BQ52" s="113">
        <f t="shared" si="79"/>
        <v>0</v>
      </c>
      <c r="BR52" s="459">
        <f t="shared" si="79"/>
        <v>0</v>
      </c>
      <c r="BS52" s="461">
        <f t="shared" si="79"/>
        <v>16</v>
      </c>
      <c r="BT52" s="582">
        <f t="shared" si="79"/>
        <v>8</v>
      </c>
      <c r="BU52" s="113">
        <f t="shared" si="79"/>
        <v>7</v>
      </c>
      <c r="BV52" s="113">
        <f t="shared" si="79"/>
        <v>0</v>
      </c>
      <c r="BW52" s="113">
        <f t="shared" si="79"/>
        <v>1</v>
      </c>
      <c r="BX52" s="460">
        <f t="shared" si="79"/>
        <v>0</v>
      </c>
      <c r="BY52" s="582">
        <f t="shared" si="79"/>
        <v>8</v>
      </c>
      <c r="BZ52" s="113">
        <f t="shared" si="79"/>
        <v>7</v>
      </c>
      <c r="CA52" s="113">
        <f t="shared" si="79"/>
        <v>0</v>
      </c>
      <c r="CB52" s="113">
        <f t="shared" si="79"/>
        <v>1</v>
      </c>
      <c r="CC52" s="459">
        <f t="shared" si="79"/>
        <v>0</v>
      </c>
      <c r="CD52" s="461">
        <f t="shared" si="79"/>
        <v>7</v>
      </c>
      <c r="CE52" s="582">
        <f t="shared" si="79"/>
        <v>4</v>
      </c>
      <c r="CF52" s="113">
        <f t="shared" si="79"/>
        <v>2</v>
      </c>
      <c r="CG52" s="113">
        <f t="shared" si="79"/>
        <v>0</v>
      </c>
      <c r="CH52" s="113">
        <f t="shared" si="79"/>
        <v>2</v>
      </c>
      <c r="CI52" s="460">
        <f t="shared" si="79"/>
        <v>0</v>
      </c>
      <c r="CJ52" s="582">
        <f t="shared" si="79"/>
        <v>3</v>
      </c>
      <c r="CK52" s="113">
        <f t="shared" si="79"/>
        <v>3</v>
      </c>
      <c r="CL52" s="113">
        <f t="shared" si="79"/>
        <v>0</v>
      </c>
      <c r="CM52" s="113">
        <f t="shared" si="79"/>
        <v>0</v>
      </c>
      <c r="CN52" s="459">
        <f t="shared" si="79"/>
        <v>0</v>
      </c>
      <c r="CO52" s="461">
        <f t="shared" si="79"/>
        <v>2</v>
      </c>
      <c r="CP52" s="582">
        <f t="shared" si="79"/>
        <v>1</v>
      </c>
      <c r="CQ52" s="113">
        <f t="shared" si="79"/>
        <v>1</v>
      </c>
      <c r="CR52" s="113">
        <f t="shared" si="79"/>
        <v>0</v>
      </c>
      <c r="CS52" s="113">
        <f t="shared" si="79"/>
        <v>0</v>
      </c>
      <c r="CT52" s="460">
        <f t="shared" si="79"/>
        <v>0</v>
      </c>
      <c r="CU52" s="582">
        <f t="shared" si="78"/>
        <v>1</v>
      </c>
      <c r="CV52" s="113">
        <f t="shared" si="78"/>
        <v>1</v>
      </c>
      <c r="CW52" s="113">
        <f t="shared" si="78"/>
        <v>0</v>
      </c>
      <c r="CX52" s="113">
        <f t="shared" si="78"/>
        <v>0</v>
      </c>
      <c r="CY52" s="459">
        <f t="shared" si="78"/>
        <v>0</v>
      </c>
      <c r="CZ52" s="461">
        <f t="shared" si="78"/>
        <v>0</v>
      </c>
      <c r="DA52" s="582">
        <f t="shared" si="78"/>
        <v>0</v>
      </c>
      <c r="DB52" s="113">
        <f t="shared" si="78"/>
        <v>0</v>
      </c>
      <c r="DC52" s="113">
        <f t="shared" si="78"/>
        <v>0</v>
      </c>
      <c r="DD52" s="113">
        <f t="shared" si="78"/>
        <v>0</v>
      </c>
      <c r="DE52" s="460">
        <f t="shared" si="78"/>
        <v>0</v>
      </c>
      <c r="DF52" s="582">
        <f t="shared" si="78"/>
        <v>0</v>
      </c>
      <c r="DG52" s="113">
        <f t="shared" si="78"/>
        <v>0</v>
      </c>
      <c r="DH52" s="113">
        <f t="shared" si="78"/>
        <v>0</v>
      </c>
      <c r="DI52" s="113">
        <f t="shared" si="78"/>
        <v>0</v>
      </c>
      <c r="DJ52" s="459">
        <f t="shared" si="78"/>
        <v>0</v>
      </c>
      <c r="DK52" s="461">
        <f t="shared" si="78"/>
        <v>0</v>
      </c>
      <c r="DL52" s="582">
        <f t="shared" si="78"/>
        <v>0</v>
      </c>
      <c r="DM52" s="113">
        <f t="shared" si="78"/>
        <v>0</v>
      </c>
      <c r="DN52" s="113">
        <f t="shared" si="78"/>
        <v>0</v>
      </c>
      <c r="DO52" s="113">
        <f t="shared" si="78"/>
        <v>0</v>
      </c>
      <c r="DP52" s="460">
        <f t="shared" si="78"/>
        <v>0</v>
      </c>
      <c r="DQ52" s="582">
        <f t="shared" si="78"/>
        <v>0</v>
      </c>
      <c r="DR52" s="113">
        <f t="shared" si="78"/>
        <v>0</v>
      </c>
      <c r="DS52" s="113">
        <f t="shared" si="78"/>
        <v>0</v>
      </c>
      <c r="DT52" s="113">
        <f t="shared" si="78"/>
        <v>0</v>
      </c>
      <c r="DU52" s="459">
        <f t="shared" si="70"/>
        <v>0</v>
      </c>
      <c r="DW52" s="461">
        <f t="shared" si="77"/>
        <v>52</v>
      </c>
      <c r="DX52" s="582">
        <f t="shared" si="77"/>
        <v>28</v>
      </c>
      <c r="DY52" s="113">
        <f t="shared" si="77"/>
        <v>24</v>
      </c>
      <c r="DZ52" s="113">
        <f t="shared" si="77"/>
        <v>0</v>
      </c>
      <c r="EA52" s="113">
        <f t="shared" si="77"/>
        <v>4</v>
      </c>
      <c r="EB52" s="460">
        <f t="shared" si="77"/>
        <v>0</v>
      </c>
      <c r="EC52" s="582">
        <f t="shared" si="77"/>
        <v>24</v>
      </c>
      <c r="ED52" s="113">
        <f t="shared" si="77"/>
        <v>22</v>
      </c>
      <c r="EE52" s="113">
        <f t="shared" si="77"/>
        <v>0</v>
      </c>
      <c r="EF52" s="113">
        <f t="shared" si="76"/>
        <v>1</v>
      </c>
      <c r="EG52" s="459">
        <f t="shared" si="76"/>
        <v>1</v>
      </c>
      <c r="EH52" s="461">
        <f t="shared" si="71"/>
        <v>20</v>
      </c>
      <c r="EI52" s="582">
        <f t="shared" si="71"/>
        <v>9</v>
      </c>
      <c r="EJ52" s="113">
        <f t="shared" si="71"/>
        <v>5</v>
      </c>
      <c r="EK52" s="113">
        <f t="shared" si="71"/>
        <v>0</v>
      </c>
      <c r="EL52" s="113">
        <f t="shared" si="71"/>
        <v>4</v>
      </c>
      <c r="EM52" s="460">
        <f t="shared" si="71"/>
        <v>0</v>
      </c>
      <c r="EN52" s="582">
        <f t="shared" si="71"/>
        <v>11</v>
      </c>
      <c r="EO52" s="113">
        <f t="shared" si="71"/>
        <v>9</v>
      </c>
      <c r="EP52" s="113">
        <f t="shared" si="71"/>
        <v>0</v>
      </c>
      <c r="EQ52" s="113">
        <f t="shared" si="71"/>
        <v>1</v>
      </c>
      <c r="ER52" s="459">
        <f t="shared" si="71"/>
        <v>1</v>
      </c>
    </row>
    <row r="53" spans="1:148">
      <c r="A53" s="466" t="s">
        <v>402</v>
      </c>
      <c r="B53" s="581">
        <v>43009</v>
      </c>
      <c r="C53" s="470">
        <v>2017</v>
      </c>
      <c r="D53" s="461">
        <f t="shared" si="72"/>
        <v>179517</v>
      </c>
      <c r="E53" s="461">
        <f t="shared" si="73"/>
        <v>2640</v>
      </c>
      <c r="F53" s="582">
        <f t="shared" si="68"/>
        <v>1186</v>
      </c>
      <c r="G53" s="113">
        <f t="shared" si="68"/>
        <v>828</v>
      </c>
      <c r="H53" s="113">
        <f t="shared" si="68"/>
        <v>0</v>
      </c>
      <c r="I53" s="113">
        <f t="shared" si="68"/>
        <v>358</v>
      </c>
      <c r="J53" s="460">
        <f t="shared" si="68"/>
        <v>0</v>
      </c>
      <c r="K53" s="582">
        <f t="shared" si="68"/>
        <v>1454</v>
      </c>
      <c r="L53" s="113">
        <f t="shared" si="68"/>
        <v>1108</v>
      </c>
      <c r="M53" s="113">
        <f t="shared" si="68"/>
        <v>0</v>
      </c>
      <c r="N53" s="113">
        <f t="shared" si="68"/>
        <v>97</v>
      </c>
      <c r="O53" s="459">
        <f t="shared" ref="O53:AQ64" si="80">SUMIFS(O$5:O$36,$B$5:$B$36,$A53)</f>
        <v>249</v>
      </c>
      <c r="P53" s="461">
        <f t="shared" si="80"/>
        <v>2</v>
      </c>
      <c r="Q53" s="582">
        <f t="shared" si="80"/>
        <v>1</v>
      </c>
      <c r="R53" s="113">
        <f t="shared" si="80"/>
        <v>1</v>
      </c>
      <c r="S53" s="113">
        <f t="shared" si="80"/>
        <v>0</v>
      </c>
      <c r="T53" s="113">
        <f t="shared" si="80"/>
        <v>0</v>
      </c>
      <c r="U53" s="460">
        <f t="shared" si="80"/>
        <v>0</v>
      </c>
      <c r="V53" s="582">
        <f t="shared" si="80"/>
        <v>1</v>
      </c>
      <c r="W53" s="113">
        <f t="shared" si="80"/>
        <v>1</v>
      </c>
      <c r="X53" s="113">
        <f t="shared" si="80"/>
        <v>0</v>
      </c>
      <c r="Y53" s="113">
        <f t="shared" si="80"/>
        <v>0</v>
      </c>
      <c r="Z53" s="459">
        <f t="shared" si="80"/>
        <v>0</v>
      </c>
      <c r="AA53" s="461">
        <f t="shared" si="80"/>
        <v>4</v>
      </c>
      <c r="AB53" s="582">
        <f t="shared" si="80"/>
        <v>0</v>
      </c>
      <c r="AC53" s="113">
        <f t="shared" si="80"/>
        <v>0</v>
      </c>
      <c r="AD53" s="113">
        <f t="shared" si="80"/>
        <v>0</v>
      </c>
      <c r="AE53" s="113">
        <f t="shared" si="80"/>
        <v>0</v>
      </c>
      <c r="AF53" s="460">
        <f t="shared" si="80"/>
        <v>0</v>
      </c>
      <c r="AG53" s="582">
        <f t="shared" si="80"/>
        <v>4</v>
      </c>
      <c r="AH53" s="113">
        <f t="shared" si="80"/>
        <v>4</v>
      </c>
      <c r="AI53" s="113">
        <f t="shared" si="79"/>
        <v>0</v>
      </c>
      <c r="AJ53" s="113">
        <f t="shared" si="79"/>
        <v>0</v>
      </c>
      <c r="AK53" s="459">
        <f t="shared" si="79"/>
        <v>0</v>
      </c>
      <c r="AL53" s="461">
        <f t="shared" si="79"/>
        <v>27</v>
      </c>
      <c r="AM53" s="582">
        <f t="shared" si="79"/>
        <v>11</v>
      </c>
      <c r="AN53" s="113">
        <f t="shared" si="79"/>
        <v>6</v>
      </c>
      <c r="AO53" s="113">
        <f t="shared" si="79"/>
        <v>0</v>
      </c>
      <c r="AP53" s="113">
        <f t="shared" si="79"/>
        <v>5</v>
      </c>
      <c r="AQ53" s="460">
        <f t="shared" si="79"/>
        <v>0</v>
      </c>
      <c r="AR53" s="582">
        <f t="shared" si="79"/>
        <v>16</v>
      </c>
      <c r="AS53" s="113">
        <f t="shared" si="79"/>
        <v>9</v>
      </c>
      <c r="AT53" s="113">
        <f t="shared" si="79"/>
        <v>0</v>
      </c>
      <c r="AU53" s="113">
        <f t="shared" si="79"/>
        <v>0</v>
      </c>
      <c r="AV53" s="459">
        <f t="shared" si="79"/>
        <v>7</v>
      </c>
      <c r="AW53" s="461">
        <f t="shared" si="79"/>
        <v>15</v>
      </c>
      <c r="AX53" s="582">
        <f t="shared" si="79"/>
        <v>5</v>
      </c>
      <c r="AY53" s="113">
        <f t="shared" si="79"/>
        <v>5</v>
      </c>
      <c r="AZ53" s="113">
        <f t="shared" si="79"/>
        <v>0</v>
      </c>
      <c r="BA53" s="113">
        <f t="shared" si="79"/>
        <v>0</v>
      </c>
      <c r="BB53" s="460">
        <f t="shared" si="79"/>
        <v>0</v>
      </c>
      <c r="BC53" s="582">
        <f t="shared" si="79"/>
        <v>10</v>
      </c>
      <c r="BD53" s="113">
        <f t="shared" si="79"/>
        <v>9</v>
      </c>
      <c r="BE53" s="113">
        <f t="shared" si="79"/>
        <v>0</v>
      </c>
      <c r="BF53" s="113">
        <f t="shared" si="79"/>
        <v>0</v>
      </c>
      <c r="BG53" s="459">
        <f t="shared" si="79"/>
        <v>1</v>
      </c>
      <c r="BH53" s="461">
        <f t="shared" si="79"/>
        <v>14</v>
      </c>
      <c r="BI53" s="582">
        <f t="shared" si="79"/>
        <v>6</v>
      </c>
      <c r="BJ53" s="113">
        <f t="shared" si="79"/>
        <v>4</v>
      </c>
      <c r="BK53" s="113">
        <f t="shared" si="79"/>
        <v>0</v>
      </c>
      <c r="BL53" s="113">
        <f t="shared" si="79"/>
        <v>2</v>
      </c>
      <c r="BM53" s="460">
        <f t="shared" si="79"/>
        <v>0</v>
      </c>
      <c r="BN53" s="582">
        <f t="shared" si="79"/>
        <v>8</v>
      </c>
      <c r="BO53" s="113">
        <f t="shared" si="79"/>
        <v>6</v>
      </c>
      <c r="BP53" s="113">
        <f t="shared" si="79"/>
        <v>0</v>
      </c>
      <c r="BQ53" s="113">
        <f t="shared" si="79"/>
        <v>1</v>
      </c>
      <c r="BR53" s="459">
        <f t="shared" si="79"/>
        <v>1</v>
      </c>
      <c r="BS53" s="461">
        <f t="shared" si="79"/>
        <v>22</v>
      </c>
      <c r="BT53" s="582">
        <f t="shared" si="79"/>
        <v>11</v>
      </c>
      <c r="BU53" s="113">
        <f t="shared" si="79"/>
        <v>9</v>
      </c>
      <c r="BV53" s="113">
        <f t="shared" si="79"/>
        <v>0</v>
      </c>
      <c r="BW53" s="113">
        <f t="shared" si="79"/>
        <v>2</v>
      </c>
      <c r="BX53" s="460">
        <f t="shared" si="79"/>
        <v>0</v>
      </c>
      <c r="BY53" s="582">
        <f t="shared" si="79"/>
        <v>11</v>
      </c>
      <c r="BZ53" s="113">
        <f t="shared" si="79"/>
        <v>9</v>
      </c>
      <c r="CA53" s="113">
        <f t="shared" si="79"/>
        <v>0</v>
      </c>
      <c r="CB53" s="113">
        <f t="shared" si="79"/>
        <v>1</v>
      </c>
      <c r="CC53" s="459">
        <f t="shared" si="79"/>
        <v>1</v>
      </c>
      <c r="CD53" s="461">
        <f t="shared" si="79"/>
        <v>4</v>
      </c>
      <c r="CE53" s="582">
        <f t="shared" si="79"/>
        <v>2</v>
      </c>
      <c r="CF53" s="113">
        <f t="shared" si="79"/>
        <v>1</v>
      </c>
      <c r="CG53" s="113">
        <f t="shared" si="79"/>
        <v>0</v>
      </c>
      <c r="CH53" s="113">
        <f t="shared" si="79"/>
        <v>1</v>
      </c>
      <c r="CI53" s="460">
        <f t="shared" si="79"/>
        <v>0</v>
      </c>
      <c r="CJ53" s="582">
        <f t="shared" si="79"/>
        <v>2</v>
      </c>
      <c r="CK53" s="113">
        <f t="shared" si="79"/>
        <v>1</v>
      </c>
      <c r="CL53" s="113">
        <f t="shared" si="79"/>
        <v>0</v>
      </c>
      <c r="CM53" s="113">
        <f t="shared" si="79"/>
        <v>0</v>
      </c>
      <c r="CN53" s="459">
        <f t="shared" si="79"/>
        <v>1</v>
      </c>
      <c r="CO53" s="461">
        <f t="shared" si="79"/>
        <v>3</v>
      </c>
      <c r="CP53" s="582">
        <f t="shared" si="79"/>
        <v>0</v>
      </c>
      <c r="CQ53" s="113">
        <f t="shared" si="79"/>
        <v>0</v>
      </c>
      <c r="CR53" s="113">
        <f t="shared" si="79"/>
        <v>0</v>
      </c>
      <c r="CS53" s="113">
        <f t="shared" si="79"/>
        <v>0</v>
      </c>
      <c r="CT53" s="460">
        <f t="shared" si="79"/>
        <v>0</v>
      </c>
      <c r="CU53" s="582">
        <f t="shared" si="78"/>
        <v>3</v>
      </c>
      <c r="CV53" s="113">
        <f t="shared" si="78"/>
        <v>3</v>
      </c>
      <c r="CW53" s="113">
        <f t="shared" si="78"/>
        <v>0</v>
      </c>
      <c r="CX53" s="113">
        <f t="shared" si="78"/>
        <v>0</v>
      </c>
      <c r="CY53" s="459">
        <f t="shared" si="78"/>
        <v>0</v>
      </c>
      <c r="CZ53" s="461">
        <f t="shared" si="78"/>
        <v>5</v>
      </c>
      <c r="DA53" s="582">
        <f t="shared" si="78"/>
        <v>0</v>
      </c>
      <c r="DB53" s="113">
        <f t="shared" si="78"/>
        <v>0</v>
      </c>
      <c r="DC53" s="113">
        <f t="shared" si="78"/>
        <v>0</v>
      </c>
      <c r="DD53" s="113">
        <f t="shared" si="78"/>
        <v>0</v>
      </c>
      <c r="DE53" s="460">
        <f t="shared" si="78"/>
        <v>0</v>
      </c>
      <c r="DF53" s="582">
        <f t="shared" si="78"/>
        <v>5</v>
      </c>
      <c r="DG53" s="113">
        <f t="shared" si="78"/>
        <v>5</v>
      </c>
      <c r="DH53" s="113">
        <f t="shared" si="78"/>
        <v>0</v>
      </c>
      <c r="DI53" s="113">
        <f t="shared" si="78"/>
        <v>0</v>
      </c>
      <c r="DJ53" s="459">
        <f t="shared" si="78"/>
        <v>0</v>
      </c>
      <c r="DK53" s="461">
        <f t="shared" si="78"/>
        <v>0</v>
      </c>
      <c r="DL53" s="582">
        <f t="shared" si="78"/>
        <v>0</v>
      </c>
      <c r="DM53" s="113">
        <f t="shared" si="78"/>
        <v>0</v>
      </c>
      <c r="DN53" s="113">
        <f t="shared" si="78"/>
        <v>0</v>
      </c>
      <c r="DO53" s="113">
        <f t="shared" si="78"/>
        <v>0</v>
      </c>
      <c r="DP53" s="460">
        <f t="shared" si="78"/>
        <v>0</v>
      </c>
      <c r="DQ53" s="582">
        <f t="shared" si="78"/>
        <v>0</v>
      </c>
      <c r="DR53" s="113">
        <f t="shared" si="78"/>
        <v>0</v>
      </c>
      <c r="DS53" s="113">
        <f t="shared" si="78"/>
        <v>0</v>
      </c>
      <c r="DT53" s="113">
        <f t="shared" si="78"/>
        <v>0</v>
      </c>
      <c r="DU53" s="459">
        <f t="shared" si="70"/>
        <v>0</v>
      </c>
      <c r="DW53" s="461">
        <f t="shared" si="77"/>
        <v>69</v>
      </c>
      <c r="DX53" s="582">
        <f t="shared" si="77"/>
        <v>25</v>
      </c>
      <c r="DY53" s="113">
        <f t="shared" si="77"/>
        <v>20</v>
      </c>
      <c r="DZ53" s="113">
        <f t="shared" si="77"/>
        <v>0</v>
      </c>
      <c r="EA53" s="113">
        <f t="shared" si="77"/>
        <v>5</v>
      </c>
      <c r="EB53" s="460">
        <f t="shared" si="77"/>
        <v>0</v>
      </c>
      <c r="EC53" s="582">
        <f t="shared" si="77"/>
        <v>44</v>
      </c>
      <c r="ED53" s="113">
        <f t="shared" si="77"/>
        <v>38</v>
      </c>
      <c r="EE53" s="113">
        <f t="shared" si="77"/>
        <v>0</v>
      </c>
      <c r="EF53" s="113">
        <f t="shared" si="76"/>
        <v>2</v>
      </c>
      <c r="EG53" s="459">
        <f t="shared" si="76"/>
        <v>4</v>
      </c>
      <c r="EH53" s="461">
        <f t="shared" si="71"/>
        <v>27</v>
      </c>
      <c r="EI53" s="582">
        <f t="shared" si="71"/>
        <v>11</v>
      </c>
      <c r="EJ53" s="113">
        <f t="shared" si="71"/>
        <v>6</v>
      </c>
      <c r="EK53" s="113">
        <f t="shared" si="71"/>
        <v>0</v>
      </c>
      <c r="EL53" s="113">
        <f t="shared" si="71"/>
        <v>5</v>
      </c>
      <c r="EM53" s="460">
        <f t="shared" si="71"/>
        <v>0</v>
      </c>
      <c r="EN53" s="582">
        <f t="shared" si="71"/>
        <v>16</v>
      </c>
      <c r="EO53" s="113">
        <f t="shared" si="71"/>
        <v>9</v>
      </c>
      <c r="EP53" s="113">
        <f t="shared" si="71"/>
        <v>0</v>
      </c>
      <c r="EQ53" s="113">
        <f t="shared" si="71"/>
        <v>0</v>
      </c>
      <c r="ER53" s="459">
        <f t="shared" si="71"/>
        <v>7</v>
      </c>
    </row>
    <row r="54" spans="1:148">
      <c r="A54" s="466" t="s">
        <v>402</v>
      </c>
      <c r="B54" s="581">
        <v>43040</v>
      </c>
      <c r="C54" s="470">
        <v>2017</v>
      </c>
      <c r="D54" s="461">
        <f t="shared" si="72"/>
        <v>179517</v>
      </c>
      <c r="E54" s="461">
        <f t="shared" si="73"/>
        <v>2640</v>
      </c>
      <c r="F54" s="582">
        <f t="shared" si="73"/>
        <v>1186</v>
      </c>
      <c r="G54" s="113">
        <f t="shared" si="73"/>
        <v>828</v>
      </c>
      <c r="H54" s="113">
        <f t="shared" si="73"/>
        <v>0</v>
      </c>
      <c r="I54" s="113">
        <f t="shared" si="73"/>
        <v>358</v>
      </c>
      <c r="J54" s="460">
        <f t="shared" si="73"/>
        <v>0</v>
      </c>
      <c r="K54" s="582">
        <f t="shared" si="73"/>
        <v>1454</v>
      </c>
      <c r="L54" s="113">
        <f t="shared" si="73"/>
        <v>1108</v>
      </c>
      <c r="M54" s="113">
        <f t="shared" si="73"/>
        <v>0</v>
      </c>
      <c r="N54" s="113">
        <f t="shared" si="73"/>
        <v>97</v>
      </c>
      <c r="O54" s="459">
        <f t="shared" si="73"/>
        <v>249</v>
      </c>
      <c r="P54" s="461">
        <f t="shared" si="73"/>
        <v>2</v>
      </c>
      <c r="Q54" s="582">
        <f t="shared" si="73"/>
        <v>1</v>
      </c>
      <c r="R54" s="113">
        <f t="shared" si="73"/>
        <v>1</v>
      </c>
      <c r="S54" s="113">
        <f t="shared" si="73"/>
        <v>0</v>
      </c>
      <c r="T54" s="113">
        <f t="shared" si="73"/>
        <v>0</v>
      </c>
      <c r="U54" s="460">
        <f t="shared" si="80"/>
        <v>0</v>
      </c>
      <c r="V54" s="582">
        <f t="shared" si="80"/>
        <v>1</v>
      </c>
      <c r="W54" s="113">
        <f t="shared" si="80"/>
        <v>1</v>
      </c>
      <c r="X54" s="113">
        <f t="shared" si="80"/>
        <v>0</v>
      </c>
      <c r="Y54" s="113">
        <f t="shared" si="80"/>
        <v>0</v>
      </c>
      <c r="Z54" s="459">
        <f t="shared" si="80"/>
        <v>0</v>
      </c>
      <c r="AA54" s="461">
        <f t="shared" si="80"/>
        <v>4</v>
      </c>
      <c r="AB54" s="582">
        <f t="shared" si="80"/>
        <v>0</v>
      </c>
      <c r="AC54" s="113">
        <f t="shared" si="80"/>
        <v>0</v>
      </c>
      <c r="AD54" s="113">
        <f t="shared" si="80"/>
        <v>0</v>
      </c>
      <c r="AE54" s="113">
        <f t="shared" si="80"/>
        <v>0</v>
      </c>
      <c r="AF54" s="460">
        <f t="shared" si="80"/>
        <v>0</v>
      </c>
      <c r="AG54" s="582">
        <f t="shared" si="80"/>
        <v>4</v>
      </c>
      <c r="AH54" s="113">
        <f t="shared" si="80"/>
        <v>4</v>
      </c>
      <c r="AI54" s="113">
        <f t="shared" si="79"/>
        <v>0</v>
      </c>
      <c r="AJ54" s="113">
        <f t="shared" si="79"/>
        <v>0</v>
      </c>
      <c r="AK54" s="459">
        <f t="shared" si="79"/>
        <v>0</v>
      </c>
      <c r="AL54" s="461">
        <f t="shared" si="79"/>
        <v>27</v>
      </c>
      <c r="AM54" s="582">
        <f t="shared" si="79"/>
        <v>11</v>
      </c>
      <c r="AN54" s="113">
        <f t="shared" si="79"/>
        <v>6</v>
      </c>
      <c r="AO54" s="113">
        <f t="shared" si="79"/>
        <v>0</v>
      </c>
      <c r="AP54" s="113">
        <f t="shared" si="79"/>
        <v>5</v>
      </c>
      <c r="AQ54" s="460">
        <f t="shared" si="79"/>
        <v>0</v>
      </c>
      <c r="AR54" s="582">
        <f t="shared" si="79"/>
        <v>16</v>
      </c>
      <c r="AS54" s="113">
        <f t="shared" si="79"/>
        <v>9</v>
      </c>
      <c r="AT54" s="113">
        <f t="shared" si="79"/>
        <v>0</v>
      </c>
      <c r="AU54" s="113">
        <f t="shared" si="79"/>
        <v>0</v>
      </c>
      <c r="AV54" s="459">
        <f t="shared" si="79"/>
        <v>7</v>
      </c>
      <c r="AW54" s="461">
        <f t="shared" si="79"/>
        <v>15</v>
      </c>
      <c r="AX54" s="582">
        <f t="shared" si="79"/>
        <v>5</v>
      </c>
      <c r="AY54" s="113">
        <f t="shared" si="79"/>
        <v>5</v>
      </c>
      <c r="AZ54" s="113">
        <f t="shared" si="79"/>
        <v>0</v>
      </c>
      <c r="BA54" s="113">
        <f t="shared" si="79"/>
        <v>0</v>
      </c>
      <c r="BB54" s="460">
        <f t="shared" si="79"/>
        <v>0</v>
      </c>
      <c r="BC54" s="582">
        <f t="shared" si="79"/>
        <v>10</v>
      </c>
      <c r="BD54" s="113">
        <f t="shared" si="79"/>
        <v>9</v>
      </c>
      <c r="BE54" s="113">
        <f t="shared" si="79"/>
        <v>0</v>
      </c>
      <c r="BF54" s="113">
        <f t="shared" si="79"/>
        <v>0</v>
      </c>
      <c r="BG54" s="459">
        <f t="shared" si="79"/>
        <v>1</v>
      </c>
      <c r="BH54" s="461">
        <f t="shared" si="79"/>
        <v>14</v>
      </c>
      <c r="BI54" s="582">
        <f t="shared" si="79"/>
        <v>6</v>
      </c>
      <c r="BJ54" s="113">
        <f t="shared" si="79"/>
        <v>4</v>
      </c>
      <c r="BK54" s="113">
        <f t="shared" si="79"/>
        <v>0</v>
      </c>
      <c r="BL54" s="113">
        <f t="shared" si="79"/>
        <v>2</v>
      </c>
      <c r="BM54" s="460">
        <f t="shared" si="79"/>
        <v>0</v>
      </c>
      <c r="BN54" s="582">
        <f t="shared" si="79"/>
        <v>8</v>
      </c>
      <c r="BO54" s="113">
        <f t="shared" si="79"/>
        <v>6</v>
      </c>
      <c r="BP54" s="113">
        <f t="shared" si="79"/>
        <v>0</v>
      </c>
      <c r="BQ54" s="113">
        <f t="shared" si="79"/>
        <v>1</v>
      </c>
      <c r="BR54" s="459">
        <f t="shared" si="79"/>
        <v>1</v>
      </c>
      <c r="BS54" s="461">
        <f t="shared" si="79"/>
        <v>22</v>
      </c>
      <c r="BT54" s="582">
        <f t="shared" si="79"/>
        <v>11</v>
      </c>
      <c r="BU54" s="113">
        <f t="shared" si="79"/>
        <v>9</v>
      </c>
      <c r="BV54" s="113">
        <f t="shared" si="79"/>
        <v>0</v>
      </c>
      <c r="BW54" s="113">
        <f t="shared" si="79"/>
        <v>2</v>
      </c>
      <c r="BX54" s="460">
        <f t="shared" si="79"/>
        <v>0</v>
      </c>
      <c r="BY54" s="582">
        <f t="shared" si="79"/>
        <v>11</v>
      </c>
      <c r="BZ54" s="113">
        <f t="shared" si="79"/>
        <v>9</v>
      </c>
      <c r="CA54" s="113">
        <f t="shared" si="79"/>
        <v>0</v>
      </c>
      <c r="CB54" s="113">
        <f t="shared" si="79"/>
        <v>1</v>
      </c>
      <c r="CC54" s="459">
        <f t="shared" si="79"/>
        <v>1</v>
      </c>
      <c r="CD54" s="461">
        <f t="shared" si="79"/>
        <v>4</v>
      </c>
      <c r="CE54" s="582">
        <f t="shared" si="79"/>
        <v>2</v>
      </c>
      <c r="CF54" s="113">
        <f t="shared" si="79"/>
        <v>1</v>
      </c>
      <c r="CG54" s="113">
        <f t="shared" si="79"/>
        <v>0</v>
      </c>
      <c r="CH54" s="113">
        <f t="shared" si="79"/>
        <v>1</v>
      </c>
      <c r="CI54" s="460">
        <f t="shared" si="79"/>
        <v>0</v>
      </c>
      <c r="CJ54" s="582">
        <f t="shared" si="79"/>
        <v>2</v>
      </c>
      <c r="CK54" s="113">
        <f t="shared" si="79"/>
        <v>1</v>
      </c>
      <c r="CL54" s="113">
        <f t="shared" si="79"/>
        <v>0</v>
      </c>
      <c r="CM54" s="113">
        <f t="shared" si="79"/>
        <v>0</v>
      </c>
      <c r="CN54" s="459">
        <f t="shared" si="79"/>
        <v>1</v>
      </c>
      <c r="CO54" s="461">
        <f t="shared" si="79"/>
        <v>3</v>
      </c>
      <c r="CP54" s="582">
        <f t="shared" si="79"/>
        <v>0</v>
      </c>
      <c r="CQ54" s="113">
        <f t="shared" si="79"/>
        <v>0</v>
      </c>
      <c r="CR54" s="113">
        <f t="shared" si="79"/>
        <v>0</v>
      </c>
      <c r="CS54" s="113">
        <f t="shared" si="79"/>
        <v>0</v>
      </c>
      <c r="CT54" s="460">
        <f t="shared" si="79"/>
        <v>0</v>
      </c>
      <c r="CU54" s="582">
        <f t="shared" si="78"/>
        <v>3</v>
      </c>
      <c r="CV54" s="113">
        <f t="shared" si="78"/>
        <v>3</v>
      </c>
      <c r="CW54" s="113">
        <f t="shared" si="78"/>
        <v>0</v>
      </c>
      <c r="CX54" s="113">
        <f t="shared" si="78"/>
        <v>0</v>
      </c>
      <c r="CY54" s="459">
        <f t="shared" si="78"/>
        <v>0</v>
      </c>
      <c r="CZ54" s="461">
        <f t="shared" si="78"/>
        <v>5</v>
      </c>
      <c r="DA54" s="582">
        <f t="shared" si="78"/>
        <v>0</v>
      </c>
      <c r="DB54" s="113">
        <f t="shared" si="78"/>
        <v>0</v>
      </c>
      <c r="DC54" s="113">
        <f t="shared" si="78"/>
        <v>0</v>
      </c>
      <c r="DD54" s="113">
        <f t="shared" si="78"/>
        <v>0</v>
      </c>
      <c r="DE54" s="460">
        <f t="shared" si="78"/>
        <v>0</v>
      </c>
      <c r="DF54" s="582">
        <f t="shared" si="78"/>
        <v>5</v>
      </c>
      <c r="DG54" s="113">
        <f t="shared" si="78"/>
        <v>5</v>
      </c>
      <c r="DH54" s="113">
        <f t="shared" si="78"/>
        <v>0</v>
      </c>
      <c r="DI54" s="113">
        <f t="shared" si="78"/>
        <v>0</v>
      </c>
      <c r="DJ54" s="459">
        <f t="shared" si="78"/>
        <v>0</v>
      </c>
      <c r="DK54" s="461">
        <f t="shared" si="78"/>
        <v>0</v>
      </c>
      <c r="DL54" s="582">
        <f t="shared" si="78"/>
        <v>0</v>
      </c>
      <c r="DM54" s="113">
        <f t="shared" si="78"/>
        <v>0</v>
      </c>
      <c r="DN54" s="113">
        <f t="shared" si="78"/>
        <v>0</v>
      </c>
      <c r="DO54" s="113">
        <f t="shared" si="78"/>
        <v>0</v>
      </c>
      <c r="DP54" s="460">
        <f t="shared" si="78"/>
        <v>0</v>
      </c>
      <c r="DQ54" s="582">
        <f t="shared" si="78"/>
        <v>0</v>
      </c>
      <c r="DR54" s="113">
        <f t="shared" si="78"/>
        <v>0</v>
      </c>
      <c r="DS54" s="113">
        <f t="shared" si="78"/>
        <v>0</v>
      </c>
      <c r="DT54" s="113">
        <f t="shared" si="78"/>
        <v>0</v>
      </c>
      <c r="DU54" s="459">
        <f t="shared" si="70"/>
        <v>0</v>
      </c>
      <c r="DW54" s="461">
        <f t="shared" si="77"/>
        <v>69</v>
      </c>
      <c r="DX54" s="582">
        <f t="shared" si="77"/>
        <v>25</v>
      </c>
      <c r="DY54" s="113">
        <f t="shared" si="77"/>
        <v>20</v>
      </c>
      <c r="DZ54" s="113">
        <f t="shared" si="77"/>
        <v>0</v>
      </c>
      <c r="EA54" s="113">
        <f t="shared" si="77"/>
        <v>5</v>
      </c>
      <c r="EB54" s="460">
        <f t="shared" si="77"/>
        <v>0</v>
      </c>
      <c r="EC54" s="582">
        <f t="shared" si="77"/>
        <v>44</v>
      </c>
      <c r="ED54" s="113">
        <f t="shared" si="77"/>
        <v>38</v>
      </c>
      <c r="EE54" s="113">
        <f t="shared" si="77"/>
        <v>0</v>
      </c>
      <c r="EF54" s="113">
        <f t="shared" si="76"/>
        <v>2</v>
      </c>
      <c r="EG54" s="459">
        <f t="shared" si="76"/>
        <v>4</v>
      </c>
      <c r="EH54" s="461">
        <f t="shared" si="71"/>
        <v>27</v>
      </c>
      <c r="EI54" s="582">
        <f t="shared" si="71"/>
        <v>11</v>
      </c>
      <c r="EJ54" s="113">
        <f t="shared" si="71"/>
        <v>6</v>
      </c>
      <c r="EK54" s="113">
        <f t="shared" si="71"/>
        <v>0</v>
      </c>
      <c r="EL54" s="113">
        <f t="shared" si="71"/>
        <v>5</v>
      </c>
      <c r="EM54" s="460">
        <f t="shared" si="71"/>
        <v>0</v>
      </c>
      <c r="EN54" s="582">
        <f t="shared" si="71"/>
        <v>16</v>
      </c>
      <c r="EO54" s="113">
        <f t="shared" si="71"/>
        <v>9</v>
      </c>
      <c r="EP54" s="113">
        <f t="shared" si="71"/>
        <v>0</v>
      </c>
      <c r="EQ54" s="113">
        <f t="shared" si="71"/>
        <v>0</v>
      </c>
      <c r="ER54" s="459">
        <f t="shared" si="71"/>
        <v>7</v>
      </c>
    </row>
    <row r="55" spans="1:148">
      <c r="A55" s="466" t="s">
        <v>402</v>
      </c>
      <c r="B55" s="581">
        <v>43070</v>
      </c>
      <c r="C55" s="470">
        <v>2017</v>
      </c>
      <c r="D55" s="461">
        <f t="shared" si="72"/>
        <v>179517</v>
      </c>
      <c r="E55" s="461">
        <f t="shared" si="73"/>
        <v>2640</v>
      </c>
      <c r="F55" s="582">
        <f t="shared" si="73"/>
        <v>1186</v>
      </c>
      <c r="G55" s="113">
        <f t="shared" si="73"/>
        <v>828</v>
      </c>
      <c r="H55" s="113">
        <f t="shared" si="73"/>
        <v>0</v>
      </c>
      <c r="I55" s="113">
        <f t="shared" si="73"/>
        <v>358</v>
      </c>
      <c r="J55" s="460">
        <f t="shared" si="73"/>
        <v>0</v>
      </c>
      <c r="K55" s="582">
        <f t="shared" si="73"/>
        <v>1454</v>
      </c>
      <c r="L55" s="113">
        <f t="shared" si="73"/>
        <v>1108</v>
      </c>
      <c r="M55" s="113">
        <f t="shared" si="73"/>
        <v>0</v>
      </c>
      <c r="N55" s="113">
        <f t="shared" si="73"/>
        <v>97</v>
      </c>
      <c r="O55" s="459">
        <f t="shared" si="73"/>
        <v>249</v>
      </c>
      <c r="P55" s="461">
        <f t="shared" si="73"/>
        <v>2</v>
      </c>
      <c r="Q55" s="582">
        <f t="shared" si="73"/>
        <v>1</v>
      </c>
      <c r="R55" s="113">
        <f t="shared" si="73"/>
        <v>1</v>
      </c>
      <c r="S55" s="113">
        <f t="shared" si="73"/>
        <v>0</v>
      </c>
      <c r="T55" s="113">
        <f t="shared" si="73"/>
        <v>0</v>
      </c>
      <c r="U55" s="460">
        <f t="shared" si="80"/>
        <v>0</v>
      </c>
      <c r="V55" s="582">
        <f t="shared" si="80"/>
        <v>1</v>
      </c>
      <c r="W55" s="113">
        <f t="shared" si="80"/>
        <v>1</v>
      </c>
      <c r="X55" s="113">
        <f t="shared" si="80"/>
        <v>0</v>
      </c>
      <c r="Y55" s="113">
        <f t="shared" si="80"/>
        <v>0</v>
      </c>
      <c r="Z55" s="459">
        <f t="shared" si="80"/>
        <v>0</v>
      </c>
      <c r="AA55" s="461">
        <f t="shared" si="80"/>
        <v>4</v>
      </c>
      <c r="AB55" s="582">
        <f t="shared" si="80"/>
        <v>0</v>
      </c>
      <c r="AC55" s="113">
        <f t="shared" si="80"/>
        <v>0</v>
      </c>
      <c r="AD55" s="113">
        <f t="shared" si="80"/>
        <v>0</v>
      </c>
      <c r="AE55" s="113">
        <f t="shared" si="80"/>
        <v>0</v>
      </c>
      <c r="AF55" s="460">
        <f t="shared" si="80"/>
        <v>0</v>
      </c>
      <c r="AG55" s="582">
        <f t="shared" si="80"/>
        <v>4</v>
      </c>
      <c r="AH55" s="113">
        <f t="shared" si="80"/>
        <v>4</v>
      </c>
      <c r="AI55" s="113">
        <f t="shared" si="79"/>
        <v>0</v>
      </c>
      <c r="AJ55" s="113">
        <f t="shared" si="79"/>
        <v>0</v>
      </c>
      <c r="AK55" s="459">
        <f t="shared" si="79"/>
        <v>0</v>
      </c>
      <c r="AL55" s="461">
        <f t="shared" si="79"/>
        <v>27</v>
      </c>
      <c r="AM55" s="582">
        <f t="shared" si="79"/>
        <v>11</v>
      </c>
      <c r="AN55" s="113">
        <f t="shared" si="79"/>
        <v>6</v>
      </c>
      <c r="AO55" s="113">
        <f t="shared" si="79"/>
        <v>0</v>
      </c>
      <c r="AP55" s="113">
        <f t="shared" si="79"/>
        <v>5</v>
      </c>
      <c r="AQ55" s="460">
        <f t="shared" si="79"/>
        <v>0</v>
      </c>
      <c r="AR55" s="582">
        <f t="shared" si="79"/>
        <v>16</v>
      </c>
      <c r="AS55" s="113">
        <f t="shared" si="79"/>
        <v>9</v>
      </c>
      <c r="AT55" s="113">
        <f t="shared" si="79"/>
        <v>0</v>
      </c>
      <c r="AU55" s="113">
        <f t="shared" si="79"/>
        <v>0</v>
      </c>
      <c r="AV55" s="459">
        <f t="shared" si="79"/>
        <v>7</v>
      </c>
      <c r="AW55" s="461">
        <f t="shared" si="79"/>
        <v>15</v>
      </c>
      <c r="AX55" s="582">
        <f t="shared" si="79"/>
        <v>5</v>
      </c>
      <c r="AY55" s="113">
        <f t="shared" si="79"/>
        <v>5</v>
      </c>
      <c r="AZ55" s="113">
        <f t="shared" si="79"/>
        <v>0</v>
      </c>
      <c r="BA55" s="113">
        <f t="shared" si="79"/>
        <v>0</v>
      </c>
      <c r="BB55" s="460">
        <f t="shared" si="79"/>
        <v>0</v>
      </c>
      <c r="BC55" s="582">
        <f t="shared" si="79"/>
        <v>10</v>
      </c>
      <c r="BD55" s="113">
        <f t="shared" si="79"/>
        <v>9</v>
      </c>
      <c r="BE55" s="113">
        <f t="shared" si="79"/>
        <v>0</v>
      </c>
      <c r="BF55" s="113">
        <f t="shared" si="79"/>
        <v>0</v>
      </c>
      <c r="BG55" s="459">
        <f t="shared" si="79"/>
        <v>1</v>
      </c>
      <c r="BH55" s="461">
        <f t="shared" si="79"/>
        <v>14</v>
      </c>
      <c r="BI55" s="582">
        <f t="shared" si="79"/>
        <v>6</v>
      </c>
      <c r="BJ55" s="113">
        <f t="shared" si="79"/>
        <v>4</v>
      </c>
      <c r="BK55" s="113">
        <f t="shared" si="79"/>
        <v>0</v>
      </c>
      <c r="BL55" s="113">
        <f t="shared" si="79"/>
        <v>2</v>
      </c>
      <c r="BM55" s="460">
        <f t="shared" si="79"/>
        <v>0</v>
      </c>
      <c r="BN55" s="582">
        <f t="shared" si="79"/>
        <v>8</v>
      </c>
      <c r="BO55" s="113">
        <f t="shared" si="79"/>
        <v>6</v>
      </c>
      <c r="BP55" s="113">
        <f t="shared" si="79"/>
        <v>0</v>
      </c>
      <c r="BQ55" s="113">
        <f t="shared" si="79"/>
        <v>1</v>
      </c>
      <c r="BR55" s="459">
        <f t="shared" si="79"/>
        <v>1</v>
      </c>
      <c r="BS55" s="461">
        <f t="shared" si="79"/>
        <v>22</v>
      </c>
      <c r="BT55" s="582">
        <f t="shared" si="79"/>
        <v>11</v>
      </c>
      <c r="BU55" s="113">
        <f t="shared" si="79"/>
        <v>9</v>
      </c>
      <c r="BV55" s="113">
        <f t="shared" si="79"/>
        <v>0</v>
      </c>
      <c r="BW55" s="113">
        <f t="shared" si="79"/>
        <v>2</v>
      </c>
      <c r="BX55" s="460">
        <f t="shared" si="79"/>
        <v>0</v>
      </c>
      <c r="BY55" s="582">
        <f t="shared" si="79"/>
        <v>11</v>
      </c>
      <c r="BZ55" s="113">
        <f t="shared" si="79"/>
        <v>9</v>
      </c>
      <c r="CA55" s="113">
        <f t="shared" si="79"/>
        <v>0</v>
      </c>
      <c r="CB55" s="113">
        <f t="shared" si="79"/>
        <v>1</v>
      </c>
      <c r="CC55" s="459">
        <f t="shared" si="79"/>
        <v>1</v>
      </c>
      <c r="CD55" s="461">
        <f t="shared" si="79"/>
        <v>4</v>
      </c>
      <c r="CE55" s="582">
        <f t="shared" si="79"/>
        <v>2</v>
      </c>
      <c r="CF55" s="113">
        <f t="shared" si="79"/>
        <v>1</v>
      </c>
      <c r="CG55" s="113">
        <f t="shared" si="79"/>
        <v>0</v>
      </c>
      <c r="CH55" s="113">
        <f t="shared" si="79"/>
        <v>1</v>
      </c>
      <c r="CI55" s="460">
        <f t="shared" si="79"/>
        <v>0</v>
      </c>
      <c r="CJ55" s="582">
        <f t="shared" si="79"/>
        <v>2</v>
      </c>
      <c r="CK55" s="113">
        <f t="shared" si="79"/>
        <v>1</v>
      </c>
      <c r="CL55" s="113">
        <f t="shared" si="79"/>
        <v>0</v>
      </c>
      <c r="CM55" s="113">
        <f t="shared" si="79"/>
        <v>0</v>
      </c>
      <c r="CN55" s="459">
        <f t="shared" si="79"/>
        <v>1</v>
      </c>
      <c r="CO55" s="461">
        <f t="shared" si="79"/>
        <v>3</v>
      </c>
      <c r="CP55" s="582">
        <f t="shared" si="79"/>
        <v>0</v>
      </c>
      <c r="CQ55" s="113">
        <f t="shared" si="79"/>
        <v>0</v>
      </c>
      <c r="CR55" s="113">
        <f t="shared" si="79"/>
        <v>0</v>
      </c>
      <c r="CS55" s="113">
        <f t="shared" si="79"/>
        <v>0</v>
      </c>
      <c r="CT55" s="460">
        <f t="shared" ref="CT55:DT65" si="81">SUMIFS(CT$5:CT$36,$B$5:$B$36,$A55)</f>
        <v>0</v>
      </c>
      <c r="CU55" s="582">
        <f t="shared" si="81"/>
        <v>3</v>
      </c>
      <c r="CV55" s="113">
        <f t="shared" si="81"/>
        <v>3</v>
      </c>
      <c r="CW55" s="113">
        <f t="shared" si="81"/>
        <v>0</v>
      </c>
      <c r="CX55" s="113">
        <f t="shared" si="81"/>
        <v>0</v>
      </c>
      <c r="CY55" s="459">
        <f t="shared" si="81"/>
        <v>0</v>
      </c>
      <c r="CZ55" s="461">
        <f t="shared" si="81"/>
        <v>5</v>
      </c>
      <c r="DA55" s="582">
        <f t="shared" si="81"/>
        <v>0</v>
      </c>
      <c r="DB55" s="113">
        <f t="shared" si="81"/>
        <v>0</v>
      </c>
      <c r="DC55" s="113">
        <f t="shared" si="81"/>
        <v>0</v>
      </c>
      <c r="DD55" s="113">
        <f t="shared" si="81"/>
        <v>0</v>
      </c>
      <c r="DE55" s="460">
        <f t="shared" si="81"/>
        <v>0</v>
      </c>
      <c r="DF55" s="582">
        <f t="shared" si="81"/>
        <v>5</v>
      </c>
      <c r="DG55" s="113">
        <f t="shared" si="81"/>
        <v>5</v>
      </c>
      <c r="DH55" s="113">
        <f t="shared" si="81"/>
        <v>0</v>
      </c>
      <c r="DI55" s="113">
        <f t="shared" si="81"/>
        <v>0</v>
      </c>
      <c r="DJ55" s="459">
        <f t="shared" si="81"/>
        <v>0</v>
      </c>
      <c r="DK55" s="461">
        <f t="shared" si="81"/>
        <v>0</v>
      </c>
      <c r="DL55" s="582">
        <f t="shared" si="81"/>
        <v>0</v>
      </c>
      <c r="DM55" s="113">
        <f t="shared" si="81"/>
        <v>0</v>
      </c>
      <c r="DN55" s="113">
        <f t="shared" si="81"/>
        <v>0</v>
      </c>
      <c r="DO55" s="113">
        <f t="shared" si="81"/>
        <v>0</v>
      </c>
      <c r="DP55" s="460">
        <f t="shared" si="81"/>
        <v>0</v>
      </c>
      <c r="DQ55" s="582">
        <f t="shared" si="81"/>
        <v>0</v>
      </c>
      <c r="DR55" s="113">
        <f t="shared" si="81"/>
        <v>0</v>
      </c>
      <c r="DS55" s="113">
        <f t="shared" si="81"/>
        <v>0</v>
      </c>
      <c r="DT55" s="113">
        <f t="shared" si="81"/>
        <v>0</v>
      </c>
      <c r="DU55" s="459">
        <f t="shared" si="70"/>
        <v>0</v>
      </c>
      <c r="DW55" s="461">
        <f t="shared" si="77"/>
        <v>69</v>
      </c>
      <c r="DX55" s="582">
        <f t="shared" si="77"/>
        <v>25</v>
      </c>
      <c r="DY55" s="113">
        <f t="shared" si="77"/>
        <v>20</v>
      </c>
      <c r="DZ55" s="113">
        <f t="shared" si="77"/>
        <v>0</v>
      </c>
      <c r="EA55" s="113">
        <f t="shared" si="77"/>
        <v>5</v>
      </c>
      <c r="EB55" s="460">
        <f t="shared" si="77"/>
        <v>0</v>
      </c>
      <c r="EC55" s="582">
        <f t="shared" si="77"/>
        <v>44</v>
      </c>
      <c r="ED55" s="113">
        <f t="shared" si="77"/>
        <v>38</v>
      </c>
      <c r="EE55" s="113">
        <f t="shared" si="77"/>
        <v>0</v>
      </c>
      <c r="EF55" s="113">
        <f t="shared" si="76"/>
        <v>2</v>
      </c>
      <c r="EG55" s="459">
        <f t="shared" si="76"/>
        <v>4</v>
      </c>
      <c r="EH55" s="461">
        <f t="shared" si="71"/>
        <v>27</v>
      </c>
      <c r="EI55" s="582">
        <f t="shared" si="71"/>
        <v>11</v>
      </c>
      <c r="EJ55" s="113">
        <f t="shared" si="71"/>
        <v>6</v>
      </c>
      <c r="EK55" s="113">
        <f t="shared" si="71"/>
        <v>0</v>
      </c>
      <c r="EL55" s="113">
        <f t="shared" si="71"/>
        <v>5</v>
      </c>
      <c r="EM55" s="460">
        <f t="shared" si="71"/>
        <v>0</v>
      </c>
      <c r="EN55" s="582">
        <f t="shared" si="71"/>
        <v>16</v>
      </c>
      <c r="EO55" s="113">
        <f t="shared" si="71"/>
        <v>9</v>
      </c>
      <c r="EP55" s="113">
        <f t="shared" si="71"/>
        <v>0</v>
      </c>
      <c r="EQ55" s="113">
        <f t="shared" si="71"/>
        <v>0</v>
      </c>
      <c r="ER55" s="459">
        <f t="shared" si="71"/>
        <v>7</v>
      </c>
    </row>
    <row r="56" spans="1:148">
      <c r="A56" s="466" t="s">
        <v>403</v>
      </c>
      <c r="B56" s="581">
        <v>43101</v>
      </c>
      <c r="C56" s="470">
        <v>2018</v>
      </c>
      <c r="D56" s="461">
        <f t="shared" si="72"/>
        <v>165397</v>
      </c>
      <c r="E56" s="461">
        <f t="shared" si="73"/>
        <v>2747</v>
      </c>
      <c r="F56" s="582">
        <f t="shared" si="73"/>
        <v>928</v>
      </c>
      <c r="G56" s="113">
        <f t="shared" si="73"/>
        <v>754</v>
      </c>
      <c r="H56" s="113">
        <f t="shared" si="73"/>
        <v>0</v>
      </c>
      <c r="I56" s="113">
        <f t="shared" si="73"/>
        <v>174</v>
      </c>
      <c r="J56" s="460">
        <f t="shared" si="73"/>
        <v>0</v>
      </c>
      <c r="K56" s="582">
        <f t="shared" si="73"/>
        <v>1819</v>
      </c>
      <c r="L56" s="113">
        <f t="shared" si="73"/>
        <v>1251</v>
      </c>
      <c r="M56" s="113">
        <f t="shared" si="73"/>
        <v>0</v>
      </c>
      <c r="N56" s="113">
        <f t="shared" si="73"/>
        <v>359</v>
      </c>
      <c r="O56" s="459">
        <f t="shared" si="73"/>
        <v>209</v>
      </c>
      <c r="P56" s="461">
        <f t="shared" si="73"/>
        <v>5</v>
      </c>
      <c r="Q56" s="582">
        <f t="shared" si="73"/>
        <v>0</v>
      </c>
      <c r="R56" s="113">
        <f t="shared" si="73"/>
        <v>0</v>
      </c>
      <c r="S56" s="113">
        <f t="shared" si="73"/>
        <v>0</v>
      </c>
      <c r="T56" s="113">
        <f t="shared" si="73"/>
        <v>0</v>
      </c>
      <c r="U56" s="460">
        <f t="shared" si="80"/>
        <v>0</v>
      </c>
      <c r="V56" s="582">
        <f t="shared" si="80"/>
        <v>5</v>
      </c>
      <c r="W56" s="113">
        <f t="shared" si="80"/>
        <v>3</v>
      </c>
      <c r="X56" s="113">
        <f t="shared" si="80"/>
        <v>0</v>
      </c>
      <c r="Y56" s="113">
        <f t="shared" si="80"/>
        <v>1</v>
      </c>
      <c r="Z56" s="459">
        <f t="shared" si="80"/>
        <v>1</v>
      </c>
      <c r="AA56" s="461">
        <f t="shared" si="80"/>
        <v>4</v>
      </c>
      <c r="AB56" s="582">
        <f t="shared" si="80"/>
        <v>0</v>
      </c>
      <c r="AC56" s="113">
        <f t="shared" si="80"/>
        <v>0</v>
      </c>
      <c r="AD56" s="113">
        <f t="shared" si="80"/>
        <v>0</v>
      </c>
      <c r="AE56" s="113">
        <f t="shared" si="80"/>
        <v>0</v>
      </c>
      <c r="AF56" s="460">
        <f t="shared" si="80"/>
        <v>0</v>
      </c>
      <c r="AG56" s="582">
        <f t="shared" si="80"/>
        <v>4</v>
      </c>
      <c r="AH56" s="113">
        <f t="shared" si="80"/>
        <v>3</v>
      </c>
      <c r="AI56" s="113">
        <f t="shared" si="80"/>
        <v>0</v>
      </c>
      <c r="AJ56" s="113">
        <f t="shared" si="80"/>
        <v>0</v>
      </c>
      <c r="AK56" s="459">
        <f t="shared" si="80"/>
        <v>1</v>
      </c>
      <c r="AL56" s="461">
        <f t="shared" si="80"/>
        <v>27</v>
      </c>
      <c r="AM56" s="582">
        <f t="shared" si="80"/>
        <v>10</v>
      </c>
      <c r="AN56" s="113">
        <f t="shared" si="80"/>
        <v>8</v>
      </c>
      <c r="AO56" s="113">
        <f t="shared" si="80"/>
        <v>0</v>
      </c>
      <c r="AP56" s="113">
        <f t="shared" si="80"/>
        <v>2</v>
      </c>
      <c r="AQ56" s="460">
        <f t="shared" si="80"/>
        <v>0</v>
      </c>
      <c r="AR56" s="582">
        <f t="shared" ref="AR56:DC60" si="82">SUMIFS(AR$5:AR$36,$B$5:$B$36,$A56)</f>
        <v>17</v>
      </c>
      <c r="AS56" s="113">
        <f t="shared" si="82"/>
        <v>14</v>
      </c>
      <c r="AT56" s="113">
        <f t="shared" si="82"/>
        <v>0</v>
      </c>
      <c r="AU56" s="113">
        <f t="shared" si="82"/>
        <v>3</v>
      </c>
      <c r="AV56" s="459">
        <f t="shared" si="82"/>
        <v>0</v>
      </c>
      <c r="AW56" s="461">
        <f t="shared" si="82"/>
        <v>24</v>
      </c>
      <c r="AX56" s="582">
        <f t="shared" si="82"/>
        <v>8</v>
      </c>
      <c r="AY56" s="113">
        <f t="shared" si="82"/>
        <v>7</v>
      </c>
      <c r="AZ56" s="113">
        <f t="shared" si="82"/>
        <v>0</v>
      </c>
      <c r="BA56" s="113">
        <f t="shared" si="82"/>
        <v>1</v>
      </c>
      <c r="BB56" s="460">
        <f t="shared" si="82"/>
        <v>0</v>
      </c>
      <c r="BC56" s="582">
        <f t="shared" si="82"/>
        <v>16</v>
      </c>
      <c r="BD56" s="113">
        <f t="shared" si="82"/>
        <v>14</v>
      </c>
      <c r="BE56" s="113">
        <f t="shared" si="82"/>
        <v>0</v>
      </c>
      <c r="BF56" s="113">
        <f t="shared" si="82"/>
        <v>0</v>
      </c>
      <c r="BG56" s="459">
        <f t="shared" si="82"/>
        <v>2</v>
      </c>
      <c r="BH56" s="461">
        <f t="shared" si="82"/>
        <v>15</v>
      </c>
      <c r="BI56" s="582">
        <f t="shared" si="82"/>
        <v>7</v>
      </c>
      <c r="BJ56" s="113">
        <f t="shared" si="82"/>
        <v>6</v>
      </c>
      <c r="BK56" s="113">
        <f t="shared" si="82"/>
        <v>0</v>
      </c>
      <c r="BL56" s="113">
        <f t="shared" si="82"/>
        <v>1</v>
      </c>
      <c r="BM56" s="460">
        <f t="shared" si="82"/>
        <v>0</v>
      </c>
      <c r="BN56" s="582">
        <f t="shared" si="82"/>
        <v>8</v>
      </c>
      <c r="BO56" s="113">
        <f t="shared" si="82"/>
        <v>6</v>
      </c>
      <c r="BP56" s="113">
        <f t="shared" si="82"/>
        <v>0</v>
      </c>
      <c r="BQ56" s="113">
        <f t="shared" si="82"/>
        <v>2</v>
      </c>
      <c r="BR56" s="459">
        <f t="shared" si="82"/>
        <v>0</v>
      </c>
      <c r="BS56" s="461">
        <f t="shared" si="82"/>
        <v>30</v>
      </c>
      <c r="BT56" s="582">
        <f t="shared" si="82"/>
        <v>7</v>
      </c>
      <c r="BU56" s="113">
        <f t="shared" si="82"/>
        <v>7</v>
      </c>
      <c r="BV56" s="113">
        <f t="shared" si="82"/>
        <v>0</v>
      </c>
      <c r="BW56" s="113">
        <f t="shared" si="82"/>
        <v>0</v>
      </c>
      <c r="BX56" s="460">
        <f t="shared" si="82"/>
        <v>0</v>
      </c>
      <c r="BY56" s="582">
        <f t="shared" si="82"/>
        <v>23</v>
      </c>
      <c r="BZ56" s="113">
        <f t="shared" si="82"/>
        <v>15</v>
      </c>
      <c r="CA56" s="113">
        <f t="shared" si="82"/>
        <v>0</v>
      </c>
      <c r="CB56" s="113">
        <f t="shared" si="82"/>
        <v>4</v>
      </c>
      <c r="CC56" s="459">
        <f t="shared" si="82"/>
        <v>4</v>
      </c>
      <c r="CD56" s="461">
        <f t="shared" si="82"/>
        <v>10</v>
      </c>
      <c r="CE56" s="582">
        <f t="shared" si="82"/>
        <v>6</v>
      </c>
      <c r="CF56" s="113">
        <f t="shared" si="82"/>
        <v>5</v>
      </c>
      <c r="CG56" s="113">
        <f t="shared" si="82"/>
        <v>0</v>
      </c>
      <c r="CH56" s="113">
        <f t="shared" si="82"/>
        <v>1</v>
      </c>
      <c r="CI56" s="460">
        <f t="shared" si="82"/>
        <v>0</v>
      </c>
      <c r="CJ56" s="582">
        <f t="shared" si="82"/>
        <v>4</v>
      </c>
      <c r="CK56" s="113">
        <f t="shared" si="82"/>
        <v>4</v>
      </c>
      <c r="CL56" s="113">
        <f t="shared" si="82"/>
        <v>0</v>
      </c>
      <c r="CM56" s="113">
        <f t="shared" si="82"/>
        <v>0</v>
      </c>
      <c r="CN56" s="459">
        <f t="shared" si="82"/>
        <v>0</v>
      </c>
      <c r="CO56" s="461">
        <f t="shared" si="82"/>
        <v>4</v>
      </c>
      <c r="CP56" s="582">
        <f t="shared" si="82"/>
        <v>2</v>
      </c>
      <c r="CQ56" s="113">
        <f t="shared" si="82"/>
        <v>2</v>
      </c>
      <c r="CR56" s="113">
        <f t="shared" si="82"/>
        <v>0</v>
      </c>
      <c r="CS56" s="113">
        <f t="shared" si="82"/>
        <v>0</v>
      </c>
      <c r="CT56" s="460">
        <f t="shared" si="82"/>
        <v>0</v>
      </c>
      <c r="CU56" s="582">
        <f t="shared" si="81"/>
        <v>2</v>
      </c>
      <c r="CV56" s="113">
        <f t="shared" si="81"/>
        <v>2</v>
      </c>
      <c r="CW56" s="113">
        <f t="shared" si="81"/>
        <v>0</v>
      </c>
      <c r="CX56" s="113">
        <f t="shared" si="81"/>
        <v>0</v>
      </c>
      <c r="CY56" s="459">
        <f t="shared" si="81"/>
        <v>0</v>
      </c>
      <c r="CZ56" s="461">
        <f t="shared" si="81"/>
        <v>2</v>
      </c>
      <c r="DA56" s="582">
        <f t="shared" si="81"/>
        <v>0</v>
      </c>
      <c r="DB56" s="113">
        <f t="shared" si="81"/>
        <v>0</v>
      </c>
      <c r="DC56" s="113">
        <f t="shared" si="81"/>
        <v>0</v>
      </c>
      <c r="DD56" s="113">
        <f t="shared" si="81"/>
        <v>0</v>
      </c>
      <c r="DE56" s="460">
        <f t="shared" si="81"/>
        <v>0</v>
      </c>
      <c r="DF56" s="582">
        <f t="shared" si="81"/>
        <v>2</v>
      </c>
      <c r="DG56" s="113">
        <f t="shared" si="81"/>
        <v>2</v>
      </c>
      <c r="DH56" s="113">
        <f t="shared" si="81"/>
        <v>0</v>
      </c>
      <c r="DI56" s="113">
        <f t="shared" si="81"/>
        <v>0</v>
      </c>
      <c r="DJ56" s="459">
        <f t="shared" si="81"/>
        <v>0</v>
      </c>
      <c r="DK56" s="461">
        <f t="shared" si="81"/>
        <v>0</v>
      </c>
      <c r="DL56" s="582">
        <f t="shared" si="81"/>
        <v>0</v>
      </c>
      <c r="DM56" s="113">
        <f t="shared" si="81"/>
        <v>0</v>
      </c>
      <c r="DN56" s="113">
        <f t="shared" si="81"/>
        <v>0</v>
      </c>
      <c r="DO56" s="113">
        <f t="shared" si="81"/>
        <v>0</v>
      </c>
      <c r="DP56" s="460">
        <f t="shared" si="81"/>
        <v>0</v>
      </c>
      <c r="DQ56" s="582">
        <f t="shared" si="81"/>
        <v>0</v>
      </c>
      <c r="DR56" s="113">
        <f t="shared" si="81"/>
        <v>0</v>
      </c>
      <c r="DS56" s="113">
        <f t="shared" si="81"/>
        <v>0</v>
      </c>
      <c r="DT56" s="113">
        <f t="shared" si="81"/>
        <v>0</v>
      </c>
      <c r="DU56" s="459">
        <f t="shared" si="70"/>
        <v>0</v>
      </c>
      <c r="DW56" s="461">
        <f t="shared" si="77"/>
        <v>94</v>
      </c>
      <c r="DX56" s="582">
        <f t="shared" si="77"/>
        <v>30</v>
      </c>
      <c r="DY56" s="113">
        <f t="shared" si="77"/>
        <v>27</v>
      </c>
      <c r="DZ56" s="113">
        <f t="shared" si="77"/>
        <v>0</v>
      </c>
      <c r="EA56" s="113">
        <f t="shared" si="77"/>
        <v>3</v>
      </c>
      <c r="EB56" s="460">
        <f t="shared" si="77"/>
        <v>0</v>
      </c>
      <c r="EC56" s="582">
        <f t="shared" si="77"/>
        <v>64</v>
      </c>
      <c r="ED56" s="113">
        <f t="shared" si="77"/>
        <v>49</v>
      </c>
      <c r="EE56" s="113">
        <f t="shared" si="77"/>
        <v>0</v>
      </c>
      <c r="EF56" s="113">
        <f t="shared" si="76"/>
        <v>7</v>
      </c>
      <c r="EG56" s="459">
        <f t="shared" si="76"/>
        <v>8</v>
      </c>
      <c r="EH56" s="461">
        <f t="shared" si="71"/>
        <v>27</v>
      </c>
      <c r="EI56" s="582">
        <f t="shared" si="71"/>
        <v>10</v>
      </c>
      <c r="EJ56" s="113">
        <f t="shared" si="71"/>
        <v>8</v>
      </c>
      <c r="EK56" s="113">
        <f t="shared" si="71"/>
        <v>0</v>
      </c>
      <c r="EL56" s="113">
        <f t="shared" si="71"/>
        <v>2</v>
      </c>
      <c r="EM56" s="460">
        <f t="shared" si="71"/>
        <v>0</v>
      </c>
      <c r="EN56" s="582">
        <f t="shared" si="71"/>
        <v>17</v>
      </c>
      <c r="EO56" s="113">
        <f t="shared" si="71"/>
        <v>14</v>
      </c>
      <c r="EP56" s="113">
        <f t="shared" si="71"/>
        <v>0</v>
      </c>
      <c r="EQ56" s="113">
        <f t="shared" si="71"/>
        <v>3</v>
      </c>
      <c r="ER56" s="459">
        <f t="shared" si="71"/>
        <v>0</v>
      </c>
    </row>
    <row r="57" spans="1:148">
      <c r="A57" s="466" t="s">
        <v>403</v>
      </c>
      <c r="B57" s="581">
        <v>43132</v>
      </c>
      <c r="C57" s="470">
        <v>2018</v>
      </c>
      <c r="D57" s="461">
        <f t="shared" si="72"/>
        <v>165397</v>
      </c>
      <c r="E57" s="461">
        <f t="shared" si="73"/>
        <v>2747</v>
      </c>
      <c r="F57" s="582">
        <f t="shared" si="73"/>
        <v>928</v>
      </c>
      <c r="G57" s="113">
        <f t="shared" si="73"/>
        <v>754</v>
      </c>
      <c r="H57" s="113">
        <f t="shared" si="73"/>
        <v>0</v>
      </c>
      <c r="I57" s="113">
        <f t="shared" si="73"/>
        <v>174</v>
      </c>
      <c r="J57" s="460">
        <f t="shared" si="73"/>
        <v>0</v>
      </c>
      <c r="K57" s="582">
        <f t="shared" si="73"/>
        <v>1819</v>
      </c>
      <c r="L57" s="113">
        <f t="shared" si="73"/>
        <v>1251</v>
      </c>
      <c r="M57" s="113">
        <f t="shared" si="73"/>
        <v>0</v>
      </c>
      <c r="N57" s="113">
        <f t="shared" si="73"/>
        <v>359</v>
      </c>
      <c r="O57" s="459">
        <f t="shared" si="73"/>
        <v>209</v>
      </c>
      <c r="P57" s="461">
        <f t="shared" si="73"/>
        <v>5</v>
      </c>
      <c r="Q57" s="582">
        <f t="shared" si="73"/>
        <v>0</v>
      </c>
      <c r="R57" s="113">
        <f t="shared" si="73"/>
        <v>0</v>
      </c>
      <c r="S57" s="113">
        <f t="shared" si="73"/>
        <v>0</v>
      </c>
      <c r="T57" s="113">
        <f t="shared" si="73"/>
        <v>0</v>
      </c>
      <c r="U57" s="460">
        <f t="shared" si="80"/>
        <v>0</v>
      </c>
      <c r="V57" s="582">
        <f t="shared" si="80"/>
        <v>5</v>
      </c>
      <c r="W57" s="113">
        <f t="shared" si="80"/>
        <v>3</v>
      </c>
      <c r="X57" s="113">
        <f t="shared" si="80"/>
        <v>0</v>
      </c>
      <c r="Y57" s="113">
        <f t="shared" si="80"/>
        <v>1</v>
      </c>
      <c r="Z57" s="459">
        <f t="shared" si="80"/>
        <v>1</v>
      </c>
      <c r="AA57" s="461">
        <f t="shared" si="80"/>
        <v>4</v>
      </c>
      <c r="AB57" s="582">
        <f t="shared" si="80"/>
        <v>0</v>
      </c>
      <c r="AC57" s="113">
        <f t="shared" si="80"/>
        <v>0</v>
      </c>
      <c r="AD57" s="113">
        <f t="shared" si="80"/>
        <v>0</v>
      </c>
      <c r="AE57" s="113">
        <f t="shared" si="80"/>
        <v>0</v>
      </c>
      <c r="AF57" s="460">
        <f t="shared" si="80"/>
        <v>0</v>
      </c>
      <c r="AG57" s="582">
        <f t="shared" si="80"/>
        <v>4</v>
      </c>
      <c r="AH57" s="113">
        <f t="shared" si="80"/>
        <v>3</v>
      </c>
      <c r="AI57" s="113">
        <f t="shared" si="80"/>
        <v>0</v>
      </c>
      <c r="AJ57" s="113">
        <f t="shared" si="80"/>
        <v>0</v>
      </c>
      <c r="AK57" s="459">
        <f t="shared" si="80"/>
        <v>1</v>
      </c>
      <c r="AL57" s="461">
        <f t="shared" si="80"/>
        <v>27</v>
      </c>
      <c r="AM57" s="582">
        <f t="shared" si="80"/>
        <v>10</v>
      </c>
      <c r="AN57" s="113">
        <f t="shared" si="80"/>
        <v>8</v>
      </c>
      <c r="AO57" s="113">
        <f t="shared" si="80"/>
        <v>0</v>
      </c>
      <c r="AP57" s="113">
        <f t="shared" si="80"/>
        <v>2</v>
      </c>
      <c r="AQ57" s="460">
        <f t="shared" si="80"/>
        <v>0</v>
      </c>
      <c r="AR57" s="582">
        <f t="shared" si="82"/>
        <v>17</v>
      </c>
      <c r="AS57" s="113">
        <f t="shared" si="82"/>
        <v>14</v>
      </c>
      <c r="AT57" s="113">
        <f t="shared" si="82"/>
        <v>0</v>
      </c>
      <c r="AU57" s="113">
        <f t="shared" si="82"/>
        <v>3</v>
      </c>
      <c r="AV57" s="459">
        <f t="shared" si="82"/>
        <v>0</v>
      </c>
      <c r="AW57" s="461">
        <f t="shared" si="82"/>
        <v>24</v>
      </c>
      <c r="AX57" s="582">
        <f t="shared" si="82"/>
        <v>8</v>
      </c>
      <c r="AY57" s="113">
        <f t="shared" si="82"/>
        <v>7</v>
      </c>
      <c r="AZ57" s="113">
        <f t="shared" si="82"/>
        <v>0</v>
      </c>
      <c r="BA57" s="113">
        <f t="shared" si="82"/>
        <v>1</v>
      </c>
      <c r="BB57" s="460">
        <f t="shared" si="82"/>
        <v>0</v>
      </c>
      <c r="BC57" s="582">
        <f t="shared" si="82"/>
        <v>16</v>
      </c>
      <c r="BD57" s="113">
        <f t="shared" si="82"/>
        <v>14</v>
      </c>
      <c r="BE57" s="113">
        <f t="shared" si="82"/>
        <v>0</v>
      </c>
      <c r="BF57" s="113">
        <f t="shared" si="82"/>
        <v>0</v>
      </c>
      <c r="BG57" s="459">
        <f t="shared" si="82"/>
        <v>2</v>
      </c>
      <c r="BH57" s="461">
        <f t="shared" si="82"/>
        <v>15</v>
      </c>
      <c r="BI57" s="582">
        <f t="shared" si="82"/>
        <v>7</v>
      </c>
      <c r="BJ57" s="113">
        <f t="shared" si="82"/>
        <v>6</v>
      </c>
      <c r="BK57" s="113">
        <f t="shared" si="82"/>
        <v>0</v>
      </c>
      <c r="BL57" s="113">
        <f t="shared" si="82"/>
        <v>1</v>
      </c>
      <c r="BM57" s="460">
        <f t="shared" si="82"/>
        <v>0</v>
      </c>
      <c r="BN57" s="582">
        <f t="shared" si="82"/>
        <v>8</v>
      </c>
      <c r="BO57" s="113">
        <f t="shared" si="82"/>
        <v>6</v>
      </c>
      <c r="BP57" s="113">
        <f t="shared" si="82"/>
        <v>0</v>
      </c>
      <c r="BQ57" s="113">
        <f t="shared" si="82"/>
        <v>2</v>
      </c>
      <c r="BR57" s="459">
        <f t="shared" si="82"/>
        <v>0</v>
      </c>
      <c r="BS57" s="461">
        <f t="shared" si="82"/>
        <v>30</v>
      </c>
      <c r="BT57" s="582">
        <f t="shared" si="82"/>
        <v>7</v>
      </c>
      <c r="BU57" s="113">
        <f t="shared" si="82"/>
        <v>7</v>
      </c>
      <c r="BV57" s="113">
        <f t="shared" si="82"/>
        <v>0</v>
      </c>
      <c r="BW57" s="113">
        <f t="shared" si="82"/>
        <v>0</v>
      </c>
      <c r="BX57" s="460">
        <f t="shared" si="82"/>
        <v>0</v>
      </c>
      <c r="BY57" s="582">
        <f t="shared" si="82"/>
        <v>23</v>
      </c>
      <c r="BZ57" s="113">
        <f t="shared" si="82"/>
        <v>15</v>
      </c>
      <c r="CA57" s="113">
        <f t="shared" si="82"/>
        <v>0</v>
      </c>
      <c r="CB57" s="113">
        <f t="shared" si="82"/>
        <v>4</v>
      </c>
      <c r="CC57" s="459">
        <f t="shared" si="82"/>
        <v>4</v>
      </c>
      <c r="CD57" s="461">
        <f t="shared" si="82"/>
        <v>10</v>
      </c>
      <c r="CE57" s="582">
        <f t="shared" si="82"/>
        <v>6</v>
      </c>
      <c r="CF57" s="113">
        <f t="shared" si="82"/>
        <v>5</v>
      </c>
      <c r="CG57" s="113">
        <f t="shared" si="82"/>
        <v>0</v>
      </c>
      <c r="CH57" s="113">
        <f t="shared" si="82"/>
        <v>1</v>
      </c>
      <c r="CI57" s="460">
        <f t="shared" si="82"/>
        <v>0</v>
      </c>
      <c r="CJ57" s="582">
        <f t="shared" si="82"/>
        <v>4</v>
      </c>
      <c r="CK57" s="113">
        <f t="shared" si="82"/>
        <v>4</v>
      </c>
      <c r="CL57" s="113">
        <f t="shared" si="82"/>
        <v>0</v>
      </c>
      <c r="CM57" s="113">
        <f t="shared" si="82"/>
        <v>0</v>
      </c>
      <c r="CN57" s="459">
        <f t="shared" si="82"/>
        <v>0</v>
      </c>
      <c r="CO57" s="461">
        <f t="shared" si="82"/>
        <v>4</v>
      </c>
      <c r="CP57" s="582">
        <f t="shared" si="82"/>
        <v>2</v>
      </c>
      <c r="CQ57" s="113">
        <f t="shared" si="82"/>
        <v>2</v>
      </c>
      <c r="CR57" s="113">
        <f t="shared" si="82"/>
        <v>0</v>
      </c>
      <c r="CS57" s="113">
        <f t="shared" si="82"/>
        <v>0</v>
      </c>
      <c r="CT57" s="460">
        <f t="shared" si="82"/>
        <v>0</v>
      </c>
      <c r="CU57" s="582">
        <f t="shared" si="81"/>
        <v>2</v>
      </c>
      <c r="CV57" s="113">
        <f t="shared" si="81"/>
        <v>2</v>
      </c>
      <c r="CW57" s="113">
        <f t="shared" si="81"/>
        <v>0</v>
      </c>
      <c r="CX57" s="113">
        <f t="shared" si="81"/>
        <v>0</v>
      </c>
      <c r="CY57" s="459">
        <f t="shared" si="81"/>
        <v>0</v>
      </c>
      <c r="CZ57" s="461">
        <f t="shared" si="81"/>
        <v>2</v>
      </c>
      <c r="DA57" s="582">
        <f t="shared" si="81"/>
        <v>0</v>
      </c>
      <c r="DB57" s="113">
        <f t="shared" si="81"/>
        <v>0</v>
      </c>
      <c r="DC57" s="113">
        <f t="shared" si="81"/>
        <v>0</v>
      </c>
      <c r="DD57" s="113">
        <f t="shared" si="81"/>
        <v>0</v>
      </c>
      <c r="DE57" s="460">
        <f t="shared" si="81"/>
        <v>0</v>
      </c>
      <c r="DF57" s="582">
        <f t="shared" si="81"/>
        <v>2</v>
      </c>
      <c r="DG57" s="113">
        <f t="shared" si="81"/>
        <v>2</v>
      </c>
      <c r="DH57" s="113">
        <f t="shared" si="81"/>
        <v>0</v>
      </c>
      <c r="DI57" s="113">
        <f t="shared" si="81"/>
        <v>0</v>
      </c>
      <c r="DJ57" s="459">
        <f t="shared" si="81"/>
        <v>0</v>
      </c>
      <c r="DK57" s="461">
        <f t="shared" si="81"/>
        <v>0</v>
      </c>
      <c r="DL57" s="582">
        <f t="shared" si="81"/>
        <v>0</v>
      </c>
      <c r="DM57" s="113">
        <f t="shared" si="81"/>
        <v>0</v>
      </c>
      <c r="DN57" s="113">
        <f t="shared" si="81"/>
        <v>0</v>
      </c>
      <c r="DO57" s="113">
        <f t="shared" si="81"/>
        <v>0</v>
      </c>
      <c r="DP57" s="460">
        <f t="shared" si="81"/>
        <v>0</v>
      </c>
      <c r="DQ57" s="582">
        <f t="shared" si="81"/>
        <v>0</v>
      </c>
      <c r="DR57" s="113">
        <f t="shared" si="81"/>
        <v>0</v>
      </c>
      <c r="DS57" s="113">
        <f t="shared" si="81"/>
        <v>0</v>
      </c>
      <c r="DT57" s="113">
        <f t="shared" si="81"/>
        <v>0</v>
      </c>
      <c r="DU57" s="459">
        <f t="shared" si="70"/>
        <v>0</v>
      </c>
      <c r="DW57" s="461">
        <f t="shared" si="77"/>
        <v>94</v>
      </c>
      <c r="DX57" s="582">
        <f t="shared" si="77"/>
        <v>30</v>
      </c>
      <c r="DY57" s="113">
        <f t="shared" si="77"/>
        <v>27</v>
      </c>
      <c r="DZ57" s="113">
        <f t="shared" si="77"/>
        <v>0</v>
      </c>
      <c r="EA57" s="113">
        <f t="shared" si="77"/>
        <v>3</v>
      </c>
      <c r="EB57" s="460">
        <f t="shared" si="77"/>
        <v>0</v>
      </c>
      <c r="EC57" s="582">
        <f t="shared" si="77"/>
        <v>64</v>
      </c>
      <c r="ED57" s="113">
        <f t="shared" si="77"/>
        <v>49</v>
      </c>
      <c r="EE57" s="113">
        <f t="shared" si="77"/>
        <v>0</v>
      </c>
      <c r="EF57" s="113">
        <f t="shared" si="76"/>
        <v>7</v>
      </c>
      <c r="EG57" s="459">
        <f t="shared" si="76"/>
        <v>8</v>
      </c>
      <c r="EH57" s="461">
        <f t="shared" si="71"/>
        <v>27</v>
      </c>
      <c r="EI57" s="582">
        <f t="shared" si="71"/>
        <v>10</v>
      </c>
      <c r="EJ57" s="113">
        <f t="shared" si="71"/>
        <v>8</v>
      </c>
      <c r="EK57" s="113">
        <f t="shared" si="71"/>
        <v>0</v>
      </c>
      <c r="EL57" s="113">
        <f t="shared" si="71"/>
        <v>2</v>
      </c>
      <c r="EM57" s="460">
        <f t="shared" si="71"/>
        <v>0</v>
      </c>
      <c r="EN57" s="582">
        <f t="shared" si="71"/>
        <v>17</v>
      </c>
      <c r="EO57" s="113">
        <f t="shared" si="71"/>
        <v>14</v>
      </c>
      <c r="EP57" s="113">
        <f t="shared" si="71"/>
        <v>0</v>
      </c>
      <c r="EQ57" s="113">
        <f t="shared" si="71"/>
        <v>3</v>
      </c>
      <c r="ER57" s="459">
        <f t="shared" si="71"/>
        <v>0</v>
      </c>
    </row>
    <row r="58" spans="1:148">
      <c r="A58" s="466" t="s">
        <v>403</v>
      </c>
      <c r="B58" s="581">
        <v>43160</v>
      </c>
      <c r="C58" s="470">
        <v>2018</v>
      </c>
      <c r="D58" s="461">
        <f t="shared" si="72"/>
        <v>165397</v>
      </c>
      <c r="E58" s="461">
        <f t="shared" si="73"/>
        <v>2747</v>
      </c>
      <c r="F58" s="582">
        <f t="shared" si="73"/>
        <v>928</v>
      </c>
      <c r="G58" s="113">
        <f t="shared" si="73"/>
        <v>754</v>
      </c>
      <c r="H58" s="113">
        <f t="shared" si="73"/>
        <v>0</v>
      </c>
      <c r="I58" s="113">
        <f t="shared" si="73"/>
        <v>174</v>
      </c>
      <c r="J58" s="460">
        <f t="shared" si="73"/>
        <v>0</v>
      </c>
      <c r="K58" s="582">
        <f t="shared" si="73"/>
        <v>1819</v>
      </c>
      <c r="L58" s="113">
        <f t="shared" si="73"/>
        <v>1251</v>
      </c>
      <c r="M58" s="113">
        <f t="shared" si="73"/>
        <v>0</v>
      </c>
      <c r="N58" s="113">
        <f t="shared" si="73"/>
        <v>359</v>
      </c>
      <c r="O58" s="459">
        <f t="shared" si="73"/>
        <v>209</v>
      </c>
      <c r="P58" s="461">
        <f t="shared" si="73"/>
        <v>5</v>
      </c>
      <c r="Q58" s="582">
        <f t="shared" si="73"/>
        <v>0</v>
      </c>
      <c r="R58" s="113">
        <f t="shared" si="73"/>
        <v>0</v>
      </c>
      <c r="S58" s="113">
        <f t="shared" si="73"/>
        <v>0</v>
      </c>
      <c r="T58" s="113">
        <f t="shared" si="73"/>
        <v>0</v>
      </c>
      <c r="U58" s="460">
        <f t="shared" si="80"/>
        <v>0</v>
      </c>
      <c r="V58" s="582">
        <f t="shared" si="80"/>
        <v>5</v>
      </c>
      <c r="W58" s="113">
        <f t="shared" si="80"/>
        <v>3</v>
      </c>
      <c r="X58" s="113">
        <f t="shared" si="80"/>
        <v>0</v>
      </c>
      <c r="Y58" s="113">
        <f t="shared" si="80"/>
        <v>1</v>
      </c>
      <c r="Z58" s="459">
        <f t="shared" si="80"/>
        <v>1</v>
      </c>
      <c r="AA58" s="461">
        <f t="shared" si="80"/>
        <v>4</v>
      </c>
      <c r="AB58" s="582">
        <f t="shared" si="80"/>
        <v>0</v>
      </c>
      <c r="AC58" s="113">
        <f t="shared" si="80"/>
        <v>0</v>
      </c>
      <c r="AD58" s="113">
        <f t="shared" si="80"/>
        <v>0</v>
      </c>
      <c r="AE58" s="113">
        <f t="shared" si="80"/>
        <v>0</v>
      </c>
      <c r="AF58" s="460">
        <f t="shared" si="80"/>
        <v>0</v>
      </c>
      <c r="AG58" s="582">
        <f t="shared" si="80"/>
        <v>4</v>
      </c>
      <c r="AH58" s="113">
        <f t="shared" si="80"/>
        <v>3</v>
      </c>
      <c r="AI58" s="113">
        <f t="shared" si="80"/>
        <v>0</v>
      </c>
      <c r="AJ58" s="113">
        <f t="shared" si="80"/>
        <v>0</v>
      </c>
      <c r="AK58" s="459">
        <f t="shared" si="80"/>
        <v>1</v>
      </c>
      <c r="AL58" s="461">
        <f t="shared" si="80"/>
        <v>27</v>
      </c>
      <c r="AM58" s="582">
        <f t="shared" si="80"/>
        <v>10</v>
      </c>
      <c r="AN58" s="113">
        <f t="shared" si="80"/>
        <v>8</v>
      </c>
      <c r="AO58" s="113">
        <f t="shared" si="80"/>
        <v>0</v>
      </c>
      <c r="AP58" s="113">
        <f t="shared" si="80"/>
        <v>2</v>
      </c>
      <c r="AQ58" s="460">
        <f t="shared" si="80"/>
        <v>0</v>
      </c>
      <c r="AR58" s="582">
        <f t="shared" si="82"/>
        <v>17</v>
      </c>
      <c r="AS58" s="113">
        <f t="shared" si="82"/>
        <v>14</v>
      </c>
      <c r="AT58" s="113">
        <f t="shared" si="82"/>
        <v>0</v>
      </c>
      <c r="AU58" s="113">
        <f t="shared" si="82"/>
        <v>3</v>
      </c>
      <c r="AV58" s="459">
        <f t="shared" si="82"/>
        <v>0</v>
      </c>
      <c r="AW58" s="461">
        <f t="shared" si="82"/>
        <v>24</v>
      </c>
      <c r="AX58" s="582">
        <f t="shared" si="82"/>
        <v>8</v>
      </c>
      <c r="AY58" s="113">
        <f t="shared" si="82"/>
        <v>7</v>
      </c>
      <c r="AZ58" s="113">
        <f t="shared" si="82"/>
        <v>0</v>
      </c>
      <c r="BA58" s="113">
        <f t="shared" si="82"/>
        <v>1</v>
      </c>
      <c r="BB58" s="460">
        <f t="shared" si="82"/>
        <v>0</v>
      </c>
      <c r="BC58" s="582">
        <f t="shared" si="82"/>
        <v>16</v>
      </c>
      <c r="BD58" s="113">
        <f t="shared" si="82"/>
        <v>14</v>
      </c>
      <c r="BE58" s="113">
        <f t="shared" si="82"/>
        <v>0</v>
      </c>
      <c r="BF58" s="113">
        <f t="shared" si="82"/>
        <v>0</v>
      </c>
      <c r="BG58" s="459">
        <f t="shared" si="82"/>
        <v>2</v>
      </c>
      <c r="BH58" s="461">
        <f t="shared" si="82"/>
        <v>15</v>
      </c>
      <c r="BI58" s="582">
        <f t="shared" si="82"/>
        <v>7</v>
      </c>
      <c r="BJ58" s="113">
        <f t="shared" si="82"/>
        <v>6</v>
      </c>
      <c r="BK58" s="113">
        <f t="shared" si="82"/>
        <v>0</v>
      </c>
      <c r="BL58" s="113">
        <f t="shared" si="82"/>
        <v>1</v>
      </c>
      <c r="BM58" s="460">
        <f t="shared" si="82"/>
        <v>0</v>
      </c>
      <c r="BN58" s="582">
        <f t="shared" si="82"/>
        <v>8</v>
      </c>
      <c r="BO58" s="113">
        <f t="shared" si="82"/>
        <v>6</v>
      </c>
      <c r="BP58" s="113">
        <f t="shared" si="82"/>
        <v>0</v>
      </c>
      <c r="BQ58" s="113">
        <f t="shared" si="82"/>
        <v>2</v>
      </c>
      <c r="BR58" s="459">
        <f t="shared" si="82"/>
        <v>0</v>
      </c>
      <c r="BS58" s="461">
        <f t="shared" si="82"/>
        <v>30</v>
      </c>
      <c r="BT58" s="582">
        <f t="shared" si="82"/>
        <v>7</v>
      </c>
      <c r="BU58" s="113">
        <f t="shared" si="82"/>
        <v>7</v>
      </c>
      <c r="BV58" s="113">
        <f t="shared" si="82"/>
        <v>0</v>
      </c>
      <c r="BW58" s="113">
        <f t="shared" si="82"/>
        <v>0</v>
      </c>
      <c r="BX58" s="460">
        <f t="shared" si="82"/>
        <v>0</v>
      </c>
      <c r="BY58" s="582">
        <f t="shared" si="82"/>
        <v>23</v>
      </c>
      <c r="BZ58" s="113">
        <f t="shared" si="82"/>
        <v>15</v>
      </c>
      <c r="CA58" s="113">
        <f t="shared" si="82"/>
        <v>0</v>
      </c>
      <c r="CB58" s="113">
        <f t="shared" si="82"/>
        <v>4</v>
      </c>
      <c r="CC58" s="459">
        <f t="shared" si="82"/>
        <v>4</v>
      </c>
      <c r="CD58" s="461">
        <f t="shared" si="82"/>
        <v>10</v>
      </c>
      <c r="CE58" s="582">
        <f t="shared" si="82"/>
        <v>6</v>
      </c>
      <c r="CF58" s="113">
        <f t="shared" si="82"/>
        <v>5</v>
      </c>
      <c r="CG58" s="113">
        <f t="shared" si="82"/>
        <v>0</v>
      </c>
      <c r="CH58" s="113">
        <f t="shared" si="82"/>
        <v>1</v>
      </c>
      <c r="CI58" s="460">
        <f t="shared" si="82"/>
        <v>0</v>
      </c>
      <c r="CJ58" s="582">
        <f t="shared" si="82"/>
        <v>4</v>
      </c>
      <c r="CK58" s="113">
        <f t="shared" si="82"/>
        <v>4</v>
      </c>
      <c r="CL58" s="113">
        <f t="shared" si="82"/>
        <v>0</v>
      </c>
      <c r="CM58" s="113">
        <f t="shared" si="82"/>
        <v>0</v>
      </c>
      <c r="CN58" s="459">
        <f t="shared" si="82"/>
        <v>0</v>
      </c>
      <c r="CO58" s="461">
        <f t="shared" si="82"/>
        <v>4</v>
      </c>
      <c r="CP58" s="582">
        <f t="shared" si="82"/>
        <v>2</v>
      </c>
      <c r="CQ58" s="113">
        <f t="shared" si="82"/>
        <v>2</v>
      </c>
      <c r="CR58" s="113">
        <f t="shared" si="82"/>
        <v>0</v>
      </c>
      <c r="CS58" s="113">
        <f t="shared" si="82"/>
        <v>0</v>
      </c>
      <c r="CT58" s="460">
        <f t="shared" si="82"/>
        <v>0</v>
      </c>
      <c r="CU58" s="582">
        <f t="shared" si="81"/>
        <v>2</v>
      </c>
      <c r="CV58" s="113">
        <f t="shared" si="81"/>
        <v>2</v>
      </c>
      <c r="CW58" s="113">
        <f t="shared" si="81"/>
        <v>0</v>
      </c>
      <c r="CX58" s="113">
        <f t="shared" si="81"/>
        <v>0</v>
      </c>
      <c r="CY58" s="459">
        <f t="shared" si="81"/>
        <v>0</v>
      </c>
      <c r="CZ58" s="461">
        <f t="shared" si="81"/>
        <v>2</v>
      </c>
      <c r="DA58" s="582">
        <f t="shared" si="81"/>
        <v>0</v>
      </c>
      <c r="DB58" s="113">
        <f t="shared" si="81"/>
        <v>0</v>
      </c>
      <c r="DC58" s="113">
        <f t="shared" si="81"/>
        <v>0</v>
      </c>
      <c r="DD58" s="113">
        <f t="shared" si="81"/>
        <v>0</v>
      </c>
      <c r="DE58" s="460">
        <f t="shared" si="81"/>
        <v>0</v>
      </c>
      <c r="DF58" s="582">
        <f t="shared" si="81"/>
        <v>2</v>
      </c>
      <c r="DG58" s="113">
        <f t="shared" si="81"/>
        <v>2</v>
      </c>
      <c r="DH58" s="113">
        <f t="shared" si="81"/>
        <v>0</v>
      </c>
      <c r="DI58" s="113">
        <f t="shared" si="81"/>
        <v>0</v>
      </c>
      <c r="DJ58" s="459">
        <f t="shared" si="81"/>
        <v>0</v>
      </c>
      <c r="DK58" s="461">
        <f t="shared" si="81"/>
        <v>0</v>
      </c>
      <c r="DL58" s="582">
        <f t="shared" si="81"/>
        <v>0</v>
      </c>
      <c r="DM58" s="113">
        <f t="shared" si="81"/>
        <v>0</v>
      </c>
      <c r="DN58" s="113">
        <f t="shared" si="81"/>
        <v>0</v>
      </c>
      <c r="DO58" s="113">
        <f t="shared" si="81"/>
        <v>0</v>
      </c>
      <c r="DP58" s="460">
        <f t="shared" si="81"/>
        <v>0</v>
      </c>
      <c r="DQ58" s="582">
        <f t="shared" si="81"/>
        <v>0</v>
      </c>
      <c r="DR58" s="113">
        <f t="shared" si="81"/>
        <v>0</v>
      </c>
      <c r="DS58" s="113">
        <f t="shared" si="81"/>
        <v>0</v>
      </c>
      <c r="DT58" s="113">
        <f t="shared" si="81"/>
        <v>0</v>
      </c>
      <c r="DU58" s="459">
        <f t="shared" si="70"/>
        <v>0</v>
      </c>
      <c r="DW58" s="461">
        <f t="shared" si="77"/>
        <v>94</v>
      </c>
      <c r="DX58" s="582">
        <f t="shared" si="77"/>
        <v>30</v>
      </c>
      <c r="DY58" s="113">
        <f t="shared" si="77"/>
        <v>27</v>
      </c>
      <c r="DZ58" s="113">
        <f t="shared" si="77"/>
        <v>0</v>
      </c>
      <c r="EA58" s="113">
        <f t="shared" si="77"/>
        <v>3</v>
      </c>
      <c r="EB58" s="460">
        <f t="shared" si="77"/>
        <v>0</v>
      </c>
      <c r="EC58" s="582">
        <f t="shared" si="77"/>
        <v>64</v>
      </c>
      <c r="ED58" s="113">
        <f t="shared" si="77"/>
        <v>49</v>
      </c>
      <c r="EE58" s="113">
        <f t="shared" si="77"/>
        <v>0</v>
      </c>
      <c r="EF58" s="113">
        <f t="shared" si="76"/>
        <v>7</v>
      </c>
      <c r="EG58" s="459">
        <f t="shared" si="76"/>
        <v>8</v>
      </c>
      <c r="EH58" s="461">
        <f t="shared" si="71"/>
        <v>27</v>
      </c>
      <c r="EI58" s="582">
        <f t="shared" si="71"/>
        <v>10</v>
      </c>
      <c r="EJ58" s="113">
        <f t="shared" si="71"/>
        <v>8</v>
      </c>
      <c r="EK58" s="113">
        <f t="shared" si="71"/>
        <v>0</v>
      </c>
      <c r="EL58" s="113">
        <f t="shared" si="71"/>
        <v>2</v>
      </c>
      <c r="EM58" s="460">
        <f t="shared" si="71"/>
        <v>0</v>
      </c>
      <c r="EN58" s="582">
        <f t="shared" si="71"/>
        <v>17</v>
      </c>
      <c r="EO58" s="113">
        <f t="shared" si="71"/>
        <v>14</v>
      </c>
      <c r="EP58" s="113">
        <f t="shared" si="71"/>
        <v>0</v>
      </c>
      <c r="EQ58" s="113">
        <f t="shared" si="71"/>
        <v>3</v>
      </c>
      <c r="ER58" s="459">
        <f t="shared" si="71"/>
        <v>0</v>
      </c>
    </row>
    <row r="59" spans="1:148">
      <c r="A59" s="466" t="s">
        <v>404</v>
      </c>
      <c r="B59" s="581">
        <v>43191</v>
      </c>
      <c r="C59" s="470">
        <v>2018</v>
      </c>
      <c r="D59" s="461">
        <f t="shared" si="72"/>
        <v>239881</v>
      </c>
      <c r="E59" s="461">
        <f t="shared" si="73"/>
        <v>6949</v>
      </c>
      <c r="F59" s="582">
        <f t="shared" si="73"/>
        <v>3617</v>
      </c>
      <c r="G59" s="113">
        <f t="shared" si="73"/>
        <v>3306</v>
      </c>
      <c r="H59" s="113">
        <f t="shared" si="73"/>
        <v>0</v>
      </c>
      <c r="I59" s="113">
        <f t="shared" si="73"/>
        <v>311</v>
      </c>
      <c r="J59" s="460">
        <f t="shared" si="73"/>
        <v>0</v>
      </c>
      <c r="K59" s="582">
        <f t="shared" si="73"/>
        <v>3332</v>
      </c>
      <c r="L59" s="113">
        <f t="shared" si="73"/>
        <v>2218</v>
      </c>
      <c r="M59" s="113">
        <f t="shared" si="73"/>
        <v>0</v>
      </c>
      <c r="N59" s="113">
        <f t="shared" si="73"/>
        <v>707</v>
      </c>
      <c r="O59" s="459">
        <f t="shared" si="73"/>
        <v>407</v>
      </c>
      <c r="P59" s="461">
        <f t="shared" si="73"/>
        <v>13</v>
      </c>
      <c r="Q59" s="582">
        <f t="shared" si="73"/>
        <v>8</v>
      </c>
      <c r="R59" s="113">
        <f t="shared" si="73"/>
        <v>7</v>
      </c>
      <c r="S59" s="113">
        <f t="shared" si="73"/>
        <v>0</v>
      </c>
      <c r="T59" s="113">
        <f t="shared" si="73"/>
        <v>1</v>
      </c>
      <c r="U59" s="460">
        <f t="shared" si="80"/>
        <v>0</v>
      </c>
      <c r="V59" s="582">
        <f t="shared" si="80"/>
        <v>5</v>
      </c>
      <c r="W59" s="113">
        <f t="shared" si="80"/>
        <v>3</v>
      </c>
      <c r="X59" s="113">
        <f t="shared" si="80"/>
        <v>0</v>
      </c>
      <c r="Y59" s="113">
        <f t="shared" si="80"/>
        <v>1</v>
      </c>
      <c r="Z59" s="459">
        <f t="shared" si="80"/>
        <v>1</v>
      </c>
      <c r="AA59" s="461">
        <f t="shared" si="80"/>
        <v>13</v>
      </c>
      <c r="AB59" s="582">
        <f t="shared" si="80"/>
        <v>5</v>
      </c>
      <c r="AC59" s="113">
        <f t="shared" si="80"/>
        <v>4</v>
      </c>
      <c r="AD59" s="113">
        <f t="shared" si="80"/>
        <v>0</v>
      </c>
      <c r="AE59" s="113">
        <f t="shared" si="80"/>
        <v>1</v>
      </c>
      <c r="AF59" s="460">
        <f t="shared" si="80"/>
        <v>0</v>
      </c>
      <c r="AG59" s="582">
        <f t="shared" si="80"/>
        <v>8</v>
      </c>
      <c r="AH59" s="113">
        <f t="shared" si="80"/>
        <v>7</v>
      </c>
      <c r="AI59" s="113">
        <f t="shared" si="80"/>
        <v>0</v>
      </c>
      <c r="AJ59" s="113">
        <f t="shared" si="80"/>
        <v>0</v>
      </c>
      <c r="AK59" s="459">
        <f t="shared" si="80"/>
        <v>1</v>
      </c>
      <c r="AL59" s="461">
        <f t="shared" si="80"/>
        <v>56</v>
      </c>
      <c r="AM59" s="582">
        <f t="shared" si="80"/>
        <v>30</v>
      </c>
      <c r="AN59" s="113">
        <f t="shared" si="80"/>
        <v>28</v>
      </c>
      <c r="AO59" s="113">
        <f t="shared" si="80"/>
        <v>0</v>
      </c>
      <c r="AP59" s="113">
        <f t="shared" si="80"/>
        <v>2</v>
      </c>
      <c r="AQ59" s="460">
        <f t="shared" si="80"/>
        <v>0</v>
      </c>
      <c r="AR59" s="582">
        <f t="shared" si="82"/>
        <v>26</v>
      </c>
      <c r="AS59" s="113">
        <f t="shared" si="82"/>
        <v>17</v>
      </c>
      <c r="AT59" s="113">
        <f t="shared" si="82"/>
        <v>0</v>
      </c>
      <c r="AU59" s="113">
        <f t="shared" si="82"/>
        <v>7</v>
      </c>
      <c r="AV59" s="459">
        <f t="shared" si="82"/>
        <v>2</v>
      </c>
      <c r="AW59" s="461">
        <f t="shared" si="82"/>
        <v>41</v>
      </c>
      <c r="AX59" s="582">
        <f t="shared" si="82"/>
        <v>20</v>
      </c>
      <c r="AY59" s="113">
        <f t="shared" si="82"/>
        <v>18</v>
      </c>
      <c r="AZ59" s="113">
        <f t="shared" si="82"/>
        <v>0</v>
      </c>
      <c r="BA59" s="113">
        <f t="shared" si="82"/>
        <v>2</v>
      </c>
      <c r="BB59" s="460">
        <f t="shared" si="82"/>
        <v>0</v>
      </c>
      <c r="BC59" s="582">
        <f t="shared" si="82"/>
        <v>21</v>
      </c>
      <c r="BD59" s="113">
        <f t="shared" si="82"/>
        <v>16</v>
      </c>
      <c r="BE59" s="113">
        <f t="shared" si="82"/>
        <v>0</v>
      </c>
      <c r="BF59" s="113">
        <f t="shared" si="82"/>
        <v>3</v>
      </c>
      <c r="BG59" s="459">
        <f t="shared" si="82"/>
        <v>2</v>
      </c>
      <c r="BH59" s="461">
        <f t="shared" si="82"/>
        <v>53</v>
      </c>
      <c r="BI59" s="582">
        <f t="shared" si="82"/>
        <v>33</v>
      </c>
      <c r="BJ59" s="113">
        <f t="shared" si="82"/>
        <v>31</v>
      </c>
      <c r="BK59" s="113">
        <f t="shared" si="82"/>
        <v>0</v>
      </c>
      <c r="BL59" s="113">
        <f t="shared" si="82"/>
        <v>2</v>
      </c>
      <c r="BM59" s="460">
        <f t="shared" si="82"/>
        <v>0</v>
      </c>
      <c r="BN59" s="582">
        <f t="shared" si="82"/>
        <v>20</v>
      </c>
      <c r="BO59" s="113">
        <f t="shared" si="82"/>
        <v>12</v>
      </c>
      <c r="BP59" s="113">
        <f t="shared" si="82"/>
        <v>0</v>
      </c>
      <c r="BQ59" s="113">
        <f t="shared" si="82"/>
        <v>7</v>
      </c>
      <c r="BR59" s="459">
        <f t="shared" si="82"/>
        <v>1</v>
      </c>
      <c r="BS59" s="461">
        <f t="shared" si="82"/>
        <v>75</v>
      </c>
      <c r="BT59" s="582">
        <f t="shared" si="82"/>
        <v>41</v>
      </c>
      <c r="BU59" s="113">
        <f t="shared" si="82"/>
        <v>40</v>
      </c>
      <c r="BV59" s="113">
        <f t="shared" si="82"/>
        <v>0</v>
      </c>
      <c r="BW59" s="113">
        <f t="shared" si="82"/>
        <v>1</v>
      </c>
      <c r="BX59" s="460">
        <f t="shared" si="82"/>
        <v>0</v>
      </c>
      <c r="BY59" s="582">
        <f t="shared" si="82"/>
        <v>34</v>
      </c>
      <c r="BZ59" s="113">
        <f t="shared" si="82"/>
        <v>20</v>
      </c>
      <c r="CA59" s="113">
        <f t="shared" si="82"/>
        <v>0</v>
      </c>
      <c r="CB59" s="113">
        <f t="shared" si="82"/>
        <v>9</v>
      </c>
      <c r="CC59" s="459">
        <f t="shared" si="82"/>
        <v>5</v>
      </c>
      <c r="CD59" s="461">
        <f t="shared" si="82"/>
        <v>18</v>
      </c>
      <c r="CE59" s="582">
        <f t="shared" si="82"/>
        <v>11</v>
      </c>
      <c r="CF59" s="113">
        <f t="shared" si="82"/>
        <v>11</v>
      </c>
      <c r="CG59" s="113">
        <f t="shared" si="82"/>
        <v>0</v>
      </c>
      <c r="CH59" s="113">
        <f t="shared" si="82"/>
        <v>0</v>
      </c>
      <c r="CI59" s="460">
        <f t="shared" si="82"/>
        <v>0</v>
      </c>
      <c r="CJ59" s="582">
        <f t="shared" si="82"/>
        <v>7</v>
      </c>
      <c r="CK59" s="113">
        <f t="shared" si="82"/>
        <v>5</v>
      </c>
      <c r="CL59" s="113">
        <f t="shared" si="82"/>
        <v>0</v>
      </c>
      <c r="CM59" s="113">
        <f t="shared" si="82"/>
        <v>1</v>
      </c>
      <c r="CN59" s="459">
        <f t="shared" si="82"/>
        <v>1</v>
      </c>
      <c r="CO59" s="461">
        <f t="shared" si="82"/>
        <v>20</v>
      </c>
      <c r="CP59" s="582">
        <f t="shared" si="82"/>
        <v>10</v>
      </c>
      <c r="CQ59" s="113">
        <f t="shared" si="82"/>
        <v>10</v>
      </c>
      <c r="CR59" s="113">
        <f t="shared" si="82"/>
        <v>0</v>
      </c>
      <c r="CS59" s="113">
        <f t="shared" si="82"/>
        <v>0</v>
      </c>
      <c r="CT59" s="460">
        <f t="shared" si="82"/>
        <v>0</v>
      </c>
      <c r="CU59" s="582">
        <f t="shared" si="82"/>
        <v>10</v>
      </c>
      <c r="CV59" s="113">
        <f t="shared" si="82"/>
        <v>9</v>
      </c>
      <c r="CW59" s="113">
        <f t="shared" si="82"/>
        <v>0</v>
      </c>
      <c r="CX59" s="113">
        <f t="shared" si="82"/>
        <v>1</v>
      </c>
      <c r="CY59" s="459">
        <f t="shared" si="82"/>
        <v>0</v>
      </c>
      <c r="CZ59" s="461">
        <f t="shared" si="82"/>
        <v>1</v>
      </c>
      <c r="DA59" s="582">
        <f t="shared" si="82"/>
        <v>0</v>
      </c>
      <c r="DB59" s="113">
        <f t="shared" si="82"/>
        <v>0</v>
      </c>
      <c r="DC59" s="113">
        <f t="shared" si="82"/>
        <v>0</v>
      </c>
      <c r="DD59" s="113">
        <f t="shared" si="81"/>
        <v>0</v>
      </c>
      <c r="DE59" s="460">
        <f t="shared" si="81"/>
        <v>0</v>
      </c>
      <c r="DF59" s="582">
        <f t="shared" si="81"/>
        <v>1</v>
      </c>
      <c r="DG59" s="113">
        <f t="shared" si="81"/>
        <v>1</v>
      </c>
      <c r="DH59" s="113">
        <f t="shared" si="81"/>
        <v>0</v>
      </c>
      <c r="DI59" s="113">
        <f t="shared" si="81"/>
        <v>0</v>
      </c>
      <c r="DJ59" s="459">
        <f t="shared" si="81"/>
        <v>0</v>
      </c>
      <c r="DK59" s="461">
        <f t="shared" si="81"/>
        <v>0</v>
      </c>
      <c r="DL59" s="582">
        <f t="shared" si="81"/>
        <v>0</v>
      </c>
      <c r="DM59" s="113">
        <f t="shared" si="81"/>
        <v>0</v>
      </c>
      <c r="DN59" s="113">
        <f t="shared" si="81"/>
        <v>0</v>
      </c>
      <c r="DO59" s="113">
        <f t="shared" si="81"/>
        <v>0</v>
      </c>
      <c r="DP59" s="460">
        <f t="shared" si="81"/>
        <v>0</v>
      </c>
      <c r="DQ59" s="582">
        <f t="shared" si="81"/>
        <v>0</v>
      </c>
      <c r="DR59" s="113">
        <f t="shared" si="81"/>
        <v>0</v>
      </c>
      <c r="DS59" s="113">
        <f t="shared" si="81"/>
        <v>0</v>
      </c>
      <c r="DT59" s="113">
        <f t="shared" si="81"/>
        <v>0</v>
      </c>
      <c r="DU59" s="459">
        <f t="shared" si="70"/>
        <v>0</v>
      </c>
      <c r="DW59" s="461">
        <f t="shared" si="77"/>
        <v>234</v>
      </c>
      <c r="DX59" s="582">
        <f t="shared" si="77"/>
        <v>128</v>
      </c>
      <c r="DY59" s="113">
        <f t="shared" si="77"/>
        <v>121</v>
      </c>
      <c r="DZ59" s="113">
        <f t="shared" si="77"/>
        <v>0</v>
      </c>
      <c r="EA59" s="113">
        <f t="shared" si="77"/>
        <v>7</v>
      </c>
      <c r="EB59" s="460">
        <f t="shared" si="77"/>
        <v>0</v>
      </c>
      <c r="EC59" s="582">
        <f t="shared" si="77"/>
        <v>106</v>
      </c>
      <c r="ED59" s="113">
        <f t="shared" si="77"/>
        <v>73</v>
      </c>
      <c r="EE59" s="113">
        <f t="shared" si="77"/>
        <v>0</v>
      </c>
      <c r="EF59" s="113">
        <f t="shared" si="76"/>
        <v>22</v>
      </c>
      <c r="EG59" s="459">
        <f t="shared" si="76"/>
        <v>11</v>
      </c>
      <c r="EH59" s="461">
        <f t="shared" si="71"/>
        <v>56</v>
      </c>
      <c r="EI59" s="582">
        <f t="shared" si="71"/>
        <v>30</v>
      </c>
      <c r="EJ59" s="113">
        <f t="shared" si="71"/>
        <v>28</v>
      </c>
      <c r="EK59" s="113">
        <f t="shared" si="71"/>
        <v>0</v>
      </c>
      <c r="EL59" s="113">
        <f t="shared" si="71"/>
        <v>2</v>
      </c>
      <c r="EM59" s="460">
        <f t="shared" si="71"/>
        <v>0</v>
      </c>
      <c r="EN59" s="582">
        <f t="shared" si="71"/>
        <v>26</v>
      </c>
      <c r="EO59" s="113">
        <f t="shared" si="71"/>
        <v>17</v>
      </c>
      <c r="EP59" s="113">
        <f t="shared" si="71"/>
        <v>0</v>
      </c>
      <c r="EQ59" s="113">
        <f t="shared" si="71"/>
        <v>7</v>
      </c>
      <c r="ER59" s="459">
        <f t="shared" si="71"/>
        <v>2</v>
      </c>
    </row>
    <row r="60" spans="1:148">
      <c r="A60" s="466" t="s">
        <v>404</v>
      </c>
      <c r="B60" s="581">
        <v>43221</v>
      </c>
      <c r="C60" s="470">
        <v>2018</v>
      </c>
      <c r="D60" s="461">
        <f t="shared" si="72"/>
        <v>239881</v>
      </c>
      <c r="E60" s="461">
        <f t="shared" si="73"/>
        <v>6949</v>
      </c>
      <c r="F60" s="582">
        <f t="shared" si="73"/>
        <v>3617</v>
      </c>
      <c r="G60" s="113">
        <f t="shared" si="73"/>
        <v>3306</v>
      </c>
      <c r="H60" s="113">
        <f t="shared" si="73"/>
        <v>0</v>
      </c>
      <c r="I60" s="113">
        <f t="shared" si="73"/>
        <v>311</v>
      </c>
      <c r="J60" s="460">
        <f t="shared" si="73"/>
        <v>0</v>
      </c>
      <c r="K60" s="582">
        <f t="shared" si="73"/>
        <v>3332</v>
      </c>
      <c r="L60" s="113">
        <f t="shared" si="73"/>
        <v>2218</v>
      </c>
      <c r="M60" s="113">
        <f t="shared" si="73"/>
        <v>0</v>
      </c>
      <c r="N60" s="113">
        <f t="shared" si="73"/>
        <v>707</v>
      </c>
      <c r="O60" s="459">
        <f t="shared" si="73"/>
        <v>407</v>
      </c>
      <c r="P60" s="461">
        <f t="shared" si="73"/>
        <v>13</v>
      </c>
      <c r="Q60" s="582">
        <f t="shared" si="73"/>
        <v>8</v>
      </c>
      <c r="R60" s="113">
        <f t="shared" si="73"/>
        <v>7</v>
      </c>
      <c r="S60" s="113">
        <f t="shared" si="73"/>
        <v>0</v>
      </c>
      <c r="T60" s="113">
        <f t="shared" si="73"/>
        <v>1</v>
      </c>
      <c r="U60" s="460">
        <f t="shared" si="80"/>
        <v>0</v>
      </c>
      <c r="V60" s="582">
        <f t="shared" si="80"/>
        <v>5</v>
      </c>
      <c r="W60" s="113">
        <f t="shared" si="80"/>
        <v>3</v>
      </c>
      <c r="X60" s="113">
        <f t="shared" si="80"/>
        <v>0</v>
      </c>
      <c r="Y60" s="113">
        <f t="shared" si="80"/>
        <v>1</v>
      </c>
      <c r="Z60" s="459">
        <f t="shared" si="80"/>
        <v>1</v>
      </c>
      <c r="AA60" s="461">
        <f t="shared" si="80"/>
        <v>13</v>
      </c>
      <c r="AB60" s="582">
        <f t="shared" si="80"/>
        <v>5</v>
      </c>
      <c r="AC60" s="113">
        <f t="shared" si="80"/>
        <v>4</v>
      </c>
      <c r="AD60" s="113">
        <f t="shared" si="80"/>
        <v>0</v>
      </c>
      <c r="AE60" s="113">
        <f t="shared" si="80"/>
        <v>1</v>
      </c>
      <c r="AF60" s="460">
        <f t="shared" si="80"/>
        <v>0</v>
      </c>
      <c r="AG60" s="582">
        <f t="shared" si="80"/>
        <v>8</v>
      </c>
      <c r="AH60" s="113">
        <f t="shared" si="80"/>
        <v>7</v>
      </c>
      <c r="AI60" s="113">
        <f t="shared" si="80"/>
        <v>0</v>
      </c>
      <c r="AJ60" s="113">
        <f t="shared" si="80"/>
        <v>0</v>
      </c>
      <c r="AK60" s="459">
        <f t="shared" si="80"/>
        <v>1</v>
      </c>
      <c r="AL60" s="461">
        <f t="shared" si="80"/>
        <v>56</v>
      </c>
      <c r="AM60" s="582">
        <f t="shared" si="80"/>
        <v>30</v>
      </c>
      <c r="AN60" s="113">
        <f t="shared" si="80"/>
        <v>28</v>
      </c>
      <c r="AO60" s="113">
        <f t="shared" si="80"/>
        <v>0</v>
      </c>
      <c r="AP60" s="113">
        <f t="shared" si="80"/>
        <v>2</v>
      </c>
      <c r="AQ60" s="460">
        <f t="shared" si="80"/>
        <v>0</v>
      </c>
      <c r="AR60" s="582">
        <f t="shared" si="82"/>
        <v>26</v>
      </c>
      <c r="AS60" s="113">
        <f t="shared" si="82"/>
        <v>17</v>
      </c>
      <c r="AT60" s="113">
        <f t="shared" si="82"/>
        <v>0</v>
      </c>
      <c r="AU60" s="113">
        <f t="shared" si="82"/>
        <v>7</v>
      </c>
      <c r="AV60" s="459">
        <f t="shared" si="82"/>
        <v>2</v>
      </c>
      <c r="AW60" s="461">
        <f t="shared" si="82"/>
        <v>41</v>
      </c>
      <c r="AX60" s="582">
        <f t="shared" si="82"/>
        <v>20</v>
      </c>
      <c r="AY60" s="113">
        <f t="shared" si="82"/>
        <v>18</v>
      </c>
      <c r="AZ60" s="113">
        <f t="shared" si="82"/>
        <v>0</v>
      </c>
      <c r="BA60" s="113">
        <f t="shared" si="82"/>
        <v>2</v>
      </c>
      <c r="BB60" s="460">
        <f t="shared" si="82"/>
        <v>0</v>
      </c>
      <c r="BC60" s="582">
        <f t="shared" si="82"/>
        <v>21</v>
      </c>
      <c r="BD60" s="113">
        <f t="shared" si="82"/>
        <v>16</v>
      </c>
      <c r="BE60" s="113">
        <f t="shared" si="82"/>
        <v>0</v>
      </c>
      <c r="BF60" s="113">
        <f t="shared" si="82"/>
        <v>3</v>
      </c>
      <c r="BG60" s="459">
        <f t="shared" si="82"/>
        <v>2</v>
      </c>
      <c r="BH60" s="461">
        <f t="shared" si="82"/>
        <v>53</v>
      </c>
      <c r="BI60" s="582">
        <f t="shared" si="82"/>
        <v>33</v>
      </c>
      <c r="BJ60" s="113">
        <f t="shared" si="82"/>
        <v>31</v>
      </c>
      <c r="BK60" s="113">
        <f t="shared" si="82"/>
        <v>0</v>
      </c>
      <c r="BL60" s="113">
        <f t="shared" si="82"/>
        <v>2</v>
      </c>
      <c r="BM60" s="460">
        <f t="shared" si="82"/>
        <v>0</v>
      </c>
      <c r="BN60" s="582">
        <f t="shared" si="82"/>
        <v>20</v>
      </c>
      <c r="BO60" s="113">
        <f t="shared" si="82"/>
        <v>12</v>
      </c>
      <c r="BP60" s="113">
        <f t="shared" si="82"/>
        <v>0</v>
      </c>
      <c r="BQ60" s="113">
        <f t="shared" si="82"/>
        <v>7</v>
      </c>
      <c r="BR60" s="459">
        <f t="shared" ref="BR60:CT60" si="83">SUMIFS(BR$5:BR$36,$B$5:$B$36,$A60)</f>
        <v>1</v>
      </c>
      <c r="BS60" s="461">
        <f t="shared" si="83"/>
        <v>75</v>
      </c>
      <c r="BT60" s="582">
        <f t="shared" si="83"/>
        <v>41</v>
      </c>
      <c r="BU60" s="113">
        <f t="shared" si="83"/>
        <v>40</v>
      </c>
      <c r="BV60" s="113">
        <f t="shared" si="83"/>
        <v>0</v>
      </c>
      <c r="BW60" s="113">
        <f t="shared" si="83"/>
        <v>1</v>
      </c>
      <c r="BX60" s="460">
        <f t="shared" si="83"/>
        <v>0</v>
      </c>
      <c r="BY60" s="582">
        <f t="shared" si="83"/>
        <v>34</v>
      </c>
      <c r="BZ60" s="113">
        <f t="shared" si="83"/>
        <v>20</v>
      </c>
      <c r="CA60" s="113">
        <f t="shared" si="83"/>
        <v>0</v>
      </c>
      <c r="CB60" s="113">
        <f t="shared" si="83"/>
        <v>9</v>
      </c>
      <c r="CC60" s="459">
        <f t="shared" si="83"/>
        <v>5</v>
      </c>
      <c r="CD60" s="461">
        <f t="shared" si="83"/>
        <v>18</v>
      </c>
      <c r="CE60" s="582">
        <f t="shared" si="83"/>
        <v>11</v>
      </c>
      <c r="CF60" s="113">
        <f t="shared" si="83"/>
        <v>11</v>
      </c>
      <c r="CG60" s="113">
        <f t="shared" si="83"/>
        <v>0</v>
      </c>
      <c r="CH60" s="113">
        <f t="shared" si="83"/>
        <v>0</v>
      </c>
      <c r="CI60" s="460">
        <f t="shared" si="83"/>
        <v>0</v>
      </c>
      <c r="CJ60" s="582">
        <f t="shared" si="83"/>
        <v>7</v>
      </c>
      <c r="CK60" s="113">
        <f t="shared" si="83"/>
        <v>5</v>
      </c>
      <c r="CL60" s="113">
        <f t="shared" si="83"/>
        <v>0</v>
      </c>
      <c r="CM60" s="113">
        <f t="shared" si="83"/>
        <v>1</v>
      </c>
      <c r="CN60" s="459">
        <f t="shared" si="83"/>
        <v>1</v>
      </c>
      <c r="CO60" s="461">
        <f t="shared" si="83"/>
        <v>20</v>
      </c>
      <c r="CP60" s="582">
        <f t="shared" si="83"/>
        <v>10</v>
      </c>
      <c r="CQ60" s="113">
        <f t="shared" si="83"/>
        <v>10</v>
      </c>
      <c r="CR60" s="113">
        <f t="shared" si="83"/>
        <v>0</v>
      </c>
      <c r="CS60" s="113">
        <f t="shared" si="83"/>
        <v>0</v>
      </c>
      <c r="CT60" s="460">
        <f t="shared" si="83"/>
        <v>0</v>
      </c>
      <c r="CU60" s="582">
        <f t="shared" si="81"/>
        <v>10</v>
      </c>
      <c r="CV60" s="113">
        <f t="shared" si="81"/>
        <v>9</v>
      </c>
      <c r="CW60" s="113">
        <f t="shared" si="81"/>
        <v>0</v>
      </c>
      <c r="CX60" s="113">
        <f t="shared" si="81"/>
        <v>1</v>
      </c>
      <c r="CY60" s="459">
        <f t="shared" si="81"/>
        <v>0</v>
      </c>
      <c r="CZ60" s="461">
        <f t="shared" si="81"/>
        <v>1</v>
      </c>
      <c r="DA60" s="582">
        <f t="shared" si="81"/>
        <v>0</v>
      </c>
      <c r="DB60" s="113">
        <f t="shared" si="81"/>
        <v>0</v>
      </c>
      <c r="DC60" s="113">
        <f t="shared" si="81"/>
        <v>0</v>
      </c>
      <c r="DD60" s="113">
        <f t="shared" si="81"/>
        <v>0</v>
      </c>
      <c r="DE60" s="460">
        <f t="shared" si="81"/>
        <v>0</v>
      </c>
      <c r="DF60" s="582">
        <f t="shared" si="81"/>
        <v>1</v>
      </c>
      <c r="DG60" s="113">
        <f t="shared" si="81"/>
        <v>1</v>
      </c>
      <c r="DH60" s="113">
        <f t="shared" si="81"/>
        <v>0</v>
      </c>
      <c r="DI60" s="113">
        <f t="shared" si="81"/>
        <v>0</v>
      </c>
      <c r="DJ60" s="459">
        <f t="shared" si="81"/>
        <v>0</v>
      </c>
      <c r="DK60" s="461">
        <f t="shared" si="81"/>
        <v>0</v>
      </c>
      <c r="DL60" s="582">
        <f t="shared" si="81"/>
        <v>0</v>
      </c>
      <c r="DM60" s="113">
        <f t="shared" si="81"/>
        <v>0</v>
      </c>
      <c r="DN60" s="113">
        <f t="shared" si="81"/>
        <v>0</v>
      </c>
      <c r="DO60" s="113">
        <f t="shared" si="81"/>
        <v>0</v>
      </c>
      <c r="DP60" s="460">
        <f t="shared" si="81"/>
        <v>0</v>
      </c>
      <c r="DQ60" s="582">
        <f t="shared" si="81"/>
        <v>0</v>
      </c>
      <c r="DR60" s="113">
        <f t="shared" si="81"/>
        <v>0</v>
      </c>
      <c r="DS60" s="113">
        <f t="shared" si="81"/>
        <v>0</v>
      </c>
      <c r="DT60" s="113">
        <f t="shared" si="81"/>
        <v>0</v>
      </c>
      <c r="DU60" s="459">
        <f t="shared" ref="DU60:DU74" si="84">SUMIFS(DU$5:DU$36,$B$5:$B$36,$A60)</f>
        <v>0</v>
      </c>
      <c r="DW60" s="461">
        <f t="shared" si="77"/>
        <v>234</v>
      </c>
      <c r="DX60" s="582">
        <f t="shared" si="77"/>
        <v>128</v>
      </c>
      <c r="DY60" s="113">
        <f t="shared" si="77"/>
        <v>121</v>
      </c>
      <c r="DZ60" s="113">
        <f t="shared" si="77"/>
        <v>0</v>
      </c>
      <c r="EA60" s="113">
        <f t="shared" si="77"/>
        <v>7</v>
      </c>
      <c r="EB60" s="460">
        <f t="shared" si="77"/>
        <v>0</v>
      </c>
      <c r="EC60" s="582">
        <f t="shared" si="77"/>
        <v>106</v>
      </c>
      <c r="ED60" s="113">
        <f t="shared" si="77"/>
        <v>73</v>
      </c>
      <c r="EE60" s="113">
        <f t="shared" si="77"/>
        <v>0</v>
      </c>
      <c r="EF60" s="113">
        <f t="shared" si="76"/>
        <v>22</v>
      </c>
      <c r="EG60" s="459">
        <f t="shared" si="76"/>
        <v>11</v>
      </c>
      <c r="EH60" s="461">
        <f t="shared" si="71"/>
        <v>56</v>
      </c>
      <c r="EI60" s="582">
        <f t="shared" si="71"/>
        <v>30</v>
      </c>
      <c r="EJ60" s="113">
        <f t="shared" si="71"/>
        <v>28</v>
      </c>
      <c r="EK60" s="113">
        <f t="shared" si="71"/>
        <v>0</v>
      </c>
      <c r="EL60" s="113">
        <f t="shared" si="71"/>
        <v>2</v>
      </c>
      <c r="EM60" s="460">
        <f t="shared" si="71"/>
        <v>0</v>
      </c>
      <c r="EN60" s="582">
        <f t="shared" si="71"/>
        <v>26</v>
      </c>
      <c r="EO60" s="113">
        <f t="shared" si="71"/>
        <v>17</v>
      </c>
      <c r="EP60" s="113">
        <f t="shared" si="71"/>
        <v>0</v>
      </c>
      <c r="EQ60" s="113">
        <f t="shared" si="71"/>
        <v>7</v>
      </c>
      <c r="ER60" s="459">
        <f t="shared" si="71"/>
        <v>2</v>
      </c>
    </row>
    <row r="61" spans="1:148">
      <c r="A61" s="466" t="s">
        <v>404</v>
      </c>
      <c r="B61" s="581">
        <v>43252</v>
      </c>
      <c r="C61" s="470">
        <v>2018</v>
      </c>
      <c r="D61" s="461">
        <f t="shared" si="72"/>
        <v>239881</v>
      </c>
      <c r="E61" s="461">
        <f t="shared" si="73"/>
        <v>6949</v>
      </c>
      <c r="F61" s="582">
        <f t="shared" si="73"/>
        <v>3617</v>
      </c>
      <c r="G61" s="113">
        <f t="shared" si="73"/>
        <v>3306</v>
      </c>
      <c r="H61" s="113">
        <f t="shared" si="73"/>
        <v>0</v>
      </c>
      <c r="I61" s="113">
        <f t="shared" si="73"/>
        <v>311</v>
      </c>
      <c r="J61" s="460">
        <f t="shared" si="73"/>
        <v>0</v>
      </c>
      <c r="K61" s="582">
        <f t="shared" si="73"/>
        <v>3332</v>
      </c>
      <c r="L61" s="113">
        <f t="shared" si="73"/>
        <v>2218</v>
      </c>
      <c r="M61" s="113">
        <f t="shared" si="73"/>
        <v>0</v>
      </c>
      <c r="N61" s="113">
        <f t="shared" si="73"/>
        <v>707</v>
      </c>
      <c r="O61" s="459">
        <f t="shared" si="73"/>
        <v>407</v>
      </c>
      <c r="P61" s="461">
        <f t="shared" si="73"/>
        <v>13</v>
      </c>
      <c r="Q61" s="582">
        <f t="shared" si="73"/>
        <v>8</v>
      </c>
      <c r="R61" s="113">
        <f t="shared" si="73"/>
        <v>7</v>
      </c>
      <c r="S61" s="113">
        <f t="shared" si="73"/>
        <v>0</v>
      </c>
      <c r="T61" s="113">
        <f t="shared" si="73"/>
        <v>1</v>
      </c>
      <c r="U61" s="460">
        <f t="shared" si="80"/>
        <v>0</v>
      </c>
      <c r="V61" s="582">
        <f t="shared" si="80"/>
        <v>5</v>
      </c>
      <c r="W61" s="113">
        <f t="shared" si="80"/>
        <v>3</v>
      </c>
      <c r="X61" s="113">
        <f t="shared" si="80"/>
        <v>0</v>
      </c>
      <c r="Y61" s="113">
        <f t="shared" si="80"/>
        <v>1</v>
      </c>
      <c r="Z61" s="459">
        <f t="shared" si="80"/>
        <v>1</v>
      </c>
      <c r="AA61" s="461">
        <f t="shared" si="80"/>
        <v>13</v>
      </c>
      <c r="AB61" s="582">
        <f t="shared" si="80"/>
        <v>5</v>
      </c>
      <c r="AC61" s="113">
        <f t="shared" si="80"/>
        <v>4</v>
      </c>
      <c r="AD61" s="113">
        <f t="shared" si="80"/>
        <v>0</v>
      </c>
      <c r="AE61" s="113">
        <f t="shared" si="80"/>
        <v>1</v>
      </c>
      <c r="AF61" s="460">
        <f t="shared" si="80"/>
        <v>0</v>
      </c>
      <c r="AG61" s="582">
        <f t="shared" si="80"/>
        <v>8</v>
      </c>
      <c r="AH61" s="113">
        <f t="shared" si="80"/>
        <v>7</v>
      </c>
      <c r="AI61" s="113">
        <f t="shared" si="80"/>
        <v>0</v>
      </c>
      <c r="AJ61" s="113">
        <f t="shared" si="80"/>
        <v>0</v>
      </c>
      <c r="AK61" s="459">
        <f t="shared" si="80"/>
        <v>1</v>
      </c>
      <c r="AL61" s="461">
        <f t="shared" si="80"/>
        <v>56</v>
      </c>
      <c r="AM61" s="582">
        <f t="shared" si="80"/>
        <v>30</v>
      </c>
      <c r="AN61" s="113">
        <f t="shared" si="80"/>
        <v>28</v>
      </c>
      <c r="AO61" s="113">
        <f t="shared" si="80"/>
        <v>0</v>
      </c>
      <c r="AP61" s="113">
        <f t="shared" si="80"/>
        <v>2</v>
      </c>
      <c r="AQ61" s="460">
        <f t="shared" si="80"/>
        <v>0</v>
      </c>
      <c r="AR61" s="582">
        <f t="shared" ref="AR61:DC65" si="85">SUMIFS(AR$5:AR$36,$B$5:$B$36,$A61)</f>
        <v>26</v>
      </c>
      <c r="AS61" s="113">
        <f t="shared" si="85"/>
        <v>17</v>
      </c>
      <c r="AT61" s="113">
        <f t="shared" si="85"/>
        <v>0</v>
      </c>
      <c r="AU61" s="113">
        <f t="shared" si="85"/>
        <v>7</v>
      </c>
      <c r="AV61" s="459">
        <f t="shared" si="85"/>
        <v>2</v>
      </c>
      <c r="AW61" s="461">
        <f t="shared" si="85"/>
        <v>41</v>
      </c>
      <c r="AX61" s="582">
        <f t="shared" si="85"/>
        <v>20</v>
      </c>
      <c r="AY61" s="113">
        <f t="shared" si="85"/>
        <v>18</v>
      </c>
      <c r="AZ61" s="113">
        <f t="shared" si="85"/>
        <v>0</v>
      </c>
      <c r="BA61" s="113">
        <f t="shared" si="85"/>
        <v>2</v>
      </c>
      <c r="BB61" s="460">
        <f t="shared" si="85"/>
        <v>0</v>
      </c>
      <c r="BC61" s="582">
        <f t="shared" si="85"/>
        <v>21</v>
      </c>
      <c r="BD61" s="113">
        <f t="shared" si="85"/>
        <v>16</v>
      </c>
      <c r="BE61" s="113">
        <f t="shared" si="85"/>
        <v>0</v>
      </c>
      <c r="BF61" s="113">
        <f t="shared" si="85"/>
        <v>3</v>
      </c>
      <c r="BG61" s="459">
        <f t="shared" si="85"/>
        <v>2</v>
      </c>
      <c r="BH61" s="461">
        <f t="shared" si="85"/>
        <v>53</v>
      </c>
      <c r="BI61" s="582">
        <f t="shared" si="85"/>
        <v>33</v>
      </c>
      <c r="BJ61" s="113">
        <f t="shared" si="85"/>
        <v>31</v>
      </c>
      <c r="BK61" s="113">
        <f t="shared" si="85"/>
        <v>0</v>
      </c>
      <c r="BL61" s="113">
        <f t="shared" si="85"/>
        <v>2</v>
      </c>
      <c r="BM61" s="460">
        <f t="shared" si="85"/>
        <v>0</v>
      </c>
      <c r="BN61" s="582">
        <f t="shared" si="85"/>
        <v>20</v>
      </c>
      <c r="BO61" s="113">
        <f t="shared" si="85"/>
        <v>12</v>
      </c>
      <c r="BP61" s="113">
        <f t="shared" si="85"/>
        <v>0</v>
      </c>
      <c r="BQ61" s="113">
        <f t="shared" si="85"/>
        <v>7</v>
      </c>
      <c r="BR61" s="459">
        <f t="shared" si="85"/>
        <v>1</v>
      </c>
      <c r="BS61" s="461">
        <f t="shared" si="85"/>
        <v>75</v>
      </c>
      <c r="BT61" s="582">
        <f t="shared" si="85"/>
        <v>41</v>
      </c>
      <c r="BU61" s="113">
        <f t="shared" si="85"/>
        <v>40</v>
      </c>
      <c r="BV61" s="113">
        <f t="shared" si="85"/>
        <v>0</v>
      </c>
      <c r="BW61" s="113">
        <f t="shared" si="85"/>
        <v>1</v>
      </c>
      <c r="BX61" s="460">
        <f t="shared" si="85"/>
        <v>0</v>
      </c>
      <c r="BY61" s="582">
        <f t="shared" si="85"/>
        <v>34</v>
      </c>
      <c r="BZ61" s="113">
        <f t="shared" si="85"/>
        <v>20</v>
      </c>
      <c r="CA61" s="113">
        <f t="shared" si="85"/>
        <v>0</v>
      </c>
      <c r="CB61" s="113">
        <f t="shared" si="85"/>
        <v>9</v>
      </c>
      <c r="CC61" s="459">
        <f t="shared" si="85"/>
        <v>5</v>
      </c>
      <c r="CD61" s="461">
        <f t="shared" si="85"/>
        <v>18</v>
      </c>
      <c r="CE61" s="582">
        <f t="shared" si="85"/>
        <v>11</v>
      </c>
      <c r="CF61" s="113">
        <f t="shared" si="85"/>
        <v>11</v>
      </c>
      <c r="CG61" s="113">
        <f t="shared" si="85"/>
        <v>0</v>
      </c>
      <c r="CH61" s="113">
        <f t="shared" si="85"/>
        <v>0</v>
      </c>
      <c r="CI61" s="460">
        <f t="shared" si="85"/>
        <v>0</v>
      </c>
      <c r="CJ61" s="582">
        <f t="shared" si="85"/>
        <v>7</v>
      </c>
      <c r="CK61" s="113">
        <f t="shared" si="85"/>
        <v>5</v>
      </c>
      <c r="CL61" s="113">
        <f t="shared" si="85"/>
        <v>0</v>
      </c>
      <c r="CM61" s="113">
        <f t="shared" si="85"/>
        <v>1</v>
      </c>
      <c r="CN61" s="459">
        <f t="shared" si="85"/>
        <v>1</v>
      </c>
      <c r="CO61" s="461">
        <f t="shared" si="85"/>
        <v>20</v>
      </c>
      <c r="CP61" s="582">
        <f t="shared" si="85"/>
        <v>10</v>
      </c>
      <c r="CQ61" s="113">
        <f t="shared" si="85"/>
        <v>10</v>
      </c>
      <c r="CR61" s="113">
        <f t="shared" si="85"/>
        <v>0</v>
      </c>
      <c r="CS61" s="113">
        <f t="shared" si="85"/>
        <v>0</v>
      </c>
      <c r="CT61" s="460">
        <f t="shared" si="85"/>
        <v>0</v>
      </c>
      <c r="CU61" s="582">
        <f t="shared" si="81"/>
        <v>10</v>
      </c>
      <c r="CV61" s="113">
        <f t="shared" si="81"/>
        <v>9</v>
      </c>
      <c r="CW61" s="113">
        <f t="shared" si="81"/>
        <v>0</v>
      </c>
      <c r="CX61" s="113">
        <f t="shared" si="81"/>
        <v>1</v>
      </c>
      <c r="CY61" s="459">
        <f t="shared" si="81"/>
        <v>0</v>
      </c>
      <c r="CZ61" s="461">
        <f t="shared" si="81"/>
        <v>1</v>
      </c>
      <c r="DA61" s="582">
        <f t="shared" si="81"/>
        <v>0</v>
      </c>
      <c r="DB61" s="113">
        <f t="shared" si="81"/>
        <v>0</v>
      </c>
      <c r="DC61" s="113">
        <f t="shared" si="81"/>
        <v>0</v>
      </c>
      <c r="DD61" s="113">
        <f t="shared" si="81"/>
        <v>0</v>
      </c>
      <c r="DE61" s="460">
        <f t="shared" si="81"/>
        <v>0</v>
      </c>
      <c r="DF61" s="582">
        <f t="shared" si="81"/>
        <v>1</v>
      </c>
      <c r="DG61" s="113">
        <f t="shared" si="81"/>
        <v>1</v>
      </c>
      <c r="DH61" s="113">
        <f t="shared" si="81"/>
        <v>0</v>
      </c>
      <c r="DI61" s="113">
        <f t="shared" si="81"/>
        <v>0</v>
      </c>
      <c r="DJ61" s="459">
        <f t="shared" si="81"/>
        <v>0</v>
      </c>
      <c r="DK61" s="461">
        <f t="shared" si="81"/>
        <v>0</v>
      </c>
      <c r="DL61" s="582">
        <f t="shared" si="81"/>
        <v>0</v>
      </c>
      <c r="DM61" s="113">
        <f t="shared" si="81"/>
        <v>0</v>
      </c>
      <c r="DN61" s="113">
        <f t="shared" si="81"/>
        <v>0</v>
      </c>
      <c r="DO61" s="113">
        <f t="shared" si="81"/>
        <v>0</v>
      </c>
      <c r="DP61" s="460">
        <f t="shared" si="81"/>
        <v>0</v>
      </c>
      <c r="DQ61" s="582">
        <f t="shared" si="81"/>
        <v>0</v>
      </c>
      <c r="DR61" s="113">
        <f t="shared" si="81"/>
        <v>0</v>
      </c>
      <c r="DS61" s="113">
        <f t="shared" si="81"/>
        <v>0</v>
      </c>
      <c r="DT61" s="113">
        <f t="shared" si="81"/>
        <v>0</v>
      </c>
      <c r="DU61" s="459">
        <f t="shared" si="84"/>
        <v>0</v>
      </c>
      <c r="DW61" s="461">
        <f t="shared" si="77"/>
        <v>234</v>
      </c>
      <c r="DX61" s="582">
        <f t="shared" si="77"/>
        <v>128</v>
      </c>
      <c r="DY61" s="113">
        <f t="shared" si="77"/>
        <v>121</v>
      </c>
      <c r="DZ61" s="113">
        <f t="shared" si="77"/>
        <v>0</v>
      </c>
      <c r="EA61" s="113">
        <f t="shared" si="77"/>
        <v>7</v>
      </c>
      <c r="EB61" s="460">
        <f t="shared" si="77"/>
        <v>0</v>
      </c>
      <c r="EC61" s="582">
        <f t="shared" si="77"/>
        <v>106</v>
      </c>
      <c r="ED61" s="113">
        <f t="shared" si="77"/>
        <v>73</v>
      </c>
      <c r="EE61" s="113">
        <f t="shared" si="77"/>
        <v>0</v>
      </c>
      <c r="EF61" s="113">
        <f t="shared" si="76"/>
        <v>22</v>
      </c>
      <c r="EG61" s="459">
        <f t="shared" si="76"/>
        <v>11</v>
      </c>
      <c r="EH61" s="461">
        <f t="shared" si="71"/>
        <v>56</v>
      </c>
      <c r="EI61" s="582">
        <f t="shared" si="71"/>
        <v>30</v>
      </c>
      <c r="EJ61" s="113">
        <f t="shared" si="71"/>
        <v>28</v>
      </c>
      <c r="EK61" s="113">
        <f t="shared" si="71"/>
        <v>0</v>
      </c>
      <c r="EL61" s="113">
        <f t="shared" si="71"/>
        <v>2</v>
      </c>
      <c r="EM61" s="460">
        <f t="shared" si="71"/>
        <v>0</v>
      </c>
      <c r="EN61" s="582">
        <f t="shared" si="71"/>
        <v>26</v>
      </c>
      <c r="EO61" s="113">
        <f t="shared" si="71"/>
        <v>17</v>
      </c>
      <c r="EP61" s="113">
        <f t="shared" si="71"/>
        <v>0</v>
      </c>
      <c r="EQ61" s="113">
        <f t="shared" si="71"/>
        <v>7</v>
      </c>
      <c r="ER61" s="459">
        <f t="shared" si="71"/>
        <v>2</v>
      </c>
    </row>
    <row r="62" spans="1:148">
      <c r="A62" s="466" t="s">
        <v>405</v>
      </c>
      <c r="B62" s="581">
        <v>43282</v>
      </c>
      <c r="C62" s="470">
        <v>2018</v>
      </c>
      <c r="D62" s="461">
        <f t="shared" si="72"/>
        <v>218772</v>
      </c>
      <c r="E62" s="461">
        <f t="shared" si="73"/>
        <v>5178</v>
      </c>
      <c r="F62" s="582">
        <f t="shared" si="73"/>
        <v>2526</v>
      </c>
      <c r="G62" s="113">
        <f t="shared" si="73"/>
        <v>2275</v>
      </c>
      <c r="H62" s="113">
        <f t="shared" si="73"/>
        <v>0</v>
      </c>
      <c r="I62" s="113">
        <f t="shared" si="73"/>
        <v>251</v>
      </c>
      <c r="J62" s="460">
        <f t="shared" si="73"/>
        <v>0</v>
      </c>
      <c r="K62" s="582">
        <f t="shared" si="73"/>
        <v>2652</v>
      </c>
      <c r="L62" s="113">
        <f t="shared" si="73"/>
        <v>1603</v>
      </c>
      <c r="M62" s="113">
        <f t="shared" si="73"/>
        <v>0</v>
      </c>
      <c r="N62" s="113">
        <f t="shared" si="73"/>
        <v>844</v>
      </c>
      <c r="O62" s="459">
        <f t="shared" si="73"/>
        <v>205</v>
      </c>
      <c r="P62" s="461">
        <f t="shared" si="73"/>
        <v>9</v>
      </c>
      <c r="Q62" s="582">
        <f t="shared" si="73"/>
        <v>4</v>
      </c>
      <c r="R62" s="113">
        <f t="shared" si="73"/>
        <v>4</v>
      </c>
      <c r="S62" s="113">
        <f t="shared" si="73"/>
        <v>0</v>
      </c>
      <c r="T62" s="113">
        <f t="shared" si="73"/>
        <v>0</v>
      </c>
      <c r="U62" s="460">
        <f t="shared" si="80"/>
        <v>0</v>
      </c>
      <c r="V62" s="582">
        <f t="shared" si="80"/>
        <v>5</v>
      </c>
      <c r="W62" s="113">
        <f t="shared" si="80"/>
        <v>3</v>
      </c>
      <c r="X62" s="113">
        <f t="shared" si="80"/>
        <v>0</v>
      </c>
      <c r="Y62" s="113">
        <f t="shared" si="80"/>
        <v>2</v>
      </c>
      <c r="Z62" s="459">
        <f t="shared" si="80"/>
        <v>0</v>
      </c>
      <c r="AA62" s="461">
        <f t="shared" si="80"/>
        <v>7</v>
      </c>
      <c r="AB62" s="582">
        <f t="shared" si="80"/>
        <v>3</v>
      </c>
      <c r="AC62" s="113">
        <f t="shared" si="80"/>
        <v>3</v>
      </c>
      <c r="AD62" s="113">
        <f t="shared" si="80"/>
        <v>0</v>
      </c>
      <c r="AE62" s="113">
        <f t="shared" si="80"/>
        <v>0</v>
      </c>
      <c r="AF62" s="460">
        <f t="shared" si="80"/>
        <v>0</v>
      </c>
      <c r="AG62" s="582">
        <f t="shared" si="80"/>
        <v>4</v>
      </c>
      <c r="AH62" s="113">
        <f t="shared" si="80"/>
        <v>3</v>
      </c>
      <c r="AI62" s="113">
        <f t="shared" si="80"/>
        <v>0</v>
      </c>
      <c r="AJ62" s="113">
        <f t="shared" si="80"/>
        <v>0</v>
      </c>
      <c r="AK62" s="459">
        <f t="shared" si="80"/>
        <v>1</v>
      </c>
      <c r="AL62" s="461">
        <f t="shared" si="80"/>
        <v>42</v>
      </c>
      <c r="AM62" s="582">
        <f t="shared" si="80"/>
        <v>24</v>
      </c>
      <c r="AN62" s="113">
        <f t="shared" si="80"/>
        <v>22</v>
      </c>
      <c r="AO62" s="113">
        <f t="shared" si="80"/>
        <v>0</v>
      </c>
      <c r="AP62" s="113">
        <f t="shared" si="80"/>
        <v>2</v>
      </c>
      <c r="AQ62" s="460">
        <f t="shared" si="80"/>
        <v>0</v>
      </c>
      <c r="AR62" s="582">
        <f t="shared" si="85"/>
        <v>18</v>
      </c>
      <c r="AS62" s="113">
        <f t="shared" si="85"/>
        <v>10</v>
      </c>
      <c r="AT62" s="113">
        <f t="shared" si="85"/>
        <v>0</v>
      </c>
      <c r="AU62" s="113">
        <f t="shared" si="85"/>
        <v>7</v>
      </c>
      <c r="AV62" s="459">
        <f t="shared" si="85"/>
        <v>1</v>
      </c>
      <c r="AW62" s="461">
        <f t="shared" si="85"/>
        <v>23</v>
      </c>
      <c r="AX62" s="582">
        <f t="shared" si="85"/>
        <v>11</v>
      </c>
      <c r="AY62" s="113">
        <f t="shared" si="85"/>
        <v>9</v>
      </c>
      <c r="AZ62" s="113">
        <f t="shared" si="85"/>
        <v>0</v>
      </c>
      <c r="BA62" s="113">
        <f t="shared" si="85"/>
        <v>2</v>
      </c>
      <c r="BB62" s="460">
        <f t="shared" si="85"/>
        <v>0</v>
      </c>
      <c r="BC62" s="582">
        <f t="shared" si="85"/>
        <v>12</v>
      </c>
      <c r="BD62" s="113">
        <f t="shared" si="85"/>
        <v>6</v>
      </c>
      <c r="BE62" s="113">
        <f t="shared" si="85"/>
        <v>0</v>
      </c>
      <c r="BF62" s="113">
        <f t="shared" si="85"/>
        <v>5</v>
      </c>
      <c r="BG62" s="459">
        <f t="shared" si="85"/>
        <v>1</v>
      </c>
      <c r="BH62" s="461">
        <f t="shared" si="85"/>
        <v>41</v>
      </c>
      <c r="BI62" s="582">
        <f t="shared" si="85"/>
        <v>19</v>
      </c>
      <c r="BJ62" s="113">
        <f t="shared" si="85"/>
        <v>18</v>
      </c>
      <c r="BK62" s="113">
        <f t="shared" si="85"/>
        <v>0</v>
      </c>
      <c r="BL62" s="113">
        <f t="shared" si="85"/>
        <v>1</v>
      </c>
      <c r="BM62" s="460">
        <f t="shared" si="85"/>
        <v>0</v>
      </c>
      <c r="BN62" s="582">
        <f t="shared" si="85"/>
        <v>22</v>
      </c>
      <c r="BO62" s="113">
        <f t="shared" si="85"/>
        <v>9</v>
      </c>
      <c r="BP62" s="113">
        <f t="shared" si="85"/>
        <v>0</v>
      </c>
      <c r="BQ62" s="113">
        <f t="shared" si="85"/>
        <v>11</v>
      </c>
      <c r="BR62" s="459">
        <f t="shared" si="85"/>
        <v>2</v>
      </c>
      <c r="BS62" s="461">
        <f t="shared" si="85"/>
        <v>49</v>
      </c>
      <c r="BT62" s="582">
        <f t="shared" si="85"/>
        <v>18</v>
      </c>
      <c r="BU62" s="113">
        <f t="shared" si="85"/>
        <v>15</v>
      </c>
      <c r="BV62" s="113">
        <f t="shared" si="85"/>
        <v>0</v>
      </c>
      <c r="BW62" s="113">
        <f t="shared" si="85"/>
        <v>3</v>
      </c>
      <c r="BX62" s="460">
        <f t="shared" si="85"/>
        <v>0</v>
      </c>
      <c r="BY62" s="582">
        <f t="shared" si="85"/>
        <v>31</v>
      </c>
      <c r="BZ62" s="113">
        <f t="shared" si="85"/>
        <v>14</v>
      </c>
      <c r="CA62" s="113">
        <f t="shared" si="85"/>
        <v>0</v>
      </c>
      <c r="CB62" s="113">
        <f t="shared" si="85"/>
        <v>14</v>
      </c>
      <c r="CC62" s="459">
        <f t="shared" si="85"/>
        <v>3</v>
      </c>
      <c r="CD62" s="461">
        <f t="shared" si="85"/>
        <v>12</v>
      </c>
      <c r="CE62" s="582">
        <f t="shared" si="85"/>
        <v>7</v>
      </c>
      <c r="CF62" s="113">
        <f t="shared" si="85"/>
        <v>6</v>
      </c>
      <c r="CG62" s="113">
        <f t="shared" si="85"/>
        <v>0</v>
      </c>
      <c r="CH62" s="113">
        <f t="shared" si="85"/>
        <v>1</v>
      </c>
      <c r="CI62" s="460">
        <f t="shared" si="85"/>
        <v>0</v>
      </c>
      <c r="CJ62" s="582">
        <f t="shared" si="85"/>
        <v>5</v>
      </c>
      <c r="CK62" s="113">
        <f t="shared" si="85"/>
        <v>1</v>
      </c>
      <c r="CL62" s="113">
        <f t="shared" si="85"/>
        <v>0</v>
      </c>
      <c r="CM62" s="113">
        <f t="shared" si="85"/>
        <v>4</v>
      </c>
      <c r="CN62" s="459">
        <f t="shared" si="85"/>
        <v>0</v>
      </c>
      <c r="CO62" s="461">
        <f t="shared" si="85"/>
        <v>12</v>
      </c>
      <c r="CP62" s="582">
        <f t="shared" si="85"/>
        <v>4</v>
      </c>
      <c r="CQ62" s="113">
        <f t="shared" si="85"/>
        <v>4</v>
      </c>
      <c r="CR62" s="113">
        <f t="shared" si="85"/>
        <v>0</v>
      </c>
      <c r="CS62" s="113">
        <f t="shared" si="85"/>
        <v>0</v>
      </c>
      <c r="CT62" s="460">
        <f t="shared" si="85"/>
        <v>0</v>
      </c>
      <c r="CU62" s="582">
        <f t="shared" si="81"/>
        <v>8</v>
      </c>
      <c r="CV62" s="113">
        <f t="shared" si="81"/>
        <v>1</v>
      </c>
      <c r="CW62" s="113">
        <f t="shared" si="81"/>
        <v>0</v>
      </c>
      <c r="CX62" s="113">
        <f t="shared" si="81"/>
        <v>7</v>
      </c>
      <c r="CY62" s="459">
        <f t="shared" si="81"/>
        <v>0</v>
      </c>
      <c r="CZ62" s="461">
        <f t="shared" si="81"/>
        <v>3</v>
      </c>
      <c r="DA62" s="582">
        <f t="shared" si="81"/>
        <v>1</v>
      </c>
      <c r="DB62" s="113">
        <f t="shared" si="81"/>
        <v>0</v>
      </c>
      <c r="DC62" s="113">
        <f t="shared" si="81"/>
        <v>0</v>
      </c>
      <c r="DD62" s="113">
        <f t="shared" si="81"/>
        <v>1</v>
      </c>
      <c r="DE62" s="460">
        <f t="shared" si="81"/>
        <v>0</v>
      </c>
      <c r="DF62" s="582">
        <f t="shared" si="81"/>
        <v>2</v>
      </c>
      <c r="DG62" s="113">
        <f t="shared" si="81"/>
        <v>1</v>
      </c>
      <c r="DH62" s="113">
        <f t="shared" si="81"/>
        <v>0</v>
      </c>
      <c r="DI62" s="113">
        <f t="shared" si="81"/>
        <v>1</v>
      </c>
      <c r="DJ62" s="459">
        <f t="shared" si="81"/>
        <v>0</v>
      </c>
      <c r="DK62" s="461">
        <f t="shared" si="81"/>
        <v>0</v>
      </c>
      <c r="DL62" s="582">
        <f t="shared" si="81"/>
        <v>0</v>
      </c>
      <c r="DM62" s="113">
        <f t="shared" si="81"/>
        <v>0</v>
      </c>
      <c r="DN62" s="113">
        <f t="shared" si="81"/>
        <v>0</v>
      </c>
      <c r="DO62" s="113">
        <f t="shared" si="81"/>
        <v>0</v>
      </c>
      <c r="DP62" s="460">
        <f t="shared" si="81"/>
        <v>0</v>
      </c>
      <c r="DQ62" s="582">
        <f t="shared" si="81"/>
        <v>0</v>
      </c>
      <c r="DR62" s="113">
        <f t="shared" si="81"/>
        <v>0</v>
      </c>
      <c r="DS62" s="113">
        <f t="shared" si="81"/>
        <v>0</v>
      </c>
      <c r="DT62" s="113">
        <f t="shared" si="81"/>
        <v>0</v>
      </c>
      <c r="DU62" s="459">
        <f t="shared" si="84"/>
        <v>0</v>
      </c>
      <c r="DW62" s="461">
        <f t="shared" si="77"/>
        <v>156</v>
      </c>
      <c r="DX62" s="582">
        <f t="shared" si="77"/>
        <v>67</v>
      </c>
      <c r="DY62" s="113">
        <f t="shared" si="77"/>
        <v>59</v>
      </c>
      <c r="DZ62" s="113">
        <f t="shared" si="77"/>
        <v>0</v>
      </c>
      <c r="EA62" s="113">
        <f t="shared" si="77"/>
        <v>8</v>
      </c>
      <c r="EB62" s="460">
        <f t="shared" si="77"/>
        <v>0</v>
      </c>
      <c r="EC62" s="582">
        <f t="shared" si="77"/>
        <v>89</v>
      </c>
      <c r="ED62" s="113">
        <f t="shared" si="77"/>
        <v>38</v>
      </c>
      <c r="EE62" s="113">
        <f t="shared" si="77"/>
        <v>0</v>
      </c>
      <c r="EF62" s="113">
        <f t="shared" si="76"/>
        <v>44</v>
      </c>
      <c r="EG62" s="459">
        <f t="shared" si="76"/>
        <v>7</v>
      </c>
      <c r="EH62" s="461">
        <f t="shared" si="71"/>
        <v>42</v>
      </c>
      <c r="EI62" s="582">
        <f t="shared" si="71"/>
        <v>24</v>
      </c>
      <c r="EJ62" s="113">
        <f t="shared" si="71"/>
        <v>22</v>
      </c>
      <c r="EK62" s="113">
        <f t="shared" si="71"/>
        <v>0</v>
      </c>
      <c r="EL62" s="113">
        <f t="shared" si="71"/>
        <v>2</v>
      </c>
      <c r="EM62" s="460">
        <f t="shared" si="71"/>
        <v>0</v>
      </c>
      <c r="EN62" s="582">
        <f t="shared" si="71"/>
        <v>18</v>
      </c>
      <c r="EO62" s="113">
        <f t="shared" si="71"/>
        <v>10</v>
      </c>
      <c r="EP62" s="113">
        <f t="shared" si="71"/>
        <v>0</v>
      </c>
      <c r="EQ62" s="113">
        <f t="shared" si="71"/>
        <v>7</v>
      </c>
      <c r="ER62" s="459">
        <f t="shared" si="71"/>
        <v>1</v>
      </c>
    </row>
    <row r="63" spans="1:148">
      <c r="A63" s="466" t="s">
        <v>405</v>
      </c>
      <c r="B63" s="581">
        <v>43313</v>
      </c>
      <c r="C63" s="470">
        <v>2018</v>
      </c>
      <c r="D63" s="461">
        <f t="shared" si="72"/>
        <v>218772</v>
      </c>
      <c r="E63" s="461">
        <f t="shared" si="73"/>
        <v>5178</v>
      </c>
      <c r="F63" s="582">
        <f t="shared" si="73"/>
        <v>2526</v>
      </c>
      <c r="G63" s="113">
        <f t="shared" si="73"/>
        <v>2275</v>
      </c>
      <c r="H63" s="113">
        <f t="shared" si="73"/>
        <v>0</v>
      </c>
      <c r="I63" s="113">
        <f t="shared" si="73"/>
        <v>251</v>
      </c>
      <c r="J63" s="460">
        <f t="shared" si="73"/>
        <v>0</v>
      </c>
      <c r="K63" s="582">
        <f t="shared" si="73"/>
        <v>2652</v>
      </c>
      <c r="L63" s="113">
        <f t="shared" si="73"/>
        <v>1603</v>
      </c>
      <c r="M63" s="113">
        <f t="shared" si="73"/>
        <v>0</v>
      </c>
      <c r="N63" s="113">
        <f t="shared" si="73"/>
        <v>844</v>
      </c>
      <c r="O63" s="459">
        <f t="shared" si="73"/>
        <v>205</v>
      </c>
      <c r="P63" s="461">
        <f t="shared" si="73"/>
        <v>9</v>
      </c>
      <c r="Q63" s="582">
        <f t="shared" si="73"/>
        <v>4</v>
      </c>
      <c r="R63" s="113">
        <f t="shared" si="73"/>
        <v>4</v>
      </c>
      <c r="S63" s="113">
        <f t="shared" si="73"/>
        <v>0</v>
      </c>
      <c r="T63" s="113">
        <f t="shared" si="73"/>
        <v>0</v>
      </c>
      <c r="U63" s="460">
        <f t="shared" si="80"/>
        <v>0</v>
      </c>
      <c r="V63" s="582">
        <f t="shared" si="80"/>
        <v>5</v>
      </c>
      <c r="W63" s="113">
        <f t="shared" si="80"/>
        <v>3</v>
      </c>
      <c r="X63" s="113">
        <f t="shared" si="80"/>
        <v>0</v>
      </c>
      <c r="Y63" s="113">
        <f t="shared" si="80"/>
        <v>2</v>
      </c>
      <c r="Z63" s="459">
        <f t="shared" si="80"/>
        <v>0</v>
      </c>
      <c r="AA63" s="461">
        <f t="shared" si="80"/>
        <v>7</v>
      </c>
      <c r="AB63" s="582">
        <f t="shared" si="80"/>
        <v>3</v>
      </c>
      <c r="AC63" s="113">
        <f t="shared" si="80"/>
        <v>3</v>
      </c>
      <c r="AD63" s="113">
        <f t="shared" si="80"/>
        <v>0</v>
      </c>
      <c r="AE63" s="113">
        <f t="shared" si="80"/>
        <v>0</v>
      </c>
      <c r="AF63" s="460">
        <f t="shared" si="80"/>
        <v>0</v>
      </c>
      <c r="AG63" s="582">
        <f t="shared" si="80"/>
        <v>4</v>
      </c>
      <c r="AH63" s="113">
        <f t="shared" si="80"/>
        <v>3</v>
      </c>
      <c r="AI63" s="113">
        <f t="shared" si="80"/>
        <v>0</v>
      </c>
      <c r="AJ63" s="113">
        <f t="shared" si="80"/>
        <v>0</v>
      </c>
      <c r="AK63" s="459">
        <f t="shared" si="80"/>
        <v>1</v>
      </c>
      <c r="AL63" s="461">
        <f t="shared" si="80"/>
        <v>42</v>
      </c>
      <c r="AM63" s="582">
        <f t="shared" si="80"/>
        <v>24</v>
      </c>
      <c r="AN63" s="113">
        <f t="shared" si="80"/>
        <v>22</v>
      </c>
      <c r="AO63" s="113">
        <f t="shared" si="80"/>
        <v>0</v>
      </c>
      <c r="AP63" s="113">
        <f t="shared" si="80"/>
        <v>2</v>
      </c>
      <c r="AQ63" s="460">
        <f t="shared" si="80"/>
        <v>0</v>
      </c>
      <c r="AR63" s="582">
        <f t="shared" si="85"/>
        <v>18</v>
      </c>
      <c r="AS63" s="113">
        <f t="shared" si="85"/>
        <v>10</v>
      </c>
      <c r="AT63" s="113">
        <f t="shared" si="85"/>
        <v>0</v>
      </c>
      <c r="AU63" s="113">
        <f t="shared" si="85"/>
        <v>7</v>
      </c>
      <c r="AV63" s="459">
        <f t="shared" si="85"/>
        <v>1</v>
      </c>
      <c r="AW63" s="461">
        <f t="shared" si="85"/>
        <v>23</v>
      </c>
      <c r="AX63" s="582">
        <f t="shared" si="85"/>
        <v>11</v>
      </c>
      <c r="AY63" s="113">
        <f t="shared" si="85"/>
        <v>9</v>
      </c>
      <c r="AZ63" s="113">
        <f t="shared" si="85"/>
        <v>0</v>
      </c>
      <c r="BA63" s="113">
        <f t="shared" si="85"/>
        <v>2</v>
      </c>
      <c r="BB63" s="460">
        <f t="shared" si="85"/>
        <v>0</v>
      </c>
      <c r="BC63" s="582">
        <f t="shared" si="85"/>
        <v>12</v>
      </c>
      <c r="BD63" s="113">
        <f t="shared" si="85"/>
        <v>6</v>
      </c>
      <c r="BE63" s="113">
        <f t="shared" si="85"/>
        <v>0</v>
      </c>
      <c r="BF63" s="113">
        <f t="shared" si="85"/>
        <v>5</v>
      </c>
      <c r="BG63" s="459">
        <f t="shared" si="85"/>
        <v>1</v>
      </c>
      <c r="BH63" s="461">
        <f t="shared" si="85"/>
        <v>41</v>
      </c>
      <c r="BI63" s="582">
        <f t="shared" si="85"/>
        <v>19</v>
      </c>
      <c r="BJ63" s="113">
        <f t="shared" si="85"/>
        <v>18</v>
      </c>
      <c r="BK63" s="113">
        <f t="shared" si="85"/>
        <v>0</v>
      </c>
      <c r="BL63" s="113">
        <f t="shared" si="85"/>
        <v>1</v>
      </c>
      <c r="BM63" s="460">
        <f t="shared" si="85"/>
        <v>0</v>
      </c>
      <c r="BN63" s="582">
        <f t="shared" si="85"/>
        <v>22</v>
      </c>
      <c r="BO63" s="113">
        <f t="shared" si="85"/>
        <v>9</v>
      </c>
      <c r="BP63" s="113">
        <f t="shared" si="85"/>
        <v>0</v>
      </c>
      <c r="BQ63" s="113">
        <f t="shared" si="85"/>
        <v>11</v>
      </c>
      <c r="BR63" s="459">
        <f t="shared" si="85"/>
        <v>2</v>
      </c>
      <c r="BS63" s="461">
        <f t="shared" si="85"/>
        <v>49</v>
      </c>
      <c r="BT63" s="582">
        <f t="shared" si="85"/>
        <v>18</v>
      </c>
      <c r="BU63" s="113">
        <f t="shared" si="85"/>
        <v>15</v>
      </c>
      <c r="BV63" s="113">
        <f t="shared" si="85"/>
        <v>0</v>
      </c>
      <c r="BW63" s="113">
        <f t="shared" si="85"/>
        <v>3</v>
      </c>
      <c r="BX63" s="460">
        <f t="shared" si="85"/>
        <v>0</v>
      </c>
      <c r="BY63" s="582">
        <f t="shared" si="85"/>
        <v>31</v>
      </c>
      <c r="BZ63" s="113">
        <f t="shared" si="85"/>
        <v>14</v>
      </c>
      <c r="CA63" s="113">
        <f t="shared" si="85"/>
        <v>0</v>
      </c>
      <c r="CB63" s="113">
        <f t="shared" si="85"/>
        <v>14</v>
      </c>
      <c r="CC63" s="459">
        <f t="shared" si="85"/>
        <v>3</v>
      </c>
      <c r="CD63" s="461">
        <f t="shared" si="85"/>
        <v>12</v>
      </c>
      <c r="CE63" s="582">
        <f t="shared" si="85"/>
        <v>7</v>
      </c>
      <c r="CF63" s="113">
        <f t="shared" si="85"/>
        <v>6</v>
      </c>
      <c r="CG63" s="113">
        <f t="shared" si="85"/>
        <v>0</v>
      </c>
      <c r="CH63" s="113">
        <f t="shared" si="85"/>
        <v>1</v>
      </c>
      <c r="CI63" s="460">
        <f t="shared" si="85"/>
        <v>0</v>
      </c>
      <c r="CJ63" s="582">
        <f t="shared" si="85"/>
        <v>5</v>
      </c>
      <c r="CK63" s="113">
        <f t="shared" si="85"/>
        <v>1</v>
      </c>
      <c r="CL63" s="113">
        <f t="shared" si="85"/>
        <v>0</v>
      </c>
      <c r="CM63" s="113">
        <f t="shared" si="85"/>
        <v>4</v>
      </c>
      <c r="CN63" s="459">
        <f t="shared" si="85"/>
        <v>0</v>
      </c>
      <c r="CO63" s="461">
        <f t="shared" si="85"/>
        <v>12</v>
      </c>
      <c r="CP63" s="582">
        <f t="shared" si="85"/>
        <v>4</v>
      </c>
      <c r="CQ63" s="113">
        <f t="shared" si="85"/>
        <v>4</v>
      </c>
      <c r="CR63" s="113">
        <f t="shared" si="85"/>
        <v>0</v>
      </c>
      <c r="CS63" s="113">
        <f t="shared" si="85"/>
        <v>0</v>
      </c>
      <c r="CT63" s="460">
        <f t="shared" si="85"/>
        <v>0</v>
      </c>
      <c r="CU63" s="582">
        <f t="shared" si="85"/>
        <v>8</v>
      </c>
      <c r="CV63" s="113">
        <f t="shared" si="85"/>
        <v>1</v>
      </c>
      <c r="CW63" s="113">
        <f t="shared" si="85"/>
        <v>0</v>
      </c>
      <c r="CX63" s="113">
        <f t="shared" si="85"/>
        <v>7</v>
      </c>
      <c r="CY63" s="459">
        <f t="shared" si="85"/>
        <v>0</v>
      </c>
      <c r="CZ63" s="461">
        <f t="shared" si="85"/>
        <v>3</v>
      </c>
      <c r="DA63" s="582">
        <f t="shared" si="85"/>
        <v>1</v>
      </c>
      <c r="DB63" s="113">
        <f t="shared" si="85"/>
        <v>0</v>
      </c>
      <c r="DC63" s="113">
        <f t="shared" si="85"/>
        <v>0</v>
      </c>
      <c r="DD63" s="113">
        <f t="shared" si="81"/>
        <v>1</v>
      </c>
      <c r="DE63" s="460">
        <f t="shared" si="81"/>
        <v>0</v>
      </c>
      <c r="DF63" s="582">
        <f t="shared" si="81"/>
        <v>2</v>
      </c>
      <c r="DG63" s="113">
        <f t="shared" si="81"/>
        <v>1</v>
      </c>
      <c r="DH63" s="113">
        <f t="shared" si="81"/>
        <v>0</v>
      </c>
      <c r="DI63" s="113">
        <f t="shared" si="81"/>
        <v>1</v>
      </c>
      <c r="DJ63" s="459">
        <f t="shared" si="81"/>
        <v>0</v>
      </c>
      <c r="DK63" s="461">
        <f t="shared" si="81"/>
        <v>0</v>
      </c>
      <c r="DL63" s="582">
        <f t="shared" si="81"/>
        <v>0</v>
      </c>
      <c r="DM63" s="113">
        <f t="shared" si="81"/>
        <v>0</v>
      </c>
      <c r="DN63" s="113">
        <f t="shared" si="81"/>
        <v>0</v>
      </c>
      <c r="DO63" s="113">
        <f t="shared" si="81"/>
        <v>0</v>
      </c>
      <c r="DP63" s="460">
        <f t="shared" si="81"/>
        <v>0</v>
      </c>
      <c r="DQ63" s="582">
        <f t="shared" si="81"/>
        <v>0</v>
      </c>
      <c r="DR63" s="113">
        <f t="shared" si="81"/>
        <v>0</v>
      </c>
      <c r="DS63" s="113">
        <f t="shared" si="81"/>
        <v>0</v>
      </c>
      <c r="DT63" s="113">
        <f t="shared" si="81"/>
        <v>0</v>
      </c>
      <c r="DU63" s="459">
        <f t="shared" si="84"/>
        <v>0</v>
      </c>
      <c r="DW63" s="461">
        <f t="shared" si="77"/>
        <v>156</v>
      </c>
      <c r="DX63" s="582">
        <f t="shared" si="77"/>
        <v>67</v>
      </c>
      <c r="DY63" s="113">
        <f t="shared" si="77"/>
        <v>59</v>
      </c>
      <c r="DZ63" s="113">
        <f t="shared" si="77"/>
        <v>0</v>
      </c>
      <c r="EA63" s="113">
        <f t="shared" si="77"/>
        <v>8</v>
      </c>
      <c r="EB63" s="460">
        <f t="shared" si="77"/>
        <v>0</v>
      </c>
      <c r="EC63" s="582">
        <f t="shared" si="77"/>
        <v>89</v>
      </c>
      <c r="ED63" s="113">
        <f t="shared" si="77"/>
        <v>38</v>
      </c>
      <c r="EE63" s="113">
        <f t="shared" si="77"/>
        <v>0</v>
      </c>
      <c r="EF63" s="113">
        <f t="shared" si="76"/>
        <v>44</v>
      </c>
      <c r="EG63" s="459">
        <f t="shared" si="76"/>
        <v>7</v>
      </c>
      <c r="EH63" s="461">
        <f t="shared" si="71"/>
        <v>42</v>
      </c>
      <c r="EI63" s="582">
        <f t="shared" si="71"/>
        <v>24</v>
      </c>
      <c r="EJ63" s="113">
        <f t="shared" si="71"/>
        <v>22</v>
      </c>
      <c r="EK63" s="113">
        <f t="shared" si="71"/>
        <v>0</v>
      </c>
      <c r="EL63" s="113">
        <f t="shared" si="71"/>
        <v>2</v>
      </c>
      <c r="EM63" s="460">
        <f t="shared" si="71"/>
        <v>0</v>
      </c>
      <c r="EN63" s="582">
        <f t="shared" si="71"/>
        <v>18</v>
      </c>
      <c r="EO63" s="113">
        <f t="shared" si="71"/>
        <v>10</v>
      </c>
      <c r="EP63" s="113">
        <f t="shared" si="71"/>
        <v>0</v>
      </c>
      <c r="EQ63" s="113">
        <f t="shared" si="71"/>
        <v>7</v>
      </c>
      <c r="ER63" s="459">
        <f t="shared" si="71"/>
        <v>1</v>
      </c>
    </row>
    <row r="64" spans="1:148">
      <c r="A64" s="466" t="s">
        <v>405</v>
      </c>
      <c r="B64" s="581">
        <v>43344</v>
      </c>
      <c r="C64" s="470">
        <v>2018</v>
      </c>
      <c r="D64" s="461">
        <f t="shared" si="72"/>
        <v>218772</v>
      </c>
      <c r="E64" s="461">
        <f t="shared" si="73"/>
        <v>5178</v>
      </c>
      <c r="F64" s="582">
        <f t="shared" si="73"/>
        <v>2526</v>
      </c>
      <c r="G64" s="113">
        <f t="shared" si="73"/>
        <v>2275</v>
      </c>
      <c r="H64" s="113">
        <f t="shared" si="73"/>
        <v>0</v>
      </c>
      <c r="I64" s="113">
        <f t="shared" si="73"/>
        <v>251</v>
      </c>
      <c r="J64" s="460">
        <f t="shared" si="73"/>
        <v>0</v>
      </c>
      <c r="K64" s="582">
        <f t="shared" si="73"/>
        <v>2652</v>
      </c>
      <c r="L64" s="113">
        <f t="shared" si="73"/>
        <v>1603</v>
      </c>
      <c r="M64" s="113">
        <f t="shared" si="73"/>
        <v>0</v>
      </c>
      <c r="N64" s="113">
        <f t="shared" si="73"/>
        <v>844</v>
      </c>
      <c r="O64" s="459">
        <f t="shared" si="73"/>
        <v>205</v>
      </c>
      <c r="P64" s="461">
        <f t="shared" si="73"/>
        <v>9</v>
      </c>
      <c r="Q64" s="582">
        <f t="shared" si="73"/>
        <v>4</v>
      </c>
      <c r="R64" s="113">
        <f t="shared" si="73"/>
        <v>4</v>
      </c>
      <c r="S64" s="113">
        <f t="shared" si="73"/>
        <v>0</v>
      </c>
      <c r="T64" s="113">
        <f t="shared" si="73"/>
        <v>0</v>
      </c>
      <c r="U64" s="460">
        <f t="shared" si="80"/>
        <v>0</v>
      </c>
      <c r="V64" s="582">
        <f t="shared" si="80"/>
        <v>5</v>
      </c>
      <c r="W64" s="113">
        <f t="shared" si="80"/>
        <v>3</v>
      </c>
      <c r="X64" s="113">
        <f t="shared" si="80"/>
        <v>0</v>
      </c>
      <c r="Y64" s="113">
        <f t="shared" si="80"/>
        <v>2</v>
      </c>
      <c r="Z64" s="459">
        <f t="shared" si="80"/>
        <v>0</v>
      </c>
      <c r="AA64" s="461">
        <f t="shared" si="80"/>
        <v>7</v>
      </c>
      <c r="AB64" s="582">
        <f t="shared" si="80"/>
        <v>3</v>
      </c>
      <c r="AC64" s="113">
        <f t="shared" si="80"/>
        <v>3</v>
      </c>
      <c r="AD64" s="113">
        <f t="shared" si="80"/>
        <v>0</v>
      </c>
      <c r="AE64" s="113">
        <f t="shared" si="80"/>
        <v>0</v>
      </c>
      <c r="AF64" s="460">
        <f t="shared" si="80"/>
        <v>0</v>
      </c>
      <c r="AG64" s="582">
        <f t="shared" si="80"/>
        <v>4</v>
      </c>
      <c r="AH64" s="113">
        <f t="shared" si="80"/>
        <v>3</v>
      </c>
      <c r="AI64" s="113">
        <f t="shared" si="80"/>
        <v>0</v>
      </c>
      <c r="AJ64" s="113">
        <f t="shared" si="80"/>
        <v>0</v>
      </c>
      <c r="AK64" s="459">
        <f t="shared" si="80"/>
        <v>1</v>
      </c>
      <c r="AL64" s="461">
        <f t="shared" si="80"/>
        <v>42</v>
      </c>
      <c r="AM64" s="582">
        <f t="shared" si="80"/>
        <v>24</v>
      </c>
      <c r="AN64" s="113">
        <f t="shared" si="80"/>
        <v>22</v>
      </c>
      <c r="AO64" s="113">
        <f t="shared" si="80"/>
        <v>0</v>
      </c>
      <c r="AP64" s="113">
        <f t="shared" si="80"/>
        <v>2</v>
      </c>
      <c r="AQ64" s="460">
        <f t="shared" si="80"/>
        <v>0</v>
      </c>
      <c r="AR64" s="582">
        <f t="shared" si="85"/>
        <v>18</v>
      </c>
      <c r="AS64" s="113">
        <f t="shared" si="85"/>
        <v>10</v>
      </c>
      <c r="AT64" s="113">
        <f t="shared" si="85"/>
        <v>0</v>
      </c>
      <c r="AU64" s="113">
        <f t="shared" si="85"/>
        <v>7</v>
      </c>
      <c r="AV64" s="459">
        <f t="shared" si="85"/>
        <v>1</v>
      </c>
      <c r="AW64" s="461">
        <f t="shared" si="85"/>
        <v>23</v>
      </c>
      <c r="AX64" s="582">
        <f t="shared" si="85"/>
        <v>11</v>
      </c>
      <c r="AY64" s="113">
        <f t="shared" si="85"/>
        <v>9</v>
      </c>
      <c r="AZ64" s="113">
        <f t="shared" si="85"/>
        <v>0</v>
      </c>
      <c r="BA64" s="113">
        <f t="shared" si="85"/>
        <v>2</v>
      </c>
      <c r="BB64" s="460">
        <f t="shared" si="85"/>
        <v>0</v>
      </c>
      <c r="BC64" s="582">
        <f t="shared" si="85"/>
        <v>12</v>
      </c>
      <c r="BD64" s="113">
        <f t="shared" si="85"/>
        <v>6</v>
      </c>
      <c r="BE64" s="113">
        <f t="shared" si="85"/>
        <v>0</v>
      </c>
      <c r="BF64" s="113">
        <f t="shared" si="85"/>
        <v>5</v>
      </c>
      <c r="BG64" s="459">
        <f t="shared" si="85"/>
        <v>1</v>
      </c>
      <c r="BH64" s="461">
        <f t="shared" si="85"/>
        <v>41</v>
      </c>
      <c r="BI64" s="582">
        <f t="shared" si="85"/>
        <v>19</v>
      </c>
      <c r="BJ64" s="113">
        <f t="shared" si="85"/>
        <v>18</v>
      </c>
      <c r="BK64" s="113">
        <f t="shared" si="85"/>
        <v>0</v>
      </c>
      <c r="BL64" s="113">
        <f t="shared" si="85"/>
        <v>1</v>
      </c>
      <c r="BM64" s="460">
        <f t="shared" si="85"/>
        <v>0</v>
      </c>
      <c r="BN64" s="582">
        <f t="shared" si="85"/>
        <v>22</v>
      </c>
      <c r="BO64" s="113">
        <f t="shared" si="85"/>
        <v>9</v>
      </c>
      <c r="BP64" s="113">
        <f t="shared" si="85"/>
        <v>0</v>
      </c>
      <c r="BQ64" s="113">
        <f t="shared" si="85"/>
        <v>11</v>
      </c>
      <c r="BR64" s="459">
        <f t="shared" si="85"/>
        <v>2</v>
      </c>
      <c r="BS64" s="461">
        <f t="shared" si="85"/>
        <v>49</v>
      </c>
      <c r="BT64" s="582">
        <f t="shared" si="85"/>
        <v>18</v>
      </c>
      <c r="BU64" s="113">
        <f t="shared" si="85"/>
        <v>15</v>
      </c>
      <c r="BV64" s="113">
        <f t="shared" si="85"/>
        <v>0</v>
      </c>
      <c r="BW64" s="113">
        <f t="shared" si="85"/>
        <v>3</v>
      </c>
      <c r="BX64" s="460">
        <f t="shared" si="85"/>
        <v>0</v>
      </c>
      <c r="BY64" s="582">
        <f t="shared" si="85"/>
        <v>31</v>
      </c>
      <c r="BZ64" s="113">
        <f t="shared" si="85"/>
        <v>14</v>
      </c>
      <c r="CA64" s="113">
        <f t="shared" si="85"/>
        <v>0</v>
      </c>
      <c r="CB64" s="113">
        <f t="shared" si="85"/>
        <v>14</v>
      </c>
      <c r="CC64" s="459">
        <f t="shared" si="85"/>
        <v>3</v>
      </c>
      <c r="CD64" s="461">
        <f t="shared" si="85"/>
        <v>12</v>
      </c>
      <c r="CE64" s="582">
        <f t="shared" si="85"/>
        <v>7</v>
      </c>
      <c r="CF64" s="113">
        <f t="shared" si="85"/>
        <v>6</v>
      </c>
      <c r="CG64" s="113">
        <f t="shared" si="85"/>
        <v>0</v>
      </c>
      <c r="CH64" s="113">
        <f t="shared" si="85"/>
        <v>1</v>
      </c>
      <c r="CI64" s="460">
        <f t="shared" si="85"/>
        <v>0</v>
      </c>
      <c r="CJ64" s="582">
        <f t="shared" si="85"/>
        <v>5</v>
      </c>
      <c r="CK64" s="113">
        <f t="shared" si="85"/>
        <v>1</v>
      </c>
      <c r="CL64" s="113">
        <f t="shared" si="85"/>
        <v>0</v>
      </c>
      <c r="CM64" s="113">
        <f t="shared" si="85"/>
        <v>4</v>
      </c>
      <c r="CN64" s="459">
        <f t="shared" si="85"/>
        <v>0</v>
      </c>
      <c r="CO64" s="461">
        <f t="shared" si="85"/>
        <v>12</v>
      </c>
      <c r="CP64" s="582">
        <f t="shared" si="85"/>
        <v>4</v>
      </c>
      <c r="CQ64" s="113">
        <f t="shared" si="85"/>
        <v>4</v>
      </c>
      <c r="CR64" s="113">
        <f t="shared" si="85"/>
        <v>0</v>
      </c>
      <c r="CS64" s="113">
        <f t="shared" si="85"/>
        <v>0</v>
      </c>
      <c r="CT64" s="460">
        <f t="shared" si="85"/>
        <v>0</v>
      </c>
      <c r="CU64" s="582">
        <f t="shared" si="81"/>
        <v>8</v>
      </c>
      <c r="CV64" s="113">
        <f t="shared" si="81"/>
        <v>1</v>
      </c>
      <c r="CW64" s="113">
        <f t="shared" si="81"/>
        <v>0</v>
      </c>
      <c r="CX64" s="113">
        <f t="shared" si="81"/>
        <v>7</v>
      </c>
      <c r="CY64" s="459">
        <f t="shared" si="81"/>
        <v>0</v>
      </c>
      <c r="CZ64" s="461">
        <f t="shared" si="81"/>
        <v>3</v>
      </c>
      <c r="DA64" s="582">
        <f t="shared" si="81"/>
        <v>1</v>
      </c>
      <c r="DB64" s="113">
        <f t="shared" si="81"/>
        <v>0</v>
      </c>
      <c r="DC64" s="113">
        <f t="shared" si="81"/>
        <v>0</v>
      </c>
      <c r="DD64" s="113">
        <f t="shared" si="81"/>
        <v>1</v>
      </c>
      <c r="DE64" s="460">
        <f t="shared" si="81"/>
        <v>0</v>
      </c>
      <c r="DF64" s="582">
        <f t="shared" si="81"/>
        <v>2</v>
      </c>
      <c r="DG64" s="113">
        <f t="shared" si="81"/>
        <v>1</v>
      </c>
      <c r="DH64" s="113">
        <f t="shared" si="81"/>
        <v>0</v>
      </c>
      <c r="DI64" s="113">
        <f t="shared" si="81"/>
        <v>1</v>
      </c>
      <c r="DJ64" s="459">
        <f t="shared" si="81"/>
        <v>0</v>
      </c>
      <c r="DK64" s="461">
        <f t="shared" si="81"/>
        <v>0</v>
      </c>
      <c r="DL64" s="582">
        <f t="shared" si="81"/>
        <v>0</v>
      </c>
      <c r="DM64" s="113">
        <f t="shared" si="81"/>
        <v>0</v>
      </c>
      <c r="DN64" s="113">
        <f t="shared" si="81"/>
        <v>0</v>
      </c>
      <c r="DO64" s="113">
        <f t="shared" si="81"/>
        <v>0</v>
      </c>
      <c r="DP64" s="460">
        <f t="shared" si="81"/>
        <v>0</v>
      </c>
      <c r="DQ64" s="582">
        <f t="shared" si="81"/>
        <v>0</v>
      </c>
      <c r="DR64" s="113">
        <f t="shared" si="81"/>
        <v>0</v>
      </c>
      <c r="DS64" s="113">
        <f t="shared" si="81"/>
        <v>0</v>
      </c>
      <c r="DT64" s="113">
        <f t="shared" si="81"/>
        <v>0</v>
      </c>
      <c r="DU64" s="459">
        <f t="shared" si="84"/>
        <v>0</v>
      </c>
      <c r="DW64" s="461">
        <f t="shared" si="77"/>
        <v>156</v>
      </c>
      <c r="DX64" s="582">
        <f t="shared" si="77"/>
        <v>67</v>
      </c>
      <c r="DY64" s="113">
        <f t="shared" si="77"/>
        <v>59</v>
      </c>
      <c r="DZ64" s="113">
        <f t="shared" si="77"/>
        <v>0</v>
      </c>
      <c r="EA64" s="113">
        <f t="shared" si="77"/>
        <v>8</v>
      </c>
      <c r="EB64" s="460">
        <f t="shared" si="77"/>
        <v>0</v>
      </c>
      <c r="EC64" s="582">
        <f t="shared" si="77"/>
        <v>89</v>
      </c>
      <c r="ED64" s="113">
        <f t="shared" si="77"/>
        <v>38</v>
      </c>
      <c r="EE64" s="113">
        <f t="shared" si="77"/>
        <v>0</v>
      </c>
      <c r="EF64" s="113">
        <f t="shared" si="76"/>
        <v>44</v>
      </c>
      <c r="EG64" s="459">
        <f t="shared" si="76"/>
        <v>7</v>
      </c>
      <c r="EH64" s="461">
        <f t="shared" si="71"/>
        <v>42</v>
      </c>
      <c r="EI64" s="582">
        <f t="shared" si="71"/>
        <v>24</v>
      </c>
      <c r="EJ64" s="113">
        <f t="shared" si="71"/>
        <v>22</v>
      </c>
      <c r="EK64" s="113">
        <f t="shared" si="71"/>
        <v>0</v>
      </c>
      <c r="EL64" s="113">
        <f t="shared" si="71"/>
        <v>2</v>
      </c>
      <c r="EM64" s="460">
        <f t="shared" si="71"/>
        <v>0</v>
      </c>
      <c r="EN64" s="582">
        <f t="shared" si="71"/>
        <v>18</v>
      </c>
      <c r="EO64" s="113">
        <f t="shared" si="71"/>
        <v>10</v>
      </c>
      <c r="EP64" s="113">
        <f t="shared" si="71"/>
        <v>0</v>
      </c>
      <c r="EQ64" s="113">
        <f t="shared" si="71"/>
        <v>7</v>
      </c>
      <c r="ER64" s="459">
        <f t="shared" si="71"/>
        <v>1</v>
      </c>
    </row>
    <row r="65" spans="1:148">
      <c r="A65" s="466" t="s">
        <v>406</v>
      </c>
      <c r="B65" s="581">
        <v>43374</v>
      </c>
      <c r="C65" s="470">
        <v>2018</v>
      </c>
      <c r="D65" s="461">
        <f t="shared" si="72"/>
        <v>174523</v>
      </c>
      <c r="E65" s="461">
        <f t="shared" si="73"/>
        <v>1886</v>
      </c>
      <c r="F65" s="582">
        <f t="shared" si="73"/>
        <v>1145</v>
      </c>
      <c r="G65" s="113">
        <f t="shared" si="73"/>
        <v>981</v>
      </c>
      <c r="H65" s="113">
        <f t="shared" si="73"/>
        <v>0</v>
      </c>
      <c r="I65" s="113">
        <f t="shared" si="73"/>
        <v>164</v>
      </c>
      <c r="J65" s="460">
        <f t="shared" si="73"/>
        <v>0</v>
      </c>
      <c r="K65" s="582">
        <f t="shared" si="73"/>
        <v>741</v>
      </c>
      <c r="L65" s="113">
        <f t="shared" si="73"/>
        <v>446</v>
      </c>
      <c r="M65" s="113">
        <f t="shared" si="73"/>
        <v>0</v>
      </c>
      <c r="N65" s="113">
        <f t="shared" si="73"/>
        <v>242</v>
      </c>
      <c r="O65" s="459">
        <f t="shared" si="73"/>
        <v>53</v>
      </c>
      <c r="P65" s="461">
        <f t="shared" si="73"/>
        <v>4</v>
      </c>
      <c r="Q65" s="582">
        <f t="shared" si="73"/>
        <v>2</v>
      </c>
      <c r="R65" s="113">
        <f t="shared" si="73"/>
        <v>2</v>
      </c>
      <c r="S65" s="113">
        <f t="shared" si="73"/>
        <v>0</v>
      </c>
      <c r="T65" s="113">
        <f t="shared" si="73"/>
        <v>0</v>
      </c>
      <c r="U65" s="460">
        <f t="shared" ref="U65:AW79" si="86">SUMIFS(U$5:U$36,$B$5:$B$36,$A65)</f>
        <v>0</v>
      </c>
      <c r="V65" s="582">
        <f t="shared" si="86"/>
        <v>2</v>
      </c>
      <c r="W65" s="113">
        <f t="shared" si="86"/>
        <v>1</v>
      </c>
      <c r="X65" s="113">
        <f t="shared" si="86"/>
        <v>0</v>
      </c>
      <c r="Y65" s="113">
        <f t="shared" si="86"/>
        <v>1</v>
      </c>
      <c r="Z65" s="459">
        <f t="shared" si="86"/>
        <v>0</v>
      </c>
      <c r="AA65" s="461">
        <f t="shared" si="86"/>
        <v>3</v>
      </c>
      <c r="AB65" s="582">
        <f t="shared" si="86"/>
        <v>1</v>
      </c>
      <c r="AC65" s="113">
        <f t="shared" si="86"/>
        <v>1</v>
      </c>
      <c r="AD65" s="113">
        <f t="shared" si="86"/>
        <v>0</v>
      </c>
      <c r="AE65" s="113">
        <f t="shared" si="86"/>
        <v>0</v>
      </c>
      <c r="AF65" s="460">
        <f t="shared" si="86"/>
        <v>0</v>
      </c>
      <c r="AG65" s="582">
        <f t="shared" si="86"/>
        <v>2</v>
      </c>
      <c r="AH65" s="113">
        <f t="shared" si="86"/>
        <v>1</v>
      </c>
      <c r="AI65" s="113">
        <f t="shared" si="86"/>
        <v>0</v>
      </c>
      <c r="AJ65" s="113">
        <f t="shared" si="86"/>
        <v>0</v>
      </c>
      <c r="AK65" s="459">
        <f t="shared" si="86"/>
        <v>1</v>
      </c>
      <c r="AL65" s="461">
        <f t="shared" si="86"/>
        <v>15</v>
      </c>
      <c r="AM65" s="582">
        <f t="shared" si="86"/>
        <v>10</v>
      </c>
      <c r="AN65" s="113">
        <f t="shared" si="86"/>
        <v>9</v>
      </c>
      <c r="AO65" s="113">
        <f t="shared" si="86"/>
        <v>0</v>
      </c>
      <c r="AP65" s="113">
        <f t="shared" si="86"/>
        <v>1</v>
      </c>
      <c r="AQ65" s="460">
        <f t="shared" si="86"/>
        <v>0</v>
      </c>
      <c r="AR65" s="582">
        <f t="shared" si="86"/>
        <v>5</v>
      </c>
      <c r="AS65" s="113">
        <f t="shared" si="86"/>
        <v>0</v>
      </c>
      <c r="AT65" s="113">
        <f t="shared" si="86"/>
        <v>0</v>
      </c>
      <c r="AU65" s="113">
        <f t="shared" si="86"/>
        <v>5</v>
      </c>
      <c r="AV65" s="459">
        <f t="shared" si="86"/>
        <v>0</v>
      </c>
      <c r="AW65" s="461">
        <f t="shared" si="86"/>
        <v>10</v>
      </c>
      <c r="AX65" s="582">
        <f t="shared" si="85"/>
        <v>7</v>
      </c>
      <c r="AY65" s="113">
        <f t="shared" si="85"/>
        <v>7</v>
      </c>
      <c r="AZ65" s="113">
        <f t="shared" si="85"/>
        <v>0</v>
      </c>
      <c r="BA65" s="113">
        <f t="shared" si="85"/>
        <v>0</v>
      </c>
      <c r="BB65" s="460">
        <f t="shared" si="85"/>
        <v>0</v>
      </c>
      <c r="BC65" s="582">
        <f t="shared" si="85"/>
        <v>3</v>
      </c>
      <c r="BD65" s="113">
        <f t="shared" si="85"/>
        <v>2</v>
      </c>
      <c r="BE65" s="113">
        <f t="shared" si="85"/>
        <v>0</v>
      </c>
      <c r="BF65" s="113">
        <f t="shared" si="85"/>
        <v>1</v>
      </c>
      <c r="BG65" s="459">
        <f t="shared" si="85"/>
        <v>0</v>
      </c>
      <c r="BH65" s="461">
        <f t="shared" si="85"/>
        <v>18</v>
      </c>
      <c r="BI65" s="582">
        <f t="shared" si="85"/>
        <v>12</v>
      </c>
      <c r="BJ65" s="113">
        <f t="shared" si="85"/>
        <v>9</v>
      </c>
      <c r="BK65" s="113">
        <f t="shared" si="85"/>
        <v>0</v>
      </c>
      <c r="BL65" s="113">
        <f t="shared" si="85"/>
        <v>3</v>
      </c>
      <c r="BM65" s="460">
        <f t="shared" si="85"/>
        <v>0</v>
      </c>
      <c r="BN65" s="582">
        <f t="shared" si="85"/>
        <v>6</v>
      </c>
      <c r="BO65" s="113">
        <f t="shared" si="85"/>
        <v>4</v>
      </c>
      <c r="BP65" s="113">
        <f t="shared" si="85"/>
        <v>0</v>
      </c>
      <c r="BQ65" s="113">
        <f t="shared" si="85"/>
        <v>2</v>
      </c>
      <c r="BR65" s="459">
        <f t="shared" si="85"/>
        <v>0</v>
      </c>
      <c r="BS65" s="461">
        <f t="shared" si="85"/>
        <v>19</v>
      </c>
      <c r="BT65" s="582">
        <f t="shared" si="85"/>
        <v>12</v>
      </c>
      <c r="BU65" s="113">
        <f t="shared" si="85"/>
        <v>10</v>
      </c>
      <c r="BV65" s="113">
        <f t="shared" si="85"/>
        <v>0</v>
      </c>
      <c r="BW65" s="113">
        <f t="shared" si="85"/>
        <v>2</v>
      </c>
      <c r="BX65" s="460">
        <f t="shared" ref="BX65:CT65" si="87">SUMIFS(BX$5:BX$36,$B$5:$B$36,$A65)</f>
        <v>0</v>
      </c>
      <c r="BY65" s="582">
        <f t="shared" si="87"/>
        <v>7</v>
      </c>
      <c r="BZ65" s="113">
        <f t="shared" si="87"/>
        <v>5</v>
      </c>
      <c r="CA65" s="113">
        <f t="shared" si="87"/>
        <v>0</v>
      </c>
      <c r="CB65" s="113">
        <f t="shared" si="87"/>
        <v>1</v>
      </c>
      <c r="CC65" s="459">
        <f t="shared" si="87"/>
        <v>1</v>
      </c>
      <c r="CD65" s="461">
        <f t="shared" si="87"/>
        <v>4</v>
      </c>
      <c r="CE65" s="582">
        <f t="shared" si="87"/>
        <v>4</v>
      </c>
      <c r="CF65" s="113">
        <f t="shared" si="87"/>
        <v>3</v>
      </c>
      <c r="CG65" s="113">
        <f t="shared" si="87"/>
        <v>0</v>
      </c>
      <c r="CH65" s="113">
        <f t="shared" si="87"/>
        <v>1</v>
      </c>
      <c r="CI65" s="460">
        <f t="shared" si="87"/>
        <v>0</v>
      </c>
      <c r="CJ65" s="582">
        <f t="shared" si="87"/>
        <v>0</v>
      </c>
      <c r="CK65" s="113">
        <f t="shared" si="87"/>
        <v>0</v>
      </c>
      <c r="CL65" s="113">
        <f t="shared" si="87"/>
        <v>0</v>
      </c>
      <c r="CM65" s="113">
        <f t="shared" si="87"/>
        <v>0</v>
      </c>
      <c r="CN65" s="459">
        <f t="shared" si="87"/>
        <v>0</v>
      </c>
      <c r="CO65" s="461">
        <f t="shared" si="87"/>
        <v>3</v>
      </c>
      <c r="CP65" s="582">
        <f t="shared" si="87"/>
        <v>2</v>
      </c>
      <c r="CQ65" s="113">
        <f t="shared" si="87"/>
        <v>2</v>
      </c>
      <c r="CR65" s="113">
        <f t="shared" si="87"/>
        <v>0</v>
      </c>
      <c r="CS65" s="113">
        <f t="shared" si="87"/>
        <v>0</v>
      </c>
      <c r="CT65" s="460">
        <f t="shared" si="87"/>
        <v>0</v>
      </c>
      <c r="CU65" s="582">
        <f t="shared" si="81"/>
        <v>1</v>
      </c>
      <c r="CV65" s="113">
        <f t="shared" si="81"/>
        <v>1</v>
      </c>
      <c r="CW65" s="113">
        <f t="shared" si="81"/>
        <v>0</v>
      </c>
      <c r="CX65" s="113">
        <f t="shared" si="81"/>
        <v>0</v>
      </c>
      <c r="CY65" s="459">
        <f t="shared" si="81"/>
        <v>0</v>
      </c>
      <c r="CZ65" s="461">
        <f t="shared" si="81"/>
        <v>1</v>
      </c>
      <c r="DA65" s="582">
        <f t="shared" si="81"/>
        <v>0</v>
      </c>
      <c r="DB65" s="113">
        <f t="shared" si="81"/>
        <v>0</v>
      </c>
      <c r="DC65" s="113">
        <f t="shared" si="81"/>
        <v>0</v>
      </c>
      <c r="DD65" s="113">
        <f t="shared" si="81"/>
        <v>0</v>
      </c>
      <c r="DE65" s="460">
        <f t="shared" si="81"/>
        <v>0</v>
      </c>
      <c r="DF65" s="582">
        <f t="shared" si="81"/>
        <v>1</v>
      </c>
      <c r="DG65" s="113">
        <f t="shared" ref="DG65:DT68" si="88">SUMIFS(DG$5:DG$36,$B$5:$B$36,$A65)</f>
        <v>1</v>
      </c>
      <c r="DH65" s="113">
        <f t="shared" si="88"/>
        <v>0</v>
      </c>
      <c r="DI65" s="113">
        <f t="shared" si="88"/>
        <v>0</v>
      </c>
      <c r="DJ65" s="459">
        <f t="shared" si="88"/>
        <v>0</v>
      </c>
      <c r="DK65" s="461">
        <f t="shared" si="88"/>
        <v>0</v>
      </c>
      <c r="DL65" s="582">
        <f t="shared" si="88"/>
        <v>0</v>
      </c>
      <c r="DM65" s="113">
        <f t="shared" si="88"/>
        <v>0</v>
      </c>
      <c r="DN65" s="113">
        <f t="shared" si="88"/>
        <v>0</v>
      </c>
      <c r="DO65" s="113">
        <f t="shared" si="88"/>
        <v>0</v>
      </c>
      <c r="DP65" s="460">
        <f t="shared" si="88"/>
        <v>0</v>
      </c>
      <c r="DQ65" s="582">
        <f t="shared" si="88"/>
        <v>0</v>
      </c>
      <c r="DR65" s="113">
        <f t="shared" si="88"/>
        <v>0</v>
      </c>
      <c r="DS65" s="113">
        <f t="shared" si="88"/>
        <v>0</v>
      </c>
      <c r="DT65" s="113">
        <f t="shared" si="88"/>
        <v>0</v>
      </c>
      <c r="DU65" s="459">
        <f t="shared" si="84"/>
        <v>0</v>
      </c>
      <c r="DW65" s="461">
        <f t="shared" si="77"/>
        <v>62</v>
      </c>
      <c r="DX65" s="582">
        <f t="shared" si="77"/>
        <v>40</v>
      </c>
      <c r="DY65" s="113">
        <f t="shared" si="77"/>
        <v>34</v>
      </c>
      <c r="DZ65" s="113">
        <f t="shared" si="77"/>
        <v>0</v>
      </c>
      <c r="EA65" s="113">
        <f t="shared" si="77"/>
        <v>6</v>
      </c>
      <c r="EB65" s="460">
        <f t="shared" si="77"/>
        <v>0</v>
      </c>
      <c r="EC65" s="582">
        <f t="shared" si="77"/>
        <v>22</v>
      </c>
      <c r="ED65" s="113">
        <f t="shared" si="77"/>
        <v>15</v>
      </c>
      <c r="EE65" s="113">
        <f t="shared" si="77"/>
        <v>0</v>
      </c>
      <c r="EF65" s="113">
        <f t="shared" si="76"/>
        <v>5</v>
      </c>
      <c r="EG65" s="459">
        <f t="shared" si="76"/>
        <v>2</v>
      </c>
      <c r="EH65" s="461">
        <f t="shared" si="71"/>
        <v>15</v>
      </c>
      <c r="EI65" s="582">
        <f t="shared" si="71"/>
        <v>10</v>
      </c>
      <c r="EJ65" s="113">
        <f t="shared" ref="EJ65:ER93" si="89">AN65</f>
        <v>9</v>
      </c>
      <c r="EK65" s="113">
        <f t="shared" si="89"/>
        <v>0</v>
      </c>
      <c r="EL65" s="113">
        <f t="shared" si="89"/>
        <v>1</v>
      </c>
      <c r="EM65" s="460">
        <f t="shared" si="89"/>
        <v>0</v>
      </c>
      <c r="EN65" s="582">
        <f t="shared" si="89"/>
        <v>5</v>
      </c>
      <c r="EO65" s="113">
        <f t="shared" si="89"/>
        <v>0</v>
      </c>
      <c r="EP65" s="113">
        <f t="shared" si="89"/>
        <v>0</v>
      </c>
      <c r="EQ65" s="113">
        <f t="shared" si="89"/>
        <v>5</v>
      </c>
      <c r="ER65" s="459">
        <f t="shared" si="89"/>
        <v>0</v>
      </c>
    </row>
    <row r="66" spans="1:148">
      <c r="A66" s="466" t="s">
        <v>406</v>
      </c>
      <c r="B66" s="581">
        <v>43405</v>
      </c>
      <c r="C66" s="470">
        <v>2018</v>
      </c>
      <c r="D66" s="461">
        <f t="shared" si="72"/>
        <v>174523</v>
      </c>
      <c r="E66" s="461">
        <f t="shared" si="73"/>
        <v>1886</v>
      </c>
      <c r="F66" s="582">
        <f t="shared" si="73"/>
        <v>1145</v>
      </c>
      <c r="G66" s="113">
        <f t="shared" si="73"/>
        <v>981</v>
      </c>
      <c r="H66" s="113">
        <f t="shared" si="73"/>
        <v>0</v>
      </c>
      <c r="I66" s="113">
        <f t="shared" si="73"/>
        <v>164</v>
      </c>
      <c r="J66" s="460">
        <f t="shared" si="73"/>
        <v>0</v>
      </c>
      <c r="K66" s="582">
        <f t="shared" si="73"/>
        <v>741</v>
      </c>
      <c r="L66" s="113">
        <f t="shared" si="73"/>
        <v>446</v>
      </c>
      <c r="M66" s="113">
        <f t="shared" si="73"/>
        <v>0</v>
      </c>
      <c r="N66" s="113">
        <f t="shared" si="73"/>
        <v>242</v>
      </c>
      <c r="O66" s="459">
        <f t="shared" si="73"/>
        <v>53</v>
      </c>
      <c r="P66" s="461">
        <f t="shared" si="73"/>
        <v>4</v>
      </c>
      <c r="Q66" s="582">
        <f t="shared" si="73"/>
        <v>2</v>
      </c>
      <c r="R66" s="113">
        <f t="shared" si="73"/>
        <v>2</v>
      </c>
      <c r="S66" s="113">
        <f t="shared" si="73"/>
        <v>0</v>
      </c>
      <c r="T66" s="113">
        <f t="shared" si="73"/>
        <v>0</v>
      </c>
      <c r="U66" s="460">
        <f t="shared" si="86"/>
        <v>0</v>
      </c>
      <c r="V66" s="582">
        <f t="shared" si="86"/>
        <v>2</v>
      </c>
      <c r="W66" s="113">
        <f t="shared" si="86"/>
        <v>1</v>
      </c>
      <c r="X66" s="113">
        <f t="shared" si="86"/>
        <v>0</v>
      </c>
      <c r="Y66" s="113">
        <f t="shared" si="86"/>
        <v>1</v>
      </c>
      <c r="Z66" s="459">
        <f t="shared" si="86"/>
        <v>0</v>
      </c>
      <c r="AA66" s="461">
        <f t="shared" si="86"/>
        <v>3</v>
      </c>
      <c r="AB66" s="582">
        <f t="shared" si="86"/>
        <v>1</v>
      </c>
      <c r="AC66" s="113">
        <f t="shared" si="86"/>
        <v>1</v>
      </c>
      <c r="AD66" s="113">
        <f t="shared" si="86"/>
        <v>0</v>
      </c>
      <c r="AE66" s="113">
        <f t="shared" si="86"/>
        <v>0</v>
      </c>
      <c r="AF66" s="460">
        <f t="shared" si="86"/>
        <v>0</v>
      </c>
      <c r="AG66" s="582">
        <f t="shared" si="86"/>
        <v>2</v>
      </c>
      <c r="AH66" s="113">
        <f t="shared" si="86"/>
        <v>1</v>
      </c>
      <c r="AI66" s="113">
        <f t="shared" si="86"/>
        <v>0</v>
      </c>
      <c r="AJ66" s="113">
        <f t="shared" si="86"/>
        <v>0</v>
      </c>
      <c r="AK66" s="459">
        <f t="shared" si="86"/>
        <v>1</v>
      </c>
      <c r="AL66" s="461">
        <f t="shared" si="86"/>
        <v>15</v>
      </c>
      <c r="AM66" s="582">
        <f t="shared" si="86"/>
        <v>10</v>
      </c>
      <c r="AN66" s="113">
        <f t="shared" si="86"/>
        <v>9</v>
      </c>
      <c r="AO66" s="113">
        <f t="shared" si="86"/>
        <v>0</v>
      </c>
      <c r="AP66" s="113">
        <f t="shared" si="86"/>
        <v>1</v>
      </c>
      <c r="AQ66" s="460">
        <f t="shared" si="86"/>
        <v>0</v>
      </c>
      <c r="AR66" s="582">
        <f t="shared" si="86"/>
        <v>5</v>
      </c>
      <c r="AS66" s="113">
        <f t="shared" si="86"/>
        <v>0</v>
      </c>
      <c r="AT66" s="113">
        <f t="shared" si="86"/>
        <v>0</v>
      </c>
      <c r="AU66" s="113">
        <f t="shared" si="86"/>
        <v>5</v>
      </c>
      <c r="AV66" s="459">
        <f t="shared" si="86"/>
        <v>0</v>
      </c>
      <c r="AW66" s="461">
        <f t="shared" si="86"/>
        <v>10</v>
      </c>
      <c r="AX66" s="582">
        <f t="shared" ref="AX66:DI69" si="90">SUMIFS(AX$5:AX$36,$B$5:$B$36,$A66)</f>
        <v>7</v>
      </c>
      <c r="AY66" s="113">
        <f t="shared" si="90"/>
        <v>7</v>
      </c>
      <c r="AZ66" s="113">
        <f t="shared" si="90"/>
        <v>0</v>
      </c>
      <c r="BA66" s="113">
        <f t="shared" si="90"/>
        <v>0</v>
      </c>
      <c r="BB66" s="460">
        <f t="shared" si="90"/>
        <v>0</v>
      </c>
      <c r="BC66" s="582">
        <f t="shared" si="90"/>
        <v>3</v>
      </c>
      <c r="BD66" s="113">
        <f t="shared" si="90"/>
        <v>2</v>
      </c>
      <c r="BE66" s="113">
        <f t="shared" si="90"/>
        <v>0</v>
      </c>
      <c r="BF66" s="113">
        <f t="shared" si="90"/>
        <v>1</v>
      </c>
      <c r="BG66" s="459">
        <f t="shared" si="90"/>
        <v>0</v>
      </c>
      <c r="BH66" s="461">
        <f t="shared" si="90"/>
        <v>18</v>
      </c>
      <c r="BI66" s="582">
        <f t="shared" si="90"/>
        <v>12</v>
      </c>
      <c r="BJ66" s="113">
        <f t="shared" si="90"/>
        <v>9</v>
      </c>
      <c r="BK66" s="113">
        <f t="shared" si="90"/>
        <v>0</v>
      </c>
      <c r="BL66" s="113">
        <f t="shared" si="90"/>
        <v>3</v>
      </c>
      <c r="BM66" s="460">
        <f t="shared" si="90"/>
        <v>0</v>
      </c>
      <c r="BN66" s="582">
        <f t="shared" si="90"/>
        <v>6</v>
      </c>
      <c r="BO66" s="113">
        <f t="shared" si="90"/>
        <v>4</v>
      </c>
      <c r="BP66" s="113">
        <f t="shared" si="90"/>
        <v>0</v>
      </c>
      <c r="BQ66" s="113">
        <f t="shared" si="90"/>
        <v>2</v>
      </c>
      <c r="BR66" s="459">
        <f t="shared" si="90"/>
        <v>0</v>
      </c>
      <c r="BS66" s="461">
        <f t="shared" si="90"/>
        <v>19</v>
      </c>
      <c r="BT66" s="582">
        <f t="shared" si="90"/>
        <v>12</v>
      </c>
      <c r="BU66" s="113">
        <f t="shared" si="90"/>
        <v>10</v>
      </c>
      <c r="BV66" s="113">
        <f t="shared" si="90"/>
        <v>0</v>
      </c>
      <c r="BW66" s="113">
        <f t="shared" si="90"/>
        <v>2</v>
      </c>
      <c r="BX66" s="460">
        <f t="shared" si="90"/>
        <v>0</v>
      </c>
      <c r="BY66" s="582">
        <f t="shared" si="90"/>
        <v>7</v>
      </c>
      <c r="BZ66" s="113">
        <f t="shared" si="90"/>
        <v>5</v>
      </c>
      <c r="CA66" s="113">
        <f t="shared" si="90"/>
        <v>0</v>
      </c>
      <c r="CB66" s="113">
        <f t="shared" si="90"/>
        <v>1</v>
      </c>
      <c r="CC66" s="459">
        <f t="shared" si="90"/>
        <v>1</v>
      </c>
      <c r="CD66" s="461">
        <f t="shared" si="90"/>
        <v>4</v>
      </c>
      <c r="CE66" s="582">
        <f t="shared" si="90"/>
        <v>4</v>
      </c>
      <c r="CF66" s="113">
        <f t="shared" si="90"/>
        <v>3</v>
      </c>
      <c r="CG66" s="113">
        <f t="shared" si="90"/>
        <v>0</v>
      </c>
      <c r="CH66" s="113">
        <f t="shared" si="90"/>
        <v>1</v>
      </c>
      <c r="CI66" s="460">
        <f t="shared" si="90"/>
        <v>0</v>
      </c>
      <c r="CJ66" s="582">
        <f t="shared" si="90"/>
        <v>0</v>
      </c>
      <c r="CK66" s="113">
        <f t="shared" si="90"/>
        <v>0</v>
      </c>
      <c r="CL66" s="113">
        <f t="shared" si="90"/>
        <v>0</v>
      </c>
      <c r="CM66" s="113">
        <f t="shared" si="90"/>
        <v>0</v>
      </c>
      <c r="CN66" s="459">
        <f t="shared" si="90"/>
        <v>0</v>
      </c>
      <c r="CO66" s="461">
        <f t="shared" si="90"/>
        <v>3</v>
      </c>
      <c r="CP66" s="582">
        <f t="shared" si="90"/>
        <v>2</v>
      </c>
      <c r="CQ66" s="113">
        <f t="shared" si="90"/>
        <v>2</v>
      </c>
      <c r="CR66" s="113">
        <f t="shared" si="90"/>
        <v>0</v>
      </c>
      <c r="CS66" s="113">
        <f t="shared" si="90"/>
        <v>0</v>
      </c>
      <c r="CT66" s="460">
        <f t="shared" si="90"/>
        <v>0</v>
      </c>
      <c r="CU66" s="582">
        <f t="shared" si="90"/>
        <v>1</v>
      </c>
      <c r="CV66" s="113">
        <f t="shared" si="90"/>
        <v>1</v>
      </c>
      <c r="CW66" s="113">
        <f t="shared" si="90"/>
        <v>0</v>
      </c>
      <c r="CX66" s="113">
        <f t="shared" si="90"/>
        <v>0</v>
      </c>
      <c r="CY66" s="459">
        <f t="shared" si="90"/>
        <v>0</v>
      </c>
      <c r="CZ66" s="461">
        <f t="shared" si="90"/>
        <v>1</v>
      </c>
      <c r="DA66" s="582">
        <f t="shared" si="90"/>
        <v>0</v>
      </c>
      <c r="DB66" s="113">
        <f t="shared" si="90"/>
        <v>0</v>
      </c>
      <c r="DC66" s="113">
        <f t="shared" si="90"/>
        <v>0</v>
      </c>
      <c r="DD66" s="113">
        <f t="shared" si="90"/>
        <v>0</v>
      </c>
      <c r="DE66" s="460">
        <f t="shared" si="90"/>
        <v>0</v>
      </c>
      <c r="DF66" s="582">
        <f t="shared" si="90"/>
        <v>1</v>
      </c>
      <c r="DG66" s="113">
        <f t="shared" si="90"/>
        <v>1</v>
      </c>
      <c r="DH66" s="113">
        <f t="shared" si="90"/>
        <v>0</v>
      </c>
      <c r="DI66" s="113">
        <f t="shared" si="90"/>
        <v>0</v>
      </c>
      <c r="DJ66" s="459">
        <f t="shared" si="88"/>
        <v>0</v>
      </c>
      <c r="DK66" s="461">
        <f t="shared" si="88"/>
        <v>0</v>
      </c>
      <c r="DL66" s="582">
        <f t="shared" si="88"/>
        <v>0</v>
      </c>
      <c r="DM66" s="113">
        <f t="shared" si="88"/>
        <v>0</v>
      </c>
      <c r="DN66" s="113">
        <f t="shared" si="88"/>
        <v>0</v>
      </c>
      <c r="DO66" s="113">
        <f t="shared" si="88"/>
        <v>0</v>
      </c>
      <c r="DP66" s="460">
        <f t="shared" si="88"/>
        <v>0</v>
      </c>
      <c r="DQ66" s="582">
        <f t="shared" si="88"/>
        <v>0</v>
      </c>
      <c r="DR66" s="113">
        <f t="shared" si="88"/>
        <v>0</v>
      </c>
      <c r="DS66" s="113">
        <f t="shared" si="88"/>
        <v>0</v>
      </c>
      <c r="DT66" s="113">
        <f t="shared" si="88"/>
        <v>0</v>
      </c>
      <c r="DU66" s="459">
        <f t="shared" si="84"/>
        <v>0</v>
      </c>
      <c r="DW66" s="461">
        <f t="shared" si="77"/>
        <v>62</v>
      </c>
      <c r="DX66" s="582">
        <f t="shared" si="77"/>
        <v>40</v>
      </c>
      <c r="DY66" s="113">
        <f t="shared" si="77"/>
        <v>34</v>
      </c>
      <c r="DZ66" s="113">
        <f t="shared" si="77"/>
        <v>0</v>
      </c>
      <c r="EA66" s="113">
        <f t="shared" si="77"/>
        <v>6</v>
      </c>
      <c r="EB66" s="460">
        <f t="shared" si="77"/>
        <v>0</v>
      </c>
      <c r="EC66" s="582">
        <f t="shared" si="77"/>
        <v>22</v>
      </c>
      <c r="ED66" s="113">
        <f t="shared" si="77"/>
        <v>15</v>
      </c>
      <c r="EE66" s="113">
        <f t="shared" si="77"/>
        <v>0</v>
      </c>
      <c r="EF66" s="113">
        <f t="shared" si="76"/>
        <v>5</v>
      </c>
      <c r="EG66" s="459">
        <f t="shared" si="76"/>
        <v>2</v>
      </c>
      <c r="EH66" s="461">
        <f t="shared" ref="EH66:EL129" si="91">AL66</f>
        <v>15</v>
      </c>
      <c r="EI66" s="582">
        <f t="shared" si="91"/>
        <v>10</v>
      </c>
      <c r="EJ66" s="113">
        <f t="shared" si="89"/>
        <v>9</v>
      </c>
      <c r="EK66" s="113">
        <f t="shared" si="89"/>
        <v>0</v>
      </c>
      <c r="EL66" s="113">
        <f t="shared" si="89"/>
        <v>1</v>
      </c>
      <c r="EM66" s="460">
        <f t="shared" si="89"/>
        <v>0</v>
      </c>
      <c r="EN66" s="582">
        <f t="shared" si="89"/>
        <v>5</v>
      </c>
      <c r="EO66" s="113">
        <f t="shared" si="89"/>
        <v>0</v>
      </c>
      <c r="EP66" s="113">
        <f t="shared" si="89"/>
        <v>0</v>
      </c>
      <c r="EQ66" s="113">
        <f t="shared" si="89"/>
        <v>5</v>
      </c>
      <c r="ER66" s="459">
        <f t="shared" si="89"/>
        <v>0</v>
      </c>
    </row>
    <row r="67" spans="1:148">
      <c r="A67" s="466" t="s">
        <v>406</v>
      </c>
      <c r="B67" s="581">
        <v>43435</v>
      </c>
      <c r="C67" s="470">
        <v>2018</v>
      </c>
      <c r="D67" s="461">
        <f t="shared" si="72"/>
        <v>174523</v>
      </c>
      <c r="E67" s="461">
        <f t="shared" si="73"/>
        <v>1886</v>
      </c>
      <c r="F67" s="582">
        <f t="shared" si="73"/>
        <v>1145</v>
      </c>
      <c r="G67" s="113">
        <f t="shared" si="73"/>
        <v>981</v>
      </c>
      <c r="H67" s="113">
        <f t="shared" si="73"/>
        <v>0</v>
      </c>
      <c r="I67" s="113">
        <f t="shared" si="73"/>
        <v>164</v>
      </c>
      <c r="J67" s="460">
        <f t="shared" si="73"/>
        <v>0</v>
      </c>
      <c r="K67" s="582">
        <f t="shared" si="73"/>
        <v>741</v>
      </c>
      <c r="L67" s="113">
        <f t="shared" si="73"/>
        <v>446</v>
      </c>
      <c r="M67" s="113">
        <f t="shared" si="73"/>
        <v>0</v>
      </c>
      <c r="N67" s="113">
        <f t="shared" si="73"/>
        <v>242</v>
      </c>
      <c r="O67" s="459">
        <f t="shared" si="73"/>
        <v>53</v>
      </c>
      <c r="P67" s="461">
        <f t="shared" si="73"/>
        <v>4</v>
      </c>
      <c r="Q67" s="582">
        <f t="shared" si="73"/>
        <v>2</v>
      </c>
      <c r="R67" s="113">
        <f t="shared" si="73"/>
        <v>2</v>
      </c>
      <c r="S67" s="113">
        <f t="shared" si="73"/>
        <v>0</v>
      </c>
      <c r="T67" s="113">
        <f t="shared" si="73"/>
        <v>0</v>
      </c>
      <c r="U67" s="460">
        <f t="shared" si="86"/>
        <v>0</v>
      </c>
      <c r="V67" s="582">
        <f t="shared" si="86"/>
        <v>2</v>
      </c>
      <c r="W67" s="113">
        <f t="shared" si="86"/>
        <v>1</v>
      </c>
      <c r="X67" s="113">
        <f t="shared" si="86"/>
        <v>0</v>
      </c>
      <c r="Y67" s="113">
        <f t="shared" si="86"/>
        <v>1</v>
      </c>
      <c r="Z67" s="459">
        <f t="shared" si="86"/>
        <v>0</v>
      </c>
      <c r="AA67" s="461">
        <f t="shared" si="86"/>
        <v>3</v>
      </c>
      <c r="AB67" s="582">
        <f t="shared" si="86"/>
        <v>1</v>
      </c>
      <c r="AC67" s="113">
        <f t="shared" si="86"/>
        <v>1</v>
      </c>
      <c r="AD67" s="113">
        <f t="shared" si="86"/>
        <v>0</v>
      </c>
      <c r="AE67" s="113">
        <f t="shared" si="86"/>
        <v>0</v>
      </c>
      <c r="AF67" s="460">
        <f t="shared" si="86"/>
        <v>0</v>
      </c>
      <c r="AG67" s="582">
        <f t="shared" si="86"/>
        <v>2</v>
      </c>
      <c r="AH67" s="113">
        <f t="shared" si="86"/>
        <v>1</v>
      </c>
      <c r="AI67" s="113">
        <f t="shared" si="86"/>
        <v>0</v>
      </c>
      <c r="AJ67" s="113">
        <f t="shared" si="86"/>
        <v>0</v>
      </c>
      <c r="AK67" s="459">
        <f t="shared" si="86"/>
        <v>1</v>
      </c>
      <c r="AL67" s="461">
        <f t="shared" si="86"/>
        <v>15</v>
      </c>
      <c r="AM67" s="582">
        <f t="shared" si="86"/>
        <v>10</v>
      </c>
      <c r="AN67" s="113">
        <f t="shared" si="86"/>
        <v>9</v>
      </c>
      <c r="AO67" s="113">
        <f t="shared" si="86"/>
        <v>0</v>
      </c>
      <c r="AP67" s="113">
        <f t="shared" si="86"/>
        <v>1</v>
      </c>
      <c r="AQ67" s="460">
        <f t="shared" si="86"/>
        <v>0</v>
      </c>
      <c r="AR67" s="582">
        <f t="shared" si="86"/>
        <v>5</v>
      </c>
      <c r="AS67" s="113">
        <f t="shared" si="86"/>
        <v>0</v>
      </c>
      <c r="AT67" s="113">
        <f t="shared" si="86"/>
        <v>0</v>
      </c>
      <c r="AU67" s="113">
        <f t="shared" si="86"/>
        <v>5</v>
      </c>
      <c r="AV67" s="459">
        <f t="shared" si="86"/>
        <v>0</v>
      </c>
      <c r="AW67" s="461">
        <f t="shared" si="86"/>
        <v>10</v>
      </c>
      <c r="AX67" s="582">
        <f t="shared" si="90"/>
        <v>7</v>
      </c>
      <c r="AY67" s="113">
        <f t="shared" si="90"/>
        <v>7</v>
      </c>
      <c r="AZ67" s="113">
        <f t="shared" si="90"/>
        <v>0</v>
      </c>
      <c r="BA67" s="113">
        <f t="shared" si="90"/>
        <v>0</v>
      </c>
      <c r="BB67" s="460">
        <f t="shared" si="90"/>
        <v>0</v>
      </c>
      <c r="BC67" s="582">
        <f t="shared" si="90"/>
        <v>3</v>
      </c>
      <c r="BD67" s="113">
        <f t="shared" si="90"/>
        <v>2</v>
      </c>
      <c r="BE67" s="113">
        <f t="shared" si="90"/>
        <v>0</v>
      </c>
      <c r="BF67" s="113">
        <f t="shared" si="90"/>
        <v>1</v>
      </c>
      <c r="BG67" s="459">
        <f t="shared" si="90"/>
        <v>0</v>
      </c>
      <c r="BH67" s="461">
        <f t="shared" si="90"/>
        <v>18</v>
      </c>
      <c r="BI67" s="582">
        <f t="shared" si="90"/>
        <v>12</v>
      </c>
      <c r="BJ67" s="113">
        <f t="shared" si="90"/>
        <v>9</v>
      </c>
      <c r="BK67" s="113">
        <f t="shared" si="90"/>
        <v>0</v>
      </c>
      <c r="BL67" s="113">
        <f t="shared" si="90"/>
        <v>3</v>
      </c>
      <c r="BM67" s="460">
        <f t="shared" si="90"/>
        <v>0</v>
      </c>
      <c r="BN67" s="582">
        <f t="shared" si="90"/>
        <v>6</v>
      </c>
      <c r="BO67" s="113">
        <f t="shared" si="90"/>
        <v>4</v>
      </c>
      <c r="BP67" s="113">
        <f t="shared" si="90"/>
        <v>0</v>
      </c>
      <c r="BQ67" s="113">
        <f t="shared" si="90"/>
        <v>2</v>
      </c>
      <c r="BR67" s="459">
        <f t="shared" si="90"/>
        <v>0</v>
      </c>
      <c r="BS67" s="461">
        <f t="shared" si="90"/>
        <v>19</v>
      </c>
      <c r="BT67" s="582">
        <f t="shared" si="90"/>
        <v>12</v>
      </c>
      <c r="BU67" s="113">
        <f t="shared" si="90"/>
        <v>10</v>
      </c>
      <c r="BV67" s="113">
        <f t="shared" si="90"/>
        <v>0</v>
      </c>
      <c r="BW67" s="113">
        <f t="shared" si="90"/>
        <v>2</v>
      </c>
      <c r="BX67" s="460">
        <f t="shared" si="90"/>
        <v>0</v>
      </c>
      <c r="BY67" s="582">
        <f t="shared" si="90"/>
        <v>7</v>
      </c>
      <c r="BZ67" s="113">
        <f t="shared" si="90"/>
        <v>5</v>
      </c>
      <c r="CA67" s="113">
        <f t="shared" si="90"/>
        <v>0</v>
      </c>
      <c r="CB67" s="113">
        <f t="shared" si="90"/>
        <v>1</v>
      </c>
      <c r="CC67" s="459">
        <f t="shared" si="90"/>
        <v>1</v>
      </c>
      <c r="CD67" s="461">
        <f t="shared" si="90"/>
        <v>4</v>
      </c>
      <c r="CE67" s="582">
        <f t="shared" si="90"/>
        <v>4</v>
      </c>
      <c r="CF67" s="113">
        <f t="shared" si="90"/>
        <v>3</v>
      </c>
      <c r="CG67" s="113">
        <f t="shared" si="90"/>
        <v>0</v>
      </c>
      <c r="CH67" s="113">
        <f t="shared" si="90"/>
        <v>1</v>
      </c>
      <c r="CI67" s="460">
        <f t="shared" si="90"/>
        <v>0</v>
      </c>
      <c r="CJ67" s="582">
        <f t="shared" si="90"/>
        <v>0</v>
      </c>
      <c r="CK67" s="113">
        <f t="shared" si="90"/>
        <v>0</v>
      </c>
      <c r="CL67" s="113">
        <f t="shared" si="90"/>
        <v>0</v>
      </c>
      <c r="CM67" s="113">
        <f t="shared" si="90"/>
        <v>0</v>
      </c>
      <c r="CN67" s="459">
        <f t="shared" si="90"/>
        <v>0</v>
      </c>
      <c r="CO67" s="461">
        <f t="shared" si="90"/>
        <v>3</v>
      </c>
      <c r="CP67" s="582">
        <f t="shared" si="90"/>
        <v>2</v>
      </c>
      <c r="CQ67" s="113">
        <f t="shared" si="90"/>
        <v>2</v>
      </c>
      <c r="CR67" s="113">
        <f t="shared" si="90"/>
        <v>0</v>
      </c>
      <c r="CS67" s="113">
        <f t="shared" si="90"/>
        <v>0</v>
      </c>
      <c r="CT67" s="460">
        <f t="shared" si="90"/>
        <v>0</v>
      </c>
      <c r="CU67" s="582">
        <f t="shared" si="90"/>
        <v>1</v>
      </c>
      <c r="CV67" s="113">
        <f t="shared" si="90"/>
        <v>1</v>
      </c>
      <c r="CW67" s="113">
        <f t="shared" si="90"/>
        <v>0</v>
      </c>
      <c r="CX67" s="113">
        <f t="shared" si="90"/>
        <v>0</v>
      </c>
      <c r="CY67" s="459">
        <f t="shared" si="90"/>
        <v>0</v>
      </c>
      <c r="CZ67" s="461">
        <f t="shared" si="90"/>
        <v>1</v>
      </c>
      <c r="DA67" s="582">
        <f t="shared" si="90"/>
        <v>0</v>
      </c>
      <c r="DB67" s="113">
        <f t="shared" si="90"/>
        <v>0</v>
      </c>
      <c r="DC67" s="113">
        <f t="shared" si="90"/>
        <v>0</v>
      </c>
      <c r="DD67" s="113">
        <f t="shared" si="90"/>
        <v>0</v>
      </c>
      <c r="DE67" s="460">
        <f t="shared" si="90"/>
        <v>0</v>
      </c>
      <c r="DF67" s="582">
        <f t="shared" si="90"/>
        <v>1</v>
      </c>
      <c r="DG67" s="113">
        <f t="shared" si="90"/>
        <v>1</v>
      </c>
      <c r="DH67" s="113">
        <f t="shared" si="90"/>
        <v>0</v>
      </c>
      <c r="DI67" s="113">
        <f t="shared" si="90"/>
        <v>0</v>
      </c>
      <c r="DJ67" s="459">
        <f t="shared" si="88"/>
        <v>0</v>
      </c>
      <c r="DK67" s="461">
        <f t="shared" si="88"/>
        <v>0</v>
      </c>
      <c r="DL67" s="582">
        <f t="shared" si="88"/>
        <v>0</v>
      </c>
      <c r="DM67" s="113">
        <f t="shared" si="88"/>
        <v>0</v>
      </c>
      <c r="DN67" s="113">
        <f t="shared" si="88"/>
        <v>0</v>
      </c>
      <c r="DO67" s="113">
        <f t="shared" si="88"/>
        <v>0</v>
      </c>
      <c r="DP67" s="460">
        <f t="shared" si="88"/>
        <v>0</v>
      </c>
      <c r="DQ67" s="582">
        <f t="shared" si="88"/>
        <v>0</v>
      </c>
      <c r="DR67" s="113">
        <f t="shared" si="88"/>
        <v>0</v>
      </c>
      <c r="DS67" s="113">
        <f t="shared" si="88"/>
        <v>0</v>
      </c>
      <c r="DT67" s="113">
        <f t="shared" si="88"/>
        <v>0</v>
      </c>
      <c r="DU67" s="459">
        <f t="shared" si="84"/>
        <v>0</v>
      </c>
      <c r="DW67" s="461">
        <f t="shared" si="77"/>
        <v>62</v>
      </c>
      <c r="DX67" s="582">
        <f t="shared" si="77"/>
        <v>40</v>
      </c>
      <c r="DY67" s="113">
        <f t="shared" si="77"/>
        <v>34</v>
      </c>
      <c r="DZ67" s="113">
        <f t="shared" si="77"/>
        <v>0</v>
      </c>
      <c r="EA67" s="113">
        <f t="shared" si="77"/>
        <v>6</v>
      </c>
      <c r="EB67" s="460">
        <f t="shared" si="77"/>
        <v>0</v>
      </c>
      <c r="EC67" s="582">
        <f t="shared" si="77"/>
        <v>22</v>
      </c>
      <c r="ED67" s="113">
        <f t="shared" si="77"/>
        <v>15</v>
      </c>
      <c r="EE67" s="113">
        <f t="shared" si="77"/>
        <v>0</v>
      </c>
      <c r="EF67" s="113">
        <f t="shared" si="76"/>
        <v>5</v>
      </c>
      <c r="EG67" s="459">
        <f t="shared" si="76"/>
        <v>2</v>
      </c>
      <c r="EH67" s="461">
        <f t="shared" si="91"/>
        <v>15</v>
      </c>
      <c r="EI67" s="582">
        <f t="shared" si="91"/>
        <v>10</v>
      </c>
      <c r="EJ67" s="113">
        <f t="shared" si="89"/>
        <v>9</v>
      </c>
      <c r="EK67" s="113">
        <f t="shared" si="89"/>
        <v>0</v>
      </c>
      <c r="EL67" s="113">
        <f t="shared" si="89"/>
        <v>1</v>
      </c>
      <c r="EM67" s="460">
        <f t="shared" si="89"/>
        <v>0</v>
      </c>
      <c r="EN67" s="582">
        <f t="shared" si="89"/>
        <v>5</v>
      </c>
      <c r="EO67" s="113">
        <f t="shared" si="89"/>
        <v>0</v>
      </c>
      <c r="EP67" s="113">
        <f t="shared" si="89"/>
        <v>0</v>
      </c>
      <c r="EQ67" s="113">
        <f t="shared" si="89"/>
        <v>5</v>
      </c>
      <c r="ER67" s="459">
        <f t="shared" si="89"/>
        <v>0</v>
      </c>
    </row>
    <row r="68" spans="1:148">
      <c r="A68" s="466" t="s">
        <v>407</v>
      </c>
      <c r="B68" s="581">
        <v>43466</v>
      </c>
      <c r="C68" s="470">
        <v>2019</v>
      </c>
      <c r="D68" s="461">
        <f t="shared" si="72"/>
        <v>168959</v>
      </c>
      <c r="E68" s="461">
        <f t="shared" si="73"/>
        <v>1343</v>
      </c>
      <c r="F68" s="582">
        <f t="shared" si="73"/>
        <v>850</v>
      </c>
      <c r="G68" s="113">
        <f t="shared" si="73"/>
        <v>565</v>
      </c>
      <c r="H68" s="113">
        <f t="shared" si="73"/>
        <v>0</v>
      </c>
      <c r="I68" s="113">
        <f t="shared" si="73"/>
        <v>285</v>
      </c>
      <c r="J68" s="460">
        <f t="shared" si="73"/>
        <v>0</v>
      </c>
      <c r="K68" s="582">
        <f t="shared" si="73"/>
        <v>493</v>
      </c>
      <c r="L68" s="113">
        <f t="shared" ref="L68:AN83" si="92">SUMIFS(L$5:L$36,$B$5:$B$36,$A68)</f>
        <v>280</v>
      </c>
      <c r="M68" s="113">
        <f t="shared" si="92"/>
        <v>0</v>
      </c>
      <c r="N68" s="113">
        <f t="shared" si="92"/>
        <v>189</v>
      </c>
      <c r="O68" s="459">
        <f t="shared" si="92"/>
        <v>24</v>
      </c>
      <c r="P68" s="461">
        <f t="shared" si="92"/>
        <v>3</v>
      </c>
      <c r="Q68" s="582">
        <f t="shared" si="92"/>
        <v>0</v>
      </c>
      <c r="R68" s="113">
        <f t="shared" si="92"/>
        <v>0</v>
      </c>
      <c r="S68" s="113">
        <f t="shared" si="92"/>
        <v>0</v>
      </c>
      <c r="T68" s="113">
        <f t="shared" si="92"/>
        <v>0</v>
      </c>
      <c r="U68" s="460">
        <f t="shared" si="92"/>
        <v>0</v>
      </c>
      <c r="V68" s="582">
        <f t="shared" si="92"/>
        <v>3</v>
      </c>
      <c r="W68" s="113">
        <f t="shared" si="92"/>
        <v>2</v>
      </c>
      <c r="X68" s="113">
        <f t="shared" si="92"/>
        <v>0</v>
      </c>
      <c r="Y68" s="113">
        <f t="shared" si="92"/>
        <v>1</v>
      </c>
      <c r="Z68" s="459">
        <f t="shared" si="92"/>
        <v>0</v>
      </c>
      <c r="AA68" s="461">
        <f t="shared" si="92"/>
        <v>0</v>
      </c>
      <c r="AB68" s="582">
        <f t="shared" si="92"/>
        <v>0</v>
      </c>
      <c r="AC68" s="113">
        <f t="shared" si="92"/>
        <v>0</v>
      </c>
      <c r="AD68" s="113">
        <f t="shared" si="92"/>
        <v>0</v>
      </c>
      <c r="AE68" s="113">
        <f t="shared" si="92"/>
        <v>0</v>
      </c>
      <c r="AF68" s="460">
        <f t="shared" si="92"/>
        <v>0</v>
      </c>
      <c r="AG68" s="582">
        <f t="shared" si="92"/>
        <v>0</v>
      </c>
      <c r="AH68" s="113">
        <f t="shared" si="92"/>
        <v>0</v>
      </c>
      <c r="AI68" s="113">
        <f t="shared" si="86"/>
        <v>0</v>
      </c>
      <c r="AJ68" s="113">
        <f t="shared" si="86"/>
        <v>0</v>
      </c>
      <c r="AK68" s="459">
        <f t="shared" si="86"/>
        <v>0</v>
      </c>
      <c r="AL68" s="461">
        <f t="shared" si="86"/>
        <v>11</v>
      </c>
      <c r="AM68" s="582">
        <f t="shared" si="86"/>
        <v>8</v>
      </c>
      <c r="AN68" s="113">
        <f t="shared" si="86"/>
        <v>4</v>
      </c>
      <c r="AO68" s="113">
        <f t="shared" si="86"/>
        <v>0</v>
      </c>
      <c r="AP68" s="113">
        <f t="shared" si="86"/>
        <v>4</v>
      </c>
      <c r="AQ68" s="460">
        <f t="shared" si="86"/>
        <v>0</v>
      </c>
      <c r="AR68" s="582">
        <f t="shared" si="86"/>
        <v>3</v>
      </c>
      <c r="AS68" s="113">
        <f t="shared" si="86"/>
        <v>0</v>
      </c>
      <c r="AT68" s="113">
        <f t="shared" si="86"/>
        <v>0</v>
      </c>
      <c r="AU68" s="113">
        <f t="shared" si="86"/>
        <v>3</v>
      </c>
      <c r="AV68" s="459">
        <f t="shared" si="86"/>
        <v>0</v>
      </c>
      <c r="AW68" s="461">
        <f t="shared" si="86"/>
        <v>4</v>
      </c>
      <c r="AX68" s="582">
        <f t="shared" si="90"/>
        <v>2</v>
      </c>
      <c r="AY68" s="113">
        <f t="shared" si="90"/>
        <v>2</v>
      </c>
      <c r="AZ68" s="113">
        <f t="shared" si="90"/>
        <v>0</v>
      </c>
      <c r="BA68" s="113">
        <f t="shared" si="90"/>
        <v>0</v>
      </c>
      <c r="BB68" s="460">
        <f t="shared" si="90"/>
        <v>0</v>
      </c>
      <c r="BC68" s="582">
        <f t="shared" si="90"/>
        <v>2</v>
      </c>
      <c r="BD68" s="113">
        <f t="shared" si="90"/>
        <v>1</v>
      </c>
      <c r="BE68" s="113">
        <f t="shared" si="90"/>
        <v>0</v>
      </c>
      <c r="BF68" s="113">
        <f t="shared" si="90"/>
        <v>1</v>
      </c>
      <c r="BG68" s="459">
        <f t="shared" si="90"/>
        <v>0</v>
      </c>
      <c r="BH68" s="461">
        <f t="shared" si="90"/>
        <v>3</v>
      </c>
      <c r="BI68" s="582">
        <f t="shared" si="90"/>
        <v>2</v>
      </c>
      <c r="BJ68" s="113">
        <f t="shared" si="90"/>
        <v>2</v>
      </c>
      <c r="BK68" s="113">
        <f t="shared" si="90"/>
        <v>0</v>
      </c>
      <c r="BL68" s="113">
        <f t="shared" si="90"/>
        <v>0</v>
      </c>
      <c r="BM68" s="460">
        <f t="shared" si="90"/>
        <v>0</v>
      </c>
      <c r="BN68" s="582">
        <f t="shared" si="90"/>
        <v>1</v>
      </c>
      <c r="BO68" s="113">
        <f t="shared" si="90"/>
        <v>0</v>
      </c>
      <c r="BP68" s="113">
        <f t="shared" si="90"/>
        <v>0</v>
      </c>
      <c r="BQ68" s="113">
        <f t="shared" si="90"/>
        <v>1</v>
      </c>
      <c r="BR68" s="459">
        <f t="shared" si="90"/>
        <v>0</v>
      </c>
      <c r="BS68" s="461">
        <f t="shared" si="90"/>
        <v>10</v>
      </c>
      <c r="BT68" s="582">
        <f t="shared" si="90"/>
        <v>5</v>
      </c>
      <c r="BU68" s="113">
        <f t="shared" si="90"/>
        <v>3</v>
      </c>
      <c r="BV68" s="113">
        <f t="shared" si="90"/>
        <v>0</v>
      </c>
      <c r="BW68" s="113">
        <f t="shared" si="90"/>
        <v>2</v>
      </c>
      <c r="BX68" s="460">
        <f t="shared" si="90"/>
        <v>0</v>
      </c>
      <c r="BY68" s="582">
        <f t="shared" si="90"/>
        <v>5</v>
      </c>
      <c r="BZ68" s="113">
        <f t="shared" si="90"/>
        <v>1</v>
      </c>
      <c r="CA68" s="113">
        <f t="shared" si="90"/>
        <v>0</v>
      </c>
      <c r="CB68" s="113">
        <f t="shared" si="90"/>
        <v>4</v>
      </c>
      <c r="CC68" s="459">
        <f t="shared" si="90"/>
        <v>0</v>
      </c>
      <c r="CD68" s="461">
        <f t="shared" si="90"/>
        <v>0</v>
      </c>
      <c r="CE68" s="582">
        <f t="shared" si="90"/>
        <v>0</v>
      </c>
      <c r="CF68" s="113">
        <f t="shared" si="90"/>
        <v>0</v>
      </c>
      <c r="CG68" s="113">
        <f t="shared" si="90"/>
        <v>0</v>
      </c>
      <c r="CH68" s="113">
        <f t="shared" si="90"/>
        <v>0</v>
      </c>
      <c r="CI68" s="460">
        <f t="shared" si="90"/>
        <v>0</v>
      </c>
      <c r="CJ68" s="582">
        <f t="shared" si="90"/>
        <v>0</v>
      </c>
      <c r="CK68" s="113">
        <f t="shared" si="90"/>
        <v>0</v>
      </c>
      <c r="CL68" s="113">
        <f t="shared" si="90"/>
        <v>0</v>
      </c>
      <c r="CM68" s="113">
        <f t="shared" si="90"/>
        <v>0</v>
      </c>
      <c r="CN68" s="459">
        <f t="shared" si="90"/>
        <v>0</v>
      </c>
      <c r="CO68" s="461">
        <f t="shared" si="90"/>
        <v>0</v>
      </c>
      <c r="CP68" s="582">
        <f t="shared" si="90"/>
        <v>0</v>
      </c>
      <c r="CQ68" s="113">
        <f t="shared" si="90"/>
        <v>0</v>
      </c>
      <c r="CR68" s="113">
        <f t="shared" si="90"/>
        <v>0</v>
      </c>
      <c r="CS68" s="113">
        <f t="shared" si="90"/>
        <v>0</v>
      </c>
      <c r="CT68" s="460">
        <f t="shared" si="90"/>
        <v>0</v>
      </c>
      <c r="CU68" s="582">
        <f t="shared" si="90"/>
        <v>0</v>
      </c>
      <c r="CV68" s="113">
        <f t="shared" si="90"/>
        <v>0</v>
      </c>
      <c r="CW68" s="113">
        <f t="shared" si="90"/>
        <v>0</v>
      </c>
      <c r="CX68" s="113">
        <f t="shared" si="90"/>
        <v>0</v>
      </c>
      <c r="CY68" s="459">
        <f t="shared" si="90"/>
        <v>0</v>
      </c>
      <c r="CZ68" s="461">
        <f t="shared" si="90"/>
        <v>0</v>
      </c>
      <c r="DA68" s="582">
        <f t="shared" si="90"/>
        <v>0</v>
      </c>
      <c r="DB68" s="113">
        <f t="shared" si="90"/>
        <v>0</v>
      </c>
      <c r="DC68" s="113">
        <f t="shared" si="90"/>
        <v>0</v>
      </c>
      <c r="DD68" s="113">
        <f t="shared" si="90"/>
        <v>0</v>
      </c>
      <c r="DE68" s="460">
        <f t="shared" si="90"/>
        <v>0</v>
      </c>
      <c r="DF68" s="582">
        <f t="shared" si="90"/>
        <v>0</v>
      </c>
      <c r="DG68" s="113">
        <f t="shared" si="90"/>
        <v>0</v>
      </c>
      <c r="DH68" s="113">
        <f t="shared" si="90"/>
        <v>0</v>
      </c>
      <c r="DI68" s="113">
        <f t="shared" si="90"/>
        <v>0</v>
      </c>
      <c r="DJ68" s="459">
        <f t="shared" si="88"/>
        <v>0</v>
      </c>
      <c r="DK68" s="461">
        <f t="shared" si="88"/>
        <v>0</v>
      </c>
      <c r="DL68" s="582">
        <f t="shared" si="88"/>
        <v>0</v>
      </c>
      <c r="DM68" s="113">
        <f t="shared" si="88"/>
        <v>0</v>
      </c>
      <c r="DN68" s="113">
        <f t="shared" si="88"/>
        <v>0</v>
      </c>
      <c r="DO68" s="113">
        <f t="shared" si="88"/>
        <v>0</v>
      </c>
      <c r="DP68" s="460">
        <f t="shared" si="88"/>
        <v>0</v>
      </c>
      <c r="DQ68" s="582">
        <f t="shared" si="88"/>
        <v>0</v>
      </c>
      <c r="DR68" s="113">
        <f t="shared" si="88"/>
        <v>0</v>
      </c>
      <c r="DS68" s="113">
        <f t="shared" si="88"/>
        <v>0</v>
      </c>
      <c r="DT68" s="113">
        <f t="shared" si="88"/>
        <v>0</v>
      </c>
      <c r="DU68" s="459">
        <f t="shared" si="84"/>
        <v>0</v>
      </c>
      <c r="DW68" s="461">
        <f t="shared" si="77"/>
        <v>20</v>
      </c>
      <c r="DX68" s="582">
        <f t="shared" si="77"/>
        <v>9</v>
      </c>
      <c r="DY68" s="113">
        <f t="shared" si="77"/>
        <v>7</v>
      </c>
      <c r="DZ68" s="113">
        <f t="shared" si="77"/>
        <v>0</v>
      </c>
      <c r="EA68" s="113">
        <f t="shared" si="77"/>
        <v>2</v>
      </c>
      <c r="EB68" s="460">
        <f t="shared" si="77"/>
        <v>0</v>
      </c>
      <c r="EC68" s="582">
        <f t="shared" si="77"/>
        <v>11</v>
      </c>
      <c r="ED68" s="113">
        <f t="shared" si="77"/>
        <v>4</v>
      </c>
      <c r="EE68" s="113">
        <f t="shared" si="77"/>
        <v>0</v>
      </c>
      <c r="EF68" s="113">
        <f t="shared" si="76"/>
        <v>7</v>
      </c>
      <c r="EG68" s="459">
        <f t="shared" si="76"/>
        <v>0</v>
      </c>
      <c r="EH68" s="461">
        <f t="shared" si="91"/>
        <v>11</v>
      </c>
      <c r="EI68" s="582">
        <f t="shared" si="91"/>
        <v>8</v>
      </c>
      <c r="EJ68" s="113">
        <f t="shared" si="89"/>
        <v>4</v>
      </c>
      <c r="EK68" s="113">
        <f t="shared" si="89"/>
        <v>0</v>
      </c>
      <c r="EL68" s="113">
        <f t="shared" si="89"/>
        <v>4</v>
      </c>
      <c r="EM68" s="460">
        <f t="shared" si="89"/>
        <v>0</v>
      </c>
      <c r="EN68" s="582">
        <f t="shared" si="89"/>
        <v>3</v>
      </c>
      <c r="EO68" s="113">
        <f t="shared" si="89"/>
        <v>0</v>
      </c>
      <c r="EP68" s="113">
        <f t="shared" si="89"/>
        <v>0</v>
      </c>
      <c r="EQ68" s="113">
        <f t="shared" si="89"/>
        <v>3</v>
      </c>
      <c r="ER68" s="459">
        <f t="shared" si="89"/>
        <v>0</v>
      </c>
    </row>
    <row r="69" spans="1:148">
      <c r="A69" s="466" t="s">
        <v>407</v>
      </c>
      <c r="B69" s="581">
        <v>43497</v>
      </c>
      <c r="C69" s="470">
        <v>2019</v>
      </c>
      <c r="D69" s="461">
        <f t="shared" si="72"/>
        <v>168959</v>
      </c>
      <c r="E69" s="461">
        <f t="shared" ref="E69:T84" si="93">SUMIFS(E$5:E$36,$B$5:$B$36,$A69)</f>
        <v>1343</v>
      </c>
      <c r="F69" s="582">
        <f t="shared" si="93"/>
        <v>850</v>
      </c>
      <c r="G69" s="113">
        <f t="shared" si="93"/>
        <v>565</v>
      </c>
      <c r="H69" s="113">
        <f t="shared" si="93"/>
        <v>0</v>
      </c>
      <c r="I69" s="113">
        <f t="shared" si="93"/>
        <v>285</v>
      </c>
      <c r="J69" s="460">
        <f t="shared" si="93"/>
        <v>0</v>
      </c>
      <c r="K69" s="582">
        <f t="shared" si="93"/>
        <v>493</v>
      </c>
      <c r="L69" s="113">
        <f t="shared" si="93"/>
        <v>280</v>
      </c>
      <c r="M69" s="113">
        <f t="shared" si="93"/>
        <v>0</v>
      </c>
      <c r="N69" s="113">
        <f t="shared" si="93"/>
        <v>189</v>
      </c>
      <c r="O69" s="459">
        <f t="shared" si="93"/>
        <v>24</v>
      </c>
      <c r="P69" s="461">
        <f t="shared" si="93"/>
        <v>3</v>
      </c>
      <c r="Q69" s="582">
        <f t="shared" si="93"/>
        <v>0</v>
      </c>
      <c r="R69" s="113">
        <f t="shared" si="93"/>
        <v>0</v>
      </c>
      <c r="S69" s="113">
        <f t="shared" si="93"/>
        <v>0</v>
      </c>
      <c r="T69" s="113">
        <f t="shared" si="93"/>
        <v>0</v>
      </c>
      <c r="U69" s="460">
        <f t="shared" si="92"/>
        <v>0</v>
      </c>
      <c r="V69" s="582">
        <f t="shared" si="92"/>
        <v>3</v>
      </c>
      <c r="W69" s="113">
        <f t="shared" si="92"/>
        <v>2</v>
      </c>
      <c r="X69" s="113">
        <f t="shared" si="92"/>
        <v>0</v>
      </c>
      <c r="Y69" s="113">
        <f t="shared" si="92"/>
        <v>1</v>
      </c>
      <c r="Z69" s="459">
        <f t="shared" si="92"/>
        <v>0</v>
      </c>
      <c r="AA69" s="461">
        <f t="shared" si="92"/>
        <v>0</v>
      </c>
      <c r="AB69" s="582">
        <f t="shared" si="92"/>
        <v>0</v>
      </c>
      <c r="AC69" s="113">
        <f t="shared" si="92"/>
        <v>0</v>
      </c>
      <c r="AD69" s="113">
        <f t="shared" si="92"/>
        <v>0</v>
      </c>
      <c r="AE69" s="113">
        <f t="shared" si="92"/>
        <v>0</v>
      </c>
      <c r="AF69" s="460">
        <f t="shared" si="92"/>
        <v>0</v>
      </c>
      <c r="AG69" s="582">
        <f t="shared" si="92"/>
        <v>0</v>
      </c>
      <c r="AH69" s="113">
        <f t="shared" si="92"/>
        <v>0</v>
      </c>
      <c r="AI69" s="113">
        <f t="shared" si="86"/>
        <v>0</v>
      </c>
      <c r="AJ69" s="113">
        <f t="shared" si="86"/>
        <v>0</v>
      </c>
      <c r="AK69" s="459">
        <f t="shared" si="86"/>
        <v>0</v>
      </c>
      <c r="AL69" s="461">
        <f t="shared" si="86"/>
        <v>11</v>
      </c>
      <c r="AM69" s="582">
        <f t="shared" si="86"/>
        <v>8</v>
      </c>
      <c r="AN69" s="113">
        <f t="shared" si="86"/>
        <v>4</v>
      </c>
      <c r="AO69" s="113">
        <f t="shared" si="86"/>
        <v>0</v>
      </c>
      <c r="AP69" s="113">
        <f t="shared" si="86"/>
        <v>4</v>
      </c>
      <c r="AQ69" s="460">
        <f t="shared" si="86"/>
        <v>0</v>
      </c>
      <c r="AR69" s="582">
        <f t="shared" si="86"/>
        <v>3</v>
      </c>
      <c r="AS69" s="113">
        <f t="shared" si="86"/>
        <v>0</v>
      </c>
      <c r="AT69" s="113">
        <f t="shared" si="86"/>
        <v>0</v>
      </c>
      <c r="AU69" s="113">
        <f t="shared" si="86"/>
        <v>3</v>
      </c>
      <c r="AV69" s="459">
        <f t="shared" si="86"/>
        <v>0</v>
      </c>
      <c r="AW69" s="461">
        <f t="shared" si="86"/>
        <v>4</v>
      </c>
      <c r="AX69" s="582">
        <f t="shared" si="90"/>
        <v>2</v>
      </c>
      <c r="AY69" s="113">
        <f t="shared" si="90"/>
        <v>2</v>
      </c>
      <c r="AZ69" s="113">
        <f t="shared" si="90"/>
        <v>0</v>
      </c>
      <c r="BA69" s="113">
        <f t="shared" si="90"/>
        <v>0</v>
      </c>
      <c r="BB69" s="460">
        <f t="shared" si="90"/>
        <v>0</v>
      </c>
      <c r="BC69" s="582">
        <f t="shared" si="90"/>
        <v>2</v>
      </c>
      <c r="BD69" s="113">
        <f t="shared" si="90"/>
        <v>1</v>
      </c>
      <c r="BE69" s="113">
        <f t="shared" si="90"/>
        <v>0</v>
      </c>
      <c r="BF69" s="113">
        <f t="shared" si="90"/>
        <v>1</v>
      </c>
      <c r="BG69" s="459">
        <f t="shared" si="90"/>
        <v>0</v>
      </c>
      <c r="BH69" s="461">
        <f t="shared" si="90"/>
        <v>3</v>
      </c>
      <c r="BI69" s="582">
        <f t="shared" si="90"/>
        <v>2</v>
      </c>
      <c r="BJ69" s="113">
        <f t="shared" si="90"/>
        <v>2</v>
      </c>
      <c r="BK69" s="113">
        <f t="shared" si="90"/>
        <v>0</v>
      </c>
      <c r="BL69" s="113">
        <f t="shared" si="90"/>
        <v>0</v>
      </c>
      <c r="BM69" s="460">
        <f t="shared" si="90"/>
        <v>0</v>
      </c>
      <c r="BN69" s="582">
        <f t="shared" si="90"/>
        <v>1</v>
      </c>
      <c r="BO69" s="113">
        <f t="shared" si="90"/>
        <v>0</v>
      </c>
      <c r="BP69" s="113">
        <f t="shared" si="90"/>
        <v>0</v>
      </c>
      <c r="BQ69" s="113">
        <f t="shared" si="90"/>
        <v>1</v>
      </c>
      <c r="BR69" s="459">
        <f t="shared" si="90"/>
        <v>0</v>
      </c>
      <c r="BS69" s="461">
        <f t="shared" si="90"/>
        <v>10</v>
      </c>
      <c r="BT69" s="582">
        <f t="shared" si="90"/>
        <v>5</v>
      </c>
      <c r="BU69" s="113">
        <f t="shared" si="90"/>
        <v>3</v>
      </c>
      <c r="BV69" s="113">
        <f t="shared" si="90"/>
        <v>0</v>
      </c>
      <c r="BW69" s="113">
        <f t="shared" si="90"/>
        <v>2</v>
      </c>
      <c r="BX69" s="460">
        <f t="shared" si="90"/>
        <v>0</v>
      </c>
      <c r="BY69" s="582">
        <f t="shared" si="90"/>
        <v>5</v>
      </c>
      <c r="BZ69" s="113">
        <f t="shared" si="90"/>
        <v>1</v>
      </c>
      <c r="CA69" s="113">
        <f t="shared" si="90"/>
        <v>0</v>
      </c>
      <c r="CB69" s="113">
        <f t="shared" si="90"/>
        <v>4</v>
      </c>
      <c r="CC69" s="459">
        <f t="shared" si="90"/>
        <v>0</v>
      </c>
      <c r="CD69" s="461">
        <f t="shared" si="90"/>
        <v>0</v>
      </c>
      <c r="CE69" s="582">
        <f t="shared" si="90"/>
        <v>0</v>
      </c>
      <c r="CF69" s="113">
        <f t="shared" si="90"/>
        <v>0</v>
      </c>
      <c r="CG69" s="113">
        <f t="shared" si="90"/>
        <v>0</v>
      </c>
      <c r="CH69" s="113">
        <f t="shared" si="90"/>
        <v>0</v>
      </c>
      <c r="CI69" s="460">
        <f t="shared" si="90"/>
        <v>0</v>
      </c>
      <c r="CJ69" s="582">
        <f t="shared" si="90"/>
        <v>0</v>
      </c>
      <c r="CK69" s="113">
        <f t="shared" si="90"/>
        <v>0</v>
      </c>
      <c r="CL69" s="113">
        <f t="shared" si="90"/>
        <v>0</v>
      </c>
      <c r="CM69" s="113">
        <f t="shared" si="90"/>
        <v>0</v>
      </c>
      <c r="CN69" s="459">
        <f t="shared" si="90"/>
        <v>0</v>
      </c>
      <c r="CO69" s="461">
        <f t="shared" si="90"/>
        <v>0</v>
      </c>
      <c r="CP69" s="582">
        <f t="shared" si="90"/>
        <v>0</v>
      </c>
      <c r="CQ69" s="113">
        <f t="shared" si="90"/>
        <v>0</v>
      </c>
      <c r="CR69" s="113">
        <f t="shared" si="90"/>
        <v>0</v>
      </c>
      <c r="CS69" s="113">
        <f t="shared" si="90"/>
        <v>0</v>
      </c>
      <c r="CT69" s="460">
        <f t="shared" si="90"/>
        <v>0</v>
      </c>
      <c r="CU69" s="582">
        <f t="shared" si="90"/>
        <v>0</v>
      </c>
      <c r="CV69" s="113">
        <f t="shared" si="90"/>
        <v>0</v>
      </c>
      <c r="CW69" s="113">
        <f t="shared" si="90"/>
        <v>0</v>
      </c>
      <c r="CX69" s="113">
        <f t="shared" si="90"/>
        <v>0</v>
      </c>
      <c r="CY69" s="459">
        <f t="shared" si="90"/>
        <v>0</v>
      </c>
      <c r="CZ69" s="461">
        <f t="shared" si="90"/>
        <v>0</v>
      </c>
      <c r="DA69" s="582">
        <f t="shared" si="90"/>
        <v>0</v>
      </c>
      <c r="DB69" s="113">
        <f t="shared" si="90"/>
        <v>0</v>
      </c>
      <c r="DC69" s="113">
        <f t="shared" si="90"/>
        <v>0</v>
      </c>
      <c r="DD69" s="113">
        <f t="shared" si="90"/>
        <v>0</v>
      </c>
      <c r="DE69" s="460">
        <f t="shared" si="90"/>
        <v>0</v>
      </c>
      <c r="DF69" s="582">
        <f t="shared" si="90"/>
        <v>0</v>
      </c>
      <c r="DG69" s="113">
        <f t="shared" si="90"/>
        <v>0</v>
      </c>
      <c r="DH69" s="113">
        <f t="shared" si="90"/>
        <v>0</v>
      </c>
      <c r="DI69" s="113">
        <f t="shared" ref="DI69:DT72" si="94">SUMIFS(DI$5:DI$36,$B$5:$B$36,$A69)</f>
        <v>0</v>
      </c>
      <c r="DJ69" s="459">
        <f t="shared" si="94"/>
        <v>0</v>
      </c>
      <c r="DK69" s="461">
        <f t="shared" si="94"/>
        <v>0</v>
      </c>
      <c r="DL69" s="582">
        <f t="shared" si="94"/>
        <v>0</v>
      </c>
      <c r="DM69" s="113">
        <f t="shared" si="94"/>
        <v>0</v>
      </c>
      <c r="DN69" s="113">
        <f t="shared" si="94"/>
        <v>0</v>
      </c>
      <c r="DO69" s="113">
        <f t="shared" si="94"/>
        <v>0</v>
      </c>
      <c r="DP69" s="460">
        <f t="shared" si="94"/>
        <v>0</v>
      </c>
      <c r="DQ69" s="582">
        <f t="shared" si="94"/>
        <v>0</v>
      </c>
      <c r="DR69" s="113">
        <f t="shared" si="94"/>
        <v>0</v>
      </c>
      <c r="DS69" s="113">
        <f t="shared" si="94"/>
        <v>0</v>
      </c>
      <c r="DT69" s="113">
        <f t="shared" si="94"/>
        <v>0</v>
      </c>
      <c r="DU69" s="459">
        <f t="shared" si="84"/>
        <v>0</v>
      </c>
      <c r="DW69" s="461">
        <f t="shared" si="77"/>
        <v>20</v>
      </c>
      <c r="DX69" s="582">
        <f t="shared" si="77"/>
        <v>9</v>
      </c>
      <c r="DY69" s="113">
        <f t="shared" si="77"/>
        <v>7</v>
      </c>
      <c r="DZ69" s="113">
        <f t="shared" si="77"/>
        <v>0</v>
      </c>
      <c r="EA69" s="113">
        <f t="shared" si="77"/>
        <v>2</v>
      </c>
      <c r="EB69" s="460">
        <f t="shared" si="77"/>
        <v>0</v>
      </c>
      <c r="EC69" s="582">
        <f t="shared" si="77"/>
        <v>11</v>
      </c>
      <c r="ED69" s="113">
        <f t="shared" si="77"/>
        <v>4</v>
      </c>
      <c r="EE69" s="113">
        <f t="shared" si="77"/>
        <v>0</v>
      </c>
      <c r="EF69" s="113">
        <f t="shared" si="76"/>
        <v>7</v>
      </c>
      <c r="EG69" s="459">
        <f t="shared" si="76"/>
        <v>0</v>
      </c>
      <c r="EH69" s="461">
        <f t="shared" si="91"/>
        <v>11</v>
      </c>
      <c r="EI69" s="582">
        <f t="shared" si="91"/>
        <v>8</v>
      </c>
      <c r="EJ69" s="113">
        <f t="shared" si="89"/>
        <v>4</v>
      </c>
      <c r="EK69" s="113">
        <f t="shared" si="89"/>
        <v>0</v>
      </c>
      <c r="EL69" s="113">
        <f t="shared" si="89"/>
        <v>4</v>
      </c>
      <c r="EM69" s="460">
        <f t="shared" si="89"/>
        <v>0</v>
      </c>
      <c r="EN69" s="582">
        <f t="shared" si="89"/>
        <v>3</v>
      </c>
      <c r="EO69" s="113">
        <f t="shared" si="89"/>
        <v>0</v>
      </c>
      <c r="EP69" s="113">
        <f t="shared" si="89"/>
        <v>0</v>
      </c>
      <c r="EQ69" s="113">
        <f t="shared" si="89"/>
        <v>3</v>
      </c>
      <c r="ER69" s="459">
        <f t="shared" si="89"/>
        <v>0</v>
      </c>
    </row>
    <row r="70" spans="1:148">
      <c r="A70" s="466" t="s">
        <v>407</v>
      </c>
      <c r="B70" s="581">
        <v>43525</v>
      </c>
      <c r="C70" s="470">
        <v>2019</v>
      </c>
      <c r="D70" s="461">
        <f t="shared" si="72"/>
        <v>168959</v>
      </c>
      <c r="E70" s="461">
        <f t="shared" si="93"/>
        <v>1343</v>
      </c>
      <c r="F70" s="582">
        <f t="shared" si="93"/>
        <v>850</v>
      </c>
      <c r="G70" s="113">
        <f t="shared" si="93"/>
        <v>565</v>
      </c>
      <c r="H70" s="113">
        <f t="shared" si="93"/>
        <v>0</v>
      </c>
      <c r="I70" s="113">
        <f t="shared" si="93"/>
        <v>285</v>
      </c>
      <c r="J70" s="460">
        <f t="shared" si="93"/>
        <v>0</v>
      </c>
      <c r="K70" s="582">
        <f t="shared" si="93"/>
        <v>493</v>
      </c>
      <c r="L70" s="113">
        <f t="shared" si="93"/>
        <v>280</v>
      </c>
      <c r="M70" s="113">
        <f t="shared" si="93"/>
        <v>0</v>
      </c>
      <c r="N70" s="113">
        <f t="shared" si="93"/>
        <v>189</v>
      </c>
      <c r="O70" s="459">
        <f t="shared" si="93"/>
        <v>24</v>
      </c>
      <c r="P70" s="461">
        <f t="shared" si="93"/>
        <v>3</v>
      </c>
      <c r="Q70" s="582">
        <f t="shared" si="93"/>
        <v>0</v>
      </c>
      <c r="R70" s="113">
        <f t="shared" si="93"/>
        <v>0</v>
      </c>
      <c r="S70" s="113">
        <f t="shared" si="93"/>
        <v>0</v>
      </c>
      <c r="T70" s="113">
        <f t="shared" si="93"/>
        <v>0</v>
      </c>
      <c r="U70" s="460">
        <f t="shared" si="92"/>
        <v>0</v>
      </c>
      <c r="V70" s="582">
        <f t="shared" si="92"/>
        <v>3</v>
      </c>
      <c r="W70" s="113">
        <f t="shared" si="92"/>
        <v>2</v>
      </c>
      <c r="X70" s="113">
        <f t="shared" si="92"/>
        <v>0</v>
      </c>
      <c r="Y70" s="113">
        <f t="shared" si="92"/>
        <v>1</v>
      </c>
      <c r="Z70" s="459">
        <f t="shared" si="92"/>
        <v>0</v>
      </c>
      <c r="AA70" s="461">
        <f t="shared" si="92"/>
        <v>0</v>
      </c>
      <c r="AB70" s="582">
        <f t="shared" si="92"/>
        <v>0</v>
      </c>
      <c r="AC70" s="113">
        <f t="shared" si="92"/>
        <v>0</v>
      </c>
      <c r="AD70" s="113">
        <f t="shared" si="92"/>
        <v>0</v>
      </c>
      <c r="AE70" s="113">
        <f t="shared" si="92"/>
        <v>0</v>
      </c>
      <c r="AF70" s="460">
        <f t="shared" si="92"/>
        <v>0</v>
      </c>
      <c r="AG70" s="582">
        <f t="shared" si="92"/>
        <v>0</v>
      </c>
      <c r="AH70" s="113">
        <f t="shared" si="92"/>
        <v>0</v>
      </c>
      <c r="AI70" s="113">
        <f t="shared" si="86"/>
        <v>0</v>
      </c>
      <c r="AJ70" s="113">
        <f t="shared" si="86"/>
        <v>0</v>
      </c>
      <c r="AK70" s="459">
        <f t="shared" si="86"/>
        <v>0</v>
      </c>
      <c r="AL70" s="461">
        <f t="shared" si="86"/>
        <v>11</v>
      </c>
      <c r="AM70" s="582">
        <f t="shared" si="86"/>
        <v>8</v>
      </c>
      <c r="AN70" s="113">
        <f t="shared" si="86"/>
        <v>4</v>
      </c>
      <c r="AO70" s="113">
        <f t="shared" si="86"/>
        <v>0</v>
      </c>
      <c r="AP70" s="113">
        <f t="shared" si="86"/>
        <v>4</v>
      </c>
      <c r="AQ70" s="460">
        <f t="shared" si="86"/>
        <v>0</v>
      </c>
      <c r="AR70" s="582">
        <f t="shared" si="86"/>
        <v>3</v>
      </c>
      <c r="AS70" s="113">
        <f t="shared" si="86"/>
        <v>0</v>
      </c>
      <c r="AT70" s="113">
        <f t="shared" si="86"/>
        <v>0</v>
      </c>
      <c r="AU70" s="113">
        <f t="shared" si="86"/>
        <v>3</v>
      </c>
      <c r="AV70" s="459">
        <f t="shared" si="86"/>
        <v>0</v>
      </c>
      <c r="AW70" s="461">
        <f t="shared" si="86"/>
        <v>4</v>
      </c>
      <c r="AX70" s="582">
        <f t="shared" ref="AX70:DI73" si="95">SUMIFS(AX$5:AX$36,$B$5:$B$36,$A70)</f>
        <v>2</v>
      </c>
      <c r="AY70" s="113">
        <f t="shared" si="95"/>
        <v>2</v>
      </c>
      <c r="AZ70" s="113">
        <f t="shared" si="95"/>
        <v>0</v>
      </c>
      <c r="BA70" s="113">
        <f t="shared" si="95"/>
        <v>0</v>
      </c>
      <c r="BB70" s="460">
        <f t="shared" si="95"/>
        <v>0</v>
      </c>
      <c r="BC70" s="582">
        <f t="shared" si="95"/>
        <v>2</v>
      </c>
      <c r="BD70" s="113">
        <f t="shared" si="95"/>
        <v>1</v>
      </c>
      <c r="BE70" s="113">
        <f t="shared" si="95"/>
        <v>0</v>
      </c>
      <c r="BF70" s="113">
        <f t="shared" si="95"/>
        <v>1</v>
      </c>
      <c r="BG70" s="459">
        <f t="shared" si="95"/>
        <v>0</v>
      </c>
      <c r="BH70" s="461">
        <f t="shared" si="95"/>
        <v>3</v>
      </c>
      <c r="BI70" s="582">
        <f t="shared" si="95"/>
        <v>2</v>
      </c>
      <c r="BJ70" s="113">
        <f t="shared" si="95"/>
        <v>2</v>
      </c>
      <c r="BK70" s="113">
        <f t="shared" si="95"/>
        <v>0</v>
      </c>
      <c r="BL70" s="113">
        <f t="shared" si="95"/>
        <v>0</v>
      </c>
      <c r="BM70" s="460">
        <f t="shared" si="95"/>
        <v>0</v>
      </c>
      <c r="BN70" s="582">
        <f t="shared" si="95"/>
        <v>1</v>
      </c>
      <c r="BO70" s="113">
        <f t="shared" si="95"/>
        <v>0</v>
      </c>
      <c r="BP70" s="113">
        <f t="shared" si="95"/>
        <v>0</v>
      </c>
      <c r="BQ70" s="113">
        <f t="shared" si="95"/>
        <v>1</v>
      </c>
      <c r="BR70" s="459">
        <f t="shared" si="95"/>
        <v>0</v>
      </c>
      <c r="BS70" s="461">
        <f t="shared" si="95"/>
        <v>10</v>
      </c>
      <c r="BT70" s="582">
        <f t="shared" si="95"/>
        <v>5</v>
      </c>
      <c r="BU70" s="113">
        <f t="shared" si="95"/>
        <v>3</v>
      </c>
      <c r="BV70" s="113">
        <f t="shared" si="95"/>
        <v>0</v>
      </c>
      <c r="BW70" s="113">
        <f t="shared" si="95"/>
        <v>2</v>
      </c>
      <c r="BX70" s="460">
        <f t="shared" si="95"/>
        <v>0</v>
      </c>
      <c r="BY70" s="582">
        <f t="shared" si="95"/>
        <v>5</v>
      </c>
      <c r="BZ70" s="113">
        <f t="shared" si="95"/>
        <v>1</v>
      </c>
      <c r="CA70" s="113">
        <f t="shared" si="95"/>
        <v>0</v>
      </c>
      <c r="CB70" s="113">
        <f t="shared" si="95"/>
        <v>4</v>
      </c>
      <c r="CC70" s="459">
        <f t="shared" si="95"/>
        <v>0</v>
      </c>
      <c r="CD70" s="461">
        <f t="shared" si="95"/>
        <v>0</v>
      </c>
      <c r="CE70" s="582">
        <f t="shared" si="95"/>
        <v>0</v>
      </c>
      <c r="CF70" s="113">
        <f t="shared" si="95"/>
        <v>0</v>
      </c>
      <c r="CG70" s="113">
        <f t="shared" si="95"/>
        <v>0</v>
      </c>
      <c r="CH70" s="113">
        <f t="shared" si="95"/>
        <v>0</v>
      </c>
      <c r="CI70" s="460">
        <f t="shared" si="95"/>
        <v>0</v>
      </c>
      <c r="CJ70" s="582">
        <f t="shared" si="95"/>
        <v>0</v>
      </c>
      <c r="CK70" s="113">
        <f t="shared" si="95"/>
        <v>0</v>
      </c>
      <c r="CL70" s="113">
        <f t="shared" si="95"/>
        <v>0</v>
      </c>
      <c r="CM70" s="113">
        <f t="shared" si="95"/>
        <v>0</v>
      </c>
      <c r="CN70" s="459">
        <f t="shared" si="95"/>
        <v>0</v>
      </c>
      <c r="CO70" s="461">
        <f t="shared" si="95"/>
        <v>0</v>
      </c>
      <c r="CP70" s="582">
        <f t="shared" si="95"/>
        <v>0</v>
      </c>
      <c r="CQ70" s="113">
        <f t="shared" si="95"/>
        <v>0</v>
      </c>
      <c r="CR70" s="113">
        <f t="shared" si="95"/>
        <v>0</v>
      </c>
      <c r="CS70" s="113">
        <f t="shared" si="95"/>
        <v>0</v>
      </c>
      <c r="CT70" s="460">
        <f t="shared" si="95"/>
        <v>0</v>
      </c>
      <c r="CU70" s="582">
        <f t="shared" si="95"/>
        <v>0</v>
      </c>
      <c r="CV70" s="113">
        <f t="shared" si="95"/>
        <v>0</v>
      </c>
      <c r="CW70" s="113">
        <f t="shared" si="95"/>
        <v>0</v>
      </c>
      <c r="CX70" s="113">
        <f t="shared" si="95"/>
        <v>0</v>
      </c>
      <c r="CY70" s="459">
        <f t="shared" si="95"/>
        <v>0</v>
      </c>
      <c r="CZ70" s="461">
        <f t="shared" si="95"/>
        <v>0</v>
      </c>
      <c r="DA70" s="582">
        <f t="shared" si="95"/>
        <v>0</v>
      </c>
      <c r="DB70" s="113">
        <f t="shared" si="95"/>
        <v>0</v>
      </c>
      <c r="DC70" s="113">
        <f t="shared" si="95"/>
        <v>0</v>
      </c>
      <c r="DD70" s="113">
        <f t="shared" si="95"/>
        <v>0</v>
      </c>
      <c r="DE70" s="460">
        <f t="shared" si="95"/>
        <v>0</v>
      </c>
      <c r="DF70" s="582">
        <f t="shared" si="95"/>
        <v>0</v>
      </c>
      <c r="DG70" s="113">
        <f t="shared" si="95"/>
        <v>0</v>
      </c>
      <c r="DH70" s="113">
        <f t="shared" si="95"/>
        <v>0</v>
      </c>
      <c r="DI70" s="113">
        <f t="shared" si="95"/>
        <v>0</v>
      </c>
      <c r="DJ70" s="459">
        <f t="shared" si="94"/>
        <v>0</v>
      </c>
      <c r="DK70" s="461">
        <f t="shared" si="94"/>
        <v>0</v>
      </c>
      <c r="DL70" s="582">
        <f t="shared" si="94"/>
        <v>0</v>
      </c>
      <c r="DM70" s="113">
        <f t="shared" si="94"/>
        <v>0</v>
      </c>
      <c r="DN70" s="113">
        <f t="shared" si="94"/>
        <v>0</v>
      </c>
      <c r="DO70" s="113">
        <f t="shared" si="94"/>
        <v>0</v>
      </c>
      <c r="DP70" s="460">
        <f t="shared" si="94"/>
        <v>0</v>
      </c>
      <c r="DQ70" s="582">
        <f t="shared" si="94"/>
        <v>0</v>
      </c>
      <c r="DR70" s="113">
        <f t="shared" si="94"/>
        <v>0</v>
      </c>
      <c r="DS70" s="113">
        <f t="shared" si="94"/>
        <v>0</v>
      </c>
      <c r="DT70" s="113">
        <f t="shared" si="94"/>
        <v>0</v>
      </c>
      <c r="DU70" s="459">
        <f t="shared" si="84"/>
        <v>0</v>
      </c>
      <c r="DW70" s="461">
        <f t="shared" si="77"/>
        <v>20</v>
      </c>
      <c r="DX70" s="582">
        <f t="shared" si="77"/>
        <v>9</v>
      </c>
      <c r="DY70" s="113">
        <f t="shared" si="77"/>
        <v>7</v>
      </c>
      <c r="DZ70" s="113">
        <f t="shared" si="77"/>
        <v>0</v>
      </c>
      <c r="EA70" s="113">
        <f t="shared" si="77"/>
        <v>2</v>
      </c>
      <c r="EB70" s="460">
        <f t="shared" si="77"/>
        <v>0</v>
      </c>
      <c r="EC70" s="582">
        <f t="shared" si="77"/>
        <v>11</v>
      </c>
      <c r="ED70" s="113">
        <f t="shared" si="77"/>
        <v>4</v>
      </c>
      <c r="EE70" s="113">
        <f t="shared" si="77"/>
        <v>0</v>
      </c>
      <c r="EF70" s="113">
        <f t="shared" si="76"/>
        <v>7</v>
      </c>
      <c r="EG70" s="459">
        <f t="shared" si="76"/>
        <v>0</v>
      </c>
      <c r="EH70" s="461">
        <f t="shared" si="91"/>
        <v>11</v>
      </c>
      <c r="EI70" s="582">
        <f t="shared" si="91"/>
        <v>8</v>
      </c>
      <c r="EJ70" s="113">
        <f t="shared" si="89"/>
        <v>4</v>
      </c>
      <c r="EK70" s="113">
        <f t="shared" si="89"/>
        <v>0</v>
      </c>
      <c r="EL70" s="113">
        <f t="shared" si="89"/>
        <v>4</v>
      </c>
      <c r="EM70" s="460">
        <f t="shared" si="89"/>
        <v>0</v>
      </c>
      <c r="EN70" s="582">
        <f t="shared" si="89"/>
        <v>3</v>
      </c>
      <c r="EO70" s="113">
        <f t="shared" si="89"/>
        <v>0</v>
      </c>
      <c r="EP70" s="113">
        <f t="shared" si="89"/>
        <v>0</v>
      </c>
      <c r="EQ70" s="113">
        <f t="shared" si="89"/>
        <v>3</v>
      </c>
      <c r="ER70" s="459">
        <f t="shared" si="89"/>
        <v>0</v>
      </c>
    </row>
    <row r="71" spans="1:148">
      <c r="A71" s="466" t="s">
        <v>408</v>
      </c>
      <c r="B71" s="581">
        <v>43556</v>
      </c>
      <c r="C71" s="470">
        <v>2019</v>
      </c>
      <c r="D71" s="461">
        <f t="shared" si="72"/>
        <v>222792</v>
      </c>
      <c r="E71" s="461">
        <f t="shared" si="93"/>
        <v>2875</v>
      </c>
      <c r="F71" s="582">
        <f t="shared" si="93"/>
        <v>1992</v>
      </c>
      <c r="G71" s="113">
        <f t="shared" si="93"/>
        <v>1656</v>
      </c>
      <c r="H71" s="113">
        <f t="shared" si="93"/>
        <v>0</v>
      </c>
      <c r="I71" s="113">
        <f t="shared" si="93"/>
        <v>336</v>
      </c>
      <c r="J71" s="460">
        <f t="shared" si="93"/>
        <v>0</v>
      </c>
      <c r="K71" s="582">
        <f t="shared" si="93"/>
        <v>883</v>
      </c>
      <c r="L71" s="113">
        <f t="shared" si="93"/>
        <v>497</v>
      </c>
      <c r="M71" s="113">
        <f t="shared" si="93"/>
        <v>0</v>
      </c>
      <c r="N71" s="113">
        <f t="shared" si="93"/>
        <v>349</v>
      </c>
      <c r="O71" s="459">
        <f t="shared" si="93"/>
        <v>37</v>
      </c>
      <c r="P71" s="461">
        <f t="shared" si="93"/>
        <v>5</v>
      </c>
      <c r="Q71" s="582">
        <f t="shared" si="93"/>
        <v>1</v>
      </c>
      <c r="R71" s="113">
        <f t="shared" si="93"/>
        <v>1</v>
      </c>
      <c r="S71" s="113">
        <f t="shared" si="93"/>
        <v>0</v>
      </c>
      <c r="T71" s="113">
        <f t="shared" si="93"/>
        <v>0</v>
      </c>
      <c r="U71" s="460">
        <f t="shared" si="92"/>
        <v>0</v>
      </c>
      <c r="V71" s="582">
        <f t="shared" si="92"/>
        <v>4</v>
      </c>
      <c r="W71" s="113">
        <f t="shared" si="92"/>
        <v>2</v>
      </c>
      <c r="X71" s="113">
        <f t="shared" si="92"/>
        <v>0</v>
      </c>
      <c r="Y71" s="113">
        <f t="shared" si="92"/>
        <v>1</v>
      </c>
      <c r="Z71" s="459">
        <f t="shared" si="92"/>
        <v>1</v>
      </c>
      <c r="AA71" s="461">
        <f t="shared" si="92"/>
        <v>2</v>
      </c>
      <c r="AB71" s="582">
        <f t="shared" si="92"/>
        <v>2</v>
      </c>
      <c r="AC71" s="113">
        <f t="shared" si="92"/>
        <v>0</v>
      </c>
      <c r="AD71" s="113">
        <f t="shared" si="92"/>
        <v>0</v>
      </c>
      <c r="AE71" s="113">
        <f t="shared" si="92"/>
        <v>2</v>
      </c>
      <c r="AF71" s="460">
        <f t="shared" si="92"/>
        <v>0</v>
      </c>
      <c r="AG71" s="582">
        <f t="shared" si="92"/>
        <v>0</v>
      </c>
      <c r="AH71" s="113">
        <f t="shared" si="92"/>
        <v>0</v>
      </c>
      <c r="AI71" s="113">
        <f t="shared" si="86"/>
        <v>0</v>
      </c>
      <c r="AJ71" s="113">
        <f t="shared" si="86"/>
        <v>0</v>
      </c>
      <c r="AK71" s="459">
        <f t="shared" si="86"/>
        <v>0</v>
      </c>
      <c r="AL71" s="461">
        <f t="shared" si="86"/>
        <v>21</v>
      </c>
      <c r="AM71" s="582">
        <f t="shared" si="86"/>
        <v>17</v>
      </c>
      <c r="AN71" s="113">
        <f t="shared" si="86"/>
        <v>13</v>
      </c>
      <c r="AO71" s="113">
        <f t="shared" si="86"/>
        <v>0</v>
      </c>
      <c r="AP71" s="113">
        <f t="shared" si="86"/>
        <v>4</v>
      </c>
      <c r="AQ71" s="460">
        <f t="shared" si="86"/>
        <v>0</v>
      </c>
      <c r="AR71" s="582">
        <f t="shared" si="86"/>
        <v>4</v>
      </c>
      <c r="AS71" s="113">
        <f t="shared" si="86"/>
        <v>2</v>
      </c>
      <c r="AT71" s="113">
        <f t="shared" si="86"/>
        <v>0</v>
      </c>
      <c r="AU71" s="113">
        <f t="shared" si="86"/>
        <v>2</v>
      </c>
      <c r="AV71" s="459">
        <f t="shared" si="86"/>
        <v>0</v>
      </c>
      <c r="AW71" s="461">
        <f t="shared" si="86"/>
        <v>16</v>
      </c>
      <c r="AX71" s="582">
        <f t="shared" si="95"/>
        <v>9</v>
      </c>
      <c r="AY71" s="113">
        <f t="shared" si="95"/>
        <v>8</v>
      </c>
      <c r="AZ71" s="113">
        <f t="shared" si="95"/>
        <v>0</v>
      </c>
      <c r="BA71" s="113">
        <f t="shared" si="95"/>
        <v>1</v>
      </c>
      <c r="BB71" s="460">
        <f t="shared" si="95"/>
        <v>0</v>
      </c>
      <c r="BC71" s="582">
        <f t="shared" si="95"/>
        <v>7</v>
      </c>
      <c r="BD71" s="113">
        <f t="shared" si="95"/>
        <v>4</v>
      </c>
      <c r="BE71" s="113">
        <f t="shared" si="95"/>
        <v>0</v>
      </c>
      <c r="BF71" s="113">
        <f t="shared" si="95"/>
        <v>3</v>
      </c>
      <c r="BG71" s="459">
        <f t="shared" si="95"/>
        <v>0</v>
      </c>
      <c r="BH71" s="461">
        <f t="shared" si="95"/>
        <v>14</v>
      </c>
      <c r="BI71" s="582">
        <f t="shared" si="95"/>
        <v>9</v>
      </c>
      <c r="BJ71" s="113">
        <f t="shared" si="95"/>
        <v>9</v>
      </c>
      <c r="BK71" s="113">
        <f t="shared" si="95"/>
        <v>0</v>
      </c>
      <c r="BL71" s="113">
        <f t="shared" si="95"/>
        <v>0</v>
      </c>
      <c r="BM71" s="460">
        <f t="shared" si="95"/>
        <v>0</v>
      </c>
      <c r="BN71" s="582">
        <f t="shared" si="95"/>
        <v>5</v>
      </c>
      <c r="BO71" s="113">
        <f t="shared" si="95"/>
        <v>3</v>
      </c>
      <c r="BP71" s="113">
        <f t="shared" si="95"/>
        <v>0</v>
      </c>
      <c r="BQ71" s="113">
        <f t="shared" si="95"/>
        <v>2</v>
      </c>
      <c r="BR71" s="459">
        <f t="shared" si="95"/>
        <v>0</v>
      </c>
      <c r="BS71" s="461">
        <f t="shared" si="95"/>
        <v>22</v>
      </c>
      <c r="BT71" s="582">
        <f t="shared" si="95"/>
        <v>18</v>
      </c>
      <c r="BU71" s="113">
        <f t="shared" si="95"/>
        <v>9</v>
      </c>
      <c r="BV71" s="113">
        <f t="shared" si="95"/>
        <v>0</v>
      </c>
      <c r="BW71" s="113">
        <f t="shared" si="95"/>
        <v>9</v>
      </c>
      <c r="BX71" s="460">
        <f t="shared" si="95"/>
        <v>0</v>
      </c>
      <c r="BY71" s="582">
        <f t="shared" si="95"/>
        <v>4</v>
      </c>
      <c r="BZ71" s="113">
        <f t="shared" si="95"/>
        <v>2</v>
      </c>
      <c r="CA71" s="113">
        <f t="shared" si="95"/>
        <v>0</v>
      </c>
      <c r="CB71" s="113">
        <f t="shared" si="95"/>
        <v>2</v>
      </c>
      <c r="CC71" s="459">
        <f t="shared" si="95"/>
        <v>0</v>
      </c>
      <c r="CD71" s="461">
        <f t="shared" si="95"/>
        <v>5</v>
      </c>
      <c r="CE71" s="582">
        <f t="shared" si="95"/>
        <v>3</v>
      </c>
      <c r="CF71" s="113">
        <f t="shared" si="95"/>
        <v>2</v>
      </c>
      <c r="CG71" s="113">
        <f t="shared" si="95"/>
        <v>0</v>
      </c>
      <c r="CH71" s="113">
        <f t="shared" si="95"/>
        <v>1</v>
      </c>
      <c r="CI71" s="460">
        <f t="shared" si="95"/>
        <v>0</v>
      </c>
      <c r="CJ71" s="582">
        <f t="shared" si="95"/>
        <v>2</v>
      </c>
      <c r="CK71" s="113">
        <f t="shared" si="95"/>
        <v>1</v>
      </c>
      <c r="CL71" s="113">
        <f t="shared" si="95"/>
        <v>0</v>
      </c>
      <c r="CM71" s="113">
        <f t="shared" si="95"/>
        <v>1</v>
      </c>
      <c r="CN71" s="459">
        <f t="shared" si="95"/>
        <v>0</v>
      </c>
      <c r="CO71" s="461">
        <f t="shared" si="95"/>
        <v>6</v>
      </c>
      <c r="CP71" s="582">
        <f t="shared" si="95"/>
        <v>5</v>
      </c>
      <c r="CQ71" s="113">
        <f t="shared" si="95"/>
        <v>4</v>
      </c>
      <c r="CR71" s="113">
        <f t="shared" si="95"/>
        <v>0</v>
      </c>
      <c r="CS71" s="113">
        <f t="shared" si="95"/>
        <v>1</v>
      </c>
      <c r="CT71" s="460">
        <f t="shared" si="95"/>
        <v>0</v>
      </c>
      <c r="CU71" s="582">
        <f t="shared" si="95"/>
        <v>1</v>
      </c>
      <c r="CV71" s="113">
        <f t="shared" si="95"/>
        <v>1</v>
      </c>
      <c r="CW71" s="113">
        <f t="shared" si="95"/>
        <v>0</v>
      </c>
      <c r="CX71" s="113">
        <f t="shared" si="95"/>
        <v>0</v>
      </c>
      <c r="CY71" s="459">
        <f t="shared" si="95"/>
        <v>0</v>
      </c>
      <c r="CZ71" s="461">
        <f t="shared" si="95"/>
        <v>0</v>
      </c>
      <c r="DA71" s="582">
        <f t="shared" si="95"/>
        <v>0</v>
      </c>
      <c r="DB71" s="113">
        <f t="shared" si="95"/>
        <v>0</v>
      </c>
      <c r="DC71" s="113">
        <f t="shared" si="95"/>
        <v>0</v>
      </c>
      <c r="DD71" s="113">
        <f t="shared" si="95"/>
        <v>0</v>
      </c>
      <c r="DE71" s="460">
        <f t="shared" si="95"/>
        <v>0</v>
      </c>
      <c r="DF71" s="582">
        <f t="shared" si="95"/>
        <v>0</v>
      </c>
      <c r="DG71" s="113">
        <f t="shared" si="95"/>
        <v>0</v>
      </c>
      <c r="DH71" s="113">
        <f t="shared" si="95"/>
        <v>0</v>
      </c>
      <c r="DI71" s="113">
        <f t="shared" si="95"/>
        <v>0</v>
      </c>
      <c r="DJ71" s="459">
        <f t="shared" si="94"/>
        <v>0</v>
      </c>
      <c r="DK71" s="461">
        <f t="shared" si="94"/>
        <v>0</v>
      </c>
      <c r="DL71" s="582">
        <f t="shared" si="94"/>
        <v>0</v>
      </c>
      <c r="DM71" s="113">
        <f t="shared" si="94"/>
        <v>0</v>
      </c>
      <c r="DN71" s="113">
        <f t="shared" si="94"/>
        <v>0</v>
      </c>
      <c r="DO71" s="113">
        <f t="shared" si="94"/>
        <v>0</v>
      </c>
      <c r="DP71" s="460">
        <f t="shared" si="94"/>
        <v>0</v>
      </c>
      <c r="DQ71" s="582">
        <f t="shared" si="94"/>
        <v>0</v>
      </c>
      <c r="DR71" s="113">
        <f t="shared" si="94"/>
        <v>0</v>
      </c>
      <c r="DS71" s="113">
        <f t="shared" si="94"/>
        <v>0</v>
      </c>
      <c r="DT71" s="113">
        <f t="shared" si="94"/>
        <v>0</v>
      </c>
      <c r="DU71" s="459">
        <f t="shared" si="84"/>
        <v>0</v>
      </c>
      <c r="DW71" s="461">
        <f t="shared" si="77"/>
        <v>70</v>
      </c>
      <c r="DX71" s="582">
        <f t="shared" si="77"/>
        <v>47</v>
      </c>
      <c r="DY71" s="113">
        <f t="shared" si="77"/>
        <v>33</v>
      </c>
      <c r="DZ71" s="113">
        <f t="shared" si="77"/>
        <v>0</v>
      </c>
      <c r="EA71" s="113">
        <f t="shared" si="77"/>
        <v>14</v>
      </c>
      <c r="EB71" s="460">
        <f t="shared" si="77"/>
        <v>0</v>
      </c>
      <c r="EC71" s="582">
        <f t="shared" si="77"/>
        <v>23</v>
      </c>
      <c r="ED71" s="113">
        <f t="shared" si="77"/>
        <v>13</v>
      </c>
      <c r="EE71" s="113">
        <f t="shared" si="77"/>
        <v>0</v>
      </c>
      <c r="EF71" s="113">
        <f t="shared" si="76"/>
        <v>9</v>
      </c>
      <c r="EG71" s="459">
        <f t="shared" si="76"/>
        <v>1</v>
      </c>
      <c r="EH71" s="461">
        <f t="shared" si="91"/>
        <v>21</v>
      </c>
      <c r="EI71" s="582">
        <f t="shared" si="91"/>
        <v>17</v>
      </c>
      <c r="EJ71" s="113">
        <f t="shared" si="89"/>
        <v>13</v>
      </c>
      <c r="EK71" s="113">
        <f t="shared" si="89"/>
        <v>0</v>
      </c>
      <c r="EL71" s="113">
        <f t="shared" si="89"/>
        <v>4</v>
      </c>
      <c r="EM71" s="460">
        <f t="shared" si="89"/>
        <v>0</v>
      </c>
      <c r="EN71" s="582">
        <f t="shared" si="89"/>
        <v>4</v>
      </c>
      <c r="EO71" s="113">
        <f t="shared" si="89"/>
        <v>2</v>
      </c>
      <c r="EP71" s="113">
        <f t="shared" si="89"/>
        <v>0</v>
      </c>
      <c r="EQ71" s="113">
        <f t="shared" si="89"/>
        <v>2</v>
      </c>
      <c r="ER71" s="459">
        <f t="shared" si="89"/>
        <v>0</v>
      </c>
    </row>
    <row r="72" spans="1:148">
      <c r="A72" s="466" t="s">
        <v>408</v>
      </c>
      <c r="B72" s="581">
        <v>43586</v>
      </c>
      <c r="C72" s="470">
        <v>2019</v>
      </c>
      <c r="D72" s="461">
        <f t="shared" si="72"/>
        <v>222792</v>
      </c>
      <c r="E72" s="461">
        <f t="shared" si="93"/>
        <v>2875</v>
      </c>
      <c r="F72" s="582">
        <f t="shared" si="93"/>
        <v>1992</v>
      </c>
      <c r="G72" s="113">
        <f t="shared" si="93"/>
        <v>1656</v>
      </c>
      <c r="H72" s="113">
        <f t="shared" si="93"/>
        <v>0</v>
      </c>
      <c r="I72" s="113">
        <f t="shared" si="93"/>
        <v>336</v>
      </c>
      <c r="J72" s="460">
        <f t="shared" si="93"/>
        <v>0</v>
      </c>
      <c r="K72" s="582">
        <f t="shared" si="93"/>
        <v>883</v>
      </c>
      <c r="L72" s="113">
        <f t="shared" si="93"/>
        <v>497</v>
      </c>
      <c r="M72" s="113">
        <f t="shared" si="93"/>
        <v>0</v>
      </c>
      <c r="N72" s="113">
        <f t="shared" si="93"/>
        <v>349</v>
      </c>
      <c r="O72" s="459">
        <f t="shared" si="93"/>
        <v>37</v>
      </c>
      <c r="P72" s="461">
        <f t="shared" si="93"/>
        <v>5</v>
      </c>
      <c r="Q72" s="582">
        <f t="shared" si="93"/>
        <v>1</v>
      </c>
      <c r="R72" s="113">
        <f t="shared" si="93"/>
        <v>1</v>
      </c>
      <c r="S72" s="113">
        <f t="shared" si="93"/>
        <v>0</v>
      </c>
      <c r="T72" s="113">
        <f t="shared" si="93"/>
        <v>0</v>
      </c>
      <c r="U72" s="460">
        <f t="shared" si="92"/>
        <v>0</v>
      </c>
      <c r="V72" s="582">
        <f t="shared" si="92"/>
        <v>4</v>
      </c>
      <c r="W72" s="113">
        <f t="shared" si="92"/>
        <v>2</v>
      </c>
      <c r="X72" s="113">
        <f t="shared" si="92"/>
        <v>0</v>
      </c>
      <c r="Y72" s="113">
        <f t="shared" si="92"/>
        <v>1</v>
      </c>
      <c r="Z72" s="459">
        <f t="shared" si="92"/>
        <v>1</v>
      </c>
      <c r="AA72" s="461">
        <f t="shared" si="92"/>
        <v>2</v>
      </c>
      <c r="AB72" s="582">
        <f t="shared" si="92"/>
        <v>2</v>
      </c>
      <c r="AC72" s="113">
        <f t="shared" si="92"/>
        <v>0</v>
      </c>
      <c r="AD72" s="113">
        <f t="shared" si="92"/>
        <v>0</v>
      </c>
      <c r="AE72" s="113">
        <f t="shared" si="92"/>
        <v>2</v>
      </c>
      <c r="AF72" s="460">
        <f t="shared" si="92"/>
        <v>0</v>
      </c>
      <c r="AG72" s="582">
        <f t="shared" si="92"/>
        <v>0</v>
      </c>
      <c r="AH72" s="113">
        <f t="shared" si="92"/>
        <v>0</v>
      </c>
      <c r="AI72" s="113">
        <f t="shared" si="86"/>
        <v>0</v>
      </c>
      <c r="AJ72" s="113">
        <f t="shared" si="86"/>
        <v>0</v>
      </c>
      <c r="AK72" s="459">
        <f t="shared" si="86"/>
        <v>0</v>
      </c>
      <c r="AL72" s="461">
        <f t="shared" si="86"/>
        <v>21</v>
      </c>
      <c r="AM72" s="582">
        <f t="shared" si="86"/>
        <v>17</v>
      </c>
      <c r="AN72" s="113">
        <f t="shared" si="86"/>
        <v>13</v>
      </c>
      <c r="AO72" s="113">
        <f t="shared" si="86"/>
        <v>0</v>
      </c>
      <c r="AP72" s="113">
        <f t="shared" si="86"/>
        <v>4</v>
      </c>
      <c r="AQ72" s="460">
        <f t="shared" si="86"/>
        <v>0</v>
      </c>
      <c r="AR72" s="582">
        <f t="shared" si="86"/>
        <v>4</v>
      </c>
      <c r="AS72" s="113">
        <f t="shared" si="86"/>
        <v>2</v>
      </c>
      <c r="AT72" s="113">
        <f t="shared" si="86"/>
        <v>0</v>
      </c>
      <c r="AU72" s="113">
        <f t="shared" si="86"/>
        <v>2</v>
      </c>
      <c r="AV72" s="459">
        <f t="shared" si="86"/>
        <v>0</v>
      </c>
      <c r="AW72" s="461">
        <f t="shared" si="86"/>
        <v>16</v>
      </c>
      <c r="AX72" s="582">
        <f t="shared" si="95"/>
        <v>9</v>
      </c>
      <c r="AY72" s="113">
        <f t="shared" si="95"/>
        <v>8</v>
      </c>
      <c r="AZ72" s="113">
        <f t="shared" si="95"/>
        <v>0</v>
      </c>
      <c r="BA72" s="113">
        <f t="shared" si="95"/>
        <v>1</v>
      </c>
      <c r="BB72" s="460">
        <f t="shared" si="95"/>
        <v>0</v>
      </c>
      <c r="BC72" s="582">
        <f t="shared" si="95"/>
        <v>7</v>
      </c>
      <c r="BD72" s="113">
        <f t="shared" si="95"/>
        <v>4</v>
      </c>
      <c r="BE72" s="113">
        <f t="shared" si="95"/>
        <v>0</v>
      </c>
      <c r="BF72" s="113">
        <f t="shared" si="95"/>
        <v>3</v>
      </c>
      <c r="BG72" s="459">
        <f t="shared" si="95"/>
        <v>0</v>
      </c>
      <c r="BH72" s="461">
        <f t="shared" si="95"/>
        <v>14</v>
      </c>
      <c r="BI72" s="582">
        <f t="shared" si="95"/>
        <v>9</v>
      </c>
      <c r="BJ72" s="113">
        <f t="shared" si="95"/>
        <v>9</v>
      </c>
      <c r="BK72" s="113">
        <f t="shared" si="95"/>
        <v>0</v>
      </c>
      <c r="BL72" s="113">
        <f t="shared" si="95"/>
        <v>0</v>
      </c>
      <c r="BM72" s="460">
        <f t="shared" si="95"/>
        <v>0</v>
      </c>
      <c r="BN72" s="582">
        <f t="shared" si="95"/>
        <v>5</v>
      </c>
      <c r="BO72" s="113">
        <f t="shared" si="95"/>
        <v>3</v>
      </c>
      <c r="BP72" s="113">
        <f t="shared" si="95"/>
        <v>0</v>
      </c>
      <c r="BQ72" s="113">
        <f t="shared" si="95"/>
        <v>2</v>
      </c>
      <c r="BR72" s="459">
        <f t="shared" si="95"/>
        <v>0</v>
      </c>
      <c r="BS72" s="461">
        <f t="shared" si="95"/>
        <v>22</v>
      </c>
      <c r="BT72" s="582">
        <f t="shared" si="95"/>
        <v>18</v>
      </c>
      <c r="BU72" s="113">
        <f t="shared" si="95"/>
        <v>9</v>
      </c>
      <c r="BV72" s="113">
        <f t="shared" si="95"/>
        <v>0</v>
      </c>
      <c r="BW72" s="113">
        <f t="shared" si="95"/>
        <v>9</v>
      </c>
      <c r="BX72" s="460">
        <f t="shared" si="95"/>
        <v>0</v>
      </c>
      <c r="BY72" s="582">
        <f t="shared" si="95"/>
        <v>4</v>
      </c>
      <c r="BZ72" s="113">
        <f t="shared" si="95"/>
        <v>2</v>
      </c>
      <c r="CA72" s="113">
        <f t="shared" si="95"/>
        <v>0</v>
      </c>
      <c r="CB72" s="113">
        <f t="shared" si="95"/>
        <v>2</v>
      </c>
      <c r="CC72" s="459">
        <f t="shared" si="95"/>
        <v>0</v>
      </c>
      <c r="CD72" s="461">
        <f t="shared" si="95"/>
        <v>5</v>
      </c>
      <c r="CE72" s="582">
        <f t="shared" si="95"/>
        <v>3</v>
      </c>
      <c r="CF72" s="113">
        <f t="shared" si="95"/>
        <v>2</v>
      </c>
      <c r="CG72" s="113">
        <f t="shared" si="95"/>
        <v>0</v>
      </c>
      <c r="CH72" s="113">
        <f t="shared" si="95"/>
        <v>1</v>
      </c>
      <c r="CI72" s="460">
        <f t="shared" si="95"/>
        <v>0</v>
      </c>
      <c r="CJ72" s="582">
        <f t="shared" si="95"/>
        <v>2</v>
      </c>
      <c r="CK72" s="113">
        <f t="shared" si="95"/>
        <v>1</v>
      </c>
      <c r="CL72" s="113">
        <f t="shared" si="95"/>
        <v>0</v>
      </c>
      <c r="CM72" s="113">
        <f t="shared" si="95"/>
        <v>1</v>
      </c>
      <c r="CN72" s="459">
        <f t="shared" si="95"/>
        <v>0</v>
      </c>
      <c r="CO72" s="461">
        <f t="shared" si="95"/>
        <v>6</v>
      </c>
      <c r="CP72" s="582">
        <f t="shared" si="95"/>
        <v>5</v>
      </c>
      <c r="CQ72" s="113">
        <f t="shared" si="95"/>
        <v>4</v>
      </c>
      <c r="CR72" s="113">
        <f t="shared" si="95"/>
        <v>0</v>
      </c>
      <c r="CS72" s="113">
        <f t="shared" si="95"/>
        <v>1</v>
      </c>
      <c r="CT72" s="460">
        <f t="shared" si="95"/>
        <v>0</v>
      </c>
      <c r="CU72" s="582">
        <f t="shared" si="95"/>
        <v>1</v>
      </c>
      <c r="CV72" s="113">
        <f t="shared" si="95"/>
        <v>1</v>
      </c>
      <c r="CW72" s="113">
        <f t="shared" si="95"/>
        <v>0</v>
      </c>
      <c r="CX72" s="113">
        <f t="shared" si="95"/>
        <v>0</v>
      </c>
      <c r="CY72" s="459">
        <f t="shared" si="95"/>
        <v>0</v>
      </c>
      <c r="CZ72" s="461">
        <f t="shared" si="95"/>
        <v>0</v>
      </c>
      <c r="DA72" s="582">
        <f t="shared" si="95"/>
        <v>0</v>
      </c>
      <c r="DB72" s="113">
        <f t="shared" si="95"/>
        <v>0</v>
      </c>
      <c r="DC72" s="113">
        <f t="shared" si="95"/>
        <v>0</v>
      </c>
      <c r="DD72" s="113">
        <f t="shared" si="95"/>
        <v>0</v>
      </c>
      <c r="DE72" s="460">
        <f t="shared" si="95"/>
        <v>0</v>
      </c>
      <c r="DF72" s="582">
        <f t="shared" si="95"/>
        <v>0</v>
      </c>
      <c r="DG72" s="113">
        <f t="shared" si="95"/>
        <v>0</v>
      </c>
      <c r="DH72" s="113">
        <f t="shared" si="95"/>
        <v>0</v>
      </c>
      <c r="DI72" s="113">
        <f t="shared" si="95"/>
        <v>0</v>
      </c>
      <c r="DJ72" s="459">
        <f t="shared" si="94"/>
        <v>0</v>
      </c>
      <c r="DK72" s="461">
        <f t="shared" si="94"/>
        <v>0</v>
      </c>
      <c r="DL72" s="582">
        <f t="shared" si="94"/>
        <v>0</v>
      </c>
      <c r="DM72" s="113">
        <f t="shared" si="94"/>
        <v>0</v>
      </c>
      <c r="DN72" s="113">
        <f t="shared" si="94"/>
        <v>0</v>
      </c>
      <c r="DO72" s="113">
        <f t="shared" si="94"/>
        <v>0</v>
      </c>
      <c r="DP72" s="460">
        <f t="shared" si="94"/>
        <v>0</v>
      </c>
      <c r="DQ72" s="582">
        <f t="shared" si="94"/>
        <v>0</v>
      </c>
      <c r="DR72" s="113">
        <f t="shared" si="94"/>
        <v>0</v>
      </c>
      <c r="DS72" s="113">
        <f t="shared" si="94"/>
        <v>0</v>
      </c>
      <c r="DT72" s="113">
        <f t="shared" si="94"/>
        <v>0</v>
      </c>
      <c r="DU72" s="459">
        <f t="shared" si="84"/>
        <v>0</v>
      </c>
      <c r="DW72" s="461">
        <f t="shared" si="77"/>
        <v>70</v>
      </c>
      <c r="DX72" s="582">
        <f t="shared" si="77"/>
        <v>47</v>
      </c>
      <c r="DY72" s="113">
        <f t="shared" si="77"/>
        <v>33</v>
      </c>
      <c r="DZ72" s="113">
        <f t="shared" si="77"/>
        <v>0</v>
      </c>
      <c r="EA72" s="113">
        <f t="shared" si="77"/>
        <v>14</v>
      </c>
      <c r="EB72" s="460">
        <f t="shared" si="77"/>
        <v>0</v>
      </c>
      <c r="EC72" s="582">
        <f t="shared" si="77"/>
        <v>23</v>
      </c>
      <c r="ED72" s="113">
        <f t="shared" si="77"/>
        <v>13</v>
      </c>
      <c r="EE72" s="113">
        <f t="shared" si="77"/>
        <v>0</v>
      </c>
      <c r="EF72" s="113">
        <f t="shared" si="76"/>
        <v>9</v>
      </c>
      <c r="EG72" s="459">
        <f t="shared" si="76"/>
        <v>1</v>
      </c>
      <c r="EH72" s="461">
        <f t="shared" si="91"/>
        <v>21</v>
      </c>
      <c r="EI72" s="582">
        <f t="shared" si="91"/>
        <v>17</v>
      </c>
      <c r="EJ72" s="113">
        <f t="shared" si="89"/>
        <v>13</v>
      </c>
      <c r="EK72" s="113">
        <f t="shared" si="89"/>
        <v>0</v>
      </c>
      <c r="EL72" s="113">
        <f t="shared" si="89"/>
        <v>4</v>
      </c>
      <c r="EM72" s="460">
        <f t="shared" si="89"/>
        <v>0</v>
      </c>
      <c r="EN72" s="582">
        <f t="shared" si="89"/>
        <v>4</v>
      </c>
      <c r="EO72" s="113">
        <f t="shared" si="89"/>
        <v>2</v>
      </c>
      <c r="EP72" s="113">
        <f t="shared" si="89"/>
        <v>0</v>
      </c>
      <c r="EQ72" s="113">
        <f t="shared" si="89"/>
        <v>2</v>
      </c>
      <c r="ER72" s="459">
        <f t="shared" si="89"/>
        <v>0</v>
      </c>
    </row>
    <row r="73" spans="1:148">
      <c r="A73" s="466" t="s">
        <v>408</v>
      </c>
      <c r="B73" s="581">
        <v>43617</v>
      </c>
      <c r="C73" s="470">
        <v>2019</v>
      </c>
      <c r="D73" s="461">
        <f t="shared" si="72"/>
        <v>222792</v>
      </c>
      <c r="E73" s="461">
        <f t="shared" si="93"/>
        <v>2875</v>
      </c>
      <c r="F73" s="582">
        <f t="shared" si="93"/>
        <v>1992</v>
      </c>
      <c r="G73" s="113">
        <f t="shared" si="93"/>
        <v>1656</v>
      </c>
      <c r="H73" s="113">
        <f t="shared" si="93"/>
        <v>0</v>
      </c>
      <c r="I73" s="113">
        <f t="shared" si="93"/>
        <v>336</v>
      </c>
      <c r="J73" s="460">
        <f t="shared" si="93"/>
        <v>0</v>
      </c>
      <c r="K73" s="582">
        <f t="shared" si="93"/>
        <v>883</v>
      </c>
      <c r="L73" s="113">
        <f t="shared" si="93"/>
        <v>497</v>
      </c>
      <c r="M73" s="113">
        <f t="shared" si="93"/>
        <v>0</v>
      </c>
      <c r="N73" s="113">
        <f t="shared" si="93"/>
        <v>349</v>
      </c>
      <c r="O73" s="459">
        <f t="shared" si="93"/>
        <v>37</v>
      </c>
      <c r="P73" s="461">
        <f t="shared" si="93"/>
        <v>5</v>
      </c>
      <c r="Q73" s="582">
        <f t="shared" si="93"/>
        <v>1</v>
      </c>
      <c r="R73" s="113">
        <f t="shared" si="93"/>
        <v>1</v>
      </c>
      <c r="S73" s="113">
        <f t="shared" si="93"/>
        <v>0</v>
      </c>
      <c r="T73" s="113">
        <f t="shared" si="93"/>
        <v>0</v>
      </c>
      <c r="U73" s="460">
        <f t="shared" si="92"/>
        <v>0</v>
      </c>
      <c r="V73" s="582">
        <f t="shared" si="92"/>
        <v>4</v>
      </c>
      <c r="W73" s="113">
        <f t="shared" si="92"/>
        <v>2</v>
      </c>
      <c r="X73" s="113">
        <f t="shared" si="92"/>
        <v>0</v>
      </c>
      <c r="Y73" s="113">
        <f t="shared" si="92"/>
        <v>1</v>
      </c>
      <c r="Z73" s="459">
        <f t="shared" si="92"/>
        <v>1</v>
      </c>
      <c r="AA73" s="461">
        <f t="shared" si="92"/>
        <v>2</v>
      </c>
      <c r="AB73" s="582">
        <f t="shared" si="92"/>
        <v>2</v>
      </c>
      <c r="AC73" s="113">
        <f t="shared" si="92"/>
        <v>0</v>
      </c>
      <c r="AD73" s="113">
        <f t="shared" si="92"/>
        <v>0</v>
      </c>
      <c r="AE73" s="113">
        <f t="shared" si="92"/>
        <v>2</v>
      </c>
      <c r="AF73" s="460">
        <f t="shared" si="92"/>
        <v>0</v>
      </c>
      <c r="AG73" s="582">
        <f t="shared" si="92"/>
        <v>0</v>
      </c>
      <c r="AH73" s="113">
        <f t="shared" si="92"/>
        <v>0</v>
      </c>
      <c r="AI73" s="113">
        <f t="shared" si="86"/>
        <v>0</v>
      </c>
      <c r="AJ73" s="113">
        <f t="shared" si="86"/>
        <v>0</v>
      </c>
      <c r="AK73" s="459">
        <f t="shared" si="86"/>
        <v>0</v>
      </c>
      <c r="AL73" s="461">
        <f t="shared" si="86"/>
        <v>21</v>
      </c>
      <c r="AM73" s="582">
        <f t="shared" si="86"/>
        <v>17</v>
      </c>
      <c r="AN73" s="113">
        <f t="shared" si="86"/>
        <v>13</v>
      </c>
      <c r="AO73" s="113">
        <f t="shared" si="86"/>
        <v>0</v>
      </c>
      <c r="AP73" s="113">
        <f t="shared" si="86"/>
        <v>4</v>
      </c>
      <c r="AQ73" s="460">
        <f t="shared" si="86"/>
        <v>0</v>
      </c>
      <c r="AR73" s="582">
        <f t="shared" si="86"/>
        <v>4</v>
      </c>
      <c r="AS73" s="113">
        <f t="shared" si="86"/>
        <v>2</v>
      </c>
      <c r="AT73" s="113">
        <f t="shared" si="86"/>
        <v>0</v>
      </c>
      <c r="AU73" s="113">
        <f t="shared" si="86"/>
        <v>2</v>
      </c>
      <c r="AV73" s="459">
        <f t="shared" si="86"/>
        <v>0</v>
      </c>
      <c r="AW73" s="461">
        <f t="shared" si="86"/>
        <v>16</v>
      </c>
      <c r="AX73" s="582">
        <f t="shared" si="95"/>
        <v>9</v>
      </c>
      <c r="AY73" s="113">
        <f t="shared" si="95"/>
        <v>8</v>
      </c>
      <c r="AZ73" s="113">
        <f t="shared" si="95"/>
        <v>0</v>
      </c>
      <c r="BA73" s="113">
        <f t="shared" si="95"/>
        <v>1</v>
      </c>
      <c r="BB73" s="460">
        <f t="shared" si="95"/>
        <v>0</v>
      </c>
      <c r="BC73" s="582">
        <f t="shared" si="95"/>
        <v>7</v>
      </c>
      <c r="BD73" s="113">
        <f t="shared" si="95"/>
        <v>4</v>
      </c>
      <c r="BE73" s="113">
        <f t="shared" si="95"/>
        <v>0</v>
      </c>
      <c r="BF73" s="113">
        <f t="shared" si="95"/>
        <v>3</v>
      </c>
      <c r="BG73" s="459">
        <f t="shared" si="95"/>
        <v>0</v>
      </c>
      <c r="BH73" s="461">
        <f t="shared" si="95"/>
        <v>14</v>
      </c>
      <c r="BI73" s="582">
        <f t="shared" si="95"/>
        <v>9</v>
      </c>
      <c r="BJ73" s="113">
        <f t="shared" si="95"/>
        <v>9</v>
      </c>
      <c r="BK73" s="113">
        <f t="shared" si="95"/>
        <v>0</v>
      </c>
      <c r="BL73" s="113">
        <f t="shared" si="95"/>
        <v>0</v>
      </c>
      <c r="BM73" s="460">
        <f t="shared" si="95"/>
        <v>0</v>
      </c>
      <c r="BN73" s="582">
        <f t="shared" si="95"/>
        <v>5</v>
      </c>
      <c r="BO73" s="113">
        <f t="shared" si="95"/>
        <v>3</v>
      </c>
      <c r="BP73" s="113">
        <f t="shared" si="95"/>
        <v>0</v>
      </c>
      <c r="BQ73" s="113">
        <f t="shared" si="95"/>
        <v>2</v>
      </c>
      <c r="BR73" s="459">
        <f t="shared" si="95"/>
        <v>0</v>
      </c>
      <c r="BS73" s="461">
        <f t="shared" si="95"/>
        <v>22</v>
      </c>
      <c r="BT73" s="582">
        <f t="shared" si="95"/>
        <v>18</v>
      </c>
      <c r="BU73" s="113">
        <f t="shared" si="95"/>
        <v>9</v>
      </c>
      <c r="BV73" s="113">
        <f t="shared" si="95"/>
        <v>0</v>
      </c>
      <c r="BW73" s="113">
        <f t="shared" si="95"/>
        <v>9</v>
      </c>
      <c r="BX73" s="460">
        <f t="shared" si="95"/>
        <v>0</v>
      </c>
      <c r="BY73" s="582">
        <f t="shared" si="95"/>
        <v>4</v>
      </c>
      <c r="BZ73" s="113">
        <f t="shared" si="95"/>
        <v>2</v>
      </c>
      <c r="CA73" s="113">
        <f t="shared" si="95"/>
        <v>0</v>
      </c>
      <c r="CB73" s="113">
        <f t="shared" si="95"/>
        <v>2</v>
      </c>
      <c r="CC73" s="459">
        <f t="shared" si="95"/>
        <v>0</v>
      </c>
      <c r="CD73" s="461">
        <f t="shared" si="95"/>
        <v>5</v>
      </c>
      <c r="CE73" s="582">
        <f t="shared" si="95"/>
        <v>3</v>
      </c>
      <c r="CF73" s="113">
        <f t="shared" si="95"/>
        <v>2</v>
      </c>
      <c r="CG73" s="113">
        <f t="shared" si="95"/>
        <v>0</v>
      </c>
      <c r="CH73" s="113">
        <f t="shared" si="95"/>
        <v>1</v>
      </c>
      <c r="CI73" s="460">
        <f t="shared" si="95"/>
        <v>0</v>
      </c>
      <c r="CJ73" s="582">
        <f t="shared" si="95"/>
        <v>2</v>
      </c>
      <c r="CK73" s="113">
        <f t="shared" si="95"/>
        <v>1</v>
      </c>
      <c r="CL73" s="113">
        <f t="shared" si="95"/>
        <v>0</v>
      </c>
      <c r="CM73" s="113">
        <f t="shared" si="95"/>
        <v>1</v>
      </c>
      <c r="CN73" s="459">
        <f t="shared" si="95"/>
        <v>0</v>
      </c>
      <c r="CO73" s="461">
        <f t="shared" si="95"/>
        <v>6</v>
      </c>
      <c r="CP73" s="582">
        <f t="shared" si="95"/>
        <v>5</v>
      </c>
      <c r="CQ73" s="113">
        <f t="shared" si="95"/>
        <v>4</v>
      </c>
      <c r="CR73" s="113">
        <f t="shared" si="95"/>
        <v>0</v>
      </c>
      <c r="CS73" s="113">
        <f t="shared" si="95"/>
        <v>1</v>
      </c>
      <c r="CT73" s="460">
        <f t="shared" si="95"/>
        <v>0</v>
      </c>
      <c r="CU73" s="582">
        <f t="shared" si="95"/>
        <v>1</v>
      </c>
      <c r="CV73" s="113">
        <f t="shared" si="95"/>
        <v>1</v>
      </c>
      <c r="CW73" s="113">
        <f t="shared" si="95"/>
        <v>0</v>
      </c>
      <c r="CX73" s="113">
        <f t="shared" si="95"/>
        <v>0</v>
      </c>
      <c r="CY73" s="459">
        <f t="shared" si="95"/>
        <v>0</v>
      </c>
      <c r="CZ73" s="461">
        <f t="shared" si="95"/>
        <v>0</v>
      </c>
      <c r="DA73" s="582">
        <f t="shared" si="95"/>
        <v>0</v>
      </c>
      <c r="DB73" s="113">
        <f t="shared" si="95"/>
        <v>0</v>
      </c>
      <c r="DC73" s="113">
        <f t="shared" si="95"/>
        <v>0</v>
      </c>
      <c r="DD73" s="113">
        <f t="shared" si="95"/>
        <v>0</v>
      </c>
      <c r="DE73" s="460">
        <f t="shared" si="95"/>
        <v>0</v>
      </c>
      <c r="DF73" s="582">
        <f t="shared" si="95"/>
        <v>0</v>
      </c>
      <c r="DG73" s="113">
        <f t="shared" si="95"/>
        <v>0</v>
      </c>
      <c r="DH73" s="113">
        <f t="shared" si="95"/>
        <v>0</v>
      </c>
      <c r="DI73" s="113">
        <f t="shared" ref="DI73:DU76" si="96">SUMIFS(DI$5:DI$36,$B$5:$B$36,$A73)</f>
        <v>0</v>
      </c>
      <c r="DJ73" s="459">
        <f t="shared" si="96"/>
        <v>0</v>
      </c>
      <c r="DK73" s="461">
        <f t="shared" si="96"/>
        <v>0</v>
      </c>
      <c r="DL73" s="582">
        <f t="shared" si="96"/>
        <v>0</v>
      </c>
      <c r="DM73" s="113">
        <f t="shared" si="96"/>
        <v>0</v>
      </c>
      <c r="DN73" s="113">
        <f t="shared" si="96"/>
        <v>0</v>
      </c>
      <c r="DO73" s="113">
        <f t="shared" si="96"/>
        <v>0</v>
      </c>
      <c r="DP73" s="460">
        <f t="shared" si="96"/>
        <v>0</v>
      </c>
      <c r="DQ73" s="582">
        <f t="shared" si="96"/>
        <v>0</v>
      </c>
      <c r="DR73" s="113">
        <f t="shared" si="96"/>
        <v>0</v>
      </c>
      <c r="DS73" s="113">
        <f t="shared" si="96"/>
        <v>0</v>
      </c>
      <c r="DT73" s="113">
        <f t="shared" si="96"/>
        <v>0</v>
      </c>
      <c r="DU73" s="459">
        <f t="shared" si="84"/>
        <v>0</v>
      </c>
      <c r="DW73" s="461">
        <f t="shared" si="77"/>
        <v>70</v>
      </c>
      <c r="DX73" s="582">
        <f t="shared" si="77"/>
        <v>47</v>
      </c>
      <c r="DY73" s="113">
        <f t="shared" si="77"/>
        <v>33</v>
      </c>
      <c r="DZ73" s="113">
        <f t="shared" si="77"/>
        <v>0</v>
      </c>
      <c r="EA73" s="113">
        <f t="shared" si="77"/>
        <v>14</v>
      </c>
      <c r="EB73" s="460">
        <f t="shared" si="77"/>
        <v>0</v>
      </c>
      <c r="EC73" s="582">
        <f t="shared" si="77"/>
        <v>23</v>
      </c>
      <c r="ED73" s="113">
        <f t="shared" si="77"/>
        <v>13</v>
      </c>
      <c r="EE73" s="113">
        <f t="shared" si="77"/>
        <v>0</v>
      </c>
      <c r="EF73" s="113">
        <f t="shared" si="76"/>
        <v>9</v>
      </c>
      <c r="EG73" s="459">
        <f t="shared" si="76"/>
        <v>1</v>
      </c>
      <c r="EH73" s="461">
        <f t="shared" si="91"/>
        <v>21</v>
      </c>
      <c r="EI73" s="582">
        <f t="shared" si="91"/>
        <v>17</v>
      </c>
      <c r="EJ73" s="113">
        <f t="shared" si="89"/>
        <v>13</v>
      </c>
      <c r="EK73" s="113">
        <f t="shared" si="89"/>
        <v>0</v>
      </c>
      <c r="EL73" s="113">
        <f t="shared" si="89"/>
        <v>4</v>
      </c>
      <c r="EM73" s="460">
        <f t="shared" si="89"/>
        <v>0</v>
      </c>
      <c r="EN73" s="582">
        <f t="shared" si="89"/>
        <v>4</v>
      </c>
      <c r="EO73" s="113">
        <f t="shared" si="89"/>
        <v>2</v>
      </c>
      <c r="EP73" s="113">
        <f t="shared" si="89"/>
        <v>0</v>
      </c>
      <c r="EQ73" s="113">
        <f t="shared" si="89"/>
        <v>2</v>
      </c>
      <c r="ER73" s="459">
        <f t="shared" si="89"/>
        <v>0</v>
      </c>
    </row>
    <row r="74" spans="1:148">
      <c r="A74" s="466" t="s">
        <v>409</v>
      </c>
      <c r="B74" s="581">
        <v>43647</v>
      </c>
      <c r="C74" s="470">
        <v>2019</v>
      </c>
      <c r="D74" s="461">
        <f t="shared" si="72"/>
        <v>219590</v>
      </c>
      <c r="E74" s="461">
        <f t="shared" si="93"/>
        <v>3149</v>
      </c>
      <c r="F74" s="582">
        <f t="shared" si="93"/>
        <v>2181</v>
      </c>
      <c r="G74" s="113">
        <f t="shared" si="93"/>
        <v>1844</v>
      </c>
      <c r="H74" s="113">
        <f t="shared" si="93"/>
        <v>0</v>
      </c>
      <c r="I74" s="113">
        <f t="shared" si="93"/>
        <v>337</v>
      </c>
      <c r="J74" s="460">
        <f t="shared" si="93"/>
        <v>0</v>
      </c>
      <c r="K74" s="582">
        <f t="shared" si="93"/>
        <v>968</v>
      </c>
      <c r="L74" s="113">
        <f t="shared" si="93"/>
        <v>644</v>
      </c>
      <c r="M74" s="113">
        <f t="shared" si="93"/>
        <v>0</v>
      </c>
      <c r="N74" s="113">
        <f t="shared" si="93"/>
        <v>306</v>
      </c>
      <c r="O74" s="459">
        <f t="shared" si="93"/>
        <v>18</v>
      </c>
      <c r="P74" s="461">
        <f t="shared" si="93"/>
        <v>6</v>
      </c>
      <c r="Q74" s="582">
        <f t="shared" si="93"/>
        <v>4</v>
      </c>
      <c r="R74" s="113">
        <f t="shared" si="93"/>
        <v>4</v>
      </c>
      <c r="S74" s="113">
        <f t="shared" si="93"/>
        <v>0</v>
      </c>
      <c r="T74" s="113">
        <f t="shared" si="93"/>
        <v>0</v>
      </c>
      <c r="U74" s="460">
        <f t="shared" si="92"/>
        <v>0</v>
      </c>
      <c r="V74" s="582">
        <f t="shared" si="92"/>
        <v>2</v>
      </c>
      <c r="W74" s="113">
        <f t="shared" si="92"/>
        <v>2</v>
      </c>
      <c r="X74" s="113">
        <f t="shared" si="92"/>
        <v>0</v>
      </c>
      <c r="Y74" s="113">
        <f t="shared" si="92"/>
        <v>0</v>
      </c>
      <c r="Z74" s="459">
        <f t="shared" si="92"/>
        <v>0</v>
      </c>
      <c r="AA74" s="461">
        <f t="shared" si="92"/>
        <v>1</v>
      </c>
      <c r="AB74" s="582">
        <f t="shared" si="92"/>
        <v>1</v>
      </c>
      <c r="AC74" s="113">
        <f t="shared" si="92"/>
        <v>0</v>
      </c>
      <c r="AD74" s="113">
        <f t="shared" si="92"/>
        <v>0</v>
      </c>
      <c r="AE74" s="113">
        <f t="shared" si="92"/>
        <v>1</v>
      </c>
      <c r="AF74" s="460">
        <f t="shared" si="92"/>
        <v>0</v>
      </c>
      <c r="AG74" s="582">
        <f t="shared" si="92"/>
        <v>0</v>
      </c>
      <c r="AH74" s="113">
        <f t="shared" si="92"/>
        <v>0</v>
      </c>
      <c r="AI74" s="113">
        <f t="shared" si="86"/>
        <v>0</v>
      </c>
      <c r="AJ74" s="113">
        <f t="shared" si="86"/>
        <v>0</v>
      </c>
      <c r="AK74" s="459">
        <f t="shared" si="86"/>
        <v>0</v>
      </c>
      <c r="AL74" s="461">
        <f t="shared" si="86"/>
        <v>29</v>
      </c>
      <c r="AM74" s="582">
        <f t="shared" si="86"/>
        <v>24</v>
      </c>
      <c r="AN74" s="113">
        <f t="shared" si="86"/>
        <v>23</v>
      </c>
      <c r="AO74" s="113">
        <f t="shared" si="86"/>
        <v>0</v>
      </c>
      <c r="AP74" s="113">
        <f t="shared" si="86"/>
        <v>1</v>
      </c>
      <c r="AQ74" s="460">
        <f t="shared" si="86"/>
        <v>0</v>
      </c>
      <c r="AR74" s="582">
        <f t="shared" si="86"/>
        <v>5</v>
      </c>
      <c r="AS74" s="113">
        <f t="shared" si="86"/>
        <v>3</v>
      </c>
      <c r="AT74" s="113">
        <f t="shared" si="86"/>
        <v>0</v>
      </c>
      <c r="AU74" s="113">
        <f t="shared" si="86"/>
        <v>2</v>
      </c>
      <c r="AV74" s="459">
        <f t="shared" si="86"/>
        <v>0</v>
      </c>
      <c r="AW74" s="461">
        <f t="shared" si="86"/>
        <v>17</v>
      </c>
      <c r="AX74" s="582">
        <f t="shared" ref="AX74:DI77" si="97">SUMIFS(AX$5:AX$36,$B$5:$B$36,$A74)</f>
        <v>13</v>
      </c>
      <c r="AY74" s="113">
        <f t="shared" si="97"/>
        <v>10</v>
      </c>
      <c r="AZ74" s="113">
        <f t="shared" si="97"/>
        <v>0</v>
      </c>
      <c r="BA74" s="113">
        <f t="shared" si="97"/>
        <v>3</v>
      </c>
      <c r="BB74" s="460">
        <f t="shared" si="97"/>
        <v>0</v>
      </c>
      <c r="BC74" s="582">
        <f t="shared" si="97"/>
        <v>4</v>
      </c>
      <c r="BD74" s="113">
        <f t="shared" si="97"/>
        <v>4</v>
      </c>
      <c r="BE74" s="113">
        <f t="shared" si="97"/>
        <v>0</v>
      </c>
      <c r="BF74" s="113">
        <f t="shared" si="97"/>
        <v>0</v>
      </c>
      <c r="BG74" s="459">
        <f t="shared" si="97"/>
        <v>0</v>
      </c>
      <c r="BH74" s="461">
        <f t="shared" si="97"/>
        <v>18</v>
      </c>
      <c r="BI74" s="582">
        <f t="shared" si="97"/>
        <v>16</v>
      </c>
      <c r="BJ74" s="113">
        <f t="shared" si="97"/>
        <v>16</v>
      </c>
      <c r="BK74" s="113">
        <f t="shared" si="97"/>
        <v>0</v>
      </c>
      <c r="BL74" s="113">
        <f t="shared" si="97"/>
        <v>0</v>
      </c>
      <c r="BM74" s="460">
        <f t="shared" si="97"/>
        <v>0</v>
      </c>
      <c r="BN74" s="582">
        <f t="shared" si="97"/>
        <v>2</v>
      </c>
      <c r="BO74" s="113">
        <f t="shared" si="97"/>
        <v>1</v>
      </c>
      <c r="BP74" s="113">
        <f t="shared" si="97"/>
        <v>0</v>
      </c>
      <c r="BQ74" s="113">
        <f t="shared" si="97"/>
        <v>1</v>
      </c>
      <c r="BR74" s="459">
        <f t="shared" si="97"/>
        <v>0</v>
      </c>
      <c r="BS74" s="461">
        <f t="shared" si="97"/>
        <v>35</v>
      </c>
      <c r="BT74" s="582">
        <f t="shared" si="97"/>
        <v>27</v>
      </c>
      <c r="BU74" s="113">
        <f t="shared" si="97"/>
        <v>25</v>
      </c>
      <c r="BV74" s="113">
        <f t="shared" si="97"/>
        <v>0</v>
      </c>
      <c r="BW74" s="113">
        <f t="shared" si="97"/>
        <v>2</v>
      </c>
      <c r="BX74" s="460">
        <f t="shared" si="97"/>
        <v>0</v>
      </c>
      <c r="BY74" s="582">
        <f t="shared" si="97"/>
        <v>8</v>
      </c>
      <c r="BZ74" s="113">
        <f t="shared" si="97"/>
        <v>6</v>
      </c>
      <c r="CA74" s="113">
        <f t="shared" si="97"/>
        <v>0</v>
      </c>
      <c r="CB74" s="113">
        <f t="shared" si="97"/>
        <v>2</v>
      </c>
      <c r="CC74" s="459">
        <f t="shared" si="97"/>
        <v>0</v>
      </c>
      <c r="CD74" s="461">
        <f t="shared" si="97"/>
        <v>3</v>
      </c>
      <c r="CE74" s="582">
        <f t="shared" si="97"/>
        <v>1</v>
      </c>
      <c r="CF74" s="113">
        <f t="shared" si="97"/>
        <v>1</v>
      </c>
      <c r="CG74" s="113">
        <f t="shared" si="97"/>
        <v>0</v>
      </c>
      <c r="CH74" s="113">
        <f t="shared" si="97"/>
        <v>0</v>
      </c>
      <c r="CI74" s="460">
        <f t="shared" si="97"/>
        <v>0</v>
      </c>
      <c r="CJ74" s="582">
        <f t="shared" si="97"/>
        <v>2</v>
      </c>
      <c r="CK74" s="113">
        <f t="shared" si="97"/>
        <v>1</v>
      </c>
      <c r="CL74" s="113">
        <f t="shared" si="97"/>
        <v>0</v>
      </c>
      <c r="CM74" s="113">
        <f t="shared" si="97"/>
        <v>1</v>
      </c>
      <c r="CN74" s="459">
        <f t="shared" si="97"/>
        <v>0</v>
      </c>
      <c r="CO74" s="461">
        <f t="shared" si="97"/>
        <v>5</v>
      </c>
      <c r="CP74" s="582">
        <f t="shared" si="97"/>
        <v>2</v>
      </c>
      <c r="CQ74" s="113">
        <f t="shared" si="97"/>
        <v>2</v>
      </c>
      <c r="CR74" s="113">
        <f t="shared" si="97"/>
        <v>0</v>
      </c>
      <c r="CS74" s="113">
        <f t="shared" si="97"/>
        <v>0</v>
      </c>
      <c r="CT74" s="460">
        <f t="shared" si="97"/>
        <v>0</v>
      </c>
      <c r="CU74" s="582">
        <f t="shared" si="97"/>
        <v>3</v>
      </c>
      <c r="CV74" s="113">
        <f t="shared" si="97"/>
        <v>3</v>
      </c>
      <c r="CW74" s="113">
        <f t="shared" si="97"/>
        <v>0</v>
      </c>
      <c r="CX74" s="113">
        <f t="shared" si="97"/>
        <v>0</v>
      </c>
      <c r="CY74" s="459">
        <f t="shared" si="97"/>
        <v>0</v>
      </c>
      <c r="CZ74" s="461">
        <f t="shared" si="97"/>
        <v>0</v>
      </c>
      <c r="DA74" s="582">
        <f t="shared" si="97"/>
        <v>0</v>
      </c>
      <c r="DB74" s="113">
        <f t="shared" si="97"/>
        <v>0</v>
      </c>
      <c r="DC74" s="113">
        <f t="shared" si="97"/>
        <v>0</v>
      </c>
      <c r="DD74" s="113">
        <f t="shared" si="97"/>
        <v>0</v>
      </c>
      <c r="DE74" s="460">
        <f t="shared" si="97"/>
        <v>0</v>
      </c>
      <c r="DF74" s="582">
        <f t="shared" si="97"/>
        <v>0</v>
      </c>
      <c r="DG74" s="113">
        <f t="shared" si="97"/>
        <v>0</v>
      </c>
      <c r="DH74" s="113">
        <f t="shared" si="97"/>
        <v>0</v>
      </c>
      <c r="DI74" s="113">
        <f t="shared" si="97"/>
        <v>0</v>
      </c>
      <c r="DJ74" s="459">
        <f t="shared" si="96"/>
        <v>0</v>
      </c>
      <c r="DK74" s="461">
        <f t="shared" si="96"/>
        <v>0</v>
      </c>
      <c r="DL74" s="582">
        <f t="shared" si="96"/>
        <v>0</v>
      </c>
      <c r="DM74" s="113">
        <f t="shared" si="96"/>
        <v>0</v>
      </c>
      <c r="DN74" s="113">
        <f t="shared" si="96"/>
        <v>0</v>
      </c>
      <c r="DO74" s="113">
        <f t="shared" si="96"/>
        <v>0</v>
      </c>
      <c r="DP74" s="460">
        <f t="shared" si="96"/>
        <v>0</v>
      </c>
      <c r="DQ74" s="582">
        <f t="shared" si="96"/>
        <v>1</v>
      </c>
      <c r="DR74" s="113">
        <f t="shared" si="96"/>
        <v>1</v>
      </c>
      <c r="DS74" s="113">
        <f t="shared" si="96"/>
        <v>0</v>
      </c>
      <c r="DT74" s="113">
        <f t="shared" si="96"/>
        <v>0</v>
      </c>
      <c r="DU74" s="459">
        <f t="shared" si="84"/>
        <v>0</v>
      </c>
      <c r="DW74" s="461">
        <f t="shared" si="77"/>
        <v>85</v>
      </c>
      <c r="DX74" s="582">
        <f t="shared" si="77"/>
        <v>64</v>
      </c>
      <c r="DY74" s="113">
        <f t="shared" si="77"/>
        <v>58</v>
      </c>
      <c r="DZ74" s="113">
        <f t="shared" si="77"/>
        <v>0</v>
      </c>
      <c r="EA74" s="113">
        <f t="shared" si="77"/>
        <v>6</v>
      </c>
      <c r="EB74" s="460">
        <f t="shared" si="77"/>
        <v>0</v>
      </c>
      <c r="EC74" s="582">
        <f t="shared" si="77"/>
        <v>22</v>
      </c>
      <c r="ED74" s="113">
        <f t="shared" si="77"/>
        <v>18</v>
      </c>
      <c r="EE74" s="113">
        <f t="shared" si="77"/>
        <v>0</v>
      </c>
      <c r="EF74" s="113">
        <f t="shared" si="76"/>
        <v>4</v>
      </c>
      <c r="EG74" s="459">
        <f t="shared" si="76"/>
        <v>0</v>
      </c>
      <c r="EH74" s="461">
        <f t="shared" si="91"/>
        <v>29</v>
      </c>
      <c r="EI74" s="582">
        <f t="shared" si="91"/>
        <v>24</v>
      </c>
      <c r="EJ74" s="113">
        <f t="shared" si="89"/>
        <v>23</v>
      </c>
      <c r="EK74" s="113">
        <f t="shared" si="89"/>
        <v>0</v>
      </c>
      <c r="EL74" s="113">
        <f t="shared" si="89"/>
        <v>1</v>
      </c>
      <c r="EM74" s="460">
        <f t="shared" si="89"/>
        <v>0</v>
      </c>
      <c r="EN74" s="582">
        <f t="shared" si="89"/>
        <v>5</v>
      </c>
      <c r="EO74" s="113">
        <f t="shared" si="89"/>
        <v>3</v>
      </c>
      <c r="EP74" s="113">
        <f t="shared" si="89"/>
        <v>0</v>
      </c>
      <c r="EQ74" s="113">
        <f t="shared" si="89"/>
        <v>2</v>
      </c>
      <c r="ER74" s="459">
        <f t="shared" si="89"/>
        <v>0</v>
      </c>
    </row>
    <row r="75" spans="1:148">
      <c r="A75" s="466" t="s">
        <v>409</v>
      </c>
      <c r="B75" s="581">
        <v>43678</v>
      </c>
      <c r="C75" s="470">
        <v>2019</v>
      </c>
      <c r="D75" s="461">
        <f t="shared" si="72"/>
        <v>219590</v>
      </c>
      <c r="E75" s="461">
        <f t="shared" si="93"/>
        <v>3149</v>
      </c>
      <c r="F75" s="582">
        <f t="shared" si="93"/>
        <v>2181</v>
      </c>
      <c r="G75" s="113">
        <f t="shared" si="93"/>
        <v>1844</v>
      </c>
      <c r="H75" s="113">
        <f t="shared" si="93"/>
        <v>0</v>
      </c>
      <c r="I75" s="113">
        <f t="shared" si="93"/>
        <v>337</v>
      </c>
      <c r="J75" s="460">
        <f t="shared" si="93"/>
        <v>0</v>
      </c>
      <c r="K75" s="582">
        <f t="shared" si="93"/>
        <v>968</v>
      </c>
      <c r="L75" s="113">
        <f t="shared" si="93"/>
        <v>644</v>
      </c>
      <c r="M75" s="113">
        <f t="shared" si="93"/>
        <v>0</v>
      </c>
      <c r="N75" s="113">
        <f t="shared" si="93"/>
        <v>306</v>
      </c>
      <c r="O75" s="459">
        <f t="shared" si="93"/>
        <v>18</v>
      </c>
      <c r="P75" s="461">
        <f t="shared" si="93"/>
        <v>6</v>
      </c>
      <c r="Q75" s="582">
        <f t="shared" si="93"/>
        <v>4</v>
      </c>
      <c r="R75" s="113">
        <f t="shared" si="93"/>
        <v>4</v>
      </c>
      <c r="S75" s="113">
        <f t="shared" si="93"/>
        <v>0</v>
      </c>
      <c r="T75" s="113">
        <f t="shared" si="93"/>
        <v>0</v>
      </c>
      <c r="U75" s="460">
        <f t="shared" si="92"/>
        <v>0</v>
      </c>
      <c r="V75" s="582">
        <f t="shared" si="92"/>
        <v>2</v>
      </c>
      <c r="W75" s="113">
        <f t="shared" si="92"/>
        <v>2</v>
      </c>
      <c r="X75" s="113">
        <f t="shared" si="92"/>
        <v>0</v>
      </c>
      <c r="Y75" s="113">
        <f t="shared" si="92"/>
        <v>0</v>
      </c>
      <c r="Z75" s="459">
        <f t="shared" si="92"/>
        <v>0</v>
      </c>
      <c r="AA75" s="461">
        <f t="shared" si="92"/>
        <v>1</v>
      </c>
      <c r="AB75" s="582">
        <f t="shared" si="92"/>
        <v>1</v>
      </c>
      <c r="AC75" s="113">
        <f t="shared" si="92"/>
        <v>0</v>
      </c>
      <c r="AD75" s="113">
        <f t="shared" si="92"/>
        <v>0</v>
      </c>
      <c r="AE75" s="113">
        <f t="shared" si="92"/>
        <v>1</v>
      </c>
      <c r="AF75" s="460">
        <f t="shared" si="92"/>
        <v>0</v>
      </c>
      <c r="AG75" s="582">
        <f t="shared" si="92"/>
        <v>0</v>
      </c>
      <c r="AH75" s="113">
        <f t="shared" si="92"/>
        <v>0</v>
      </c>
      <c r="AI75" s="113">
        <f t="shared" si="86"/>
        <v>0</v>
      </c>
      <c r="AJ75" s="113">
        <f t="shared" si="86"/>
        <v>0</v>
      </c>
      <c r="AK75" s="459">
        <f t="shared" si="86"/>
        <v>0</v>
      </c>
      <c r="AL75" s="461">
        <f t="shared" si="86"/>
        <v>29</v>
      </c>
      <c r="AM75" s="582">
        <f t="shared" si="86"/>
        <v>24</v>
      </c>
      <c r="AN75" s="113">
        <f t="shared" si="86"/>
        <v>23</v>
      </c>
      <c r="AO75" s="113">
        <f t="shared" si="86"/>
        <v>0</v>
      </c>
      <c r="AP75" s="113">
        <f t="shared" si="86"/>
        <v>1</v>
      </c>
      <c r="AQ75" s="460">
        <f t="shared" si="86"/>
        <v>0</v>
      </c>
      <c r="AR75" s="582">
        <f t="shared" si="86"/>
        <v>5</v>
      </c>
      <c r="AS75" s="113">
        <f t="shared" si="86"/>
        <v>3</v>
      </c>
      <c r="AT75" s="113">
        <f t="shared" si="86"/>
        <v>0</v>
      </c>
      <c r="AU75" s="113">
        <f t="shared" si="86"/>
        <v>2</v>
      </c>
      <c r="AV75" s="459">
        <f t="shared" si="86"/>
        <v>0</v>
      </c>
      <c r="AW75" s="461">
        <f t="shared" si="86"/>
        <v>17</v>
      </c>
      <c r="AX75" s="582">
        <f t="shared" si="97"/>
        <v>13</v>
      </c>
      <c r="AY75" s="113">
        <f t="shared" si="97"/>
        <v>10</v>
      </c>
      <c r="AZ75" s="113">
        <f t="shared" si="97"/>
        <v>0</v>
      </c>
      <c r="BA75" s="113">
        <f t="shared" si="97"/>
        <v>3</v>
      </c>
      <c r="BB75" s="460">
        <f t="shared" si="97"/>
        <v>0</v>
      </c>
      <c r="BC75" s="582">
        <f t="shared" si="97"/>
        <v>4</v>
      </c>
      <c r="BD75" s="113">
        <f t="shared" si="97"/>
        <v>4</v>
      </c>
      <c r="BE75" s="113">
        <f t="shared" si="97"/>
        <v>0</v>
      </c>
      <c r="BF75" s="113">
        <f t="shared" si="97"/>
        <v>0</v>
      </c>
      <c r="BG75" s="459">
        <f t="shared" si="97"/>
        <v>0</v>
      </c>
      <c r="BH75" s="461">
        <f t="shared" si="97"/>
        <v>18</v>
      </c>
      <c r="BI75" s="582">
        <f t="shared" si="97"/>
        <v>16</v>
      </c>
      <c r="BJ75" s="113">
        <f t="shared" si="97"/>
        <v>16</v>
      </c>
      <c r="BK75" s="113">
        <f t="shared" si="97"/>
        <v>0</v>
      </c>
      <c r="BL75" s="113">
        <f t="shared" si="97"/>
        <v>0</v>
      </c>
      <c r="BM75" s="460">
        <f t="shared" si="97"/>
        <v>0</v>
      </c>
      <c r="BN75" s="582">
        <f t="shared" si="97"/>
        <v>2</v>
      </c>
      <c r="BO75" s="113">
        <f t="shared" si="97"/>
        <v>1</v>
      </c>
      <c r="BP75" s="113">
        <f t="shared" si="97"/>
        <v>0</v>
      </c>
      <c r="BQ75" s="113">
        <f t="shared" si="97"/>
        <v>1</v>
      </c>
      <c r="BR75" s="459">
        <f t="shared" si="97"/>
        <v>0</v>
      </c>
      <c r="BS75" s="461">
        <f t="shared" si="97"/>
        <v>35</v>
      </c>
      <c r="BT75" s="582">
        <f t="shared" si="97"/>
        <v>27</v>
      </c>
      <c r="BU75" s="113">
        <f t="shared" si="97"/>
        <v>25</v>
      </c>
      <c r="BV75" s="113">
        <f t="shared" si="97"/>
        <v>0</v>
      </c>
      <c r="BW75" s="113">
        <f t="shared" si="97"/>
        <v>2</v>
      </c>
      <c r="BX75" s="460">
        <f t="shared" si="97"/>
        <v>0</v>
      </c>
      <c r="BY75" s="582">
        <f t="shared" si="97"/>
        <v>8</v>
      </c>
      <c r="BZ75" s="113">
        <f t="shared" si="97"/>
        <v>6</v>
      </c>
      <c r="CA75" s="113">
        <f t="shared" si="97"/>
        <v>0</v>
      </c>
      <c r="CB75" s="113">
        <f t="shared" si="97"/>
        <v>2</v>
      </c>
      <c r="CC75" s="459">
        <f t="shared" si="97"/>
        <v>0</v>
      </c>
      <c r="CD75" s="461">
        <f t="shared" si="97"/>
        <v>3</v>
      </c>
      <c r="CE75" s="582">
        <f t="shared" si="97"/>
        <v>1</v>
      </c>
      <c r="CF75" s="113">
        <f t="shared" si="97"/>
        <v>1</v>
      </c>
      <c r="CG75" s="113">
        <f t="shared" si="97"/>
        <v>0</v>
      </c>
      <c r="CH75" s="113">
        <f t="shared" si="97"/>
        <v>0</v>
      </c>
      <c r="CI75" s="460">
        <f t="shared" si="97"/>
        <v>0</v>
      </c>
      <c r="CJ75" s="582">
        <f t="shared" si="97"/>
        <v>2</v>
      </c>
      <c r="CK75" s="113">
        <f t="shared" si="97"/>
        <v>1</v>
      </c>
      <c r="CL75" s="113">
        <f t="shared" si="97"/>
        <v>0</v>
      </c>
      <c r="CM75" s="113">
        <f t="shared" si="97"/>
        <v>1</v>
      </c>
      <c r="CN75" s="459">
        <f t="shared" si="97"/>
        <v>0</v>
      </c>
      <c r="CO75" s="461">
        <f t="shared" si="97"/>
        <v>5</v>
      </c>
      <c r="CP75" s="582">
        <f t="shared" si="97"/>
        <v>2</v>
      </c>
      <c r="CQ75" s="113">
        <f t="shared" si="97"/>
        <v>2</v>
      </c>
      <c r="CR75" s="113">
        <f t="shared" si="97"/>
        <v>0</v>
      </c>
      <c r="CS75" s="113">
        <f t="shared" si="97"/>
        <v>0</v>
      </c>
      <c r="CT75" s="460">
        <f t="shared" si="97"/>
        <v>0</v>
      </c>
      <c r="CU75" s="582">
        <f t="shared" si="97"/>
        <v>3</v>
      </c>
      <c r="CV75" s="113">
        <f t="shared" si="97"/>
        <v>3</v>
      </c>
      <c r="CW75" s="113">
        <f t="shared" si="97"/>
        <v>0</v>
      </c>
      <c r="CX75" s="113">
        <f t="shared" si="97"/>
        <v>0</v>
      </c>
      <c r="CY75" s="459">
        <f t="shared" si="97"/>
        <v>0</v>
      </c>
      <c r="CZ75" s="461">
        <f t="shared" si="97"/>
        <v>0</v>
      </c>
      <c r="DA75" s="582">
        <f t="shared" si="97"/>
        <v>0</v>
      </c>
      <c r="DB75" s="113">
        <f t="shared" si="97"/>
        <v>0</v>
      </c>
      <c r="DC75" s="113">
        <f t="shared" si="97"/>
        <v>0</v>
      </c>
      <c r="DD75" s="113">
        <f t="shared" si="97"/>
        <v>0</v>
      </c>
      <c r="DE75" s="460">
        <f t="shared" si="97"/>
        <v>0</v>
      </c>
      <c r="DF75" s="582">
        <f t="shared" si="97"/>
        <v>0</v>
      </c>
      <c r="DG75" s="113">
        <f t="shared" si="97"/>
        <v>0</v>
      </c>
      <c r="DH75" s="113">
        <f t="shared" si="97"/>
        <v>0</v>
      </c>
      <c r="DI75" s="113">
        <f t="shared" si="97"/>
        <v>0</v>
      </c>
      <c r="DJ75" s="459">
        <f t="shared" si="96"/>
        <v>0</v>
      </c>
      <c r="DK75" s="461">
        <f t="shared" si="96"/>
        <v>0</v>
      </c>
      <c r="DL75" s="582">
        <f t="shared" si="96"/>
        <v>0</v>
      </c>
      <c r="DM75" s="113">
        <f t="shared" si="96"/>
        <v>0</v>
      </c>
      <c r="DN75" s="113">
        <f t="shared" si="96"/>
        <v>0</v>
      </c>
      <c r="DO75" s="113">
        <f t="shared" si="96"/>
        <v>0</v>
      </c>
      <c r="DP75" s="460">
        <f t="shared" si="96"/>
        <v>0</v>
      </c>
      <c r="DQ75" s="582">
        <f t="shared" si="96"/>
        <v>1</v>
      </c>
      <c r="DR75" s="113">
        <f t="shared" si="96"/>
        <v>1</v>
      </c>
      <c r="DS75" s="113">
        <f t="shared" si="96"/>
        <v>0</v>
      </c>
      <c r="DT75" s="113">
        <f t="shared" si="96"/>
        <v>0</v>
      </c>
      <c r="DU75" s="459">
        <f t="shared" si="96"/>
        <v>0</v>
      </c>
      <c r="DW75" s="461">
        <f t="shared" si="77"/>
        <v>85</v>
      </c>
      <c r="DX75" s="582">
        <f t="shared" si="77"/>
        <v>64</v>
      </c>
      <c r="DY75" s="113">
        <f t="shared" si="77"/>
        <v>58</v>
      </c>
      <c r="DZ75" s="113">
        <f t="shared" si="77"/>
        <v>0</v>
      </c>
      <c r="EA75" s="113">
        <f t="shared" si="77"/>
        <v>6</v>
      </c>
      <c r="EB75" s="460">
        <f t="shared" si="77"/>
        <v>0</v>
      </c>
      <c r="EC75" s="582">
        <f t="shared" si="77"/>
        <v>22</v>
      </c>
      <c r="ED75" s="113">
        <f t="shared" si="77"/>
        <v>18</v>
      </c>
      <c r="EE75" s="113">
        <f t="shared" si="77"/>
        <v>0</v>
      </c>
      <c r="EF75" s="113">
        <f t="shared" si="76"/>
        <v>4</v>
      </c>
      <c r="EG75" s="459">
        <f t="shared" si="76"/>
        <v>0</v>
      </c>
      <c r="EH75" s="461">
        <f t="shared" si="91"/>
        <v>29</v>
      </c>
      <c r="EI75" s="582">
        <f t="shared" si="91"/>
        <v>24</v>
      </c>
      <c r="EJ75" s="113">
        <f t="shared" si="89"/>
        <v>23</v>
      </c>
      <c r="EK75" s="113">
        <f t="shared" si="89"/>
        <v>0</v>
      </c>
      <c r="EL75" s="113">
        <f t="shared" si="89"/>
        <v>1</v>
      </c>
      <c r="EM75" s="460">
        <f t="shared" si="89"/>
        <v>0</v>
      </c>
      <c r="EN75" s="582">
        <f t="shared" si="89"/>
        <v>5</v>
      </c>
      <c r="EO75" s="113">
        <f t="shared" si="89"/>
        <v>3</v>
      </c>
      <c r="EP75" s="113">
        <f t="shared" si="89"/>
        <v>0</v>
      </c>
      <c r="EQ75" s="113">
        <f t="shared" si="89"/>
        <v>2</v>
      </c>
      <c r="ER75" s="459">
        <f t="shared" si="89"/>
        <v>0</v>
      </c>
    </row>
    <row r="76" spans="1:148">
      <c r="A76" s="466" t="s">
        <v>409</v>
      </c>
      <c r="B76" s="581">
        <v>43709</v>
      </c>
      <c r="C76" s="470">
        <v>2019</v>
      </c>
      <c r="D76" s="461">
        <f t="shared" si="72"/>
        <v>219590</v>
      </c>
      <c r="E76" s="461">
        <f t="shared" si="93"/>
        <v>3149</v>
      </c>
      <c r="F76" s="582">
        <f t="shared" si="93"/>
        <v>2181</v>
      </c>
      <c r="G76" s="113">
        <f t="shared" si="93"/>
        <v>1844</v>
      </c>
      <c r="H76" s="113">
        <f t="shared" si="93"/>
        <v>0</v>
      </c>
      <c r="I76" s="113">
        <f t="shared" si="93"/>
        <v>337</v>
      </c>
      <c r="J76" s="460">
        <f t="shared" si="93"/>
        <v>0</v>
      </c>
      <c r="K76" s="582">
        <f t="shared" si="93"/>
        <v>968</v>
      </c>
      <c r="L76" s="113">
        <f t="shared" si="93"/>
        <v>644</v>
      </c>
      <c r="M76" s="113">
        <f t="shared" si="93"/>
        <v>0</v>
      </c>
      <c r="N76" s="113">
        <f t="shared" si="93"/>
        <v>306</v>
      </c>
      <c r="O76" s="459">
        <f t="shared" si="93"/>
        <v>18</v>
      </c>
      <c r="P76" s="461">
        <f t="shared" si="93"/>
        <v>6</v>
      </c>
      <c r="Q76" s="582">
        <f t="shared" si="93"/>
        <v>4</v>
      </c>
      <c r="R76" s="113">
        <f t="shared" si="93"/>
        <v>4</v>
      </c>
      <c r="S76" s="113">
        <f t="shared" si="93"/>
        <v>0</v>
      </c>
      <c r="T76" s="113">
        <f t="shared" si="93"/>
        <v>0</v>
      </c>
      <c r="U76" s="460">
        <f t="shared" si="92"/>
        <v>0</v>
      </c>
      <c r="V76" s="582">
        <f t="shared" si="92"/>
        <v>2</v>
      </c>
      <c r="W76" s="113">
        <f t="shared" si="92"/>
        <v>2</v>
      </c>
      <c r="X76" s="113">
        <f t="shared" si="92"/>
        <v>0</v>
      </c>
      <c r="Y76" s="113">
        <f t="shared" si="92"/>
        <v>0</v>
      </c>
      <c r="Z76" s="459">
        <f t="shared" si="92"/>
        <v>0</v>
      </c>
      <c r="AA76" s="461">
        <f t="shared" si="92"/>
        <v>1</v>
      </c>
      <c r="AB76" s="582">
        <f t="shared" si="92"/>
        <v>1</v>
      </c>
      <c r="AC76" s="113">
        <f t="shared" si="92"/>
        <v>0</v>
      </c>
      <c r="AD76" s="113">
        <f t="shared" si="92"/>
        <v>0</v>
      </c>
      <c r="AE76" s="113">
        <f t="shared" si="92"/>
        <v>1</v>
      </c>
      <c r="AF76" s="460">
        <f t="shared" si="92"/>
        <v>0</v>
      </c>
      <c r="AG76" s="582">
        <f t="shared" si="92"/>
        <v>0</v>
      </c>
      <c r="AH76" s="113">
        <f t="shared" si="92"/>
        <v>0</v>
      </c>
      <c r="AI76" s="113">
        <f t="shared" si="86"/>
        <v>0</v>
      </c>
      <c r="AJ76" s="113">
        <f t="shared" si="86"/>
        <v>0</v>
      </c>
      <c r="AK76" s="459">
        <f t="shared" si="86"/>
        <v>0</v>
      </c>
      <c r="AL76" s="461">
        <f t="shared" si="86"/>
        <v>29</v>
      </c>
      <c r="AM76" s="582">
        <f t="shared" si="86"/>
        <v>24</v>
      </c>
      <c r="AN76" s="113">
        <f t="shared" si="86"/>
        <v>23</v>
      </c>
      <c r="AO76" s="113">
        <f t="shared" si="86"/>
        <v>0</v>
      </c>
      <c r="AP76" s="113">
        <f t="shared" si="86"/>
        <v>1</v>
      </c>
      <c r="AQ76" s="460">
        <f t="shared" si="86"/>
        <v>0</v>
      </c>
      <c r="AR76" s="582">
        <f t="shared" si="86"/>
        <v>5</v>
      </c>
      <c r="AS76" s="113">
        <f t="shared" si="86"/>
        <v>3</v>
      </c>
      <c r="AT76" s="113">
        <f t="shared" si="86"/>
        <v>0</v>
      </c>
      <c r="AU76" s="113">
        <f t="shared" si="86"/>
        <v>2</v>
      </c>
      <c r="AV76" s="459">
        <f t="shared" si="86"/>
        <v>0</v>
      </c>
      <c r="AW76" s="461">
        <f t="shared" si="86"/>
        <v>17</v>
      </c>
      <c r="AX76" s="582">
        <f t="shared" si="97"/>
        <v>13</v>
      </c>
      <c r="AY76" s="113">
        <f t="shared" si="97"/>
        <v>10</v>
      </c>
      <c r="AZ76" s="113">
        <f t="shared" si="97"/>
        <v>0</v>
      </c>
      <c r="BA76" s="113">
        <f t="shared" si="97"/>
        <v>3</v>
      </c>
      <c r="BB76" s="460">
        <f t="shared" si="97"/>
        <v>0</v>
      </c>
      <c r="BC76" s="582">
        <f t="shared" si="97"/>
        <v>4</v>
      </c>
      <c r="BD76" s="113">
        <f t="shared" si="97"/>
        <v>4</v>
      </c>
      <c r="BE76" s="113">
        <f t="shared" si="97"/>
        <v>0</v>
      </c>
      <c r="BF76" s="113">
        <f t="shared" si="97"/>
        <v>0</v>
      </c>
      <c r="BG76" s="459">
        <f t="shared" si="97"/>
        <v>0</v>
      </c>
      <c r="BH76" s="461">
        <f t="shared" si="97"/>
        <v>18</v>
      </c>
      <c r="BI76" s="582">
        <f t="shared" si="97"/>
        <v>16</v>
      </c>
      <c r="BJ76" s="113">
        <f t="shared" si="97"/>
        <v>16</v>
      </c>
      <c r="BK76" s="113">
        <f t="shared" si="97"/>
        <v>0</v>
      </c>
      <c r="BL76" s="113">
        <f t="shared" si="97"/>
        <v>0</v>
      </c>
      <c r="BM76" s="460">
        <f t="shared" si="97"/>
        <v>0</v>
      </c>
      <c r="BN76" s="582">
        <f t="shared" si="97"/>
        <v>2</v>
      </c>
      <c r="BO76" s="113">
        <f t="shared" si="97"/>
        <v>1</v>
      </c>
      <c r="BP76" s="113">
        <f t="shared" si="97"/>
        <v>0</v>
      </c>
      <c r="BQ76" s="113">
        <f t="shared" si="97"/>
        <v>1</v>
      </c>
      <c r="BR76" s="459">
        <f t="shared" si="97"/>
        <v>0</v>
      </c>
      <c r="BS76" s="461">
        <f t="shared" si="97"/>
        <v>35</v>
      </c>
      <c r="BT76" s="582">
        <f t="shared" si="97"/>
        <v>27</v>
      </c>
      <c r="BU76" s="113">
        <f t="shared" si="97"/>
        <v>25</v>
      </c>
      <c r="BV76" s="113">
        <f t="shared" si="97"/>
        <v>0</v>
      </c>
      <c r="BW76" s="113">
        <f t="shared" si="97"/>
        <v>2</v>
      </c>
      <c r="BX76" s="460">
        <f t="shared" si="97"/>
        <v>0</v>
      </c>
      <c r="BY76" s="582">
        <f t="shared" si="97"/>
        <v>8</v>
      </c>
      <c r="BZ76" s="113">
        <f t="shared" si="97"/>
        <v>6</v>
      </c>
      <c r="CA76" s="113">
        <f t="shared" si="97"/>
        <v>0</v>
      </c>
      <c r="CB76" s="113">
        <f t="shared" si="97"/>
        <v>2</v>
      </c>
      <c r="CC76" s="459">
        <f t="shared" si="97"/>
        <v>0</v>
      </c>
      <c r="CD76" s="461">
        <f t="shared" si="97"/>
        <v>3</v>
      </c>
      <c r="CE76" s="582">
        <f t="shared" si="97"/>
        <v>1</v>
      </c>
      <c r="CF76" s="113">
        <f t="shared" si="97"/>
        <v>1</v>
      </c>
      <c r="CG76" s="113">
        <f t="shared" si="97"/>
        <v>0</v>
      </c>
      <c r="CH76" s="113">
        <f t="shared" si="97"/>
        <v>0</v>
      </c>
      <c r="CI76" s="460">
        <f t="shared" si="97"/>
        <v>0</v>
      </c>
      <c r="CJ76" s="582">
        <f t="shared" si="97"/>
        <v>2</v>
      </c>
      <c r="CK76" s="113">
        <f t="shared" si="97"/>
        <v>1</v>
      </c>
      <c r="CL76" s="113">
        <f t="shared" si="97"/>
        <v>0</v>
      </c>
      <c r="CM76" s="113">
        <f t="shared" si="97"/>
        <v>1</v>
      </c>
      <c r="CN76" s="459">
        <f t="shared" si="97"/>
        <v>0</v>
      </c>
      <c r="CO76" s="461">
        <f t="shared" si="97"/>
        <v>5</v>
      </c>
      <c r="CP76" s="582">
        <f t="shared" si="97"/>
        <v>2</v>
      </c>
      <c r="CQ76" s="113">
        <f t="shared" si="97"/>
        <v>2</v>
      </c>
      <c r="CR76" s="113">
        <f t="shared" si="97"/>
        <v>0</v>
      </c>
      <c r="CS76" s="113">
        <f t="shared" si="97"/>
        <v>0</v>
      </c>
      <c r="CT76" s="460">
        <f t="shared" si="97"/>
        <v>0</v>
      </c>
      <c r="CU76" s="582">
        <f t="shared" si="97"/>
        <v>3</v>
      </c>
      <c r="CV76" s="113">
        <f t="shared" si="97"/>
        <v>3</v>
      </c>
      <c r="CW76" s="113">
        <f t="shared" si="97"/>
        <v>0</v>
      </c>
      <c r="CX76" s="113">
        <f t="shared" si="97"/>
        <v>0</v>
      </c>
      <c r="CY76" s="459">
        <f t="shared" si="97"/>
        <v>0</v>
      </c>
      <c r="CZ76" s="461">
        <f t="shared" si="97"/>
        <v>0</v>
      </c>
      <c r="DA76" s="582">
        <f t="shared" si="97"/>
        <v>0</v>
      </c>
      <c r="DB76" s="113">
        <f t="shared" si="97"/>
        <v>0</v>
      </c>
      <c r="DC76" s="113">
        <f t="shared" si="97"/>
        <v>0</v>
      </c>
      <c r="DD76" s="113">
        <f t="shared" si="97"/>
        <v>0</v>
      </c>
      <c r="DE76" s="460">
        <f t="shared" si="97"/>
        <v>0</v>
      </c>
      <c r="DF76" s="582">
        <f t="shared" si="97"/>
        <v>0</v>
      </c>
      <c r="DG76" s="113">
        <f t="shared" si="97"/>
        <v>0</v>
      </c>
      <c r="DH76" s="113">
        <f t="shared" si="97"/>
        <v>0</v>
      </c>
      <c r="DI76" s="113">
        <f t="shared" si="97"/>
        <v>0</v>
      </c>
      <c r="DJ76" s="459">
        <f t="shared" si="96"/>
        <v>0</v>
      </c>
      <c r="DK76" s="461">
        <f t="shared" si="96"/>
        <v>0</v>
      </c>
      <c r="DL76" s="582">
        <f t="shared" si="96"/>
        <v>0</v>
      </c>
      <c r="DM76" s="113">
        <f t="shared" si="96"/>
        <v>0</v>
      </c>
      <c r="DN76" s="113">
        <f t="shared" si="96"/>
        <v>0</v>
      </c>
      <c r="DO76" s="113">
        <f t="shared" si="96"/>
        <v>0</v>
      </c>
      <c r="DP76" s="460">
        <f t="shared" si="96"/>
        <v>0</v>
      </c>
      <c r="DQ76" s="582">
        <f t="shared" si="96"/>
        <v>1</v>
      </c>
      <c r="DR76" s="113">
        <f t="shared" si="96"/>
        <v>1</v>
      </c>
      <c r="DS76" s="113">
        <f t="shared" si="96"/>
        <v>0</v>
      </c>
      <c r="DT76" s="113">
        <f t="shared" si="96"/>
        <v>0</v>
      </c>
      <c r="DU76" s="459">
        <f t="shared" si="96"/>
        <v>0</v>
      </c>
      <c r="DW76" s="461">
        <f t="shared" si="77"/>
        <v>85</v>
      </c>
      <c r="DX76" s="582">
        <f t="shared" si="77"/>
        <v>64</v>
      </c>
      <c r="DY76" s="113">
        <f t="shared" si="77"/>
        <v>58</v>
      </c>
      <c r="DZ76" s="113">
        <f t="shared" si="77"/>
        <v>0</v>
      </c>
      <c r="EA76" s="113">
        <f t="shared" si="77"/>
        <v>6</v>
      </c>
      <c r="EB76" s="460">
        <f t="shared" si="77"/>
        <v>0</v>
      </c>
      <c r="EC76" s="582">
        <f t="shared" si="77"/>
        <v>22</v>
      </c>
      <c r="ED76" s="113">
        <f t="shared" si="77"/>
        <v>18</v>
      </c>
      <c r="EE76" s="113">
        <f t="shared" si="77"/>
        <v>0</v>
      </c>
      <c r="EF76" s="113">
        <f t="shared" si="76"/>
        <v>4</v>
      </c>
      <c r="EG76" s="459">
        <f t="shared" si="76"/>
        <v>0</v>
      </c>
      <c r="EH76" s="461">
        <f t="shared" si="91"/>
        <v>29</v>
      </c>
      <c r="EI76" s="582">
        <f t="shared" si="91"/>
        <v>24</v>
      </c>
      <c r="EJ76" s="113">
        <f t="shared" si="89"/>
        <v>23</v>
      </c>
      <c r="EK76" s="113">
        <f t="shared" si="89"/>
        <v>0</v>
      </c>
      <c r="EL76" s="113">
        <f t="shared" si="89"/>
        <v>1</v>
      </c>
      <c r="EM76" s="460">
        <f t="shared" si="89"/>
        <v>0</v>
      </c>
      <c r="EN76" s="582">
        <f t="shared" si="89"/>
        <v>5</v>
      </c>
      <c r="EO76" s="113">
        <f t="shared" si="89"/>
        <v>3</v>
      </c>
      <c r="EP76" s="113">
        <f t="shared" si="89"/>
        <v>0</v>
      </c>
      <c r="EQ76" s="113">
        <f t="shared" si="89"/>
        <v>2</v>
      </c>
      <c r="ER76" s="459">
        <f t="shared" si="89"/>
        <v>0</v>
      </c>
    </row>
    <row r="77" spans="1:148">
      <c r="A77" s="466" t="s">
        <v>410</v>
      </c>
      <c r="B77" s="581">
        <v>43739</v>
      </c>
      <c r="C77" s="470">
        <v>2019</v>
      </c>
      <c r="D77" s="461">
        <f t="shared" si="72"/>
        <v>184737</v>
      </c>
      <c r="E77" s="461">
        <f t="shared" si="93"/>
        <v>2278</v>
      </c>
      <c r="F77" s="582">
        <f t="shared" si="93"/>
        <v>1539</v>
      </c>
      <c r="G77" s="113">
        <f t="shared" si="93"/>
        <v>1194</v>
      </c>
      <c r="H77" s="113">
        <f t="shared" si="93"/>
        <v>0</v>
      </c>
      <c r="I77" s="113">
        <f t="shared" si="93"/>
        <v>345</v>
      </c>
      <c r="J77" s="460">
        <f t="shared" si="93"/>
        <v>0</v>
      </c>
      <c r="K77" s="582">
        <f t="shared" si="93"/>
        <v>739</v>
      </c>
      <c r="L77" s="113">
        <f t="shared" si="93"/>
        <v>442</v>
      </c>
      <c r="M77" s="113">
        <f t="shared" si="93"/>
        <v>0</v>
      </c>
      <c r="N77" s="113">
        <f t="shared" si="93"/>
        <v>284</v>
      </c>
      <c r="O77" s="459">
        <f t="shared" si="93"/>
        <v>13</v>
      </c>
      <c r="P77" s="461">
        <f t="shared" si="93"/>
        <v>7</v>
      </c>
      <c r="Q77" s="582">
        <f t="shared" si="93"/>
        <v>6</v>
      </c>
      <c r="R77" s="113">
        <f t="shared" si="93"/>
        <v>4</v>
      </c>
      <c r="S77" s="113">
        <f t="shared" si="93"/>
        <v>0</v>
      </c>
      <c r="T77" s="113">
        <f t="shared" si="93"/>
        <v>2</v>
      </c>
      <c r="U77" s="460">
        <f t="shared" si="92"/>
        <v>0</v>
      </c>
      <c r="V77" s="582">
        <f t="shared" si="92"/>
        <v>1</v>
      </c>
      <c r="W77" s="113">
        <f t="shared" si="92"/>
        <v>0</v>
      </c>
      <c r="X77" s="113">
        <f t="shared" si="92"/>
        <v>0</v>
      </c>
      <c r="Y77" s="113">
        <f t="shared" si="92"/>
        <v>1</v>
      </c>
      <c r="Z77" s="459">
        <f t="shared" si="92"/>
        <v>0</v>
      </c>
      <c r="AA77" s="461">
        <f t="shared" si="92"/>
        <v>0</v>
      </c>
      <c r="AB77" s="582">
        <f t="shared" si="92"/>
        <v>0</v>
      </c>
      <c r="AC77" s="113">
        <f t="shared" si="92"/>
        <v>0</v>
      </c>
      <c r="AD77" s="113">
        <f t="shared" si="92"/>
        <v>0</v>
      </c>
      <c r="AE77" s="113">
        <f t="shared" si="92"/>
        <v>0</v>
      </c>
      <c r="AF77" s="460">
        <f t="shared" si="92"/>
        <v>0</v>
      </c>
      <c r="AG77" s="582">
        <f t="shared" si="92"/>
        <v>0</v>
      </c>
      <c r="AH77" s="113">
        <f t="shared" si="92"/>
        <v>0</v>
      </c>
      <c r="AI77" s="113">
        <f t="shared" si="86"/>
        <v>0</v>
      </c>
      <c r="AJ77" s="113">
        <f t="shared" si="86"/>
        <v>0</v>
      </c>
      <c r="AK77" s="459">
        <f t="shared" si="86"/>
        <v>0</v>
      </c>
      <c r="AL77" s="461">
        <f t="shared" si="86"/>
        <v>29</v>
      </c>
      <c r="AM77" s="582">
        <f t="shared" si="86"/>
        <v>21</v>
      </c>
      <c r="AN77" s="113">
        <f t="shared" si="86"/>
        <v>18</v>
      </c>
      <c r="AO77" s="113">
        <f t="shared" si="86"/>
        <v>0</v>
      </c>
      <c r="AP77" s="113">
        <f t="shared" si="86"/>
        <v>3</v>
      </c>
      <c r="AQ77" s="460">
        <f t="shared" si="86"/>
        <v>0</v>
      </c>
      <c r="AR77" s="582">
        <f t="shared" si="86"/>
        <v>8</v>
      </c>
      <c r="AS77" s="113">
        <f t="shared" si="86"/>
        <v>6</v>
      </c>
      <c r="AT77" s="113">
        <f t="shared" si="86"/>
        <v>0</v>
      </c>
      <c r="AU77" s="113">
        <f t="shared" si="86"/>
        <v>2</v>
      </c>
      <c r="AV77" s="459">
        <f t="shared" si="86"/>
        <v>0</v>
      </c>
      <c r="AW77" s="461">
        <f t="shared" si="86"/>
        <v>10</v>
      </c>
      <c r="AX77" s="582">
        <f t="shared" si="97"/>
        <v>8</v>
      </c>
      <c r="AY77" s="113">
        <f t="shared" si="97"/>
        <v>7</v>
      </c>
      <c r="AZ77" s="113">
        <f t="shared" si="97"/>
        <v>0</v>
      </c>
      <c r="BA77" s="113">
        <f t="shared" si="97"/>
        <v>1</v>
      </c>
      <c r="BB77" s="460">
        <f t="shared" si="97"/>
        <v>0</v>
      </c>
      <c r="BC77" s="582">
        <f t="shared" si="97"/>
        <v>2</v>
      </c>
      <c r="BD77" s="113">
        <f t="shared" si="97"/>
        <v>1</v>
      </c>
      <c r="BE77" s="113">
        <f t="shared" si="97"/>
        <v>0</v>
      </c>
      <c r="BF77" s="113">
        <f t="shared" si="97"/>
        <v>1</v>
      </c>
      <c r="BG77" s="459">
        <f t="shared" si="97"/>
        <v>0</v>
      </c>
      <c r="BH77" s="461">
        <f t="shared" si="97"/>
        <v>21</v>
      </c>
      <c r="BI77" s="582">
        <f t="shared" si="97"/>
        <v>18</v>
      </c>
      <c r="BJ77" s="113">
        <f t="shared" si="97"/>
        <v>13</v>
      </c>
      <c r="BK77" s="113">
        <f t="shared" si="97"/>
        <v>0</v>
      </c>
      <c r="BL77" s="113">
        <f t="shared" si="97"/>
        <v>5</v>
      </c>
      <c r="BM77" s="460">
        <f t="shared" si="97"/>
        <v>0</v>
      </c>
      <c r="BN77" s="582">
        <f t="shared" si="97"/>
        <v>3</v>
      </c>
      <c r="BO77" s="113">
        <f t="shared" si="97"/>
        <v>2</v>
      </c>
      <c r="BP77" s="113">
        <f t="shared" si="97"/>
        <v>0</v>
      </c>
      <c r="BQ77" s="113">
        <f t="shared" si="97"/>
        <v>1</v>
      </c>
      <c r="BR77" s="459">
        <f t="shared" si="97"/>
        <v>0</v>
      </c>
      <c r="BS77" s="461">
        <f t="shared" si="97"/>
        <v>32</v>
      </c>
      <c r="BT77" s="582">
        <f t="shared" si="97"/>
        <v>25</v>
      </c>
      <c r="BU77" s="113">
        <f t="shared" si="97"/>
        <v>12</v>
      </c>
      <c r="BV77" s="113">
        <f t="shared" si="97"/>
        <v>0</v>
      </c>
      <c r="BW77" s="113">
        <f t="shared" si="97"/>
        <v>13</v>
      </c>
      <c r="BX77" s="460">
        <f t="shared" si="97"/>
        <v>0</v>
      </c>
      <c r="BY77" s="582">
        <f t="shared" si="97"/>
        <v>7</v>
      </c>
      <c r="BZ77" s="113">
        <f t="shared" si="97"/>
        <v>5</v>
      </c>
      <c r="CA77" s="113">
        <f t="shared" si="97"/>
        <v>0</v>
      </c>
      <c r="CB77" s="113">
        <f t="shared" si="97"/>
        <v>2</v>
      </c>
      <c r="CC77" s="459">
        <f t="shared" si="97"/>
        <v>0</v>
      </c>
      <c r="CD77" s="461">
        <f t="shared" si="97"/>
        <v>6</v>
      </c>
      <c r="CE77" s="582">
        <f t="shared" si="97"/>
        <v>4</v>
      </c>
      <c r="CF77" s="113">
        <f t="shared" si="97"/>
        <v>3</v>
      </c>
      <c r="CG77" s="113">
        <f t="shared" si="97"/>
        <v>0</v>
      </c>
      <c r="CH77" s="113">
        <f t="shared" si="97"/>
        <v>1</v>
      </c>
      <c r="CI77" s="460">
        <f t="shared" si="97"/>
        <v>0</v>
      </c>
      <c r="CJ77" s="582">
        <f t="shared" si="97"/>
        <v>2</v>
      </c>
      <c r="CK77" s="113">
        <f t="shared" si="97"/>
        <v>2</v>
      </c>
      <c r="CL77" s="113">
        <f t="shared" si="97"/>
        <v>0</v>
      </c>
      <c r="CM77" s="113">
        <f t="shared" si="97"/>
        <v>0</v>
      </c>
      <c r="CN77" s="459">
        <f t="shared" si="97"/>
        <v>0</v>
      </c>
      <c r="CO77" s="461">
        <f t="shared" si="97"/>
        <v>5</v>
      </c>
      <c r="CP77" s="582">
        <f t="shared" si="97"/>
        <v>5</v>
      </c>
      <c r="CQ77" s="113">
        <f t="shared" si="97"/>
        <v>5</v>
      </c>
      <c r="CR77" s="113">
        <f t="shared" si="97"/>
        <v>0</v>
      </c>
      <c r="CS77" s="113">
        <f t="shared" si="97"/>
        <v>0</v>
      </c>
      <c r="CT77" s="460">
        <f t="shared" si="97"/>
        <v>0</v>
      </c>
      <c r="CU77" s="582">
        <f t="shared" si="97"/>
        <v>0</v>
      </c>
      <c r="CV77" s="113">
        <f t="shared" si="97"/>
        <v>0</v>
      </c>
      <c r="CW77" s="113">
        <f t="shared" si="97"/>
        <v>0</v>
      </c>
      <c r="CX77" s="113">
        <f t="shared" si="97"/>
        <v>0</v>
      </c>
      <c r="CY77" s="459">
        <f t="shared" si="97"/>
        <v>0</v>
      </c>
      <c r="CZ77" s="461">
        <f t="shared" si="97"/>
        <v>0</v>
      </c>
      <c r="DA77" s="582">
        <f t="shared" si="97"/>
        <v>0</v>
      </c>
      <c r="DB77" s="113">
        <f t="shared" si="97"/>
        <v>0</v>
      </c>
      <c r="DC77" s="113">
        <f t="shared" si="97"/>
        <v>0</v>
      </c>
      <c r="DD77" s="113">
        <f t="shared" si="97"/>
        <v>0</v>
      </c>
      <c r="DE77" s="460">
        <f t="shared" si="97"/>
        <v>0</v>
      </c>
      <c r="DF77" s="582">
        <f t="shared" si="97"/>
        <v>0</v>
      </c>
      <c r="DG77" s="113">
        <f t="shared" si="97"/>
        <v>0</v>
      </c>
      <c r="DH77" s="113">
        <f t="shared" si="97"/>
        <v>0</v>
      </c>
      <c r="DI77" s="113">
        <f t="shared" ref="DI77:DU90" si="98">SUMIFS(DI$5:DI$36,$B$5:$B$36,$A77)</f>
        <v>0</v>
      </c>
      <c r="DJ77" s="459">
        <f t="shared" si="98"/>
        <v>0</v>
      </c>
      <c r="DK77" s="461">
        <f t="shared" si="98"/>
        <v>0</v>
      </c>
      <c r="DL77" s="582">
        <f t="shared" si="98"/>
        <v>0</v>
      </c>
      <c r="DM77" s="113">
        <f t="shared" si="98"/>
        <v>0</v>
      </c>
      <c r="DN77" s="113">
        <f t="shared" si="98"/>
        <v>0</v>
      </c>
      <c r="DO77" s="113">
        <f t="shared" si="98"/>
        <v>0</v>
      </c>
      <c r="DP77" s="460">
        <f t="shared" si="98"/>
        <v>0</v>
      </c>
      <c r="DQ77" s="582">
        <f t="shared" si="98"/>
        <v>0</v>
      </c>
      <c r="DR77" s="113">
        <f t="shared" si="98"/>
        <v>0</v>
      </c>
      <c r="DS77" s="113">
        <f t="shared" si="98"/>
        <v>0</v>
      </c>
      <c r="DT77" s="113">
        <f t="shared" si="98"/>
        <v>0</v>
      </c>
      <c r="DU77" s="459">
        <f t="shared" si="98"/>
        <v>0</v>
      </c>
      <c r="DW77" s="461">
        <f t="shared" si="77"/>
        <v>81</v>
      </c>
      <c r="DX77" s="582">
        <f t="shared" si="77"/>
        <v>66</v>
      </c>
      <c r="DY77" s="113">
        <f t="shared" si="77"/>
        <v>44</v>
      </c>
      <c r="DZ77" s="113">
        <f t="shared" si="77"/>
        <v>0</v>
      </c>
      <c r="EA77" s="113">
        <f t="shared" si="77"/>
        <v>22</v>
      </c>
      <c r="EB77" s="460">
        <f t="shared" si="77"/>
        <v>0</v>
      </c>
      <c r="EC77" s="582">
        <f t="shared" si="77"/>
        <v>15</v>
      </c>
      <c r="ED77" s="113">
        <f t="shared" si="77"/>
        <v>10</v>
      </c>
      <c r="EE77" s="113">
        <f t="shared" si="77"/>
        <v>0</v>
      </c>
      <c r="EF77" s="113">
        <f t="shared" si="76"/>
        <v>5</v>
      </c>
      <c r="EG77" s="459">
        <f t="shared" si="76"/>
        <v>0</v>
      </c>
      <c r="EH77" s="461">
        <f t="shared" si="91"/>
        <v>29</v>
      </c>
      <c r="EI77" s="582">
        <f t="shared" si="91"/>
        <v>21</v>
      </c>
      <c r="EJ77" s="113">
        <f t="shared" si="89"/>
        <v>18</v>
      </c>
      <c r="EK77" s="113">
        <f t="shared" si="89"/>
        <v>0</v>
      </c>
      <c r="EL77" s="113">
        <f t="shared" si="89"/>
        <v>3</v>
      </c>
      <c r="EM77" s="460">
        <f t="shared" si="89"/>
        <v>0</v>
      </c>
      <c r="EN77" s="582">
        <f t="shared" si="89"/>
        <v>8</v>
      </c>
      <c r="EO77" s="113">
        <f t="shared" si="89"/>
        <v>6</v>
      </c>
      <c r="EP77" s="113">
        <f t="shared" si="89"/>
        <v>0</v>
      </c>
      <c r="EQ77" s="113">
        <f t="shared" si="89"/>
        <v>2</v>
      </c>
      <c r="ER77" s="459">
        <f t="shared" si="89"/>
        <v>0</v>
      </c>
    </row>
    <row r="78" spans="1:148">
      <c r="A78" s="466" t="s">
        <v>410</v>
      </c>
      <c r="B78" s="581">
        <v>43770</v>
      </c>
      <c r="C78" s="470">
        <v>2019</v>
      </c>
      <c r="D78" s="461">
        <f t="shared" si="72"/>
        <v>184737</v>
      </c>
      <c r="E78" s="461">
        <f t="shared" si="93"/>
        <v>2278</v>
      </c>
      <c r="F78" s="582">
        <f t="shared" si="93"/>
        <v>1539</v>
      </c>
      <c r="G78" s="113">
        <f t="shared" si="93"/>
        <v>1194</v>
      </c>
      <c r="H78" s="113">
        <f t="shared" si="93"/>
        <v>0</v>
      </c>
      <c r="I78" s="113">
        <f t="shared" si="93"/>
        <v>345</v>
      </c>
      <c r="J78" s="460">
        <f t="shared" si="93"/>
        <v>0</v>
      </c>
      <c r="K78" s="582">
        <f t="shared" si="93"/>
        <v>739</v>
      </c>
      <c r="L78" s="113">
        <f t="shared" si="93"/>
        <v>442</v>
      </c>
      <c r="M78" s="113">
        <f t="shared" si="93"/>
        <v>0</v>
      </c>
      <c r="N78" s="113">
        <f t="shared" si="93"/>
        <v>284</v>
      </c>
      <c r="O78" s="459">
        <f t="shared" si="93"/>
        <v>13</v>
      </c>
      <c r="P78" s="461">
        <f t="shared" si="93"/>
        <v>7</v>
      </c>
      <c r="Q78" s="582">
        <f t="shared" si="93"/>
        <v>6</v>
      </c>
      <c r="R78" s="113">
        <f t="shared" si="93"/>
        <v>4</v>
      </c>
      <c r="S78" s="113">
        <f t="shared" si="93"/>
        <v>0</v>
      </c>
      <c r="T78" s="113">
        <f t="shared" si="93"/>
        <v>2</v>
      </c>
      <c r="U78" s="460">
        <f t="shared" si="92"/>
        <v>0</v>
      </c>
      <c r="V78" s="582">
        <f t="shared" si="92"/>
        <v>1</v>
      </c>
      <c r="W78" s="113">
        <f t="shared" si="92"/>
        <v>0</v>
      </c>
      <c r="X78" s="113">
        <f t="shared" si="92"/>
        <v>0</v>
      </c>
      <c r="Y78" s="113">
        <f t="shared" si="92"/>
        <v>1</v>
      </c>
      <c r="Z78" s="459">
        <f t="shared" si="92"/>
        <v>0</v>
      </c>
      <c r="AA78" s="461">
        <f t="shared" si="92"/>
        <v>0</v>
      </c>
      <c r="AB78" s="582">
        <f t="shared" si="92"/>
        <v>0</v>
      </c>
      <c r="AC78" s="113">
        <f t="shared" si="92"/>
        <v>0</v>
      </c>
      <c r="AD78" s="113">
        <f t="shared" si="92"/>
        <v>0</v>
      </c>
      <c r="AE78" s="113">
        <f t="shared" si="92"/>
        <v>0</v>
      </c>
      <c r="AF78" s="460">
        <f t="shared" si="92"/>
        <v>0</v>
      </c>
      <c r="AG78" s="582">
        <f t="shared" si="92"/>
        <v>0</v>
      </c>
      <c r="AH78" s="113">
        <f t="shared" si="92"/>
        <v>0</v>
      </c>
      <c r="AI78" s="113">
        <f t="shared" si="86"/>
        <v>0</v>
      </c>
      <c r="AJ78" s="113">
        <f t="shared" si="86"/>
        <v>0</v>
      </c>
      <c r="AK78" s="459">
        <f t="shared" si="86"/>
        <v>0</v>
      </c>
      <c r="AL78" s="461">
        <f t="shared" si="86"/>
        <v>29</v>
      </c>
      <c r="AM78" s="582">
        <f t="shared" si="86"/>
        <v>21</v>
      </c>
      <c r="AN78" s="113">
        <f t="shared" si="86"/>
        <v>18</v>
      </c>
      <c r="AO78" s="113">
        <f t="shared" si="86"/>
        <v>0</v>
      </c>
      <c r="AP78" s="113">
        <f t="shared" si="86"/>
        <v>3</v>
      </c>
      <c r="AQ78" s="460">
        <f t="shared" si="86"/>
        <v>0</v>
      </c>
      <c r="AR78" s="582">
        <f t="shared" si="86"/>
        <v>8</v>
      </c>
      <c r="AS78" s="113">
        <f t="shared" si="86"/>
        <v>6</v>
      </c>
      <c r="AT78" s="113">
        <f t="shared" si="86"/>
        <v>0</v>
      </c>
      <c r="AU78" s="113">
        <f t="shared" si="86"/>
        <v>2</v>
      </c>
      <c r="AV78" s="459">
        <f t="shared" si="86"/>
        <v>0</v>
      </c>
      <c r="AW78" s="461">
        <f t="shared" si="86"/>
        <v>10</v>
      </c>
      <c r="AX78" s="582">
        <f t="shared" ref="AX78:DI86" si="99">SUMIFS(AX$5:AX$36,$B$5:$B$36,$A78)</f>
        <v>8</v>
      </c>
      <c r="AY78" s="113">
        <f t="shared" si="99"/>
        <v>7</v>
      </c>
      <c r="AZ78" s="113">
        <f t="shared" si="99"/>
        <v>0</v>
      </c>
      <c r="BA78" s="113">
        <f t="shared" si="99"/>
        <v>1</v>
      </c>
      <c r="BB78" s="460">
        <f t="shared" si="99"/>
        <v>0</v>
      </c>
      <c r="BC78" s="582">
        <f t="shared" si="99"/>
        <v>2</v>
      </c>
      <c r="BD78" s="113">
        <f t="shared" si="99"/>
        <v>1</v>
      </c>
      <c r="BE78" s="113">
        <f t="shared" si="99"/>
        <v>0</v>
      </c>
      <c r="BF78" s="113">
        <f t="shared" si="99"/>
        <v>1</v>
      </c>
      <c r="BG78" s="459">
        <f t="shared" si="99"/>
        <v>0</v>
      </c>
      <c r="BH78" s="461">
        <f t="shared" si="99"/>
        <v>21</v>
      </c>
      <c r="BI78" s="582">
        <f t="shared" si="99"/>
        <v>18</v>
      </c>
      <c r="BJ78" s="113">
        <f t="shared" si="99"/>
        <v>13</v>
      </c>
      <c r="BK78" s="113">
        <f t="shared" si="99"/>
        <v>0</v>
      </c>
      <c r="BL78" s="113">
        <f t="shared" si="99"/>
        <v>5</v>
      </c>
      <c r="BM78" s="460">
        <f t="shared" si="99"/>
        <v>0</v>
      </c>
      <c r="BN78" s="582">
        <f t="shared" si="99"/>
        <v>3</v>
      </c>
      <c r="BO78" s="113">
        <f t="shared" si="99"/>
        <v>2</v>
      </c>
      <c r="BP78" s="113">
        <f t="shared" si="99"/>
        <v>0</v>
      </c>
      <c r="BQ78" s="113">
        <f t="shared" si="99"/>
        <v>1</v>
      </c>
      <c r="BR78" s="459">
        <f t="shared" si="99"/>
        <v>0</v>
      </c>
      <c r="BS78" s="461">
        <f t="shared" si="99"/>
        <v>32</v>
      </c>
      <c r="BT78" s="582">
        <f t="shared" si="99"/>
        <v>25</v>
      </c>
      <c r="BU78" s="113">
        <f t="shared" si="99"/>
        <v>12</v>
      </c>
      <c r="BV78" s="113">
        <f t="shared" si="99"/>
        <v>0</v>
      </c>
      <c r="BW78" s="113">
        <f t="shared" si="99"/>
        <v>13</v>
      </c>
      <c r="BX78" s="460">
        <f t="shared" si="99"/>
        <v>0</v>
      </c>
      <c r="BY78" s="582">
        <f t="shared" si="99"/>
        <v>7</v>
      </c>
      <c r="BZ78" s="113">
        <f t="shared" si="99"/>
        <v>5</v>
      </c>
      <c r="CA78" s="113">
        <f t="shared" si="99"/>
        <v>0</v>
      </c>
      <c r="CB78" s="113">
        <f t="shared" si="99"/>
        <v>2</v>
      </c>
      <c r="CC78" s="459">
        <f t="shared" si="99"/>
        <v>0</v>
      </c>
      <c r="CD78" s="461">
        <f t="shared" si="99"/>
        <v>6</v>
      </c>
      <c r="CE78" s="582">
        <f t="shared" si="99"/>
        <v>4</v>
      </c>
      <c r="CF78" s="113">
        <f t="shared" si="99"/>
        <v>3</v>
      </c>
      <c r="CG78" s="113">
        <f t="shared" si="99"/>
        <v>0</v>
      </c>
      <c r="CH78" s="113">
        <f t="shared" si="99"/>
        <v>1</v>
      </c>
      <c r="CI78" s="460">
        <f t="shared" si="99"/>
        <v>0</v>
      </c>
      <c r="CJ78" s="582">
        <f t="shared" si="99"/>
        <v>2</v>
      </c>
      <c r="CK78" s="113">
        <f t="shared" si="99"/>
        <v>2</v>
      </c>
      <c r="CL78" s="113">
        <f t="shared" si="99"/>
        <v>0</v>
      </c>
      <c r="CM78" s="113">
        <f t="shared" si="99"/>
        <v>0</v>
      </c>
      <c r="CN78" s="459">
        <f t="shared" si="99"/>
        <v>0</v>
      </c>
      <c r="CO78" s="461">
        <f t="shared" si="99"/>
        <v>5</v>
      </c>
      <c r="CP78" s="582">
        <f t="shared" si="99"/>
        <v>5</v>
      </c>
      <c r="CQ78" s="113">
        <f t="shared" si="99"/>
        <v>5</v>
      </c>
      <c r="CR78" s="113">
        <f t="shared" si="99"/>
        <v>0</v>
      </c>
      <c r="CS78" s="113">
        <f t="shared" si="99"/>
        <v>0</v>
      </c>
      <c r="CT78" s="460">
        <f t="shared" si="99"/>
        <v>0</v>
      </c>
      <c r="CU78" s="582">
        <f t="shared" si="99"/>
        <v>0</v>
      </c>
      <c r="CV78" s="113">
        <f t="shared" si="99"/>
        <v>0</v>
      </c>
      <c r="CW78" s="113">
        <f t="shared" si="99"/>
        <v>0</v>
      </c>
      <c r="CX78" s="113">
        <f t="shared" si="99"/>
        <v>0</v>
      </c>
      <c r="CY78" s="459">
        <f t="shared" si="99"/>
        <v>0</v>
      </c>
      <c r="CZ78" s="461">
        <f t="shared" si="99"/>
        <v>0</v>
      </c>
      <c r="DA78" s="582">
        <f t="shared" si="99"/>
        <v>0</v>
      </c>
      <c r="DB78" s="113">
        <f t="shared" si="99"/>
        <v>0</v>
      </c>
      <c r="DC78" s="113">
        <f t="shared" si="99"/>
        <v>0</v>
      </c>
      <c r="DD78" s="113">
        <f t="shared" si="99"/>
        <v>0</v>
      </c>
      <c r="DE78" s="460">
        <f t="shared" si="99"/>
        <v>0</v>
      </c>
      <c r="DF78" s="582">
        <f t="shared" si="99"/>
        <v>0</v>
      </c>
      <c r="DG78" s="113">
        <f t="shared" si="99"/>
        <v>0</v>
      </c>
      <c r="DH78" s="113">
        <f t="shared" si="99"/>
        <v>0</v>
      </c>
      <c r="DI78" s="113">
        <f t="shared" si="99"/>
        <v>0</v>
      </c>
      <c r="DJ78" s="459">
        <f t="shared" si="98"/>
        <v>0</v>
      </c>
      <c r="DK78" s="461">
        <f t="shared" si="98"/>
        <v>0</v>
      </c>
      <c r="DL78" s="582">
        <f t="shared" si="98"/>
        <v>0</v>
      </c>
      <c r="DM78" s="113">
        <f t="shared" si="98"/>
        <v>0</v>
      </c>
      <c r="DN78" s="113">
        <f t="shared" si="98"/>
        <v>0</v>
      </c>
      <c r="DO78" s="113">
        <f t="shared" si="98"/>
        <v>0</v>
      </c>
      <c r="DP78" s="460">
        <f t="shared" si="98"/>
        <v>0</v>
      </c>
      <c r="DQ78" s="582">
        <f t="shared" si="98"/>
        <v>0</v>
      </c>
      <c r="DR78" s="113">
        <f t="shared" si="98"/>
        <v>0</v>
      </c>
      <c r="DS78" s="113">
        <f t="shared" si="98"/>
        <v>0</v>
      </c>
      <c r="DT78" s="113">
        <f t="shared" si="98"/>
        <v>0</v>
      </c>
      <c r="DU78" s="459">
        <f t="shared" si="98"/>
        <v>0</v>
      </c>
      <c r="DW78" s="461">
        <f t="shared" si="77"/>
        <v>81</v>
      </c>
      <c r="DX78" s="582">
        <f t="shared" si="77"/>
        <v>66</v>
      </c>
      <c r="DY78" s="113">
        <f t="shared" si="77"/>
        <v>44</v>
      </c>
      <c r="DZ78" s="113">
        <f t="shared" ref="DZ78:EG119" si="100">S78+AD78+AZ78+BK78+BV78+CG78+CR78+DC78+DN78</f>
        <v>0</v>
      </c>
      <c r="EA78" s="113">
        <f t="shared" si="100"/>
        <v>22</v>
      </c>
      <c r="EB78" s="460">
        <f t="shared" si="100"/>
        <v>0</v>
      </c>
      <c r="EC78" s="582">
        <f t="shared" si="100"/>
        <v>15</v>
      </c>
      <c r="ED78" s="113">
        <f t="shared" si="100"/>
        <v>10</v>
      </c>
      <c r="EE78" s="113">
        <f t="shared" si="100"/>
        <v>0</v>
      </c>
      <c r="EF78" s="113">
        <f t="shared" si="76"/>
        <v>5</v>
      </c>
      <c r="EG78" s="459">
        <f t="shared" si="76"/>
        <v>0</v>
      </c>
      <c r="EH78" s="461">
        <f t="shared" si="91"/>
        <v>29</v>
      </c>
      <c r="EI78" s="582">
        <f t="shared" si="91"/>
        <v>21</v>
      </c>
      <c r="EJ78" s="113">
        <f t="shared" si="89"/>
        <v>18</v>
      </c>
      <c r="EK78" s="113">
        <f t="shared" si="89"/>
        <v>0</v>
      </c>
      <c r="EL78" s="113">
        <f t="shared" si="89"/>
        <v>3</v>
      </c>
      <c r="EM78" s="460">
        <f t="shared" si="89"/>
        <v>0</v>
      </c>
      <c r="EN78" s="582">
        <f t="shared" si="89"/>
        <v>8</v>
      </c>
      <c r="EO78" s="113">
        <f t="shared" si="89"/>
        <v>6</v>
      </c>
      <c r="EP78" s="113">
        <f t="shared" si="89"/>
        <v>0</v>
      </c>
      <c r="EQ78" s="113">
        <f t="shared" si="89"/>
        <v>2</v>
      </c>
      <c r="ER78" s="459">
        <f t="shared" si="89"/>
        <v>0</v>
      </c>
    </row>
    <row r="79" spans="1:148">
      <c r="A79" s="466" t="s">
        <v>410</v>
      </c>
      <c r="B79" s="581">
        <v>43800</v>
      </c>
      <c r="C79" s="470">
        <v>2019</v>
      </c>
      <c r="D79" s="461">
        <f t="shared" si="72"/>
        <v>184737</v>
      </c>
      <c r="E79" s="461">
        <f t="shared" si="93"/>
        <v>2278</v>
      </c>
      <c r="F79" s="582">
        <f t="shared" si="93"/>
        <v>1539</v>
      </c>
      <c r="G79" s="113">
        <f t="shared" si="93"/>
        <v>1194</v>
      </c>
      <c r="H79" s="113">
        <f t="shared" si="93"/>
        <v>0</v>
      </c>
      <c r="I79" s="113">
        <f t="shared" si="93"/>
        <v>345</v>
      </c>
      <c r="J79" s="460">
        <f t="shared" si="93"/>
        <v>0</v>
      </c>
      <c r="K79" s="582">
        <f t="shared" si="93"/>
        <v>739</v>
      </c>
      <c r="L79" s="113">
        <f t="shared" si="93"/>
        <v>442</v>
      </c>
      <c r="M79" s="113">
        <f t="shared" si="93"/>
        <v>0</v>
      </c>
      <c r="N79" s="113">
        <f t="shared" si="93"/>
        <v>284</v>
      </c>
      <c r="O79" s="459">
        <f t="shared" si="93"/>
        <v>13</v>
      </c>
      <c r="P79" s="461">
        <f t="shared" si="93"/>
        <v>7</v>
      </c>
      <c r="Q79" s="582">
        <f t="shared" si="93"/>
        <v>6</v>
      </c>
      <c r="R79" s="113">
        <f t="shared" si="93"/>
        <v>4</v>
      </c>
      <c r="S79" s="113">
        <f t="shared" si="93"/>
        <v>0</v>
      </c>
      <c r="T79" s="113">
        <f t="shared" si="93"/>
        <v>2</v>
      </c>
      <c r="U79" s="460">
        <f t="shared" si="92"/>
        <v>0</v>
      </c>
      <c r="V79" s="582">
        <f t="shared" si="92"/>
        <v>1</v>
      </c>
      <c r="W79" s="113">
        <f t="shared" si="92"/>
        <v>0</v>
      </c>
      <c r="X79" s="113">
        <f t="shared" si="92"/>
        <v>0</v>
      </c>
      <c r="Y79" s="113">
        <f t="shared" si="92"/>
        <v>1</v>
      </c>
      <c r="Z79" s="459">
        <f t="shared" si="92"/>
        <v>0</v>
      </c>
      <c r="AA79" s="461">
        <f t="shared" si="92"/>
        <v>0</v>
      </c>
      <c r="AB79" s="582">
        <f t="shared" si="92"/>
        <v>0</v>
      </c>
      <c r="AC79" s="113">
        <f t="shared" si="92"/>
        <v>0</v>
      </c>
      <c r="AD79" s="113">
        <f t="shared" si="92"/>
        <v>0</v>
      </c>
      <c r="AE79" s="113">
        <f t="shared" si="92"/>
        <v>0</v>
      </c>
      <c r="AF79" s="460">
        <f t="shared" si="92"/>
        <v>0</v>
      </c>
      <c r="AG79" s="582">
        <f t="shared" si="92"/>
        <v>0</v>
      </c>
      <c r="AH79" s="113">
        <f t="shared" si="92"/>
        <v>0</v>
      </c>
      <c r="AI79" s="113">
        <f t="shared" si="86"/>
        <v>0</v>
      </c>
      <c r="AJ79" s="113">
        <f t="shared" si="86"/>
        <v>0</v>
      </c>
      <c r="AK79" s="459">
        <f t="shared" si="86"/>
        <v>0</v>
      </c>
      <c r="AL79" s="461">
        <f t="shared" ref="AL79:CW86" si="101">SUMIFS(AL$5:AL$36,$B$5:$B$36,$A79)</f>
        <v>29</v>
      </c>
      <c r="AM79" s="582">
        <f t="shared" si="101"/>
        <v>21</v>
      </c>
      <c r="AN79" s="113">
        <f t="shared" si="101"/>
        <v>18</v>
      </c>
      <c r="AO79" s="113">
        <f t="shared" si="101"/>
        <v>0</v>
      </c>
      <c r="AP79" s="113">
        <f t="shared" si="101"/>
        <v>3</v>
      </c>
      <c r="AQ79" s="460">
        <f t="shared" si="101"/>
        <v>0</v>
      </c>
      <c r="AR79" s="582">
        <f t="shared" si="101"/>
        <v>8</v>
      </c>
      <c r="AS79" s="113">
        <f t="shared" si="101"/>
        <v>6</v>
      </c>
      <c r="AT79" s="113">
        <f t="shared" si="101"/>
        <v>0</v>
      </c>
      <c r="AU79" s="113">
        <f t="shared" si="101"/>
        <v>2</v>
      </c>
      <c r="AV79" s="459">
        <f t="shared" si="101"/>
        <v>0</v>
      </c>
      <c r="AW79" s="461">
        <f t="shared" si="101"/>
        <v>10</v>
      </c>
      <c r="AX79" s="582">
        <f t="shared" si="101"/>
        <v>8</v>
      </c>
      <c r="AY79" s="113">
        <f t="shared" si="101"/>
        <v>7</v>
      </c>
      <c r="AZ79" s="113">
        <f t="shared" si="101"/>
        <v>0</v>
      </c>
      <c r="BA79" s="113">
        <f t="shared" si="101"/>
        <v>1</v>
      </c>
      <c r="BB79" s="460">
        <f t="shared" si="101"/>
        <v>0</v>
      </c>
      <c r="BC79" s="582">
        <f t="shared" si="101"/>
        <v>2</v>
      </c>
      <c r="BD79" s="113">
        <f t="shared" si="101"/>
        <v>1</v>
      </c>
      <c r="BE79" s="113">
        <f t="shared" si="101"/>
        <v>0</v>
      </c>
      <c r="BF79" s="113">
        <f t="shared" si="101"/>
        <v>1</v>
      </c>
      <c r="BG79" s="459">
        <f t="shared" si="101"/>
        <v>0</v>
      </c>
      <c r="BH79" s="461">
        <f t="shared" si="101"/>
        <v>21</v>
      </c>
      <c r="BI79" s="582">
        <f t="shared" si="101"/>
        <v>18</v>
      </c>
      <c r="BJ79" s="113">
        <f t="shared" si="101"/>
        <v>13</v>
      </c>
      <c r="BK79" s="113">
        <f t="shared" si="101"/>
        <v>0</v>
      </c>
      <c r="BL79" s="113">
        <f t="shared" si="101"/>
        <v>5</v>
      </c>
      <c r="BM79" s="460">
        <f t="shared" si="101"/>
        <v>0</v>
      </c>
      <c r="BN79" s="582">
        <f t="shared" si="101"/>
        <v>3</v>
      </c>
      <c r="BO79" s="113">
        <f t="shared" si="101"/>
        <v>2</v>
      </c>
      <c r="BP79" s="113">
        <f t="shared" si="101"/>
        <v>0</v>
      </c>
      <c r="BQ79" s="113">
        <f t="shared" si="101"/>
        <v>1</v>
      </c>
      <c r="BR79" s="459">
        <f t="shared" si="101"/>
        <v>0</v>
      </c>
      <c r="BS79" s="461">
        <f t="shared" si="101"/>
        <v>32</v>
      </c>
      <c r="BT79" s="582">
        <f t="shared" si="101"/>
        <v>25</v>
      </c>
      <c r="BU79" s="113">
        <f t="shared" si="101"/>
        <v>12</v>
      </c>
      <c r="BV79" s="113">
        <f t="shared" si="101"/>
        <v>0</v>
      </c>
      <c r="BW79" s="113">
        <f t="shared" si="101"/>
        <v>13</v>
      </c>
      <c r="BX79" s="460">
        <f t="shared" si="101"/>
        <v>0</v>
      </c>
      <c r="BY79" s="582">
        <f t="shared" si="101"/>
        <v>7</v>
      </c>
      <c r="BZ79" s="113">
        <f t="shared" si="101"/>
        <v>5</v>
      </c>
      <c r="CA79" s="113">
        <f t="shared" si="101"/>
        <v>0</v>
      </c>
      <c r="CB79" s="113">
        <f t="shared" si="101"/>
        <v>2</v>
      </c>
      <c r="CC79" s="459">
        <f t="shared" si="101"/>
        <v>0</v>
      </c>
      <c r="CD79" s="461">
        <f t="shared" si="101"/>
        <v>6</v>
      </c>
      <c r="CE79" s="582">
        <f t="shared" si="101"/>
        <v>4</v>
      </c>
      <c r="CF79" s="113">
        <f t="shared" si="101"/>
        <v>3</v>
      </c>
      <c r="CG79" s="113">
        <f t="shared" si="101"/>
        <v>0</v>
      </c>
      <c r="CH79" s="113">
        <f t="shared" si="101"/>
        <v>1</v>
      </c>
      <c r="CI79" s="460">
        <f t="shared" si="101"/>
        <v>0</v>
      </c>
      <c r="CJ79" s="582">
        <f t="shared" si="101"/>
        <v>2</v>
      </c>
      <c r="CK79" s="113">
        <f t="shared" si="101"/>
        <v>2</v>
      </c>
      <c r="CL79" s="113">
        <f t="shared" si="101"/>
        <v>0</v>
      </c>
      <c r="CM79" s="113">
        <f t="shared" si="101"/>
        <v>0</v>
      </c>
      <c r="CN79" s="459">
        <f t="shared" si="101"/>
        <v>0</v>
      </c>
      <c r="CO79" s="461">
        <f t="shared" si="101"/>
        <v>5</v>
      </c>
      <c r="CP79" s="582">
        <f t="shared" si="101"/>
        <v>5</v>
      </c>
      <c r="CQ79" s="113">
        <f t="shared" si="101"/>
        <v>5</v>
      </c>
      <c r="CR79" s="113">
        <f t="shared" si="101"/>
        <v>0</v>
      </c>
      <c r="CS79" s="113">
        <f t="shared" si="101"/>
        <v>0</v>
      </c>
      <c r="CT79" s="460">
        <f t="shared" si="99"/>
        <v>0</v>
      </c>
      <c r="CU79" s="582">
        <f t="shared" si="99"/>
        <v>0</v>
      </c>
      <c r="CV79" s="113">
        <f t="shared" si="99"/>
        <v>0</v>
      </c>
      <c r="CW79" s="113">
        <f t="shared" si="99"/>
        <v>0</v>
      </c>
      <c r="CX79" s="113">
        <f t="shared" si="99"/>
        <v>0</v>
      </c>
      <c r="CY79" s="459">
        <f t="shared" si="99"/>
        <v>0</v>
      </c>
      <c r="CZ79" s="461">
        <f t="shared" si="99"/>
        <v>0</v>
      </c>
      <c r="DA79" s="582">
        <f t="shared" si="99"/>
        <v>0</v>
      </c>
      <c r="DB79" s="113">
        <f t="shared" si="99"/>
        <v>0</v>
      </c>
      <c r="DC79" s="113">
        <f t="shared" si="99"/>
        <v>0</v>
      </c>
      <c r="DD79" s="113">
        <f t="shared" si="99"/>
        <v>0</v>
      </c>
      <c r="DE79" s="460">
        <f t="shared" si="99"/>
        <v>0</v>
      </c>
      <c r="DF79" s="582">
        <f t="shared" si="99"/>
        <v>0</v>
      </c>
      <c r="DG79" s="113">
        <f t="shared" si="99"/>
        <v>0</v>
      </c>
      <c r="DH79" s="113">
        <f t="shared" si="99"/>
        <v>0</v>
      </c>
      <c r="DI79" s="113">
        <f t="shared" si="99"/>
        <v>0</v>
      </c>
      <c r="DJ79" s="459">
        <f t="shared" si="98"/>
        <v>0</v>
      </c>
      <c r="DK79" s="461">
        <f t="shared" si="98"/>
        <v>0</v>
      </c>
      <c r="DL79" s="582">
        <f t="shared" si="98"/>
        <v>0</v>
      </c>
      <c r="DM79" s="113">
        <f t="shared" si="98"/>
        <v>0</v>
      </c>
      <c r="DN79" s="113">
        <f t="shared" si="98"/>
        <v>0</v>
      </c>
      <c r="DO79" s="113">
        <f t="shared" si="98"/>
        <v>0</v>
      </c>
      <c r="DP79" s="460">
        <f t="shared" si="98"/>
        <v>0</v>
      </c>
      <c r="DQ79" s="582">
        <f t="shared" si="98"/>
        <v>0</v>
      </c>
      <c r="DR79" s="113">
        <f t="shared" si="98"/>
        <v>0</v>
      </c>
      <c r="DS79" s="113">
        <f t="shared" si="98"/>
        <v>0</v>
      </c>
      <c r="DT79" s="113">
        <f t="shared" si="98"/>
        <v>0</v>
      </c>
      <c r="DU79" s="459">
        <f t="shared" si="98"/>
        <v>0</v>
      </c>
      <c r="DW79" s="461">
        <f t="shared" ref="DW79:DZ138" si="102">P79+AA79+AW79+BH79+BS79+CD79+CO79+CZ79+DK79</f>
        <v>81</v>
      </c>
      <c r="DX79" s="582">
        <f t="shared" si="102"/>
        <v>66</v>
      </c>
      <c r="DY79" s="113">
        <f t="shared" si="102"/>
        <v>44</v>
      </c>
      <c r="DZ79" s="113">
        <f t="shared" si="100"/>
        <v>0</v>
      </c>
      <c r="EA79" s="113">
        <f t="shared" si="100"/>
        <v>22</v>
      </c>
      <c r="EB79" s="460">
        <f t="shared" si="100"/>
        <v>0</v>
      </c>
      <c r="EC79" s="582">
        <f t="shared" si="100"/>
        <v>15</v>
      </c>
      <c r="ED79" s="113">
        <f t="shared" si="100"/>
        <v>10</v>
      </c>
      <c r="EE79" s="113">
        <f t="shared" si="100"/>
        <v>0</v>
      </c>
      <c r="EF79" s="113">
        <f t="shared" si="76"/>
        <v>5</v>
      </c>
      <c r="EG79" s="459">
        <f t="shared" si="76"/>
        <v>0</v>
      </c>
      <c r="EH79" s="461">
        <f t="shared" si="91"/>
        <v>29</v>
      </c>
      <c r="EI79" s="582">
        <f t="shared" si="91"/>
        <v>21</v>
      </c>
      <c r="EJ79" s="113">
        <f t="shared" si="89"/>
        <v>18</v>
      </c>
      <c r="EK79" s="113">
        <f t="shared" si="89"/>
        <v>0</v>
      </c>
      <c r="EL79" s="113">
        <f t="shared" si="89"/>
        <v>3</v>
      </c>
      <c r="EM79" s="460">
        <f t="shared" si="89"/>
        <v>0</v>
      </c>
      <c r="EN79" s="582">
        <f t="shared" si="89"/>
        <v>8</v>
      </c>
      <c r="EO79" s="113">
        <f t="shared" si="89"/>
        <v>6</v>
      </c>
      <c r="EP79" s="113">
        <f t="shared" si="89"/>
        <v>0</v>
      </c>
      <c r="EQ79" s="113">
        <f t="shared" si="89"/>
        <v>2</v>
      </c>
      <c r="ER79" s="459">
        <f t="shared" si="89"/>
        <v>0</v>
      </c>
    </row>
    <row r="80" spans="1:148">
      <c r="A80" s="466" t="s">
        <v>411</v>
      </c>
      <c r="B80" s="581">
        <v>43831</v>
      </c>
      <c r="C80" s="470">
        <v>2020</v>
      </c>
      <c r="D80" s="461">
        <f t="shared" si="72"/>
        <v>139080</v>
      </c>
      <c r="E80" s="461">
        <f t="shared" si="93"/>
        <v>1712</v>
      </c>
      <c r="F80" s="582">
        <f t="shared" si="93"/>
        <v>1184</v>
      </c>
      <c r="G80" s="113">
        <f t="shared" si="93"/>
        <v>740</v>
      </c>
      <c r="H80" s="113">
        <f t="shared" si="93"/>
        <v>0</v>
      </c>
      <c r="I80" s="113">
        <f t="shared" si="93"/>
        <v>444</v>
      </c>
      <c r="J80" s="460">
        <f t="shared" si="93"/>
        <v>0</v>
      </c>
      <c r="K80" s="582">
        <f t="shared" si="93"/>
        <v>528</v>
      </c>
      <c r="L80" s="113">
        <f t="shared" si="93"/>
        <v>253</v>
      </c>
      <c r="M80" s="113">
        <f t="shared" si="93"/>
        <v>0</v>
      </c>
      <c r="N80" s="113">
        <f t="shared" si="93"/>
        <v>234</v>
      </c>
      <c r="O80" s="459">
        <f t="shared" si="93"/>
        <v>41</v>
      </c>
      <c r="P80" s="461">
        <f t="shared" si="93"/>
        <v>3</v>
      </c>
      <c r="Q80" s="582">
        <f t="shared" si="93"/>
        <v>2</v>
      </c>
      <c r="R80" s="113">
        <f t="shared" si="93"/>
        <v>0</v>
      </c>
      <c r="S80" s="113">
        <f t="shared" si="93"/>
        <v>0</v>
      </c>
      <c r="T80" s="113">
        <f t="shared" si="93"/>
        <v>2</v>
      </c>
      <c r="U80" s="460">
        <f t="shared" si="92"/>
        <v>0</v>
      </c>
      <c r="V80" s="582">
        <f t="shared" si="92"/>
        <v>1</v>
      </c>
      <c r="W80" s="113">
        <f t="shared" si="92"/>
        <v>0</v>
      </c>
      <c r="X80" s="113">
        <f t="shared" si="92"/>
        <v>0</v>
      </c>
      <c r="Y80" s="113">
        <f t="shared" si="92"/>
        <v>1</v>
      </c>
      <c r="Z80" s="459">
        <f t="shared" si="92"/>
        <v>0</v>
      </c>
      <c r="AA80" s="461">
        <f t="shared" si="92"/>
        <v>1</v>
      </c>
      <c r="AB80" s="582">
        <f t="shared" si="92"/>
        <v>0</v>
      </c>
      <c r="AC80" s="113">
        <f t="shared" si="92"/>
        <v>0</v>
      </c>
      <c r="AD80" s="113">
        <f t="shared" si="92"/>
        <v>0</v>
      </c>
      <c r="AE80" s="113">
        <f t="shared" si="92"/>
        <v>0</v>
      </c>
      <c r="AF80" s="460">
        <f t="shared" si="92"/>
        <v>0</v>
      </c>
      <c r="AG80" s="582">
        <f t="shared" si="92"/>
        <v>1</v>
      </c>
      <c r="AH80" s="113">
        <f t="shared" si="92"/>
        <v>0</v>
      </c>
      <c r="AI80" s="113">
        <f t="shared" si="92"/>
        <v>0</v>
      </c>
      <c r="AJ80" s="113">
        <f t="shared" si="92"/>
        <v>1</v>
      </c>
      <c r="AK80" s="459">
        <f t="shared" si="92"/>
        <v>0</v>
      </c>
      <c r="AL80" s="461">
        <f t="shared" si="92"/>
        <v>16</v>
      </c>
      <c r="AM80" s="582">
        <f t="shared" si="92"/>
        <v>10</v>
      </c>
      <c r="AN80" s="113">
        <f t="shared" si="92"/>
        <v>8</v>
      </c>
      <c r="AO80" s="113">
        <f t="shared" si="101"/>
        <v>0</v>
      </c>
      <c r="AP80" s="113">
        <f t="shared" si="101"/>
        <v>2</v>
      </c>
      <c r="AQ80" s="460">
        <f t="shared" si="101"/>
        <v>0</v>
      </c>
      <c r="AR80" s="582">
        <f t="shared" si="101"/>
        <v>6</v>
      </c>
      <c r="AS80" s="113">
        <f t="shared" si="101"/>
        <v>4</v>
      </c>
      <c r="AT80" s="113">
        <f t="shared" si="101"/>
        <v>0</v>
      </c>
      <c r="AU80" s="113">
        <f t="shared" si="101"/>
        <v>1</v>
      </c>
      <c r="AV80" s="459">
        <f t="shared" si="101"/>
        <v>1</v>
      </c>
      <c r="AW80" s="461">
        <f t="shared" si="101"/>
        <v>12</v>
      </c>
      <c r="AX80" s="582">
        <f t="shared" si="101"/>
        <v>10</v>
      </c>
      <c r="AY80" s="113">
        <f t="shared" si="101"/>
        <v>9</v>
      </c>
      <c r="AZ80" s="113">
        <f t="shared" si="101"/>
        <v>0</v>
      </c>
      <c r="BA80" s="113">
        <f t="shared" si="101"/>
        <v>1</v>
      </c>
      <c r="BB80" s="460">
        <f t="shared" si="101"/>
        <v>0</v>
      </c>
      <c r="BC80" s="582">
        <f t="shared" si="101"/>
        <v>2</v>
      </c>
      <c r="BD80" s="113">
        <f t="shared" si="101"/>
        <v>2</v>
      </c>
      <c r="BE80" s="113">
        <f t="shared" si="101"/>
        <v>0</v>
      </c>
      <c r="BF80" s="113">
        <f t="shared" si="101"/>
        <v>0</v>
      </c>
      <c r="BG80" s="459">
        <f t="shared" si="101"/>
        <v>0</v>
      </c>
      <c r="BH80" s="461">
        <f t="shared" si="101"/>
        <v>13</v>
      </c>
      <c r="BI80" s="582">
        <f t="shared" si="101"/>
        <v>10</v>
      </c>
      <c r="BJ80" s="113">
        <f t="shared" si="101"/>
        <v>7</v>
      </c>
      <c r="BK80" s="113">
        <f t="shared" si="101"/>
        <v>0</v>
      </c>
      <c r="BL80" s="113">
        <f t="shared" si="101"/>
        <v>3</v>
      </c>
      <c r="BM80" s="460">
        <f t="shared" si="101"/>
        <v>0</v>
      </c>
      <c r="BN80" s="582">
        <f t="shared" si="101"/>
        <v>3</v>
      </c>
      <c r="BO80" s="113">
        <f t="shared" si="101"/>
        <v>0</v>
      </c>
      <c r="BP80" s="113">
        <f t="shared" si="101"/>
        <v>0</v>
      </c>
      <c r="BQ80" s="113">
        <f t="shared" si="101"/>
        <v>2</v>
      </c>
      <c r="BR80" s="459">
        <f t="shared" si="101"/>
        <v>1</v>
      </c>
      <c r="BS80" s="461">
        <f t="shared" si="101"/>
        <v>22</v>
      </c>
      <c r="BT80" s="582">
        <f t="shared" si="101"/>
        <v>12</v>
      </c>
      <c r="BU80" s="113">
        <f t="shared" si="101"/>
        <v>8</v>
      </c>
      <c r="BV80" s="113">
        <f t="shared" si="101"/>
        <v>0</v>
      </c>
      <c r="BW80" s="113">
        <f t="shared" si="101"/>
        <v>4</v>
      </c>
      <c r="BX80" s="460">
        <f t="shared" si="101"/>
        <v>0</v>
      </c>
      <c r="BY80" s="582">
        <f t="shared" si="101"/>
        <v>10</v>
      </c>
      <c r="BZ80" s="113">
        <f t="shared" si="101"/>
        <v>2</v>
      </c>
      <c r="CA80" s="113">
        <f t="shared" si="101"/>
        <v>0</v>
      </c>
      <c r="CB80" s="113">
        <f t="shared" si="101"/>
        <v>8</v>
      </c>
      <c r="CC80" s="459">
        <f t="shared" si="101"/>
        <v>0</v>
      </c>
      <c r="CD80" s="461">
        <f t="shared" si="101"/>
        <v>2</v>
      </c>
      <c r="CE80" s="582">
        <f t="shared" si="101"/>
        <v>0</v>
      </c>
      <c r="CF80" s="113">
        <f t="shared" si="101"/>
        <v>0</v>
      </c>
      <c r="CG80" s="113">
        <f t="shared" si="101"/>
        <v>0</v>
      </c>
      <c r="CH80" s="113">
        <f t="shared" si="101"/>
        <v>0</v>
      </c>
      <c r="CI80" s="460">
        <f t="shared" si="101"/>
        <v>0</v>
      </c>
      <c r="CJ80" s="582">
        <f t="shared" si="101"/>
        <v>2</v>
      </c>
      <c r="CK80" s="113">
        <f t="shared" si="101"/>
        <v>2</v>
      </c>
      <c r="CL80" s="113">
        <f t="shared" si="101"/>
        <v>0</v>
      </c>
      <c r="CM80" s="113">
        <f t="shared" si="101"/>
        <v>0</v>
      </c>
      <c r="CN80" s="459">
        <f t="shared" si="101"/>
        <v>0</v>
      </c>
      <c r="CO80" s="461">
        <f t="shared" si="101"/>
        <v>1</v>
      </c>
      <c r="CP80" s="582">
        <f t="shared" si="101"/>
        <v>1</v>
      </c>
      <c r="CQ80" s="113">
        <f t="shared" si="101"/>
        <v>1</v>
      </c>
      <c r="CR80" s="113">
        <f t="shared" si="101"/>
        <v>0</v>
      </c>
      <c r="CS80" s="113">
        <f t="shared" si="101"/>
        <v>0</v>
      </c>
      <c r="CT80" s="460">
        <f t="shared" si="101"/>
        <v>0</v>
      </c>
      <c r="CU80" s="582">
        <f t="shared" si="99"/>
        <v>0</v>
      </c>
      <c r="CV80" s="113">
        <f t="shared" si="99"/>
        <v>0</v>
      </c>
      <c r="CW80" s="113">
        <f t="shared" si="99"/>
        <v>0</v>
      </c>
      <c r="CX80" s="113">
        <f t="shared" si="99"/>
        <v>0</v>
      </c>
      <c r="CY80" s="459">
        <f t="shared" si="99"/>
        <v>0</v>
      </c>
      <c r="CZ80" s="461">
        <f t="shared" si="99"/>
        <v>1</v>
      </c>
      <c r="DA80" s="582">
        <f t="shared" si="99"/>
        <v>1</v>
      </c>
      <c r="DB80" s="113">
        <f t="shared" si="99"/>
        <v>0</v>
      </c>
      <c r="DC80" s="113">
        <f t="shared" si="99"/>
        <v>0</v>
      </c>
      <c r="DD80" s="113">
        <f t="shared" si="99"/>
        <v>1</v>
      </c>
      <c r="DE80" s="460">
        <f t="shared" si="99"/>
        <v>0</v>
      </c>
      <c r="DF80" s="582">
        <f t="shared" si="99"/>
        <v>0</v>
      </c>
      <c r="DG80" s="113">
        <f t="shared" si="99"/>
        <v>0</v>
      </c>
      <c r="DH80" s="113">
        <f t="shared" si="99"/>
        <v>0</v>
      </c>
      <c r="DI80" s="113">
        <f t="shared" si="99"/>
        <v>0</v>
      </c>
      <c r="DJ80" s="459">
        <f t="shared" si="98"/>
        <v>0</v>
      </c>
      <c r="DK80" s="461">
        <f t="shared" si="98"/>
        <v>0</v>
      </c>
      <c r="DL80" s="582">
        <f t="shared" si="98"/>
        <v>0</v>
      </c>
      <c r="DM80" s="113">
        <f t="shared" si="98"/>
        <v>0</v>
      </c>
      <c r="DN80" s="113">
        <f t="shared" si="98"/>
        <v>0</v>
      </c>
      <c r="DO80" s="113">
        <f t="shared" si="98"/>
        <v>0</v>
      </c>
      <c r="DP80" s="460">
        <f t="shared" si="98"/>
        <v>0</v>
      </c>
      <c r="DQ80" s="582">
        <f t="shared" si="98"/>
        <v>0</v>
      </c>
      <c r="DR80" s="113">
        <f t="shared" si="98"/>
        <v>0</v>
      </c>
      <c r="DS80" s="113">
        <f t="shared" si="98"/>
        <v>0</v>
      </c>
      <c r="DT80" s="113">
        <f t="shared" si="98"/>
        <v>0</v>
      </c>
      <c r="DU80" s="459">
        <f t="shared" si="98"/>
        <v>0</v>
      </c>
      <c r="DW80" s="461">
        <f t="shared" si="102"/>
        <v>55</v>
      </c>
      <c r="DX80" s="582">
        <f t="shared" si="102"/>
        <v>36</v>
      </c>
      <c r="DY80" s="113">
        <f t="shared" si="102"/>
        <v>25</v>
      </c>
      <c r="DZ80" s="113">
        <f t="shared" si="100"/>
        <v>0</v>
      </c>
      <c r="EA80" s="113">
        <f t="shared" si="100"/>
        <v>11</v>
      </c>
      <c r="EB80" s="460">
        <f t="shared" si="100"/>
        <v>0</v>
      </c>
      <c r="EC80" s="582">
        <f t="shared" si="100"/>
        <v>19</v>
      </c>
      <c r="ED80" s="113">
        <f t="shared" si="100"/>
        <v>6</v>
      </c>
      <c r="EE80" s="113">
        <f t="shared" si="100"/>
        <v>0</v>
      </c>
      <c r="EF80" s="113">
        <f t="shared" si="76"/>
        <v>12</v>
      </c>
      <c r="EG80" s="459">
        <f t="shared" si="76"/>
        <v>1</v>
      </c>
      <c r="EH80" s="461">
        <f t="shared" si="91"/>
        <v>16</v>
      </c>
      <c r="EI80" s="582">
        <f t="shared" si="91"/>
        <v>10</v>
      </c>
      <c r="EJ80" s="113">
        <f t="shared" si="89"/>
        <v>8</v>
      </c>
      <c r="EK80" s="113">
        <f t="shared" si="89"/>
        <v>0</v>
      </c>
      <c r="EL80" s="113">
        <f t="shared" si="89"/>
        <v>2</v>
      </c>
      <c r="EM80" s="460">
        <f t="shared" si="89"/>
        <v>0</v>
      </c>
      <c r="EN80" s="582">
        <f t="shared" si="89"/>
        <v>6</v>
      </c>
      <c r="EO80" s="113">
        <f t="shared" si="89"/>
        <v>4</v>
      </c>
      <c r="EP80" s="113">
        <f t="shared" si="89"/>
        <v>0</v>
      </c>
      <c r="EQ80" s="113">
        <f t="shared" si="89"/>
        <v>1</v>
      </c>
      <c r="ER80" s="459">
        <f t="shared" si="89"/>
        <v>1</v>
      </c>
    </row>
    <row r="81" spans="1:148">
      <c r="A81" s="466" t="s">
        <v>411</v>
      </c>
      <c r="B81" s="581">
        <v>43862</v>
      </c>
      <c r="C81" s="470">
        <v>2020</v>
      </c>
      <c r="D81" s="461">
        <f t="shared" si="72"/>
        <v>139080</v>
      </c>
      <c r="E81" s="461">
        <f t="shared" si="93"/>
        <v>1712</v>
      </c>
      <c r="F81" s="582">
        <f t="shared" si="93"/>
        <v>1184</v>
      </c>
      <c r="G81" s="113">
        <f t="shared" si="93"/>
        <v>740</v>
      </c>
      <c r="H81" s="113">
        <f t="shared" si="93"/>
        <v>0</v>
      </c>
      <c r="I81" s="113">
        <f t="shared" si="93"/>
        <v>444</v>
      </c>
      <c r="J81" s="460">
        <f t="shared" si="93"/>
        <v>0</v>
      </c>
      <c r="K81" s="582">
        <f t="shared" si="93"/>
        <v>528</v>
      </c>
      <c r="L81" s="113">
        <f t="shared" si="93"/>
        <v>253</v>
      </c>
      <c r="M81" s="113">
        <f t="shared" si="93"/>
        <v>0</v>
      </c>
      <c r="N81" s="113">
        <f t="shared" si="93"/>
        <v>234</v>
      </c>
      <c r="O81" s="459">
        <f t="shared" si="93"/>
        <v>41</v>
      </c>
      <c r="P81" s="461">
        <f t="shared" si="93"/>
        <v>3</v>
      </c>
      <c r="Q81" s="582">
        <f t="shared" si="93"/>
        <v>2</v>
      </c>
      <c r="R81" s="113">
        <f t="shared" si="93"/>
        <v>0</v>
      </c>
      <c r="S81" s="113">
        <f t="shared" si="93"/>
        <v>0</v>
      </c>
      <c r="T81" s="113">
        <f t="shared" si="93"/>
        <v>2</v>
      </c>
      <c r="U81" s="460">
        <f t="shared" si="92"/>
        <v>0</v>
      </c>
      <c r="V81" s="582">
        <f t="shared" si="92"/>
        <v>1</v>
      </c>
      <c r="W81" s="113">
        <f t="shared" si="92"/>
        <v>0</v>
      </c>
      <c r="X81" s="113">
        <f t="shared" si="92"/>
        <v>0</v>
      </c>
      <c r="Y81" s="113">
        <f t="shared" si="92"/>
        <v>1</v>
      </c>
      <c r="Z81" s="459">
        <f t="shared" si="92"/>
        <v>0</v>
      </c>
      <c r="AA81" s="461">
        <f t="shared" si="92"/>
        <v>1</v>
      </c>
      <c r="AB81" s="582">
        <f t="shared" si="92"/>
        <v>0</v>
      </c>
      <c r="AC81" s="113">
        <f t="shared" si="92"/>
        <v>0</v>
      </c>
      <c r="AD81" s="113">
        <f t="shared" si="92"/>
        <v>0</v>
      </c>
      <c r="AE81" s="113">
        <f t="shared" si="92"/>
        <v>0</v>
      </c>
      <c r="AF81" s="460">
        <f t="shared" si="92"/>
        <v>0</v>
      </c>
      <c r="AG81" s="582">
        <f t="shared" si="92"/>
        <v>1</v>
      </c>
      <c r="AH81" s="113">
        <f t="shared" si="92"/>
        <v>0</v>
      </c>
      <c r="AI81" s="113">
        <f t="shared" si="92"/>
        <v>0</v>
      </c>
      <c r="AJ81" s="113">
        <f t="shared" si="92"/>
        <v>1</v>
      </c>
      <c r="AK81" s="459">
        <f t="shared" si="92"/>
        <v>0</v>
      </c>
      <c r="AL81" s="461">
        <f t="shared" si="92"/>
        <v>16</v>
      </c>
      <c r="AM81" s="582">
        <f t="shared" si="92"/>
        <v>10</v>
      </c>
      <c r="AN81" s="113">
        <f t="shared" si="92"/>
        <v>8</v>
      </c>
      <c r="AO81" s="113">
        <f t="shared" si="101"/>
        <v>0</v>
      </c>
      <c r="AP81" s="113">
        <f t="shared" si="101"/>
        <v>2</v>
      </c>
      <c r="AQ81" s="460">
        <f t="shared" si="101"/>
        <v>0</v>
      </c>
      <c r="AR81" s="582">
        <f t="shared" si="101"/>
        <v>6</v>
      </c>
      <c r="AS81" s="113">
        <f t="shared" si="101"/>
        <v>4</v>
      </c>
      <c r="AT81" s="113">
        <f t="shared" si="101"/>
        <v>0</v>
      </c>
      <c r="AU81" s="113">
        <f t="shared" si="101"/>
        <v>1</v>
      </c>
      <c r="AV81" s="459">
        <f t="shared" si="101"/>
        <v>1</v>
      </c>
      <c r="AW81" s="461">
        <f t="shared" si="101"/>
        <v>12</v>
      </c>
      <c r="AX81" s="582">
        <f t="shared" si="101"/>
        <v>10</v>
      </c>
      <c r="AY81" s="113">
        <f t="shared" si="101"/>
        <v>9</v>
      </c>
      <c r="AZ81" s="113">
        <f t="shared" si="101"/>
        <v>0</v>
      </c>
      <c r="BA81" s="113">
        <f t="shared" si="101"/>
        <v>1</v>
      </c>
      <c r="BB81" s="460">
        <f t="shared" si="101"/>
        <v>0</v>
      </c>
      <c r="BC81" s="582">
        <f t="shared" si="101"/>
        <v>2</v>
      </c>
      <c r="BD81" s="113">
        <f t="shared" si="101"/>
        <v>2</v>
      </c>
      <c r="BE81" s="113">
        <f t="shared" si="101"/>
        <v>0</v>
      </c>
      <c r="BF81" s="113">
        <f t="shared" si="101"/>
        <v>0</v>
      </c>
      <c r="BG81" s="459">
        <f t="shared" si="101"/>
        <v>0</v>
      </c>
      <c r="BH81" s="461">
        <f t="shared" si="101"/>
        <v>13</v>
      </c>
      <c r="BI81" s="582">
        <f t="shared" si="101"/>
        <v>10</v>
      </c>
      <c r="BJ81" s="113">
        <f t="shared" si="101"/>
        <v>7</v>
      </c>
      <c r="BK81" s="113">
        <f t="shared" si="101"/>
        <v>0</v>
      </c>
      <c r="BL81" s="113">
        <f t="shared" si="101"/>
        <v>3</v>
      </c>
      <c r="BM81" s="460">
        <f t="shared" si="101"/>
        <v>0</v>
      </c>
      <c r="BN81" s="582">
        <f t="shared" si="101"/>
        <v>3</v>
      </c>
      <c r="BO81" s="113">
        <f t="shared" si="101"/>
        <v>0</v>
      </c>
      <c r="BP81" s="113">
        <f t="shared" si="101"/>
        <v>0</v>
      </c>
      <c r="BQ81" s="113">
        <f t="shared" si="101"/>
        <v>2</v>
      </c>
      <c r="BR81" s="459">
        <f t="shared" si="101"/>
        <v>1</v>
      </c>
      <c r="BS81" s="461">
        <f t="shared" si="101"/>
        <v>22</v>
      </c>
      <c r="BT81" s="582">
        <f t="shared" si="101"/>
        <v>12</v>
      </c>
      <c r="BU81" s="113">
        <f t="shared" si="101"/>
        <v>8</v>
      </c>
      <c r="BV81" s="113">
        <f t="shared" si="101"/>
        <v>0</v>
      </c>
      <c r="BW81" s="113">
        <f t="shared" si="101"/>
        <v>4</v>
      </c>
      <c r="BX81" s="460">
        <f t="shared" si="101"/>
        <v>0</v>
      </c>
      <c r="BY81" s="582">
        <f t="shared" si="101"/>
        <v>10</v>
      </c>
      <c r="BZ81" s="113">
        <f t="shared" si="101"/>
        <v>2</v>
      </c>
      <c r="CA81" s="113">
        <f t="shared" si="101"/>
        <v>0</v>
      </c>
      <c r="CB81" s="113">
        <f t="shared" si="101"/>
        <v>8</v>
      </c>
      <c r="CC81" s="459">
        <f t="shared" si="101"/>
        <v>0</v>
      </c>
      <c r="CD81" s="461">
        <f t="shared" si="101"/>
        <v>2</v>
      </c>
      <c r="CE81" s="582">
        <f t="shared" si="101"/>
        <v>0</v>
      </c>
      <c r="CF81" s="113">
        <f t="shared" si="101"/>
        <v>0</v>
      </c>
      <c r="CG81" s="113">
        <f t="shared" si="101"/>
        <v>0</v>
      </c>
      <c r="CH81" s="113">
        <f t="shared" si="101"/>
        <v>0</v>
      </c>
      <c r="CI81" s="460">
        <f t="shared" si="101"/>
        <v>0</v>
      </c>
      <c r="CJ81" s="582">
        <f t="shared" si="101"/>
        <v>2</v>
      </c>
      <c r="CK81" s="113">
        <f t="shared" si="101"/>
        <v>2</v>
      </c>
      <c r="CL81" s="113">
        <f t="shared" si="101"/>
        <v>0</v>
      </c>
      <c r="CM81" s="113">
        <f t="shared" si="101"/>
        <v>0</v>
      </c>
      <c r="CN81" s="459">
        <f t="shared" si="101"/>
        <v>0</v>
      </c>
      <c r="CO81" s="461">
        <f t="shared" si="101"/>
        <v>1</v>
      </c>
      <c r="CP81" s="582">
        <f t="shared" si="101"/>
        <v>1</v>
      </c>
      <c r="CQ81" s="113">
        <f t="shared" si="101"/>
        <v>1</v>
      </c>
      <c r="CR81" s="113">
        <f t="shared" si="101"/>
        <v>0</v>
      </c>
      <c r="CS81" s="113">
        <f t="shared" si="101"/>
        <v>0</v>
      </c>
      <c r="CT81" s="460">
        <f t="shared" si="101"/>
        <v>0</v>
      </c>
      <c r="CU81" s="582">
        <f t="shared" si="99"/>
        <v>0</v>
      </c>
      <c r="CV81" s="113">
        <f t="shared" si="99"/>
        <v>0</v>
      </c>
      <c r="CW81" s="113">
        <f t="shared" si="99"/>
        <v>0</v>
      </c>
      <c r="CX81" s="113">
        <f t="shared" si="99"/>
        <v>0</v>
      </c>
      <c r="CY81" s="459">
        <f t="shared" si="99"/>
        <v>0</v>
      </c>
      <c r="CZ81" s="461">
        <f t="shared" si="99"/>
        <v>1</v>
      </c>
      <c r="DA81" s="582">
        <f t="shared" si="99"/>
        <v>1</v>
      </c>
      <c r="DB81" s="113">
        <f t="shared" si="99"/>
        <v>0</v>
      </c>
      <c r="DC81" s="113">
        <f t="shared" si="99"/>
        <v>0</v>
      </c>
      <c r="DD81" s="113">
        <f t="shared" si="99"/>
        <v>1</v>
      </c>
      <c r="DE81" s="460">
        <f t="shared" si="99"/>
        <v>0</v>
      </c>
      <c r="DF81" s="582">
        <f t="shared" si="99"/>
        <v>0</v>
      </c>
      <c r="DG81" s="113">
        <f t="shared" si="99"/>
        <v>0</v>
      </c>
      <c r="DH81" s="113">
        <f t="shared" si="99"/>
        <v>0</v>
      </c>
      <c r="DI81" s="113">
        <f t="shared" si="99"/>
        <v>0</v>
      </c>
      <c r="DJ81" s="459">
        <f t="shared" si="98"/>
        <v>0</v>
      </c>
      <c r="DK81" s="461">
        <f t="shared" si="98"/>
        <v>0</v>
      </c>
      <c r="DL81" s="582">
        <f t="shared" si="98"/>
        <v>0</v>
      </c>
      <c r="DM81" s="113">
        <f t="shared" si="98"/>
        <v>0</v>
      </c>
      <c r="DN81" s="113">
        <f t="shared" si="98"/>
        <v>0</v>
      </c>
      <c r="DO81" s="113">
        <f t="shared" si="98"/>
        <v>0</v>
      </c>
      <c r="DP81" s="460">
        <f t="shared" si="98"/>
        <v>0</v>
      </c>
      <c r="DQ81" s="582">
        <f t="shared" si="98"/>
        <v>0</v>
      </c>
      <c r="DR81" s="113">
        <f t="shared" si="98"/>
        <v>0</v>
      </c>
      <c r="DS81" s="113">
        <f t="shared" si="98"/>
        <v>0</v>
      </c>
      <c r="DT81" s="113">
        <f t="shared" si="98"/>
        <v>0</v>
      </c>
      <c r="DU81" s="459">
        <f t="shared" si="98"/>
        <v>0</v>
      </c>
      <c r="DW81" s="461">
        <f t="shared" si="102"/>
        <v>55</v>
      </c>
      <c r="DX81" s="582">
        <f t="shared" si="102"/>
        <v>36</v>
      </c>
      <c r="DY81" s="113">
        <f t="shared" si="102"/>
        <v>25</v>
      </c>
      <c r="DZ81" s="113">
        <f t="shared" si="100"/>
        <v>0</v>
      </c>
      <c r="EA81" s="113">
        <f t="shared" si="100"/>
        <v>11</v>
      </c>
      <c r="EB81" s="460">
        <f t="shared" si="100"/>
        <v>0</v>
      </c>
      <c r="EC81" s="582">
        <f t="shared" si="100"/>
        <v>19</v>
      </c>
      <c r="ED81" s="113">
        <f t="shared" si="100"/>
        <v>6</v>
      </c>
      <c r="EE81" s="113">
        <f t="shared" si="100"/>
        <v>0</v>
      </c>
      <c r="EF81" s="113">
        <f t="shared" si="76"/>
        <v>12</v>
      </c>
      <c r="EG81" s="459">
        <f t="shared" si="76"/>
        <v>1</v>
      </c>
      <c r="EH81" s="461">
        <f t="shared" si="91"/>
        <v>16</v>
      </c>
      <c r="EI81" s="582">
        <f t="shared" si="91"/>
        <v>10</v>
      </c>
      <c r="EJ81" s="113">
        <f t="shared" si="89"/>
        <v>8</v>
      </c>
      <c r="EK81" s="113">
        <f t="shared" si="89"/>
        <v>0</v>
      </c>
      <c r="EL81" s="113">
        <f t="shared" si="89"/>
        <v>2</v>
      </c>
      <c r="EM81" s="460">
        <f t="shared" si="89"/>
        <v>0</v>
      </c>
      <c r="EN81" s="582">
        <f t="shared" si="89"/>
        <v>6</v>
      </c>
      <c r="EO81" s="113">
        <f t="shared" si="89"/>
        <v>4</v>
      </c>
      <c r="EP81" s="113">
        <f t="shared" si="89"/>
        <v>0</v>
      </c>
      <c r="EQ81" s="113">
        <f t="shared" si="89"/>
        <v>1</v>
      </c>
      <c r="ER81" s="459">
        <f t="shared" si="89"/>
        <v>1</v>
      </c>
    </row>
    <row r="82" spans="1:148">
      <c r="A82" s="466" t="s">
        <v>411</v>
      </c>
      <c r="B82" s="581">
        <v>43891</v>
      </c>
      <c r="C82" s="470">
        <v>2020</v>
      </c>
      <c r="D82" s="461">
        <f t="shared" si="72"/>
        <v>139080</v>
      </c>
      <c r="E82" s="461">
        <f t="shared" si="93"/>
        <v>1712</v>
      </c>
      <c r="F82" s="582">
        <f t="shared" si="93"/>
        <v>1184</v>
      </c>
      <c r="G82" s="113">
        <f t="shared" si="93"/>
        <v>740</v>
      </c>
      <c r="H82" s="113">
        <f t="shared" si="93"/>
        <v>0</v>
      </c>
      <c r="I82" s="113">
        <f t="shared" si="93"/>
        <v>444</v>
      </c>
      <c r="J82" s="460">
        <f t="shared" si="93"/>
        <v>0</v>
      </c>
      <c r="K82" s="582">
        <f t="shared" si="93"/>
        <v>528</v>
      </c>
      <c r="L82" s="113">
        <f t="shared" si="93"/>
        <v>253</v>
      </c>
      <c r="M82" s="113">
        <f t="shared" si="93"/>
        <v>0</v>
      </c>
      <c r="N82" s="113">
        <f t="shared" si="93"/>
        <v>234</v>
      </c>
      <c r="O82" s="459">
        <f t="shared" si="93"/>
        <v>41</v>
      </c>
      <c r="P82" s="461">
        <f t="shared" si="93"/>
        <v>3</v>
      </c>
      <c r="Q82" s="582">
        <f t="shared" si="93"/>
        <v>2</v>
      </c>
      <c r="R82" s="113">
        <f t="shared" si="93"/>
        <v>0</v>
      </c>
      <c r="S82" s="113">
        <f t="shared" si="93"/>
        <v>0</v>
      </c>
      <c r="T82" s="113">
        <f t="shared" si="93"/>
        <v>2</v>
      </c>
      <c r="U82" s="460">
        <f t="shared" si="92"/>
        <v>0</v>
      </c>
      <c r="V82" s="582">
        <f t="shared" si="92"/>
        <v>1</v>
      </c>
      <c r="W82" s="113">
        <f t="shared" si="92"/>
        <v>0</v>
      </c>
      <c r="X82" s="113">
        <f t="shared" si="92"/>
        <v>0</v>
      </c>
      <c r="Y82" s="113">
        <f t="shared" si="92"/>
        <v>1</v>
      </c>
      <c r="Z82" s="459">
        <f t="shared" si="92"/>
        <v>0</v>
      </c>
      <c r="AA82" s="461">
        <f t="shared" si="92"/>
        <v>1</v>
      </c>
      <c r="AB82" s="582">
        <f t="shared" si="92"/>
        <v>0</v>
      </c>
      <c r="AC82" s="113">
        <f t="shared" si="92"/>
        <v>0</v>
      </c>
      <c r="AD82" s="113">
        <f t="shared" si="92"/>
        <v>0</v>
      </c>
      <c r="AE82" s="113">
        <f t="shared" si="92"/>
        <v>0</v>
      </c>
      <c r="AF82" s="460">
        <f t="shared" si="92"/>
        <v>0</v>
      </c>
      <c r="AG82" s="582">
        <f t="shared" si="92"/>
        <v>1</v>
      </c>
      <c r="AH82" s="113">
        <f t="shared" si="92"/>
        <v>0</v>
      </c>
      <c r="AI82" s="113">
        <f t="shared" si="92"/>
        <v>0</v>
      </c>
      <c r="AJ82" s="113">
        <f t="shared" si="92"/>
        <v>1</v>
      </c>
      <c r="AK82" s="459">
        <f t="shared" si="92"/>
        <v>0</v>
      </c>
      <c r="AL82" s="461">
        <f t="shared" si="92"/>
        <v>16</v>
      </c>
      <c r="AM82" s="582">
        <f t="shared" si="92"/>
        <v>10</v>
      </c>
      <c r="AN82" s="113">
        <f t="shared" si="92"/>
        <v>8</v>
      </c>
      <c r="AO82" s="113">
        <f t="shared" si="101"/>
        <v>0</v>
      </c>
      <c r="AP82" s="113">
        <f t="shared" si="101"/>
        <v>2</v>
      </c>
      <c r="AQ82" s="460">
        <f t="shared" si="101"/>
        <v>0</v>
      </c>
      <c r="AR82" s="582">
        <f t="shared" si="101"/>
        <v>6</v>
      </c>
      <c r="AS82" s="113">
        <f t="shared" si="101"/>
        <v>4</v>
      </c>
      <c r="AT82" s="113">
        <f t="shared" si="101"/>
        <v>0</v>
      </c>
      <c r="AU82" s="113">
        <f t="shared" si="101"/>
        <v>1</v>
      </c>
      <c r="AV82" s="459">
        <f t="shared" si="101"/>
        <v>1</v>
      </c>
      <c r="AW82" s="461">
        <f t="shared" si="101"/>
        <v>12</v>
      </c>
      <c r="AX82" s="582">
        <f t="shared" si="101"/>
        <v>10</v>
      </c>
      <c r="AY82" s="113">
        <f t="shared" si="101"/>
        <v>9</v>
      </c>
      <c r="AZ82" s="113">
        <f t="shared" si="101"/>
        <v>0</v>
      </c>
      <c r="BA82" s="113">
        <f t="shared" si="101"/>
        <v>1</v>
      </c>
      <c r="BB82" s="460">
        <f t="shared" si="101"/>
        <v>0</v>
      </c>
      <c r="BC82" s="582">
        <f t="shared" si="101"/>
        <v>2</v>
      </c>
      <c r="BD82" s="113">
        <f t="shared" si="101"/>
        <v>2</v>
      </c>
      <c r="BE82" s="113">
        <f t="shared" si="101"/>
        <v>0</v>
      </c>
      <c r="BF82" s="113">
        <f t="shared" si="101"/>
        <v>0</v>
      </c>
      <c r="BG82" s="459">
        <f t="shared" si="101"/>
        <v>0</v>
      </c>
      <c r="BH82" s="461">
        <f t="shared" si="101"/>
        <v>13</v>
      </c>
      <c r="BI82" s="582">
        <f t="shared" si="101"/>
        <v>10</v>
      </c>
      <c r="BJ82" s="113">
        <f t="shared" si="101"/>
        <v>7</v>
      </c>
      <c r="BK82" s="113">
        <f t="shared" si="101"/>
        <v>0</v>
      </c>
      <c r="BL82" s="113">
        <f t="shared" si="101"/>
        <v>3</v>
      </c>
      <c r="BM82" s="460">
        <f t="shared" si="101"/>
        <v>0</v>
      </c>
      <c r="BN82" s="582">
        <f t="shared" si="101"/>
        <v>3</v>
      </c>
      <c r="BO82" s="113">
        <f t="shared" si="101"/>
        <v>0</v>
      </c>
      <c r="BP82" s="113">
        <f t="shared" si="101"/>
        <v>0</v>
      </c>
      <c r="BQ82" s="113">
        <f t="shared" si="101"/>
        <v>2</v>
      </c>
      <c r="BR82" s="459">
        <f t="shared" si="101"/>
        <v>1</v>
      </c>
      <c r="BS82" s="461">
        <f t="shared" si="101"/>
        <v>22</v>
      </c>
      <c r="BT82" s="582">
        <f t="shared" si="101"/>
        <v>12</v>
      </c>
      <c r="BU82" s="113">
        <f t="shared" si="101"/>
        <v>8</v>
      </c>
      <c r="BV82" s="113">
        <f t="shared" si="101"/>
        <v>0</v>
      </c>
      <c r="BW82" s="113">
        <f t="shared" si="101"/>
        <v>4</v>
      </c>
      <c r="BX82" s="460">
        <f t="shared" si="101"/>
        <v>0</v>
      </c>
      <c r="BY82" s="582">
        <f t="shared" si="101"/>
        <v>10</v>
      </c>
      <c r="BZ82" s="113">
        <f t="shared" si="101"/>
        <v>2</v>
      </c>
      <c r="CA82" s="113">
        <f t="shared" si="101"/>
        <v>0</v>
      </c>
      <c r="CB82" s="113">
        <f t="shared" si="101"/>
        <v>8</v>
      </c>
      <c r="CC82" s="459">
        <f t="shared" si="101"/>
        <v>0</v>
      </c>
      <c r="CD82" s="461">
        <f t="shared" si="101"/>
        <v>2</v>
      </c>
      <c r="CE82" s="582">
        <f t="shared" si="101"/>
        <v>0</v>
      </c>
      <c r="CF82" s="113">
        <f t="shared" si="101"/>
        <v>0</v>
      </c>
      <c r="CG82" s="113">
        <f t="shared" si="101"/>
        <v>0</v>
      </c>
      <c r="CH82" s="113">
        <f t="shared" si="101"/>
        <v>0</v>
      </c>
      <c r="CI82" s="460">
        <f t="shared" si="101"/>
        <v>0</v>
      </c>
      <c r="CJ82" s="582">
        <f t="shared" si="101"/>
        <v>2</v>
      </c>
      <c r="CK82" s="113">
        <f t="shared" si="101"/>
        <v>2</v>
      </c>
      <c r="CL82" s="113">
        <f t="shared" si="101"/>
        <v>0</v>
      </c>
      <c r="CM82" s="113">
        <f t="shared" si="101"/>
        <v>0</v>
      </c>
      <c r="CN82" s="459">
        <f t="shared" si="101"/>
        <v>0</v>
      </c>
      <c r="CO82" s="461">
        <f t="shared" si="101"/>
        <v>1</v>
      </c>
      <c r="CP82" s="582">
        <f t="shared" si="101"/>
        <v>1</v>
      </c>
      <c r="CQ82" s="113">
        <f t="shared" si="101"/>
        <v>1</v>
      </c>
      <c r="CR82" s="113">
        <f t="shared" si="101"/>
        <v>0</v>
      </c>
      <c r="CS82" s="113">
        <f t="shared" si="101"/>
        <v>0</v>
      </c>
      <c r="CT82" s="460">
        <f t="shared" si="101"/>
        <v>0</v>
      </c>
      <c r="CU82" s="582">
        <f t="shared" si="99"/>
        <v>0</v>
      </c>
      <c r="CV82" s="113">
        <f t="shared" si="99"/>
        <v>0</v>
      </c>
      <c r="CW82" s="113">
        <f t="shared" si="99"/>
        <v>0</v>
      </c>
      <c r="CX82" s="113">
        <f t="shared" si="99"/>
        <v>0</v>
      </c>
      <c r="CY82" s="459">
        <f t="shared" si="99"/>
        <v>0</v>
      </c>
      <c r="CZ82" s="461">
        <f t="shared" si="99"/>
        <v>1</v>
      </c>
      <c r="DA82" s="582">
        <f t="shared" si="99"/>
        <v>1</v>
      </c>
      <c r="DB82" s="113">
        <f t="shared" si="99"/>
        <v>0</v>
      </c>
      <c r="DC82" s="113">
        <f t="shared" si="99"/>
        <v>0</v>
      </c>
      <c r="DD82" s="113">
        <f t="shared" si="99"/>
        <v>1</v>
      </c>
      <c r="DE82" s="460">
        <f t="shared" si="99"/>
        <v>0</v>
      </c>
      <c r="DF82" s="582">
        <f t="shared" si="99"/>
        <v>0</v>
      </c>
      <c r="DG82" s="113">
        <f t="shared" si="99"/>
        <v>0</v>
      </c>
      <c r="DH82" s="113">
        <f t="shared" si="99"/>
        <v>0</v>
      </c>
      <c r="DI82" s="113">
        <f t="shared" si="99"/>
        <v>0</v>
      </c>
      <c r="DJ82" s="459">
        <f t="shared" si="98"/>
        <v>0</v>
      </c>
      <c r="DK82" s="461">
        <f t="shared" si="98"/>
        <v>0</v>
      </c>
      <c r="DL82" s="582">
        <f t="shared" si="98"/>
        <v>0</v>
      </c>
      <c r="DM82" s="113">
        <f t="shared" si="98"/>
        <v>0</v>
      </c>
      <c r="DN82" s="113">
        <f t="shared" si="98"/>
        <v>0</v>
      </c>
      <c r="DO82" s="113">
        <f t="shared" si="98"/>
        <v>0</v>
      </c>
      <c r="DP82" s="460">
        <f t="shared" si="98"/>
        <v>0</v>
      </c>
      <c r="DQ82" s="582">
        <f t="shared" si="98"/>
        <v>0</v>
      </c>
      <c r="DR82" s="113">
        <f t="shared" si="98"/>
        <v>0</v>
      </c>
      <c r="DS82" s="113">
        <f t="shared" si="98"/>
        <v>0</v>
      </c>
      <c r="DT82" s="113">
        <f t="shared" si="98"/>
        <v>0</v>
      </c>
      <c r="DU82" s="459">
        <f t="shared" si="98"/>
        <v>0</v>
      </c>
      <c r="DW82" s="461">
        <f t="shared" si="102"/>
        <v>55</v>
      </c>
      <c r="DX82" s="582">
        <f t="shared" si="102"/>
        <v>36</v>
      </c>
      <c r="DY82" s="113">
        <f t="shared" si="102"/>
        <v>25</v>
      </c>
      <c r="DZ82" s="113">
        <f t="shared" si="100"/>
        <v>0</v>
      </c>
      <c r="EA82" s="113">
        <f t="shared" si="100"/>
        <v>11</v>
      </c>
      <c r="EB82" s="460">
        <f t="shared" si="100"/>
        <v>0</v>
      </c>
      <c r="EC82" s="582">
        <f t="shared" si="100"/>
        <v>19</v>
      </c>
      <c r="ED82" s="113">
        <f t="shared" si="100"/>
        <v>6</v>
      </c>
      <c r="EE82" s="113">
        <f t="shared" si="100"/>
        <v>0</v>
      </c>
      <c r="EF82" s="113">
        <f t="shared" si="76"/>
        <v>12</v>
      </c>
      <c r="EG82" s="459">
        <f t="shared" si="76"/>
        <v>1</v>
      </c>
      <c r="EH82" s="461">
        <f t="shared" si="91"/>
        <v>16</v>
      </c>
      <c r="EI82" s="582">
        <f t="shared" si="91"/>
        <v>10</v>
      </c>
      <c r="EJ82" s="113">
        <f t="shared" si="89"/>
        <v>8</v>
      </c>
      <c r="EK82" s="113">
        <f t="shared" si="89"/>
        <v>0</v>
      </c>
      <c r="EL82" s="113">
        <f t="shared" si="89"/>
        <v>2</v>
      </c>
      <c r="EM82" s="460">
        <f t="shared" si="89"/>
        <v>0</v>
      </c>
      <c r="EN82" s="582">
        <f t="shared" si="89"/>
        <v>6</v>
      </c>
      <c r="EO82" s="113">
        <f t="shared" si="89"/>
        <v>4</v>
      </c>
      <c r="EP82" s="113">
        <f t="shared" si="89"/>
        <v>0</v>
      </c>
      <c r="EQ82" s="113">
        <f t="shared" si="89"/>
        <v>1</v>
      </c>
      <c r="ER82" s="459">
        <f t="shared" si="89"/>
        <v>1</v>
      </c>
    </row>
    <row r="83" spans="1:148">
      <c r="A83" s="466" t="s">
        <v>412</v>
      </c>
      <c r="B83" s="581">
        <v>43922</v>
      </c>
      <c r="C83" s="470">
        <v>2020</v>
      </c>
      <c r="D83" s="461">
        <f t="shared" si="72"/>
        <v>109197</v>
      </c>
      <c r="E83" s="461">
        <f t="shared" si="93"/>
        <v>1761</v>
      </c>
      <c r="F83" s="582">
        <f t="shared" si="93"/>
        <v>1337</v>
      </c>
      <c r="G83" s="113">
        <f t="shared" si="93"/>
        <v>1122</v>
      </c>
      <c r="H83" s="113">
        <f t="shared" si="93"/>
        <v>0</v>
      </c>
      <c r="I83" s="113">
        <f t="shared" si="93"/>
        <v>215</v>
      </c>
      <c r="J83" s="460">
        <f t="shared" si="93"/>
        <v>0</v>
      </c>
      <c r="K83" s="582">
        <f t="shared" si="93"/>
        <v>424</v>
      </c>
      <c r="L83" s="113">
        <f t="shared" si="93"/>
        <v>210</v>
      </c>
      <c r="M83" s="113">
        <f t="shared" si="93"/>
        <v>0</v>
      </c>
      <c r="N83" s="113">
        <f t="shared" si="93"/>
        <v>192</v>
      </c>
      <c r="O83" s="459">
        <f t="shared" si="93"/>
        <v>22</v>
      </c>
      <c r="P83" s="461">
        <f t="shared" si="93"/>
        <v>5</v>
      </c>
      <c r="Q83" s="582">
        <f t="shared" si="93"/>
        <v>3</v>
      </c>
      <c r="R83" s="113">
        <f t="shared" si="93"/>
        <v>2</v>
      </c>
      <c r="S83" s="113">
        <f t="shared" si="93"/>
        <v>0</v>
      </c>
      <c r="T83" s="113">
        <f t="shared" si="93"/>
        <v>1</v>
      </c>
      <c r="U83" s="460">
        <f t="shared" si="92"/>
        <v>0</v>
      </c>
      <c r="V83" s="582">
        <f t="shared" si="92"/>
        <v>2</v>
      </c>
      <c r="W83" s="113">
        <f t="shared" si="92"/>
        <v>1</v>
      </c>
      <c r="X83" s="113">
        <f t="shared" si="92"/>
        <v>0</v>
      </c>
      <c r="Y83" s="113">
        <f t="shared" si="92"/>
        <v>1</v>
      </c>
      <c r="Z83" s="459">
        <f t="shared" si="92"/>
        <v>0</v>
      </c>
      <c r="AA83" s="461">
        <f t="shared" si="92"/>
        <v>1</v>
      </c>
      <c r="AB83" s="582">
        <f t="shared" si="92"/>
        <v>1</v>
      </c>
      <c r="AC83" s="113">
        <f t="shared" si="92"/>
        <v>0</v>
      </c>
      <c r="AD83" s="113">
        <f t="shared" si="92"/>
        <v>0</v>
      </c>
      <c r="AE83" s="113">
        <f t="shared" si="92"/>
        <v>1</v>
      </c>
      <c r="AF83" s="460">
        <f t="shared" si="92"/>
        <v>0</v>
      </c>
      <c r="AG83" s="582">
        <f t="shared" si="92"/>
        <v>0</v>
      </c>
      <c r="AH83" s="113">
        <f t="shared" si="92"/>
        <v>0</v>
      </c>
      <c r="AI83" s="113">
        <f t="shared" si="92"/>
        <v>0</v>
      </c>
      <c r="AJ83" s="113">
        <f t="shared" si="92"/>
        <v>0</v>
      </c>
      <c r="AK83" s="459">
        <f t="shared" si="92"/>
        <v>0</v>
      </c>
      <c r="AL83" s="461">
        <f t="shared" si="92"/>
        <v>18</v>
      </c>
      <c r="AM83" s="582">
        <f t="shared" ref="AM83:CT87" si="103">SUMIFS(AM$5:AM$36,$B$5:$B$36,$A83)</f>
        <v>13</v>
      </c>
      <c r="AN83" s="113">
        <f t="shared" si="103"/>
        <v>12</v>
      </c>
      <c r="AO83" s="113">
        <f t="shared" si="103"/>
        <v>0</v>
      </c>
      <c r="AP83" s="113">
        <f t="shared" si="103"/>
        <v>1</v>
      </c>
      <c r="AQ83" s="460">
        <f t="shared" si="103"/>
        <v>0</v>
      </c>
      <c r="AR83" s="582">
        <f t="shared" si="103"/>
        <v>5</v>
      </c>
      <c r="AS83" s="113">
        <f t="shared" si="103"/>
        <v>4</v>
      </c>
      <c r="AT83" s="113">
        <f t="shared" si="103"/>
        <v>0</v>
      </c>
      <c r="AU83" s="113">
        <f t="shared" si="103"/>
        <v>1</v>
      </c>
      <c r="AV83" s="459">
        <f t="shared" si="103"/>
        <v>0</v>
      </c>
      <c r="AW83" s="461">
        <f t="shared" si="103"/>
        <v>9</v>
      </c>
      <c r="AX83" s="582">
        <f t="shared" si="103"/>
        <v>7</v>
      </c>
      <c r="AY83" s="113">
        <f t="shared" si="103"/>
        <v>6</v>
      </c>
      <c r="AZ83" s="113">
        <f t="shared" si="103"/>
        <v>0</v>
      </c>
      <c r="BA83" s="113">
        <f t="shared" si="103"/>
        <v>1</v>
      </c>
      <c r="BB83" s="460">
        <f t="shared" si="103"/>
        <v>0</v>
      </c>
      <c r="BC83" s="582">
        <f t="shared" si="103"/>
        <v>2</v>
      </c>
      <c r="BD83" s="113">
        <f t="shared" si="103"/>
        <v>1</v>
      </c>
      <c r="BE83" s="113">
        <f t="shared" si="103"/>
        <v>0</v>
      </c>
      <c r="BF83" s="113">
        <f t="shared" si="103"/>
        <v>1</v>
      </c>
      <c r="BG83" s="459">
        <f t="shared" si="103"/>
        <v>0</v>
      </c>
      <c r="BH83" s="461">
        <f t="shared" si="103"/>
        <v>7</v>
      </c>
      <c r="BI83" s="582">
        <f t="shared" si="103"/>
        <v>5</v>
      </c>
      <c r="BJ83" s="113">
        <f t="shared" si="103"/>
        <v>5</v>
      </c>
      <c r="BK83" s="113">
        <f t="shared" si="103"/>
        <v>0</v>
      </c>
      <c r="BL83" s="113">
        <f t="shared" si="103"/>
        <v>0</v>
      </c>
      <c r="BM83" s="460">
        <f t="shared" si="103"/>
        <v>0</v>
      </c>
      <c r="BN83" s="582">
        <f t="shared" si="103"/>
        <v>2</v>
      </c>
      <c r="BO83" s="113">
        <f t="shared" si="103"/>
        <v>1</v>
      </c>
      <c r="BP83" s="113">
        <f t="shared" si="103"/>
        <v>0</v>
      </c>
      <c r="BQ83" s="113">
        <f t="shared" si="103"/>
        <v>1</v>
      </c>
      <c r="BR83" s="459">
        <f t="shared" si="103"/>
        <v>0</v>
      </c>
      <c r="BS83" s="461">
        <f t="shared" si="103"/>
        <v>18</v>
      </c>
      <c r="BT83" s="582">
        <f t="shared" si="103"/>
        <v>15</v>
      </c>
      <c r="BU83" s="113">
        <f t="shared" si="103"/>
        <v>14</v>
      </c>
      <c r="BV83" s="113">
        <f t="shared" si="103"/>
        <v>0</v>
      </c>
      <c r="BW83" s="113">
        <f t="shared" si="103"/>
        <v>1</v>
      </c>
      <c r="BX83" s="460">
        <f t="shared" si="103"/>
        <v>0</v>
      </c>
      <c r="BY83" s="582">
        <f t="shared" si="103"/>
        <v>3</v>
      </c>
      <c r="BZ83" s="113">
        <f t="shared" si="103"/>
        <v>1</v>
      </c>
      <c r="CA83" s="113">
        <f t="shared" si="103"/>
        <v>0</v>
      </c>
      <c r="CB83" s="113">
        <f t="shared" si="103"/>
        <v>1</v>
      </c>
      <c r="CC83" s="459">
        <f t="shared" si="103"/>
        <v>1</v>
      </c>
      <c r="CD83" s="461">
        <f t="shared" si="103"/>
        <v>3</v>
      </c>
      <c r="CE83" s="582">
        <f t="shared" si="103"/>
        <v>3</v>
      </c>
      <c r="CF83" s="113">
        <f t="shared" si="103"/>
        <v>3</v>
      </c>
      <c r="CG83" s="113">
        <f t="shared" si="103"/>
        <v>0</v>
      </c>
      <c r="CH83" s="113">
        <f t="shared" si="103"/>
        <v>0</v>
      </c>
      <c r="CI83" s="460">
        <f t="shared" si="103"/>
        <v>0</v>
      </c>
      <c r="CJ83" s="582">
        <f t="shared" si="103"/>
        <v>0</v>
      </c>
      <c r="CK83" s="113">
        <f t="shared" si="103"/>
        <v>0</v>
      </c>
      <c r="CL83" s="113">
        <f t="shared" si="103"/>
        <v>0</v>
      </c>
      <c r="CM83" s="113">
        <f t="shared" si="103"/>
        <v>0</v>
      </c>
      <c r="CN83" s="459">
        <f t="shared" si="103"/>
        <v>0</v>
      </c>
      <c r="CO83" s="461">
        <f t="shared" si="103"/>
        <v>1</v>
      </c>
      <c r="CP83" s="582">
        <f t="shared" si="103"/>
        <v>1</v>
      </c>
      <c r="CQ83" s="113">
        <f t="shared" si="103"/>
        <v>1</v>
      </c>
      <c r="CR83" s="113">
        <f t="shared" si="103"/>
        <v>0</v>
      </c>
      <c r="CS83" s="113">
        <f t="shared" si="103"/>
        <v>0</v>
      </c>
      <c r="CT83" s="460">
        <f t="shared" si="101"/>
        <v>0</v>
      </c>
      <c r="CU83" s="582">
        <f t="shared" si="101"/>
        <v>0</v>
      </c>
      <c r="CV83" s="113">
        <f t="shared" si="101"/>
        <v>0</v>
      </c>
      <c r="CW83" s="113">
        <f t="shared" si="101"/>
        <v>0</v>
      </c>
      <c r="CX83" s="113">
        <f t="shared" si="99"/>
        <v>0</v>
      </c>
      <c r="CY83" s="459">
        <f t="shared" si="99"/>
        <v>0</v>
      </c>
      <c r="CZ83" s="461">
        <f t="shared" si="99"/>
        <v>0</v>
      </c>
      <c r="DA83" s="582">
        <f t="shared" si="99"/>
        <v>0</v>
      </c>
      <c r="DB83" s="113">
        <f t="shared" si="99"/>
        <v>0</v>
      </c>
      <c r="DC83" s="113">
        <f t="shared" si="99"/>
        <v>0</v>
      </c>
      <c r="DD83" s="113">
        <f t="shared" si="99"/>
        <v>0</v>
      </c>
      <c r="DE83" s="460">
        <f t="shared" si="99"/>
        <v>0</v>
      </c>
      <c r="DF83" s="582">
        <f t="shared" si="99"/>
        <v>0</v>
      </c>
      <c r="DG83" s="113">
        <f t="shared" si="99"/>
        <v>0</v>
      </c>
      <c r="DH83" s="113">
        <f t="shared" si="99"/>
        <v>0</v>
      </c>
      <c r="DI83" s="113">
        <f t="shared" si="99"/>
        <v>0</v>
      </c>
      <c r="DJ83" s="459">
        <f t="shared" si="98"/>
        <v>0</v>
      </c>
      <c r="DK83" s="461">
        <f t="shared" si="98"/>
        <v>0</v>
      </c>
      <c r="DL83" s="582">
        <f t="shared" si="98"/>
        <v>0</v>
      </c>
      <c r="DM83" s="113">
        <f t="shared" si="98"/>
        <v>0</v>
      </c>
      <c r="DN83" s="113">
        <f t="shared" si="98"/>
        <v>0</v>
      </c>
      <c r="DO83" s="113">
        <f t="shared" si="98"/>
        <v>0</v>
      </c>
      <c r="DP83" s="460">
        <f t="shared" si="98"/>
        <v>0</v>
      </c>
      <c r="DQ83" s="582">
        <f t="shared" si="98"/>
        <v>0</v>
      </c>
      <c r="DR83" s="113">
        <f t="shared" si="98"/>
        <v>0</v>
      </c>
      <c r="DS83" s="113">
        <f t="shared" si="98"/>
        <v>0</v>
      </c>
      <c r="DT83" s="113">
        <f t="shared" si="98"/>
        <v>0</v>
      </c>
      <c r="DU83" s="459">
        <f t="shared" si="98"/>
        <v>0</v>
      </c>
      <c r="DW83" s="461">
        <f t="shared" si="102"/>
        <v>44</v>
      </c>
      <c r="DX83" s="582">
        <f t="shared" si="102"/>
        <v>35</v>
      </c>
      <c r="DY83" s="113">
        <f t="shared" si="102"/>
        <v>31</v>
      </c>
      <c r="DZ83" s="113">
        <f t="shared" si="100"/>
        <v>0</v>
      </c>
      <c r="EA83" s="113">
        <f t="shared" si="100"/>
        <v>4</v>
      </c>
      <c r="EB83" s="460">
        <f t="shared" si="100"/>
        <v>0</v>
      </c>
      <c r="EC83" s="582">
        <f t="shared" si="100"/>
        <v>9</v>
      </c>
      <c r="ED83" s="113">
        <f t="shared" si="100"/>
        <v>4</v>
      </c>
      <c r="EE83" s="113">
        <f t="shared" si="100"/>
        <v>0</v>
      </c>
      <c r="EF83" s="113">
        <f t="shared" si="76"/>
        <v>4</v>
      </c>
      <c r="EG83" s="459">
        <f t="shared" si="76"/>
        <v>1</v>
      </c>
      <c r="EH83" s="461">
        <f t="shared" si="91"/>
        <v>18</v>
      </c>
      <c r="EI83" s="582">
        <f t="shared" si="91"/>
        <v>13</v>
      </c>
      <c r="EJ83" s="113">
        <f t="shared" si="89"/>
        <v>12</v>
      </c>
      <c r="EK83" s="113">
        <f t="shared" si="89"/>
        <v>0</v>
      </c>
      <c r="EL83" s="113">
        <f t="shared" si="89"/>
        <v>1</v>
      </c>
      <c r="EM83" s="460">
        <f t="shared" si="89"/>
        <v>0</v>
      </c>
      <c r="EN83" s="582">
        <f t="shared" si="89"/>
        <v>5</v>
      </c>
      <c r="EO83" s="113">
        <f t="shared" si="89"/>
        <v>4</v>
      </c>
      <c r="EP83" s="113">
        <f t="shared" si="89"/>
        <v>0</v>
      </c>
      <c r="EQ83" s="113">
        <f t="shared" si="89"/>
        <v>1</v>
      </c>
      <c r="ER83" s="459">
        <f t="shared" si="89"/>
        <v>0</v>
      </c>
    </row>
    <row r="84" spans="1:148">
      <c r="A84" s="466" t="s">
        <v>412</v>
      </c>
      <c r="B84" s="581">
        <v>43952</v>
      </c>
      <c r="C84" s="470">
        <v>2020</v>
      </c>
      <c r="D84" s="461">
        <f t="shared" si="72"/>
        <v>109197</v>
      </c>
      <c r="E84" s="461">
        <f t="shared" si="93"/>
        <v>1761</v>
      </c>
      <c r="F84" s="582">
        <f t="shared" si="93"/>
        <v>1337</v>
      </c>
      <c r="G84" s="113">
        <f t="shared" si="93"/>
        <v>1122</v>
      </c>
      <c r="H84" s="113">
        <f t="shared" si="93"/>
        <v>0</v>
      </c>
      <c r="I84" s="113">
        <f t="shared" si="93"/>
        <v>215</v>
      </c>
      <c r="J84" s="460">
        <f t="shared" si="93"/>
        <v>0</v>
      </c>
      <c r="K84" s="582">
        <f t="shared" si="93"/>
        <v>424</v>
      </c>
      <c r="L84" s="113">
        <f t="shared" si="93"/>
        <v>210</v>
      </c>
      <c r="M84" s="113">
        <f t="shared" si="93"/>
        <v>0</v>
      </c>
      <c r="N84" s="113">
        <f t="shared" si="93"/>
        <v>192</v>
      </c>
      <c r="O84" s="459">
        <f t="shared" si="93"/>
        <v>22</v>
      </c>
      <c r="P84" s="461">
        <f t="shared" si="93"/>
        <v>5</v>
      </c>
      <c r="Q84" s="582">
        <f t="shared" si="93"/>
        <v>3</v>
      </c>
      <c r="R84" s="113">
        <f t="shared" si="93"/>
        <v>2</v>
      </c>
      <c r="S84" s="113">
        <f t="shared" si="93"/>
        <v>0</v>
      </c>
      <c r="T84" s="113">
        <f t="shared" ref="T84:AV93" si="104">SUMIFS(T$5:T$36,$B$5:$B$36,$A84)</f>
        <v>1</v>
      </c>
      <c r="U84" s="460">
        <f t="shared" si="104"/>
        <v>0</v>
      </c>
      <c r="V84" s="582">
        <f t="shared" si="104"/>
        <v>2</v>
      </c>
      <c r="W84" s="113">
        <f t="shared" si="104"/>
        <v>1</v>
      </c>
      <c r="X84" s="113">
        <f t="shared" si="104"/>
        <v>0</v>
      </c>
      <c r="Y84" s="113">
        <f t="shared" si="104"/>
        <v>1</v>
      </c>
      <c r="Z84" s="459">
        <f t="shared" si="104"/>
        <v>0</v>
      </c>
      <c r="AA84" s="461">
        <f t="shared" si="104"/>
        <v>1</v>
      </c>
      <c r="AB84" s="582">
        <f t="shared" si="104"/>
        <v>1</v>
      </c>
      <c r="AC84" s="113">
        <f t="shared" si="104"/>
        <v>0</v>
      </c>
      <c r="AD84" s="113">
        <f t="shared" si="104"/>
        <v>0</v>
      </c>
      <c r="AE84" s="113">
        <f t="shared" si="104"/>
        <v>1</v>
      </c>
      <c r="AF84" s="460">
        <f t="shared" si="104"/>
        <v>0</v>
      </c>
      <c r="AG84" s="582">
        <f t="shared" si="104"/>
        <v>0</v>
      </c>
      <c r="AH84" s="113">
        <f t="shared" si="104"/>
        <v>0</v>
      </c>
      <c r="AI84" s="113">
        <f t="shared" si="104"/>
        <v>0</v>
      </c>
      <c r="AJ84" s="113">
        <f t="shared" si="104"/>
        <v>0</v>
      </c>
      <c r="AK84" s="459">
        <f t="shared" si="104"/>
        <v>0</v>
      </c>
      <c r="AL84" s="461">
        <f t="shared" si="104"/>
        <v>18</v>
      </c>
      <c r="AM84" s="582">
        <f t="shared" si="104"/>
        <v>13</v>
      </c>
      <c r="AN84" s="113">
        <f t="shared" si="104"/>
        <v>12</v>
      </c>
      <c r="AO84" s="113">
        <f t="shared" si="104"/>
        <v>0</v>
      </c>
      <c r="AP84" s="113">
        <f t="shared" si="104"/>
        <v>1</v>
      </c>
      <c r="AQ84" s="460">
        <f t="shared" si="104"/>
        <v>0</v>
      </c>
      <c r="AR84" s="582">
        <f t="shared" si="104"/>
        <v>5</v>
      </c>
      <c r="AS84" s="113">
        <f t="shared" si="104"/>
        <v>4</v>
      </c>
      <c r="AT84" s="113">
        <f t="shared" si="104"/>
        <v>0</v>
      </c>
      <c r="AU84" s="113">
        <f t="shared" si="104"/>
        <v>1</v>
      </c>
      <c r="AV84" s="459">
        <f t="shared" si="104"/>
        <v>0</v>
      </c>
      <c r="AW84" s="461">
        <f t="shared" si="103"/>
        <v>9</v>
      </c>
      <c r="AX84" s="582">
        <f t="shared" si="103"/>
        <v>7</v>
      </c>
      <c r="AY84" s="113">
        <f t="shared" si="103"/>
        <v>6</v>
      </c>
      <c r="AZ84" s="113">
        <f t="shared" si="103"/>
        <v>0</v>
      </c>
      <c r="BA84" s="113">
        <f t="shared" si="103"/>
        <v>1</v>
      </c>
      <c r="BB84" s="460">
        <f t="shared" si="103"/>
        <v>0</v>
      </c>
      <c r="BC84" s="582">
        <f t="shared" si="103"/>
        <v>2</v>
      </c>
      <c r="BD84" s="113">
        <f t="shared" si="103"/>
        <v>1</v>
      </c>
      <c r="BE84" s="113">
        <f t="shared" si="103"/>
        <v>0</v>
      </c>
      <c r="BF84" s="113">
        <f t="shared" si="103"/>
        <v>1</v>
      </c>
      <c r="BG84" s="459">
        <f t="shared" si="103"/>
        <v>0</v>
      </c>
      <c r="BH84" s="461">
        <f t="shared" si="103"/>
        <v>7</v>
      </c>
      <c r="BI84" s="582">
        <f t="shared" si="103"/>
        <v>5</v>
      </c>
      <c r="BJ84" s="113">
        <f t="shared" si="103"/>
        <v>5</v>
      </c>
      <c r="BK84" s="113">
        <f t="shared" si="103"/>
        <v>0</v>
      </c>
      <c r="BL84" s="113">
        <f t="shared" si="103"/>
        <v>0</v>
      </c>
      <c r="BM84" s="460">
        <f t="shared" si="103"/>
        <v>0</v>
      </c>
      <c r="BN84" s="582">
        <f t="shared" si="103"/>
        <v>2</v>
      </c>
      <c r="BO84" s="113">
        <f t="shared" si="103"/>
        <v>1</v>
      </c>
      <c r="BP84" s="113">
        <f t="shared" si="103"/>
        <v>0</v>
      </c>
      <c r="BQ84" s="113">
        <f t="shared" si="103"/>
        <v>1</v>
      </c>
      <c r="BR84" s="459">
        <f t="shared" si="103"/>
        <v>0</v>
      </c>
      <c r="BS84" s="461">
        <f t="shared" si="103"/>
        <v>18</v>
      </c>
      <c r="BT84" s="582">
        <f t="shared" si="103"/>
        <v>15</v>
      </c>
      <c r="BU84" s="113">
        <f t="shared" si="103"/>
        <v>14</v>
      </c>
      <c r="BV84" s="113">
        <f t="shared" si="103"/>
        <v>0</v>
      </c>
      <c r="BW84" s="113">
        <f t="shared" si="103"/>
        <v>1</v>
      </c>
      <c r="BX84" s="460">
        <f t="shared" si="103"/>
        <v>0</v>
      </c>
      <c r="BY84" s="582">
        <f t="shared" si="103"/>
        <v>3</v>
      </c>
      <c r="BZ84" s="113">
        <f t="shared" si="103"/>
        <v>1</v>
      </c>
      <c r="CA84" s="113">
        <f t="shared" si="103"/>
        <v>0</v>
      </c>
      <c r="CB84" s="113">
        <f t="shared" si="103"/>
        <v>1</v>
      </c>
      <c r="CC84" s="459">
        <f t="shared" si="103"/>
        <v>1</v>
      </c>
      <c r="CD84" s="461">
        <f t="shared" si="103"/>
        <v>3</v>
      </c>
      <c r="CE84" s="582">
        <f t="shared" si="103"/>
        <v>3</v>
      </c>
      <c r="CF84" s="113">
        <f t="shared" si="103"/>
        <v>3</v>
      </c>
      <c r="CG84" s="113">
        <f t="shared" si="103"/>
        <v>0</v>
      </c>
      <c r="CH84" s="113">
        <f t="shared" si="103"/>
        <v>0</v>
      </c>
      <c r="CI84" s="460">
        <f t="shared" si="103"/>
        <v>0</v>
      </c>
      <c r="CJ84" s="582">
        <f t="shared" si="103"/>
        <v>0</v>
      </c>
      <c r="CK84" s="113">
        <f t="shared" si="103"/>
        <v>0</v>
      </c>
      <c r="CL84" s="113">
        <f t="shared" si="103"/>
        <v>0</v>
      </c>
      <c r="CM84" s="113">
        <f t="shared" si="103"/>
        <v>0</v>
      </c>
      <c r="CN84" s="459">
        <f t="shared" si="103"/>
        <v>0</v>
      </c>
      <c r="CO84" s="461">
        <f t="shared" si="103"/>
        <v>1</v>
      </c>
      <c r="CP84" s="582">
        <f t="shared" si="103"/>
        <v>1</v>
      </c>
      <c r="CQ84" s="113">
        <f t="shared" si="103"/>
        <v>1</v>
      </c>
      <c r="CR84" s="113">
        <f t="shared" si="103"/>
        <v>0</v>
      </c>
      <c r="CS84" s="113">
        <f t="shared" si="103"/>
        <v>0</v>
      </c>
      <c r="CT84" s="460">
        <f t="shared" si="103"/>
        <v>0</v>
      </c>
      <c r="CU84" s="582">
        <f t="shared" si="101"/>
        <v>0</v>
      </c>
      <c r="CV84" s="113">
        <f t="shared" si="101"/>
        <v>0</v>
      </c>
      <c r="CW84" s="113">
        <f t="shared" si="101"/>
        <v>0</v>
      </c>
      <c r="CX84" s="113">
        <f t="shared" si="99"/>
        <v>0</v>
      </c>
      <c r="CY84" s="459">
        <f t="shared" si="99"/>
        <v>0</v>
      </c>
      <c r="CZ84" s="461">
        <f t="shared" si="99"/>
        <v>0</v>
      </c>
      <c r="DA84" s="582">
        <f t="shared" si="99"/>
        <v>0</v>
      </c>
      <c r="DB84" s="113">
        <f t="shared" si="99"/>
        <v>0</v>
      </c>
      <c r="DC84" s="113">
        <f t="shared" si="99"/>
        <v>0</v>
      </c>
      <c r="DD84" s="113">
        <f t="shared" si="99"/>
        <v>0</v>
      </c>
      <c r="DE84" s="460">
        <f t="shared" si="99"/>
        <v>0</v>
      </c>
      <c r="DF84" s="582">
        <f t="shared" si="99"/>
        <v>0</v>
      </c>
      <c r="DG84" s="113">
        <f t="shared" si="99"/>
        <v>0</v>
      </c>
      <c r="DH84" s="113">
        <f t="shared" si="99"/>
        <v>0</v>
      </c>
      <c r="DI84" s="113">
        <f t="shared" si="99"/>
        <v>0</v>
      </c>
      <c r="DJ84" s="459">
        <f t="shared" si="98"/>
        <v>0</v>
      </c>
      <c r="DK84" s="461">
        <f t="shared" si="98"/>
        <v>0</v>
      </c>
      <c r="DL84" s="582">
        <f t="shared" si="98"/>
        <v>0</v>
      </c>
      <c r="DM84" s="113">
        <f t="shared" si="98"/>
        <v>0</v>
      </c>
      <c r="DN84" s="113">
        <f t="shared" si="98"/>
        <v>0</v>
      </c>
      <c r="DO84" s="113">
        <f t="shared" si="98"/>
        <v>0</v>
      </c>
      <c r="DP84" s="460">
        <f t="shared" si="98"/>
        <v>0</v>
      </c>
      <c r="DQ84" s="582">
        <f t="shared" si="98"/>
        <v>0</v>
      </c>
      <c r="DR84" s="113">
        <f t="shared" si="98"/>
        <v>0</v>
      </c>
      <c r="DS84" s="113">
        <f t="shared" si="98"/>
        <v>0</v>
      </c>
      <c r="DT84" s="113">
        <f t="shared" si="98"/>
        <v>0</v>
      </c>
      <c r="DU84" s="459">
        <f t="shared" si="98"/>
        <v>0</v>
      </c>
      <c r="DW84" s="461">
        <f t="shared" si="102"/>
        <v>44</v>
      </c>
      <c r="DX84" s="582">
        <f t="shared" si="102"/>
        <v>35</v>
      </c>
      <c r="DY84" s="113">
        <f t="shared" si="102"/>
        <v>31</v>
      </c>
      <c r="DZ84" s="113">
        <f t="shared" si="100"/>
        <v>0</v>
      </c>
      <c r="EA84" s="113">
        <f t="shared" si="100"/>
        <v>4</v>
      </c>
      <c r="EB84" s="460">
        <f t="shared" si="100"/>
        <v>0</v>
      </c>
      <c r="EC84" s="582">
        <f t="shared" si="100"/>
        <v>9</v>
      </c>
      <c r="ED84" s="113">
        <f t="shared" si="100"/>
        <v>4</v>
      </c>
      <c r="EE84" s="113">
        <f t="shared" si="100"/>
        <v>0</v>
      </c>
      <c r="EF84" s="113">
        <f t="shared" si="76"/>
        <v>4</v>
      </c>
      <c r="EG84" s="459">
        <f t="shared" si="76"/>
        <v>1</v>
      </c>
      <c r="EH84" s="461">
        <f t="shared" si="91"/>
        <v>18</v>
      </c>
      <c r="EI84" s="582">
        <f t="shared" si="91"/>
        <v>13</v>
      </c>
      <c r="EJ84" s="113">
        <f t="shared" si="89"/>
        <v>12</v>
      </c>
      <c r="EK84" s="113">
        <f t="shared" si="89"/>
        <v>0</v>
      </c>
      <c r="EL84" s="113">
        <f t="shared" si="89"/>
        <v>1</v>
      </c>
      <c r="EM84" s="460">
        <f t="shared" si="89"/>
        <v>0</v>
      </c>
      <c r="EN84" s="582">
        <f t="shared" si="89"/>
        <v>5</v>
      </c>
      <c r="EO84" s="113">
        <f t="shared" si="89"/>
        <v>4</v>
      </c>
      <c r="EP84" s="113">
        <f t="shared" si="89"/>
        <v>0</v>
      </c>
      <c r="EQ84" s="113">
        <f t="shared" si="89"/>
        <v>1</v>
      </c>
      <c r="ER84" s="459">
        <f t="shared" si="89"/>
        <v>0</v>
      </c>
    </row>
    <row r="85" spans="1:148">
      <c r="A85" s="466" t="s">
        <v>412</v>
      </c>
      <c r="B85" s="581">
        <v>43983</v>
      </c>
      <c r="C85" s="470">
        <v>2020</v>
      </c>
      <c r="D85" s="461">
        <f t="shared" si="72"/>
        <v>109197</v>
      </c>
      <c r="E85" s="461">
        <f t="shared" ref="E85:T100" si="105">SUMIFS(E$5:E$36,$B$5:$B$36,$A85)</f>
        <v>1761</v>
      </c>
      <c r="F85" s="582">
        <f t="shared" si="105"/>
        <v>1337</v>
      </c>
      <c r="G85" s="113">
        <f t="shared" si="105"/>
        <v>1122</v>
      </c>
      <c r="H85" s="113">
        <f t="shared" si="105"/>
        <v>0</v>
      </c>
      <c r="I85" s="113">
        <f t="shared" si="105"/>
        <v>215</v>
      </c>
      <c r="J85" s="460">
        <f t="shared" si="105"/>
        <v>0</v>
      </c>
      <c r="K85" s="582">
        <f t="shared" si="105"/>
        <v>424</v>
      </c>
      <c r="L85" s="113">
        <f t="shared" si="105"/>
        <v>210</v>
      </c>
      <c r="M85" s="113">
        <f t="shared" si="105"/>
        <v>0</v>
      </c>
      <c r="N85" s="113">
        <f t="shared" si="105"/>
        <v>192</v>
      </c>
      <c r="O85" s="459">
        <f t="shared" si="105"/>
        <v>22</v>
      </c>
      <c r="P85" s="461">
        <f t="shared" si="105"/>
        <v>5</v>
      </c>
      <c r="Q85" s="582">
        <f t="shared" si="105"/>
        <v>3</v>
      </c>
      <c r="R85" s="113">
        <f t="shared" si="105"/>
        <v>2</v>
      </c>
      <c r="S85" s="113">
        <f t="shared" si="105"/>
        <v>0</v>
      </c>
      <c r="T85" s="113">
        <f t="shared" si="105"/>
        <v>1</v>
      </c>
      <c r="U85" s="460">
        <f t="shared" si="104"/>
        <v>0</v>
      </c>
      <c r="V85" s="582">
        <f t="shared" si="104"/>
        <v>2</v>
      </c>
      <c r="W85" s="113">
        <f t="shared" si="104"/>
        <v>1</v>
      </c>
      <c r="X85" s="113">
        <f t="shared" si="104"/>
        <v>0</v>
      </c>
      <c r="Y85" s="113">
        <f t="shared" si="104"/>
        <v>1</v>
      </c>
      <c r="Z85" s="459">
        <f t="shared" si="104"/>
        <v>0</v>
      </c>
      <c r="AA85" s="461">
        <f t="shared" si="104"/>
        <v>1</v>
      </c>
      <c r="AB85" s="582">
        <f t="shared" si="104"/>
        <v>1</v>
      </c>
      <c r="AC85" s="113">
        <f t="shared" si="104"/>
        <v>0</v>
      </c>
      <c r="AD85" s="113">
        <f t="shared" si="104"/>
        <v>0</v>
      </c>
      <c r="AE85" s="113">
        <f t="shared" si="104"/>
        <v>1</v>
      </c>
      <c r="AF85" s="460">
        <f t="shared" si="104"/>
        <v>0</v>
      </c>
      <c r="AG85" s="582">
        <f t="shared" si="104"/>
        <v>0</v>
      </c>
      <c r="AH85" s="113">
        <f t="shared" si="104"/>
        <v>0</v>
      </c>
      <c r="AI85" s="113">
        <f t="shared" si="104"/>
        <v>0</v>
      </c>
      <c r="AJ85" s="113">
        <f t="shared" si="104"/>
        <v>0</v>
      </c>
      <c r="AK85" s="459">
        <f t="shared" si="104"/>
        <v>0</v>
      </c>
      <c r="AL85" s="461">
        <f t="shared" si="104"/>
        <v>18</v>
      </c>
      <c r="AM85" s="582">
        <f t="shared" si="104"/>
        <v>13</v>
      </c>
      <c r="AN85" s="113">
        <f t="shared" si="104"/>
        <v>12</v>
      </c>
      <c r="AO85" s="113">
        <f t="shared" si="104"/>
        <v>0</v>
      </c>
      <c r="AP85" s="113">
        <f t="shared" si="104"/>
        <v>1</v>
      </c>
      <c r="AQ85" s="460">
        <f t="shared" si="104"/>
        <v>0</v>
      </c>
      <c r="AR85" s="582">
        <f t="shared" si="104"/>
        <v>5</v>
      </c>
      <c r="AS85" s="113">
        <f t="shared" si="104"/>
        <v>4</v>
      </c>
      <c r="AT85" s="113">
        <f t="shared" si="104"/>
        <v>0</v>
      </c>
      <c r="AU85" s="113">
        <f t="shared" si="104"/>
        <v>1</v>
      </c>
      <c r="AV85" s="459">
        <f t="shared" si="104"/>
        <v>0</v>
      </c>
      <c r="AW85" s="461">
        <f t="shared" si="103"/>
        <v>9</v>
      </c>
      <c r="AX85" s="582">
        <f t="shared" si="103"/>
        <v>7</v>
      </c>
      <c r="AY85" s="113">
        <f t="shared" si="103"/>
        <v>6</v>
      </c>
      <c r="AZ85" s="113">
        <f t="shared" si="103"/>
        <v>0</v>
      </c>
      <c r="BA85" s="113">
        <f t="shared" si="103"/>
        <v>1</v>
      </c>
      <c r="BB85" s="460">
        <f t="shared" si="103"/>
        <v>0</v>
      </c>
      <c r="BC85" s="582">
        <f t="shared" si="103"/>
        <v>2</v>
      </c>
      <c r="BD85" s="113">
        <f t="shared" si="103"/>
        <v>1</v>
      </c>
      <c r="BE85" s="113">
        <f t="shared" si="103"/>
        <v>0</v>
      </c>
      <c r="BF85" s="113">
        <f t="shared" si="103"/>
        <v>1</v>
      </c>
      <c r="BG85" s="459">
        <f t="shared" si="103"/>
        <v>0</v>
      </c>
      <c r="BH85" s="461">
        <f t="shared" si="103"/>
        <v>7</v>
      </c>
      <c r="BI85" s="582">
        <f t="shared" si="103"/>
        <v>5</v>
      </c>
      <c r="BJ85" s="113">
        <f t="shared" si="103"/>
        <v>5</v>
      </c>
      <c r="BK85" s="113">
        <f t="shared" si="103"/>
        <v>0</v>
      </c>
      <c r="BL85" s="113">
        <f t="shared" si="103"/>
        <v>0</v>
      </c>
      <c r="BM85" s="460">
        <f t="shared" si="103"/>
        <v>0</v>
      </c>
      <c r="BN85" s="582">
        <f t="shared" si="103"/>
        <v>2</v>
      </c>
      <c r="BO85" s="113">
        <f t="shared" si="103"/>
        <v>1</v>
      </c>
      <c r="BP85" s="113">
        <f t="shared" si="103"/>
        <v>0</v>
      </c>
      <c r="BQ85" s="113">
        <f t="shared" si="103"/>
        <v>1</v>
      </c>
      <c r="BR85" s="459">
        <f t="shared" si="103"/>
        <v>0</v>
      </c>
      <c r="BS85" s="461">
        <f t="shared" si="103"/>
        <v>18</v>
      </c>
      <c r="BT85" s="582">
        <f t="shared" si="103"/>
        <v>15</v>
      </c>
      <c r="BU85" s="113">
        <f t="shared" si="103"/>
        <v>14</v>
      </c>
      <c r="BV85" s="113">
        <f t="shared" si="103"/>
        <v>0</v>
      </c>
      <c r="BW85" s="113">
        <f t="shared" si="103"/>
        <v>1</v>
      </c>
      <c r="BX85" s="460">
        <f t="shared" si="103"/>
        <v>0</v>
      </c>
      <c r="BY85" s="582">
        <f t="shared" si="103"/>
        <v>3</v>
      </c>
      <c r="BZ85" s="113">
        <f t="shared" si="103"/>
        <v>1</v>
      </c>
      <c r="CA85" s="113">
        <f t="shared" si="103"/>
        <v>0</v>
      </c>
      <c r="CB85" s="113">
        <f t="shared" si="103"/>
        <v>1</v>
      </c>
      <c r="CC85" s="459">
        <f t="shared" si="103"/>
        <v>1</v>
      </c>
      <c r="CD85" s="461">
        <f t="shared" si="103"/>
        <v>3</v>
      </c>
      <c r="CE85" s="582">
        <f t="shared" si="103"/>
        <v>3</v>
      </c>
      <c r="CF85" s="113">
        <f t="shared" si="103"/>
        <v>3</v>
      </c>
      <c r="CG85" s="113">
        <f t="shared" si="103"/>
        <v>0</v>
      </c>
      <c r="CH85" s="113">
        <f t="shared" si="103"/>
        <v>0</v>
      </c>
      <c r="CI85" s="460">
        <f t="shared" si="103"/>
        <v>0</v>
      </c>
      <c r="CJ85" s="582">
        <f t="shared" si="103"/>
        <v>0</v>
      </c>
      <c r="CK85" s="113">
        <f t="shared" si="103"/>
        <v>0</v>
      </c>
      <c r="CL85" s="113">
        <f t="shared" si="103"/>
        <v>0</v>
      </c>
      <c r="CM85" s="113">
        <f t="shared" si="103"/>
        <v>0</v>
      </c>
      <c r="CN85" s="459">
        <f t="shared" si="103"/>
        <v>0</v>
      </c>
      <c r="CO85" s="461">
        <f t="shared" si="103"/>
        <v>1</v>
      </c>
      <c r="CP85" s="582">
        <f t="shared" si="103"/>
        <v>1</v>
      </c>
      <c r="CQ85" s="113">
        <f t="shared" si="103"/>
        <v>1</v>
      </c>
      <c r="CR85" s="113">
        <f t="shared" si="103"/>
        <v>0</v>
      </c>
      <c r="CS85" s="113">
        <f t="shared" si="103"/>
        <v>0</v>
      </c>
      <c r="CT85" s="460">
        <f t="shared" si="103"/>
        <v>0</v>
      </c>
      <c r="CU85" s="582">
        <f t="shared" si="101"/>
        <v>0</v>
      </c>
      <c r="CV85" s="113">
        <f t="shared" si="101"/>
        <v>0</v>
      </c>
      <c r="CW85" s="113">
        <f t="shared" si="101"/>
        <v>0</v>
      </c>
      <c r="CX85" s="113">
        <f t="shared" si="99"/>
        <v>0</v>
      </c>
      <c r="CY85" s="459">
        <f t="shared" si="99"/>
        <v>0</v>
      </c>
      <c r="CZ85" s="461">
        <f t="shared" si="99"/>
        <v>0</v>
      </c>
      <c r="DA85" s="582">
        <f t="shared" si="99"/>
        <v>0</v>
      </c>
      <c r="DB85" s="113">
        <f t="shared" si="99"/>
        <v>0</v>
      </c>
      <c r="DC85" s="113">
        <f t="shared" si="99"/>
        <v>0</v>
      </c>
      <c r="DD85" s="113">
        <f t="shared" si="99"/>
        <v>0</v>
      </c>
      <c r="DE85" s="460">
        <f t="shared" si="99"/>
        <v>0</v>
      </c>
      <c r="DF85" s="582">
        <f t="shared" si="99"/>
        <v>0</v>
      </c>
      <c r="DG85" s="113">
        <f t="shared" si="99"/>
        <v>0</v>
      </c>
      <c r="DH85" s="113">
        <f t="shared" si="99"/>
        <v>0</v>
      </c>
      <c r="DI85" s="113">
        <f t="shared" si="99"/>
        <v>0</v>
      </c>
      <c r="DJ85" s="459">
        <f t="shared" si="98"/>
        <v>0</v>
      </c>
      <c r="DK85" s="461">
        <f t="shared" si="98"/>
        <v>0</v>
      </c>
      <c r="DL85" s="582">
        <f t="shared" si="98"/>
        <v>0</v>
      </c>
      <c r="DM85" s="113">
        <f t="shared" si="98"/>
        <v>0</v>
      </c>
      <c r="DN85" s="113">
        <f t="shared" si="98"/>
        <v>0</v>
      </c>
      <c r="DO85" s="113">
        <f t="shared" si="98"/>
        <v>0</v>
      </c>
      <c r="DP85" s="460">
        <f t="shared" si="98"/>
        <v>0</v>
      </c>
      <c r="DQ85" s="582">
        <f t="shared" si="98"/>
        <v>0</v>
      </c>
      <c r="DR85" s="113">
        <f t="shared" si="98"/>
        <v>0</v>
      </c>
      <c r="DS85" s="113">
        <f t="shared" si="98"/>
        <v>0</v>
      </c>
      <c r="DT85" s="113">
        <f t="shared" si="98"/>
        <v>0</v>
      </c>
      <c r="DU85" s="459">
        <f t="shared" si="98"/>
        <v>0</v>
      </c>
      <c r="DW85" s="461">
        <f t="shared" si="102"/>
        <v>44</v>
      </c>
      <c r="DX85" s="582">
        <f t="shared" si="102"/>
        <v>35</v>
      </c>
      <c r="DY85" s="113">
        <f t="shared" si="102"/>
        <v>31</v>
      </c>
      <c r="DZ85" s="113">
        <f t="shared" si="100"/>
        <v>0</v>
      </c>
      <c r="EA85" s="113">
        <f t="shared" si="100"/>
        <v>4</v>
      </c>
      <c r="EB85" s="460">
        <f t="shared" si="100"/>
        <v>0</v>
      </c>
      <c r="EC85" s="582">
        <f t="shared" si="100"/>
        <v>9</v>
      </c>
      <c r="ED85" s="113">
        <f t="shared" si="100"/>
        <v>4</v>
      </c>
      <c r="EE85" s="113">
        <f t="shared" si="100"/>
        <v>0</v>
      </c>
      <c r="EF85" s="113">
        <f t="shared" si="76"/>
        <v>4</v>
      </c>
      <c r="EG85" s="459">
        <f t="shared" si="76"/>
        <v>1</v>
      </c>
      <c r="EH85" s="461">
        <f t="shared" si="91"/>
        <v>18</v>
      </c>
      <c r="EI85" s="582">
        <f t="shared" si="91"/>
        <v>13</v>
      </c>
      <c r="EJ85" s="113">
        <f t="shared" si="89"/>
        <v>12</v>
      </c>
      <c r="EK85" s="113">
        <f t="shared" si="89"/>
        <v>0</v>
      </c>
      <c r="EL85" s="113">
        <f t="shared" si="89"/>
        <v>1</v>
      </c>
      <c r="EM85" s="460">
        <f t="shared" si="89"/>
        <v>0</v>
      </c>
      <c r="EN85" s="582">
        <f t="shared" si="89"/>
        <v>5</v>
      </c>
      <c r="EO85" s="113">
        <f t="shared" si="89"/>
        <v>4</v>
      </c>
      <c r="EP85" s="113">
        <f t="shared" si="89"/>
        <v>0</v>
      </c>
      <c r="EQ85" s="113">
        <f t="shared" si="89"/>
        <v>1</v>
      </c>
      <c r="ER85" s="459">
        <f t="shared" si="89"/>
        <v>0</v>
      </c>
    </row>
    <row r="86" spans="1:148">
      <c r="A86" s="466" t="s">
        <v>413</v>
      </c>
      <c r="B86" s="581">
        <v>44013</v>
      </c>
      <c r="C86" s="470">
        <v>2020</v>
      </c>
      <c r="D86" s="461">
        <f t="shared" si="72"/>
        <v>198406</v>
      </c>
      <c r="E86" s="461">
        <f t="shared" si="105"/>
        <v>3568</v>
      </c>
      <c r="F86" s="582">
        <f t="shared" si="105"/>
        <v>2807</v>
      </c>
      <c r="G86" s="113">
        <f t="shared" si="105"/>
        <v>1479</v>
      </c>
      <c r="H86" s="113">
        <f t="shared" si="105"/>
        <v>0</v>
      </c>
      <c r="I86" s="113">
        <f t="shared" si="105"/>
        <v>1328</v>
      </c>
      <c r="J86" s="460">
        <f t="shared" si="105"/>
        <v>0</v>
      </c>
      <c r="K86" s="582">
        <f t="shared" si="105"/>
        <v>761</v>
      </c>
      <c r="L86" s="113">
        <f t="shared" si="105"/>
        <v>324</v>
      </c>
      <c r="M86" s="113">
        <f t="shared" si="105"/>
        <v>0</v>
      </c>
      <c r="N86" s="113">
        <f t="shared" si="105"/>
        <v>405</v>
      </c>
      <c r="O86" s="459">
        <f t="shared" si="105"/>
        <v>32</v>
      </c>
      <c r="P86" s="461">
        <f t="shared" si="105"/>
        <v>7</v>
      </c>
      <c r="Q86" s="582">
        <f t="shared" si="105"/>
        <v>6</v>
      </c>
      <c r="R86" s="113">
        <f t="shared" si="105"/>
        <v>4</v>
      </c>
      <c r="S86" s="113">
        <f t="shared" si="105"/>
        <v>0</v>
      </c>
      <c r="T86" s="113">
        <f t="shared" si="105"/>
        <v>2</v>
      </c>
      <c r="U86" s="460">
        <f t="shared" si="104"/>
        <v>0</v>
      </c>
      <c r="V86" s="582">
        <f t="shared" si="104"/>
        <v>1</v>
      </c>
      <c r="W86" s="113">
        <f t="shared" si="104"/>
        <v>1</v>
      </c>
      <c r="X86" s="113">
        <f t="shared" si="104"/>
        <v>0</v>
      </c>
      <c r="Y86" s="113">
        <f t="shared" si="104"/>
        <v>0</v>
      </c>
      <c r="Z86" s="459">
        <f t="shared" si="104"/>
        <v>0</v>
      </c>
      <c r="AA86" s="461">
        <f t="shared" si="104"/>
        <v>7</v>
      </c>
      <c r="AB86" s="582">
        <f t="shared" si="104"/>
        <v>5</v>
      </c>
      <c r="AC86" s="113">
        <f t="shared" si="104"/>
        <v>3</v>
      </c>
      <c r="AD86" s="113">
        <f t="shared" si="104"/>
        <v>0</v>
      </c>
      <c r="AE86" s="113">
        <f t="shared" si="104"/>
        <v>2</v>
      </c>
      <c r="AF86" s="460">
        <f t="shared" si="104"/>
        <v>0</v>
      </c>
      <c r="AG86" s="582">
        <f t="shared" si="104"/>
        <v>2</v>
      </c>
      <c r="AH86" s="113">
        <f t="shared" si="104"/>
        <v>2</v>
      </c>
      <c r="AI86" s="113">
        <f t="shared" si="104"/>
        <v>0</v>
      </c>
      <c r="AJ86" s="113">
        <f t="shared" si="104"/>
        <v>0</v>
      </c>
      <c r="AK86" s="459">
        <f t="shared" si="104"/>
        <v>0</v>
      </c>
      <c r="AL86" s="461">
        <f t="shared" si="104"/>
        <v>29</v>
      </c>
      <c r="AM86" s="582">
        <f t="shared" si="104"/>
        <v>25</v>
      </c>
      <c r="AN86" s="113">
        <f t="shared" si="104"/>
        <v>13</v>
      </c>
      <c r="AO86" s="113">
        <f t="shared" si="104"/>
        <v>0</v>
      </c>
      <c r="AP86" s="113">
        <f t="shared" si="104"/>
        <v>12</v>
      </c>
      <c r="AQ86" s="460">
        <f t="shared" si="104"/>
        <v>0</v>
      </c>
      <c r="AR86" s="582">
        <f t="shared" si="104"/>
        <v>4</v>
      </c>
      <c r="AS86" s="113">
        <f t="shared" si="104"/>
        <v>0</v>
      </c>
      <c r="AT86" s="113">
        <f t="shared" si="104"/>
        <v>0</v>
      </c>
      <c r="AU86" s="113">
        <f t="shared" si="104"/>
        <v>3</v>
      </c>
      <c r="AV86" s="459">
        <f t="shared" si="104"/>
        <v>1</v>
      </c>
      <c r="AW86" s="461">
        <f t="shared" si="103"/>
        <v>14</v>
      </c>
      <c r="AX86" s="582">
        <f t="shared" si="103"/>
        <v>11</v>
      </c>
      <c r="AY86" s="113">
        <f t="shared" si="103"/>
        <v>3</v>
      </c>
      <c r="AZ86" s="113">
        <f t="shared" si="103"/>
        <v>0</v>
      </c>
      <c r="BA86" s="113">
        <f t="shared" si="103"/>
        <v>8</v>
      </c>
      <c r="BB86" s="460">
        <f t="shared" si="103"/>
        <v>0</v>
      </c>
      <c r="BC86" s="582">
        <f t="shared" si="103"/>
        <v>3</v>
      </c>
      <c r="BD86" s="113">
        <f t="shared" si="103"/>
        <v>1</v>
      </c>
      <c r="BE86" s="113">
        <f t="shared" si="103"/>
        <v>0</v>
      </c>
      <c r="BF86" s="113">
        <f t="shared" si="103"/>
        <v>2</v>
      </c>
      <c r="BG86" s="459">
        <f t="shared" si="103"/>
        <v>0</v>
      </c>
      <c r="BH86" s="461">
        <f t="shared" si="103"/>
        <v>18</v>
      </c>
      <c r="BI86" s="582">
        <f t="shared" si="103"/>
        <v>16</v>
      </c>
      <c r="BJ86" s="113">
        <f t="shared" si="103"/>
        <v>10</v>
      </c>
      <c r="BK86" s="113">
        <f t="shared" si="103"/>
        <v>0</v>
      </c>
      <c r="BL86" s="113">
        <f t="shared" si="103"/>
        <v>6</v>
      </c>
      <c r="BM86" s="460">
        <f t="shared" si="103"/>
        <v>0</v>
      </c>
      <c r="BN86" s="582">
        <f t="shared" si="103"/>
        <v>2</v>
      </c>
      <c r="BO86" s="113">
        <f t="shared" si="103"/>
        <v>1</v>
      </c>
      <c r="BP86" s="113">
        <f t="shared" si="103"/>
        <v>0</v>
      </c>
      <c r="BQ86" s="113">
        <f t="shared" si="103"/>
        <v>1</v>
      </c>
      <c r="BR86" s="459">
        <f t="shared" si="103"/>
        <v>0</v>
      </c>
      <c r="BS86" s="461">
        <f t="shared" si="103"/>
        <v>32</v>
      </c>
      <c r="BT86" s="582">
        <f t="shared" si="103"/>
        <v>31</v>
      </c>
      <c r="BU86" s="113">
        <f t="shared" si="103"/>
        <v>18</v>
      </c>
      <c r="BV86" s="113">
        <f t="shared" si="103"/>
        <v>0</v>
      </c>
      <c r="BW86" s="113">
        <f t="shared" si="103"/>
        <v>13</v>
      </c>
      <c r="BX86" s="460">
        <f t="shared" si="103"/>
        <v>0</v>
      </c>
      <c r="BY86" s="582">
        <f t="shared" si="103"/>
        <v>1</v>
      </c>
      <c r="BZ86" s="113">
        <f t="shared" si="103"/>
        <v>1</v>
      </c>
      <c r="CA86" s="113">
        <f t="shared" si="103"/>
        <v>0</v>
      </c>
      <c r="CB86" s="113">
        <f t="shared" si="103"/>
        <v>0</v>
      </c>
      <c r="CC86" s="459">
        <f t="shared" si="103"/>
        <v>0</v>
      </c>
      <c r="CD86" s="461">
        <f t="shared" si="103"/>
        <v>6</v>
      </c>
      <c r="CE86" s="582">
        <f t="shared" si="103"/>
        <v>6</v>
      </c>
      <c r="CF86" s="113">
        <f t="shared" si="103"/>
        <v>3</v>
      </c>
      <c r="CG86" s="113">
        <f t="shared" si="103"/>
        <v>0</v>
      </c>
      <c r="CH86" s="113">
        <f t="shared" si="103"/>
        <v>3</v>
      </c>
      <c r="CI86" s="460">
        <f t="shared" si="103"/>
        <v>0</v>
      </c>
      <c r="CJ86" s="582">
        <f t="shared" si="103"/>
        <v>0</v>
      </c>
      <c r="CK86" s="113">
        <f t="shared" si="103"/>
        <v>0</v>
      </c>
      <c r="CL86" s="113">
        <f t="shared" si="103"/>
        <v>0</v>
      </c>
      <c r="CM86" s="113">
        <f t="shared" si="103"/>
        <v>0</v>
      </c>
      <c r="CN86" s="459">
        <f t="shared" si="103"/>
        <v>0</v>
      </c>
      <c r="CO86" s="461">
        <f t="shared" si="103"/>
        <v>5</v>
      </c>
      <c r="CP86" s="582">
        <f t="shared" si="103"/>
        <v>5</v>
      </c>
      <c r="CQ86" s="113">
        <f t="shared" si="103"/>
        <v>2</v>
      </c>
      <c r="CR86" s="113">
        <f t="shared" si="103"/>
        <v>0</v>
      </c>
      <c r="CS86" s="113">
        <f t="shared" si="103"/>
        <v>3</v>
      </c>
      <c r="CT86" s="460">
        <f t="shared" si="103"/>
        <v>0</v>
      </c>
      <c r="CU86" s="582">
        <f t="shared" si="101"/>
        <v>0</v>
      </c>
      <c r="CV86" s="113">
        <f t="shared" si="101"/>
        <v>0</v>
      </c>
      <c r="CW86" s="113">
        <f t="shared" si="101"/>
        <v>0</v>
      </c>
      <c r="CX86" s="113">
        <f t="shared" si="99"/>
        <v>0</v>
      </c>
      <c r="CY86" s="459">
        <f t="shared" si="99"/>
        <v>0</v>
      </c>
      <c r="CZ86" s="461">
        <f t="shared" si="99"/>
        <v>4</v>
      </c>
      <c r="DA86" s="582">
        <f t="shared" si="99"/>
        <v>3</v>
      </c>
      <c r="DB86" s="113">
        <f t="shared" si="99"/>
        <v>3</v>
      </c>
      <c r="DC86" s="113">
        <f t="shared" si="99"/>
        <v>0</v>
      </c>
      <c r="DD86" s="113">
        <f t="shared" si="99"/>
        <v>0</v>
      </c>
      <c r="DE86" s="460">
        <f t="shared" si="99"/>
        <v>0</v>
      </c>
      <c r="DF86" s="582">
        <f t="shared" si="99"/>
        <v>1</v>
      </c>
      <c r="DG86" s="113">
        <f t="shared" si="99"/>
        <v>1</v>
      </c>
      <c r="DH86" s="113">
        <f t="shared" si="99"/>
        <v>0</v>
      </c>
      <c r="DI86" s="113">
        <f t="shared" si="99"/>
        <v>0</v>
      </c>
      <c r="DJ86" s="459">
        <f t="shared" si="98"/>
        <v>0</v>
      </c>
      <c r="DK86" s="461">
        <f t="shared" si="98"/>
        <v>0</v>
      </c>
      <c r="DL86" s="582">
        <f t="shared" si="98"/>
        <v>0</v>
      </c>
      <c r="DM86" s="113">
        <f t="shared" si="98"/>
        <v>0</v>
      </c>
      <c r="DN86" s="113">
        <f t="shared" si="98"/>
        <v>0</v>
      </c>
      <c r="DO86" s="113">
        <f t="shared" si="98"/>
        <v>0</v>
      </c>
      <c r="DP86" s="460">
        <f t="shared" si="98"/>
        <v>0</v>
      </c>
      <c r="DQ86" s="582">
        <f t="shared" si="98"/>
        <v>0</v>
      </c>
      <c r="DR86" s="113">
        <f t="shared" si="98"/>
        <v>0</v>
      </c>
      <c r="DS86" s="113">
        <f t="shared" si="98"/>
        <v>0</v>
      </c>
      <c r="DT86" s="113">
        <f t="shared" si="98"/>
        <v>0</v>
      </c>
      <c r="DU86" s="459">
        <f t="shared" si="98"/>
        <v>0</v>
      </c>
      <c r="DW86" s="461">
        <f t="shared" si="102"/>
        <v>93</v>
      </c>
      <c r="DX86" s="582">
        <f t="shared" si="102"/>
        <v>83</v>
      </c>
      <c r="DY86" s="113">
        <f t="shared" si="102"/>
        <v>46</v>
      </c>
      <c r="DZ86" s="113">
        <f t="shared" si="100"/>
        <v>0</v>
      </c>
      <c r="EA86" s="113">
        <f t="shared" si="100"/>
        <v>37</v>
      </c>
      <c r="EB86" s="460">
        <f t="shared" si="100"/>
        <v>0</v>
      </c>
      <c r="EC86" s="582">
        <f t="shared" si="100"/>
        <v>10</v>
      </c>
      <c r="ED86" s="113">
        <f t="shared" si="100"/>
        <v>7</v>
      </c>
      <c r="EE86" s="113">
        <f t="shared" si="100"/>
        <v>0</v>
      </c>
      <c r="EF86" s="113">
        <f t="shared" si="76"/>
        <v>3</v>
      </c>
      <c r="EG86" s="459">
        <f t="shared" si="76"/>
        <v>0</v>
      </c>
      <c r="EH86" s="461">
        <f t="shared" si="91"/>
        <v>29</v>
      </c>
      <c r="EI86" s="582">
        <f t="shared" si="91"/>
        <v>25</v>
      </c>
      <c r="EJ86" s="113">
        <f t="shared" si="89"/>
        <v>13</v>
      </c>
      <c r="EK86" s="113">
        <f t="shared" si="89"/>
        <v>0</v>
      </c>
      <c r="EL86" s="113">
        <f t="shared" si="89"/>
        <v>12</v>
      </c>
      <c r="EM86" s="460">
        <f t="shared" si="89"/>
        <v>0</v>
      </c>
      <c r="EN86" s="582">
        <f t="shared" si="89"/>
        <v>4</v>
      </c>
      <c r="EO86" s="113">
        <f t="shared" si="89"/>
        <v>0</v>
      </c>
      <c r="EP86" s="113">
        <f t="shared" si="89"/>
        <v>0</v>
      </c>
      <c r="EQ86" s="113">
        <f t="shared" si="89"/>
        <v>3</v>
      </c>
      <c r="ER86" s="459">
        <f t="shared" si="89"/>
        <v>1</v>
      </c>
    </row>
    <row r="87" spans="1:148">
      <c r="A87" s="466" t="s">
        <v>413</v>
      </c>
      <c r="B87" s="581">
        <v>44044</v>
      </c>
      <c r="C87" s="470">
        <v>2020</v>
      </c>
      <c r="D87" s="461">
        <f t="shared" si="72"/>
        <v>198406</v>
      </c>
      <c r="E87" s="461">
        <f t="shared" si="105"/>
        <v>3568</v>
      </c>
      <c r="F87" s="582">
        <f t="shared" si="105"/>
        <v>2807</v>
      </c>
      <c r="G87" s="113">
        <f t="shared" si="105"/>
        <v>1479</v>
      </c>
      <c r="H87" s="113">
        <f t="shared" si="105"/>
        <v>0</v>
      </c>
      <c r="I87" s="113">
        <f t="shared" si="105"/>
        <v>1328</v>
      </c>
      <c r="J87" s="460">
        <f t="shared" si="105"/>
        <v>0</v>
      </c>
      <c r="K87" s="582">
        <f t="shared" si="105"/>
        <v>761</v>
      </c>
      <c r="L87" s="113">
        <f t="shared" si="105"/>
        <v>324</v>
      </c>
      <c r="M87" s="113">
        <f t="shared" si="105"/>
        <v>0</v>
      </c>
      <c r="N87" s="113">
        <f t="shared" si="105"/>
        <v>405</v>
      </c>
      <c r="O87" s="459">
        <f t="shared" si="105"/>
        <v>32</v>
      </c>
      <c r="P87" s="461">
        <f t="shared" si="105"/>
        <v>7</v>
      </c>
      <c r="Q87" s="582">
        <f t="shared" si="105"/>
        <v>6</v>
      </c>
      <c r="R87" s="113">
        <f t="shared" si="105"/>
        <v>4</v>
      </c>
      <c r="S87" s="113">
        <f t="shared" si="105"/>
        <v>0</v>
      </c>
      <c r="T87" s="113">
        <f t="shared" si="105"/>
        <v>2</v>
      </c>
      <c r="U87" s="460">
        <f t="shared" si="104"/>
        <v>0</v>
      </c>
      <c r="V87" s="582">
        <f t="shared" si="104"/>
        <v>1</v>
      </c>
      <c r="W87" s="113">
        <f t="shared" si="104"/>
        <v>1</v>
      </c>
      <c r="X87" s="113">
        <f t="shared" si="104"/>
        <v>0</v>
      </c>
      <c r="Y87" s="113">
        <f t="shared" si="104"/>
        <v>0</v>
      </c>
      <c r="Z87" s="459">
        <f t="shared" si="104"/>
        <v>0</v>
      </c>
      <c r="AA87" s="461">
        <f t="shared" si="104"/>
        <v>7</v>
      </c>
      <c r="AB87" s="582">
        <f t="shared" si="104"/>
        <v>5</v>
      </c>
      <c r="AC87" s="113">
        <f t="shared" si="104"/>
        <v>3</v>
      </c>
      <c r="AD87" s="113">
        <f t="shared" si="104"/>
        <v>0</v>
      </c>
      <c r="AE87" s="113">
        <f t="shared" si="104"/>
        <v>2</v>
      </c>
      <c r="AF87" s="460">
        <f t="shared" si="104"/>
        <v>0</v>
      </c>
      <c r="AG87" s="582">
        <f t="shared" si="104"/>
        <v>2</v>
      </c>
      <c r="AH87" s="113">
        <f t="shared" si="104"/>
        <v>2</v>
      </c>
      <c r="AI87" s="113">
        <f t="shared" si="104"/>
        <v>0</v>
      </c>
      <c r="AJ87" s="113">
        <f t="shared" si="104"/>
        <v>0</v>
      </c>
      <c r="AK87" s="459">
        <f t="shared" si="104"/>
        <v>0</v>
      </c>
      <c r="AL87" s="461">
        <f t="shared" si="104"/>
        <v>29</v>
      </c>
      <c r="AM87" s="582">
        <f t="shared" si="104"/>
        <v>25</v>
      </c>
      <c r="AN87" s="113">
        <f t="shared" si="104"/>
        <v>13</v>
      </c>
      <c r="AO87" s="113">
        <f t="shared" si="104"/>
        <v>0</v>
      </c>
      <c r="AP87" s="113">
        <f t="shared" si="104"/>
        <v>12</v>
      </c>
      <c r="AQ87" s="460">
        <f t="shared" si="104"/>
        <v>0</v>
      </c>
      <c r="AR87" s="582">
        <f t="shared" si="104"/>
        <v>4</v>
      </c>
      <c r="AS87" s="113">
        <f t="shared" si="104"/>
        <v>0</v>
      </c>
      <c r="AT87" s="113">
        <f t="shared" si="104"/>
        <v>0</v>
      </c>
      <c r="AU87" s="113">
        <f t="shared" si="104"/>
        <v>3</v>
      </c>
      <c r="AV87" s="459">
        <f t="shared" si="104"/>
        <v>1</v>
      </c>
      <c r="AW87" s="461">
        <f t="shared" si="103"/>
        <v>14</v>
      </c>
      <c r="AX87" s="582">
        <f t="shared" si="103"/>
        <v>11</v>
      </c>
      <c r="AY87" s="113">
        <f t="shared" si="103"/>
        <v>3</v>
      </c>
      <c r="AZ87" s="113">
        <f t="shared" si="103"/>
        <v>0</v>
      </c>
      <c r="BA87" s="113">
        <f t="shared" si="103"/>
        <v>8</v>
      </c>
      <c r="BB87" s="460">
        <f t="shared" si="103"/>
        <v>0</v>
      </c>
      <c r="BC87" s="582">
        <f t="shared" si="103"/>
        <v>3</v>
      </c>
      <c r="BD87" s="113">
        <f t="shared" si="103"/>
        <v>1</v>
      </c>
      <c r="BE87" s="113">
        <f t="shared" si="103"/>
        <v>0</v>
      </c>
      <c r="BF87" s="113">
        <f t="shared" si="103"/>
        <v>2</v>
      </c>
      <c r="BG87" s="459">
        <f t="shared" si="103"/>
        <v>0</v>
      </c>
      <c r="BH87" s="461">
        <f t="shared" si="103"/>
        <v>18</v>
      </c>
      <c r="BI87" s="582">
        <f t="shared" si="103"/>
        <v>16</v>
      </c>
      <c r="BJ87" s="113">
        <f t="shared" si="103"/>
        <v>10</v>
      </c>
      <c r="BK87" s="113">
        <f t="shared" si="103"/>
        <v>0</v>
      </c>
      <c r="BL87" s="113">
        <f t="shared" si="103"/>
        <v>6</v>
      </c>
      <c r="BM87" s="460">
        <f t="shared" si="103"/>
        <v>0</v>
      </c>
      <c r="BN87" s="582">
        <f t="shared" si="103"/>
        <v>2</v>
      </c>
      <c r="BO87" s="113">
        <f t="shared" si="103"/>
        <v>1</v>
      </c>
      <c r="BP87" s="113">
        <f t="shared" si="103"/>
        <v>0</v>
      </c>
      <c r="BQ87" s="113">
        <f t="shared" si="103"/>
        <v>1</v>
      </c>
      <c r="BR87" s="459">
        <f t="shared" si="103"/>
        <v>0</v>
      </c>
      <c r="BS87" s="461">
        <f t="shared" si="103"/>
        <v>32</v>
      </c>
      <c r="BT87" s="582">
        <f t="shared" si="103"/>
        <v>31</v>
      </c>
      <c r="BU87" s="113">
        <f t="shared" si="103"/>
        <v>18</v>
      </c>
      <c r="BV87" s="113">
        <f t="shared" si="103"/>
        <v>0</v>
      </c>
      <c r="BW87" s="113">
        <f t="shared" si="103"/>
        <v>13</v>
      </c>
      <c r="BX87" s="460">
        <f t="shared" si="103"/>
        <v>0</v>
      </c>
      <c r="BY87" s="582">
        <f t="shared" si="103"/>
        <v>1</v>
      </c>
      <c r="BZ87" s="113">
        <f t="shared" si="103"/>
        <v>1</v>
      </c>
      <c r="CA87" s="113">
        <f t="shared" si="103"/>
        <v>0</v>
      </c>
      <c r="CB87" s="113">
        <f t="shared" si="103"/>
        <v>0</v>
      </c>
      <c r="CC87" s="459">
        <f t="shared" si="103"/>
        <v>0</v>
      </c>
      <c r="CD87" s="461">
        <f t="shared" si="103"/>
        <v>6</v>
      </c>
      <c r="CE87" s="582">
        <f t="shared" si="103"/>
        <v>6</v>
      </c>
      <c r="CF87" s="113">
        <f t="shared" si="103"/>
        <v>3</v>
      </c>
      <c r="CG87" s="113">
        <f t="shared" si="103"/>
        <v>0</v>
      </c>
      <c r="CH87" s="113">
        <f t="shared" si="103"/>
        <v>3</v>
      </c>
      <c r="CI87" s="460">
        <f t="shared" si="103"/>
        <v>0</v>
      </c>
      <c r="CJ87" s="582">
        <f t="shared" si="103"/>
        <v>0</v>
      </c>
      <c r="CK87" s="113">
        <f t="shared" si="103"/>
        <v>0</v>
      </c>
      <c r="CL87" s="113">
        <f t="shared" si="103"/>
        <v>0</v>
      </c>
      <c r="CM87" s="113">
        <f t="shared" si="103"/>
        <v>0</v>
      </c>
      <c r="CN87" s="459">
        <f t="shared" si="103"/>
        <v>0</v>
      </c>
      <c r="CO87" s="461">
        <f t="shared" si="103"/>
        <v>5</v>
      </c>
      <c r="CP87" s="582">
        <f t="shared" si="103"/>
        <v>5</v>
      </c>
      <c r="CQ87" s="113">
        <f t="shared" ref="CQ87:DU97" si="106">SUMIFS(CQ$5:CQ$36,$B$5:$B$36,$A87)</f>
        <v>2</v>
      </c>
      <c r="CR87" s="113">
        <f t="shared" si="106"/>
        <v>0</v>
      </c>
      <c r="CS87" s="113">
        <f t="shared" si="106"/>
        <v>3</v>
      </c>
      <c r="CT87" s="460">
        <f t="shared" si="106"/>
        <v>0</v>
      </c>
      <c r="CU87" s="582">
        <f t="shared" si="106"/>
        <v>0</v>
      </c>
      <c r="CV87" s="113">
        <f t="shared" si="106"/>
        <v>0</v>
      </c>
      <c r="CW87" s="113">
        <f t="shared" si="106"/>
        <v>0</v>
      </c>
      <c r="CX87" s="113">
        <f t="shared" si="106"/>
        <v>0</v>
      </c>
      <c r="CY87" s="459">
        <f t="shared" si="106"/>
        <v>0</v>
      </c>
      <c r="CZ87" s="461">
        <f t="shared" si="106"/>
        <v>4</v>
      </c>
      <c r="DA87" s="582">
        <f t="shared" si="106"/>
        <v>3</v>
      </c>
      <c r="DB87" s="113">
        <f t="shared" si="106"/>
        <v>3</v>
      </c>
      <c r="DC87" s="113">
        <f t="shared" si="106"/>
        <v>0</v>
      </c>
      <c r="DD87" s="113">
        <f t="shared" si="106"/>
        <v>0</v>
      </c>
      <c r="DE87" s="460">
        <f t="shared" si="106"/>
        <v>0</v>
      </c>
      <c r="DF87" s="582">
        <f t="shared" si="106"/>
        <v>1</v>
      </c>
      <c r="DG87" s="113">
        <f t="shared" si="106"/>
        <v>1</v>
      </c>
      <c r="DH87" s="113">
        <f t="shared" si="106"/>
        <v>0</v>
      </c>
      <c r="DI87" s="113">
        <f t="shared" si="106"/>
        <v>0</v>
      </c>
      <c r="DJ87" s="459">
        <f t="shared" si="106"/>
        <v>0</v>
      </c>
      <c r="DK87" s="461">
        <f t="shared" si="106"/>
        <v>0</v>
      </c>
      <c r="DL87" s="582">
        <f t="shared" si="106"/>
        <v>0</v>
      </c>
      <c r="DM87" s="113">
        <f t="shared" si="106"/>
        <v>0</v>
      </c>
      <c r="DN87" s="113">
        <f t="shared" si="106"/>
        <v>0</v>
      </c>
      <c r="DO87" s="113">
        <f t="shared" si="106"/>
        <v>0</v>
      </c>
      <c r="DP87" s="460">
        <f t="shared" si="106"/>
        <v>0</v>
      </c>
      <c r="DQ87" s="582">
        <f t="shared" si="106"/>
        <v>0</v>
      </c>
      <c r="DR87" s="113">
        <f t="shared" si="106"/>
        <v>0</v>
      </c>
      <c r="DS87" s="113">
        <f t="shared" si="106"/>
        <v>0</v>
      </c>
      <c r="DT87" s="113">
        <f t="shared" si="106"/>
        <v>0</v>
      </c>
      <c r="DU87" s="459">
        <f t="shared" si="98"/>
        <v>0</v>
      </c>
      <c r="DW87" s="461">
        <f t="shared" si="102"/>
        <v>93</v>
      </c>
      <c r="DX87" s="582">
        <f t="shared" si="102"/>
        <v>83</v>
      </c>
      <c r="DY87" s="113">
        <f t="shared" si="102"/>
        <v>46</v>
      </c>
      <c r="DZ87" s="113">
        <f t="shared" si="100"/>
        <v>0</v>
      </c>
      <c r="EA87" s="113">
        <f t="shared" si="100"/>
        <v>37</v>
      </c>
      <c r="EB87" s="460">
        <f t="shared" si="100"/>
        <v>0</v>
      </c>
      <c r="EC87" s="582">
        <f t="shared" si="100"/>
        <v>10</v>
      </c>
      <c r="ED87" s="113">
        <f t="shared" si="100"/>
        <v>7</v>
      </c>
      <c r="EE87" s="113">
        <f t="shared" si="100"/>
        <v>0</v>
      </c>
      <c r="EF87" s="113">
        <f t="shared" si="76"/>
        <v>3</v>
      </c>
      <c r="EG87" s="459">
        <f t="shared" si="76"/>
        <v>0</v>
      </c>
      <c r="EH87" s="461">
        <f t="shared" si="91"/>
        <v>29</v>
      </c>
      <c r="EI87" s="582">
        <f t="shared" si="91"/>
        <v>25</v>
      </c>
      <c r="EJ87" s="113">
        <f t="shared" si="89"/>
        <v>13</v>
      </c>
      <c r="EK87" s="113">
        <f t="shared" si="89"/>
        <v>0</v>
      </c>
      <c r="EL87" s="113">
        <f t="shared" si="89"/>
        <v>12</v>
      </c>
      <c r="EM87" s="460">
        <f t="shared" si="89"/>
        <v>0</v>
      </c>
      <c r="EN87" s="582">
        <f t="shared" si="89"/>
        <v>4</v>
      </c>
      <c r="EO87" s="113">
        <f t="shared" si="89"/>
        <v>0</v>
      </c>
      <c r="EP87" s="113">
        <f t="shared" si="89"/>
        <v>0</v>
      </c>
      <c r="EQ87" s="113">
        <f t="shared" si="89"/>
        <v>3</v>
      </c>
      <c r="ER87" s="459">
        <f t="shared" si="89"/>
        <v>1</v>
      </c>
    </row>
    <row r="88" spans="1:148">
      <c r="A88" s="466" t="s">
        <v>413</v>
      </c>
      <c r="B88" s="581">
        <v>44075</v>
      </c>
      <c r="C88" s="470">
        <v>2020</v>
      </c>
      <c r="D88" s="461">
        <f t="shared" si="72"/>
        <v>198406</v>
      </c>
      <c r="E88" s="461">
        <f t="shared" si="105"/>
        <v>3568</v>
      </c>
      <c r="F88" s="582">
        <f t="shared" si="105"/>
        <v>2807</v>
      </c>
      <c r="G88" s="113">
        <f t="shared" si="105"/>
        <v>1479</v>
      </c>
      <c r="H88" s="113">
        <f t="shared" si="105"/>
        <v>0</v>
      </c>
      <c r="I88" s="113">
        <f t="shared" si="105"/>
        <v>1328</v>
      </c>
      <c r="J88" s="460">
        <f t="shared" si="105"/>
        <v>0</v>
      </c>
      <c r="K88" s="582">
        <f t="shared" si="105"/>
        <v>761</v>
      </c>
      <c r="L88" s="113">
        <f t="shared" si="105"/>
        <v>324</v>
      </c>
      <c r="M88" s="113">
        <f t="shared" si="105"/>
        <v>0</v>
      </c>
      <c r="N88" s="113">
        <f t="shared" si="105"/>
        <v>405</v>
      </c>
      <c r="O88" s="459">
        <f t="shared" si="105"/>
        <v>32</v>
      </c>
      <c r="P88" s="461">
        <f t="shared" si="105"/>
        <v>7</v>
      </c>
      <c r="Q88" s="582">
        <f t="shared" si="105"/>
        <v>6</v>
      </c>
      <c r="R88" s="113">
        <f t="shared" si="105"/>
        <v>4</v>
      </c>
      <c r="S88" s="113">
        <f t="shared" si="105"/>
        <v>0</v>
      </c>
      <c r="T88" s="113">
        <f t="shared" si="105"/>
        <v>2</v>
      </c>
      <c r="U88" s="460">
        <f t="shared" si="104"/>
        <v>0</v>
      </c>
      <c r="V88" s="582">
        <f t="shared" si="104"/>
        <v>1</v>
      </c>
      <c r="W88" s="113">
        <f t="shared" si="104"/>
        <v>1</v>
      </c>
      <c r="X88" s="113">
        <f t="shared" si="104"/>
        <v>0</v>
      </c>
      <c r="Y88" s="113">
        <f t="shared" si="104"/>
        <v>0</v>
      </c>
      <c r="Z88" s="459">
        <f t="shared" si="104"/>
        <v>0</v>
      </c>
      <c r="AA88" s="461">
        <f t="shared" si="104"/>
        <v>7</v>
      </c>
      <c r="AB88" s="582">
        <f t="shared" si="104"/>
        <v>5</v>
      </c>
      <c r="AC88" s="113">
        <f t="shared" si="104"/>
        <v>3</v>
      </c>
      <c r="AD88" s="113">
        <f t="shared" si="104"/>
        <v>0</v>
      </c>
      <c r="AE88" s="113">
        <f t="shared" si="104"/>
        <v>2</v>
      </c>
      <c r="AF88" s="460">
        <f t="shared" si="104"/>
        <v>0</v>
      </c>
      <c r="AG88" s="582">
        <f t="shared" si="104"/>
        <v>2</v>
      </c>
      <c r="AH88" s="113">
        <f t="shared" si="104"/>
        <v>2</v>
      </c>
      <c r="AI88" s="113">
        <f t="shared" si="104"/>
        <v>0</v>
      </c>
      <c r="AJ88" s="113">
        <f t="shared" si="104"/>
        <v>0</v>
      </c>
      <c r="AK88" s="459">
        <f t="shared" si="104"/>
        <v>0</v>
      </c>
      <c r="AL88" s="461">
        <f t="shared" si="104"/>
        <v>29</v>
      </c>
      <c r="AM88" s="582">
        <f t="shared" si="104"/>
        <v>25</v>
      </c>
      <c r="AN88" s="113">
        <f t="shared" si="104"/>
        <v>13</v>
      </c>
      <c r="AO88" s="113">
        <f t="shared" si="104"/>
        <v>0</v>
      </c>
      <c r="AP88" s="113">
        <f t="shared" si="104"/>
        <v>12</v>
      </c>
      <c r="AQ88" s="460">
        <f t="shared" si="104"/>
        <v>0</v>
      </c>
      <c r="AR88" s="582">
        <f t="shared" si="104"/>
        <v>4</v>
      </c>
      <c r="AS88" s="113">
        <f t="shared" si="104"/>
        <v>0</v>
      </c>
      <c r="AT88" s="113">
        <f t="shared" si="104"/>
        <v>0</v>
      </c>
      <c r="AU88" s="113">
        <f t="shared" si="104"/>
        <v>3</v>
      </c>
      <c r="AV88" s="459">
        <f t="shared" si="104"/>
        <v>1</v>
      </c>
      <c r="AW88" s="461">
        <f t="shared" ref="AW88:DH92" si="107">SUMIFS(AW$5:AW$36,$B$5:$B$36,$A88)</f>
        <v>14</v>
      </c>
      <c r="AX88" s="582">
        <f t="shared" si="107"/>
        <v>11</v>
      </c>
      <c r="AY88" s="113">
        <f t="shared" si="107"/>
        <v>3</v>
      </c>
      <c r="AZ88" s="113">
        <f t="shared" si="107"/>
        <v>0</v>
      </c>
      <c r="BA88" s="113">
        <f t="shared" si="107"/>
        <v>8</v>
      </c>
      <c r="BB88" s="460">
        <f t="shared" si="107"/>
        <v>0</v>
      </c>
      <c r="BC88" s="582">
        <f t="shared" si="107"/>
        <v>3</v>
      </c>
      <c r="BD88" s="113">
        <f t="shared" si="107"/>
        <v>1</v>
      </c>
      <c r="BE88" s="113">
        <f t="shared" si="107"/>
        <v>0</v>
      </c>
      <c r="BF88" s="113">
        <f t="shared" si="107"/>
        <v>2</v>
      </c>
      <c r="BG88" s="459">
        <f t="shared" si="107"/>
        <v>0</v>
      </c>
      <c r="BH88" s="461">
        <f t="shared" si="107"/>
        <v>18</v>
      </c>
      <c r="BI88" s="582">
        <f t="shared" si="107"/>
        <v>16</v>
      </c>
      <c r="BJ88" s="113">
        <f t="shared" si="107"/>
        <v>10</v>
      </c>
      <c r="BK88" s="113">
        <f t="shared" si="107"/>
        <v>0</v>
      </c>
      <c r="BL88" s="113">
        <f t="shared" si="107"/>
        <v>6</v>
      </c>
      <c r="BM88" s="460">
        <f t="shared" si="107"/>
        <v>0</v>
      </c>
      <c r="BN88" s="582">
        <f t="shared" si="107"/>
        <v>2</v>
      </c>
      <c r="BO88" s="113">
        <f t="shared" si="107"/>
        <v>1</v>
      </c>
      <c r="BP88" s="113">
        <f t="shared" si="107"/>
        <v>0</v>
      </c>
      <c r="BQ88" s="113">
        <f t="shared" si="107"/>
        <v>1</v>
      </c>
      <c r="BR88" s="459">
        <f t="shared" si="107"/>
        <v>0</v>
      </c>
      <c r="BS88" s="461">
        <f t="shared" si="107"/>
        <v>32</v>
      </c>
      <c r="BT88" s="582">
        <f t="shared" si="107"/>
        <v>31</v>
      </c>
      <c r="BU88" s="113">
        <f t="shared" si="107"/>
        <v>18</v>
      </c>
      <c r="BV88" s="113">
        <f t="shared" si="107"/>
        <v>0</v>
      </c>
      <c r="BW88" s="113">
        <f t="shared" si="107"/>
        <v>13</v>
      </c>
      <c r="BX88" s="460">
        <f t="shared" si="107"/>
        <v>0</v>
      </c>
      <c r="BY88" s="582">
        <f t="shared" si="107"/>
        <v>1</v>
      </c>
      <c r="BZ88" s="113">
        <f t="shared" si="107"/>
        <v>1</v>
      </c>
      <c r="CA88" s="113">
        <f t="shared" si="107"/>
        <v>0</v>
      </c>
      <c r="CB88" s="113">
        <f t="shared" si="107"/>
        <v>0</v>
      </c>
      <c r="CC88" s="459">
        <f t="shared" si="107"/>
        <v>0</v>
      </c>
      <c r="CD88" s="461">
        <f t="shared" si="107"/>
        <v>6</v>
      </c>
      <c r="CE88" s="582">
        <f t="shared" si="107"/>
        <v>6</v>
      </c>
      <c r="CF88" s="113">
        <f t="shared" si="107"/>
        <v>3</v>
      </c>
      <c r="CG88" s="113">
        <f t="shared" si="107"/>
        <v>0</v>
      </c>
      <c r="CH88" s="113">
        <f t="shared" si="107"/>
        <v>3</v>
      </c>
      <c r="CI88" s="460">
        <f t="shared" si="107"/>
        <v>0</v>
      </c>
      <c r="CJ88" s="582">
        <f t="shared" si="107"/>
        <v>0</v>
      </c>
      <c r="CK88" s="113">
        <f t="shared" si="107"/>
        <v>0</v>
      </c>
      <c r="CL88" s="113">
        <f t="shared" si="107"/>
        <v>0</v>
      </c>
      <c r="CM88" s="113">
        <f t="shared" si="107"/>
        <v>0</v>
      </c>
      <c r="CN88" s="459">
        <f t="shared" si="107"/>
        <v>0</v>
      </c>
      <c r="CO88" s="461">
        <f t="shared" si="107"/>
        <v>5</v>
      </c>
      <c r="CP88" s="582">
        <f t="shared" si="107"/>
        <v>5</v>
      </c>
      <c r="CQ88" s="113">
        <f t="shared" si="107"/>
        <v>2</v>
      </c>
      <c r="CR88" s="113">
        <f t="shared" si="107"/>
        <v>0</v>
      </c>
      <c r="CS88" s="113">
        <f t="shared" si="107"/>
        <v>3</v>
      </c>
      <c r="CT88" s="460">
        <f t="shared" si="107"/>
        <v>0</v>
      </c>
      <c r="CU88" s="582">
        <f t="shared" si="106"/>
        <v>0</v>
      </c>
      <c r="CV88" s="113">
        <f t="shared" si="106"/>
        <v>0</v>
      </c>
      <c r="CW88" s="113">
        <f t="shared" si="106"/>
        <v>0</v>
      </c>
      <c r="CX88" s="113">
        <f t="shared" si="106"/>
        <v>0</v>
      </c>
      <c r="CY88" s="459">
        <f t="shared" si="106"/>
        <v>0</v>
      </c>
      <c r="CZ88" s="461">
        <f t="shared" si="106"/>
        <v>4</v>
      </c>
      <c r="DA88" s="582">
        <f t="shared" si="106"/>
        <v>3</v>
      </c>
      <c r="DB88" s="113">
        <f t="shared" si="106"/>
        <v>3</v>
      </c>
      <c r="DC88" s="113">
        <f t="shared" si="106"/>
        <v>0</v>
      </c>
      <c r="DD88" s="113">
        <f t="shared" si="106"/>
        <v>0</v>
      </c>
      <c r="DE88" s="460">
        <f t="shared" si="106"/>
        <v>0</v>
      </c>
      <c r="DF88" s="582">
        <f t="shared" si="106"/>
        <v>1</v>
      </c>
      <c r="DG88" s="113">
        <f t="shared" si="106"/>
        <v>1</v>
      </c>
      <c r="DH88" s="113">
        <f t="shared" si="106"/>
        <v>0</v>
      </c>
      <c r="DI88" s="113">
        <f t="shared" si="106"/>
        <v>0</v>
      </c>
      <c r="DJ88" s="459">
        <f t="shared" si="106"/>
        <v>0</v>
      </c>
      <c r="DK88" s="461">
        <f t="shared" si="106"/>
        <v>0</v>
      </c>
      <c r="DL88" s="582">
        <f t="shared" si="106"/>
        <v>0</v>
      </c>
      <c r="DM88" s="113">
        <f t="shared" si="106"/>
        <v>0</v>
      </c>
      <c r="DN88" s="113">
        <f t="shared" si="106"/>
        <v>0</v>
      </c>
      <c r="DO88" s="113">
        <f t="shared" si="106"/>
        <v>0</v>
      </c>
      <c r="DP88" s="460">
        <f t="shared" si="106"/>
        <v>0</v>
      </c>
      <c r="DQ88" s="582">
        <f t="shared" si="106"/>
        <v>0</v>
      </c>
      <c r="DR88" s="113">
        <f t="shared" si="106"/>
        <v>0</v>
      </c>
      <c r="DS88" s="113">
        <f t="shared" si="106"/>
        <v>0</v>
      </c>
      <c r="DT88" s="113">
        <f t="shared" si="106"/>
        <v>0</v>
      </c>
      <c r="DU88" s="459">
        <f t="shared" si="98"/>
        <v>0</v>
      </c>
      <c r="DW88" s="461">
        <f t="shared" si="102"/>
        <v>93</v>
      </c>
      <c r="DX88" s="582">
        <f t="shared" si="102"/>
        <v>83</v>
      </c>
      <c r="DY88" s="113">
        <f t="shared" si="102"/>
        <v>46</v>
      </c>
      <c r="DZ88" s="113">
        <f t="shared" si="100"/>
        <v>0</v>
      </c>
      <c r="EA88" s="113">
        <f t="shared" si="100"/>
        <v>37</v>
      </c>
      <c r="EB88" s="460">
        <f t="shared" si="100"/>
        <v>0</v>
      </c>
      <c r="EC88" s="582">
        <f t="shared" si="100"/>
        <v>10</v>
      </c>
      <c r="ED88" s="113">
        <f t="shared" si="100"/>
        <v>7</v>
      </c>
      <c r="EE88" s="113">
        <f t="shared" si="100"/>
        <v>0</v>
      </c>
      <c r="EF88" s="113">
        <f t="shared" si="76"/>
        <v>3</v>
      </c>
      <c r="EG88" s="459">
        <f t="shared" si="76"/>
        <v>0</v>
      </c>
      <c r="EH88" s="461">
        <f t="shared" si="91"/>
        <v>29</v>
      </c>
      <c r="EI88" s="582">
        <f t="shared" si="91"/>
        <v>25</v>
      </c>
      <c r="EJ88" s="113">
        <f t="shared" si="89"/>
        <v>13</v>
      </c>
      <c r="EK88" s="113">
        <f t="shared" si="89"/>
        <v>0</v>
      </c>
      <c r="EL88" s="113">
        <f t="shared" si="89"/>
        <v>12</v>
      </c>
      <c r="EM88" s="460">
        <f t="shared" si="89"/>
        <v>0</v>
      </c>
      <c r="EN88" s="582">
        <f t="shared" si="89"/>
        <v>4</v>
      </c>
      <c r="EO88" s="113">
        <f t="shared" si="89"/>
        <v>0</v>
      </c>
      <c r="EP88" s="113">
        <f t="shared" si="89"/>
        <v>0</v>
      </c>
      <c r="EQ88" s="113">
        <f t="shared" si="89"/>
        <v>3</v>
      </c>
      <c r="ER88" s="459">
        <f t="shared" si="89"/>
        <v>1</v>
      </c>
    </row>
    <row r="89" spans="1:148">
      <c r="A89" s="466" t="s">
        <v>414</v>
      </c>
      <c r="B89" s="581">
        <v>44105</v>
      </c>
      <c r="C89" s="470">
        <v>2020</v>
      </c>
      <c r="D89" s="461">
        <f t="shared" si="72"/>
        <v>153874</v>
      </c>
      <c r="E89" s="461">
        <f t="shared" si="105"/>
        <v>3476</v>
      </c>
      <c r="F89" s="582">
        <f t="shared" si="105"/>
        <v>2833</v>
      </c>
      <c r="G89" s="113">
        <f t="shared" si="105"/>
        <v>1358</v>
      </c>
      <c r="H89" s="113">
        <f t="shared" si="105"/>
        <v>0</v>
      </c>
      <c r="I89" s="113">
        <f t="shared" si="105"/>
        <v>1475</v>
      </c>
      <c r="J89" s="460">
        <f t="shared" si="105"/>
        <v>0</v>
      </c>
      <c r="K89" s="582">
        <f t="shared" si="105"/>
        <v>643</v>
      </c>
      <c r="L89" s="113">
        <f t="shared" si="105"/>
        <v>219</v>
      </c>
      <c r="M89" s="113">
        <f t="shared" si="105"/>
        <v>0</v>
      </c>
      <c r="N89" s="113">
        <f t="shared" si="105"/>
        <v>384</v>
      </c>
      <c r="O89" s="459">
        <f t="shared" si="105"/>
        <v>40</v>
      </c>
      <c r="P89" s="461">
        <f t="shared" si="105"/>
        <v>3</v>
      </c>
      <c r="Q89" s="582">
        <f t="shared" si="105"/>
        <v>3</v>
      </c>
      <c r="R89" s="113">
        <f t="shared" si="105"/>
        <v>2</v>
      </c>
      <c r="S89" s="113">
        <f t="shared" si="105"/>
        <v>0</v>
      </c>
      <c r="T89" s="113">
        <f t="shared" si="105"/>
        <v>1</v>
      </c>
      <c r="U89" s="460">
        <f t="shared" si="104"/>
        <v>0</v>
      </c>
      <c r="V89" s="582">
        <f t="shared" si="104"/>
        <v>0</v>
      </c>
      <c r="W89" s="113">
        <f t="shared" si="104"/>
        <v>0</v>
      </c>
      <c r="X89" s="113">
        <f t="shared" si="104"/>
        <v>0</v>
      </c>
      <c r="Y89" s="113">
        <f t="shared" si="104"/>
        <v>0</v>
      </c>
      <c r="Z89" s="459">
        <f t="shared" si="104"/>
        <v>0</v>
      </c>
      <c r="AA89" s="461">
        <f t="shared" si="104"/>
        <v>3</v>
      </c>
      <c r="AB89" s="582">
        <f t="shared" si="104"/>
        <v>3</v>
      </c>
      <c r="AC89" s="113">
        <f t="shared" si="104"/>
        <v>1</v>
      </c>
      <c r="AD89" s="113">
        <f t="shared" si="104"/>
        <v>0</v>
      </c>
      <c r="AE89" s="113">
        <f t="shared" si="104"/>
        <v>2</v>
      </c>
      <c r="AF89" s="460">
        <f t="shared" si="104"/>
        <v>0</v>
      </c>
      <c r="AG89" s="582">
        <f t="shared" si="104"/>
        <v>0</v>
      </c>
      <c r="AH89" s="113">
        <f t="shared" si="104"/>
        <v>0</v>
      </c>
      <c r="AI89" s="113">
        <f t="shared" si="104"/>
        <v>0</v>
      </c>
      <c r="AJ89" s="113">
        <f t="shared" si="104"/>
        <v>0</v>
      </c>
      <c r="AK89" s="459">
        <f t="shared" si="104"/>
        <v>0</v>
      </c>
      <c r="AL89" s="461">
        <f t="shared" si="104"/>
        <v>34</v>
      </c>
      <c r="AM89" s="582">
        <f t="shared" si="104"/>
        <v>32</v>
      </c>
      <c r="AN89" s="113">
        <f t="shared" si="104"/>
        <v>18</v>
      </c>
      <c r="AO89" s="113">
        <f t="shared" si="104"/>
        <v>0</v>
      </c>
      <c r="AP89" s="113">
        <f t="shared" si="104"/>
        <v>14</v>
      </c>
      <c r="AQ89" s="460">
        <f t="shared" si="104"/>
        <v>0</v>
      </c>
      <c r="AR89" s="582">
        <f t="shared" si="104"/>
        <v>2</v>
      </c>
      <c r="AS89" s="113">
        <f t="shared" si="104"/>
        <v>0</v>
      </c>
      <c r="AT89" s="113">
        <f t="shared" si="104"/>
        <v>0</v>
      </c>
      <c r="AU89" s="113">
        <f t="shared" si="104"/>
        <v>1</v>
      </c>
      <c r="AV89" s="459">
        <f t="shared" si="104"/>
        <v>1</v>
      </c>
      <c r="AW89" s="461">
        <f t="shared" si="107"/>
        <v>8</v>
      </c>
      <c r="AX89" s="582">
        <f t="shared" si="107"/>
        <v>7</v>
      </c>
      <c r="AY89" s="113">
        <f t="shared" si="107"/>
        <v>2</v>
      </c>
      <c r="AZ89" s="113">
        <f t="shared" si="107"/>
        <v>0</v>
      </c>
      <c r="BA89" s="113">
        <f t="shared" si="107"/>
        <v>5</v>
      </c>
      <c r="BB89" s="460">
        <f t="shared" si="107"/>
        <v>0</v>
      </c>
      <c r="BC89" s="582">
        <f t="shared" si="107"/>
        <v>1</v>
      </c>
      <c r="BD89" s="113">
        <f t="shared" si="107"/>
        <v>1</v>
      </c>
      <c r="BE89" s="113">
        <f t="shared" si="107"/>
        <v>0</v>
      </c>
      <c r="BF89" s="113">
        <f t="shared" si="107"/>
        <v>0</v>
      </c>
      <c r="BG89" s="459">
        <f t="shared" si="107"/>
        <v>0</v>
      </c>
      <c r="BH89" s="461">
        <f t="shared" si="107"/>
        <v>21</v>
      </c>
      <c r="BI89" s="582">
        <f t="shared" si="107"/>
        <v>19</v>
      </c>
      <c r="BJ89" s="113">
        <f t="shared" si="107"/>
        <v>10</v>
      </c>
      <c r="BK89" s="113">
        <f t="shared" si="107"/>
        <v>0</v>
      </c>
      <c r="BL89" s="113">
        <f t="shared" si="107"/>
        <v>9</v>
      </c>
      <c r="BM89" s="460">
        <f t="shared" si="107"/>
        <v>0</v>
      </c>
      <c r="BN89" s="582">
        <f t="shared" si="107"/>
        <v>2</v>
      </c>
      <c r="BO89" s="113">
        <f t="shared" si="107"/>
        <v>0</v>
      </c>
      <c r="BP89" s="113">
        <f t="shared" si="107"/>
        <v>0</v>
      </c>
      <c r="BQ89" s="113">
        <f t="shared" si="107"/>
        <v>2</v>
      </c>
      <c r="BR89" s="459">
        <f t="shared" si="107"/>
        <v>0</v>
      </c>
      <c r="BS89" s="461">
        <f t="shared" si="107"/>
        <v>50</v>
      </c>
      <c r="BT89" s="582">
        <f t="shared" si="107"/>
        <v>41</v>
      </c>
      <c r="BU89" s="113">
        <f t="shared" si="107"/>
        <v>15</v>
      </c>
      <c r="BV89" s="113">
        <f t="shared" si="107"/>
        <v>0</v>
      </c>
      <c r="BW89" s="113">
        <f t="shared" si="107"/>
        <v>26</v>
      </c>
      <c r="BX89" s="460">
        <f t="shared" si="107"/>
        <v>0</v>
      </c>
      <c r="BY89" s="582">
        <f t="shared" si="107"/>
        <v>9</v>
      </c>
      <c r="BZ89" s="113">
        <f t="shared" si="107"/>
        <v>1</v>
      </c>
      <c r="CA89" s="113">
        <f t="shared" si="107"/>
        <v>0</v>
      </c>
      <c r="CB89" s="113">
        <f t="shared" si="107"/>
        <v>8</v>
      </c>
      <c r="CC89" s="459">
        <f t="shared" si="107"/>
        <v>0</v>
      </c>
      <c r="CD89" s="461">
        <f t="shared" si="107"/>
        <v>4</v>
      </c>
      <c r="CE89" s="582">
        <f t="shared" si="107"/>
        <v>4</v>
      </c>
      <c r="CF89" s="113">
        <f t="shared" si="107"/>
        <v>2</v>
      </c>
      <c r="CG89" s="113">
        <f t="shared" si="107"/>
        <v>0</v>
      </c>
      <c r="CH89" s="113">
        <f t="shared" si="107"/>
        <v>2</v>
      </c>
      <c r="CI89" s="460">
        <f t="shared" si="107"/>
        <v>0</v>
      </c>
      <c r="CJ89" s="582">
        <f t="shared" si="107"/>
        <v>0</v>
      </c>
      <c r="CK89" s="113">
        <f t="shared" si="107"/>
        <v>0</v>
      </c>
      <c r="CL89" s="113">
        <f t="shared" si="107"/>
        <v>0</v>
      </c>
      <c r="CM89" s="113">
        <f t="shared" si="107"/>
        <v>0</v>
      </c>
      <c r="CN89" s="459">
        <f t="shared" si="107"/>
        <v>0</v>
      </c>
      <c r="CO89" s="461">
        <f t="shared" si="107"/>
        <v>3</v>
      </c>
      <c r="CP89" s="582">
        <f t="shared" si="107"/>
        <v>1</v>
      </c>
      <c r="CQ89" s="113">
        <f t="shared" si="107"/>
        <v>0</v>
      </c>
      <c r="CR89" s="113">
        <f t="shared" si="107"/>
        <v>0</v>
      </c>
      <c r="CS89" s="113">
        <f t="shared" si="107"/>
        <v>1</v>
      </c>
      <c r="CT89" s="460">
        <f t="shared" si="107"/>
        <v>0</v>
      </c>
      <c r="CU89" s="582">
        <f t="shared" si="106"/>
        <v>2</v>
      </c>
      <c r="CV89" s="113">
        <f t="shared" si="106"/>
        <v>1</v>
      </c>
      <c r="CW89" s="113">
        <f t="shared" si="106"/>
        <v>0</v>
      </c>
      <c r="CX89" s="113">
        <f t="shared" si="106"/>
        <v>1</v>
      </c>
      <c r="CY89" s="459">
        <f t="shared" si="106"/>
        <v>0</v>
      </c>
      <c r="CZ89" s="461">
        <f t="shared" si="106"/>
        <v>1</v>
      </c>
      <c r="DA89" s="582">
        <f t="shared" si="106"/>
        <v>1</v>
      </c>
      <c r="DB89" s="113">
        <f t="shared" si="106"/>
        <v>1</v>
      </c>
      <c r="DC89" s="113">
        <f t="shared" si="106"/>
        <v>0</v>
      </c>
      <c r="DD89" s="113">
        <f t="shared" si="106"/>
        <v>0</v>
      </c>
      <c r="DE89" s="460">
        <f t="shared" si="106"/>
        <v>0</v>
      </c>
      <c r="DF89" s="582">
        <f t="shared" si="106"/>
        <v>0</v>
      </c>
      <c r="DG89" s="113">
        <f t="shared" si="106"/>
        <v>0</v>
      </c>
      <c r="DH89" s="113">
        <f t="shared" si="106"/>
        <v>0</v>
      </c>
      <c r="DI89" s="113">
        <f t="shared" si="106"/>
        <v>0</v>
      </c>
      <c r="DJ89" s="459">
        <f t="shared" si="106"/>
        <v>0</v>
      </c>
      <c r="DK89" s="461">
        <f t="shared" si="106"/>
        <v>0</v>
      </c>
      <c r="DL89" s="582">
        <f t="shared" si="106"/>
        <v>0</v>
      </c>
      <c r="DM89" s="113">
        <f t="shared" si="106"/>
        <v>0</v>
      </c>
      <c r="DN89" s="113">
        <f t="shared" si="106"/>
        <v>0</v>
      </c>
      <c r="DO89" s="113">
        <f t="shared" si="106"/>
        <v>0</v>
      </c>
      <c r="DP89" s="460">
        <f t="shared" si="106"/>
        <v>0</v>
      </c>
      <c r="DQ89" s="582">
        <f t="shared" si="106"/>
        <v>0</v>
      </c>
      <c r="DR89" s="113">
        <f t="shared" si="106"/>
        <v>0</v>
      </c>
      <c r="DS89" s="113">
        <f t="shared" si="106"/>
        <v>0</v>
      </c>
      <c r="DT89" s="113">
        <f t="shared" si="106"/>
        <v>0</v>
      </c>
      <c r="DU89" s="459">
        <f t="shared" si="98"/>
        <v>0</v>
      </c>
      <c r="DW89" s="461">
        <f t="shared" si="102"/>
        <v>93</v>
      </c>
      <c r="DX89" s="582">
        <f t="shared" si="102"/>
        <v>79</v>
      </c>
      <c r="DY89" s="113">
        <f t="shared" si="102"/>
        <v>33</v>
      </c>
      <c r="DZ89" s="113">
        <f t="shared" si="100"/>
        <v>0</v>
      </c>
      <c r="EA89" s="113">
        <f t="shared" si="100"/>
        <v>46</v>
      </c>
      <c r="EB89" s="460">
        <f t="shared" si="100"/>
        <v>0</v>
      </c>
      <c r="EC89" s="582">
        <f t="shared" si="100"/>
        <v>14</v>
      </c>
      <c r="ED89" s="113">
        <f t="shared" si="100"/>
        <v>3</v>
      </c>
      <c r="EE89" s="113">
        <f t="shared" si="100"/>
        <v>0</v>
      </c>
      <c r="EF89" s="113">
        <f t="shared" si="76"/>
        <v>11</v>
      </c>
      <c r="EG89" s="459">
        <f t="shared" si="76"/>
        <v>0</v>
      </c>
      <c r="EH89" s="461">
        <f t="shared" si="91"/>
        <v>34</v>
      </c>
      <c r="EI89" s="582">
        <f t="shared" si="91"/>
        <v>32</v>
      </c>
      <c r="EJ89" s="113">
        <f t="shared" si="89"/>
        <v>18</v>
      </c>
      <c r="EK89" s="113">
        <f t="shared" si="89"/>
        <v>0</v>
      </c>
      <c r="EL89" s="113">
        <f t="shared" si="89"/>
        <v>14</v>
      </c>
      <c r="EM89" s="460">
        <f t="shared" si="89"/>
        <v>0</v>
      </c>
      <c r="EN89" s="582">
        <f t="shared" si="89"/>
        <v>2</v>
      </c>
      <c r="EO89" s="113">
        <f t="shared" si="89"/>
        <v>0</v>
      </c>
      <c r="EP89" s="113">
        <f t="shared" si="89"/>
        <v>0</v>
      </c>
      <c r="EQ89" s="113">
        <f t="shared" si="89"/>
        <v>1</v>
      </c>
      <c r="ER89" s="459">
        <f t="shared" si="89"/>
        <v>1</v>
      </c>
    </row>
    <row r="90" spans="1:148">
      <c r="A90" s="466" t="s">
        <v>414</v>
      </c>
      <c r="B90" s="581">
        <v>44136</v>
      </c>
      <c r="C90" s="470">
        <v>2020</v>
      </c>
      <c r="D90" s="461">
        <f t="shared" si="72"/>
        <v>153874</v>
      </c>
      <c r="E90" s="461">
        <f t="shared" si="105"/>
        <v>3476</v>
      </c>
      <c r="F90" s="582">
        <f t="shared" si="105"/>
        <v>2833</v>
      </c>
      <c r="G90" s="113">
        <f t="shared" si="105"/>
        <v>1358</v>
      </c>
      <c r="H90" s="113">
        <f t="shared" si="105"/>
        <v>0</v>
      </c>
      <c r="I90" s="113">
        <f t="shared" si="105"/>
        <v>1475</v>
      </c>
      <c r="J90" s="460">
        <f t="shared" si="105"/>
        <v>0</v>
      </c>
      <c r="K90" s="582">
        <f t="shared" si="105"/>
        <v>643</v>
      </c>
      <c r="L90" s="113">
        <f t="shared" si="105"/>
        <v>219</v>
      </c>
      <c r="M90" s="113">
        <f t="shared" si="105"/>
        <v>0</v>
      </c>
      <c r="N90" s="113">
        <f t="shared" si="105"/>
        <v>384</v>
      </c>
      <c r="O90" s="459">
        <f t="shared" si="105"/>
        <v>40</v>
      </c>
      <c r="P90" s="461">
        <f t="shared" si="105"/>
        <v>3</v>
      </c>
      <c r="Q90" s="582">
        <f t="shared" si="105"/>
        <v>3</v>
      </c>
      <c r="R90" s="113">
        <f t="shared" si="105"/>
        <v>2</v>
      </c>
      <c r="S90" s="113">
        <f t="shared" si="105"/>
        <v>0</v>
      </c>
      <c r="T90" s="113">
        <f t="shared" si="105"/>
        <v>1</v>
      </c>
      <c r="U90" s="460">
        <f t="shared" si="104"/>
        <v>0</v>
      </c>
      <c r="V90" s="582">
        <f t="shared" si="104"/>
        <v>0</v>
      </c>
      <c r="W90" s="113">
        <f t="shared" si="104"/>
        <v>0</v>
      </c>
      <c r="X90" s="113">
        <f t="shared" si="104"/>
        <v>0</v>
      </c>
      <c r="Y90" s="113">
        <f t="shared" si="104"/>
        <v>0</v>
      </c>
      <c r="Z90" s="459">
        <f t="shared" si="104"/>
        <v>0</v>
      </c>
      <c r="AA90" s="461">
        <f t="shared" si="104"/>
        <v>3</v>
      </c>
      <c r="AB90" s="582">
        <f t="shared" si="104"/>
        <v>3</v>
      </c>
      <c r="AC90" s="113">
        <f t="shared" si="104"/>
        <v>1</v>
      </c>
      <c r="AD90" s="113">
        <f t="shared" si="104"/>
        <v>0</v>
      </c>
      <c r="AE90" s="113">
        <f t="shared" si="104"/>
        <v>2</v>
      </c>
      <c r="AF90" s="460">
        <f t="shared" si="104"/>
        <v>0</v>
      </c>
      <c r="AG90" s="582">
        <f t="shared" si="104"/>
        <v>0</v>
      </c>
      <c r="AH90" s="113">
        <f t="shared" si="104"/>
        <v>0</v>
      </c>
      <c r="AI90" s="113">
        <f t="shared" si="104"/>
        <v>0</v>
      </c>
      <c r="AJ90" s="113">
        <f t="shared" si="104"/>
        <v>0</v>
      </c>
      <c r="AK90" s="459">
        <f t="shared" si="104"/>
        <v>0</v>
      </c>
      <c r="AL90" s="461">
        <f t="shared" si="104"/>
        <v>34</v>
      </c>
      <c r="AM90" s="582">
        <f t="shared" si="104"/>
        <v>32</v>
      </c>
      <c r="AN90" s="113">
        <f t="shared" si="104"/>
        <v>18</v>
      </c>
      <c r="AO90" s="113">
        <f t="shared" si="104"/>
        <v>0</v>
      </c>
      <c r="AP90" s="113">
        <f t="shared" si="104"/>
        <v>14</v>
      </c>
      <c r="AQ90" s="460">
        <f t="shared" si="104"/>
        <v>0</v>
      </c>
      <c r="AR90" s="582">
        <f t="shared" si="104"/>
        <v>2</v>
      </c>
      <c r="AS90" s="113">
        <f t="shared" si="104"/>
        <v>0</v>
      </c>
      <c r="AT90" s="113">
        <f t="shared" si="104"/>
        <v>0</v>
      </c>
      <c r="AU90" s="113">
        <f t="shared" si="104"/>
        <v>1</v>
      </c>
      <c r="AV90" s="459">
        <f t="shared" si="104"/>
        <v>1</v>
      </c>
      <c r="AW90" s="461">
        <f t="shared" si="107"/>
        <v>8</v>
      </c>
      <c r="AX90" s="582">
        <f t="shared" si="107"/>
        <v>7</v>
      </c>
      <c r="AY90" s="113">
        <f t="shared" si="107"/>
        <v>2</v>
      </c>
      <c r="AZ90" s="113">
        <f t="shared" si="107"/>
        <v>0</v>
      </c>
      <c r="BA90" s="113">
        <f t="shared" si="107"/>
        <v>5</v>
      </c>
      <c r="BB90" s="460">
        <f t="shared" si="107"/>
        <v>0</v>
      </c>
      <c r="BC90" s="582">
        <f t="shared" si="107"/>
        <v>1</v>
      </c>
      <c r="BD90" s="113">
        <f t="shared" si="107"/>
        <v>1</v>
      </c>
      <c r="BE90" s="113">
        <f t="shared" si="107"/>
        <v>0</v>
      </c>
      <c r="BF90" s="113">
        <f t="shared" si="107"/>
        <v>0</v>
      </c>
      <c r="BG90" s="459">
        <f t="shared" si="107"/>
        <v>0</v>
      </c>
      <c r="BH90" s="461">
        <f t="shared" si="107"/>
        <v>21</v>
      </c>
      <c r="BI90" s="582">
        <f t="shared" si="107"/>
        <v>19</v>
      </c>
      <c r="BJ90" s="113">
        <f t="shared" si="107"/>
        <v>10</v>
      </c>
      <c r="BK90" s="113">
        <f t="shared" si="107"/>
        <v>0</v>
      </c>
      <c r="BL90" s="113">
        <f t="shared" si="107"/>
        <v>9</v>
      </c>
      <c r="BM90" s="460">
        <f t="shared" si="107"/>
        <v>0</v>
      </c>
      <c r="BN90" s="582">
        <f t="shared" si="107"/>
        <v>2</v>
      </c>
      <c r="BO90" s="113">
        <f t="shared" si="107"/>
        <v>0</v>
      </c>
      <c r="BP90" s="113">
        <f t="shared" si="107"/>
        <v>0</v>
      </c>
      <c r="BQ90" s="113">
        <f t="shared" si="107"/>
        <v>2</v>
      </c>
      <c r="BR90" s="459">
        <f t="shared" si="107"/>
        <v>0</v>
      </c>
      <c r="BS90" s="461">
        <f t="shared" si="107"/>
        <v>50</v>
      </c>
      <c r="BT90" s="582">
        <f t="shared" si="107"/>
        <v>41</v>
      </c>
      <c r="BU90" s="113">
        <f t="shared" si="107"/>
        <v>15</v>
      </c>
      <c r="BV90" s="113">
        <f t="shared" si="107"/>
        <v>0</v>
      </c>
      <c r="BW90" s="113">
        <f t="shared" si="107"/>
        <v>26</v>
      </c>
      <c r="BX90" s="460">
        <f t="shared" si="107"/>
        <v>0</v>
      </c>
      <c r="BY90" s="582">
        <f t="shared" si="107"/>
        <v>9</v>
      </c>
      <c r="BZ90" s="113">
        <f t="shared" si="107"/>
        <v>1</v>
      </c>
      <c r="CA90" s="113">
        <f t="shared" si="107"/>
        <v>0</v>
      </c>
      <c r="CB90" s="113">
        <f t="shared" si="107"/>
        <v>8</v>
      </c>
      <c r="CC90" s="459">
        <f t="shared" si="107"/>
        <v>0</v>
      </c>
      <c r="CD90" s="461">
        <f t="shared" si="107"/>
        <v>4</v>
      </c>
      <c r="CE90" s="582">
        <f t="shared" si="107"/>
        <v>4</v>
      </c>
      <c r="CF90" s="113">
        <f t="shared" si="107"/>
        <v>2</v>
      </c>
      <c r="CG90" s="113">
        <f t="shared" si="107"/>
        <v>0</v>
      </c>
      <c r="CH90" s="113">
        <f t="shared" si="107"/>
        <v>2</v>
      </c>
      <c r="CI90" s="460">
        <f t="shared" si="107"/>
        <v>0</v>
      </c>
      <c r="CJ90" s="582">
        <f t="shared" si="107"/>
        <v>0</v>
      </c>
      <c r="CK90" s="113">
        <f t="shared" si="107"/>
        <v>0</v>
      </c>
      <c r="CL90" s="113">
        <f t="shared" si="107"/>
        <v>0</v>
      </c>
      <c r="CM90" s="113">
        <f t="shared" si="107"/>
        <v>0</v>
      </c>
      <c r="CN90" s="459">
        <f t="shared" si="107"/>
        <v>0</v>
      </c>
      <c r="CO90" s="461">
        <f t="shared" si="107"/>
        <v>3</v>
      </c>
      <c r="CP90" s="582">
        <f t="shared" si="107"/>
        <v>1</v>
      </c>
      <c r="CQ90" s="113">
        <f t="shared" si="107"/>
        <v>0</v>
      </c>
      <c r="CR90" s="113">
        <f t="shared" si="107"/>
        <v>0</v>
      </c>
      <c r="CS90" s="113">
        <f t="shared" si="107"/>
        <v>1</v>
      </c>
      <c r="CT90" s="460">
        <f t="shared" si="107"/>
        <v>0</v>
      </c>
      <c r="CU90" s="582">
        <f t="shared" si="106"/>
        <v>2</v>
      </c>
      <c r="CV90" s="113">
        <f t="shared" si="106"/>
        <v>1</v>
      </c>
      <c r="CW90" s="113">
        <f t="shared" si="106"/>
        <v>0</v>
      </c>
      <c r="CX90" s="113">
        <f t="shared" si="106"/>
        <v>1</v>
      </c>
      <c r="CY90" s="459">
        <f t="shared" si="106"/>
        <v>0</v>
      </c>
      <c r="CZ90" s="461">
        <f t="shared" si="106"/>
        <v>1</v>
      </c>
      <c r="DA90" s="582">
        <f t="shared" si="106"/>
        <v>1</v>
      </c>
      <c r="DB90" s="113">
        <f t="shared" si="106"/>
        <v>1</v>
      </c>
      <c r="DC90" s="113">
        <f t="shared" si="106"/>
        <v>0</v>
      </c>
      <c r="DD90" s="113">
        <f t="shared" si="106"/>
        <v>0</v>
      </c>
      <c r="DE90" s="460">
        <f t="shared" si="106"/>
        <v>0</v>
      </c>
      <c r="DF90" s="582">
        <f t="shared" si="106"/>
        <v>0</v>
      </c>
      <c r="DG90" s="113">
        <f t="shared" si="106"/>
        <v>0</v>
      </c>
      <c r="DH90" s="113">
        <f t="shared" si="106"/>
        <v>0</v>
      </c>
      <c r="DI90" s="113">
        <f t="shared" si="106"/>
        <v>0</v>
      </c>
      <c r="DJ90" s="459">
        <f t="shared" si="106"/>
        <v>0</v>
      </c>
      <c r="DK90" s="461">
        <f t="shared" si="106"/>
        <v>0</v>
      </c>
      <c r="DL90" s="582">
        <f t="shared" si="106"/>
        <v>0</v>
      </c>
      <c r="DM90" s="113">
        <f t="shared" si="106"/>
        <v>0</v>
      </c>
      <c r="DN90" s="113">
        <f t="shared" si="106"/>
        <v>0</v>
      </c>
      <c r="DO90" s="113">
        <f t="shared" si="106"/>
        <v>0</v>
      </c>
      <c r="DP90" s="460">
        <f t="shared" si="106"/>
        <v>0</v>
      </c>
      <c r="DQ90" s="582">
        <f t="shared" si="106"/>
        <v>0</v>
      </c>
      <c r="DR90" s="113">
        <f t="shared" si="106"/>
        <v>0</v>
      </c>
      <c r="DS90" s="113">
        <f t="shared" si="106"/>
        <v>0</v>
      </c>
      <c r="DT90" s="113">
        <f t="shared" si="106"/>
        <v>0</v>
      </c>
      <c r="DU90" s="459">
        <f t="shared" si="98"/>
        <v>0</v>
      </c>
      <c r="DW90" s="461">
        <f t="shared" si="102"/>
        <v>93</v>
      </c>
      <c r="DX90" s="582">
        <f t="shared" si="102"/>
        <v>79</v>
      </c>
      <c r="DY90" s="113">
        <f t="shared" si="102"/>
        <v>33</v>
      </c>
      <c r="DZ90" s="113">
        <f t="shared" si="100"/>
        <v>0</v>
      </c>
      <c r="EA90" s="113">
        <f t="shared" si="100"/>
        <v>46</v>
      </c>
      <c r="EB90" s="460">
        <f t="shared" si="100"/>
        <v>0</v>
      </c>
      <c r="EC90" s="582">
        <f t="shared" si="100"/>
        <v>14</v>
      </c>
      <c r="ED90" s="113">
        <f t="shared" si="100"/>
        <v>3</v>
      </c>
      <c r="EE90" s="113">
        <f t="shared" si="100"/>
        <v>0</v>
      </c>
      <c r="EF90" s="113">
        <f t="shared" si="76"/>
        <v>11</v>
      </c>
      <c r="EG90" s="459">
        <f t="shared" si="76"/>
        <v>0</v>
      </c>
      <c r="EH90" s="461">
        <f t="shared" si="91"/>
        <v>34</v>
      </c>
      <c r="EI90" s="582">
        <f t="shared" si="91"/>
        <v>32</v>
      </c>
      <c r="EJ90" s="113">
        <f t="shared" si="89"/>
        <v>18</v>
      </c>
      <c r="EK90" s="113">
        <f t="shared" si="89"/>
        <v>0</v>
      </c>
      <c r="EL90" s="113">
        <f t="shared" si="89"/>
        <v>14</v>
      </c>
      <c r="EM90" s="460">
        <f t="shared" si="89"/>
        <v>0</v>
      </c>
      <c r="EN90" s="582">
        <f t="shared" si="89"/>
        <v>2</v>
      </c>
      <c r="EO90" s="113">
        <f t="shared" si="89"/>
        <v>0</v>
      </c>
      <c r="EP90" s="113">
        <f t="shared" si="89"/>
        <v>0</v>
      </c>
      <c r="EQ90" s="113">
        <f t="shared" si="89"/>
        <v>1</v>
      </c>
      <c r="ER90" s="459">
        <f t="shared" si="89"/>
        <v>1</v>
      </c>
    </row>
    <row r="91" spans="1:148">
      <c r="A91" s="466" t="s">
        <v>414</v>
      </c>
      <c r="B91" s="581">
        <v>44166</v>
      </c>
      <c r="C91" s="470">
        <v>2020</v>
      </c>
      <c r="D91" s="461">
        <f t="shared" si="72"/>
        <v>153874</v>
      </c>
      <c r="E91" s="461">
        <f t="shared" si="105"/>
        <v>3476</v>
      </c>
      <c r="F91" s="582">
        <f t="shared" si="105"/>
        <v>2833</v>
      </c>
      <c r="G91" s="113">
        <f t="shared" si="105"/>
        <v>1358</v>
      </c>
      <c r="H91" s="113">
        <f t="shared" si="105"/>
        <v>0</v>
      </c>
      <c r="I91" s="113">
        <f t="shared" si="105"/>
        <v>1475</v>
      </c>
      <c r="J91" s="460">
        <f t="shared" si="105"/>
        <v>0</v>
      </c>
      <c r="K91" s="582">
        <f t="shared" si="105"/>
        <v>643</v>
      </c>
      <c r="L91" s="113">
        <f t="shared" si="105"/>
        <v>219</v>
      </c>
      <c r="M91" s="113">
        <f t="shared" si="105"/>
        <v>0</v>
      </c>
      <c r="N91" s="113">
        <f t="shared" si="105"/>
        <v>384</v>
      </c>
      <c r="O91" s="459">
        <f t="shared" si="105"/>
        <v>40</v>
      </c>
      <c r="P91" s="461">
        <f t="shared" si="105"/>
        <v>3</v>
      </c>
      <c r="Q91" s="582">
        <f t="shared" si="105"/>
        <v>3</v>
      </c>
      <c r="R91" s="113">
        <f t="shared" si="105"/>
        <v>2</v>
      </c>
      <c r="S91" s="113">
        <f t="shared" si="105"/>
        <v>0</v>
      </c>
      <c r="T91" s="113">
        <f t="shared" si="105"/>
        <v>1</v>
      </c>
      <c r="U91" s="460">
        <f t="shared" si="104"/>
        <v>0</v>
      </c>
      <c r="V91" s="582">
        <f t="shared" si="104"/>
        <v>0</v>
      </c>
      <c r="W91" s="113">
        <f t="shared" si="104"/>
        <v>0</v>
      </c>
      <c r="X91" s="113">
        <f t="shared" si="104"/>
        <v>0</v>
      </c>
      <c r="Y91" s="113">
        <f t="shared" si="104"/>
        <v>0</v>
      </c>
      <c r="Z91" s="459">
        <f t="shared" si="104"/>
        <v>0</v>
      </c>
      <c r="AA91" s="461">
        <f t="shared" si="104"/>
        <v>3</v>
      </c>
      <c r="AB91" s="582">
        <f t="shared" si="104"/>
        <v>3</v>
      </c>
      <c r="AC91" s="113">
        <f t="shared" si="104"/>
        <v>1</v>
      </c>
      <c r="AD91" s="113">
        <f t="shared" si="104"/>
        <v>0</v>
      </c>
      <c r="AE91" s="113">
        <f t="shared" si="104"/>
        <v>2</v>
      </c>
      <c r="AF91" s="460">
        <f t="shared" si="104"/>
        <v>0</v>
      </c>
      <c r="AG91" s="582">
        <f t="shared" si="104"/>
        <v>0</v>
      </c>
      <c r="AH91" s="113">
        <f t="shared" si="104"/>
        <v>0</v>
      </c>
      <c r="AI91" s="113">
        <f t="shared" si="104"/>
        <v>0</v>
      </c>
      <c r="AJ91" s="113">
        <f t="shared" si="104"/>
        <v>0</v>
      </c>
      <c r="AK91" s="459">
        <f t="shared" si="104"/>
        <v>0</v>
      </c>
      <c r="AL91" s="461">
        <f t="shared" si="104"/>
        <v>34</v>
      </c>
      <c r="AM91" s="582">
        <f t="shared" si="104"/>
        <v>32</v>
      </c>
      <c r="AN91" s="113">
        <f t="shared" si="104"/>
        <v>18</v>
      </c>
      <c r="AO91" s="113">
        <f t="shared" si="104"/>
        <v>0</v>
      </c>
      <c r="AP91" s="113">
        <f t="shared" si="104"/>
        <v>14</v>
      </c>
      <c r="AQ91" s="460">
        <f t="shared" si="104"/>
        <v>0</v>
      </c>
      <c r="AR91" s="582">
        <f t="shared" si="104"/>
        <v>2</v>
      </c>
      <c r="AS91" s="113">
        <f t="shared" si="104"/>
        <v>0</v>
      </c>
      <c r="AT91" s="113">
        <f t="shared" si="104"/>
        <v>0</v>
      </c>
      <c r="AU91" s="113">
        <f t="shared" si="104"/>
        <v>1</v>
      </c>
      <c r="AV91" s="459">
        <f t="shared" si="104"/>
        <v>1</v>
      </c>
      <c r="AW91" s="461">
        <f t="shared" si="107"/>
        <v>8</v>
      </c>
      <c r="AX91" s="582">
        <f t="shared" si="107"/>
        <v>7</v>
      </c>
      <c r="AY91" s="113">
        <f t="shared" si="107"/>
        <v>2</v>
      </c>
      <c r="AZ91" s="113">
        <f t="shared" si="107"/>
        <v>0</v>
      </c>
      <c r="BA91" s="113">
        <f t="shared" si="107"/>
        <v>5</v>
      </c>
      <c r="BB91" s="460">
        <f t="shared" si="107"/>
        <v>0</v>
      </c>
      <c r="BC91" s="582">
        <f t="shared" si="107"/>
        <v>1</v>
      </c>
      <c r="BD91" s="113">
        <f t="shared" si="107"/>
        <v>1</v>
      </c>
      <c r="BE91" s="113">
        <f t="shared" si="107"/>
        <v>0</v>
      </c>
      <c r="BF91" s="113">
        <f t="shared" si="107"/>
        <v>0</v>
      </c>
      <c r="BG91" s="459">
        <f t="shared" si="107"/>
        <v>0</v>
      </c>
      <c r="BH91" s="461">
        <f t="shared" si="107"/>
        <v>21</v>
      </c>
      <c r="BI91" s="582">
        <f t="shared" si="107"/>
        <v>19</v>
      </c>
      <c r="BJ91" s="113">
        <f t="shared" si="107"/>
        <v>10</v>
      </c>
      <c r="BK91" s="113">
        <f t="shared" si="107"/>
        <v>0</v>
      </c>
      <c r="BL91" s="113">
        <f t="shared" si="107"/>
        <v>9</v>
      </c>
      <c r="BM91" s="460">
        <f t="shared" si="107"/>
        <v>0</v>
      </c>
      <c r="BN91" s="582">
        <f t="shared" si="107"/>
        <v>2</v>
      </c>
      <c r="BO91" s="113">
        <f t="shared" si="107"/>
        <v>0</v>
      </c>
      <c r="BP91" s="113">
        <f t="shared" si="107"/>
        <v>0</v>
      </c>
      <c r="BQ91" s="113">
        <f t="shared" si="107"/>
        <v>2</v>
      </c>
      <c r="BR91" s="459">
        <f t="shared" si="107"/>
        <v>0</v>
      </c>
      <c r="BS91" s="461">
        <f t="shared" si="107"/>
        <v>50</v>
      </c>
      <c r="BT91" s="582">
        <f t="shared" si="107"/>
        <v>41</v>
      </c>
      <c r="BU91" s="113">
        <f t="shared" si="107"/>
        <v>15</v>
      </c>
      <c r="BV91" s="113">
        <f t="shared" si="107"/>
        <v>0</v>
      </c>
      <c r="BW91" s="113">
        <f t="shared" si="107"/>
        <v>26</v>
      </c>
      <c r="BX91" s="460">
        <f t="shared" si="107"/>
        <v>0</v>
      </c>
      <c r="BY91" s="582">
        <f t="shared" si="107"/>
        <v>9</v>
      </c>
      <c r="BZ91" s="113">
        <f t="shared" si="107"/>
        <v>1</v>
      </c>
      <c r="CA91" s="113">
        <f t="shared" si="107"/>
        <v>0</v>
      </c>
      <c r="CB91" s="113">
        <f t="shared" si="107"/>
        <v>8</v>
      </c>
      <c r="CC91" s="459">
        <f t="shared" si="107"/>
        <v>0</v>
      </c>
      <c r="CD91" s="461">
        <f t="shared" si="107"/>
        <v>4</v>
      </c>
      <c r="CE91" s="582">
        <f t="shared" si="107"/>
        <v>4</v>
      </c>
      <c r="CF91" s="113">
        <f t="shared" si="107"/>
        <v>2</v>
      </c>
      <c r="CG91" s="113">
        <f t="shared" si="107"/>
        <v>0</v>
      </c>
      <c r="CH91" s="113">
        <f t="shared" si="107"/>
        <v>2</v>
      </c>
      <c r="CI91" s="460">
        <f t="shared" si="107"/>
        <v>0</v>
      </c>
      <c r="CJ91" s="582">
        <f t="shared" si="107"/>
        <v>0</v>
      </c>
      <c r="CK91" s="113">
        <f t="shared" si="107"/>
        <v>0</v>
      </c>
      <c r="CL91" s="113">
        <f t="shared" si="107"/>
        <v>0</v>
      </c>
      <c r="CM91" s="113">
        <f t="shared" si="107"/>
        <v>0</v>
      </c>
      <c r="CN91" s="459">
        <f t="shared" si="107"/>
        <v>0</v>
      </c>
      <c r="CO91" s="461">
        <f t="shared" si="107"/>
        <v>3</v>
      </c>
      <c r="CP91" s="582">
        <f t="shared" si="107"/>
        <v>1</v>
      </c>
      <c r="CQ91" s="113">
        <f t="shared" si="107"/>
        <v>0</v>
      </c>
      <c r="CR91" s="113">
        <f t="shared" si="107"/>
        <v>0</v>
      </c>
      <c r="CS91" s="113">
        <f t="shared" si="107"/>
        <v>1</v>
      </c>
      <c r="CT91" s="460">
        <f t="shared" si="107"/>
        <v>0</v>
      </c>
      <c r="CU91" s="582">
        <f t="shared" si="107"/>
        <v>2</v>
      </c>
      <c r="CV91" s="113">
        <f t="shared" si="107"/>
        <v>1</v>
      </c>
      <c r="CW91" s="113">
        <f t="shared" si="107"/>
        <v>0</v>
      </c>
      <c r="CX91" s="113">
        <f t="shared" si="107"/>
        <v>1</v>
      </c>
      <c r="CY91" s="459">
        <f t="shared" si="107"/>
        <v>0</v>
      </c>
      <c r="CZ91" s="461">
        <f t="shared" si="107"/>
        <v>1</v>
      </c>
      <c r="DA91" s="582">
        <f t="shared" si="107"/>
        <v>1</v>
      </c>
      <c r="DB91" s="113">
        <f t="shared" si="107"/>
        <v>1</v>
      </c>
      <c r="DC91" s="113">
        <f t="shared" si="107"/>
        <v>0</v>
      </c>
      <c r="DD91" s="113">
        <f t="shared" si="107"/>
        <v>0</v>
      </c>
      <c r="DE91" s="460">
        <f t="shared" si="107"/>
        <v>0</v>
      </c>
      <c r="DF91" s="582">
        <f t="shared" si="107"/>
        <v>0</v>
      </c>
      <c r="DG91" s="113">
        <f t="shared" si="107"/>
        <v>0</v>
      </c>
      <c r="DH91" s="113">
        <f t="shared" si="107"/>
        <v>0</v>
      </c>
      <c r="DI91" s="113">
        <f t="shared" si="106"/>
        <v>0</v>
      </c>
      <c r="DJ91" s="459">
        <f t="shared" si="106"/>
        <v>0</v>
      </c>
      <c r="DK91" s="461">
        <f t="shared" si="106"/>
        <v>0</v>
      </c>
      <c r="DL91" s="582">
        <f t="shared" si="106"/>
        <v>0</v>
      </c>
      <c r="DM91" s="113">
        <f t="shared" si="106"/>
        <v>0</v>
      </c>
      <c r="DN91" s="113">
        <f t="shared" si="106"/>
        <v>0</v>
      </c>
      <c r="DO91" s="113">
        <f t="shared" si="106"/>
        <v>0</v>
      </c>
      <c r="DP91" s="460">
        <f t="shared" si="106"/>
        <v>0</v>
      </c>
      <c r="DQ91" s="582">
        <f t="shared" si="106"/>
        <v>0</v>
      </c>
      <c r="DR91" s="113">
        <f t="shared" si="106"/>
        <v>0</v>
      </c>
      <c r="DS91" s="113">
        <f t="shared" si="106"/>
        <v>0</v>
      </c>
      <c r="DT91" s="113">
        <f t="shared" si="106"/>
        <v>0</v>
      </c>
      <c r="DU91" s="459">
        <f t="shared" si="106"/>
        <v>0</v>
      </c>
      <c r="DW91" s="461">
        <f t="shared" si="102"/>
        <v>93</v>
      </c>
      <c r="DX91" s="582">
        <f t="shared" si="102"/>
        <v>79</v>
      </c>
      <c r="DY91" s="113">
        <f t="shared" si="102"/>
        <v>33</v>
      </c>
      <c r="DZ91" s="113">
        <f t="shared" si="100"/>
        <v>0</v>
      </c>
      <c r="EA91" s="113">
        <f t="shared" si="100"/>
        <v>46</v>
      </c>
      <c r="EB91" s="460">
        <f t="shared" si="100"/>
        <v>0</v>
      </c>
      <c r="EC91" s="582">
        <f t="shared" si="100"/>
        <v>14</v>
      </c>
      <c r="ED91" s="113">
        <f t="shared" si="100"/>
        <v>3</v>
      </c>
      <c r="EE91" s="113">
        <f t="shared" si="100"/>
        <v>0</v>
      </c>
      <c r="EF91" s="113">
        <f t="shared" si="76"/>
        <v>11</v>
      </c>
      <c r="EG91" s="459">
        <f t="shared" si="76"/>
        <v>0</v>
      </c>
      <c r="EH91" s="461">
        <f t="shared" si="91"/>
        <v>34</v>
      </c>
      <c r="EI91" s="582">
        <f t="shared" si="91"/>
        <v>32</v>
      </c>
      <c r="EJ91" s="113">
        <f t="shared" si="89"/>
        <v>18</v>
      </c>
      <c r="EK91" s="113">
        <f t="shared" si="89"/>
        <v>0</v>
      </c>
      <c r="EL91" s="113">
        <f t="shared" si="89"/>
        <v>14</v>
      </c>
      <c r="EM91" s="460">
        <f t="shared" si="89"/>
        <v>0</v>
      </c>
      <c r="EN91" s="582">
        <f t="shared" si="89"/>
        <v>2</v>
      </c>
      <c r="EO91" s="113">
        <f t="shared" si="89"/>
        <v>0</v>
      </c>
      <c r="EP91" s="113">
        <f t="shared" si="89"/>
        <v>0</v>
      </c>
      <c r="EQ91" s="113">
        <f t="shared" si="89"/>
        <v>1</v>
      </c>
      <c r="ER91" s="459">
        <f t="shared" si="89"/>
        <v>1</v>
      </c>
    </row>
    <row r="92" spans="1:148">
      <c r="A92" s="466" t="s">
        <v>415</v>
      </c>
      <c r="B92" s="581">
        <v>44197</v>
      </c>
      <c r="C92" s="470">
        <v>2021</v>
      </c>
      <c r="D92" s="461">
        <f t="shared" si="72"/>
        <v>141819</v>
      </c>
      <c r="E92" s="461">
        <f t="shared" si="105"/>
        <v>3362</v>
      </c>
      <c r="F92" s="582">
        <f t="shared" si="105"/>
        <v>2600</v>
      </c>
      <c r="G92" s="113">
        <f t="shared" si="105"/>
        <v>1018</v>
      </c>
      <c r="H92" s="113">
        <f t="shared" si="105"/>
        <v>0</v>
      </c>
      <c r="I92" s="113">
        <f t="shared" si="105"/>
        <v>1582</v>
      </c>
      <c r="J92" s="460">
        <f t="shared" si="105"/>
        <v>0</v>
      </c>
      <c r="K92" s="582">
        <f t="shared" si="105"/>
        <v>762</v>
      </c>
      <c r="L92" s="113">
        <f t="shared" si="105"/>
        <v>183</v>
      </c>
      <c r="M92" s="113">
        <f t="shared" si="105"/>
        <v>0</v>
      </c>
      <c r="N92" s="113">
        <f t="shared" si="105"/>
        <v>512</v>
      </c>
      <c r="O92" s="459">
        <f t="shared" si="105"/>
        <v>67</v>
      </c>
      <c r="P92" s="461">
        <f t="shared" si="105"/>
        <v>5</v>
      </c>
      <c r="Q92" s="582">
        <f t="shared" si="105"/>
        <v>4</v>
      </c>
      <c r="R92" s="113">
        <f t="shared" si="105"/>
        <v>1</v>
      </c>
      <c r="S92" s="113">
        <f t="shared" si="105"/>
        <v>0</v>
      </c>
      <c r="T92" s="113">
        <f t="shared" si="105"/>
        <v>3</v>
      </c>
      <c r="U92" s="460">
        <f t="shared" si="104"/>
        <v>0</v>
      </c>
      <c r="V92" s="582">
        <f t="shared" si="104"/>
        <v>1</v>
      </c>
      <c r="W92" s="113">
        <f t="shared" si="104"/>
        <v>1</v>
      </c>
      <c r="X92" s="113">
        <f t="shared" si="104"/>
        <v>0</v>
      </c>
      <c r="Y92" s="113">
        <f t="shared" si="104"/>
        <v>0</v>
      </c>
      <c r="Z92" s="459">
        <f t="shared" si="104"/>
        <v>0</v>
      </c>
      <c r="AA92" s="461">
        <f t="shared" si="104"/>
        <v>4</v>
      </c>
      <c r="AB92" s="582">
        <f t="shared" si="104"/>
        <v>4</v>
      </c>
      <c r="AC92" s="113">
        <f t="shared" si="104"/>
        <v>3</v>
      </c>
      <c r="AD92" s="113">
        <f t="shared" si="104"/>
        <v>0</v>
      </c>
      <c r="AE92" s="113">
        <f t="shared" si="104"/>
        <v>1</v>
      </c>
      <c r="AF92" s="460">
        <f t="shared" si="104"/>
        <v>0</v>
      </c>
      <c r="AG92" s="582">
        <f t="shared" si="104"/>
        <v>0</v>
      </c>
      <c r="AH92" s="113">
        <f t="shared" si="104"/>
        <v>0</v>
      </c>
      <c r="AI92" s="113">
        <f t="shared" si="104"/>
        <v>0</v>
      </c>
      <c r="AJ92" s="113">
        <f t="shared" si="104"/>
        <v>0</v>
      </c>
      <c r="AK92" s="459">
        <f t="shared" si="104"/>
        <v>0</v>
      </c>
      <c r="AL92" s="461">
        <f t="shared" si="104"/>
        <v>30</v>
      </c>
      <c r="AM92" s="582">
        <f t="shared" si="104"/>
        <v>24</v>
      </c>
      <c r="AN92" s="113">
        <f t="shared" si="104"/>
        <v>12</v>
      </c>
      <c r="AO92" s="113">
        <f t="shared" si="104"/>
        <v>0</v>
      </c>
      <c r="AP92" s="113">
        <f t="shared" si="104"/>
        <v>12</v>
      </c>
      <c r="AQ92" s="460">
        <f t="shared" si="104"/>
        <v>0</v>
      </c>
      <c r="AR92" s="582">
        <f t="shared" si="104"/>
        <v>6</v>
      </c>
      <c r="AS92" s="113">
        <f t="shared" si="104"/>
        <v>3</v>
      </c>
      <c r="AT92" s="113">
        <f t="shared" si="104"/>
        <v>0</v>
      </c>
      <c r="AU92" s="113">
        <f t="shared" si="104"/>
        <v>3</v>
      </c>
      <c r="AV92" s="459">
        <f t="shared" si="104"/>
        <v>0</v>
      </c>
      <c r="AW92" s="461">
        <f t="shared" si="107"/>
        <v>11</v>
      </c>
      <c r="AX92" s="582">
        <f t="shared" si="107"/>
        <v>11</v>
      </c>
      <c r="AY92" s="113">
        <f t="shared" si="107"/>
        <v>4</v>
      </c>
      <c r="AZ92" s="113">
        <f t="shared" si="107"/>
        <v>0</v>
      </c>
      <c r="BA92" s="113">
        <f t="shared" si="107"/>
        <v>7</v>
      </c>
      <c r="BB92" s="460">
        <f t="shared" si="107"/>
        <v>0</v>
      </c>
      <c r="BC92" s="582">
        <f t="shared" si="107"/>
        <v>0</v>
      </c>
      <c r="BD92" s="113">
        <f t="shared" si="107"/>
        <v>0</v>
      </c>
      <c r="BE92" s="113">
        <f t="shared" si="107"/>
        <v>0</v>
      </c>
      <c r="BF92" s="113">
        <f t="shared" si="107"/>
        <v>0</v>
      </c>
      <c r="BG92" s="459">
        <f t="shared" si="107"/>
        <v>0</v>
      </c>
      <c r="BH92" s="461">
        <f t="shared" si="107"/>
        <v>29</v>
      </c>
      <c r="BI92" s="582">
        <f t="shared" si="107"/>
        <v>24</v>
      </c>
      <c r="BJ92" s="113">
        <f t="shared" si="107"/>
        <v>13</v>
      </c>
      <c r="BK92" s="113">
        <f t="shared" si="107"/>
        <v>0</v>
      </c>
      <c r="BL92" s="113">
        <f t="shared" si="107"/>
        <v>11</v>
      </c>
      <c r="BM92" s="460">
        <f t="shared" si="107"/>
        <v>0</v>
      </c>
      <c r="BN92" s="582">
        <f t="shared" si="107"/>
        <v>5</v>
      </c>
      <c r="BO92" s="113">
        <f t="shared" si="107"/>
        <v>0</v>
      </c>
      <c r="BP92" s="113">
        <f t="shared" si="107"/>
        <v>0</v>
      </c>
      <c r="BQ92" s="113">
        <f t="shared" si="107"/>
        <v>4</v>
      </c>
      <c r="BR92" s="459">
        <f t="shared" si="107"/>
        <v>1</v>
      </c>
      <c r="BS92" s="461">
        <f t="shared" si="107"/>
        <v>31</v>
      </c>
      <c r="BT92" s="582">
        <f t="shared" si="107"/>
        <v>28</v>
      </c>
      <c r="BU92" s="113">
        <f t="shared" si="107"/>
        <v>15</v>
      </c>
      <c r="BV92" s="113">
        <f t="shared" si="107"/>
        <v>0</v>
      </c>
      <c r="BW92" s="113">
        <f t="shared" si="107"/>
        <v>13</v>
      </c>
      <c r="BX92" s="460">
        <f t="shared" si="107"/>
        <v>0</v>
      </c>
      <c r="BY92" s="582">
        <f t="shared" si="107"/>
        <v>3</v>
      </c>
      <c r="BZ92" s="113">
        <f t="shared" si="107"/>
        <v>1</v>
      </c>
      <c r="CA92" s="113">
        <f t="shared" si="107"/>
        <v>0</v>
      </c>
      <c r="CB92" s="113">
        <f t="shared" si="107"/>
        <v>2</v>
      </c>
      <c r="CC92" s="459">
        <f t="shared" si="107"/>
        <v>0</v>
      </c>
      <c r="CD92" s="461">
        <f t="shared" si="107"/>
        <v>3</v>
      </c>
      <c r="CE92" s="582">
        <f t="shared" si="107"/>
        <v>3</v>
      </c>
      <c r="CF92" s="113">
        <f t="shared" si="107"/>
        <v>0</v>
      </c>
      <c r="CG92" s="113">
        <f t="shared" si="107"/>
        <v>0</v>
      </c>
      <c r="CH92" s="113">
        <f t="shared" si="107"/>
        <v>3</v>
      </c>
      <c r="CI92" s="460">
        <f t="shared" si="107"/>
        <v>0</v>
      </c>
      <c r="CJ92" s="582">
        <f t="shared" si="107"/>
        <v>0</v>
      </c>
      <c r="CK92" s="113">
        <f t="shared" si="107"/>
        <v>0</v>
      </c>
      <c r="CL92" s="113">
        <f t="shared" ref="CL92:CT92" si="108">SUMIFS(CL$5:CL$36,$B$5:$B$36,$A92)</f>
        <v>0</v>
      </c>
      <c r="CM92" s="113">
        <f t="shared" si="108"/>
        <v>0</v>
      </c>
      <c r="CN92" s="459">
        <f t="shared" si="108"/>
        <v>0</v>
      </c>
      <c r="CO92" s="461">
        <f t="shared" si="108"/>
        <v>5</v>
      </c>
      <c r="CP92" s="582">
        <f t="shared" si="108"/>
        <v>4</v>
      </c>
      <c r="CQ92" s="113">
        <f t="shared" si="108"/>
        <v>3</v>
      </c>
      <c r="CR92" s="113">
        <f t="shared" si="108"/>
        <v>0</v>
      </c>
      <c r="CS92" s="113">
        <f t="shared" si="108"/>
        <v>1</v>
      </c>
      <c r="CT92" s="460">
        <f t="shared" si="108"/>
        <v>0</v>
      </c>
      <c r="CU92" s="582">
        <f t="shared" si="106"/>
        <v>1</v>
      </c>
      <c r="CV92" s="113">
        <f t="shared" si="106"/>
        <v>0</v>
      </c>
      <c r="CW92" s="113">
        <f t="shared" si="106"/>
        <v>0</v>
      </c>
      <c r="CX92" s="113">
        <f t="shared" si="106"/>
        <v>1</v>
      </c>
      <c r="CY92" s="459">
        <f t="shared" si="106"/>
        <v>0</v>
      </c>
      <c r="CZ92" s="461">
        <f t="shared" si="106"/>
        <v>1</v>
      </c>
      <c r="DA92" s="582">
        <f t="shared" si="106"/>
        <v>1</v>
      </c>
      <c r="DB92" s="113">
        <f t="shared" si="106"/>
        <v>0</v>
      </c>
      <c r="DC92" s="113">
        <f t="shared" si="106"/>
        <v>0</v>
      </c>
      <c r="DD92" s="113">
        <f t="shared" si="106"/>
        <v>1</v>
      </c>
      <c r="DE92" s="460">
        <f t="shared" si="106"/>
        <v>0</v>
      </c>
      <c r="DF92" s="582">
        <f t="shared" si="106"/>
        <v>0</v>
      </c>
      <c r="DG92" s="113">
        <f t="shared" si="106"/>
        <v>0</v>
      </c>
      <c r="DH92" s="113">
        <f t="shared" si="106"/>
        <v>0</v>
      </c>
      <c r="DI92" s="113">
        <f t="shared" si="106"/>
        <v>0</v>
      </c>
      <c r="DJ92" s="459">
        <f t="shared" si="106"/>
        <v>0</v>
      </c>
      <c r="DK92" s="461">
        <f t="shared" si="106"/>
        <v>0</v>
      </c>
      <c r="DL92" s="582">
        <f t="shared" si="106"/>
        <v>0</v>
      </c>
      <c r="DM92" s="113">
        <f t="shared" si="106"/>
        <v>0</v>
      </c>
      <c r="DN92" s="113">
        <f t="shared" si="106"/>
        <v>0</v>
      </c>
      <c r="DO92" s="113">
        <f t="shared" si="106"/>
        <v>0</v>
      </c>
      <c r="DP92" s="460">
        <f t="shared" si="106"/>
        <v>0</v>
      </c>
      <c r="DQ92" s="582">
        <f t="shared" si="106"/>
        <v>0</v>
      </c>
      <c r="DR92" s="113">
        <f t="shared" si="106"/>
        <v>0</v>
      </c>
      <c r="DS92" s="113">
        <f t="shared" si="106"/>
        <v>0</v>
      </c>
      <c r="DT92" s="113">
        <f t="shared" si="106"/>
        <v>0</v>
      </c>
      <c r="DU92" s="459">
        <f t="shared" si="106"/>
        <v>0</v>
      </c>
      <c r="DW92" s="461">
        <f t="shared" si="102"/>
        <v>89</v>
      </c>
      <c r="DX92" s="582">
        <f t="shared" si="102"/>
        <v>79</v>
      </c>
      <c r="DY92" s="113">
        <f t="shared" si="102"/>
        <v>39</v>
      </c>
      <c r="DZ92" s="113">
        <f t="shared" si="100"/>
        <v>0</v>
      </c>
      <c r="EA92" s="113">
        <f t="shared" si="100"/>
        <v>40</v>
      </c>
      <c r="EB92" s="460">
        <f t="shared" si="100"/>
        <v>0</v>
      </c>
      <c r="EC92" s="582">
        <f t="shared" si="100"/>
        <v>10</v>
      </c>
      <c r="ED92" s="113">
        <f t="shared" si="100"/>
        <v>2</v>
      </c>
      <c r="EE92" s="113">
        <f t="shared" si="100"/>
        <v>0</v>
      </c>
      <c r="EF92" s="113">
        <f t="shared" si="76"/>
        <v>7</v>
      </c>
      <c r="EG92" s="459">
        <f t="shared" si="76"/>
        <v>1</v>
      </c>
      <c r="EH92" s="461">
        <f t="shared" si="91"/>
        <v>30</v>
      </c>
      <c r="EI92" s="582">
        <f t="shared" si="91"/>
        <v>24</v>
      </c>
      <c r="EJ92" s="113">
        <f t="shared" si="89"/>
        <v>12</v>
      </c>
      <c r="EK92" s="113">
        <f t="shared" si="89"/>
        <v>0</v>
      </c>
      <c r="EL92" s="113">
        <f t="shared" si="89"/>
        <v>12</v>
      </c>
      <c r="EM92" s="460">
        <f t="shared" si="89"/>
        <v>0</v>
      </c>
      <c r="EN92" s="582">
        <f t="shared" si="89"/>
        <v>6</v>
      </c>
      <c r="EO92" s="113">
        <f t="shared" si="89"/>
        <v>3</v>
      </c>
      <c r="EP92" s="113">
        <f t="shared" si="89"/>
        <v>0</v>
      </c>
      <c r="EQ92" s="113">
        <f t="shared" si="89"/>
        <v>3</v>
      </c>
      <c r="ER92" s="459">
        <f t="shared" si="89"/>
        <v>0</v>
      </c>
    </row>
    <row r="93" spans="1:148">
      <c r="A93" s="466" t="s">
        <v>415</v>
      </c>
      <c r="B93" s="581">
        <v>44228</v>
      </c>
      <c r="C93" s="470">
        <v>2021</v>
      </c>
      <c r="D93" s="461">
        <f t="shared" si="72"/>
        <v>141819</v>
      </c>
      <c r="E93" s="461">
        <f t="shared" si="105"/>
        <v>3362</v>
      </c>
      <c r="F93" s="582">
        <f t="shared" si="105"/>
        <v>2600</v>
      </c>
      <c r="G93" s="113">
        <f t="shared" si="105"/>
        <v>1018</v>
      </c>
      <c r="H93" s="113">
        <f t="shared" si="105"/>
        <v>0</v>
      </c>
      <c r="I93" s="113">
        <f t="shared" si="105"/>
        <v>1582</v>
      </c>
      <c r="J93" s="460">
        <f t="shared" si="105"/>
        <v>0</v>
      </c>
      <c r="K93" s="582">
        <f t="shared" si="105"/>
        <v>762</v>
      </c>
      <c r="L93" s="113">
        <f t="shared" si="105"/>
        <v>183</v>
      </c>
      <c r="M93" s="113">
        <f t="shared" si="105"/>
        <v>0</v>
      </c>
      <c r="N93" s="113">
        <f t="shared" si="105"/>
        <v>512</v>
      </c>
      <c r="O93" s="459">
        <f t="shared" si="105"/>
        <v>67</v>
      </c>
      <c r="P93" s="461">
        <f t="shared" si="105"/>
        <v>5</v>
      </c>
      <c r="Q93" s="582">
        <f t="shared" si="105"/>
        <v>4</v>
      </c>
      <c r="R93" s="113">
        <f t="shared" si="105"/>
        <v>1</v>
      </c>
      <c r="S93" s="113">
        <f t="shared" si="105"/>
        <v>0</v>
      </c>
      <c r="T93" s="113">
        <f t="shared" si="105"/>
        <v>3</v>
      </c>
      <c r="U93" s="460">
        <f t="shared" si="104"/>
        <v>0</v>
      </c>
      <c r="V93" s="582">
        <f t="shared" si="104"/>
        <v>1</v>
      </c>
      <c r="W93" s="113">
        <f t="shared" ref="W93:AY107" si="109">SUMIFS(W$5:W$36,$B$5:$B$36,$A93)</f>
        <v>1</v>
      </c>
      <c r="X93" s="113">
        <f t="shared" si="109"/>
        <v>0</v>
      </c>
      <c r="Y93" s="113">
        <f t="shared" si="109"/>
        <v>0</v>
      </c>
      <c r="Z93" s="459">
        <f t="shared" si="109"/>
        <v>0</v>
      </c>
      <c r="AA93" s="461">
        <f t="shared" si="109"/>
        <v>4</v>
      </c>
      <c r="AB93" s="582">
        <f t="shared" si="109"/>
        <v>4</v>
      </c>
      <c r="AC93" s="113">
        <f t="shared" si="109"/>
        <v>3</v>
      </c>
      <c r="AD93" s="113">
        <f t="shared" si="109"/>
        <v>0</v>
      </c>
      <c r="AE93" s="113">
        <f t="shared" si="109"/>
        <v>1</v>
      </c>
      <c r="AF93" s="460">
        <f t="shared" si="109"/>
        <v>0</v>
      </c>
      <c r="AG93" s="582">
        <f t="shared" si="109"/>
        <v>0</v>
      </c>
      <c r="AH93" s="113">
        <f t="shared" si="109"/>
        <v>0</v>
      </c>
      <c r="AI93" s="113">
        <f t="shared" si="109"/>
        <v>0</v>
      </c>
      <c r="AJ93" s="113">
        <f t="shared" si="109"/>
        <v>0</v>
      </c>
      <c r="AK93" s="459">
        <f t="shared" si="109"/>
        <v>0</v>
      </c>
      <c r="AL93" s="461">
        <f t="shared" si="109"/>
        <v>30</v>
      </c>
      <c r="AM93" s="582">
        <f t="shared" si="109"/>
        <v>24</v>
      </c>
      <c r="AN93" s="113">
        <f t="shared" si="109"/>
        <v>12</v>
      </c>
      <c r="AO93" s="113">
        <f t="shared" si="109"/>
        <v>0</v>
      </c>
      <c r="AP93" s="113">
        <f t="shared" si="109"/>
        <v>12</v>
      </c>
      <c r="AQ93" s="460">
        <f t="shared" si="109"/>
        <v>0</v>
      </c>
      <c r="AR93" s="582">
        <f t="shared" si="109"/>
        <v>6</v>
      </c>
      <c r="AS93" s="113">
        <f t="shared" si="109"/>
        <v>3</v>
      </c>
      <c r="AT93" s="113">
        <f t="shared" si="109"/>
        <v>0</v>
      </c>
      <c r="AU93" s="113">
        <f t="shared" si="109"/>
        <v>3</v>
      </c>
      <c r="AV93" s="459">
        <f t="shared" si="109"/>
        <v>0</v>
      </c>
      <c r="AW93" s="461">
        <f t="shared" si="109"/>
        <v>11</v>
      </c>
      <c r="AX93" s="582">
        <f t="shared" si="109"/>
        <v>11</v>
      </c>
      <c r="AY93" s="113">
        <f t="shared" si="109"/>
        <v>4</v>
      </c>
      <c r="AZ93" s="113">
        <f t="shared" ref="AZ93:DK98" si="110">SUMIFS(AZ$5:AZ$36,$B$5:$B$36,$A93)</f>
        <v>0</v>
      </c>
      <c r="BA93" s="113">
        <f t="shared" si="110"/>
        <v>7</v>
      </c>
      <c r="BB93" s="460">
        <f t="shared" si="110"/>
        <v>0</v>
      </c>
      <c r="BC93" s="582">
        <f t="shared" si="110"/>
        <v>0</v>
      </c>
      <c r="BD93" s="113">
        <f t="shared" si="110"/>
        <v>0</v>
      </c>
      <c r="BE93" s="113">
        <f t="shared" si="110"/>
        <v>0</v>
      </c>
      <c r="BF93" s="113">
        <f t="shared" si="110"/>
        <v>0</v>
      </c>
      <c r="BG93" s="459">
        <f t="shared" si="110"/>
        <v>0</v>
      </c>
      <c r="BH93" s="461">
        <f t="shared" si="110"/>
        <v>29</v>
      </c>
      <c r="BI93" s="582">
        <f t="shared" si="110"/>
        <v>24</v>
      </c>
      <c r="BJ93" s="113">
        <f t="shared" si="110"/>
        <v>13</v>
      </c>
      <c r="BK93" s="113">
        <f t="shared" si="110"/>
        <v>0</v>
      </c>
      <c r="BL93" s="113">
        <f t="shared" si="110"/>
        <v>11</v>
      </c>
      <c r="BM93" s="460">
        <f t="shared" si="110"/>
        <v>0</v>
      </c>
      <c r="BN93" s="582">
        <f t="shared" si="110"/>
        <v>5</v>
      </c>
      <c r="BO93" s="113">
        <f t="shared" si="110"/>
        <v>0</v>
      </c>
      <c r="BP93" s="113">
        <f t="shared" si="110"/>
        <v>0</v>
      </c>
      <c r="BQ93" s="113">
        <f t="shared" si="110"/>
        <v>4</v>
      </c>
      <c r="BR93" s="459">
        <f t="shared" si="110"/>
        <v>1</v>
      </c>
      <c r="BS93" s="461">
        <f t="shared" si="110"/>
        <v>31</v>
      </c>
      <c r="BT93" s="582">
        <f t="shared" si="110"/>
        <v>28</v>
      </c>
      <c r="BU93" s="113">
        <f t="shared" si="110"/>
        <v>15</v>
      </c>
      <c r="BV93" s="113">
        <f t="shared" si="110"/>
        <v>0</v>
      </c>
      <c r="BW93" s="113">
        <f t="shared" si="110"/>
        <v>13</v>
      </c>
      <c r="BX93" s="460">
        <f t="shared" si="110"/>
        <v>0</v>
      </c>
      <c r="BY93" s="582">
        <f t="shared" si="110"/>
        <v>3</v>
      </c>
      <c r="BZ93" s="113">
        <f t="shared" si="110"/>
        <v>1</v>
      </c>
      <c r="CA93" s="113">
        <f t="shared" si="110"/>
        <v>0</v>
      </c>
      <c r="CB93" s="113">
        <f t="shared" si="110"/>
        <v>2</v>
      </c>
      <c r="CC93" s="459">
        <f t="shared" si="110"/>
        <v>0</v>
      </c>
      <c r="CD93" s="461">
        <f t="shared" si="110"/>
        <v>3</v>
      </c>
      <c r="CE93" s="582">
        <f t="shared" si="110"/>
        <v>3</v>
      </c>
      <c r="CF93" s="113">
        <f t="shared" si="110"/>
        <v>0</v>
      </c>
      <c r="CG93" s="113">
        <f t="shared" si="110"/>
        <v>0</v>
      </c>
      <c r="CH93" s="113">
        <f t="shared" si="110"/>
        <v>3</v>
      </c>
      <c r="CI93" s="460">
        <f t="shared" si="110"/>
        <v>0</v>
      </c>
      <c r="CJ93" s="582">
        <f t="shared" si="110"/>
        <v>0</v>
      </c>
      <c r="CK93" s="113">
        <f t="shared" si="110"/>
        <v>0</v>
      </c>
      <c r="CL93" s="113">
        <f t="shared" si="110"/>
        <v>0</v>
      </c>
      <c r="CM93" s="113">
        <f t="shared" si="110"/>
        <v>0</v>
      </c>
      <c r="CN93" s="459">
        <f t="shared" si="110"/>
        <v>0</v>
      </c>
      <c r="CO93" s="461">
        <f t="shared" si="110"/>
        <v>5</v>
      </c>
      <c r="CP93" s="582">
        <f t="shared" si="110"/>
        <v>4</v>
      </c>
      <c r="CQ93" s="113">
        <f t="shared" si="110"/>
        <v>3</v>
      </c>
      <c r="CR93" s="113">
        <f t="shared" si="110"/>
        <v>0</v>
      </c>
      <c r="CS93" s="113">
        <f t="shared" si="110"/>
        <v>1</v>
      </c>
      <c r="CT93" s="460">
        <f t="shared" si="110"/>
        <v>0</v>
      </c>
      <c r="CU93" s="582">
        <f t="shared" si="106"/>
        <v>1</v>
      </c>
      <c r="CV93" s="113">
        <f t="shared" si="106"/>
        <v>0</v>
      </c>
      <c r="CW93" s="113">
        <f t="shared" si="106"/>
        <v>0</v>
      </c>
      <c r="CX93" s="113">
        <f t="shared" si="106"/>
        <v>1</v>
      </c>
      <c r="CY93" s="459">
        <f t="shared" si="106"/>
        <v>0</v>
      </c>
      <c r="CZ93" s="461">
        <f t="shared" si="106"/>
        <v>1</v>
      </c>
      <c r="DA93" s="582">
        <f t="shared" si="106"/>
        <v>1</v>
      </c>
      <c r="DB93" s="113">
        <f t="shared" si="106"/>
        <v>0</v>
      </c>
      <c r="DC93" s="113">
        <f t="shared" si="106"/>
        <v>0</v>
      </c>
      <c r="DD93" s="113">
        <f t="shared" si="106"/>
        <v>1</v>
      </c>
      <c r="DE93" s="460">
        <f t="shared" si="106"/>
        <v>0</v>
      </c>
      <c r="DF93" s="582">
        <f t="shared" si="106"/>
        <v>0</v>
      </c>
      <c r="DG93" s="113">
        <f t="shared" si="106"/>
        <v>0</v>
      </c>
      <c r="DH93" s="113">
        <f t="shared" si="106"/>
        <v>0</v>
      </c>
      <c r="DI93" s="113">
        <f t="shared" si="106"/>
        <v>0</v>
      </c>
      <c r="DJ93" s="459">
        <f t="shared" si="106"/>
        <v>0</v>
      </c>
      <c r="DK93" s="461">
        <f t="shared" si="106"/>
        <v>0</v>
      </c>
      <c r="DL93" s="582">
        <f t="shared" si="106"/>
        <v>0</v>
      </c>
      <c r="DM93" s="113">
        <f t="shared" si="106"/>
        <v>0</v>
      </c>
      <c r="DN93" s="113">
        <f t="shared" si="106"/>
        <v>0</v>
      </c>
      <c r="DO93" s="113">
        <f t="shared" si="106"/>
        <v>0</v>
      </c>
      <c r="DP93" s="460">
        <f t="shared" si="106"/>
        <v>0</v>
      </c>
      <c r="DQ93" s="582">
        <f t="shared" si="106"/>
        <v>0</v>
      </c>
      <c r="DR93" s="113">
        <f t="shared" si="106"/>
        <v>0</v>
      </c>
      <c r="DS93" s="113">
        <f t="shared" si="106"/>
        <v>0</v>
      </c>
      <c r="DT93" s="113">
        <f t="shared" si="106"/>
        <v>0</v>
      </c>
      <c r="DU93" s="459">
        <f t="shared" si="106"/>
        <v>0</v>
      </c>
      <c r="DW93" s="461">
        <f t="shared" si="102"/>
        <v>89</v>
      </c>
      <c r="DX93" s="582">
        <f t="shared" si="102"/>
        <v>79</v>
      </c>
      <c r="DY93" s="113">
        <f t="shared" si="102"/>
        <v>39</v>
      </c>
      <c r="DZ93" s="113">
        <f t="shared" si="100"/>
        <v>0</v>
      </c>
      <c r="EA93" s="113">
        <f t="shared" si="100"/>
        <v>40</v>
      </c>
      <c r="EB93" s="460">
        <f t="shared" si="100"/>
        <v>0</v>
      </c>
      <c r="EC93" s="582">
        <f t="shared" si="100"/>
        <v>10</v>
      </c>
      <c r="ED93" s="113">
        <f t="shared" si="100"/>
        <v>2</v>
      </c>
      <c r="EE93" s="113">
        <f t="shared" si="100"/>
        <v>0</v>
      </c>
      <c r="EF93" s="113">
        <f t="shared" si="76"/>
        <v>7</v>
      </c>
      <c r="EG93" s="459">
        <f t="shared" si="76"/>
        <v>1</v>
      </c>
      <c r="EH93" s="461">
        <f t="shared" si="91"/>
        <v>30</v>
      </c>
      <c r="EI93" s="582">
        <f t="shared" si="91"/>
        <v>24</v>
      </c>
      <c r="EJ93" s="113">
        <f t="shared" si="89"/>
        <v>12</v>
      </c>
      <c r="EK93" s="113">
        <f t="shared" si="89"/>
        <v>0</v>
      </c>
      <c r="EL93" s="113">
        <f t="shared" si="89"/>
        <v>12</v>
      </c>
      <c r="EM93" s="460">
        <f t="shared" ref="EM93:ER135" si="111">AQ93</f>
        <v>0</v>
      </c>
      <c r="EN93" s="582">
        <f t="shared" si="111"/>
        <v>6</v>
      </c>
      <c r="EO93" s="113">
        <f t="shared" si="111"/>
        <v>3</v>
      </c>
      <c r="EP93" s="113">
        <f t="shared" si="111"/>
        <v>0</v>
      </c>
      <c r="EQ93" s="113">
        <f t="shared" si="111"/>
        <v>3</v>
      </c>
      <c r="ER93" s="459">
        <f t="shared" si="111"/>
        <v>0</v>
      </c>
    </row>
    <row r="94" spans="1:148">
      <c r="A94" s="466" t="s">
        <v>415</v>
      </c>
      <c r="B94" s="581">
        <v>44256</v>
      </c>
      <c r="C94" s="470">
        <v>2021</v>
      </c>
      <c r="D94" s="461">
        <f t="shared" si="72"/>
        <v>141819</v>
      </c>
      <c r="E94" s="461">
        <f t="shared" si="105"/>
        <v>3362</v>
      </c>
      <c r="F94" s="582">
        <f t="shared" si="105"/>
        <v>2600</v>
      </c>
      <c r="G94" s="113">
        <f t="shared" si="105"/>
        <v>1018</v>
      </c>
      <c r="H94" s="113">
        <f t="shared" si="105"/>
        <v>0</v>
      </c>
      <c r="I94" s="113">
        <f t="shared" si="105"/>
        <v>1582</v>
      </c>
      <c r="J94" s="460">
        <f t="shared" si="105"/>
        <v>0</v>
      </c>
      <c r="K94" s="582">
        <f t="shared" si="105"/>
        <v>762</v>
      </c>
      <c r="L94" s="113">
        <f t="shared" si="105"/>
        <v>183</v>
      </c>
      <c r="M94" s="113">
        <f t="shared" si="105"/>
        <v>0</v>
      </c>
      <c r="N94" s="113">
        <f t="shared" si="105"/>
        <v>512</v>
      </c>
      <c r="O94" s="459">
        <f t="shared" si="105"/>
        <v>67</v>
      </c>
      <c r="P94" s="461">
        <f t="shared" si="105"/>
        <v>5</v>
      </c>
      <c r="Q94" s="582">
        <f t="shared" si="105"/>
        <v>4</v>
      </c>
      <c r="R94" s="113">
        <f t="shared" si="105"/>
        <v>1</v>
      </c>
      <c r="S94" s="113">
        <f t="shared" si="105"/>
        <v>0</v>
      </c>
      <c r="T94" s="113">
        <f t="shared" si="105"/>
        <v>3</v>
      </c>
      <c r="U94" s="460">
        <f t="shared" ref="U94:AH99" si="112">SUMIFS(U$5:U$36,$B$5:$B$36,$A94)</f>
        <v>0</v>
      </c>
      <c r="V94" s="582">
        <f t="shared" si="112"/>
        <v>1</v>
      </c>
      <c r="W94" s="113">
        <f t="shared" si="112"/>
        <v>1</v>
      </c>
      <c r="X94" s="113">
        <f t="shared" si="112"/>
        <v>0</v>
      </c>
      <c r="Y94" s="113">
        <f t="shared" si="112"/>
        <v>0</v>
      </c>
      <c r="Z94" s="459">
        <f t="shared" si="112"/>
        <v>0</v>
      </c>
      <c r="AA94" s="461">
        <f t="shared" si="112"/>
        <v>4</v>
      </c>
      <c r="AB94" s="582">
        <f t="shared" si="112"/>
        <v>4</v>
      </c>
      <c r="AC94" s="113">
        <f t="shared" si="112"/>
        <v>3</v>
      </c>
      <c r="AD94" s="113">
        <f t="shared" si="112"/>
        <v>0</v>
      </c>
      <c r="AE94" s="113">
        <f t="shared" si="112"/>
        <v>1</v>
      </c>
      <c r="AF94" s="460">
        <f t="shared" si="112"/>
        <v>0</v>
      </c>
      <c r="AG94" s="582">
        <f t="shared" si="112"/>
        <v>0</v>
      </c>
      <c r="AH94" s="113">
        <f t="shared" si="112"/>
        <v>0</v>
      </c>
      <c r="AI94" s="113">
        <f t="shared" si="109"/>
        <v>0</v>
      </c>
      <c r="AJ94" s="113">
        <f t="shared" si="109"/>
        <v>0</v>
      </c>
      <c r="AK94" s="459">
        <f t="shared" si="109"/>
        <v>0</v>
      </c>
      <c r="AL94" s="461">
        <f t="shared" si="109"/>
        <v>30</v>
      </c>
      <c r="AM94" s="582">
        <f t="shared" si="109"/>
        <v>24</v>
      </c>
      <c r="AN94" s="113">
        <f t="shared" si="109"/>
        <v>12</v>
      </c>
      <c r="AO94" s="113">
        <f t="shared" si="109"/>
        <v>0</v>
      </c>
      <c r="AP94" s="113">
        <f t="shared" si="109"/>
        <v>12</v>
      </c>
      <c r="AQ94" s="460">
        <f t="shared" si="109"/>
        <v>0</v>
      </c>
      <c r="AR94" s="582">
        <f t="shared" si="109"/>
        <v>6</v>
      </c>
      <c r="AS94" s="113">
        <f t="shared" si="109"/>
        <v>3</v>
      </c>
      <c r="AT94" s="113">
        <f t="shared" si="109"/>
        <v>0</v>
      </c>
      <c r="AU94" s="113">
        <f t="shared" si="109"/>
        <v>3</v>
      </c>
      <c r="AV94" s="459">
        <f t="shared" si="109"/>
        <v>0</v>
      </c>
      <c r="AW94" s="461">
        <f t="shared" si="109"/>
        <v>11</v>
      </c>
      <c r="AX94" s="582">
        <f t="shared" si="109"/>
        <v>11</v>
      </c>
      <c r="AY94" s="113">
        <f t="shared" si="109"/>
        <v>4</v>
      </c>
      <c r="AZ94" s="113">
        <f t="shared" si="110"/>
        <v>0</v>
      </c>
      <c r="BA94" s="113">
        <f t="shared" si="110"/>
        <v>7</v>
      </c>
      <c r="BB94" s="460">
        <f t="shared" si="110"/>
        <v>0</v>
      </c>
      <c r="BC94" s="582">
        <f t="shared" si="110"/>
        <v>0</v>
      </c>
      <c r="BD94" s="113">
        <f t="shared" si="110"/>
        <v>0</v>
      </c>
      <c r="BE94" s="113">
        <f t="shared" si="110"/>
        <v>0</v>
      </c>
      <c r="BF94" s="113">
        <f t="shared" si="110"/>
        <v>0</v>
      </c>
      <c r="BG94" s="459">
        <f t="shared" si="110"/>
        <v>0</v>
      </c>
      <c r="BH94" s="461">
        <f t="shared" si="110"/>
        <v>29</v>
      </c>
      <c r="BI94" s="582">
        <f t="shared" si="110"/>
        <v>24</v>
      </c>
      <c r="BJ94" s="113">
        <f t="shared" si="110"/>
        <v>13</v>
      </c>
      <c r="BK94" s="113">
        <f t="shared" si="110"/>
        <v>0</v>
      </c>
      <c r="BL94" s="113">
        <f t="shared" si="110"/>
        <v>11</v>
      </c>
      <c r="BM94" s="460">
        <f t="shared" si="110"/>
        <v>0</v>
      </c>
      <c r="BN94" s="582">
        <f t="shared" si="110"/>
        <v>5</v>
      </c>
      <c r="BO94" s="113">
        <f t="shared" si="110"/>
        <v>0</v>
      </c>
      <c r="BP94" s="113">
        <f t="shared" si="110"/>
        <v>0</v>
      </c>
      <c r="BQ94" s="113">
        <f t="shared" si="110"/>
        <v>4</v>
      </c>
      <c r="BR94" s="459">
        <f t="shared" si="110"/>
        <v>1</v>
      </c>
      <c r="BS94" s="461">
        <f t="shared" si="110"/>
        <v>31</v>
      </c>
      <c r="BT94" s="582">
        <f t="shared" si="110"/>
        <v>28</v>
      </c>
      <c r="BU94" s="113">
        <f t="shared" si="110"/>
        <v>15</v>
      </c>
      <c r="BV94" s="113">
        <f t="shared" si="110"/>
        <v>0</v>
      </c>
      <c r="BW94" s="113">
        <f t="shared" si="110"/>
        <v>13</v>
      </c>
      <c r="BX94" s="460">
        <f t="shared" si="110"/>
        <v>0</v>
      </c>
      <c r="BY94" s="582">
        <f t="shared" si="110"/>
        <v>3</v>
      </c>
      <c r="BZ94" s="113">
        <f t="shared" si="110"/>
        <v>1</v>
      </c>
      <c r="CA94" s="113">
        <f t="shared" si="110"/>
        <v>0</v>
      </c>
      <c r="CB94" s="113">
        <f t="shared" si="110"/>
        <v>2</v>
      </c>
      <c r="CC94" s="459">
        <f t="shared" si="110"/>
        <v>0</v>
      </c>
      <c r="CD94" s="461">
        <f t="shared" si="110"/>
        <v>3</v>
      </c>
      <c r="CE94" s="582">
        <f t="shared" si="110"/>
        <v>3</v>
      </c>
      <c r="CF94" s="113">
        <f t="shared" si="110"/>
        <v>0</v>
      </c>
      <c r="CG94" s="113">
        <f t="shared" si="110"/>
        <v>0</v>
      </c>
      <c r="CH94" s="113">
        <f t="shared" si="110"/>
        <v>3</v>
      </c>
      <c r="CI94" s="460">
        <f t="shared" si="110"/>
        <v>0</v>
      </c>
      <c r="CJ94" s="582">
        <f t="shared" si="110"/>
        <v>0</v>
      </c>
      <c r="CK94" s="113">
        <f t="shared" si="110"/>
        <v>0</v>
      </c>
      <c r="CL94" s="113">
        <f t="shared" si="110"/>
        <v>0</v>
      </c>
      <c r="CM94" s="113">
        <f t="shared" si="110"/>
        <v>0</v>
      </c>
      <c r="CN94" s="459">
        <f t="shared" si="110"/>
        <v>0</v>
      </c>
      <c r="CO94" s="461">
        <f t="shared" si="110"/>
        <v>5</v>
      </c>
      <c r="CP94" s="582">
        <f t="shared" si="110"/>
        <v>4</v>
      </c>
      <c r="CQ94" s="113">
        <f t="shared" si="110"/>
        <v>3</v>
      </c>
      <c r="CR94" s="113">
        <f t="shared" si="110"/>
        <v>0</v>
      </c>
      <c r="CS94" s="113">
        <f t="shared" si="110"/>
        <v>1</v>
      </c>
      <c r="CT94" s="460">
        <f t="shared" si="110"/>
        <v>0</v>
      </c>
      <c r="CU94" s="582">
        <f t="shared" si="106"/>
        <v>1</v>
      </c>
      <c r="CV94" s="113">
        <f t="shared" si="106"/>
        <v>0</v>
      </c>
      <c r="CW94" s="113">
        <f t="shared" si="106"/>
        <v>0</v>
      </c>
      <c r="CX94" s="113">
        <f t="shared" si="106"/>
        <v>1</v>
      </c>
      <c r="CY94" s="459">
        <f t="shared" si="106"/>
        <v>0</v>
      </c>
      <c r="CZ94" s="461">
        <f t="shared" si="106"/>
        <v>1</v>
      </c>
      <c r="DA94" s="582">
        <f t="shared" si="106"/>
        <v>1</v>
      </c>
      <c r="DB94" s="113">
        <f t="shared" si="106"/>
        <v>0</v>
      </c>
      <c r="DC94" s="113">
        <f t="shared" si="106"/>
        <v>0</v>
      </c>
      <c r="DD94" s="113">
        <f t="shared" si="106"/>
        <v>1</v>
      </c>
      <c r="DE94" s="460">
        <f t="shared" si="106"/>
        <v>0</v>
      </c>
      <c r="DF94" s="582">
        <f t="shared" si="106"/>
        <v>0</v>
      </c>
      <c r="DG94" s="113">
        <f t="shared" si="106"/>
        <v>0</v>
      </c>
      <c r="DH94" s="113">
        <f t="shared" si="106"/>
        <v>0</v>
      </c>
      <c r="DI94" s="113">
        <f t="shared" si="106"/>
        <v>0</v>
      </c>
      <c r="DJ94" s="459">
        <f t="shared" si="106"/>
        <v>0</v>
      </c>
      <c r="DK94" s="461">
        <f t="shared" si="106"/>
        <v>0</v>
      </c>
      <c r="DL94" s="582">
        <f t="shared" si="106"/>
        <v>0</v>
      </c>
      <c r="DM94" s="113">
        <f t="shared" si="106"/>
        <v>0</v>
      </c>
      <c r="DN94" s="113">
        <f t="shared" si="106"/>
        <v>0</v>
      </c>
      <c r="DO94" s="113">
        <f t="shared" si="106"/>
        <v>0</v>
      </c>
      <c r="DP94" s="460">
        <f t="shared" si="106"/>
        <v>0</v>
      </c>
      <c r="DQ94" s="582">
        <f t="shared" si="106"/>
        <v>0</v>
      </c>
      <c r="DR94" s="113">
        <f t="shared" si="106"/>
        <v>0</v>
      </c>
      <c r="DS94" s="113">
        <f t="shared" si="106"/>
        <v>0</v>
      </c>
      <c r="DT94" s="113">
        <f t="shared" si="106"/>
        <v>0</v>
      </c>
      <c r="DU94" s="459">
        <f t="shared" si="106"/>
        <v>0</v>
      </c>
      <c r="DW94" s="461">
        <f t="shared" si="102"/>
        <v>89</v>
      </c>
      <c r="DX94" s="582">
        <f t="shared" si="102"/>
        <v>79</v>
      </c>
      <c r="DY94" s="113">
        <f t="shared" si="102"/>
        <v>39</v>
      </c>
      <c r="DZ94" s="113">
        <f t="shared" si="100"/>
        <v>0</v>
      </c>
      <c r="EA94" s="113">
        <f t="shared" si="100"/>
        <v>40</v>
      </c>
      <c r="EB94" s="460">
        <f t="shared" si="100"/>
        <v>0</v>
      </c>
      <c r="EC94" s="582">
        <f t="shared" si="100"/>
        <v>10</v>
      </c>
      <c r="ED94" s="113">
        <f t="shared" si="100"/>
        <v>2</v>
      </c>
      <c r="EE94" s="113">
        <f t="shared" si="100"/>
        <v>0</v>
      </c>
      <c r="EF94" s="113">
        <f t="shared" si="76"/>
        <v>7</v>
      </c>
      <c r="EG94" s="459">
        <f t="shared" si="76"/>
        <v>1</v>
      </c>
      <c r="EH94" s="461">
        <f t="shared" si="91"/>
        <v>30</v>
      </c>
      <c r="EI94" s="582">
        <f t="shared" si="91"/>
        <v>24</v>
      </c>
      <c r="EJ94" s="113">
        <f t="shared" si="91"/>
        <v>12</v>
      </c>
      <c r="EK94" s="113">
        <f t="shared" si="91"/>
        <v>0</v>
      </c>
      <c r="EL94" s="113">
        <f t="shared" si="91"/>
        <v>12</v>
      </c>
      <c r="EM94" s="460">
        <f t="shared" si="111"/>
        <v>0</v>
      </c>
      <c r="EN94" s="582">
        <f t="shared" si="111"/>
        <v>6</v>
      </c>
      <c r="EO94" s="113">
        <f t="shared" si="111"/>
        <v>3</v>
      </c>
      <c r="EP94" s="113">
        <f t="shared" si="111"/>
        <v>0</v>
      </c>
      <c r="EQ94" s="113">
        <f t="shared" si="111"/>
        <v>3</v>
      </c>
      <c r="ER94" s="459">
        <f t="shared" si="111"/>
        <v>0</v>
      </c>
    </row>
    <row r="95" spans="1:148">
      <c r="A95" s="466" t="s">
        <v>416</v>
      </c>
      <c r="B95" s="581">
        <v>44287</v>
      </c>
      <c r="C95" s="470">
        <v>2021</v>
      </c>
      <c r="D95" s="461">
        <f t="shared" si="72"/>
        <v>180181</v>
      </c>
      <c r="E95" s="461">
        <f t="shared" si="105"/>
        <v>5148</v>
      </c>
      <c r="F95" s="582">
        <f t="shared" si="105"/>
        <v>3762</v>
      </c>
      <c r="G95" s="113">
        <f t="shared" si="105"/>
        <v>1702</v>
      </c>
      <c r="H95" s="113">
        <f t="shared" si="105"/>
        <v>0</v>
      </c>
      <c r="I95" s="113">
        <f t="shared" si="105"/>
        <v>2060</v>
      </c>
      <c r="J95" s="460">
        <f t="shared" si="105"/>
        <v>0</v>
      </c>
      <c r="K95" s="582">
        <f t="shared" si="105"/>
        <v>1386</v>
      </c>
      <c r="L95" s="113">
        <f t="shared" si="105"/>
        <v>267</v>
      </c>
      <c r="M95" s="113">
        <f t="shared" si="105"/>
        <v>0</v>
      </c>
      <c r="N95" s="113">
        <f t="shared" si="105"/>
        <v>1063</v>
      </c>
      <c r="O95" s="459">
        <f t="shared" si="105"/>
        <v>56</v>
      </c>
      <c r="P95" s="461">
        <f t="shared" si="105"/>
        <v>3</v>
      </c>
      <c r="Q95" s="582">
        <f t="shared" si="105"/>
        <v>3</v>
      </c>
      <c r="R95" s="113">
        <f t="shared" si="105"/>
        <v>2</v>
      </c>
      <c r="S95" s="113">
        <f t="shared" si="105"/>
        <v>0</v>
      </c>
      <c r="T95" s="113">
        <f t="shared" si="105"/>
        <v>1</v>
      </c>
      <c r="U95" s="460">
        <f t="shared" si="112"/>
        <v>0</v>
      </c>
      <c r="V95" s="582">
        <f t="shared" si="112"/>
        <v>0</v>
      </c>
      <c r="W95" s="113">
        <f t="shared" si="112"/>
        <v>0</v>
      </c>
      <c r="X95" s="113">
        <f t="shared" si="112"/>
        <v>0</v>
      </c>
      <c r="Y95" s="113">
        <f t="shared" si="112"/>
        <v>0</v>
      </c>
      <c r="Z95" s="459">
        <f t="shared" si="112"/>
        <v>0</v>
      </c>
      <c r="AA95" s="461">
        <f t="shared" si="112"/>
        <v>4</v>
      </c>
      <c r="AB95" s="582">
        <f t="shared" si="112"/>
        <v>3</v>
      </c>
      <c r="AC95" s="113">
        <f t="shared" si="112"/>
        <v>0</v>
      </c>
      <c r="AD95" s="113">
        <f t="shared" si="112"/>
        <v>0</v>
      </c>
      <c r="AE95" s="113">
        <f t="shared" si="112"/>
        <v>3</v>
      </c>
      <c r="AF95" s="460">
        <f t="shared" si="112"/>
        <v>0</v>
      </c>
      <c r="AG95" s="582">
        <f t="shared" si="112"/>
        <v>1</v>
      </c>
      <c r="AH95" s="113">
        <f t="shared" si="112"/>
        <v>1</v>
      </c>
      <c r="AI95" s="113">
        <f t="shared" si="109"/>
        <v>0</v>
      </c>
      <c r="AJ95" s="113">
        <f t="shared" si="109"/>
        <v>0</v>
      </c>
      <c r="AK95" s="459">
        <f t="shared" si="109"/>
        <v>0</v>
      </c>
      <c r="AL95" s="461">
        <f t="shared" si="109"/>
        <v>56</v>
      </c>
      <c r="AM95" s="582">
        <f t="shared" si="109"/>
        <v>39</v>
      </c>
      <c r="AN95" s="113">
        <f t="shared" si="109"/>
        <v>18</v>
      </c>
      <c r="AO95" s="113">
        <f t="shared" si="109"/>
        <v>0</v>
      </c>
      <c r="AP95" s="113">
        <f t="shared" si="109"/>
        <v>21</v>
      </c>
      <c r="AQ95" s="460">
        <f t="shared" si="109"/>
        <v>0</v>
      </c>
      <c r="AR95" s="582">
        <f t="shared" si="109"/>
        <v>17</v>
      </c>
      <c r="AS95" s="113">
        <f t="shared" si="109"/>
        <v>3</v>
      </c>
      <c r="AT95" s="113">
        <f t="shared" si="109"/>
        <v>0</v>
      </c>
      <c r="AU95" s="113">
        <f t="shared" si="109"/>
        <v>14</v>
      </c>
      <c r="AV95" s="459">
        <f t="shared" si="109"/>
        <v>0</v>
      </c>
      <c r="AW95" s="461">
        <f t="shared" si="109"/>
        <v>24</v>
      </c>
      <c r="AX95" s="582">
        <f t="shared" si="109"/>
        <v>20</v>
      </c>
      <c r="AY95" s="113">
        <f t="shared" si="109"/>
        <v>11</v>
      </c>
      <c r="AZ95" s="113">
        <f t="shared" si="110"/>
        <v>0</v>
      </c>
      <c r="BA95" s="113">
        <f t="shared" si="110"/>
        <v>9</v>
      </c>
      <c r="BB95" s="460">
        <f t="shared" si="110"/>
        <v>0</v>
      </c>
      <c r="BC95" s="582">
        <f t="shared" si="110"/>
        <v>4</v>
      </c>
      <c r="BD95" s="113">
        <f t="shared" si="110"/>
        <v>2</v>
      </c>
      <c r="BE95" s="113">
        <f t="shared" si="110"/>
        <v>0</v>
      </c>
      <c r="BF95" s="113">
        <f t="shared" si="110"/>
        <v>2</v>
      </c>
      <c r="BG95" s="459">
        <f t="shared" si="110"/>
        <v>0</v>
      </c>
      <c r="BH95" s="461">
        <f t="shared" si="110"/>
        <v>45</v>
      </c>
      <c r="BI95" s="582">
        <f t="shared" si="110"/>
        <v>38</v>
      </c>
      <c r="BJ95" s="113">
        <f t="shared" si="110"/>
        <v>17</v>
      </c>
      <c r="BK95" s="113">
        <f t="shared" si="110"/>
        <v>0</v>
      </c>
      <c r="BL95" s="113">
        <f t="shared" si="110"/>
        <v>21</v>
      </c>
      <c r="BM95" s="460">
        <f t="shared" si="110"/>
        <v>0</v>
      </c>
      <c r="BN95" s="582">
        <f t="shared" si="110"/>
        <v>7</v>
      </c>
      <c r="BO95" s="113">
        <f t="shared" si="110"/>
        <v>2</v>
      </c>
      <c r="BP95" s="113">
        <f t="shared" si="110"/>
        <v>0</v>
      </c>
      <c r="BQ95" s="113">
        <f t="shared" si="110"/>
        <v>4</v>
      </c>
      <c r="BR95" s="459">
        <f t="shared" si="110"/>
        <v>1</v>
      </c>
      <c r="BS95" s="461">
        <f t="shared" si="110"/>
        <v>46</v>
      </c>
      <c r="BT95" s="582">
        <f t="shared" si="110"/>
        <v>38</v>
      </c>
      <c r="BU95" s="113">
        <f t="shared" si="110"/>
        <v>16</v>
      </c>
      <c r="BV95" s="113">
        <f t="shared" si="110"/>
        <v>0</v>
      </c>
      <c r="BW95" s="113">
        <f t="shared" si="110"/>
        <v>22</v>
      </c>
      <c r="BX95" s="460">
        <f t="shared" si="110"/>
        <v>0</v>
      </c>
      <c r="BY95" s="582">
        <f t="shared" si="110"/>
        <v>8</v>
      </c>
      <c r="BZ95" s="113">
        <f t="shared" si="110"/>
        <v>3</v>
      </c>
      <c r="CA95" s="113">
        <f t="shared" si="110"/>
        <v>0</v>
      </c>
      <c r="CB95" s="113">
        <f t="shared" si="110"/>
        <v>5</v>
      </c>
      <c r="CC95" s="459">
        <f t="shared" si="110"/>
        <v>0</v>
      </c>
      <c r="CD95" s="461">
        <f t="shared" si="110"/>
        <v>8</v>
      </c>
      <c r="CE95" s="582">
        <f t="shared" si="110"/>
        <v>6</v>
      </c>
      <c r="CF95" s="113">
        <f t="shared" si="110"/>
        <v>0</v>
      </c>
      <c r="CG95" s="113">
        <f t="shared" si="110"/>
        <v>0</v>
      </c>
      <c r="CH95" s="113">
        <f t="shared" si="110"/>
        <v>6</v>
      </c>
      <c r="CI95" s="460">
        <f t="shared" si="110"/>
        <v>0</v>
      </c>
      <c r="CJ95" s="582">
        <f t="shared" si="110"/>
        <v>2</v>
      </c>
      <c r="CK95" s="113">
        <f t="shared" si="110"/>
        <v>0</v>
      </c>
      <c r="CL95" s="113">
        <f t="shared" si="110"/>
        <v>0</v>
      </c>
      <c r="CM95" s="113">
        <f t="shared" si="110"/>
        <v>2</v>
      </c>
      <c r="CN95" s="459">
        <f t="shared" si="110"/>
        <v>0</v>
      </c>
      <c r="CO95" s="461">
        <f t="shared" si="110"/>
        <v>6</v>
      </c>
      <c r="CP95" s="582">
        <f t="shared" si="110"/>
        <v>4</v>
      </c>
      <c r="CQ95" s="113">
        <f t="shared" si="110"/>
        <v>1</v>
      </c>
      <c r="CR95" s="113">
        <f t="shared" si="110"/>
        <v>0</v>
      </c>
      <c r="CS95" s="113">
        <f t="shared" si="110"/>
        <v>3</v>
      </c>
      <c r="CT95" s="460">
        <f t="shared" si="110"/>
        <v>0</v>
      </c>
      <c r="CU95" s="582">
        <f t="shared" si="110"/>
        <v>2</v>
      </c>
      <c r="CV95" s="113">
        <f t="shared" si="110"/>
        <v>0</v>
      </c>
      <c r="CW95" s="113">
        <f t="shared" si="110"/>
        <v>0</v>
      </c>
      <c r="CX95" s="113">
        <f t="shared" si="110"/>
        <v>2</v>
      </c>
      <c r="CY95" s="459">
        <f t="shared" si="110"/>
        <v>0</v>
      </c>
      <c r="CZ95" s="461">
        <f t="shared" si="110"/>
        <v>1</v>
      </c>
      <c r="DA95" s="582">
        <f t="shared" si="110"/>
        <v>1</v>
      </c>
      <c r="DB95" s="113">
        <f t="shared" si="110"/>
        <v>0</v>
      </c>
      <c r="DC95" s="113">
        <f t="shared" si="110"/>
        <v>0</v>
      </c>
      <c r="DD95" s="113">
        <f t="shared" si="110"/>
        <v>1</v>
      </c>
      <c r="DE95" s="460">
        <f t="shared" si="110"/>
        <v>0</v>
      </c>
      <c r="DF95" s="582">
        <f t="shared" si="110"/>
        <v>0</v>
      </c>
      <c r="DG95" s="113">
        <f t="shared" si="110"/>
        <v>0</v>
      </c>
      <c r="DH95" s="113">
        <f t="shared" si="110"/>
        <v>0</v>
      </c>
      <c r="DI95" s="113">
        <f t="shared" si="110"/>
        <v>0</v>
      </c>
      <c r="DJ95" s="459">
        <f t="shared" si="110"/>
        <v>0</v>
      </c>
      <c r="DK95" s="461">
        <f t="shared" si="110"/>
        <v>0</v>
      </c>
      <c r="DL95" s="582">
        <f t="shared" si="106"/>
        <v>0</v>
      </c>
      <c r="DM95" s="113">
        <f t="shared" si="106"/>
        <v>0</v>
      </c>
      <c r="DN95" s="113">
        <f t="shared" si="106"/>
        <v>0</v>
      </c>
      <c r="DO95" s="113">
        <f t="shared" si="106"/>
        <v>0</v>
      </c>
      <c r="DP95" s="460">
        <f t="shared" si="106"/>
        <v>0</v>
      </c>
      <c r="DQ95" s="582">
        <f t="shared" si="106"/>
        <v>0</v>
      </c>
      <c r="DR95" s="113">
        <f t="shared" si="106"/>
        <v>0</v>
      </c>
      <c r="DS95" s="113">
        <f t="shared" si="106"/>
        <v>0</v>
      </c>
      <c r="DT95" s="113">
        <f t="shared" si="106"/>
        <v>0</v>
      </c>
      <c r="DU95" s="459">
        <f t="shared" si="106"/>
        <v>0</v>
      </c>
      <c r="DW95" s="461">
        <f t="shared" si="102"/>
        <v>137</v>
      </c>
      <c r="DX95" s="582">
        <f t="shared" si="102"/>
        <v>113</v>
      </c>
      <c r="DY95" s="113">
        <f t="shared" si="102"/>
        <v>47</v>
      </c>
      <c r="DZ95" s="113">
        <f t="shared" si="100"/>
        <v>0</v>
      </c>
      <c r="EA95" s="113">
        <f t="shared" si="100"/>
        <v>66</v>
      </c>
      <c r="EB95" s="460">
        <f t="shared" si="100"/>
        <v>0</v>
      </c>
      <c r="EC95" s="582">
        <f t="shared" si="100"/>
        <v>24</v>
      </c>
      <c r="ED95" s="113">
        <f t="shared" si="100"/>
        <v>8</v>
      </c>
      <c r="EE95" s="113">
        <f t="shared" si="100"/>
        <v>0</v>
      </c>
      <c r="EF95" s="113">
        <f t="shared" si="76"/>
        <v>15</v>
      </c>
      <c r="EG95" s="459">
        <f t="shared" si="76"/>
        <v>1</v>
      </c>
      <c r="EH95" s="461">
        <f t="shared" si="91"/>
        <v>56</v>
      </c>
      <c r="EI95" s="582">
        <f t="shared" si="91"/>
        <v>39</v>
      </c>
      <c r="EJ95" s="113">
        <f t="shared" si="91"/>
        <v>18</v>
      </c>
      <c r="EK95" s="113">
        <f t="shared" si="91"/>
        <v>0</v>
      </c>
      <c r="EL95" s="113">
        <f t="shared" si="91"/>
        <v>21</v>
      </c>
      <c r="EM95" s="460">
        <f t="shared" si="111"/>
        <v>0</v>
      </c>
      <c r="EN95" s="582">
        <f t="shared" si="111"/>
        <v>17</v>
      </c>
      <c r="EO95" s="113">
        <f t="shared" si="111"/>
        <v>3</v>
      </c>
      <c r="EP95" s="113">
        <f t="shared" si="111"/>
        <v>0</v>
      </c>
      <c r="EQ95" s="113">
        <f t="shared" si="111"/>
        <v>14</v>
      </c>
      <c r="ER95" s="459">
        <f t="shared" si="111"/>
        <v>0</v>
      </c>
    </row>
    <row r="96" spans="1:148">
      <c r="A96" s="466" t="s">
        <v>416</v>
      </c>
      <c r="B96" s="581">
        <v>44317</v>
      </c>
      <c r="C96" s="470">
        <v>2021</v>
      </c>
      <c r="D96" s="461">
        <f t="shared" si="72"/>
        <v>180181</v>
      </c>
      <c r="E96" s="461">
        <f t="shared" si="105"/>
        <v>5148</v>
      </c>
      <c r="F96" s="582">
        <f t="shared" si="105"/>
        <v>3762</v>
      </c>
      <c r="G96" s="113">
        <f t="shared" si="105"/>
        <v>1702</v>
      </c>
      <c r="H96" s="113">
        <f t="shared" si="105"/>
        <v>0</v>
      </c>
      <c r="I96" s="113">
        <f t="shared" si="105"/>
        <v>2060</v>
      </c>
      <c r="J96" s="460">
        <f t="shared" si="105"/>
        <v>0</v>
      </c>
      <c r="K96" s="582">
        <f t="shared" si="105"/>
        <v>1386</v>
      </c>
      <c r="L96" s="113">
        <f t="shared" si="105"/>
        <v>267</v>
      </c>
      <c r="M96" s="113">
        <f t="shared" si="105"/>
        <v>0</v>
      </c>
      <c r="N96" s="113">
        <f t="shared" si="105"/>
        <v>1063</v>
      </c>
      <c r="O96" s="459">
        <f t="shared" si="105"/>
        <v>56</v>
      </c>
      <c r="P96" s="461">
        <f t="shared" si="105"/>
        <v>3</v>
      </c>
      <c r="Q96" s="582">
        <f t="shared" si="105"/>
        <v>3</v>
      </c>
      <c r="R96" s="113">
        <f t="shared" si="105"/>
        <v>2</v>
      </c>
      <c r="S96" s="113">
        <f t="shared" si="105"/>
        <v>0</v>
      </c>
      <c r="T96" s="113">
        <f t="shared" si="105"/>
        <v>1</v>
      </c>
      <c r="U96" s="460">
        <f t="shared" si="112"/>
        <v>0</v>
      </c>
      <c r="V96" s="582">
        <f t="shared" si="112"/>
        <v>0</v>
      </c>
      <c r="W96" s="113">
        <f t="shared" si="112"/>
        <v>0</v>
      </c>
      <c r="X96" s="113">
        <f t="shared" si="112"/>
        <v>0</v>
      </c>
      <c r="Y96" s="113">
        <f t="shared" si="112"/>
        <v>0</v>
      </c>
      <c r="Z96" s="459">
        <f t="shared" si="112"/>
        <v>0</v>
      </c>
      <c r="AA96" s="461">
        <f t="shared" si="112"/>
        <v>4</v>
      </c>
      <c r="AB96" s="582">
        <f t="shared" si="112"/>
        <v>3</v>
      </c>
      <c r="AC96" s="113">
        <f t="shared" si="112"/>
        <v>0</v>
      </c>
      <c r="AD96" s="113">
        <f t="shared" si="112"/>
        <v>0</v>
      </c>
      <c r="AE96" s="113">
        <f t="shared" si="112"/>
        <v>3</v>
      </c>
      <c r="AF96" s="460">
        <f t="shared" si="112"/>
        <v>0</v>
      </c>
      <c r="AG96" s="582">
        <f t="shared" si="112"/>
        <v>1</v>
      </c>
      <c r="AH96" s="113">
        <f t="shared" si="112"/>
        <v>1</v>
      </c>
      <c r="AI96" s="113">
        <f t="shared" si="109"/>
        <v>0</v>
      </c>
      <c r="AJ96" s="113">
        <f t="shared" si="109"/>
        <v>0</v>
      </c>
      <c r="AK96" s="459">
        <f t="shared" si="109"/>
        <v>0</v>
      </c>
      <c r="AL96" s="461">
        <f t="shared" si="109"/>
        <v>56</v>
      </c>
      <c r="AM96" s="582">
        <f t="shared" si="109"/>
        <v>39</v>
      </c>
      <c r="AN96" s="113">
        <f t="shared" si="109"/>
        <v>18</v>
      </c>
      <c r="AO96" s="113">
        <f t="shared" si="109"/>
        <v>0</v>
      </c>
      <c r="AP96" s="113">
        <f t="shared" si="109"/>
        <v>21</v>
      </c>
      <c r="AQ96" s="460">
        <f t="shared" si="109"/>
        <v>0</v>
      </c>
      <c r="AR96" s="582">
        <f t="shared" si="109"/>
        <v>17</v>
      </c>
      <c r="AS96" s="113">
        <f t="shared" si="109"/>
        <v>3</v>
      </c>
      <c r="AT96" s="113">
        <f t="shared" si="109"/>
        <v>0</v>
      </c>
      <c r="AU96" s="113">
        <f t="shared" si="109"/>
        <v>14</v>
      </c>
      <c r="AV96" s="459">
        <f t="shared" si="109"/>
        <v>0</v>
      </c>
      <c r="AW96" s="461">
        <f t="shared" si="109"/>
        <v>24</v>
      </c>
      <c r="AX96" s="582">
        <f t="shared" si="109"/>
        <v>20</v>
      </c>
      <c r="AY96" s="113">
        <f t="shared" si="109"/>
        <v>11</v>
      </c>
      <c r="AZ96" s="113">
        <f t="shared" si="110"/>
        <v>0</v>
      </c>
      <c r="BA96" s="113">
        <f t="shared" si="110"/>
        <v>9</v>
      </c>
      <c r="BB96" s="460">
        <f t="shared" si="110"/>
        <v>0</v>
      </c>
      <c r="BC96" s="582">
        <f t="shared" si="110"/>
        <v>4</v>
      </c>
      <c r="BD96" s="113">
        <f t="shared" si="110"/>
        <v>2</v>
      </c>
      <c r="BE96" s="113">
        <f t="shared" si="110"/>
        <v>0</v>
      </c>
      <c r="BF96" s="113">
        <f t="shared" si="110"/>
        <v>2</v>
      </c>
      <c r="BG96" s="459">
        <f t="shared" si="110"/>
        <v>0</v>
      </c>
      <c r="BH96" s="461">
        <f t="shared" si="110"/>
        <v>45</v>
      </c>
      <c r="BI96" s="582">
        <f t="shared" si="110"/>
        <v>38</v>
      </c>
      <c r="BJ96" s="113">
        <f t="shared" si="110"/>
        <v>17</v>
      </c>
      <c r="BK96" s="113">
        <f t="shared" si="110"/>
        <v>0</v>
      </c>
      <c r="BL96" s="113">
        <f t="shared" si="110"/>
        <v>21</v>
      </c>
      <c r="BM96" s="460">
        <f t="shared" si="110"/>
        <v>0</v>
      </c>
      <c r="BN96" s="582">
        <f t="shared" si="110"/>
        <v>7</v>
      </c>
      <c r="BO96" s="113">
        <f t="shared" si="110"/>
        <v>2</v>
      </c>
      <c r="BP96" s="113">
        <f t="shared" si="110"/>
        <v>0</v>
      </c>
      <c r="BQ96" s="113">
        <f t="shared" si="110"/>
        <v>4</v>
      </c>
      <c r="BR96" s="459">
        <f t="shared" si="110"/>
        <v>1</v>
      </c>
      <c r="BS96" s="461">
        <f t="shared" si="110"/>
        <v>46</v>
      </c>
      <c r="BT96" s="582">
        <f t="shared" si="110"/>
        <v>38</v>
      </c>
      <c r="BU96" s="113">
        <f t="shared" si="110"/>
        <v>16</v>
      </c>
      <c r="BV96" s="113">
        <f t="shared" si="110"/>
        <v>0</v>
      </c>
      <c r="BW96" s="113">
        <f t="shared" si="110"/>
        <v>22</v>
      </c>
      <c r="BX96" s="460">
        <f t="shared" si="110"/>
        <v>0</v>
      </c>
      <c r="BY96" s="582">
        <f t="shared" si="110"/>
        <v>8</v>
      </c>
      <c r="BZ96" s="113">
        <f t="shared" si="110"/>
        <v>3</v>
      </c>
      <c r="CA96" s="113">
        <f t="shared" si="110"/>
        <v>0</v>
      </c>
      <c r="CB96" s="113">
        <f t="shared" si="110"/>
        <v>5</v>
      </c>
      <c r="CC96" s="459">
        <f t="shared" si="110"/>
        <v>0</v>
      </c>
      <c r="CD96" s="461">
        <f t="shared" si="110"/>
        <v>8</v>
      </c>
      <c r="CE96" s="582">
        <f t="shared" si="110"/>
        <v>6</v>
      </c>
      <c r="CF96" s="113">
        <f t="shared" si="110"/>
        <v>0</v>
      </c>
      <c r="CG96" s="113">
        <f t="shared" si="110"/>
        <v>0</v>
      </c>
      <c r="CH96" s="113">
        <f t="shared" si="110"/>
        <v>6</v>
      </c>
      <c r="CI96" s="460">
        <f t="shared" si="110"/>
        <v>0</v>
      </c>
      <c r="CJ96" s="582">
        <f t="shared" si="110"/>
        <v>2</v>
      </c>
      <c r="CK96" s="113">
        <f t="shared" si="110"/>
        <v>0</v>
      </c>
      <c r="CL96" s="113">
        <f t="shared" si="110"/>
        <v>0</v>
      </c>
      <c r="CM96" s="113">
        <f t="shared" si="110"/>
        <v>2</v>
      </c>
      <c r="CN96" s="459">
        <f t="shared" si="110"/>
        <v>0</v>
      </c>
      <c r="CO96" s="461">
        <f t="shared" si="110"/>
        <v>6</v>
      </c>
      <c r="CP96" s="582">
        <f t="shared" si="110"/>
        <v>4</v>
      </c>
      <c r="CQ96" s="113">
        <f t="shared" si="110"/>
        <v>1</v>
      </c>
      <c r="CR96" s="113">
        <f t="shared" si="110"/>
        <v>0</v>
      </c>
      <c r="CS96" s="113">
        <f t="shared" si="110"/>
        <v>3</v>
      </c>
      <c r="CT96" s="460">
        <f t="shared" si="110"/>
        <v>0</v>
      </c>
      <c r="CU96" s="582">
        <f t="shared" si="106"/>
        <v>2</v>
      </c>
      <c r="CV96" s="113">
        <f t="shared" si="106"/>
        <v>0</v>
      </c>
      <c r="CW96" s="113">
        <f t="shared" si="106"/>
        <v>0</v>
      </c>
      <c r="CX96" s="113">
        <f t="shared" si="106"/>
        <v>2</v>
      </c>
      <c r="CY96" s="459">
        <f t="shared" si="106"/>
        <v>0</v>
      </c>
      <c r="CZ96" s="461">
        <f t="shared" si="106"/>
        <v>1</v>
      </c>
      <c r="DA96" s="582">
        <f t="shared" si="106"/>
        <v>1</v>
      </c>
      <c r="DB96" s="113">
        <f t="shared" si="106"/>
        <v>0</v>
      </c>
      <c r="DC96" s="113">
        <f t="shared" si="106"/>
        <v>0</v>
      </c>
      <c r="DD96" s="113">
        <f t="shared" si="106"/>
        <v>1</v>
      </c>
      <c r="DE96" s="460">
        <f t="shared" si="106"/>
        <v>0</v>
      </c>
      <c r="DF96" s="582">
        <f t="shared" si="106"/>
        <v>0</v>
      </c>
      <c r="DG96" s="113">
        <f t="shared" si="106"/>
        <v>0</v>
      </c>
      <c r="DH96" s="113">
        <f t="shared" si="106"/>
        <v>0</v>
      </c>
      <c r="DI96" s="113">
        <f t="shared" si="106"/>
        <v>0</v>
      </c>
      <c r="DJ96" s="459">
        <f t="shared" si="106"/>
        <v>0</v>
      </c>
      <c r="DK96" s="461">
        <f t="shared" si="106"/>
        <v>0</v>
      </c>
      <c r="DL96" s="582">
        <f t="shared" si="106"/>
        <v>0</v>
      </c>
      <c r="DM96" s="113">
        <f t="shared" si="106"/>
        <v>0</v>
      </c>
      <c r="DN96" s="113">
        <f t="shared" si="106"/>
        <v>0</v>
      </c>
      <c r="DO96" s="113">
        <f t="shared" si="106"/>
        <v>0</v>
      </c>
      <c r="DP96" s="460">
        <f t="shared" si="106"/>
        <v>0</v>
      </c>
      <c r="DQ96" s="582">
        <f t="shared" si="106"/>
        <v>0</v>
      </c>
      <c r="DR96" s="113">
        <f t="shared" si="106"/>
        <v>0</v>
      </c>
      <c r="DS96" s="113">
        <f t="shared" si="106"/>
        <v>0</v>
      </c>
      <c r="DT96" s="113">
        <f t="shared" si="106"/>
        <v>0</v>
      </c>
      <c r="DU96" s="459">
        <f t="shared" si="106"/>
        <v>0</v>
      </c>
      <c r="DW96" s="461">
        <f t="shared" si="102"/>
        <v>137</v>
      </c>
      <c r="DX96" s="582">
        <f t="shared" si="102"/>
        <v>113</v>
      </c>
      <c r="DY96" s="113">
        <f t="shared" si="102"/>
        <v>47</v>
      </c>
      <c r="DZ96" s="113">
        <f t="shared" si="100"/>
        <v>0</v>
      </c>
      <c r="EA96" s="113">
        <f t="shared" si="100"/>
        <v>66</v>
      </c>
      <c r="EB96" s="460">
        <f t="shared" si="100"/>
        <v>0</v>
      </c>
      <c r="EC96" s="582">
        <f t="shared" si="100"/>
        <v>24</v>
      </c>
      <c r="ED96" s="113">
        <f t="shared" si="100"/>
        <v>8</v>
      </c>
      <c r="EE96" s="113">
        <f t="shared" si="100"/>
        <v>0</v>
      </c>
      <c r="EF96" s="113">
        <f t="shared" si="76"/>
        <v>15</v>
      </c>
      <c r="EG96" s="459">
        <f t="shared" si="76"/>
        <v>1</v>
      </c>
      <c r="EH96" s="461">
        <f t="shared" si="91"/>
        <v>56</v>
      </c>
      <c r="EI96" s="582">
        <f t="shared" si="91"/>
        <v>39</v>
      </c>
      <c r="EJ96" s="113">
        <f t="shared" si="91"/>
        <v>18</v>
      </c>
      <c r="EK96" s="113">
        <f t="shared" si="91"/>
        <v>0</v>
      </c>
      <c r="EL96" s="113">
        <f t="shared" si="91"/>
        <v>21</v>
      </c>
      <c r="EM96" s="460">
        <f t="shared" si="111"/>
        <v>0</v>
      </c>
      <c r="EN96" s="582">
        <f t="shared" si="111"/>
        <v>17</v>
      </c>
      <c r="EO96" s="113">
        <f t="shared" si="111"/>
        <v>3</v>
      </c>
      <c r="EP96" s="113">
        <f t="shared" si="111"/>
        <v>0</v>
      </c>
      <c r="EQ96" s="113">
        <f t="shared" si="111"/>
        <v>14</v>
      </c>
      <c r="ER96" s="459">
        <f t="shared" si="111"/>
        <v>0</v>
      </c>
    </row>
    <row r="97" spans="1:148">
      <c r="A97" s="466" t="s">
        <v>416</v>
      </c>
      <c r="B97" s="581">
        <v>44348</v>
      </c>
      <c r="C97" s="470">
        <v>2021</v>
      </c>
      <c r="D97" s="461">
        <f t="shared" si="72"/>
        <v>180181</v>
      </c>
      <c r="E97" s="461">
        <f t="shared" si="105"/>
        <v>5148</v>
      </c>
      <c r="F97" s="582">
        <f t="shared" si="105"/>
        <v>3762</v>
      </c>
      <c r="G97" s="113">
        <f t="shared" si="105"/>
        <v>1702</v>
      </c>
      <c r="H97" s="113">
        <f t="shared" si="105"/>
        <v>0</v>
      </c>
      <c r="I97" s="113">
        <f t="shared" si="105"/>
        <v>2060</v>
      </c>
      <c r="J97" s="460">
        <f t="shared" si="105"/>
        <v>0</v>
      </c>
      <c r="K97" s="582">
        <f t="shared" si="105"/>
        <v>1386</v>
      </c>
      <c r="L97" s="113">
        <f t="shared" si="105"/>
        <v>267</v>
      </c>
      <c r="M97" s="113">
        <f t="shared" si="105"/>
        <v>0</v>
      </c>
      <c r="N97" s="113">
        <f t="shared" si="105"/>
        <v>1063</v>
      </c>
      <c r="O97" s="459">
        <f t="shared" si="105"/>
        <v>56</v>
      </c>
      <c r="P97" s="461">
        <f t="shared" si="105"/>
        <v>3</v>
      </c>
      <c r="Q97" s="582">
        <f t="shared" si="105"/>
        <v>3</v>
      </c>
      <c r="R97" s="113">
        <f t="shared" si="105"/>
        <v>2</v>
      </c>
      <c r="S97" s="113">
        <f t="shared" si="105"/>
        <v>0</v>
      </c>
      <c r="T97" s="113">
        <f t="shared" si="105"/>
        <v>1</v>
      </c>
      <c r="U97" s="460">
        <f t="shared" si="112"/>
        <v>0</v>
      </c>
      <c r="V97" s="582">
        <f t="shared" si="112"/>
        <v>0</v>
      </c>
      <c r="W97" s="113">
        <f t="shared" si="112"/>
        <v>0</v>
      </c>
      <c r="X97" s="113">
        <f t="shared" si="112"/>
        <v>0</v>
      </c>
      <c r="Y97" s="113">
        <f t="shared" si="112"/>
        <v>0</v>
      </c>
      <c r="Z97" s="459">
        <f t="shared" si="112"/>
        <v>0</v>
      </c>
      <c r="AA97" s="461">
        <f t="shared" si="112"/>
        <v>4</v>
      </c>
      <c r="AB97" s="582">
        <f t="shared" si="112"/>
        <v>3</v>
      </c>
      <c r="AC97" s="113">
        <f t="shared" si="112"/>
        <v>0</v>
      </c>
      <c r="AD97" s="113">
        <f t="shared" si="112"/>
        <v>0</v>
      </c>
      <c r="AE97" s="113">
        <f t="shared" si="112"/>
        <v>3</v>
      </c>
      <c r="AF97" s="460">
        <f t="shared" si="112"/>
        <v>0</v>
      </c>
      <c r="AG97" s="582">
        <f t="shared" si="112"/>
        <v>1</v>
      </c>
      <c r="AH97" s="113">
        <f t="shared" si="112"/>
        <v>1</v>
      </c>
      <c r="AI97" s="113">
        <f t="shared" si="109"/>
        <v>0</v>
      </c>
      <c r="AJ97" s="113">
        <f t="shared" si="109"/>
        <v>0</v>
      </c>
      <c r="AK97" s="459">
        <f t="shared" si="109"/>
        <v>0</v>
      </c>
      <c r="AL97" s="461">
        <f t="shared" si="109"/>
        <v>56</v>
      </c>
      <c r="AM97" s="582">
        <f t="shared" si="109"/>
        <v>39</v>
      </c>
      <c r="AN97" s="113">
        <f t="shared" si="109"/>
        <v>18</v>
      </c>
      <c r="AO97" s="113">
        <f t="shared" si="109"/>
        <v>0</v>
      </c>
      <c r="AP97" s="113">
        <f t="shared" si="109"/>
        <v>21</v>
      </c>
      <c r="AQ97" s="460">
        <f t="shared" si="109"/>
        <v>0</v>
      </c>
      <c r="AR97" s="582">
        <f t="shared" si="109"/>
        <v>17</v>
      </c>
      <c r="AS97" s="113">
        <f t="shared" si="109"/>
        <v>3</v>
      </c>
      <c r="AT97" s="113">
        <f t="shared" si="109"/>
        <v>0</v>
      </c>
      <c r="AU97" s="113">
        <f t="shared" si="109"/>
        <v>14</v>
      </c>
      <c r="AV97" s="459">
        <f t="shared" si="109"/>
        <v>0</v>
      </c>
      <c r="AW97" s="461">
        <f t="shared" si="109"/>
        <v>24</v>
      </c>
      <c r="AX97" s="582">
        <f t="shared" si="109"/>
        <v>20</v>
      </c>
      <c r="AY97" s="113">
        <f t="shared" si="109"/>
        <v>11</v>
      </c>
      <c r="AZ97" s="113">
        <f t="shared" si="110"/>
        <v>0</v>
      </c>
      <c r="BA97" s="113">
        <f t="shared" si="110"/>
        <v>9</v>
      </c>
      <c r="BB97" s="460">
        <f t="shared" si="110"/>
        <v>0</v>
      </c>
      <c r="BC97" s="582">
        <f t="shared" si="110"/>
        <v>4</v>
      </c>
      <c r="BD97" s="113">
        <f t="shared" si="110"/>
        <v>2</v>
      </c>
      <c r="BE97" s="113">
        <f t="shared" si="110"/>
        <v>0</v>
      </c>
      <c r="BF97" s="113">
        <f t="shared" si="110"/>
        <v>2</v>
      </c>
      <c r="BG97" s="459">
        <f t="shared" si="110"/>
        <v>0</v>
      </c>
      <c r="BH97" s="461">
        <f t="shared" si="110"/>
        <v>45</v>
      </c>
      <c r="BI97" s="582">
        <f t="shared" si="110"/>
        <v>38</v>
      </c>
      <c r="BJ97" s="113">
        <f t="shared" si="110"/>
        <v>17</v>
      </c>
      <c r="BK97" s="113">
        <f t="shared" si="110"/>
        <v>0</v>
      </c>
      <c r="BL97" s="113">
        <f t="shared" si="110"/>
        <v>21</v>
      </c>
      <c r="BM97" s="460">
        <f t="shared" si="110"/>
        <v>0</v>
      </c>
      <c r="BN97" s="582">
        <f t="shared" si="110"/>
        <v>7</v>
      </c>
      <c r="BO97" s="113">
        <f t="shared" si="110"/>
        <v>2</v>
      </c>
      <c r="BP97" s="113">
        <f t="shared" si="110"/>
        <v>0</v>
      </c>
      <c r="BQ97" s="113">
        <f t="shared" si="110"/>
        <v>4</v>
      </c>
      <c r="BR97" s="459">
        <f t="shared" si="110"/>
        <v>1</v>
      </c>
      <c r="BS97" s="461">
        <f t="shared" si="110"/>
        <v>46</v>
      </c>
      <c r="BT97" s="582">
        <f t="shared" si="110"/>
        <v>38</v>
      </c>
      <c r="BU97" s="113">
        <f t="shared" si="110"/>
        <v>16</v>
      </c>
      <c r="BV97" s="113">
        <f t="shared" si="110"/>
        <v>0</v>
      </c>
      <c r="BW97" s="113">
        <f t="shared" si="110"/>
        <v>22</v>
      </c>
      <c r="BX97" s="460">
        <f t="shared" si="110"/>
        <v>0</v>
      </c>
      <c r="BY97" s="582">
        <f t="shared" si="110"/>
        <v>8</v>
      </c>
      <c r="BZ97" s="113">
        <f t="shared" si="110"/>
        <v>3</v>
      </c>
      <c r="CA97" s="113">
        <f t="shared" si="110"/>
        <v>0</v>
      </c>
      <c r="CB97" s="113">
        <f t="shared" si="110"/>
        <v>5</v>
      </c>
      <c r="CC97" s="459">
        <f t="shared" si="110"/>
        <v>0</v>
      </c>
      <c r="CD97" s="461">
        <f t="shared" si="110"/>
        <v>8</v>
      </c>
      <c r="CE97" s="582">
        <f t="shared" si="110"/>
        <v>6</v>
      </c>
      <c r="CF97" s="113">
        <f t="shared" si="110"/>
        <v>0</v>
      </c>
      <c r="CG97" s="113">
        <f t="shared" si="110"/>
        <v>0</v>
      </c>
      <c r="CH97" s="113">
        <f t="shared" si="110"/>
        <v>6</v>
      </c>
      <c r="CI97" s="460">
        <f t="shared" si="110"/>
        <v>0</v>
      </c>
      <c r="CJ97" s="582">
        <f t="shared" si="110"/>
        <v>2</v>
      </c>
      <c r="CK97" s="113">
        <f t="shared" si="110"/>
        <v>0</v>
      </c>
      <c r="CL97" s="113">
        <f t="shared" si="110"/>
        <v>0</v>
      </c>
      <c r="CM97" s="113">
        <f t="shared" si="110"/>
        <v>2</v>
      </c>
      <c r="CN97" s="459">
        <f t="shared" si="110"/>
        <v>0</v>
      </c>
      <c r="CO97" s="461">
        <f t="shared" si="110"/>
        <v>6</v>
      </c>
      <c r="CP97" s="582">
        <f t="shared" si="110"/>
        <v>4</v>
      </c>
      <c r="CQ97" s="113">
        <f t="shared" si="110"/>
        <v>1</v>
      </c>
      <c r="CR97" s="113">
        <f t="shared" si="110"/>
        <v>0</v>
      </c>
      <c r="CS97" s="113">
        <f t="shared" si="110"/>
        <v>3</v>
      </c>
      <c r="CT97" s="460">
        <f t="shared" si="110"/>
        <v>0</v>
      </c>
      <c r="CU97" s="582">
        <f t="shared" si="106"/>
        <v>2</v>
      </c>
      <c r="CV97" s="113">
        <f t="shared" si="106"/>
        <v>0</v>
      </c>
      <c r="CW97" s="113">
        <f t="shared" si="106"/>
        <v>0</v>
      </c>
      <c r="CX97" s="113">
        <f t="shared" si="106"/>
        <v>2</v>
      </c>
      <c r="CY97" s="459">
        <f t="shared" si="106"/>
        <v>0</v>
      </c>
      <c r="CZ97" s="461">
        <f t="shared" si="106"/>
        <v>1</v>
      </c>
      <c r="DA97" s="582">
        <f t="shared" si="106"/>
        <v>1</v>
      </c>
      <c r="DB97" s="113">
        <f t="shared" si="106"/>
        <v>0</v>
      </c>
      <c r="DC97" s="113">
        <f t="shared" si="106"/>
        <v>0</v>
      </c>
      <c r="DD97" s="113">
        <f t="shared" si="106"/>
        <v>1</v>
      </c>
      <c r="DE97" s="460">
        <f t="shared" si="106"/>
        <v>0</v>
      </c>
      <c r="DF97" s="582">
        <f t="shared" si="106"/>
        <v>0</v>
      </c>
      <c r="DG97" s="113">
        <f t="shared" si="106"/>
        <v>0</v>
      </c>
      <c r="DH97" s="113">
        <f t="shared" si="106"/>
        <v>0</v>
      </c>
      <c r="DI97" s="113">
        <f t="shared" si="106"/>
        <v>0</v>
      </c>
      <c r="DJ97" s="459">
        <f t="shared" si="106"/>
        <v>0</v>
      </c>
      <c r="DK97" s="461">
        <f t="shared" ref="DK97:DU112" si="113">SUMIFS(DK$5:DK$36,$B$5:$B$36,$A97)</f>
        <v>0</v>
      </c>
      <c r="DL97" s="582">
        <f t="shared" si="113"/>
        <v>0</v>
      </c>
      <c r="DM97" s="113">
        <f t="shared" si="113"/>
        <v>0</v>
      </c>
      <c r="DN97" s="113">
        <f t="shared" si="113"/>
        <v>0</v>
      </c>
      <c r="DO97" s="113">
        <f t="shared" si="113"/>
        <v>0</v>
      </c>
      <c r="DP97" s="460">
        <f t="shared" si="113"/>
        <v>0</v>
      </c>
      <c r="DQ97" s="582">
        <f t="shared" si="113"/>
        <v>0</v>
      </c>
      <c r="DR97" s="113">
        <f t="shared" si="113"/>
        <v>0</v>
      </c>
      <c r="DS97" s="113">
        <f t="shared" si="113"/>
        <v>0</v>
      </c>
      <c r="DT97" s="113">
        <f t="shared" si="113"/>
        <v>0</v>
      </c>
      <c r="DU97" s="459">
        <f t="shared" si="113"/>
        <v>0</v>
      </c>
      <c r="DW97" s="461">
        <f t="shared" si="102"/>
        <v>137</v>
      </c>
      <c r="DX97" s="582">
        <f t="shared" si="102"/>
        <v>113</v>
      </c>
      <c r="DY97" s="113">
        <f t="shared" si="102"/>
        <v>47</v>
      </c>
      <c r="DZ97" s="113">
        <f t="shared" si="100"/>
        <v>0</v>
      </c>
      <c r="EA97" s="113">
        <f t="shared" si="100"/>
        <v>66</v>
      </c>
      <c r="EB97" s="460">
        <f t="shared" si="100"/>
        <v>0</v>
      </c>
      <c r="EC97" s="582">
        <f t="shared" si="100"/>
        <v>24</v>
      </c>
      <c r="ED97" s="113">
        <f t="shared" si="100"/>
        <v>8</v>
      </c>
      <c r="EE97" s="113">
        <f t="shared" si="100"/>
        <v>0</v>
      </c>
      <c r="EF97" s="113">
        <f t="shared" si="76"/>
        <v>15</v>
      </c>
      <c r="EG97" s="459">
        <f t="shared" si="76"/>
        <v>1</v>
      </c>
      <c r="EH97" s="461">
        <f t="shared" si="91"/>
        <v>56</v>
      </c>
      <c r="EI97" s="582">
        <f t="shared" si="91"/>
        <v>39</v>
      </c>
      <c r="EJ97" s="113">
        <f t="shared" si="91"/>
        <v>18</v>
      </c>
      <c r="EK97" s="113">
        <f t="shared" si="91"/>
        <v>0</v>
      </c>
      <c r="EL97" s="113">
        <f t="shared" si="91"/>
        <v>21</v>
      </c>
      <c r="EM97" s="460">
        <f t="shared" si="111"/>
        <v>0</v>
      </c>
      <c r="EN97" s="582">
        <f t="shared" si="111"/>
        <v>17</v>
      </c>
      <c r="EO97" s="113">
        <f t="shared" si="111"/>
        <v>3</v>
      </c>
      <c r="EP97" s="113">
        <f t="shared" si="111"/>
        <v>0</v>
      </c>
      <c r="EQ97" s="113">
        <f t="shared" si="111"/>
        <v>14</v>
      </c>
      <c r="ER97" s="459">
        <f t="shared" si="111"/>
        <v>0</v>
      </c>
    </row>
    <row r="98" spans="1:148">
      <c r="A98" s="466" t="s">
        <v>417</v>
      </c>
      <c r="B98" s="581">
        <v>44378</v>
      </c>
      <c r="C98" s="470">
        <v>2021</v>
      </c>
      <c r="D98" s="461">
        <f t="shared" si="72"/>
        <v>174638</v>
      </c>
      <c r="E98" s="461">
        <f t="shared" si="105"/>
        <v>5171</v>
      </c>
      <c r="F98" s="582">
        <f t="shared" si="105"/>
        <v>3672</v>
      </c>
      <c r="G98" s="113">
        <f t="shared" si="105"/>
        <v>2018</v>
      </c>
      <c r="H98" s="113">
        <f t="shared" si="105"/>
        <v>0</v>
      </c>
      <c r="I98" s="113">
        <f t="shared" si="105"/>
        <v>1654</v>
      </c>
      <c r="J98" s="460">
        <f t="shared" si="105"/>
        <v>0</v>
      </c>
      <c r="K98" s="582">
        <f t="shared" si="105"/>
        <v>1499</v>
      </c>
      <c r="L98" s="113">
        <f t="shared" si="105"/>
        <v>382</v>
      </c>
      <c r="M98" s="113">
        <f t="shared" si="105"/>
        <v>0</v>
      </c>
      <c r="N98" s="113">
        <f t="shared" si="105"/>
        <v>987</v>
      </c>
      <c r="O98" s="459">
        <f t="shared" si="105"/>
        <v>130</v>
      </c>
      <c r="P98" s="461">
        <f t="shared" si="105"/>
        <v>9</v>
      </c>
      <c r="Q98" s="582">
        <f t="shared" si="105"/>
        <v>5</v>
      </c>
      <c r="R98" s="113">
        <f t="shared" si="105"/>
        <v>4</v>
      </c>
      <c r="S98" s="113">
        <f t="shared" si="105"/>
        <v>0</v>
      </c>
      <c r="T98" s="113">
        <f t="shared" si="105"/>
        <v>1</v>
      </c>
      <c r="U98" s="460">
        <f t="shared" si="112"/>
        <v>0</v>
      </c>
      <c r="V98" s="582">
        <f t="shared" si="112"/>
        <v>4</v>
      </c>
      <c r="W98" s="113">
        <f t="shared" si="112"/>
        <v>2</v>
      </c>
      <c r="X98" s="113">
        <f t="shared" si="112"/>
        <v>0</v>
      </c>
      <c r="Y98" s="113">
        <f t="shared" si="112"/>
        <v>1</v>
      </c>
      <c r="Z98" s="459">
        <f t="shared" si="112"/>
        <v>1</v>
      </c>
      <c r="AA98" s="461">
        <f t="shared" si="112"/>
        <v>3</v>
      </c>
      <c r="AB98" s="582">
        <f t="shared" si="112"/>
        <v>2</v>
      </c>
      <c r="AC98" s="113">
        <f t="shared" si="112"/>
        <v>0</v>
      </c>
      <c r="AD98" s="113">
        <f t="shared" si="112"/>
        <v>0</v>
      </c>
      <c r="AE98" s="113">
        <f t="shared" si="112"/>
        <v>2</v>
      </c>
      <c r="AF98" s="460">
        <f t="shared" si="112"/>
        <v>0</v>
      </c>
      <c r="AG98" s="582">
        <f t="shared" si="112"/>
        <v>1</v>
      </c>
      <c r="AH98" s="113">
        <f t="shared" si="112"/>
        <v>1</v>
      </c>
      <c r="AI98" s="113">
        <f t="shared" si="109"/>
        <v>0</v>
      </c>
      <c r="AJ98" s="113">
        <f t="shared" si="109"/>
        <v>0</v>
      </c>
      <c r="AK98" s="459">
        <f t="shared" si="109"/>
        <v>0</v>
      </c>
      <c r="AL98" s="461">
        <f t="shared" si="109"/>
        <v>58</v>
      </c>
      <c r="AM98" s="582">
        <f t="shared" si="109"/>
        <v>43</v>
      </c>
      <c r="AN98" s="113">
        <f t="shared" si="109"/>
        <v>26</v>
      </c>
      <c r="AO98" s="113">
        <f t="shared" si="109"/>
        <v>0</v>
      </c>
      <c r="AP98" s="113">
        <f t="shared" si="109"/>
        <v>17</v>
      </c>
      <c r="AQ98" s="460">
        <f t="shared" si="109"/>
        <v>0</v>
      </c>
      <c r="AR98" s="582">
        <f t="shared" si="109"/>
        <v>15</v>
      </c>
      <c r="AS98" s="113">
        <f t="shared" si="109"/>
        <v>3</v>
      </c>
      <c r="AT98" s="113">
        <f t="shared" si="109"/>
        <v>0</v>
      </c>
      <c r="AU98" s="113">
        <f t="shared" si="109"/>
        <v>12</v>
      </c>
      <c r="AV98" s="459">
        <f t="shared" si="109"/>
        <v>0</v>
      </c>
      <c r="AW98" s="461">
        <f t="shared" si="109"/>
        <v>29</v>
      </c>
      <c r="AX98" s="582">
        <f t="shared" si="109"/>
        <v>23</v>
      </c>
      <c r="AY98" s="113">
        <f t="shared" si="109"/>
        <v>17</v>
      </c>
      <c r="AZ98" s="113">
        <f t="shared" si="110"/>
        <v>0</v>
      </c>
      <c r="BA98" s="113">
        <f t="shared" si="110"/>
        <v>6</v>
      </c>
      <c r="BB98" s="460">
        <f t="shared" si="110"/>
        <v>0</v>
      </c>
      <c r="BC98" s="582">
        <f t="shared" ref="BC98:DN103" si="114">SUMIFS(BC$5:BC$36,$B$5:$B$36,$A98)</f>
        <v>6</v>
      </c>
      <c r="BD98" s="113">
        <f t="shared" si="114"/>
        <v>3</v>
      </c>
      <c r="BE98" s="113">
        <f t="shared" si="114"/>
        <v>0</v>
      </c>
      <c r="BF98" s="113">
        <f t="shared" si="114"/>
        <v>2</v>
      </c>
      <c r="BG98" s="459">
        <f t="shared" si="114"/>
        <v>1</v>
      </c>
      <c r="BH98" s="461">
        <f t="shared" si="114"/>
        <v>51</v>
      </c>
      <c r="BI98" s="582">
        <f t="shared" si="114"/>
        <v>40</v>
      </c>
      <c r="BJ98" s="113">
        <f t="shared" si="114"/>
        <v>25</v>
      </c>
      <c r="BK98" s="113">
        <f t="shared" si="114"/>
        <v>0</v>
      </c>
      <c r="BL98" s="113">
        <f t="shared" si="114"/>
        <v>15</v>
      </c>
      <c r="BM98" s="460">
        <f t="shared" si="114"/>
        <v>0</v>
      </c>
      <c r="BN98" s="582">
        <f t="shared" si="114"/>
        <v>11</v>
      </c>
      <c r="BO98" s="113">
        <f t="shared" si="114"/>
        <v>0</v>
      </c>
      <c r="BP98" s="113">
        <f t="shared" si="114"/>
        <v>0</v>
      </c>
      <c r="BQ98" s="113">
        <f t="shared" si="114"/>
        <v>10</v>
      </c>
      <c r="BR98" s="459">
        <f t="shared" si="114"/>
        <v>1</v>
      </c>
      <c r="BS98" s="461">
        <f t="shared" si="114"/>
        <v>52</v>
      </c>
      <c r="BT98" s="582">
        <f t="shared" si="114"/>
        <v>39</v>
      </c>
      <c r="BU98" s="113">
        <f t="shared" si="114"/>
        <v>22</v>
      </c>
      <c r="BV98" s="113">
        <f t="shared" si="114"/>
        <v>0</v>
      </c>
      <c r="BW98" s="113">
        <f t="shared" si="114"/>
        <v>17</v>
      </c>
      <c r="BX98" s="460">
        <f t="shared" si="114"/>
        <v>0</v>
      </c>
      <c r="BY98" s="582">
        <f t="shared" si="114"/>
        <v>13</v>
      </c>
      <c r="BZ98" s="113">
        <f t="shared" si="114"/>
        <v>4</v>
      </c>
      <c r="CA98" s="113">
        <f t="shared" si="114"/>
        <v>0</v>
      </c>
      <c r="CB98" s="113">
        <f t="shared" si="114"/>
        <v>7</v>
      </c>
      <c r="CC98" s="459">
        <f t="shared" si="114"/>
        <v>2</v>
      </c>
      <c r="CD98" s="461">
        <f t="shared" si="114"/>
        <v>7</v>
      </c>
      <c r="CE98" s="582">
        <f t="shared" si="114"/>
        <v>6</v>
      </c>
      <c r="CF98" s="113">
        <f t="shared" si="114"/>
        <v>2</v>
      </c>
      <c r="CG98" s="113">
        <f t="shared" si="114"/>
        <v>0</v>
      </c>
      <c r="CH98" s="113">
        <f t="shared" si="114"/>
        <v>4</v>
      </c>
      <c r="CI98" s="460">
        <f t="shared" si="114"/>
        <v>0</v>
      </c>
      <c r="CJ98" s="582">
        <f t="shared" si="114"/>
        <v>1</v>
      </c>
      <c r="CK98" s="113">
        <f t="shared" si="114"/>
        <v>0</v>
      </c>
      <c r="CL98" s="113">
        <f t="shared" si="114"/>
        <v>0</v>
      </c>
      <c r="CM98" s="113">
        <f t="shared" si="114"/>
        <v>1</v>
      </c>
      <c r="CN98" s="459">
        <f t="shared" si="114"/>
        <v>0</v>
      </c>
      <c r="CO98" s="461">
        <f t="shared" si="114"/>
        <v>14</v>
      </c>
      <c r="CP98" s="582">
        <f t="shared" si="114"/>
        <v>9</v>
      </c>
      <c r="CQ98" s="113">
        <f t="shared" si="114"/>
        <v>6</v>
      </c>
      <c r="CR98" s="113">
        <f t="shared" si="114"/>
        <v>0</v>
      </c>
      <c r="CS98" s="113">
        <f t="shared" si="114"/>
        <v>3</v>
      </c>
      <c r="CT98" s="460">
        <f t="shared" si="114"/>
        <v>0</v>
      </c>
      <c r="CU98" s="582">
        <f t="shared" si="114"/>
        <v>5</v>
      </c>
      <c r="CV98" s="113">
        <f t="shared" si="114"/>
        <v>0</v>
      </c>
      <c r="CW98" s="113">
        <f t="shared" si="114"/>
        <v>0</v>
      </c>
      <c r="CX98" s="113">
        <f t="shared" si="114"/>
        <v>5</v>
      </c>
      <c r="CY98" s="459">
        <f t="shared" si="114"/>
        <v>0</v>
      </c>
      <c r="CZ98" s="461">
        <f t="shared" si="114"/>
        <v>4</v>
      </c>
      <c r="DA98" s="582">
        <f t="shared" si="114"/>
        <v>3</v>
      </c>
      <c r="DB98" s="113">
        <f t="shared" si="114"/>
        <v>2</v>
      </c>
      <c r="DC98" s="113">
        <f t="shared" si="114"/>
        <v>0</v>
      </c>
      <c r="DD98" s="113">
        <f t="shared" si="114"/>
        <v>1</v>
      </c>
      <c r="DE98" s="460">
        <f t="shared" si="114"/>
        <v>0</v>
      </c>
      <c r="DF98" s="582">
        <f t="shared" si="114"/>
        <v>1</v>
      </c>
      <c r="DG98" s="113">
        <f t="shared" si="114"/>
        <v>1</v>
      </c>
      <c r="DH98" s="113">
        <f t="shared" si="114"/>
        <v>0</v>
      </c>
      <c r="DI98" s="113">
        <f t="shared" si="114"/>
        <v>0</v>
      </c>
      <c r="DJ98" s="459">
        <f t="shared" si="114"/>
        <v>0</v>
      </c>
      <c r="DK98" s="461">
        <f t="shared" si="114"/>
        <v>0</v>
      </c>
      <c r="DL98" s="582">
        <f t="shared" si="114"/>
        <v>0</v>
      </c>
      <c r="DM98" s="113">
        <f t="shared" si="114"/>
        <v>0</v>
      </c>
      <c r="DN98" s="113">
        <f t="shared" si="114"/>
        <v>0</v>
      </c>
      <c r="DO98" s="113">
        <f t="shared" si="113"/>
        <v>0</v>
      </c>
      <c r="DP98" s="460">
        <f t="shared" si="113"/>
        <v>0</v>
      </c>
      <c r="DQ98" s="582">
        <f t="shared" si="113"/>
        <v>0</v>
      </c>
      <c r="DR98" s="113">
        <f t="shared" si="113"/>
        <v>0</v>
      </c>
      <c r="DS98" s="113">
        <f t="shared" si="113"/>
        <v>0</v>
      </c>
      <c r="DT98" s="113">
        <f t="shared" si="113"/>
        <v>0</v>
      </c>
      <c r="DU98" s="459">
        <f t="shared" si="113"/>
        <v>0</v>
      </c>
      <c r="DW98" s="461">
        <f t="shared" si="102"/>
        <v>169</v>
      </c>
      <c r="DX98" s="582">
        <f t="shared" si="102"/>
        <v>127</v>
      </c>
      <c r="DY98" s="113">
        <f t="shared" si="102"/>
        <v>78</v>
      </c>
      <c r="DZ98" s="113">
        <f t="shared" si="100"/>
        <v>0</v>
      </c>
      <c r="EA98" s="113">
        <f t="shared" si="100"/>
        <v>49</v>
      </c>
      <c r="EB98" s="460">
        <f t="shared" si="100"/>
        <v>0</v>
      </c>
      <c r="EC98" s="582">
        <f t="shared" si="100"/>
        <v>42</v>
      </c>
      <c r="ED98" s="113">
        <f t="shared" si="100"/>
        <v>11</v>
      </c>
      <c r="EE98" s="113">
        <f t="shared" si="100"/>
        <v>0</v>
      </c>
      <c r="EF98" s="113">
        <f t="shared" si="76"/>
        <v>26</v>
      </c>
      <c r="EG98" s="459">
        <f t="shared" si="76"/>
        <v>5</v>
      </c>
      <c r="EH98" s="461">
        <f t="shared" si="91"/>
        <v>58</v>
      </c>
      <c r="EI98" s="582">
        <f t="shared" si="91"/>
        <v>43</v>
      </c>
      <c r="EJ98" s="113">
        <f t="shared" si="91"/>
        <v>26</v>
      </c>
      <c r="EK98" s="113">
        <f t="shared" si="91"/>
        <v>0</v>
      </c>
      <c r="EL98" s="113">
        <f t="shared" si="91"/>
        <v>17</v>
      </c>
      <c r="EM98" s="460">
        <f t="shared" si="111"/>
        <v>0</v>
      </c>
      <c r="EN98" s="582">
        <f t="shared" si="111"/>
        <v>15</v>
      </c>
      <c r="EO98" s="113">
        <f t="shared" si="111"/>
        <v>3</v>
      </c>
      <c r="EP98" s="113">
        <f t="shared" si="111"/>
        <v>0</v>
      </c>
      <c r="EQ98" s="113">
        <f t="shared" si="111"/>
        <v>12</v>
      </c>
      <c r="ER98" s="459">
        <f t="shared" si="111"/>
        <v>0</v>
      </c>
    </row>
    <row r="99" spans="1:148">
      <c r="A99" s="466" t="s">
        <v>417</v>
      </c>
      <c r="B99" s="581">
        <v>44409</v>
      </c>
      <c r="C99" s="470">
        <v>2021</v>
      </c>
      <c r="D99" s="461">
        <f t="shared" si="72"/>
        <v>174638</v>
      </c>
      <c r="E99" s="461">
        <f t="shared" si="105"/>
        <v>5171</v>
      </c>
      <c r="F99" s="582">
        <f t="shared" si="105"/>
        <v>3672</v>
      </c>
      <c r="G99" s="113">
        <f t="shared" si="105"/>
        <v>2018</v>
      </c>
      <c r="H99" s="113">
        <f t="shared" si="105"/>
        <v>0</v>
      </c>
      <c r="I99" s="113">
        <f t="shared" si="105"/>
        <v>1654</v>
      </c>
      <c r="J99" s="460">
        <f t="shared" si="105"/>
        <v>0</v>
      </c>
      <c r="K99" s="582">
        <f t="shared" si="105"/>
        <v>1499</v>
      </c>
      <c r="L99" s="113">
        <f t="shared" si="105"/>
        <v>382</v>
      </c>
      <c r="M99" s="113">
        <f t="shared" si="105"/>
        <v>0</v>
      </c>
      <c r="N99" s="113">
        <f t="shared" si="105"/>
        <v>987</v>
      </c>
      <c r="O99" s="459">
        <f t="shared" si="105"/>
        <v>130</v>
      </c>
      <c r="P99" s="461">
        <f t="shared" si="105"/>
        <v>9</v>
      </c>
      <c r="Q99" s="582">
        <f t="shared" si="105"/>
        <v>5</v>
      </c>
      <c r="R99" s="113">
        <f t="shared" si="105"/>
        <v>4</v>
      </c>
      <c r="S99" s="113">
        <f t="shared" si="105"/>
        <v>0</v>
      </c>
      <c r="T99" s="113">
        <f t="shared" si="105"/>
        <v>1</v>
      </c>
      <c r="U99" s="460">
        <f t="shared" si="112"/>
        <v>0</v>
      </c>
      <c r="V99" s="582">
        <f t="shared" si="112"/>
        <v>4</v>
      </c>
      <c r="W99" s="113">
        <f t="shared" si="112"/>
        <v>2</v>
      </c>
      <c r="X99" s="113">
        <f t="shared" si="112"/>
        <v>0</v>
      </c>
      <c r="Y99" s="113">
        <f t="shared" si="112"/>
        <v>1</v>
      </c>
      <c r="Z99" s="459">
        <f t="shared" si="112"/>
        <v>1</v>
      </c>
      <c r="AA99" s="461">
        <f t="shared" si="112"/>
        <v>3</v>
      </c>
      <c r="AB99" s="582">
        <f t="shared" si="112"/>
        <v>2</v>
      </c>
      <c r="AC99" s="113">
        <f t="shared" si="112"/>
        <v>0</v>
      </c>
      <c r="AD99" s="113">
        <f t="shared" si="112"/>
        <v>0</v>
      </c>
      <c r="AE99" s="113">
        <f t="shared" si="112"/>
        <v>2</v>
      </c>
      <c r="AF99" s="460">
        <f t="shared" si="112"/>
        <v>0</v>
      </c>
      <c r="AG99" s="582">
        <f t="shared" si="112"/>
        <v>1</v>
      </c>
      <c r="AH99" s="113">
        <f t="shared" si="112"/>
        <v>1</v>
      </c>
      <c r="AI99" s="113">
        <f t="shared" si="109"/>
        <v>0</v>
      </c>
      <c r="AJ99" s="113">
        <f t="shared" si="109"/>
        <v>0</v>
      </c>
      <c r="AK99" s="459">
        <f t="shared" si="109"/>
        <v>0</v>
      </c>
      <c r="AL99" s="461">
        <f t="shared" si="109"/>
        <v>58</v>
      </c>
      <c r="AM99" s="582">
        <f t="shared" si="109"/>
        <v>43</v>
      </c>
      <c r="AN99" s="113">
        <f t="shared" si="109"/>
        <v>26</v>
      </c>
      <c r="AO99" s="113">
        <f t="shared" si="109"/>
        <v>0</v>
      </c>
      <c r="AP99" s="113">
        <f t="shared" si="109"/>
        <v>17</v>
      </c>
      <c r="AQ99" s="460">
        <f t="shared" si="109"/>
        <v>0</v>
      </c>
      <c r="AR99" s="582">
        <f t="shared" si="109"/>
        <v>15</v>
      </c>
      <c r="AS99" s="113">
        <f t="shared" si="109"/>
        <v>3</v>
      </c>
      <c r="AT99" s="113">
        <f t="shared" si="109"/>
        <v>0</v>
      </c>
      <c r="AU99" s="113">
        <f t="shared" si="109"/>
        <v>12</v>
      </c>
      <c r="AV99" s="459">
        <f t="shared" si="109"/>
        <v>0</v>
      </c>
      <c r="AW99" s="461">
        <f t="shared" si="109"/>
        <v>29</v>
      </c>
      <c r="AX99" s="582">
        <f t="shared" si="109"/>
        <v>23</v>
      </c>
      <c r="AY99" s="113">
        <f t="shared" si="109"/>
        <v>17</v>
      </c>
      <c r="AZ99" s="113">
        <f t="shared" ref="AZ99:DK104" si="115">SUMIFS(AZ$5:AZ$36,$B$5:$B$36,$A99)</f>
        <v>0</v>
      </c>
      <c r="BA99" s="113">
        <f t="shared" si="115"/>
        <v>6</v>
      </c>
      <c r="BB99" s="460">
        <f t="shared" si="115"/>
        <v>0</v>
      </c>
      <c r="BC99" s="582">
        <f t="shared" si="115"/>
        <v>6</v>
      </c>
      <c r="BD99" s="113">
        <f t="shared" si="115"/>
        <v>3</v>
      </c>
      <c r="BE99" s="113">
        <f t="shared" si="115"/>
        <v>0</v>
      </c>
      <c r="BF99" s="113">
        <f t="shared" si="115"/>
        <v>2</v>
      </c>
      <c r="BG99" s="459">
        <f t="shared" si="115"/>
        <v>1</v>
      </c>
      <c r="BH99" s="461">
        <f t="shared" si="115"/>
        <v>51</v>
      </c>
      <c r="BI99" s="582">
        <f t="shared" si="115"/>
        <v>40</v>
      </c>
      <c r="BJ99" s="113">
        <f t="shared" si="115"/>
        <v>25</v>
      </c>
      <c r="BK99" s="113">
        <f t="shared" si="115"/>
        <v>0</v>
      </c>
      <c r="BL99" s="113">
        <f t="shared" si="115"/>
        <v>15</v>
      </c>
      <c r="BM99" s="460">
        <f t="shared" si="115"/>
        <v>0</v>
      </c>
      <c r="BN99" s="582">
        <f t="shared" si="115"/>
        <v>11</v>
      </c>
      <c r="BO99" s="113">
        <f t="shared" si="115"/>
        <v>0</v>
      </c>
      <c r="BP99" s="113">
        <f t="shared" si="115"/>
        <v>0</v>
      </c>
      <c r="BQ99" s="113">
        <f t="shared" si="115"/>
        <v>10</v>
      </c>
      <c r="BR99" s="459">
        <f t="shared" si="115"/>
        <v>1</v>
      </c>
      <c r="BS99" s="461">
        <f t="shared" si="115"/>
        <v>52</v>
      </c>
      <c r="BT99" s="582">
        <f t="shared" si="115"/>
        <v>39</v>
      </c>
      <c r="BU99" s="113">
        <f t="shared" si="115"/>
        <v>22</v>
      </c>
      <c r="BV99" s="113">
        <f t="shared" si="115"/>
        <v>0</v>
      </c>
      <c r="BW99" s="113">
        <f t="shared" si="115"/>
        <v>17</v>
      </c>
      <c r="BX99" s="460">
        <f t="shared" si="115"/>
        <v>0</v>
      </c>
      <c r="BY99" s="582">
        <f t="shared" si="115"/>
        <v>13</v>
      </c>
      <c r="BZ99" s="113">
        <f t="shared" si="115"/>
        <v>4</v>
      </c>
      <c r="CA99" s="113">
        <f t="shared" si="115"/>
        <v>0</v>
      </c>
      <c r="CB99" s="113">
        <f t="shared" si="115"/>
        <v>7</v>
      </c>
      <c r="CC99" s="459">
        <f t="shared" si="115"/>
        <v>2</v>
      </c>
      <c r="CD99" s="461">
        <f t="shared" si="115"/>
        <v>7</v>
      </c>
      <c r="CE99" s="582">
        <f t="shared" si="115"/>
        <v>6</v>
      </c>
      <c r="CF99" s="113">
        <f t="shared" si="115"/>
        <v>2</v>
      </c>
      <c r="CG99" s="113">
        <f t="shared" si="115"/>
        <v>0</v>
      </c>
      <c r="CH99" s="113">
        <f t="shared" si="115"/>
        <v>4</v>
      </c>
      <c r="CI99" s="460">
        <f t="shared" si="115"/>
        <v>0</v>
      </c>
      <c r="CJ99" s="582">
        <f t="shared" si="115"/>
        <v>1</v>
      </c>
      <c r="CK99" s="113">
        <f t="shared" si="115"/>
        <v>0</v>
      </c>
      <c r="CL99" s="113">
        <f t="shared" si="115"/>
        <v>0</v>
      </c>
      <c r="CM99" s="113">
        <f t="shared" si="115"/>
        <v>1</v>
      </c>
      <c r="CN99" s="459">
        <f t="shared" si="115"/>
        <v>0</v>
      </c>
      <c r="CO99" s="461">
        <f t="shared" si="115"/>
        <v>14</v>
      </c>
      <c r="CP99" s="582">
        <f t="shared" si="115"/>
        <v>9</v>
      </c>
      <c r="CQ99" s="113">
        <f t="shared" si="115"/>
        <v>6</v>
      </c>
      <c r="CR99" s="113">
        <f t="shared" si="115"/>
        <v>0</v>
      </c>
      <c r="CS99" s="113">
        <f t="shared" si="115"/>
        <v>3</v>
      </c>
      <c r="CT99" s="460">
        <f t="shared" si="114"/>
        <v>0</v>
      </c>
      <c r="CU99" s="582">
        <f t="shared" si="114"/>
        <v>5</v>
      </c>
      <c r="CV99" s="113">
        <f t="shared" si="114"/>
        <v>0</v>
      </c>
      <c r="CW99" s="113">
        <f t="shared" si="114"/>
        <v>0</v>
      </c>
      <c r="CX99" s="113">
        <f t="shared" si="114"/>
        <v>5</v>
      </c>
      <c r="CY99" s="459">
        <f t="shared" si="114"/>
        <v>0</v>
      </c>
      <c r="CZ99" s="461">
        <f t="shared" si="114"/>
        <v>4</v>
      </c>
      <c r="DA99" s="582">
        <f t="shared" si="114"/>
        <v>3</v>
      </c>
      <c r="DB99" s="113">
        <f t="shared" si="114"/>
        <v>2</v>
      </c>
      <c r="DC99" s="113">
        <f t="shared" si="114"/>
        <v>0</v>
      </c>
      <c r="DD99" s="113">
        <f t="shared" si="114"/>
        <v>1</v>
      </c>
      <c r="DE99" s="460">
        <f t="shared" si="114"/>
        <v>0</v>
      </c>
      <c r="DF99" s="582">
        <f t="shared" si="114"/>
        <v>1</v>
      </c>
      <c r="DG99" s="113">
        <f t="shared" si="114"/>
        <v>1</v>
      </c>
      <c r="DH99" s="113">
        <f t="shared" si="114"/>
        <v>0</v>
      </c>
      <c r="DI99" s="113">
        <f t="shared" si="114"/>
        <v>0</v>
      </c>
      <c r="DJ99" s="459">
        <f t="shared" si="114"/>
        <v>0</v>
      </c>
      <c r="DK99" s="461">
        <f t="shared" si="114"/>
        <v>0</v>
      </c>
      <c r="DL99" s="582">
        <f t="shared" si="114"/>
        <v>0</v>
      </c>
      <c r="DM99" s="113">
        <f t="shared" si="114"/>
        <v>0</v>
      </c>
      <c r="DN99" s="113">
        <f t="shared" si="114"/>
        <v>0</v>
      </c>
      <c r="DO99" s="113">
        <f t="shared" si="113"/>
        <v>0</v>
      </c>
      <c r="DP99" s="460">
        <f t="shared" si="113"/>
        <v>0</v>
      </c>
      <c r="DQ99" s="582">
        <f t="shared" si="113"/>
        <v>0</v>
      </c>
      <c r="DR99" s="113">
        <f t="shared" si="113"/>
        <v>0</v>
      </c>
      <c r="DS99" s="113">
        <f t="shared" si="113"/>
        <v>0</v>
      </c>
      <c r="DT99" s="113">
        <f t="shared" si="113"/>
        <v>0</v>
      </c>
      <c r="DU99" s="459">
        <f t="shared" si="113"/>
        <v>0</v>
      </c>
      <c r="DW99" s="461">
        <f t="shared" si="102"/>
        <v>169</v>
      </c>
      <c r="DX99" s="582">
        <f t="shared" si="102"/>
        <v>127</v>
      </c>
      <c r="DY99" s="113">
        <f t="shared" si="102"/>
        <v>78</v>
      </c>
      <c r="DZ99" s="113">
        <f t="shared" si="100"/>
        <v>0</v>
      </c>
      <c r="EA99" s="113">
        <f t="shared" si="100"/>
        <v>49</v>
      </c>
      <c r="EB99" s="460">
        <f t="shared" si="100"/>
        <v>0</v>
      </c>
      <c r="EC99" s="582">
        <f t="shared" si="100"/>
        <v>42</v>
      </c>
      <c r="ED99" s="113">
        <f t="shared" si="100"/>
        <v>11</v>
      </c>
      <c r="EE99" s="113">
        <f t="shared" si="100"/>
        <v>0</v>
      </c>
      <c r="EF99" s="113">
        <f t="shared" si="76"/>
        <v>26</v>
      </c>
      <c r="EG99" s="459">
        <f t="shared" si="76"/>
        <v>5</v>
      </c>
      <c r="EH99" s="461">
        <f t="shared" si="91"/>
        <v>58</v>
      </c>
      <c r="EI99" s="582">
        <f t="shared" si="91"/>
        <v>43</v>
      </c>
      <c r="EJ99" s="113">
        <f t="shared" si="91"/>
        <v>26</v>
      </c>
      <c r="EK99" s="113">
        <f t="shared" si="91"/>
        <v>0</v>
      </c>
      <c r="EL99" s="113">
        <f t="shared" si="91"/>
        <v>17</v>
      </c>
      <c r="EM99" s="460">
        <f t="shared" si="111"/>
        <v>0</v>
      </c>
      <c r="EN99" s="582">
        <f t="shared" si="111"/>
        <v>15</v>
      </c>
      <c r="EO99" s="113">
        <f t="shared" si="111"/>
        <v>3</v>
      </c>
      <c r="EP99" s="113">
        <f t="shared" si="111"/>
        <v>0</v>
      </c>
      <c r="EQ99" s="113">
        <f t="shared" si="111"/>
        <v>12</v>
      </c>
      <c r="ER99" s="459">
        <f t="shared" si="111"/>
        <v>0</v>
      </c>
    </row>
    <row r="100" spans="1:148">
      <c r="A100" s="466" t="s">
        <v>417</v>
      </c>
      <c r="B100" s="581">
        <v>44440</v>
      </c>
      <c r="C100" s="470">
        <v>2021</v>
      </c>
      <c r="D100" s="461">
        <f t="shared" si="72"/>
        <v>174638</v>
      </c>
      <c r="E100" s="461">
        <f t="shared" si="105"/>
        <v>5171</v>
      </c>
      <c r="F100" s="582">
        <f t="shared" si="105"/>
        <v>3672</v>
      </c>
      <c r="G100" s="113">
        <f t="shared" si="105"/>
        <v>2018</v>
      </c>
      <c r="H100" s="113">
        <f t="shared" si="105"/>
        <v>0</v>
      </c>
      <c r="I100" s="113">
        <f t="shared" si="105"/>
        <v>1654</v>
      </c>
      <c r="J100" s="460">
        <f t="shared" si="105"/>
        <v>0</v>
      </c>
      <c r="K100" s="582">
        <f t="shared" si="105"/>
        <v>1499</v>
      </c>
      <c r="L100" s="113">
        <f t="shared" si="105"/>
        <v>382</v>
      </c>
      <c r="M100" s="113">
        <f t="shared" si="105"/>
        <v>0</v>
      </c>
      <c r="N100" s="113">
        <f t="shared" si="105"/>
        <v>987</v>
      </c>
      <c r="O100" s="459">
        <f t="shared" si="105"/>
        <v>130</v>
      </c>
      <c r="P100" s="461">
        <f t="shared" si="105"/>
        <v>9</v>
      </c>
      <c r="Q100" s="582">
        <f t="shared" si="105"/>
        <v>5</v>
      </c>
      <c r="R100" s="113">
        <f t="shared" si="105"/>
        <v>4</v>
      </c>
      <c r="S100" s="113">
        <f t="shared" si="105"/>
        <v>0</v>
      </c>
      <c r="T100" s="113">
        <f t="shared" ref="T100:AV113" si="116">SUMIFS(T$5:T$36,$B$5:$B$36,$A100)</f>
        <v>1</v>
      </c>
      <c r="U100" s="460">
        <f t="shared" si="116"/>
        <v>0</v>
      </c>
      <c r="V100" s="582">
        <f t="shared" si="116"/>
        <v>4</v>
      </c>
      <c r="W100" s="113">
        <f t="shared" si="116"/>
        <v>2</v>
      </c>
      <c r="X100" s="113">
        <f t="shared" si="116"/>
        <v>0</v>
      </c>
      <c r="Y100" s="113">
        <f t="shared" si="116"/>
        <v>1</v>
      </c>
      <c r="Z100" s="459">
        <f t="shared" si="116"/>
        <v>1</v>
      </c>
      <c r="AA100" s="461">
        <f t="shared" si="116"/>
        <v>3</v>
      </c>
      <c r="AB100" s="582">
        <f t="shared" si="116"/>
        <v>2</v>
      </c>
      <c r="AC100" s="113">
        <f t="shared" si="116"/>
        <v>0</v>
      </c>
      <c r="AD100" s="113">
        <f t="shared" si="116"/>
        <v>0</v>
      </c>
      <c r="AE100" s="113">
        <f t="shared" si="116"/>
        <v>2</v>
      </c>
      <c r="AF100" s="460">
        <f t="shared" si="116"/>
        <v>0</v>
      </c>
      <c r="AG100" s="582">
        <f t="shared" si="116"/>
        <v>1</v>
      </c>
      <c r="AH100" s="113">
        <f t="shared" si="116"/>
        <v>1</v>
      </c>
      <c r="AI100" s="113">
        <f t="shared" si="109"/>
        <v>0</v>
      </c>
      <c r="AJ100" s="113">
        <f t="shared" si="109"/>
        <v>0</v>
      </c>
      <c r="AK100" s="459">
        <f t="shared" si="109"/>
        <v>0</v>
      </c>
      <c r="AL100" s="461">
        <f t="shared" si="109"/>
        <v>58</v>
      </c>
      <c r="AM100" s="582">
        <f t="shared" si="109"/>
        <v>43</v>
      </c>
      <c r="AN100" s="113">
        <f t="shared" si="109"/>
        <v>26</v>
      </c>
      <c r="AO100" s="113">
        <f t="shared" si="109"/>
        <v>0</v>
      </c>
      <c r="AP100" s="113">
        <f t="shared" si="109"/>
        <v>17</v>
      </c>
      <c r="AQ100" s="460">
        <f t="shared" si="109"/>
        <v>0</v>
      </c>
      <c r="AR100" s="582">
        <f t="shared" si="109"/>
        <v>15</v>
      </c>
      <c r="AS100" s="113">
        <f t="shared" si="109"/>
        <v>3</v>
      </c>
      <c r="AT100" s="113">
        <f t="shared" si="109"/>
        <v>0</v>
      </c>
      <c r="AU100" s="113">
        <f t="shared" si="109"/>
        <v>12</v>
      </c>
      <c r="AV100" s="459">
        <f t="shared" si="109"/>
        <v>0</v>
      </c>
      <c r="AW100" s="461">
        <f t="shared" si="109"/>
        <v>29</v>
      </c>
      <c r="AX100" s="582">
        <f t="shared" si="109"/>
        <v>23</v>
      </c>
      <c r="AY100" s="113">
        <f t="shared" si="109"/>
        <v>17</v>
      </c>
      <c r="AZ100" s="113">
        <f t="shared" si="115"/>
        <v>0</v>
      </c>
      <c r="BA100" s="113">
        <f t="shared" si="115"/>
        <v>6</v>
      </c>
      <c r="BB100" s="460">
        <f t="shared" si="115"/>
        <v>0</v>
      </c>
      <c r="BC100" s="582">
        <f t="shared" si="115"/>
        <v>6</v>
      </c>
      <c r="BD100" s="113">
        <f t="shared" si="115"/>
        <v>3</v>
      </c>
      <c r="BE100" s="113">
        <f t="shared" si="115"/>
        <v>0</v>
      </c>
      <c r="BF100" s="113">
        <f t="shared" si="115"/>
        <v>2</v>
      </c>
      <c r="BG100" s="459">
        <f t="shared" si="115"/>
        <v>1</v>
      </c>
      <c r="BH100" s="461">
        <f t="shared" si="115"/>
        <v>51</v>
      </c>
      <c r="BI100" s="582">
        <f t="shared" si="115"/>
        <v>40</v>
      </c>
      <c r="BJ100" s="113">
        <f t="shared" si="115"/>
        <v>25</v>
      </c>
      <c r="BK100" s="113">
        <f t="shared" si="115"/>
        <v>0</v>
      </c>
      <c r="BL100" s="113">
        <f t="shared" si="115"/>
        <v>15</v>
      </c>
      <c r="BM100" s="460">
        <f t="shared" si="115"/>
        <v>0</v>
      </c>
      <c r="BN100" s="582">
        <f t="shared" si="115"/>
        <v>11</v>
      </c>
      <c r="BO100" s="113">
        <f t="shared" si="115"/>
        <v>0</v>
      </c>
      <c r="BP100" s="113">
        <f t="shared" si="115"/>
        <v>0</v>
      </c>
      <c r="BQ100" s="113">
        <f t="shared" si="115"/>
        <v>10</v>
      </c>
      <c r="BR100" s="459">
        <f t="shared" si="115"/>
        <v>1</v>
      </c>
      <c r="BS100" s="461">
        <f t="shared" si="115"/>
        <v>52</v>
      </c>
      <c r="BT100" s="582">
        <f t="shared" si="115"/>
        <v>39</v>
      </c>
      <c r="BU100" s="113">
        <f t="shared" si="115"/>
        <v>22</v>
      </c>
      <c r="BV100" s="113">
        <f t="shared" si="115"/>
        <v>0</v>
      </c>
      <c r="BW100" s="113">
        <f t="shared" si="115"/>
        <v>17</v>
      </c>
      <c r="BX100" s="460">
        <f t="shared" si="115"/>
        <v>0</v>
      </c>
      <c r="BY100" s="582">
        <f t="shared" si="115"/>
        <v>13</v>
      </c>
      <c r="BZ100" s="113">
        <f t="shared" si="115"/>
        <v>4</v>
      </c>
      <c r="CA100" s="113">
        <f t="shared" si="115"/>
        <v>0</v>
      </c>
      <c r="CB100" s="113">
        <f t="shared" si="115"/>
        <v>7</v>
      </c>
      <c r="CC100" s="459">
        <f t="shared" si="115"/>
        <v>2</v>
      </c>
      <c r="CD100" s="461">
        <f t="shared" si="115"/>
        <v>7</v>
      </c>
      <c r="CE100" s="582">
        <f t="shared" si="115"/>
        <v>6</v>
      </c>
      <c r="CF100" s="113">
        <f t="shared" si="115"/>
        <v>2</v>
      </c>
      <c r="CG100" s="113">
        <f t="shared" si="115"/>
        <v>0</v>
      </c>
      <c r="CH100" s="113">
        <f t="shared" si="115"/>
        <v>4</v>
      </c>
      <c r="CI100" s="460">
        <f t="shared" si="115"/>
        <v>0</v>
      </c>
      <c r="CJ100" s="582">
        <f t="shared" si="115"/>
        <v>1</v>
      </c>
      <c r="CK100" s="113">
        <f t="shared" si="115"/>
        <v>0</v>
      </c>
      <c r="CL100" s="113">
        <f t="shared" si="115"/>
        <v>0</v>
      </c>
      <c r="CM100" s="113">
        <f t="shared" si="115"/>
        <v>1</v>
      </c>
      <c r="CN100" s="459">
        <f t="shared" si="115"/>
        <v>0</v>
      </c>
      <c r="CO100" s="461">
        <f t="shared" si="115"/>
        <v>14</v>
      </c>
      <c r="CP100" s="582">
        <f t="shared" si="115"/>
        <v>9</v>
      </c>
      <c r="CQ100" s="113">
        <f t="shared" si="115"/>
        <v>6</v>
      </c>
      <c r="CR100" s="113">
        <f t="shared" si="115"/>
        <v>0</v>
      </c>
      <c r="CS100" s="113">
        <f t="shared" si="115"/>
        <v>3</v>
      </c>
      <c r="CT100" s="460">
        <f t="shared" si="115"/>
        <v>0</v>
      </c>
      <c r="CU100" s="582">
        <f t="shared" si="114"/>
        <v>5</v>
      </c>
      <c r="CV100" s="113">
        <f t="shared" si="114"/>
        <v>0</v>
      </c>
      <c r="CW100" s="113">
        <f t="shared" si="114"/>
        <v>0</v>
      </c>
      <c r="CX100" s="113">
        <f t="shared" si="114"/>
        <v>5</v>
      </c>
      <c r="CY100" s="459">
        <f t="shared" si="114"/>
        <v>0</v>
      </c>
      <c r="CZ100" s="461">
        <f t="shared" si="114"/>
        <v>4</v>
      </c>
      <c r="DA100" s="582">
        <f t="shared" si="114"/>
        <v>3</v>
      </c>
      <c r="DB100" s="113">
        <f t="shared" si="114"/>
        <v>2</v>
      </c>
      <c r="DC100" s="113">
        <f t="shared" si="114"/>
        <v>0</v>
      </c>
      <c r="DD100" s="113">
        <f t="shared" si="114"/>
        <v>1</v>
      </c>
      <c r="DE100" s="460">
        <f t="shared" si="114"/>
        <v>0</v>
      </c>
      <c r="DF100" s="582">
        <f t="shared" si="114"/>
        <v>1</v>
      </c>
      <c r="DG100" s="113">
        <f t="shared" si="114"/>
        <v>1</v>
      </c>
      <c r="DH100" s="113">
        <f t="shared" si="114"/>
        <v>0</v>
      </c>
      <c r="DI100" s="113">
        <f t="shared" si="114"/>
        <v>0</v>
      </c>
      <c r="DJ100" s="459">
        <f t="shared" si="114"/>
        <v>0</v>
      </c>
      <c r="DK100" s="461">
        <f t="shared" si="114"/>
        <v>0</v>
      </c>
      <c r="DL100" s="582">
        <f t="shared" si="114"/>
        <v>0</v>
      </c>
      <c r="DM100" s="113">
        <f t="shared" si="114"/>
        <v>0</v>
      </c>
      <c r="DN100" s="113">
        <f t="shared" si="114"/>
        <v>0</v>
      </c>
      <c r="DO100" s="113">
        <f t="shared" si="113"/>
        <v>0</v>
      </c>
      <c r="DP100" s="460">
        <f t="shared" si="113"/>
        <v>0</v>
      </c>
      <c r="DQ100" s="582">
        <f t="shared" si="113"/>
        <v>0</v>
      </c>
      <c r="DR100" s="113">
        <f t="shared" si="113"/>
        <v>0</v>
      </c>
      <c r="DS100" s="113">
        <f t="shared" si="113"/>
        <v>0</v>
      </c>
      <c r="DT100" s="113">
        <f t="shared" si="113"/>
        <v>0</v>
      </c>
      <c r="DU100" s="459">
        <f t="shared" si="113"/>
        <v>0</v>
      </c>
      <c r="DW100" s="461">
        <f t="shared" si="102"/>
        <v>169</v>
      </c>
      <c r="DX100" s="582">
        <f t="shared" si="102"/>
        <v>127</v>
      </c>
      <c r="DY100" s="113">
        <f t="shared" si="102"/>
        <v>78</v>
      </c>
      <c r="DZ100" s="113">
        <f t="shared" si="100"/>
        <v>0</v>
      </c>
      <c r="EA100" s="113">
        <f t="shared" si="100"/>
        <v>49</v>
      </c>
      <c r="EB100" s="460">
        <f t="shared" si="100"/>
        <v>0</v>
      </c>
      <c r="EC100" s="582">
        <f t="shared" si="100"/>
        <v>42</v>
      </c>
      <c r="ED100" s="113">
        <f t="shared" si="100"/>
        <v>11</v>
      </c>
      <c r="EE100" s="113">
        <f t="shared" si="100"/>
        <v>0</v>
      </c>
      <c r="EF100" s="113">
        <f t="shared" si="76"/>
        <v>26</v>
      </c>
      <c r="EG100" s="459">
        <f t="shared" si="76"/>
        <v>5</v>
      </c>
      <c r="EH100" s="461">
        <f t="shared" si="91"/>
        <v>58</v>
      </c>
      <c r="EI100" s="582">
        <f t="shared" si="91"/>
        <v>43</v>
      </c>
      <c r="EJ100" s="113">
        <f t="shared" si="91"/>
        <v>26</v>
      </c>
      <c r="EK100" s="113">
        <f t="shared" si="91"/>
        <v>0</v>
      </c>
      <c r="EL100" s="113">
        <f t="shared" si="91"/>
        <v>17</v>
      </c>
      <c r="EM100" s="460">
        <f t="shared" si="111"/>
        <v>0</v>
      </c>
      <c r="EN100" s="582">
        <f t="shared" si="111"/>
        <v>15</v>
      </c>
      <c r="EO100" s="113">
        <f t="shared" si="111"/>
        <v>3</v>
      </c>
      <c r="EP100" s="113">
        <f t="shared" si="111"/>
        <v>0</v>
      </c>
      <c r="EQ100" s="113">
        <f t="shared" si="111"/>
        <v>12</v>
      </c>
      <c r="ER100" s="459">
        <f t="shared" si="111"/>
        <v>0</v>
      </c>
    </row>
    <row r="101" spans="1:148">
      <c r="A101" s="466" t="s">
        <v>418</v>
      </c>
      <c r="B101" s="581">
        <v>44470</v>
      </c>
      <c r="C101" s="470">
        <v>2021</v>
      </c>
      <c r="D101" s="461">
        <f t="shared" si="72"/>
        <v>130630</v>
      </c>
      <c r="E101" s="461">
        <f t="shared" ref="E101:T116" si="117">SUMIFS(E$5:E$36,$B$5:$B$36,$A101)</f>
        <v>6129</v>
      </c>
      <c r="F101" s="582">
        <f t="shared" si="117"/>
        <v>4787</v>
      </c>
      <c r="G101" s="113">
        <f t="shared" si="117"/>
        <v>2342</v>
      </c>
      <c r="H101" s="113">
        <f t="shared" si="117"/>
        <v>0</v>
      </c>
      <c r="I101" s="113">
        <f t="shared" si="117"/>
        <v>2445</v>
      </c>
      <c r="J101" s="460">
        <f t="shared" si="117"/>
        <v>0</v>
      </c>
      <c r="K101" s="582">
        <f t="shared" si="117"/>
        <v>1342</v>
      </c>
      <c r="L101" s="113">
        <f t="shared" si="117"/>
        <v>199</v>
      </c>
      <c r="M101" s="113">
        <f t="shared" si="117"/>
        <v>0</v>
      </c>
      <c r="N101" s="113">
        <f t="shared" si="117"/>
        <v>1114</v>
      </c>
      <c r="O101" s="459">
        <f t="shared" si="117"/>
        <v>29</v>
      </c>
      <c r="P101" s="461">
        <f t="shared" si="117"/>
        <v>12</v>
      </c>
      <c r="Q101" s="582">
        <f t="shared" si="117"/>
        <v>6</v>
      </c>
      <c r="R101" s="113">
        <f t="shared" si="117"/>
        <v>2</v>
      </c>
      <c r="S101" s="113">
        <f t="shared" si="117"/>
        <v>0</v>
      </c>
      <c r="T101" s="113">
        <f t="shared" si="117"/>
        <v>4</v>
      </c>
      <c r="U101" s="460">
        <f t="shared" si="116"/>
        <v>0</v>
      </c>
      <c r="V101" s="582">
        <f t="shared" si="116"/>
        <v>6</v>
      </c>
      <c r="W101" s="113">
        <f t="shared" si="116"/>
        <v>0</v>
      </c>
      <c r="X101" s="113">
        <f t="shared" si="116"/>
        <v>0</v>
      </c>
      <c r="Y101" s="113">
        <f t="shared" si="116"/>
        <v>6</v>
      </c>
      <c r="Z101" s="459">
        <f t="shared" si="116"/>
        <v>0</v>
      </c>
      <c r="AA101" s="461">
        <f t="shared" si="116"/>
        <v>4</v>
      </c>
      <c r="AB101" s="582">
        <f t="shared" si="116"/>
        <v>3</v>
      </c>
      <c r="AC101" s="113">
        <f t="shared" si="116"/>
        <v>3</v>
      </c>
      <c r="AD101" s="113">
        <f t="shared" si="116"/>
        <v>0</v>
      </c>
      <c r="AE101" s="113">
        <f t="shared" si="116"/>
        <v>0</v>
      </c>
      <c r="AF101" s="460">
        <f t="shared" si="116"/>
        <v>0</v>
      </c>
      <c r="AG101" s="582">
        <f t="shared" si="116"/>
        <v>1</v>
      </c>
      <c r="AH101" s="113">
        <f t="shared" si="116"/>
        <v>1</v>
      </c>
      <c r="AI101" s="113">
        <f t="shared" si="109"/>
        <v>0</v>
      </c>
      <c r="AJ101" s="113">
        <f t="shared" si="109"/>
        <v>0</v>
      </c>
      <c r="AK101" s="459">
        <f t="shared" si="109"/>
        <v>0</v>
      </c>
      <c r="AL101" s="461">
        <f t="shared" si="109"/>
        <v>54</v>
      </c>
      <c r="AM101" s="582">
        <f t="shared" si="109"/>
        <v>49</v>
      </c>
      <c r="AN101" s="113">
        <f t="shared" si="109"/>
        <v>33</v>
      </c>
      <c r="AO101" s="113">
        <f t="shared" si="109"/>
        <v>0</v>
      </c>
      <c r="AP101" s="113">
        <f t="shared" si="109"/>
        <v>16</v>
      </c>
      <c r="AQ101" s="460">
        <f t="shared" si="109"/>
        <v>0</v>
      </c>
      <c r="AR101" s="582">
        <f t="shared" si="109"/>
        <v>5</v>
      </c>
      <c r="AS101" s="113">
        <f t="shared" si="109"/>
        <v>0</v>
      </c>
      <c r="AT101" s="113">
        <f t="shared" si="109"/>
        <v>0</v>
      </c>
      <c r="AU101" s="113">
        <f t="shared" si="109"/>
        <v>5</v>
      </c>
      <c r="AV101" s="459">
        <f t="shared" si="109"/>
        <v>0</v>
      </c>
      <c r="AW101" s="461">
        <f t="shared" si="109"/>
        <v>33</v>
      </c>
      <c r="AX101" s="582">
        <f t="shared" si="109"/>
        <v>22</v>
      </c>
      <c r="AY101" s="113">
        <f t="shared" si="109"/>
        <v>13</v>
      </c>
      <c r="AZ101" s="113">
        <f t="shared" si="115"/>
        <v>0</v>
      </c>
      <c r="BA101" s="113">
        <f t="shared" si="115"/>
        <v>9</v>
      </c>
      <c r="BB101" s="460">
        <f t="shared" si="115"/>
        <v>0</v>
      </c>
      <c r="BC101" s="582">
        <f t="shared" si="115"/>
        <v>11</v>
      </c>
      <c r="BD101" s="113">
        <f t="shared" si="115"/>
        <v>2</v>
      </c>
      <c r="BE101" s="113">
        <f t="shared" si="115"/>
        <v>0</v>
      </c>
      <c r="BF101" s="113">
        <f t="shared" si="115"/>
        <v>8</v>
      </c>
      <c r="BG101" s="459">
        <f t="shared" si="115"/>
        <v>1</v>
      </c>
      <c r="BH101" s="461">
        <f t="shared" si="115"/>
        <v>34</v>
      </c>
      <c r="BI101" s="582">
        <f t="shared" si="115"/>
        <v>26</v>
      </c>
      <c r="BJ101" s="113">
        <f t="shared" si="115"/>
        <v>11</v>
      </c>
      <c r="BK101" s="113">
        <f t="shared" si="115"/>
        <v>0</v>
      </c>
      <c r="BL101" s="113">
        <f t="shared" si="115"/>
        <v>15</v>
      </c>
      <c r="BM101" s="460">
        <f t="shared" si="115"/>
        <v>0</v>
      </c>
      <c r="BN101" s="582">
        <f t="shared" si="115"/>
        <v>8</v>
      </c>
      <c r="BO101" s="113">
        <f t="shared" si="115"/>
        <v>2</v>
      </c>
      <c r="BP101" s="113">
        <f t="shared" si="115"/>
        <v>0</v>
      </c>
      <c r="BQ101" s="113">
        <f t="shared" si="115"/>
        <v>6</v>
      </c>
      <c r="BR101" s="459">
        <f t="shared" si="115"/>
        <v>0</v>
      </c>
      <c r="BS101" s="461">
        <f t="shared" si="115"/>
        <v>75</v>
      </c>
      <c r="BT101" s="582">
        <f t="shared" si="115"/>
        <v>52</v>
      </c>
      <c r="BU101" s="113">
        <f t="shared" si="115"/>
        <v>19</v>
      </c>
      <c r="BV101" s="113">
        <f t="shared" si="115"/>
        <v>0</v>
      </c>
      <c r="BW101" s="113">
        <f t="shared" si="115"/>
        <v>33</v>
      </c>
      <c r="BX101" s="460">
        <f t="shared" si="115"/>
        <v>0</v>
      </c>
      <c r="BY101" s="582">
        <f t="shared" si="115"/>
        <v>23</v>
      </c>
      <c r="BZ101" s="113">
        <f t="shared" si="115"/>
        <v>4</v>
      </c>
      <c r="CA101" s="113">
        <f t="shared" si="115"/>
        <v>0</v>
      </c>
      <c r="CB101" s="113">
        <f t="shared" si="115"/>
        <v>19</v>
      </c>
      <c r="CC101" s="459">
        <f t="shared" si="115"/>
        <v>0</v>
      </c>
      <c r="CD101" s="461">
        <f t="shared" si="115"/>
        <v>11</v>
      </c>
      <c r="CE101" s="582">
        <f t="shared" si="115"/>
        <v>8</v>
      </c>
      <c r="CF101" s="113">
        <f t="shared" si="115"/>
        <v>4</v>
      </c>
      <c r="CG101" s="113">
        <f t="shared" si="115"/>
        <v>0</v>
      </c>
      <c r="CH101" s="113">
        <f t="shared" si="115"/>
        <v>4</v>
      </c>
      <c r="CI101" s="460">
        <f t="shared" si="115"/>
        <v>0</v>
      </c>
      <c r="CJ101" s="582">
        <f t="shared" si="115"/>
        <v>3</v>
      </c>
      <c r="CK101" s="113">
        <f t="shared" si="115"/>
        <v>0</v>
      </c>
      <c r="CL101" s="113">
        <f t="shared" si="115"/>
        <v>0</v>
      </c>
      <c r="CM101" s="113">
        <f t="shared" si="115"/>
        <v>3</v>
      </c>
      <c r="CN101" s="459">
        <f t="shared" si="115"/>
        <v>0</v>
      </c>
      <c r="CO101" s="461">
        <f t="shared" si="115"/>
        <v>6</v>
      </c>
      <c r="CP101" s="582">
        <f t="shared" si="115"/>
        <v>5</v>
      </c>
      <c r="CQ101" s="113">
        <f t="shared" si="115"/>
        <v>5</v>
      </c>
      <c r="CR101" s="113">
        <f t="shared" si="115"/>
        <v>0</v>
      </c>
      <c r="CS101" s="113">
        <f t="shared" si="115"/>
        <v>0</v>
      </c>
      <c r="CT101" s="460">
        <f t="shared" si="115"/>
        <v>0</v>
      </c>
      <c r="CU101" s="582">
        <f t="shared" si="114"/>
        <v>1</v>
      </c>
      <c r="CV101" s="113">
        <f t="shared" si="114"/>
        <v>0</v>
      </c>
      <c r="CW101" s="113">
        <f t="shared" si="114"/>
        <v>0</v>
      </c>
      <c r="CX101" s="113">
        <f t="shared" si="114"/>
        <v>1</v>
      </c>
      <c r="CY101" s="459">
        <f t="shared" si="114"/>
        <v>0</v>
      </c>
      <c r="CZ101" s="461">
        <f t="shared" si="114"/>
        <v>2</v>
      </c>
      <c r="DA101" s="582">
        <f t="shared" si="114"/>
        <v>2</v>
      </c>
      <c r="DB101" s="113">
        <f t="shared" si="114"/>
        <v>1</v>
      </c>
      <c r="DC101" s="113">
        <f t="shared" si="114"/>
        <v>0</v>
      </c>
      <c r="DD101" s="113">
        <f t="shared" si="114"/>
        <v>1</v>
      </c>
      <c r="DE101" s="460">
        <f t="shared" si="114"/>
        <v>0</v>
      </c>
      <c r="DF101" s="582">
        <f t="shared" si="114"/>
        <v>0</v>
      </c>
      <c r="DG101" s="113">
        <f t="shared" si="114"/>
        <v>0</v>
      </c>
      <c r="DH101" s="113">
        <f t="shared" si="114"/>
        <v>0</v>
      </c>
      <c r="DI101" s="113">
        <f t="shared" si="114"/>
        <v>0</v>
      </c>
      <c r="DJ101" s="459">
        <f t="shared" si="114"/>
        <v>0</v>
      </c>
      <c r="DK101" s="461">
        <f t="shared" si="114"/>
        <v>0</v>
      </c>
      <c r="DL101" s="582">
        <f t="shared" si="114"/>
        <v>0</v>
      </c>
      <c r="DM101" s="113">
        <f t="shared" si="114"/>
        <v>0</v>
      </c>
      <c r="DN101" s="113">
        <f t="shared" si="114"/>
        <v>0</v>
      </c>
      <c r="DO101" s="113">
        <f t="shared" si="113"/>
        <v>0</v>
      </c>
      <c r="DP101" s="460">
        <f t="shared" si="113"/>
        <v>0</v>
      </c>
      <c r="DQ101" s="582">
        <f t="shared" si="113"/>
        <v>0</v>
      </c>
      <c r="DR101" s="113">
        <f t="shared" si="113"/>
        <v>0</v>
      </c>
      <c r="DS101" s="113">
        <f t="shared" si="113"/>
        <v>0</v>
      </c>
      <c r="DT101" s="113">
        <f t="shared" si="113"/>
        <v>0</v>
      </c>
      <c r="DU101" s="459">
        <f t="shared" si="113"/>
        <v>0</v>
      </c>
      <c r="DW101" s="461">
        <f t="shared" si="102"/>
        <v>177</v>
      </c>
      <c r="DX101" s="582">
        <f t="shared" si="102"/>
        <v>124</v>
      </c>
      <c r="DY101" s="113">
        <f t="shared" si="102"/>
        <v>58</v>
      </c>
      <c r="DZ101" s="113">
        <f t="shared" si="100"/>
        <v>0</v>
      </c>
      <c r="EA101" s="113">
        <f t="shared" si="100"/>
        <v>66</v>
      </c>
      <c r="EB101" s="460">
        <f t="shared" si="100"/>
        <v>0</v>
      </c>
      <c r="EC101" s="582">
        <f t="shared" si="100"/>
        <v>53</v>
      </c>
      <c r="ED101" s="113">
        <f t="shared" si="100"/>
        <v>9</v>
      </c>
      <c r="EE101" s="113">
        <f t="shared" si="100"/>
        <v>0</v>
      </c>
      <c r="EF101" s="113">
        <f t="shared" si="76"/>
        <v>43</v>
      </c>
      <c r="EG101" s="459">
        <f t="shared" si="76"/>
        <v>1</v>
      </c>
      <c r="EH101" s="461">
        <f t="shared" si="91"/>
        <v>54</v>
      </c>
      <c r="EI101" s="582">
        <f t="shared" si="91"/>
        <v>49</v>
      </c>
      <c r="EJ101" s="113">
        <f t="shared" si="91"/>
        <v>33</v>
      </c>
      <c r="EK101" s="113">
        <f t="shared" si="91"/>
        <v>0</v>
      </c>
      <c r="EL101" s="113">
        <f t="shared" si="91"/>
        <v>16</v>
      </c>
      <c r="EM101" s="460">
        <f t="shared" si="111"/>
        <v>0</v>
      </c>
      <c r="EN101" s="582">
        <f t="shared" si="111"/>
        <v>5</v>
      </c>
      <c r="EO101" s="113">
        <f t="shared" si="111"/>
        <v>0</v>
      </c>
      <c r="EP101" s="113">
        <f t="shared" si="111"/>
        <v>0</v>
      </c>
      <c r="EQ101" s="113">
        <f t="shared" si="111"/>
        <v>5</v>
      </c>
      <c r="ER101" s="459">
        <f t="shared" si="111"/>
        <v>0</v>
      </c>
    </row>
    <row r="102" spans="1:148">
      <c r="A102" s="466" t="s">
        <v>418</v>
      </c>
      <c r="B102" s="581">
        <v>44501</v>
      </c>
      <c r="C102" s="470">
        <v>2021</v>
      </c>
      <c r="D102" s="461">
        <f t="shared" si="72"/>
        <v>130630</v>
      </c>
      <c r="E102" s="461">
        <f t="shared" si="117"/>
        <v>6129</v>
      </c>
      <c r="F102" s="582">
        <f t="shared" si="117"/>
        <v>4787</v>
      </c>
      <c r="G102" s="113">
        <f t="shared" si="117"/>
        <v>2342</v>
      </c>
      <c r="H102" s="113">
        <f t="shared" si="117"/>
        <v>0</v>
      </c>
      <c r="I102" s="113">
        <f t="shared" si="117"/>
        <v>2445</v>
      </c>
      <c r="J102" s="460">
        <f t="shared" si="117"/>
        <v>0</v>
      </c>
      <c r="K102" s="582">
        <f t="shared" si="117"/>
        <v>1342</v>
      </c>
      <c r="L102" s="113">
        <f t="shared" si="117"/>
        <v>199</v>
      </c>
      <c r="M102" s="113">
        <f t="shared" si="117"/>
        <v>0</v>
      </c>
      <c r="N102" s="113">
        <f t="shared" si="117"/>
        <v>1114</v>
      </c>
      <c r="O102" s="459">
        <f t="shared" si="117"/>
        <v>29</v>
      </c>
      <c r="P102" s="461">
        <f t="shared" si="117"/>
        <v>12</v>
      </c>
      <c r="Q102" s="582">
        <f t="shared" si="117"/>
        <v>6</v>
      </c>
      <c r="R102" s="113">
        <f t="shared" si="117"/>
        <v>2</v>
      </c>
      <c r="S102" s="113">
        <f t="shared" si="117"/>
        <v>0</v>
      </c>
      <c r="T102" s="113">
        <f t="shared" si="117"/>
        <v>4</v>
      </c>
      <c r="U102" s="460">
        <f t="shared" si="116"/>
        <v>0</v>
      </c>
      <c r="V102" s="582">
        <f t="shared" si="116"/>
        <v>6</v>
      </c>
      <c r="W102" s="113">
        <f t="shared" si="116"/>
        <v>0</v>
      </c>
      <c r="X102" s="113">
        <f t="shared" si="116"/>
        <v>0</v>
      </c>
      <c r="Y102" s="113">
        <f t="shared" si="116"/>
        <v>6</v>
      </c>
      <c r="Z102" s="459">
        <f t="shared" si="116"/>
        <v>0</v>
      </c>
      <c r="AA102" s="461">
        <f t="shared" si="116"/>
        <v>4</v>
      </c>
      <c r="AB102" s="582">
        <f t="shared" si="116"/>
        <v>3</v>
      </c>
      <c r="AC102" s="113">
        <f t="shared" si="116"/>
        <v>3</v>
      </c>
      <c r="AD102" s="113">
        <f t="shared" si="116"/>
        <v>0</v>
      </c>
      <c r="AE102" s="113">
        <f t="shared" si="116"/>
        <v>0</v>
      </c>
      <c r="AF102" s="460">
        <f t="shared" si="116"/>
        <v>0</v>
      </c>
      <c r="AG102" s="582">
        <f t="shared" si="116"/>
        <v>1</v>
      </c>
      <c r="AH102" s="113">
        <f t="shared" si="116"/>
        <v>1</v>
      </c>
      <c r="AI102" s="113">
        <f t="shared" si="109"/>
        <v>0</v>
      </c>
      <c r="AJ102" s="113">
        <f t="shared" si="109"/>
        <v>0</v>
      </c>
      <c r="AK102" s="459">
        <f t="shared" si="109"/>
        <v>0</v>
      </c>
      <c r="AL102" s="461">
        <f t="shared" si="109"/>
        <v>54</v>
      </c>
      <c r="AM102" s="582">
        <f t="shared" si="109"/>
        <v>49</v>
      </c>
      <c r="AN102" s="113">
        <f t="shared" si="109"/>
        <v>33</v>
      </c>
      <c r="AO102" s="113">
        <f t="shared" si="109"/>
        <v>0</v>
      </c>
      <c r="AP102" s="113">
        <f t="shared" si="109"/>
        <v>16</v>
      </c>
      <c r="AQ102" s="460">
        <f t="shared" si="109"/>
        <v>0</v>
      </c>
      <c r="AR102" s="582">
        <f t="shared" si="109"/>
        <v>5</v>
      </c>
      <c r="AS102" s="113">
        <f t="shared" si="109"/>
        <v>0</v>
      </c>
      <c r="AT102" s="113">
        <f t="shared" si="109"/>
        <v>0</v>
      </c>
      <c r="AU102" s="113">
        <f t="shared" si="109"/>
        <v>5</v>
      </c>
      <c r="AV102" s="459">
        <f t="shared" si="109"/>
        <v>0</v>
      </c>
      <c r="AW102" s="461">
        <f t="shared" si="109"/>
        <v>33</v>
      </c>
      <c r="AX102" s="582">
        <f t="shared" si="109"/>
        <v>22</v>
      </c>
      <c r="AY102" s="113">
        <f t="shared" si="109"/>
        <v>13</v>
      </c>
      <c r="AZ102" s="113">
        <f t="shared" si="115"/>
        <v>0</v>
      </c>
      <c r="BA102" s="113">
        <f t="shared" si="115"/>
        <v>9</v>
      </c>
      <c r="BB102" s="460">
        <f t="shared" si="115"/>
        <v>0</v>
      </c>
      <c r="BC102" s="582">
        <f t="shared" si="115"/>
        <v>11</v>
      </c>
      <c r="BD102" s="113">
        <f t="shared" si="115"/>
        <v>2</v>
      </c>
      <c r="BE102" s="113">
        <f t="shared" si="115"/>
        <v>0</v>
      </c>
      <c r="BF102" s="113">
        <f t="shared" si="115"/>
        <v>8</v>
      </c>
      <c r="BG102" s="459">
        <f t="shared" si="115"/>
        <v>1</v>
      </c>
      <c r="BH102" s="461">
        <f t="shared" si="115"/>
        <v>34</v>
      </c>
      <c r="BI102" s="582">
        <f t="shared" si="115"/>
        <v>26</v>
      </c>
      <c r="BJ102" s="113">
        <f t="shared" si="115"/>
        <v>11</v>
      </c>
      <c r="BK102" s="113">
        <f t="shared" si="115"/>
        <v>0</v>
      </c>
      <c r="BL102" s="113">
        <f t="shared" si="115"/>
        <v>15</v>
      </c>
      <c r="BM102" s="460">
        <f t="shared" si="115"/>
        <v>0</v>
      </c>
      <c r="BN102" s="582">
        <f t="shared" si="115"/>
        <v>8</v>
      </c>
      <c r="BO102" s="113">
        <f t="shared" si="115"/>
        <v>2</v>
      </c>
      <c r="BP102" s="113">
        <f t="shared" si="115"/>
        <v>0</v>
      </c>
      <c r="BQ102" s="113">
        <f t="shared" si="115"/>
        <v>6</v>
      </c>
      <c r="BR102" s="459">
        <f t="shared" si="115"/>
        <v>0</v>
      </c>
      <c r="BS102" s="461">
        <f t="shared" si="115"/>
        <v>75</v>
      </c>
      <c r="BT102" s="582">
        <f t="shared" si="115"/>
        <v>52</v>
      </c>
      <c r="BU102" s="113">
        <f t="shared" si="115"/>
        <v>19</v>
      </c>
      <c r="BV102" s="113">
        <f t="shared" si="115"/>
        <v>0</v>
      </c>
      <c r="BW102" s="113">
        <f t="shared" si="115"/>
        <v>33</v>
      </c>
      <c r="BX102" s="460">
        <f t="shared" si="115"/>
        <v>0</v>
      </c>
      <c r="BY102" s="582">
        <f t="shared" si="115"/>
        <v>23</v>
      </c>
      <c r="BZ102" s="113">
        <f t="shared" si="115"/>
        <v>4</v>
      </c>
      <c r="CA102" s="113">
        <f t="shared" si="115"/>
        <v>0</v>
      </c>
      <c r="CB102" s="113">
        <f t="shared" si="115"/>
        <v>19</v>
      </c>
      <c r="CC102" s="459">
        <f t="shared" si="115"/>
        <v>0</v>
      </c>
      <c r="CD102" s="461">
        <f t="shared" si="115"/>
        <v>11</v>
      </c>
      <c r="CE102" s="582">
        <f t="shared" si="115"/>
        <v>8</v>
      </c>
      <c r="CF102" s="113">
        <f t="shared" si="115"/>
        <v>4</v>
      </c>
      <c r="CG102" s="113">
        <f t="shared" si="115"/>
        <v>0</v>
      </c>
      <c r="CH102" s="113">
        <f t="shared" si="115"/>
        <v>4</v>
      </c>
      <c r="CI102" s="460">
        <f t="shared" si="115"/>
        <v>0</v>
      </c>
      <c r="CJ102" s="582">
        <f t="shared" si="115"/>
        <v>3</v>
      </c>
      <c r="CK102" s="113">
        <f t="shared" si="115"/>
        <v>0</v>
      </c>
      <c r="CL102" s="113">
        <f t="shared" si="115"/>
        <v>0</v>
      </c>
      <c r="CM102" s="113">
        <f t="shared" si="115"/>
        <v>3</v>
      </c>
      <c r="CN102" s="459">
        <f t="shared" si="115"/>
        <v>0</v>
      </c>
      <c r="CO102" s="461">
        <f t="shared" si="115"/>
        <v>6</v>
      </c>
      <c r="CP102" s="582">
        <f t="shared" si="115"/>
        <v>5</v>
      </c>
      <c r="CQ102" s="113">
        <f t="shared" si="115"/>
        <v>5</v>
      </c>
      <c r="CR102" s="113">
        <f t="shared" si="115"/>
        <v>0</v>
      </c>
      <c r="CS102" s="113">
        <f t="shared" si="115"/>
        <v>0</v>
      </c>
      <c r="CT102" s="460">
        <f t="shared" si="115"/>
        <v>0</v>
      </c>
      <c r="CU102" s="582">
        <f t="shared" si="114"/>
        <v>1</v>
      </c>
      <c r="CV102" s="113">
        <f t="shared" si="114"/>
        <v>0</v>
      </c>
      <c r="CW102" s="113">
        <f t="shared" si="114"/>
        <v>0</v>
      </c>
      <c r="CX102" s="113">
        <f t="shared" si="114"/>
        <v>1</v>
      </c>
      <c r="CY102" s="459">
        <f t="shared" si="114"/>
        <v>0</v>
      </c>
      <c r="CZ102" s="461">
        <f t="shared" si="114"/>
        <v>2</v>
      </c>
      <c r="DA102" s="582">
        <f t="shared" si="114"/>
        <v>2</v>
      </c>
      <c r="DB102" s="113">
        <f t="shared" si="114"/>
        <v>1</v>
      </c>
      <c r="DC102" s="113">
        <f t="shared" si="114"/>
        <v>0</v>
      </c>
      <c r="DD102" s="113">
        <f t="shared" si="114"/>
        <v>1</v>
      </c>
      <c r="DE102" s="460">
        <f t="shared" si="114"/>
        <v>0</v>
      </c>
      <c r="DF102" s="582">
        <f t="shared" si="114"/>
        <v>0</v>
      </c>
      <c r="DG102" s="113">
        <f t="shared" si="114"/>
        <v>0</v>
      </c>
      <c r="DH102" s="113">
        <f t="shared" si="114"/>
        <v>0</v>
      </c>
      <c r="DI102" s="113">
        <f t="shared" si="114"/>
        <v>0</v>
      </c>
      <c r="DJ102" s="459">
        <f t="shared" si="114"/>
        <v>0</v>
      </c>
      <c r="DK102" s="461">
        <f t="shared" si="114"/>
        <v>0</v>
      </c>
      <c r="DL102" s="582">
        <f t="shared" si="114"/>
        <v>0</v>
      </c>
      <c r="DM102" s="113">
        <f t="shared" si="114"/>
        <v>0</v>
      </c>
      <c r="DN102" s="113">
        <f t="shared" si="114"/>
        <v>0</v>
      </c>
      <c r="DO102" s="113">
        <f t="shared" si="113"/>
        <v>0</v>
      </c>
      <c r="DP102" s="460">
        <f t="shared" si="113"/>
        <v>0</v>
      </c>
      <c r="DQ102" s="582">
        <f t="shared" si="113"/>
        <v>0</v>
      </c>
      <c r="DR102" s="113">
        <f t="shared" si="113"/>
        <v>0</v>
      </c>
      <c r="DS102" s="113">
        <f t="shared" si="113"/>
        <v>0</v>
      </c>
      <c r="DT102" s="113">
        <f t="shared" si="113"/>
        <v>0</v>
      </c>
      <c r="DU102" s="459">
        <f t="shared" si="113"/>
        <v>0</v>
      </c>
      <c r="DW102" s="461">
        <f t="shared" si="102"/>
        <v>177</v>
      </c>
      <c r="DX102" s="582">
        <f t="shared" si="102"/>
        <v>124</v>
      </c>
      <c r="DY102" s="113">
        <f t="shared" si="102"/>
        <v>58</v>
      </c>
      <c r="DZ102" s="113">
        <f t="shared" si="100"/>
        <v>0</v>
      </c>
      <c r="EA102" s="113">
        <f t="shared" si="100"/>
        <v>66</v>
      </c>
      <c r="EB102" s="460">
        <f t="shared" si="100"/>
        <v>0</v>
      </c>
      <c r="EC102" s="582">
        <f t="shared" si="100"/>
        <v>53</v>
      </c>
      <c r="ED102" s="113">
        <f t="shared" si="100"/>
        <v>9</v>
      </c>
      <c r="EE102" s="113">
        <f t="shared" si="100"/>
        <v>0</v>
      </c>
      <c r="EF102" s="113">
        <f t="shared" si="76"/>
        <v>43</v>
      </c>
      <c r="EG102" s="459">
        <f t="shared" si="76"/>
        <v>1</v>
      </c>
      <c r="EH102" s="461">
        <f t="shared" si="91"/>
        <v>54</v>
      </c>
      <c r="EI102" s="582">
        <f t="shared" si="91"/>
        <v>49</v>
      </c>
      <c r="EJ102" s="113">
        <f t="shared" si="91"/>
        <v>33</v>
      </c>
      <c r="EK102" s="113">
        <f t="shared" si="91"/>
        <v>0</v>
      </c>
      <c r="EL102" s="113">
        <f t="shared" si="91"/>
        <v>16</v>
      </c>
      <c r="EM102" s="460">
        <f t="shared" si="111"/>
        <v>0</v>
      </c>
      <c r="EN102" s="582">
        <f t="shared" si="111"/>
        <v>5</v>
      </c>
      <c r="EO102" s="113">
        <f t="shared" si="111"/>
        <v>0</v>
      </c>
      <c r="EP102" s="113">
        <f t="shared" si="111"/>
        <v>0</v>
      </c>
      <c r="EQ102" s="113">
        <f t="shared" si="111"/>
        <v>5</v>
      </c>
      <c r="ER102" s="459">
        <f t="shared" si="111"/>
        <v>0</v>
      </c>
    </row>
    <row r="103" spans="1:148">
      <c r="A103" s="466" t="s">
        <v>418</v>
      </c>
      <c r="B103" s="581">
        <v>44531</v>
      </c>
      <c r="C103" s="470">
        <v>2021</v>
      </c>
      <c r="D103" s="461">
        <f t="shared" si="72"/>
        <v>130630</v>
      </c>
      <c r="E103" s="461">
        <f t="shared" si="117"/>
        <v>6129</v>
      </c>
      <c r="F103" s="582">
        <f t="shared" si="117"/>
        <v>4787</v>
      </c>
      <c r="G103" s="113">
        <f t="shared" si="117"/>
        <v>2342</v>
      </c>
      <c r="H103" s="113">
        <f t="shared" si="117"/>
        <v>0</v>
      </c>
      <c r="I103" s="113">
        <f t="shared" si="117"/>
        <v>2445</v>
      </c>
      <c r="J103" s="460">
        <f t="shared" si="117"/>
        <v>0</v>
      </c>
      <c r="K103" s="582">
        <f t="shared" si="117"/>
        <v>1342</v>
      </c>
      <c r="L103" s="113">
        <f t="shared" si="117"/>
        <v>199</v>
      </c>
      <c r="M103" s="113">
        <f t="shared" si="117"/>
        <v>0</v>
      </c>
      <c r="N103" s="113">
        <f t="shared" si="117"/>
        <v>1114</v>
      </c>
      <c r="O103" s="459">
        <f t="shared" si="117"/>
        <v>29</v>
      </c>
      <c r="P103" s="461">
        <f t="shared" si="117"/>
        <v>12</v>
      </c>
      <c r="Q103" s="582">
        <f t="shared" si="117"/>
        <v>6</v>
      </c>
      <c r="R103" s="113">
        <f t="shared" si="117"/>
        <v>2</v>
      </c>
      <c r="S103" s="113">
        <f t="shared" si="117"/>
        <v>0</v>
      </c>
      <c r="T103" s="113">
        <f t="shared" si="117"/>
        <v>4</v>
      </c>
      <c r="U103" s="460">
        <f t="shared" si="116"/>
        <v>0</v>
      </c>
      <c r="V103" s="582">
        <f t="shared" si="116"/>
        <v>6</v>
      </c>
      <c r="W103" s="113">
        <f t="shared" si="116"/>
        <v>0</v>
      </c>
      <c r="X103" s="113">
        <f t="shared" si="116"/>
        <v>0</v>
      </c>
      <c r="Y103" s="113">
        <f t="shared" si="116"/>
        <v>6</v>
      </c>
      <c r="Z103" s="459">
        <f t="shared" si="116"/>
        <v>0</v>
      </c>
      <c r="AA103" s="461">
        <f t="shared" si="116"/>
        <v>4</v>
      </c>
      <c r="AB103" s="582">
        <f t="shared" si="116"/>
        <v>3</v>
      </c>
      <c r="AC103" s="113">
        <f t="shared" si="116"/>
        <v>3</v>
      </c>
      <c r="AD103" s="113">
        <f t="shared" si="116"/>
        <v>0</v>
      </c>
      <c r="AE103" s="113">
        <f t="shared" si="116"/>
        <v>0</v>
      </c>
      <c r="AF103" s="460">
        <f t="shared" si="116"/>
        <v>0</v>
      </c>
      <c r="AG103" s="582">
        <f t="shared" si="116"/>
        <v>1</v>
      </c>
      <c r="AH103" s="113">
        <f t="shared" si="116"/>
        <v>1</v>
      </c>
      <c r="AI103" s="113">
        <f t="shared" si="109"/>
        <v>0</v>
      </c>
      <c r="AJ103" s="113">
        <f t="shared" si="109"/>
        <v>0</v>
      </c>
      <c r="AK103" s="459">
        <f t="shared" si="109"/>
        <v>0</v>
      </c>
      <c r="AL103" s="461">
        <f t="shared" si="109"/>
        <v>54</v>
      </c>
      <c r="AM103" s="582">
        <f t="shared" si="109"/>
        <v>49</v>
      </c>
      <c r="AN103" s="113">
        <f t="shared" si="109"/>
        <v>33</v>
      </c>
      <c r="AO103" s="113">
        <f t="shared" si="109"/>
        <v>0</v>
      </c>
      <c r="AP103" s="113">
        <f t="shared" si="109"/>
        <v>16</v>
      </c>
      <c r="AQ103" s="460">
        <f t="shared" si="109"/>
        <v>0</v>
      </c>
      <c r="AR103" s="582">
        <f t="shared" si="109"/>
        <v>5</v>
      </c>
      <c r="AS103" s="113">
        <f t="shared" si="109"/>
        <v>0</v>
      </c>
      <c r="AT103" s="113">
        <f t="shared" si="109"/>
        <v>0</v>
      </c>
      <c r="AU103" s="113">
        <f t="shared" si="109"/>
        <v>5</v>
      </c>
      <c r="AV103" s="459">
        <f t="shared" si="109"/>
        <v>0</v>
      </c>
      <c r="AW103" s="461">
        <f t="shared" si="109"/>
        <v>33</v>
      </c>
      <c r="AX103" s="582">
        <f t="shared" si="109"/>
        <v>22</v>
      </c>
      <c r="AY103" s="113">
        <f t="shared" si="109"/>
        <v>13</v>
      </c>
      <c r="AZ103" s="113">
        <f t="shared" si="115"/>
        <v>0</v>
      </c>
      <c r="BA103" s="113">
        <f t="shared" si="115"/>
        <v>9</v>
      </c>
      <c r="BB103" s="460">
        <f t="shared" si="115"/>
        <v>0</v>
      </c>
      <c r="BC103" s="582">
        <f t="shared" si="115"/>
        <v>11</v>
      </c>
      <c r="BD103" s="113">
        <f t="shared" si="115"/>
        <v>2</v>
      </c>
      <c r="BE103" s="113">
        <f t="shared" si="115"/>
        <v>0</v>
      </c>
      <c r="BF103" s="113">
        <f t="shared" si="115"/>
        <v>8</v>
      </c>
      <c r="BG103" s="459">
        <f t="shared" si="115"/>
        <v>1</v>
      </c>
      <c r="BH103" s="461">
        <f t="shared" si="115"/>
        <v>34</v>
      </c>
      <c r="BI103" s="582">
        <f t="shared" si="115"/>
        <v>26</v>
      </c>
      <c r="BJ103" s="113">
        <f t="shared" si="115"/>
        <v>11</v>
      </c>
      <c r="BK103" s="113">
        <f t="shared" si="115"/>
        <v>0</v>
      </c>
      <c r="BL103" s="113">
        <f t="shared" si="115"/>
        <v>15</v>
      </c>
      <c r="BM103" s="460">
        <f t="shared" si="115"/>
        <v>0</v>
      </c>
      <c r="BN103" s="582">
        <f t="shared" si="115"/>
        <v>8</v>
      </c>
      <c r="BO103" s="113">
        <f t="shared" si="115"/>
        <v>2</v>
      </c>
      <c r="BP103" s="113">
        <f t="shared" si="115"/>
        <v>0</v>
      </c>
      <c r="BQ103" s="113">
        <f t="shared" si="115"/>
        <v>6</v>
      </c>
      <c r="BR103" s="459">
        <f t="shared" si="115"/>
        <v>0</v>
      </c>
      <c r="BS103" s="461">
        <f t="shared" si="115"/>
        <v>75</v>
      </c>
      <c r="BT103" s="582">
        <f t="shared" si="115"/>
        <v>52</v>
      </c>
      <c r="BU103" s="113">
        <f t="shared" si="115"/>
        <v>19</v>
      </c>
      <c r="BV103" s="113">
        <f t="shared" si="115"/>
        <v>0</v>
      </c>
      <c r="BW103" s="113">
        <f t="shared" si="115"/>
        <v>33</v>
      </c>
      <c r="BX103" s="460">
        <f t="shared" si="115"/>
        <v>0</v>
      </c>
      <c r="BY103" s="582">
        <f t="shared" si="115"/>
        <v>23</v>
      </c>
      <c r="BZ103" s="113">
        <f t="shared" si="115"/>
        <v>4</v>
      </c>
      <c r="CA103" s="113">
        <f t="shared" si="115"/>
        <v>0</v>
      </c>
      <c r="CB103" s="113">
        <f t="shared" si="115"/>
        <v>19</v>
      </c>
      <c r="CC103" s="459">
        <f t="shared" si="115"/>
        <v>0</v>
      </c>
      <c r="CD103" s="461">
        <f t="shared" si="115"/>
        <v>11</v>
      </c>
      <c r="CE103" s="582">
        <f t="shared" si="115"/>
        <v>8</v>
      </c>
      <c r="CF103" s="113">
        <f t="shared" si="115"/>
        <v>4</v>
      </c>
      <c r="CG103" s="113">
        <f t="shared" si="115"/>
        <v>0</v>
      </c>
      <c r="CH103" s="113">
        <f t="shared" si="115"/>
        <v>4</v>
      </c>
      <c r="CI103" s="460">
        <f t="shared" si="115"/>
        <v>0</v>
      </c>
      <c r="CJ103" s="582">
        <f t="shared" si="115"/>
        <v>3</v>
      </c>
      <c r="CK103" s="113">
        <f t="shared" si="115"/>
        <v>0</v>
      </c>
      <c r="CL103" s="113">
        <f t="shared" si="115"/>
        <v>0</v>
      </c>
      <c r="CM103" s="113">
        <f t="shared" si="115"/>
        <v>3</v>
      </c>
      <c r="CN103" s="459">
        <f t="shared" si="115"/>
        <v>0</v>
      </c>
      <c r="CO103" s="461">
        <f t="shared" si="115"/>
        <v>6</v>
      </c>
      <c r="CP103" s="582">
        <f t="shared" si="115"/>
        <v>5</v>
      </c>
      <c r="CQ103" s="113">
        <f t="shared" si="115"/>
        <v>5</v>
      </c>
      <c r="CR103" s="113">
        <f t="shared" si="115"/>
        <v>0</v>
      </c>
      <c r="CS103" s="113">
        <f t="shared" si="115"/>
        <v>0</v>
      </c>
      <c r="CT103" s="460">
        <f t="shared" si="115"/>
        <v>0</v>
      </c>
      <c r="CU103" s="582">
        <f t="shared" si="115"/>
        <v>1</v>
      </c>
      <c r="CV103" s="113">
        <f t="shared" si="115"/>
        <v>0</v>
      </c>
      <c r="CW103" s="113">
        <f t="shared" si="115"/>
        <v>0</v>
      </c>
      <c r="CX103" s="113">
        <f t="shared" si="115"/>
        <v>1</v>
      </c>
      <c r="CY103" s="459">
        <f t="shared" si="115"/>
        <v>0</v>
      </c>
      <c r="CZ103" s="461">
        <f t="shared" si="115"/>
        <v>2</v>
      </c>
      <c r="DA103" s="582">
        <f t="shared" si="115"/>
        <v>2</v>
      </c>
      <c r="DB103" s="113">
        <f t="shared" si="115"/>
        <v>1</v>
      </c>
      <c r="DC103" s="113">
        <f t="shared" si="115"/>
        <v>0</v>
      </c>
      <c r="DD103" s="113">
        <f t="shared" si="115"/>
        <v>1</v>
      </c>
      <c r="DE103" s="460">
        <f t="shared" si="115"/>
        <v>0</v>
      </c>
      <c r="DF103" s="582">
        <f t="shared" si="115"/>
        <v>0</v>
      </c>
      <c r="DG103" s="113">
        <f t="shared" si="115"/>
        <v>0</v>
      </c>
      <c r="DH103" s="113">
        <f t="shared" si="115"/>
        <v>0</v>
      </c>
      <c r="DI103" s="113">
        <f t="shared" si="115"/>
        <v>0</v>
      </c>
      <c r="DJ103" s="459">
        <f t="shared" si="115"/>
        <v>0</v>
      </c>
      <c r="DK103" s="461">
        <f t="shared" si="115"/>
        <v>0</v>
      </c>
      <c r="DL103" s="582">
        <f t="shared" si="114"/>
        <v>0</v>
      </c>
      <c r="DM103" s="113">
        <f t="shared" si="114"/>
        <v>0</v>
      </c>
      <c r="DN103" s="113">
        <f t="shared" si="114"/>
        <v>0</v>
      </c>
      <c r="DO103" s="113">
        <f t="shared" si="113"/>
        <v>0</v>
      </c>
      <c r="DP103" s="460">
        <f t="shared" si="113"/>
        <v>0</v>
      </c>
      <c r="DQ103" s="582">
        <f t="shared" si="113"/>
        <v>0</v>
      </c>
      <c r="DR103" s="113">
        <f t="shared" si="113"/>
        <v>0</v>
      </c>
      <c r="DS103" s="113">
        <f t="shared" si="113"/>
        <v>0</v>
      </c>
      <c r="DT103" s="113">
        <f t="shared" si="113"/>
        <v>0</v>
      </c>
      <c r="DU103" s="459">
        <f t="shared" si="113"/>
        <v>0</v>
      </c>
      <c r="DW103" s="461">
        <f t="shared" si="102"/>
        <v>177</v>
      </c>
      <c r="DX103" s="582">
        <f t="shared" si="102"/>
        <v>124</v>
      </c>
      <c r="DY103" s="113">
        <f t="shared" si="102"/>
        <v>58</v>
      </c>
      <c r="DZ103" s="113">
        <f t="shared" si="100"/>
        <v>0</v>
      </c>
      <c r="EA103" s="113">
        <f t="shared" si="100"/>
        <v>66</v>
      </c>
      <c r="EB103" s="460">
        <f t="shared" si="100"/>
        <v>0</v>
      </c>
      <c r="EC103" s="582">
        <f t="shared" si="100"/>
        <v>53</v>
      </c>
      <c r="ED103" s="113">
        <f t="shared" si="100"/>
        <v>9</v>
      </c>
      <c r="EE103" s="113">
        <f t="shared" si="100"/>
        <v>0</v>
      </c>
      <c r="EF103" s="113">
        <f t="shared" si="76"/>
        <v>43</v>
      </c>
      <c r="EG103" s="459">
        <f t="shared" si="76"/>
        <v>1</v>
      </c>
      <c r="EH103" s="461">
        <f t="shared" si="91"/>
        <v>54</v>
      </c>
      <c r="EI103" s="582">
        <f t="shared" si="91"/>
        <v>49</v>
      </c>
      <c r="EJ103" s="113">
        <f t="shared" si="91"/>
        <v>33</v>
      </c>
      <c r="EK103" s="113">
        <f t="shared" si="91"/>
        <v>0</v>
      </c>
      <c r="EL103" s="113">
        <f t="shared" si="91"/>
        <v>16</v>
      </c>
      <c r="EM103" s="460">
        <f t="shared" si="111"/>
        <v>0</v>
      </c>
      <c r="EN103" s="582">
        <f t="shared" si="111"/>
        <v>5</v>
      </c>
      <c r="EO103" s="113">
        <f t="shared" si="111"/>
        <v>0</v>
      </c>
      <c r="EP103" s="113">
        <f t="shared" si="111"/>
        <v>0</v>
      </c>
      <c r="EQ103" s="113">
        <f t="shared" si="111"/>
        <v>5</v>
      </c>
      <c r="ER103" s="459">
        <f t="shared" si="111"/>
        <v>0</v>
      </c>
    </row>
    <row r="104" spans="1:148">
      <c r="A104" s="466" t="s">
        <v>419</v>
      </c>
      <c r="B104" s="581">
        <v>44562</v>
      </c>
      <c r="C104" s="470">
        <v>2022</v>
      </c>
      <c r="D104" s="461">
        <f t="shared" si="72"/>
        <v>135138</v>
      </c>
      <c r="E104" s="461">
        <f t="shared" si="117"/>
        <v>7124</v>
      </c>
      <c r="F104" s="582">
        <f t="shared" si="117"/>
        <v>5686</v>
      </c>
      <c r="G104" s="113">
        <f t="shared" si="117"/>
        <v>2869</v>
      </c>
      <c r="H104" s="113">
        <f t="shared" si="117"/>
        <v>0</v>
      </c>
      <c r="I104" s="113">
        <f t="shared" si="117"/>
        <v>2813</v>
      </c>
      <c r="J104" s="460">
        <f t="shared" si="117"/>
        <v>4</v>
      </c>
      <c r="K104" s="582">
        <f t="shared" si="117"/>
        <v>1438</v>
      </c>
      <c r="L104" s="113">
        <f t="shared" si="117"/>
        <v>152</v>
      </c>
      <c r="M104" s="113">
        <f t="shared" si="117"/>
        <v>0</v>
      </c>
      <c r="N104" s="113">
        <f t="shared" si="117"/>
        <v>1045</v>
      </c>
      <c r="O104" s="459">
        <f t="shared" si="117"/>
        <v>241</v>
      </c>
      <c r="P104" s="461">
        <f t="shared" si="117"/>
        <v>9</v>
      </c>
      <c r="Q104" s="582">
        <f t="shared" si="117"/>
        <v>6</v>
      </c>
      <c r="R104" s="113">
        <f t="shared" si="117"/>
        <v>1</v>
      </c>
      <c r="S104" s="113">
        <f t="shared" si="117"/>
        <v>0</v>
      </c>
      <c r="T104" s="113">
        <f t="shared" si="117"/>
        <v>5</v>
      </c>
      <c r="U104" s="460">
        <f t="shared" si="116"/>
        <v>0</v>
      </c>
      <c r="V104" s="582">
        <f t="shared" si="116"/>
        <v>3</v>
      </c>
      <c r="W104" s="113">
        <f t="shared" si="116"/>
        <v>0</v>
      </c>
      <c r="X104" s="113">
        <f t="shared" si="116"/>
        <v>0</v>
      </c>
      <c r="Y104" s="113">
        <f t="shared" si="116"/>
        <v>3</v>
      </c>
      <c r="Z104" s="459">
        <f t="shared" si="116"/>
        <v>0</v>
      </c>
      <c r="AA104" s="461">
        <f t="shared" si="116"/>
        <v>5</v>
      </c>
      <c r="AB104" s="582">
        <f t="shared" si="116"/>
        <v>5</v>
      </c>
      <c r="AC104" s="113">
        <f t="shared" si="116"/>
        <v>2</v>
      </c>
      <c r="AD104" s="113">
        <f t="shared" si="116"/>
        <v>0</v>
      </c>
      <c r="AE104" s="113">
        <f t="shared" si="116"/>
        <v>3</v>
      </c>
      <c r="AF104" s="460">
        <f t="shared" si="116"/>
        <v>0</v>
      </c>
      <c r="AG104" s="582">
        <f t="shared" si="116"/>
        <v>0</v>
      </c>
      <c r="AH104" s="113">
        <f t="shared" si="116"/>
        <v>0</v>
      </c>
      <c r="AI104" s="113">
        <f t="shared" si="109"/>
        <v>0</v>
      </c>
      <c r="AJ104" s="113">
        <f t="shared" si="109"/>
        <v>0</v>
      </c>
      <c r="AK104" s="459">
        <f t="shared" si="109"/>
        <v>0</v>
      </c>
      <c r="AL104" s="461">
        <f t="shared" si="109"/>
        <v>81</v>
      </c>
      <c r="AM104" s="582">
        <f t="shared" si="109"/>
        <v>60</v>
      </c>
      <c r="AN104" s="113">
        <f t="shared" si="109"/>
        <v>28</v>
      </c>
      <c r="AO104" s="113">
        <f t="shared" si="109"/>
        <v>0</v>
      </c>
      <c r="AP104" s="113">
        <f t="shared" si="109"/>
        <v>32</v>
      </c>
      <c r="AQ104" s="460">
        <f t="shared" si="109"/>
        <v>0</v>
      </c>
      <c r="AR104" s="582">
        <f t="shared" si="109"/>
        <v>21</v>
      </c>
      <c r="AS104" s="113">
        <f t="shared" si="109"/>
        <v>0</v>
      </c>
      <c r="AT104" s="113">
        <f t="shared" si="109"/>
        <v>0</v>
      </c>
      <c r="AU104" s="113">
        <f t="shared" si="109"/>
        <v>20</v>
      </c>
      <c r="AV104" s="459">
        <f t="shared" si="109"/>
        <v>1</v>
      </c>
      <c r="AW104" s="461">
        <f t="shared" si="109"/>
        <v>39</v>
      </c>
      <c r="AX104" s="582">
        <f t="shared" si="109"/>
        <v>31</v>
      </c>
      <c r="AY104" s="113">
        <f t="shared" si="109"/>
        <v>17</v>
      </c>
      <c r="AZ104" s="113">
        <f t="shared" si="115"/>
        <v>0</v>
      </c>
      <c r="BA104" s="113">
        <f t="shared" si="115"/>
        <v>14</v>
      </c>
      <c r="BB104" s="460">
        <f t="shared" si="115"/>
        <v>0</v>
      </c>
      <c r="BC104" s="582">
        <f t="shared" si="115"/>
        <v>8</v>
      </c>
      <c r="BD104" s="113">
        <f t="shared" ref="BD104:DO110" si="118">SUMIFS(BD$5:BD$36,$B$5:$B$36,$A104)</f>
        <v>1</v>
      </c>
      <c r="BE104" s="113">
        <f t="shared" si="118"/>
        <v>0</v>
      </c>
      <c r="BF104" s="113">
        <f t="shared" si="118"/>
        <v>7</v>
      </c>
      <c r="BG104" s="459">
        <f t="shared" si="118"/>
        <v>0</v>
      </c>
      <c r="BH104" s="461">
        <f t="shared" si="118"/>
        <v>56</v>
      </c>
      <c r="BI104" s="582">
        <f t="shared" si="118"/>
        <v>45</v>
      </c>
      <c r="BJ104" s="113">
        <f t="shared" si="118"/>
        <v>22</v>
      </c>
      <c r="BK104" s="113">
        <f t="shared" si="118"/>
        <v>0</v>
      </c>
      <c r="BL104" s="113">
        <f t="shared" si="118"/>
        <v>23</v>
      </c>
      <c r="BM104" s="460">
        <f t="shared" si="118"/>
        <v>0</v>
      </c>
      <c r="BN104" s="582">
        <f t="shared" si="118"/>
        <v>11</v>
      </c>
      <c r="BO104" s="113">
        <f t="shared" si="118"/>
        <v>1</v>
      </c>
      <c r="BP104" s="113">
        <f t="shared" si="118"/>
        <v>0</v>
      </c>
      <c r="BQ104" s="113">
        <f t="shared" si="118"/>
        <v>8</v>
      </c>
      <c r="BR104" s="459">
        <f t="shared" si="118"/>
        <v>2</v>
      </c>
      <c r="BS104" s="461">
        <f t="shared" si="118"/>
        <v>88</v>
      </c>
      <c r="BT104" s="582">
        <f t="shared" si="118"/>
        <v>70</v>
      </c>
      <c r="BU104" s="113">
        <f t="shared" si="118"/>
        <v>35</v>
      </c>
      <c r="BV104" s="113">
        <f t="shared" si="118"/>
        <v>0</v>
      </c>
      <c r="BW104" s="113">
        <f t="shared" si="118"/>
        <v>35</v>
      </c>
      <c r="BX104" s="460">
        <f t="shared" si="118"/>
        <v>0</v>
      </c>
      <c r="BY104" s="582">
        <f t="shared" si="118"/>
        <v>18</v>
      </c>
      <c r="BZ104" s="113">
        <f t="shared" si="118"/>
        <v>1</v>
      </c>
      <c r="CA104" s="113">
        <f t="shared" si="118"/>
        <v>0</v>
      </c>
      <c r="CB104" s="113">
        <f t="shared" si="118"/>
        <v>14</v>
      </c>
      <c r="CC104" s="459">
        <f t="shared" si="118"/>
        <v>3</v>
      </c>
      <c r="CD104" s="461">
        <f t="shared" si="118"/>
        <v>12</v>
      </c>
      <c r="CE104" s="582">
        <f t="shared" si="118"/>
        <v>9</v>
      </c>
      <c r="CF104" s="113">
        <f t="shared" si="118"/>
        <v>5</v>
      </c>
      <c r="CG104" s="113">
        <f t="shared" si="118"/>
        <v>0</v>
      </c>
      <c r="CH104" s="113">
        <f t="shared" si="118"/>
        <v>4</v>
      </c>
      <c r="CI104" s="460">
        <f t="shared" si="118"/>
        <v>0</v>
      </c>
      <c r="CJ104" s="582">
        <f t="shared" si="118"/>
        <v>3</v>
      </c>
      <c r="CK104" s="113">
        <f t="shared" si="118"/>
        <v>0</v>
      </c>
      <c r="CL104" s="113">
        <f t="shared" si="118"/>
        <v>0</v>
      </c>
      <c r="CM104" s="113">
        <f t="shared" si="118"/>
        <v>3</v>
      </c>
      <c r="CN104" s="459">
        <f t="shared" si="118"/>
        <v>0</v>
      </c>
      <c r="CO104" s="461">
        <f t="shared" si="118"/>
        <v>4</v>
      </c>
      <c r="CP104" s="582">
        <f t="shared" si="118"/>
        <v>3</v>
      </c>
      <c r="CQ104" s="113">
        <f t="shared" si="118"/>
        <v>1</v>
      </c>
      <c r="CR104" s="113">
        <f t="shared" si="118"/>
        <v>0</v>
      </c>
      <c r="CS104" s="113">
        <f t="shared" si="118"/>
        <v>2</v>
      </c>
      <c r="CT104" s="460">
        <f t="shared" si="118"/>
        <v>0</v>
      </c>
      <c r="CU104" s="582">
        <f t="shared" si="118"/>
        <v>1</v>
      </c>
      <c r="CV104" s="113">
        <f t="shared" si="118"/>
        <v>0</v>
      </c>
      <c r="CW104" s="113">
        <f t="shared" si="118"/>
        <v>0</v>
      </c>
      <c r="CX104" s="113">
        <f t="shared" si="118"/>
        <v>1</v>
      </c>
      <c r="CY104" s="459">
        <f t="shared" si="118"/>
        <v>0</v>
      </c>
      <c r="CZ104" s="461">
        <f t="shared" si="118"/>
        <v>3</v>
      </c>
      <c r="DA104" s="582">
        <f t="shared" si="118"/>
        <v>3</v>
      </c>
      <c r="DB104" s="113">
        <f t="shared" si="118"/>
        <v>1</v>
      </c>
      <c r="DC104" s="113">
        <f t="shared" si="118"/>
        <v>0</v>
      </c>
      <c r="DD104" s="113">
        <f t="shared" si="118"/>
        <v>2</v>
      </c>
      <c r="DE104" s="460">
        <f t="shared" si="118"/>
        <v>0</v>
      </c>
      <c r="DF104" s="582">
        <f t="shared" si="118"/>
        <v>0</v>
      </c>
      <c r="DG104" s="113">
        <f t="shared" si="118"/>
        <v>0</v>
      </c>
      <c r="DH104" s="113">
        <f t="shared" si="118"/>
        <v>0</v>
      </c>
      <c r="DI104" s="113">
        <f t="shared" si="118"/>
        <v>0</v>
      </c>
      <c r="DJ104" s="459">
        <f t="shared" si="118"/>
        <v>0</v>
      </c>
      <c r="DK104" s="461">
        <f t="shared" si="118"/>
        <v>0</v>
      </c>
      <c r="DL104" s="582">
        <f t="shared" si="118"/>
        <v>0</v>
      </c>
      <c r="DM104" s="113">
        <f t="shared" si="118"/>
        <v>0</v>
      </c>
      <c r="DN104" s="113">
        <f t="shared" si="118"/>
        <v>0</v>
      </c>
      <c r="DO104" s="113">
        <f t="shared" si="118"/>
        <v>0</v>
      </c>
      <c r="DP104" s="460">
        <f t="shared" si="113"/>
        <v>0</v>
      </c>
      <c r="DQ104" s="582">
        <f t="shared" si="113"/>
        <v>0</v>
      </c>
      <c r="DR104" s="113">
        <f t="shared" si="113"/>
        <v>0</v>
      </c>
      <c r="DS104" s="113">
        <f t="shared" si="113"/>
        <v>0</v>
      </c>
      <c r="DT104" s="113">
        <f t="shared" si="113"/>
        <v>0</v>
      </c>
      <c r="DU104" s="459">
        <f t="shared" si="113"/>
        <v>0</v>
      </c>
      <c r="DW104" s="461">
        <f t="shared" si="102"/>
        <v>216</v>
      </c>
      <c r="DX104" s="582">
        <f t="shared" si="102"/>
        <v>172</v>
      </c>
      <c r="DY104" s="113">
        <f t="shared" si="102"/>
        <v>84</v>
      </c>
      <c r="DZ104" s="113">
        <f t="shared" si="100"/>
        <v>0</v>
      </c>
      <c r="EA104" s="113">
        <f t="shared" si="100"/>
        <v>88</v>
      </c>
      <c r="EB104" s="460">
        <f t="shared" si="100"/>
        <v>0</v>
      </c>
      <c r="EC104" s="582">
        <f t="shared" si="100"/>
        <v>44</v>
      </c>
      <c r="ED104" s="113">
        <f t="shared" si="100"/>
        <v>3</v>
      </c>
      <c r="EE104" s="113">
        <f t="shared" si="100"/>
        <v>0</v>
      </c>
      <c r="EF104" s="113">
        <f t="shared" si="76"/>
        <v>36</v>
      </c>
      <c r="EG104" s="459">
        <f t="shared" si="76"/>
        <v>5</v>
      </c>
      <c r="EH104" s="461">
        <f t="shared" si="91"/>
        <v>81</v>
      </c>
      <c r="EI104" s="582">
        <f t="shared" si="91"/>
        <v>60</v>
      </c>
      <c r="EJ104" s="113">
        <f t="shared" si="91"/>
        <v>28</v>
      </c>
      <c r="EK104" s="113">
        <f t="shared" si="91"/>
        <v>0</v>
      </c>
      <c r="EL104" s="113">
        <f t="shared" si="91"/>
        <v>32</v>
      </c>
      <c r="EM104" s="460">
        <f t="shared" si="111"/>
        <v>0</v>
      </c>
      <c r="EN104" s="582">
        <f t="shared" si="111"/>
        <v>21</v>
      </c>
      <c r="EO104" s="113">
        <f t="shared" si="111"/>
        <v>0</v>
      </c>
      <c r="EP104" s="113">
        <f t="shared" si="111"/>
        <v>0</v>
      </c>
      <c r="EQ104" s="113">
        <f t="shared" si="111"/>
        <v>20</v>
      </c>
      <c r="ER104" s="459">
        <f t="shared" si="111"/>
        <v>1</v>
      </c>
    </row>
    <row r="105" spans="1:148">
      <c r="A105" s="466" t="s">
        <v>419</v>
      </c>
      <c r="B105" s="581">
        <v>44593</v>
      </c>
      <c r="C105" s="470">
        <v>2022</v>
      </c>
      <c r="D105" s="461">
        <f t="shared" si="72"/>
        <v>135138</v>
      </c>
      <c r="E105" s="461">
        <f t="shared" si="117"/>
        <v>7124</v>
      </c>
      <c r="F105" s="582">
        <f t="shared" si="117"/>
        <v>5686</v>
      </c>
      <c r="G105" s="113">
        <f t="shared" si="117"/>
        <v>2869</v>
      </c>
      <c r="H105" s="113">
        <f t="shared" si="117"/>
        <v>0</v>
      </c>
      <c r="I105" s="113">
        <f t="shared" si="117"/>
        <v>2813</v>
      </c>
      <c r="J105" s="460">
        <f t="shared" si="117"/>
        <v>4</v>
      </c>
      <c r="K105" s="582">
        <f t="shared" si="117"/>
        <v>1438</v>
      </c>
      <c r="L105" s="113">
        <f t="shared" si="117"/>
        <v>152</v>
      </c>
      <c r="M105" s="113">
        <f t="shared" si="117"/>
        <v>0</v>
      </c>
      <c r="N105" s="113">
        <f t="shared" si="117"/>
        <v>1045</v>
      </c>
      <c r="O105" s="459">
        <f t="shared" si="117"/>
        <v>241</v>
      </c>
      <c r="P105" s="461">
        <f t="shared" si="117"/>
        <v>9</v>
      </c>
      <c r="Q105" s="582">
        <f t="shared" si="117"/>
        <v>6</v>
      </c>
      <c r="R105" s="113">
        <f t="shared" si="117"/>
        <v>1</v>
      </c>
      <c r="S105" s="113">
        <f t="shared" si="117"/>
        <v>0</v>
      </c>
      <c r="T105" s="113">
        <f t="shared" si="117"/>
        <v>5</v>
      </c>
      <c r="U105" s="460">
        <f t="shared" si="116"/>
        <v>0</v>
      </c>
      <c r="V105" s="582">
        <f t="shared" si="116"/>
        <v>3</v>
      </c>
      <c r="W105" s="113">
        <f t="shared" si="116"/>
        <v>0</v>
      </c>
      <c r="X105" s="113">
        <f t="shared" si="116"/>
        <v>0</v>
      </c>
      <c r="Y105" s="113">
        <f t="shared" si="116"/>
        <v>3</v>
      </c>
      <c r="Z105" s="459">
        <f t="shared" si="116"/>
        <v>0</v>
      </c>
      <c r="AA105" s="461">
        <f t="shared" si="116"/>
        <v>5</v>
      </c>
      <c r="AB105" s="582">
        <f t="shared" si="116"/>
        <v>5</v>
      </c>
      <c r="AC105" s="113">
        <f t="shared" si="116"/>
        <v>2</v>
      </c>
      <c r="AD105" s="113">
        <f t="shared" si="116"/>
        <v>0</v>
      </c>
      <c r="AE105" s="113">
        <f t="shared" si="116"/>
        <v>3</v>
      </c>
      <c r="AF105" s="460">
        <f t="shared" si="116"/>
        <v>0</v>
      </c>
      <c r="AG105" s="582">
        <f t="shared" si="116"/>
        <v>0</v>
      </c>
      <c r="AH105" s="113">
        <f t="shared" si="116"/>
        <v>0</v>
      </c>
      <c r="AI105" s="113">
        <f t="shared" si="109"/>
        <v>0</v>
      </c>
      <c r="AJ105" s="113">
        <f t="shared" si="109"/>
        <v>0</v>
      </c>
      <c r="AK105" s="459">
        <f t="shared" si="109"/>
        <v>0</v>
      </c>
      <c r="AL105" s="461">
        <f t="shared" si="109"/>
        <v>81</v>
      </c>
      <c r="AM105" s="582">
        <f t="shared" si="109"/>
        <v>60</v>
      </c>
      <c r="AN105" s="113">
        <f t="shared" si="109"/>
        <v>28</v>
      </c>
      <c r="AO105" s="113">
        <f t="shared" si="109"/>
        <v>0</v>
      </c>
      <c r="AP105" s="113">
        <f t="shared" si="109"/>
        <v>32</v>
      </c>
      <c r="AQ105" s="460">
        <f t="shared" si="109"/>
        <v>0</v>
      </c>
      <c r="AR105" s="582">
        <f t="shared" si="109"/>
        <v>21</v>
      </c>
      <c r="AS105" s="113">
        <f t="shared" si="109"/>
        <v>0</v>
      </c>
      <c r="AT105" s="113">
        <f t="shared" si="109"/>
        <v>0</v>
      </c>
      <c r="AU105" s="113">
        <f t="shared" si="109"/>
        <v>20</v>
      </c>
      <c r="AV105" s="459">
        <f t="shared" si="109"/>
        <v>1</v>
      </c>
      <c r="AW105" s="461">
        <f t="shared" si="109"/>
        <v>39</v>
      </c>
      <c r="AX105" s="582">
        <f t="shared" si="109"/>
        <v>31</v>
      </c>
      <c r="AY105" s="113">
        <f t="shared" si="109"/>
        <v>17</v>
      </c>
      <c r="AZ105" s="113">
        <f t="shared" ref="AZ105:DK110" si="119">SUMIFS(AZ$5:AZ$36,$B$5:$B$36,$A105)</f>
        <v>0</v>
      </c>
      <c r="BA105" s="113">
        <f t="shared" si="119"/>
        <v>14</v>
      </c>
      <c r="BB105" s="460">
        <f t="shared" si="119"/>
        <v>0</v>
      </c>
      <c r="BC105" s="582">
        <f t="shared" si="119"/>
        <v>8</v>
      </c>
      <c r="BD105" s="113">
        <f t="shared" si="119"/>
        <v>1</v>
      </c>
      <c r="BE105" s="113">
        <f t="shared" si="119"/>
        <v>0</v>
      </c>
      <c r="BF105" s="113">
        <f t="shared" si="119"/>
        <v>7</v>
      </c>
      <c r="BG105" s="459">
        <f t="shared" si="119"/>
        <v>0</v>
      </c>
      <c r="BH105" s="461">
        <f t="shared" si="119"/>
        <v>56</v>
      </c>
      <c r="BI105" s="582">
        <f t="shared" si="119"/>
        <v>45</v>
      </c>
      <c r="BJ105" s="113">
        <f t="shared" si="119"/>
        <v>22</v>
      </c>
      <c r="BK105" s="113">
        <f t="shared" si="119"/>
        <v>0</v>
      </c>
      <c r="BL105" s="113">
        <f t="shared" si="119"/>
        <v>23</v>
      </c>
      <c r="BM105" s="460">
        <f t="shared" si="119"/>
        <v>0</v>
      </c>
      <c r="BN105" s="582">
        <f t="shared" si="119"/>
        <v>11</v>
      </c>
      <c r="BO105" s="113">
        <f t="shared" si="119"/>
        <v>1</v>
      </c>
      <c r="BP105" s="113">
        <f t="shared" si="119"/>
        <v>0</v>
      </c>
      <c r="BQ105" s="113">
        <f t="shared" si="119"/>
        <v>8</v>
      </c>
      <c r="BR105" s="459">
        <f t="shared" si="119"/>
        <v>2</v>
      </c>
      <c r="BS105" s="461">
        <f t="shared" si="119"/>
        <v>88</v>
      </c>
      <c r="BT105" s="582">
        <f t="shared" si="119"/>
        <v>70</v>
      </c>
      <c r="BU105" s="113">
        <f t="shared" si="119"/>
        <v>35</v>
      </c>
      <c r="BV105" s="113">
        <f t="shared" si="119"/>
        <v>0</v>
      </c>
      <c r="BW105" s="113">
        <f t="shared" si="119"/>
        <v>35</v>
      </c>
      <c r="BX105" s="460">
        <f t="shared" si="119"/>
        <v>0</v>
      </c>
      <c r="BY105" s="582">
        <f t="shared" si="119"/>
        <v>18</v>
      </c>
      <c r="BZ105" s="113">
        <f t="shared" si="119"/>
        <v>1</v>
      </c>
      <c r="CA105" s="113">
        <f t="shared" si="119"/>
        <v>0</v>
      </c>
      <c r="CB105" s="113">
        <f t="shared" si="119"/>
        <v>14</v>
      </c>
      <c r="CC105" s="459">
        <f t="shared" si="119"/>
        <v>3</v>
      </c>
      <c r="CD105" s="461">
        <f t="shared" si="119"/>
        <v>12</v>
      </c>
      <c r="CE105" s="582">
        <f t="shared" si="119"/>
        <v>9</v>
      </c>
      <c r="CF105" s="113">
        <f t="shared" si="119"/>
        <v>5</v>
      </c>
      <c r="CG105" s="113">
        <f t="shared" si="119"/>
        <v>0</v>
      </c>
      <c r="CH105" s="113">
        <f t="shared" si="119"/>
        <v>4</v>
      </c>
      <c r="CI105" s="460">
        <f t="shared" si="119"/>
        <v>0</v>
      </c>
      <c r="CJ105" s="582">
        <f t="shared" si="119"/>
        <v>3</v>
      </c>
      <c r="CK105" s="113">
        <f t="shared" si="119"/>
        <v>0</v>
      </c>
      <c r="CL105" s="113">
        <f t="shared" si="119"/>
        <v>0</v>
      </c>
      <c r="CM105" s="113">
        <f t="shared" si="119"/>
        <v>3</v>
      </c>
      <c r="CN105" s="459">
        <f t="shared" si="119"/>
        <v>0</v>
      </c>
      <c r="CO105" s="461">
        <f t="shared" si="119"/>
        <v>4</v>
      </c>
      <c r="CP105" s="582">
        <f t="shared" si="119"/>
        <v>3</v>
      </c>
      <c r="CQ105" s="113">
        <f t="shared" si="119"/>
        <v>1</v>
      </c>
      <c r="CR105" s="113">
        <f t="shared" si="119"/>
        <v>0</v>
      </c>
      <c r="CS105" s="113">
        <f t="shared" si="119"/>
        <v>2</v>
      </c>
      <c r="CT105" s="460">
        <f t="shared" si="119"/>
        <v>0</v>
      </c>
      <c r="CU105" s="582">
        <f t="shared" si="118"/>
        <v>1</v>
      </c>
      <c r="CV105" s="113">
        <f t="shared" si="118"/>
        <v>0</v>
      </c>
      <c r="CW105" s="113">
        <f t="shared" si="118"/>
        <v>0</v>
      </c>
      <c r="CX105" s="113">
        <f t="shared" si="118"/>
        <v>1</v>
      </c>
      <c r="CY105" s="459">
        <f t="shared" si="118"/>
        <v>0</v>
      </c>
      <c r="CZ105" s="461">
        <f t="shared" si="118"/>
        <v>3</v>
      </c>
      <c r="DA105" s="582">
        <f t="shared" si="118"/>
        <v>3</v>
      </c>
      <c r="DB105" s="113">
        <f t="shared" si="118"/>
        <v>1</v>
      </c>
      <c r="DC105" s="113">
        <f t="shared" si="118"/>
        <v>0</v>
      </c>
      <c r="DD105" s="113">
        <f t="shared" si="118"/>
        <v>2</v>
      </c>
      <c r="DE105" s="460">
        <f t="shared" si="118"/>
        <v>0</v>
      </c>
      <c r="DF105" s="582">
        <f t="shared" si="118"/>
        <v>0</v>
      </c>
      <c r="DG105" s="113">
        <f t="shared" si="118"/>
        <v>0</v>
      </c>
      <c r="DH105" s="113">
        <f t="shared" si="118"/>
        <v>0</v>
      </c>
      <c r="DI105" s="113">
        <f t="shared" si="118"/>
        <v>0</v>
      </c>
      <c r="DJ105" s="459">
        <f t="shared" si="118"/>
        <v>0</v>
      </c>
      <c r="DK105" s="461">
        <f t="shared" si="118"/>
        <v>0</v>
      </c>
      <c r="DL105" s="582">
        <f t="shared" si="118"/>
        <v>0</v>
      </c>
      <c r="DM105" s="113">
        <f t="shared" si="118"/>
        <v>0</v>
      </c>
      <c r="DN105" s="113">
        <f t="shared" si="118"/>
        <v>0</v>
      </c>
      <c r="DO105" s="113">
        <f t="shared" si="118"/>
        <v>0</v>
      </c>
      <c r="DP105" s="460">
        <f t="shared" si="113"/>
        <v>0</v>
      </c>
      <c r="DQ105" s="582">
        <f t="shared" si="113"/>
        <v>0</v>
      </c>
      <c r="DR105" s="113">
        <f t="shared" si="113"/>
        <v>0</v>
      </c>
      <c r="DS105" s="113">
        <f t="shared" si="113"/>
        <v>0</v>
      </c>
      <c r="DT105" s="113">
        <f t="shared" si="113"/>
        <v>0</v>
      </c>
      <c r="DU105" s="459">
        <f t="shared" si="113"/>
        <v>0</v>
      </c>
      <c r="DW105" s="461">
        <f t="shared" si="102"/>
        <v>216</v>
      </c>
      <c r="DX105" s="582">
        <f t="shared" si="102"/>
        <v>172</v>
      </c>
      <c r="DY105" s="113">
        <f t="shared" si="102"/>
        <v>84</v>
      </c>
      <c r="DZ105" s="113">
        <f t="shared" si="100"/>
        <v>0</v>
      </c>
      <c r="EA105" s="113">
        <f t="shared" si="100"/>
        <v>88</v>
      </c>
      <c r="EB105" s="460">
        <f t="shared" si="100"/>
        <v>0</v>
      </c>
      <c r="EC105" s="582">
        <f t="shared" si="100"/>
        <v>44</v>
      </c>
      <c r="ED105" s="113">
        <f t="shared" si="100"/>
        <v>3</v>
      </c>
      <c r="EE105" s="113">
        <f t="shared" si="100"/>
        <v>0</v>
      </c>
      <c r="EF105" s="113">
        <f t="shared" si="76"/>
        <v>36</v>
      </c>
      <c r="EG105" s="459">
        <f t="shared" si="76"/>
        <v>5</v>
      </c>
      <c r="EH105" s="461">
        <f t="shared" si="91"/>
        <v>81</v>
      </c>
      <c r="EI105" s="582">
        <f t="shared" si="91"/>
        <v>60</v>
      </c>
      <c r="EJ105" s="113">
        <f t="shared" si="91"/>
        <v>28</v>
      </c>
      <c r="EK105" s="113">
        <f t="shared" si="91"/>
        <v>0</v>
      </c>
      <c r="EL105" s="113">
        <f t="shared" si="91"/>
        <v>32</v>
      </c>
      <c r="EM105" s="460">
        <f t="shared" si="111"/>
        <v>0</v>
      </c>
      <c r="EN105" s="582">
        <f t="shared" si="111"/>
        <v>21</v>
      </c>
      <c r="EO105" s="113">
        <f t="shared" si="111"/>
        <v>0</v>
      </c>
      <c r="EP105" s="113">
        <f t="shared" si="111"/>
        <v>0</v>
      </c>
      <c r="EQ105" s="113">
        <f t="shared" si="111"/>
        <v>20</v>
      </c>
      <c r="ER105" s="459">
        <f t="shared" si="111"/>
        <v>1</v>
      </c>
    </row>
    <row r="106" spans="1:148">
      <c r="A106" s="466" t="s">
        <v>419</v>
      </c>
      <c r="B106" s="581">
        <v>44621</v>
      </c>
      <c r="C106" s="470">
        <v>2022</v>
      </c>
      <c r="D106" s="461">
        <f t="shared" si="72"/>
        <v>135138</v>
      </c>
      <c r="E106" s="461">
        <f t="shared" si="117"/>
        <v>7124</v>
      </c>
      <c r="F106" s="582">
        <f t="shared" si="117"/>
        <v>5686</v>
      </c>
      <c r="G106" s="113">
        <f t="shared" si="117"/>
        <v>2869</v>
      </c>
      <c r="H106" s="113">
        <f t="shared" si="117"/>
        <v>0</v>
      </c>
      <c r="I106" s="113">
        <f t="shared" si="117"/>
        <v>2813</v>
      </c>
      <c r="J106" s="460">
        <f t="shared" si="117"/>
        <v>4</v>
      </c>
      <c r="K106" s="582">
        <f t="shared" si="117"/>
        <v>1438</v>
      </c>
      <c r="L106" s="113">
        <f t="shared" si="117"/>
        <v>152</v>
      </c>
      <c r="M106" s="113">
        <f t="shared" si="117"/>
        <v>0</v>
      </c>
      <c r="N106" s="113">
        <f t="shared" si="117"/>
        <v>1045</v>
      </c>
      <c r="O106" s="459">
        <f t="shared" si="117"/>
        <v>241</v>
      </c>
      <c r="P106" s="461">
        <f t="shared" si="117"/>
        <v>9</v>
      </c>
      <c r="Q106" s="582">
        <f t="shared" si="117"/>
        <v>6</v>
      </c>
      <c r="R106" s="113">
        <f t="shared" si="117"/>
        <v>1</v>
      </c>
      <c r="S106" s="113">
        <f t="shared" si="117"/>
        <v>0</v>
      </c>
      <c r="T106" s="113">
        <f t="shared" si="117"/>
        <v>5</v>
      </c>
      <c r="U106" s="460">
        <f t="shared" si="116"/>
        <v>0</v>
      </c>
      <c r="V106" s="582">
        <f t="shared" si="116"/>
        <v>3</v>
      </c>
      <c r="W106" s="113">
        <f t="shared" si="116"/>
        <v>0</v>
      </c>
      <c r="X106" s="113">
        <f t="shared" si="116"/>
        <v>0</v>
      </c>
      <c r="Y106" s="113">
        <f t="shared" si="116"/>
        <v>3</v>
      </c>
      <c r="Z106" s="459">
        <f t="shared" si="116"/>
        <v>0</v>
      </c>
      <c r="AA106" s="461">
        <f t="shared" si="116"/>
        <v>5</v>
      </c>
      <c r="AB106" s="582">
        <f t="shared" si="116"/>
        <v>5</v>
      </c>
      <c r="AC106" s="113">
        <f t="shared" si="116"/>
        <v>2</v>
      </c>
      <c r="AD106" s="113">
        <f t="shared" si="116"/>
        <v>0</v>
      </c>
      <c r="AE106" s="113">
        <f t="shared" si="116"/>
        <v>3</v>
      </c>
      <c r="AF106" s="460">
        <f t="shared" si="116"/>
        <v>0</v>
      </c>
      <c r="AG106" s="582">
        <f t="shared" si="116"/>
        <v>0</v>
      </c>
      <c r="AH106" s="113">
        <f t="shared" si="116"/>
        <v>0</v>
      </c>
      <c r="AI106" s="113">
        <f t="shared" si="109"/>
        <v>0</v>
      </c>
      <c r="AJ106" s="113">
        <f t="shared" si="109"/>
        <v>0</v>
      </c>
      <c r="AK106" s="459">
        <f t="shared" si="109"/>
        <v>0</v>
      </c>
      <c r="AL106" s="461">
        <f t="shared" si="109"/>
        <v>81</v>
      </c>
      <c r="AM106" s="582">
        <f t="shared" si="109"/>
        <v>60</v>
      </c>
      <c r="AN106" s="113">
        <f t="shared" si="109"/>
        <v>28</v>
      </c>
      <c r="AO106" s="113">
        <f t="shared" si="109"/>
        <v>0</v>
      </c>
      <c r="AP106" s="113">
        <f t="shared" si="109"/>
        <v>32</v>
      </c>
      <c r="AQ106" s="460">
        <f t="shared" si="109"/>
        <v>0</v>
      </c>
      <c r="AR106" s="582">
        <f t="shared" si="109"/>
        <v>21</v>
      </c>
      <c r="AS106" s="113">
        <f t="shared" si="109"/>
        <v>0</v>
      </c>
      <c r="AT106" s="113">
        <f t="shared" si="109"/>
        <v>0</v>
      </c>
      <c r="AU106" s="113">
        <f t="shared" si="109"/>
        <v>20</v>
      </c>
      <c r="AV106" s="459">
        <f t="shared" si="109"/>
        <v>1</v>
      </c>
      <c r="AW106" s="461">
        <f t="shared" si="109"/>
        <v>39</v>
      </c>
      <c r="AX106" s="582">
        <f t="shared" si="109"/>
        <v>31</v>
      </c>
      <c r="AY106" s="113">
        <f t="shared" si="109"/>
        <v>17</v>
      </c>
      <c r="AZ106" s="113">
        <f t="shared" si="119"/>
        <v>0</v>
      </c>
      <c r="BA106" s="113">
        <f t="shared" si="119"/>
        <v>14</v>
      </c>
      <c r="BB106" s="460">
        <f t="shared" si="119"/>
        <v>0</v>
      </c>
      <c r="BC106" s="582">
        <f t="shared" si="119"/>
        <v>8</v>
      </c>
      <c r="BD106" s="113">
        <f t="shared" si="119"/>
        <v>1</v>
      </c>
      <c r="BE106" s="113">
        <f t="shared" si="119"/>
        <v>0</v>
      </c>
      <c r="BF106" s="113">
        <f t="shared" si="119"/>
        <v>7</v>
      </c>
      <c r="BG106" s="459">
        <f t="shared" si="119"/>
        <v>0</v>
      </c>
      <c r="BH106" s="461">
        <f t="shared" si="119"/>
        <v>56</v>
      </c>
      <c r="BI106" s="582">
        <f t="shared" si="119"/>
        <v>45</v>
      </c>
      <c r="BJ106" s="113">
        <f t="shared" si="119"/>
        <v>22</v>
      </c>
      <c r="BK106" s="113">
        <f t="shared" si="119"/>
        <v>0</v>
      </c>
      <c r="BL106" s="113">
        <f t="shared" si="119"/>
        <v>23</v>
      </c>
      <c r="BM106" s="460">
        <f t="shared" si="119"/>
        <v>0</v>
      </c>
      <c r="BN106" s="582">
        <f t="shared" si="119"/>
        <v>11</v>
      </c>
      <c r="BO106" s="113">
        <f t="shared" si="119"/>
        <v>1</v>
      </c>
      <c r="BP106" s="113">
        <f t="shared" si="119"/>
        <v>0</v>
      </c>
      <c r="BQ106" s="113">
        <f t="shared" si="119"/>
        <v>8</v>
      </c>
      <c r="BR106" s="459">
        <f t="shared" si="119"/>
        <v>2</v>
      </c>
      <c r="BS106" s="461">
        <f t="shared" si="119"/>
        <v>88</v>
      </c>
      <c r="BT106" s="582">
        <f t="shared" si="119"/>
        <v>70</v>
      </c>
      <c r="BU106" s="113">
        <f t="shared" si="119"/>
        <v>35</v>
      </c>
      <c r="BV106" s="113">
        <f t="shared" si="119"/>
        <v>0</v>
      </c>
      <c r="BW106" s="113">
        <f t="shared" si="119"/>
        <v>35</v>
      </c>
      <c r="BX106" s="460">
        <f t="shared" si="119"/>
        <v>0</v>
      </c>
      <c r="BY106" s="582">
        <f t="shared" si="119"/>
        <v>18</v>
      </c>
      <c r="BZ106" s="113">
        <f t="shared" si="119"/>
        <v>1</v>
      </c>
      <c r="CA106" s="113">
        <f t="shared" si="119"/>
        <v>0</v>
      </c>
      <c r="CB106" s="113">
        <f t="shared" si="119"/>
        <v>14</v>
      </c>
      <c r="CC106" s="459">
        <f t="shared" si="119"/>
        <v>3</v>
      </c>
      <c r="CD106" s="461">
        <f t="shared" si="119"/>
        <v>12</v>
      </c>
      <c r="CE106" s="582">
        <f t="shared" si="119"/>
        <v>9</v>
      </c>
      <c r="CF106" s="113">
        <f t="shared" si="119"/>
        <v>5</v>
      </c>
      <c r="CG106" s="113">
        <f t="shared" si="119"/>
        <v>0</v>
      </c>
      <c r="CH106" s="113">
        <f t="shared" si="119"/>
        <v>4</v>
      </c>
      <c r="CI106" s="460">
        <f t="shared" si="119"/>
        <v>0</v>
      </c>
      <c r="CJ106" s="582">
        <f t="shared" si="119"/>
        <v>3</v>
      </c>
      <c r="CK106" s="113">
        <f t="shared" si="119"/>
        <v>0</v>
      </c>
      <c r="CL106" s="113">
        <f t="shared" si="119"/>
        <v>0</v>
      </c>
      <c r="CM106" s="113">
        <f t="shared" si="119"/>
        <v>3</v>
      </c>
      <c r="CN106" s="459">
        <f t="shared" si="119"/>
        <v>0</v>
      </c>
      <c r="CO106" s="461">
        <f t="shared" si="119"/>
        <v>4</v>
      </c>
      <c r="CP106" s="582">
        <f t="shared" si="119"/>
        <v>3</v>
      </c>
      <c r="CQ106" s="113">
        <f t="shared" si="119"/>
        <v>1</v>
      </c>
      <c r="CR106" s="113">
        <f t="shared" si="119"/>
        <v>0</v>
      </c>
      <c r="CS106" s="113">
        <f t="shared" si="119"/>
        <v>2</v>
      </c>
      <c r="CT106" s="460">
        <f t="shared" si="119"/>
        <v>0</v>
      </c>
      <c r="CU106" s="582">
        <f t="shared" si="118"/>
        <v>1</v>
      </c>
      <c r="CV106" s="113">
        <f t="shared" si="118"/>
        <v>0</v>
      </c>
      <c r="CW106" s="113">
        <f t="shared" si="118"/>
        <v>0</v>
      </c>
      <c r="CX106" s="113">
        <f t="shared" si="118"/>
        <v>1</v>
      </c>
      <c r="CY106" s="459">
        <f t="shared" si="118"/>
        <v>0</v>
      </c>
      <c r="CZ106" s="461">
        <f t="shared" si="118"/>
        <v>3</v>
      </c>
      <c r="DA106" s="582">
        <f t="shared" si="118"/>
        <v>3</v>
      </c>
      <c r="DB106" s="113">
        <f t="shared" si="118"/>
        <v>1</v>
      </c>
      <c r="DC106" s="113">
        <f t="shared" si="118"/>
        <v>0</v>
      </c>
      <c r="DD106" s="113">
        <f t="shared" si="118"/>
        <v>2</v>
      </c>
      <c r="DE106" s="460">
        <f t="shared" si="118"/>
        <v>0</v>
      </c>
      <c r="DF106" s="582">
        <f t="shared" si="118"/>
        <v>0</v>
      </c>
      <c r="DG106" s="113">
        <f t="shared" si="118"/>
        <v>0</v>
      </c>
      <c r="DH106" s="113">
        <f t="shared" si="118"/>
        <v>0</v>
      </c>
      <c r="DI106" s="113">
        <f t="shared" si="118"/>
        <v>0</v>
      </c>
      <c r="DJ106" s="459">
        <f t="shared" si="118"/>
        <v>0</v>
      </c>
      <c r="DK106" s="461">
        <f t="shared" si="118"/>
        <v>0</v>
      </c>
      <c r="DL106" s="582">
        <f t="shared" si="118"/>
        <v>0</v>
      </c>
      <c r="DM106" s="113">
        <f t="shared" si="118"/>
        <v>0</v>
      </c>
      <c r="DN106" s="113">
        <f t="shared" si="118"/>
        <v>0</v>
      </c>
      <c r="DO106" s="113">
        <f t="shared" si="118"/>
        <v>0</v>
      </c>
      <c r="DP106" s="460">
        <f t="shared" si="113"/>
        <v>0</v>
      </c>
      <c r="DQ106" s="582">
        <f t="shared" si="113"/>
        <v>0</v>
      </c>
      <c r="DR106" s="113">
        <f t="shared" si="113"/>
        <v>0</v>
      </c>
      <c r="DS106" s="113">
        <f t="shared" si="113"/>
        <v>0</v>
      </c>
      <c r="DT106" s="113">
        <f t="shared" si="113"/>
        <v>0</v>
      </c>
      <c r="DU106" s="459">
        <f t="shared" si="113"/>
        <v>0</v>
      </c>
      <c r="DW106" s="461">
        <f t="shared" si="102"/>
        <v>216</v>
      </c>
      <c r="DX106" s="582">
        <f t="shared" si="102"/>
        <v>172</v>
      </c>
      <c r="DY106" s="113">
        <f t="shared" si="102"/>
        <v>84</v>
      </c>
      <c r="DZ106" s="113">
        <f t="shared" si="100"/>
        <v>0</v>
      </c>
      <c r="EA106" s="113">
        <f t="shared" si="100"/>
        <v>88</v>
      </c>
      <c r="EB106" s="460">
        <f t="shared" si="100"/>
        <v>0</v>
      </c>
      <c r="EC106" s="582">
        <f t="shared" si="100"/>
        <v>44</v>
      </c>
      <c r="ED106" s="113">
        <f t="shared" si="100"/>
        <v>3</v>
      </c>
      <c r="EE106" s="113">
        <f t="shared" si="100"/>
        <v>0</v>
      </c>
      <c r="EF106" s="113">
        <f t="shared" si="76"/>
        <v>36</v>
      </c>
      <c r="EG106" s="459">
        <f t="shared" si="76"/>
        <v>5</v>
      </c>
      <c r="EH106" s="461">
        <f t="shared" si="91"/>
        <v>81</v>
      </c>
      <c r="EI106" s="582">
        <f t="shared" si="91"/>
        <v>60</v>
      </c>
      <c r="EJ106" s="113">
        <f t="shared" si="91"/>
        <v>28</v>
      </c>
      <c r="EK106" s="113">
        <f t="shared" si="91"/>
        <v>0</v>
      </c>
      <c r="EL106" s="113">
        <f t="shared" si="91"/>
        <v>32</v>
      </c>
      <c r="EM106" s="460">
        <f t="shared" si="111"/>
        <v>0</v>
      </c>
      <c r="EN106" s="582">
        <f t="shared" si="111"/>
        <v>21</v>
      </c>
      <c r="EO106" s="113">
        <f t="shared" si="111"/>
        <v>0</v>
      </c>
      <c r="EP106" s="113">
        <f t="shared" si="111"/>
        <v>0</v>
      </c>
      <c r="EQ106" s="113">
        <f t="shared" si="111"/>
        <v>20</v>
      </c>
      <c r="ER106" s="459">
        <f t="shared" si="111"/>
        <v>1</v>
      </c>
    </row>
    <row r="107" spans="1:148">
      <c r="A107" s="466" t="s">
        <v>420</v>
      </c>
      <c r="B107" s="581">
        <v>44652</v>
      </c>
      <c r="C107" s="470">
        <v>2022</v>
      </c>
      <c r="D107" s="461">
        <f t="shared" si="72"/>
        <v>169244</v>
      </c>
      <c r="E107" s="461">
        <f t="shared" si="117"/>
        <v>9534</v>
      </c>
      <c r="F107" s="582">
        <f t="shared" si="117"/>
        <v>7875</v>
      </c>
      <c r="G107" s="113">
        <f t="shared" si="117"/>
        <v>2904</v>
      </c>
      <c r="H107" s="113">
        <f t="shared" si="117"/>
        <v>59</v>
      </c>
      <c r="I107" s="113">
        <f t="shared" si="117"/>
        <v>4868</v>
      </c>
      <c r="J107" s="460">
        <f t="shared" si="117"/>
        <v>44</v>
      </c>
      <c r="K107" s="582">
        <f t="shared" si="117"/>
        <v>1659</v>
      </c>
      <c r="L107" s="113">
        <f t="shared" si="117"/>
        <v>271</v>
      </c>
      <c r="M107" s="113">
        <f t="shared" si="117"/>
        <v>0</v>
      </c>
      <c r="N107" s="113">
        <f t="shared" si="117"/>
        <v>1271</v>
      </c>
      <c r="O107" s="459">
        <f t="shared" si="117"/>
        <v>117</v>
      </c>
      <c r="P107" s="461">
        <f t="shared" si="117"/>
        <v>13</v>
      </c>
      <c r="Q107" s="582">
        <f t="shared" si="117"/>
        <v>11</v>
      </c>
      <c r="R107" s="113">
        <f t="shared" si="117"/>
        <v>2</v>
      </c>
      <c r="S107" s="113">
        <f t="shared" si="117"/>
        <v>1</v>
      </c>
      <c r="T107" s="113">
        <f t="shared" si="117"/>
        <v>8</v>
      </c>
      <c r="U107" s="460">
        <f t="shared" si="116"/>
        <v>0</v>
      </c>
      <c r="V107" s="582">
        <f t="shared" si="116"/>
        <v>2</v>
      </c>
      <c r="W107" s="113">
        <f t="shared" si="116"/>
        <v>0</v>
      </c>
      <c r="X107" s="113">
        <f t="shared" si="116"/>
        <v>0</v>
      </c>
      <c r="Y107" s="113">
        <f t="shared" si="116"/>
        <v>2</v>
      </c>
      <c r="Z107" s="459">
        <f t="shared" si="116"/>
        <v>0</v>
      </c>
      <c r="AA107" s="461">
        <f t="shared" si="116"/>
        <v>14</v>
      </c>
      <c r="AB107" s="582">
        <f t="shared" si="116"/>
        <v>9</v>
      </c>
      <c r="AC107" s="113">
        <f t="shared" si="116"/>
        <v>4</v>
      </c>
      <c r="AD107" s="113">
        <f t="shared" si="116"/>
        <v>0</v>
      </c>
      <c r="AE107" s="113">
        <f t="shared" si="116"/>
        <v>5</v>
      </c>
      <c r="AF107" s="460">
        <f t="shared" si="116"/>
        <v>0</v>
      </c>
      <c r="AG107" s="582">
        <f t="shared" si="116"/>
        <v>5</v>
      </c>
      <c r="AH107" s="113">
        <f t="shared" si="116"/>
        <v>0</v>
      </c>
      <c r="AI107" s="113">
        <f t="shared" si="109"/>
        <v>0</v>
      </c>
      <c r="AJ107" s="113">
        <f t="shared" si="109"/>
        <v>4</v>
      </c>
      <c r="AK107" s="459">
        <f t="shared" si="109"/>
        <v>1</v>
      </c>
      <c r="AL107" s="461">
        <f t="shared" si="109"/>
        <v>80</v>
      </c>
      <c r="AM107" s="582">
        <f t="shared" si="109"/>
        <v>60</v>
      </c>
      <c r="AN107" s="113">
        <f t="shared" ref="AN107:CT111" si="120">SUMIFS(AN$5:AN$36,$B$5:$B$36,$A107)</f>
        <v>20</v>
      </c>
      <c r="AO107" s="113">
        <f t="shared" si="120"/>
        <v>1</v>
      </c>
      <c r="AP107" s="113">
        <f t="shared" si="120"/>
        <v>38</v>
      </c>
      <c r="AQ107" s="460">
        <f t="shared" si="120"/>
        <v>1</v>
      </c>
      <c r="AR107" s="582">
        <f t="shared" si="120"/>
        <v>20</v>
      </c>
      <c r="AS107" s="113">
        <f t="shared" si="120"/>
        <v>1</v>
      </c>
      <c r="AT107" s="113">
        <f t="shared" si="120"/>
        <v>0</v>
      </c>
      <c r="AU107" s="113">
        <f t="shared" si="120"/>
        <v>18</v>
      </c>
      <c r="AV107" s="459">
        <f t="shared" si="120"/>
        <v>1</v>
      </c>
      <c r="AW107" s="461">
        <f t="shared" si="120"/>
        <v>67</v>
      </c>
      <c r="AX107" s="582">
        <f t="shared" si="120"/>
        <v>54</v>
      </c>
      <c r="AY107" s="113">
        <f t="shared" si="120"/>
        <v>29</v>
      </c>
      <c r="AZ107" s="113">
        <f t="shared" si="120"/>
        <v>0</v>
      </c>
      <c r="BA107" s="113">
        <f t="shared" si="120"/>
        <v>25</v>
      </c>
      <c r="BB107" s="460">
        <f t="shared" si="120"/>
        <v>0</v>
      </c>
      <c r="BC107" s="582">
        <f t="shared" si="120"/>
        <v>13</v>
      </c>
      <c r="BD107" s="113">
        <f t="shared" si="120"/>
        <v>1</v>
      </c>
      <c r="BE107" s="113">
        <f t="shared" si="120"/>
        <v>0</v>
      </c>
      <c r="BF107" s="113">
        <f t="shared" si="120"/>
        <v>11</v>
      </c>
      <c r="BG107" s="459">
        <f t="shared" si="120"/>
        <v>1</v>
      </c>
      <c r="BH107" s="461">
        <f t="shared" si="120"/>
        <v>82</v>
      </c>
      <c r="BI107" s="582">
        <f t="shared" si="120"/>
        <v>70</v>
      </c>
      <c r="BJ107" s="113">
        <f t="shared" si="120"/>
        <v>20</v>
      </c>
      <c r="BK107" s="113">
        <f t="shared" si="120"/>
        <v>2</v>
      </c>
      <c r="BL107" s="113">
        <f t="shared" si="120"/>
        <v>48</v>
      </c>
      <c r="BM107" s="460">
        <f t="shared" si="120"/>
        <v>0</v>
      </c>
      <c r="BN107" s="582">
        <f t="shared" si="120"/>
        <v>12</v>
      </c>
      <c r="BO107" s="113">
        <f t="shared" si="120"/>
        <v>2</v>
      </c>
      <c r="BP107" s="113">
        <f t="shared" si="120"/>
        <v>0</v>
      </c>
      <c r="BQ107" s="113">
        <f t="shared" si="120"/>
        <v>9</v>
      </c>
      <c r="BR107" s="459">
        <f t="shared" si="120"/>
        <v>1</v>
      </c>
      <c r="BS107" s="461">
        <f t="shared" si="120"/>
        <v>101</v>
      </c>
      <c r="BT107" s="582">
        <f t="shared" si="120"/>
        <v>93</v>
      </c>
      <c r="BU107" s="113">
        <f t="shared" si="120"/>
        <v>27</v>
      </c>
      <c r="BV107" s="113">
        <f t="shared" si="120"/>
        <v>1</v>
      </c>
      <c r="BW107" s="113">
        <f t="shared" si="120"/>
        <v>65</v>
      </c>
      <c r="BX107" s="460">
        <f t="shared" si="120"/>
        <v>0</v>
      </c>
      <c r="BY107" s="582">
        <f t="shared" si="120"/>
        <v>8</v>
      </c>
      <c r="BZ107" s="113">
        <f t="shared" si="120"/>
        <v>1</v>
      </c>
      <c r="CA107" s="113">
        <f t="shared" si="120"/>
        <v>0</v>
      </c>
      <c r="CB107" s="113">
        <f t="shared" si="120"/>
        <v>7</v>
      </c>
      <c r="CC107" s="459">
        <f t="shared" si="120"/>
        <v>0</v>
      </c>
      <c r="CD107" s="461">
        <f t="shared" si="120"/>
        <v>16</v>
      </c>
      <c r="CE107" s="582">
        <f t="shared" si="120"/>
        <v>13</v>
      </c>
      <c r="CF107" s="113">
        <f t="shared" si="120"/>
        <v>4</v>
      </c>
      <c r="CG107" s="113">
        <f t="shared" si="120"/>
        <v>0</v>
      </c>
      <c r="CH107" s="113">
        <f t="shared" si="120"/>
        <v>9</v>
      </c>
      <c r="CI107" s="460">
        <f t="shared" si="120"/>
        <v>0</v>
      </c>
      <c r="CJ107" s="582">
        <f t="shared" si="120"/>
        <v>3</v>
      </c>
      <c r="CK107" s="113">
        <f t="shared" si="120"/>
        <v>1</v>
      </c>
      <c r="CL107" s="113">
        <f t="shared" si="120"/>
        <v>0</v>
      </c>
      <c r="CM107" s="113">
        <f t="shared" si="120"/>
        <v>1</v>
      </c>
      <c r="CN107" s="459">
        <f t="shared" si="120"/>
        <v>1</v>
      </c>
      <c r="CO107" s="461">
        <f t="shared" si="120"/>
        <v>14</v>
      </c>
      <c r="CP107" s="582">
        <f t="shared" si="120"/>
        <v>13</v>
      </c>
      <c r="CQ107" s="113">
        <f t="shared" si="120"/>
        <v>5</v>
      </c>
      <c r="CR107" s="113">
        <f t="shared" si="120"/>
        <v>1</v>
      </c>
      <c r="CS107" s="113">
        <f t="shared" si="120"/>
        <v>7</v>
      </c>
      <c r="CT107" s="460">
        <f t="shared" si="119"/>
        <v>0</v>
      </c>
      <c r="CU107" s="582">
        <f t="shared" si="119"/>
        <v>1</v>
      </c>
      <c r="CV107" s="113">
        <f t="shared" si="119"/>
        <v>0</v>
      </c>
      <c r="CW107" s="113">
        <f t="shared" si="119"/>
        <v>0</v>
      </c>
      <c r="CX107" s="113">
        <f t="shared" si="119"/>
        <v>1</v>
      </c>
      <c r="CY107" s="459">
        <f t="shared" si="119"/>
        <v>0</v>
      </c>
      <c r="CZ107" s="461">
        <f t="shared" si="119"/>
        <v>4</v>
      </c>
      <c r="DA107" s="582">
        <f t="shared" si="119"/>
        <v>3</v>
      </c>
      <c r="DB107" s="113">
        <f t="shared" si="119"/>
        <v>0</v>
      </c>
      <c r="DC107" s="113">
        <f t="shared" si="119"/>
        <v>0</v>
      </c>
      <c r="DD107" s="113">
        <f t="shared" si="119"/>
        <v>3</v>
      </c>
      <c r="DE107" s="460">
        <f t="shared" si="119"/>
        <v>0</v>
      </c>
      <c r="DF107" s="582">
        <f t="shared" si="119"/>
        <v>1</v>
      </c>
      <c r="DG107" s="113">
        <f t="shared" si="119"/>
        <v>0</v>
      </c>
      <c r="DH107" s="113">
        <f t="shared" si="119"/>
        <v>0</v>
      </c>
      <c r="DI107" s="113">
        <f t="shared" si="119"/>
        <v>1</v>
      </c>
      <c r="DJ107" s="459">
        <f t="shared" si="119"/>
        <v>0</v>
      </c>
      <c r="DK107" s="461">
        <f t="shared" si="119"/>
        <v>0</v>
      </c>
      <c r="DL107" s="582">
        <f t="shared" si="118"/>
        <v>0</v>
      </c>
      <c r="DM107" s="113">
        <f t="shared" si="118"/>
        <v>0</v>
      </c>
      <c r="DN107" s="113">
        <f t="shared" si="118"/>
        <v>0</v>
      </c>
      <c r="DO107" s="113">
        <f t="shared" si="118"/>
        <v>0</v>
      </c>
      <c r="DP107" s="460">
        <f t="shared" si="113"/>
        <v>0</v>
      </c>
      <c r="DQ107" s="582">
        <f t="shared" si="113"/>
        <v>0</v>
      </c>
      <c r="DR107" s="113">
        <f t="shared" si="113"/>
        <v>0</v>
      </c>
      <c r="DS107" s="113">
        <f t="shared" si="113"/>
        <v>0</v>
      </c>
      <c r="DT107" s="113">
        <f t="shared" si="113"/>
        <v>0</v>
      </c>
      <c r="DU107" s="459">
        <f t="shared" si="113"/>
        <v>0</v>
      </c>
      <c r="DW107" s="461">
        <f t="shared" si="102"/>
        <v>311</v>
      </c>
      <c r="DX107" s="582">
        <f t="shared" si="102"/>
        <v>266</v>
      </c>
      <c r="DY107" s="113">
        <f t="shared" si="102"/>
        <v>91</v>
      </c>
      <c r="DZ107" s="113">
        <f t="shared" si="100"/>
        <v>5</v>
      </c>
      <c r="EA107" s="113">
        <f t="shared" si="100"/>
        <v>170</v>
      </c>
      <c r="EB107" s="460">
        <f t="shared" si="100"/>
        <v>0</v>
      </c>
      <c r="EC107" s="582">
        <f t="shared" si="100"/>
        <v>45</v>
      </c>
      <c r="ED107" s="113">
        <f t="shared" si="100"/>
        <v>5</v>
      </c>
      <c r="EE107" s="113">
        <f t="shared" si="100"/>
        <v>0</v>
      </c>
      <c r="EF107" s="113">
        <f t="shared" si="76"/>
        <v>36</v>
      </c>
      <c r="EG107" s="459">
        <f t="shared" si="76"/>
        <v>4</v>
      </c>
      <c r="EH107" s="461">
        <f t="shared" si="91"/>
        <v>80</v>
      </c>
      <c r="EI107" s="582">
        <f t="shared" si="91"/>
        <v>60</v>
      </c>
      <c r="EJ107" s="113">
        <f t="shared" si="91"/>
        <v>20</v>
      </c>
      <c r="EK107" s="113">
        <f t="shared" si="91"/>
        <v>1</v>
      </c>
      <c r="EL107" s="113">
        <f t="shared" si="91"/>
        <v>38</v>
      </c>
      <c r="EM107" s="460">
        <f t="shared" si="111"/>
        <v>1</v>
      </c>
      <c r="EN107" s="582">
        <f t="shared" si="111"/>
        <v>20</v>
      </c>
      <c r="EO107" s="113">
        <f t="shared" si="111"/>
        <v>1</v>
      </c>
      <c r="EP107" s="113">
        <f t="shared" si="111"/>
        <v>0</v>
      </c>
      <c r="EQ107" s="113">
        <f t="shared" si="111"/>
        <v>18</v>
      </c>
      <c r="ER107" s="459">
        <f t="shared" si="111"/>
        <v>1</v>
      </c>
    </row>
    <row r="108" spans="1:148">
      <c r="A108" s="466" t="s">
        <v>420</v>
      </c>
      <c r="B108" s="581">
        <v>44682</v>
      </c>
      <c r="C108" s="470">
        <v>2022</v>
      </c>
      <c r="D108" s="461">
        <f t="shared" si="72"/>
        <v>169244</v>
      </c>
      <c r="E108" s="461">
        <f t="shared" si="117"/>
        <v>9534</v>
      </c>
      <c r="F108" s="582">
        <f t="shared" si="117"/>
        <v>7875</v>
      </c>
      <c r="G108" s="113">
        <f t="shared" si="117"/>
        <v>2904</v>
      </c>
      <c r="H108" s="113">
        <f t="shared" si="117"/>
        <v>59</v>
      </c>
      <c r="I108" s="113">
        <f t="shared" si="117"/>
        <v>4868</v>
      </c>
      <c r="J108" s="460">
        <f t="shared" si="117"/>
        <v>44</v>
      </c>
      <c r="K108" s="582">
        <f t="shared" si="117"/>
        <v>1659</v>
      </c>
      <c r="L108" s="113">
        <f t="shared" si="117"/>
        <v>271</v>
      </c>
      <c r="M108" s="113">
        <f t="shared" si="117"/>
        <v>0</v>
      </c>
      <c r="N108" s="113">
        <f t="shared" si="117"/>
        <v>1271</v>
      </c>
      <c r="O108" s="459">
        <f t="shared" si="117"/>
        <v>117</v>
      </c>
      <c r="P108" s="461">
        <f t="shared" si="117"/>
        <v>13</v>
      </c>
      <c r="Q108" s="582">
        <f t="shared" si="117"/>
        <v>11</v>
      </c>
      <c r="R108" s="113">
        <f t="shared" si="117"/>
        <v>2</v>
      </c>
      <c r="S108" s="113">
        <f t="shared" si="117"/>
        <v>1</v>
      </c>
      <c r="T108" s="113">
        <f t="shared" si="117"/>
        <v>8</v>
      </c>
      <c r="U108" s="460">
        <f t="shared" si="116"/>
        <v>0</v>
      </c>
      <c r="V108" s="582">
        <f t="shared" si="116"/>
        <v>2</v>
      </c>
      <c r="W108" s="113">
        <f t="shared" si="116"/>
        <v>0</v>
      </c>
      <c r="X108" s="113">
        <f t="shared" si="116"/>
        <v>0</v>
      </c>
      <c r="Y108" s="113">
        <f t="shared" si="116"/>
        <v>2</v>
      </c>
      <c r="Z108" s="459">
        <f t="shared" si="116"/>
        <v>0</v>
      </c>
      <c r="AA108" s="461">
        <f t="shared" si="116"/>
        <v>14</v>
      </c>
      <c r="AB108" s="582">
        <f t="shared" si="116"/>
        <v>9</v>
      </c>
      <c r="AC108" s="113">
        <f t="shared" si="116"/>
        <v>4</v>
      </c>
      <c r="AD108" s="113">
        <f t="shared" si="116"/>
        <v>0</v>
      </c>
      <c r="AE108" s="113">
        <f t="shared" si="116"/>
        <v>5</v>
      </c>
      <c r="AF108" s="460">
        <f t="shared" si="116"/>
        <v>0</v>
      </c>
      <c r="AG108" s="582">
        <f t="shared" si="116"/>
        <v>5</v>
      </c>
      <c r="AH108" s="113">
        <f t="shared" si="116"/>
        <v>0</v>
      </c>
      <c r="AI108" s="113">
        <f t="shared" si="116"/>
        <v>0</v>
      </c>
      <c r="AJ108" s="113">
        <f t="shared" si="116"/>
        <v>4</v>
      </c>
      <c r="AK108" s="459">
        <f t="shared" si="116"/>
        <v>1</v>
      </c>
      <c r="AL108" s="461">
        <f t="shared" si="116"/>
        <v>80</v>
      </c>
      <c r="AM108" s="582">
        <f t="shared" si="116"/>
        <v>60</v>
      </c>
      <c r="AN108" s="113">
        <f t="shared" si="116"/>
        <v>20</v>
      </c>
      <c r="AO108" s="113">
        <f t="shared" si="116"/>
        <v>1</v>
      </c>
      <c r="AP108" s="113">
        <f t="shared" si="116"/>
        <v>38</v>
      </c>
      <c r="AQ108" s="460">
        <f t="shared" si="116"/>
        <v>1</v>
      </c>
      <c r="AR108" s="582">
        <f t="shared" si="116"/>
        <v>20</v>
      </c>
      <c r="AS108" s="113">
        <f t="shared" si="116"/>
        <v>1</v>
      </c>
      <c r="AT108" s="113">
        <f t="shared" si="116"/>
        <v>0</v>
      </c>
      <c r="AU108" s="113">
        <f t="shared" si="116"/>
        <v>18</v>
      </c>
      <c r="AV108" s="459">
        <f t="shared" si="116"/>
        <v>1</v>
      </c>
      <c r="AW108" s="461">
        <f t="shared" si="120"/>
        <v>67</v>
      </c>
      <c r="AX108" s="582">
        <f t="shared" si="120"/>
        <v>54</v>
      </c>
      <c r="AY108" s="113">
        <f t="shared" si="120"/>
        <v>29</v>
      </c>
      <c r="AZ108" s="113">
        <f t="shared" si="120"/>
        <v>0</v>
      </c>
      <c r="BA108" s="113">
        <f t="shared" si="120"/>
        <v>25</v>
      </c>
      <c r="BB108" s="460">
        <f t="shared" si="120"/>
        <v>0</v>
      </c>
      <c r="BC108" s="582">
        <f t="shared" si="120"/>
        <v>13</v>
      </c>
      <c r="BD108" s="113">
        <f t="shared" si="120"/>
        <v>1</v>
      </c>
      <c r="BE108" s="113">
        <f t="shared" si="120"/>
        <v>0</v>
      </c>
      <c r="BF108" s="113">
        <f t="shared" si="120"/>
        <v>11</v>
      </c>
      <c r="BG108" s="459">
        <f t="shared" si="120"/>
        <v>1</v>
      </c>
      <c r="BH108" s="461">
        <f t="shared" si="120"/>
        <v>82</v>
      </c>
      <c r="BI108" s="582">
        <f t="shared" si="120"/>
        <v>70</v>
      </c>
      <c r="BJ108" s="113">
        <f t="shared" si="120"/>
        <v>20</v>
      </c>
      <c r="BK108" s="113">
        <f t="shared" si="120"/>
        <v>2</v>
      </c>
      <c r="BL108" s="113">
        <f t="shared" si="120"/>
        <v>48</v>
      </c>
      <c r="BM108" s="460">
        <f t="shared" si="120"/>
        <v>0</v>
      </c>
      <c r="BN108" s="582">
        <f t="shared" si="120"/>
        <v>12</v>
      </c>
      <c r="BO108" s="113">
        <f t="shared" si="120"/>
        <v>2</v>
      </c>
      <c r="BP108" s="113">
        <f t="shared" si="120"/>
        <v>0</v>
      </c>
      <c r="BQ108" s="113">
        <f t="shared" si="120"/>
        <v>9</v>
      </c>
      <c r="BR108" s="459">
        <f t="shared" si="120"/>
        <v>1</v>
      </c>
      <c r="BS108" s="461">
        <f t="shared" si="120"/>
        <v>101</v>
      </c>
      <c r="BT108" s="582">
        <f t="shared" si="120"/>
        <v>93</v>
      </c>
      <c r="BU108" s="113">
        <f t="shared" si="120"/>
        <v>27</v>
      </c>
      <c r="BV108" s="113">
        <f t="shared" si="120"/>
        <v>1</v>
      </c>
      <c r="BW108" s="113">
        <f t="shared" si="120"/>
        <v>65</v>
      </c>
      <c r="BX108" s="460">
        <f t="shared" si="120"/>
        <v>0</v>
      </c>
      <c r="BY108" s="582">
        <f t="shared" si="120"/>
        <v>8</v>
      </c>
      <c r="BZ108" s="113">
        <f t="shared" si="120"/>
        <v>1</v>
      </c>
      <c r="CA108" s="113">
        <f t="shared" si="120"/>
        <v>0</v>
      </c>
      <c r="CB108" s="113">
        <f t="shared" si="120"/>
        <v>7</v>
      </c>
      <c r="CC108" s="459">
        <f t="shared" si="120"/>
        <v>0</v>
      </c>
      <c r="CD108" s="461">
        <f t="shared" si="120"/>
        <v>16</v>
      </c>
      <c r="CE108" s="582">
        <f t="shared" si="120"/>
        <v>13</v>
      </c>
      <c r="CF108" s="113">
        <f t="shared" si="120"/>
        <v>4</v>
      </c>
      <c r="CG108" s="113">
        <f t="shared" si="120"/>
        <v>0</v>
      </c>
      <c r="CH108" s="113">
        <f t="shared" si="120"/>
        <v>9</v>
      </c>
      <c r="CI108" s="460">
        <f t="shared" si="120"/>
        <v>0</v>
      </c>
      <c r="CJ108" s="582">
        <f t="shared" si="120"/>
        <v>3</v>
      </c>
      <c r="CK108" s="113">
        <f t="shared" si="120"/>
        <v>1</v>
      </c>
      <c r="CL108" s="113">
        <f t="shared" si="120"/>
        <v>0</v>
      </c>
      <c r="CM108" s="113">
        <f t="shared" si="120"/>
        <v>1</v>
      </c>
      <c r="CN108" s="459">
        <f t="shared" si="120"/>
        <v>1</v>
      </c>
      <c r="CO108" s="461">
        <f t="shared" si="120"/>
        <v>14</v>
      </c>
      <c r="CP108" s="582">
        <f t="shared" si="120"/>
        <v>13</v>
      </c>
      <c r="CQ108" s="113">
        <f t="shared" si="120"/>
        <v>5</v>
      </c>
      <c r="CR108" s="113">
        <f t="shared" si="120"/>
        <v>1</v>
      </c>
      <c r="CS108" s="113">
        <f t="shared" si="120"/>
        <v>7</v>
      </c>
      <c r="CT108" s="460">
        <f t="shared" si="120"/>
        <v>0</v>
      </c>
      <c r="CU108" s="582">
        <f t="shared" si="119"/>
        <v>1</v>
      </c>
      <c r="CV108" s="113">
        <f t="shared" si="119"/>
        <v>0</v>
      </c>
      <c r="CW108" s="113">
        <f t="shared" si="119"/>
        <v>0</v>
      </c>
      <c r="CX108" s="113">
        <f t="shared" si="119"/>
        <v>1</v>
      </c>
      <c r="CY108" s="459">
        <f t="shared" si="119"/>
        <v>0</v>
      </c>
      <c r="CZ108" s="461">
        <f t="shared" si="119"/>
        <v>4</v>
      </c>
      <c r="DA108" s="582">
        <f t="shared" si="119"/>
        <v>3</v>
      </c>
      <c r="DB108" s="113">
        <f t="shared" si="119"/>
        <v>0</v>
      </c>
      <c r="DC108" s="113">
        <f t="shared" si="119"/>
        <v>0</v>
      </c>
      <c r="DD108" s="113">
        <f t="shared" si="119"/>
        <v>3</v>
      </c>
      <c r="DE108" s="460">
        <f t="shared" si="119"/>
        <v>0</v>
      </c>
      <c r="DF108" s="582">
        <f t="shared" si="119"/>
        <v>1</v>
      </c>
      <c r="DG108" s="113">
        <f t="shared" si="119"/>
        <v>0</v>
      </c>
      <c r="DH108" s="113">
        <f t="shared" si="119"/>
        <v>0</v>
      </c>
      <c r="DI108" s="113">
        <f t="shared" si="119"/>
        <v>1</v>
      </c>
      <c r="DJ108" s="459">
        <f t="shared" si="119"/>
        <v>0</v>
      </c>
      <c r="DK108" s="461">
        <f t="shared" si="119"/>
        <v>0</v>
      </c>
      <c r="DL108" s="582">
        <f t="shared" si="118"/>
        <v>0</v>
      </c>
      <c r="DM108" s="113">
        <f t="shared" si="118"/>
        <v>0</v>
      </c>
      <c r="DN108" s="113">
        <f t="shared" si="118"/>
        <v>0</v>
      </c>
      <c r="DO108" s="113">
        <f t="shared" si="118"/>
        <v>0</v>
      </c>
      <c r="DP108" s="460">
        <f t="shared" si="113"/>
        <v>0</v>
      </c>
      <c r="DQ108" s="582">
        <f t="shared" si="113"/>
        <v>0</v>
      </c>
      <c r="DR108" s="113">
        <f t="shared" si="113"/>
        <v>0</v>
      </c>
      <c r="DS108" s="113">
        <f t="shared" si="113"/>
        <v>0</v>
      </c>
      <c r="DT108" s="113">
        <f t="shared" si="113"/>
        <v>0</v>
      </c>
      <c r="DU108" s="459">
        <f t="shared" si="113"/>
        <v>0</v>
      </c>
      <c r="DW108" s="461">
        <f t="shared" si="102"/>
        <v>311</v>
      </c>
      <c r="DX108" s="582">
        <f t="shared" si="102"/>
        <v>266</v>
      </c>
      <c r="DY108" s="113">
        <f t="shared" si="102"/>
        <v>91</v>
      </c>
      <c r="DZ108" s="113">
        <f t="shared" si="100"/>
        <v>5</v>
      </c>
      <c r="EA108" s="113">
        <f t="shared" si="100"/>
        <v>170</v>
      </c>
      <c r="EB108" s="460">
        <f t="shared" si="100"/>
        <v>0</v>
      </c>
      <c r="EC108" s="582">
        <f t="shared" si="100"/>
        <v>45</v>
      </c>
      <c r="ED108" s="113">
        <f t="shared" si="100"/>
        <v>5</v>
      </c>
      <c r="EE108" s="113">
        <f t="shared" si="100"/>
        <v>0</v>
      </c>
      <c r="EF108" s="113">
        <f t="shared" si="76"/>
        <v>36</v>
      </c>
      <c r="EG108" s="459">
        <f t="shared" si="76"/>
        <v>4</v>
      </c>
      <c r="EH108" s="461">
        <f t="shared" si="91"/>
        <v>80</v>
      </c>
      <c r="EI108" s="582">
        <f t="shared" si="91"/>
        <v>60</v>
      </c>
      <c r="EJ108" s="113">
        <f t="shared" si="91"/>
        <v>20</v>
      </c>
      <c r="EK108" s="113">
        <f t="shared" si="91"/>
        <v>1</v>
      </c>
      <c r="EL108" s="113">
        <f t="shared" si="91"/>
        <v>38</v>
      </c>
      <c r="EM108" s="460">
        <f t="shared" si="111"/>
        <v>1</v>
      </c>
      <c r="EN108" s="582">
        <f t="shared" si="111"/>
        <v>20</v>
      </c>
      <c r="EO108" s="113">
        <f t="shared" si="111"/>
        <v>1</v>
      </c>
      <c r="EP108" s="113">
        <f t="shared" si="111"/>
        <v>0</v>
      </c>
      <c r="EQ108" s="113">
        <f t="shared" si="111"/>
        <v>18</v>
      </c>
      <c r="ER108" s="459">
        <f t="shared" si="111"/>
        <v>1</v>
      </c>
    </row>
    <row r="109" spans="1:148">
      <c r="A109" s="466" t="s">
        <v>420</v>
      </c>
      <c r="B109" s="581">
        <v>44713</v>
      </c>
      <c r="C109" s="470">
        <v>2022</v>
      </c>
      <c r="D109" s="461">
        <f t="shared" ref="D109:D132" si="121">SUMIFS(D$5:D$36,$B$5:$B$36,$A109)</f>
        <v>169244</v>
      </c>
      <c r="E109" s="461">
        <f t="shared" si="117"/>
        <v>9534</v>
      </c>
      <c r="F109" s="582">
        <f t="shared" si="117"/>
        <v>7875</v>
      </c>
      <c r="G109" s="113">
        <f t="shared" si="117"/>
        <v>2904</v>
      </c>
      <c r="H109" s="113">
        <f t="shared" si="117"/>
        <v>59</v>
      </c>
      <c r="I109" s="113">
        <f t="shared" si="117"/>
        <v>4868</v>
      </c>
      <c r="J109" s="460">
        <f t="shared" si="117"/>
        <v>44</v>
      </c>
      <c r="K109" s="582">
        <f t="shared" si="117"/>
        <v>1659</v>
      </c>
      <c r="L109" s="113">
        <f t="shared" si="117"/>
        <v>271</v>
      </c>
      <c r="M109" s="113">
        <f t="shared" si="117"/>
        <v>0</v>
      </c>
      <c r="N109" s="113">
        <f t="shared" si="117"/>
        <v>1271</v>
      </c>
      <c r="O109" s="459">
        <f t="shared" si="117"/>
        <v>117</v>
      </c>
      <c r="P109" s="461">
        <f t="shared" si="117"/>
        <v>13</v>
      </c>
      <c r="Q109" s="582">
        <f t="shared" si="117"/>
        <v>11</v>
      </c>
      <c r="R109" s="113">
        <f t="shared" si="117"/>
        <v>2</v>
      </c>
      <c r="S109" s="113">
        <f t="shared" si="117"/>
        <v>1</v>
      </c>
      <c r="T109" s="113">
        <f t="shared" si="117"/>
        <v>8</v>
      </c>
      <c r="U109" s="460">
        <f t="shared" si="116"/>
        <v>0</v>
      </c>
      <c r="V109" s="582">
        <f t="shared" si="116"/>
        <v>2</v>
      </c>
      <c r="W109" s="113">
        <f t="shared" si="116"/>
        <v>0</v>
      </c>
      <c r="X109" s="113">
        <f t="shared" si="116"/>
        <v>0</v>
      </c>
      <c r="Y109" s="113">
        <f t="shared" si="116"/>
        <v>2</v>
      </c>
      <c r="Z109" s="459">
        <f t="shared" si="116"/>
        <v>0</v>
      </c>
      <c r="AA109" s="461">
        <f t="shared" si="116"/>
        <v>14</v>
      </c>
      <c r="AB109" s="582">
        <f t="shared" si="116"/>
        <v>9</v>
      </c>
      <c r="AC109" s="113">
        <f t="shared" si="116"/>
        <v>4</v>
      </c>
      <c r="AD109" s="113">
        <f t="shared" si="116"/>
        <v>0</v>
      </c>
      <c r="AE109" s="113">
        <f t="shared" si="116"/>
        <v>5</v>
      </c>
      <c r="AF109" s="460">
        <f t="shared" si="116"/>
        <v>0</v>
      </c>
      <c r="AG109" s="582">
        <f t="shared" si="116"/>
        <v>5</v>
      </c>
      <c r="AH109" s="113">
        <f t="shared" si="116"/>
        <v>0</v>
      </c>
      <c r="AI109" s="113">
        <f t="shared" si="116"/>
        <v>0</v>
      </c>
      <c r="AJ109" s="113">
        <f t="shared" si="116"/>
        <v>4</v>
      </c>
      <c r="AK109" s="459">
        <f t="shared" si="116"/>
        <v>1</v>
      </c>
      <c r="AL109" s="461">
        <f t="shared" si="116"/>
        <v>80</v>
      </c>
      <c r="AM109" s="582">
        <f t="shared" si="116"/>
        <v>60</v>
      </c>
      <c r="AN109" s="113">
        <f t="shared" si="116"/>
        <v>20</v>
      </c>
      <c r="AO109" s="113">
        <f t="shared" si="116"/>
        <v>1</v>
      </c>
      <c r="AP109" s="113">
        <f t="shared" si="116"/>
        <v>38</v>
      </c>
      <c r="AQ109" s="460">
        <f t="shared" si="116"/>
        <v>1</v>
      </c>
      <c r="AR109" s="582">
        <f t="shared" si="116"/>
        <v>20</v>
      </c>
      <c r="AS109" s="113">
        <f t="shared" si="116"/>
        <v>1</v>
      </c>
      <c r="AT109" s="113">
        <f t="shared" si="116"/>
        <v>0</v>
      </c>
      <c r="AU109" s="113">
        <f t="shared" si="116"/>
        <v>18</v>
      </c>
      <c r="AV109" s="459">
        <f t="shared" si="116"/>
        <v>1</v>
      </c>
      <c r="AW109" s="461">
        <f t="shared" si="120"/>
        <v>67</v>
      </c>
      <c r="AX109" s="582">
        <f t="shared" si="120"/>
        <v>54</v>
      </c>
      <c r="AY109" s="113">
        <f t="shared" si="120"/>
        <v>29</v>
      </c>
      <c r="AZ109" s="113">
        <f t="shared" si="120"/>
        <v>0</v>
      </c>
      <c r="BA109" s="113">
        <f t="shared" si="120"/>
        <v>25</v>
      </c>
      <c r="BB109" s="460">
        <f t="shared" si="120"/>
        <v>0</v>
      </c>
      <c r="BC109" s="582">
        <f t="shared" si="120"/>
        <v>13</v>
      </c>
      <c r="BD109" s="113">
        <f t="shared" si="120"/>
        <v>1</v>
      </c>
      <c r="BE109" s="113">
        <f t="shared" si="120"/>
        <v>0</v>
      </c>
      <c r="BF109" s="113">
        <f t="shared" si="120"/>
        <v>11</v>
      </c>
      <c r="BG109" s="459">
        <f t="shared" si="120"/>
        <v>1</v>
      </c>
      <c r="BH109" s="461">
        <f t="shared" si="120"/>
        <v>82</v>
      </c>
      <c r="BI109" s="582">
        <f t="shared" si="120"/>
        <v>70</v>
      </c>
      <c r="BJ109" s="113">
        <f t="shared" si="120"/>
        <v>20</v>
      </c>
      <c r="BK109" s="113">
        <f t="shared" si="120"/>
        <v>2</v>
      </c>
      <c r="BL109" s="113">
        <f t="shared" si="120"/>
        <v>48</v>
      </c>
      <c r="BM109" s="460">
        <f t="shared" si="120"/>
        <v>0</v>
      </c>
      <c r="BN109" s="582">
        <f t="shared" si="120"/>
        <v>12</v>
      </c>
      <c r="BO109" s="113">
        <f t="shared" si="120"/>
        <v>2</v>
      </c>
      <c r="BP109" s="113">
        <f t="shared" si="120"/>
        <v>0</v>
      </c>
      <c r="BQ109" s="113">
        <f t="shared" si="120"/>
        <v>9</v>
      </c>
      <c r="BR109" s="459">
        <f t="shared" si="120"/>
        <v>1</v>
      </c>
      <c r="BS109" s="461">
        <f t="shared" si="120"/>
        <v>101</v>
      </c>
      <c r="BT109" s="582">
        <f t="shared" si="120"/>
        <v>93</v>
      </c>
      <c r="BU109" s="113">
        <f t="shared" si="120"/>
        <v>27</v>
      </c>
      <c r="BV109" s="113">
        <f t="shared" si="120"/>
        <v>1</v>
      </c>
      <c r="BW109" s="113">
        <f t="shared" si="120"/>
        <v>65</v>
      </c>
      <c r="BX109" s="460">
        <f t="shared" si="120"/>
        <v>0</v>
      </c>
      <c r="BY109" s="582">
        <f t="shared" si="120"/>
        <v>8</v>
      </c>
      <c r="BZ109" s="113">
        <f t="shared" si="120"/>
        <v>1</v>
      </c>
      <c r="CA109" s="113">
        <f t="shared" si="120"/>
        <v>0</v>
      </c>
      <c r="CB109" s="113">
        <f t="shared" si="120"/>
        <v>7</v>
      </c>
      <c r="CC109" s="459">
        <f t="shared" si="120"/>
        <v>0</v>
      </c>
      <c r="CD109" s="461">
        <f t="shared" si="120"/>
        <v>16</v>
      </c>
      <c r="CE109" s="582">
        <f t="shared" si="120"/>
        <v>13</v>
      </c>
      <c r="CF109" s="113">
        <f t="shared" si="120"/>
        <v>4</v>
      </c>
      <c r="CG109" s="113">
        <f t="shared" si="120"/>
        <v>0</v>
      </c>
      <c r="CH109" s="113">
        <f t="shared" si="120"/>
        <v>9</v>
      </c>
      <c r="CI109" s="460">
        <f t="shared" si="120"/>
        <v>0</v>
      </c>
      <c r="CJ109" s="582">
        <f t="shared" si="120"/>
        <v>3</v>
      </c>
      <c r="CK109" s="113">
        <f t="shared" si="120"/>
        <v>1</v>
      </c>
      <c r="CL109" s="113">
        <f t="shared" si="120"/>
        <v>0</v>
      </c>
      <c r="CM109" s="113">
        <f t="shared" si="120"/>
        <v>1</v>
      </c>
      <c r="CN109" s="459">
        <f t="shared" si="120"/>
        <v>1</v>
      </c>
      <c r="CO109" s="461">
        <f t="shared" si="120"/>
        <v>14</v>
      </c>
      <c r="CP109" s="582">
        <f t="shared" si="120"/>
        <v>13</v>
      </c>
      <c r="CQ109" s="113">
        <f t="shared" si="120"/>
        <v>5</v>
      </c>
      <c r="CR109" s="113">
        <f t="shared" si="120"/>
        <v>1</v>
      </c>
      <c r="CS109" s="113">
        <f t="shared" si="120"/>
        <v>7</v>
      </c>
      <c r="CT109" s="460">
        <f t="shared" si="120"/>
        <v>0</v>
      </c>
      <c r="CU109" s="582">
        <f t="shared" si="119"/>
        <v>1</v>
      </c>
      <c r="CV109" s="113">
        <f t="shared" si="119"/>
        <v>0</v>
      </c>
      <c r="CW109" s="113">
        <f t="shared" si="119"/>
        <v>0</v>
      </c>
      <c r="CX109" s="113">
        <f t="shared" si="119"/>
        <v>1</v>
      </c>
      <c r="CY109" s="459">
        <f t="shared" si="119"/>
        <v>0</v>
      </c>
      <c r="CZ109" s="461">
        <f t="shared" si="119"/>
        <v>4</v>
      </c>
      <c r="DA109" s="582">
        <f t="shared" si="119"/>
        <v>3</v>
      </c>
      <c r="DB109" s="113">
        <f t="shared" si="119"/>
        <v>0</v>
      </c>
      <c r="DC109" s="113">
        <f t="shared" si="119"/>
        <v>0</v>
      </c>
      <c r="DD109" s="113">
        <f t="shared" si="119"/>
        <v>3</v>
      </c>
      <c r="DE109" s="460">
        <f t="shared" si="119"/>
        <v>0</v>
      </c>
      <c r="DF109" s="582">
        <f t="shared" si="119"/>
        <v>1</v>
      </c>
      <c r="DG109" s="113">
        <f t="shared" si="119"/>
        <v>0</v>
      </c>
      <c r="DH109" s="113">
        <f t="shared" si="119"/>
        <v>0</v>
      </c>
      <c r="DI109" s="113">
        <f t="shared" si="119"/>
        <v>1</v>
      </c>
      <c r="DJ109" s="459">
        <f t="shared" si="119"/>
        <v>0</v>
      </c>
      <c r="DK109" s="461">
        <f t="shared" si="119"/>
        <v>0</v>
      </c>
      <c r="DL109" s="582">
        <f t="shared" si="118"/>
        <v>0</v>
      </c>
      <c r="DM109" s="113">
        <f t="shared" si="118"/>
        <v>0</v>
      </c>
      <c r="DN109" s="113">
        <f t="shared" si="118"/>
        <v>0</v>
      </c>
      <c r="DO109" s="113">
        <f t="shared" si="118"/>
        <v>0</v>
      </c>
      <c r="DP109" s="460">
        <f t="shared" si="113"/>
        <v>0</v>
      </c>
      <c r="DQ109" s="582">
        <f t="shared" si="113"/>
        <v>0</v>
      </c>
      <c r="DR109" s="113">
        <f t="shared" si="113"/>
        <v>0</v>
      </c>
      <c r="DS109" s="113">
        <f t="shared" si="113"/>
        <v>0</v>
      </c>
      <c r="DT109" s="113">
        <f t="shared" si="113"/>
        <v>0</v>
      </c>
      <c r="DU109" s="459">
        <f t="shared" si="113"/>
        <v>0</v>
      </c>
      <c r="DW109" s="461">
        <f t="shared" si="102"/>
        <v>311</v>
      </c>
      <c r="DX109" s="582">
        <f t="shared" si="102"/>
        <v>266</v>
      </c>
      <c r="DY109" s="113">
        <f t="shared" si="102"/>
        <v>91</v>
      </c>
      <c r="DZ109" s="113">
        <f t="shared" si="100"/>
        <v>5</v>
      </c>
      <c r="EA109" s="113">
        <f t="shared" si="100"/>
        <v>170</v>
      </c>
      <c r="EB109" s="460">
        <f t="shared" si="100"/>
        <v>0</v>
      </c>
      <c r="EC109" s="582">
        <f t="shared" si="100"/>
        <v>45</v>
      </c>
      <c r="ED109" s="113">
        <f t="shared" si="100"/>
        <v>5</v>
      </c>
      <c r="EE109" s="113">
        <f t="shared" si="100"/>
        <v>0</v>
      </c>
      <c r="EF109" s="113">
        <f t="shared" si="76"/>
        <v>36</v>
      </c>
      <c r="EG109" s="459">
        <f t="shared" si="76"/>
        <v>4</v>
      </c>
      <c r="EH109" s="461">
        <f t="shared" si="91"/>
        <v>80</v>
      </c>
      <c r="EI109" s="582">
        <f t="shared" si="91"/>
        <v>60</v>
      </c>
      <c r="EJ109" s="113">
        <f t="shared" si="91"/>
        <v>20</v>
      </c>
      <c r="EK109" s="113">
        <f t="shared" si="91"/>
        <v>1</v>
      </c>
      <c r="EL109" s="113">
        <f t="shared" si="91"/>
        <v>38</v>
      </c>
      <c r="EM109" s="460">
        <f t="shared" si="111"/>
        <v>1</v>
      </c>
      <c r="EN109" s="582">
        <f t="shared" si="111"/>
        <v>20</v>
      </c>
      <c r="EO109" s="113">
        <f t="shared" si="111"/>
        <v>1</v>
      </c>
      <c r="EP109" s="113">
        <f t="shared" si="111"/>
        <v>0</v>
      </c>
      <c r="EQ109" s="113">
        <f t="shared" si="111"/>
        <v>18</v>
      </c>
      <c r="ER109" s="459">
        <f t="shared" si="111"/>
        <v>1</v>
      </c>
    </row>
    <row r="110" spans="1:148">
      <c r="A110" s="466" t="s">
        <v>421</v>
      </c>
      <c r="B110" s="581">
        <v>44743</v>
      </c>
      <c r="C110" s="470">
        <v>2022</v>
      </c>
      <c r="D110" s="461">
        <f t="shared" si="121"/>
        <v>153779</v>
      </c>
      <c r="E110" s="461">
        <f t="shared" si="117"/>
        <v>11013</v>
      </c>
      <c r="F110" s="582">
        <f t="shared" si="117"/>
        <v>9716</v>
      </c>
      <c r="G110" s="113">
        <f t="shared" si="117"/>
        <v>3995</v>
      </c>
      <c r="H110" s="113">
        <f t="shared" si="117"/>
        <v>469</v>
      </c>
      <c r="I110" s="113">
        <f t="shared" si="117"/>
        <v>5206</v>
      </c>
      <c r="J110" s="460">
        <f t="shared" si="117"/>
        <v>46</v>
      </c>
      <c r="K110" s="582">
        <f t="shared" si="117"/>
        <v>1297</v>
      </c>
      <c r="L110" s="113">
        <f t="shared" si="117"/>
        <v>201</v>
      </c>
      <c r="M110" s="113">
        <f t="shared" si="117"/>
        <v>0</v>
      </c>
      <c r="N110" s="113">
        <f t="shared" si="117"/>
        <v>1001</v>
      </c>
      <c r="O110" s="459">
        <f t="shared" si="117"/>
        <v>95</v>
      </c>
      <c r="P110" s="461">
        <f t="shared" si="117"/>
        <v>15</v>
      </c>
      <c r="Q110" s="582">
        <f t="shared" si="117"/>
        <v>11</v>
      </c>
      <c r="R110" s="113">
        <f t="shared" si="117"/>
        <v>4</v>
      </c>
      <c r="S110" s="113">
        <f t="shared" si="117"/>
        <v>0</v>
      </c>
      <c r="T110" s="113">
        <f t="shared" si="117"/>
        <v>7</v>
      </c>
      <c r="U110" s="460">
        <f t="shared" si="116"/>
        <v>0</v>
      </c>
      <c r="V110" s="582">
        <f t="shared" si="116"/>
        <v>4</v>
      </c>
      <c r="W110" s="113">
        <f t="shared" si="116"/>
        <v>0</v>
      </c>
      <c r="X110" s="113">
        <f t="shared" si="116"/>
        <v>0</v>
      </c>
      <c r="Y110" s="113">
        <f t="shared" si="116"/>
        <v>3</v>
      </c>
      <c r="Z110" s="459">
        <f t="shared" si="116"/>
        <v>1</v>
      </c>
      <c r="AA110" s="461">
        <f t="shared" si="116"/>
        <v>7</v>
      </c>
      <c r="AB110" s="582">
        <f t="shared" si="116"/>
        <v>5</v>
      </c>
      <c r="AC110" s="113">
        <f t="shared" si="116"/>
        <v>1</v>
      </c>
      <c r="AD110" s="113">
        <f t="shared" si="116"/>
        <v>1</v>
      </c>
      <c r="AE110" s="113">
        <f t="shared" si="116"/>
        <v>3</v>
      </c>
      <c r="AF110" s="460">
        <f t="shared" si="116"/>
        <v>0</v>
      </c>
      <c r="AG110" s="582">
        <f t="shared" si="116"/>
        <v>2</v>
      </c>
      <c r="AH110" s="113">
        <f t="shared" si="116"/>
        <v>1</v>
      </c>
      <c r="AI110" s="113">
        <f t="shared" si="116"/>
        <v>0</v>
      </c>
      <c r="AJ110" s="113">
        <f t="shared" si="116"/>
        <v>1</v>
      </c>
      <c r="AK110" s="459">
        <f t="shared" si="116"/>
        <v>0</v>
      </c>
      <c r="AL110" s="461">
        <f t="shared" si="116"/>
        <v>104</v>
      </c>
      <c r="AM110" s="582">
        <f t="shared" si="116"/>
        <v>89</v>
      </c>
      <c r="AN110" s="113">
        <f t="shared" si="116"/>
        <v>36</v>
      </c>
      <c r="AO110" s="113">
        <f t="shared" si="116"/>
        <v>5</v>
      </c>
      <c r="AP110" s="113">
        <f t="shared" si="116"/>
        <v>48</v>
      </c>
      <c r="AQ110" s="460">
        <f t="shared" si="116"/>
        <v>0</v>
      </c>
      <c r="AR110" s="582">
        <f t="shared" si="116"/>
        <v>15</v>
      </c>
      <c r="AS110" s="113">
        <f t="shared" si="116"/>
        <v>2</v>
      </c>
      <c r="AT110" s="113">
        <f t="shared" si="116"/>
        <v>0</v>
      </c>
      <c r="AU110" s="113">
        <f t="shared" si="116"/>
        <v>12</v>
      </c>
      <c r="AV110" s="459">
        <f t="shared" si="116"/>
        <v>1</v>
      </c>
      <c r="AW110" s="461">
        <f t="shared" si="120"/>
        <v>48</v>
      </c>
      <c r="AX110" s="582">
        <f t="shared" si="120"/>
        <v>42</v>
      </c>
      <c r="AY110" s="113">
        <f t="shared" si="120"/>
        <v>19</v>
      </c>
      <c r="AZ110" s="113">
        <f t="shared" si="120"/>
        <v>0</v>
      </c>
      <c r="BA110" s="113">
        <f t="shared" si="120"/>
        <v>23</v>
      </c>
      <c r="BB110" s="460">
        <f t="shared" si="120"/>
        <v>0</v>
      </c>
      <c r="BC110" s="582">
        <f t="shared" si="120"/>
        <v>6</v>
      </c>
      <c r="BD110" s="113">
        <f t="shared" si="120"/>
        <v>1</v>
      </c>
      <c r="BE110" s="113">
        <f t="shared" si="120"/>
        <v>0</v>
      </c>
      <c r="BF110" s="113">
        <f t="shared" si="120"/>
        <v>5</v>
      </c>
      <c r="BG110" s="459">
        <f t="shared" si="120"/>
        <v>0</v>
      </c>
      <c r="BH110" s="461">
        <f t="shared" si="120"/>
        <v>105</v>
      </c>
      <c r="BI110" s="582">
        <f t="shared" si="120"/>
        <v>97</v>
      </c>
      <c r="BJ110" s="113">
        <f t="shared" si="120"/>
        <v>42</v>
      </c>
      <c r="BK110" s="113">
        <f t="shared" si="120"/>
        <v>1</v>
      </c>
      <c r="BL110" s="113">
        <f t="shared" si="120"/>
        <v>54</v>
      </c>
      <c r="BM110" s="460">
        <f t="shared" si="120"/>
        <v>0</v>
      </c>
      <c r="BN110" s="582">
        <f t="shared" si="120"/>
        <v>8</v>
      </c>
      <c r="BO110" s="113">
        <f t="shared" si="120"/>
        <v>3</v>
      </c>
      <c r="BP110" s="113">
        <f t="shared" si="120"/>
        <v>0</v>
      </c>
      <c r="BQ110" s="113">
        <f t="shared" si="120"/>
        <v>5</v>
      </c>
      <c r="BR110" s="459">
        <f t="shared" si="120"/>
        <v>0</v>
      </c>
      <c r="BS110" s="461">
        <f t="shared" si="120"/>
        <v>123</v>
      </c>
      <c r="BT110" s="582">
        <f t="shared" si="120"/>
        <v>112</v>
      </c>
      <c r="BU110" s="113">
        <f t="shared" si="120"/>
        <v>46</v>
      </c>
      <c r="BV110" s="113">
        <f t="shared" si="120"/>
        <v>0</v>
      </c>
      <c r="BW110" s="113">
        <f t="shared" si="120"/>
        <v>66</v>
      </c>
      <c r="BX110" s="460">
        <f t="shared" si="120"/>
        <v>0</v>
      </c>
      <c r="BY110" s="582">
        <f t="shared" si="120"/>
        <v>11</v>
      </c>
      <c r="BZ110" s="113">
        <f t="shared" si="120"/>
        <v>4</v>
      </c>
      <c r="CA110" s="113">
        <f t="shared" si="120"/>
        <v>0</v>
      </c>
      <c r="CB110" s="113">
        <f t="shared" si="120"/>
        <v>7</v>
      </c>
      <c r="CC110" s="459">
        <f t="shared" si="120"/>
        <v>0</v>
      </c>
      <c r="CD110" s="461">
        <f t="shared" si="120"/>
        <v>23</v>
      </c>
      <c r="CE110" s="582">
        <f t="shared" si="120"/>
        <v>21</v>
      </c>
      <c r="CF110" s="113">
        <f t="shared" si="120"/>
        <v>7</v>
      </c>
      <c r="CG110" s="113">
        <f t="shared" si="120"/>
        <v>2</v>
      </c>
      <c r="CH110" s="113">
        <f t="shared" si="120"/>
        <v>12</v>
      </c>
      <c r="CI110" s="460">
        <f t="shared" si="120"/>
        <v>0</v>
      </c>
      <c r="CJ110" s="582">
        <f t="shared" si="120"/>
        <v>2</v>
      </c>
      <c r="CK110" s="113">
        <f t="shared" si="120"/>
        <v>0</v>
      </c>
      <c r="CL110" s="113">
        <f t="shared" si="120"/>
        <v>0</v>
      </c>
      <c r="CM110" s="113">
        <f t="shared" si="120"/>
        <v>2</v>
      </c>
      <c r="CN110" s="459">
        <f t="shared" si="120"/>
        <v>0</v>
      </c>
      <c r="CO110" s="461">
        <f t="shared" si="120"/>
        <v>13</v>
      </c>
      <c r="CP110" s="582">
        <f t="shared" si="120"/>
        <v>10</v>
      </c>
      <c r="CQ110" s="113">
        <f t="shared" si="120"/>
        <v>2</v>
      </c>
      <c r="CR110" s="113">
        <f t="shared" si="120"/>
        <v>0</v>
      </c>
      <c r="CS110" s="113">
        <f t="shared" si="120"/>
        <v>8</v>
      </c>
      <c r="CT110" s="460">
        <f t="shared" si="120"/>
        <v>0</v>
      </c>
      <c r="CU110" s="582">
        <f t="shared" si="119"/>
        <v>3</v>
      </c>
      <c r="CV110" s="113">
        <f t="shared" si="119"/>
        <v>0</v>
      </c>
      <c r="CW110" s="113">
        <f t="shared" si="119"/>
        <v>0</v>
      </c>
      <c r="CX110" s="113">
        <f t="shared" si="119"/>
        <v>3</v>
      </c>
      <c r="CY110" s="459">
        <f t="shared" si="119"/>
        <v>0</v>
      </c>
      <c r="CZ110" s="461">
        <f t="shared" si="119"/>
        <v>7</v>
      </c>
      <c r="DA110" s="582">
        <f t="shared" si="119"/>
        <v>5</v>
      </c>
      <c r="DB110" s="113">
        <f t="shared" si="119"/>
        <v>3</v>
      </c>
      <c r="DC110" s="113">
        <f t="shared" si="119"/>
        <v>0</v>
      </c>
      <c r="DD110" s="113">
        <f t="shared" si="119"/>
        <v>2</v>
      </c>
      <c r="DE110" s="460">
        <f t="shared" si="119"/>
        <v>0</v>
      </c>
      <c r="DF110" s="582">
        <f t="shared" si="119"/>
        <v>2</v>
      </c>
      <c r="DG110" s="113">
        <f t="shared" si="119"/>
        <v>0</v>
      </c>
      <c r="DH110" s="113">
        <f t="shared" si="119"/>
        <v>0</v>
      </c>
      <c r="DI110" s="113">
        <f t="shared" si="119"/>
        <v>2</v>
      </c>
      <c r="DJ110" s="459">
        <f t="shared" si="119"/>
        <v>0</v>
      </c>
      <c r="DK110" s="461">
        <f t="shared" si="119"/>
        <v>0</v>
      </c>
      <c r="DL110" s="582">
        <f t="shared" si="118"/>
        <v>0</v>
      </c>
      <c r="DM110" s="113">
        <f t="shared" si="118"/>
        <v>0</v>
      </c>
      <c r="DN110" s="113">
        <f t="shared" si="118"/>
        <v>0</v>
      </c>
      <c r="DO110" s="113">
        <f t="shared" si="118"/>
        <v>0</v>
      </c>
      <c r="DP110" s="460">
        <f t="shared" si="113"/>
        <v>0</v>
      </c>
      <c r="DQ110" s="582">
        <f t="shared" si="113"/>
        <v>0</v>
      </c>
      <c r="DR110" s="113">
        <f t="shared" si="113"/>
        <v>0</v>
      </c>
      <c r="DS110" s="113">
        <f t="shared" si="113"/>
        <v>0</v>
      </c>
      <c r="DT110" s="113">
        <f t="shared" si="113"/>
        <v>0</v>
      </c>
      <c r="DU110" s="459">
        <f t="shared" si="113"/>
        <v>0</v>
      </c>
      <c r="DW110" s="461">
        <f t="shared" si="102"/>
        <v>341</v>
      </c>
      <c r="DX110" s="582">
        <f t="shared" si="102"/>
        <v>303</v>
      </c>
      <c r="DY110" s="113">
        <f t="shared" si="102"/>
        <v>124</v>
      </c>
      <c r="DZ110" s="113">
        <f t="shared" si="100"/>
        <v>4</v>
      </c>
      <c r="EA110" s="113">
        <f t="shared" si="100"/>
        <v>175</v>
      </c>
      <c r="EB110" s="460">
        <f t="shared" si="100"/>
        <v>0</v>
      </c>
      <c r="EC110" s="582">
        <f t="shared" si="100"/>
        <v>38</v>
      </c>
      <c r="ED110" s="113">
        <f t="shared" si="100"/>
        <v>9</v>
      </c>
      <c r="EE110" s="113">
        <f t="shared" si="100"/>
        <v>0</v>
      </c>
      <c r="EF110" s="113">
        <f t="shared" si="76"/>
        <v>28</v>
      </c>
      <c r="EG110" s="459">
        <f t="shared" si="76"/>
        <v>1</v>
      </c>
      <c r="EH110" s="461">
        <f t="shared" si="91"/>
        <v>104</v>
      </c>
      <c r="EI110" s="582">
        <f t="shared" si="91"/>
        <v>89</v>
      </c>
      <c r="EJ110" s="113">
        <f t="shared" si="91"/>
        <v>36</v>
      </c>
      <c r="EK110" s="113">
        <f t="shared" si="91"/>
        <v>5</v>
      </c>
      <c r="EL110" s="113">
        <f t="shared" si="91"/>
        <v>48</v>
      </c>
      <c r="EM110" s="460">
        <f t="shared" si="111"/>
        <v>0</v>
      </c>
      <c r="EN110" s="582">
        <f t="shared" si="111"/>
        <v>15</v>
      </c>
      <c r="EO110" s="113">
        <f t="shared" si="111"/>
        <v>2</v>
      </c>
      <c r="EP110" s="113">
        <f t="shared" si="111"/>
        <v>0</v>
      </c>
      <c r="EQ110" s="113">
        <f t="shared" si="111"/>
        <v>12</v>
      </c>
      <c r="ER110" s="459">
        <f t="shared" si="111"/>
        <v>1</v>
      </c>
    </row>
    <row r="111" spans="1:148">
      <c r="A111" s="466" t="s">
        <v>421</v>
      </c>
      <c r="B111" s="581">
        <v>44774</v>
      </c>
      <c r="C111" s="470">
        <v>2022</v>
      </c>
      <c r="D111" s="461">
        <f t="shared" si="121"/>
        <v>153779</v>
      </c>
      <c r="E111" s="461">
        <f t="shared" si="117"/>
        <v>11013</v>
      </c>
      <c r="F111" s="582">
        <f t="shared" si="117"/>
        <v>9716</v>
      </c>
      <c r="G111" s="113">
        <f t="shared" si="117"/>
        <v>3995</v>
      </c>
      <c r="H111" s="113">
        <f t="shared" si="117"/>
        <v>469</v>
      </c>
      <c r="I111" s="113">
        <f t="shared" si="117"/>
        <v>5206</v>
      </c>
      <c r="J111" s="460">
        <f t="shared" si="117"/>
        <v>46</v>
      </c>
      <c r="K111" s="582">
        <f t="shared" si="117"/>
        <v>1297</v>
      </c>
      <c r="L111" s="113">
        <f t="shared" si="117"/>
        <v>201</v>
      </c>
      <c r="M111" s="113">
        <f t="shared" si="117"/>
        <v>0</v>
      </c>
      <c r="N111" s="113">
        <f t="shared" si="117"/>
        <v>1001</v>
      </c>
      <c r="O111" s="459">
        <f t="shared" si="117"/>
        <v>95</v>
      </c>
      <c r="P111" s="461">
        <f t="shared" si="117"/>
        <v>15</v>
      </c>
      <c r="Q111" s="582">
        <f t="shared" si="117"/>
        <v>11</v>
      </c>
      <c r="R111" s="113">
        <f t="shared" si="117"/>
        <v>4</v>
      </c>
      <c r="S111" s="113">
        <f t="shared" si="117"/>
        <v>0</v>
      </c>
      <c r="T111" s="113">
        <f t="shared" si="117"/>
        <v>7</v>
      </c>
      <c r="U111" s="460">
        <f t="shared" si="116"/>
        <v>0</v>
      </c>
      <c r="V111" s="582">
        <f t="shared" si="116"/>
        <v>4</v>
      </c>
      <c r="W111" s="113">
        <f t="shared" si="116"/>
        <v>0</v>
      </c>
      <c r="X111" s="113">
        <f t="shared" si="116"/>
        <v>0</v>
      </c>
      <c r="Y111" s="113">
        <f t="shared" si="116"/>
        <v>3</v>
      </c>
      <c r="Z111" s="459">
        <f t="shared" si="116"/>
        <v>1</v>
      </c>
      <c r="AA111" s="461">
        <f t="shared" si="116"/>
        <v>7</v>
      </c>
      <c r="AB111" s="582">
        <f t="shared" si="116"/>
        <v>5</v>
      </c>
      <c r="AC111" s="113">
        <f t="shared" si="116"/>
        <v>1</v>
      </c>
      <c r="AD111" s="113">
        <f t="shared" si="116"/>
        <v>1</v>
      </c>
      <c r="AE111" s="113">
        <f t="shared" si="116"/>
        <v>3</v>
      </c>
      <c r="AF111" s="460">
        <f t="shared" si="116"/>
        <v>0</v>
      </c>
      <c r="AG111" s="582">
        <f t="shared" si="116"/>
        <v>2</v>
      </c>
      <c r="AH111" s="113">
        <f t="shared" si="116"/>
        <v>1</v>
      </c>
      <c r="AI111" s="113">
        <f t="shared" si="116"/>
        <v>0</v>
      </c>
      <c r="AJ111" s="113">
        <f t="shared" si="116"/>
        <v>1</v>
      </c>
      <c r="AK111" s="459">
        <f t="shared" si="116"/>
        <v>0</v>
      </c>
      <c r="AL111" s="461">
        <f t="shared" si="116"/>
        <v>104</v>
      </c>
      <c r="AM111" s="582">
        <f t="shared" si="116"/>
        <v>89</v>
      </c>
      <c r="AN111" s="113">
        <f t="shared" si="116"/>
        <v>36</v>
      </c>
      <c r="AO111" s="113">
        <f t="shared" si="116"/>
        <v>5</v>
      </c>
      <c r="AP111" s="113">
        <f t="shared" si="116"/>
        <v>48</v>
      </c>
      <c r="AQ111" s="460">
        <f t="shared" si="116"/>
        <v>0</v>
      </c>
      <c r="AR111" s="582">
        <f t="shared" si="116"/>
        <v>15</v>
      </c>
      <c r="AS111" s="113">
        <f t="shared" si="116"/>
        <v>2</v>
      </c>
      <c r="AT111" s="113">
        <f t="shared" si="116"/>
        <v>0</v>
      </c>
      <c r="AU111" s="113">
        <f t="shared" si="116"/>
        <v>12</v>
      </c>
      <c r="AV111" s="459">
        <f t="shared" si="116"/>
        <v>1</v>
      </c>
      <c r="AW111" s="461">
        <f t="shared" si="120"/>
        <v>48</v>
      </c>
      <c r="AX111" s="582">
        <f t="shared" si="120"/>
        <v>42</v>
      </c>
      <c r="AY111" s="113">
        <f t="shared" si="120"/>
        <v>19</v>
      </c>
      <c r="AZ111" s="113">
        <f t="shared" si="120"/>
        <v>0</v>
      </c>
      <c r="BA111" s="113">
        <f t="shared" si="120"/>
        <v>23</v>
      </c>
      <c r="BB111" s="460">
        <f t="shared" si="120"/>
        <v>0</v>
      </c>
      <c r="BC111" s="582">
        <f t="shared" si="120"/>
        <v>6</v>
      </c>
      <c r="BD111" s="113">
        <f t="shared" si="120"/>
        <v>1</v>
      </c>
      <c r="BE111" s="113">
        <f t="shared" si="120"/>
        <v>0</v>
      </c>
      <c r="BF111" s="113">
        <f t="shared" si="120"/>
        <v>5</v>
      </c>
      <c r="BG111" s="459">
        <f t="shared" si="120"/>
        <v>0</v>
      </c>
      <c r="BH111" s="461">
        <f t="shared" si="120"/>
        <v>105</v>
      </c>
      <c r="BI111" s="582">
        <f t="shared" si="120"/>
        <v>97</v>
      </c>
      <c r="BJ111" s="113">
        <f t="shared" si="120"/>
        <v>42</v>
      </c>
      <c r="BK111" s="113">
        <f t="shared" si="120"/>
        <v>1</v>
      </c>
      <c r="BL111" s="113">
        <f t="shared" si="120"/>
        <v>54</v>
      </c>
      <c r="BM111" s="460">
        <f t="shared" si="120"/>
        <v>0</v>
      </c>
      <c r="BN111" s="582">
        <f t="shared" si="120"/>
        <v>8</v>
      </c>
      <c r="BO111" s="113">
        <f t="shared" si="120"/>
        <v>3</v>
      </c>
      <c r="BP111" s="113">
        <f t="shared" si="120"/>
        <v>0</v>
      </c>
      <c r="BQ111" s="113">
        <f t="shared" si="120"/>
        <v>5</v>
      </c>
      <c r="BR111" s="459">
        <f t="shared" si="120"/>
        <v>0</v>
      </c>
      <c r="BS111" s="461">
        <f t="shared" si="120"/>
        <v>123</v>
      </c>
      <c r="BT111" s="582">
        <f t="shared" si="120"/>
        <v>112</v>
      </c>
      <c r="BU111" s="113">
        <f t="shared" si="120"/>
        <v>46</v>
      </c>
      <c r="BV111" s="113">
        <f t="shared" si="120"/>
        <v>0</v>
      </c>
      <c r="BW111" s="113">
        <f t="shared" si="120"/>
        <v>66</v>
      </c>
      <c r="BX111" s="460">
        <f t="shared" si="120"/>
        <v>0</v>
      </c>
      <c r="BY111" s="582">
        <f t="shared" si="120"/>
        <v>11</v>
      </c>
      <c r="BZ111" s="113">
        <f t="shared" si="120"/>
        <v>4</v>
      </c>
      <c r="CA111" s="113">
        <f t="shared" si="120"/>
        <v>0</v>
      </c>
      <c r="CB111" s="113">
        <f t="shared" si="120"/>
        <v>7</v>
      </c>
      <c r="CC111" s="459">
        <f t="shared" si="120"/>
        <v>0</v>
      </c>
      <c r="CD111" s="461">
        <f t="shared" si="120"/>
        <v>23</v>
      </c>
      <c r="CE111" s="582">
        <f t="shared" si="120"/>
        <v>21</v>
      </c>
      <c r="CF111" s="113">
        <f t="shared" si="120"/>
        <v>7</v>
      </c>
      <c r="CG111" s="113">
        <f t="shared" si="120"/>
        <v>2</v>
      </c>
      <c r="CH111" s="113">
        <f t="shared" si="120"/>
        <v>12</v>
      </c>
      <c r="CI111" s="460">
        <f t="shared" si="120"/>
        <v>0</v>
      </c>
      <c r="CJ111" s="582">
        <f t="shared" si="120"/>
        <v>2</v>
      </c>
      <c r="CK111" s="113">
        <f t="shared" si="120"/>
        <v>0</v>
      </c>
      <c r="CL111" s="113">
        <f t="shared" si="120"/>
        <v>0</v>
      </c>
      <c r="CM111" s="113">
        <f t="shared" si="120"/>
        <v>2</v>
      </c>
      <c r="CN111" s="459">
        <f t="shared" si="120"/>
        <v>0</v>
      </c>
      <c r="CO111" s="461">
        <f t="shared" si="120"/>
        <v>13</v>
      </c>
      <c r="CP111" s="582">
        <f t="shared" si="120"/>
        <v>10</v>
      </c>
      <c r="CQ111" s="113">
        <f t="shared" si="120"/>
        <v>2</v>
      </c>
      <c r="CR111" s="113">
        <f t="shared" ref="CR111:DU121" si="122">SUMIFS(CR$5:CR$36,$B$5:$B$36,$A111)</f>
        <v>0</v>
      </c>
      <c r="CS111" s="113">
        <f t="shared" si="122"/>
        <v>8</v>
      </c>
      <c r="CT111" s="460">
        <f t="shared" si="122"/>
        <v>0</v>
      </c>
      <c r="CU111" s="582">
        <f t="shared" si="122"/>
        <v>3</v>
      </c>
      <c r="CV111" s="113">
        <f t="shared" si="122"/>
        <v>0</v>
      </c>
      <c r="CW111" s="113">
        <f t="shared" si="122"/>
        <v>0</v>
      </c>
      <c r="CX111" s="113">
        <f t="shared" si="122"/>
        <v>3</v>
      </c>
      <c r="CY111" s="459">
        <f t="shared" si="122"/>
        <v>0</v>
      </c>
      <c r="CZ111" s="461">
        <f t="shared" si="122"/>
        <v>7</v>
      </c>
      <c r="DA111" s="582">
        <f t="shared" si="122"/>
        <v>5</v>
      </c>
      <c r="DB111" s="113">
        <f t="shared" si="122"/>
        <v>3</v>
      </c>
      <c r="DC111" s="113">
        <f t="shared" si="122"/>
        <v>0</v>
      </c>
      <c r="DD111" s="113">
        <f t="shared" si="122"/>
        <v>2</v>
      </c>
      <c r="DE111" s="460">
        <f t="shared" si="122"/>
        <v>0</v>
      </c>
      <c r="DF111" s="582">
        <f t="shared" si="122"/>
        <v>2</v>
      </c>
      <c r="DG111" s="113">
        <f t="shared" si="122"/>
        <v>0</v>
      </c>
      <c r="DH111" s="113">
        <f t="shared" si="122"/>
        <v>0</v>
      </c>
      <c r="DI111" s="113">
        <f t="shared" si="122"/>
        <v>2</v>
      </c>
      <c r="DJ111" s="459">
        <f t="shared" si="122"/>
        <v>0</v>
      </c>
      <c r="DK111" s="461">
        <f t="shared" si="122"/>
        <v>0</v>
      </c>
      <c r="DL111" s="582">
        <f t="shared" si="122"/>
        <v>0</v>
      </c>
      <c r="DM111" s="113">
        <f t="shared" si="122"/>
        <v>0</v>
      </c>
      <c r="DN111" s="113">
        <f t="shared" si="122"/>
        <v>0</v>
      </c>
      <c r="DO111" s="113">
        <f t="shared" si="122"/>
        <v>0</v>
      </c>
      <c r="DP111" s="460">
        <f t="shared" si="122"/>
        <v>0</v>
      </c>
      <c r="DQ111" s="582">
        <f t="shared" si="122"/>
        <v>0</v>
      </c>
      <c r="DR111" s="113">
        <f t="shared" si="122"/>
        <v>0</v>
      </c>
      <c r="DS111" s="113">
        <f t="shared" si="122"/>
        <v>0</v>
      </c>
      <c r="DT111" s="113">
        <f t="shared" si="122"/>
        <v>0</v>
      </c>
      <c r="DU111" s="459">
        <f t="shared" si="113"/>
        <v>0</v>
      </c>
      <c r="DW111" s="461">
        <f t="shared" si="102"/>
        <v>341</v>
      </c>
      <c r="DX111" s="582">
        <f t="shared" si="102"/>
        <v>303</v>
      </c>
      <c r="DY111" s="113">
        <f t="shared" si="102"/>
        <v>124</v>
      </c>
      <c r="DZ111" s="113">
        <f t="shared" si="100"/>
        <v>4</v>
      </c>
      <c r="EA111" s="113">
        <f t="shared" si="100"/>
        <v>175</v>
      </c>
      <c r="EB111" s="460">
        <f t="shared" si="100"/>
        <v>0</v>
      </c>
      <c r="EC111" s="582">
        <f t="shared" si="100"/>
        <v>38</v>
      </c>
      <c r="ED111" s="113">
        <f t="shared" si="100"/>
        <v>9</v>
      </c>
      <c r="EE111" s="113">
        <f t="shared" si="100"/>
        <v>0</v>
      </c>
      <c r="EF111" s="113">
        <f t="shared" si="76"/>
        <v>28</v>
      </c>
      <c r="EG111" s="459">
        <f t="shared" si="76"/>
        <v>1</v>
      </c>
      <c r="EH111" s="461">
        <f t="shared" si="91"/>
        <v>104</v>
      </c>
      <c r="EI111" s="582">
        <f t="shared" si="91"/>
        <v>89</v>
      </c>
      <c r="EJ111" s="113">
        <f t="shared" si="91"/>
        <v>36</v>
      </c>
      <c r="EK111" s="113">
        <f t="shared" si="91"/>
        <v>5</v>
      </c>
      <c r="EL111" s="113">
        <f t="shared" si="91"/>
        <v>48</v>
      </c>
      <c r="EM111" s="460">
        <f t="shared" si="111"/>
        <v>0</v>
      </c>
      <c r="EN111" s="582">
        <f t="shared" si="111"/>
        <v>15</v>
      </c>
      <c r="EO111" s="113">
        <f t="shared" si="111"/>
        <v>2</v>
      </c>
      <c r="EP111" s="113">
        <f t="shared" si="111"/>
        <v>0</v>
      </c>
      <c r="EQ111" s="113">
        <f t="shared" si="111"/>
        <v>12</v>
      </c>
      <c r="ER111" s="459">
        <f t="shared" si="111"/>
        <v>1</v>
      </c>
    </row>
    <row r="112" spans="1:148">
      <c r="A112" s="466" t="s">
        <v>421</v>
      </c>
      <c r="B112" s="581">
        <v>44805</v>
      </c>
      <c r="C112" s="470">
        <v>2022</v>
      </c>
      <c r="D112" s="461">
        <f t="shared" si="121"/>
        <v>153779</v>
      </c>
      <c r="E112" s="461">
        <f t="shared" si="117"/>
        <v>11013</v>
      </c>
      <c r="F112" s="582">
        <f t="shared" si="117"/>
        <v>9716</v>
      </c>
      <c r="G112" s="113">
        <f t="shared" si="117"/>
        <v>3995</v>
      </c>
      <c r="H112" s="113">
        <f t="shared" si="117"/>
        <v>469</v>
      </c>
      <c r="I112" s="113">
        <f t="shared" si="117"/>
        <v>5206</v>
      </c>
      <c r="J112" s="460">
        <f t="shared" si="117"/>
        <v>46</v>
      </c>
      <c r="K112" s="582">
        <f t="shared" si="117"/>
        <v>1297</v>
      </c>
      <c r="L112" s="113">
        <f t="shared" si="117"/>
        <v>201</v>
      </c>
      <c r="M112" s="113">
        <f t="shared" si="117"/>
        <v>0</v>
      </c>
      <c r="N112" s="113">
        <f t="shared" si="117"/>
        <v>1001</v>
      </c>
      <c r="O112" s="459">
        <f t="shared" si="117"/>
        <v>95</v>
      </c>
      <c r="P112" s="461">
        <f t="shared" si="117"/>
        <v>15</v>
      </c>
      <c r="Q112" s="582">
        <f t="shared" si="117"/>
        <v>11</v>
      </c>
      <c r="R112" s="113">
        <f t="shared" si="117"/>
        <v>4</v>
      </c>
      <c r="S112" s="113">
        <f t="shared" si="117"/>
        <v>0</v>
      </c>
      <c r="T112" s="113">
        <f t="shared" si="117"/>
        <v>7</v>
      </c>
      <c r="U112" s="460">
        <f t="shared" si="116"/>
        <v>0</v>
      </c>
      <c r="V112" s="582">
        <f t="shared" si="116"/>
        <v>4</v>
      </c>
      <c r="W112" s="113">
        <f t="shared" si="116"/>
        <v>0</v>
      </c>
      <c r="X112" s="113">
        <f t="shared" si="116"/>
        <v>0</v>
      </c>
      <c r="Y112" s="113">
        <f t="shared" si="116"/>
        <v>3</v>
      </c>
      <c r="Z112" s="459">
        <f t="shared" si="116"/>
        <v>1</v>
      </c>
      <c r="AA112" s="461">
        <f t="shared" si="116"/>
        <v>7</v>
      </c>
      <c r="AB112" s="582">
        <f t="shared" si="116"/>
        <v>5</v>
      </c>
      <c r="AC112" s="113">
        <f t="shared" si="116"/>
        <v>1</v>
      </c>
      <c r="AD112" s="113">
        <f t="shared" si="116"/>
        <v>1</v>
      </c>
      <c r="AE112" s="113">
        <f t="shared" si="116"/>
        <v>3</v>
      </c>
      <c r="AF112" s="460">
        <f t="shared" si="116"/>
        <v>0</v>
      </c>
      <c r="AG112" s="582">
        <f t="shared" si="116"/>
        <v>2</v>
      </c>
      <c r="AH112" s="113">
        <f t="shared" si="116"/>
        <v>1</v>
      </c>
      <c r="AI112" s="113">
        <f t="shared" si="116"/>
        <v>0</v>
      </c>
      <c r="AJ112" s="113">
        <f t="shared" si="116"/>
        <v>1</v>
      </c>
      <c r="AK112" s="459">
        <f t="shared" si="116"/>
        <v>0</v>
      </c>
      <c r="AL112" s="461">
        <f t="shared" si="116"/>
        <v>104</v>
      </c>
      <c r="AM112" s="582">
        <f t="shared" si="116"/>
        <v>89</v>
      </c>
      <c r="AN112" s="113">
        <f t="shared" si="116"/>
        <v>36</v>
      </c>
      <c r="AO112" s="113">
        <f t="shared" si="116"/>
        <v>5</v>
      </c>
      <c r="AP112" s="113">
        <f t="shared" si="116"/>
        <v>48</v>
      </c>
      <c r="AQ112" s="460">
        <f t="shared" si="116"/>
        <v>0</v>
      </c>
      <c r="AR112" s="582">
        <f t="shared" si="116"/>
        <v>15</v>
      </c>
      <c r="AS112" s="113">
        <f t="shared" si="116"/>
        <v>2</v>
      </c>
      <c r="AT112" s="113">
        <f t="shared" si="116"/>
        <v>0</v>
      </c>
      <c r="AU112" s="113">
        <f t="shared" si="116"/>
        <v>12</v>
      </c>
      <c r="AV112" s="459">
        <f t="shared" si="116"/>
        <v>1</v>
      </c>
      <c r="AW112" s="461">
        <f t="shared" ref="AW112:DC116" si="123">SUMIFS(AW$5:AW$36,$B$5:$B$36,$A112)</f>
        <v>48</v>
      </c>
      <c r="AX112" s="582">
        <f t="shared" si="123"/>
        <v>42</v>
      </c>
      <c r="AY112" s="113">
        <f t="shared" si="123"/>
        <v>19</v>
      </c>
      <c r="AZ112" s="113">
        <f t="shared" si="123"/>
        <v>0</v>
      </c>
      <c r="BA112" s="113">
        <f t="shared" si="123"/>
        <v>23</v>
      </c>
      <c r="BB112" s="460">
        <f t="shared" si="123"/>
        <v>0</v>
      </c>
      <c r="BC112" s="582">
        <f t="shared" si="123"/>
        <v>6</v>
      </c>
      <c r="BD112" s="113">
        <f t="shared" si="123"/>
        <v>1</v>
      </c>
      <c r="BE112" s="113">
        <f t="shared" si="123"/>
        <v>0</v>
      </c>
      <c r="BF112" s="113">
        <f t="shared" si="123"/>
        <v>5</v>
      </c>
      <c r="BG112" s="459">
        <f t="shared" si="123"/>
        <v>0</v>
      </c>
      <c r="BH112" s="461">
        <f t="shared" si="123"/>
        <v>105</v>
      </c>
      <c r="BI112" s="582">
        <f t="shared" si="123"/>
        <v>97</v>
      </c>
      <c r="BJ112" s="113">
        <f t="shared" si="123"/>
        <v>42</v>
      </c>
      <c r="BK112" s="113">
        <f t="shared" si="123"/>
        <v>1</v>
      </c>
      <c r="BL112" s="113">
        <f t="shared" si="123"/>
        <v>54</v>
      </c>
      <c r="BM112" s="460">
        <f t="shared" si="123"/>
        <v>0</v>
      </c>
      <c r="BN112" s="582">
        <f t="shared" si="123"/>
        <v>8</v>
      </c>
      <c r="BO112" s="113">
        <f t="shared" si="123"/>
        <v>3</v>
      </c>
      <c r="BP112" s="113">
        <f t="shared" si="123"/>
        <v>0</v>
      </c>
      <c r="BQ112" s="113">
        <f t="shared" si="123"/>
        <v>5</v>
      </c>
      <c r="BR112" s="459">
        <f t="shared" si="123"/>
        <v>0</v>
      </c>
      <c r="BS112" s="461">
        <f t="shared" si="123"/>
        <v>123</v>
      </c>
      <c r="BT112" s="582">
        <f t="shared" si="123"/>
        <v>112</v>
      </c>
      <c r="BU112" s="113">
        <f t="shared" si="123"/>
        <v>46</v>
      </c>
      <c r="BV112" s="113">
        <f t="shared" si="123"/>
        <v>0</v>
      </c>
      <c r="BW112" s="113">
        <f t="shared" si="123"/>
        <v>66</v>
      </c>
      <c r="BX112" s="460">
        <f t="shared" si="123"/>
        <v>0</v>
      </c>
      <c r="BY112" s="582">
        <f t="shared" si="123"/>
        <v>11</v>
      </c>
      <c r="BZ112" s="113">
        <f t="shared" si="123"/>
        <v>4</v>
      </c>
      <c r="CA112" s="113">
        <f t="shared" si="123"/>
        <v>0</v>
      </c>
      <c r="CB112" s="113">
        <f t="shared" si="123"/>
        <v>7</v>
      </c>
      <c r="CC112" s="459">
        <f t="shared" si="123"/>
        <v>0</v>
      </c>
      <c r="CD112" s="461">
        <f t="shared" si="123"/>
        <v>23</v>
      </c>
      <c r="CE112" s="582">
        <f t="shared" si="123"/>
        <v>21</v>
      </c>
      <c r="CF112" s="113">
        <f t="shared" si="123"/>
        <v>7</v>
      </c>
      <c r="CG112" s="113">
        <f t="shared" si="123"/>
        <v>2</v>
      </c>
      <c r="CH112" s="113">
        <f t="shared" si="123"/>
        <v>12</v>
      </c>
      <c r="CI112" s="460">
        <f t="shared" si="123"/>
        <v>0</v>
      </c>
      <c r="CJ112" s="582">
        <f t="shared" si="123"/>
        <v>2</v>
      </c>
      <c r="CK112" s="113">
        <f t="shared" si="123"/>
        <v>0</v>
      </c>
      <c r="CL112" s="113">
        <f t="shared" si="123"/>
        <v>0</v>
      </c>
      <c r="CM112" s="113">
        <f t="shared" si="123"/>
        <v>2</v>
      </c>
      <c r="CN112" s="459">
        <f t="shared" si="123"/>
        <v>0</v>
      </c>
      <c r="CO112" s="461">
        <f t="shared" si="123"/>
        <v>13</v>
      </c>
      <c r="CP112" s="582">
        <f t="shared" si="123"/>
        <v>10</v>
      </c>
      <c r="CQ112" s="113">
        <f t="shared" si="123"/>
        <v>2</v>
      </c>
      <c r="CR112" s="113">
        <f t="shared" si="123"/>
        <v>0</v>
      </c>
      <c r="CS112" s="113">
        <f t="shared" si="123"/>
        <v>8</v>
      </c>
      <c r="CT112" s="460">
        <f t="shared" si="123"/>
        <v>0</v>
      </c>
      <c r="CU112" s="582">
        <f t="shared" si="122"/>
        <v>3</v>
      </c>
      <c r="CV112" s="113">
        <f t="shared" si="122"/>
        <v>0</v>
      </c>
      <c r="CW112" s="113">
        <f t="shared" si="122"/>
        <v>0</v>
      </c>
      <c r="CX112" s="113">
        <f t="shared" si="122"/>
        <v>3</v>
      </c>
      <c r="CY112" s="459">
        <f t="shared" si="122"/>
        <v>0</v>
      </c>
      <c r="CZ112" s="461">
        <f t="shared" si="122"/>
        <v>7</v>
      </c>
      <c r="DA112" s="582">
        <f t="shared" si="122"/>
        <v>5</v>
      </c>
      <c r="DB112" s="113">
        <f t="shared" si="122"/>
        <v>3</v>
      </c>
      <c r="DC112" s="113">
        <f t="shared" si="122"/>
        <v>0</v>
      </c>
      <c r="DD112" s="113">
        <f t="shared" si="122"/>
        <v>2</v>
      </c>
      <c r="DE112" s="460">
        <f t="shared" si="122"/>
        <v>0</v>
      </c>
      <c r="DF112" s="582">
        <f t="shared" si="122"/>
        <v>2</v>
      </c>
      <c r="DG112" s="113">
        <f t="shared" si="122"/>
        <v>0</v>
      </c>
      <c r="DH112" s="113">
        <f t="shared" si="122"/>
        <v>0</v>
      </c>
      <c r="DI112" s="113">
        <f t="shared" si="122"/>
        <v>2</v>
      </c>
      <c r="DJ112" s="459">
        <f t="shared" si="122"/>
        <v>0</v>
      </c>
      <c r="DK112" s="461">
        <f t="shared" si="122"/>
        <v>0</v>
      </c>
      <c r="DL112" s="582">
        <f t="shared" si="122"/>
        <v>0</v>
      </c>
      <c r="DM112" s="113">
        <f t="shared" si="122"/>
        <v>0</v>
      </c>
      <c r="DN112" s="113">
        <f t="shared" si="122"/>
        <v>0</v>
      </c>
      <c r="DO112" s="113">
        <f t="shared" si="122"/>
        <v>0</v>
      </c>
      <c r="DP112" s="460">
        <f t="shared" si="122"/>
        <v>0</v>
      </c>
      <c r="DQ112" s="582">
        <f t="shared" si="122"/>
        <v>0</v>
      </c>
      <c r="DR112" s="113">
        <f t="shared" si="122"/>
        <v>0</v>
      </c>
      <c r="DS112" s="113">
        <f t="shared" si="122"/>
        <v>0</v>
      </c>
      <c r="DT112" s="113">
        <f t="shared" si="122"/>
        <v>0</v>
      </c>
      <c r="DU112" s="459">
        <f t="shared" si="113"/>
        <v>0</v>
      </c>
      <c r="DW112" s="461">
        <f t="shared" si="102"/>
        <v>341</v>
      </c>
      <c r="DX112" s="582">
        <f t="shared" si="102"/>
        <v>303</v>
      </c>
      <c r="DY112" s="113">
        <f t="shared" si="102"/>
        <v>124</v>
      </c>
      <c r="DZ112" s="113">
        <f t="shared" si="100"/>
        <v>4</v>
      </c>
      <c r="EA112" s="113">
        <f t="shared" si="100"/>
        <v>175</v>
      </c>
      <c r="EB112" s="460">
        <f t="shared" si="100"/>
        <v>0</v>
      </c>
      <c r="EC112" s="582">
        <f t="shared" si="100"/>
        <v>38</v>
      </c>
      <c r="ED112" s="113">
        <f t="shared" si="100"/>
        <v>9</v>
      </c>
      <c r="EE112" s="113">
        <f t="shared" si="100"/>
        <v>0</v>
      </c>
      <c r="EF112" s="113">
        <f t="shared" si="76"/>
        <v>28</v>
      </c>
      <c r="EG112" s="459">
        <f t="shared" si="76"/>
        <v>1</v>
      </c>
      <c r="EH112" s="461">
        <f t="shared" si="91"/>
        <v>104</v>
      </c>
      <c r="EI112" s="582">
        <f t="shared" si="91"/>
        <v>89</v>
      </c>
      <c r="EJ112" s="113">
        <f t="shared" si="91"/>
        <v>36</v>
      </c>
      <c r="EK112" s="113">
        <f t="shared" si="91"/>
        <v>5</v>
      </c>
      <c r="EL112" s="113">
        <f t="shared" si="91"/>
        <v>48</v>
      </c>
      <c r="EM112" s="460">
        <f t="shared" si="111"/>
        <v>0</v>
      </c>
      <c r="EN112" s="582">
        <f t="shared" si="111"/>
        <v>15</v>
      </c>
      <c r="EO112" s="113">
        <f t="shared" si="111"/>
        <v>2</v>
      </c>
      <c r="EP112" s="113">
        <f t="shared" si="111"/>
        <v>0</v>
      </c>
      <c r="EQ112" s="113">
        <f t="shared" si="111"/>
        <v>12</v>
      </c>
      <c r="ER112" s="459">
        <f t="shared" si="111"/>
        <v>1</v>
      </c>
    </row>
    <row r="113" spans="1:148">
      <c r="A113" s="466" t="s">
        <v>422</v>
      </c>
      <c r="B113" s="581">
        <v>44835</v>
      </c>
      <c r="C113" s="470">
        <v>2022</v>
      </c>
      <c r="D113" s="461">
        <f t="shared" si="121"/>
        <v>136338</v>
      </c>
      <c r="E113" s="461">
        <f t="shared" si="117"/>
        <v>10991</v>
      </c>
      <c r="F113" s="582">
        <f t="shared" si="117"/>
        <v>9506</v>
      </c>
      <c r="G113" s="113">
        <f t="shared" si="117"/>
        <v>2594</v>
      </c>
      <c r="H113" s="113">
        <f t="shared" si="117"/>
        <v>344</v>
      </c>
      <c r="I113" s="113">
        <f t="shared" si="117"/>
        <v>6486</v>
      </c>
      <c r="J113" s="460">
        <f t="shared" si="117"/>
        <v>82</v>
      </c>
      <c r="K113" s="582">
        <f t="shared" si="117"/>
        <v>1485</v>
      </c>
      <c r="L113" s="113">
        <f t="shared" si="117"/>
        <v>171</v>
      </c>
      <c r="M113" s="113">
        <f t="shared" si="117"/>
        <v>0</v>
      </c>
      <c r="N113" s="113">
        <f t="shared" si="117"/>
        <v>1248</v>
      </c>
      <c r="O113" s="459">
        <f t="shared" si="117"/>
        <v>66</v>
      </c>
      <c r="P113" s="461">
        <f t="shared" si="117"/>
        <v>12</v>
      </c>
      <c r="Q113" s="582">
        <f t="shared" si="117"/>
        <v>11</v>
      </c>
      <c r="R113" s="113">
        <f t="shared" si="117"/>
        <v>4</v>
      </c>
      <c r="S113" s="113">
        <f t="shared" si="117"/>
        <v>0</v>
      </c>
      <c r="T113" s="113">
        <f t="shared" si="117"/>
        <v>7</v>
      </c>
      <c r="U113" s="460">
        <f t="shared" si="116"/>
        <v>0</v>
      </c>
      <c r="V113" s="582">
        <f t="shared" si="116"/>
        <v>1</v>
      </c>
      <c r="W113" s="113">
        <f t="shared" ref="W113:AY127" si="124">SUMIFS(W$5:W$36,$B$5:$B$36,$A113)</f>
        <v>0</v>
      </c>
      <c r="X113" s="113">
        <f t="shared" si="124"/>
        <v>0</v>
      </c>
      <c r="Y113" s="113">
        <f t="shared" si="124"/>
        <v>1</v>
      </c>
      <c r="Z113" s="459">
        <f t="shared" si="124"/>
        <v>0</v>
      </c>
      <c r="AA113" s="461">
        <f t="shared" si="124"/>
        <v>6</v>
      </c>
      <c r="AB113" s="582">
        <f t="shared" si="124"/>
        <v>5</v>
      </c>
      <c r="AC113" s="113">
        <f t="shared" si="124"/>
        <v>4</v>
      </c>
      <c r="AD113" s="113">
        <f t="shared" si="124"/>
        <v>0</v>
      </c>
      <c r="AE113" s="113">
        <f t="shared" si="124"/>
        <v>1</v>
      </c>
      <c r="AF113" s="460">
        <f t="shared" si="124"/>
        <v>0</v>
      </c>
      <c r="AG113" s="582">
        <f t="shared" si="124"/>
        <v>1</v>
      </c>
      <c r="AH113" s="113">
        <f t="shared" si="124"/>
        <v>1</v>
      </c>
      <c r="AI113" s="113">
        <f t="shared" si="124"/>
        <v>0</v>
      </c>
      <c r="AJ113" s="113">
        <f t="shared" si="124"/>
        <v>0</v>
      </c>
      <c r="AK113" s="459">
        <f t="shared" si="124"/>
        <v>0</v>
      </c>
      <c r="AL113" s="461">
        <f t="shared" si="124"/>
        <v>106</v>
      </c>
      <c r="AM113" s="582">
        <f t="shared" si="124"/>
        <v>89</v>
      </c>
      <c r="AN113" s="113">
        <f t="shared" si="124"/>
        <v>34</v>
      </c>
      <c r="AO113" s="113">
        <f t="shared" si="124"/>
        <v>3</v>
      </c>
      <c r="AP113" s="113">
        <f t="shared" si="124"/>
        <v>52</v>
      </c>
      <c r="AQ113" s="460">
        <f t="shared" si="124"/>
        <v>0</v>
      </c>
      <c r="AR113" s="582">
        <f t="shared" si="124"/>
        <v>17</v>
      </c>
      <c r="AS113" s="113">
        <f t="shared" si="124"/>
        <v>1</v>
      </c>
      <c r="AT113" s="113">
        <f t="shared" si="124"/>
        <v>0</v>
      </c>
      <c r="AU113" s="113">
        <f t="shared" si="124"/>
        <v>15</v>
      </c>
      <c r="AV113" s="459">
        <f t="shared" si="124"/>
        <v>1</v>
      </c>
      <c r="AW113" s="461">
        <f t="shared" si="124"/>
        <v>65</v>
      </c>
      <c r="AX113" s="582">
        <f t="shared" si="124"/>
        <v>51</v>
      </c>
      <c r="AY113" s="113">
        <f t="shared" si="124"/>
        <v>22</v>
      </c>
      <c r="AZ113" s="113">
        <f t="shared" si="123"/>
        <v>0</v>
      </c>
      <c r="BA113" s="113">
        <f t="shared" si="123"/>
        <v>29</v>
      </c>
      <c r="BB113" s="460">
        <f t="shared" si="123"/>
        <v>0</v>
      </c>
      <c r="BC113" s="582">
        <f t="shared" si="123"/>
        <v>14</v>
      </c>
      <c r="BD113" s="113">
        <f t="shared" si="123"/>
        <v>3</v>
      </c>
      <c r="BE113" s="113">
        <f t="shared" si="123"/>
        <v>0</v>
      </c>
      <c r="BF113" s="113">
        <f t="shared" si="123"/>
        <v>11</v>
      </c>
      <c r="BG113" s="459">
        <f t="shared" si="123"/>
        <v>0</v>
      </c>
      <c r="BH113" s="461">
        <f t="shared" si="123"/>
        <v>94</v>
      </c>
      <c r="BI113" s="582">
        <f t="shared" si="123"/>
        <v>83</v>
      </c>
      <c r="BJ113" s="113">
        <f t="shared" si="123"/>
        <v>17</v>
      </c>
      <c r="BK113" s="113">
        <f t="shared" si="123"/>
        <v>2</v>
      </c>
      <c r="BL113" s="113">
        <f t="shared" si="123"/>
        <v>63</v>
      </c>
      <c r="BM113" s="460">
        <f t="shared" si="123"/>
        <v>1</v>
      </c>
      <c r="BN113" s="582">
        <f t="shared" si="123"/>
        <v>11</v>
      </c>
      <c r="BO113" s="113">
        <f t="shared" si="123"/>
        <v>3</v>
      </c>
      <c r="BP113" s="113">
        <f t="shared" si="123"/>
        <v>0</v>
      </c>
      <c r="BQ113" s="113">
        <f t="shared" si="123"/>
        <v>8</v>
      </c>
      <c r="BR113" s="459">
        <f t="shared" si="123"/>
        <v>0</v>
      </c>
      <c r="BS113" s="461">
        <f t="shared" si="123"/>
        <v>141</v>
      </c>
      <c r="BT113" s="582">
        <f t="shared" si="123"/>
        <v>126</v>
      </c>
      <c r="BU113" s="113">
        <f t="shared" si="123"/>
        <v>28</v>
      </c>
      <c r="BV113" s="113">
        <f t="shared" si="123"/>
        <v>1</v>
      </c>
      <c r="BW113" s="113">
        <f t="shared" si="123"/>
        <v>96</v>
      </c>
      <c r="BX113" s="460">
        <f t="shared" si="123"/>
        <v>1</v>
      </c>
      <c r="BY113" s="582">
        <f t="shared" si="123"/>
        <v>15</v>
      </c>
      <c r="BZ113" s="113">
        <f t="shared" si="123"/>
        <v>1</v>
      </c>
      <c r="CA113" s="113">
        <f t="shared" si="123"/>
        <v>0</v>
      </c>
      <c r="CB113" s="113">
        <f t="shared" si="123"/>
        <v>13</v>
      </c>
      <c r="CC113" s="459">
        <f t="shared" si="123"/>
        <v>1</v>
      </c>
      <c r="CD113" s="461">
        <f t="shared" si="123"/>
        <v>32</v>
      </c>
      <c r="CE113" s="582">
        <f t="shared" si="123"/>
        <v>24</v>
      </c>
      <c r="CF113" s="113">
        <f t="shared" si="123"/>
        <v>5</v>
      </c>
      <c r="CG113" s="113">
        <f t="shared" si="123"/>
        <v>0</v>
      </c>
      <c r="CH113" s="113">
        <f t="shared" si="123"/>
        <v>19</v>
      </c>
      <c r="CI113" s="460">
        <f t="shared" si="123"/>
        <v>0</v>
      </c>
      <c r="CJ113" s="582">
        <f t="shared" si="123"/>
        <v>8</v>
      </c>
      <c r="CK113" s="113">
        <f t="shared" si="123"/>
        <v>0</v>
      </c>
      <c r="CL113" s="113">
        <f t="shared" si="123"/>
        <v>0</v>
      </c>
      <c r="CM113" s="113">
        <f t="shared" si="123"/>
        <v>8</v>
      </c>
      <c r="CN113" s="459">
        <f t="shared" si="123"/>
        <v>0</v>
      </c>
      <c r="CO113" s="461">
        <f t="shared" si="123"/>
        <v>18</v>
      </c>
      <c r="CP113" s="582">
        <f t="shared" si="123"/>
        <v>17</v>
      </c>
      <c r="CQ113" s="113">
        <f t="shared" si="123"/>
        <v>8</v>
      </c>
      <c r="CR113" s="113">
        <f t="shared" si="123"/>
        <v>1</v>
      </c>
      <c r="CS113" s="113">
        <f t="shared" si="123"/>
        <v>8</v>
      </c>
      <c r="CT113" s="460">
        <f t="shared" si="123"/>
        <v>0</v>
      </c>
      <c r="CU113" s="582">
        <f t="shared" si="122"/>
        <v>1</v>
      </c>
      <c r="CV113" s="113">
        <f t="shared" si="122"/>
        <v>0</v>
      </c>
      <c r="CW113" s="113">
        <f t="shared" si="122"/>
        <v>0</v>
      </c>
      <c r="CX113" s="113">
        <f t="shared" si="122"/>
        <v>1</v>
      </c>
      <c r="CY113" s="459">
        <f t="shared" si="122"/>
        <v>0</v>
      </c>
      <c r="CZ113" s="461">
        <f t="shared" si="122"/>
        <v>8</v>
      </c>
      <c r="DA113" s="582">
        <f t="shared" si="122"/>
        <v>8</v>
      </c>
      <c r="DB113" s="113">
        <f t="shared" si="122"/>
        <v>0</v>
      </c>
      <c r="DC113" s="113">
        <f t="shared" si="122"/>
        <v>1</v>
      </c>
      <c r="DD113" s="113">
        <f t="shared" si="122"/>
        <v>7</v>
      </c>
      <c r="DE113" s="460">
        <f t="shared" si="122"/>
        <v>0</v>
      </c>
      <c r="DF113" s="582">
        <f t="shared" si="122"/>
        <v>0</v>
      </c>
      <c r="DG113" s="113">
        <f t="shared" si="122"/>
        <v>0</v>
      </c>
      <c r="DH113" s="113">
        <f t="shared" si="122"/>
        <v>0</v>
      </c>
      <c r="DI113" s="113">
        <f t="shared" si="122"/>
        <v>0</v>
      </c>
      <c r="DJ113" s="459">
        <f t="shared" si="122"/>
        <v>0</v>
      </c>
      <c r="DK113" s="461">
        <f t="shared" si="122"/>
        <v>0</v>
      </c>
      <c r="DL113" s="582">
        <f t="shared" si="122"/>
        <v>0</v>
      </c>
      <c r="DM113" s="113">
        <f t="shared" si="122"/>
        <v>0</v>
      </c>
      <c r="DN113" s="113">
        <f t="shared" si="122"/>
        <v>0</v>
      </c>
      <c r="DO113" s="113">
        <f t="shared" si="122"/>
        <v>0</v>
      </c>
      <c r="DP113" s="460">
        <f t="shared" si="122"/>
        <v>0</v>
      </c>
      <c r="DQ113" s="582">
        <f t="shared" si="122"/>
        <v>0</v>
      </c>
      <c r="DR113" s="113">
        <f t="shared" si="122"/>
        <v>0</v>
      </c>
      <c r="DS113" s="113">
        <f t="shared" si="122"/>
        <v>0</v>
      </c>
      <c r="DT113" s="113">
        <f t="shared" si="122"/>
        <v>0</v>
      </c>
      <c r="DU113" s="459">
        <f t="shared" si="122"/>
        <v>0</v>
      </c>
      <c r="DW113" s="461">
        <f t="shared" si="102"/>
        <v>376</v>
      </c>
      <c r="DX113" s="582">
        <f t="shared" si="102"/>
        <v>325</v>
      </c>
      <c r="DY113" s="113">
        <f t="shared" si="102"/>
        <v>88</v>
      </c>
      <c r="DZ113" s="113">
        <f t="shared" si="100"/>
        <v>5</v>
      </c>
      <c r="EA113" s="113">
        <f t="shared" si="100"/>
        <v>230</v>
      </c>
      <c r="EB113" s="460">
        <f t="shared" si="100"/>
        <v>2</v>
      </c>
      <c r="EC113" s="582">
        <f t="shared" si="100"/>
        <v>51</v>
      </c>
      <c r="ED113" s="113">
        <f t="shared" si="100"/>
        <v>8</v>
      </c>
      <c r="EE113" s="113">
        <f t="shared" si="100"/>
        <v>0</v>
      </c>
      <c r="EF113" s="113">
        <f t="shared" si="76"/>
        <v>42</v>
      </c>
      <c r="EG113" s="459">
        <f t="shared" si="76"/>
        <v>1</v>
      </c>
      <c r="EH113" s="461">
        <f t="shared" si="91"/>
        <v>106</v>
      </c>
      <c r="EI113" s="582">
        <f t="shared" si="91"/>
        <v>89</v>
      </c>
      <c r="EJ113" s="113">
        <f t="shared" si="91"/>
        <v>34</v>
      </c>
      <c r="EK113" s="113">
        <f t="shared" si="91"/>
        <v>3</v>
      </c>
      <c r="EL113" s="113">
        <f t="shared" si="91"/>
        <v>52</v>
      </c>
      <c r="EM113" s="460">
        <f t="shared" si="111"/>
        <v>0</v>
      </c>
      <c r="EN113" s="582">
        <f t="shared" si="111"/>
        <v>17</v>
      </c>
      <c r="EO113" s="113">
        <f t="shared" si="111"/>
        <v>1</v>
      </c>
      <c r="EP113" s="113">
        <f t="shared" si="111"/>
        <v>0</v>
      </c>
      <c r="EQ113" s="113">
        <f t="shared" si="111"/>
        <v>15</v>
      </c>
      <c r="ER113" s="459">
        <f t="shared" si="111"/>
        <v>1</v>
      </c>
    </row>
    <row r="114" spans="1:148">
      <c r="A114" s="466" t="s">
        <v>422</v>
      </c>
      <c r="B114" s="581">
        <v>44866</v>
      </c>
      <c r="C114" s="470">
        <v>2022</v>
      </c>
      <c r="D114" s="461">
        <f t="shared" si="121"/>
        <v>136338</v>
      </c>
      <c r="E114" s="461">
        <f t="shared" si="117"/>
        <v>10991</v>
      </c>
      <c r="F114" s="582">
        <f t="shared" si="117"/>
        <v>9506</v>
      </c>
      <c r="G114" s="113">
        <f t="shared" si="117"/>
        <v>2594</v>
      </c>
      <c r="H114" s="113">
        <f t="shared" si="117"/>
        <v>344</v>
      </c>
      <c r="I114" s="113">
        <f t="shared" si="117"/>
        <v>6486</v>
      </c>
      <c r="J114" s="460">
        <f t="shared" si="117"/>
        <v>82</v>
      </c>
      <c r="K114" s="582">
        <f t="shared" si="117"/>
        <v>1485</v>
      </c>
      <c r="L114" s="113">
        <f t="shared" si="117"/>
        <v>171</v>
      </c>
      <c r="M114" s="113">
        <f t="shared" si="117"/>
        <v>0</v>
      </c>
      <c r="N114" s="113">
        <f t="shared" si="117"/>
        <v>1248</v>
      </c>
      <c r="O114" s="459">
        <f t="shared" si="117"/>
        <v>66</v>
      </c>
      <c r="P114" s="461">
        <f t="shared" si="117"/>
        <v>12</v>
      </c>
      <c r="Q114" s="582">
        <f t="shared" si="117"/>
        <v>11</v>
      </c>
      <c r="R114" s="113">
        <f t="shared" si="117"/>
        <v>4</v>
      </c>
      <c r="S114" s="113">
        <f t="shared" si="117"/>
        <v>0</v>
      </c>
      <c r="T114" s="113">
        <f t="shared" si="117"/>
        <v>7</v>
      </c>
      <c r="U114" s="460">
        <f t="shared" ref="U114:AH115" si="125">SUMIFS(U$5:U$36,$B$5:$B$36,$A114)</f>
        <v>0</v>
      </c>
      <c r="V114" s="582">
        <f t="shared" si="125"/>
        <v>1</v>
      </c>
      <c r="W114" s="113">
        <f t="shared" si="125"/>
        <v>0</v>
      </c>
      <c r="X114" s="113">
        <f t="shared" si="125"/>
        <v>0</v>
      </c>
      <c r="Y114" s="113">
        <f t="shared" si="125"/>
        <v>1</v>
      </c>
      <c r="Z114" s="459">
        <f t="shared" si="125"/>
        <v>0</v>
      </c>
      <c r="AA114" s="461">
        <f t="shared" si="125"/>
        <v>6</v>
      </c>
      <c r="AB114" s="582">
        <f t="shared" si="125"/>
        <v>5</v>
      </c>
      <c r="AC114" s="113">
        <f t="shared" si="125"/>
        <v>4</v>
      </c>
      <c r="AD114" s="113">
        <f t="shared" si="125"/>
        <v>0</v>
      </c>
      <c r="AE114" s="113">
        <f t="shared" si="125"/>
        <v>1</v>
      </c>
      <c r="AF114" s="460">
        <f t="shared" si="125"/>
        <v>0</v>
      </c>
      <c r="AG114" s="582">
        <f t="shared" si="125"/>
        <v>1</v>
      </c>
      <c r="AH114" s="113">
        <f t="shared" si="125"/>
        <v>1</v>
      </c>
      <c r="AI114" s="113">
        <f t="shared" si="124"/>
        <v>0</v>
      </c>
      <c r="AJ114" s="113">
        <f t="shared" si="124"/>
        <v>0</v>
      </c>
      <c r="AK114" s="459">
        <f t="shared" si="124"/>
        <v>0</v>
      </c>
      <c r="AL114" s="461">
        <f t="shared" si="124"/>
        <v>106</v>
      </c>
      <c r="AM114" s="582">
        <f t="shared" si="124"/>
        <v>89</v>
      </c>
      <c r="AN114" s="113">
        <f t="shared" si="124"/>
        <v>34</v>
      </c>
      <c r="AO114" s="113">
        <f t="shared" si="124"/>
        <v>3</v>
      </c>
      <c r="AP114" s="113">
        <f t="shared" si="124"/>
        <v>52</v>
      </c>
      <c r="AQ114" s="460">
        <f t="shared" si="124"/>
        <v>0</v>
      </c>
      <c r="AR114" s="582">
        <f t="shared" si="124"/>
        <v>17</v>
      </c>
      <c r="AS114" s="113">
        <f t="shared" si="124"/>
        <v>1</v>
      </c>
      <c r="AT114" s="113">
        <f t="shared" si="124"/>
        <v>0</v>
      </c>
      <c r="AU114" s="113">
        <f t="shared" si="124"/>
        <v>15</v>
      </c>
      <c r="AV114" s="459">
        <f t="shared" si="124"/>
        <v>1</v>
      </c>
      <c r="AW114" s="461">
        <f t="shared" si="124"/>
        <v>65</v>
      </c>
      <c r="AX114" s="582">
        <f t="shared" si="124"/>
        <v>51</v>
      </c>
      <c r="AY114" s="113">
        <f t="shared" si="124"/>
        <v>22</v>
      </c>
      <c r="AZ114" s="113">
        <f t="shared" si="123"/>
        <v>0</v>
      </c>
      <c r="BA114" s="113">
        <f t="shared" si="123"/>
        <v>29</v>
      </c>
      <c r="BB114" s="460">
        <f t="shared" si="123"/>
        <v>0</v>
      </c>
      <c r="BC114" s="582">
        <f t="shared" si="123"/>
        <v>14</v>
      </c>
      <c r="BD114" s="113">
        <f t="shared" si="123"/>
        <v>3</v>
      </c>
      <c r="BE114" s="113">
        <f t="shared" si="123"/>
        <v>0</v>
      </c>
      <c r="BF114" s="113">
        <f t="shared" si="123"/>
        <v>11</v>
      </c>
      <c r="BG114" s="459">
        <f t="shared" si="123"/>
        <v>0</v>
      </c>
      <c r="BH114" s="461">
        <f t="shared" si="123"/>
        <v>94</v>
      </c>
      <c r="BI114" s="582">
        <f t="shared" si="123"/>
        <v>83</v>
      </c>
      <c r="BJ114" s="113">
        <f t="shared" si="123"/>
        <v>17</v>
      </c>
      <c r="BK114" s="113">
        <f t="shared" si="123"/>
        <v>2</v>
      </c>
      <c r="BL114" s="113">
        <f t="shared" si="123"/>
        <v>63</v>
      </c>
      <c r="BM114" s="460">
        <f t="shared" si="123"/>
        <v>1</v>
      </c>
      <c r="BN114" s="582">
        <f t="shared" si="123"/>
        <v>11</v>
      </c>
      <c r="BO114" s="113">
        <f t="shared" si="123"/>
        <v>3</v>
      </c>
      <c r="BP114" s="113">
        <f t="shared" si="123"/>
        <v>0</v>
      </c>
      <c r="BQ114" s="113">
        <f t="shared" si="123"/>
        <v>8</v>
      </c>
      <c r="BR114" s="459">
        <f t="shared" si="123"/>
        <v>0</v>
      </c>
      <c r="BS114" s="461">
        <f t="shared" si="123"/>
        <v>141</v>
      </c>
      <c r="BT114" s="582">
        <f t="shared" si="123"/>
        <v>126</v>
      </c>
      <c r="BU114" s="113">
        <f t="shared" si="123"/>
        <v>28</v>
      </c>
      <c r="BV114" s="113">
        <f t="shared" si="123"/>
        <v>1</v>
      </c>
      <c r="BW114" s="113">
        <f t="shared" si="123"/>
        <v>96</v>
      </c>
      <c r="BX114" s="460">
        <f t="shared" si="123"/>
        <v>1</v>
      </c>
      <c r="BY114" s="582">
        <f t="shared" si="123"/>
        <v>15</v>
      </c>
      <c r="BZ114" s="113">
        <f t="shared" si="123"/>
        <v>1</v>
      </c>
      <c r="CA114" s="113">
        <f t="shared" si="123"/>
        <v>0</v>
      </c>
      <c r="CB114" s="113">
        <f t="shared" si="123"/>
        <v>13</v>
      </c>
      <c r="CC114" s="459">
        <f t="shared" si="123"/>
        <v>1</v>
      </c>
      <c r="CD114" s="461">
        <f t="shared" si="123"/>
        <v>32</v>
      </c>
      <c r="CE114" s="582">
        <f t="shared" si="123"/>
        <v>24</v>
      </c>
      <c r="CF114" s="113">
        <f t="shared" si="123"/>
        <v>5</v>
      </c>
      <c r="CG114" s="113">
        <f t="shared" si="123"/>
        <v>0</v>
      </c>
      <c r="CH114" s="113">
        <f t="shared" si="123"/>
        <v>19</v>
      </c>
      <c r="CI114" s="460">
        <f t="shared" si="123"/>
        <v>0</v>
      </c>
      <c r="CJ114" s="582">
        <f t="shared" si="123"/>
        <v>8</v>
      </c>
      <c r="CK114" s="113">
        <f t="shared" si="123"/>
        <v>0</v>
      </c>
      <c r="CL114" s="113">
        <f t="shared" si="123"/>
        <v>0</v>
      </c>
      <c r="CM114" s="113">
        <f t="shared" si="123"/>
        <v>8</v>
      </c>
      <c r="CN114" s="459">
        <f t="shared" si="123"/>
        <v>0</v>
      </c>
      <c r="CO114" s="461">
        <f t="shared" si="123"/>
        <v>18</v>
      </c>
      <c r="CP114" s="582">
        <f t="shared" si="123"/>
        <v>17</v>
      </c>
      <c r="CQ114" s="113">
        <f t="shared" si="123"/>
        <v>8</v>
      </c>
      <c r="CR114" s="113">
        <f t="shared" si="123"/>
        <v>1</v>
      </c>
      <c r="CS114" s="113">
        <f t="shared" si="123"/>
        <v>8</v>
      </c>
      <c r="CT114" s="460">
        <f t="shared" si="123"/>
        <v>0</v>
      </c>
      <c r="CU114" s="582">
        <f t="shared" si="122"/>
        <v>1</v>
      </c>
      <c r="CV114" s="113">
        <f t="shared" si="122"/>
        <v>0</v>
      </c>
      <c r="CW114" s="113">
        <f t="shared" si="122"/>
        <v>0</v>
      </c>
      <c r="CX114" s="113">
        <f t="shared" si="122"/>
        <v>1</v>
      </c>
      <c r="CY114" s="459">
        <f t="shared" si="122"/>
        <v>0</v>
      </c>
      <c r="CZ114" s="461">
        <f t="shared" si="122"/>
        <v>8</v>
      </c>
      <c r="DA114" s="582">
        <f t="shared" si="122"/>
        <v>8</v>
      </c>
      <c r="DB114" s="113">
        <f t="shared" si="122"/>
        <v>0</v>
      </c>
      <c r="DC114" s="113">
        <f t="shared" si="122"/>
        <v>1</v>
      </c>
      <c r="DD114" s="113">
        <f t="shared" si="122"/>
        <v>7</v>
      </c>
      <c r="DE114" s="460">
        <f t="shared" si="122"/>
        <v>0</v>
      </c>
      <c r="DF114" s="582">
        <f t="shared" si="122"/>
        <v>0</v>
      </c>
      <c r="DG114" s="113">
        <f t="shared" si="122"/>
        <v>0</v>
      </c>
      <c r="DH114" s="113">
        <f t="shared" si="122"/>
        <v>0</v>
      </c>
      <c r="DI114" s="113">
        <f t="shared" si="122"/>
        <v>0</v>
      </c>
      <c r="DJ114" s="459">
        <f t="shared" si="122"/>
        <v>0</v>
      </c>
      <c r="DK114" s="461">
        <f t="shared" si="122"/>
        <v>0</v>
      </c>
      <c r="DL114" s="582">
        <f t="shared" si="122"/>
        <v>0</v>
      </c>
      <c r="DM114" s="113">
        <f t="shared" si="122"/>
        <v>0</v>
      </c>
      <c r="DN114" s="113">
        <f t="shared" si="122"/>
        <v>0</v>
      </c>
      <c r="DO114" s="113">
        <f t="shared" si="122"/>
        <v>0</v>
      </c>
      <c r="DP114" s="460">
        <f t="shared" si="122"/>
        <v>0</v>
      </c>
      <c r="DQ114" s="582">
        <f t="shared" si="122"/>
        <v>0</v>
      </c>
      <c r="DR114" s="113">
        <f t="shared" si="122"/>
        <v>0</v>
      </c>
      <c r="DS114" s="113">
        <f t="shared" si="122"/>
        <v>0</v>
      </c>
      <c r="DT114" s="113">
        <f t="shared" si="122"/>
        <v>0</v>
      </c>
      <c r="DU114" s="459">
        <f t="shared" si="122"/>
        <v>0</v>
      </c>
      <c r="DW114" s="461">
        <f t="shared" si="102"/>
        <v>376</v>
      </c>
      <c r="DX114" s="582">
        <f t="shared" si="102"/>
        <v>325</v>
      </c>
      <c r="DY114" s="113">
        <f t="shared" si="102"/>
        <v>88</v>
      </c>
      <c r="DZ114" s="113">
        <f t="shared" si="100"/>
        <v>5</v>
      </c>
      <c r="EA114" s="113">
        <f t="shared" si="100"/>
        <v>230</v>
      </c>
      <c r="EB114" s="460">
        <f t="shared" si="100"/>
        <v>2</v>
      </c>
      <c r="EC114" s="582">
        <f t="shared" si="100"/>
        <v>51</v>
      </c>
      <c r="ED114" s="113">
        <f t="shared" si="100"/>
        <v>8</v>
      </c>
      <c r="EE114" s="113">
        <f t="shared" si="100"/>
        <v>0</v>
      </c>
      <c r="EF114" s="113">
        <f t="shared" si="76"/>
        <v>42</v>
      </c>
      <c r="EG114" s="459">
        <f t="shared" si="76"/>
        <v>1</v>
      </c>
      <c r="EH114" s="461">
        <f t="shared" si="91"/>
        <v>106</v>
      </c>
      <c r="EI114" s="582">
        <f t="shared" si="91"/>
        <v>89</v>
      </c>
      <c r="EJ114" s="113">
        <f t="shared" si="91"/>
        <v>34</v>
      </c>
      <c r="EK114" s="113">
        <f t="shared" si="91"/>
        <v>3</v>
      </c>
      <c r="EL114" s="113">
        <f t="shared" si="91"/>
        <v>52</v>
      </c>
      <c r="EM114" s="460">
        <f t="shared" si="111"/>
        <v>0</v>
      </c>
      <c r="EN114" s="582">
        <f t="shared" si="111"/>
        <v>17</v>
      </c>
      <c r="EO114" s="113">
        <f t="shared" si="111"/>
        <v>1</v>
      </c>
      <c r="EP114" s="113">
        <f t="shared" si="111"/>
        <v>0</v>
      </c>
      <c r="EQ114" s="113">
        <f t="shared" si="111"/>
        <v>15</v>
      </c>
      <c r="ER114" s="459">
        <f t="shared" si="111"/>
        <v>1</v>
      </c>
    </row>
    <row r="115" spans="1:148">
      <c r="A115" s="466" t="s">
        <v>422</v>
      </c>
      <c r="B115" s="581">
        <v>44896</v>
      </c>
      <c r="C115" s="470">
        <v>2022</v>
      </c>
      <c r="D115" s="461">
        <f t="shared" si="121"/>
        <v>136338</v>
      </c>
      <c r="E115" s="461">
        <f t="shared" si="117"/>
        <v>10991</v>
      </c>
      <c r="F115" s="582">
        <f t="shared" si="117"/>
        <v>9506</v>
      </c>
      <c r="G115" s="113">
        <f t="shared" si="117"/>
        <v>2594</v>
      </c>
      <c r="H115" s="113">
        <f t="shared" si="117"/>
        <v>344</v>
      </c>
      <c r="I115" s="113">
        <f t="shared" si="117"/>
        <v>6486</v>
      </c>
      <c r="J115" s="460">
        <f t="shared" si="117"/>
        <v>82</v>
      </c>
      <c r="K115" s="582">
        <f t="shared" si="117"/>
        <v>1485</v>
      </c>
      <c r="L115" s="113">
        <f t="shared" si="117"/>
        <v>171</v>
      </c>
      <c r="M115" s="113">
        <f t="shared" si="117"/>
        <v>0</v>
      </c>
      <c r="N115" s="113">
        <f t="shared" si="117"/>
        <v>1248</v>
      </c>
      <c r="O115" s="459">
        <f t="shared" si="117"/>
        <v>66</v>
      </c>
      <c r="P115" s="461">
        <f t="shared" si="117"/>
        <v>12</v>
      </c>
      <c r="Q115" s="582">
        <f t="shared" si="117"/>
        <v>11</v>
      </c>
      <c r="R115" s="113">
        <f t="shared" si="117"/>
        <v>4</v>
      </c>
      <c r="S115" s="113">
        <f t="shared" si="117"/>
        <v>0</v>
      </c>
      <c r="T115" s="113">
        <f t="shared" si="117"/>
        <v>7</v>
      </c>
      <c r="U115" s="460">
        <f t="shared" si="125"/>
        <v>0</v>
      </c>
      <c r="V115" s="582">
        <f t="shared" si="125"/>
        <v>1</v>
      </c>
      <c r="W115" s="113">
        <f t="shared" si="125"/>
        <v>0</v>
      </c>
      <c r="X115" s="113">
        <f t="shared" si="125"/>
        <v>0</v>
      </c>
      <c r="Y115" s="113">
        <f t="shared" si="125"/>
        <v>1</v>
      </c>
      <c r="Z115" s="459">
        <f t="shared" si="125"/>
        <v>0</v>
      </c>
      <c r="AA115" s="461">
        <f t="shared" si="125"/>
        <v>6</v>
      </c>
      <c r="AB115" s="582">
        <f t="shared" si="125"/>
        <v>5</v>
      </c>
      <c r="AC115" s="113">
        <f t="shared" si="125"/>
        <v>4</v>
      </c>
      <c r="AD115" s="113">
        <f t="shared" si="125"/>
        <v>0</v>
      </c>
      <c r="AE115" s="113">
        <f t="shared" si="125"/>
        <v>1</v>
      </c>
      <c r="AF115" s="460">
        <f t="shared" si="125"/>
        <v>0</v>
      </c>
      <c r="AG115" s="582">
        <f t="shared" si="125"/>
        <v>1</v>
      </c>
      <c r="AH115" s="113">
        <f t="shared" si="125"/>
        <v>1</v>
      </c>
      <c r="AI115" s="113">
        <f t="shared" si="124"/>
        <v>0</v>
      </c>
      <c r="AJ115" s="113">
        <f t="shared" si="124"/>
        <v>0</v>
      </c>
      <c r="AK115" s="459">
        <f t="shared" si="124"/>
        <v>0</v>
      </c>
      <c r="AL115" s="461">
        <f t="shared" si="124"/>
        <v>106</v>
      </c>
      <c r="AM115" s="582">
        <f t="shared" si="124"/>
        <v>89</v>
      </c>
      <c r="AN115" s="113">
        <f t="shared" si="124"/>
        <v>34</v>
      </c>
      <c r="AO115" s="113">
        <f t="shared" si="124"/>
        <v>3</v>
      </c>
      <c r="AP115" s="113">
        <f t="shared" si="124"/>
        <v>52</v>
      </c>
      <c r="AQ115" s="460">
        <f t="shared" si="124"/>
        <v>0</v>
      </c>
      <c r="AR115" s="582">
        <f t="shared" si="124"/>
        <v>17</v>
      </c>
      <c r="AS115" s="113">
        <f t="shared" si="124"/>
        <v>1</v>
      </c>
      <c r="AT115" s="113">
        <f t="shared" si="124"/>
        <v>0</v>
      </c>
      <c r="AU115" s="113">
        <f t="shared" si="124"/>
        <v>15</v>
      </c>
      <c r="AV115" s="459">
        <f t="shared" si="124"/>
        <v>1</v>
      </c>
      <c r="AW115" s="461">
        <f t="shared" si="124"/>
        <v>65</v>
      </c>
      <c r="AX115" s="582">
        <f t="shared" si="124"/>
        <v>51</v>
      </c>
      <c r="AY115" s="113">
        <f t="shared" si="124"/>
        <v>22</v>
      </c>
      <c r="AZ115" s="113">
        <f t="shared" si="123"/>
        <v>0</v>
      </c>
      <c r="BA115" s="113">
        <f t="shared" si="123"/>
        <v>29</v>
      </c>
      <c r="BB115" s="460">
        <f t="shared" si="123"/>
        <v>0</v>
      </c>
      <c r="BC115" s="582">
        <f t="shared" si="123"/>
        <v>14</v>
      </c>
      <c r="BD115" s="113">
        <f t="shared" si="123"/>
        <v>3</v>
      </c>
      <c r="BE115" s="113">
        <f t="shared" si="123"/>
        <v>0</v>
      </c>
      <c r="BF115" s="113">
        <f t="shared" si="123"/>
        <v>11</v>
      </c>
      <c r="BG115" s="459">
        <f t="shared" si="123"/>
        <v>0</v>
      </c>
      <c r="BH115" s="461">
        <f t="shared" si="123"/>
        <v>94</v>
      </c>
      <c r="BI115" s="582">
        <f t="shared" si="123"/>
        <v>83</v>
      </c>
      <c r="BJ115" s="113">
        <f t="shared" si="123"/>
        <v>17</v>
      </c>
      <c r="BK115" s="113">
        <f t="shared" si="123"/>
        <v>2</v>
      </c>
      <c r="BL115" s="113">
        <f t="shared" si="123"/>
        <v>63</v>
      </c>
      <c r="BM115" s="460">
        <f t="shared" si="123"/>
        <v>1</v>
      </c>
      <c r="BN115" s="582">
        <f t="shared" si="123"/>
        <v>11</v>
      </c>
      <c r="BO115" s="113">
        <f t="shared" si="123"/>
        <v>3</v>
      </c>
      <c r="BP115" s="113">
        <f t="shared" si="123"/>
        <v>0</v>
      </c>
      <c r="BQ115" s="113">
        <f t="shared" si="123"/>
        <v>8</v>
      </c>
      <c r="BR115" s="459">
        <f t="shared" si="123"/>
        <v>0</v>
      </c>
      <c r="BS115" s="461">
        <f t="shared" si="123"/>
        <v>141</v>
      </c>
      <c r="BT115" s="582">
        <f t="shared" si="123"/>
        <v>126</v>
      </c>
      <c r="BU115" s="113">
        <f t="shared" si="123"/>
        <v>28</v>
      </c>
      <c r="BV115" s="113">
        <f t="shared" si="123"/>
        <v>1</v>
      </c>
      <c r="BW115" s="113">
        <f t="shared" si="123"/>
        <v>96</v>
      </c>
      <c r="BX115" s="460">
        <f t="shared" si="123"/>
        <v>1</v>
      </c>
      <c r="BY115" s="582">
        <f t="shared" si="123"/>
        <v>15</v>
      </c>
      <c r="BZ115" s="113">
        <f t="shared" si="123"/>
        <v>1</v>
      </c>
      <c r="CA115" s="113">
        <f t="shared" si="123"/>
        <v>0</v>
      </c>
      <c r="CB115" s="113">
        <f t="shared" si="123"/>
        <v>13</v>
      </c>
      <c r="CC115" s="459">
        <f t="shared" si="123"/>
        <v>1</v>
      </c>
      <c r="CD115" s="461">
        <f t="shared" si="123"/>
        <v>32</v>
      </c>
      <c r="CE115" s="582">
        <f t="shared" si="123"/>
        <v>24</v>
      </c>
      <c r="CF115" s="113">
        <f t="shared" si="123"/>
        <v>5</v>
      </c>
      <c r="CG115" s="113">
        <f t="shared" si="123"/>
        <v>0</v>
      </c>
      <c r="CH115" s="113">
        <f t="shared" si="123"/>
        <v>19</v>
      </c>
      <c r="CI115" s="460">
        <f t="shared" si="123"/>
        <v>0</v>
      </c>
      <c r="CJ115" s="582">
        <f t="shared" si="123"/>
        <v>8</v>
      </c>
      <c r="CK115" s="113">
        <f t="shared" si="123"/>
        <v>0</v>
      </c>
      <c r="CL115" s="113">
        <f t="shared" si="123"/>
        <v>0</v>
      </c>
      <c r="CM115" s="113">
        <f t="shared" si="123"/>
        <v>8</v>
      </c>
      <c r="CN115" s="459">
        <f t="shared" si="123"/>
        <v>0</v>
      </c>
      <c r="CO115" s="461">
        <f t="shared" si="123"/>
        <v>18</v>
      </c>
      <c r="CP115" s="582">
        <f t="shared" si="123"/>
        <v>17</v>
      </c>
      <c r="CQ115" s="113">
        <f t="shared" si="123"/>
        <v>8</v>
      </c>
      <c r="CR115" s="113">
        <f t="shared" si="123"/>
        <v>1</v>
      </c>
      <c r="CS115" s="113">
        <f t="shared" si="123"/>
        <v>8</v>
      </c>
      <c r="CT115" s="460">
        <f t="shared" si="123"/>
        <v>0</v>
      </c>
      <c r="CU115" s="582">
        <f t="shared" si="123"/>
        <v>1</v>
      </c>
      <c r="CV115" s="113">
        <f t="shared" si="123"/>
        <v>0</v>
      </c>
      <c r="CW115" s="113">
        <f t="shared" si="123"/>
        <v>0</v>
      </c>
      <c r="CX115" s="113">
        <f t="shared" si="123"/>
        <v>1</v>
      </c>
      <c r="CY115" s="459">
        <f t="shared" si="123"/>
        <v>0</v>
      </c>
      <c r="CZ115" s="461">
        <f t="shared" si="123"/>
        <v>8</v>
      </c>
      <c r="DA115" s="582">
        <f t="shared" si="123"/>
        <v>8</v>
      </c>
      <c r="DB115" s="113">
        <f t="shared" si="123"/>
        <v>0</v>
      </c>
      <c r="DC115" s="113">
        <f t="shared" si="122"/>
        <v>1</v>
      </c>
      <c r="DD115" s="113">
        <f t="shared" si="122"/>
        <v>7</v>
      </c>
      <c r="DE115" s="460">
        <f t="shared" si="122"/>
        <v>0</v>
      </c>
      <c r="DF115" s="582">
        <f t="shared" si="122"/>
        <v>0</v>
      </c>
      <c r="DG115" s="113">
        <f t="shared" si="122"/>
        <v>0</v>
      </c>
      <c r="DH115" s="113">
        <f t="shared" si="122"/>
        <v>0</v>
      </c>
      <c r="DI115" s="113">
        <f t="shared" si="122"/>
        <v>0</v>
      </c>
      <c r="DJ115" s="459">
        <f t="shared" si="122"/>
        <v>0</v>
      </c>
      <c r="DK115" s="461">
        <f t="shared" si="122"/>
        <v>0</v>
      </c>
      <c r="DL115" s="582">
        <f t="shared" si="122"/>
        <v>0</v>
      </c>
      <c r="DM115" s="113">
        <f t="shared" si="122"/>
        <v>0</v>
      </c>
      <c r="DN115" s="113">
        <f t="shared" si="122"/>
        <v>0</v>
      </c>
      <c r="DO115" s="113">
        <f t="shared" si="122"/>
        <v>0</v>
      </c>
      <c r="DP115" s="460">
        <f t="shared" si="122"/>
        <v>0</v>
      </c>
      <c r="DQ115" s="582">
        <f t="shared" si="122"/>
        <v>0</v>
      </c>
      <c r="DR115" s="113">
        <f t="shared" si="122"/>
        <v>0</v>
      </c>
      <c r="DS115" s="113">
        <f t="shared" si="122"/>
        <v>0</v>
      </c>
      <c r="DT115" s="113">
        <f t="shared" si="122"/>
        <v>0</v>
      </c>
      <c r="DU115" s="459">
        <f t="shared" si="122"/>
        <v>0</v>
      </c>
      <c r="DW115" s="461">
        <f t="shared" si="102"/>
        <v>376</v>
      </c>
      <c r="DX115" s="582">
        <f t="shared" si="102"/>
        <v>325</v>
      </c>
      <c r="DY115" s="113">
        <f t="shared" si="102"/>
        <v>88</v>
      </c>
      <c r="DZ115" s="113">
        <f t="shared" si="100"/>
        <v>5</v>
      </c>
      <c r="EA115" s="113">
        <f t="shared" si="100"/>
        <v>230</v>
      </c>
      <c r="EB115" s="460">
        <f t="shared" si="100"/>
        <v>2</v>
      </c>
      <c r="EC115" s="582">
        <f t="shared" si="100"/>
        <v>51</v>
      </c>
      <c r="ED115" s="113">
        <f t="shared" si="100"/>
        <v>8</v>
      </c>
      <c r="EE115" s="113">
        <f t="shared" si="100"/>
        <v>0</v>
      </c>
      <c r="EF115" s="113">
        <f t="shared" si="100"/>
        <v>42</v>
      </c>
      <c r="EG115" s="459">
        <f t="shared" si="100"/>
        <v>1</v>
      </c>
      <c r="EH115" s="461">
        <f t="shared" si="91"/>
        <v>106</v>
      </c>
      <c r="EI115" s="582">
        <f t="shared" si="91"/>
        <v>89</v>
      </c>
      <c r="EJ115" s="113">
        <f t="shared" si="91"/>
        <v>34</v>
      </c>
      <c r="EK115" s="113">
        <f t="shared" si="91"/>
        <v>3</v>
      </c>
      <c r="EL115" s="113">
        <f t="shared" si="91"/>
        <v>52</v>
      </c>
      <c r="EM115" s="460">
        <f t="shared" si="111"/>
        <v>0</v>
      </c>
      <c r="EN115" s="582">
        <f t="shared" si="111"/>
        <v>17</v>
      </c>
      <c r="EO115" s="113">
        <f t="shared" si="111"/>
        <v>1</v>
      </c>
      <c r="EP115" s="113">
        <f t="shared" si="111"/>
        <v>0</v>
      </c>
      <c r="EQ115" s="113">
        <f t="shared" si="111"/>
        <v>15</v>
      </c>
      <c r="ER115" s="459">
        <f t="shared" si="111"/>
        <v>1</v>
      </c>
    </row>
    <row r="116" spans="1:148">
      <c r="A116" s="466" t="s">
        <v>423</v>
      </c>
      <c r="B116" s="581">
        <v>44927</v>
      </c>
      <c r="C116" s="470">
        <v>2023</v>
      </c>
      <c r="D116" s="461">
        <f t="shared" si="121"/>
        <v>143618</v>
      </c>
      <c r="E116" s="461">
        <f t="shared" si="117"/>
        <v>8520</v>
      </c>
      <c r="F116" s="582">
        <f t="shared" si="117"/>
        <v>6760</v>
      </c>
      <c r="G116" s="113">
        <f t="shared" si="117"/>
        <v>2365</v>
      </c>
      <c r="H116" s="113">
        <f t="shared" si="117"/>
        <v>354</v>
      </c>
      <c r="I116" s="113">
        <f t="shared" si="117"/>
        <v>3938</v>
      </c>
      <c r="J116" s="460">
        <f t="shared" si="117"/>
        <v>103</v>
      </c>
      <c r="K116" s="582">
        <f t="shared" si="117"/>
        <v>1760</v>
      </c>
      <c r="L116" s="113">
        <f t="shared" si="117"/>
        <v>85</v>
      </c>
      <c r="M116" s="113">
        <f t="shared" si="117"/>
        <v>0</v>
      </c>
      <c r="N116" s="113">
        <f t="shared" si="117"/>
        <v>1480</v>
      </c>
      <c r="O116" s="459">
        <f t="shared" si="117"/>
        <v>195</v>
      </c>
      <c r="P116" s="461">
        <f t="shared" si="117"/>
        <v>19</v>
      </c>
      <c r="Q116" s="582">
        <f t="shared" si="117"/>
        <v>9</v>
      </c>
      <c r="R116" s="113">
        <f t="shared" si="117"/>
        <v>7</v>
      </c>
      <c r="S116" s="113">
        <f t="shared" si="117"/>
        <v>0</v>
      </c>
      <c r="T116" s="113">
        <f t="shared" ref="T116:AV131" si="126">SUMIFS(T$5:T$36,$B$5:$B$36,$A116)</f>
        <v>2</v>
      </c>
      <c r="U116" s="460">
        <f t="shared" si="126"/>
        <v>0</v>
      </c>
      <c r="V116" s="582">
        <f t="shared" si="126"/>
        <v>10</v>
      </c>
      <c r="W116" s="113">
        <f t="shared" si="126"/>
        <v>0</v>
      </c>
      <c r="X116" s="113">
        <f t="shared" si="126"/>
        <v>0</v>
      </c>
      <c r="Y116" s="113">
        <f t="shared" si="126"/>
        <v>8</v>
      </c>
      <c r="Z116" s="459">
        <f t="shared" si="126"/>
        <v>2</v>
      </c>
      <c r="AA116" s="461">
        <f t="shared" si="126"/>
        <v>12</v>
      </c>
      <c r="AB116" s="582">
        <f t="shared" si="126"/>
        <v>11</v>
      </c>
      <c r="AC116" s="113">
        <f t="shared" si="126"/>
        <v>2</v>
      </c>
      <c r="AD116" s="113">
        <f t="shared" si="126"/>
        <v>0</v>
      </c>
      <c r="AE116" s="113">
        <f t="shared" si="126"/>
        <v>9</v>
      </c>
      <c r="AF116" s="460">
        <f t="shared" si="126"/>
        <v>0</v>
      </c>
      <c r="AG116" s="582">
        <f t="shared" si="126"/>
        <v>1</v>
      </c>
      <c r="AH116" s="113">
        <f t="shared" si="126"/>
        <v>0</v>
      </c>
      <c r="AI116" s="113">
        <f t="shared" si="124"/>
        <v>0</v>
      </c>
      <c r="AJ116" s="113">
        <f t="shared" si="124"/>
        <v>1</v>
      </c>
      <c r="AK116" s="459">
        <f t="shared" si="124"/>
        <v>0</v>
      </c>
      <c r="AL116" s="461">
        <f t="shared" si="124"/>
        <v>90</v>
      </c>
      <c r="AM116" s="582">
        <f t="shared" si="124"/>
        <v>73</v>
      </c>
      <c r="AN116" s="113">
        <f t="shared" si="124"/>
        <v>22</v>
      </c>
      <c r="AO116" s="113">
        <f t="shared" si="124"/>
        <v>2</v>
      </c>
      <c r="AP116" s="113">
        <f t="shared" si="124"/>
        <v>49</v>
      </c>
      <c r="AQ116" s="460">
        <f t="shared" si="124"/>
        <v>0</v>
      </c>
      <c r="AR116" s="582">
        <f t="shared" si="124"/>
        <v>17</v>
      </c>
      <c r="AS116" s="113">
        <f t="shared" si="124"/>
        <v>0</v>
      </c>
      <c r="AT116" s="113">
        <f t="shared" si="124"/>
        <v>0</v>
      </c>
      <c r="AU116" s="113">
        <f t="shared" si="124"/>
        <v>17</v>
      </c>
      <c r="AV116" s="459">
        <f t="shared" si="124"/>
        <v>0</v>
      </c>
      <c r="AW116" s="461">
        <f t="shared" si="124"/>
        <v>53</v>
      </c>
      <c r="AX116" s="582">
        <f t="shared" si="124"/>
        <v>42</v>
      </c>
      <c r="AY116" s="113">
        <f t="shared" si="124"/>
        <v>14</v>
      </c>
      <c r="AZ116" s="113">
        <f t="shared" si="123"/>
        <v>3</v>
      </c>
      <c r="BA116" s="113">
        <f t="shared" si="123"/>
        <v>25</v>
      </c>
      <c r="BB116" s="460">
        <f t="shared" si="123"/>
        <v>0</v>
      </c>
      <c r="BC116" s="582">
        <f t="shared" si="123"/>
        <v>11</v>
      </c>
      <c r="BD116" s="113">
        <f t="shared" si="123"/>
        <v>0</v>
      </c>
      <c r="BE116" s="113">
        <f t="shared" si="123"/>
        <v>0</v>
      </c>
      <c r="BF116" s="113">
        <f t="shared" si="123"/>
        <v>11</v>
      </c>
      <c r="BG116" s="459">
        <f t="shared" si="123"/>
        <v>0</v>
      </c>
      <c r="BH116" s="461">
        <f t="shared" si="123"/>
        <v>67</v>
      </c>
      <c r="BI116" s="582">
        <f t="shared" si="123"/>
        <v>59</v>
      </c>
      <c r="BJ116" s="113">
        <f t="shared" si="123"/>
        <v>20</v>
      </c>
      <c r="BK116" s="113">
        <f t="shared" si="123"/>
        <v>2</v>
      </c>
      <c r="BL116" s="113">
        <f t="shared" si="123"/>
        <v>37</v>
      </c>
      <c r="BM116" s="460">
        <f t="shared" si="123"/>
        <v>0</v>
      </c>
      <c r="BN116" s="582">
        <f t="shared" si="123"/>
        <v>8</v>
      </c>
      <c r="BO116" s="113">
        <f t="shared" si="123"/>
        <v>0</v>
      </c>
      <c r="BP116" s="113">
        <f t="shared" si="123"/>
        <v>0</v>
      </c>
      <c r="BQ116" s="113">
        <f t="shared" si="123"/>
        <v>7</v>
      </c>
      <c r="BR116" s="459">
        <f t="shared" si="123"/>
        <v>1</v>
      </c>
      <c r="BS116" s="461">
        <f t="shared" si="123"/>
        <v>121</v>
      </c>
      <c r="BT116" s="582">
        <f t="shared" si="123"/>
        <v>101</v>
      </c>
      <c r="BU116" s="113">
        <f t="shared" si="123"/>
        <v>29</v>
      </c>
      <c r="BV116" s="113">
        <f t="shared" si="123"/>
        <v>2</v>
      </c>
      <c r="BW116" s="113">
        <f t="shared" si="123"/>
        <v>70</v>
      </c>
      <c r="BX116" s="460">
        <f t="shared" si="123"/>
        <v>0</v>
      </c>
      <c r="BY116" s="582">
        <f t="shared" si="123"/>
        <v>20</v>
      </c>
      <c r="BZ116" s="113">
        <f t="shared" si="123"/>
        <v>0</v>
      </c>
      <c r="CA116" s="113">
        <f t="shared" si="123"/>
        <v>0</v>
      </c>
      <c r="CB116" s="113">
        <f t="shared" si="123"/>
        <v>19</v>
      </c>
      <c r="CC116" s="459">
        <f t="shared" si="123"/>
        <v>1</v>
      </c>
      <c r="CD116" s="461">
        <f t="shared" si="123"/>
        <v>13</v>
      </c>
      <c r="CE116" s="582">
        <f t="shared" si="123"/>
        <v>9</v>
      </c>
      <c r="CF116" s="113">
        <f t="shared" si="123"/>
        <v>4</v>
      </c>
      <c r="CG116" s="113">
        <f t="shared" si="123"/>
        <v>0</v>
      </c>
      <c r="CH116" s="113">
        <f t="shared" si="123"/>
        <v>5</v>
      </c>
      <c r="CI116" s="460">
        <f t="shared" si="123"/>
        <v>0</v>
      </c>
      <c r="CJ116" s="582">
        <f t="shared" si="123"/>
        <v>4</v>
      </c>
      <c r="CK116" s="113">
        <f t="shared" si="123"/>
        <v>0</v>
      </c>
      <c r="CL116" s="113">
        <f t="shared" si="123"/>
        <v>0</v>
      </c>
      <c r="CM116" s="113">
        <f t="shared" si="123"/>
        <v>4</v>
      </c>
      <c r="CN116" s="459">
        <f t="shared" si="123"/>
        <v>0</v>
      </c>
      <c r="CO116" s="461">
        <f t="shared" si="123"/>
        <v>9</v>
      </c>
      <c r="CP116" s="582">
        <f t="shared" si="123"/>
        <v>8</v>
      </c>
      <c r="CQ116" s="113">
        <f t="shared" si="123"/>
        <v>2</v>
      </c>
      <c r="CR116" s="113">
        <f t="shared" si="123"/>
        <v>1</v>
      </c>
      <c r="CS116" s="113">
        <f t="shared" si="123"/>
        <v>5</v>
      </c>
      <c r="CT116" s="460">
        <f t="shared" si="123"/>
        <v>0</v>
      </c>
      <c r="CU116" s="582">
        <f t="shared" si="123"/>
        <v>1</v>
      </c>
      <c r="CV116" s="113">
        <f t="shared" si="123"/>
        <v>0</v>
      </c>
      <c r="CW116" s="113">
        <f t="shared" si="123"/>
        <v>0</v>
      </c>
      <c r="CX116" s="113">
        <f t="shared" si="123"/>
        <v>1</v>
      </c>
      <c r="CY116" s="459">
        <f t="shared" si="123"/>
        <v>0</v>
      </c>
      <c r="CZ116" s="461">
        <f t="shared" si="123"/>
        <v>6</v>
      </c>
      <c r="DA116" s="582">
        <f t="shared" si="123"/>
        <v>3</v>
      </c>
      <c r="DB116" s="113">
        <f t="shared" si="123"/>
        <v>2</v>
      </c>
      <c r="DC116" s="113">
        <f t="shared" si="123"/>
        <v>0</v>
      </c>
      <c r="DD116" s="113">
        <f t="shared" si="122"/>
        <v>1</v>
      </c>
      <c r="DE116" s="460">
        <f t="shared" si="122"/>
        <v>0</v>
      </c>
      <c r="DF116" s="582">
        <f t="shared" si="122"/>
        <v>3</v>
      </c>
      <c r="DG116" s="113">
        <f t="shared" si="122"/>
        <v>0</v>
      </c>
      <c r="DH116" s="113">
        <f t="shared" si="122"/>
        <v>0</v>
      </c>
      <c r="DI116" s="113">
        <f t="shared" si="122"/>
        <v>0</v>
      </c>
      <c r="DJ116" s="459">
        <f t="shared" si="122"/>
        <v>3</v>
      </c>
      <c r="DK116" s="461">
        <f t="shared" si="122"/>
        <v>1</v>
      </c>
      <c r="DL116" s="582">
        <f t="shared" si="122"/>
        <v>1</v>
      </c>
      <c r="DM116" s="113">
        <f t="shared" si="122"/>
        <v>0</v>
      </c>
      <c r="DN116" s="113">
        <f t="shared" si="122"/>
        <v>1</v>
      </c>
      <c r="DO116" s="113">
        <f t="shared" si="122"/>
        <v>0</v>
      </c>
      <c r="DP116" s="460">
        <f t="shared" si="122"/>
        <v>0</v>
      </c>
      <c r="DQ116" s="582">
        <f t="shared" si="122"/>
        <v>0</v>
      </c>
      <c r="DR116" s="113">
        <f t="shared" si="122"/>
        <v>0</v>
      </c>
      <c r="DS116" s="113">
        <f t="shared" si="122"/>
        <v>0</v>
      </c>
      <c r="DT116" s="113">
        <f t="shared" si="122"/>
        <v>0</v>
      </c>
      <c r="DU116" s="459">
        <f t="shared" si="122"/>
        <v>0</v>
      </c>
      <c r="DW116" s="461">
        <f t="shared" si="102"/>
        <v>301</v>
      </c>
      <c r="DX116" s="582">
        <f t="shared" si="102"/>
        <v>243</v>
      </c>
      <c r="DY116" s="113">
        <f t="shared" si="102"/>
        <v>80</v>
      </c>
      <c r="DZ116" s="113">
        <f t="shared" si="100"/>
        <v>9</v>
      </c>
      <c r="EA116" s="113">
        <f t="shared" si="100"/>
        <v>154</v>
      </c>
      <c r="EB116" s="460">
        <f t="shared" si="100"/>
        <v>0</v>
      </c>
      <c r="EC116" s="582">
        <f t="shared" si="100"/>
        <v>58</v>
      </c>
      <c r="ED116" s="113">
        <f t="shared" si="100"/>
        <v>0</v>
      </c>
      <c r="EE116" s="113">
        <f t="shared" si="100"/>
        <v>0</v>
      </c>
      <c r="EF116" s="113">
        <f t="shared" si="100"/>
        <v>51</v>
      </c>
      <c r="EG116" s="459">
        <f t="shared" si="100"/>
        <v>7</v>
      </c>
      <c r="EH116" s="461">
        <f t="shared" si="91"/>
        <v>90</v>
      </c>
      <c r="EI116" s="582">
        <f t="shared" si="91"/>
        <v>73</v>
      </c>
      <c r="EJ116" s="113">
        <f t="shared" si="91"/>
        <v>22</v>
      </c>
      <c r="EK116" s="113">
        <f t="shared" si="91"/>
        <v>2</v>
      </c>
      <c r="EL116" s="113">
        <f t="shared" si="91"/>
        <v>49</v>
      </c>
      <c r="EM116" s="460">
        <f t="shared" si="111"/>
        <v>0</v>
      </c>
      <c r="EN116" s="582">
        <f t="shared" si="111"/>
        <v>17</v>
      </c>
      <c r="EO116" s="113">
        <f t="shared" si="111"/>
        <v>0</v>
      </c>
      <c r="EP116" s="113">
        <f t="shared" si="111"/>
        <v>0</v>
      </c>
      <c r="EQ116" s="113">
        <f t="shared" si="111"/>
        <v>17</v>
      </c>
      <c r="ER116" s="459">
        <f t="shared" si="111"/>
        <v>0</v>
      </c>
    </row>
    <row r="117" spans="1:148">
      <c r="A117" s="466" t="s">
        <v>423</v>
      </c>
      <c r="B117" s="581">
        <v>44958</v>
      </c>
      <c r="C117" s="470">
        <v>2023</v>
      </c>
      <c r="D117" s="461">
        <f t="shared" si="121"/>
        <v>143618</v>
      </c>
      <c r="E117" s="461">
        <f t="shared" ref="E117:T132" si="127">SUMIFS(E$5:E$36,$B$5:$B$36,$A117)</f>
        <v>8520</v>
      </c>
      <c r="F117" s="582">
        <f t="shared" si="127"/>
        <v>6760</v>
      </c>
      <c r="G117" s="113">
        <f t="shared" si="127"/>
        <v>2365</v>
      </c>
      <c r="H117" s="113">
        <f t="shared" si="127"/>
        <v>354</v>
      </c>
      <c r="I117" s="113">
        <f t="shared" si="127"/>
        <v>3938</v>
      </c>
      <c r="J117" s="460">
        <f t="shared" si="127"/>
        <v>103</v>
      </c>
      <c r="K117" s="582">
        <f t="shared" si="127"/>
        <v>1760</v>
      </c>
      <c r="L117" s="113">
        <f t="shared" si="127"/>
        <v>85</v>
      </c>
      <c r="M117" s="113">
        <f t="shared" si="127"/>
        <v>0</v>
      </c>
      <c r="N117" s="113">
        <f t="shared" si="127"/>
        <v>1480</v>
      </c>
      <c r="O117" s="459">
        <f t="shared" si="127"/>
        <v>195</v>
      </c>
      <c r="P117" s="461">
        <f t="shared" si="127"/>
        <v>19</v>
      </c>
      <c r="Q117" s="582">
        <f t="shared" si="127"/>
        <v>9</v>
      </c>
      <c r="R117" s="113">
        <f t="shared" si="127"/>
        <v>7</v>
      </c>
      <c r="S117" s="113">
        <f t="shared" si="127"/>
        <v>0</v>
      </c>
      <c r="T117" s="113">
        <f t="shared" si="127"/>
        <v>2</v>
      </c>
      <c r="U117" s="460">
        <f t="shared" si="126"/>
        <v>0</v>
      </c>
      <c r="V117" s="582">
        <f t="shared" si="126"/>
        <v>10</v>
      </c>
      <c r="W117" s="113">
        <f t="shared" si="126"/>
        <v>0</v>
      </c>
      <c r="X117" s="113">
        <f t="shared" si="126"/>
        <v>0</v>
      </c>
      <c r="Y117" s="113">
        <f t="shared" si="126"/>
        <v>8</v>
      </c>
      <c r="Z117" s="459">
        <f t="shared" si="126"/>
        <v>2</v>
      </c>
      <c r="AA117" s="461">
        <f t="shared" si="126"/>
        <v>12</v>
      </c>
      <c r="AB117" s="582">
        <f t="shared" si="126"/>
        <v>11</v>
      </c>
      <c r="AC117" s="113">
        <f t="shared" si="126"/>
        <v>2</v>
      </c>
      <c r="AD117" s="113">
        <f t="shared" si="126"/>
        <v>0</v>
      </c>
      <c r="AE117" s="113">
        <f t="shared" si="126"/>
        <v>9</v>
      </c>
      <c r="AF117" s="460">
        <f t="shared" si="126"/>
        <v>0</v>
      </c>
      <c r="AG117" s="582">
        <f t="shared" si="126"/>
        <v>1</v>
      </c>
      <c r="AH117" s="113">
        <f t="shared" si="126"/>
        <v>0</v>
      </c>
      <c r="AI117" s="113">
        <f t="shared" si="124"/>
        <v>0</v>
      </c>
      <c r="AJ117" s="113">
        <f t="shared" si="124"/>
        <v>1</v>
      </c>
      <c r="AK117" s="459">
        <f t="shared" si="124"/>
        <v>0</v>
      </c>
      <c r="AL117" s="461">
        <f t="shared" si="124"/>
        <v>90</v>
      </c>
      <c r="AM117" s="582">
        <f t="shared" si="124"/>
        <v>73</v>
      </c>
      <c r="AN117" s="113">
        <f t="shared" si="124"/>
        <v>22</v>
      </c>
      <c r="AO117" s="113">
        <f t="shared" si="124"/>
        <v>2</v>
      </c>
      <c r="AP117" s="113">
        <f t="shared" si="124"/>
        <v>49</v>
      </c>
      <c r="AQ117" s="460">
        <f t="shared" si="124"/>
        <v>0</v>
      </c>
      <c r="AR117" s="582">
        <f t="shared" si="124"/>
        <v>17</v>
      </c>
      <c r="AS117" s="113">
        <f t="shared" si="124"/>
        <v>0</v>
      </c>
      <c r="AT117" s="113">
        <f t="shared" si="124"/>
        <v>0</v>
      </c>
      <c r="AU117" s="113">
        <f t="shared" si="124"/>
        <v>17</v>
      </c>
      <c r="AV117" s="459">
        <f t="shared" si="124"/>
        <v>0</v>
      </c>
      <c r="AW117" s="461">
        <f t="shared" si="124"/>
        <v>53</v>
      </c>
      <c r="AX117" s="582">
        <f t="shared" si="124"/>
        <v>42</v>
      </c>
      <c r="AY117" s="113">
        <f t="shared" si="124"/>
        <v>14</v>
      </c>
      <c r="AZ117" s="113">
        <f t="shared" ref="AZ117:DK122" si="128">SUMIFS(AZ$5:AZ$36,$B$5:$B$36,$A117)</f>
        <v>3</v>
      </c>
      <c r="BA117" s="113">
        <f t="shared" si="128"/>
        <v>25</v>
      </c>
      <c r="BB117" s="460">
        <f t="shared" si="128"/>
        <v>0</v>
      </c>
      <c r="BC117" s="582">
        <f t="shared" si="128"/>
        <v>11</v>
      </c>
      <c r="BD117" s="113">
        <f t="shared" si="128"/>
        <v>0</v>
      </c>
      <c r="BE117" s="113">
        <f t="shared" si="128"/>
        <v>0</v>
      </c>
      <c r="BF117" s="113">
        <f t="shared" si="128"/>
        <v>11</v>
      </c>
      <c r="BG117" s="459">
        <f t="shared" si="128"/>
        <v>0</v>
      </c>
      <c r="BH117" s="461">
        <f t="shared" si="128"/>
        <v>67</v>
      </c>
      <c r="BI117" s="582">
        <f t="shared" si="128"/>
        <v>59</v>
      </c>
      <c r="BJ117" s="113">
        <f t="shared" si="128"/>
        <v>20</v>
      </c>
      <c r="BK117" s="113">
        <f t="shared" si="128"/>
        <v>2</v>
      </c>
      <c r="BL117" s="113">
        <f t="shared" si="128"/>
        <v>37</v>
      </c>
      <c r="BM117" s="460">
        <f t="shared" si="128"/>
        <v>0</v>
      </c>
      <c r="BN117" s="582">
        <f t="shared" si="128"/>
        <v>8</v>
      </c>
      <c r="BO117" s="113">
        <f t="shared" si="128"/>
        <v>0</v>
      </c>
      <c r="BP117" s="113">
        <f t="shared" si="128"/>
        <v>0</v>
      </c>
      <c r="BQ117" s="113">
        <f t="shared" si="128"/>
        <v>7</v>
      </c>
      <c r="BR117" s="459">
        <f t="shared" si="128"/>
        <v>1</v>
      </c>
      <c r="BS117" s="461">
        <f t="shared" si="128"/>
        <v>121</v>
      </c>
      <c r="BT117" s="582">
        <f t="shared" si="128"/>
        <v>101</v>
      </c>
      <c r="BU117" s="113">
        <f t="shared" si="128"/>
        <v>29</v>
      </c>
      <c r="BV117" s="113">
        <f t="shared" si="128"/>
        <v>2</v>
      </c>
      <c r="BW117" s="113">
        <f t="shared" si="128"/>
        <v>70</v>
      </c>
      <c r="BX117" s="460">
        <f t="shared" si="128"/>
        <v>0</v>
      </c>
      <c r="BY117" s="582">
        <f t="shared" si="128"/>
        <v>20</v>
      </c>
      <c r="BZ117" s="113">
        <f t="shared" si="128"/>
        <v>0</v>
      </c>
      <c r="CA117" s="113">
        <f t="shared" si="128"/>
        <v>0</v>
      </c>
      <c r="CB117" s="113">
        <f t="shared" si="128"/>
        <v>19</v>
      </c>
      <c r="CC117" s="459">
        <f t="shared" si="128"/>
        <v>1</v>
      </c>
      <c r="CD117" s="461">
        <f t="shared" si="128"/>
        <v>13</v>
      </c>
      <c r="CE117" s="582">
        <f t="shared" si="128"/>
        <v>9</v>
      </c>
      <c r="CF117" s="113">
        <f t="shared" si="128"/>
        <v>4</v>
      </c>
      <c r="CG117" s="113">
        <f t="shared" si="128"/>
        <v>0</v>
      </c>
      <c r="CH117" s="113">
        <f t="shared" si="128"/>
        <v>5</v>
      </c>
      <c r="CI117" s="460">
        <f t="shared" si="128"/>
        <v>0</v>
      </c>
      <c r="CJ117" s="582">
        <f t="shared" si="128"/>
        <v>4</v>
      </c>
      <c r="CK117" s="113">
        <f t="shared" si="128"/>
        <v>0</v>
      </c>
      <c r="CL117" s="113">
        <f t="shared" si="128"/>
        <v>0</v>
      </c>
      <c r="CM117" s="113">
        <f t="shared" si="128"/>
        <v>4</v>
      </c>
      <c r="CN117" s="459">
        <f t="shared" si="128"/>
        <v>0</v>
      </c>
      <c r="CO117" s="461">
        <f t="shared" si="128"/>
        <v>9</v>
      </c>
      <c r="CP117" s="582">
        <f t="shared" si="128"/>
        <v>8</v>
      </c>
      <c r="CQ117" s="113">
        <f t="shared" si="128"/>
        <v>2</v>
      </c>
      <c r="CR117" s="113">
        <f t="shared" si="128"/>
        <v>1</v>
      </c>
      <c r="CS117" s="113">
        <f t="shared" si="128"/>
        <v>5</v>
      </c>
      <c r="CT117" s="460">
        <f t="shared" si="128"/>
        <v>0</v>
      </c>
      <c r="CU117" s="582">
        <f t="shared" si="122"/>
        <v>1</v>
      </c>
      <c r="CV117" s="113">
        <f t="shared" si="122"/>
        <v>0</v>
      </c>
      <c r="CW117" s="113">
        <f t="shared" si="122"/>
        <v>0</v>
      </c>
      <c r="CX117" s="113">
        <f t="shared" si="122"/>
        <v>1</v>
      </c>
      <c r="CY117" s="459">
        <f t="shared" si="122"/>
        <v>0</v>
      </c>
      <c r="CZ117" s="461">
        <f t="shared" si="122"/>
        <v>6</v>
      </c>
      <c r="DA117" s="582">
        <f t="shared" si="122"/>
        <v>3</v>
      </c>
      <c r="DB117" s="113">
        <f t="shared" si="122"/>
        <v>2</v>
      </c>
      <c r="DC117" s="113">
        <f t="shared" si="122"/>
        <v>0</v>
      </c>
      <c r="DD117" s="113">
        <f t="shared" si="122"/>
        <v>1</v>
      </c>
      <c r="DE117" s="460">
        <f t="shared" si="122"/>
        <v>0</v>
      </c>
      <c r="DF117" s="582">
        <f t="shared" si="122"/>
        <v>3</v>
      </c>
      <c r="DG117" s="113">
        <f t="shared" si="122"/>
        <v>0</v>
      </c>
      <c r="DH117" s="113">
        <f t="shared" si="122"/>
        <v>0</v>
      </c>
      <c r="DI117" s="113">
        <f t="shared" si="122"/>
        <v>0</v>
      </c>
      <c r="DJ117" s="459">
        <f t="shared" si="122"/>
        <v>3</v>
      </c>
      <c r="DK117" s="461">
        <f t="shared" si="122"/>
        <v>1</v>
      </c>
      <c r="DL117" s="582">
        <f t="shared" si="122"/>
        <v>1</v>
      </c>
      <c r="DM117" s="113">
        <f t="shared" si="122"/>
        <v>0</v>
      </c>
      <c r="DN117" s="113">
        <f t="shared" si="122"/>
        <v>1</v>
      </c>
      <c r="DO117" s="113">
        <f t="shared" si="122"/>
        <v>0</v>
      </c>
      <c r="DP117" s="460">
        <f t="shared" si="122"/>
        <v>0</v>
      </c>
      <c r="DQ117" s="582">
        <f t="shared" si="122"/>
        <v>0</v>
      </c>
      <c r="DR117" s="113">
        <f t="shared" si="122"/>
        <v>0</v>
      </c>
      <c r="DS117" s="113">
        <f t="shared" si="122"/>
        <v>0</v>
      </c>
      <c r="DT117" s="113">
        <f t="shared" si="122"/>
        <v>0</v>
      </c>
      <c r="DU117" s="459">
        <f t="shared" si="122"/>
        <v>0</v>
      </c>
      <c r="DW117" s="461">
        <f t="shared" si="102"/>
        <v>301</v>
      </c>
      <c r="DX117" s="582">
        <f t="shared" si="102"/>
        <v>243</v>
      </c>
      <c r="DY117" s="113">
        <f t="shared" si="102"/>
        <v>80</v>
      </c>
      <c r="DZ117" s="113">
        <f t="shared" si="100"/>
        <v>9</v>
      </c>
      <c r="EA117" s="113">
        <f t="shared" si="100"/>
        <v>154</v>
      </c>
      <c r="EB117" s="460">
        <f t="shared" si="100"/>
        <v>0</v>
      </c>
      <c r="EC117" s="582">
        <f t="shared" si="100"/>
        <v>58</v>
      </c>
      <c r="ED117" s="113">
        <f t="shared" si="100"/>
        <v>0</v>
      </c>
      <c r="EE117" s="113">
        <f t="shared" si="100"/>
        <v>0</v>
      </c>
      <c r="EF117" s="113">
        <f t="shared" si="100"/>
        <v>51</v>
      </c>
      <c r="EG117" s="459">
        <f t="shared" si="100"/>
        <v>7</v>
      </c>
      <c r="EH117" s="461">
        <f t="shared" si="91"/>
        <v>90</v>
      </c>
      <c r="EI117" s="582">
        <f t="shared" si="91"/>
        <v>73</v>
      </c>
      <c r="EJ117" s="113">
        <f t="shared" si="91"/>
        <v>22</v>
      </c>
      <c r="EK117" s="113">
        <f t="shared" si="91"/>
        <v>2</v>
      </c>
      <c r="EL117" s="113">
        <f t="shared" si="91"/>
        <v>49</v>
      </c>
      <c r="EM117" s="460">
        <f t="shared" si="111"/>
        <v>0</v>
      </c>
      <c r="EN117" s="582">
        <f t="shared" si="111"/>
        <v>17</v>
      </c>
      <c r="EO117" s="113">
        <f t="shared" si="111"/>
        <v>0</v>
      </c>
      <c r="EP117" s="113">
        <f t="shared" si="111"/>
        <v>0</v>
      </c>
      <c r="EQ117" s="113">
        <f t="shared" si="111"/>
        <v>17</v>
      </c>
      <c r="ER117" s="459">
        <f t="shared" si="111"/>
        <v>0</v>
      </c>
    </row>
    <row r="118" spans="1:148">
      <c r="A118" s="466" t="s">
        <v>423</v>
      </c>
      <c r="B118" s="581">
        <v>44986</v>
      </c>
      <c r="C118" s="470">
        <v>2023</v>
      </c>
      <c r="D118" s="461">
        <f t="shared" si="121"/>
        <v>143618</v>
      </c>
      <c r="E118" s="461">
        <f t="shared" si="127"/>
        <v>8520</v>
      </c>
      <c r="F118" s="582">
        <f t="shared" si="127"/>
        <v>6760</v>
      </c>
      <c r="G118" s="113">
        <f t="shared" si="127"/>
        <v>2365</v>
      </c>
      <c r="H118" s="113">
        <f t="shared" si="127"/>
        <v>354</v>
      </c>
      <c r="I118" s="113">
        <f t="shared" si="127"/>
        <v>3938</v>
      </c>
      <c r="J118" s="460">
        <f t="shared" si="127"/>
        <v>103</v>
      </c>
      <c r="K118" s="582">
        <f t="shared" si="127"/>
        <v>1760</v>
      </c>
      <c r="L118" s="113">
        <f t="shared" si="127"/>
        <v>85</v>
      </c>
      <c r="M118" s="113">
        <f t="shared" si="127"/>
        <v>0</v>
      </c>
      <c r="N118" s="113">
        <f t="shared" si="127"/>
        <v>1480</v>
      </c>
      <c r="O118" s="459">
        <f t="shared" si="127"/>
        <v>195</v>
      </c>
      <c r="P118" s="461">
        <f t="shared" si="127"/>
        <v>19</v>
      </c>
      <c r="Q118" s="582">
        <f t="shared" si="127"/>
        <v>9</v>
      </c>
      <c r="R118" s="113">
        <f t="shared" si="127"/>
        <v>7</v>
      </c>
      <c r="S118" s="113">
        <f t="shared" si="127"/>
        <v>0</v>
      </c>
      <c r="T118" s="113">
        <f t="shared" si="127"/>
        <v>2</v>
      </c>
      <c r="U118" s="460">
        <f t="shared" si="126"/>
        <v>0</v>
      </c>
      <c r="V118" s="582">
        <f t="shared" si="126"/>
        <v>10</v>
      </c>
      <c r="W118" s="113">
        <f t="shared" si="126"/>
        <v>0</v>
      </c>
      <c r="X118" s="113">
        <f t="shared" si="126"/>
        <v>0</v>
      </c>
      <c r="Y118" s="113">
        <f t="shared" si="126"/>
        <v>8</v>
      </c>
      <c r="Z118" s="459">
        <f t="shared" si="126"/>
        <v>2</v>
      </c>
      <c r="AA118" s="461">
        <f t="shared" si="126"/>
        <v>12</v>
      </c>
      <c r="AB118" s="582">
        <f t="shared" si="126"/>
        <v>11</v>
      </c>
      <c r="AC118" s="113">
        <f t="shared" si="126"/>
        <v>2</v>
      </c>
      <c r="AD118" s="113">
        <f t="shared" si="126"/>
        <v>0</v>
      </c>
      <c r="AE118" s="113">
        <f t="shared" si="126"/>
        <v>9</v>
      </c>
      <c r="AF118" s="460">
        <f t="shared" si="126"/>
        <v>0</v>
      </c>
      <c r="AG118" s="582">
        <f t="shared" si="126"/>
        <v>1</v>
      </c>
      <c r="AH118" s="113">
        <f t="shared" si="126"/>
        <v>0</v>
      </c>
      <c r="AI118" s="113">
        <f t="shared" si="124"/>
        <v>0</v>
      </c>
      <c r="AJ118" s="113">
        <f t="shared" si="124"/>
        <v>1</v>
      </c>
      <c r="AK118" s="459">
        <f t="shared" si="124"/>
        <v>0</v>
      </c>
      <c r="AL118" s="461">
        <f t="shared" si="124"/>
        <v>90</v>
      </c>
      <c r="AM118" s="582">
        <f t="shared" si="124"/>
        <v>73</v>
      </c>
      <c r="AN118" s="113">
        <f t="shared" si="124"/>
        <v>22</v>
      </c>
      <c r="AO118" s="113">
        <f t="shared" si="124"/>
        <v>2</v>
      </c>
      <c r="AP118" s="113">
        <f t="shared" si="124"/>
        <v>49</v>
      </c>
      <c r="AQ118" s="460">
        <f t="shared" si="124"/>
        <v>0</v>
      </c>
      <c r="AR118" s="582">
        <f t="shared" si="124"/>
        <v>17</v>
      </c>
      <c r="AS118" s="113">
        <f t="shared" si="124"/>
        <v>0</v>
      </c>
      <c r="AT118" s="113">
        <f t="shared" si="124"/>
        <v>0</v>
      </c>
      <c r="AU118" s="113">
        <f t="shared" si="124"/>
        <v>17</v>
      </c>
      <c r="AV118" s="459">
        <f t="shared" si="124"/>
        <v>0</v>
      </c>
      <c r="AW118" s="461">
        <f t="shared" si="124"/>
        <v>53</v>
      </c>
      <c r="AX118" s="582">
        <f t="shared" si="124"/>
        <v>42</v>
      </c>
      <c r="AY118" s="113">
        <f t="shared" si="124"/>
        <v>14</v>
      </c>
      <c r="AZ118" s="113">
        <f t="shared" si="128"/>
        <v>3</v>
      </c>
      <c r="BA118" s="113">
        <f t="shared" si="128"/>
        <v>25</v>
      </c>
      <c r="BB118" s="460">
        <f t="shared" si="128"/>
        <v>0</v>
      </c>
      <c r="BC118" s="582">
        <f t="shared" si="128"/>
        <v>11</v>
      </c>
      <c r="BD118" s="113">
        <f t="shared" si="128"/>
        <v>0</v>
      </c>
      <c r="BE118" s="113">
        <f t="shared" si="128"/>
        <v>0</v>
      </c>
      <c r="BF118" s="113">
        <f t="shared" si="128"/>
        <v>11</v>
      </c>
      <c r="BG118" s="459">
        <f t="shared" si="128"/>
        <v>0</v>
      </c>
      <c r="BH118" s="461">
        <f t="shared" si="128"/>
        <v>67</v>
      </c>
      <c r="BI118" s="582">
        <f t="shared" si="128"/>
        <v>59</v>
      </c>
      <c r="BJ118" s="113">
        <f t="shared" si="128"/>
        <v>20</v>
      </c>
      <c r="BK118" s="113">
        <f t="shared" si="128"/>
        <v>2</v>
      </c>
      <c r="BL118" s="113">
        <f t="shared" si="128"/>
        <v>37</v>
      </c>
      <c r="BM118" s="460">
        <f t="shared" si="128"/>
        <v>0</v>
      </c>
      <c r="BN118" s="582">
        <f t="shared" si="128"/>
        <v>8</v>
      </c>
      <c r="BO118" s="113">
        <f t="shared" si="128"/>
        <v>0</v>
      </c>
      <c r="BP118" s="113">
        <f t="shared" si="128"/>
        <v>0</v>
      </c>
      <c r="BQ118" s="113">
        <f t="shared" si="128"/>
        <v>7</v>
      </c>
      <c r="BR118" s="459">
        <f t="shared" si="128"/>
        <v>1</v>
      </c>
      <c r="BS118" s="461">
        <f t="shared" si="128"/>
        <v>121</v>
      </c>
      <c r="BT118" s="582">
        <f t="shared" si="128"/>
        <v>101</v>
      </c>
      <c r="BU118" s="113">
        <f t="shared" si="128"/>
        <v>29</v>
      </c>
      <c r="BV118" s="113">
        <f t="shared" si="128"/>
        <v>2</v>
      </c>
      <c r="BW118" s="113">
        <f t="shared" si="128"/>
        <v>70</v>
      </c>
      <c r="BX118" s="460">
        <f t="shared" si="128"/>
        <v>0</v>
      </c>
      <c r="BY118" s="582">
        <f t="shared" si="128"/>
        <v>20</v>
      </c>
      <c r="BZ118" s="113">
        <f t="shared" si="128"/>
        <v>0</v>
      </c>
      <c r="CA118" s="113">
        <f t="shared" si="128"/>
        <v>0</v>
      </c>
      <c r="CB118" s="113">
        <f t="shared" si="128"/>
        <v>19</v>
      </c>
      <c r="CC118" s="459">
        <f t="shared" si="128"/>
        <v>1</v>
      </c>
      <c r="CD118" s="461">
        <f t="shared" si="128"/>
        <v>13</v>
      </c>
      <c r="CE118" s="582">
        <f t="shared" si="128"/>
        <v>9</v>
      </c>
      <c r="CF118" s="113">
        <f t="shared" si="128"/>
        <v>4</v>
      </c>
      <c r="CG118" s="113">
        <f t="shared" si="128"/>
        <v>0</v>
      </c>
      <c r="CH118" s="113">
        <f t="shared" si="128"/>
        <v>5</v>
      </c>
      <c r="CI118" s="460">
        <f t="shared" si="128"/>
        <v>0</v>
      </c>
      <c r="CJ118" s="582">
        <f t="shared" si="128"/>
        <v>4</v>
      </c>
      <c r="CK118" s="113">
        <f t="shared" si="128"/>
        <v>0</v>
      </c>
      <c r="CL118" s="113">
        <f t="shared" si="128"/>
        <v>0</v>
      </c>
      <c r="CM118" s="113">
        <f t="shared" si="128"/>
        <v>4</v>
      </c>
      <c r="CN118" s="459">
        <f t="shared" si="128"/>
        <v>0</v>
      </c>
      <c r="CO118" s="461">
        <f t="shared" si="128"/>
        <v>9</v>
      </c>
      <c r="CP118" s="582">
        <f t="shared" si="128"/>
        <v>8</v>
      </c>
      <c r="CQ118" s="113">
        <f t="shared" si="128"/>
        <v>2</v>
      </c>
      <c r="CR118" s="113">
        <f t="shared" si="128"/>
        <v>1</v>
      </c>
      <c r="CS118" s="113">
        <f t="shared" si="128"/>
        <v>5</v>
      </c>
      <c r="CT118" s="460">
        <f t="shared" si="128"/>
        <v>0</v>
      </c>
      <c r="CU118" s="582">
        <f t="shared" si="122"/>
        <v>1</v>
      </c>
      <c r="CV118" s="113">
        <f t="shared" si="122"/>
        <v>0</v>
      </c>
      <c r="CW118" s="113">
        <f t="shared" si="122"/>
        <v>0</v>
      </c>
      <c r="CX118" s="113">
        <f t="shared" si="122"/>
        <v>1</v>
      </c>
      <c r="CY118" s="459">
        <f t="shared" si="122"/>
        <v>0</v>
      </c>
      <c r="CZ118" s="461">
        <f t="shared" si="122"/>
        <v>6</v>
      </c>
      <c r="DA118" s="582">
        <f t="shared" si="122"/>
        <v>3</v>
      </c>
      <c r="DB118" s="113">
        <f t="shared" si="122"/>
        <v>2</v>
      </c>
      <c r="DC118" s="113">
        <f t="shared" si="122"/>
        <v>0</v>
      </c>
      <c r="DD118" s="113">
        <f t="shared" si="122"/>
        <v>1</v>
      </c>
      <c r="DE118" s="460">
        <f t="shared" si="122"/>
        <v>0</v>
      </c>
      <c r="DF118" s="582">
        <f t="shared" si="122"/>
        <v>3</v>
      </c>
      <c r="DG118" s="113">
        <f t="shared" si="122"/>
        <v>0</v>
      </c>
      <c r="DH118" s="113">
        <f t="shared" si="122"/>
        <v>0</v>
      </c>
      <c r="DI118" s="113">
        <f t="shared" si="122"/>
        <v>0</v>
      </c>
      <c r="DJ118" s="459">
        <f t="shared" si="122"/>
        <v>3</v>
      </c>
      <c r="DK118" s="461">
        <f t="shared" si="122"/>
        <v>1</v>
      </c>
      <c r="DL118" s="582">
        <f t="shared" si="122"/>
        <v>1</v>
      </c>
      <c r="DM118" s="113">
        <f t="shared" si="122"/>
        <v>0</v>
      </c>
      <c r="DN118" s="113">
        <f t="shared" si="122"/>
        <v>1</v>
      </c>
      <c r="DO118" s="113">
        <f t="shared" si="122"/>
        <v>0</v>
      </c>
      <c r="DP118" s="460">
        <f t="shared" si="122"/>
        <v>0</v>
      </c>
      <c r="DQ118" s="582">
        <f t="shared" si="122"/>
        <v>0</v>
      </c>
      <c r="DR118" s="113">
        <f t="shared" si="122"/>
        <v>0</v>
      </c>
      <c r="DS118" s="113">
        <f t="shared" si="122"/>
        <v>0</v>
      </c>
      <c r="DT118" s="113">
        <f t="shared" si="122"/>
        <v>0</v>
      </c>
      <c r="DU118" s="459">
        <f t="shared" si="122"/>
        <v>0</v>
      </c>
      <c r="DW118" s="461">
        <f t="shared" si="102"/>
        <v>301</v>
      </c>
      <c r="DX118" s="582">
        <f t="shared" si="102"/>
        <v>243</v>
      </c>
      <c r="DY118" s="113">
        <f t="shared" si="102"/>
        <v>80</v>
      </c>
      <c r="DZ118" s="113">
        <f t="shared" si="100"/>
        <v>9</v>
      </c>
      <c r="EA118" s="113">
        <f t="shared" si="100"/>
        <v>154</v>
      </c>
      <c r="EB118" s="460">
        <f t="shared" si="100"/>
        <v>0</v>
      </c>
      <c r="EC118" s="582">
        <f t="shared" si="100"/>
        <v>58</v>
      </c>
      <c r="ED118" s="113">
        <f t="shared" si="100"/>
        <v>0</v>
      </c>
      <c r="EE118" s="113">
        <f t="shared" si="100"/>
        <v>0</v>
      </c>
      <c r="EF118" s="113">
        <f t="shared" si="100"/>
        <v>51</v>
      </c>
      <c r="EG118" s="459">
        <f t="shared" si="100"/>
        <v>7</v>
      </c>
      <c r="EH118" s="461">
        <f t="shared" si="91"/>
        <v>90</v>
      </c>
      <c r="EI118" s="582">
        <f t="shared" si="91"/>
        <v>73</v>
      </c>
      <c r="EJ118" s="113">
        <f t="shared" si="91"/>
        <v>22</v>
      </c>
      <c r="EK118" s="113">
        <f t="shared" si="91"/>
        <v>2</v>
      </c>
      <c r="EL118" s="113">
        <f t="shared" si="91"/>
        <v>49</v>
      </c>
      <c r="EM118" s="460">
        <f t="shared" si="111"/>
        <v>0</v>
      </c>
      <c r="EN118" s="582">
        <f t="shared" si="111"/>
        <v>17</v>
      </c>
      <c r="EO118" s="113">
        <f t="shared" si="111"/>
        <v>0</v>
      </c>
      <c r="EP118" s="113">
        <f t="shared" si="111"/>
        <v>0</v>
      </c>
      <c r="EQ118" s="113">
        <f t="shared" si="111"/>
        <v>17</v>
      </c>
      <c r="ER118" s="459">
        <f t="shared" si="111"/>
        <v>0</v>
      </c>
    </row>
    <row r="119" spans="1:148">
      <c r="A119" s="466" t="s">
        <v>424</v>
      </c>
      <c r="B119" s="581">
        <v>45017</v>
      </c>
      <c r="C119" s="470">
        <v>2023</v>
      </c>
      <c r="D119" s="461">
        <f t="shared" si="121"/>
        <v>183652</v>
      </c>
      <c r="E119" s="461">
        <f t="shared" si="127"/>
        <v>12797</v>
      </c>
      <c r="F119" s="582">
        <f t="shared" si="127"/>
        <v>9486</v>
      </c>
      <c r="G119" s="113">
        <f t="shared" si="127"/>
        <v>2192</v>
      </c>
      <c r="H119" s="113">
        <f t="shared" si="127"/>
        <v>382</v>
      </c>
      <c r="I119" s="113">
        <f t="shared" si="127"/>
        <v>6743</v>
      </c>
      <c r="J119" s="460">
        <f t="shared" si="127"/>
        <v>169</v>
      </c>
      <c r="K119" s="582">
        <f t="shared" si="127"/>
        <v>3311</v>
      </c>
      <c r="L119" s="113">
        <f t="shared" si="127"/>
        <v>210</v>
      </c>
      <c r="M119" s="113">
        <f t="shared" si="127"/>
        <v>0</v>
      </c>
      <c r="N119" s="113">
        <f t="shared" si="127"/>
        <v>2843</v>
      </c>
      <c r="O119" s="459">
        <f t="shared" si="127"/>
        <v>258</v>
      </c>
      <c r="P119" s="461">
        <f t="shared" si="127"/>
        <v>26</v>
      </c>
      <c r="Q119" s="582">
        <f t="shared" si="127"/>
        <v>12</v>
      </c>
      <c r="R119" s="113">
        <f t="shared" si="127"/>
        <v>1</v>
      </c>
      <c r="S119" s="113">
        <f t="shared" si="127"/>
        <v>1</v>
      </c>
      <c r="T119" s="113">
        <f t="shared" si="127"/>
        <v>10</v>
      </c>
      <c r="U119" s="460">
        <f t="shared" si="126"/>
        <v>0</v>
      </c>
      <c r="V119" s="582">
        <f t="shared" si="126"/>
        <v>14</v>
      </c>
      <c r="W119" s="113">
        <f t="shared" si="126"/>
        <v>1</v>
      </c>
      <c r="X119" s="113">
        <f t="shared" si="126"/>
        <v>0</v>
      </c>
      <c r="Y119" s="113">
        <f t="shared" si="126"/>
        <v>13</v>
      </c>
      <c r="Z119" s="459">
        <f t="shared" si="126"/>
        <v>0</v>
      </c>
      <c r="AA119" s="461">
        <f t="shared" si="126"/>
        <v>5</v>
      </c>
      <c r="AB119" s="582">
        <f t="shared" si="126"/>
        <v>4</v>
      </c>
      <c r="AC119" s="113">
        <f t="shared" si="126"/>
        <v>2</v>
      </c>
      <c r="AD119" s="113">
        <f t="shared" si="126"/>
        <v>0</v>
      </c>
      <c r="AE119" s="113">
        <f t="shared" si="126"/>
        <v>2</v>
      </c>
      <c r="AF119" s="460">
        <f t="shared" si="126"/>
        <v>0</v>
      </c>
      <c r="AG119" s="582">
        <f t="shared" si="126"/>
        <v>1</v>
      </c>
      <c r="AH119" s="113">
        <f t="shared" si="126"/>
        <v>0</v>
      </c>
      <c r="AI119" s="113">
        <f t="shared" si="124"/>
        <v>0</v>
      </c>
      <c r="AJ119" s="113">
        <f t="shared" si="124"/>
        <v>0</v>
      </c>
      <c r="AK119" s="459">
        <f t="shared" si="124"/>
        <v>1</v>
      </c>
      <c r="AL119" s="461">
        <f t="shared" si="124"/>
        <v>150</v>
      </c>
      <c r="AM119" s="582">
        <f t="shared" si="124"/>
        <v>118</v>
      </c>
      <c r="AN119" s="113">
        <f t="shared" si="124"/>
        <v>19</v>
      </c>
      <c r="AO119" s="113">
        <f t="shared" si="124"/>
        <v>3</v>
      </c>
      <c r="AP119" s="113">
        <f t="shared" si="124"/>
        <v>96</v>
      </c>
      <c r="AQ119" s="460">
        <f t="shared" si="124"/>
        <v>0</v>
      </c>
      <c r="AR119" s="582">
        <f t="shared" si="124"/>
        <v>32</v>
      </c>
      <c r="AS119" s="113">
        <f t="shared" si="124"/>
        <v>1</v>
      </c>
      <c r="AT119" s="113">
        <f t="shared" si="124"/>
        <v>0</v>
      </c>
      <c r="AU119" s="113">
        <f t="shared" si="124"/>
        <v>28</v>
      </c>
      <c r="AV119" s="459">
        <f t="shared" si="124"/>
        <v>3</v>
      </c>
      <c r="AW119" s="461">
        <f t="shared" si="124"/>
        <v>65</v>
      </c>
      <c r="AX119" s="582">
        <f t="shared" si="124"/>
        <v>49</v>
      </c>
      <c r="AY119" s="113">
        <f t="shared" si="124"/>
        <v>13</v>
      </c>
      <c r="AZ119" s="113">
        <f t="shared" si="128"/>
        <v>1</v>
      </c>
      <c r="BA119" s="113">
        <f t="shared" si="128"/>
        <v>35</v>
      </c>
      <c r="BB119" s="460">
        <f t="shared" si="128"/>
        <v>0</v>
      </c>
      <c r="BC119" s="582">
        <f t="shared" si="128"/>
        <v>16</v>
      </c>
      <c r="BD119" s="113">
        <f t="shared" si="128"/>
        <v>0</v>
      </c>
      <c r="BE119" s="113">
        <f t="shared" si="128"/>
        <v>0</v>
      </c>
      <c r="BF119" s="113">
        <f t="shared" si="128"/>
        <v>14</v>
      </c>
      <c r="BG119" s="459">
        <f t="shared" si="128"/>
        <v>2</v>
      </c>
      <c r="BH119" s="461">
        <f t="shared" si="128"/>
        <v>100</v>
      </c>
      <c r="BI119" s="582">
        <f t="shared" si="128"/>
        <v>69</v>
      </c>
      <c r="BJ119" s="113">
        <f t="shared" si="128"/>
        <v>14</v>
      </c>
      <c r="BK119" s="113">
        <f t="shared" si="128"/>
        <v>3</v>
      </c>
      <c r="BL119" s="113">
        <f t="shared" si="128"/>
        <v>52</v>
      </c>
      <c r="BM119" s="460">
        <f t="shared" si="128"/>
        <v>0</v>
      </c>
      <c r="BN119" s="582">
        <f t="shared" si="128"/>
        <v>31</v>
      </c>
      <c r="BO119" s="113">
        <f t="shared" si="128"/>
        <v>0</v>
      </c>
      <c r="BP119" s="113">
        <f t="shared" si="128"/>
        <v>0</v>
      </c>
      <c r="BQ119" s="113">
        <f t="shared" si="128"/>
        <v>27</v>
      </c>
      <c r="BR119" s="459">
        <f t="shared" si="128"/>
        <v>4</v>
      </c>
      <c r="BS119" s="461">
        <f t="shared" si="128"/>
        <v>169</v>
      </c>
      <c r="BT119" s="582">
        <f t="shared" si="128"/>
        <v>134</v>
      </c>
      <c r="BU119" s="113">
        <f t="shared" si="128"/>
        <v>30</v>
      </c>
      <c r="BV119" s="113">
        <f t="shared" si="128"/>
        <v>0</v>
      </c>
      <c r="BW119" s="113">
        <f t="shared" si="128"/>
        <v>104</v>
      </c>
      <c r="BX119" s="460">
        <f t="shared" si="128"/>
        <v>0</v>
      </c>
      <c r="BY119" s="582">
        <f t="shared" si="128"/>
        <v>35</v>
      </c>
      <c r="BZ119" s="113">
        <f t="shared" si="128"/>
        <v>2</v>
      </c>
      <c r="CA119" s="113">
        <f t="shared" si="128"/>
        <v>0</v>
      </c>
      <c r="CB119" s="113">
        <f t="shared" si="128"/>
        <v>31</v>
      </c>
      <c r="CC119" s="459">
        <f t="shared" si="128"/>
        <v>2</v>
      </c>
      <c r="CD119" s="461">
        <f t="shared" si="128"/>
        <v>24</v>
      </c>
      <c r="CE119" s="582">
        <f t="shared" si="128"/>
        <v>17</v>
      </c>
      <c r="CF119" s="113">
        <f t="shared" si="128"/>
        <v>2</v>
      </c>
      <c r="CG119" s="113">
        <f t="shared" si="128"/>
        <v>3</v>
      </c>
      <c r="CH119" s="113">
        <f t="shared" si="128"/>
        <v>12</v>
      </c>
      <c r="CI119" s="460">
        <f t="shared" si="128"/>
        <v>0</v>
      </c>
      <c r="CJ119" s="582">
        <f t="shared" si="128"/>
        <v>7</v>
      </c>
      <c r="CK119" s="113">
        <f t="shared" si="128"/>
        <v>0</v>
      </c>
      <c r="CL119" s="113">
        <f t="shared" si="128"/>
        <v>0</v>
      </c>
      <c r="CM119" s="113">
        <f t="shared" si="128"/>
        <v>6</v>
      </c>
      <c r="CN119" s="459">
        <f t="shared" si="128"/>
        <v>1</v>
      </c>
      <c r="CO119" s="461">
        <f t="shared" si="128"/>
        <v>9</v>
      </c>
      <c r="CP119" s="582">
        <f t="shared" si="128"/>
        <v>8</v>
      </c>
      <c r="CQ119" s="113">
        <f t="shared" si="128"/>
        <v>0</v>
      </c>
      <c r="CR119" s="113">
        <f t="shared" si="128"/>
        <v>2</v>
      </c>
      <c r="CS119" s="113">
        <f t="shared" si="128"/>
        <v>6</v>
      </c>
      <c r="CT119" s="460">
        <f t="shared" si="128"/>
        <v>0</v>
      </c>
      <c r="CU119" s="582">
        <f t="shared" si="128"/>
        <v>1</v>
      </c>
      <c r="CV119" s="113">
        <f t="shared" si="128"/>
        <v>0</v>
      </c>
      <c r="CW119" s="113">
        <f t="shared" si="128"/>
        <v>0</v>
      </c>
      <c r="CX119" s="113">
        <f t="shared" si="128"/>
        <v>1</v>
      </c>
      <c r="CY119" s="459">
        <f t="shared" si="128"/>
        <v>0</v>
      </c>
      <c r="CZ119" s="461">
        <f t="shared" si="128"/>
        <v>6</v>
      </c>
      <c r="DA119" s="582">
        <f t="shared" si="128"/>
        <v>5</v>
      </c>
      <c r="DB119" s="113">
        <f t="shared" si="128"/>
        <v>0</v>
      </c>
      <c r="DC119" s="113">
        <f t="shared" si="128"/>
        <v>0</v>
      </c>
      <c r="DD119" s="113">
        <f t="shared" si="128"/>
        <v>5</v>
      </c>
      <c r="DE119" s="460">
        <f t="shared" si="128"/>
        <v>0</v>
      </c>
      <c r="DF119" s="582">
        <f t="shared" si="128"/>
        <v>1</v>
      </c>
      <c r="DG119" s="113">
        <f t="shared" si="128"/>
        <v>0</v>
      </c>
      <c r="DH119" s="113">
        <f t="shared" si="128"/>
        <v>0</v>
      </c>
      <c r="DI119" s="113">
        <f t="shared" si="128"/>
        <v>1</v>
      </c>
      <c r="DJ119" s="459">
        <f t="shared" si="128"/>
        <v>0</v>
      </c>
      <c r="DK119" s="461">
        <f t="shared" si="128"/>
        <v>0</v>
      </c>
      <c r="DL119" s="582">
        <f t="shared" si="122"/>
        <v>0</v>
      </c>
      <c r="DM119" s="113">
        <f t="shared" si="122"/>
        <v>0</v>
      </c>
      <c r="DN119" s="113">
        <f t="shared" si="122"/>
        <v>0</v>
      </c>
      <c r="DO119" s="113">
        <f t="shared" si="122"/>
        <v>0</v>
      </c>
      <c r="DP119" s="460">
        <f t="shared" si="122"/>
        <v>0</v>
      </c>
      <c r="DQ119" s="582">
        <f t="shared" si="122"/>
        <v>0</v>
      </c>
      <c r="DR119" s="113">
        <f t="shared" si="122"/>
        <v>0</v>
      </c>
      <c r="DS119" s="113">
        <f t="shared" si="122"/>
        <v>0</v>
      </c>
      <c r="DT119" s="113">
        <f t="shared" si="122"/>
        <v>0</v>
      </c>
      <c r="DU119" s="459">
        <f t="shared" si="122"/>
        <v>0</v>
      </c>
      <c r="DW119" s="461">
        <f t="shared" si="102"/>
        <v>404</v>
      </c>
      <c r="DX119" s="582">
        <f t="shared" si="102"/>
        <v>298</v>
      </c>
      <c r="DY119" s="113">
        <f t="shared" si="102"/>
        <v>62</v>
      </c>
      <c r="DZ119" s="113">
        <f t="shared" si="100"/>
        <v>10</v>
      </c>
      <c r="EA119" s="113">
        <f t="shared" ref="EA119:EG138" si="129">T119+AE119+BA119+BL119+BW119+CH119+CS119+DD119+DO119</f>
        <v>226</v>
      </c>
      <c r="EB119" s="460">
        <f t="shared" si="129"/>
        <v>0</v>
      </c>
      <c r="EC119" s="582">
        <f t="shared" si="129"/>
        <v>106</v>
      </c>
      <c r="ED119" s="113">
        <f t="shared" si="129"/>
        <v>3</v>
      </c>
      <c r="EE119" s="113">
        <f t="shared" si="129"/>
        <v>0</v>
      </c>
      <c r="EF119" s="113">
        <f t="shared" si="129"/>
        <v>93</v>
      </c>
      <c r="EG119" s="459">
        <f t="shared" si="129"/>
        <v>10</v>
      </c>
      <c r="EH119" s="461">
        <f t="shared" si="91"/>
        <v>150</v>
      </c>
      <c r="EI119" s="582">
        <f t="shared" si="91"/>
        <v>118</v>
      </c>
      <c r="EJ119" s="113">
        <f t="shared" si="91"/>
        <v>19</v>
      </c>
      <c r="EK119" s="113">
        <f t="shared" si="91"/>
        <v>3</v>
      </c>
      <c r="EL119" s="113">
        <f t="shared" si="91"/>
        <v>96</v>
      </c>
      <c r="EM119" s="460">
        <f t="shared" si="111"/>
        <v>0</v>
      </c>
      <c r="EN119" s="582">
        <f t="shared" si="111"/>
        <v>32</v>
      </c>
      <c r="EO119" s="113">
        <f t="shared" si="111"/>
        <v>1</v>
      </c>
      <c r="EP119" s="113">
        <f t="shared" si="111"/>
        <v>0</v>
      </c>
      <c r="EQ119" s="113">
        <f t="shared" si="111"/>
        <v>28</v>
      </c>
      <c r="ER119" s="459">
        <f t="shared" si="111"/>
        <v>3</v>
      </c>
    </row>
    <row r="120" spans="1:148">
      <c r="A120" s="466" t="s">
        <v>424</v>
      </c>
      <c r="B120" s="581">
        <v>45047</v>
      </c>
      <c r="C120" s="470">
        <v>2023</v>
      </c>
      <c r="D120" s="461">
        <f t="shared" si="121"/>
        <v>183652</v>
      </c>
      <c r="E120" s="461">
        <f t="shared" si="127"/>
        <v>12797</v>
      </c>
      <c r="F120" s="582">
        <f t="shared" si="127"/>
        <v>9486</v>
      </c>
      <c r="G120" s="113">
        <f t="shared" si="127"/>
        <v>2192</v>
      </c>
      <c r="H120" s="113">
        <f t="shared" si="127"/>
        <v>382</v>
      </c>
      <c r="I120" s="113">
        <f t="shared" si="127"/>
        <v>6743</v>
      </c>
      <c r="J120" s="460">
        <f t="shared" si="127"/>
        <v>169</v>
      </c>
      <c r="K120" s="582">
        <f t="shared" si="127"/>
        <v>3311</v>
      </c>
      <c r="L120" s="113">
        <f t="shared" si="127"/>
        <v>210</v>
      </c>
      <c r="M120" s="113">
        <f t="shared" si="127"/>
        <v>0</v>
      </c>
      <c r="N120" s="113">
        <f t="shared" si="127"/>
        <v>2843</v>
      </c>
      <c r="O120" s="459">
        <f t="shared" si="127"/>
        <v>258</v>
      </c>
      <c r="P120" s="461">
        <f t="shared" si="127"/>
        <v>26</v>
      </c>
      <c r="Q120" s="582">
        <f t="shared" si="127"/>
        <v>12</v>
      </c>
      <c r="R120" s="113">
        <f t="shared" si="127"/>
        <v>1</v>
      </c>
      <c r="S120" s="113">
        <f t="shared" si="127"/>
        <v>1</v>
      </c>
      <c r="T120" s="113">
        <f t="shared" si="127"/>
        <v>10</v>
      </c>
      <c r="U120" s="460">
        <f t="shared" si="126"/>
        <v>0</v>
      </c>
      <c r="V120" s="582">
        <f t="shared" si="126"/>
        <v>14</v>
      </c>
      <c r="W120" s="113">
        <f t="shared" si="126"/>
        <v>1</v>
      </c>
      <c r="X120" s="113">
        <f t="shared" si="126"/>
        <v>0</v>
      </c>
      <c r="Y120" s="113">
        <f t="shared" si="126"/>
        <v>13</v>
      </c>
      <c r="Z120" s="459">
        <f t="shared" si="126"/>
        <v>0</v>
      </c>
      <c r="AA120" s="461">
        <f t="shared" si="126"/>
        <v>5</v>
      </c>
      <c r="AB120" s="582">
        <f t="shared" si="126"/>
        <v>4</v>
      </c>
      <c r="AC120" s="113">
        <f t="shared" si="126"/>
        <v>2</v>
      </c>
      <c r="AD120" s="113">
        <f t="shared" si="126"/>
        <v>0</v>
      </c>
      <c r="AE120" s="113">
        <f t="shared" si="126"/>
        <v>2</v>
      </c>
      <c r="AF120" s="460">
        <f t="shared" si="126"/>
        <v>0</v>
      </c>
      <c r="AG120" s="582">
        <f t="shared" si="126"/>
        <v>1</v>
      </c>
      <c r="AH120" s="113">
        <f t="shared" si="126"/>
        <v>0</v>
      </c>
      <c r="AI120" s="113">
        <f t="shared" si="124"/>
        <v>0</v>
      </c>
      <c r="AJ120" s="113">
        <f t="shared" si="124"/>
        <v>0</v>
      </c>
      <c r="AK120" s="459">
        <f t="shared" si="124"/>
        <v>1</v>
      </c>
      <c r="AL120" s="461">
        <f t="shared" si="124"/>
        <v>150</v>
      </c>
      <c r="AM120" s="582">
        <f t="shared" si="124"/>
        <v>118</v>
      </c>
      <c r="AN120" s="113">
        <f t="shared" si="124"/>
        <v>19</v>
      </c>
      <c r="AO120" s="113">
        <f t="shared" si="124"/>
        <v>3</v>
      </c>
      <c r="AP120" s="113">
        <f t="shared" si="124"/>
        <v>96</v>
      </c>
      <c r="AQ120" s="460">
        <f t="shared" si="124"/>
        <v>0</v>
      </c>
      <c r="AR120" s="582">
        <f t="shared" si="124"/>
        <v>32</v>
      </c>
      <c r="AS120" s="113">
        <f t="shared" si="124"/>
        <v>1</v>
      </c>
      <c r="AT120" s="113">
        <f t="shared" si="124"/>
        <v>0</v>
      </c>
      <c r="AU120" s="113">
        <f t="shared" si="124"/>
        <v>28</v>
      </c>
      <c r="AV120" s="459">
        <f t="shared" si="124"/>
        <v>3</v>
      </c>
      <c r="AW120" s="461">
        <f t="shared" si="124"/>
        <v>65</v>
      </c>
      <c r="AX120" s="582">
        <f t="shared" si="124"/>
        <v>49</v>
      </c>
      <c r="AY120" s="113">
        <f t="shared" si="124"/>
        <v>13</v>
      </c>
      <c r="AZ120" s="113">
        <f t="shared" si="128"/>
        <v>1</v>
      </c>
      <c r="BA120" s="113">
        <f t="shared" si="128"/>
        <v>35</v>
      </c>
      <c r="BB120" s="460">
        <f t="shared" si="128"/>
        <v>0</v>
      </c>
      <c r="BC120" s="582">
        <f t="shared" si="128"/>
        <v>16</v>
      </c>
      <c r="BD120" s="113">
        <f t="shared" si="128"/>
        <v>0</v>
      </c>
      <c r="BE120" s="113">
        <f t="shared" si="128"/>
        <v>0</v>
      </c>
      <c r="BF120" s="113">
        <f t="shared" si="128"/>
        <v>14</v>
      </c>
      <c r="BG120" s="459">
        <f t="shared" si="128"/>
        <v>2</v>
      </c>
      <c r="BH120" s="461">
        <f t="shared" si="128"/>
        <v>100</v>
      </c>
      <c r="BI120" s="582">
        <f t="shared" si="128"/>
        <v>69</v>
      </c>
      <c r="BJ120" s="113">
        <f t="shared" si="128"/>
        <v>14</v>
      </c>
      <c r="BK120" s="113">
        <f t="shared" si="128"/>
        <v>3</v>
      </c>
      <c r="BL120" s="113">
        <f t="shared" si="128"/>
        <v>52</v>
      </c>
      <c r="BM120" s="460">
        <f t="shared" si="128"/>
        <v>0</v>
      </c>
      <c r="BN120" s="582">
        <f t="shared" si="128"/>
        <v>31</v>
      </c>
      <c r="BO120" s="113">
        <f t="shared" si="128"/>
        <v>0</v>
      </c>
      <c r="BP120" s="113">
        <f t="shared" si="128"/>
        <v>0</v>
      </c>
      <c r="BQ120" s="113">
        <f t="shared" si="128"/>
        <v>27</v>
      </c>
      <c r="BR120" s="459">
        <f t="shared" si="128"/>
        <v>4</v>
      </c>
      <c r="BS120" s="461">
        <f t="shared" si="128"/>
        <v>169</v>
      </c>
      <c r="BT120" s="582">
        <f t="shared" si="128"/>
        <v>134</v>
      </c>
      <c r="BU120" s="113">
        <f t="shared" si="128"/>
        <v>30</v>
      </c>
      <c r="BV120" s="113">
        <f t="shared" si="128"/>
        <v>0</v>
      </c>
      <c r="BW120" s="113">
        <f t="shared" si="128"/>
        <v>104</v>
      </c>
      <c r="BX120" s="460">
        <f t="shared" si="128"/>
        <v>0</v>
      </c>
      <c r="BY120" s="582">
        <f t="shared" si="128"/>
        <v>35</v>
      </c>
      <c r="BZ120" s="113">
        <f t="shared" si="128"/>
        <v>2</v>
      </c>
      <c r="CA120" s="113">
        <f t="shared" si="128"/>
        <v>0</v>
      </c>
      <c r="CB120" s="113">
        <f t="shared" si="128"/>
        <v>31</v>
      </c>
      <c r="CC120" s="459">
        <f t="shared" si="128"/>
        <v>2</v>
      </c>
      <c r="CD120" s="461">
        <f t="shared" si="128"/>
        <v>24</v>
      </c>
      <c r="CE120" s="582">
        <f t="shared" si="128"/>
        <v>17</v>
      </c>
      <c r="CF120" s="113">
        <f t="shared" si="128"/>
        <v>2</v>
      </c>
      <c r="CG120" s="113">
        <f t="shared" si="128"/>
        <v>3</v>
      </c>
      <c r="CH120" s="113">
        <f t="shared" si="128"/>
        <v>12</v>
      </c>
      <c r="CI120" s="460">
        <f t="shared" si="128"/>
        <v>0</v>
      </c>
      <c r="CJ120" s="582">
        <f t="shared" si="128"/>
        <v>7</v>
      </c>
      <c r="CK120" s="113">
        <f t="shared" si="128"/>
        <v>0</v>
      </c>
      <c r="CL120" s="113">
        <f t="shared" si="128"/>
        <v>0</v>
      </c>
      <c r="CM120" s="113">
        <f t="shared" si="128"/>
        <v>6</v>
      </c>
      <c r="CN120" s="459">
        <f t="shared" si="128"/>
        <v>1</v>
      </c>
      <c r="CO120" s="461">
        <f t="shared" si="128"/>
        <v>9</v>
      </c>
      <c r="CP120" s="582">
        <f t="shared" si="128"/>
        <v>8</v>
      </c>
      <c r="CQ120" s="113">
        <f t="shared" si="128"/>
        <v>0</v>
      </c>
      <c r="CR120" s="113">
        <f t="shared" si="128"/>
        <v>2</v>
      </c>
      <c r="CS120" s="113">
        <f t="shared" si="128"/>
        <v>6</v>
      </c>
      <c r="CT120" s="460">
        <f t="shared" si="128"/>
        <v>0</v>
      </c>
      <c r="CU120" s="582">
        <f t="shared" si="122"/>
        <v>1</v>
      </c>
      <c r="CV120" s="113">
        <f t="shared" si="122"/>
        <v>0</v>
      </c>
      <c r="CW120" s="113">
        <f t="shared" si="122"/>
        <v>0</v>
      </c>
      <c r="CX120" s="113">
        <f t="shared" si="122"/>
        <v>1</v>
      </c>
      <c r="CY120" s="459">
        <f t="shared" si="122"/>
        <v>0</v>
      </c>
      <c r="CZ120" s="461">
        <f t="shared" si="122"/>
        <v>6</v>
      </c>
      <c r="DA120" s="582">
        <f t="shared" si="122"/>
        <v>5</v>
      </c>
      <c r="DB120" s="113">
        <f t="shared" si="122"/>
        <v>0</v>
      </c>
      <c r="DC120" s="113">
        <f t="shared" si="122"/>
        <v>0</v>
      </c>
      <c r="DD120" s="113">
        <f t="shared" si="122"/>
        <v>5</v>
      </c>
      <c r="DE120" s="460">
        <f t="shared" si="122"/>
        <v>0</v>
      </c>
      <c r="DF120" s="582">
        <f t="shared" si="122"/>
        <v>1</v>
      </c>
      <c r="DG120" s="113">
        <f t="shared" si="122"/>
        <v>0</v>
      </c>
      <c r="DH120" s="113">
        <f t="shared" si="122"/>
        <v>0</v>
      </c>
      <c r="DI120" s="113">
        <f t="shared" si="122"/>
        <v>1</v>
      </c>
      <c r="DJ120" s="459">
        <f t="shared" si="122"/>
        <v>0</v>
      </c>
      <c r="DK120" s="461">
        <f t="shared" si="122"/>
        <v>0</v>
      </c>
      <c r="DL120" s="582">
        <f t="shared" si="122"/>
        <v>0</v>
      </c>
      <c r="DM120" s="113">
        <f t="shared" si="122"/>
        <v>0</v>
      </c>
      <c r="DN120" s="113">
        <f t="shared" si="122"/>
        <v>0</v>
      </c>
      <c r="DO120" s="113">
        <f t="shared" si="122"/>
        <v>0</v>
      </c>
      <c r="DP120" s="460">
        <f t="shared" si="122"/>
        <v>0</v>
      </c>
      <c r="DQ120" s="582">
        <f t="shared" si="122"/>
        <v>0</v>
      </c>
      <c r="DR120" s="113">
        <f t="shared" si="122"/>
        <v>0</v>
      </c>
      <c r="DS120" s="113">
        <f t="shared" si="122"/>
        <v>0</v>
      </c>
      <c r="DT120" s="113">
        <f t="shared" si="122"/>
        <v>0</v>
      </c>
      <c r="DU120" s="459">
        <f t="shared" si="122"/>
        <v>0</v>
      </c>
      <c r="DW120" s="461">
        <f t="shared" si="102"/>
        <v>404</v>
      </c>
      <c r="DX120" s="582">
        <f t="shared" si="102"/>
        <v>298</v>
      </c>
      <c r="DY120" s="113">
        <f t="shared" si="102"/>
        <v>62</v>
      </c>
      <c r="DZ120" s="113">
        <f t="shared" si="102"/>
        <v>10</v>
      </c>
      <c r="EA120" s="113">
        <f t="shared" si="129"/>
        <v>226</v>
      </c>
      <c r="EB120" s="460">
        <f t="shared" si="129"/>
        <v>0</v>
      </c>
      <c r="EC120" s="582">
        <f t="shared" si="129"/>
        <v>106</v>
      </c>
      <c r="ED120" s="113">
        <f t="shared" si="129"/>
        <v>3</v>
      </c>
      <c r="EE120" s="113">
        <f t="shared" si="129"/>
        <v>0</v>
      </c>
      <c r="EF120" s="113">
        <f t="shared" si="129"/>
        <v>93</v>
      </c>
      <c r="EG120" s="459">
        <f t="shared" si="129"/>
        <v>10</v>
      </c>
      <c r="EH120" s="461">
        <f t="shared" si="91"/>
        <v>150</v>
      </c>
      <c r="EI120" s="582">
        <f t="shared" si="91"/>
        <v>118</v>
      </c>
      <c r="EJ120" s="113">
        <f t="shared" si="91"/>
        <v>19</v>
      </c>
      <c r="EK120" s="113">
        <f t="shared" si="91"/>
        <v>3</v>
      </c>
      <c r="EL120" s="113">
        <f t="shared" si="91"/>
        <v>96</v>
      </c>
      <c r="EM120" s="460">
        <f t="shared" si="111"/>
        <v>0</v>
      </c>
      <c r="EN120" s="582">
        <f t="shared" si="111"/>
        <v>32</v>
      </c>
      <c r="EO120" s="113">
        <f t="shared" si="111"/>
        <v>1</v>
      </c>
      <c r="EP120" s="113">
        <f t="shared" si="111"/>
        <v>0</v>
      </c>
      <c r="EQ120" s="113">
        <f t="shared" si="111"/>
        <v>28</v>
      </c>
      <c r="ER120" s="459">
        <f t="shared" si="111"/>
        <v>3</v>
      </c>
    </row>
    <row r="121" spans="1:148">
      <c r="A121" s="466" t="s">
        <v>424</v>
      </c>
      <c r="B121" s="581">
        <v>45078</v>
      </c>
      <c r="C121" s="470">
        <v>2023</v>
      </c>
      <c r="D121" s="461">
        <f t="shared" si="121"/>
        <v>183652</v>
      </c>
      <c r="E121" s="461">
        <f t="shared" si="127"/>
        <v>12797</v>
      </c>
      <c r="F121" s="582">
        <f t="shared" si="127"/>
        <v>9486</v>
      </c>
      <c r="G121" s="113">
        <f t="shared" si="127"/>
        <v>2192</v>
      </c>
      <c r="H121" s="113">
        <f t="shared" si="127"/>
        <v>382</v>
      </c>
      <c r="I121" s="113">
        <f t="shared" si="127"/>
        <v>6743</v>
      </c>
      <c r="J121" s="460">
        <f t="shared" si="127"/>
        <v>169</v>
      </c>
      <c r="K121" s="582">
        <f t="shared" si="127"/>
        <v>3311</v>
      </c>
      <c r="L121" s="113">
        <f t="shared" si="127"/>
        <v>210</v>
      </c>
      <c r="M121" s="113">
        <f t="shared" si="127"/>
        <v>0</v>
      </c>
      <c r="N121" s="113">
        <f t="shared" si="127"/>
        <v>2843</v>
      </c>
      <c r="O121" s="459">
        <f t="shared" si="127"/>
        <v>258</v>
      </c>
      <c r="P121" s="461">
        <f t="shared" si="127"/>
        <v>26</v>
      </c>
      <c r="Q121" s="582">
        <f t="shared" si="127"/>
        <v>12</v>
      </c>
      <c r="R121" s="113">
        <f t="shared" si="127"/>
        <v>1</v>
      </c>
      <c r="S121" s="113">
        <f t="shared" si="127"/>
        <v>1</v>
      </c>
      <c r="T121" s="113">
        <f t="shared" si="127"/>
        <v>10</v>
      </c>
      <c r="U121" s="460">
        <f t="shared" si="126"/>
        <v>0</v>
      </c>
      <c r="V121" s="582">
        <f t="shared" si="126"/>
        <v>14</v>
      </c>
      <c r="W121" s="113">
        <f t="shared" si="126"/>
        <v>1</v>
      </c>
      <c r="X121" s="113">
        <f t="shared" si="126"/>
        <v>0</v>
      </c>
      <c r="Y121" s="113">
        <f t="shared" si="126"/>
        <v>13</v>
      </c>
      <c r="Z121" s="459">
        <f t="shared" si="126"/>
        <v>0</v>
      </c>
      <c r="AA121" s="461">
        <f t="shared" si="126"/>
        <v>5</v>
      </c>
      <c r="AB121" s="582">
        <f t="shared" si="126"/>
        <v>4</v>
      </c>
      <c r="AC121" s="113">
        <f t="shared" si="126"/>
        <v>2</v>
      </c>
      <c r="AD121" s="113">
        <f t="shared" si="126"/>
        <v>0</v>
      </c>
      <c r="AE121" s="113">
        <f t="shared" si="126"/>
        <v>2</v>
      </c>
      <c r="AF121" s="460">
        <f t="shared" si="126"/>
        <v>0</v>
      </c>
      <c r="AG121" s="582">
        <f t="shared" si="126"/>
        <v>1</v>
      </c>
      <c r="AH121" s="113">
        <f t="shared" si="126"/>
        <v>0</v>
      </c>
      <c r="AI121" s="113">
        <f t="shared" si="124"/>
        <v>0</v>
      </c>
      <c r="AJ121" s="113">
        <f t="shared" si="124"/>
        <v>0</v>
      </c>
      <c r="AK121" s="459">
        <f t="shared" si="124"/>
        <v>1</v>
      </c>
      <c r="AL121" s="461">
        <f t="shared" si="124"/>
        <v>150</v>
      </c>
      <c r="AM121" s="582">
        <f t="shared" si="124"/>
        <v>118</v>
      </c>
      <c r="AN121" s="113">
        <f t="shared" si="124"/>
        <v>19</v>
      </c>
      <c r="AO121" s="113">
        <f t="shared" si="124"/>
        <v>3</v>
      </c>
      <c r="AP121" s="113">
        <f t="shared" si="124"/>
        <v>96</v>
      </c>
      <c r="AQ121" s="460">
        <f t="shared" si="124"/>
        <v>0</v>
      </c>
      <c r="AR121" s="582">
        <f t="shared" si="124"/>
        <v>32</v>
      </c>
      <c r="AS121" s="113">
        <f t="shared" si="124"/>
        <v>1</v>
      </c>
      <c r="AT121" s="113">
        <f t="shared" si="124"/>
        <v>0</v>
      </c>
      <c r="AU121" s="113">
        <f t="shared" si="124"/>
        <v>28</v>
      </c>
      <c r="AV121" s="459">
        <f t="shared" si="124"/>
        <v>3</v>
      </c>
      <c r="AW121" s="461">
        <f t="shared" si="124"/>
        <v>65</v>
      </c>
      <c r="AX121" s="582">
        <f t="shared" si="124"/>
        <v>49</v>
      </c>
      <c r="AY121" s="113">
        <f t="shared" si="124"/>
        <v>13</v>
      </c>
      <c r="AZ121" s="113">
        <f t="shared" si="128"/>
        <v>1</v>
      </c>
      <c r="BA121" s="113">
        <f t="shared" si="128"/>
        <v>35</v>
      </c>
      <c r="BB121" s="460">
        <f t="shared" si="128"/>
        <v>0</v>
      </c>
      <c r="BC121" s="582">
        <f t="shared" si="128"/>
        <v>16</v>
      </c>
      <c r="BD121" s="113">
        <f t="shared" si="128"/>
        <v>0</v>
      </c>
      <c r="BE121" s="113">
        <f t="shared" si="128"/>
        <v>0</v>
      </c>
      <c r="BF121" s="113">
        <f t="shared" si="128"/>
        <v>14</v>
      </c>
      <c r="BG121" s="459">
        <f t="shared" si="128"/>
        <v>2</v>
      </c>
      <c r="BH121" s="461">
        <f t="shared" si="128"/>
        <v>100</v>
      </c>
      <c r="BI121" s="582">
        <f t="shared" si="128"/>
        <v>69</v>
      </c>
      <c r="BJ121" s="113">
        <f t="shared" si="128"/>
        <v>14</v>
      </c>
      <c r="BK121" s="113">
        <f t="shared" si="128"/>
        <v>3</v>
      </c>
      <c r="BL121" s="113">
        <f t="shared" si="128"/>
        <v>52</v>
      </c>
      <c r="BM121" s="460">
        <f t="shared" si="128"/>
        <v>0</v>
      </c>
      <c r="BN121" s="582">
        <f t="shared" si="128"/>
        <v>31</v>
      </c>
      <c r="BO121" s="113">
        <f t="shared" si="128"/>
        <v>0</v>
      </c>
      <c r="BP121" s="113">
        <f t="shared" si="128"/>
        <v>0</v>
      </c>
      <c r="BQ121" s="113">
        <f t="shared" si="128"/>
        <v>27</v>
      </c>
      <c r="BR121" s="459">
        <f t="shared" si="128"/>
        <v>4</v>
      </c>
      <c r="BS121" s="461">
        <f t="shared" si="128"/>
        <v>169</v>
      </c>
      <c r="BT121" s="582">
        <f t="shared" si="128"/>
        <v>134</v>
      </c>
      <c r="BU121" s="113">
        <f t="shared" si="128"/>
        <v>30</v>
      </c>
      <c r="BV121" s="113">
        <f t="shared" si="128"/>
        <v>0</v>
      </c>
      <c r="BW121" s="113">
        <f t="shared" si="128"/>
        <v>104</v>
      </c>
      <c r="BX121" s="460">
        <f t="shared" si="128"/>
        <v>0</v>
      </c>
      <c r="BY121" s="582">
        <f t="shared" si="128"/>
        <v>35</v>
      </c>
      <c r="BZ121" s="113">
        <f t="shared" si="128"/>
        <v>2</v>
      </c>
      <c r="CA121" s="113">
        <f t="shared" si="128"/>
        <v>0</v>
      </c>
      <c r="CB121" s="113">
        <f t="shared" si="128"/>
        <v>31</v>
      </c>
      <c r="CC121" s="459">
        <f t="shared" si="128"/>
        <v>2</v>
      </c>
      <c r="CD121" s="461">
        <f t="shared" si="128"/>
        <v>24</v>
      </c>
      <c r="CE121" s="582">
        <f t="shared" si="128"/>
        <v>17</v>
      </c>
      <c r="CF121" s="113">
        <f t="shared" si="128"/>
        <v>2</v>
      </c>
      <c r="CG121" s="113">
        <f t="shared" si="128"/>
        <v>3</v>
      </c>
      <c r="CH121" s="113">
        <f t="shared" si="128"/>
        <v>12</v>
      </c>
      <c r="CI121" s="460">
        <f t="shared" si="128"/>
        <v>0</v>
      </c>
      <c r="CJ121" s="582">
        <f t="shared" si="128"/>
        <v>7</v>
      </c>
      <c r="CK121" s="113">
        <f t="shared" si="128"/>
        <v>0</v>
      </c>
      <c r="CL121" s="113">
        <f t="shared" si="128"/>
        <v>0</v>
      </c>
      <c r="CM121" s="113">
        <f t="shared" si="128"/>
        <v>6</v>
      </c>
      <c r="CN121" s="459">
        <f t="shared" si="128"/>
        <v>1</v>
      </c>
      <c r="CO121" s="461">
        <f t="shared" si="128"/>
        <v>9</v>
      </c>
      <c r="CP121" s="582">
        <f t="shared" si="128"/>
        <v>8</v>
      </c>
      <c r="CQ121" s="113">
        <f t="shared" si="128"/>
        <v>0</v>
      </c>
      <c r="CR121" s="113">
        <f t="shared" si="128"/>
        <v>2</v>
      </c>
      <c r="CS121" s="113">
        <f t="shared" si="128"/>
        <v>6</v>
      </c>
      <c r="CT121" s="460">
        <f t="shared" si="128"/>
        <v>0</v>
      </c>
      <c r="CU121" s="582">
        <f t="shared" si="122"/>
        <v>1</v>
      </c>
      <c r="CV121" s="113">
        <f t="shared" si="122"/>
        <v>0</v>
      </c>
      <c r="CW121" s="113">
        <f t="shared" si="122"/>
        <v>0</v>
      </c>
      <c r="CX121" s="113">
        <f t="shared" si="122"/>
        <v>1</v>
      </c>
      <c r="CY121" s="459">
        <f t="shared" si="122"/>
        <v>0</v>
      </c>
      <c r="CZ121" s="461">
        <f t="shared" si="122"/>
        <v>6</v>
      </c>
      <c r="DA121" s="582">
        <f t="shared" si="122"/>
        <v>5</v>
      </c>
      <c r="DB121" s="113">
        <f t="shared" si="122"/>
        <v>0</v>
      </c>
      <c r="DC121" s="113">
        <f t="shared" si="122"/>
        <v>0</v>
      </c>
      <c r="DD121" s="113">
        <f t="shared" si="122"/>
        <v>5</v>
      </c>
      <c r="DE121" s="460">
        <f t="shared" si="122"/>
        <v>0</v>
      </c>
      <c r="DF121" s="582">
        <f t="shared" si="122"/>
        <v>1</v>
      </c>
      <c r="DG121" s="113">
        <f t="shared" si="122"/>
        <v>0</v>
      </c>
      <c r="DH121" s="113">
        <f t="shared" si="122"/>
        <v>0</v>
      </c>
      <c r="DI121" s="113">
        <f t="shared" si="122"/>
        <v>1</v>
      </c>
      <c r="DJ121" s="459">
        <f t="shared" si="122"/>
        <v>0</v>
      </c>
      <c r="DK121" s="461">
        <f t="shared" si="122"/>
        <v>0</v>
      </c>
      <c r="DL121" s="582">
        <f t="shared" si="122"/>
        <v>0</v>
      </c>
      <c r="DM121" s="113">
        <f t="shared" ref="DM121:DU136" si="130">SUMIFS(DM$5:DM$36,$B$5:$B$36,$A121)</f>
        <v>0</v>
      </c>
      <c r="DN121" s="113">
        <f t="shared" si="130"/>
        <v>0</v>
      </c>
      <c r="DO121" s="113">
        <f t="shared" si="130"/>
        <v>0</v>
      </c>
      <c r="DP121" s="460">
        <f t="shared" si="130"/>
        <v>0</v>
      </c>
      <c r="DQ121" s="582">
        <f t="shared" si="130"/>
        <v>0</v>
      </c>
      <c r="DR121" s="113">
        <f t="shared" si="130"/>
        <v>0</v>
      </c>
      <c r="DS121" s="113">
        <f t="shared" si="130"/>
        <v>0</v>
      </c>
      <c r="DT121" s="113">
        <f t="shared" si="130"/>
        <v>0</v>
      </c>
      <c r="DU121" s="459">
        <f t="shared" si="130"/>
        <v>0</v>
      </c>
      <c r="DW121" s="461">
        <f t="shared" si="102"/>
        <v>404</v>
      </c>
      <c r="DX121" s="582">
        <f t="shared" si="102"/>
        <v>298</v>
      </c>
      <c r="DY121" s="113">
        <f t="shared" si="102"/>
        <v>62</v>
      </c>
      <c r="DZ121" s="113">
        <f t="shared" si="102"/>
        <v>10</v>
      </c>
      <c r="EA121" s="113">
        <f t="shared" si="129"/>
        <v>226</v>
      </c>
      <c r="EB121" s="460">
        <f t="shared" si="129"/>
        <v>0</v>
      </c>
      <c r="EC121" s="582">
        <f t="shared" si="129"/>
        <v>106</v>
      </c>
      <c r="ED121" s="113">
        <f t="shared" si="129"/>
        <v>3</v>
      </c>
      <c r="EE121" s="113">
        <f t="shared" si="129"/>
        <v>0</v>
      </c>
      <c r="EF121" s="113">
        <f t="shared" si="129"/>
        <v>93</v>
      </c>
      <c r="EG121" s="459">
        <f t="shared" si="129"/>
        <v>10</v>
      </c>
      <c r="EH121" s="461">
        <f t="shared" si="91"/>
        <v>150</v>
      </c>
      <c r="EI121" s="582">
        <f t="shared" si="91"/>
        <v>118</v>
      </c>
      <c r="EJ121" s="113">
        <f t="shared" si="91"/>
        <v>19</v>
      </c>
      <c r="EK121" s="113">
        <f t="shared" si="91"/>
        <v>3</v>
      </c>
      <c r="EL121" s="113">
        <f t="shared" si="91"/>
        <v>96</v>
      </c>
      <c r="EM121" s="460">
        <f t="shared" si="111"/>
        <v>0</v>
      </c>
      <c r="EN121" s="582">
        <f t="shared" si="111"/>
        <v>32</v>
      </c>
      <c r="EO121" s="113">
        <f t="shared" si="111"/>
        <v>1</v>
      </c>
      <c r="EP121" s="113">
        <f t="shared" si="111"/>
        <v>0</v>
      </c>
      <c r="EQ121" s="113">
        <f t="shared" si="111"/>
        <v>28</v>
      </c>
      <c r="ER121" s="459">
        <f t="shared" si="111"/>
        <v>3</v>
      </c>
    </row>
    <row r="122" spans="1:148">
      <c r="A122" s="466" t="s">
        <v>425</v>
      </c>
      <c r="B122" s="581">
        <v>45108</v>
      </c>
      <c r="C122" s="470">
        <v>2023</v>
      </c>
      <c r="D122" s="461">
        <f t="shared" si="121"/>
        <v>178596</v>
      </c>
      <c r="E122" s="461">
        <f t="shared" si="127"/>
        <v>14710</v>
      </c>
      <c r="F122" s="582">
        <f t="shared" si="127"/>
        <v>11458</v>
      </c>
      <c r="G122" s="113">
        <f t="shared" si="127"/>
        <v>3129</v>
      </c>
      <c r="H122" s="113">
        <f t="shared" si="127"/>
        <v>523</v>
      </c>
      <c r="I122" s="113">
        <f t="shared" si="127"/>
        <v>7730</v>
      </c>
      <c r="J122" s="460">
        <f t="shared" si="127"/>
        <v>76</v>
      </c>
      <c r="K122" s="582">
        <f t="shared" si="127"/>
        <v>3252</v>
      </c>
      <c r="L122" s="113">
        <f t="shared" si="127"/>
        <v>322</v>
      </c>
      <c r="M122" s="113">
        <f t="shared" si="127"/>
        <v>0</v>
      </c>
      <c r="N122" s="113">
        <f t="shared" si="127"/>
        <v>2825</v>
      </c>
      <c r="O122" s="459">
        <f t="shared" si="127"/>
        <v>105</v>
      </c>
      <c r="P122" s="461">
        <f t="shared" si="127"/>
        <v>25</v>
      </c>
      <c r="Q122" s="582">
        <f t="shared" si="127"/>
        <v>18</v>
      </c>
      <c r="R122" s="113">
        <f t="shared" si="127"/>
        <v>8</v>
      </c>
      <c r="S122" s="113">
        <f t="shared" si="127"/>
        <v>0</v>
      </c>
      <c r="T122" s="113">
        <f t="shared" si="127"/>
        <v>10</v>
      </c>
      <c r="U122" s="460">
        <f t="shared" si="126"/>
        <v>0</v>
      </c>
      <c r="V122" s="582">
        <f t="shared" si="126"/>
        <v>7</v>
      </c>
      <c r="W122" s="113">
        <f t="shared" si="126"/>
        <v>1</v>
      </c>
      <c r="X122" s="113">
        <f t="shared" si="126"/>
        <v>0</v>
      </c>
      <c r="Y122" s="113">
        <f t="shared" si="126"/>
        <v>6</v>
      </c>
      <c r="Z122" s="459">
        <f t="shared" si="126"/>
        <v>0</v>
      </c>
      <c r="AA122" s="461">
        <f t="shared" si="126"/>
        <v>15</v>
      </c>
      <c r="AB122" s="582">
        <f t="shared" si="126"/>
        <v>9</v>
      </c>
      <c r="AC122" s="113">
        <f t="shared" si="126"/>
        <v>1</v>
      </c>
      <c r="AD122" s="113">
        <f t="shared" si="126"/>
        <v>0</v>
      </c>
      <c r="AE122" s="113">
        <f t="shared" si="126"/>
        <v>8</v>
      </c>
      <c r="AF122" s="460">
        <f t="shared" si="126"/>
        <v>0</v>
      </c>
      <c r="AG122" s="582">
        <f t="shared" si="126"/>
        <v>6</v>
      </c>
      <c r="AH122" s="113">
        <f t="shared" si="126"/>
        <v>2</v>
      </c>
      <c r="AI122" s="113">
        <f t="shared" si="124"/>
        <v>0</v>
      </c>
      <c r="AJ122" s="113">
        <f t="shared" si="124"/>
        <v>4</v>
      </c>
      <c r="AK122" s="459">
        <f t="shared" si="124"/>
        <v>0</v>
      </c>
      <c r="AL122" s="461">
        <f t="shared" si="124"/>
        <v>138</v>
      </c>
      <c r="AM122" s="582">
        <f t="shared" si="124"/>
        <v>92</v>
      </c>
      <c r="AN122" s="113">
        <f t="shared" si="124"/>
        <v>33</v>
      </c>
      <c r="AO122" s="113">
        <f t="shared" si="124"/>
        <v>4</v>
      </c>
      <c r="AP122" s="113">
        <f t="shared" si="124"/>
        <v>55</v>
      </c>
      <c r="AQ122" s="460">
        <f t="shared" si="124"/>
        <v>0</v>
      </c>
      <c r="AR122" s="582">
        <f t="shared" si="124"/>
        <v>46</v>
      </c>
      <c r="AS122" s="113">
        <f t="shared" si="124"/>
        <v>1</v>
      </c>
      <c r="AT122" s="113">
        <f t="shared" si="124"/>
        <v>0</v>
      </c>
      <c r="AU122" s="113">
        <f t="shared" si="124"/>
        <v>45</v>
      </c>
      <c r="AV122" s="459">
        <f t="shared" si="124"/>
        <v>0</v>
      </c>
      <c r="AW122" s="461">
        <f t="shared" si="124"/>
        <v>82</v>
      </c>
      <c r="AX122" s="582">
        <f t="shared" si="124"/>
        <v>69</v>
      </c>
      <c r="AY122" s="113">
        <f t="shared" si="124"/>
        <v>16</v>
      </c>
      <c r="AZ122" s="113">
        <f t="shared" si="128"/>
        <v>4</v>
      </c>
      <c r="BA122" s="113">
        <f t="shared" si="128"/>
        <v>49</v>
      </c>
      <c r="BB122" s="460">
        <f t="shared" si="128"/>
        <v>0</v>
      </c>
      <c r="BC122" s="582">
        <f t="shared" ref="BC122:DN129" si="131">SUMIFS(BC$5:BC$36,$B$5:$B$36,$A122)</f>
        <v>13</v>
      </c>
      <c r="BD122" s="113">
        <f t="shared" si="131"/>
        <v>1</v>
      </c>
      <c r="BE122" s="113">
        <f t="shared" si="131"/>
        <v>0</v>
      </c>
      <c r="BF122" s="113">
        <f t="shared" si="131"/>
        <v>12</v>
      </c>
      <c r="BG122" s="459">
        <f t="shared" si="131"/>
        <v>0</v>
      </c>
      <c r="BH122" s="461">
        <f t="shared" si="131"/>
        <v>126</v>
      </c>
      <c r="BI122" s="582">
        <f t="shared" si="131"/>
        <v>104</v>
      </c>
      <c r="BJ122" s="113">
        <f t="shared" si="131"/>
        <v>28</v>
      </c>
      <c r="BK122" s="113">
        <f t="shared" si="131"/>
        <v>2</v>
      </c>
      <c r="BL122" s="113">
        <f t="shared" si="131"/>
        <v>74</v>
      </c>
      <c r="BM122" s="460">
        <f t="shared" si="131"/>
        <v>0</v>
      </c>
      <c r="BN122" s="582">
        <f t="shared" si="131"/>
        <v>22</v>
      </c>
      <c r="BO122" s="113">
        <f t="shared" si="131"/>
        <v>1</v>
      </c>
      <c r="BP122" s="113">
        <f t="shared" si="131"/>
        <v>0</v>
      </c>
      <c r="BQ122" s="113">
        <f t="shared" si="131"/>
        <v>20</v>
      </c>
      <c r="BR122" s="459">
        <f t="shared" si="131"/>
        <v>1</v>
      </c>
      <c r="BS122" s="461">
        <f t="shared" si="131"/>
        <v>171</v>
      </c>
      <c r="BT122" s="582">
        <f t="shared" si="131"/>
        <v>135</v>
      </c>
      <c r="BU122" s="113">
        <f t="shared" si="131"/>
        <v>44</v>
      </c>
      <c r="BV122" s="113">
        <f t="shared" si="131"/>
        <v>2</v>
      </c>
      <c r="BW122" s="113">
        <f t="shared" si="131"/>
        <v>89</v>
      </c>
      <c r="BX122" s="460">
        <f t="shared" si="131"/>
        <v>0</v>
      </c>
      <c r="BY122" s="582">
        <f t="shared" si="131"/>
        <v>36</v>
      </c>
      <c r="BZ122" s="113">
        <f t="shared" si="131"/>
        <v>3</v>
      </c>
      <c r="CA122" s="113">
        <f t="shared" si="131"/>
        <v>0</v>
      </c>
      <c r="CB122" s="113">
        <f t="shared" si="131"/>
        <v>32</v>
      </c>
      <c r="CC122" s="459">
        <f t="shared" si="131"/>
        <v>1</v>
      </c>
      <c r="CD122" s="461">
        <f t="shared" si="131"/>
        <v>28</v>
      </c>
      <c r="CE122" s="582">
        <f t="shared" si="131"/>
        <v>22</v>
      </c>
      <c r="CF122" s="113">
        <f t="shared" si="131"/>
        <v>4</v>
      </c>
      <c r="CG122" s="113">
        <f t="shared" si="131"/>
        <v>2</v>
      </c>
      <c r="CH122" s="113">
        <f t="shared" si="131"/>
        <v>16</v>
      </c>
      <c r="CI122" s="460">
        <f t="shared" si="131"/>
        <v>0</v>
      </c>
      <c r="CJ122" s="582">
        <f t="shared" si="131"/>
        <v>6</v>
      </c>
      <c r="CK122" s="113">
        <f t="shared" si="131"/>
        <v>0</v>
      </c>
      <c r="CL122" s="113">
        <f t="shared" si="131"/>
        <v>0</v>
      </c>
      <c r="CM122" s="113">
        <f t="shared" si="131"/>
        <v>6</v>
      </c>
      <c r="CN122" s="459">
        <f t="shared" si="131"/>
        <v>0</v>
      </c>
      <c r="CO122" s="461">
        <f t="shared" si="131"/>
        <v>28</v>
      </c>
      <c r="CP122" s="582">
        <f t="shared" si="131"/>
        <v>22</v>
      </c>
      <c r="CQ122" s="113">
        <f t="shared" si="131"/>
        <v>6</v>
      </c>
      <c r="CR122" s="113">
        <f t="shared" si="131"/>
        <v>1</v>
      </c>
      <c r="CS122" s="113">
        <f t="shared" si="131"/>
        <v>15</v>
      </c>
      <c r="CT122" s="460">
        <f t="shared" si="131"/>
        <v>0</v>
      </c>
      <c r="CU122" s="582">
        <f t="shared" si="131"/>
        <v>6</v>
      </c>
      <c r="CV122" s="113">
        <f t="shared" si="131"/>
        <v>0</v>
      </c>
      <c r="CW122" s="113">
        <f t="shared" si="131"/>
        <v>0</v>
      </c>
      <c r="CX122" s="113">
        <f t="shared" si="131"/>
        <v>6</v>
      </c>
      <c r="CY122" s="459">
        <f t="shared" si="131"/>
        <v>0</v>
      </c>
      <c r="CZ122" s="461">
        <f t="shared" si="131"/>
        <v>3</v>
      </c>
      <c r="DA122" s="582">
        <f t="shared" si="131"/>
        <v>2</v>
      </c>
      <c r="DB122" s="113">
        <f t="shared" si="131"/>
        <v>0</v>
      </c>
      <c r="DC122" s="113">
        <f t="shared" si="131"/>
        <v>0</v>
      </c>
      <c r="DD122" s="113">
        <f t="shared" si="131"/>
        <v>2</v>
      </c>
      <c r="DE122" s="460">
        <f t="shared" si="131"/>
        <v>0</v>
      </c>
      <c r="DF122" s="582">
        <f t="shared" si="131"/>
        <v>1</v>
      </c>
      <c r="DG122" s="113">
        <f t="shared" si="131"/>
        <v>0</v>
      </c>
      <c r="DH122" s="113">
        <f t="shared" si="131"/>
        <v>0</v>
      </c>
      <c r="DI122" s="113">
        <f t="shared" si="131"/>
        <v>1</v>
      </c>
      <c r="DJ122" s="459">
        <f t="shared" si="131"/>
        <v>0</v>
      </c>
      <c r="DK122" s="461">
        <f t="shared" si="131"/>
        <v>0</v>
      </c>
      <c r="DL122" s="582">
        <f t="shared" si="131"/>
        <v>0</v>
      </c>
      <c r="DM122" s="113">
        <f t="shared" si="131"/>
        <v>0</v>
      </c>
      <c r="DN122" s="113">
        <f t="shared" si="131"/>
        <v>0</v>
      </c>
      <c r="DO122" s="113">
        <f t="shared" si="130"/>
        <v>0</v>
      </c>
      <c r="DP122" s="460">
        <f t="shared" si="130"/>
        <v>0</v>
      </c>
      <c r="DQ122" s="582">
        <f t="shared" si="130"/>
        <v>0</v>
      </c>
      <c r="DR122" s="113">
        <f t="shared" si="130"/>
        <v>0</v>
      </c>
      <c r="DS122" s="113">
        <f t="shared" si="130"/>
        <v>0</v>
      </c>
      <c r="DT122" s="113">
        <f t="shared" si="130"/>
        <v>0</v>
      </c>
      <c r="DU122" s="459">
        <f t="shared" si="130"/>
        <v>0</v>
      </c>
      <c r="DW122" s="461">
        <f t="shared" si="102"/>
        <v>478</v>
      </c>
      <c r="DX122" s="582">
        <f t="shared" si="102"/>
        <v>381</v>
      </c>
      <c r="DY122" s="113">
        <f t="shared" si="102"/>
        <v>107</v>
      </c>
      <c r="DZ122" s="113">
        <f t="shared" si="102"/>
        <v>11</v>
      </c>
      <c r="EA122" s="113">
        <f t="shared" si="129"/>
        <v>263</v>
      </c>
      <c r="EB122" s="460">
        <f t="shared" si="129"/>
        <v>0</v>
      </c>
      <c r="EC122" s="582">
        <f t="shared" si="129"/>
        <v>97</v>
      </c>
      <c r="ED122" s="113">
        <f t="shared" si="129"/>
        <v>8</v>
      </c>
      <c r="EE122" s="113">
        <f t="shared" si="129"/>
        <v>0</v>
      </c>
      <c r="EF122" s="113">
        <f t="shared" si="129"/>
        <v>87</v>
      </c>
      <c r="EG122" s="459">
        <f t="shared" si="129"/>
        <v>2</v>
      </c>
      <c r="EH122" s="461">
        <f t="shared" si="91"/>
        <v>138</v>
      </c>
      <c r="EI122" s="582">
        <f t="shared" si="91"/>
        <v>92</v>
      </c>
      <c r="EJ122" s="113">
        <f t="shared" si="91"/>
        <v>33</v>
      </c>
      <c r="EK122" s="113">
        <f t="shared" si="91"/>
        <v>4</v>
      </c>
      <c r="EL122" s="113">
        <f t="shared" si="91"/>
        <v>55</v>
      </c>
      <c r="EM122" s="460">
        <f t="shared" si="111"/>
        <v>0</v>
      </c>
      <c r="EN122" s="582">
        <f t="shared" si="111"/>
        <v>46</v>
      </c>
      <c r="EO122" s="113">
        <f t="shared" si="111"/>
        <v>1</v>
      </c>
      <c r="EP122" s="113">
        <f t="shared" si="111"/>
        <v>0</v>
      </c>
      <c r="EQ122" s="113">
        <f t="shared" si="111"/>
        <v>45</v>
      </c>
      <c r="ER122" s="459">
        <f t="shared" si="111"/>
        <v>0</v>
      </c>
    </row>
    <row r="123" spans="1:148">
      <c r="A123" s="466" t="s">
        <v>425</v>
      </c>
      <c r="B123" s="581">
        <v>45139</v>
      </c>
      <c r="C123" s="470">
        <v>2023</v>
      </c>
      <c r="D123" s="461">
        <f t="shared" si="121"/>
        <v>178596</v>
      </c>
      <c r="E123" s="461">
        <f t="shared" si="127"/>
        <v>14710</v>
      </c>
      <c r="F123" s="582">
        <f t="shared" si="127"/>
        <v>11458</v>
      </c>
      <c r="G123" s="113">
        <f t="shared" si="127"/>
        <v>3129</v>
      </c>
      <c r="H123" s="113">
        <f t="shared" si="127"/>
        <v>523</v>
      </c>
      <c r="I123" s="113">
        <f t="shared" si="127"/>
        <v>7730</v>
      </c>
      <c r="J123" s="460">
        <f t="shared" si="127"/>
        <v>76</v>
      </c>
      <c r="K123" s="582">
        <f t="shared" si="127"/>
        <v>3252</v>
      </c>
      <c r="L123" s="113">
        <f t="shared" si="127"/>
        <v>322</v>
      </c>
      <c r="M123" s="113">
        <f t="shared" si="127"/>
        <v>0</v>
      </c>
      <c r="N123" s="113">
        <f t="shared" si="127"/>
        <v>2825</v>
      </c>
      <c r="O123" s="459">
        <f t="shared" si="127"/>
        <v>105</v>
      </c>
      <c r="P123" s="461">
        <f t="shared" si="127"/>
        <v>25</v>
      </c>
      <c r="Q123" s="582">
        <f t="shared" si="127"/>
        <v>18</v>
      </c>
      <c r="R123" s="113">
        <f t="shared" si="127"/>
        <v>8</v>
      </c>
      <c r="S123" s="113">
        <f t="shared" si="127"/>
        <v>0</v>
      </c>
      <c r="T123" s="113">
        <f t="shared" si="127"/>
        <v>10</v>
      </c>
      <c r="U123" s="460">
        <f t="shared" si="126"/>
        <v>0</v>
      </c>
      <c r="V123" s="582">
        <f t="shared" si="126"/>
        <v>7</v>
      </c>
      <c r="W123" s="113">
        <f t="shared" si="126"/>
        <v>1</v>
      </c>
      <c r="X123" s="113">
        <f t="shared" si="126"/>
        <v>0</v>
      </c>
      <c r="Y123" s="113">
        <f t="shared" si="126"/>
        <v>6</v>
      </c>
      <c r="Z123" s="459">
        <f t="shared" si="126"/>
        <v>0</v>
      </c>
      <c r="AA123" s="461">
        <f t="shared" si="126"/>
        <v>15</v>
      </c>
      <c r="AB123" s="582">
        <f t="shared" si="126"/>
        <v>9</v>
      </c>
      <c r="AC123" s="113">
        <f t="shared" si="126"/>
        <v>1</v>
      </c>
      <c r="AD123" s="113">
        <f t="shared" si="126"/>
        <v>0</v>
      </c>
      <c r="AE123" s="113">
        <f t="shared" si="126"/>
        <v>8</v>
      </c>
      <c r="AF123" s="460">
        <f t="shared" si="126"/>
        <v>0</v>
      </c>
      <c r="AG123" s="582">
        <f t="shared" si="126"/>
        <v>6</v>
      </c>
      <c r="AH123" s="113">
        <f t="shared" si="126"/>
        <v>2</v>
      </c>
      <c r="AI123" s="113">
        <f t="shared" si="124"/>
        <v>0</v>
      </c>
      <c r="AJ123" s="113">
        <f t="shared" si="124"/>
        <v>4</v>
      </c>
      <c r="AK123" s="459">
        <f t="shared" si="124"/>
        <v>0</v>
      </c>
      <c r="AL123" s="461">
        <f t="shared" si="124"/>
        <v>138</v>
      </c>
      <c r="AM123" s="582">
        <f t="shared" si="124"/>
        <v>92</v>
      </c>
      <c r="AN123" s="113">
        <f t="shared" si="124"/>
        <v>33</v>
      </c>
      <c r="AO123" s="113">
        <f t="shared" si="124"/>
        <v>4</v>
      </c>
      <c r="AP123" s="113">
        <f t="shared" si="124"/>
        <v>55</v>
      </c>
      <c r="AQ123" s="460">
        <f t="shared" si="124"/>
        <v>0</v>
      </c>
      <c r="AR123" s="582">
        <f t="shared" si="124"/>
        <v>46</v>
      </c>
      <c r="AS123" s="113">
        <f t="shared" si="124"/>
        <v>1</v>
      </c>
      <c r="AT123" s="113">
        <f t="shared" si="124"/>
        <v>0</v>
      </c>
      <c r="AU123" s="113">
        <f t="shared" si="124"/>
        <v>45</v>
      </c>
      <c r="AV123" s="459">
        <f t="shared" si="124"/>
        <v>0</v>
      </c>
      <c r="AW123" s="461">
        <f t="shared" si="124"/>
        <v>82</v>
      </c>
      <c r="AX123" s="582">
        <f t="shared" si="124"/>
        <v>69</v>
      </c>
      <c r="AY123" s="113">
        <f t="shared" si="124"/>
        <v>16</v>
      </c>
      <c r="AZ123" s="113">
        <f t="shared" ref="AZ123:DK130" si="132">SUMIFS(AZ$5:AZ$36,$B$5:$B$36,$A123)</f>
        <v>4</v>
      </c>
      <c r="BA123" s="113">
        <f t="shared" si="132"/>
        <v>49</v>
      </c>
      <c r="BB123" s="460">
        <f t="shared" si="132"/>
        <v>0</v>
      </c>
      <c r="BC123" s="582">
        <f t="shared" si="132"/>
        <v>13</v>
      </c>
      <c r="BD123" s="113">
        <f t="shared" si="132"/>
        <v>1</v>
      </c>
      <c r="BE123" s="113">
        <f t="shared" si="132"/>
        <v>0</v>
      </c>
      <c r="BF123" s="113">
        <f t="shared" si="132"/>
        <v>12</v>
      </c>
      <c r="BG123" s="459">
        <f t="shared" si="132"/>
        <v>0</v>
      </c>
      <c r="BH123" s="461">
        <f t="shared" si="132"/>
        <v>126</v>
      </c>
      <c r="BI123" s="582">
        <f t="shared" si="132"/>
        <v>104</v>
      </c>
      <c r="BJ123" s="113">
        <f t="shared" si="132"/>
        <v>28</v>
      </c>
      <c r="BK123" s="113">
        <f t="shared" si="132"/>
        <v>2</v>
      </c>
      <c r="BL123" s="113">
        <f t="shared" si="132"/>
        <v>74</v>
      </c>
      <c r="BM123" s="460">
        <f t="shared" si="132"/>
        <v>0</v>
      </c>
      <c r="BN123" s="582">
        <f t="shared" si="132"/>
        <v>22</v>
      </c>
      <c r="BO123" s="113">
        <f t="shared" si="132"/>
        <v>1</v>
      </c>
      <c r="BP123" s="113">
        <f t="shared" si="132"/>
        <v>0</v>
      </c>
      <c r="BQ123" s="113">
        <f t="shared" si="132"/>
        <v>20</v>
      </c>
      <c r="BR123" s="459">
        <f t="shared" si="132"/>
        <v>1</v>
      </c>
      <c r="BS123" s="461">
        <f t="shared" si="132"/>
        <v>171</v>
      </c>
      <c r="BT123" s="582">
        <f t="shared" si="132"/>
        <v>135</v>
      </c>
      <c r="BU123" s="113">
        <f t="shared" si="132"/>
        <v>44</v>
      </c>
      <c r="BV123" s="113">
        <f t="shared" si="132"/>
        <v>2</v>
      </c>
      <c r="BW123" s="113">
        <f t="shared" si="132"/>
        <v>89</v>
      </c>
      <c r="BX123" s="460">
        <f t="shared" si="132"/>
        <v>0</v>
      </c>
      <c r="BY123" s="582">
        <f t="shared" si="132"/>
        <v>36</v>
      </c>
      <c r="BZ123" s="113">
        <f t="shared" si="132"/>
        <v>3</v>
      </c>
      <c r="CA123" s="113">
        <f t="shared" si="132"/>
        <v>0</v>
      </c>
      <c r="CB123" s="113">
        <f t="shared" si="132"/>
        <v>32</v>
      </c>
      <c r="CC123" s="459">
        <f t="shared" si="132"/>
        <v>1</v>
      </c>
      <c r="CD123" s="461">
        <f t="shared" si="132"/>
        <v>28</v>
      </c>
      <c r="CE123" s="582">
        <f t="shared" si="132"/>
        <v>22</v>
      </c>
      <c r="CF123" s="113">
        <f t="shared" si="132"/>
        <v>4</v>
      </c>
      <c r="CG123" s="113">
        <f t="shared" si="132"/>
        <v>2</v>
      </c>
      <c r="CH123" s="113">
        <f t="shared" si="132"/>
        <v>16</v>
      </c>
      <c r="CI123" s="460">
        <f t="shared" si="132"/>
        <v>0</v>
      </c>
      <c r="CJ123" s="582">
        <f t="shared" si="132"/>
        <v>6</v>
      </c>
      <c r="CK123" s="113">
        <f t="shared" si="132"/>
        <v>0</v>
      </c>
      <c r="CL123" s="113">
        <f t="shared" si="132"/>
        <v>0</v>
      </c>
      <c r="CM123" s="113">
        <f t="shared" si="132"/>
        <v>6</v>
      </c>
      <c r="CN123" s="459">
        <f t="shared" si="132"/>
        <v>0</v>
      </c>
      <c r="CO123" s="461">
        <f t="shared" si="132"/>
        <v>28</v>
      </c>
      <c r="CP123" s="582">
        <f t="shared" si="132"/>
        <v>22</v>
      </c>
      <c r="CQ123" s="113">
        <f t="shared" si="132"/>
        <v>6</v>
      </c>
      <c r="CR123" s="113">
        <f t="shared" si="132"/>
        <v>1</v>
      </c>
      <c r="CS123" s="113">
        <f t="shared" si="132"/>
        <v>15</v>
      </c>
      <c r="CT123" s="460">
        <f t="shared" si="131"/>
        <v>0</v>
      </c>
      <c r="CU123" s="582">
        <f t="shared" si="131"/>
        <v>6</v>
      </c>
      <c r="CV123" s="113">
        <f t="shared" si="131"/>
        <v>0</v>
      </c>
      <c r="CW123" s="113">
        <f t="shared" si="131"/>
        <v>0</v>
      </c>
      <c r="CX123" s="113">
        <f t="shared" si="131"/>
        <v>6</v>
      </c>
      <c r="CY123" s="459">
        <f t="shared" si="131"/>
        <v>0</v>
      </c>
      <c r="CZ123" s="461">
        <f t="shared" si="131"/>
        <v>3</v>
      </c>
      <c r="DA123" s="582">
        <f t="shared" si="131"/>
        <v>2</v>
      </c>
      <c r="DB123" s="113">
        <f t="shared" si="131"/>
        <v>0</v>
      </c>
      <c r="DC123" s="113">
        <f t="shared" si="131"/>
        <v>0</v>
      </c>
      <c r="DD123" s="113">
        <f t="shared" si="131"/>
        <v>2</v>
      </c>
      <c r="DE123" s="460">
        <f t="shared" si="131"/>
        <v>0</v>
      </c>
      <c r="DF123" s="582">
        <f t="shared" si="131"/>
        <v>1</v>
      </c>
      <c r="DG123" s="113">
        <f t="shared" si="131"/>
        <v>0</v>
      </c>
      <c r="DH123" s="113">
        <f t="shared" si="131"/>
        <v>0</v>
      </c>
      <c r="DI123" s="113">
        <f t="shared" si="131"/>
        <v>1</v>
      </c>
      <c r="DJ123" s="459">
        <f t="shared" si="131"/>
        <v>0</v>
      </c>
      <c r="DK123" s="461">
        <f t="shared" si="131"/>
        <v>0</v>
      </c>
      <c r="DL123" s="582">
        <f t="shared" si="131"/>
        <v>0</v>
      </c>
      <c r="DM123" s="113">
        <f t="shared" si="131"/>
        <v>0</v>
      </c>
      <c r="DN123" s="113">
        <f t="shared" si="131"/>
        <v>0</v>
      </c>
      <c r="DO123" s="113">
        <f t="shared" si="130"/>
        <v>0</v>
      </c>
      <c r="DP123" s="460">
        <f t="shared" si="130"/>
        <v>0</v>
      </c>
      <c r="DQ123" s="582">
        <f t="shared" si="130"/>
        <v>0</v>
      </c>
      <c r="DR123" s="113">
        <f t="shared" si="130"/>
        <v>0</v>
      </c>
      <c r="DS123" s="113">
        <f t="shared" si="130"/>
        <v>0</v>
      </c>
      <c r="DT123" s="113">
        <f t="shared" si="130"/>
        <v>0</v>
      </c>
      <c r="DU123" s="459">
        <f t="shared" si="130"/>
        <v>0</v>
      </c>
      <c r="DW123" s="461">
        <f t="shared" si="102"/>
        <v>478</v>
      </c>
      <c r="DX123" s="582">
        <f t="shared" si="102"/>
        <v>381</v>
      </c>
      <c r="DY123" s="113">
        <f t="shared" si="102"/>
        <v>107</v>
      </c>
      <c r="DZ123" s="113">
        <f t="shared" si="102"/>
        <v>11</v>
      </c>
      <c r="EA123" s="113">
        <f t="shared" si="129"/>
        <v>263</v>
      </c>
      <c r="EB123" s="460">
        <f t="shared" si="129"/>
        <v>0</v>
      </c>
      <c r="EC123" s="582">
        <f t="shared" si="129"/>
        <v>97</v>
      </c>
      <c r="ED123" s="113">
        <f t="shared" si="129"/>
        <v>8</v>
      </c>
      <c r="EE123" s="113">
        <f t="shared" si="129"/>
        <v>0</v>
      </c>
      <c r="EF123" s="113">
        <f t="shared" si="129"/>
        <v>87</v>
      </c>
      <c r="EG123" s="459">
        <f t="shared" si="129"/>
        <v>2</v>
      </c>
      <c r="EH123" s="461">
        <f t="shared" si="91"/>
        <v>138</v>
      </c>
      <c r="EI123" s="582">
        <f t="shared" si="91"/>
        <v>92</v>
      </c>
      <c r="EJ123" s="113">
        <f t="shared" si="91"/>
        <v>33</v>
      </c>
      <c r="EK123" s="113">
        <f t="shared" si="91"/>
        <v>4</v>
      </c>
      <c r="EL123" s="113">
        <f t="shared" si="91"/>
        <v>55</v>
      </c>
      <c r="EM123" s="460">
        <f t="shared" si="111"/>
        <v>0</v>
      </c>
      <c r="EN123" s="582">
        <f t="shared" si="111"/>
        <v>46</v>
      </c>
      <c r="EO123" s="113">
        <f t="shared" si="111"/>
        <v>1</v>
      </c>
      <c r="EP123" s="113">
        <f t="shared" si="111"/>
        <v>0</v>
      </c>
      <c r="EQ123" s="113">
        <f t="shared" si="111"/>
        <v>45</v>
      </c>
      <c r="ER123" s="459">
        <f t="shared" si="111"/>
        <v>0</v>
      </c>
    </row>
    <row r="124" spans="1:148">
      <c r="A124" s="466" t="s">
        <v>425</v>
      </c>
      <c r="B124" s="581">
        <v>45170</v>
      </c>
      <c r="C124" s="470">
        <v>2023</v>
      </c>
      <c r="D124" s="461">
        <f t="shared" si="121"/>
        <v>178596</v>
      </c>
      <c r="E124" s="461">
        <f t="shared" si="127"/>
        <v>14710</v>
      </c>
      <c r="F124" s="582">
        <f t="shared" si="127"/>
        <v>11458</v>
      </c>
      <c r="G124" s="113">
        <f t="shared" si="127"/>
        <v>3129</v>
      </c>
      <c r="H124" s="113">
        <f t="shared" si="127"/>
        <v>523</v>
      </c>
      <c r="I124" s="113">
        <f t="shared" si="127"/>
        <v>7730</v>
      </c>
      <c r="J124" s="460">
        <f t="shared" si="127"/>
        <v>76</v>
      </c>
      <c r="K124" s="582">
        <f t="shared" si="127"/>
        <v>3252</v>
      </c>
      <c r="L124" s="113">
        <f t="shared" si="127"/>
        <v>322</v>
      </c>
      <c r="M124" s="113">
        <f t="shared" si="127"/>
        <v>0</v>
      </c>
      <c r="N124" s="113">
        <f t="shared" si="127"/>
        <v>2825</v>
      </c>
      <c r="O124" s="459">
        <f t="shared" si="127"/>
        <v>105</v>
      </c>
      <c r="P124" s="461">
        <f t="shared" si="127"/>
        <v>25</v>
      </c>
      <c r="Q124" s="582">
        <f t="shared" si="127"/>
        <v>18</v>
      </c>
      <c r="R124" s="113">
        <f t="shared" si="127"/>
        <v>8</v>
      </c>
      <c r="S124" s="113">
        <f t="shared" si="127"/>
        <v>0</v>
      </c>
      <c r="T124" s="113">
        <f t="shared" si="127"/>
        <v>10</v>
      </c>
      <c r="U124" s="460">
        <f t="shared" si="126"/>
        <v>0</v>
      </c>
      <c r="V124" s="582">
        <f t="shared" si="126"/>
        <v>7</v>
      </c>
      <c r="W124" s="113">
        <f t="shared" si="126"/>
        <v>1</v>
      </c>
      <c r="X124" s="113">
        <f t="shared" si="126"/>
        <v>0</v>
      </c>
      <c r="Y124" s="113">
        <f t="shared" si="126"/>
        <v>6</v>
      </c>
      <c r="Z124" s="459">
        <f t="shared" si="126"/>
        <v>0</v>
      </c>
      <c r="AA124" s="461">
        <f t="shared" si="126"/>
        <v>15</v>
      </c>
      <c r="AB124" s="582">
        <f t="shared" si="126"/>
        <v>9</v>
      </c>
      <c r="AC124" s="113">
        <f t="shared" si="126"/>
        <v>1</v>
      </c>
      <c r="AD124" s="113">
        <f t="shared" si="126"/>
        <v>0</v>
      </c>
      <c r="AE124" s="113">
        <f t="shared" si="126"/>
        <v>8</v>
      </c>
      <c r="AF124" s="460">
        <f t="shared" si="126"/>
        <v>0</v>
      </c>
      <c r="AG124" s="582">
        <f t="shared" si="126"/>
        <v>6</v>
      </c>
      <c r="AH124" s="113">
        <f t="shared" si="126"/>
        <v>2</v>
      </c>
      <c r="AI124" s="113">
        <f t="shared" si="124"/>
        <v>0</v>
      </c>
      <c r="AJ124" s="113">
        <f t="shared" si="124"/>
        <v>4</v>
      </c>
      <c r="AK124" s="459">
        <f t="shared" si="124"/>
        <v>0</v>
      </c>
      <c r="AL124" s="461">
        <f t="shared" si="124"/>
        <v>138</v>
      </c>
      <c r="AM124" s="582">
        <f t="shared" si="124"/>
        <v>92</v>
      </c>
      <c r="AN124" s="113">
        <f t="shared" si="124"/>
        <v>33</v>
      </c>
      <c r="AO124" s="113">
        <f t="shared" si="124"/>
        <v>4</v>
      </c>
      <c r="AP124" s="113">
        <f t="shared" si="124"/>
        <v>55</v>
      </c>
      <c r="AQ124" s="460">
        <f t="shared" si="124"/>
        <v>0</v>
      </c>
      <c r="AR124" s="582">
        <f t="shared" si="124"/>
        <v>46</v>
      </c>
      <c r="AS124" s="113">
        <f t="shared" si="124"/>
        <v>1</v>
      </c>
      <c r="AT124" s="113">
        <f t="shared" si="124"/>
        <v>0</v>
      </c>
      <c r="AU124" s="113">
        <f t="shared" si="124"/>
        <v>45</v>
      </c>
      <c r="AV124" s="459">
        <f t="shared" si="124"/>
        <v>0</v>
      </c>
      <c r="AW124" s="461">
        <f t="shared" si="124"/>
        <v>82</v>
      </c>
      <c r="AX124" s="582">
        <f t="shared" si="124"/>
        <v>69</v>
      </c>
      <c r="AY124" s="113">
        <f t="shared" si="124"/>
        <v>16</v>
      </c>
      <c r="AZ124" s="113">
        <f t="shared" si="132"/>
        <v>4</v>
      </c>
      <c r="BA124" s="113">
        <f t="shared" si="132"/>
        <v>49</v>
      </c>
      <c r="BB124" s="460">
        <f t="shared" si="132"/>
        <v>0</v>
      </c>
      <c r="BC124" s="582">
        <f t="shared" si="132"/>
        <v>13</v>
      </c>
      <c r="BD124" s="113">
        <f t="shared" si="132"/>
        <v>1</v>
      </c>
      <c r="BE124" s="113">
        <f t="shared" si="132"/>
        <v>0</v>
      </c>
      <c r="BF124" s="113">
        <f t="shared" si="132"/>
        <v>12</v>
      </c>
      <c r="BG124" s="459">
        <f t="shared" si="132"/>
        <v>0</v>
      </c>
      <c r="BH124" s="461">
        <f t="shared" si="132"/>
        <v>126</v>
      </c>
      <c r="BI124" s="582">
        <f t="shared" si="132"/>
        <v>104</v>
      </c>
      <c r="BJ124" s="113">
        <f t="shared" si="132"/>
        <v>28</v>
      </c>
      <c r="BK124" s="113">
        <f t="shared" si="132"/>
        <v>2</v>
      </c>
      <c r="BL124" s="113">
        <f t="shared" si="132"/>
        <v>74</v>
      </c>
      <c r="BM124" s="460">
        <f t="shared" si="132"/>
        <v>0</v>
      </c>
      <c r="BN124" s="582">
        <f t="shared" si="132"/>
        <v>22</v>
      </c>
      <c r="BO124" s="113">
        <f t="shared" si="132"/>
        <v>1</v>
      </c>
      <c r="BP124" s="113">
        <f t="shared" si="132"/>
        <v>0</v>
      </c>
      <c r="BQ124" s="113">
        <f t="shared" si="132"/>
        <v>20</v>
      </c>
      <c r="BR124" s="459">
        <f t="shared" si="132"/>
        <v>1</v>
      </c>
      <c r="BS124" s="461">
        <f t="shared" si="132"/>
        <v>171</v>
      </c>
      <c r="BT124" s="582">
        <f t="shared" si="132"/>
        <v>135</v>
      </c>
      <c r="BU124" s="113">
        <f t="shared" si="132"/>
        <v>44</v>
      </c>
      <c r="BV124" s="113">
        <f t="shared" si="132"/>
        <v>2</v>
      </c>
      <c r="BW124" s="113">
        <f t="shared" si="132"/>
        <v>89</v>
      </c>
      <c r="BX124" s="460">
        <f t="shared" si="132"/>
        <v>0</v>
      </c>
      <c r="BY124" s="582">
        <f t="shared" si="132"/>
        <v>36</v>
      </c>
      <c r="BZ124" s="113">
        <f t="shared" si="132"/>
        <v>3</v>
      </c>
      <c r="CA124" s="113">
        <f t="shared" si="132"/>
        <v>0</v>
      </c>
      <c r="CB124" s="113">
        <f t="shared" si="132"/>
        <v>32</v>
      </c>
      <c r="CC124" s="459">
        <f t="shared" si="132"/>
        <v>1</v>
      </c>
      <c r="CD124" s="461">
        <f t="shared" si="132"/>
        <v>28</v>
      </c>
      <c r="CE124" s="582">
        <f t="shared" si="132"/>
        <v>22</v>
      </c>
      <c r="CF124" s="113">
        <f t="shared" si="132"/>
        <v>4</v>
      </c>
      <c r="CG124" s="113">
        <f t="shared" si="132"/>
        <v>2</v>
      </c>
      <c r="CH124" s="113">
        <f t="shared" si="132"/>
        <v>16</v>
      </c>
      <c r="CI124" s="460">
        <f t="shared" si="132"/>
        <v>0</v>
      </c>
      <c r="CJ124" s="582">
        <f t="shared" si="132"/>
        <v>6</v>
      </c>
      <c r="CK124" s="113">
        <f t="shared" si="132"/>
        <v>0</v>
      </c>
      <c r="CL124" s="113">
        <f t="shared" si="132"/>
        <v>0</v>
      </c>
      <c r="CM124" s="113">
        <f t="shared" si="132"/>
        <v>6</v>
      </c>
      <c r="CN124" s="459">
        <f t="shared" si="132"/>
        <v>0</v>
      </c>
      <c r="CO124" s="461">
        <f t="shared" si="132"/>
        <v>28</v>
      </c>
      <c r="CP124" s="582">
        <f t="shared" si="132"/>
        <v>22</v>
      </c>
      <c r="CQ124" s="113">
        <f t="shared" si="132"/>
        <v>6</v>
      </c>
      <c r="CR124" s="113">
        <f t="shared" si="132"/>
        <v>1</v>
      </c>
      <c r="CS124" s="113">
        <f t="shared" si="132"/>
        <v>15</v>
      </c>
      <c r="CT124" s="460">
        <f t="shared" si="132"/>
        <v>0</v>
      </c>
      <c r="CU124" s="582">
        <f t="shared" si="131"/>
        <v>6</v>
      </c>
      <c r="CV124" s="113">
        <f t="shared" si="131"/>
        <v>0</v>
      </c>
      <c r="CW124" s="113">
        <f t="shared" si="131"/>
        <v>0</v>
      </c>
      <c r="CX124" s="113">
        <f t="shared" si="131"/>
        <v>6</v>
      </c>
      <c r="CY124" s="459">
        <f t="shared" si="131"/>
        <v>0</v>
      </c>
      <c r="CZ124" s="461">
        <f t="shared" si="131"/>
        <v>3</v>
      </c>
      <c r="DA124" s="582">
        <f t="shared" si="131"/>
        <v>2</v>
      </c>
      <c r="DB124" s="113">
        <f t="shared" si="131"/>
        <v>0</v>
      </c>
      <c r="DC124" s="113">
        <f t="shared" si="131"/>
        <v>0</v>
      </c>
      <c r="DD124" s="113">
        <f t="shared" si="131"/>
        <v>2</v>
      </c>
      <c r="DE124" s="460">
        <f t="shared" si="131"/>
        <v>0</v>
      </c>
      <c r="DF124" s="582">
        <f t="shared" si="131"/>
        <v>1</v>
      </c>
      <c r="DG124" s="113">
        <f t="shared" si="131"/>
        <v>0</v>
      </c>
      <c r="DH124" s="113">
        <f t="shared" si="131"/>
        <v>0</v>
      </c>
      <c r="DI124" s="113">
        <f t="shared" si="131"/>
        <v>1</v>
      </c>
      <c r="DJ124" s="459">
        <f t="shared" si="131"/>
        <v>0</v>
      </c>
      <c r="DK124" s="461">
        <f t="shared" si="131"/>
        <v>0</v>
      </c>
      <c r="DL124" s="582">
        <f t="shared" si="131"/>
        <v>0</v>
      </c>
      <c r="DM124" s="113">
        <f t="shared" si="131"/>
        <v>0</v>
      </c>
      <c r="DN124" s="113">
        <f t="shared" si="131"/>
        <v>0</v>
      </c>
      <c r="DO124" s="113">
        <f t="shared" si="130"/>
        <v>0</v>
      </c>
      <c r="DP124" s="460">
        <f t="shared" si="130"/>
        <v>0</v>
      </c>
      <c r="DQ124" s="582">
        <f t="shared" si="130"/>
        <v>0</v>
      </c>
      <c r="DR124" s="113">
        <f t="shared" si="130"/>
        <v>0</v>
      </c>
      <c r="DS124" s="113">
        <f t="shared" si="130"/>
        <v>0</v>
      </c>
      <c r="DT124" s="113">
        <f t="shared" si="130"/>
        <v>0</v>
      </c>
      <c r="DU124" s="459">
        <f t="shared" si="130"/>
        <v>0</v>
      </c>
      <c r="DW124" s="461">
        <f t="shared" si="102"/>
        <v>478</v>
      </c>
      <c r="DX124" s="582">
        <f t="shared" si="102"/>
        <v>381</v>
      </c>
      <c r="DY124" s="113">
        <f t="shared" si="102"/>
        <v>107</v>
      </c>
      <c r="DZ124" s="113">
        <f t="shared" si="102"/>
        <v>11</v>
      </c>
      <c r="EA124" s="113">
        <f t="shared" si="129"/>
        <v>263</v>
      </c>
      <c r="EB124" s="460">
        <f t="shared" si="129"/>
        <v>0</v>
      </c>
      <c r="EC124" s="582">
        <f t="shared" si="129"/>
        <v>97</v>
      </c>
      <c r="ED124" s="113">
        <f t="shared" si="129"/>
        <v>8</v>
      </c>
      <c r="EE124" s="113">
        <f t="shared" si="129"/>
        <v>0</v>
      </c>
      <c r="EF124" s="113">
        <f t="shared" si="129"/>
        <v>87</v>
      </c>
      <c r="EG124" s="459">
        <f t="shared" si="129"/>
        <v>2</v>
      </c>
      <c r="EH124" s="461">
        <f t="shared" si="91"/>
        <v>138</v>
      </c>
      <c r="EI124" s="582">
        <f t="shared" si="91"/>
        <v>92</v>
      </c>
      <c r="EJ124" s="113">
        <f t="shared" si="91"/>
        <v>33</v>
      </c>
      <c r="EK124" s="113">
        <f t="shared" si="91"/>
        <v>4</v>
      </c>
      <c r="EL124" s="113">
        <f t="shared" si="91"/>
        <v>55</v>
      </c>
      <c r="EM124" s="460">
        <f t="shared" si="111"/>
        <v>0</v>
      </c>
      <c r="EN124" s="582">
        <f t="shared" si="111"/>
        <v>46</v>
      </c>
      <c r="EO124" s="113">
        <f t="shared" si="111"/>
        <v>1</v>
      </c>
      <c r="EP124" s="113">
        <f t="shared" si="111"/>
        <v>0</v>
      </c>
      <c r="EQ124" s="113">
        <f t="shared" si="111"/>
        <v>45</v>
      </c>
      <c r="ER124" s="459">
        <f t="shared" si="111"/>
        <v>0</v>
      </c>
    </row>
    <row r="125" spans="1:148">
      <c r="A125" s="466" t="s">
        <v>426</v>
      </c>
      <c r="B125" s="581">
        <v>45200</v>
      </c>
      <c r="C125" s="470">
        <v>2023</v>
      </c>
      <c r="D125" s="461">
        <f t="shared" si="121"/>
        <v>171135</v>
      </c>
      <c r="E125" s="461">
        <f t="shared" si="127"/>
        <v>14105</v>
      </c>
      <c r="F125" s="582">
        <f t="shared" si="127"/>
        <v>10931</v>
      </c>
      <c r="G125" s="113">
        <f t="shared" si="127"/>
        <v>2488</v>
      </c>
      <c r="H125" s="113">
        <f t="shared" si="127"/>
        <v>550</v>
      </c>
      <c r="I125" s="113">
        <f t="shared" si="127"/>
        <v>7734</v>
      </c>
      <c r="J125" s="460">
        <f t="shared" si="127"/>
        <v>159</v>
      </c>
      <c r="K125" s="582">
        <f t="shared" si="127"/>
        <v>3174</v>
      </c>
      <c r="L125" s="113">
        <f t="shared" si="127"/>
        <v>210</v>
      </c>
      <c r="M125" s="113">
        <f t="shared" si="127"/>
        <v>0</v>
      </c>
      <c r="N125" s="113">
        <f t="shared" si="127"/>
        <v>2902</v>
      </c>
      <c r="O125" s="459">
        <f t="shared" si="127"/>
        <v>62</v>
      </c>
      <c r="P125" s="461">
        <f t="shared" si="127"/>
        <v>27</v>
      </c>
      <c r="Q125" s="582">
        <f t="shared" si="127"/>
        <v>20</v>
      </c>
      <c r="R125" s="113">
        <f t="shared" si="127"/>
        <v>5</v>
      </c>
      <c r="S125" s="113">
        <f t="shared" si="127"/>
        <v>1</v>
      </c>
      <c r="T125" s="113">
        <f t="shared" si="127"/>
        <v>14</v>
      </c>
      <c r="U125" s="460">
        <f t="shared" si="126"/>
        <v>0</v>
      </c>
      <c r="V125" s="582">
        <f t="shared" si="126"/>
        <v>7</v>
      </c>
      <c r="W125" s="113">
        <f t="shared" si="126"/>
        <v>0</v>
      </c>
      <c r="X125" s="113">
        <f t="shared" si="126"/>
        <v>0</v>
      </c>
      <c r="Y125" s="113">
        <f t="shared" si="126"/>
        <v>7</v>
      </c>
      <c r="Z125" s="459">
        <f t="shared" si="126"/>
        <v>0</v>
      </c>
      <c r="AA125" s="461">
        <f t="shared" si="126"/>
        <v>9</v>
      </c>
      <c r="AB125" s="582">
        <f t="shared" si="126"/>
        <v>8</v>
      </c>
      <c r="AC125" s="113">
        <f t="shared" si="126"/>
        <v>3</v>
      </c>
      <c r="AD125" s="113">
        <f t="shared" si="126"/>
        <v>1</v>
      </c>
      <c r="AE125" s="113">
        <f t="shared" si="126"/>
        <v>4</v>
      </c>
      <c r="AF125" s="460">
        <f t="shared" si="126"/>
        <v>0</v>
      </c>
      <c r="AG125" s="582">
        <f t="shared" si="126"/>
        <v>1</v>
      </c>
      <c r="AH125" s="113">
        <f t="shared" si="126"/>
        <v>0</v>
      </c>
      <c r="AI125" s="113">
        <f t="shared" si="124"/>
        <v>0</v>
      </c>
      <c r="AJ125" s="113">
        <f t="shared" si="124"/>
        <v>1</v>
      </c>
      <c r="AK125" s="459">
        <f t="shared" si="124"/>
        <v>0</v>
      </c>
      <c r="AL125" s="461">
        <f t="shared" si="124"/>
        <v>160</v>
      </c>
      <c r="AM125" s="582">
        <f t="shared" si="124"/>
        <v>125</v>
      </c>
      <c r="AN125" s="113">
        <f t="shared" si="124"/>
        <v>20</v>
      </c>
      <c r="AO125" s="113">
        <f t="shared" si="124"/>
        <v>8</v>
      </c>
      <c r="AP125" s="113">
        <f t="shared" si="124"/>
        <v>97</v>
      </c>
      <c r="AQ125" s="460">
        <f t="shared" si="124"/>
        <v>0</v>
      </c>
      <c r="AR125" s="582">
        <f t="shared" si="124"/>
        <v>35</v>
      </c>
      <c r="AS125" s="113">
        <f t="shared" si="124"/>
        <v>1</v>
      </c>
      <c r="AT125" s="113">
        <f t="shared" si="124"/>
        <v>0</v>
      </c>
      <c r="AU125" s="113">
        <f t="shared" si="124"/>
        <v>34</v>
      </c>
      <c r="AV125" s="459">
        <f t="shared" si="124"/>
        <v>0</v>
      </c>
      <c r="AW125" s="461">
        <f t="shared" si="124"/>
        <v>74</v>
      </c>
      <c r="AX125" s="582">
        <f t="shared" si="124"/>
        <v>55</v>
      </c>
      <c r="AY125" s="113">
        <f t="shared" si="124"/>
        <v>12</v>
      </c>
      <c r="AZ125" s="113">
        <f t="shared" si="132"/>
        <v>2</v>
      </c>
      <c r="BA125" s="113">
        <f t="shared" si="132"/>
        <v>41</v>
      </c>
      <c r="BB125" s="460">
        <f t="shared" si="132"/>
        <v>0</v>
      </c>
      <c r="BC125" s="582">
        <f t="shared" si="132"/>
        <v>19</v>
      </c>
      <c r="BD125" s="113">
        <f t="shared" si="132"/>
        <v>1</v>
      </c>
      <c r="BE125" s="113">
        <f t="shared" si="132"/>
        <v>0</v>
      </c>
      <c r="BF125" s="113">
        <f t="shared" si="132"/>
        <v>17</v>
      </c>
      <c r="BG125" s="459">
        <f t="shared" si="132"/>
        <v>1</v>
      </c>
      <c r="BH125" s="461">
        <f t="shared" si="132"/>
        <v>108</v>
      </c>
      <c r="BI125" s="582">
        <f t="shared" si="132"/>
        <v>89</v>
      </c>
      <c r="BJ125" s="113">
        <f t="shared" si="132"/>
        <v>25</v>
      </c>
      <c r="BK125" s="113">
        <f t="shared" si="132"/>
        <v>1</v>
      </c>
      <c r="BL125" s="113">
        <f t="shared" si="132"/>
        <v>63</v>
      </c>
      <c r="BM125" s="460">
        <f t="shared" si="132"/>
        <v>0</v>
      </c>
      <c r="BN125" s="582">
        <f t="shared" si="132"/>
        <v>19</v>
      </c>
      <c r="BO125" s="113">
        <f t="shared" si="132"/>
        <v>0</v>
      </c>
      <c r="BP125" s="113">
        <f t="shared" si="132"/>
        <v>0</v>
      </c>
      <c r="BQ125" s="113">
        <f t="shared" si="132"/>
        <v>19</v>
      </c>
      <c r="BR125" s="459">
        <f t="shared" si="132"/>
        <v>0</v>
      </c>
      <c r="BS125" s="461">
        <f t="shared" si="132"/>
        <v>151</v>
      </c>
      <c r="BT125" s="582">
        <f t="shared" si="132"/>
        <v>116</v>
      </c>
      <c r="BU125" s="113">
        <f t="shared" si="132"/>
        <v>27</v>
      </c>
      <c r="BV125" s="113">
        <f t="shared" si="132"/>
        <v>2</v>
      </c>
      <c r="BW125" s="113">
        <f t="shared" si="132"/>
        <v>87</v>
      </c>
      <c r="BX125" s="460">
        <f t="shared" si="132"/>
        <v>0</v>
      </c>
      <c r="BY125" s="582">
        <f t="shared" si="132"/>
        <v>35</v>
      </c>
      <c r="BZ125" s="113">
        <f t="shared" si="132"/>
        <v>3</v>
      </c>
      <c r="CA125" s="113">
        <f t="shared" si="132"/>
        <v>0</v>
      </c>
      <c r="CB125" s="113">
        <f t="shared" si="132"/>
        <v>31</v>
      </c>
      <c r="CC125" s="459">
        <f t="shared" si="132"/>
        <v>1</v>
      </c>
      <c r="CD125" s="461">
        <f t="shared" si="132"/>
        <v>22</v>
      </c>
      <c r="CE125" s="582">
        <f t="shared" si="132"/>
        <v>19</v>
      </c>
      <c r="CF125" s="113">
        <f t="shared" si="132"/>
        <v>5</v>
      </c>
      <c r="CG125" s="113">
        <f t="shared" si="132"/>
        <v>2</v>
      </c>
      <c r="CH125" s="113">
        <f t="shared" si="132"/>
        <v>12</v>
      </c>
      <c r="CI125" s="460">
        <f t="shared" si="132"/>
        <v>0</v>
      </c>
      <c r="CJ125" s="582">
        <f t="shared" si="132"/>
        <v>3</v>
      </c>
      <c r="CK125" s="113">
        <f t="shared" si="132"/>
        <v>0</v>
      </c>
      <c r="CL125" s="113">
        <f t="shared" si="132"/>
        <v>0</v>
      </c>
      <c r="CM125" s="113">
        <f t="shared" si="132"/>
        <v>3</v>
      </c>
      <c r="CN125" s="459">
        <f t="shared" si="132"/>
        <v>0</v>
      </c>
      <c r="CO125" s="461">
        <f t="shared" si="132"/>
        <v>19</v>
      </c>
      <c r="CP125" s="582">
        <f t="shared" si="132"/>
        <v>16</v>
      </c>
      <c r="CQ125" s="113">
        <f t="shared" si="132"/>
        <v>2</v>
      </c>
      <c r="CR125" s="113">
        <f t="shared" si="132"/>
        <v>3</v>
      </c>
      <c r="CS125" s="113">
        <f t="shared" si="132"/>
        <v>10</v>
      </c>
      <c r="CT125" s="460">
        <f t="shared" si="132"/>
        <v>1</v>
      </c>
      <c r="CU125" s="582">
        <f t="shared" si="131"/>
        <v>3</v>
      </c>
      <c r="CV125" s="113">
        <f t="shared" si="131"/>
        <v>0</v>
      </c>
      <c r="CW125" s="113">
        <f t="shared" si="131"/>
        <v>0</v>
      </c>
      <c r="CX125" s="113">
        <f t="shared" si="131"/>
        <v>3</v>
      </c>
      <c r="CY125" s="459">
        <f t="shared" si="131"/>
        <v>0</v>
      </c>
      <c r="CZ125" s="461">
        <f t="shared" si="131"/>
        <v>4</v>
      </c>
      <c r="DA125" s="582">
        <f t="shared" si="131"/>
        <v>3</v>
      </c>
      <c r="DB125" s="113">
        <f t="shared" si="131"/>
        <v>1</v>
      </c>
      <c r="DC125" s="113">
        <f t="shared" si="131"/>
        <v>0</v>
      </c>
      <c r="DD125" s="113">
        <f t="shared" si="131"/>
        <v>2</v>
      </c>
      <c r="DE125" s="460">
        <f t="shared" si="131"/>
        <v>0</v>
      </c>
      <c r="DF125" s="582">
        <f t="shared" si="131"/>
        <v>1</v>
      </c>
      <c r="DG125" s="113">
        <f t="shared" si="131"/>
        <v>0</v>
      </c>
      <c r="DH125" s="113">
        <f t="shared" si="131"/>
        <v>0</v>
      </c>
      <c r="DI125" s="113">
        <f t="shared" si="131"/>
        <v>1</v>
      </c>
      <c r="DJ125" s="459">
        <f t="shared" si="131"/>
        <v>0</v>
      </c>
      <c r="DK125" s="461">
        <f t="shared" si="131"/>
        <v>0</v>
      </c>
      <c r="DL125" s="582">
        <f t="shared" si="131"/>
        <v>0</v>
      </c>
      <c r="DM125" s="113">
        <f t="shared" si="131"/>
        <v>0</v>
      </c>
      <c r="DN125" s="113">
        <f t="shared" si="131"/>
        <v>0</v>
      </c>
      <c r="DO125" s="113">
        <f t="shared" si="130"/>
        <v>0</v>
      </c>
      <c r="DP125" s="460">
        <f t="shared" si="130"/>
        <v>0</v>
      </c>
      <c r="DQ125" s="582">
        <f t="shared" si="130"/>
        <v>0</v>
      </c>
      <c r="DR125" s="113">
        <f t="shared" si="130"/>
        <v>0</v>
      </c>
      <c r="DS125" s="113">
        <f t="shared" si="130"/>
        <v>0</v>
      </c>
      <c r="DT125" s="113">
        <f t="shared" si="130"/>
        <v>0</v>
      </c>
      <c r="DU125" s="459">
        <f t="shared" si="130"/>
        <v>0</v>
      </c>
      <c r="DW125" s="461">
        <f t="shared" si="102"/>
        <v>414</v>
      </c>
      <c r="DX125" s="582">
        <f t="shared" si="102"/>
        <v>326</v>
      </c>
      <c r="DY125" s="113">
        <f t="shared" si="102"/>
        <v>80</v>
      </c>
      <c r="DZ125" s="113">
        <f t="shared" si="102"/>
        <v>12</v>
      </c>
      <c r="EA125" s="113">
        <f t="shared" si="129"/>
        <v>233</v>
      </c>
      <c r="EB125" s="460">
        <f t="shared" si="129"/>
        <v>1</v>
      </c>
      <c r="EC125" s="582">
        <f t="shared" si="129"/>
        <v>88</v>
      </c>
      <c r="ED125" s="113">
        <f t="shared" si="129"/>
        <v>4</v>
      </c>
      <c r="EE125" s="113">
        <f t="shared" si="129"/>
        <v>0</v>
      </c>
      <c r="EF125" s="113">
        <f t="shared" si="129"/>
        <v>82</v>
      </c>
      <c r="EG125" s="459">
        <f t="shared" si="129"/>
        <v>2</v>
      </c>
      <c r="EH125" s="461">
        <f t="shared" si="91"/>
        <v>160</v>
      </c>
      <c r="EI125" s="582">
        <f t="shared" si="91"/>
        <v>125</v>
      </c>
      <c r="EJ125" s="113">
        <f t="shared" si="91"/>
        <v>20</v>
      </c>
      <c r="EK125" s="113">
        <f t="shared" si="91"/>
        <v>8</v>
      </c>
      <c r="EL125" s="113">
        <f t="shared" si="91"/>
        <v>97</v>
      </c>
      <c r="EM125" s="460">
        <f t="shared" si="111"/>
        <v>0</v>
      </c>
      <c r="EN125" s="582">
        <f t="shared" si="111"/>
        <v>35</v>
      </c>
      <c r="EO125" s="113">
        <f t="shared" si="111"/>
        <v>1</v>
      </c>
      <c r="EP125" s="113">
        <f t="shared" si="111"/>
        <v>0</v>
      </c>
      <c r="EQ125" s="113">
        <f t="shared" si="111"/>
        <v>34</v>
      </c>
      <c r="ER125" s="459">
        <f t="shared" si="111"/>
        <v>0</v>
      </c>
    </row>
    <row r="126" spans="1:148">
      <c r="A126" s="466" t="s">
        <v>426</v>
      </c>
      <c r="B126" s="581">
        <v>45231</v>
      </c>
      <c r="C126" s="470">
        <v>2023</v>
      </c>
      <c r="D126" s="461">
        <f t="shared" si="121"/>
        <v>171135</v>
      </c>
      <c r="E126" s="461">
        <f t="shared" si="127"/>
        <v>14105</v>
      </c>
      <c r="F126" s="582">
        <f t="shared" si="127"/>
        <v>10931</v>
      </c>
      <c r="G126" s="113">
        <f t="shared" si="127"/>
        <v>2488</v>
      </c>
      <c r="H126" s="113">
        <f t="shared" si="127"/>
        <v>550</v>
      </c>
      <c r="I126" s="113">
        <f t="shared" si="127"/>
        <v>7734</v>
      </c>
      <c r="J126" s="460">
        <f t="shared" si="127"/>
        <v>159</v>
      </c>
      <c r="K126" s="582">
        <f t="shared" si="127"/>
        <v>3174</v>
      </c>
      <c r="L126" s="113">
        <f t="shared" si="127"/>
        <v>210</v>
      </c>
      <c r="M126" s="113">
        <f t="shared" si="127"/>
        <v>0</v>
      </c>
      <c r="N126" s="113">
        <f t="shared" si="127"/>
        <v>2902</v>
      </c>
      <c r="O126" s="459">
        <f t="shared" si="127"/>
        <v>62</v>
      </c>
      <c r="P126" s="461">
        <f t="shared" si="127"/>
        <v>27</v>
      </c>
      <c r="Q126" s="582">
        <f t="shared" si="127"/>
        <v>20</v>
      </c>
      <c r="R126" s="113">
        <f t="shared" si="127"/>
        <v>5</v>
      </c>
      <c r="S126" s="113">
        <f t="shared" si="127"/>
        <v>1</v>
      </c>
      <c r="T126" s="113">
        <f t="shared" si="127"/>
        <v>14</v>
      </c>
      <c r="U126" s="460">
        <f t="shared" si="126"/>
        <v>0</v>
      </c>
      <c r="V126" s="582">
        <f t="shared" si="126"/>
        <v>7</v>
      </c>
      <c r="W126" s="113">
        <f t="shared" si="126"/>
        <v>0</v>
      </c>
      <c r="X126" s="113">
        <f t="shared" si="126"/>
        <v>0</v>
      </c>
      <c r="Y126" s="113">
        <f t="shared" si="126"/>
        <v>7</v>
      </c>
      <c r="Z126" s="459">
        <f t="shared" si="126"/>
        <v>0</v>
      </c>
      <c r="AA126" s="461">
        <f t="shared" si="126"/>
        <v>9</v>
      </c>
      <c r="AB126" s="582">
        <f t="shared" si="126"/>
        <v>8</v>
      </c>
      <c r="AC126" s="113">
        <f t="shared" si="126"/>
        <v>3</v>
      </c>
      <c r="AD126" s="113">
        <f t="shared" si="126"/>
        <v>1</v>
      </c>
      <c r="AE126" s="113">
        <f t="shared" si="126"/>
        <v>4</v>
      </c>
      <c r="AF126" s="460">
        <f t="shared" si="126"/>
        <v>0</v>
      </c>
      <c r="AG126" s="582">
        <f t="shared" si="126"/>
        <v>1</v>
      </c>
      <c r="AH126" s="113">
        <f t="shared" si="126"/>
        <v>0</v>
      </c>
      <c r="AI126" s="113">
        <f t="shared" si="124"/>
        <v>0</v>
      </c>
      <c r="AJ126" s="113">
        <f t="shared" si="124"/>
        <v>1</v>
      </c>
      <c r="AK126" s="459">
        <f t="shared" si="124"/>
        <v>0</v>
      </c>
      <c r="AL126" s="461">
        <f t="shared" si="124"/>
        <v>160</v>
      </c>
      <c r="AM126" s="582">
        <f t="shared" si="124"/>
        <v>125</v>
      </c>
      <c r="AN126" s="113">
        <f t="shared" si="124"/>
        <v>20</v>
      </c>
      <c r="AO126" s="113">
        <f t="shared" si="124"/>
        <v>8</v>
      </c>
      <c r="AP126" s="113">
        <f t="shared" si="124"/>
        <v>97</v>
      </c>
      <c r="AQ126" s="460">
        <f t="shared" si="124"/>
        <v>0</v>
      </c>
      <c r="AR126" s="582">
        <f t="shared" si="124"/>
        <v>35</v>
      </c>
      <c r="AS126" s="113">
        <f t="shared" si="124"/>
        <v>1</v>
      </c>
      <c r="AT126" s="113">
        <f t="shared" si="124"/>
        <v>0</v>
      </c>
      <c r="AU126" s="113">
        <f t="shared" si="124"/>
        <v>34</v>
      </c>
      <c r="AV126" s="459">
        <f t="shared" si="124"/>
        <v>0</v>
      </c>
      <c r="AW126" s="461">
        <f t="shared" si="124"/>
        <v>74</v>
      </c>
      <c r="AX126" s="582">
        <f t="shared" si="124"/>
        <v>55</v>
      </c>
      <c r="AY126" s="113">
        <f t="shared" si="124"/>
        <v>12</v>
      </c>
      <c r="AZ126" s="113">
        <f t="shared" si="132"/>
        <v>2</v>
      </c>
      <c r="BA126" s="113">
        <f t="shared" si="132"/>
        <v>41</v>
      </c>
      <c r="BB126" s="460">
        <f t="shared" si="132"/>
        <v>0</v>
      </c>
      <c r="BC126" s="582">
        <f t="shared" si="132"/>
        <v>19</v>
      </c>
      <c r="BD126" s="113">
        <f t="shared" si="132"/>
        <v>1</v>
      </c>
      <c r="BE126" s="113">
        <f t="shared" si="132"/>
        <v>0</v>
      </c>
      <c r="BF126" s="113">
        <f t="shared" si="132"/>
        <v>17</v>
      </c>
      <c r="BG126" s="459">
        <f t="shared" si="132"/>
        <v>1</v>
      </c>
      <c r="BH126" s="461">
        <f t="shared" si="132"/>
        <v>108</v>
      </c>
      <c r="BI126" s="582">
        <f t="shared" si="132"/>
        <v>89</v>
      </c>
      <c r="BJ126" s="113">
        <f t="shared" si="132"/>
        <v>25</v>
      </c>
      <c r="BK126" s="113">
        <f t="shared" si="132"/>
        <v>1</v>
      </c>
      <c r="BL126" s="113">
        <f t="shared" si="132"/>
        <v>63</v>
      </c>
      <c r="BM126" s="460">
        <f t="shared" si="132"/>
        <v>0</v>
      </c>
      <c r="BN126" s="582">
        <f t="shared" si="132"/>
        <v>19</v>
      </c>
      <c r="BO126" s="113">
        <f t="shared" si="132"/>
        <v>0</v>
      </c>
      <c r="BP126" s="113">
        <f t="shared" si="132"/>
        <v>0</v>
      </c>
      <c r="BQ126" s="113">
        <f t="shared" si="132"/>
        <v>19</v>
      </c>
      <c r="BR126" s="459">
        <f t="shared" si="132"/>
        <v>0</v>
      </c>
      <c r="BS126" s="461">
        <f t="shared" si="132"/>
        <v>151</v>
      </c>
      <c r="BT126" s="582">
        <f t="shared" si="132"/>
        <v>116</v>
      </c>
      <c r="BU126" s="113">
        <f t="shared" si="132"/>
        <v>27</v>
      </c>
      <c r="BV126" s="113">
        <f t="shared" si="132"/>
        <v>2</v>
      </c>
      <c r="BW126" s="113">
        <f t="shared" si="132"/>
        <v>87</v>
      </c>
      <c r="BX126" s="460">
        <f t="shared" si="132"/>
        <v>0</v>
      </c>
      <c r="BY126" s="582">
        <f t="shared" si="132"/>
        <v>35</v>
      </c>
      <c r="BZ126" s="113">
        <f t="shared" si="132"/>
        <v>3</v>
      </c>
      <c r="CA126" s="113">
        <f t="shared" si="132"/>
        <v>0</v>
      </c>
      <c r="CB126" s="113">
        <f t="shared" si="132"/>
        <v>31</v>
      </c>
      <c r="CC126" s="459">
        <f t="shared" si="132"/>
        <v>1</v>
      </c>
      <c r="CD126" s="461">
        <f t="shared" si="132"/>
        <v>22</v>
      </c>
      <c r="CE126" s="582">
        <f t="shared" si="132"/>
        <v>19</v>
      </c>
      <c r="CF126" s="113">
        <f t="shared" si="132"/>
        <v>5</v>
      </c>
      <c r="CG126" s="113">
        <f t="shared" si="132"/>
        <v>2</v>
      </c>
      <c r="CH126" s="113">
        <f t="shared" si="132"/>
        <v>12</v>
      </c>
      <c r="CI126" s="460">
        <f t="shared" si="132"/>
        <v>0</v>
      </c>
      <c r="CJ126" s="582">
        <f t="shared" si="132"/>
        <v>3</v>
      </c>
      <c r="CK126" s="113">
        <f t="shared" si="132"/>
        <v>0</v>
      </c>
      <c r="CL126" s="113">
        <f t="shared" si="132"/>
        <v>0</v>
      </c>
      <c r="CM126" s="113">
        <f t="shared" si="132"/>
        <v>3</v>
      </c>
      <c r="CN126" s="459">
        <f t="shared" si="132"/>
        <v>0</v>
      </c>
      <c r="CO126" s="461">
        <f t="shared" si="132"/>
        <v>19</v>
      </c>
      <c r="CP126" s="582">
        <f t="shared" si="132"/>
        <v>16</v>
      </c>
      <c r="CQ126" s="113">
        <f t="shared" si="132"/>
        <v>2</v>
      </c>
      <c r="CR126" s="113">
        <f t="shared" si="132"/>
        <v>3</v>
      </c>
      <c r="CS126" s="113">
        <f t="shared" si="132"/>
        <v>10</v>
      </c>
      <c r="CT126" s="460">
        <f t="shared" si="132"/>
        <v>1</v>
      </c>
      <c r="CU126" s="582">
        <f t="shared" si="131"/>
        <v>3</v>
      </c>
      <c r="CV126" s="113">
        <f t="shared" si="131"/>
        <v>0</v>
      </c>
      <c r="CW126" s="113">
        <f t="shared" si="131"/>
        <v>0</v>
      </c>
      <c r="CX126" s="113">
        <f t="shared" si="131"/>
        <v>3</v>
      </c>
      <c r="CY126" s="459">
        <f t="shared" si="131"/>
        <v>0</v>
      </c>
      <c r="CZ126" s="461">
        <f t="shared" si="131"/>
        <v>4</v>
      </c>
      <c r="DA126" s="582">
        <f t="shared" si="131"/>
        <v>3</v>
      </c>
      <c r="DB126" s="113">
        <f t="shared" si="131"/>
        <v>1</v>
      </c>
      <c r="DC126" s="113">
        <f t="shared" si="131"/>
        <v>0</v>
      </c>
      <c r="DD126" s="113">
        <f t="shared" si="131"/>
        <v>2</v>
      </c>
      <c r="DE126" s="460">
        <f t="shared" si="131"/>
        <v>0</v>
      </c>
      <c r="DF126" s="582">
        <f t="shared" si="131"/>
        <v>1</v>
      </c>
      <c r="DG126" s="113">
        <f t="shared" si="131"/>
        <v>0</v>
      </c>
      <c r="DH126" s="113">
        <f t="shared" si="131"/>
        <v>0</v>
      </c>
      <c r="DI126" s="113">
        <f t="shared" si="131"/>
        <v>1</v>
      </c>
      <c r="DJ126" s="459">
        <f t="shared" si="131"/>
        <v>0</v>
      </c>
      <c r="DK126" s="461">
        <f t="shared" si="131"/>
        <v>0</v>
      </c>
      <c r="DL126" s="582">
        <f t="shared" si="131"/>
        <v>0</v>
      </c>
      <c r="DM126" s="113">
        <f t="shared" si="131"/>
        <v>0</v>
      </c>
      <c r="DN126" s="113">
        <f t="shared" si="131"/>
        <v>0</v>
      </c>
      <c r="DO126" s="113">
        <f t="shared" si="130"/>
        <v>0</v>
      </c>
      <c r="DP126" s="460">
        <f t="shared" si="130"/>
        <v>0</v>
      </c>
      <c r="DQ126" s="582">
        <f t="shared" si="130"/>
        <v>0</v>
      </c>
      <c r="DR126" s="113">
        <f t="shared" si="130"/>
        <v>0</v>
      </c>
      <c r="DS126" s="113">
        <f t="shared" si="130"/>
        <v>0</v>
      </c>
      <c r="DT126" s="113">
        <f t="shared" si="130"/>
        <v>0</v>
      </c>
      <c r="DU126" s="459">
        <f t="shared" si="130"/>
        <v>0</v>
      </c>
      <c r="DW126" s="461">
        <f t="shared" si="102"/>
        <v>414</v>
      </c>
      <c r="DX126" s="582">
        <f t="shared" si="102"/>
        <v>326</v>
      </c>
      <c r="DY126" s="113">
        <f t="shared" si="102"/>
        <v>80</v>
      </c>
      <c r="DZ126" s="113">
        <f t="shared" si="102"/>
        <v>12</v>
      </c>
      <c r="EA126" s="113">
        <f t="shared" si="129"/>
        <v>233</v>
      </c>
      <c r="EB126" s="460">
        <f t="shared" si="129"/>
        <v>1</v>
      </c>
      <c r="EC126" s="582">
        <f t="shared" si="129"/>
        <v>88</v>
      </c>
      <c r="ED126" s="113">
        <f t="shared" si="129"/>
        <v>4</v>
      </c>
      <c r="EE126" s="113">
        <f t="shared" si="129"/>
        <v>0</v>
      </c>
      <c r="EF126" s="113">
        <f t="shared" si="129"/>
        <v>82</v>
      </c>
      <c r="EG126" s="459">
        <f t="shared" si="129"/>
        <v>2</v>
      </c>
      <c r="EH126" s="461">
        <f t="shared" si="91"/>
        <v>160</v>
      </c>
      <c r="EI126" s="582">
        <f t="shared" si="91"/>
        <v>125</v>
      </c>
      <c r="EJ126" s="113">
        <f t="shared" si="91"/>
        <v>20</v>
      </c>
      <c r="EK126" s="113">
        <f t="shared" si="91"/>
        <v>8</v>
      </c>
      <c r="EL126" s="113">
        <f t="shared" si="91"/>
        <v>97</v>
      </c>
      <c r="EM126" s="460">
        <f t="shared" si="111"/>
        <v>0</v>
      </c>
      <c r="EN126" s="582">
        <f t="shared" si="111"/>
        <v>35</v>
      </c>
      <c r="EO126" s="113">
        <f t="shared" si="111"/>
        <v>1</v>
      </c>
      <c r="EP126" s="113">
        <f t="shared" si="111"/>
        <v>0</v>
      </c>
      <c r="EQ126" s="113">
        <f t="shared" si="111"/>
        <v>34</v>
      </c>
      <c r="ER126" s="459">
        <f t="shared" si="111"/>
        <v>0</v>
      </c>
    </row>
    <row r="127" spans="1:148">
      <c r="A127" s="466" t="s">
        <v>426</v>
      </c>
      <c r="B127" s="581">
        <v>45261</v>
      </c>
      <c r="C127" s="470">
        <v>2023</v>
      </c>
      <c r="D127" s="461">
        <f t="shared" si="121"/>
        <v>171135</v>
      </c>
      <c r="E127" s="461">
        <f t="shared" si="127"/>
        <v>14105</v>
      </c>
      <c r="F127" s="582">
        <f t="shared" si="127"/>
        <v>10931</v>
      </c>
      <c r="G127" s="113">
        <f t="shared" si="127"/>
        <v>2488</v>
      </c>
      <c r="H127" s="113">
        <f t="shared" si="127"/>
        <v>550</v>
      </c>
      <c r="I127" s="113">
        <f t="shared" si="127"/>
        <v>7734</v>
      </c>
      <c r="J127" s="460">
        <f t="shared" si="127"/>
        <v>159</v>
      </c>
      <c r="K127" s="582">
        <f t="shared" si="127"/>
        <v>3174</v>
      </c>
      <c r="L127" s="113">
        <f t="shared" si="127"/>
        <v>210</v>
      </c>
      <c r="M127" s="113">
        <f t="shared" si="127"/>
        <v>0</v>
      </c>
      <c r="N127" s="113">
        <f t="shared" si="127"/>
        <v>2902</v>
      </c>
      <c r="O127" s="459">
        <f t="shared" si="127"/>
        <v>62</v>
      </c>
      <c r="P127" s="461">
        <f t="shared" si="127"/>
        <v>27</v>
      </c>
      <c r="Q127" s="582">
        <f t="shared" si="127"/>
        <v>20</v>
      </c>
      <c r="R127" s="113">
        <f t="shared" si="127"/>
        <v>5</v>
      </c>
      <c r="S127" s="113">
        <f t="shared" si="127"/>
        <v>1</v>
      </c>
      <c r="T127" s="113">
        <f t="shared" si="127"/>
        <v>14</v>
      </c>
      <c r="U127" s="460">
        <f t="shared" si="126"/>
        <v>0</v>
      </c>
      <c r="V127" s="582">
        <f t="shared" si="126"/>
        <v>7</v>
      </c>
      <c r="W127" s="113">
        <f t="shared" si="126"/>
        <v>0</v>
      </c>
      <c r="X127" s="113">
        <f t="shared" si="126"/>
        <v>0</v>
      </c>
      <c r="Y127" s="113">
        <f t="shared" si="126"/>
        <v>7</v>
      </c>
      <c r="Z127" s="459">
        <f t="shared" si="126"/>
        <v>0</v>
      </c>
      <c r="AA127" s="461">
        <f t="shared" si="126"/>
        <v>9</v>
      </c>
      <c r="AB127" s="582">
        <f t="shared" si="126"/>
        <v>8</v>
      </c>
      <c r="AC127" s="113">
        <f t="shared" si="126"/>
        <v>3</v>
      </c>
      <c r="AD127" s="113">
        <f t="shared" si="126"/>
        <v>1</v>
      </c>
      <c r="AE127" s="113">
        <f t="shared" si="126"/>
        <v>4</v>
      </c>
      <c r="AF127" s="460">
        <f t="shared" si="126"/>
        <v>0</v>
      </c>
      <c r="AG127" s="582">
        <f t="shared" si="126"/>
        <v>1</v>
      </c>
      <c r="AH127" s="113">
        <f t="shared" si="126"/>
        <v>0</v>
      </c>
      <c r="AI127" s="113">
        <f t="shared" si="124"/>
        <v>0</v>
      </c>
      <c r="AJ127" s="113">
        <f t="shared" si="124"/>
        <v>1</v>
      </c>
      <c r="AK127" s="459">
        <f t="shared" si="124"/>
        <v>0</v>
      </c>
      <c r="AL127" s="461">
        <f t="shared" si="124"/>
        <v>160</v>
      </c>
      <c r="AM127" s="582">
        <f t="shared" si="124"/>
        <v>125</v>
      </c>
      <c r="AN127" s="113">
        <f t="shared" ref="AN127:CT131" si="133">SUMIFS(AN$5:AN$36,$B$5:$B$36,$A127)</f>
        <v>20</v>
      </c>
      <c r="AO127" s="113">
        <f t="shared" si="133"/>
        <v>8</v>
      </c>
      <c r="AP127" s="113">
        <f t="shared" si="133"/>
        <v>97</v>
      </c>
      <c r="AQ127" s="460">
        <f t="shared" si="133"/>
        <v>0</v>
      </c>
      <c r="AR127" s="582">
        <f t="shared" si="133"/>
        <v>35</v>
      </c>
      <c r="AS127" s="113">
        <f t="shared" si="133"/>
        <v>1</v>
      </c>
      <c r="AT127" s="113">
        <f t="shared" si="133"/>
        <v>0</v>
      </c>
      <c r="AU127" s="113">
        <f t="shared" si="133"/>
        <v>34</v>
      </c>
      <c r="AV127" s="459">
        <f t="shared" si="133"/>
        <v>0</v>
      </c>
      <c r="AW127" s="461">
        <f t="shared" si="133"/>
        <v>74</v>
      </c>
      <c r="AX127" s="582">
        <f t="shared" si="133"/>
        <v>55</v>
      </c>
      <c r="AY127" s="113">
        <f t="shared" si="133"/>
        <v>12</v>
      </c>
      <c r="AZ127" s="113">
        <f t="shared" si="133"/>
        <v>2</v>
      </c>
      <c r="BA127" s="113">
        <f t="shared" si="133"/>
        <v>41</v>
      </c>
      <c r="BB127" s="460">
        <f t="shared" si="133"/>
        <v>0</v>
      </c>
      <c r="BC127" s="582">
        <f t="shared" si="133"/>
        <v>19</v>
      </c>
      <c r="BD127" s="113">
        <f t="shared" si="133"/>
        <v>1</v>
      </c>
      <c r="BE127" s="113">
        <f t="shared" si="133"/>
        <v>0</v>
      </c>
      <c r="BF127" s="113">
        <f t="shared" si="133"/>
        <v>17</v>
      </c>
      <c r="BG127" s="459">
        <f t="shared" si="133"/>
        <v>1</v>
      </c>
      <c r="BH127" s="461">
        <f t="shared" si="133"/>
        <v>108</v>
      </c>
      <c r="BI127" s="582">
        <f t="shared" si="133"/>
        <v>89</v>
      </c>
      <c r="BJ127" s="113">
        <f t="shared" si="133"/>
        <v>25</v>
      </c>
      <c r="BK127" s="113">
        <f t="shared" si="133"/>
        <v>1</v>
      </c>
      <c r="BL127" s="113">
        <f t="shared" si="133"/>
        <v>63</v>
      </c>
      <c r="BM127" s="460">
        <f t="shared" si="133"/>
        <v>0</v>
      </c>
      <c r="BN127" s="582">
        <f t="shared" si="133"/>
        <v>19</v>
      </c>
      <c r="BO127" s="113">
        <f t="shared" si="133"/>
        <v>0</v>
      </c>
      <c r="BP127" s="113">
        <f t="shared" si="133"/>
        <v>0</v>
      </c>
      <c r="BQ127" s="113">
        <f t="shared" si="133"/>
        <v>19</v>
      </c>
      <c r="BR127" s="459">
        <f t="shared" si="133"/>
        <v>0</v>
      </c>
      <c r="BS127" s="461">
        <f t="shared" si="133"/>
        <v>151</v>
      </c>
      <c r="BT127" s="582">
        <f t="shared" si="133"/>
        <v>116</v>
      </c>
      <c r="BU127" s="113">
        <f t="shared" si="133"/>
        <v>27</v>
      </c>
      <c r="BV127" s="113">
        <f t="shared" si="133"/>
        <v>2</v>
      </c>
      <c r="BW127" s="113">
        <f t="shared" si="133"/>
        <v>87</v>
      </c>
      <c r="BX127" s="460">
        <f t="shared" si="133"/>
        <v>0</v>
      </c>
      <c r="BY127" s="582">
        <f t="shared" si="133"/>
        <v>35</v>
      </c>
      <c r="BZ127" s="113">
        <f t="shared" si="133"/>
        <v>3</v>
      </c>
      <c r="CA127" s="113">
        <f t="shared" si="133"/>
        <v>0</v>
      </c>
      <c r="CB127" s="113">
        <f t="shared" si="133"/>
        <v>31</v>
      </c>
      <c r="CC127" s="459">
        <f t="shared" si="133"/>
        <v>1</v>
      </c>
      <c r="CD127" s="461">
        <f t="shared" si="133"/>
        <v>22</v>
      </c>
      <c r="CE127" s="582">
        <f t="shared" si="133"/>
        <v>19</v>
      </c>
      <c r="CF127" s="113">
        <f t="shared" si="133"/>
        <v>5</v>
      </c>
      <c r="CG127" s="113">
        <f t="shared" si="133"/>
        <v>2</v>
      </c>
      <c r="CH127" s="113">
        <f t="shared" si="133"/>
        <v>12</v>
      </c>
      <c r="CI127" s="460">
        <f t="shared" si="133"/>
        <v>0</v>
      </c>
      <c r="CJ127" s="582">
        <f t="shared" si="133"/>
        <v>3</v>
      </c>
      <c r="CK127" s="113">
        <f t="shared" si="133"/>
        <v>0</v>
      </c>
      <c r="CL127" s="113">
        <f t="shared" si="133"/>
        <v>0</v>
      </c>
      <c r="CM127" s="113">
        <f t="shared" si="133"/>
        <v>3</v>
      </c>
      <c r="CN127" s="459">
        <f t="shared" si="133"/>
        <v>0</v>
      </c>
      <c r="CO127" s="461">
        <f t="shared" si="133"/>
        <v>19</v>
      </c>
      <c r="CP127" s="582">
        <f t="shared" si="133"/>
        <v>16</v>
      </c>
      <c r="CQ127" s="113">
        <f t="shared" si="133"/>
        <v>2</v>
      </c>
      <c r="CR127" s="113">
        <f t="shared" si="133"/>
        <v>3</v>
      </c>
      <c r="CS127" s="113">
        <f t="shared" si="133"/>
        <v>10</v>
      </c>
      <c r="CT127" s="460">
        <f t="shared" si="132"/>
        <v>1</v>
      </c>
      <c r="CU127" s="582">
        <f t="shared" si="132"/>
        <v>3</v>
      </c>
      <c r="CV127" s="113">
        <f t="shared" si="132"/>
        <v>0</v>
      </c>
      <c r="CW127" s="113">
        <f t="shared" si="132"/>
        <v>0</v>
      </c>
      <c r="CX127" s="113">
        <f t="shared" si="132"/>
        <v>3</v>
      </c>
      <c r="CY127" s="459">
        <f t="shared" si="132"/>
        <v>0</v>
      </c>
      <c r="CZ127" s="461">
        <f t="shared" si="132"/>
        <v>4</v>
      </c>
      <c r="DA127" s="582">
        <f t="shared" si="132"/>
        <v>3</v>
      </c>
      <c r="DB127" s="113">
        <f t="shared" si="132"/>
        <v>1</v>
      </c>
      <c r="DC127" s="113">
        <f t="shared" si="132"/>
        <v>0</v>
      </c>
      <c r="DD127" s="113">
        <f t="shared" si="132"/>
        <v>2</v>
      </c>
      <c r="DE127" s="460">
        <f t="shared" si="132"/>
        <v>0</v>
      </c>
      <c r="DF127" s="582">
        <f t="shared" si="132"/>
        <v>1</v>
      </c>
      <c r="DG127" s="113">
        <f t="shared" si="132"/>
        <v>0</v>
      </c>
      <c r="DH127" s="113">
        <f t="shared" si="132"/>
        <v>0</v>
      </c>
      <c r="DI127" s="113">
        <f t="shared" si="132"/>
        <v>1</v>
      </c>
      <c r="DJ127" s="459">
        <f t="shared" si="132"/>
        <v>0</v>
      </c>
      <c r="DK127" s="461">
        <f t="shared" si="132"/>
        <v>0</v>
      </c>
      <c r="DL127" s="582">
        <f t="shared" si="131"/>
        <v>0</v>
      </c>
      <c r="DM127" s="113">
        <f t="shared" si="131"/>
        <v>0</v>
      </c>
      <c r="DN127" s="113">
        <f t="shared" si="131"/>
        <v>0</v>
      </c>
      <c r="DO127" s="113">
        <f t="shared" si="130"/>
        <v>0</v>
      </c>
      <c r="DP127" s="460">
        <f t="shared" si="130"/>
        <v>0</v>
      </c>
      <c r="DQ127" s="582">
        <f t="shared" si="130"/>
        <v>0</v>
      </c>
      <c r="DR127" s="113">
        <f t="shared" si="130"/>
        <v>0</v>
      </c>
      <c r="DS127" s="113">
        <f t="shared" si="130"/>
        <v>0</v>
      </c>
      <c r="DT127" s="113">
        <f t="shared" si="130"/>
        <v>0</v>
      </c>
      <c r="DU127" s="459">
        <f t="shared" si="130"/>
        <v>0</v>
      </c>
      <c r="DW127" s="461">
        <f t="shared" si="102"/>
        <v>414</v>
      </c>
      <c r="DX127" s="582">
        <f t="shared" si="102"/>
        <v>326</v>
      </c>
      <c r="DY127" s="113">
        <f t="shared" si="102"/>
        <v>80</v>
      </c>
      <c r="DZ127" s="113">
        <f t="shared" si="102"/>
        <v>12</v>
      </c>
      <c r="EA127" s="113">
        <f t="shared" si="129"/>
        <v>233</v>
      </c>
      <c r="EB127" s="460">
        <f t="shared" si="129"/>
        <v>1</v>
      </c>
      <c r="EC127" s="582">
        <f t="shared" si="129"/>
        <v>88</v>
      </c>
      <c r="ED127" s="113">
        <f t="shared" si="129"/>
        <v>4</v>
      </c>
      <c r="EE127" s="113">
        <f t="shared" si="129"/>
        <v>0</v>
      </c>
      <c r="EF127" s="113">
        <f t="shared" si="129"/>
        <v>82</v>
      </c>
      <c r="EG127" s="459">
        <f t="shared" si="129"/>
        <v>2</v>
      </c>
      <c r="EH127" s="461">
        <f t="shared" si="91"/>
        <v>160</v>
      </c>
      <c r="EI127" s="582">
        <f t="shared" si="91"/>
        <v>125</v>
      </c>
      <c r="EJ127" s="113">
        <f t="shared" si="91"/>
        <v>20</v>
      </c>
      <c r="EK127" s="113">
        <f t="shared" si="91"/>
        <v>8</v>
      </c>
      <c r="EL127" s="113">
        <f t="shared" si="91"/>
        <v>97</v>
      </c>
      <c r="EM127" s="460">
        <f t="shared" si="111"/>
        <v>0</v>
      </c>
      <c r="EN127" s="582">
        <f t="shared" si="111"/>
        <v>35</v>
      </c>
      <c r="EO127" s="113">
        <f t="shared" si="111"/>
        <v>1</v>
      </c>
      <c r="EP127" s="113">
        <f t="shared" si="111"/>
        <v>0</v>
      </c>
      <c r="EQ127" s="113">
        <f t="shared" si="111"/>
        <v>34</v>
      </c>
      <c r="ER127" s="459">
        <f t="shared" si="111"/>
        <v>0</v>
      </c>
    </row>
    <row r="128" spans="1:148">
      <c r="A128" s="466" t="s">
        <v>427</v>
      </c>
      <c r="B128" s="581">
        <v>45292</v>
      </c>
      <c r="C128" s="470">
        <v>2024</v>
      </c>
      <c r="D128" s="461">
        <f t="shared" si="121"/>
        <v>163027</v>
      </c>
      <c r="E128" s="461">
        <f t="shared" si="127"/>
        <v>11026</v>
      </c>
      <c r="F128" s="582">
        <f t="shared" si="127"/>
        <v>8144</v>
      </c>
      <c r="G128" s="113">
        <f t="shared" si="127"/>
        <v>1596</v>
      </c>
      <c r="H128" s="113">
        <f t="shared" si="127"/>
        <v>469</v>
      </c>
      <c r="I128" s="113">
        <f t="shared" si="127"/>
        <v>6030</v>
      </c>
      <c r="J128" s="460">
        <f t="shared" si="127"/>
        <v>49</v>
      </c>
      <c r="K128" s="582">
        <f t="shared" si="127"/>
        <v>2882</v>
      </c>
      <c r="L128" s="113">
        <f t="shared" si="127"/>
        <v>388</v>
      </c>
      <c r="M128" s="113">
        <f t="shared" si="127"/>
        <v>0</v>
      </c>
      <c r="N128" s="113">
        <f t="shared" si="127"/>
        <v>2423</v>
      </c>
      <c r="O128" s="459">
        <f t="shared" si="127"/>
        <v>71</v>
      </c>
      <c r="P128" s="461">
        <f t="shared" si="127"/>
        <v>20</v>
      </c>
      <c r="Q128" s="582">
        <f t="shared" si="127"/>
        <v>9</v>
      </c>
      <c r="R128" s="113">
        <f t="shared" si="127"/>
        <v>1</v>
      </c>
      <c r="S128" s="113">
        <f t="shared" si="127"/>
        <v>1</v>
      </c>
      <c r="T128" s="113">
        <f t="shared" si="127"/>
        <v>7</v>
      </c>
      <c r="U128" s="460">
        <f t="shared" si="126"/>
        <v>0</v>
      </c>
      <c r="V128" s="582">
        <f t="shared" si="126"/>
        <v>11</v>
      </c>
      <c r="W128" s="113">
        <f t="shared" si="126"/>
        <v>3</v>
      </c>
      <c r="X128" s="113">
        <f t="shared" si="126"/>
        <v>0</v>
      </c>
      <c r="Y128" s="113">
        <f t="shared" si="126"/>
        <v>8</v>
      </c>
      <c r="Z128" s="459">
        <f t="shared" si="126"/>
        <v>0</v>
      </c>
      <c r="AA128" s="461">
        <f t="shared" si="126"/>
        <v>13</v>
      </c>
      <c r="AB128" s="582">
        <f t="shared" si="126"/>
        <v>12</v>
      </c>
      <c r="AC128" s="113">
        <f t="shared" si="126"/>
        <v>0</v>
      </c>
      <c r="AD128" s="113">
        <f t="shared" si="126"/>
        <v>2</v>
      </c>
      <c r="AE128" s="113">
        <f t="shared" si="126"/>
        <v>10</v>
      </c>
      <c r="AF128" s="460">
        <f t="shared" si="126"/>
        <v>0</v>
      </c>
      <c r="AG128" s="582">
        <f t="shared" si="126"/>
        <v>1</v>
      </c>
      <c r="AH128" s="113">
        <f t="shared" si="126"/>
        <v>0</v>
      </c>
      <c r="AI128" s="113">
        <f t="shared" si="126"/>
        <v>0</v>
      </c>
      <c r="AJ128" s="113">
        <f t="shared" si="126"/>
        <v>1</v>
      </c>
      <c r="AK128" s="459">
        <f t="shared" si="126"/>
        <v>0</v>
      </c>
      <c r="AL128" s="461">
        <f t="shared" si="126"/>
        <v>161</v>
      </c>
      <c r="AM128" s="582">
        <f t="shared" si="126"/>
        <v>109</v>
      </c>
      <c r="AN128" s="113">
        <f t="shared" si="126"/>
        <v>19</v>
      </c>
      <c r="AO128" s="113">
        <f t="shared" si="126"/>
        <v>7</v>
      </c>
      <c r="AP128" s="113">
        <f t="shared" si="126"/>
        <v>83</v>
      </c>
      <c r="AQ128" s="460">
        <f t="shared" si="126"/>
        <v>0</v>
      </c>
      <c r="AR128" s="582">
        <f t="shared" si="126"/>
        <v>52</v>
      </c>
      <c r="AS128" s="113">
        <f t="shared" si="126"/>
        <v>6</v>
      </c>
      <c r="AT128" s="113">
        <f t="shared" si="126"/>
        <v>0</v>
      </c>
      <c r="AU128" s="113">
        <f t="shared" si="126"/>
        <v>45</v>
      </c>
      <c r="AV128" s="459">
        <f t="shared" si="126"/>
        <v>1</v>
      </c>
      <c r="AW128" s="461">
        <f t="shared" si="133"/>
        <v>64</v>
      </c>
      <c r="AX128" s="582">
        <f t="shared" si="133"/>
        <v>48</v>
      </c>
      <c r="AY128" s="113">
        <f t="shared" si="133"/>
        <v>8</v>
      </c>
      <c r="AZ128" s="113">
        <f t="shared" si="133"/>
        <v>4</v>
      </c>
      <c r="BA128" s="113">
        <f t="shared" si="133"/>
        <v>36</v>
      </c>
      <c r="BB128" s="460">
        <f t="shared" si="133"/>
        <v>0</v>
      </c>
      <c r="BC128" s="582">
        <f t="shared" si="133"/>
        <v>16</v>
      </c>
      <c r="BD128" s="113">
        <f t="shared" si="133"/>
        <v>3</v>
      </c>
      <c r="BE128" s="113">
        <f t="shared" si="133"/>
        <v>0</v>
      </c>
      <c r="BF128" s="113">
        <f t="shared" si="133"/>
        <v>13</v>
      </c>
      <c r="BG128" s="459">
        <f t="shared" si="133"/>
        <v>0</v>
      </c>
      <c r="BH128" s="461">
        <f t="shared" si="133"/>
        <v>83</v>
      </c>
      <c r="BI128" s="582">
        <f t="shared" si="133"/>
        <v>68</v>
      </c>
      <c r="BJ128" s="113">
        <f t="shared" si="133"/>
        <v>12</v>
      </c>
      <c r="BK128" s="113">
        <f t="shared" si="133"/>
        <v>3</v>
      </c>
      <c r="BL128" s="113">
        <f t="shared" si="133"/>
        <v>53</v>
      </c>
      <c r="BM128" s="460">
        <f t="shared" si="133"/>
        <v>0</v>
      </c>
      <c r="BN128" s="582">
        <f t="shared" si="133"/>
        <v>15</v>
      </c>
      <c r="BO128" s="113">
        <f t="shared" si="133"/>
        <v>2</v>
      </c>
      <c r="BP128" s="113">
        <f t="shared" si="133"/>
        <v>0</v>
      </c>
      <c r="BQ128" s="113">
        <f t="shared" si="133"/>
        <v>12</v>
      </c>
      <c r="BR128" s="459">
        <f t="shared" si="133"/>
        <v>1</v>
      </c>
      <c r="BS128" s="461">
        <f t="shared" si="133"/>
        <v>174</v>
      </c>
      <c r="BT128" s="582">
        <f t="shared" si="133"/>
        <v>142</v>
      </c>
      <c r="BU128" s="113">
        <f t="shared" si="133"/>
        <v>27</v>
      </c>
      <c r="BV128" s="113">
        <f t="shared" si="133"/>
        <v>0</v>
      </c>
      <c r="BW128" s="113">
        <f t="shared" si="133"/>
        <v>115</v>
      </c>
      <c r="BX128" s="460">
        <f t="shared" si="133"/>
        <v>0</v>
      </c>
      <c r="BY128" s="582">
        <f t="shared" si="133"/>
        <v>32</v>
      </c>
      <c r="BZ128" s="113">
        <f t="shared" si="133"/>
        <v>5</v>
      </c>
      <c r="CA128" s="113">
        <f t="shared" si="133"/>
        <v>0</v>
      </c>
      <c r="CB128" s="113">
        <f t="shared" si="133"/>
        <v>27</v>
      </c>
      <c r="CC128" s="459">
        <f t="shared" si="133"/>
        <v>0</v>
      </c>
      <c r="CD128" s="461">
        <f t="shared" si="133"/>
        <v>18</v>
      </c>
      <c r="CE128" s="582">
        <f t="shared" si="133"/>
        <v>16</v>
      </c>
      <c r="CF128" s="113">
        <f t="shared" si="133"/>
        <v>2</v>
      </c>
      <c r="CG128" s="113">
        <f t="shared" si="133"/>
        <v>1</v>
      </c>
      <c r="CH128" s="113">
        <f t="shared" si="133"/>
        <v>13</v>
      </c>
      <c r="CI128" s="460">
        <f t="shared" si="133"/>
        <v>0</v>
      </c>
      <c r="CJ128" s="582">
        <f t="shared" si="133"/>
        <v>2</v>
      </c>
      <c r="CK128" s="113">
        <f t="shared" si="133"/>
        <v>0</v>
      </c>
      <c r="CL128" s="113">
        <f t="shared" si="133"/>
        <v>0</v>
      </c>
      <c r="CM128" s="113">
        <f t="shared" si="133"/>
        <v>2</v>
      </c>
      <c r="CN128" s="459">
        <f t="shared" si="133"/>
        <v>0</v>
      </c>
      <c r="CO128" s="461">
        <f t="shared" si="133"/>
        <v>17</v>
      </c>
      <c r="CP128" s="582">
        <f t="shared" si="133"/>
        <v>13</v>
      </c>
      <c r="CQ128" s="113">
        <f t="shared" si="133"/>
        <v>2</v>
      </c>
      <c r="CR128" s="113">
        <f t="shared" si="133"/>
        <v>2</v>
      </c>
      <c r="CS128" s="113">
        <f t="shared" si="133"/>
        <v>9</v>
      </c>
      <c r="CT128" s="460">
        <f t="shared" si="133"/>
        <v>0</v>
      </c>
      <c r="CU128" s="582">
        <f t="shared" si="132"/>
        <v>4</v>
      </c>
      <c r="CV128" s="113">
        <f t="shared" si="132"/>
        <v>1</v>
      </c>
      <c r="CW128" s="113">
        <f t="shared" si="132"/>
        <v>0</v>
      </c>
      <c r="CX128" s="113">
        <f t="shared" si="132"/>
        <v>3</v>
      </c>
      <c r="CY128" s="459">
        <f t="shared" si="132"/>
        <v>0</v>
      </c>
      <c r="CZ128" s="461">
        <f t="shared" si="132"/>
        <v>4</v>
      </c>
      <c r="DA128" s="582">
        <f t="shared" si="132"/>
        <v>3</v>
      </c>
      <c r="DB128" s="113">
        <f t="shared" si="132"/>
        <v>1</v>
      </c>
      <c r="DC128" s="113">
        <f t="shared" si="132"/>
        <v>0</v>
      </c>
      <c r="DD128" s="113">
        <f t="shared" si="132"/>
        <v>2</v>
      </c>
      <c r="DE128" s="460">
        <f t="shared" si="132"/>
        <v>0</v>
      </c>
      <c r="DF128" s="582">
        <f t="shared" si="132"/>
        <v>1</v>
      </c>
      <c r="DG128" s="113">
        <f t="shared" si="132"/>
        <v>0</v>
      </c>
      <c r="DH128" s="113">
        <f t="shared" si="132"/>
        <v>0</v>
      </c>
      <c r="DI128" s="113">
        <f t="shared" si="132"/>
        <v>1</v>
      </c>
      <c r="DJ128" s="459">
        <f t="shared" si="132"/>
        <v>0</v>
      </c>
      <c r="DK128" s="461">
        <f t="shared" si="132"/>
        <v>5</v>
      </c>
      <c r="DL128" s="582">
        <f t="shared" si="131"/>
        <v>2</v>
      </c>
      <c r="DM128" s="113">
        <f t="shared" si="131"/>
        <v>1</v>
      </c>
      <c r="DN128" s="113">
        <f t="shared" si="131"/>
        <v>1</v>
      </c>
      <c r="DO128" s="113">
        <f t="shared" si="130"/>
        <v>0</v>
      </c>
      <c r="DP128" s="460">
        <f t="shared" si="130"/>
        <v>0</v>
      </c>
      <c r="DQ128" s="582">
        <f t="shared" si="130"/>
        <v>3</v>
      </c>
      <c r="DR128" s="113">
        <f t="shared" si="130"/>
        <v>0</v>
      </c>
      <c r="DS128" s="113">
        <f t="shared" si="130"/>
        <v>0</v>
      </c>
      <c r="DT128" s="113">
        <f t="shared" si="130"/>
        <v>3</v>
      </c>
      <c r="DU128" s="459">
        <f t="shared" si="130"/>
        <v>0</v>
      </c>
      <c r="DW128" s="461">
        <f t="shared" si="102"/>
        <v>398</v>
      </c>
      <c r="DX128" s="582">
        <f t="shared" si="102"/>
        <v>313</v>
      </c>
      <c r="DY128" s="113">
        <f t="shared" si="102"/>
        <v>54</v>
      </c>
      <c r="DZ128" s="113">
        <f t="shared" si="102"/>
        <v>14</v>
      </c>
      <c r="EA128" s="113">
        <f t="shared" si="129"/>
        <v>245</v>
      </c>
      <c r="EB128" s="460">
        <f t="shared" si="129"/>
        <v>0</v>
      </c>
      <c r="EC128" s="582">
        <f t="shared" si="129"/>
        <v>85</v>
      </c>
      <c r="ED128" s="113">
        <f t="shared" si="129"/>
        <v>14</v>
      </c>
      <c r="EE128" s="113">
        <f t="shared" si="129"/>
        <v>0</v>
      </c>
      <c r="EF128" s="113">
        <f t="shared" si="129"/>
        <v>70</v>
      </c>
      <c r="EG128" s="459">
        <f t="shared" si="129"/>
        <v>1</v>
      </c>
      <c r="EH128" s="461">
        <f t="shared" si="91"/>
        <v>161</v>
      </c>
      <c r="EI128" s="582">
        <f t="shared" si="91"/>
        <v>109</v>
      </c>
      <c r="EJ128" s="113">
        <f t="shared" si="91"/>
        <v>19</v>
      </c>
      <c r="EK128" s="113">
        <f t="shared" si="91"/>
        <v>7</v>
      </c>
      <c r="EL128" s="113">
        <f t="shared" si="91"/>
        <v>83</v>
      </c>
      <c r="EM128" s="460">
        <f t="shared" si="111"/>
        <v>0</v>
      </c>
      <c r="EN128" s="582">
        <f t="shared" si="111"/>
        <v>52</v>
      </c>
      <c r="EO128" s="113">
        <f t="shared" si="111"/>
        <v>6</v>
      </c>
      <c r="EP128" s="113">
        <f t="shared" si="111"/>
        <v>0</v>
      </c>
      <c r="EQ128" s="113">
        <f t="shared" si="111"/>
        <v>45</v>
      </c>
      <c r="ER128" s="459">
        <f t="shared" si="111"/>
        <v>1</v>
      </c>
    </row>
    <row r="129" spans="1:148">
      <c r="A129" s="466" t="s">
        <v>427</v>
      </c>
      <c r="B129" s="581">
        <v>45323</v>
      </c>
      <c r="C129" s="470">
        <v>2024</v>
      </c>
      <c r="D129" s="461">
        <f t="shared" si="121"/>
        <v>163027</v>
      </c>
      <c r="E129" s="461">
        <f t="shared" si="127"/>
        <v>11026</v>
      </c>
      <c r="F129" s="582">
        <f t="shared" si="127"/>
        <v>8144</v>
      </c>
      <c r="G129" s="113">
        <f t="shared" si="127"/>
        <v>1596</v>
      </c>
      <c r="H129" s="113">
        <f t="shared" si="127"/>
        <v>469</v>
      </c>
      <c r="I129" s="113">
        <f t="shared" si="127"/>
        <v>6030</v>
      </c>
      <c r="J129" s="460">
        <f t="shared" si="127"/>
        <v>49</v>
      </c>
      <c r="K129" s="582">
        <f t="shared" si="127"/>
        <v>2882</v>
      </c>
      <c r="L129" s="113">
        <f t="shared" si="127"/>
        <v>388</v>
      </c>
      <c r="M129" s="113">
        <f t="shared" si="127"/>
        <v>0</v>
      </c>
      <c r="N129" s="113">
        <f t="shared" si="127"/>
        <v>2423</v>
      </c>
      <c r="O129" s="459">
        <f t="shared" si="127"/>
        <v>71</v>
      </c>
      <c r="P129" s="461">
        <f t="shared" si="127"/>
        <v>20</v>
      </c>
      <c r="Q129" s="582">
        <f t="shared" si="127"/>
        <v>9</v>
      </c>
      <c r="R129" s="113">
        <f t="shared" si="127"/>
        <v>1</v>
      </c>
      <c r="S129" s="113">
        <f t="shared" si="127"/>
        <v>1</v>
      </c>
      <c r="T129" s="113">
        <f t="shared" si="127"/>
        <v>7</v>
      </c>
      <c r="U129" s="460">
        <f t="shared" si="126"/>
        <v>0</v>
      </c>
      <c r="V129" s="582">
        <f t="shared" si="126"/>
        <v>11</v>
      </c>
      <c r="W129" s="113">
        <f t="shared" si="126"/>
        <v>3</v>
      </c>
      <c r="X129" s="113">
        <f t="shared" si="126"/>
        <v>0</v>
      </c>
      <c r="Y129" s="113">
        <f t="shared" si="126"/>
        <v>8</v>
      </c>
      <c r="Z129" s="459">
        <f t="shared" si="126"/>
        <v>0</v>
      </c>
      <c r="AA129" s="461">
        <f t="shared" si="126"/>
        <v>13</v>
      </c>
      <c r="AB129" s="582">
        <f t="shared" si="126"/>
        <v>12</v>
      </c>
      <c r="AC129" s="113">
        <f t="shared" si="126"/>
        <v>0</v>
      </c>
      <c r="AD129" s="113">
        <f t="shared" si="126"/>
        <v>2</v>
      </c>
      <c r="AE129" s="113">
        <f t="shared" si="126"/>
        <v>10</v>
      </c>
      <c r="AF129" s="460">
        <f t="shared" si="126"/>
        <v>0</v>
      </c>
      <c r="AG129" s="582">
        <f t="shared" si="126"/>
        <v>1</v>
      </c>
      <c r="AH129" s="113">
        <f t="shared" si="126"/>
        <v>0</v>
      </c>
      <c r="AI129" s="113">
        <f t="shared" si="126"/>
        <v>0</v>
      </c>
      <c r="AJ129" s="113">
        <f t="shared" si="126"/>
        <v>1</v>
      </c>
      <c r="AK129" s="459">
        <f t="shared" si="126"/>
        <v>0</v>
      </c>
      <c r="AL129" s="461">
        <f t="shared" si="126"/>
        <v>161</v>
      </c>
      <c r="AM129" s="582">
        <f t="shared" si="126"/>
        <v>109</v>
      </c>
      <c r="AN129" s="113">
        <f t="shared" si="126"/>
        <v>19</v>
      </c>
      <c r="AO129" s="113">
        <f t="shared" si="126"/>
        <v>7</v>
      </c>
      <c r="AP129" s="113">
        <f t="shared" si="126"/>
        <v>83</v>
      </c>
      <c r="AQ129" s="460">
        <f t="shared" si="126"/>
        <v>0</v>
      </c>
      <c r="AR129" s="582">
        <f t="shared" si="126"/>
        <v>52</v>
      </c>
      <c r="AS129" s="113">
        <f t="shared" si="126"/>
        <v>6</v>
      </c>
      <c r="AT129" s="113">
        <f t="shared" si="126"/>
        <v>0</v>
      </c>
      <c r="AU129" s="113">
        <f t="shared" si="126"/>
        <v>45</v>
      </c>
      <c r="AV129" s="459">
        <f t="shared" si="126"/>
        <v>1</v>
      </c>
      <c r="AW129" s="461">
        <f t="shared" si="133"/>
        <v>64</v>
      </c>
      <c r="AX129" s="582">
        <f t="shared" si="133"/>
        <v>48</v>
      </c>
      <c r="AY129" s="113">
        <f t="shared" si="133"/>
        <v>8</v>
      </c>
      <c r="AZ129" s="113">
        <f t="shared" si="133"/>
        <v>4</v>
      </c>
      <c r="BA129" s="113">
        <f t="shared" si="133"/>
        <v>36</v>
      </c>
      <c r="BB129" s="460">
        <f t="shared" si="133"/>
        <v>0</v>
      </c>
      <c r="BC129" s="582">
        <f t="shared" si="133"/>
        <v>16</v>
      </c>
      <c r="BD129" s="113">
        <f t="shared" si="133"/>
        <v>3</v>
      </c>
      <c r="BE129" s="113">
        <f t="shared" si="133"/>
        <v>0</v>
      </c>
      <c r="BF129" s="113">
        <f t="shared" si="133"/>
        <v>13</v>
      </c>
      <c r="BG129" s="459">
        <f t="shared" si="133"/>
        <v>0</v>
      </c>
      <c r="BH129" s="461">
        <f t="shared" si="133"/>
        <v>83</v>
      </c>
      <c r="BI129" s="582">
        <f t="shared" si="133"/>
        <v>68</v>
      </c>
      <c r="BJ129" s="113">
        <f t="shared" si="133"/>
        <v>12</v>
      </c>
      <c r="BK129" s="113">
        <f t="shared" si="133"/>
        <v>3</v>
      </c>
      <c r="BL129" s="113">
        <f t="shared" si="133"/>
        <v>53</v>
      </c>
      <c r="BM129" s="460">
        <f t="shared" si="133"/>
        <v>0</v>
      </c>
      <c r="BN129" s="582">
        <f t="shared" si="133"/>
        <v>15</v>
      </c>
      <c r="BO129" s="113">
        <f t="shared" si="133"/>
        <v>2</v>
      </c>
      <c r="BP129" s="113">
        <f t="shared" si="133"/>
        <v>0</v>
      </c>
      <c r="BQ129" s="113">
        <f t="shared" si="133"/>
        <v>12</v>
      </c>
      <c r="BR129" s="459">
        <f t="shared" si="133"/>
        <v>1</v>
      </c>
      <c r="BS129" s="461">
        <f t="shared" si="133"/>
        <v>174</v>
      </c>
      <c r="BT129" s="582">
        <f t="shared" si="133"/>
        <v>142</v>
      </c>
      <c r="BU129" s="113">
        <f t="shared" si="133"/>
        <v>27</v>
      </c>
      <c r="BV129" s="113">
        <f t="shared" si="133"/>
        <v>0</v>
      </c>
      <c r="BW129" s="113">
        <f t="shared" si="133"/>
        <v>115</v>
      </c>
      <c r="BX129" s="460">
        <f t="shared" si="133"/>
        <v>0</v>
      </c>
      <c r="BY129" s="582">
        <f t="shared" si="133"/>
        <v>32</v>
      </c>
      <c r="BZ129" s="113">
        <f t="shared" si="133"/>
        <v>5</v>
      </c>
      <c r="CA129" s="113">
        <f t="shared" si="133"/>
        <v>0</v>
      </c>
      <c r="CB129" s="113">
        <f t="shared" si="133"/>
        <v>27</v>
      </c>
      <c r="CC129" s="459">
        <f t="shared" si="133"/>
        <v>0</v>
      </c>
      <c r="CD129" s="461">
        <f t="shared" si="133"/>
        <v>18</v>
      </c>
      <c r="CE129" s="582">
        <f t="shared" si="133"/>
        <v>16</v>
      </c>
      <c r="CF129" s="113">
        <f t="shared" si="133"/>
        <v>2</v>
      </c>
      <c r="CG129" s="113">
        <f t="shared" si="133"/>
        <v>1</v>
      </c>
      <c r="CH129" s="113">
        <f t="shared" si="133"/>
        <v>13</v>
      </c>
      <c r="CI129" s="460">
        <f t="shared" si="133"/>
        <v>0</v>
      </c>
      <c r="CJ129" s="582">
        <f t="shared" si="133"/>
        <v>2</v>
      </c>
      <c r="CK129" s="113">
        <f t="shared" si="133"/>
        <v>0</v>
      </c>
      <c r="CL129" s="113">
        <f t="shared" si="133"/>
        <v>0</v>
      </c>
      <c r="CM129" s="113">
        <f t="shared" si="133"/>
        <v>2</v>
      </c>
      <c r="CN129" s="459">
        <f t="shared" si="133"/>
        <v>0</v>
      </c>
      <c r="CO129" s="461">
        <f t="shared" si="133"/>
        <v>17</v>
      </c>
      <c r="CP129" s="582">
        <f t="shared" si="133"/>
        <v>13</v>
      </c>
      <c r="CQ129" s="113">
        <f t="shared" si="133"/>
        <v>2</v>
      </c>
      <c r="CR129" s="113">
        <f t="shared" si="133"/>
        <v>2</v>
      </c>
      <c r="CS129" s="113">
        <f t="shared" si="133"/>
        <v>9</v>
      </c>
      <c r="CT129" s="460">
        <f t="shared" si="133"/>
        <v>0</v>
      </c>
      <c r="CU129" s="582">
        <f t="shared" si="132"/>
        <v>4</v>
      </c>
      <c r="CV129" s="113">
        <f t="shared" si="132"/>
        <v>1</v>
      </c>
      <c r="CW129" s="113">
        <f t="shared" si="132"/>
        <v>0</v>
      </c>
      <c r="CX129" s="113">
        <f t="shared" si="132"/>
        <v>3</v>
      </c>
      <c r="CY129" s="459">
        <f t="shared" si="132"/>
        <v>0</v>
      </c>
      <c r="CZ129" s="461">
        <f t="shared" si="132"/>
        <v>4</v>
      </c>
      <c r="DA129" s="582">
        <f t="shared" si="132"/>
        <v>3</v>
      </c>
      <c r="DB129" s="113">
        <f t="shared" si="132"/>
        <v>1</v>
      </c>
      <c r="DC129" s="113">
        <f t="shared" si="132"/>
        <v>0</v>
      </c>
      <c r="DD129" s="113">
        <f t="shared" si="132"/>
        <v>2</v>
      </c>
      <c r="DE129" s="460">
        <f t="shared" si="132"/>
        <v>0</v>
      </c>
      <c r="DF129" s="582">
        <f t="shared" si="132"/>
        <v>1</v>
      </c>
      <c r="DG129" s="113">
        <f t="shared" si="132"/>
        <v>0</v>
      </c>
      <c r="DH129" s="113">
        <f t="shared" si="132"/>
        <v>0</v>
      </c>
      <c r="DI129" s="113">
        <f t="shared" si="132"/>
        <v>1</v>
      </c>
      <c r="DJ129" s="459">
        <f t="shared" si="132"/>
        <v>0</v>
      </c>
      <c r="DK129" s="461">
        <f t="shared" si="132"/>
        <v>5</v>
      </c>
      <c r="DL129" s="582">
        <f t="shared" si="131"/>
        <v>2</v>
      </c>
      <c r="DM129" s="113">
        <f t="shared" si="131"/>
        <v>1</v>
      </c>
      <c r="DN129" s="113">
        <f t="shared" si="131"/>
        <v>1</v>
      </c>
      <c r="DO129" s="113">
        <f t="shared" si="130"/>
        <v>0</v>
      </c>
      <c r="DP129" s="460">
        <f t="shared" si="130"/>
        <v>0</v>
      </c>
      <c r="DQ129" s="582">
        <f t="shared" si="130"/>
        <v>3</v>
      </c>
      <c r="DR129" s="113">
        <f t="shared" si="130"/>
        <v>0</v>
      </c>
      <c r="DS129" s="113">
        <f t="shared" si="130"/>
        <v>0</v>
      </c>
      <c r="DT129" s="113">
        <f t="shared" si="130"/>
        <v>3</v>
      </c>
      <c r="DU129" s="459">
        <f t="shared" si="130"/>
        <v>0</v>
      </c>
      <c r="DW129" s="461">
        <f t="shared" si="102"/>
        <v>398</v>
      </c>
      <c r="DX129" s="582">
        <f t="shared" si="102"/>
        <v>313</v>
      </c>
      <c r="DY129" s="113">
        <f t="shared" si="102"/>
        <v>54</v>
      </c>
      <c r="DZ129" s="113">
        <f t="shared" si="102"/>
        <v>14</v>
      </c>
      <c r="EA129" s="113">
        <f t="shared" si="129"/>
        <v>245</v>
      </c>
      <c r="EB129" s="460">
        <f t="shared" si="129"/>
        <v>0</v>
      </c>
      <c r="EC129" s="582">
        <f t="shared" si="129"/>
        <v>85</v>
      </c>
      <c r="ED129" s="113">
        <f t="shared" si="129"/>
        <v>14</v>
      </c>
      <c r="EE129" s="113">
        <f t="shared" si="129"/>
        <v>0</v>
      </c>
      <c r="EF129" s="113">
        <f t="shared" si="129"/>
        <v>70</v>
      </c>
      <c r="EG129" s="459">
        <f t="shared" si="129"/>
        <v>1</v>
      </c>
      <c r="EH129" s="461">
        <f t="shared" si="91"/>
        <v>161</v>
      </c>
      <c r="EI129" s="582">
        <f t="shared" si="91"/>
        <v>109</v>
      </c>
      <c r="EJ129" s="113">
        <f t="shared" si="91"/>
        <v>19</v>
      </c>
      <c r="EK129" s="113">
        <f t="shared" si="91"/>
        <v>7</v>
      </c>
      <c r="EL129" s="113">
        <f t="shared" si="91"/>
        <v>83</v>
      </c>
      <c r="EM129" s="460">
        <f t="shared" si="111"/>
        <v>0</v>
      </c>
      <c r="EN129" s="582">
        <f t="shared" si="111"/>
        <v>52</v>
      </c>
      <c r="EO129" s="113">
        <f t="shared" si="111"/>
        <v>6</v>
      </c>
      <c r="EP129" s="113">
        <f t="shared" si="111"/>
        <v>0</v>
      </c>
      <c r="EQ129" s="113">
        <f t="shared" si="111"/>
        <v>45</v>
      </c>
      <c r="ER129" s="459">
        <f t="shared" si="111"/>
        <v>1</v>
      </c>
    </row>
    <row r="130" spans="1:148">
      <c r="A130" s="466" t="s">
        <v>427</v>
      </c>
      <c r="B130" s="581">
        <v>45352</v>
      </c>
      <c r="C130" s="470">
        <v>2024</v>
      </c>
      <c r="D130" s="461">
        <f t="shared" si="121"/>
        <v>163027</v>
      </c>
      <c r="E130" s="461">
        <f t="shared" si="127"/>
        <v>11026</v>
      </c>
      <c r="F130" s="582">
        <f t="shared" si="127"/>
        <v>8144</v>
      </c>
      <c r="G130" s="113">
        <f t="shared" si="127"/>
        <v>1596</v>
      </c>
      <c r="H130" s="113">
        <f t="shared" si="127"/>
        <v>469</v>
      </c>
      <c r="I130" s="113">
        <f t="shared" si="127"/>
        <v>6030</v>
      </c>
      <c r="J130" s="460">
        <f t="shared" si="127"/>
        <v>49</v>
      </c>
      <c r="K130" s="582">
        <f t="shared" si="127"/>
        <v>2882</v>
      </c>
      <c r="L130" s="113">
        <f t="shared" si="127"/>
        <v>388</v>
      </c>
      <c r="M130" s="113">
        <f t="shared" si="127"/>
        <v>0</v>
      </c>
      <c r="N130" s="113">
        <f t="shared" si="127"/>
        <v>2423</v>
      </c>
      <c r="O130" s="459">
        <f t="shared" si="127"/>
        <v>71</v>
      </c>
      <c r="P130" s="461">
        <f t="shared" si="127"/>
        <v>20</v>
      </c>
      <c r="Q130" s="582">
        <f t="shared" si="127"/>
        <v>9</v>
      </c>
      <c r="R130" s="113">
        <f t="shared" si="127"/>
        <v>1</v>
      </c>
      <c r="S130" s="113">
        <f t="shared" si="127"/>
        <v>1</v>
      </c>
      <c r="T130" s="113">
        <f t="shared" si="127"/>
        <v>7</v>
      </c>
      <c r="U130" s="460">
        <f t="shared" si="126"/>
        <v>0</v>
      </c>
      <c r="V130" s="582">
        <f t="shared" si="126"/>
        <v>11</v>
      </c>
      <c r="W130" s="113">
        <f t="shared" si="126"/>
        <v>3</v>
      </c>
      <c r="X130" s="113">
        <f t="shared" si="126"/>
        <v>0</v>
      </c>
      <c r="Y130" s="113">
        <f t="shared" si="126"/>
        <v>8</v>
      </c>
      <c r="Z130" s="459">
        <f t="shared" si="126"/>
        <v>0</v>
      </c>
      <c r="AA130" s="461">
        <f t="shared" si="126"/>
        <v>13</v>
      </c>
      <c r="AB130" s="582">
        <f t="shared" si="126"/>
        <v>12</v>
      </c>
      <c r="AC130" s="113">
        <f t="shared" si="126"/>
        <v>0</v>
      </c>
      <c r="AD130" s="113">
        <f t="shared" si="126"/>
        <v>2</v>
      </c>
      <c r="AE130" s="113">
        <f t="shared" si="126"/>
        <v>10</v>
      </c>
      <c r="AF130" s="460">
        <f t="shared" si="126"/>
        <v>0</v>
      </c>
      <c r="AG130" s="582">
        <f t="shared" si="126"/>
        <v>1</v>
      </c>
      <c r="AH130" s="113">
        <f t="shared" si="126"/>
        <v>0</v>
      </c>
      <c r="AI130" s="113">
        <f t="shared" si="126"/>
        <v>0</v>
      </c>
      <c r="AJ130" s="113">
        <f t="shared" si="126"/>
        <v>1</v>
      </c>
      <c r="AK130" s="459">
        <f t="shared" si="126"/>
        <v>0</v>
      </c>
      <c r="AL130" s="461">
        <f t="shared" si="126"/>
        <v>161</v>
      </c>
      <c r="AM130" s="582">
        <f t="shared" si="126"/>
        <v>109</v>
      </c>
      <c r="AN130" s="113">
        <f t="shared" si="126"/>
        <v>19</v>
      </c>
      <c r="AO130" s="113">
        <f t="shared" si="126"/>
        <v>7</v>
      </c>
      <c r="AP130" s="113">
        <f t="shared" si="126"/>
        <v>83</v>
      </c>
      <c r="AQ130" s="460">
        <f t="shared" si="126"/>
        <v>0</v>
      </c>
      <c r="AR130" s="582">
        <f t="shared" si="126"/>
        <v>52</v>
      </c>
      <c r="AS130" s="113">
        <f t="shared" si="126"/>
        <v>6</v>
      </c>
      <c r="AT130" s="113">
        <f t="shared" si="126"/>
        <v>0</v>
      </c>
      <c r="AU130" s="113">
        <f t="shared" si="126"/>
        <v>45</v>
      </c>
      <c r="AV130" s="459">
        <f t="shared" si="126"/>
        <v>1</v>
      </c>
      <c r="AW130" s="461">
        <f t="shared" si="133"/>
        <v>64</v>
      </c>
      <c r="AX130" s="582">
        <f t="shared" si="133"/>
        <v>48</v>
      </c>
      <c r="AY130" s="113">
        <f t="shared" si="133"/>
        <v>8</v>
      </c>
      <c r="AZ130" s="113">
        <f t="shared" si="133"/>
        <v>4</v>
      </c>
      <c r="BA130" s="113">
        <f t="shared" si="133"/>
        <v>36</v>
      </c>
      <c r="BB130" s="460">
        <f t="shared" si="133"/>
        <v>0</v>
      </c>
      <c r="BC130" s="582">
        <f t="shared" si="133"/>
        <v>16</v>
      </c>
      <c r="BD130" s="113">
        <f t="shared" si="133"/>
        <v>3</v>
      </c>
      <c r="BE130" s="113">
        <f t="shared" si="133"/>
        <v>0</v>
      </c>
      <c r="BF130" s="113">
        <f t="shared" si="133"/>
        <v>13</v>
      </c>
      <c r="BG130" s="459">
        <f t="shared" si="133"/>
        <v>0</v>
      </c>
      <c r="BH130" s="461">
        <f t="shared" si="133"/>
        <v>83</v>
      </c>
      <c r="BI130" s="582">
        <f t="shared" si="133"/>
        <v>68</v>
      </c>
      <c r="BJ130" s="113">
        <f t="shared" si="133"/>
        <v>12</v>
      </c>
      <c r="BK130" s="113">
        <f t="shared" si="133"/>
        <v>3</v>
      </c>
      <c r="BL130" s="113">
        <f t="shared" si="133"/>
        <v>53</v>
      </c>
      <c r="BM130" s="460">
        <f t="shared" si="133"/>
        <v>0</v>
      </c>
      <c r="BN130" s="582">
        <f t="shared" si="133"/>
        <v>15</v>
      </c>
      <c r="BO130" s="113">
        <f t="shared" si="133"/>
        <v>2</v>
      </c>
      <c r="BP130" s="113">
        <f t="shared" si="133"/>
        <v>0</v>
      </c>
      <c r="BQ130" s="113">
        <f t="shared" si="133"/>
        <v>12</v>
      </c>
      <c r="BR130" s="459">
        <f t="shared" si="133"/>
        <v>1</v>
      </c>
      <c r="BS130" s="461">
        <f t="shared" si="133"/>
        <v>174</v>
      </c>
      <c r="BT130" s="582">
        <f t="shared" si="133"/>
        <v>142</v>
      </c>
      <c r="BU130" s="113">
        <f t="shared" si="133"/>
        <v>27</v>
      </c>
      <c r="BV130" s="113">
        <f t="shared" si="133"/>
        <v>0</v>
      </c>
      <c r="BW130" s="113">
        <f t="shared" si="133"/>
        <v>115</v>
      </c>
      <c r="BX130" s="460">
        <f t="shared" si="133"/>
        <v>0</v>
      </c>
      <c r="BY130" s="582">
        <f t="shared" si="133"/>
        <v>32</v>
      </c>
      <c r="BZ130" s="113">
        <f t="shared" si="133"/>
        <v>5</v>
      </c>
      <c r="CA130" s="113">
        <f t="shared" si="133"/>
        <v>0</v>
      </c>
      <c r="CB130" s="113">
        <f t="shared" si="133"/>
        <v>27</v>
      </c>
      <c r="CC130" s="459">
        <f t="shared" si="133"/>
        <v>0</v>
      </c>
      <c r="CD130" s="461">
        <f t="shared" si="133"/>
        <v>18</v>
      </c>
      <c r="CE130" s="582">
        <f t="shared" si="133"/>
        <v>16</v>
      </c>
      <c r="CF130" s="113">
        <f t="shared" si="133"/>
        <v>2</v>
      </c>
      <c r="CG130" s="113">
        <f t="shared" si="133"/>
        <v>1</v>
      </c>
      <c r="CH130" s="113">
        <f t="shared" si="133"/>
        <v>13</v>
      </c>
      <c r="CI130" s="460">
        <f t="shared" si="133"/>
        <v>0</v>
      </c>
      <c r="CJ130" s="582">
        <f t="shared" si="133"/>
        <v>2</v>
      </c>
      <c r="CK130" s="113">
        <f t="shared" si="133"/>
        <v>0</v>
      </c>
      <c r="CL130" s="113">
        <f t="shared" si="133"/>
        <v>0</v>
      </c>
      <c r="CM130" s="113">
        <f t="shared" si="133"/>
        <v>2</v>
      </c>
      <c r="CN130" s="459">
        <f t="shared" si="133"/>
        <v>0</v>
      </c>
      <c r="CO130" s="461">
        <f t="shared" si="133"/>
        <v>17</v>
      </c>
      <c r="CP130" s="582">
        <f t="shared" si="133"/>
        <v>13</v>
      </c>
      <c r="CQ130" s="113">
        <f t="shared" si="133"/>
        <v>2</v>
      </c>
      <c r="CR130" s="113">
        <f t="shared" si="133"/>
        <v>2</v>
      </c>
      <c r="CS130" s="113">
        <f t="shared" si="133"/>
        <v>9</v>
      </c>
      <c r="CT130" s="460">
        <f t="shared" si="133"/>
        <v>0</v>
      </c>
      <c r="CU130" s="582">
        <f t="shared" si="132"/>
        <v>4</v>
      </c>
      <c r="CV130" s="113">
        <f t="shared" si="132"/>
        <v>1</v>
      </c>
      <c r="CW130" s="113">
        <f t="shared" si="132"/>
        <v>0</v>
      </c>
      <c r="CX130" s="113">
        <f t="shared" si="132"/>
        <v>3</v>
      </c>
      <c r="CY130" s="459">
        <f t="shared" si="132"/>
        <v>0</v>
      </c>
      <c r="CZ130" s="461">
        <f t="shared" si="132"/>
        <v>4</v>
      </c>
      <c r="DA130" s="582">
        <f t="shared" si="132"/>
        <v>3</v>
      </c>
      <c r="DB130" s="113">
        <f t="shared" si="132"/>
        <v>1</v>
      </c>
      <c r="DC130" s="113">
        <f t="shared" si="132"/>
        <v>0</v>
      </c>
      <c r="DD130" s="113">
        <f t="shared" si="132"/>
        <v>2</v>
      </c>
      <c r="DE130" s="460">
        <f t="shared" si="132"/>
        <v>0</v>
      </c>
      <c r="DF130" s="582">
        <f t="shared" si="132"/>
        <v>1</v>
      </c>
      <c r="DG130" s="113">
        <f t="shared" si="132"/>
        <v>0</v>
      </c>
      <c r="DH130" s="113">
        <f t="shared" si="132"/>
        <v>0</v>
      </c>
      <c r="DI130" s="113">
        <f t="shared" si="132"/>
        <v>1</v>
      </c>
      <c r="DJ130" s="459">
        <f t="shared" si="132"/>
        <v>0</v>
      </c>
      <c r="DK130" s="461">
        <f t="shared" ref="DK130:DT130" si="134">SUMIFS(DK$5:DK$36,$B$5:$B$36,$A130)</f>
        <v>5</v>
      </c>
      <c r="DL130" s="582">
        <f t="shared" si="134"/>
        <v>2</v>
      </c>
      <c r="DM130" s="113">
        <f t="shared" si="134"/>
        <v>1</v>
      </c>
      <c r="DN130" s="113">
        <f t="shared" si="134"/>
        <v>1</v>
      </c>
      <c r="DO130" s="113">
        <f t="shared" si="134"/>
        <v>0</v>
      </c>
      <c r="DP130" s="460">
        <f t="shared" si="134"/>
        <v>0</v>
      </c>
      <c r="DQ130" s="582">
        <f t="shared" si="134"/>
        <v>3</v>
      </c>
      <c r="DR130" s="113">
        <f t="shared" si="134"/>
        <v>0</v>
      </c>
      <c r="DS130" s="113">
        <f t="shared" si="134"/>
        <v>0</v>
      </c>
      <c r="DT130" s="113">
        <f t="shared" si="134"/>
        <v>3</v>
      </c>
      <c r="DU130" s="459">
        <f t="shared" si="130"/>
        <v>0</v>
      </c>
      <c r="DW130" s="461">
        <f t="shared" si="102"/>
        <v>398</v>
      </c>
      <c r="DX130" s="582">
        <f t="shared" si="102"/>
        <v>313</v>
      </c>
      <c r="DY130" s="113">
        <f t="shared" si="102"/>
        <v>54</v>
      </c>
      <c r="DZ130" s="113">
        <f t="shared" si="102"/>
        <v>14</v>
      </c>
      <c r="EA130" s="113">
        <f t="shared" si="129"/>
        <v>245</v>
      </c>
      <c r="EB130" s="460">
        <f t="shared" si="129"/>
        <v>0</v>
      </c>
      <c r="EC130" s="582">
        <f t="shared" si="129"/>
        <v>85</v>
      </c>
      <c r="ED130" s="113">
        <f t="shared" si="129"/>
        <v>14</v>
      </c>
      <c r="EE130" s="113">
        <f t="shared" si="129"/>
        <v>0</v>
      </c>
      <c r="EF130" s="113">
        <f t="shared" si="129"/>
        <v>70</v>
      </c>
      <c r="EG130" s="459">
        <f t="shared" si="129"/>
        <v>1</v>
      </c>
      <c r="EH130" s="461">
        <f t="shared" ref="EH130:EO176" si="135">AL130</f>
        <v>161</v>
      </c>
      <c r="EI130" s="582">
        <f t="shared" si="135"/>
        <v>109</v>
      </c>
      <c r="EJ130" s="113">
        <f t="shared" si="135"/>
        <v>19</v>
      </c>
      <c r="EK130" s="113">
        <f t="shared" si="135"/>
        <v>7</v>
      </c>
      <c r="EL130" s="113">
        <f t="shared" si="135"/>
        <v>83</v>
      </c>
      <c r="EM130" s="460">
        <f t="shared" si="111"/>
        <v>0</v>
      </c>
      <c r="EN130" s="582">
        <f t="shared" si="111"/>
        <v>52</v>
      </c>
      <c r="EO130" s="113">
        <f t="shared" si="111"/>
        <v>6</v>
      </c>
      <c r="EP130" s="113">
        <f t="shared" si="111"/>
        <v>0</v>
      </c>
      <c r="EQ130" s="113">
        <f t="shared" si="111"/>
        <v>45</v>
      </c>
      <c r="ER130" s="459">
        <f t="shared" si="111"/>
        <v>1</v>
      </c>
    </row>
    <row r="131" spans="1:148">
      <c r="A131" s="466" t="s">
        <v>428</v>
      </c>
      <c r="B131" s="581">
        <v>45383</v>
      </c>
      <c r="C131" s="470">
        <v>2024</v>
      </c>
      <c r="D131" s="461">
        <f t="shared" si="121"/>
        <v>190530</v>
      </c>
      <c r="E131" s="461">
        <f t="shared" si="127"/>
        <v>14370</v>
      </c>
      <c r="F131" s="582">
        <f t="shared" si="127"/>
        <v>10462</v>
      </c>
      <c r="G131" s="113">
        <f t="shared" si="127"/>
        <v>2474</v>
      </c>
      <c r="H131" s="113">
        <f t="shared" si="127"/>
        <v>730</v>
      </c>
      <c r="I131" s="113">
        <f t="shared" si="127"/>
        <v>7209</v>
      </c>
      <c r="J131" s="460">
        <f t="shared" si="127"/>
        <v>49</v>
      </c>
      <c r="K131" s="582">
        <f t="shared" si="127"/>
        <v>3908</v>
      </c>
      <c r="L131" s="113">
        <f t="shared" si="127"/>
        <v>196</v>
      </c>
      <c r="M131" s="113">
        <f t="shared" si="127"/>
        <v>0</v>
      </c>
      <c r="N131" s="113">
        <f t="shared" si="127"/>
        <v>3578</v>
      </c>
      <c r="O131" s="459">
        <f t="shared" si="127"/>
        <v>134</v>
      </c>
      <c r="P131" s="461">
        <f t="shared" si="127"/>
        <v>32</v>
      </c>
      <c r="Q131" s="582">
        <f t="shared" si="127"/>
        <v>21</v>
      </c>
      <c r="R131" s="113">
        <f t="shared" si="127"/>
        <v>8</v>
      </c>
      <c r="S131" s="113">
        <f t="shared" si="127"/>
        <v>0</v>
      </c>
      <c r="T131" s="113">
        <f t="shared" si="127"/>
        <v>13</v>
      </c>
      <c r="U131" s="460">
        <f t="shared" si="126"/>
        <v>0</v>
      </c>
      <c r="V131" s="582">
        <f t="shared" si="126"/>
        <v>11</v>
      </c>
      <c r="W131" s="113">
        <f t="shared" ref="W131:AY138" si="136">SUMIFS(W$5:W$36,$B$5:$B$36,$A131)</f>
        <v>0</v>
      </c>
      <c r="X131" s="113">
        <f t="shared" si="136"/>
        <v>0</v>
      </c>
      <c r="Y131" s="113">
        <f t="shared" si="136"/>
        <v>11</v>
      </c>
      <c r="Z131" s="459">
        <f t="shared" si="136"/>
        <v>0</v>
      </c>
      <c r="AA131" s="461">
        <f t="shared" si="136"/>
        <v>10</v>
      </c>
      <c r="AB131" s="582">
        <f t="shared" si="136"/>
        <v>9</v>
      </c>
      <c r="AC131" s="113">
        <f t="shared" si="136"/>
        <v>1</v>
      </c>
      <c r="AD131" s="113">
        <f t="shared" si="136"/>
        <v>1</v>
      </c>
      <c r="AE131" s="113">
        <f t="shared" si="136"/>
        <v>7</v>
      </c>
      <c r="AF131" s="460">
        <f t="shared" si="136"/>
        <v>0</v>
      </c>
      <c r="AG131" s="582">
        <f t="shared" si="136"/>
        <v>1</v>
      </c>
      <c r="AH131" s="113">
        <f t="shared" si="136"/>
        <v>0</v>
      </c>
      <c r="AI131" s="113">
        <f t="shared" si="136"/>
        <v>0</v>
      </c>
      <c r="AJ131" s="113">
        <f t="shared" si="136"/>
        <v>1</v>
      </c>
      <c r="AK131" s="459">
        <f t="shared" si="136"/>
        <v>0</v>
      </c>
      <c r="AL131" s="461">
        <f t="shared" si="136"/>
        <v>173</v>
      </c>
      <c r="AM131" s="582">
        <f t="shared" si="136"/>
        <v>123</v>
      </c>
      <c r="AN131" s="113">
        <f t="shared" si="136"/>
        <v>24</v>
      </c>
      <c r="AO131" s="113">
        <f t="shared" si="136"/>
        <v>8</v>
      </c>
      <c r="AP131" s="113">
        <f t="shared" si="136"/>
        <v>91</v>
      </c>
      <c r="AQ131" s="460">
        <f t="shared" si="136"/>
        <v>0</v>
      </c>
      <c r="AR131" s="582">
        <f t="shared" si="136"/>
        <v>50</v>
      </c>
      <c r="AS131" s="113">
        <f t="shared" si="136"/>
        <v>2</v>
      </c>
      <c r="AT131" s="113">
        <f t="shared" si="136"/>
        <v>0</v>
      </c>
      <c r="AU131" s="113">
        <f t="shared" si="136"/>
        <v>47</v>
      </c>
      <c r="AV131" s="459">
        <f t="shared" si="136"/>
        <v>1</v>
      </c>
      <c r="AW131" s="461">
        <f t="shared" si="136"/>
        <v>98</v>
      </c>
      <c r="AX131" s="582">
        <f t="shared" si="136"/>
        <v>79</v>
      </c>
      <c r="AY131" s="113">
        <f t="shared" si="136"/>
        <v>17</v>
      </c>
      <c r="AZ131" s="113">
        <f t="shared" si="133"/>
        <v>4</v>
      </c>
      <c r="BA131" s="113">
        <f t="shared" si="133"/>
        <v>58</v>
      </c>
      <c r="BB131" s="460">
        <f t="shared" si="133"/>
        <v>0</v>
      </c>
      <c r="BC131" s="582">
        <f t="shared" si="133"/>
        <v>19</v>
      </c>
      <c r="BD131" s="113">
        <f t="shared" si="133"/>
        <v>0</v>
      </c>
      <c r="BE131" s="113">
        <f t="shared" si="133"/>
        <v>0</v>
      </c>
      <c r="BF131" s="113">
        <f t="shared" si="133"/>
        <v>17</v>
      </c>
      <c r="BG131" s="459">
        <f t="shared" si="133"/>
        <v>2</v>
      </c>
      <c r="BH131" s="461">
        <f t="shared" si="133"/>
        <v>115</v>
      </c>
      <c r="BI131" s="582">
        <f t="shared" si="133"/>
        <v>95</v>
      </c>
      <c r="BJ131" s="113">
        <f t="shared" si="133"/>
        <v>18</v>
      </c>
      <c r="BK131" s="113">
        <f t="shared" si="133"/>
        <v>5</v>
      </c>
      <c r="BL131" s="113">
        <f t="shared" si="133"/>
        <v>72</v>
      </c>
      <c r="BM131" s="460">
        <f t="shared" si="133"/>
        <v>0</v>
      </c>
      <c r="BN131" s="582">
        <f t="shared" si="133"/>
        <v>20</v>
      </c>
      <c r="BO131" s="113">
        <f t="shared" si="133"/>
        <v>0</v>
      </c>
      <c r="BP131" s="113">
        <f t="shared" si="133"/>
        <v>0</v>
      </c>
      <c r="BQ131" s="113">
        <f t="shared" si="133"/>
        <v>19</v>
      </c>
      <c r="BR131" s="459">
        <f t="shared" si="133"/>
        <v>1</v>
      </c>
      <c r="BS131" s="461">
        <f t="shared" si="133"/>
        <v>194</v>
      </c>
      <c r="BT131" s="582">
        <f t="shared" si="133"/>
        <v>146</v>
      </c>
      <c r="BU131" s="113">
        <f t="shared" si="133"/>
        <v>35</v>
      </c>
      <c r="BV131" s="113">
        <f t="shared" si="133"/>
        <v>2</v>
      </c>
      <c r="BW131" s="113">
        <f t="shared" si="133"/>
        <v>109</v>
      </c>
      <c r="BX131" s="460">
        <f t="shared" si="133"/>
        <v>0</v>
      </c>
      <c r="BY131" s="582">
        <f t="shared" si="133"/>
        <v>48</v>
      </c>
      <c r="BZ131" s="113">
        <f t="shared" si="133"/>
        <v>0</v>
      </c>
      <c r="CA131" s="113">
        <f t="shared" si="133"/>
        <v>0</v>
      </c>
      <c r="CB131" s="113">
        <f t="shared" si="133"/>
        <v>47</v>
      </c>
      <c r="CC131" s="459">
        <f t="shared" si="133"/>
        <v>1</v>
      </c>
      <c r="CD131" s="461">
        <f t="shared" si="133"/>
        <v>24</v>
      </c>
      <c r="CE131" s="582">
        <f t="shared" si="133"/>
        <v>19</v>
      </c>
      <c r="CF131" s="113">
        <f t="shared" si="133"/>
        <v>3</v>
      </c>
      <c r="CG131" s="113">
        <f t="shared" si="133"/>
        <v>1</v>
      </c>
      <c r="CH131" s="113">
        <f t="shared" si="133"/>
        <v>15</v>
      </c>
      <c r="CI131" s="460">
        <f t="shared" si="133"/>
        <v>0</v>
      </c>
      <c r="CJ131" s="582">
        <f t="shared" si="133"/>
        <v>5</v>
      </c>
      <c r="CK131" s="113">
        <f t="shared" si="133"/>
        <v>0</v>
      </c>
      <c r="CL131" s="113">
        <f t="shared" si="133"/>
        <v>0</v>
      </c>
      <c r="CM131" s="113">
        <f t="shared" si="133"/>
        <v>5</v>
      </c>
      <c r="CN131" s="459">
        <f t="shared" si="133"/>
        <v>0</v>
      </c>
      <c r="CO131" s="461">
        <f t="shared" si="133"/>
        <v>19</v>
      </c>
      <c r="CP131" s="582">
        <f t="shared" si="133"/>
        <v>14</v>
      </c>
      <c r="CQ131" s="113">
        <f t="shared" si="133"/>
        <v>4</v>
      </c>
      <c r="CR131" s="113">
        <f t="shared" si="133"/>
        <v>1</v>
      </c>
      <c r="CS131" s="113">
        <f t="shared" si="133"/>
        <v>9</v>
      </c>
      <c r="CT131" s="460">
        <f t="shared" si="133"/>
        <v>0</v>
      </c>
      <c r="CU131" s="582">
        <f t="shared" ref="CU131:DU138" si="137">SUMIFS(CU$5:CU$36,$B$5:$B$36,$A131)</f>
        <v>5</v>
      </c>
      <c r="CV131" s="113">
        <f t="shared" si="137"/>
        <v>0</v>
      </c>
      <c r="CW131" s="113">
        <f t="shared" si="137"/>
        <v>0</v>
      </c>
      <c r="CX131" s="113">
        <f t="shared" si="137"/>
        <v>5</v>
      </c>
      <c r="CY131" s="459">
        <f t="shared" si="137"/>
        <v>0</v>
      </c>
      <c r="CZ131" s="461">
        <f t="shared" si="137"/>
        <v>4</v>
      </c>
      <c r="DA131" s="582">
        <f t="shared" si="137"/>
        <v>2</v>
      </c>
      <c r="DB131" s="113">
        <f t="shared" si="137"/>
        <v>0</v>
      </c>
      <c r="DC131" s="113">
        <f t="shared" si="137"/>
        <v>0</v>
      </c>
      <c r="DD131" s="113">
        <f t="shared" si="137"/>
        <v>2</v>
      </c>
      <c r="DE131" s="460">
        <f t="shared" si="137"/>
        <v>0</v>
      </c>
      <c r="DF131" s="582">
        <f t="shared" si="137"/>
        <v>2</v>
      </c>
      <c r="DG131" s="113">
        <f t="shared" si="137"/>
        <v>0</v>
      </c>
      <c r="DH131" s="113">
        <f t="shared" si="137"/>
        <v>0</v>
      </c>
      <c r="DI131" s="113">
        <f t="shared" si="137"/>
        <v>2</v>
      </c>
      <c r="DJ131" s="459">
        <f t="shared" si="137"/>
        <v>0</v>
      </c>
      <c r="DK131" s="461">
        <f t="shared" si="137"/>
        <v>3</v>
      </c>
      <c r="DL131" s="582">
        <f t="shared" si="137"/>
        <v>3</v>
      </c>
      <c r="DM131" s="113">
        <f t="shared" si="137"/>
        <v>0</v>
      </c>
      <c r="DN131" s="113">
        <f t="shared" si="137"/>
        <v>1</v>
      </c>
      <c r="DO131" s="113">
        <f t="shared" si="137"/>
        <v>2</v>
      </c>
      <c r="DP131" s="460">
        <f t="shared" si="137"/>
        <v>0</v>
      </c>
      <c r="DQ131" s="582">
        <f t="shared" si="137"/>
        <v>0</v>
      </c>
      <c r="DR131" s="113">
        <f t="shared" si="137"/>
        <v>0</v>
      </c>
      <c r="DS131" s="113">
        <f t="shared" si="137"/>
        <v>0</v>
      </c>
      <c r="DT131" s="113">
        <f t="shared" si="137"/>
        <v>0</v>
      </c>
      <c r="DU131" s="459">
        <f t="shared" si="130"/>
        <v>0</v>
      </c>
      <c r="DW131" s="461">
        <f t="shared" si="102"/>
        <v>499</v>
      </c>
      <c r="DX131" s="582">
        <f t="shared" si="102"/>
        <v>388</v>
      </c>
      <c r="DY131" s="113">
        <f t="shared" si="102"/>
        <v>86</v>
      </c>
      <c r="DZ131" s="113">
        <f t="shared" si="102"/>
        <v>15</v>
      </c>
      <c r="EA131" s="113">
        <f t="shared" si="129"/>
        <v>287</v>
      </c>
      <c r="EB131" s="460">
        <f t="shared" si="129"/>
        <v>0</v>
      </c>
      <c r="EC131" s="582">
        <f t="shared" si="129"/>
        <v>111</v>
      </c>
      <c r="ED131" s="113">
        <f t="shared" si="129"/>
        <v>0</v>
      </c>
      <c r="EE131" s="113">
        <f t="shared" si="129"/>
        <v>0</v>
      </c>
      <c r="EF131" s="113">
        <f t="shared" si="129"/>
        <v>107</v>
      </c>
      <c r="EG131" s="459">
        <f t="shared" si="129"/>
        <v>4</v>
      </c>
      <c r="EH131" s="461">
        <f t="shared" si="135"/>
        <v>173</v>
      </c>
      <c r="EI131" s="582">
        <f t="shared" si="135"/>
        <v>123</v>
      </c>
      <c r="EJ131" s="113">
        <f t="shared" si="135"/>
        <v>24</v>
      </c>
      <c r="EK131" s="113">
        <f t="shared" si="135"/>
        <v>8</v>
      </c>
      <c r="EL131" s="113">
        <f t="shared" si="135"/>
        <v>91</v>
      </c>
      <c r="EM131" s="460">
        <f t="shared" si="111"/>
        <v>0</v>
      </c>
      <c r="EN131" s="582">
        <f t="shared" si="111"/>
        <v>50</v>
      </c>
      <c r="EO131" s="113">
        <f t="shared" si="111"/>
        <v>2</v>
      </c>
      <c r="EP131" s="113">
        <f t="shared" si="111"/>
        <v>0</v>
      </c>
      <c r="EQ131" s="113">
        <f t="shared" si="111"/>
        <v>47</v>
      </c>
      <c r="ER131" s="459">
        <f t="shared" si="111"/>
        <v>1</v>
      </c>
    </row>
    <row r="132" spans="1:148">
      <c r="A132" s="466" t="s">
        <v>428</v>
      </c>
      <c r="B132" s="581">
        <v>45413</v>
      </c>
      <c r="C132" s="470">
        <v>2024</v>
      </c>
      <c r="D132" s="461">
        <f t="shared" si="121"/>
        <v>190530</v>
      </c>
      <c r="E132" s="461">
        <f t="shared" si="127"/>
        <v>14370</v>
      </c>
      <c r="F132" s="582">
        <f t="shared" si="127"/>
        <v>10462</v>
      </c>
      <c r="G132" s="113">
        <f t="shared" si="127"/>
        <v>2474</v>
      </c>
      <c r="H132" s="113">
        <f t="shared" si="127"/>
        <v>730</v>
      </c>
      <c r="I132" s="113">
        <f t="shared" si="127"/>
        <v>7209</v>
      </c>
      <c r="J132" s="460">
        <f t="shared" si="127"/>
        <v>49</v>
      </c>
      <c r="K132" s="582">
        <f t="shared" si="127"/>
        <v>3908</v>
      </c>
      <c r="L132" s="113">
        <f t="shared" si="127"/>
        <v>196</v>
      </c>
      <c r="M132" s="113">
        <f t="shared" si="127"/>
        <v>0</v>
      </c>
      <c r="N132" s="113">
        <f t="shared" si="127"/>
        <v>3578</v>
      </c>
      <c r="O132" s="459">
        <f t="shared" si="127"/>
        <v>134</v>
      </c>
      <c r="P132" s="461">
        <f t="shared" si="127"/>
        <v>32</v>
      </c>
      <c r="Q132" s="582">
        <f t="shared" si="127"/>
        <v>21</v>
      </c>
      <c r="R132" s="113">
        <f t="shared" si="127"/>
        <v>8</v>
      </c>
      <c r="S132" s="113">
        <f t="shared" si="127"/>
        <v>0</v>
      </c>
      <c r="T132" s="113">
        <f t="shared" ref="T132:AH138" si="138">SUMIFS(T$5:T$36,$B$5:$B$36,$A132)</f>
        <v>13</v>
      </c>
      <c r="U132" s="460">
        <f t="shared" si="138"/>
        <v>0</v>
      </c>
      <c r="V132" s="582">
        <f t="shared" si="138"/>
        <v>11</v>
      </c>
      <c r="W132" s="113">
        <f t="shared" si="138"/>
        <v>0</v>
      </c>
      <c r="X132" s="113">
        <f t="shared" si="138"/>
        <v>0</v>
      </c>
      <c r="Y132" s="113">
        <f t="shared" si="138"/>
        <v>11</v>
      </c>
      <c r="Z132" s="459">
        <f t="shared" si="138"/>
        <v>0</v>
      </c>
      <c r="AA132" s="461">
        <f t="shared" si="138"/>
        <v>10</v>
      </c>
      <c r="AB132" s="582">
        <f t="shared" si="138"/>
        <v>9</v>
      </c>
      <c r="AC132" s="113">
        <f t="shared" si="138"/>
        <v>1</v>
      </c>
      <c r="AD132" s="113">
        <f t="shared" si="138"/>
        <v>1</v>
      </c>
      <c r="AE132" s="113">
        <f t="shared" si="138"/>
        <v>7</v>
      </c>
      <c r="AF132" s="460">
        <f t="shared" si="138"/>
        <v>0</v>
      </c>
      <c r="AG132" s="582">
        <f t="shared" si="138"/>
        <v>1</v>
      </c>
      <c r="AH132" s="113">
        <f t="shared" si="136"/>
        <v>0</v>
      </c>
      <c r="AI132" s="113">
        <f t="shared" si="136"/>
        <v>0</v>
      </c>
      <c r="AJ132" s="113">
        <f t="shared" si="136"/>
        <v>1</v>
      </c>
      <c r="AK132" s="459">
        <f t="shared" si="136"/>
        <v>0</v>
      </c>
      <c r="AL132" s="461">
        <f t="shared" si="136"/>
        <v>173</v>
      </c>
      <c r="AM132" s="582">
        <f t="shared" si="136"/>
        <v>123</v>
      </c>
      <c r="AN132" s="113">
        <f t="shared" si="136"/>
        <v>24</v>
      </c>
      <c r="AO132" s="113">
        <f t="shared" si="136"/>
        <v>8</v>
      </c>
      <c r="AP132" s="113">
        <f t="shared" si="136"/>
        <v>91</v>
      </c>
      <c r="AQ132" s="460">
        <f t="shared" si="136"/>
        <v>0</v>
      </c>
      <c r="AR132" s="582">
        <f t="shared" si="136"/>
        <v>50</v>
      </c>
      <c r="AS132" s="113">
        <f t="shared" si="136"/>
        <v>2</v>
      </c>
      <c r="AT132" s="113">
        <f t="shared" si="136"/>
        <v>0</v>
      </c>
      <c r="AU132" s="113">
        <f t="shared" si="136"/>
        <v>47</v>
      </c>
      <c r="AV132" s="459">
        <f t="shared" si="136"/>
        <v>1</v>
      </c>
      <c r="AW132" s="461">
        <f t="shared" si="136"/>
        <v>98</v>
      </c>
      <c r="AX132" s="582">
        <f t="shared" si="136"/>
        <v>79</v>
      </c>
      <c r="AY132" s="113">
        <f t="shared" si="136"/>
        <v>17</v>
      </c>
      <c r="AZ132" s="113">
        <f t="shared" ref="AZ132:DK137" si="139">SUMIFS(AZ$5:AZ$36,$B$5:$B$36,$A132)</f>
        <v>4</v>
      </c>
      <c r="BA132" s="113">
        <f t="shared" si="139"/>
        <v>58</v>
      </c>
      <c r="BB132" s="460">
        <f t="shared" si="139"/>
        <v>0</v>
      </c>
      <c r="BC132" s="582">
        <f t="shared" si="139"/>
        <v>19</v>
      </c>
      <c r="BD132" s="113">
        <f t="shared" si="139"/>
        <v>0</v>
      </c>
      <c r="BE132" s="113">
        <f t="shared" si="139"/>
        <v>0</v>
      </c>
      <c r="BF132" s="113">
        <f t="shared" si="139"/>
        <v>17</v>
      </c>
      <c r="BG132" s="459">
        <f t="shared" si="139"/>
        <v>2</v>
      </c>
      <c r="BH132" s="461">
        <f t="shared" si="139"/>
        <v>115</v>
      </c>
      <c r="BI132" s="582">
        <f t="shared" si="139"/>
        <v>95</v>
      </c>
      <c r="BJ132" s="113">
        <f t="shared" si="139"/>
        <v>18</v>
      </c>
      <c r="BK132" s="113">
        <f t="shared" si="139"/>
        <v>5</v>
      </c>
      <c r="BL132" s="113">
        <f t="shared" si="139"/>
        <v>72</v>
      </c>
      <c r="BM132" s="460">
        <f t="shared" si="139"/>
        <v>0</v>
      </c>
      <c r="BN132" s="582">
        <f t="shared" si="139"/>
        <v>20</v>
      </c>
      <c r="BO132" s="113">
        <f t="shared" si="139"/>
        <v>0</v>
      </c>
      <c r="BP132" s="113">
        <f t="shared" si="139"/>
        <v>0</v>
      </c>
      <c r="BQ132" s="113">
        <f t="shared" si="139"/>
        <v>19</v>
      </c>
      <c r="BR132" s="459">
        <f t="shared" si="139"/>
        <v>1</v>
      </c>
      <c r="BS132" s="461">
        <f t="shared" si="139"/>
        <v>194</v>
      </c>
      <c r="BT132" s="582">
        <f t="shared" si="139"/>
        <v>146</v>
      </c>
      <c r="BU132" s="113">
        <f t="shared" si="139"/>
        <v>35</v>
      </c>
      <c r="BV132" s="113">
        <f t="shared" si="139"/>
        <v>2</v>
      </c>
      <c r="BW132" s="113">
        <f t="shared" si="139"/>
        <v>109</v>
      </c>
      <c r="BX132" s="460">
        <f t="shared" si="139"/>
        <v>0</v>
      </c>
      <c r="BY132" s="582">
        <f t="shared" si="139"/>
        <v>48</v>
      </c>
      <c r="BZ132" s="113">
        <f t="shared" si="139"/>
        <v>0</v>
      </c>
      <c r="CA132" s="113">
        <f t="shared" si="139"/>
        <v>0</v>
      </c>
      <c r="CB132" s="113">
        <f t="shared" si="139"/>
        <v>47</v>
      </c>
      <c r="CC132" s="459">
        <f t="shared" si="139"/>
        <v>1</v>
      </c>
      <c r="CD132" s="461">
        <f t="shared" si="139"/>
        <v>24</v>
      </c>
      <c r="CE132" s="582">
        <f t="shared" si="139"/>
        <v>19</v>
      </c>
      <c r="CF132" s="113">
        <f t="shared" si="139"/>
        <v>3</v>
      </c>
      <c r="CG132" s="113">
        <f t="shared" si="139"/>
        <v>1</v>
      </c>
      <c r="CH132" s="113">
        <f t="shared" si="139"/>
        <v>15</v>
      </c>
      <c r="CI132" s="460">
        <f t="shared" si="139"/>
        <v>0</v>
      </c>
      <c r="CJ132" s="582">
        <f t="shared" si="139"/>
        <v>5</v>
      </c>
      <c r="CK132" s="113">
        <f t="shared" si="139"/>
        <v>0</v>
      </c>
      <c r="CL132" s="113">
        <f t="shared" si="139"/>
        <v>0</v>
      </c>
      <c r="CM132" s="113">
        <f t="shared" si="139"/>
        <v>5</v>
      </c>
      <c r="CN132" s="459">
        <f t="shared" si="139"/>
        <v>0</v>
      </c>
      <c r="CO132" s="461">
        <f t="shared" si="139"/>
        <v>19</v>
      </c>
      <c r="CP132" s="582">
        <f t="shared" si="139"/>
        <v>14</v>
      </c>
      <c r="CQ132" s="113">
        <f t="shared" si="139"/>
        <v>4</v>
      </c>
      <c r="CR132" s="113">
        <f t="shared" si="139"/>
        <v>1</v>
      </c>
      <c r="CS132" s="113">
        <f t="shared" si="139"/>
        <v>9</v>
      </c>
      <c r="CT132" s="460">
        <f t="shared" si="139"/>
        <v>0</v>
      </c>
      <c r="CU132" s="582">
        <f t="shared" si="137"/>
        <v>5</v>
      </c>
      <c r="CV132" s="113">
        <f t="shared" si="137"/>
        <v>0</v>
      </c>
      <c r="CW132" s="113">
        <f t="shared" si="137"/>
        <v>0</v>
      </c>
      <c r="CX132" s="113">
        <f t="shared" si="137"/>
        <v>5</v>
      </c>
      <c r="CY132" s="459">
        <f t="shared" si="137"/>
        <v>0</v>
      </c>
      <c r="CZ132" s="461">
        <f t="shared" si="137"/>
        <v>4</v>
      </c>
      <c r="DA132" s="582">
        <f t="shared" si="137"/>
        <v>2</v>
      </c>
      <c r="DB132" s="113">
        <f t="shared" si="137"/>
        <v>0</v>
      </c>
      <c r="DC132" s="113">
        <f t="shared" si="137"/>
        <v>0</v>
      </c>
      <c r="DD132" s="113">
        <f t="shared" si="137"/>
        <v>2</v>
      </c>
      <c r="DE132" s="460">
        <f t="shared" si="137"/>
        <v>0</v>
      </c>
      <c r="DF132" s="582">
        <f t="shared" si="137"/>
        <v>2</v>
      </c>
      <c r="DG132" s="113">
        <f t="shared" si="137"/>
        <v>0</v>
      </c>
      <c r="DH132" s="113">
        <f t="shared" si="137"/>
        <v>0</v>
      </c>
      <c r="DI132" s="113">
        <f t="shared" si="137"/>
        <v>2</v>
      </c>
      <c r="DJ132" s="459">
        <f t="shared" si="137"/>
        <v>0</v>
      </c>
      <c r="DK132" s="461">
        <f t="shared" si="137"/>
        <v>3</v>
      </c>
      <c r="DL132" s="582">
        <f t="shared" si="137"/>
        <v>3</v>
      </c>
      <c r="DM132" s="113">
        <f t="shared" si="137"/>
        <v>0</v>
      </c>
      <c r="DN132" s="113">
        <f t="shared" si="137"/>
        <v>1</v>
      </c>
      <c r="DO132" s="113">
        <f t="shared" si="137"/>
        <v>2</v>
      </c>
      <c r="DP132" s="460">
        <f t="shared" si="137"/>
        <v>0</v>
      </c>
      <c r="DQ132" s="582">
        <f t="shared" si="137"/>
        <v>0</v>
      </c>
      <c r="DR132" s="113">
        <f t="shared" si="137"/>
        <v>0</v>
      </c>
      <c r="DS132" s="113">
        <f t="shared" si="137"/>
        <v>0</v>
      </c>
      <c r="DT132" s="113">
        <f t="shared" si="137"/>
        <v>0</v>
      </c>
      <c r="DU132" s="459">
        <f t="shared" si="130"/>
        <v>0</v>
      </c>
      <c r="DW132" s="461">
        <f t="shared" si="102"/>
        <v>499</v>
      </c>
      <c r="DX132" s="582">
        <f t="shared" si="102"/>
        <v>388</v>
      </c>
      <c r="DY132" s="113">
        <f t="shared" si="102"/>
        <v>86</v>
      </c>
      <c r="DZ132" s="113">
        <f t="shared" si="102"/>
        <v>15</v>
      </c>
      <c r="EA132" s="113">
        <f t="shared" si="129"/>
        <v>287</v>
      </c>
      <c r="EB132" s="460">
        <f t="shared" si="129"/>
        <v>0</v>
      </c>
      <c r="EC132" s="582">
        <f t="shared" si="129"/>
        <v>111</v>
      </c>
      <c r="ED132" s="113">
        <f t="shared" si="129"/>
        <v>0</v>
      </c>
      <c r="EE132" s="113">
        <f t="shared" si="129"/>
        <v>0</v>
      </c>
      <c r="EF132" s="113">
        <f t="shared" si="129"/>
        <v>107</v>
      </c>
      <c r="EG132" s="459">
        <f t="shared" si="129"/>
        <v>4</v>
      </c>
      <c r="EH132" s="461">
        <f t="shared" si="135"/>
        <v>173</v>
      </c>
      <c r="EI132" s="582">
        <f t="shared" si="135"/>
        <v>123</v>
      </c>
      <c r="EJ132" s="113">
        <f t="shared" si="135"/>
        <v>24</v>
      </c>
      <c r="EK132" s="113">
        <f t="shared" si="135"/>
        <v>8</v>
      </c>
      <c r="EL132" s="113">
        <f t="shared" si="135"/>
        <v>91</v>
      </c>
      <c r="EM132" s="460">
        <f t="shared" si="111"/>
        <v>0</v>
      </c>
      <c r="EN132" s="582">
        <f t="shared" si="111"/>
        <v>50</v>
      </c>
      <c r="EO132" s="113">
        <f t="shared" si="111"/>
        <v>2</v>
      </c>
      <c r="EP132" s="113">
        <f t="shared" si="111"/>
        <v>0</v>
      </c>
      <c r="EQ132" s="113">
        <f t="shared" si="111"/>
        <v>47</v>
      </c>
      <c r="ER132" s="459">
        <f t="shared" si="111"/>
        <v>1</v>
      </c>
    </row>
    <row r="133" spans="1:148">
      <c r="A133" s="466" t="s">
        <v>428</v>
      </c>
      <c r="B133" s="581">
        <v>45444</v>
      </c>
      <c r="C133" s="470">
        <v>2024</v>
      </c>
      <c r="D133" s="461">
        <f t="shared" ref="D133:T138" si="140">SUMIFS(D$5:D$36,$B$5:$B$36,$A133)</f>
        <v>190530</v>
      </c>
      <c r="E133" s="461">
        <f t="shared" si="140"/>
        <v>14370</v>
      </c>
      <c r="F133" s="582">
        <f t="shared" si="140"/>
        <v>10462</v>
      </c>
      <c r="G133" s="113">
        <f t="shared" si="140"/>
        <v>2474</v>
      </c>
      <c r="H133" s="113">
        <f t="shared" si="140"/>
        <v>730</v>
      </c>
      <c r="I133" s="113">
        <f t="shared" si="140"/>
        <v>7209</v>
      </c>
      <c r="J133" s="460">
        <f t="shared" si="140"/>
        <v>49</v>
      </c>
      <c r="K133" s="582">
        <f t="shared" si="140"/>
        <v>3908</v>
      </c>
      <c r="L133" s="113">
        <f t="shared" si="140"/>
        <v>196</v>
      </c>
      <c r="M133" s="113">
        <f t="shared" si="140"/>
        <v>0</v>
      </c>
      <c r="N133" s="113">
        <f t="shared" si="140"/>
        <v>3578</v>
      </c>
      <c r="O133" s="459">
        <f t="shared" si="140"/>
        <v>134</v>
      </c>
      <c r="P133" s="461">
        <f t="shared" si="140"/>
        <v>32</v>
      </c>
      <c r="Q133" s="582">
        <f t="shared" si="140"/>
        <v>21</v>
      </c>
      <c r="R133" s="113">
        <f t="shared" si="140"/>
        <v>8</v>
      </c>
      <c r="S133" s="113">
        <f t="shared" si="140"/>
        <v>0</v>
      </c>
      <c r="T133" s="113">
        <f t="shared" si="140"/>
        <v>13</v>
      </c>
      <c r="U133" s="460">
        <f t="shared" si="138"/>
        <v>0</v>
      </c>
      <c r="V133" s="582">
        <f t="shared" si="138"/>
        <v>11</v>
      </c>
      <c r="W133" s="113">
        <f t="shared" si="138"/>
        <v>0</v>
      </c>
      <c r="X133" s="113">
        <f t="shared" si="138"/>
        <v>0</v>
      </c>
      <c r="Y133" s="113">
        <f t="shared" si="138"/>
        <v>11</v>
      </c>
      <c r="Z133" s="459">
        <f t="shared" si="138"/>
        <v>0</v>
      </c>
      <c r="AA133" s="461">
        <f t="shared" si="138"/>
        <v>10</v>
      </c>
      <c r="AB133" s="582">
        <f t="shared" si="138"/>
        <v>9</v>
      </c>
      <c r="AC133" s="113">
        <f t="shared" si="138"/>
        <v>1</v>
      </c>
      <c r="AD133" s="113">
        <f t="shared" si="138"/>
        <v>1</v>
      </c>
      <c r="AE133" s="113">
        <f t="shared" si="138"/>
        <v>7</v>
      </c>
      <c r="AF133" s="460">
        <f t="shared" si="138"/>
        <v>0</v>
      </c>
      <c r="AG133" s="582">
        <f t="shared" si="138"/>
        <v>1</v>
      </c>
      <c r="AH133" s="113">
        <f t="shared" si="138"/>
        <v>0</v>
      </c>
      <c r="AI133" s="113">
        <f t="shared" si="136"/>
        <v>0</v>
      </c>
      <c r="AJ133" s="113">
        <f t="shared" si="136"/>
        <v>1</v>
      </c>
      <c r="AK133" s="459">
        <f t="shared" si="136"/>
        <v>0</v>
      </c>
      <c r="AL133" s="461">
        <f t="shared" si="136"/>
        <v>173</v>
      </c>
      <c r="AM133" s="582">
        <f t="shared" si="136"/>
        <v>123</v>
      </c>
      <c r="AN133" s="113">
        <f t="shared" si="136"/>
        <v>24</v>
      </c>
      <c r="AO133" s="113">
        <f t="shared" si="136"/>
        <v>8</v>
      </c>
      <c r="AP133" s="113">
        <f t="shared" si="136"/>
        <v>91</v>
      </c>
      <c r="AQ133" s="460">
        <f t="shared" si="136"/>
        <v>0</v>
      </c>
      <c r="AR133" s="582">
        <f t="shared" si="136"/>
        <v>50</v>
      </c>
      <c r="AS133" s="113">
        <f t="shared" si="136"/>
        <v>2</v>
      </c>
      <c r="AT133" s="113">
        <f t="shared" si="136"/>
        <v>0</v>
      </c>
      <c r="AU133" s="113">
        <f t="shared" si="136"/>
        <v>47</v>
      </c>
      <c r="AV133" s="459">
        <f t="shared" si="136"/>
        <v>1</v>
      </c>
      <c r="AW133" s="461">
        <f t="shared" si="136"/>
        <v>98</v>
      </c>
      <c r="AX133" s="582">
        <f t="shared" si="136"/>
        <v>79</v>
      </c>
      <c r="AY133" s="113">
        <f t="shared" si="136"/>
        <v>17</v>
      </c>
      <c r="AZ133" s="113">
        <f t="shared" si="139"/>
        <v>4</v>
      </c>
      <c r="BA133" s="113">
        <f t="shared" si="139"/>
        <v>58</v>
      </c>
      <c r="BB133" s="460">
        <f t="shared" si="139"/>
        <v>0</v>
      </c>
      <c r="BC133" s="582">
        <f t="shared" si="139"/>
        <v>19</v>
      </c>
      <c r="BD133" s="113">
        <f t="shared" si="139"/>
        <v>0</v>
      </c>
      <c r="BE133" s="113">
        <f t="shared" si="139"/>
        <v>0</v>
      </c>
      <c r="BF133" s="113">
        <f t="shared" si="139"/>
        <v>17</v>
      </c>
      <c r="BG133" s="459">
        <f t="shared" si="139"/>
        <v>2</v>
      </c>
      <c r="BH133" s="461">
        <f t="shared" si="139"/>
        <v>115</v>
      </c>
      <c r="BI133" s="582">
        <f t="shared" si="139"/>
        <v>95</v>
      </c>
      <c r="BJ133" s="113">
        <f t="shared" si="139"/>
        <v>18</v>
      </c>
      <c r="BK133" s="113">
        <f t="shared" si="139"/>
        <v>5</v>
      </c>
      <c r="BL133" s="113">
        <f t="shared" si="139"/>
        <v>72</v>
      </c>
      <c r="BM133" s="460">
        <f t="shared" si="139"/>
        <v>0</v>
      </c>
      <c r="BN133" s="582">
        <f t="shared" si="139"/>
        <v>20</v>
      </c>
      <c r="BO133" s="113">
        <f t="shared" si="139"/>
        <v>0</v>
      </c>
      <c r="BP133" s="113">
        <f t="shared" si="139"/>
        <v>0</v>
      </c>
      <c r="BQ133" s="113">
        <f t="shared" si="139"/>
        <v>19</v>
      </c>
      <c r="BR133" s="459">
        <f t="shared" si="139"/>
        <v>1</v>
      </c>
      <c r="BS133" s="461">
        <f t="shared" si="139"/>
        <v>194</v>
      </c>
      <c r="BT133" s="582">
        <f t="shared" si="139"/>
        <v>146</v>
      </c>
      <c r="BU133" s="113">
        <f t="shared" si="139"/>
        <v>35</v>
      </c>
      <c r="BV133" s="113">
        <f t="shared" si="139"/>
        <v>2</v>
      </c>
      <c r="BW133" s="113">
        <f t="shared" si="139"/>
        <v>109</v>
      </c>
      <c r="BX133" s="460">
        <f t="shared" si="139"/>
        <v>0</v>
      </c>
      <c r="BY133" s="582">
        <f t="shared" si="139"/>
        <v>48</v>
      </c>
      <c r="BZ133" s="113">
        <f t="shared" si="139"/>
        <v>0</v>
      </c>
      <c r="CA133" s="113">
        <f t="shared" si="139"/>
        <v>0</v>
      </c>
      <c r="CB133" s="113">
        <f t="shared" si="139"/>
        <v>47</v>
      </c>
      <c r="CC133" s="459">
        <f t="shared" si="139"/>
        <v>1</v>
      </c>
      <c r="CD133" s="461">
        <f t="shared" si="139"/>
        <v>24</v>
      </c>
      <c r="CE133" s="582">
        <f t="shared" si="139"/>
        <v>19</v>
      </c>
      <c r="CF133" s="113">
        <f t="shared" si="139"/>
        <v>3</v>
      </c>
      <c r="CG133" s="113">
        <f t="shared" si="139"/>
        <v>1</v>
      </c>
      <c r="CH133" s="113">
        <f t="shared" si="139"/>
        <v>15</v>
      </c>
      <c r="CI133" s="460">
        <f t="shared" si="139"/>
        <v>0</v>
      </c>
      <c r="CJ133" s="582">
        <f t="shared" si="139"/>
        <v>5</v>
      </c>
      <c r="CK133" s="113">
        <f t="shared" si="139"/>
        <v>0</v>
      </c>
      <c r="CL133" s="113">
        <f t="shared" si="139"/>
        <v>0</v>
      </c>
      <c r="CM133" s="113">
        <f t="shared" si="139"/>
        <v>5</v>
      </c>
      <c r="CN133" s="459">
        <f t="shared" si="139"/>
        <v>0</v>
      </c>
      <c r="CO133" s="461">
        <f t="shared" si="139"/>
        <v>19</v>
      </c>
      <c r="CP133" s="582">
        <f t="shared" si="139"/>
        <v>14</v>
      </c>
      <c r="CQ133" s="113">
        <f t="shared" si="139"/>
        <v>4</v>
      </c>
      <c r="CR133" s="113">
        <f t="shared" si="139"/>
        <v>1</v>
      </c>
      <c r="CS133" s="113">
        <f t="shared" si="139"/>
        <v>9</v>
      </c>
      <c r="CT133" s="460">
        <f t="shared" si="139"/>
        <v>0</v>
      </c>
      <c r="CU133" s="582">
        <f t="shared" si="137"/>
        <v>5</v>
      </c>
      <c r="CV133" s="113">
        <f t="shared" si="137"/>
        <v>0</v>
      </c>
      <c r="CW133" s="113">
        <f t="shared" si="137"/>
        <v>0</v>
      </c>
      <c r="CX133" s="113">
        <f t="shared" si="137"/>
        <v>5</v>
      </c>
      <c r="CY133" s="459">
        <f t="shared" si="137"/>
        <v>0</v>
      </c>
      <c r="CZ133" s="461">
        <f t="shared" si="137"/>
        <v>4</v>
      </c>
      <c r="DA133" s="582">
        <f t="shared" si="137"/>
        <v>2</v>
      </c>
      <c r="DB133" s="113">
        <f t="shared" si="137"/>
        <v>0</v>
      </c>
      <c r="DC133" s="113">
        <f t="shared" si="137"/>
        <v>0</v>
      </c>
      <c r="DD133" s="113">
        <f t="shared" si="137"/>
        <v>2</v>
      </c>
      <c r="DE133" s="460">
        <f t="shared" si="137"/>
        <v>0</v>
      </c>
      <c r="DF133" s="582">
        <f t="shared" si="137"/>
        <v>2</v>
      </c>
      <c r="DG133" s="113">
        <f t="shared" si="137"/>
        <v>0</v>
      </c>
      <c r="DH133" s="113">
        <f t="shared" si="137"/>
        <v>0</v>
      </c>
      <c r="DI133" s="113">
        <f t="shared" si="137"/>
        <v>2</v>
      </c>
      <c r="DJ133" s="459">
        <f t="shared" si="137"/>
        <v>0</v>
      </c>
      <c r="DK133" s="461">
        <f t="shared" si="137"/>
        <v>3</v>
      </c>
      <c r="DL133" s="582">
        <f t="shared" si="137"/>
        <v>3</v>
      </c>
      <c r="DM133" s="113">
        <f t="shared" si="137"/>
        <v>0</v>
      </c>
      <c r="DN133" s="113">
        <f t="shared" si="137"/>
        <v>1</v>
      </c>
      <c r="DO133" s="113">
        <f t="shared" si="137"/>
        <v>2</v>
      </c>
      <c r="DP133" s="460">
        <f t="shared" si="137"/>
        <v>0</v>
      </c>
      <c r="DQ133" s="582">
        <f t="shared" si="137"/>
        <v>0</v>
      </c>
      <c r="DR133" s="113">
        <f t="shared" si="137"/>
        <v>0</v>
      </c>
      <c r="DS133" s="113">
        <f t="shared" si="137"/>
        <v>0</v>
      </c>
      <c r="DT133" s="113">
        <f t="shared" si="137"/>
        <v>0</v>
      </c>
      <c r="DU133" s="459">
        <f t="shared" si="130"/>
        <v>0</v>
      </c>
      <c r="DW133" s="461">
        <f t="shared" si="102"/>
        <v>499</v>
      </c>
      <c r="DX133" s="582">
        <f t="shared" si="102"/>
        <v>388</v>
      </c>
      <c r="DY133" s="113">
        <f t="shared" si="102"/>
        <v>86</v>
      </c>
      <c r="DZ133" s="113">
        <f t="shared" si="102"/>
        <v>15</v>
      </c>
      <c r="EA133" s="113">
        <f t="shared" si="129"/>
        <v>287</v>
      </c>
      <c r="EB133" s="460">
        <f t="shared" si="129"/>
        <v>0</v>
      </c>
      <c r="EC133" s="582">
        <f t="shared" si="129"/>
        <v>111</v>
      </c>
      <c r="ED133" s="113">
        <f t="shared" si="129"/>
        <v>0</v>
      </c>
      <c r="EE133" s="113">
        <f t="shared" si="129"/>
        <v>0</v>
      </c>
      <c r="EF133" s="113">
        <f t="shared" si="129"/>
        <v>107</v>
      </c>
      <c r="EG133" s="459">
        <f t="shared" si="129"/>
        <v>4</v>
      </c>
      <c r="EH133" s="461">
        <f t="shared" si="135"/>
        <v>173</v>
      </c>
      <c r="EI133" s="582">
        <f t="shared" si="135"/>
        <v>123</v>
      </c>
      <c r="EJ133" s="113">
        <f t="shared" si="135"/>
        <v>24</v>
      </c>
      <c r="EK133" s="113">
        <f t="shared" si="135"/>
        <v>8</v>
      </c>
      <c r="EL133" s="113">
        <f t="shared" si="135"/>
        <v>91</v>
      </c>
      <c r="EM133" s="460">
        <f t="shared" si="111"/>
        <v>0</v>
      </c>
      <c r="EN133" s="582">
        <f t="shared" si="111"/>
        <v>50</v>
      </c>
      <c r="EO133" s="113">
        <f t="shared" si="111"/>
        <v>2</v>
      </c>
      <c r="EP133" s="113">
        <f t="shared" si="111"/>
        <v>0</v>
      </c>
      <c r="EQ133" s="113">
        <f t="shared" si="111"/>
        <v>47</v>
      </c>
      <c r="ER133" s="459">
        <f t="shared" si="111"/>
        <v>1</v>
      </c>
    </row>
    <row r="134" spans="1:148">
      <c r="A134" s="466" t="s">
        <v>429</v>
      </c>
      <c r="B134" s="581">
        <v>45474</v>
      </c>
      <c r="C134" s="470">
        <v>2024</v>
      </c>
      <c r="D134" s="461">
        <f t="shared" si="140"/>
        <v>182361</v>
      </c>
      <c r="E134" s="461">
        <f t="shared" si="140"/>
        <v>15946</v>
      </c>
      <c r="F134" s="582">
        <f t="shared" si="140"/>
        <v>11771</v>
      </c>
      <c r="G134" s="113">
        <f t="shared" si="140"/>
        <v>2542</v>
      </c>
      <c r="H134" s="113">
        <f t="shared" si="140"/>
        <v>967</v>
      </c>
      <c r="I134" s="113">
        <f t="shared" si="140"/>
        <v>8192</v>
      </c>
      <c r="J134" s="460">
        <f t="shared" si="140"/>
        <v>70</v>
      </c>
      <c r="K134" s="582">
        <f t="shared" si="140"/>
        <v>4175</v>
      </c>
      <c r="L134" s="113">
        <f t="shared" si="140"/>
        <v>435</v>
      </c>
      <c r="M134" s="113">
        <f t="shared" si="140"/>
        <v>0</v>
      </c>
      <c r="N134" s="113">
        <f t="shared" si="140"/>
        <v>3645</v>
      </c>
      <c r="O134" s="459">
        <f t="shared" si="140"/>
        <v>95</v>
      </c>
      <c r="P134" s="461">
        <f t="shared" si="140"/>
        <v>31</v>
      </c>
      <c r="Q134" s="582">
        <f t="shared" si="140"/>
        <v>20</v>
      </c>
      <c r="R134" s="113">
        <f t="shared" si="140"/>
        <v>4</v>
      </c>
      <c r="S134" s="113">
        <f t="shared" si="140"/>
        <v>3</v>
      </c>
      <c r="T134" s="113">
        <f t="shared" si="140"/>
        <v>13</v>
      </c>
      <c r="U134" s="460">
        <f t="shared" si="138"/>
        <v>0</v>
      </c>
      <c r="V134" s="582">
        <f t="shared" si="138"/>
        <v>11</v>
      </c>
      <c r="W134" s="113">
        <f t="shared" si="138"/>
        <v>2</v>
      </c>
      <c r="X134" s="113">
        <f t="shared" si="138"/>
        <v>0</v>
      </c>
      <c r="Y134" s="113">
        <f t="shared" si="138"/>
        <v>9</v>
      </c>
      <c r="Z134" s="459">
        <f t="shared" si="138"/>
        <v>0</v>
      </c>
      <c r="AA134" s="461">
        <f t="shared" si="138"/>
        <v>13</v>
      </c>
      <c r="AB134" s="582">
        <f t="shared" si="138"/>
        <v>11</v>
      </c>
      <c r="AC134" s="113">
        <f t="shared" si="138"/>
        <v>5</v>
      </c>
      <c r="AD134" s="113">
        <f t="shared" si="138"/>
        <v>0</v>
      </c>
      <c r="AE134" s="113">
        <f t="shared" si="138"/>
        <v>6</v>
      </c>
      <c r="AF134" s="460">
        <f t="shared" si="138"/>
        <v>0</v>
      </c>
      <c r="AG134" s="582">
        <f t="shared" si="138"/>
        <v>2</v>
      </c>
      <c r="AH134" s="113">
        <f t="shared" si="138"/>
        <v>0</v>
      </c>
      <c r="AI134" s="113">
        <f t="shared" si="136"/>
        <v>0</v>
      </c>
      <c r="AJ134" s="113">
        <f t="shared" si="136"/>
        <v>2</v>
      </c>
      <c r="AK134" s="459">
        <f t="shared" si="136"/>
        <v>0</v>
      </c>
      <c r="AL134" s="461">
        <f t="shared" si="136"/>
        <v>211</v>
      </c>
      <c r="AM134" s="582">
        <f t="shared" si="136"/>
        <v>160</v>
      </c>
      <c r="AN134" s="113">
        <f t="shared" si="136"/>
        <v>30</v>
      </c>
      <c r="AO134" s="113">
        <f t="shared" si="136"/>
        <v>22</v>
      </c>
      <c r="AP134" s="113">
        <f t="shared" si="136"/>
        <v>107</v>
      </c>
      <c r="AQ134" s="460">
        <f t="shared" si="136"/>
        <v>1</v>
      </c>
      <c r="AR134" s="582">
        <f t="shared" si="136"/>
        <v>51</v>
      </c>
      <c r="AS134" s="113">
        <f t="shared" si="136"/>
        <v>3</v>
      </c>
      <c r="AT134" s="113">
        <f t="shared" si="136"/>
        <v>0</v>
      </c>
      <c r="AU134" s="113">
        <f t="shared" si="136"/>
        <v>48</v>
      </c>
      <c r="AV134" s="459">
        <f t="shared" si="136"/>
        <v>0</v>
      </c>
      <c r="AW134" s="461">
        <f t="shared" si="136"/>
        <v>106</v>
      </c>
      <c r="AX134" s="582">
        <f t="shared" si="136"/>
        <v>84</v>
      </c>
      <c r="AY134" s="113">
        <f t="shared" si="136"/>
        <v>15</v>
      </c>
      <c r="AZ134" s="113">
        <f t="shared" si="139"/>
        <v>2</v>
      </c>
      <c r="BA134" s="113">
        <f t="shared" si="139"/>
        <v>67</v>
      </c>
      <c r="BB134" s="460">
        <f t="shared" si="139"/>
        <v>0</v>
      </c>
      <c r="BC134" s="582">
        <f t="shared" si="139"/>
        <v>22</v>
      </c>
      <c r="BD134" s="113">
        <f t="shared" si="139"/>
        <v>4</v>
      </c>
      <c r="BE134" s="113">
        <f t="shared" si="139"/>
        <v>0</v>
      </c>
      <c r="BF134" s="113">
        <f t="shared" si="139"/>
        <v>18</v>
      </c>
      <c r="BG134" s="459">
        <f t="shared" si="139"/>
        <v>0</v>
      </c>
      <c r="BH134" s="461">
        <f t="shared" si="139"/>
        <v>106</v>
      </c>
      <c r="BI134" s="582">
        <f t="shared" si="139"/>
        <v>77</v>
      </c>
      <c r="BJ134" s="113">
        <f t="shared" si="139"/>
        <v>14</v>
      </c>
      <c r="BK134" s="113">
        <f t="shared" si="139"/>
        <v>3</v>
      </c>
      <c r="BL134" s="113">
        <f t="shared" si="139"/>
        <v>58</v>
      </c>
      <c r="BM134" s="460">
        <f t="shared" si="139"/>
        <v>2</v>
      </c>
      <c r="BN134" s="582">
        <f t="shared" si="139"/>
        <v>29</v>
      </c>
      <c r="BO134" s="113">
        <f t="shared" si="139"/>
        <v>4</v>
      </c>
      <c r="BP134" s="113">
        <f t="shared" si="139"/>
        <v>0</v>
      </c>
      <c r="BQ134" s="113">
        <f t="shared" si="139"/>
        <v>25</v>
      </c>
      <c r="BR134" s="459">
        <f t="shared" si="139"/>
        <v>0</v>
      </c>
      <c r="BS134" s="461">
        <f t="shared" si="139"/>
        <v>188</v>
      </c>
      <c r="BT134" s="582">
        <f t="shared" si="139"/>
        <v>149</v>
      </c>
      <c r="BU134" s="113">
        <f t="shared" si="139"/>
        <v>31</v>
      </c>
      <c r="BV134" s="113">
        <f t="shared" si="139"/>
        <v>4</v>
      </c>
      <c r="BW134" s="113">
        <f t="shared" si="139"/>
        <v>113</v>
      </c>
      <c r="BX134" s="460">
        <f t="shared" si="139"/>
        <v>1</v>
      </c>
      <c r="BY134" s="582">
        <f t="shared" si="139"/>
        <v>39</v>
      </c>
      <c r="BZ134" s="113">
        <f t="shared" si="139"/>
        <v>2</v>
      </c>
      <c r="CA134" s="113">
        <f t="shared" si="139"/>
        <v>0</v>
      </c>
      <c r="CB134" s="113">
        <f t="shared" si="139"/>
        <v>36</v>
      </c>
      <c r="CC134" s="459">
        <f t="shared" si="139"/>
        <v>1</v>
      </c>
      <c r="CD134" s="461">
        <f t="shared" si="139"/>
        <v>19</v>
      </c>
      <c r="CE134" s="582">
        <f t="shared" si="139"/>
        <v>12</v>
      </c>
      <c r="CF134" s="113">
        <f t="shared" si="139"/>
        <v>0</v>
      </c>
      <c r="CG134" s="113">
        <f t="shared" si="139"/>
        <v>1</v>
      </c>
      <c r="CH134" s="113">
        <f t="shared" si="139"/>
        <v>11</v>
      </c>
      <c r="CI134" s="460">
        <f t="shared" si="139"/>
        <v>0</v>
      </c>
      <c r="CJ134" s="582">
        <f t="shared" si="139"/>
        <v>7</v>
      </c>
      <c r="CK134" s="113">
        <f t="shared" si="139"/>
        <v>0</v>
      </c>
      <c r="CL134" s="113">
        <f t="shared" si="139"/>
        <v>0</v>
      </c>
      <c r="CM134" s="113">
        <f t="shared" si="139"/>
        <v>7</v>
      </c>
      <c r="CN134" s="459">
        <f t="shared" si="139"/>
        <v>0</v>
      </c>
      <c r="CO134" s="461">
        <f t="shared" si="139"/>
        <v>20</v>
      </c>
      <c r="CP134" s="582">
        <f t="shared" si="139"/>
        <v>12</v>
      </c>
      <c r="CQ134" s="113">
        <f t="shared" si="139"/>
        <v>1</v>
      </c>
      <c r="CR134" s="113">
        <f t="shared" si="139"/>
        <v>2</v>
      </c>
      <c r="CS134" s="113">
        <f t="shared" si="139"/>
        <v>9</v>
      </c>
      <c r="CT134" s="460">
        <f t="shared" si="139"/>
        <v>0</v>
      </c>
      <c r="CU134" s="582">
        <f t="shared" si="137"/>
        <v>8</v>
      </c>
      <c r="CV134" s="113">
        <f t="shared" si="137"/>
        <v>0</v>
      </c>
      <c r="CW134" s="113">
        <f t="shared" si="137"/>
        <v>0</v>
      </c>
      <c r="CX134" s="113">
        <f t="shared" si="137"/>
        <v>8</v>
      </c>
      <c r="CY134" s="459">
        <f t="shared" si="137"/>
        <v>0</v>
      </c>
      <c r="CZ134" s="461">
        <f t="shared" si="137"/>
        <v>6</v>
      </c>
      <c r="DA134" s="582">
        <f t="shared" si="137"/>
        <v>5</v>
      </c>
      <c r="DB134" s="113">
        <f t="shared" si="137"/>
        <v>1</v>
      </c>
      <c r="DC134" s="113">
        <f t="shared" si="137"/>
        <v>2</v>
      </c>
      <c r="DD134" s="113">
        <f t="shared" si="137"/>
        <v>2</v>
      </c>
      <c r="DE134" s="460">
        <f t="shared" si="137"/>
        <v>0</v>
      </c>
      <c r="DF134" s="582">
        <f t="shared" si="137"/>
        <v>1</v>
      </c>
      <c r="DG134" s="113">
        <f t="shared" si="137"/>
        <v>0</v>
      </c>
      <c r="DH134" s="113">
        <f t="shared" si="137"/>
        <v>0</v>
      </c>
      <c r="DI134" s="113">
        <f t="shared" si="137"/>
        <v>1</v>
      </c>
      <c r="DJ134" s="459">
        <f t="shared" si="137"/>
        <v>0</v>
      </c>
      <c r="DK134" s="461">
        <f t="shared" si="137"/>
        <v>6</v>
      </c>
      <c r="DL134" s="582">
        <f t="shared" si="137"/>
        <v>4</v>
      </c>
      <c r="DM134" s="113">
        <f t="shared" si="137"/>
        <v>2</v>
      </c>
      <c r="DN134" s="113">
        <f t="shared" si="137"/>
        <v>0</v>
      </c>
      <c r="DO134" s="113">
        <f t="shared" si="137"/>
        <v>2</v>
      </c>
      <c r="DP134" s="460">
        <f t="shared" si="137"/>
        <v>0</v>
      </c>
      <c r="DQ134" s="582">
        <f t="shared" si="137"/>
        <v>2</v>
      </c>
      <c r="DR134" s="113">
        <f t="shared" si="137"/>
        <v>0</v>
      </c>
      <c r="DS134" s="113">
        <f t="shared" si="137"/>
        <v>0</v>
      </c>
      <c r="DT134" s="113">
        <f t="shared" si="137"/>
        <v>2</v>
      </c>
      <c r="DU134" s="459">
        <f t="shared" si="130"/>
        <v>0</v>
      </c>
      <c r="DW134" s="461">
        <f t="shared" si="102"/>
        <v>495</v>
      </c>
      <c r="DX134" s="582">
        <f t="shared" si="102"/>
        <v>374</v>
      </c>
      <c r="DY134" s="113">
        <f t="shared" si="102"/>
        <v>73</v>
      </c>
      <c r="DZ134" s="113">
        <f t="shared" si="102"/>
        <v>17</v>
      </c>
      <c r="EA134" s="113">
        <f t="shared" si="129"/>
        <v>281</v>
      </c>
      <c r="EB134" s="460">
        <f t="shared" si="129"/>
        <v>3</v>
      </c>
      <c r="EC134" s="582">
        <f t="shared" si="129"/>
        <v>121</v>
      </c>
      <c r="ED134" s="113">
        <f t="shared" si="129"/>
        <v>12</v>
      </c>
      <c r="EE134" s="113">
        <f t="shared" si="129"/>
        <v>0</v>
      </c>
      <c r="EF134" s="113">
        <f t="shared" si="129"/>
        <v>108</v>
      </c>
      <c r="EG134" s="459">
        <f t="shared" si="129"/>
        <v>1</v>
      </c>
      <c r="EH134" s="461">
        <f t="shared" si="135"/>
        <v>211</v>
      </c>
      <c r="EI134" s="582">
        <f t="shared" si="135"/>
        <v>160</v>
      </c>
      <c r="EJ134" s="113">
        <f t="shared" si="135"/>
        <v>30</v>
      </c>
      <c r="EK134" s="113">
        <f t="shared" si="135"/>
        <v>22</v>
      </c>
      <c r="EL134" s="113">
        <f t="shared" si="135"/>
        <v>107</v>
      </c>
      <c r="EM134" s="460">
        <f t="shared" si="111"/>
        <v>1</v>
      </c>
      <c r="EN134" s="582">
        <f t="shared" si="111"/>
        <v>51</v>
      </c>
      <c r="EO134" s="113">
        <f t="shared" si="111"/>
        <v>3</v>
      </c>
      <c r="EP134" s="113">
        <f t="shared" si="111"/>
        <v>0</v>
      </c>
      <c r="EQ134" s="113">
        <f t="shared" si="111"/>
        <v>48</v>
      </c>
      <c r="ER134" s="459">
        <f t="shared" si="111"/>
        <v>0</v>
      </c>
    </row>
    <row r="135" spans="1:148">
      <c r="A135" s="466" t="s">
        <v>429</v>
      </c>
      <c r="B135" s="581">
        <v>45505</v>
      </c>
      <c r="C135" s="470">
        <v>2024</v>
      </c>
      <c r="D135" s="461">
        <f t="shared" si="140"/>
        <v>182361</v>
      </c>
      <c r="E135" s="461">
        <f t="shared" si="140"/>
        <v>15946</v>
      </c>
      <c r="F135" s="582">
        <f t="shared" si="140"/>
        <v>11771</v>
      </c>
      <c r="G135" s="113">
        <f t="shared" si="140"/>
        <v>2542</v>
      </c>
      <c r="H135" s="113">
        <f t="shared" si="140"/>
        <v>967</v>
      </c>
      <c r="I135" s="113">
        <f t="shared" si="140"/>
        <v>8192</v>
      </c>
      <c r="J135" s="460">
        <f t="shared" si="140"/>
        <v>70</v>
      </c>
      <c r="K135" s="582">
        <f t="shared" si="140"/>
        <v>4175</v>
      </c>
      <c r="L135" s="113">
        <f t="shared" si="140"/>
        <v>435</v>
      </c>
      <c r="M135" s="113">
        <f t="shared" si="140"/>
        <v>0</v>
      </c>
      <c r="N135" s="113">
        <f t="shared" si="140"/>
        <v>3645</v>
      </c>
      <c r="O135" s="459">
        <f t="shared" si="140"/>
        <v>95</v>
      </c>
      <c r="P135" s="461">
        <f t="shared" si="140"/>
        <v>31</v>
      </c>
      <c r="Q135" s="582">
        <f t="shared" si="140"/>
        <v>20</v>
      </c>
      <c r="R135" s="113">
        <f t="shared" si="140"/>
        <v>4</v>
      </c>
      <c r="S135" s="113">
        <f t="shared" si="140"/>
        <v>3</v>
      </c>
      <c r="T135" s="113">
        <f t="shared" si="140"/>
        <v>13</v>
      </c>
      <c r="U135" s="460">
        <f t="shared" si="138"/>
        <v>0</v>
      </c>
      <c r="V135" s="582">
        <f t="shared" si="138"/>
        <v>11</v>
      </c>
      <c r="W135" s="113">
        <f t="shared" si="138"/>
        <v>2</v>
      </c>
      <c r="X135" s="113">
        <f t="shared" si="138"/>
        <v>0</v>
      </c>
      <c r="Y135" s="113">
        <f t="shared" si="138"/>
        <v>9</v>
      </c>
      <c r="Z135" s="459">
        <f t="shared" si="138"/>
        <v>0</v>
      </c>
      <c r="AA135" s="461">
        <f t="shared" si="138"/>
        <v>13</v>
      </c>
      <c r="AB135" s="582">
        <f t="shared" si="138"/>
        <v>11</v>
      </c>
      <c r="AC135" s="113">
        <f t="shared" si="138"/>
        <v>5</v>
      </c>
      <c r="AD135" s="113">
        <f t="shared" si="138"/>
        <v>0</v>
      </c>
      <c r="AE135" s="113">
        <f t="shared" si="138"/>
        <v>6</v>
      </c>
      <c r="AF135" s="460">
        <f t="shared" si="138"/>
        <v>0</v>
      </c>
      <c r="AG135" s="582">
        <f t="shared" si="138"/>
        <v>2</v>
      </c>
      <c r="AH135" s="113">
        <f t="shared" si="138"/>
        <v>0</v>
      </c>
      <c r="AI135" s="113">
        <f t="shared" si="136"/>
        <v>0</v>
      </c>
      <c r="AJ135" s="113">
        <f t="shared" si="136"/>
        <v>2</v>
      </c>
      <c r="AK135" s="459">
        <f t="shared" si="136"/>
        <v>0</v>
      </c>
      <c r="AL135" s="461">
        <f t="shared" si="136"/>
        <v>211</v>
      </c>
      <c r="AM135" s="582">
        <f t="shared" si="136"/>
        <v>160</v>
      </c>
      <c r="AN135" s="113">
        <f t="shared" si="136"/>
        <v>30</v>
      </c>
      <c r="AO135" s="113">
        <f t="shared" si="136"/>
        <v>22</v>
      </c>
      <c r="AP135" s="113">
        <f t="shared" si="136"/>
        <v>107</v>
      </c>
      <c r="AQ135" s="460">
        <f t="shared" si="136"/>
        <v>1</v>
      </c>
      <c r="AR135" s="582">
        <f t="shared" si="136"/>
        <v>51</v>
      </c>
      <c r="AS135" s="113">
        <f t="shared" si="136"/>
        <v>3</v>
      </c>
      <c r="AT135" s="113">
        <f t="shared" si="136"/>
        <v>0</v>
      </c>
      <c r="AU135" s="113">
        <f t="shared" si="136"/>
        <v>48</v>
      </c>
      <c r="AV135" s="459">
        <f t="shared" si="136"/>
        <v>0</v>
      </c>
      <c r="AW135" s="461">
        <f t="shared" si="136"/>
        <v>106</v>
      </c>
      <c r="AX135" s="582">
        <f t="shared" si="136"/>
        <v>84</v>
      </c>
      <c r="AY135" s="113">
        <f t="shared" si="136"/>
        <v>15</v>
      </c>
      <c r="AZ135" s="113">
        <f t="shared" si="139"/>
        <v>2</v>
      </c>
      <c r="BA135" s="113">
        <f t="shared" si="139"/>
        <v>67</v>
      </c>
      <c r="BB135" s="460">
        <f t="shared" si="139"/>
        <v>0</v>
      </c>
      <c r="BC135" s="582">
        <f t="shared" si="139"/>
        <v>22</v>
      </c>
      <c r="BD135" s="113">
        <f t="shared" si="139"/>
        <v>4</v>
      </c>
      <c r="BE135" s="113">
        <f t="shared" si="139"/>
        <v>0</v>
      </c>
      <c r="BF135" s="113">
        <f t="shared" si="139"/>
        <v>18</v>
      </c>
      <c r="BG135" s="459">
        <f t="shared" si="139"/>
        <v>0</v>
      </c>
      <c r="BH135" s="461">
        <f t="shared" si="139"/>
        <v>106</v>
      </c>
      <c r="BI135" s="582">
        <f t="shared" si="139"/>
        <v>77</v>
      </c>
      <c r="BJ135" s="113">
        <f t="shared" si="139"/>
        <v>14</v>
      </c>
      <c r="BK135" s="113">
        <f t="shared" si="139"/>
        <v>3</v>
      </c>
      <c r="BL135" s="113">
        <f t="shared" si="139"/>
        <v>58</v>
      </c>
      <c r="BM135" s="460">
        <f t="shared" si="139"/>
        <v>2</v>
      </c>
      <c r="BN135" s="582">
        <f t="shared" si="139"/>
        <v>29</v>
      </c>
      <c r="BO135" s="113">
        <f t="shared" si="139"/>
        <v>4</v>
      </c>
      <c r="BP135" s="113">
        <f t="shared" si="139"/>
        <v>0</v>
      </c>
      <c r="BQ135" s="113">
        <f t="shared" si="139"/>
        <v>25</v>
      </c>
      <c r="BR135" s="459">
        <f t="shared" si="139"/>
        <v>0</v>
      </c>
      <c r="BS135" s="461">
        <f t="shared" si="139"/>
        <v>188</v>
      </c>
      <c r="BT135" s="582">
        <f t="shared" si="139"/>
        <v>149</v>
      </c>
      <c r="BU135" s="113">
        <f t="shared" si="139"/>
        <v>31</v>
      </c>
      <c r="BV135" s="113">
        <f t="shared" si="139"/>
        <v>4</v>
      </c>
      <c r="BW135" s="113">
        <f t="shared" si="139"/>
        <v>113</v>
      </c>
      <c r="BX135" s="460">
        <f t="shared" si="139"/>
        <v>1</v>
      </c>
      <c r="BY135" s="582">
        <f t="shared" si="139"/>
        <v>39</v>
      </c>
      <c r="BZ135" s="113">
        <f t="shared" si="139"/>
        <v>2</v>
      </c>
      <c r="CA135" s="113">
        <f t="shared" si="139"/>
        <v>0</v>
      </c>
      <c r="CB135" s="113">
        <f t="shared" si="139"/>
        <v>36</v>
      </c>
      <c r="CC135" s="459">
        <f t="shared" si="139"/>
        <v>1</v>
      </c>
      <c r="CD135" s="461">
        <f t="shared" si="139"/>
        <v>19</v>
      </c>
      <c r="CE135" s="582">
        <f t="shared" si="139"/>
        <v>12</v>
      </c>
      <c r="CF135" s="113">
        <f t="shared" si="139"/>
        <v>0</v>
      </c>
      <c r="CG135" s="113">
        <f t="shared" si="139"/>
        <v>1</v>
      </c>
      <c r="CH135" s="113">
        <f t="shared" si="139"/>
        <v>11</v>
      </c>
      <c r="CI135" s="460">
        <f t="shared" si="139"/>
        <v>0</v>
      </c>
      <c r="CJ135" s="582">
        <f t="shared" si="139"/>
        <v>7</v>
      </c>
      <c r="CK135" s="113">
        <f t="shared" si="139"/>
        <v>0</v>
      </c>
      <c r="CL135" s="113">
        <f t="shared" si="139"/>
        <v>0</v>
      </c>
      <c r="CM135" s="113">
        <f t="shared" si="139"/>
        <v>7</v>
      </c>
      <c r="CN135" s="459">
        <f t="shared" si="139"/>
        <v>0</v>
      </c>
      <c r="CO135" s="461">
        <f t="shared" si="139"/>
        <v>20</v>
      </c>
      <c r="CP135" s="582">
        <f t="shared" si="139"/>
        <v>12</v>
      </c>
      <c r="CQ135" s="113">
        <f t="shared" si="139"/>
        <v>1</v>
      </c>
      <c r="CR135" s="113">
        <f t="shared" si="139"/>
        <v>2</v>
      </c>
      <c r="CS135" s="113">
        <f t="shared" si="139"/>
        <v>9</v>
      </c>
      <c r="CT135" s="460">
        <f t="shared" si="139"/>
        <v>0</v>
      </c>
      <c r="CU135" s="582">
        <f t="shared" si="139"/>
        <v>8</v>
      </c>
      <c r="CV135" s="113">
        <f t="shared" si="139"/>
        <v>0</v>
      </c>
      <c r="CW135" s="113">
        <f t="shared" si="139"/>
        <v>0</v>
      </c>
      <c r="CX135" s="113">
        <f t="shared" si="139"/>
        <v>8</v>
      </c>
      <c r="CY135" s="459">
        <f t="shared" si="139"/>
        <v>0</v>
      </c>
      <c r="CZ135" s="461">
        <f t="shared" si="139"/>
        <v>6</v>
      </c>
      <c r="DA135" s="582">
        <f t="shared" si="139"/>
        <v>5</v>
      </c>
      <c r="DB135" s="113">
        <f t="shared" si="139"/>
        <v>1</v>
      </c>
      <c r="DC135" s="113">
        <f t="shared" si="139"/>
        <v>2</v>
      </c>
      <c r="DD135" s="113">
        <f t="shared" si="139"/>
        <v>2</v>
      </c>
      <c r="DE135" s="460">
        <f t="shared" si="139"/>
        <v>0</v>
      </c>
      <c r="DF135" s="582">
        <f t="shared" si="139"/>
        <v>1</v>
      </c>
      <c r="DG135" s="113">
        <f t="shared" si="139"/>
        <v>0</v>
      </c>
      <c r="DH135" s="113">
        <f t="shared" si="139"/>
        <v>0</v>
      </c>
      <c r="DI135" s="113">
        <f t="shared" si="139"/>
        <v>1</v>
      </c>
      <c r="DJ135" s="459">
        <f t="shared" si="139"/>
        <v>0</v>
      </c>
      <c r="DK135" s="461">
        <f t="shared" si="139"/>
        <v>6</v>
      </c>
      <c r="DL135" s="582">
        <f t="shared" si="137"/>
        <v>4</v>
      </c>
      <c r="DM135" s="113">
        <f t="shared" si="137"/>
        <v>2</v>
      </c>
      <c r="DN135" s="113">
        <f t="shared" si="137"/>
        <v>0</v>
      </c>
      <c r="DO135" s="113">
        <f t="shared" si="137"/>
        <v>2</v>
      </c>
      <c r="DP135" s="460">
        <f t="shared" si="137"/>
        <v>0</v>
      </c>
      <c r="DQ135" s="582">
        <f t="shared" si="137"/>
        <v>2</v>
      </c>
      <c r="DR135" s="113">
        <f t="shared" si="137"/>
        <v>0</v>
      </c>
      <c r="DS135" s="113">
        <f t="shared" si="137"/>
        <v>0</v>
      </c>
      <c r="DT135" s="113">
        <f t="shared" si="137"/>
        <v>2</v>
      </c>
      <c r="DU135" s="459">
        <f t="shared" si="130"/>
        <v>0</v>
      </c>
      <c r="DW135" s="461">
        <f t="shared" si="102"/>
        <v>495</v>
      </c>
      <c r="DX135" s="582">
        <f t="shared" si="102"/>
        <v>374</v>
      </c>
      <c r="DY135" s="113">
        <f t="shared" si="102"/>
        <v>73</v>
      </c>
      <c r="DZ135" s="113">
        <f t="shared" si="102"/>
        <v>17</v>
      </c>
      <c r="EA135" s="113">
        <f t="shared" si="129"/>
        <v>281</v>
      </c>
      <c r="EB135" s="460">
        <f t="shared" si="129"/>
        <v>3</v>
      </c>
      <c r="EC135" s="582">
        <f t="shared" si="129"/>
        <v>121</v>
      </c>
      <c r="ED135" s="113">
        <f t="shared" si="129"/>
        <v>12</v>
      </c>
      <c r="EE135" s="113">
        <f t="shared" si="129"/>
        <v>0</v>
      </c>
      <c r="EF135" s="113">
        <f t="shared" si="129"/>
        <v>108</v>
      </c>
      <c r="EG135" s="459">
        <f t="shared" si="129"/>
        <v>1</v>
      </c>
      <c r="EH135" s="461">
        <f t="shared" si="135"/>
        <v>211</v>
      </c>
      <c r="EI135" s="582">
        <f t="shared" si="135"/>
        <v>160</v>
      </c>
      <c r="EJ135" s="113">
        <f t="shared" si="135"/>
        <v>30</v>
      </c>
      <c r="EK135" s="113">
        <f t="shared" si="135"/>
        <v>22</v>
      </c>
      <c r="EL135" s="113">
        <f t="shared" si="135"/>
        <v>107</v>
      </c>
      <c r="EM135" s="460">
        <f t="shared" si="111"/>
        <v>1</v>
      </c>
      <c r="EN135" s="582">
        <f t="shared" si="111"/>
        <v>51</v>
      </c>
      <c r="EO135" s="113">
        <f t="shared" si="111"/>
        <v>3</v>
      </c>
      <c r="EP135" s="113">
        <f t="shared" ref="EP135:ER210" si="141">AT135</f>
        <v>0</v>
      </c>
      <c r="EQ135" s="113">
        <f t="shared" si="141"/>
        <v>48</v>
      </c>
      <c r="ER135" s="459">
        <f t="shared" si="141"/>
        <v>0</v>
      </c>
    </row>
    <row r="136" spans="1:148">
      <c r="A136" s="466" t="s">
        <v>429</v>
      </c>
      <c r="B136" s="581">
        <v>45536</v>
      </c>
      <c r="C136" s="470">
        <v>2024</v>
      </c>
      <c r="D136" s="461">
        <f t="shared" si="140"/>
        <v>182361</v>
      </c>
      <c r="E136" s="461">
        <f t="shared" si="140"/>
        <v>15946</v>
      </c>
      <c r="F136" s="582">
        <f t="shared" si="140"/>
        <v>11771</v>
      </c>
      <c r="G136" s="113">
        <f t="shared" si="140"/>
        <v>2542</v>
      </c>
      <c r="H136" s="113">
        <f t="shared" si="140"/>
        <v>967</v>
      </c>
      <c r="I136" s="113">
        <f t="shared" si="140"/>
        <v>8192</v>
      </c>
      <c r="J136" s="460">
        <f t="shared" si="140"/>
        <v>70</v>
      </c>
      <c r="K136" s="582">
        <f t="shared" si="140"/>
        <v>4175</v>
      </c>
      <c r="L136" s="113">
        <f t="shared" si="140"/>
        <v>435</v>
      </c>
      <c r="M136" s="113">
        <f t="shared" si="140"/>
        <v>0</v>
      </c>
      <c r="N136" s="113">
        <f t="shared" si="140"/>
        <v>3645</v>
      </c>
      <c r="O136" s="459">
        <f t="shared" si="140"/>
        <v>95</v>
      </c>
      <c r="P136" s="461">
        <f t="shared" si="140"/>
        <v>31</v>
      </c>
      <c r="Q136" s="582">
        <f t="shared" si="140"/>
        <v>20</v>
      </c>
      <c r="R136" s="113">
        <f t="shared" si="140"/>
        <v>4</v>
      </c>
      <c r="S136" s="113">
        <f t="shared" si="140"/>
        <v>3</v>
      </c>
      <c r="T136" s="113">
        <f t="shared" si="140"/>
        <v>13</v>
      </c>
      <c r="U136" s="460">
        <f t="shared" si="138"/>
        <v>0</v>
      </c>
      <c r="V136" s="582">
        <f t="shared" si="138"/>
        <v>11</v>
      </c>
      <c r="W136" s="113">
        <f t="shared" si="138"/>
        <v>2</v>
      </c>
      <c r="X136" s="113">
        <f t="shared" si="138"/>
        <v>0</v>
      </c>
      <c r="Y136" s="113">
        <f t="shared" si="138"/>
        <v>9</v>
      </c>
      <c r="Z136" s="459">
        <f t="shared" si="138"/>
        <v>0</v>
      </c>
      <c r="AA136" s="461">
        <f t="shared" si="138"/>
        <v>13</v>
      </c>
      <c r="AB136" s="582">
        <f t="shared" si="138"/>
        <v>11</v>
      </c>
      <c r="AC136" s="113">
        <f t="shared" si="138"/>
        <v>5</v>
      </c>
      <c r="AD136" s="113">
        <f t="shared" si="138"/>
        <v>0</v>
      </c>
      <c r="AE136" s="113">
        <f t="shared" si="138"/>
        <v>6</v>
      </c>
      <c r="AF136" s="460">
        <f t="shared" si="138"/>
        <v>0</v>
      </c>
      <c r="AG136" s="582">
        <f t="shared" si="138"/>
        <v>2</v>
      </c>
      <c r="AH136" s="113">
        <f t="shared" si="138"/>
        <v>0</v>
      </c>
      <c r="AI136" s="113">
        <f t="shared" si="136"/>
        <v>0</v>
      </c>
      <c r="AJ136" s="113">
        <f t="shared" si="136"/>
        <v>2</v>
      </c>
      <c r="AK136" s="459">
        <f t="shared" si="136"/>
        <v>0</v>
      </c>
      <c r="AL136" s="461">
        <f t="shared" si="136"/>
        <v>211</v>
      </c>
      <c r="AM136" s="582">
        <f t="shared" si="136"/>
        <v>160</v>
      </c>
      <c r="AN136" s="113">
        <f t="shared" si="136"/>
        <v>30</v>
      </c>
      <c r="AO136" s="113">
        <f t="shared" si="136"/>
        <v>22</v>
      </c>
      <c r="AP136" s="113">
        <f t="shared" si="136"/>
        <v>107</v>
      </c>
      <c r="AQ136" s="460">
        <f t="shared" si="136"/>
        <v>1</v>
      </c>
      <c r="AR136" s="582">
        <f t="shared" si="136"/>
        <v>51</v>
      </c>
      <c r="AS136" s="113">
        <f t="shared" si="136"/>
        <v>3</v>
      </c>
      <c r="AT136" s="113">
        <f t="shared" si="136"/>
        <v>0</v>
      </c>
      <c r="AU136" s="113">
        <f t="shared" si="136"/>
        <v>48</v>
      </c>
      <c r="AV136" s="459">
        <f t="shared" si="136"/>
        <v>0</v>
      </c>
      <c r="AW136" s="461">
        <f t="shared" si="136"/>
        <v>106</v>
      </c>
      <c r="AX136" s="582">
        <f t="shared" si="136"/>
        <v>84</v>
      </c>
      <c r="AY136" s="113">
        <f t="shared" si="136"/>
        <v>15</v>
      </c>
      <c r="AZ136" s="113">
        <f t="shared" si="139"/>
        <v>2</v>
      </c>
      <c r="BA136" s="113">
        <f t="shared" si="139"/>
        <v>67</v>
      </c>
      <c r="BB136" s="460">
        <f t="shared" si="139"/>
        <v>0</v>
      </c>
      <c r="BC136" s="582">
        <f t="shared" si="139"/>
        <v>22</v>
      </c>
      <c r="BD136" s="113">
        <f t="shared" si="139"/>
        <v>4</v>
      </c>
      <c r="BE136" s="113">
        <f t="shared" si="139"/>
        <v>0</v>
      </c>
      <c r="BF136" s="113">
        <f t="shared" si="139"/>
        <v>18</v>
      </c>
      <c r="BG136" s="459">
        <f t="shared" si="139"/>
        <v>0</v>
      </c>
      <c r="BH136" s="461">
        <f t="shared" si="139"/>
        <v>106</v>
      </c>
      <c r="BI136" s="582">
        <f t="shared" si="139"/>
        <v>77</v>
      </c>
      <c r="BJ136" s="113">
        <f t="shared" si="139"/>
        <v>14</v>
      </c>
      <c r="BK136" s="113">
        <f t="shared" si="139"/>
        <v>3</v>
      </c>
      <c r="BL136" s="113">
        <f t="shared" si="139"/>
        <v>58</v>
      </c>
      <c r="BM136" s="460">
        <f t="shared" si="139"/>
        <v>2</v>
      </c>
      <c r="BN136" s="582">
        <f t="shared" si="139"/>
        <v>29</v>
      </c>
      <c r="BO136" s="113">
        <f t="shared" si="139"/>
        <v>4</v>
      </c>
      <c r="BP136" s="113">
        <f t="shared" si="139"/>
        <v>0</v>
      </c>
      <c r="BQ136" s="113">
        <f t="shared" si="139"/>
        <v>25</v>
      </c>
      <c r="BR136" s="459">
        <f t="shared" si="139"/>
        <v>0</v>
      </c>
      <c r="BS136" s="461">
        <f t="shared" si="139"/>
        <v>188</v>
      </c>
      <c r="BT136" s="582">
        <f t="shared" si="139"/>
        <v>149</v>
      </c>
      <c r="BU136" s="113">
        <f t="shared" si="139"/>
        <v>31</v>
      </c>
      <c r="BV136" s="113">
        <f t="shared" si="139"/>
        <v>4</v>
      </c>
      <c r="BW136" s="113">
        <f t="shared" si="139"/>
        <v>113</v>
      </c>
      <c r="BX136" s="460">
        <f t="shared" si="139"/>
        <v>1</v>
      </c>
      <c r="BY136" s="582">
        <f t="shared" si="139"/>
        <v>39</v>
      </c>
      <c r="BZ136" s="113">
        <f t="shared" si="139"/>
        <v>2</v>
      </c>
      <c r="CA136" s="113">
        <f t="shared" si="139"/>
        <v>0</v>
      </c>
      <c r="CB136" s="113">
        <f t="shared" si="139"/>
        <v>36</v>
      </c>
      <c r="CC136" s="459">
        <f t="shared" si="139"/>
        <v>1</v>
      </c>
      <c r="CD136" s="461">
        <f t="shared" si="139"/>
        <v>19</v>
      </c>
      <c r="CE136" s="582">
        <f t="shared" si="139"/>
        <v>12</v>
      </c>
      <c r="CF136" s="113">
        <f t="shared" si="139"/>
        <v>0</v>
      </c>
      <c r="CG136" s="113">
        <f t="shared" si="139"/>
        <v>1</v>
      </c>
      <c r="CH136" s="113">
        <f t="shared" si="139"/>
        <v>11</v>
      </c>
      <c r="CI136" s="460">
        <f t="shared" si="139"/>
        <v>0</v>
      </c>
      <c r="CJ136" s="582">
        <f t="shared" si="139"/>
        <v>7</v>
      </c>
      <c r="CK136" s="113">
        <f t="shared" si="139"/>
        <v>0</v>
      </c>
      <c r="CL136" s="113">
        <f t="shared" si="139"/>
        <v>0</v>
      </c>
      <c r="CM136" s="113">
        <f t="shared" si="139"/>
        <v>7</v>
      </c>
      <c r="CN136" s="459">
        <f t="shared" si="139"/>
        <v>0</v>
      </c>
      <c r="CO136" s="461">
        <f t="shared" si="139"/>
        <v>20</v>
      </c>
      <c r="CP136" s="582">
        <f t="shared" si="139"/>
        <v>12</v>
      </c>
      <c r="CQ136" s="113">
        <f t="shared" si="139"/>
        <v>1</v>
      </c>
      <c r="CR136" s="113">
        <f t="shared" si="139"/>
        <v>2</v>
      </c>
      <c r="CS136" s="113">
        <f t="shared" si="139"/>
        <v>9</v>
      </c>
      <c r="CT136" s="460">
        <f t="shared" si="139"/>
        <v>0</v>
      </c>
      <c r="CU136" s="582">
        <f t="shared" si="137"/>
        <v>8</v>
      </c>
      <c r="CV136" s="113">
        <f t="shared" si="137"/>
        <v>0</v>
      </c>
      <c r="CW136" s="113">
        <f t="shared" si="137"/>
        <v>0</v>
      </c>
      <c r="CX136" s="113">
        <f t="shared" si="137"/>
        <v>8</v>
      </c>
      <c r="CY136" s="459">
        <f t="shared" si="137"/>
        <v>0</v>
      </c>
      <c r="CZ136" s="461">
        <f t="shared" si="137"/>
        <v>6</v>
      </c>
      <c r="DA136" s="582">
        <f t="shared" si="137"/>
        <v>5</v>
      </c>
      <c r="DB136" s="113">
        <f t="shared" si="137"/>
        <v>1</v>
      </c>
      <c r="DC136" s="113">
        <f t="shared" si="137"/>
        <v>2</v>
      </c>
      <c r="DD136" s="113">
        <f t="shared" si="137"/>
        <v>2</v>
      </c>
      <c r="DE136" s="460">
        <f t="shared" si="137"/>
        <v>0</v>
      </c>
      <c r="DF136" s="582">
        <f t="shared" si="137"/>
        <v>1</v>
      </c>
      <c r="DG136" s="113">
        <f t="shared" si="137"/>
        <v>0</v>
      </c>
      <c r="DH136" s="113">
        <f t="shared" si="137"/>
        <v>0</v>
      </c>
      <c r="DI136" s="113">
        <f t="shared" si="137"/>
        <v>1</v>
      </c>
      <c r="DJ136" s="459">
        <f t="shared" si="137"/>
        <v>0</v>
      </c>
      <c r="DK136" s="461">
        <f t="shared" si="137"/>
        <v>6</v>
      </c>
      <c r="DL136" s="582">
        <f t="shared" si="137"/>
        <v>4</v>
      </c>
      <c r="DM136" s="113">
        <f t="shared" si="137"/>
        <v>2</v>
      </c>
      <c r="DN136" s="113">
        <f t="shared" si="137"/>
        <v>0</v>
      </c>
      <c r="DO136" s="113">
        <f t="shared" si="137"/>
        <v>2</v>
      </c>
      <c r="DP136" s="460">
        <f t="shared" si="137"/>
        <v>0</v>
      </c>
      <c r="DQ136" s="582">
        <f t="shared" si="137"/>
        <v>2</v>
      </c>
      <c r="DR136" s="113">
        <f t="shared" si="137"/>
        <v>0</v>
      </c>
      <c r="DS136" s="113">
        <f t="shared" si="137"/>
        <v>0</v>
      </c>
      <c r="DT136" s="113">
        <f t="shared" si="137"/>
        <v>2</v>
      </c>
      <c r="DU136" s="459">
        <f t="shared" si="130"/>
        <v>0</v>
      </c>
      <c r="DW136" s="461">
        <f t="shared" si="102"/>
        <v>495</v>
      </c>
      <c r="DX136" s="582">
        <f t="shared" si="102"/>
        <v>374</v>
      </c>
      <c r="DY136" s="113">
        <f t="shared" si="102"/>
        <v>73</v>
      </c>
      <c r="DZ136" s="113">
        <f t="shared" si="102"/>
        <v>17</v>
      </c>
      <c r="EA136" s="113">
        <f t="shared" si="129"/>
        <v>281</v>
      </c>
      <c r="EB136" s="460">
        <f t="shared" si="129"/>
        <v>3</v>
      </c>
      <c r="EC136" s="582">
        <f t="shared" si="129"/>
        <v>121</v>
      </c>
      <c r="ED136" s="113">
        <f t="shared" si="129"/>
        <v>12</v>
      </c>
      <c r="EE136" s="113">
        <f t="shared" si="129"/>
        <v>0</v>
      </c>
      <c r="EF136" s="113">
        <f t="shared" si="129"/>
        <v>108</v>
      </c>
      <c r="EG136" s="459">
        <f t="shared" si="129"/>
        <v>1</v>
      </c>
      <c r="EH136" s="461">
        <f t="shared" si="135"/>
        <v>211</v>
      </c>
      <c r="EI136" s="582">
        <f t="shared" si="135"/>
        <v>160</v>
      </c>
      <c r="EJ136" s="113">
        <f t="shared" si="135"/>
        <v>30</v>
      </c>
      <c r="EK136" s="113">
        <f t="shared" si="135"/>
        <v>22</v>
      </c>
      <c r="EL136" s="113">
        <f t="shared" si="135"/>
        <v>107</v>
      </c>
      <c r="EM136" s="460">
        <f t="shared" si="135"/>
        <v>1</v>
      </c>
      <c r="EN136" s="582">
        <f t="shared" si="135"/>
        <v>51</v>
      </c>
      <c r="EO136" s="113">
        <f t="shared" si="135"/>
        <v>3</v>
      </c>
      <c r="EP136" s="113">
        <f t="shared" si="141"/>
        <v>0</v>
      </c>
      <c r="EQ136" s="113">
        <f t="shared" si="141"/>
        <v>48</v>
      </c>
      <c r="ER136" s="459">
        <f t="shared" si="141"/>
        <v>0</v>
      </c>
    </row>
    <row r="137" spans="1:148">
      <c r="A137" s="466" t="s">
        <v>430</v>
      </c>
      <c r="B137" s="581">
        <v>45566</v>
      </c>
      <c r="C137" s="470">
        <v>2024</v>
      </c>
      <c r="D137" s="461">
        <f t="shared" si="140"/>
        <v>163345</v>
      </c>
      <c r="E137" s="461">
        <f t="shared" si="140"/>
        <v>15251</v>
      </c>
      <c r="F137" s="582">
        <f t="shared" si="140"/>
        <v>11282</v>
      </c>
      <c r="G137" s="113">
        <f t="shared" si="140"/>
        <v>1816</v>
      </c>
      <c r="H137" s="113">
        <f t="shared" si="140"/>
        <v>1914</v>
      </c>
      <c r="I137" s="113">
        <f t="shared" si="140"/>
        <v>7442</v>
      </c>
      <c r="J137" s="460">
        <f t="shared" si="140"/>
        <v>110</v>
      </c>
      <c r="K137" s="582">
        <f t="shared" si="140"/>
        <v>3969</v>
      </c>
      <c r="L137" s="113">
        <f t="shared" si="140"/>
        <v>341</v>
      </c>
      <c r="M137" s="113">
        <f t="shared" si="140"/>
        <v>0</v>
      </c>
      <c r="N137" s="113">
        <f t="shared" si="140"/>
        <v>3574</v>
      </c>
      <c r="O137" s="459">
        <f t="shared" si="140"/>
        <v>54</v>
      </c>
      <c r="P137" s="461">
        <f t="shared" si="140"/>
        <v>27</v>
      </c>
      <c r="Q137" s="582">
        <f t="shared" si="140"/>
        <v>15</v>
      </c>
      <c r="R137" s="113">
        <f t="shared" si="140"/>
        <v>3</v>
      </c>
      <c r="S137" s="113">
        <f t="shared" si="140"/>
        <v>1</v>
      </c>
      <c r="T137" s="113">
        <f t="shared" si="140"/>
        <v>10</v>
      </c>
      <c r="U137" s="460">
        <f t="shared" si="138"/>
        <v>1</v>
      </c>
      <c r="V137" s="582">
        <f t="shared" si="138"/>
        <v>12</v>
      </c>
      <c r="W137" s="113">
        <f t="shared" si="138"/>
        <v>0</v>
      </c>
      <c r="X137" s="113">
        <f t="shared" si="138"/>
        <v>0</v>
      </c>
      <c r="Y137" s="113">
        <f t="shared" si="138"/>
        <v>12</v>
      </c>
      <c r="Z137" s="459">
        <f t="shared" si="138"/>
        <v>0</v>
      </c>
      <c r="AA137" s="461">
        <f t="shared" si="138"/>
        <v>24</v>
      </c>
      <c r="AB137" s="582">
        <f t="shared" si="138"/>
        <v>18</v>
      </c>
      <c r="AC137" s="113">
        <f t="shared" si="138"/>
        <v>3</v>
      </c>
      <c r="AD137" s="113">
        <f t="shared" si="138"/>
        <v>4</v>
      </c>
      <c r="AE137" s="113">
        <f t="shared" si="138"/>
        <v>10</v>
      </c>
      <c r="AF137" s="460">
        <f t="shared" si="138"/>
        <v>1</v>
      </c>
      <c r="AG137" s="582">
        <f t="shared" si="138"/>
        <v>6</v>
      </c>
      <c r="AH137" s="113">
        <f t="shared" si="138"/>
        <v>0</v>
      </c>
      <c r="AI137" s="113">
        <f t="shared" si="136"/>
        <v>0</v>
      </c>
      <c r="AJ137" s="113">
        <f t="shared" si="136"/>
        <v>6</v>
      </c>
      <c r="AK137" s="459">
        <f t="shared" si="136"/>
        <v>0</v>
      </c>
      <c r="AL137" s="461">
        <f t="shared" si="136"/>
        <v>202</v>
      </c>
      <c r="AM137" s="582">
        <f t="shared" si="136"/>
        <v>147</v>
      </c>
      <c r="AN137" s="113">
        <f t="shared" si="136"/>
        <v>28</v>
      </c>
      <c r="AO137" s="113">
        <f t="shared" si="136"/>
        <v>32</v>
      </c>
      <c r="AP137" s="113">
        <f t="shared" si="136"/>
        <v>86</v>
      </c>
      <c r="AQ137" s="460">
        <f t="shared" si="136"/>
        <v>1</v>
      </c>
      <c r="AR137" s="582">
        <f t="shared" si="136"/>
        <v>55</v>
      </c>
      <c r="AS137" s="113">
        <f t="shared" si="136"/>
        <v>3</v>
      </c>
      <c r="AT137" s="113">
        <f t="shared" si="136"/>
        <v>0</v>
      </c>
      <c r="AU137" s="113">
        <f t="shared" si="136"/>
        <v>52</v>
      </c>
      <c r="AV137" s="459">
        <f t="shared" si="136"/>
        <v>0</v>
      </c>
      <c r="AW137" s="461">
        <f t="shared" si="136"/>
        <v>119</v>
      </c>
      <c r="AX137" s="582">
        <f t="shared" si="136"/>
        <v>99</v>
      </c>
      <c r="AY137" s="113">
        <f t="shared" si="136"/>
        <v>14</v>
      </c>
      <c r="AZ137" s="113">
        <f t="shared" si="139"/>
        <v>13</v>
      </c>
      <c r="BA137" s="113">
        <f t="shared" si="139"/>
        <v>71</v>
      </c>
      <c r="BB137" s="460">
        <f t="shared" si="139"/>
        <v>1</v>
      </c>
      <c r="BC137" s="582">
        <f t="shared" ref="BC137:CT137" si="142">SUMIFS(BC$5:BC$36,$B$5:$B$36,$A137)</f>
        <v>20</v>
      </c>
      <c r="BD137" s="113">
        <f t="shared" si="142"/>
        <v>0</v>
      </c>
      <c r="BE137" s="113">
        <f t="shared" si="142"/>
        <v>0</v>
      </c>
      <c r="BF137" s="113">
        <f t="shared" si="142"/>
        <v>20</v>
      </c>
      <c r="BG137" s="459">
        <f t="shared" si="142"/>
        <v>0</v>
      </c>
      <c r="BH137" s="461">
        <f t="shared" si="142"/>
        <v>129</v>
      </c>
      <c r="BI137" s="582">
        <f t="shared" si="142"/>
        <v>100</v>
      </c>
      <c r="BJ137" s="113">
        <f t="shared" si="142"/>
        <v>15</v>
      </c>
      <c r="BK137" s="113">
        <f t="shared" si="142"/>
        <v>16</v>
      </c>
      <c r="BL137" s="113">
        <f t="shared" si="142"/>
        <v>69</v>
      </c>
      <c r="BM137" s="460">
        <f t="shared" si="142"/>
        <v>0</v>
      </c>
      <c r="BN137" s="582">
        <f t="shared" si="142"/>
        <v>29</v>
      </c>
      <c r="BO137" s="113">
        <f t="shared" si="142"/>
        <v>4</v>
      </c>
      <c r="BP137" s="113">
        <f t="shared" si="142"/>
        <v>0</v>
      </c>
      <c r="BQ137" s="113">
        <f t="shared" si="142"/>
        <v>25</v>
      </c>
      <c r="BR137" s="459">
        <f t="shared" si="142"/>
        <v>0</v>
      </c>
      <c r="BS137" s="461">
        <f t="shared" si="142"/>
        <v>174</v>
      </c>
      <c r="BT137" s="582">
        <f t="shared" si="142"/>
        <v>135</v>
      </c>
      <c r="BU137" s="113">
        <f t="shared" si="142"/>
        <v>18</v>
      </c>
      <c r="BV137" s="113">
        <f t="shared" si="142"/>
        <v>7</v>
      </c>
      <c r="BW137" s="113">
        <f t="shared" si="142"/>
        <v>110</v>
      </c>
      <c r="BX137" s="460">
        <f t="shared" si="142"/>
        <v>0</v>
      </c>
      <c r="BY137" s="582">
        <f t="shared" si="142"/>
        <v>39</v>
      </c>
      <c r="BZ137" s="113">
        <f t="shared" si="142"/>
        <v>2</v>
      </c>
      <c r="CA137" s="113">
        <f t="shared" si="142"/>
        <v>0</v>
      </c>
      <c r="CB137" s="113">
        <f t="shared" si="142"/>
        <v>36</v>
      </c>
      <c r="CC137" s="459">
        <f t="shared" si="142"/>
        <v>1</v>
      </c>
      <c r="CD137" s="461">
        <f t="shared" si="142"/>
        <v>24</v>
      </c>
      <c r="CE137" s="582">
        <f t="shared" si="142"/>
        <v>20</v>
      </c>
      <c r="CF137" s="113">
        <f t="shared" si="142"/>
        <v>2</v>
      </c>
      <c r="CG137" s="113">
        <f t="shared" si="142"/>
        <v>5</v>
      </c>
      <c r="CH137" s="113">
        <f t="shared" si="142"/>
        <v>13</v>
      </c>
      <c r="CI137" s="460">
        <f t="shared" si="142"/>
        <v>0</v>
      </c>
      <c r="CJ137" s="582">
        <f t="shared" si="142"/>
        <v>4</v>
      </c>
      <c r="CK137" s="113">
        <f t="shared" si="142"/>
        <v>0</v>
      </c>
      <c r="CL137" s="113">
        <f t="shared" si="142"/>
        <v>0</v>
      </c>
      <c r="CM137" s="113">
        <f t="shared" si="142"/>
        <v>4</v>
      </c>
      <c r="CN137" s="459">
        <f t="shared" si="142"/>
        <v>0</v>
      </c>
      <c r="CO137" s="461">
        <f t="shared" si="142"/>
        <v>26</v>
      </c>
      <c r="CP137" s="582">
        <f t="shared" si="142"/>
        <v>16</v>
      </c>
      <c r="CQ137" s="113">
        <f t="shared" si="142"/>
        <v>4</v>
      </c>
      <c r="CR137" s="113">
        <f t="shared" si="142"/>
        <v>0</v>
      </c>
      <c r="CS137" s="113">
        <f t="shared" si="142"/>
        <v>12</v>
      </c>
      <c r="CT137" s="460">
        <f t="shared" si="142"/>
        <v>0</v>
      </c>
      <c r="CU137" s="582">
        <f t="shared" si="137"/>
        <v>10</v>
      </c>
      <c r="CV137" s="113">
        <f t="shared" si="137"/>
        <v>0</v>
      </c>
      <c r="CW137" s="113">
        <f t="shared" si="137"/>
        <v>0</v>
      </c>
      <c r="CX137" s="113">
        <f t="shared" si="137"/>
        <v>10</v>
      </c>
      <c r="CY137" s="459">
        <f t="shared" si="137"/>
        <v>0</v>
      </c>
      <c r="CZ137" s="461">
        <f t="shared" si="137"/>
        <v>6</v>
      </c>
      <c r="DA137" s="582">
        <f t="shared" si="137"/>
        <v>4</v>
      </c>
      <c r="DB137" s="113">
        <f t="shared" si="137"/>
        <v>0</v>
      </c>
      <c r="DC137" s="113">
        <f t="shared" si="137"/>
        <v>1</v>
      </c>
      <c r="DD137" s="113">
        <f t="shared" si="137"/>
        <v>3</v>
      </c>
      <c r="DE137" s="460">
        <f t="shared" si="137"/>
        <v>0</v>
      </c>
      <c r="DF137" s="582">
        <f t="shared" si="137"/>
        <v>2</v>
      </c>
      <c r="DG137" s="113">
        <f t="shared" si="137"/>
        <v>0</v>
      </c>
      <c r="DH137" s="113">
        <f t="shared" si="137"/>
        <v>0</v>
      </c>
      <c r="DI137" s="113">
        <f t="shared" si="137"/>
        <v>2</v>
      </c>
      <c r="DJ137" s="459">
        <f t="shared" si="137"/>
        <v>0</v>
      </c>
      <c r="DK137" s="461">
        <f t="shared" si="137"/>
        <v>4</v>
      </c>
      <c r="DL137" s="582">
        <f t="shared" si="137"/>
        <v>3</v>
      </c>
      <c r="DM137" s="113">
        <f t="shared" si="137"/>
        <v>0</v>
      </c>
      <c r="DN137" s="113">
        <f t="shared" si="137"/>
        <v>1</v>
      </c>
      <c r="DO137" s="113">
        <f t="shared" si="137"/>
        <v>2</v>
      </c>
      <c r="DP137" s="460">
        <f t="shared" si="137"/>
        <v>0</v>
      </c>
      <c r="DQ137" s="582">
        <f t="shared" si="137"/>
        <v>1</v>
      </c>
      <c r="DR137" s="113">
        <f t="shared" si="137"/>
        <v>0</v>
      </c>
      <c r="DS137" s="113">
        <f t="shared" si="137"/>
        <v>0</v>
      </c>
      <c r="DT137" s="113">
        <f t="shared" si="137"/>
        <v>1</v>
      </c>
      <c r="DU137" s="459">
        <f t="shared" si="137"/>
        <v>0</v>
      </c>
      <c r="DW137" s="461">
        <f t="shared" si="102"/>
        <v>533</v>
      </c>
      <c r="DX137" s="582">
        <f t="shared" si="102"/>
        <v>410</v>
      </c>
      <c r="DY137" s="113">
        <f t="shared" si="102"/>
        <v>59</v>
      </c>
      <c r="DZ137" s="113">
        <f t="shared" si="102"/>
        <v>48</v>
      </c>
      <c r="EA137" s="113">
        <f t="shared" si="129"/>
        <v>300</v>
      </c>
      <c r="EB137" s="460">
        <f t="shared" si="129"/>
        <v>3</v>
      </c>
      <c r="EC137" s="582">
        <f t="shared" si="129"/>
        <v>123</v>
      </c>
      <c r="ED137" s="113">
        <f t="shared" si="129"/>
        <v>6</v>
      </c>
      <c r="EE137" s="113">
        <f t="shared" si="129"/>
        <v>0</v>
      </c>
      <c r="EF137" s="113">
        <f t="shared" si="129"/>
        <v>116</v>
      </c>
      <c r="EG137" s="459">
        <f t="shared" si="129"/>
        <v>1</v>
      </c>
      <c r="EH137" s="461">
        <f t="shared" si="135"/>
        <v>202</v>
      </c>
      <c r="EI137" s="582">
        <f t="shared" si="135"/>
        <v>147</v>
      </c>
      <c r="EJ137" s="113">
        <f t="shared" si="135"/>
        <v>28</v>
      </c>
      <c r="EK137" s="113">
        <f t="shared" si="135"/>
        <v>32</v>
      </c>
      <c r="EL137" s="113">
        <f t="shared" si="135"/>
        <v>86</v>
      </c>
      <c r="EM137" s="460">
        <f t="shared" si="135"/>
        <v>1</v>
      </c>
      <c r="EN137" s="582">
        <f t="shared" si="135"/>
        <v>55</v>
      </c>
      <c r="EO137" s="113">
        <f t="shared" si="135"/>
        <v>3</v>
      </c>
      <c r="EP137" s="113">
        <f t="shared" si="141"/>
        <v>0</v>
      </c>
      <c r="EQ137" s="113">
        <f t="shared" si="141"/>
        <v>52</v>
      </c>
      <c r="ER137" s="459">
        <f t="shared" si="141"/>
        <v>0</v>
      </c>
    </row>
    <row r="138" spans="1:148">
      <c r="A138" s="466" t="s">
        <v>430</v>
      </c>
      <c r="B138" s="581">
        <v>45597</v>
      </c>
      <c r="C138" s="470">
        <v>2024</v>
      </c>
      <c r="D138" s="461">
        <f>SUMIFS(D$5:D$36,$B$5:$B$36,$A138)</f>
        <v>163345</v>
      </c>
      <c r="E138" s="461">
        <f t="shared" si="140"/>
        <v>15251</v>
      </c>
      <c r="F138" s="582">
        <f t="shared" si="140"/>
        <v>11282</v>
      </c>
      <c r="G138" s="113">
        <f t="shared" si="140"/>
        <v>1816</v>
      </c>
      <c r="H138" s="113">
        <f t="shared" si="140"/>
        <v>1914</v>
      </c>
      <c r="I138" s="113">
        <f t="shared" si="140"/>
        <v>7442</v>
      </c>
      <c r="J138" s="460">
        <f t="shared" si="140"/>
        <v>110</v>
      </c>
      <c r="K138" s="582">
        <f t="shared" si="140"/>
        <v>3969</v>
      </c>
      <c r="L138" s="113">
        <f t="shared" si="140"/>
        <v>341</v>
      </c>
      <c r="M138" s="113">
        <f t="shared" si="140"/>
        <v>0</v>
      </c>
      <c r="N138" s="113">
        <f t="shared" si="140"/>
        <v>3574</v>
      </c>
      <c r="O138" s="459">
        <f t="shared" si="140"/>
        <v>54</v>
      </c>
      <c r="P138" s="461">
        <f t="shared" si="140"/>
        <v>27</v>
      </c>
      <c r="Q138" s="582">
        <f t="shared" si="140"/>
        <v>15</v>
      </c>
      <c r="R138" s="113">
        <f t="shared" si="140"/>
        <v>3</v>
      </c>
      <c r="S138" s="113">
        <f t="shared" si="140"/>
        <v>1</v>
      </c>
      <c r="T138" s="113">
        <f t="shared" si="140"/>
        <v>10</v>
      </c>
      <c r="U138" s="460">
        <f t="shared" si="138"/>
        <v>1</v>
      </c>
      <c r="V138" s="582">
        <f t="shared" si="138"/>
        <v>12</v>
      </c>
      <c r="W138" s="113">
        <f t="shared" si="138"/>
        <v>0</v>
      </c>
      <c r="X138" s="113">
        <f t="shared" si="138"/>
        <v>0</v>
      </c>
      <c r="Y138" s="113">
        <f t="shared" si="138"/>
        <v>12</v>
      </c>
      <c r="Z138" s="459">
        <f t="shared" si="138"/>
        <v>0</v>
      </c>
      <c r="AA138" s="461">
        <f t="shared" si="138"/>
        <v>24</v>
      </c>
      <c r="AB138" s="582">
        <f t="shared" si="138"/>
        <v>18</v>
      </c>
      <c r="AC138" s="113">
        <f t="shared" si="138"/>
        <v>3</v>
      </c>
      <c r="AD138" s="113">
        <f t="shared" si="138"/>
        <v>4</v>
      </c>
      <c r="AE138" s="113">
        <f t="shared" si="138"/>
        <v>10</v>
      </c>
      <c r="AF138" s="460">
        <f t="shared" si="138"/>
        <v>1</v>
      </c>
      <c r="AG138" s="582">
        <f t="shared" si="138"/>
        <v>6</v>
      </c>
      <c r="AH138" s="113">
        <f t="shared" si="138"/>
        <v>0</v>
      </c>
      <c r="AI138" s="113">
        <f t="shared" si="136"/>
        <v>0</v>
      </c>
      <c r="AJ138" s="113">
        <f t="shared" si="136"/>
        <v>6</v>
      </c>
      <c r="AK138" s="459">
        <f t="shared" si="136"/>
        <v>0</v>
      </c>
      <c r="AL138" s="461">
        <f t="shared" si="136"/>
        <v>202</v>
      </c>
      <c r="AM138" s="582">
        <f t="shared" si="136"/>
        <v>147</v>
      </c>
      <c r="AN138" s="113">
        <f t="shared" si="136"/>
        <v>28</v>
      </c>
      <c r="AO138" s="113">
        <f t="shared" si="136"/>
        <v>32</v>
      </c>
      <c r="AP138" s="113">
        <f t="shared" si="136"/>
        <v>86</v>
      </c>
      <c r="AQ138" s="460">
        <f t="shared" si="136"/>
        <v>1</v>
      </c>
      <c r="AR138" s="582">
        <f t="shared" si="136"/>
        <v>55</v>
      </c>
      <c r="AS138" s="113">
        <f t="shared" si="136"/>
        <v>3</v>
      </c>
      <c r="AT138" s="113">
        <f t="shared" si="136"/>
        <v>0</v>
      </c>
      <c r="AU138" s="113">
        <f t="shared" si="136"/>
        <v>52</v>
      </c>
      <c r="AV138" s="459">
        <f t="shared" si="136"/>
        <v>0</v>
      </c>
      <c r="AW138" s="461">
        <f t="shared" si="136"/>
        <v>119</v>
      </c>
      <c r="AX138" s="582">
        <f t="shared" si="136"/>
        <v>99</v>
      </c>
      <c r="AY138" s="113">
        <f t="shared" si="136"/>
        <v>14</v>
      </c>
      <c r="AZ138" s="113">
        <f t="shared" ref="AZ138:CT138" si="143">SUMIFS(AZ$5:AZ$36,$B$5:$B$36,$A138)</f>
        <v>13</v>
      </c>
      <c r="BA138" s="113">
        <f t="shared" si="143"/>
        <v>71</v>
      </c>
      <c r="BB138" s="460">
        <f t="shared" si="143"/>
        <v>1</v>
      </c>
      <c r="BC138" s="582">
        <f t="shared" si="143"/>
        <v>20</v>
      </c>
      <c r="BD138" s="113">
        <f t="shared" si="143"/>
        <v>0</v>
      </c>
      <c r="BE138" s="113">
        <f t="shared" si="143"/>
        <v>0</v>
      </c>
      <c r="BF138" s="113">
        <f t="shared" si="143"/>
        <v>20</v>
      </c>
      <c r="BG138" s="459">
        <f t="shared" si="143"/>
        <v>0</v>
      </c>
      <c r="BH138" s="461">
        <f t="shared" si="143"/>
        <v>129</v>
      </c>
      <c r="BI138" s="582">
        <f t="shared" si="143"/>
        <v>100</v>
      </c>
      <c r="BJ138" s="113">
        <f t="shared" si="143"/>
        <v>15</v>
      </c>
      <c r="BK138" s="113">
        <f t="shared" si="143"/>
        <v>16</v>
      </c>
      <c r="BL138" s="113">
        <f t="shared" si="143"/>
        <v>69</v>
      </c>
      <c r="BM138" s="460">
        <f t="shared" si="143"/>
        <v>0</v>
      </c>
      <c r="BN138" s="582">
        <f t="shared" si="143"/>
        <v>29</v>
      </c>
      <c r="BO138" s="113">
        <f t="shared" si="143"/>
        <v>4</v>
      </c>
      <c r="BP138" s="113">
        <f t="shared" si="143"/>
        <v>0</v>
      </c>
      <c r="BQ138" s="113">
        <f t="shared" si="143"/>
        <v>25</v>
      </c>
      <c r="BR138" s="459">
        <f t="shared" si="143"/>
        <v>0</v>
      </c>
      <c r="BS138" s="461">
        <f t="shared" si="143"/>
        <v>174</v>
      </c>
      <c r="BT138" s="582">
        <f t="shared" si="143"/>
        <v>135</v>
      </c>
      <c r="BU138" s="113">
        <f t="shared" si="143"/>
        <v>18</v>
      </c>
      <c r="BV138" s="113">
        <f t="shared" si="143"/>
        <v>7</v>
      </c>
      <c r="BW138" s="113">
        <f t="shared" si="143"/>
        <v>110</v>
      </c>
      <c r="BX138" s="460">
        <f t="shared" si="143"/>
        <v>0</v>
      </c>
      <c r="BY138" s="582">
        <f t="shared" si="143"/>
        <v>39</v>
      </c>
      <c r="BZ138" s="113">
        <f t="shared" si="143"/>
        <v>2</v>
      </c>
      <c r="CA138" s="113">
        <f t="shared" si="143"/>
        <v>0</v>
      </c>
      <c r="CB138" s="113">
        <f t="shared" si="143"/>
        <v>36</v>
      </c>
      <c r="CC138" s="459">
        <f t="shared" si="143"/>
        <v>1</v>
      </c>
      <c r="CD138" s="461">
        <f t="shared" si="143"/>
        <v>24</v>
      </c>
      <c r="CE138" s="582">
        <f t="shared" si="143"/>
        <v>20</v>
      </c>
      <c r="CF138" s="113">
        <f t="shared" si="143"/>
        <v>2</v>
      </c>
      <c r="CG138" s="113">
        <f t="shared" si="143"/>
        <v>5</v>
      </c>
      <c r="CH138" s="113">
        <f t="shared" si="143"/>
        <v>13</v>
      </c>
      <c r="CI138" s="460">
        <f t="shared" si="143"/>
        <v>0</v>
      </c>
      <c r="CJ138" s="582">
        <f t="shared" si="143"/>
        <v>4</v>
      </c>
      <c r="CK138" s="113">
        <f t="shared" si="143"/>
        <v>0</v>
      </c>
      <c r="CL138" s="113">
        <f t="shared" si="143"/>
        <v>0</v>
      </c>
      <c r="CM138" s="113">
        <f t="shared" si="143"/>
        <v>4</v>
      </c>
      <c r="CN138" s="459">
        <f t="shared" si="143"/>
        <v>0</v>
      </c>
      <c r="CO138" s="461">
        <f t="shared" si="143"/>
        <v>26</v>
      </c>
      <c r="CP138" s="582">
        <f t="shared" si="143"/>
        <v>16</v>
      </c>
      <c r="CQ138" s="113">
        <f t="shared" si="143"/>
        <v>4</v>
      </c>
      <c r="CR138" s="113">
        <f t="shared" si="143"/>
        <v>0</v>
      </c>
      <c r="CS138" s="113">
        <f t="shared" si="143"/>
        <v>12</v>
      </c>
      <c r="CT138" s="460">
        <f t="shared" si="143"/>
        <v>0</v>
      </c>
      <c r="CU138" s="582">
        <f t="shared" si="137"/>
        <v>10</v>
      </c>
      <c r="CV138" s="113">
        <f t="shared" si="137"/>
        <v>0</v>
      </c>
      <c r="CW138" s="113">
        <f t="shared" si="137"/>
        <v>0</v>
      </c>
      <c r="CX138" s="113">
        <f t="shared" si="137"/>
        <v>10</v>
      </c>
      <c r="CY138" s="459">
        <f t="shared" si="137"/>
        <v>0</v>
      </c>
      <c r="CZ138" s="461">
        <f t="shared" si="137"/>
        <v>6</v>
      </c>
      <c r="DA138" s="582">
        <f t="shared" si="137"/>
        <v>4</v>
      </c>
      <c r="DB138" s="113">
        <f t="shared" si="137"/>
        <v>0</v>
      </c>
      <c r="DC138" s="113">
        <f t="shared" si="137"/>
        <v>1</v>
      </c>
      <c r="DD138" s="113">
        <f t="shared" si="137"/>
        <v>3</v>
      </c>
      <c r="DE138" s="460">
        <f t="shared" si="137"/>
        <v>0</v>
      </c>
      <c r="DF138" s="582">
        <f t="shared" si="137"/>
        <v>2</v>
      </c>
      <c r="DG138" s="113">
        <f t="shared" si="137"/>
        <v>0</v>
      </c>
      <c r="DH138" s="113">
        <f t="shared" si="137"/>
        <v>0</v>
      </c>
      <c r="DI138" s="113">
        <f t="shared" si="137"/>
        <v>2</v>
      </c>
      <c r="DJ138" s="459">
        <f t="shared" si="137"/>
        <v>0</v>
      </c>
      <c r="DK138" s="461">
        <f t="shared" si="137"/>
        <v>4</v>
      </c>
      <c r="DL138" s="582">
        <f t="shared" si="137"/>
        <v>3</v>
      </c>
      <c r="DM138" s="113">
        <f t="shared" si="137"/>
        <v>0</v>
      </c>
      <c r="DN138" s="113">
        <f t="shared" si="137"/>
        <v>1</v>
      </c>
      <c r="DO138" s="113">
        <f t="shared" si="137"/>
        <v>2</v>
      </c>
      <c r="DP138" s="460">
        <f t="shared" si="137"/>
        <v>0</v>
      </c>
      <c r="DQ138" s="582">
        <f t="shared" si="137"/>
        <v>1</v>
      </c>
      <c r="DR138" s="113">
        <f t="shared" si="137"/>
        <v>0</v>
      </c>
      <c r="DS138" s="113">
        <f t="shared" si="137"/>
        <v>0</v>
      </c>
      <c r="DT138" s="113">
        <f t="shared" si="137"/>
        <v>1</v>
      </c>
      <c r="DU138" s="459">
        <f t="shared" si="137"/>
        <v>0</v>
      </c>
      <c r="DW138" s="461">
        <f t="shared" si="102"/>
        <v>533</v>
      </c>
      <c r="DX138" s="582">
        <f t="shared" si="102"/>
        <v>410</v>
      </c>
      <c r="DY138" s="113">
        <f t="shared" si="102"/>
        <v>59</v>
      </c>
      <c r="DZ138" s="113">
        <f t="shared" si="102"/>
        <v>48</v>
      </c>
      <c r="EA138" s="113">
        <f t="shared" si="129"/>
        <v>300</v>
      </c>
      <c r="EB138" s="460">
        <f t="shared" si="129"/>
        <v>3</v>
      </c>
      <c r="EC138" s="582">
        <f t="shared" si="129"/>
        <v>123</v>
      </c>
      <c r="ED138" s="113">
        <f t="shared" si="129"/>
        <v>6</v>
      </c>
      <c r="EE138" s="113">
        <f t="shared" si="129"/>
        <v>0</v>
      </c>
      <c r="EF138" s="113">
        <f t="shared" si="129"/>
        <v>116</v>
      </c>
      <c r="EG138" s="459">
        <f t="shared" si="129"/>
        <v>1</v>
      </c>
      <c r="EH138" s="461">
        <f t="shared" si="135"/>
        <v>202</v>
      </c>
      <c r="EI138" s="582">
        <f t="shared" si="135"/>
        <v>147</v>
      </c>
      <c r="EJ138" s="113">
        <f t="shared" si="135"/>
        <v>28</v>
      </c>
      <c r="EK138" s="113">
        <f t="shared" si="135"/>
        <v>32</v>
      </c>
      <c r="EL138" s="113">
        <f t="shared" si="135"/>
        <v>86</v>
      </c>
      <c r="EM138" s="460">
        <f t="shared" si="135"/>
        <v>1</v>
      </c>
      <c r="EN138" s="582">
        <f t="shared" si="135"/>
        <v>55</v>
      </c>
      <c r="EO138" s="113">
        <f t="shared" si="135"/>
        <v>3</v>
      </c>
      <c r="EP138" s="113">
        <f t="shared" si="141"/>
        <v>0</v>
      </c>
      <c r="EQ138" s="113">
        <f t="shared" si="141"/>
        <v>52</v>
      </c>
      <c r="ER138" s="459">
        <f t="shared" si="141"/>
        <v>0</v>
      </c>
    </row>
    <row r="139" spans="1:148">
      <c r="A139" s="466" t="s">
        <v>430</v>
      </c>
      <c r="B139" s="581">
        <v>45627</v>
      </c>
      <c r="C139" s="470">
        <v>2024</v>
      </c>
      <c r="D139" s="461">
        <f>SUMIFS(D$5:D$41,$B$5:$B$41,$A139)</f>
        <v>163345</v>
      </c>
      <c r="E139" s="461">
        <f t="shared" ref="E139:BP140" si="144">SUMIFS(E$5:E$41,$B$5:$B$41,$A139)</f>
        <v>15251</v>
      </c>
      <c r="F139" s="582">
        <f t="shared" si="144"/>
        <v>11282</v>
      </c>
      <c r="G139" s="113">
        <f t="shared" si="144"/>
        <v>1816</v>
      </c>
      <c r="H139" s="113">
        <f t="shared" si="144"/>
        <v>1914</v>
      </c>
      <c r="I139" s="113">
        <f t="shared" si="144"/>
        <v>7442</v>
      </c>
      <c r="J139" s="460">
        <f t="shared" si="144"/>
        <v>110</v>
      </c>
      <c r="K139" s="582">
        <f t="shared" si="144"/>
        <v>3969</v>
      </c>
      <c r="L139" s="113">
        <f t="shared" si="144"/>
        <v>341</v>
      </c>
      <c r="M139" s="113">
        <f t="shared" si="144"/>
        <v>0</v>
      </c>
      <c r="N139" s="113">
        <f t="shared" si="144"/>
        <v>3574</v>
      </c>
      <c r="O139" s="459">
        <f t="shared" si="144"/>
        <v>54</v>
      </c>
      <c r="P139" s="461">
        <f t="shared" si="144"/>
        <v>27</v>
      </c>
      <c r="Q139" s="582">
        <f t="shared" si="144"/>
        <v>15</v>
      </c>
      <c r="R139" s="113">
        <f t="shared" si="144"/>
        <v>3</v>
      </c>
      <c r="S139" s="113">
        <f t="shared" si="144"/>
        <v>1</v>
      </c>
      <c r="T139" s="113">
        <f t="shared" si="144"/>
        <v>10</v>
      </c>
      <c r="U139" s="460">
        <f t="shared" si="144"/>
        <v>1</v>
      </c>
      <c r="V139" s="582">
        <f t="shared" si="144"/>
        <v>12</v>
      </c>
      <c r="W139" s="113">
        <f t="shared" si="144"/>
        <v>0</v>
      </c>
      <c r="X139" s="113">
        <f t="shared" si="144"/>
        <v>0</v>
      </c>
      <c r="Y139" s="113">
        <f t="shared" si="144"/>
        <v>12</v>
      </c>
      <c r="Z139" s="459">
        <f t="shared" si="144"/>
        <v>0</v>
      </c>
      <c r="AA139" s="461">
        <f t="shared" si="144"/>
        <v>24</v>
      </c>
      <c r="AB139" s="582">
        <f t="shared" si="144"/>
        <v>18</v>
      </c>
      <c r="AC139" s="113">
        <f t="shared" si="144"/>
        <v>3</v>
      </c>
      <c r="AD139" s="113">
        <f t="shared" si="144"/>
        <v>4</v>
      </c>
      <c r="AE139" s="113">
        <f t="shared" si="144"/>
        <v>10</v>
      </c>
      <c r="AF139" s="460">
        <f t="shared" si="144"/>
        <v>1</v>
      </c>
      <c r="AG139" s="582">
        <f t="shared" si="144"/>
        <v>6</v>
      </c>
      <c r="AH139" s="113">
        <f t="shared" si="144"/>
        <v>0</v>
      </c>
      <c r="AI139" s="113">
        <f t="shared" si="144"/>
        <v>0</v>
      </c>
      <c r="AJ139" s="113">
        <f t="shared" si="144"/>
        <v>6</v>
      </c>
      <c r="AK139" s="459">
        <f t="shared" si="144"/>
        <v>0</v>
      </c>
      <c r="AL139" s="461">
        <f t="shared" si="144"/>
        <v>202</v>
      </c>
      <c r="AM139" s="582">
        <f t="shared" si="144"/>
        <v>147</v>
      </c>
      <c r="AN139" s="113">
        <f t="shared" si="144"/>
        <v>28</v>
      </c>
      <c r="AO139" s="113">
        <f t="shared" si="144"/>
        <v>32</v>
      </c>
      <c r="AP139" s="113">
        <f t="shared" si="144"/>
        <v>86</v>
      </c>
      <c r="AQ139" s="460">
        <f t="shared" si="144"/>
        <v>1</v>
      </c>
      <c r="AR139" s="582">
        <f t="shared" si="144"/>
        <v>55</v>
      </c>
      <c r="AS139" s="113">
        <f t="shared" si="144"/>
        <v>3</v>
      </c>
      <c r="AT139" s="113">
        <f t="shared" si="144"/>
        <v>0</v>
      </c>
      <c r="AU139" s="113">
        <f t="shared" si="144"/>
        <v>52</v>
      </c>
      <c r="AV139" s="459">
        <f t="shared" si="144"/>
        <v>0</v>
      </c>
      <c r="AW139" s="461">
        <f t="shared" si="144"/>
        <v>119</v>
      </c>
      <c r="AX139" s="582">
        <f t="shared" si="144"/>
        <v>99</v>
      </c>
      <c r="AY139" s="113">
        <f t="shared" si="144"/>
        <v>14</v>
      </c>
      <c r="AZ139" s="113">
        <f t="shared" si="144"/>
        <v>13</v>
      </c>
      <c r="BA139" s="113">
        <f t="shared" si="144"/>
        <v>71</v>
      </c>
      <c r="BB139" s="460">
        <f t="shared" si="144"/>
        <v>1</v>
      </c>
      <c r="BC139" s="582">
        <f t="shared" si="144"/>
        <v>20</v>
      </c>
      <c r="BD139" s="113">
        <f t="shared" si="144"/>
        <v>0</v>
      </c>
      <c r="BE139" s="113">
        <f t="shared" si="144"/>
        <v>0</v>
      </c>
      <c r="BF139" s="113">
        <f t="shared" si="144"/>
        <v>20</v>
      </c>
      <c r="BG139" s="459">
        <f t="shared" si="144"/>
        <v>0</v>
      </c>
      <c r="BH139" s="461">
        <f t="shared" si="144"/>
        <v>129</v>
      </c>
      <c r="BI139" s="582">
        <f t="shared" si="144"/>
        <v>100</v>
      </c>
      <c r="BJ139" s="113">
        <f t="shared" si="144"/>
        <v>15</v>
      </c>
      <c r="BK139" s="113">
        <f t="shared" si="144"/>
        <v>16</v>
      </c>
      <c r="BL139" s="113">
        <f t="shared" si="144"/>
        <v>69</v>
      </c>
      <c r="BM139" s="460">
        <f t="shared" si="144"/>
        <v>0</v>
      </c>
      <c r="BN139" s="582">
        <f t="shared" si="144"/>
        <v>29</v>
      </c>
      <c r="BO139" s="113">
        <f t="shared" si="144"/>
        <v>4</v>
      </c>
      <c r="BP139" s="113">
        <f t="shared" si="144"/>
        <v>0</v>
      </c>
      <c r="BQ139" s="113">
        <f t="shared" ref="BQ139:DU143" si="145">SUMIFS(BQ$5:BQ$41,$B$5:$B$41,$A139)</f>
        <v>25</v>
      </c>
      <c r="BR139" s="459">
        <f t="shared" si="145"/>
        <v>0</v>
      </c>
      <c r="BS139" s="461">
        <f t="shared" si="145"/>
        <v>174</v>
      </c>
      <c r="BT139" s="582">
        <f t="shared" si="145"/>
        <v>135</v>
      </c>
      <c r="BU139" s="113">
        <f t="shared" si="145"/>
        <v>18</v>
      </c>
      <c r="BV139" s="113">
        <f t="shared" si="145"/>
        <v>7</v>
      </c>
      <c r="BW139" s="113">
        <f t="shared" si="145"/>
        <v>110</v>
      </c>
      <c r="BX139" s="460">
        <f t="shared" si="145"/>
        <v>0</v>
      </c>
      <c r="BY139" s="582">
        <f t="shared" si="145"/>
        <v>39</v>
      </c>
      <c r="BZ139" s="113">
        <f t="shared" si="145"/>
        <v>2</v>
      </c>
      <c r="CA139" s="113">
        <f t="shared" si="145"/>
        <v>0</v>
      </c>
      <c r="CB139" s="113">
        <f t="shared" si="145"/>
        <v>36</v>
      </c>
      <c r="CC139" s="459">
        <f t="shared" si="145"/>
        <v>1</v>
      </c>
      <c r="CD139" s="461">
        <f t="shared" si="145"/>
        <v>24</v>
      </c>
      <c r="CE139" s="582">
        <f t="shared" si="145"/>
        <v>20</v>
      </c>
      <c r="CF139" s="113">
        <f t="shared" si="145"/>
        <v>2</v>
      </c>
      <c r="CG139" s="113">
        <f t="shared" si="145"/>
        <v>5</v>
      </c>
      <c r="CH139" s="113">
        <f t="shared" si="145"/>
        <v>13</v>
      </c>
      <c r="CI139" s="460">
        <f t="shared" si="145"/>
        <v>0</v>
      </c>
      <c r="CJ139" s="582">
        <f t="shared" si="145"/>
        <v>4</v>
      </c>
      <c r="CK139" s="113">
        <f t="shared" si="145"/>
        <v>0</v>
      </c>
      <c r="CL139" s="113">
        <f t="shared" si="145"/>
        <v>0</v>
      </c>
      <c r="CM139" s="113">
        <f t="shared" si="145"/>
        <v>4</v>
      </c>
      <c r="CN139" s="459">
        <f t="shared" si="145"/>
        <v>0</v>
      </c>
      <c r="CO139" s="461">
        <f t="shared" si="145"/>
        <v>26</v>
      </c>
      <c r="CP139" s="582">
        <f t="shared" si="145"/>
        <v>16</v>
      </c>
      <c r="CQ139" s="113">
        <f t="shared" si="145"/>
        <v>4</v>
      </c>
      <c r="CR139" s="113">
        <f t="shared" si="145"/>
        <v>0</v>
      </c>
      <c r="CS139" s="113">
        <f t="shared" si="145"/>
        <v>12</v>
      </c>
      <c r="CT139" s="460">
        <f t="shared" si="145"/>
        <v>0</v>
      </c>
      <c r="CU139" s="582">
        <f t="shared" si="145"/>
        <v>10</v>
      </c>
      <c r="CV139" s="113">
        <f t="shared" si="145"/>
        <v>0</v>
      </c>
      <c r="CW139" s="113">
        <f t="shared" si="145"/>
        <v>0</v>
      </c>
      <c r="CX139" s="113">
        <f t="shared" si="145"/>
        <v>10</v>
      </c>
      <c r="CY139" s="459">
        <f t="shared" si="145"/>
        <v>0</v>
      </c>
      <c r="CZ139" s="461">
        <f t="shared" si="145"/>
        <v>6</v>
      </c>
      <c r="DA139" s="582">
        <f t="shared" si="145"/>
        <v>4</v>
      </c>
      <c r="DB139" s="113">
        <f t="shared" si="145"/>
        <v>0</v>
      </c>
      <c r="DC139" s="113">
        <f t="shared" si="145"/>
        <v>1</v>
      </c>
      <c r="DD139" s="113">
        <f t="shared" si="145"/>
        <v>3</v>
      </c>
      <c r="DE139" s="460">
        <f t="shared" si="145"/>
        <v>0</v>
      </c>
      <c r="DF139" s="582">
        <f t="shared" si="145"/>
        <v>2</v>
      </c>
      <c r="DG139" s="113">
        <f t="shared" si="145"/>
        <v>0</v>
      </c>
      <c r="DH139" s="113">
        <f t="shared" si="145"/>
        <v>0</v>
      </c>
      <c r="DI139" s="113">
        <f t="shared" si="145"/>
        <v>2</v>
      </c>
      <c r="DJ139" s="459">
        <f t="shared" si="145"/>
        <v>0</v>
      </c>
      <c r="DK139" s="461">
        <f t="shared" si="145"/>
        <v>4</v>
      </c>
      <c r="DL139" s="582">
        <f t="shared" si="145"/>
        <v>3</v>
      </c>
      <c r="DM139" s="113">
        <f t="shared" si="145"/>
        <v>0</v>
      </c>
      <c r="DN139" s="113">
        <f t="shared" si="145"/>
        <v>1</v>
      </c>
      <c r="DO139" s="113">
        <f t="shared" si="145"/>
        <v>2</v>
      </c>
      <c r="DP139" s="460">
        <f t="shared" si="145"/>
        <v>0</v>
      </c>
      <c r="DQ139" s="582">
        <f t="shared" si="145"/>
        <v>1</v>
      </c>
      <c r="DR139" s="113">
        <f t="shared" si="145"/>
        <v>0</v>
      </c>
      <c r="DS139" s="113">
        <f t="shared" si="145"/>
        <v>0</v>
      </c>
      <c r="DT139" s="113">
        <f t="shared" si="145"/>
        <v>1</v>
      </c>
      <c r="DU139" s="459">
        <f t="shared" si="145"/>
        <v>0</v>
      </c>
      <c r="DW139" s="461">
        <f t="shared" ref="DW139:DW151" si="146">P139+AA139+AW139+BH139+BS139+CD139+CO139+CZ139+DK139</f>
        <v>533</v>
      </c>
      <c r="DX139" s="582">
        <f t="shared" ref="DX139:DX151" si="147">Q139+AB139+AX139+BI139+BT139+CE139+CP139+DA139+DL139</f>
        <v>410</v>
      </c>
      <c r="DY139" s="113">
        <f t="shared" ref="DY139:DY151" si="148">R139+AC139+AY139+BJ139+BU139+CF139+CQ139+DB139+DM139</f>
        <v>59</v>
      </c>
      <c r="DZ139" s="113">
        <f t="shared" ref="DZ139:DZ151" si="149">S139+AD139+AZ139+BK139+BV139+CG139+CR139+DC139+DN139</f>
        <v>48</v>
      </c>
      <c r="EA139" s="113">
        <f t="shared" ref="EA139:EA151" si="150">T139+AE139+BA139+BL139+BW139+CH139+CS139+DD139+DO139</f>
        <v>300</v>
      </c>
      <c r="EB139" s="460">
        <f t="shared" ref="EB139:EB151" si="151">U139+AF139+BB139+BM139+BX139+CI139+CT139+DE139+DP139</f>
        <v>3</v>
      </c>
      <c r="EC139" s="582">
        <f t="shared" ref="EC139:EC151" si="152">V139+AG139+BC139+BN139+BY139+CJ139+CU139+DF139+DQ139</f>
        <v>123</v>
      </c>
      <c r="ED139" s="113">
        <f t="shared" ref="ED139:ED151" si="153">W139+AH139+BD139+BO139+BZ139+CK139+CV139+DG139+DR139</f>
        <v>6</v>
      </c>
      <c r="EE139" s="113">
        <f t="shared" ref="EE139:EE151" si="154">X139+AI139+BE139+BP139+CA139+CL139+CW139+DH139+DS139</f>
        <v>0</v>
      </c>
      <c r="EF139" s="113">
        <f t="shared" ref="EF139:EF151" si="155">Y139+AJ139+BF139+BQ139+CB139+CM139+CX139+DI139+DT139</f>
        <v>116</v>
      </c>
      <c r="EG139" s="459">
        <f t="shared" ref="EG139:EG151" si="156">Z139+AK139+BG139+BR139+CC139+CN139+CY139+DJ139+DU139</f>
        <v>1</v>
      </c>
      <c r="EH139" s="461">
        <f t="shared" ref="EH139:EO151" si="157">AL139</f>
        <v>202</v>
      </c>
      <c r="EI139" s="582">
        <f t="shared" si="157"/>
        <v>147</v>
      </c>
      <c r="EJ139" s="113">
        <f t="shared" si="157"/>
        <v>28</v>
      </c>
      <c r="EK139" s="113">
        <f t="shared" si="157"/>
        <v>32</v>
      </c>
      <c r="EL139" s="113">
        <f t="shared" si="157"/>
        <v>86</v>
      </c>
      <c r="EM139" s="460">
        <f t="shared" si="157"/>
        <v>1</v>
      </c>
      <c r="EN139" s="582">
        <f t="shared" si="157"/>
        <v>55</v>
      </c>
      <c r="EO139" s="113">
        <f t="shared" si="157"/>
        <v>3</v>
      </c>
      <c r="EP139" s="113">
        <f t="shared" ref="EP139:EP151" si="158">AT139</f>
        <v>0</v>
      </c>
      <c r="EQ139" s="113">
        <f t="shared" ref="EQ139:EQ151" si="159">AU139</f>
        <v>52</v>
      </c>
      <c r="ER139" s="459">
        <f t="shared" ref="ER139:ER151" si="160">AV139</f>
        <v>0</v>
      </c>
    </row>
    <row r="140" spans="1:148">
      <c r="A140" s="466" t="s">
        <v>431</v>
      </c>
      <c r="B140" s="581">
        <v>45658</v>
      </c>
      <c r="C140" s="470">
        <v>2025</v>
      </c>
      <c r="D140" s="461">
        <f t="shared" ref="D140:S151" si="161">SUMIFS(D$5:D$41,$B$5:$B$41,$A140)</f>
        <v>173667</v>
      </c>
      <c r="E140" s="461">
        <f t="shared" si="161"/>
        <v>12006</v>
      </c>
      <c r="F140" s="582">
        <f t="shared" si="161"/>
        <v>8450</v>
      </c>
      <c r="G140" s="113">
        <f t="shared" si="161"/>
        <v>1121</v>
      </c>
      <c r="H140" s="113">
        <f t="shared" si="161"/>
        <v>1188</v>
      </c>
      <c r="I140" s="113">
        <f t="shared" si="161"/>
        <v>5991</v>
      </c>
      <c r="J140" s="460">
        <f t="shared" si="161"/>
        <v>150</v>
      </c>
      <c r="K140" s="582">
        <f t="shared" si="161"/>
        <v>3556</v>
      </c>
      <c r="L140" s="113">
        <f t="shared" si="161"/>
        <v>404</v>
      </c>
      <c r="M140" s="113">
        <f t="shared" si="161"/>
        <v>0</v>
      </c>
      <c r="N140" s="113">
        <f t="shared" si="161"/>
        <v>3061</v>
      </c>
      <c r="O140" s="459">
        <f t="shared" si="161"/>
        <v>91</v>
      </c>
      <c r="P140" s="461">
        <f t="shared" si="161"/>
        <v>35</v>
      </c>
      <c r="Q140" s="582">
        <f t="shared" si="161"/>
        <v>22</v>
      </c>
      <c r="R140" s="113">
        <f t="shared" si="161"/>
        <v>1</v>
      </c>
      <c r="S140" s="113">
        <f t="shared" si="161"/>
        <v>4</v>
      </c>
      <c r="T140" s="113">
        <f t="shared" si="144"/>
        <v>16</v>
      </c>
      <c r="U140" s="460">
        <f t="shared" si="144"/>
        <v>1</v>
      </c>
      <c r="V140" s="582">
        <f t="shared" si="144"/>
        <v>13</v>
      </c>
      <c r="W140" s="113">
        <f t="shared" si="144"/>
        <v>0</v>
      </c>
      <c r="X140" s="113">
        <f t="shared" si="144"/>
        <v>0</v>
      </c>
      <c r="Y140" s="113">
        <f t="shared" si="144"/>
        <v>12</v>
      </c>
      <c r="Z140" s="459">
        <f t="shared" si="144"/>
        <v>1</v>
      </c>
      <c r="AA140" s="461">
        <f t="shared" si="144"/>
        <v>11</v>
      </c>
      <c r="AB140" s="582">
        <f t="shared" si="144"/>
        <v>8</v>
      </c>
      <c r="AC140" s="113">
        <f t="shared" si="144"/>
        <v>1</v>
      </c>
      <c r="AD140" s="113">
        <f t="shared" si="144"/>
        <v>1</v>
      </c>
      <c r="AE140" s="113">
        <f t="shared" si="144"/>
        <v>6</v>
      </c>
      <c r="AF140" s="460">
        <f t="shared" si="144"/>
        <v>0</v>
      </c>
      <c r="AG140" s="582">
        <f t="shared" si="144"/>
        <v>3</v>
      </c>
      <c r="AH140" s="113">
        <f t="shared" si="144"/>
        <v>0</v>
      </c>
      <c r="AI140" s="113">
        <f t="shared" si="144"/>
        <v>0</v>
      </c>
      <c r="AJ140" s="113">
        <f t="shared" si="144"/>
        <v>3</v>
      </c>
      <c r="AK140" s="459">
        <f t="shared" si="144"/>
        <v>0</v>
      </c>
      <c r="AL140" s="461">
        <f t="shared" si="144"/>
        <v>118</v>
      </c>
      <c r="AM140" s="582">
        <f t="shared" si="144"/>
        <v>66</v>
      </c>
      <c r="AN140" s="113">
        <f t="shared" si="144"/>
        <v>9</v>
      </c>
      <c r="AO140" s="113">
        <f t="shared" si="144"/>
        <v>5</v>
      </c>
      <c r="AP140" s="113">
        <f t="shared" si="144"/>
        <v>52</v>
      </c>
      <c r="AQ140" s="460">
        <f t="shared" si="144"/>
        <v>0</v>
      </c>
      <c r="AR140" s="582">
        <f t="shared" si="144"/>
        <v>52</v>
      </c>
      <c r="AS140" s="113">
        <f t="shared" si="144"/>
        <v>7</v>
      </c>
      <c r="AT140" s="113">
        <f t="shared" si="144"/>
        <v>0</v>
      </c>
      <c r="AU140" s="113">
        <f t="shared" si="144"/>
        <v>45</v>
      </c>
      <c r="AV140" s="459">
        <f t="shared" si="144"/>
        <v>0</v>
      </c>
      <c r="AW140" s="461">
        <f t="shared" si="144"/>
        <v>67</v>
      </c>
      <c r="AX140" s="582">
        <f t="shared" si="144"/>
        <v>54</v>
      </c>
      <c r="AY140" s="113">
        <f t="shared" si="144"/>
        <v>7</v>
      </c>
      <c r="AZ140" s="113">
        <f t="shared" si="144"/>
        <v>5</v>
      </c>
      <c r="BA140" s="113">
        <f t="shared" si="144"/>
        <v>42</v>
      </c>
      <c r="BB140" s="460">
        <f t="shared" si="144"/>
        <v>0</v>
      </c>
      <c r="BC140" s="582">
        <f t="shared" si="144"/>
        <v>13</v>
      </c>
      <c r="BD140" s="113">
        <f t="shared" si="144"/>
        <v>0</v>
      </c>
      <c r="BE140" s="113">
        <f t="shared" si="144"/>
        <v>0</v>
      </c>
      <c r="BF140" s="113">
        <f t="shared" si="144"/>
        <v>13</v>
      </c>
      <c r="BG140" s="459">
        <f t="shared" si="144"/>
        <v>0</v>
      </c>
      <c r="BH140" s="461">
        <f t="shared" si="144"/>
        <v>85</v>
      </c>
      <c r="BI140" s="582">
        <f t="shared" si="144"/>
        <v>61</v>
      </c>
      <c r="BJ140" s="113">
        <f t="shared" si="144"/>
        <v>8</v>
      </c>
      <c r="BK140" s="113">
        <f t="shared" si="144"/>
        <v>5</v>
      </c>
      <c r="BL140" s="113">
        <f t="shared" si="144"/>
        <v>48</v>
      </c>
      <c r="BM140" s="460">
        <f t="shared" si="144"/>
        <v>0</v>
      </c>
      <c r="BN140" s="582">
        <f t="shared" si="144"/>
        <v>24</v>
      </c>
      <c r="BO140" s="113">
        <f t="shared" si="144"/>
        <v>2</v>
      </c>
      <c r="BP140" s="113">
        <f t="shared" si="144"/>
        <v>0</v>
      </c>
      <c r="BQ140" s="113">
        <f t="shared" si="145"/>
        <v>22</v>
      </c>
      <c r="BR140" s="459">
        <f t="shared" si="145"/>
        <v>0</v>
      </c>
      <c r="BS140" s="461">
        <f t="shared" si="145"/>
        <v>150</v>
      </c>
      <c r="BT140" s="582">
        <f t="shared" si="145"/>
        <v>122</v>
      </c>
      <c r="BU140" s="113">
        <f t="shared" si="145"/>
        <v>20</v>
      </c>
      <c r="BV140" s="113">
        <f t="shared" si="145"/>
        <v>10</v>
      </c>
      <c r="BW140" s="113">
        <f t="shared" si="145"/>
        <v>90</v>
      </c>
      <c r="BX140" s="460">
        <f t="shared" si="145"/>
        <v>2</v>
      </c>
      <c r="BY140" s="582">
        <f t="shared" si="145"/>
        <v>28</v>
      </c>
      <c r="BZ140" s="113">
        <f t="shared" si="145"/>
        <v>2</v>
      </c>
      <c r="CA140" s="113">
        <f t="shared" si="145"/>
        <v>0</v>
      </c>
      <c r="CB140" s="113">
        <f t="shared" si="145"/>
        <v>26</v>
      </c>
      <c r="CC140" s="459">
        <f t="shared" si="145"/>
        <v>0</v>
      </c>
      <c r="CD140" s="461">
        <f t="shared" si="145"/>
        <v>18</v>
      </c>
      <c r="CE140" s="582">
        <f t="shared" si="145"/>
        <v>13</v>
      </c>
      <c r="CF140" s="113">
        <f t="shared" si="145"/>
        <v>1</v>
      </c>
      <c r="CG140" s="113">
        <f t="shared" si="145"/>
        <v>2</v>
      </c>
      <c r="CH140" s="113">
        <f t="shared" si="145"/>
        <v>10</v>
      </c>
      <c r="CI140" s="460">
        <f t="shared" si="145"/>
        <v>0</v>
      </c>
      <c r="CJ140" s="582">
        <f t="shared" si="145"/>
        <v>5</v>
      </c>
      <c r="CK140" s="113">
        <f t="shared" si="145"/>
        <v>0</v>
      </c>
      <c r="CL140" s="113">
        <f t="shared" si="145"/>
        <v>0</v>
      </c>
      <c r="CM140" s="113">
        <f t="shared" si="145"/>
        <v>5</v>
      </c>
      <c r="CN140" s="459">
        <f t="shared" si="145"/>
        <v>0</v>
      </c>
      <c r="CO140" s="461">
        <f t="shared" si="145"/>
        <v>28</v>
      </c>
      <c r="CP140" s="582">
        <f t="shared" si="145"/>
        <v>20</v>
      </c>
      <c r="CQ140" s="113">
        <f t="shared" si="145"/>
        <v>1</v>
      </c>
      <c r="CR140" s="113">
        <f t="shared" si="145"/>
        <v>11</v>
      </c>
      <c r="CS140" s="113">
        <f t="shared" si="145"/>
        <v>8</v>
      </c>
      <c r="CT140" s="460">
        <f t="shared" si="145"/>
        <v>0</v>
      </c>
      <c r="CU140" s="582">
        <f t="shared" si="145"/>
        <v>8</v>
      </c>
      <c r="CV140" s="113">
        <f t="shared" si="145"/>
        <v>1</v>
      </c>
      <c r="CW140" s="113">
        <f t="shared" si="145"/>
        <v>0</v>
      </c>
      <c r="CX140" s="113">
        <f t="shared" si="145"/>
        <v>7</v>
      </c>
      <c r="CY140" s="459">
        <f t="shared" si="145"/>
        <v>0</v>
      </c>
      <c r="CZ140" s="461">
        <f t="shared" si="145"/>
        <v>5</v>
      </c>
      <c r="DA140" s="582">
        <f t="shared" si="145"/>
        <v>4</v>
      </c>
      <c r="DB140" s="113">
        <f t="shared" si="145"/>
        <v>0</v>
      </c>
      <c r="DC140" s="113">
        <f t="shared" si="145"/>
        <v>0</v>
      </c>
      <c r="DD140" s="113">
        <f t="shared" si="145"/>
        <v>4</v>
      </c>
      <c r="DE140" s="460">
        <f t="shared" si="145"/>
        <v>0</v>
      </c>
      <c r="DF140" s="582">
        <f t="shared" si="145"/>
        <v>1</v>
      </c>
      <c r="DG140" s="113">
        <f t="shared" si="145"/>
        <v>0</v>
      </c>
      <c r="DH140" s="113">
        <f t="shared" si="145"/>
        <v>0</v>
      </c>
      <c r="DI140" s="113">
        <f t="shared" si="145"/>
        <v>1</v>
      </c>
      <c r="DJ140" s="459">
        <f t="shared" si="145"/>
        <v>0</v>
      </c>
      <c r="DK140" s="461">
        <f t="shared" si="145"/>
        <v>2</v>
      </c>
      <c r="DL140" s="582">
        <f t="shared" si="145"/>
        <v>1</v>
      </c>
      <c r="DM140" s="113">
        <f t="shared" si="145"/>
        <v>1</v>
      </c>
      <c r="DN140" s="113">
        <f t="shared" si="145"/>
        <v>0</v>
      </c>
      <c r="DO140" s="113">
        <f t="shared" si="145"/>
        <v>0</v>
      </c>
      <c r="DP140" s="460">
        <f t="shared" si="145"/>
        <v>0</v>
      </c>
      <c r="DQ140" s="582">
        <f t="shared" si="145"/>
        <v>1</v>
      </c>
      <c r="DR140" s="113">
        <f t="shared" si="145"/>
        <v>0</v>
      </c>
      <c r="DS140" s="113">
        <f t="shared" si="145"/>
        <v>0</v>
      </c>
      <c r="DT140" s="113">
        <f t="shared" si="145"/>
        <v>1</v>
      </c>
      <c r="DU140" s="459">
        <f t="shared" si="145"/>
        <v>0</v>
      </c>
      <c r="DW140" s="461">
        <f t="shared" si="146"/>
        <v>401</v>
      </c>
      <c r="DX140" s="582">
        <f t="shared" si="147"/>
        <v>305</v>
      </c>
      <c r="DY140" s="113">
        <f t="shared" si="148"/>
        <v>40</v>
      </c>
      <c r="DZ140" s="113">
        <f t="shared" si="149"/>
        <v>38</v>
      </c>
      <c r="EA140" s="113">
        <f t="shared" si="150"/>
        <v>224</v>
      </c>
      <c r="EB140" s="460">
        <f t="shared" si="151"/>
        <v>3</v>
      </c>
      <c r="EC140" s="582">
        <f t="shared" si="152"/>
        <v>96</v>
      </c>
      <c r="ED140" s="113">
        <f t="shared" si="153"/>
        <v>5</v>
      </c>
      <c r="EE140" s="113">
        <f t="shared" si="154"/>
        <v>0</v>
      </c>
      <c r="EF140" s="113">
        <f t="shared" si="155"/>
        <v>90</v>
      </c>
      <c r="EG140" s="459">
        <f t="shared" si="156"/>
        <v>1</v>
      </c>
      <c r="EH140" s="461">
        <f t="shared" si="157"/>
        <v>118</v>
      </c>
      <c r="EI140" s="582">
        <f t="shared" si="157"/>
        <v>66</v>
      </c>
      <c r="EJ140" s="113">
        <f t="shared" si="157"/>
        <v>9</v>
      </c>
      <c r="EK140" s="113">
        <f t="shared" si="157"/>
        <v>5</v>
      </c>
      <c r="EL140" s="113">
        <f t="shared" si="157"/>
        <v>52</v>
      </c>
      <c r="EM140" s="460">
        <f t="shared" si="157"/>
        <v>0</v>
      </c>
      <c r="EN140" s="582">
        <f t="shared" si="157"/>
        <v>52</v>
      </c>
      <c r="EO140" s="113">
        <f t="shared" si="157"/>
        <v>7</v>
      </c>
      <c r="EP140" s="113">
        <f t="shared" si="158"/>
        <v>0</v>
      </c>
      <c r="EQ140" s="113">
        <f t="shared" si="159"/>
        <v>45</v>
      </c>
      <c r="ER140" s="459">
        <f t="shared" si="160"/>
        <v>0</v>
      </c>
    </row>
    <row r="141" spans="1:148">
      <c r="A141" s="466" t="s">
        <v>431</v>
      </c>
      <c r="B141" s="581">
        <v>45689</v>
      </c>
      <c r="C141" s="470">
        <v>2025</v>
      </c>
      <c r="D141" s="461">
        <f t="shared" si="161"/>
        <v>173667</v>
      </c>
      <c r="E141" s="461">
        <f t="shared" ref="E141:BP144" si="162">SUMIFS(E$5:E$41,$B$5:$B$41,$A141)</f>
        <v>12006</v>
      </c>
      <c r="F141" s="582">
        <f t="shared" si="162"/>
        <v>8450</v>
      </c>
      <c r="G141" s="113">
        <f t="shared" si="162"/>
        <v>1121</v>
      </c>
      <c r="H141" s="113">
        <f t="shared" si="162"/>
        <v>1188</v>
      </c>
      <c r="I141" s="113">
        <f t="shared" si="162"/>
        <v>5991</v>
      </c>
      <c r="J141" s="460">
        <f t="shared" si="162"/>
        <v>150</v>
      </c>
      <c r="K141" s="582">
        <f t="shared" si="162"/>
        <v>3556</v>
      </c>
      <c r="L141" s="113">
        <f t="shared" si="162"/>
        <v>404</v>
      </c>
      <c r="M141" s="113">
        <f t="shared" si="162"/>
        <v>0</v>
      </c>
      <c r="N141" s="113">
        <f t="shared" si="162"/>
        <v>3061</v>
      </c>
      <c r="O141" s="459">
        <f t="shared" si="162"/>
        <v>91</v>
      </c>
      <c r="P141" s="461">
        <f t="shared" si="162"/>
        <v>35</v>
      </c>
      <c r="Q141" s="582">
        <f t="shared" si="162"/>
        <v>22</v>
      </c>
      <c r="R141" s="113">
        <f t="shared" si="162"/>
        <v>1</v>
      </c>
      <c r="S141" s="113">
        <f t="shared" si="162"/>
        <v>4</v>
      </c>
      <c r="T141" s="113">
        <f t="shared" si="162"/>
        <v>16</v>
      </c>
      <c r="U141" s="460">
        <f t="shared" si="162"/>
        <v>1</v>
      </c>
      <c r="V141" s="582">
        <f t="shared" si="162"/>
        <v>13</v>
      </c>
      <c r="W141" s="113">
        <f t="shared" si="162"/>
        <v>0</v>
      </c>
      <c r="X141" s="113">
        <f t="shared" si="162"/>
        <v>0</v>
      </c>
      <c r="Y141" s="113">
        <f t="shared" si="162"/>
        <v>12</v>
      </c>
      <c r="Z141" s="459">
        <f t="shared" si="162"/>
        <v>1</v>
      </c>
      <c r="AA141" s="461">
        <f t="shared" si="162"/>
        <v>11</v>
      </c>
      <c r="AB141" s="582">
        <f t="shared" si="162"/>
        <v>8</v>
      </c>
      <c r="AC141" s="113">
        <f t="shared" si="162"/>
        <v>1</v>
      </c>
      <c r="AD141" s="113">
        <f t="shared" si="162"/>
        <v>1</v>
      </c>
      <c r="AE141" s="113">
        <f t="shared" si="162"/>
        <v>6</v>
      </c>
      <c r="AF141" s="460">
        <f t="shared" si="162"/>
        <v>0</v>
      </c>
      <c r="AG141" s="582">
        <f t="shared" si="162"/>
        <v>3</v>
      </c>
      <c r="AH141" s="113">
        <f t="shared" si="162"/>
        <v>0</v>
      </c>
      <c r="AI141" s="113">
        <f t="shared" si="162"/>
        <v>0</v>
      </c>
      <c r="AJ141" s="113">
        <f t="shared" si="162"/>
        <v>3</v>
      </c>
      <c r="AK141" s="459">
        <f t="shared" si="162"/>
        <v>0</v>
      </c>
      <c r="AL141" s="461">
        <f t="shared" si="162"/>
        <v>118</v>
      </c>
      <c r="AM141" s="582">
        <f t="shared" si="162"/>
        <v>66</v>
      </c>
      <c r="AN141" s="113">
        <f t="shared" si="162"/>
        <v>9</v>
      </c>
      <c r="AO141" s="113">
        <f t="shared" si="162"/>
        <v>5</v>
      </c>
      <c r="AP141" s="113">
        <f t="shared" si="162"/>
        <v>52</v>
      </c>
      <c r="AQ141" s="460">
        <f t="shared" si="162"/>
        <v>0</v>
      </c>
      <c r="AR141" s="582">
        <f t="shared" si="162"/>
        <v>52</v>
      </c>
      <c r="AS141" s="113">
        <f t="shared" si="162"/>
        <v>7</v>
      </c>
      <c r="AT141" s="113">
        <f t="shared" si="162"/>
        <v>0</v>
      </c>
      <c r="AU141" s="113">
        <f t="shared" si="162"/>
        <v>45</v>
      </c>
      <c r="AV141" s="459">
        <f t="shared" si="162"/>
        <v>0</v>
      </c>
      <c r="AW141" s="461">
        <f t="shared" si="162"/>
        <v>67</v>
      </c>
      <c r="AX141" s="582">
        <f t="shared" si="162"/>
        <v>54</v>
      </c>
      <c r="AY141" s="113">
        <f t="shared" si="162"/>
        <v>7</v>
      </c>
      <c r="AZ141" s="113">
        <f t="shared" si="162"/>
        <v>5</v>
      </c>
      <c r="BA141" s="113">
        <f t="shared" si="162"/>
        <v>42</v>
      </c>
      <c r="BB141" s="460">
        <f t="shared" si="162"/>
        <v>0</v>
      </c>
      <c r="BC141" s="582">
        <f t="shared" si="162"/>
        <v>13</v>
      </c>
      <c r="BD141" s="113">
        <f t="shared" si="162"/>
        <v>0</v>
      </c>
      <c r="BE141" s="113">
        <f t="shared" si="162"/>
        <v>0</v>
      </c>
      <c r="BF141" s="113">
        <f t="shared" si="162"/>
        <v>13</v>
      </c>
      <c r="BG141" s="459">
        <f t="shared" si="162"/>
        <v>0</v>
      </c>
      <c r="BH141" s="461">
        <f t="shared" si="162"/>
        <v>85</v>
      </c>
      <c r="BI141" s="582">
        <f t="shared" si="162"/>
        <v>61</v>
      </c>
      <c r="BJ141" s="113">
        <f t="shared" si="162"/>
        <v>8</v>
      </c>
      <c r="BK141" s="113">
        <f t="shared" si="162"/>
        <v>5</v>
      </c>
      <c r="BL141" s="113">
        <f t="shared" si="162"/>
        <v>48</v>
      </c>
      <c r="BM141" s="460">
        <f t="shared" si="162"/>
        <v>0</v>
      </c>
      <c r="BN141" s="582">
        <f t="shared" si="162"/>
        <v>24</v>
      </c>
      <c r="BO141" s="113">
        <f t="shared" si="162"/>
        <v>2</v>
      </c>
      <c r="BP141" s="113">
        <f t="shared" si="162"/>
        <v>0</v>
      </c>
      <c r="BQ141" s="113">
        <f t="shared" si="145"/>
        <v>22</v>
      </c>
      <c r="BR141" s="459">
        <f t="shared" si="145"/>
        <v>0</v>
      </c>
      <c r="BS141" s="461">
        <f t="shared" si="145"/>
        <v>150</v>
      </c>
      <c r="BT141" s="582">
        <f t="shared" si="145"/>
        <v>122</v>
      </c>
      <c r="BU141" s="113">
        <f t="shared" si="145"/>
        <v>20</v>
      </c>
      <c r="BV141" s="113">
        <f t="shared" si="145"/>
        <v>10</v>
      </c>
      <c r="BW141" s="113">
        <f t="shared" si="145"/>
        <v>90</v>
      </c>
      <c r="BX141" s="460">
        <f t="shared" si="145"/>
        <v>2</v>
      </c>
      <c r="BY141" s="582">
        <f t="shared" si="145"/>
        <v>28</v>
      </c>
      <c r="BZ141" s="113">
        <f t="shared" si="145"/>
        <v>2</v>
      </c>
      <c r="CA141" s="113">
        <f t="shared" si="145"/>
        <v>0</v>
      </c>
      <c r="CB141" s="113">
        <f t="shared" si="145"/>
        <v>26</v>
      </c>
      <c r="CC141" s="459">
        <f t="shared" si="145"/>
        <v>0</v>
      </c>
      <c r="CD141" s="461">
        <f t="shared" si="145"/>
        <v>18</v>
      </c>
      <c r="CE141" s="582">
        <f t="shared" si="145"/>
        <v>13</v>
      </c>
      <c r="CF141" s="113">
        <f t="shared" si="145"/>
        <v>1</v>
      </c>
      <c r="CG141" s="113">
        <f t="shared" si="145"/>
        <v>2</v>
      </c>
      <c r="CH141" s="113">
        <f t="shared" si="145"/>
        <v>10</v>
      </c>
      <c r="CI141" s="460">
        <f t="shared" si="145"/>
        <v>0</v>
      </c>
      <c r="CJ141" s="582">
        <f t="shared" si="145"/>
        <v>5</v>
      </c>
      <c r="CK141" s="113">
        <f t="shared" si="145"/>
        <v>0</v>
      </c>
      <c r="CL141" s="113">
        <f t="shared" si="145"/>
        <v>0</v>
      </c>
      <c r="CM141" s="113">
        <f t="shared" si="145"/>
        <v>5</v>
      </c>
      <c r="CN141" s="459">
        <f t="shared" si="145"/>
        <v>0</v>
      </c>
      <c r="CO141" s="461">
        <f t="shared" si="145"/>
        <v>28</v>
      </c>
      <c r="CP141" s="582">
        <f t="shared" si="145"/>
        <v>20</v>
      </c>
      <c r="CQ141" s="113">
        <f t="shared" si="145"/>
        <v>1</v>
      </c>
      <c r="CR141" s="113">
        <f t="shared" si="145"/>
        <v>11</v>
      </c>
      <c r="CS141" s="113">
        <f t="shared" si="145"/>
        <v>8</v>
      </c>
      <c r="CT141" s="460">
        <f t="shared" si="145"/>
        <v>0</v>
      </c>
      <c r="CU141" s="582">
        <f t="shared" si="145"/>
        <v>8</v>
      </c>
      <c r="CV141" s="113">
        <f t="shared" si="145"/>
        <v>1</v>
      </c>
      <c r="CW141" s="113">
        <f t="shared" si="145"/>
        <v>0</v>
      </c>
      <c r="CX141" s="113">
        <f t="shared" si="145"/>
        <v>7</v>
      </c>
      <c r="CY141" s="459">
        <f t="shared" si="145"/>
        <v>0</v>
      </c>
      <c r="CZ141" s="461">
        <f t="shared" si="145"/>
        <v>5</v>
      </c>
      <c r="DA141" s="582">
        <f t="shared" si="145"/>
        <v>4</v>
      </c>
      <c r="DB141" s="113">
        <f t="shared" si="145"/>
        <v>0</v>
      </c>
      <c r="DC141" s="113">
        <f t="shared" si="145"/>
        <v>0</v>
      </c>
      <c r="DD141" s="113">
        <f t="shared" si="145"/>
        <v>4</v>
      </c>
      <c r="DE141" s="460">
        <f t="shared" si="145"/>
        <v>0</v>
      </c>
      <c r="DF141" s="582">
        <f t="shared" si="145"/>
        <v>1</v>
      </c>
      <c r="DG141" s="113">
        <f t="shared" si="145"/>
        <v>0</v>
      </c>
      <c r="DH141" s="113">
        <f t="shared" si="145"/>
        <v>0</v>
      </c>
      <c r="DI141" s="113">
        <f t="shared" si="145"/>
        <v>1</v>
      </c>
      <c r="DJ141" s="459">
        <f t="shared" si="145"/>
        <v>0</v>
      </c>
      <c r="DK141" s="461">
        <f t="shared" si="145"/>
        <v>2</v>
      </c>
      <c r="DL141" s="582">
        <f t="shared" si="145"/>
        <v>1</v>
      </c>
      <c r="DM141" s="113">
        <f t="shared" si="145"/>
        <v>1</v>
      </c>
      <c r="DN141" s="113">
        <f t="shared" si="145"/>
        <v>0</v>
      </c>
      <c r="DO141" s="113">
        <f t="shared" si="145"/>
        <v>0</v>
      </c>
      <c r="DP141" s="460">
        <f t="shared" si="145"/>
        <v>0</v>
      </c>
      <c r="DQ141" s="582">
        <f t="shared" si="145"/>
        <v>1</v>
      </c>
      <c r="DR141" s="113">
        <f t="shared" si="145"/>
        <v>0</v>
      </c>
      <c r="DS141" s="113">
        <f t="shared" si="145"/>
        <v>0</v>
      </c>
      <c r="DT141" s="113">
        <f t="shared" si="145"/>
        <v>1</v>
      </c>
      <c r="DU141" s="459">
        <f t="shared" si="145"/>
        <v>0</v>
      </c>
      <c r="DW141" s="461">
        <f t="shared" si="146"/>
        <v>401</v>
      </c>
      <c r="DX141" s="582">
        <f t="shared" si="147"/>
        <v>305</v>
      </c>
      <c r="DY141" s="113">
        <f t="shared" si="148"/>
        <v>40</v>
      </c>
      <c r="DZ141" s="113">
        <f t="shared" si="149"/>
        <v>38</v>
      </c>
      <c r="EA141" s="113">
        <f t="shared" si="150"/>
        <v>224</v>
      </c>
      <c r="EB141" s="460">
        <f t="shared" si="151"/>
        <v>3</v>
      </c>
      <c r="EC141" s="582">
        <f t="shared" si="152"/>
        <v>96</v>
      </c>
      <c r="ED141" s="113">
        <f t="shared" si="153"/>
        <v>5</v>
      </c>
      <c r="EE141" s="113">
        <f t="shared" si="154"/>
        <v>0</v>
      </c>
      <c r="EF141" s="113">
        <f t="shared" si="155"/>
        <v>90</v>
      </c>
      <c r="EG141" s="459">
        <f t="shared" si="156"/>
        <v>1</v>
      </c>
      <c r="EH141" s="461">
        <f t="shared" si="157"/>
        <v>118</v>
      </c>
      <c r="EI141" s="582">
        <f t="shared" si="157"/>
        <v>66</v>
      </c>
      <c r="EJ141" s="113">
        <f t="shared" si="157"/>
        <v>9</v>
      </c>
      <c r="EK141" s="113">
        <f t="shared" si="157"/>
        <v>5</v>
      </c>
      <c r="EL141" s="113">
        <f t="shared" si="157"/>
        <v>52</v>
      </c>
      <c r="EM141" s="460">
        <f t="shared" si="157"/>
        <v>0</v>
      </c>
      <c r="EN141" s="582">
        <f t="shared" si="157"/>
        <v>52</v>
      </c>
      <c r="EO141" s="113">
        <f t="shared" si="157"/>
        <v>7</v>
      </c>
      <c r="EP141" s="113">
        <f t="shared" si="158"/>
        <v>0</v>
      </c>
      <c r="EQ141" s="113">
        <f t="shared" si="159"/>
        <v>45</v>
      </c>
      <c r="ER141" s="459">
        <f t="shared" si="160"/>
        <v>0</v>
      </c>
    </row>
    <row r="142" spans="1:148">
      <c r="A142" s="466" t="s">
        <v>431</v>
      </c>
      <c r="B142" s="581">
        <v>45717</v>
      </c>
      <c r="C142" s="470">
        <v>2025</v>
      </c>
      <c r="D142" s="461">
        <f t="shared" si="161"/>
        <v>173667</v>
      </c>
      <c r="E142" s="461">
        <f t="shared" si="162"/>
        <v>12006</v>
      </c>
      <c r="F142" s="582">
        <f t="shared" si="162"/>
        <v>8450</v>
      </c>
      <c r="G142" s="113">
        <f t="shared" si="162"/>
        <v>1121</v>
      </c>
      <c r="H142" s="113">
        <f t="shared" si="162"/>
        <v>1188</v>
      </c>
      <c r="I142" s="113">
        <f t="shared" si="162"/>
        <v>5991</v>
      </c>
      <c r="J142" s="460">
        <f t="shared" si="162"/>
        <v>150</v>
      </c>
      <c r="K142" s="582">
        <f t="shared" si="162"/>
        <v>3556</v>
      </c>
      <c r="L142" s="113">
        <f t="shared" si="162"/>
        <v>404</v>
      </c>
      <c r="M142" s="113">
        <f t="shared" si="162"/>
        <v>0</v>
      </c>
      <c r="N142" s="113">
        <f t="shared" si="162"/>
        <v>3061</v>
      </c>
      <c r="O142" s="459">
        <f t="shared" si="162"/>
        <v>91</v>
      </c>
      <c r="P142" s="461">
        <f t="shared" si="162"/>
        <v>35</v>
      </c>
      <c r="Q142" s="582">
        <f t="shared" si="162"/>
        <v>22</v>
      </c>
      <c r="R142" s="113">
        <f t="shared" si="162"/>
        <v>1</v>
      </c>
      <c r="S142" s="113">
        <f t="shared" si="162"/>
        <v>4</v>
      </c>
      <c r="T142" s="113">
        <f t="shared" si="162"/>
        <v>16</v>
      </c>
      <c r="U142" s="460">
        <f t="shared" si="162"/>
        <v>1</v>
      </c>
      <c r="V142" s="582">
        <f t="shared" si="162"/>
        <v>13</v>
      </c>
      <c r="W142" s="113">
        <f t="shared" si="162"/>
        <v>0</v>
      </c>
      <c r="X142" s="113">
        <f t="shared" si="162"/>
        <v>0</v>
      </c>
      <c r="Y142" s="113">
        <f t="shared" si="162"/>
        <v>12</v>
      </c>
      <c r="Z142" s="459">
        <f t="shared" si="162"/>
        <v>1</v>
      </c>
      <c r="AA142" s="461">
        <f t="shared" si="162"/>
        <v>11</v>
      </c>
      <c r="AB142" s="582">
        <f t="shared" si="162"/>
        <v>8</v>
      </c>
      <c r="AC142" s="113">
        <f t="shared" si="162"/>
        <v>1</v>
      </c>
      <c r="AD142" s="113">
        <f t="shared" si="162"/>
        <v>1</v>
      </c>
      <c r="AE142" s="113">
        <f t="shared" si="162"/>
        <v>6</v>
      </c>
      <c r="AF142" s="460">
        <f t="shared" si="162"/>
        <v>0</v>
      </c>
      <c r="AG142" s="582">
        <f t="shared" si="162"/>
        <v>3</v>
      </c>
      <c r="AH142" s="113">
        <f t="shared" si="162"/>
        <v>0</v>
      </c>
      <c r="AI142" s="113">
        <f t="shared" si="162"/>
        <v>0</v>
      </c>
      <c r="AJ142" s="113">
        <f t="shared" si="162"/>
        <v>3</v>
      </c>
      <c r="AK142" s="459">
        <f t="shared" si="162"/>
        <v>0</v>
      </c>
      <c r="AL142" s="461">
        <f t="shared" si="162"/>
        <v>118</v>
      </c>
      <c r="AM142" s="582">
        <f t="shared" si="162"/>
        <v>66</v>
      </c>
      <c r="AN142" s="113">
        <f t="shared" si="162"/>
        <v>9</v>
      </c>
      <c r="AO142" s="113">
        <f t="shared" si="162"/>
        <v>5</v>
      </c>
      <c r="AP142" s="113">
        <f t="shared" si="162"/>
        <v>52</v>
      </c>
      <c r="AQ142" s="460">
        <f t="shared" si="162"/>
        <v>0</v>
      </c>
      <c r="AR142" s="582">
        <f t="shared" si="162"/>
        <v>52</v>
      </c>
      <c r="AS142" s="113">
        <f t="shared" si="162"/>
        <v>7</v>
      </c>
      <c r="AT142" s="113">
        <f t="shared" si="162"/>
        <v>0</v>
      </c>
      <c r="AU142" s="113">
        <f t="shared" si="162"/>
        <v>45</v>
      </c>
      <c r="AV142" s="459">
        <f t="shared" si="162"/>
        <v>0</v>
      </c>
      <c r="AW142" s="461">
        <f t="shared" si="162"/>
        <v>67</v>
      </c>
      <c r="AX142" s="582">
        <f t="shared" si="162"/>
        <v>54</v>
      </c>
      <c r="AY142" s="113">
        <f t="shared" si="162"/>
        <v>7</v>
      </c>
      <c r="AZ142" s="113">
        <f t="shared" si="162"/>
        <v>5</v>
      </c>
      <c r="BA142" s="113">
        <f t="shared" si="162"/>
        <v>42</v>
      </c>
      <c r="BB142" s="460">
        <f t="shared" si="162"/>
        <v>0</v>
      </c>
      <c r="BC142" s="582">
        <f t="shared" si="162"/>
        <v>13</v>
      </c>
      <c r="BD142" s="113">
        <f t="shared" si="162"/>
        <v>0</v>
      </c>
      <c r="BE142" s="113">
        <f t="shared" si="162"/>
        <v>0</v>
      </c>
      <c r="BF142" s="113">
        <f t="shared" si="162"/>
        <v>13</v>
      </c>
      <c r="BG142" s="459">
        <f t="shared" si="162"/>
        <v>0</v>
      </c>
      <c r="BH142" s="461">
        <f t="shared" si="162"/>
        <v>85</v>
      </c>
      <c r="BI142" s="582">
        <f t="shared" si="162"/>
        <v>61</v>
      </c>
      <c r="BJ142" s="113">
        <f t="shared" si="162"/>
        <v>8</v>
      </c>
      <c r="BK142" s="113">
        <f t="shared" si="162"/>
        <v>5</v>
      </c>
      <c r="BL142" s="113">
        <f t="shared" si="162"/>
        <v>48</v>
      </c>
      <c r="BM142" s="460">
        <f t="shared" si="162"/>
        <v>0</v>
      </c>
      <c r="BN142" s="582">
        <f t="shared" si="162"/>
        <v>24</v>
      </c>
      <c r="BO142" s="113">
        <f t="shared" si="162"/>
        <v>2</v>
      </c>
      <c r="BP142" s="113">
        <f t="shared" si="162"/>
        <v>0</v>
      </c>
      <c r="BQ142" s="113">
        <f t="shared" si="145"/>
        <v>22</v>
      </c>
      <c r="BR142" s="459">
        <f t="shared" si="145"/>
        <v>0</v>
      </c>
      <c r="BS142" s="461">
        <f t="shared" si="145"/>
        <v>150</v>
      </c>
      <c r="BT142" s="582">
        <f t="shared" si="145"/>
        <v>122</v>
      </c>
      <c r="BU142" s="113">
        <f t="shared" si="145"/>
        <v>20</v>
      </c>
      <c r="BV142" s="113">
        <f t="shared" si="145"/>
        <v>10</v>
      </c>
      <c r="BW142" s="113">
        <f t="shared" si="145"/>
        <v>90</v>
      </c>
      <c r="BX142" s="460">
        <f t="shared" si="145"/>
        <v>2</v>
      </c>
      <c r="BY142" s="582">
        <f t="shared" si="145"/>
        <v>28</v>
      </c>
      <c r="BZ142" s="113">
        <f t="shared" si="145"/>
        <v>2</v>
      </c>
      <c r="CA142" s="113">
        <f t="shared" si="145"/>
        <v>0</v>
      </c>
      <c r="CB142" s="113">
        <f t="shared" si="145"/>
        <v>26</v>
      </c>
      <c r="CC142" s="459">
        <f t="shared" si="145"/>
        <v>0</v>
      </c>
      <c r="CD142" s="461">
        <f t="shared" si="145"/>
        <v>18</v>
      </c>
      <c r="CE142" s="582">
        <f t="shared" si="145"/>
        <v>13</v>
      </c>
      <c r="CF142" s="113">
        <f t="shared" si="145"/>
        <v>1</v>
      </c>
      <c r="CG142" s="113">
        <f t="shared" si="145"/>
        <v>2</v>
      </c>
      <c r="CH142" s="113">
        <f t="shared" si="145"/>
        <v>10</v>
      </c>
      <c r="CI142" s="460">
        <f t="shared" si="145"/>
        <v>0</v>
      </c>
      <c r="CJ142" s="582">
        <f t="shared" si="145"/>
        <v>5</v>
      </c>
      <c r="CK142" s="113">
        <f t="shared" si="145"/>
        <v>0</v>
      </c>
      <c r="CL142" s="113">
        <f t="shared" si="145"/>
        <v>0</v>
      </c>
      <c r="CM142" s="113">
        <f t="shared" si="145"/>
        <v>5</v>
      </c>
      <c r="CN142" s="459">
        <f t="shared" si="145"/>
        <v>0</v>
      </c>
      <c r="CO142" s="461">
        <f t="shared" si="145"/>
        <v>28</v>
      </c>
      <c r="CP142" s="582">
        <f t="shared" si="145"/>
        <v>20</v>
      </c>
      <c r="CQ142" s="113">
        <f t="shared" si="145"/>
        <v>1</v>
      </c>
      <c r="CR142" s="113">
        <f t="shared" si="145"/>
        <v>11</v>
      </c>
      <c r="CS142" s="113">
        <f t="shared" si="145"/>
        <v>8</v>
      </c>
      <c r="CT142" s="460">
        <f t="shared" si="145"/>
        <v>0</v>
      </c>
      <c r="CU142" s="582">
        <f t="shared" si="145"/>
        <v>8</v>
      </c>
      <c r="CV142" s="113">
        <f t="shared" si="145"/>
        <v>1</v>
      </c>
      <c r="CW142" s="113">
        <f t="shared" si="145"/>
        <v>0</v>
      </c>
      <c r="CX142" s="113">
        <f t="shared" si="145"/>
        <v>7</v>
      </c>
      <c r="CY142" s="459">
        <f t="shared" si="145"/>
        <v>0</v>
      </c>
      <c r="CZ142" s="461">
        <f t="shared" si="145"/>
        <v>5</v>
      </c>
      <c r="DA142" s="582">
        <f t="shared" si="145"/>
        <v>4</v>
      </c>
      <c r="DB142" s="113">
        <f t="shared" si="145"/>
        <v>0</v>
      </c>
      <c r="DC142" s="113">
        <f t="shared" si="145"/>
        <v>0</v>
      </c>
      <c r="DD142" s="113">
        <f t="shared" si="145"/>
        <v>4</v>
      </c>
      <c r="DE142" s="460">
        <f t="shared" si="145"/>
        <v>0</v>
      </c>
      <c r="DF142" s="582">
        <f t="shared" si="145"/>
        <v>1</v>
      </c>
      <c r="DG142" s="113">
        <f t="shared" si="145"/>
        <v>0</v>
      </c>
      <c r="DH142" s="113">
        <f t="shared" si="145"/>
        <v>0</v>
      </c>
      <c r="DI142" s="113">
        <f t="shared" si="145"/>
        <v>1</v>
      </c>
      <c r="DJ142" s="459">
        <f t="shared" si="145"/>
        <v>0</v>
      </c>
      <c r="DK142" s="461">
        <f t="shared" si="145"/>
        <v>2</v>
      </c>
      <c r="DL142" s="582">
        <f t="shared" si="145"/>
        <v>1</v>
      </c>
      <c r="DM142" s="113">
        <f t="shared" si="145"/>
        <v>1</v>
      </c>
      <c r="DN142" s="113">
        <f t="shared" si="145"/>
        <v>0</v>
      </c>
      <c r="DO142" s="113">
        <f t="shared" si="145"/>
        <v>0</v>
      </c>
      <c r="DP142" s="460">
        <f t="shared" si="145"/>
        <v>0</v>
      </c>
      <c r="DQ142" s="582">
        <f t="shared" si="145"/>
        <v>1</v>
      </c>
      <c r="DR142" s="113">
        <f t="shared" si="145"/>
        <v>0</v>
      </c>
      <c r="DS142" s="113">
        <f t="shared" si="145"/>
        <v>0</v>
      </c>
      <c r="DT142" s="113">
        <f t="shared" si="145"/>
        <v>1</v>
      </c>
      <c r="DU142" s="459">
        <f t="shared" si="145"/>
        <v>0</v>
      </c>
      <c r="DW142" s="461">
        <f t="shared" si="146"/>
        <v>401</v>
      </c>
      <c r="DX142" s="582">
        <f t="shared" si="147"/>
        <v>305</v>
      </c>
      <c r="DY142" s="113">
        <f t="shared" si="148"/>
        <v>40</v>
      </c>
      <c r="DZ142" s="113">
        <f t="shared" si="149"/>
        <v>38</v>
      </c>
      <c r="EA142" s="113">
        <f t="shared" si="150"/>
        <v>224</v>
      </c>
      <c r="EB142" s="460">
        <f t="shared" si="151"/>
        <v>3</v>
      </c>
      <c r="EC142" s="582">
        <f t="shared" si="152"/>
        <v>96</v>
      </c>
      <c r="ED142" s="113">
        <f t="shared" si="153"/>
        <v>5</v>
      </c>
      <c r="EE142" s="113">
        <f t="shared" si="154"/>
        <v>0</v>
      </c>
      <c r="EF142" s="113">
        <f t="shared" si="155"/>
        <v>90</v>
      </c>
      <c r="EG142" s="459">
        <f t="shared" si="156"/>
        <v>1</v>
      </c>
      <c r="EH142" s="461">
        <f t="shared" si="157"/>
        <v>118</v>
      </c>
      <c r="EI142" s="582">
        <f t="shared" si="157"/>
        <v>66</v>
      </c>
      <c r="EJ142" s="113">
        <f t="shared" si="157"/>
        <v>9</v>
      </c>
      <c r="EK142" s="113">
        <f t="shared" si="157"/>
        <v>5</v>
      </c>
      <c r="EL142" s="113">
        <f t="shared" si="157"/>
        <v>52</v>
      </c>
      <c r="EM142" s="460">
        <f t="shared" si="157"/>
        <v>0</v>
      </c>
      <c r="EN142" s="582">
        <f t="shared" si="157"/>
        <v>52</v>
      </c>
      <c r="EO142" s="113">
        <f t="shared" si="157"/>
        <v>7</v>
      </c>
      <c r="EP142" s="113">
        <f t="shared" si="158"/>
        <v>0</v>
      </c>
      <c r="EQ142" s="113">
        <f t="shared" si="159"/>
        <v>45</v>
      </c>
      <c r="ER142" s="459">
        <f t="shared" si="160"/>
        <v>0</v>
      </c>
    </row>
    <row r="143" spans="1:148">
      <c r="A143" s="466" t="s">
        <v>432</v>
      </c>
      <c r="B143" s="581">
        <v>45748</v>
      </c>
      <c r="C143" s="470">
        <v>2025</v>
      </c>
      <c r="D143" s="461">
        <f t="shared" si="161"/>
        <v>202204</v>
      </c>
      <c r="E143" s="461">
        <f t="shared" si="162"/>
        <v>11694</v>
      </c>
      <c r="F143" s="582">
        <f t="shared" si="162"/>
        <v>7530</v>
      </c>
      <c r="G143" s="113">
        <f t="shared" si="162"/>
        <v>1093</v>
      </c>
      <c r="H143" s="113">
        <f t="shared" si="162"/>
        <v>1082</v>
      </c>
      <c r="I143" s="113">
        <f t="shared" si="162"/>
        <v>5176</v>
      </c>
      <c r="J143" s="460">
        <f t="shared" si="162"/>
        <v>179</v>
      </c>
      <c r="K143" s="582">
        <f t="shared" si="162"/>
        <v>4164</v>
      </c>
      <c r="L143" s="113">
        <f t="shared" si="162"/>
        <v>708</v>
      </c>
      <c r="M143" s="113">
        <f t="shared" si="162"/>
        <v>0</v>
      </c>
      <c r="N143" s="113">
        <f t="shared" si="162"/>
        <v>3389</v>
      </c>
      <c r="O143" s="459">
        <f t="shared" si="162"/>
        <v>67</v>
      </c>
      <c r="P143" s="461">
        <f t="shared" si="162"/>
        <v>31</v>
      </c>
      <c r="Q143" s="582">
        <f t="shared" si="162"/>
        <v>19</v>
      </c>
      <c r="R143" s="113">
        <f t="shared" si="162"/>
        <v>0</v>
      </c>
      <c r="S143" s="113">
        <f t="shared" si="162"/>
        <v>1</v>
      </c>
      <c r="T143" s="113">
        <f t="shared" si="162"/>
        <v>16</v>
      </c>
      <c r="U143" s="460">
        <f t="shared" si="162"/>
        <v>2</v>
      </c>
      <c r="V143" s="582">
        <f t="shared" si="162"/>
        <v>12</v>
      </c>
      <c r="W143" s="113">
        <f t="shared" si="162"/>
        <v>1</v>
      </c>
      <c r="X143" s="113">
        <f t="shared" si="162"/>
        <v>0</v>
      </c>
      <c r="Y143" s="113">
        <f t="shared" si="162"/>
        <v>10</v>
      </c>
      <c r="Z143" s="459">
        <f t="shared" si="162"/>
        <v>1</v>
      </c>
      <c r="AA143" s="461">
        <f t="shared" si="162"/>
        <v>12</v>
      </c>
      <c r="AB143" s="582">
        <f t="shared" si="162"/>
        <v>11</v>
      </c>
      <c r="AC143" s="113">
        <f t="shared" si="162"/>
        <v>3</v>
      </c>
      <c r="AD143" s="113">
        <f t="shared" si="162"/>
        <v>0</v>
      </c>
      <c r="AE143" s="113">
        <f t="shared" si="162"/>
        <v>8</v>
      </c>
      <c r="AF143" s="460">
        <f t="shared" si="162"/>
        <v>0</v>
      </c>
      <c r="AG143" s="582">
        <f t="shared" si="162"/>
        <v>1</v>
      </c>
      <c r="AH143" s="113">
        <f t="shared" si="162"/>
        <v>0</v>
      </c>
      <c r="AI143" s="113">
        <f t="shared" si="162"/>
        <v>0</v>
      </c>
      <c r="AJ143" s="113">
        <f t="shared" si="162"/>
        <v>0</v>
      </c>
      <c r="AK143" s="459">
        <f t="shared" si="162"/>
        <v>1</v>
      </c>
      <c r="AL143" s="461">
        <f t="shared" si="162"/>
        <v>116</v>
      </c>
      <c r="AM143" s="582">
        <f t="shared" si="162"/>
        <v>76</v>
      </c>
      <c r="AN143" s="113">
        <f t="shared" si="162"/>
        <v>12</v>
      </c>
      <c r="AO143" s="113">
        <f t="shared" si="162"/>
        <v>10</v>
      </c>
      <c r="AP143" s="113">
        <f t="shared" si="162"/>
        <v>53</v>
      </c>
      <c r="AQ143" s="460">
        <f t="shared" si="162"/>
        <v>1</v>
      </c>
      <c r="AR143" s="582">
        <f t="shared" si="162"/>
        <v>40</v>
      </c>
      <c r="AS143" s="113">
        <f t="shared" si="162"/>
        <v>9</v>
      </c>
      <c r="AT143" s="113">
        <f t="shared" si="162"/>
        <v>0</v>
      </c>
      <c r="AU143" s="113">
        <f t="shared" si="162"/>
        <v>31</v>
      </c>
      <c r="AV143" s="459">
        <f t="shared" si="162"/>
        <v>0</v>
      </c>
      <c r="AW143" s="461">
        <f t="shared" si="162"/>
        <v>67</v>
      </c>
      <c r="AX143" s="582">
        <f t="shared" si="162"/>
        <v>48</v>
      </c>
      <c r="AY143" s="113">
        <f t="shared" si="162"/>
        <v>2</v>
      </c>
      <c r="AZ143" s="113">
        <f t="shared" si="162"/>
        <v>6</v>
      </c>
      <c r="BA143" s="113">
        <f t="shared" si="162"/>
        <v>39</v>
      </c>
      <c r="BB143" s="460">
        <f t="shared" si="162"/>
        <v>1</v>
      </c>
      <c r="BC143" s="582">
        <f t="shared" si="162"/>
        <v>19</v>
      </c>
      <c r="BD143" s="113">
        <f t="shared" si="162"/>
        <v>1</v>
      </c>
      <c r="BE143" s="113">
        <f t="shared" si="162"/>
        <v>0</v>
      </c>
      <c r="BF143" s="113">
        <f t="shared" si="162"/>
        <v>18</v>
      </c>
      <c r="BG143" s="459">
        <f t="shared" si="162"/>
        <v>0</v>
      </c>
      <c r="BH143" s="461">
        <f t="shared" si="162"/>
        <v>70</v>
      </c>
      <c r="BI143" s="582">
        <f t="shared" si="162"/>
        <v>50</v>
      </c>
      <c r="BJ143" s="113">
        <f t="shared" si="162"/>
        <v>7</v>
      </c>
      <c r="BK143" s="113">
        <f t="shared" si="162"/>
        <v>6</v>
      </c>
      <c r="BL143" s="113">
        <f t="shared" si="162"/>
        <v>37</v>
      </c>
      <c r="BM143" s="460">
        <f t="shared" si="162"/>
        <v>0</v>
      </c>
      <c r="BN143" s="582">
        <f t="shared" si="162"/>
        <v>20</v>
      </c>
      <c r="BO143" s="113">
        <f t="shared" si="162"/>
        <v>7</v>
      </c>
      <c r="BP143" s="113">
        <f t="shared" si="162"/>
        <v>0</v>
      </c>
      <c r="BQ143" s="113">
        <f t="shared" si="145"/>
        <v>13</v>
      </c>
      <c r="BR143" s="459">
        <f t="shared" si="145"/>
        <v>0</v>
      </c>
      <c r="BS143" s="461">
        <f t="shared" si="145"/>
        <v>161</v>
      </c>
      <c r="BT143" s="582">
        <f t="shared" si="145"/>
        <v>118</v>
      </c>
      <c r="BU143" s="113">
        <f t="shared" si="145"/>
        <v>25</v>
      </c>
      <c r="BV143" s="113">
        <f t="shared" si="145"/>
        <v>6</v>
      </c>
      <c r="BW143" s="113">
        <f t="shared" si="145"/>
        <v>84</v>
      </c>
      <c r="BX143" s="460">
        <f t="shared" si="145"/>
        <v>3</v>
      </c>
      <c r="BY143" s="582">
        <f t="shared" si="145"/>
        <v>43</v>
      </c>
      <c r="BZ143" s="113">
        <f t="shared" si="145"/>
        <v>2</v>
      </c>
      <c r="CA143" s="113">
        <f t="shared" si="145"/>
        <v>0</v>
      </c>
      <c r="CB143" s="113">
        <f t="shared" si="145"/>
        <v>41</v>
      </c>
      <c r="CC143" s="459">
        <f t="shared" si="145"/>
        <v>0</v>
      </c>
      <c r="CD143" s="461">
        <f t="shared" si="145"/>
        <v>28</v>
      </c>
      <c r="CE143" s="582">
        <f t="shared" si="145"/>
        <v>19</v>
      </c>
      <c r="CF143" s="113">
        <f t="shared" si="145"/>
        <v>1</v>
      </c>
      <c r="CG143" s="113">
        <f t="shared" si="145"/>
        <v>4</v>
      </c>
      <c r="CH143" s="113">
        <f t="shared" si="145"/>
        <v>14</v>
      </c>
      <c r="CI143" s="460">
        <f t="shared" si="145"/>
        <v>0</v>
      </c>
      <c r="CJ143" s="582">
        <f t="shared" si="145"/>
        <v>9</v>
      </c>
      <c r="CK143" s="113">
        <f t="shared" si="145"/>
        <v>0</v>
      </c>
      <c r="CL143" s="113">
        <f t="shared" si="145"/>
        <v>0</v>
      </c>
      <c r="CM143" s="113">
        <f t="shared" si="145"/>
        <v>9</v>
      </c>
      <c r="CN143" s="459">
        <f t="shared" si="145"/>
        <v>0</v>
      </c>
      <c r="CO143" s="461">
        <f t="shared" si="145"/>
        <v>16</v>
      </c>
      <c r="CP143" s="582">
        <f t="shared" si="145"/>
        <v>8</v>
      </c>
      <c r="CQ143" s="113">
        <f t="shared" si="145"/>
        <v>1</v>
      </c>
      <c r="CR143" s="113">
        <f t="shared" ref="CR143:DU143" si="163">SUMIFS(CR$5:CR$41,$B$5:$B$41,$A143)</f>
        <v>0</v>
      </c>
      <c r="CS143" s="113">
        <f t="shared" si="163"/>
        <v>7</v>
      </c>
      <c r="CT143" s="460">
        <f t="shared" si="163"/>
        <v>0</v>
      </c>
      <c r="CU143" s="582">
        <f t="shared" si="163"/>
        <v>8</v>
      </c>
      <c r="CV143" s="113">
        <f t="shared" si="163"/>
        <v>1</v>
      </c>
      <c r="CW143" s="113">
        <f t="shared" si="163"/>
        <v>0</v>
      </c>
      <c r="CX143" s="113">
        <f t="shared" si="163"/>
        <v>7</v>
      </c>
      <c r="CY143" s="459">
        <f t="shared" si="163"/>
        <v>0</v>
      </c>
      <c r="CZ143" s="461">
        <f t="shared" si="163"/>
        <v>4</v>
      </c>
      <c r="DA143" s="582">
        <f t="shared" si="163"/>
        <v>4</v>
      </c>
      <c r="DB143" s="113">
        <f t="shared" si="163"/>
        <v>1</v>
      </c>
      <c r="DC143" s="113">
        <f t="shared" si="163"/>
        <v>0</v>
      </c>
      <c r="DD143" s="113">
        <f t="shared" si="163"/>
        <v>3</v>
      </c>
      <c r="DE143" s="460">
        <f t="shared" si="163"/>
        <v>0</v>
      </c>
      <c r="DF143" s="582">
        <f t="shared" si="163"/>
        <v>0</v>
      </c>
      <c r="DG143" s="113">
        <f t="shared" si="163"/>
        <v>0</v>
      </c>
      <c r="DH143" s="113">
        <f t="shared" si="163"/>
        <v>0</v>
      </c>
      <c r="DI143" s="113">
        <f t="shared" si="163"/>
        <v>0</v>
      </c>
      <c r="DJ143" s="459">
        <f t="shared" si="163"/>
        <v>0</v>
      </c>
      <c r="DK143" s="461">
        <f t="shared" si="163"/>
        <v>5</v>
      </c>
      <c r="DL143" s="582">
        <f t="shared" si="163"/>
        <v>3</v>
      </c>
      <c r="DM143" s="113">
        <f t="shared" si="163"/>
        <v>0</v>
      </c>
      <c r="DN143" s="113">
        <f t="shared" si="163"/>
        <v>1</v>
      </c>
      <c r="DO143" s="113">
        <f t="shared" si="163"/>
        <v>2</v>
      </c>
      <c r="DP143" s="460">
        <f t="shared" si="163"/>
        <v>0</v>
      </c>
      <c r="DQ143" s="582">
        <f t="shared" si="163"/>
        <v>2</v>
      </c>
      <c r="DR143" s="113">
        <f t="shared" si="163"/>
        <v>0</v>
      </c>
      <c r="DS143" s="113">
        <f t="shared" si="163"/>
        <v>0</v>
      </c>
      <c r="DT143" s="113">
        <f t="shared" si="163"/>
        <v>2</v>
      </c>
      <c r="DU143" s="459">
        <f t="shared" si="163"/>
        <v>0</v>
      </c>
      <c r="DW143" s="461">
        <f t="shared" si="146"/>
        <v>394</v>
      </c>
      <c r="DX143" s="582">
        <f t="shared" si="147"/>
        <v>280</v>
      </c>
      <c r="DY143" s="113">
        <f t="shared" si="148"/>
        <v>40</v>
      </c>
      <c r="DZ143" s="113">
        <f t="shared" si="149"/>
        <v>24</v>
      </c>
      <c r="EA143" s="113">
        <f t="shared" si="150"/>
        <v>210</v>
      </c>
      <c r="EB143" s="460">
        <f t="shared" si="151"/>
        <v>6</v>
      </c>
      <c r="EC143" s="582">
        <f t="shared" si="152"/>
        <v>114</v>
      </c>
      <c r="ED143" s="113">
        <f t="shared" si="153"/>
        <v>12</v>
      </c>
      <c r="EE143" s="113">
        <f t="shared" si="154"/>
        <v>0</v>
      </c>
      <c r="EF143" s="113">
        <f t="shared" si="155"/>
        <v>100</v>
      </c>
      <c r="EG143" s="459">
        <f t="shared" si="156"/>
        <v>2</v>
      </c>
      <c r="EH143" s="461">
        <f t="shared" si="157"/>
        <v>116</v>
      </c>
      <c r="EI143" s="582">
        <f t="shared" si="157"/>
        <v>76</v>
      </c>
      <c r="EJ143" s="113">
        <f t="shared" si="157"/>
        <v>12</v>
      </c>
      <c r="EK143" s="113">
        <f t="shared" si="157"/>
        <v>10</v>
      </c>
      <c r="EL143" s="113">
        <f t="shared" si="157"/>
        <v>53</v>
      </c>
      <c r="EM143" s="460">
        <f t="shared" si="157"/>
        <v>1</v>
      </c>
      <c r="EN143" s="582">
        <f t="shared" si="157"/>
        <v>40</v>
      </c>
      <c r="EO143" s="113">
        <f t="shared" si="157"/>
        <v>9</v>
      </c>
      <c r="EP143" s="113">
        <f t="shared" si="158"/>
        <v>0</v>
      </c>
      <c r="EQ143" s="113">
        <f t="shared" si="159"/>
        <v>31</v>
      </c>
      <c r="ER143" s="459">
        <f t="shared" si="160"/>
        <v>0</v>
      </c>
    </row>
    <row r="144" spans="1:148">
      <c r="A144" s="466" t="s">
        <v>432</v>
      </c>
      <c r="B144" s="581">
        <v>45778</v>
      </c>
      <c r="C144" s="470">
        <v>2025</v>
      </c>
      <c r="D144" s="461">
        <f t="shared" si="161"/>
        <v>202204</v>
      </c>
      <c r="E144" s="461">
        <f t="shared" si="162"/>
        <v>11694</v>
      </c>
      <c r="F144" s="582">
        <f t="shared" si="162"/>
        <v>7530</v>
      </c>
      <c r="G144" s="113">
        <f t="shared" si="162"/>
        <v>1093</v>
      </c>
      <c r="H144" s="113">
        <f t="shared" si="162"/>
        <v>1082</v>
      </c>
      <c r="I144" s="113">
        <f t="shared" si="162"/>
        <v>5176</v>
      </c>
      <c r="J144" s="460">
        <f t="shared" si="162"/>
        <v>179</v>
      </c>
      <c r="K144" s="582">
        <f t="shared" si="162"/>
        <v>4164</v>
      </c>
      <c r="L144" s="113">
        <f t="shared" si="162"/>
        <v>708</v>
      </c>
      <c r="M144" s="113">
        <f t="shared" si="162"/>
        <v>0</v>
      </c>
      <c r="N144" s="113">
        <f t="shared" si="162"/>
        <v>3389</v>
      </c>
      <c r="O144" s="459">
        <f t="shared" si="162"/>
        <v>67</v>
      </c>
      <c r="P144" s="461">
        <f t="shared" si="162"/>
        <v>31</v>
      </c>
      <c r="Q144" s="582">
        <f t="shared" si="162"/>
        <v>19</v>
      </c>
      <c r="R144" s="113">
        <f t="shared" si="162"/>
        <v>0</v>
      </c>
      <c r="S144" s="113">
        <f t="shared" si="162"/>
        <v>1</v>
      </c>
      <c r="T144" s="113">
        <f t="shared" si="162"/>
        <v>16</v>
      </c>
      <c r="U144" s="460">
        <f t="shared" si="162"/>
        <v>2</v>
      </c>
      <c r="V144" s="582">
        <f t="shared" si="162"/>
        <v>12</v>
      </c>
      <c r="W144" s="113">
        <f t="shared" si="162"/>
        <v>1</v>
      </c>
      <c r="X144" s="113">
        <f t="shared" si="162"/>
        <v>0</v>
      </c>
      <c r="Y144" s="113">
        <f t="shared" si="162"/>
        <v>10</v>
      </c>
      <c r="Z144" s="459">
        <f t="shared" si="162"/>
        <v>1</v>
      </c>
      <c r="AA144" s="461">
        <f t="shared" si="162"/>
        <v>12</v>
      </c>
      <c r="AB144" s="582">
        <f t="shared" si="162"/>
        <v>11</v>
      </c>
      <c r="AC144" s="113">
        <f t="shared" si="162"/>
        <v>3</v>
      </c>
      <c r="AD144" s="113">
        <f t="shared" si="162"/>
        <v>0</v>
      </c>
      <c r="AE144" s="113">
        <f t="shared" si="162"/>
        <v>8</v>
      </c>
      <c r="AF144" s="460">
        <f t="shared" si="162"/>
        <v>0</v>
      </c>
      <c r="AG144" s="582">
        <f t="shared" si="162"/>
        <v>1</v>
      </c>
      <c r="AH144" s="113">
        <f t="shared" si="162"/>
        <v>0</v>
      </c>
      <c r="AI144" s="113">
        <f t="shared" si="162"/>
        <v>0</v>
      </c>
      <c r="AJ144" s="113">
        <f t="shared" si="162"/>
        <v>0</v>
      </c>
      <c r="AK144" s="459">
        <f t="shared" si="162"/>
        <v>1</v>
      </c>
      <c r="AL144" s="461">
        <f t="shared" si="162"/>
        <v>116</v>
      </c>
      <c r="AM144" s="582">
        <f t="shared" si="162"/>
        <v>76</v>
      </c>
      <c r="AN144" s="113">
        <f t="shared" si="162"/>
        <v>12</v>
      </c>
      <c r="AO144" s="113">
        <f t="shared" si="162"/>
        <v>10</v>
      </c>
      <c r="AP144" s="113">
        <f t="shared" si="162"/>
        <v>53</v>
      </c>
      <c r="AQ144" s="460">
        <f t="shared" si="162"/>
        <v>1</v>
      </c>
      <c r="AR144" s="582">
        <f t="shared" si="162"/>
        <v>40</v>
      </c>
      <c r="AS144" s="113">
        <f t="shared" si="162"/>
        <v>9</v>
      </c>
      <c r="AT144" s="113">
        <f t="shared" si="162"/>
        <v>0</v>
      </c>
      <c r="AU144" s="113">
        <f t="shared" si="162"/>
        <v>31</v>
      </c>
      <c r="AV144" s="459">
        <f t="shared" si="162"/>
        <v>0</v>
      </c>
      <c r="AW144" s="461">
        <f t="shared" si="162"/>
        <v>67</v>
      </c>
      <c r="AX144" s="582">
        <f t="shared" si="162"/>
        <v>48</v>
      </c>
      <c r="AY144" s="113">
        <f t="shared" si="162"/>
        <v>2</v>
      </c>
      <c r="AZ144" s="113">
        <f t="shared" si="162"/>
        <v>6</v>
      </c>
      <c r="BA144" s="113">
        <f t="shared" si="162"/>
        <v>39</v>
      </c>
      <c r="BB144" s="460">
        <f t="shared" si="162"/>
        <v>1</v>
      </c>
      <c r="BC144" s="582">
        <f t="shared" si="162"/>
        <v>19</v>
      </c>
      <c r="BD144" s="113">
        <f t="shared" si="162"/>
        <v>1</v>
      </c>
      <c r="BE144" s="113">
        <f t="shared" si="162"/>
        <v>0</v>
      </c>
      <c r="BF144" s="113">
        <f t="shared" si="162"/>
        <v>18</v>
      </c>
      <c r="BG144" s="459">
        <f t="shared" si="162"/>
        <v>0</v>
      </c>
      <c r="BH144" s="461">
        <f t="shared" si="162"/>
        <v>70</v>
      </c>
      <c r="BI144" s="582">
        <f t="shared" si="162"/>
        <v>50</v>
      </c>
      <c r="BJ144" s="113">
        <f t="shared" si="162"/>
        <v>7</v>
      </c>
      <c r="BK144" s="113">
        <f t="shared" si="162"/>
        <v>6</v>
      </c>
      <c r="BL144" s="113">
        <f t="shared" si="162"/>
        <v>37</v>
      </c>
      <c r="BM144" s="460">
        <f t="shared" si="162"/>
        <v>0</v>
      </c>
      <c r="BN144" s="582">
        <f t="shared" si="162"/>
        <v>20</v>
      </c>
      <c r="BO144" s="113">
        <f t="shared" si="162"/>
        <v>7</v>
      </c>
      <c r="BP144" s="113">
        <f t="shared" ref="BP144:DU147" si="164">SUMIFS(BP$5:BP$41,$B$5:$B$41,$A144)</f>
        <v>0</v>
      </c>
      <c r="BQ144" s="113">
        <f t="shared" si="164"/>
        <v>13</v>
      </c>
      <c r="BR144" s="459">
        <f t="shared" si="164"/>
        <v>0</v>
      </c>
      <c r="BS144" s="461">
        <f t="shared" si="164"/>
        <v>161</v>
      </c>
      <c r="BT144" s="582">
        <f t="shared" si="164"/>
        <v>118</v>
      </c>
      <c r="BU144" s="113">
        <f t="shared" si="164"/>
        <v>25</v>
      </c>
      <c r="BV144" s="113">
        <f t="shared" si="164"/>
        <v>6</v>
      </c>
      <c r="BW144" s="113">
        <f t="shared" si="164"/>
        <v>84</v>
      </c>
      <c r="BX144" s="460">
        <f t="shared" si="164"/>
        <v>3</v>
      </c>
      <c r="BY144" s="582">
        <f t="shared" si="164"/>
        <v>43</v>
      </c>
      <c r="BZ144" s="113">
        <f t="shared" si="164"/>
        <v>2</v>
      </c>
      <c r="CA144" s="113">
        <f t="shared" si="164"/>
        <v>0</v>
      </c>
      <c r="CB144" s="113">
        <f t="shared" si="164"/>
        <v>41</v>
      </c>
      <c r="CC144" s="459">
        <f t="shared" si="164"/>
        <v>0</v>
      </c>
      <c r="CD144" s="461">
        <f t="shared" si="164"/>
        <v>28</v>
      </c>
      <c r="CE144" s="582">
        <f t="shared" si="164"/>
        <v>19</v>
      </c>
      <c r="CF144" s="113">
        <f t="shared" si="164"/>
        <v>1</v>
      </c>
      <c r="CG144" s="113">
        <f t="shared" si="164"/>
        <v>4</v>
      </c>
      <c r="CH144" s="113">
        <f t="shared" si="164"/>
        <v>14</v>
      </c>
      <c r="CI144" s="460">
        <f t="shared" si="164"/>
        <v>0</v>
      </c>
      <c r="CJ144" s="582">
        <f t="shared" si="164"/>
        <v>9</v>
      </c>
      <c r="CK144" s="113">
        <f t="shared" si="164"/>
        <v>0</v>
      </c>
      <c r="CL144" s="113">
        <f t="shared" si="164"/>
        <v>0</v>
      </c>
      <c r="CM144" s="113">
        <f t="shared" si="164"/>
        <v>9</v>
      </c>
      <c r="CN144" s="459">
        <f t="shared" si="164"/>
        <v>0</v>
      </c>
      <c r="CO144" s="461">
        <f t="shared" si="164"/>
        <v>16</v>
      </c>
      <c r="CP144" s="582">
        <f t="shared" si="164"/>
        <v>8</v>
      </c>
      <c r="CQ144" s="113">
        <f t="shared" si="164"/>
        <v>1</v>
      </c>
      <c r="CR144" s="113">
        <f t="shared" si="164"/>
        <v>0</v>
      </c>
      <c r="CS144" s="113">
        <f t="shared" si="164"/>
        <v>7</v>
      </c>
      <c r="CT144" s="460">
        <f t="shared" si="164"/>
        <v>0</v>
      </c>
      <c r="CU144" s="582">
        <f t="shared" si="164"/>
        <v>8</v>
      </c>
      <c r="CV144" s="113">
        <f t="shared" si="164"/>
        <v>1</v>
      </c>
      <c r="CW144" s="113">
        <f t="shared" si="164"/>
        <v>0</v>
      </c>
      <c r="CX144" s="113">
        <f t="shared" si="164"/>
        <v>7</v>
      </c>
      <c r="CY144" s="459">
        <f t="shared" si="164"/>
        <v>0</v>
      </c>
      <c r="CZ144" s="461">
        <f t="shared" si="164"/>
        <v>4</v>
      </c>
      <c r="DA144" s="582">
        <f t="shared" si="164"/>
        <v>4</v>
      </c>
      <c r="DB144" s="113">
        <f t="shared" si="164"/>
        <v>1</v>
      </c>
      <c r="DC144" s="113">
        <f t="shared" si="164"/>
        <v>0</v>
      </c>
      <c r="DD144" s="113">
        <f t="shared" si="164"/>
        <v>3</v>
      </c>
      <c r="DE144" s="460">
        <f t="shared" si="164"/>
        <v>0</v>
      </c>
      <c r="DF144" s="582">
        <f t="shared" si="164"/>
        <v>0</v>
      </c>
      <c r="DG144" s="113">
        <f t="shared" si="164"/>
        <v>0</v>
      </c>
      <c r="DH144" s="113">
        <f t="shared" si="164"/>
        <v>0</v>
      </c>
      <c r="DI144" s="113">
        <f t="shared" si="164"/>
        <v>0</v>
      </c>
      <c r="DJ144" s="459">
        <f t="shared" si="164"/>
        <v>0</v>
      </c>
      <c r="DK144" s="461">
        <f t="shared" si="164"/>
        <v>5</v>
      </c>
      <c r="DL144" s="582">
        <f t="shared" si="164"/>
        <v>3</v>
      </c>
      <c r="DM144" s="113">
        <f t="shared" si="164"/>
        <v>0</v>
      </c>
      <c r="DN144" s="113">
        <f t="shared" si="164"/>
        <v>1</v>
      </c>
      <c r="DO144" s="113">
        <f t="shared" si="164"/>
        <v>2</v>
      </c>
      <c r="DP144" s="460">
        <f t="shared" si="164"/>
        <v>0</v>
      </c>
      <c r="DQ144" s="582">
        <f t="shared" si="164"/>
        <v>2</v>
      </c>
      <c r="DR144" s="113">
        <f t="shared" si="164"/>
        <v>0</v>
      </c>
      <c r="DS144" s="113">
        <f t="shared" si="164"/>
        <v>0</v>
      </c>
      <c r="DT144" s="113">
        <f t="shared" si="164"/>
        <v>2</v>
      </c>
      <c r="DU144" s="459">
        <f t="shared" si="164"/>
        <v>0</v>
      </c>
      <c r="DW144" s="461">
        <f t="shared" si="146"/>
        <v>394</v>
      </c>
      <c r="DX144" s="582">
        <f t="shared" si="147"/>
        <v>280</v>
      </c>
      <c r="DY144" s="113">
        <f t="shared" si="148"/>
        <v>40</v>
      </c>
      <c r="DZ144" s="113">
        <f t="shared" si="149"/>
        <v>24</v>
      </c>
      <c r="EA144" s="113">
        <f t="shared" si="150"/>
        <v>210</v>
      </c>
      <c r="EB144" s="460">
        <f t="shared" si="151"/>
        <v>6</v>
      </c>
      <c r="EC144" s="582">
        <f t="shared" si="152"/>
        <v>114</v>
      </c>
      <c r="ED144" s="113">
        <f t="shared" si="153"/>
        <v>12</v>
      </c>
      <c r="EE144" s="113">
        <f t="shared" si="154"/>
        <v>0</v>
      </c>
      <c r="EF144" s="113">
        <f t="shared" si="155"/>
        <v>100</v>
      </c>
      <c r="EG144" s="459">
        <f t="shared" si="156"/>
        <v>2</v>
      </c>
      <c r="EH144" s="461">
        <f t="shared" si="157"/>
        <v>116</v>
      </c>
      <c r="EI144" s="582">
        <f t="shared" si="157"/>
        <v>76</v>
      </c>
      <c r="EJ144" s="113">
        <f t="shared" si="157"/>
        <v>12</v>
      </c>
      <c r="EK144" s="113">
        <f t="shared" si="157"/>
        <v>10</v>
      </c>
      <c r="EL144" s="113">
        <f t="shared" si="157"/>
        <v>53</v>
      </c>
      <c r="EM144" s="460">
        <f t="shared" si="157"/>
        <v>1</v>
      </c>
      <c r="EN144" s="582">
        <f t="shared" si="157"/>
        <v>40</v>
      </c>
      <c r="EO144" s="113">
        <f t="shared" si="157"/>
        <v>9</v>
      </c>
      <c r="EP144" s="113">
        <f t="shared" si="158"/>
        <v>0</v>
      </c>
      <c r="EQ144" s="113">
        <f t="shared" si="159"/>
        <v>31</v>
      </c>
      <c r="ER144" s="459">
        <f t="shared" si="160"/>
        <v>0</v>
      </c>
    </row>
    <row r="145" spans="1:148">
      <c r="A145" s="466" t="s">
        <v>432</v>
      </c>
      <c r="B145" s="581">
        <v>45809</v>
      </c>
      <c r="C145" s="470">
        <v>2025</v>
      </c>
      <c r="D145" s="461">
        <f t="shared" si="161"/>
        <v>202204</v>
      </c>
      <c r="E145" s="461">
        <f t="shared" ref="E145:BP148" si="165">SUMIFS(E$5:E$41,$B$5:$B$41,$A145)</f>
        <v>11694</v>
      </c>
      <c r="F145" s="582">
        <f t="shared" si="165"/>
        <v>7530</v>
      </c>
      <c r="G145" s="113">
        <f t="shared" si="165"/>
        <v>1093</v>
      </c>
      <c r="H145" s="113">
        <f t="shared" si="165"/>
        <v>1082</v>
      </c>
      <c r="I145" s="113">
        <f t="shared" si="165"/>
        <v>5176</v>
      </c>
      <c r="J145" s="460">
        <f t="shared" si="165"/>
        <v>179</v>
      </c>
      <c r="K145" s="582">
        <f t="shared" si="165"/>
        <v>4164</v>
      </c>
      <c r="L145" s="113">
        <f t="shared" si="165"/>
        <v>708</v>
      </c>
      <c r="M145" s="113">
        <f t="shared" si="165"/>
        <v>0</v>
      </c>
      <c r="N145" s="113">
        <f t="shared" si="165"/>
        <v>3389</v>
      </c>
      <c r="O145" s="459">
        <f t="shared" si="165"/>
        <v>67</v>
      </c>
      <c r="P145" s="461">
        <f t="shared" si="165"/>
        <v>31</v>
      </c>
      <c r="Q145" s="582">
        <f t="shared" si="165"/>
        <v>19</v>
      </c>
      <c r="R145" s="113">
        <f t="shared" si="165"/>
        <v>0</v>
      </c>
      <c r="S145" s="113">
        <f t="shared" si="165"/>
        <v>1</v>
      </c>
      <c r="T145" s="113">
        <f t="shared" si="165"/>
        <v>16</v>
      </c>
      <c r="U145" s="460">
        <f t="shared" si="165"/>
        <v>2</v>
      </c>
      <c r="V145" s="582">
        <f t="shared" si="165"/>
        <v>12</v>
      </c>
      <c r="W145" s="113">
        <f t="shared" si="165"/>
        <v>1</v>
      </c>
      <c r="X145" s="113">
        <f t="shared" si="165"/>
        <v>0</v>
      </c>
      <c r="Y145" s="113">
        <f t="shared" si="165"/>
        <v>10</v>
      </c>
      <c r="Z145" s="459">
        <f t="shared" si="165"/>
        <v>1</v>
      </c>
      <c r="AA145" s="461">
        <f t="shared" si="165"/>
        <v>12</v>
      </c>
      <c r="AB145" s="582">
        <f t="shared" si="165"/>
        <v>11</v>
      </c>
      <c r="AC145" s="113">
        <f t="shared" si="165"/>
        <v>3</v>
      </c>
      <c r="AD145" s="113">
        <f t="shared" si="165"/>
        <v>0</v>
      </c>
      <c r="AE145" s="113">
        <f t="shared" si="165"/>
        <v>8</v>
      </c>
      <c r="AF145" s="460">
        <f t="shared" si="165"/>
        <v>0</v>
      </c>
      <c r="AG145" s="582">
        <f t="shared" si="165"/>
        <v>1</v>
      </c>
      <c r="AH145" s="113">
        <f t="shared" si="165"/>
        <v>0</v>
      </c>
      <c r="AI145" s="113">
        <f t="shared" si="165"/>
        <v>0</v>
      </c>
      <c r="AJ145" s="113">
        <f t="shared" si="165"/>
        <v>0</v>
      </c>
      <c r="AK145" s="459">
        <f t="shared" si="165"/>
        <v>1</v>
      </c>
      <c r="AL145" s="461">
        <f t="shared" si="165"/>
        <v>116</v>
      </c>
      <c r="AM145" s="582">
        <f t="shared" si="165"/>
        <v>76</v>
      </c>
      <c r="AN145" s="113">
        <f t="shared" si="165"/>
        <v>12</v>
      </c>
      <c r="AO145" s="113">
        <f t="shared" si="165"/>
        <v>10</v>
      </c>
      <c r="AP145" s="113">
        <f t="shared" si="165"/>
        <v>53</v>
      </c>
      <c r="AQ145" s="460">
        <f t="shared" si="165"/>
        <v>1</v>
      </c>
      <c r="AR145" s="582">
        <f t="shared" si="165"/>
        <v>40</v>
      </c>
      <c r="AS145" s="113">
        <f t="shared" si="165"/>
        <v>9</v>
      </c>
      <c r="AT145" s="113">
        <f t="shared" si="165"/>
        <v>0</v>
      </c>
      <c r="AU145" s="113">
        <f t="shared" si="165"/>
        <v>31</v>
      </c>
      <c r="AV145" s="459">
        <f t="shared" si="165"/>
        <v>0</v>
      </c>
      <c r="AW145" s="461">
        <f t="shared" si="165"/>
        <v>67</v>
      </c>
      <c r="AX145" s="582">
        <f t="shared" si="165"/>
        <v>48</v>
      </c>
      <c r="AY145" s="113">
        <f t="shared" si="165"/>
        <v>2</v>
      </c>
      <c r="AZ145" s="113">
        <f t="shared" si="165"/>
        <v>6</v>
      </c>
      <c r="BA145" s="113">
        <f t="shared" si="165"/>
        <v>39</v>
      </c>
      <c r="BB145" s="460">
        <f t="shared" si="165"/>
        <v>1</v>
      </c>
      <c r="BC145" s="582">
        <f t="shared" si="165"/>
        <v>19</v>
      </c>
      <c r="BD145" s="113">
        <f t="shared" si="165"/>
        <v>1</v>
      </c>
      <c r="BE145" s="113">
        <f t="shared" si="165"/>
        <v>0</v>
      </c>
      <c r="BF145" s="113">
        <f t="shared" si="165"/>
        <v>18</v>
      </c>
      <c r="BG145" s="459">
        <f t="shared" si="165"/>
        <v>0</v>
      </c>
      <c r="BH145" s="461">
        <f t="shared" si="165"/>
        <v>70</v>
      </c>
      <c r="BI145" s="582">
        <f t="shared" si="165"/>
        <v>50</v>
      </c>
      <c r="BJ145" s="113">
        <f t="shared" si="165"/>
        <v>7</v>
      </c>
      <c r="BK145" s="113">
        <f t="shared" si="165"/>
        <v>6</v>
      </c>
      <c r="BL145" s="113">
        <f t="shared" si="165"/>
        <v>37</v>
      </c>
      <c r="BM145" s="460">
        <f t="shared" si="165"/>
        <v>0</v>
      </c>
      <c r="BN145" s="582">
        <f t="shared" si="165"/>
        <v>20</v>
      </c>
      <c r="BO145" s="113">
        <f t="shared" si="165"/>
        <v>7</v>
      </c>
      <c r="BP145" s="113">
        <f t="shared" si="165"/>
        <v>0</v>
      </c>
      <c r="BQ145" s="113">
        <f t="shared" si="164"/>
        <v>13</v>
      </c>
      <c r="BR145" s="459">
        <f t="shared" si="164"/>
        <v>0</v>
      </c>
      <c r="BS145" s="461">
        <f t="shared" si="164"/>
        <v>161</v>
      </c>
      <c r="BT145" s="582">
        <f t="shared" si="164"/>
        <v>118</v>
      </c>
      <c r="BU145" s="113">
        <f t="shared" si="164"/>
        <v>25</v>
      </c>
      <c r="BV145" s="113">
        <f t="shared" si="164"/>
        <v>6</v>
      </c>
      <c r="BW145" s="113">
        <f t="shared" si="164"/>
        <v>84</v>
      </c>
      <c r="BX145" s="460">
        <f t="shared" si="164"/>
        <v>3</v>
      </c>
      <c r="BY145" s="582">
        <f t="shared" si="164"/>
        <v>43</v>
      </c>
      <c r="BZ145" s="113">
        <f t="shared" si="164"/>
        <v>2</v>
      </c>
      <c r="CA145" s="113">
        <f t="shared" si="164"/>
        <v>0</v>
      </c>
      <c r="CB145" s="113">
        <f t="shared" si="164"/>
        <v>41</v>
      </c>
      <c r="CC145" s="459">
        <f t="shared" si="164"/>
        <v>0</v>
      </c>
      <c r="CD145" s="461">
        <f t="shared" si="164"/>
        <v>28</v>
      </c>
      <c r="CE145" s="582">
        <f t="shared" si="164"/>
        <v>19</v>
      </c>
      <c r="CF145" s="113">
        <f t="shared" si="164"/>
        <v>1</v>
      </c>
      <c r="CG145" s="113">
        <f t="shared" si="164"/>
        <v>4</v>
      </c>
      <c r="CH145" s="113">
        <f t="shared" si="164"/>
        <v>14</v>
      </c>
      <c r="CI145" s="460">
        <f t="shared" si="164"/>
        <v>0</v>
      </c>
      <c r="CJ145" s="582">
        <f t="shared" si="164"/>
        <v>9</v>
      </c>
      <c r="CK145" s="113">
        <f t="shared" si="164"/>
        <v>0</v>
      </c>
      <c r="CL145" s="113">
        <f t="shared" si="164"/>
        <v>0</v>
      </c>
      <c r="CM145" s="113">
        <f t="shared" si="164"/>
        <v>9</v>
      </c>
      <c r="CN145" s="459">
        <f t="shared" si="164"/>
        <v>0</v>
      </c>
      <c r="CO145" s="461">
        <f t="shared" si="164"/>
        <v>16</v>
      </c>
      <c r="CP145" s="582">
        <f t="shared" si="164"/>
        <v>8</v>
      </c>
      <c r="CQ145" s="113">
        <f t="shared" si="164"/>
        <v>1</v>
      </c>
      <c r="CR145" s="113">
        <f t="shared" si="164"/>
        <v>0</v>
      </c>
      <c r="CS145" s="113">
        <f t="shared" si="164"/>
        <v>7</v>
      </c>
      <c r="CT145" s="460">
        <f t="shared" si="164"/>
        <v>0</v>
      </c>
      <c r="CU145" s="582">
        <f t="shared" si="164"/>
        <v>8</v>
      </c>
      <c r="CV145" s="113">
        <f t="shared" si="164"/>
        <v>1</v>
      </c>
      <c r="CW145" s="113">
        <f t="shared" si="164"/>
        <v>0</v>
      </c>
      <c r="CX145" s="113">
        <f t="shared" si="164"/>
        <v>7</v>
      </c>
      <c r="CY145" s="459">
        <f t="shared" si="164"/>
        <v>0</v>
      </c>
      <c r="CZ145" s="461">
        <f t="shared" si="164"/>
        <v>4</v>
      </c>
      <c r="DA145" s="582">
        <f t="shared" si="164"/>
        <v>4</v>
      </c>
      <c r="DB145" s="113">
        <f t="shared" si="164"/>
        <v>1</v>
      </c>
      <c r="DC145" s="113">
        <f t="shared" si="164"/>
        <v>0</v>
      </c>
      <c r="DD145" s="113">
        <f t="shared" si="164"/>
        <v>3</v>
      </c>
      <c r="DE145" s="460">
        <f t="shared" si="164"/>
        <v>0</v>
      </c>
      <c r="DF145" s="582">
        <f t="shared" si="164"/>
        <v>0</v>
      </c>
      <c r="DG145" s="113">
        <f t="shared" si="164"/>
        <v>0</v>
      </c>
      <c r="DH145" s="113">
        <f t="shared" si="164"/>
        <v>0</v>
      </c>
      <c r="DI145" s="113">
        <f t="shared" si="164"/>
        <v>0</v>
      </c>
      <c r="DJ145" s="459">
        <f t="shared" si="164"/>
        <v>0</v>
      </c>
      <c r="DK145" s="461">
        <f t="shared" si="164"/>
        <v>5</v>
      </c>
      <c r="DL145" s="582">
        <f t="shared" si="164"/>
        <v>3</v>
      </c>
      <c r="DM145" s="113">
        <f t="shared" si="164"/>
        <v>0</v>
      </c>
      <c r="DN145" s="113">
        <f t="shared" si="164"/>
        <v>1</v>
      </c>
      <c r="DO145" s="113">
        <f t="shared" si="164"/>
        <v>2</v>
      </c>
      <c r="DP145" s="460">
        <f t="shared" si="164"/>
        <v>0</v>
      </c>
      <c r="DQ145" s="582">
        <f t="shared" si="164"/>
        <v>2</v>
      </c>
      <c r="DR145" s="113">
        <f t="shared" si="164"/>
        <v>0</v>
      </c>
      <c r="DS145" s="113">
        <f t="shared" si="164"/>
        <v>0</v>
      </c>
      <c r="DT145" s="113">
        <f t="shared" si="164"/>
        <v>2</v>
      </c>
      <c r="DU145" s="459">
        <f t="shared" si="164"/>
        <v>0</v>
      </c>
      <c r="DW145" s="461">
        <f t="shared" si="146"/>
        <v>394</v>
      </c>
      <c r="DX145" s="582">
        <f t="shared" si="147"/>
        <v>280</v>
      </c>
      <c r="DY145" s="113">
        <f t="shared" si="148"/>
        <v>40</v>
      </c>
      <c r="DZ145" s="113">
        <f t="shared" si="149"/>
        <v>24</v>
      </c>
      <c r="EA145" s="113">
        <f t="shared" si="150"/>
        <v>210</v>
      </c>
      <c r="EB145" s="460">
        <f t="shared" si="151"/>
        <v>6</v>
      </c>
      <c r="EC145" s="582">
        <f t="shared" si="152"/>
        <v>114</v>
      </c>
      <c r="ED145" s="113">
        <f t="shared" si="153"/>
        <v>12</v>
      </c>
      <c r="EE145" s="113">
        <f t="shared" si="154"/>
        <v>0</v>
      </c>
      <c r="EF145" s="113">
        <f t="shared" si="155"/>
        <v>100</v>
      </c>
      <c r="EG145" s="459">
        <f t="shared" si="156"/>
        <v>2</v>
      </c>
      <c r="EH145" s="461">
        <f t="shared" si="157"/>
        <v>116</v>
      </c>
      <c r="EI145" s="582">
        <f t="shared" si="157"/>
        <v>76</v>
      </c>
      <c r="EJ145" s="113">
        <f t="shared" si="157"/>
        <v>12</v>
      </c>
      <c r="EK145" s="113">
        <f t="shared" si="157"/>
        <v>10</v>
      </c>
      <c r="EL145" s="113">
        <f t="shared" si="157"/>
        <v>53</v>
      </c>
      <c r="EM145" s="460">
        <f t="shared" si="157"/>
        <v>1</v>
      </c>
      <c r="EN145" s="582">
        <f t="shared" si="157"/>
        <v>40</v>
      </c>
      <c r="EO145" s="113">
        <f t="shared" si="157"/>
        <v>9</v>
      </c>
      <c r="EP145" s="113">
        <f t="shared" si="158"/>
        <v>0</v>
      </c>
      <c r="EQ145" s="113">
        <f t="shared" si="159"/>
        <v>31</v>
      </c>
      <c r="ER145" s="459">
        <f t="shared" si="160"/>
        <v>0</v>
      </c>
    </row>
    <row r="146" spans="1:148">
      <c r="A146" s="466" t="s">
        <v>433</v>
      </c>
      <c r="B146" s="581">
        <v>45839</v>
      </c>
      <c r="C146" s="470">
        <v>2025</v>
      </c>
      <c r="D146" s="461">
        <f t="shared" si="161"/>
        <v>184799</v>
      </c>
      <c r="E146" s="461">
        <f t="shared" si="165"/>
        <v>11890</v>
      </c>
      <c r="F146" s="582">
        <f t="shared" si="165"/>
        <v>7426</v>
      </c>
      <c r="G146" s="113">
        <f t="shared" si="165"/>
        <v>1158</v>
      </c>
      <c r="H146" s="113">
        <f t="shared" si="165"/>
        <v>808</v>
      </c>
      <c r="I146" s="113">
        <f t="shared" si="165"/>
        <v>5108</v>
      </c>
      <c r="J146" s="460">
        <f t="shared" si="165"/>
        <v>352</v>
      </c>
      <c r="K146" s="582">
        <f t="shared" si="165"/>
        <v>4464</v>
      </c>
      <c r="L146" s="113">
        <f t="shared" si="165"/>
        <v>861</v>
      </c>
      <c r="M146" s="113">
        <f t="shared" si="165"/>
        <v>0</v>
      </c>
      <c r="N146" s="113">
        <f t="shared" si="165"/>
        <v>3539</v>
      </c>
      <c r="O146" s="459">
        <f t="shared" si="165"/>
        <v>64</v>
      </c>
      <c r="P146" s="461">
        <f t="shared" si="165"/>
        <v>26</v>
      </c>
      <c r="Q146" s="582">
        <f t="shared" si="165"/>
        <v>15</v>
      </c>
      <c r="R146" s="113">
        <f t="shared" si="165"/>
        <v>1</v>
      </c>
      <c r="S146" s="113">
        <f t="shared" si="165"/>
        <v>1</v>
      </c>
      <c r="T146" s="113">
        <f t="shared" si="165"/>
        <v>13</v>
      </c>
      <c r="U146" s="460">
        <f t="shared" si="165"/>
        <v>0</v>
      </c>
      <c r="V146" s="582">
        <f t="shared" si="165"/>
        <v>11</v>
      </c>
      <c r="W146" s="113">
        <f t="shared" si="165"/>
        <v>1</v>
      </c>
      <c r="X146" s="113">
        <f t="shared" si="165"/>
        <v>0</v>
      </c>
      <c r="Y146" s="113">
        <f t="shared" si="165"/>
        <v>10</v>
      </c>
      <c r="Z146" s="459">
        <f t="shared" si="165"/>
        <v>0</v>
      </c>
      <c r="AA146" s="461">
        <f t="shared" si="165"/>
        <v>11</v>
      </c>
      <c r="AB146" s="582">
        <f t="shared" si="165"/>
        <v>7</v>
      </c>
      <c r="AC146" s="113">
        <f t="shared" si="165"/>
        <v>1</v>
      </c>
      <c r="AD146" s="113">
        <f t="shared" si="165"/>
        <v>0</v>
      </c>
      <c r="AE146" s="113">
        <f t="shared" si="165"/>
        <v>6</v>
      </c>
      <c r="AF146" s="460">
        <f t="shared" si="165"/>
        <v>0</v>
      </c>
      <c r="AG146" s="582">
        <f t="shared" si="165"/>
        <v>4</v>
      </c>
      <c r="AH146" s="113">
        <f t="shared" si="165"/>
        <v>1</v>
      </c>
      <c r="AI146" s="113">
        <f t="shared" si="165"/>
        <v>0</v>
      </c>
      <c r="AJ146" s="113">
        <f t="shared" si="165"/>
        <v>3</v>
      </c>
      <c r="AK146" s="459">
        <f t="shared" si="165"/>
        <v>0</v>
      </c>
      <c r="AL146" s="461">
        <f t="shared" si="165"/>
        <v>151</v>
      </c>
      <c r="AM146" s="582">
        <f t="shared" si="165"/>
        <v>93</v>
      </c>
      <c r="AN146" s="113">
        <f t="shared" si="165"/>
        <v>18</v>
      </c>
      <c r="AO146" s="113">
        <f t="shared" si="165"/>
        <v>4</v>
      </c>
      <c r="AP146" s="113">
        <f t="shared" si="165"/>
        <v>70</v>
      </c>
      <c r="AQ146" s="460">
        <f t="shared" si="165"/>
        <v>1</v>
      </c>
      <c r="AR146" s="582">
        <f t="shared" si="165"/>
        <v>58</v>
      </c>
      <c r="AS146" s="113">
        <f t="shared" si="165"/>
        <v>7</v>
      </c>
      <c r="AT146" s="113">
        <f t="shared" si="165"/>
        <v>0</v>
      </c>
      <c r="AU146" s="113">
        <f t="shared" si="165"/>
        <v>51</v>
      </c>
      <c r="AV146" s="459">
        <f t="shared" si="165"/>
        <v>0</v>
      </c>
      <c r="AW146" s="461">
        <f t="shared" si="165"/>
        <v>88</v>
      </c>
      <c r="AX146" s="582">
        <f t="shared" si="165"/>
        <v>58</v>
      </c>
      <c r="AY146" s="113">
        <f t="shared" si="165"/>
        <v>12</v>
      </c>
      <c r="AZ146" s="113">
        <f t="shared" si="165"/>
        <v>3</v>
      </c>
      <c r="BA146" s="113">
        <f t="shared" si="165"/>
        <v>42</v>
      </c>
      <c r="BB146" s="460">
        <f t="shared" si="165"/>
        <v>1</v>
      </c>
      <c r="BC146" s="582">
        <f t="shared" si="165"/>
        <v>30</v>
      </c>
      <c r="BD146" s="113">
        <f t="shared" si="165"/>
        <v>3</v>
      </c>
      <c r="BE146" s="113">
        <f t="shared" si="165"/>
        <v>0</v>
      </c>
      <c r="BF146" s="113">
        <f t="shared" si="165"/>
        <v>27</v>
      </c>
      <c r="BG146" s="459">
        <f t="shared" si="165"/>
        <v>0</v>
      </c>
      <c r="BH146" s="461">
        <f t="shared" si="165"/>
        <v>89</v>
      </c>
      <c r="BI146" s="582">
        <f t="shared" si="165"/>
        <v>57</v>
      </c>
      <c r="BJ146" s="113">
        <f t="shared" si="165"/>
        <v>8</v>
      </c>
      <c r="BK146" s="113">
        <f t="shared" si="165"/>
        <v>3</v>
      </c>
      <c r="BL146" s="113">
        <f t="shared" si="165"/>
        <v>25</v>
      </c>
      <c r="BM146" s="460">
        <f t="shared" si="165"/>
        <v>21</v>
      </c>
      <c r="BN146" s="582">
        <f t="shared" si="165"/>
        <v>32</v>
      </c>
      <c r="BO146" s="113">
        <f t="shared" si="165"/>
        <v>4</v>
      </c>
      <c r="BP146" s="113">
        <f t="shared" si="165"/>
        <v>0</v>
      </c>
      <c r="BQ146" s="113">
        <f t="shared" si="164"/>
        <v>27</v>
      </c>
      <c r="BR146" s="459">
        <f t="shared" si="164"/>
        <v>1</v>
      </c>
      <c r="BS146" s="461">
        <f t="shared" si="164"/>
        <v>163</v>
      </c>
      <c r="BT146" s="582">
        <f t="shared" si="164"/>
        <v>119</v>
      </c>
      <c r="BU146" s="113">
        <f t="shared" si="164"/>
        <v>25</v>
      </c>
      <c r="BV146" s="113">
        <f t="shared" si="164"/>
        <v>18</v>
      </c>
      <c r="BW146" s="113">
        <f t="shared" si="164"/>
        <v>66</v>
      </c>
      <c r="BX146" s="460">
        <f t="shared" si="164"/>
        <v>10</v>
      </c>
      <c r="BY146" s="582">
        <f t="shared" si="164"/>
        <v>44</v>
      </c>
      <c r="BZ146" s="113">
        <f t="shared" si="164"/>
        <v>5</v>
      </c>
      <c r="CA146" s="113">
        <f t="shared" si="164"/>
        <v>0</v>
      </c>
      <c r="CB146" s="113">
        <f t="shared" si="164"/>
        <v>37</v>
      </c>
      <c r="CC146" s="459">
        <f t="shared" si="164"/>
        <v>2</v>
      </c>
      <c r="CD146" s="461">
        <f t="shared" si="164"/>
        <v>16</v>
      </c>
      <c r="CE146" s="582">
        <f t="shared" si="164"/>
        <v>13</v>
      </c>
      <c r="CF146" s="113">
        <f t="shared" si="164"/>
        <v>1</v>
      </c>
      <c r="CG146" s="113">
        <f t="shared" si="164"/>
        <v>2</v>
      </c>
      <c r="CH146" s="113">
        <f t="shared" si="164"/>
        <v>10</v>
      </c>
      <c r="CI146" s="460">
        <f t="shared" si="164"/>
        <v>0</v>
      </c>
      <c r="CJ146" s="582">
        <f t="shared" si="164"/>
        <v>3</v>
      </c>
      <c r="CK146" s="113">
        <f t="shared" si="164"/>
        <v>1</v>
      </c>
      <c r="CL146" s="113">
        <f t="shared" si="164"/>
        <v>0</v>
      </c>
      <c r="CM146" s="113">
        <f t="shared" si="164"/>
        <v>2</v>
      </c>
      <c r="CN146" s="459">
        <f t="shared" si="164"/>
        <v>0</v>
      </c>
      <c r="CO146" s="461">
        <f t="shared" si="164"/>
        <v>20</v>
      </c>
      <c r="CP146" s="582">
        <f t="shared" si="164"/>
        <v>13</v>
      </c>
      <c r="CQ146" s="113">
        <f t="shared" si="164"/>
        <v>2</v>
      </c>
      <c r="CR146" s="113">
        <f t="shared" si="164"/>
        <v>1</v>
      </c>
      <c r="CS146" s="113">
        <f t="shared" si="164"/>
        <v>10</v>
      </c>
      <c r="CT146" s="460">
        <f t="shared" si="164"/>
        <v>0</v>
      </c>
      <c r="CU146" s="582">
        <f t="shared" si="164"/>
        <v>7</v>
      </c>
      <c r="CV146" s="113">
        <f t="shared" si="164"/>
        <v>0</v>
      </c>
      <c r="CW146" s="113">
        <f t="shared" si="164"/>
        <v>0</v>
      </c>
      <c r="CX146" s="113">
        <f t="shared" si="164"/>
        <v>7</v>
      </c>
      <c r="CY146" s="459">
        <f t="shared" si="164"/>
        <v>0</v>
      </c>
      <c r="CZ146" s="461">
        <f t="shared" si="164"/>
        <v>6</v>
      </c>
      <c r="DA146" s="582">
        <f t="shared" si="164"/>
        <v>3</v>
      </c>
      <c r="DB146" s="113">
        <f t="shared" si="164"/>
        <v>1</v>
      </c>
      <c r="DC146" s="113">
        <f t="shared" si="164"/>
        <v>0</v>
      </c>
      <c r="DD146" s="113">
        <f t="shared" si="164"/>
        <v>1</v>
      </c>
      <c r="DE146" s="460">
        <f t="shared" si="164"/>
        <v>1</v>
      </c>
      <c r="DF146" s="582">
        <f t="shared" si="164"/>
        <v>3</v>
      </c>
      <c r="DG146" s="113">
        <f t="shared" si="164"/>
        <v>0</v>
      </c>
      <c r="DH146" s="113">
        <f t="shared" si="164"/>
        <v>0</v>
      </c>
      <c r="DI146" s="113">
        <f t="shared" si="164"/>
        <v>3</v>
      </c>
      <c r="DJ146" s="459">
        <f t="shared" si="164"/>
        <v>0</v>
      </c>
      <c r="DK146" s="461">
        <f t="shared" si="164"/>
        <v>1</v>
      </c>
      <c r="DL146" s="582">
        <f t="shared" si="164"/>
        <v>0</v>
      </c>
      <c r="DM146" s="113">
        <f t="shared" si="164"/>
        <v>0</v>
      </c>
      <c r="DN146" s="113">
        <f t="shared" si="164"/>
        <v>0</v>
      </c>
      <c r="DO146" s="113">
        <f t="shared" si="164"/>
        <v>0</v>
      </c>
      <c r="DP146" s="460">
        <f t="shared" si="164"/>
        <v>0</v>
      </c>
      <c r="DQ146" s="582">
        <f t="shared" si="164"/>
        <v>1</v>
      </c>
      <c r="DR146" s="113">
        <f t="shared" si="164"/>
        <v>0</v>
      </c>
      <c r="DS146" s="113">
        <f t="shared" si="164"/>
        <v>0</v>
      </c>
      <c r="DT146" s="113">
        <f t="shared" si="164"/>
        <v>1</v>
      </c>
      <c r="DU146" s="459">
        <f t="shared" si="164"/>
        <v>0</v>
      </c>
      <c r="DW146" s="461">
        <f t="shared" si="146"/>
        <v>420</v>
      </c>
      <c r="DX146" s="582">
        <f t="shared" si="147"/>
        <v>285</v>
      </c>
      <c r="DY146" s="113">
        <f t="shared" si="148"/>
        <v>51</v>
      </c>
      <c r="DZ146" s="113">
        <f t="shared" si="149"/>
        <v>28</v>
      </c>
      <c r="EA146" s="113">
        <f t="shared" si="150"/>
        <v>173</v>
      </c>
      <c r="EB146" s="460">
        <f t="shared" si="151"/>
        <v>33</v>
      </c>
      <c r="EC146" s="582">
        <f t="shared" si="152"/>
        <v>135</v>
      </c>
      <c r="ED146" s="113">
        <f t="shared" si="153"/>
        <v>15</v>
      </c>
      <c r="EE146" s="113">
        <f t="shared" si="154"/>
        <v>0</v>
      </c>
      <c r="EF146" s="113">
        <f t="shared" si="155"/>
        <v>117</v>
      </c>
      <c r="EG146" s="459">
        <f t="shared" si="156"/>
        <v>3</v>
      </c>
      <c r="EH146" s="461">
        <f t="shared" si="157"/>
        <v>151</v>
      </c>
      <c r="EI146" s="582">
        <f t="shared" si="157"/>
        <v>93</v>
      </c>
      <c r="EJ146" s="113">
        <f t="shared" si="157"/>
        <v>18</v>
      </c>
      <c r="EK146" s="113">
        <f t="shared" si="157"/>
        <v>4</v>
      </c>
      <c r="EL146" s="113">
        <f t="shared" si="157"/>
        <v>70</v>
      </c>
      <c r="EM146" s="460">
        <f t="shared" si="157"/>
        <v>1</v>
      </c>
      <c r="EN146" s="582">
        <f t="shared" si="157"/>
        <v>58</v>
      </c>
      <c r="EO146" s="113">
        <f t="shared" si="157"/>
        <v>7</v>
      </c>
      <c r="EP146" s="113">
        <f t="shared" si="158"/>
        <v>0</v>
      </c>
      <c r="EQ146" s="113">
        <f t="shared" si="159"/>
        <v>51</v>
      </c>
      <c r="ER146" s="459">
        <f t="shared" si="160"/>
        <v>0</v>
      </c>
    </row>
    <row r="147" spans="1:148">
      <c r="A147" s="466" t="s">
        <v>433</v>
      </c>
      <c r="B147" s="581">
        <v>45870</v>
      </c>
      <c r="C147" s="470">
        <v>2025</v>
      </c>
      <c r="D147" s="461">
        <f t="shared" si="161"/>
        <v>184799</v>
      </c>
      <c r="E147" s="461">
        <f t="shared" si="165"/>
        <v>11890</v>
      </c>
      <c r="F147" s="582">
        <f t="shared" si="165"/>
        <v>7426</v>
      </c>
      <c r="G147" s="113">
        <f t="shared" si="165"/>
        <v>1158</v>
      </c>
      <c r="H147" s="113">
        <f t="shared" si="165"/>
        <v>808</v>
      </c>
      <c r="I147" s="113">
        <f t="shared" si="165"/>
        <v>5108</v>
      </c>
      <c r="J147" s="460">
        <f t="shared" si="165"/>
        <v>352</v>
      </c>
      <c r="K147" s="582">
        <f t="shared" si="165"/>
        <v>4464</v>
      </c>
      <c r="L147" s="113">
        <f t="shared" si="165"/>
        <v>861</v>
      </c>
      <c r="M147" s="113">
        <f t="shared" si="165"/>
        <v>0</v>
      </c>
      <c r="N147" s="113">
        <f t="shared" si="165"/>
        <v>3539</v>
      </c>
      <c r="O147" s="459">
        <f t="shared" si="165"/>
        <v>64</v>
      </c>
      <c r="P147" s="461">
        <f t="shared" si="165"/>
        <v>26</v>
      </c>
      <c r="Q147" s="582">
        <f t="shared" si="165"/>
        <v>15</v>
      </c>
      <c r="R147" s="113">
        <f t="shared" si="165"/>
        <v>1</v>
      </c>
      <c r="S147" s="113">
        <f t="shared" si="165"/>
        <v>1</v>
      </c>
      <c r="T147" s="113">
        <f t="shared" si="165"/>
        <v>13</v>
      </c>
      <c r="U147" s="460">
        <f t="shared" si="165"/>
        <v>0</v>
      </c>
      <c r="V147" s="582">
        <f t="shared" si="165"/>
        <v>11</v>
      </c>
      <c r="W147" s="113">
        <f t="shared" si="165"/>
        <v>1</v>
      </c>
      <c r="X147" s="113">
        <f t="shared" si="165"/>
        <v>0</v>
      </c>
      <c r="Y147" s="113">
        <f t="shared" si="165"/>
        <v>10</v>
      </c>
      <c r="Z147" s="459">
        <f t="shared" si="165"/>
        <v>0</v>
      </c>
      <c r="AA147" s="461">
        <f t="shared" si="165"/>
        <v>11</v>
      </c>
      <c r="AB147" s="582">
        <f t="shared" si="165"/>
        <v>7</v>
      </c>
      <c r="AC147" s="113">
        <f t="shared" si="165"/>
        <v>1</v>
      </c>
      <c r="AD147" s="113">
        <f t="shared" si="165"/>
        <v>0</v>
      </c>
      <c r="AE147" s="113">
        <f t="shared" si="165"/>
        <v>6</v>
      </c>
      <c r="AF147" s="460">
        <f t="shared" si="165"/>
        <v>0</v>
      </c>
      <c r="AG147" s="582">
        <f t="shared" si="165"/>
        <v>4</v>
      </c>
      <c r="AH147" s="113">
        <f t="shared" si="165"/>
        <v>1</v>
      </c>
      <c r="AI147" s="113">
        <f t="shared" si="165"/>
        <v>0</v>
      </c>
      <c r="AJ147" s="113">
        <f t="shared" si="165"/>
        <v>3</v>
      </c>
      <c r="AK147" s="459">
        <f t="shared" si="165"/>
        <v>0</v>
      </c>
      <c r="AL147" s="461">
        <f t="shared" si="165"/>
        <v>151</v>
      </c>
      <c r="AM147" s="582">
        <f t="shared" si="165"/>
        <v>93</v>
      </c>
      <c r="AN147" s="113">
        <f t="shared" si="165"/>
        <v>18</v>
      </c>
      <c r="AO147" s="113">
        <f t="shared" si="165"/>
        <v>4</v>
      </c>
      <c r="AP147" s="113">
        <f t="shared" si="165"/>
        <v>70</v>
      </c>
      <c r="AQ147" s="460">
        <f t="shared" si="165"/>
        <v>1</v>
      </c>
      <c r="AR147" s="582">
        <f t="shared" si="165"/>
        <v>58</v>
      </c>
      <c r="AS147" s="113">
        <f t="shared" si="165"/>
        <v>7</v>
      </c>
      <c r="AT147" s="113">
        <f t="shared" si="165"/>
        <v>0</v>
      </c>
      <c r="AU147" s="113">
        <f t="shared" si="165"/>
        <v>51</v>
      </c>
      <c r="AV147" s="459">
        <f t="shared" si="165"/>
        <v>0</v>
      </c>
      <c r="AW147" s="461">
        <f t="shared" si="165"/>
        <v>88</v>
      </c>
      <c r="AX147" s="582">
        <f t="shared" si="165"/>
        <v>58</v>
      </c>
      <c r="AY147" s="113">
        <f t="shared" si="165"/>
        <v>12</v>
      </c>
      <c r="AZ147" s="113">
        <f t="shared" si="165"/>
        <v>3</v>
      </c>
      <c r="BA147" s="113">
        <f t="shared" si="165"/>
        <v>42</v>
      </c>
      <c r="BB147" s="460">
        <f t="shared" si="165"/>
        <v>1</v>
      </c>
      <c r="BC147" s="582">
        <f t="shared" si="165"/>
        <v>30</v>
      </c>
      <c r="BD147" s="113">
        <f t="shared" si="165"/>
        <v>3</v>
      </c>
      <c r="BE147" s="113">
        <f t="shared" si="165"/>
        <v>0</v>
      </c>
      <c r="BF147" s="113">
        <f t="shared" si="165"/>
        <v>27</v>
      </c>
      <c r="BG147" s="459">
        <f t="shared" si="165"/>
        <v>0</v>
      </c>
      <c r="BH147" s="461">
        <f t="shared" si="165"/>
        <v>89</v>
      </c>
      <c r="BI147" s="582">
        <f t="shared" si="165"/>
        <v>57</v>
      </c>
      <c r="BJ147" s="113">
        <f t="shared" si="165"/>
        <v>8</v>
      </c>
      <c r="BK147" s="113">
        <f t="shared" si="165"/>
        <v>3</v>
      </c>
      <c r="BL147" s="113">
        <f t="shared" si="165"/>
        <v>25</v>
      </c>
      <c r="BM147" s="460">
        <f t="shared" si="165"/>
        <v>21</v>
      </c>
      <c r="BN147" s="582">
        <f t="shared" si="165"/>
        <v>32</v>
      </c>
      <c r="BO147" s="113">
        <f t="shared" si="165"/>
        <v>4</v>
      </c>
      <c r="BP147" s="113">
        <f t="shared" si="165"/>
        <v>0</v>
      </c>
      <c r="BQ147" s="113">
        <f t="shared" si="164"/>
        <v>27</v>
      </c>
      <c r="BR147" s="459">
        <f t="shared" si="164"/>
        <v>1</v>
      </c>
      <c r="BS147" s="461">
        <f t="shared" si="164"/>
        <v>163</v>
      </c>
      <c r="BT147" s="582">
        <f t="shared" si="164"/>
        <v>119</v>
      </c>
      <c r="BU147" s="113">
        <f t="shared" si="164"/>
        <v>25</v>
      </c>
      <c r="BV147" s="113">
        <f t="shared" si="164"/>
        <v>18</v>
      </c>
      <c r="BW147" s="113">
        <f t="shared" si="164"/>
        <v>66</v>
      </c>
      <c r="BX147" s="460">
        <f t="shared" si="164"/>
        <v>10</v>
      </c>
      <c r="BY147" s="582">
        <f t="shared" si="164"/>
        <v>44</v>
      </c>
      <c r="BZ147" s="113">
        <f t="shared" si="164"/>
        <v>5</v>
      </c>
      <c r="CA147" s="113">
        <f t="shared" si="164"/>
        <v>0</v>
      </c>
      <c r="CB147" s="113">
        <f t="shared" si="164"/>
        <v>37</v>
      </c>
      <c r="CC147" s="459">
        <f t="shared" si="164"/>
        <v>2</v>
      </c>
      <c r="CD147" s="461">
        <f t="shared" si="164"/>
        <v>16</v>
      </c>
      <c r="CE147" s="582">
        <f t="shared" si="164"/>
        <v>13</v>
      </c>
      <c r="CF147" s="113">
        <f t="shared" si="164"/>
        <v>1</v>
      </c>
      <c r="CG147" s="113">
        <f t="shared" si="164"/>
        <v>2</v>
      </c>
      <c r="CH147" s="113">
        <f t="shared" si="164"/>
        <v>10</v>
      </c>
      <c r="CI147" s="460">
        <f t="shared" si="164"/>
        <v>0</v>
      </c>
      <c r="CJ147" s="582">
        <f t="shared" si="164"/>
        <v>3</v>
      </c>
      <c r="CK147" s="113">
        <f t="shared" si="164"/>
        <v>1</v>
      </c>
      <c r="CL147" s="113">
        <f t="shared" si="164"/>
        <v>0</v>
      </c>
      <c r="CM147" s="113">
        <f t="shared" si="164"/>
        <v>2</v>
      </c>
      <c r="CN147" s="459">
        <f t="shared" si="164"/>
        <v>0</v>
      </c>
      <c r="CO147" s="461">
        <f t="shared" si="164"/>
        <v>20</v>
      </c>
      <c r="CP147" s="582">
        <f t="shared" si="164"/>
        <v>13</v>
      </c>
      <c r="CQ147" s="113">
        <f t="shared" si="164"/>
        <v>2</v>
      </c>
      <c r="CR147" s="113">
        <f t="shared" si="164"/>
        <v>1</v>
      </c>
      <c r="CS147" s="113">
        <f t="shared" si="164"/>
        <v>10</v>
      </c>
      <c r="CT147" s="460">
        <f t="shared" si="164"/>
        <v>0</v>
      </c>
      <c r="CU147" s="582">
        <f t="shared" si="164"/>
        <v>7</v>
      </c>
      <c r="CV147" s="113">
        <f t="shared" si="164"/>
        <v>0</v>
      </c>
      <c r="CW147" s="113">
        <f t="shared" si="164"/>
        <v>0</v>
      </c>
      <c r="CX147" s="113">
        <f t="shared" si="164"/>
        <v>7</v>
      </c>
      <c r="CY147" s="459">
        <f t="shared" si="164"/>
        <v>0</v>
      </c>
      <c r="CZ147" s="461">
        <f t="shared" si="164"/>
        <v>6</v>
      </c>
      <c r="DA147" s="582">
        <f t="shared" si="164"/>
        <v>3</v>
      </c>
      <c r="DB147" s="113">
        <f t="shared" si="164"/>
        <v>1</v>
      </c>
      <c r="DC147" s="113">
        <f t="shared" si="164"/>
        <v>0</v>
      </c>
      <c r="DD147" s="113">
        <f t="shared" si="164"/>
        <v>1</v>
      </c>
      <c r="DE147" s="460">
        <f t="shared" si="164"/>
        <v>1</v>
      </c>
      <c r="DF147" s="582">
        <f t="shared" si="164"/>
        <v>3</v>
      </c>
      <c r="DG147" s="113">
        <f t="shared" si="164"/>
        <v>0</v>
      </c>
      <c r="DH147" s="113">
        <f t="shared" si="164"/>
        <v>0</v>
      </c>
      <c r="DI147" s="113">
        <f t="shared" si="164"/>
        <v>3</v>
      </c>
      <c r="DJ147" s="459">
        <f t="shared" si="164"/>
        <v>0</v>
      </c>
      <c r="DK147" s="461">
        <f t="shared" si="164"/>
        <v>1</v>
      </c>
      <c r="DL147" s="582">
        <f t="shared" si="164"/>
        <v>0</v>
      </c>
      <c r="DM147" s="113">
        <f t="shared" si="164"/>
        <v>0</v>
      </c>
      <c r="DN147" s="113">
        <f t="shared" si="164"/>
        <v>0</v>
      </c>
      <c r="DO147" s="113">
        <f t="shared" si="164"/>
        <v>0</v>
      </c>
      <c r="DP147" s="460">
        <f t="shared" si="164"/>
        <v>0</v>
      </c>
      <c r="DQ147" s="582">
        <f t="shared" si="164"/>
        <v>1</v>
      </c>
      <c r="DR147" s="113">
        <f t="shared" si="164"/>
        <v>0</v>
      </c>
      <c r="DS147" s="113">
        <f t="shared" si="164"/>
        <v>0</v>
      </c>
      <c r="DT147" s="113">
        <f t="shared" si="164"/>
        <v>1</v>
      </c>
      <c r="DU147" s="459">
        <f t="shared" si="164"/>
        <v>0</v>
      </c>
      <c r="DW147" s="461">
        <f t="shared" si="146"/>
        <v>420</v>
      </c>
      <c r="DX147" s="582">
        <f t="shared" si="147"/>
        <v>285</v>
      </c>
      <c r="DY147" s="113">
        <f t="shared" si="148"/>
        <v>51</v>
      </c>
      <c r="DZ147" s="113">
        <f t="shared" si="149"/>
        <v>28</v>
      </c>
      <c r="EA147" s="113">
        <f t="shared" si="150"/>
        <v>173</v>
      </c>
      <c r="EB147" s="460">
        <f t="shared" si="151"/>
        <v>33</v>
      </c>
      <c r="EC147" s="582">
        <f t="shared" si="152"/>
        <v>135</v>
      </c>
      <c r="ED147" s="113">
        <f t="shared" si="153"/>
        <v>15</v>
      </c>
      <c r="EE147" s="113">
        <f t="shared" si="154"/>
        <v>0</v>
      </c>
      <c r="EF147" s="113">
        <f t="shared" si="155"/>
        <v>117</v>
      </c>
      <c r="EG147" s="459">
        <f t="shared" si="156"/>
        <v>3</v>
      </c>
      <c r="EH147" s="461">
        <f t="shared" si="157"/>
        <v>151</v>
      </c>
      <c r="EI147" s="582">
        <f t="shared" si="157"/>
        <v>93</v>
      </c>
      <c r="EJ147" s="113">
        <f t="shared" si="157"/>
        <v>18</v>
      </c>
      <c r="EK147" s="113">
        <f t="shared" si="157"/>
        <v>4</v>
      </c>
      <c r="EL147" s="113">
        <f t="shared" si="157"/>
        <v>70</v>
      </c>
      <c r="EM147" s="460">
        <f t="shared" si="157"/>
        <v>1</v>
      </c>
      <c r="EN147" s="582">
        <f t="shared" si="157"/>
        <v>58</v>
      </c>
      <c r="EO147" s="113">
        <f t="shared" si="157"/>
        <v>7</v>
      </c>
      <c r="EP147" s="113">
        <f t="shared" si="158"/>
        <v>0</v>
      </c>
      <c r="EQ147" s="113">
        <f t="shared" si="159"/>
        <v>51</v>
      </c>
      <c r="ER147" s="459">
        <f t="shared" si="160"/>
        <v>0</v>
      </c>
    </row>
    <row r="148" spans="1:148">
      <c r="A148" s="466" t="s">
        <v>433</v>
      </c>
      <c r="B148" s="581">
        <v>45901</v>
      </c>
      <c r="C148" s="470">
        <v>2025</v>
      </c>
      <c r="D148" s="461">
        <f t="shared" si="161"/>
        <v>184799</v>
      </c>
      <c r="E148" s="461">
        <f t="shared" si="165"/>
        <v>11890</v>
      </c>
      <c r="F148" s="582">
        <f t="shared" si="165"/>
        <v>7426</v>
      </c>
      <c r="G148" s="113">
        <f t="shared" si="165"/>
        <v>1158</v>
      </c>
      <c r="H148" s="113">
        <f t="shared" si="165"/>
        <v>808</v>
      </c>
      <c r="I148" s="113">
        <f t="shared" si="165"/>
        <v>5108</v>
      </c>
      <c r="J148" s="460">
        <f t="shared" si="165"/>
        <v>352</v>
      </c>
      <c r="K148" s="582">
        <f t="shared" si="165"/>
        <v>4464</v>
      </c>
      <c r="L148" s="113">
        <f t="shared" si="165"/>
        <v>861</v>
      </c>
      <c r="M148" s="113">
        <f t="shared" si="165"/>
        <v>0</v>
      </c>
      <c r="N148" s="113">
        <f t="shared" si="165"/>
        <v>3539</v>
      </c>
      <c r="O148" s="459">
        <f t="shared" si="165"/>
        <v>64</v>
      </c>
      <c r="P148" s="461">
        <f t="shared" si="165"/>
        <v>26</v>
      </c>
      <c r="Q148" s="582">
        <f t="shared" si="165"/>
        <v>15</v>
      </c>
      <c r="R148" s="113">
        <f t="shared" si="165"/>
        <v>1</v>
      </c>
      <c r="S148" s="113">
        <f t="shared" si="165"/>
        <v>1</v>
      </c>
      <c r="T148" s="113">
        <f t="shared" si="165"/>
        <v>13</v>
      </c>
      <c r="U148" s="460">
        <f t="shared" si="165"/>
        <v>0</v>
      </c>
      <c r="V148" s="582">
        <f t="shared" si="165"/>
        <v>11</v>
      </c>
      <c r="W148" s="113">
        <f t="shared" si="165"/>
        <v>1</v>
      </c>
      <c r="X148" s="113">
        <f t="shared" si="165"/>
        <v>0</v>
      </c>
      <c r="Y148" s="113">
        <f t="shared" si="165"/>
        <v>10</v>
      </c>
      <c r="Z148" s="459">
        <f t="shared" si="165"/>
        <v>0</v>
      </c>
      <c r="AA148" s="461">
        <f t="shared" si="165"/>
        <v>11</v>
      </c>
      <c r="AB148" s="582">
        <f t="shared" si="165"/>
        <v>7</v>
      </c>
      <c r="AC148" s="113">
        <f t="shared" si="165"/>
        <v>1</v>
      </c>
      <c r="AD148" s="113">
        <f t="shared" si="165"/>
        <v>0</v>
      </c>
      <c r="AE148" s="113">
        <f t="shared" si="165"/>
        <v>6</v>
      </c>
      <c r="AF148" s="460">
        <f t="shared" si="165"/>
        <v>0</v>
      </c>
      <c r="AG148" s="582">
        <f t="shared" si="165"/>
        <v>4</v>
      </c>
      <c r="AH148" s="113">
        <f t="shared" si="165"/>
        <v>1</v>
      </c>
      <c r="AI148" s="113">
        <f t="shared" si="165"/>
        <v>0</v>
      </c>
      <c r="AJ148" s="113">
        <f t="shared" si="165"/>
        <v>3</v>
      </c>
      <c r="AK148" s="459">
        <f t="shared" si="165"/>
        <v>0</v>
      </c>
      <c r="AL148" s="461">
        <f t="shared" si="165"/>
        <v>151</v>
      </c>
      <c r="AM148" s="582">
        <f t="shared" si="165"/>
        <v>93</v>
      </c>
      <c r="AN148" s="113">
        <f t="shared" si="165"/>
        <v>18</v>
      </c>
      <c r="AO148" s="113">
        <f t="shared" si="165"/>
        <v>4</v>
      </c>
      <c r="AP148" s="113">
        <f t="shared" si="165"/>
        <v>70</v>
      </c>
      <c r="AQ148" s="460">
        <f t="shared" si="165"/>
        <v>1</v>
      </c>
      <c r="AR148" s="582">
        <f t="shared" si="165"/>
        <v>58</v>
      </c>
      <c r="AS148" s="113">
        <f t="shared" si="165"/>
        <v>7</v>
      </c>
      <c r="AT148" s="113">
        <f t="shared" si="165"/>
        <v>0</v>
      </c>
      <c r="AU148" s="113">
        <f t="shared" si="165"/>
        <v>51</v>
      </c>
      <c r="AV148" s="459">
        <f t="shared" si="165"/>
        <v>0</v>
      </c>
      <c r="AW148" s="461">
        <f t="shared" si="165"/>
        <v>88</v>
      </c>
      <c r="AX148" s="582">
        <f t="shared" si="165"/>
        <v>58</v>
      </c>
      <c r="AY148" s="113">
        <f t="shared" si="165"/>
        <v>12</v>
      </c>
      <c r="AZ148" s="113">
        <f t="shared" si="165"/>
        <v>3</v>
      </c>
      <c r="BA148" s="113">
        <f t="shared" si="165"/>
        <v>42</v>
      </c>
      <c r="BB148" s="460">
        <f t="shared" si="165"/>
        <v>1</v>
      </c>
      <c r="BC148" s="582">
        <f t="shared" si="165"/>
        <v>30</v>
      </c>
      <c r="BD148" s="113">
        <f t="shared" si="165"/>
        <v>3</v>
      </c>
      <c r="BE148" s="113">
        <f t="shared" si="165"/>
        <v>0</v>
      </c>
      <c r="BF148" s="113">
        <f t="shared" si="165"/>
        <v>27</v>
      </c>
      <c r="BG148" s="459">
        <f t="shared" si="165"/>
        <v>0</v>
      </c>
      <c r="BH148" s="461">
        <f t="shared" si="165"/>
        <v>89</v>
      </c>
      <c r="BI148" s="582">
        <f t="shared" si="165"/>
        <v>57</v>
      </c>
      <c r="BJ148" s="113">
        <f t="shared" si="165"/>
        <v>8</v>
      </c>
      <c r="BK148" s="113">
        <f t="shared" si="165"/>
        <v>3</v>
      </c>
      <c r="BL148" s="113">
        <f t="shared" si="165"/>
        <v>25</v>
      </c>
      <c r="BM148" s="460">
        <f t="shared" si="165"/>
        <v>21</v>
      </c>
      <c r="BN148" s="582">
        <f t="shared" si="165"/>
        <v>32</v>
      </c>
      <c r="BO148" s="113">
        <f t="shared" si="165"/>
        <v>4</v>
      </c>
      <c r="BP148" s="113">
        <f t="shared" ref="BP148:DU151" si="166">SUMIFS(BP$5:BP$41,$B$5:$B$41,$A148)</f>
        <v>0</v>
      </c>
      <c r="BQ148" s="113">
        <f t="shared" si="166"/>
        <v>27</v>
      </c>
      <c r="BR148" s="459">
        <f t="shared" si="166"/>
        <v>1</v>
      </c>
      <c r="BS148" s="461">
        <f t="shared" si="166"/>
        <v>163</v>
      </c>
      <c r="BT148" s="582">
        <f t="shared" si="166"/>
        <v>119</v>
      </c>
      <c r="BU148" s="113">
        <f t="shared" si="166"/>
        <v>25</v>
      </c>
      <c r="BV148" s="113">
        <f t="shared" si="166"/>
        <v>18</v>
      </c>
      <c r="BW148" s="113">
        <f t="shared" si="166"/>
        <v>66</v>
      </c>
      <c r="BX148" s="460">
        <f t="shared" si="166"/>
        <v>10</v>
      </c>
      <c r="BY148" s="582">
        <f t="shared" si="166"/>
        <v>44</v>
      </c>
      <c r="BZ148" s="113">
        <f t="shared" si="166"/>
        <v>5</v>
      </c>
      <c r="CA148" s="113">
        <f t="shared" si="166"/>
        <v>0</v>
      </c>
      <c r="CB148" s="113">
        <f t="shared" si="166"/>
        <v>37</v>
      </c>
      <c r="CC148" s="459">
        <f t="shared" si="166"/>
        <v>2</v>
      </c>
      <c r="CD148" s="461">
        <f t="shared" si="166"/>
        <v>16</v>
      </c>
      <c r="CE148" s="582">
        <f t="shared" si="166"/>
        <v>13</v>
      </c>
      <c r="CF148" s="113">
        <f t="shared" si="166"/>
        <v>1</v>
      </c>
      <c r="CG148" s="113">
        <f t="shared" si="166"/>
        <v>2</v>
      </c>
      <c r="CH148" s="113">
        <f t="shared" si="166"/>
        <v>10</v>
      </c>
      <c r="CI148" s="460">
        <f t="shared" si="166"/>
        <v>0</v>
      </c>
      <c r="CJ148" s="582">
        <f t="shared" si="166"/>
        <v>3</v>
      </c>
      <c r="CK148" s="113">
        <f t="shared" si="166"/>
        <v>1</v>
      </c>
      <c r="CL148" s="113">
        <f t="shared" si="166"/>
        <v>0</v>
      </c>
      <c r="CM148" s="113">
        <f t="shared" si="166"/>
        <v>2</v>
      </c>
      <c r="CN148" s="459">
        <f t="shared" si="166"/>
        <v>0</v>
      </c>
      <c r="CO148" s="461">
        <f t="shared" si="166"/>
        <v>20</v>
      </c>
      <c r="CP148" s="582">
        <f t="shared" si="166"/>
        <v>13</v>
      </c>
      <c r="CQ148" s="113">
        <f t="shared" si="166"/>
        <v>2</v>
      </c>
      <c r="CR148" s="113">
        <f t="shared" si="166"/>
        <v>1</v>
      </c>
      <c r="CS148" s="113">
        <f t="shared" si="166"/>
        <v>10</v>
      </c>
      <c r="CT148" s="460">
        <f t="shared" si="166"/>
        <v>0</v>
      </c>
      <c r="CU148" s="582">
        <f t="shared" si="166"/>
        <v>7</v>
      </c>
      <c r="CV148" s="113">
        <f t="shared" si="166"/>
        <v>0</v>
      </c>
      <c r="CW148" s="113">
        <f t="shared" si="166"/>
        <v>0</v>
      </c>
      <c r="CX148" s="113">
        <f t="shared" si="166"/>
        <v>7</v>
      </c>
      <c r="CY148" s="459">
        <f t="shared" si="166"/>
        <v>0</v>
      </c>
      <c r="CZ148" s="461">
        <f t="shared" si="166"/>
        <v>6</v>
      </c>
      <c r="DA148" s="582">
        <f t="shared" si="166"/>
        <v>3</v>
      </c>
      <c r="DB148" s="113">
        <f t="shared" si="166"/>
        <v>1</v>
      </c>
      <c r="DC148" s="113">
        <f t="shared" si="166"/>
        <v>0</v>
      </c>
      <c r="DD148" s="113">
        <f t="shared" si="166"/>
        <v>1</v>
      </c>
      <c r="DE148" s="460">
        <f t="shared" si="166"/>
        <v>1</v>
      </c>
      <c r="DF148" s="582">
        <f t="shared" si="166"/>
        <v>3</v>
      </c>
      <c r="DG148" s="113">
        <f t="shared" si="166"/>
        <v>0</v>
      </c>
      <c r="DH148" s="113">
        <f t="shared" si="166"/>
        <v>0</v>
      </c>
      <c r="DI148" s="113">
        <f t="shared" si="166"/>
        <v>3</v>
      </c>
      <c r="DJ148" s="459">
        <f t="shared" si="166"/>
        <v>0</v>
      </c>
      <c r="DK148" s="461">
        <f t="shared" si="166"/>
        <v>1</v>
      </c>
      <c r="DL148" s="582">
        <f t="shared" si="166"/>
        <v>0</v>
      </c>
      <c r="DM148" s="113">
        <f t="shared" si="166"/>
        <v>0</v>
      </c>
      <c r="DN148" s="113">
        <f t="shared" si="166"/>
        <v>0</v>
      </c>
      <c r="DO148" s="113">
        <f t="shared" si="166"/>
        <v>0</v>
      </c>
      <c r="DP148" s="460">
        <f t="shared" si="166"/>
        <v>0</v>
      </c>
      <c r="DQ148" s="582">
        <f t="shared" si="166"/>
        <v>1</v>
      </c>
      <c r="DR148" s="113">
        <f t="shared" si="166"/>
        <v>0</v>
      </c>
      <c r="DS148" s="113">
        <f t="shared" si="166"/>
        <v>0</v>
      </c>
      <c r="DT148" s="113">
        <f t="shared" si="166"/>
        <v>1</v>
      </c>
      <c r="DU148" s="459">
        <f t="shared" si="166"/>
        <v>0</v>
      </c>
      <c r="DW148" s="461">
        <f t="shared" si="146"/>
        <v>420</v>
      </c>
      <c r="DX148" s="582">
        <f t="shared" si="147"/>
        <v>285</v>
      </c>
      <c r="DY148" s="113">
        <f t="shared" si="148"/>
        <v>51</v>
      </c>
      <c r="DZ148" s="113">
        <f t="shared" si="149"/>
        <v>28</v>
      </c>
      <c r="EA148" s="113">
        <f t="shared" si="150"/>
        <v>173</v>
      </c>
      <c r="EB148" s="460">
        <f t="shared" si="151"/>
        <v>33</v>
      </c>
      <c r="EC148" s="582">
        <f t="shared" si="152"/>
        <v>135</v>
      </c>
      <c r="ED148" s="113">
        <f t="shared" si="153"/>
        <v>15</v>
      </c>
      <c r="EE148" s="113">
        <f t="shared" si="154"/>
        <v>0</v>
      </c>
      <c r="EF148" s="113">
        <f t="shared" si="155"/>
        <v>117</v>
      </c>
      <c r="EG148" s="459">
        <f t="shared" si="156"/>
        <v>3</v>
      </c>
      <c r="EH148" s="461">
        <f t="shared" si="157"/>
        <v>151</v>
      </c>
      <c r="EI148" s="582">
        <f t="shared" si="157"/>
        <v>93</v>
      </c>
      <c r="EJ148" s="113">
        <f t="shared" si="157"/>
        <v>18</v>
      </c>
      <c r="EK148" s="113">
        <f t="shared" si="157"/>
        <v>4</v>
      </c>
      <c r="EL148" s="113">
        <f t="shared" si="157"/>
        <v>70</v>
      </c>
      <c r="EM148" s="460">
        <f t="shared" si="157"/>
        <v>1</v>
      </c>
      <c r="EN148" s="582">
        <f t="shared" si="157"/>
        <v>58</v>
      </c>
      <c r="EO148" s="113">
        <f t="shared" si="157"/>
        <v>7</v>
      </c>
      <c r="EP148" s="113">
        <f t="shared" si="158"/>
        <v>0</v>
      </c>
      <c r="EQ148" s="113">
        <f t="shared" si="159"/>
        <v>51</v>
      </c>
      <c r="ER148" s="459">
        <f t="shared" si="160"/>
        <v>0</v>
      </c>
    </row>
    <row r="149" spans="1:148">
      <c r="A149" s="466" t="s">
        <v>434</v>
      </c>
      <c r="B149" s="581">
        <v>45931</v>
      </c>
      <c r="C149" s="470">
        <v>2025</v>
      </c>
      <c r="D149" s="461">
        <f t="shared" si="161"/>
        <v>154190</v>
      </c>
      <c r="E149" s="461">
        <f t="shared" ref="E149:BP151" si="167">SUMIFS(E$5:E$41,$B$5:$B$41,$A149)</f>
        <v>11261</v>
      </c>
      <c r="F149" s="582">
        <f t="shared" si="167"/>
        <v>7488</v>
      </c>
      <c r="G149" s="113">
        <f t="shared" si="167"/>
        <v>740</v>
      </c>
      <c r="H149" s="113">
        <f t="shared" si="167"/>
        <v>627</v>
      </c>
      <c r="I149" s="113">
        <f t="shared" si="167"/>
        <v>5784</v>
      </c>
      <c r="J149" s="460">
        <f t="shared" si="167"/>
        <v>337</v>
      </c>
      <c r="K149" s="582">
        <f t="shared" si="167"/>
        <v>3773</v>
      </c>
      <c r="L149" s="113">
        <f t="shared" si="167"/>
        <v>728</v>
      </c>
      <c r="M149" s="113">
        <f t="shared" si="167"/>
        <v>0</v>
      </c>
      <c r="N149" s="113">
        <f t="shared" si="167"/>
        <v>2980</v>
      </c>
      <c r="O149" s="459">
        <f t="shared" si="167"/>
        <v>65</v>
      </c>
      <c r="P149" s="461">
        <f t="shared" si="167"/>
        <v>29</v>
      </c>
      <c r="Q149" s="582">
        <f t="shared" si="167"/>
        <v>22</v>
      </c>
      <c r="R149" s="113">
        <f t="shared" si="167"/>
        <v>3</v>
      </c>
      <c r="S149" s="113">
        <f t="shared" si="167"/>
        <v>1</v>
      </c>
      <c r="T149" s="113">
        <f t="shared" si="167"/>
        <v>18</v>
      </c>
      <c r="U149" s="460">
        <f t="shared" si="167"/>
        <v>0</v>
      </c>
      <c r="V149" s="582">
        <f t="shared" si="167"/>
        <v>7</v>
      </c>
      <c r="W149" s="113">
        <f t="shared" si="167"/>
        <v>0</v>
      </c>
      <c r="X149" s="113">
        <f t="shared" si="167"/>
        <v>0</v>
      </c>
      <c r="Y149" s="113">
        <f t="shared" si="167"/>
        <v>7</v>
      </c>
      <c r="Z149" s="459">
        <f t="shared" si="167"/>
        <v>0</v>
      </c>
      <c r="AA149" s="461">
        <f t="shared" si="167"/>
        <v>10</v>
      </c>
      <c r="AB149" s="582">
        <f t="shared" si="167"/>
        <v>8</v>
      </c>
      <c r="AC149" s="113">
        <f t="shared" si="167"/>
        <v>2</v>
      </c>
      <c r="AD149" s="113">
        <f t="shared" si="167"/>
        <v>0</v>
      </c>
      <c r="AE149" s="113">
        <f t="shared" si="167"/>
        <v>6</v>
      </c>
      <c r="AF149" s="460">
        <f t="shared" si="167"/>
        <v>0</v>
      </c>
      <c r="AG149" s="582">
        <f t="shared" si="167"/>
        <v>2</v>
      </c>
      <c r="AH149" s="113">
        <f t="shared" si="167"/>
        <v>0</v>
      </c>
      <c r="AI149" s="113">
        <f t="shared" si="167"/>
        <v>0</v>
      </c>
      <c r="AJ149" s="113">
        <f t="shared" si="167"/>
        <v>2</v>
      </c>
      <c r="AK149" s="459">
        <f t="shared" si="167"/>
        <v>0</v>
      </c>
      <c r="AL149" s="461">
        <f t="shared" si="167"/>
        <v>126</v>
      </c>
      <c r="AM149" s="582">
        <f t="shared" si="167"/>
        <v>84</v>
      </c>
      <c r="AN149" s="113">
        <f t="shared" si="167"/>
        <v>12</v>
      </c>
      <c r="AO149" s="113">
        <f t="shared" si="167"/>
        <v>2</v>
      </c>
      <c r="AP149" s="113">
        <f t="shared" si="167"/>
        <v>66</v>
      </c>
      <c r="AQ149" s="460">
        <f t="shared" si="167"/>
        <v>4</v>
      </c>
      <c r="AR149" s="582">
        <f t="shared" si="167"/>
        <v>42</v>
      </c>
      <c r="AS149" s="113">
        <f t="shared" si="167"/>
        <v>9</v>
      </c>
      <c r="AT149" s="113">
        <f t="shared" si="167"/>
        <v>0</v>
      </c>
      <c r="AU149" s="113">
        <f t="shared" si="167"/>
        <v>33</v>
      </c>
      <c r="AV149" s="459">
        <f t="shared" si="167"/>
        <v>0</v>
      </c>
      <c r="AW149" s="461">
        <f t="shared" si="167"/>
        <v>65</v>
      </c>
      <c r="AX149" s="582">
        <f t="shared" si="167"/>
        <v>48</v>
      </c>
      <c r="AY149" s="113">
        <f t="shared" si="167"/>
        <v>1</v>
      </c>
      <c r="AZ149" s="113">
        <f t="shared" si="167"/>
        <v>3</v>
      </c>
      <c r="BA149" s="113">
        <f t="shared" si="167"/>
        <v>43</v>
      </c>
      <c r="BB149" s="460">
        <f t="shared" si="167"/>
        <v>1</v>
      </c>
      <c r="BC149" s="582">
        <f t="shared" si="167"/>
        <v>17</v>
      </c>
      <c r="BD149" s="113">
        <f t="shared" si="167"/>
        <v>3</v>
      </c>
      <c r="BE149" s="113">
        <f t="shared" si="167"/>
        <v>0</v>
      </c>
      <c r="BF149" s="113">
        <f t="shared" si="167"/>
        <v>14</v>
      </c>
      <c r="BG149" s="459">
        <f t="shared" si="167"/>
        <v>0</v>
      </c>
      <c r="BH149" s="461">
        <f t="shared" si="167"/>
        <v>86</v>
      </c>
      <c r="BI149" s="582">
        <f t="shared" si="167"/>
        <v>66</v>
      </c>
      <c r="BJ149" s="113">
        <f t="shared" si="167"/>
        <v>5</v>
      </c>
      <c r="BK149" s="113">
        <f t="shared" si="167"/>
        <v>1</v>
      </c>
      <c r="BL149" s="113">
        <f t="shared" si="167"/>
        <v>39</v>
      </c>
      <c r="BM149" s="460">
        <f t="shared" si="167"/>
        <v>21</v>
      </c>
      <c r="BN149" s="582">
        <f t="shared" si="167"/>
        <v>20</v>
      </c>
      <c r="BO149" s="113">
        <f t="shared" si="167"/>
        <v>5</v>
      </c>
      <c r="BP149" s="113">
        <f t="shared" si="167"/>
        <v>0</v>
      </c>
      <c r="BQ149" s="113">
        <f t="shared" si="166"/>
        <v>14</v>
      </c>
      <c r="BR149" s="459">
        <f t="shared" si="166"/>
        <v>1</v>
      </c>
      <c r="BS149" s="461">
        <f t="shared" si="166"/>
        <v>145</v>
      </c>
      <c r="BT149" s="582">
        <f t="shared" si="166"/>
        <v>108</v>
      </c>
      <c r="BU149" s="113">
        <f t="shared" si="166"/>
        <v>12</v>
      </c>
      <c r="BV149" s="113">
        <f t="shared" si="166"/>
        <v>22</v>
      </c>
      <c r="BW149" s="113">
        <f t="shared" si="166"/>
        <v>68</v>
      </c>
      <c r="BX149" s="460">
        <f t="shared" si="166"/>
        <v>6</v>
      </c>
      <c r="BY149" s="582">
        <f t="shared" si="166"/>
        <v>37</v>
      </c>
      <c r="BZ149" s="113">
        <f t="shared" si="166"/>
        <v>4</v>
      </c>
      <c r="CA149" s="113">
        <f t="shared" si="166"/>
        <v>0</v>
      </c>
      <c r="CB149" s="113">
        <f t="shared" si="166"/>
        <v>33</v>
      </c>
      <c r="CC149" s="459">
        <f t="shared" si="166"/>
        <v>0</v>
      </c>
      <c r="CD149" s="461">
        <f t="shared" si="166"/>
        <v>12</v>
      </c>
      <c r="CE149" s="582">
        <f t="shared" si="166"/>
        <v>10</v>
      </c>
      <c r="CF149" s="113">
        <f t="shared" si="166"/>
        <v>1</v>
      </c>
      <c r="CG149" s="113">
        <f t="shared" si="166"/>
        <v>0</v>
      </c>
      <c r="CH149" s="113">
        <f t="shared" si="166"/>
        <v>9</v>
      </c>
      <c r="CI149" s="460">
        <f t="shared" si="166"/>
        <v>0</v>
      </c>
      <c r="CJ149" s="582">
        <f t="shared" si="166"/>
        <v>2</v>
      </c>
      <c r="CK149" s="113">
        <f t="shared" si="166"/>
        <v>0</v>
      </c>
      <c r="CL149" s="113">
        <f t="shared" si="166"/>
        <v>0</v>
      </c>
      <c r="CM149" s="113">
        <f t="shared" si="166"/>
        <v>2</v>
      </c>
      <c r="CN149" s="459">
        <f t="shared" si="166"/>
        <v>0</v>
      </c>
      <c r="CO149" s="461">
        <f t="shared" si="166"/>
        <v>21</v>
      </c>
      <c r="CP149" s="582">
        <f t="shared" si="166"/>
        <v>18</v>
      </c>
      <c r="CQ149" s="113">
        <f t="shared" si="166"/>
        <v>1</v>
      </c>
      <c r="CR149" s="113">
        <f t="shared" si="166"/>
        <v>1</v>
      </c>
      <c r="CS149" s="113">
        <f t="shared" si="166"/>
        <v>16</v>
      </c>
      <c r="CT149" s="460">
        <f t="shared" si="166"/>
        <v>0</v>
      </c>
      <c r="CU149" s="582">
        <f t="shared" si="166"/>
        <v>3</v>
      </c>
      <c r="CV149" s="113">
        <f t="shared" si="166"/>
        <v>0</v>
      </c>
      <c r="CW149" s="113">
        <f t="shared" si="166"/>
        <v>0</v>
      </c>
      <c r="CX149" s="113">
        <f t="shared" si="166"/>
        <v>3</v>
      </c>
      <c r="CY149" s="459">
        <f t="shared" si="166"/>
        <v>0</v>
      </c>
      <c r="CZ149" s="461">
        <f t="shared" si="166"/>
        <v>4</v>
      </c>
      <c r="DA149" s="582">
        <f t="shared" si="166"/>
        <v>0</v>
      </c>
      <c r="DB149" s="113">
        <f t="shared" si="166"/>
        <v>0</v>
      </c>
      <c r="DC149" s="113">
        <f t="shared" si="166"/>
        <v>0</v>
      </c>
      <c r="DD149" s="113">
        <f t="shared" si="166"/>
        <v>0</v>
      </c>
      <c r="DE149" s="460">
        <f t="shared" si="166"/>
        <v>0</v>
      </c>
      <c r="DF149" s="582">
        <f t="shared" si="166"/>
        <v>4</v>
      </c>
      <c r="DG149" s="113">
        <f t="shared" si="166"/>
        <v>0</v>
      </c>
      <c r="DH149" s="113">
        <f t="shared" si="166"/>
        <v>0</v>
      </c>
      <c r="DI149" s="113">
        <f t="shared" si="166"/>
        <v>4</v>
      </c>
      <c r="DJ149" s="459">
        <f t="shared" si="166"/>
        <v>0</v>
      </c>
      <c r="DK149" s="461">
        <f t="shared" si="166"/>
        <v>7</v>
      </c>
      <c r="DL149" s="582">
        <f t="shared" si="166"/>
        <v>4</v>
      </c>
      <c r="DM149" s="113">
        <f t="shared" si="166"/>
        <v>0</v>
      </c>
      <c r="DN149" s="113">
        <f t="shared" si="166"/>
        <v>1</v>
      </c>
      <c r="DO149" s="113">
        <f t="shared" si="166"/>
        <v>3</v>
      </c>
      <c r="DP149" s="460">
        <f t="shared" si="166"/>
        <v>0</v>
      </c>
      <c r="DQ149" s="582">
        <f t="shared" si="166"/>
        <v>3</v>
      </c>
      <c r="DR149" s="113">
        <f t="shared" si="166"/>
        <v>0</v>
      </c>
      <c r="DS149" s="113">
        <f t="shared" si="166"/>
        <v>0</v>
      </c>
      <c r="DT149" s="113">
        <f t="shared" si="166"/>
        <v>3</v>
      </c>
      <c r="DU149" s="459">
        <f t="shared" si="166"/>
        <v>0</v>
      </c>
      <c r="DW149" s="461">
        <f t="shared" si="146"/>
        <v>379</v>
      </c>
      <c r="DX149" s="582">
        <f t="shared" si="147"/>
        <v>284</v>
      </c>
      <c r="DY149" s="113">
        <f t="shared" si="148"/>
        <v>25</v>
      </c>
      <c r="DZ149" s="113">
        <f t="shared" si="149"/>
        <v>29</v>
      </c>
      <c r="EA149" s="113">
        <f t="shared" si="150"/>
        <v>202</v>
      </c>
      <c r="EB149" s="460">
        <f t="shared" si="151"/>
        <v>28</v>
      </c>
      <c r="EC149" s="582">
        <f t="shared" si="152"/>
        <v>95</v>
      </c>
      <c r="ED149" s="113">
        <f t="shared" si="153"/>
        <v>12</v>
      </c>
      <c r="EE149" s="113">
        <f t="shared" si="154"/>
        <v>0</v>
      </c>
      <c r="EF149" s="113">
        <f t="shared" si="155"/>
        <v>82</v>
      </c>
      <c r="EG149" s="459">
        <f t="shared" si="156"/>
        <v>1</v>
      </c>
      <c r="EH149" s="461">
        <f t="shared" si="157"/>
        <v>126</v>
      </c>
      <c r="EI149" s="582">
        <f t="shared" si="157"/>
        <v>84</v>
      </c>
      <c r="EJ149" s="113">
        <f t="shared" si="157"/>
        <v>12</v>
      </c>
      <c r="EK149" s="113">
        <f t="shared" si="157"/>
        <v>2</v>
      </c>
      <c r="EL149" s="113">
        <f t="shared" si="157"/>
        <v>66</v>
      </c>
      <c r="EM149" s="460">
        <f t="shared" si="157"/>
        <v>4</v>
      </c>
      <c r="EN149" s="582">
        <f t="shared" si="157"/>
        <v>42</v>
      </c>
      <c r="EO149" s="113">
        <f t="shared" si="157"/>
        <v>9</v>
      </c>
      <c r="EP149" s="113">
        <f t="shared" si="158"/>
        <v>0</v>
      </c>
      <c r="EQ149" s="113">
        <f t="shared" si="159"/>
        <v>33</v>
      </c>
      <c r="ER149" s="459">
        <f t="shared" si="160"/>
        <v>0</v>
      </c>
    </row>
    <row r="150" spans="1:148">
      <c r="A150" s="466" t="s">
        <v>434</v>
      </c>
      <c r="B150" s="581">
        <v>45962</v>
      </c>
      <c r="C150" s="470">
        <v>2025</v>
      </c>
      <c r="D150" s="461">
        <f t="shared" si="161"/>
        <v>154190</v>
      </c>
      <c r="E150" s="461">
        <f t="shared" si="167"/>
        <v>11261</v>
      </c>
      <c r="F150" s="582">
        <f t="shared" si="167"/>
        <v>7488</v>
      </c>
      <c r="G150" s="113">
        <f t="shared" si="167"/>
        <v>740</v>
      </c>
      <c r="H150" s="113">
        <f t="shared" si="167"/>
        <v>627</v>
      </c>
      <c r="I150" s="113">
        <f t="shared" si="167"/>
        <v>5784</v>
      </c>
      <c r="J150" s="460">
        <f t="shared" si="167"/>
        <v>337</v>
      </c>
      <c r="K150" s="582">
        <f t="shared" si="167"/>
        <v>3773</v>
      </c>
      <c r="L150" s="113">
        <f t="shared" si="167"/>
        <v>728</v>
      </c>
      <c r="M150" s="113">
        <f t="shared" si="167"/>
        <v>0</v>
      </c>
      <c r="N150" s="113">
        <f t="shared" si="167"/>
        <v>2980</v>
      </c>
      <c r="O150" s="459">
        <f t="shared" si="167"/>
        <v>65</v>
      </c>
      <c r="P150" s="461">
        <f t="shared" si="167"/>
        <v>29</v>
      </c>
      <c r="Q150" s="582">
        <f t="shared" si="167"/>
        <v>22</v>
      </c>
      <c r="R150" s="113">
        <f t="shared" si="167"/>
        <v>3</v>
      </c>
      <c r="S150" s="113">
        <f t="shared" si="167"/>
        <v>1</v>
      </c>
      <c r="T150" s="113">
        <f t="shared" si="167"/>
        <v>18</v>
      </c>
      <c r="U150" s="460">
        <f t="shared" si="167"/>
        <v>0</v>
      </c>
      <c r="V150" s="582">
        <f t="shared" si="167"/>
        <v>7</v>
      </c>
      <c r="W150" s="113">
        <f t="shared" si="167"/>
        <v>0</v>
      </c>
      <c r="X150" s="113">
        <f t="shared" si="167"/>
        <v>0</v>
      </c>
      <c r="Y150" s="113">
        <f t="shared" si="167"/>
        <v>7</v>
      </c>
      <c r="Z150" s="459">
        <f t="shared" si="167"/>
        <v>0</v>
      </c>
      <c r="AA150" s="461">
        <f t="shared" si="167"/>
        <v>10</v>
      </c>
      <c r="AB150" s="582">
        <f t="shared" si="167"/>
        <v>8</v>
      </c>
      <c r="AC150" s="113">
        <f t="shared" si="167"/>
        <v>2</v>
      </c>
      <c r="AD150" s="113">
        <f t="shared" si="167"/>
        <v>0</v>
      </c>
      <c r="AE150" s="113">
        <f t="shared" si="167"/>
        <v>6</v>
      </c>
      <c r="AF150" s="460">
        <f t="shared" si="167"/>
        <v>0</v>
      </c>
      <c r="AG150" s="582">
        <f t="shared" si="167"/>
        <v>2</v>
      </c>
      <c r="AH150" s="113">
        <f t="shared" si="167"/>
        <v>0</v>
      </c>
      <c r="AI150" s="113">
        <f t="shared" si="167"/>
        <v>0</v>
      </c>
      <c r="AJ150" s="113">
        <f t="shared" si="167"/>
        <v>2</v>
      </c>
      <c r="AK150" s="459">
        <f t="shared" si="167"/>
        <v>0</v>
      </c>
      <c r="AL150" s="461">
        <f t="shared" si="167"/>
        <v>126</v>
      </c>
      <c r="AM150" s="582">
        <f t="shared" si="167"/>
        <v>84</v>
      </c>
      <c r="AN150" s="113">
        <f t="shared" si="167"/>
        <v>12</v>
      </c>
      <c r="AO150" s="113">
        <f t="shared" si="167"/>
        <v>2</v>
      </c>
      <c r="AP150" s="113">
        <f t="shared" si="167"/>
        <v>66</v>
      </c>
      <c r="AQ150" s="460">
        <f t="shared" si="167"/>
        <v>4</v>
      </c>
      <c r="AR150" s="582">
        <f t="shared" si="167"/>
        <v>42</v>
      </c>
      <c r="AS150" s="113">
        <f t="shared" si="167"/>
        <v>9</v>
      </c>
      <c r="AT150" s="113">
        <f t="shared" si="167"/>
        <v>0</v>
      </c>
      <c r="AU150" s="113">
        <f t="shared" si="167"/>
        <v>33</v>
      </c>
      <c r="AV150" s="459">
        <f t="shared" si="167"/>
        <v>0</v>
      </c>
      <c r="AW150" s="461">
        <f t="shared" si="167"/>
        <v>65</v>
      </c>
      <c r="AX150" s="582">
        <f t="shared" si="167"/>
        <v>48</v>
      </c>
      <c r="AY150" s="113">
        <f t="shared" si="167"/>
        <v>1</v>
      </c>
      <c r="AZ150" s="113">
        <f t="shared" si="167"/>
        <v>3</v>
      </c>
      <c r="BA150" s="113">
        <f t="shared" si="167"/>
        <v>43</v>
      </c>
      <c r="BB150" s="460">
        <f t="shared" si="167"/>
        <v>1</v>
      </c>
      <c r="BC150" s="582">
        <f t="shared" si="167"/>
        <v>17</v>
      </c>
      <c r="BD150" s="113">
        <f t="shared" si="167"/>
        <v>3</v>
      </c>
      <c r="BE150" s="113">
        <f t="shared" si="167"/>
        <v>0</v>
      </c>
      <c r="BF150" s="113">
        <f t="shared" si="167"/>
        <v>14</v>
      </c>
      <c r="BG150" s="459">
        <f t="shared" si="167"/>
        <v>0</v>
      </c>
      <c r="BH150" s="461">
        <f t="shared" si="167"/>
        <v>86</v>
      </c>
      <c r="BI150" s="582">
        <f t="shared" si="167"/>
        <v>66</v>
      </c>
      <c r="BJ150" s="113">
        <f t="shared" si="167"/>
        <v>5</v>
      </c>
      <c r="BK150" s="113">
        <f t="shared" si="167"/>
        <v>1</v>
      </c>
      <c r="BL150" s="113">
        <f t="shared" si="167"/>
        <v>39</v>
      </c>
      <c r="BM150" s="460">
        <f t="shared" si="167"/>
        <v>21</v>
      </c>
      <c r="BN150" s="582">
        <f t="shared" si="167"/>
        <v>20</v>
      </c>
      <c r="BO150" s="113">
        <f t="shared" si="167"/>
        <v>5</v>
      </c>
      <c r="BP150" s="113">
        <f t="shared" si="167"/>
        <v>0</v>
      </c>
      <c r="BQ150" s="113">
        <f t="shared" si="166"/>
        <v>14</v>
      </c>
      <c r="BR150" s="459">
        <f t="shared" si="166"/>
        <v>1</v>
      </c>
      <c r="BS150" s="461">
        <f t="shared" si="166"/>
        <v>145</v>
      </c>
      <c r="BT150" s="582">
        <f t="shared" si="166"/>
        <v>108</v>
      </c>
      <c r="BU150" s="113">
        <f t="shared" si="166"/>
        <v>12</v>
      </c>
      <c r="BV150" s="113">
        <f t="shared" si="166"/>
        <v>22</v>
      </c>
      <c r="BW150" s="113">
        <f t="shared" si="166"/>
        <v>68</v>
      </c>
      <c r="BX150" s="460">
        <f t="shared" si="166"/>
        <v>6</v>
      </c>
      <c r="BY150" s="582">
        <f t="shared" si="166"/>
        <v>37</v>
      </c>
      <c r="BZ150" s="113">
        <f t="shared" si="166"/>
        <v>4</v>
      </c>
      <c r="CA150" s="113">
        <f t="shared" si="166"/>
        <v>0</v>
      </c>
      <c r="CB150" s="113">
        <f t="shared" si="166"/>
        <v>33</v>
      </c>
      <c r="CC150" s="459">
        <f t="shared" si="166"/>
        <v>0</v>
      </c>
      <c r="CD150" s="461">
        <f t="shared" si="166"/>
        <v>12</v>
      </c>
      <c r="CE150" s="582">
        <f t="shared" si="166"/>
        <v>10</v>
      </c>
      <c r="CF150" s="113">
        <f t="shared" si="166"/>
        <v>1</v>
      </c>
      <c r="CG150" s="113">
        <f t="shared" si="166"/>
        <v>0</v>
      </c>
      <c r="CH150" s="113">
        <f t="shared" si="166"/>
        <v>9</v>
      </c>
      <c r="CI150" s="460">
        <f t="shared" si="166"/>
        <v>0</v>
      </c>
      <c r="CJ150" s="582">
        <f t="shared" si="166"/>
        <v>2</v>
      </c>
      <c r="CK150" s="113">
        <f t="shared" si="166"/>
        <v>0</v>
      </c>
      <c r="CL150" s="113">
        <f t="shared" si="166"/>
        <v>0</v>
      </c>
      <c r="CM150" s="113">
        <f t="shared" si="166"/>
        <v>2</v>
      </c>
      <c r="CN150" s="459">
        <f t="shared" si="166"/>
        <v>0</v>
      </c>
      <c r="CO150" s="461">
        <f t="shared" si="166"/>
        <v>21</v>
      </c>
      <c r="CP150" s="582">
        <f t="shared" si="166"/>
        <v>18</v>
      </c>
      <c r="CQ150" s="113">
        <f t="shared" si="166"/>
        <v>1</v>
      </c>
      <c r="CR150" s="113">
        <f t="shared" si="166"/>
        <v>1</v>
      </c>
      <c r="CS150" s="113">
        <f t="shared" si="166"/>
        <v>16</v>
      </c>
      <c r="CT150" s="460">
        <f t="shared" si="166"/>
        <v>0</v>
      </c>
      <c r="CU150" s="582">
        <f t="shared" si="166"/>
        <v>3</v>
      </c>
      <c r="CV150" s="113">
        <f t="shared" si="166"/>
        <v>0</v>
      </c>
      <c r="CW150" s="113">
        <f t="shared" si="166"/>
        <v>0</v>
      </c>
      <c r="CX150" s="113">
        <f t="shared" si="166"/>
        <v>3</v>
      </c>
      <c r="CY150" s="459">
        <f t="shared" si="166"/>
        <v>0</v>
      </c>
      <c r="CZ150" s="461">
        <f t="shared" si="166"/>
        <v>4</v>
      </c>
      <c r="DA150" s="582">
        <f t="shared" si="166"/>
        <v>0</v>
      </c>
      <c r="DB150" s="113">
        <f t="shared" si="166"/>
        <v>0</v>
      </c>
      <c r="DC150" s="113">
        <f t="shared" si="166"/>
        <v>0</v>
      </c>
      <c r="DD150" s="113">
        <f t="shared" si="166"/>
        <v>0</v>
      </c>
      <c r="DE150" s="460">
        <f t="shared" si="166"/>
        <v>0</v>
      </c>
      <c r="DF150" s="582">
        <f t="shared" si="166"/>
        <v>4</v>
      </c>
      <c r="DG150" s="113">
        <f t="shared" si="166"/>
        <v>0</v>
      </c>
      <c r="DH150" s="113">
        <f t="shared" si="166"/>
        <v>0</v>
      </c>
      <c r="DI150" s="113">
        <f t="shared" si="166"/>
        <v>4</v>
      </c>
      <c r="DJ150" s="459">
        <f t="shared" si="166"/>
        <v>0</v>
      </c>
      <c r="DK150" s="461">
        <f t="shared" si="166"/>
        <v>7</v>
      </c>
      <c r="DL150" s="582">
        <f t="shared" si="166"/>
        <v>4</v>
      </c>
      <c r="DM150" s="113">
        <f t="shared" si="166"/>
        <v>0</v>
      </c>
      <c r="DN150" s="113">
        <f t="shared" si="166"/>
        <v>1</v>
      </c>
      <c r="DO150" s="113">
        <f t="shared" si="166"/>
        <v>3</v>
      </c>
      <c r="DP150" s="460">
        <f t="shared" si="166"/>
        <v>0</v>
      </c>
      <c r="DQ150" s="582">
        <f t="shared" si="166"/>
        <v>3</v>
      </c>
      <c r="DR150" s="113">
        <f t="shared" si="166"/>
        <v>0</v>
      </c>
      <c r="DS150" s="113">
        <f t="shared" si="166"/>
        <v>0</v>
      </c>
      <c r="DT150" s="113">
        <f t="shared" si="166"/>
        <v>3</v>
      </c>
      <c r="DU150" s="459">
        <f t="shared" si="166"/>
        <v>0</v>
      </c>
      <c r="DW150" s="461">
        <f t="shared" si="146"/>
        <v>379</v>
      </c>
      <c r="DX150" s="582">
        <f t="shared" si="147"/>
        <v>284</v>
      </c>
      <c r="DY150" s="113">
        <f t="shared" si="148"/>
        <v>25</v>
      </c>
      <c r="DZ150" s="113">
        <f t="shared" si="149"/>
        <v>29</v>
      </c>
      <c r="EA150" s="113">
        <f t="shared" si="150"/>
        <v>202</v>
      </c>
      <c r="EB150" s="460">
        <f t="shared" si="151"/>
        <v>28</v>
      </c>
      <c r="EC150" s="582">
        <f t="shared" si="152"/>
        <v>95</v>
      </c>
      <c r="ED150" s="113">
        <f t="shared" si="153"/>
        <v>12</v>
      </c>
      <c r="EE150" s="113">
        <f t="shared" si="154"/>
        <v>0</v>
      </c>
      <c r="EF150" s="113">
        <f t="shared" si="155"/>
        <v>82</v>
      </c>
      <c r="EG150" s="459">
        <f t="shared" si="156"/>
        <v>1</v>
      </c>
      <c r="EH150" s="461">
        <f t="shared" si="157"/>
        <v>126</v>
      </c>
      <c r="EI150" s="582">
        <f t="shared" si="157"/>
        <v>84</v>
      </c>
      <c r="EJ150" s="113">
        <f t="shared" si="157"/>
        <v>12</v>
      </c>
      <c r="EK150" s="113">
        <f t="shared" si="157"/>
        <v>2</v>
      </c>
      <c r="EL150" s="113">
        <f t="shared" si="157"/>
        <v>66</v>
      </c>
      <c r="EM150" s="460">
        <f t="shared" si="157"/>
        <v>4</v>
      </c>
      <c r="EN150" s="582">
        <f t="shared" si="157"/>
        <v>42</v>
      </c>
      <c r="EO150" s="113">
        <f t="shared" si="157"/>
        <v>9</v>
      </c>
      <c r="EP150" s="113">
        <f t="shared" si="158"/>
        <v>0</v>
      </c>
      <c r="EQ150" s="113">
        <f t="shared" si="159"/>
        <v>33</v>
      </c>
      <c r="ER150" s="459">
        <f t="shared" si="160"/>
        <v>0</v>
      </c>
    </row>
    <row r="151" spans="1:148" ht="14.5" thickBot="1">
      <c r="A151" s="469" t="s">
        <v>434</v>
      </c>
      <c r="B151" s="468">
        <v>45992</v>
      </c>
      <c r="C151" s="467">
        <v>2025</v>
      </c>
      <c r="D151" s="458">
        <f t="shared" si="161"/>
        <v>154190</v>
      </c>
      <c r="E151" s="458">
        <f t="shared" si="167"/>
        <v>11261</v>
      </c>
      <c r="F151" s="457">
        <f t="shared" si="167"/>
        <v>7488</v>
      </c>
      <c r="G151" s="643">
        <f t="shared" si="167"/>
        <v>740</v>
      </c>
      <c r="H151" s="643">
        <f t="shared" si="167"/>
        <v>627</v>
      </c>
      <c r="I151" s="643">
        <f t="shared" si="167"/>
        <v>5784</v>
      </c>
      <c r="J151" s="465">
        <f t="shared" si="167"/>
        <v>337</v>
      </c>
      <c r="K151" s="457">
        <f t="shared" si="167"/>
        <v>3773</v>
      </c>
      <c r="L151" s="643">
        <f t="shared" si="167"/>
        <v>728</v>
      </c>
      <c r="M151" s="643">
        <f t="shared" si="167"/>
        <v>0</v>
      </c>
      <c r="N151" s="643">
        <f t="shared" si="167"/>
        <v>2980</v>
      </c>
      <c r="O151" s="456">
        <f t="shared" si="167"/>
        <v>65</v>
      </c>
      <c r="P151" s="458">
        <f t="shared" si="167"/>
        <v>29</v>
      </c>
      <c r="Q151" s="457">
        <f t="shared" si="167"/>
        <v>22</v>
      </c>
      <c r="R151" s="643">
        <f t="shared" si="167"/>
        <v>3</v>
      </c>
      <c r="S151" s="643">
        <f t="shared" si="167"/>
        <v>1</v>
      </c>
      <c r="T151" s="643">
        <f t="shared" si="167"/>
        <v>18</v>
      </c>
      <c r="U151" s="465">
        <f t="shared" si="167"/>
        <v>0</v>
      </c>
      <c r="V151" s="457">
        <f t="shared" si="167"/>
        <v>7</v>
      </c>
      <c r="W151" s="643">
        <f t="shared" si="167"/>
        <v>0</v>
      </c>
      <c r="X151" s="643">
        <f t="shared" si="167"/>
        <v>0</v>
      </c>
      <c r="Y151" s="643">
        <f t="shared" si="167"/>
        <v>7</v>
      </c>
      <c r="Z151" s="456">
        <f t="shared" si="167"/>
        <v>0</v>
      </c>
      <c r="AA151" s="458">
        <f t="shared" si="167"/>
        <v>10</v>
      </c>
      <c r="AB151" s="457">
        <f t="shared" si="167"/>
        <v>8</v>
      </c>
      <c r="AC151" s="643">
        <f t="shared" si="167"/>
        <v>2</v>
      </c>
      <c r="AD151" s="643">
        <f t="shared" si="167"/>
        <v>0</v>
      </c>
      <c r="AE151" s="643">
        <f t="shared" si="167"/>
        <v>6</v>
      </c>
      <c r="AF151" s="465">
        <f t="shared" si="167"/>
        <v>0</v>
      </c>
      <c r="AG151" s="457">
        <f t="shared" si="167"/>
        <v>2</v>
      </c>
      <c r="AH151" s="643">
        <f t="shared" si="167"/>
        <v>0</v>
      </c>
      <c r="AI151" s="643">
        <f t="shared" si="167"/>
        <v>0</v>
      </c>
      <c r="AJ151" s="643">
        <f t="shared" si="167"/>
        <v>2</v>
      </c>
      <c r="AK151" s="456">
        <f t="shared" si="167"/>
        <v>0</v>
      </c>
      <c r="AL151" s="458">
        <f t="shared" si="167"/>
        <v>126</v>
      </c>
      <c r="AM151" s="457">
        <f t="shared" si="167"/>
        <v>84</v>
      </c>
      <c r="AN151" s="643">
        <f t="shared" si="167"/>
        <v>12</v>
      </c>
      <c r="AO151" s="643">
        <f t="shared" si="167"/>
        <v>2</v>
      </c>
      <c r="AP151" s="643">
        <f t="shared" si="167"/>
        <v>66</v>
      </c>
      <c r="AQ151" s="465">
        <f t="shared" si="167"/>
        <v>4</v>
      </c>
      <c r="AR151" s="457">
        <f t="shared" si="167"/>
        <v>42</v>
      </c>
      <c r="AS151" s="643">
        <f t="shared" si="167"/>
        <v>9</v>
      </c>
      <c r="AT151" s="643">
        <f t="shared" si="167"/>
        <v>0</v>
      </c>
      <c r="AU151" s="643">
        <f t="shared" si="167"/>
        <v>33</v>
      </c>
      <c r="AV151" s="456">
        <f t="shared" si="167"/>
        <v>0</v>
      </c>
      <c r="AW151" s="458">
        <f t="shared" si="167"/>
        <v>65</v>
      </c>
      <c r="AX151" s="457">
        <f t="shared" si="167"/>
        <v>48</v>
      </c>
      <c r="AY151" s="643">
        <f t="shared" si="167"/>
        <v>1</v>
      </c>
      <c r="AZ151" s="643">
        <f t="shared" si="167"/>
        <v>3</v>
      </c>
      <c r="BA151" s="643">
        <f t="shared" si="167"/>
        <v>43</v>
      </c>
      <c r="BB151" s="465">
        <f t="shared" si="167"/>
        <v>1</v>
      </c>
      <c r="BC151" s="457">
        <f t="shared" si="167"/>
        <v>17</v>
      </c>
      <c r="BD151" s="643">
        <f t="shared" si="167"/>
        <v>3</v>
      </c>
      <c r="BE151" s="643">
        <f t="shared" si="167"/>
        <v>0</v>
      </c>
      <c r="BF151" s="643">
        <f t="shared" si="167"/>
        <v>14</v>
      </c>
      <c r="BG151" s="456">
        <f t="shared" si="167"/>
        <v>0</v>
      </c>
      <c r="BH151" s="458">
        <f t="shared" si="167"/>
        <v>86</v>
      </c>
      <c r="BI151" s="457">
        <f t="shared" si="167"/>
        <v>66</v>
      </c>
      <c r="BJ151" s="643">
        <f t="shared" si="167"/>
        <v>5</v>
      </c>
      <c r="BK151" s="643">
        <f t="shared" si="167"/>
        <v>1</v>
      </c>
      <c r="BL151" s="643">
        <f t="shared" si="167"/>
        <v>39</v>
      </c>
      <c r="BM151" s="465">
        <f t="shared" si="167"/>
        <v>21</v>
      </c>
      <c r="BN151" s="457">
        <f t="shared" si="167"/>
        <v>20</v>
      </c>
      <c r="BO151" s="643">
        <f t="shared" si="167"/>
        <v>5</v>
      </c>
      <c r="BP151" s="643">
        <f t="shared" si="167"/>
        <v>0</v>
      </c>
      <c r="BQ151" s="643">
        <f t="shared" si="166"/>
        <v>14</v>
      </c>
      <c r="BR151" s="456">
        <f t="shared" si="166"/>
        <v>1</v>
      </c>
      <c r="BS151" s="458">
        <f t="shared" si="166"/>
        <v>145</v>
      </c>
      <c r="BT151" s="457">
        <f t="shared" si="166"/>
        <v>108</v>
      </c>
      <c r="BU151" s="643">
        <f t="shared" si="166"/>
        <v>12</v>
      </c>
      <c r="BV151" s="643">
        <f t="shared" si="166"/>
        <v>22</v>
      </c>
      <c r="BW151" s="643">
        <f t="shared" si="166"/>
        <v>68</v>
      </c>
      <c r="BX151" s="465">
        <f t="shared" si="166"/>
        <v>6</v>
      </c>
      <c r="BY151" s="457">
        <f t="shared" si="166"/>
        <v>37</v>
      </c>
      <c r="BZ151" s="643">
        <f t="shared" si="166"/>
        <v>4</v>
      </c>
      <c r="CA151" s="643">
        <f t="shared" si="166"/>
        <v>0</v>
      </c>
      <c r="CB151" s="643">
        <f t="shared" si="166"/>
        <v>33</v>
      </c>
      <c r="CC151" s="456">
        <f t="shared" si="166"/>
        <v>0</v>
      </c>
      <c r="CD151" s="458">
        <f t="shared" si="166"/>
        <v>12</v>
      </c>
      <c r="CE151" s="457">
        <f t="shared" si="166"/>
        <v>10</v>
      </c>
      <c r="CF151" s="643">
        <f t="shared" si="166"/>
        <v>1</v>
      </c>
      <c r="CG151" s="643">
        <f t="shared" si="166"/>
        <v>0</v>
      </c>
      <c r="CH151" s="643">
        <f t="shared" si="166"/>
        <v>9</v>
      </c>
      <c r="CI151" s="465">
        <f t="shared" si="166"/>
        <v>0</v>
      </c>
      <c r="CJ151" s="457">
        <f t="shared" si="166"/>
        <v>2</v>
      </c>
      <c r="CK151" s="643">
        <f t="shared" si="166"/>
        <v>0</v>
      </c>
      <c r="CL151" s="643">
        <f t="shared" si="166"/>
        <v>0</v>
      </c>
      <c r="CM151" s="643">
        <f t="shared" si="166"/>
        <v>2</v>
      </c>
      <c r="CN151" s="456">
        <f t="shared" si="166"/>
        <v>0</v>
      </c>
      <c r="CO151" s="458">
        <f t="shared" si="166"/>
        <v>21</v>
      </c>
      <c r="CP151" s="457">
        <f t="shared" si="166"/>
        <v>18</v>
      </c>
      <c r="CQ151" s="643">
        <f t="shared" si="166"/>
        <v>1</v>
      </c>
      <c r="CR151" s="643">
        <f t="shared" si="166"/>
        <v>1</v>
      </c>
      <c r="CS151" s="643">
        <f t="shared" si="166"/>
        <v>16</v>
      </c>
      <c r="CT151" s="465">
        <f t="shared" si="166"/>
        <v>0</v>
      </c>
      <c r="CU151" s="457">
        <f t="shared" si="166"/>
        <v>3</v>
      </c>
      <c r="CV151" s="643">
        <f t="shared" si="166"/>
        <v>0</v>
      </c>
      <c r="CW151" s="643">
        <f t="shared" si="166"/>
        <v>0</v>
      </c>
      <c r="CX151" s="643">
        <f t="shared" si="166"/>
        <v>3</v>
      </c>
      <c r="CY151" s="456">
        <f t="shared" si="166"/>
        <v>0</v>
      </c>
      <c r="CZ151" s="458">
        <f t="shared" si="166"/>
        <v>4</v>
      </c>
      <c r="DA151" s="457">
        <f t="shared" si="166"/>
        <v>0</v>
      </c>
      <c r="DB151" s="643">
        <f t="shared" si="166"/>
        <v>0</v>
      </c>
      <c r="DC151" s="643">
        <f t="shared" si="166"/>
        <v>0</v>
      </c>
      <c r="DD151" s="643">
        <f t="shared" si="166"/>
        <v>0</v>
      </c>
      <c r="DE151" s="465">
        <f t="shared" si="166"/>
        <v>0</v>
      </c>
      <c r="DF151" s="457">
        <f t="shared" si="166"/>
        <v>4</v>
      </c>
      <c r="DG151" s="643">
        <f t="shared" si="166"/>
        <v>0</v>
      </c>
      <c r="DH151" s="643">
        <f t="shared" si="166"/>
        <v>0</v>
      </c>
      <c r="DI151" s="643">
        <f t="shared" si="166"/>
        <v>4</v>
      </c>
      <c r="DJ151" s="456">
        <f t="shared" si="166"/>
        <v>0</v>
      </c>
      <c r="DK151" s="458">
        <f t="shared" si="166"/>
        <v>7</v>
      </c>
      <c r="DL151" s="457">
        <f t="shared" si="166"/>
        <v>4</v>
      </c>
      <c r="DM151" s="643">
        <f t="shared" si="166"/>
        <v>0</v>
      </c>
      <c r="DN151" s="643">
        <f t="shared" si="166"/>
        <v>1</v>
      </c>
      <c r="DO151" s="643">
        <f t="shared" si="166"/>
        <v>3</v>
      </c>
      <c r="DP151" s="465">
        <f t="shared" si="166"/>
        <v>0</v>
      </c>
      <c r="DQ151" s="457">
        <f t="shared" si="166"/>
        <v>3</v>
      </c>
      <c r="DR151" s="643">
        <f t="shared" si="166"/>
        <v>0</v>
      </c>
      <c r="DS151" s="643">
        <f t="shared" si="166"/>
        <v>0</v>
      </c>
      <c r="DT151" s="643">
        <f t="shared" si="166"/>
        <v>3</v>
      </c>
      <c r="DU151" s="456">
        <f t="shared" si="166"/>
        <v>0</v>
      </c>
      <c r="DW151" s="458">
        <f t="shared" si="146"/>
        <v>379</v>
      </c>
      <c r="DX151" s="457">
        <f t="shared" si="147"/>
        <v>284</v>
      </c>
      <c r="DY151" s="643">
        <f t="shared" si="148"/>
        <v>25</v>
      </c>
      <c r="DZ151" s="643">
        <f t="shared" si="149"/>
        <v>29</v>
      </c>
      <c r="EA151" s="643">
        <f t="shared" si="150"/>
        <v>202</v>
      </c>
      <c r="EB151" s="465">
        <f t="shared" si="151"/>
        <v>28</v>
      </c>
      <c r="EC151" s="457">
        <f t="shared" si="152"/>
        <v>95</v>
      </c>
      <c r="ED151" s="643">
        <f t="shared" si="153"/>
        <v>12</v>
      </c>
      <c r="EE151" s="643">
        <f t="shared" si="154"/>
        <v>0</v>
      </c>
      <c r="EF151" s="643">
        <f t="shared" si="155"/>
        <v>82</v>
      </c>
      <c r="EG151" s="456">
        <f t="shared" si="156"/>
        <v>1</v>
      </c>
      <c r="EH151" s="458">
        <f t="shared" si="157"/>
        <v>126</v>
      </c>
      <c r="EI151" s="457">
        <f t="shared" si="157"/>
        <v>84</v>
      </c>
      <c r="EJ151" s="643">
        <f t="shared" si="157"/>
        <v>12</v>
      </c>
      <c r="EK151" s="643">
        <f t="shared" si="157"/>
        <v>2</v>
      </c>
      <c r="EL151" s="643">
        <f t="shared" si="157"/>
        <v>66</v>
      </c>
      <c r="EM151" s="465">
        <f t="shared" si="157"/>
        <v>4</v>
      </c>
      <c r="EN151" s="457">
        <f t="shared" si="157"/>
        <v>42</v>
      </c>
      <c r="EO151" s="643">
        <f t="shared" si="157"/>
        <v>9</v>
      </c>
      <c r="EP151" s="643">
        <f t="shared" si="158"/>
        <v>0</v>
      </c>
      <c r="EQ151" s="643">
        <f t="shared" si="159"/>
        <v>33</v>
      </c>
      <c r="ER151" s="456">
        <f t="shared" si="160"/>
        <v>0</v>
      </c>
    </row>
    <row r="152" spans="1:148" ht="14.5" thickBot="1">
      <c r="DW152" s="455"/>
      <c r="DX152" s="455"/>
      <c r="DY152" s="455"/>
      <c r="DZ152" s="455"/>
      <c r="EA152" s="455"/>
      <c r="EB152" s="455"/>
      <c r="EC152" s="455"/>
      <c r="ED152" s="455"/>
      <c r="EE152" s="455"/>
      <c r="EF152" s="455"/>
      <c r="EG152" s="455"/>
      <c r="EH152" s="455">
        <f t="shared" si="135"/>
        <v>0</v>
      </c>
      <c r="EI152" s="455">
        <f t="shared" si="135"/>
        <v>0</v>
      </c>
      <c r="EJ152" s="455">
        <f t="shared" si="135"/>
        <v>0</v>
      </c>
      <c r="EK152" s="455">
        <f t="shared" si="135"/>
        <v>0</v>
      </c>
      <c r="EL152" s="455">
        <f t="shared" si="135"/>
        <v>0</v>
      </c>
      <c r="EM152" s="455">
        <f t="shared" si="135"/>
        <v>0</v>
      </c>
      <c r="EN152" s="455">
        <f t="shared" si="135"/>
        <v>0</v>
      </c>
      <c r="EO152" s="455">
        <f t="shared" si="135"/>
        <v>0</v>
      </c>
      <c r="EP152" s="455">
        <f t="shared" si="141"/>
        <v>0</v>
      </c>
      <c r="EQ152" s="455">
        <f t="shared" si="141"/>
        <v>0</v>
      </c>
      <c r="ER152" s="455">
        <f t="shared" si="141"/>
        <v>0</v>
      </c>
    </row>
    <row r="153" spans="1:148" ht="14.5" thickBot="1">
      <c r="A153" s="807" t="s">
        <v>436</v>
      </c>
      <c r="B153" s="808"/>
      <c r="C153" s="808"/>
      <c r="D153" s="808"/>
      <c r="E153" s="808"/>
      <c r="F153" s="808"/>
      <c r="G153" s="808"/>
      <c r="H153" s="808"/>
      <c r="I153" s="808"/>
      <c r="J153" s="808"/>
      <c r="K153" s="808"/>
      <c r="L153" s="808"/>
      <c r="M153" s="808"/>
      <c r="N153" s="808"/>
      <c r="O153" s="808"/>
      <c r="P153" s="808"/>
      <c r="Q153" s="808"/>
      <c r="R153" s="808"/>
      <c r="S153" s="808"/>
      <c r="T153" s="808"/>
      <c r="U153" s="808"/>
      <c r="V153" s="808"/>
      <c r="W153" s="808"/>
      <c r="X153" s="808"/>
      <c r="Y153" s="808"/>
      <c r="Z153" s="808"/>
      <c r="AA153" s="808"/>
      <c r="AB153" s="808"/>
      <c r="AC153" s="808"/>
      <c r="AD153" s="808"/>
      <c r="AE153" s="808"/>
      <c r="AF153" s="808"/>
      <c r="AG153" s="808"/>
      <c r="AH153" s="808"/>
      <c r="AI153" s="808"/>
      <c r="AJ153" s="808"/>
      <c r="AK153" s="808"/>
      <c r="AL153" s="808"/>
      <c r="AM153" s="808"/>
      <c r="AN153" s="808"/>
      <c r="AO153" s="808"/>
      <c r="AP153" s="808"/>
      <c r="AQ153" s="808"/>
      <c r="AR153" s="808"/>
      <c r="AS153" s="808"/>
      <c r="AT153" s="808"/>
      <c r="AU153" s="808"/>
      <c r="AV153" s="808"/>
      <c r="AW153" s="808"/>
      <c r="AX153" s="808"/>
      <c r="AY153" s="808"/>
      <c r="AZ153" s="808"/>
      <c r="BA153" s="808"/>
      <c r="BB153" s="808"/>
      <c r="BC153" s="808"/>
      <c r="BD153" s="808"/>
      <c r="BE153" s="808"/>
      <c r="BF153" s="808"/>
      <c r="BG153" s="808"/>
      <c r="BH153" s="808"/>
      <c r="BI153" s="808"/>
      <c r="BJ153" s="808"/>
      <c r="BK153" s="808"/>
      <c r="BL153" s="808"/>
      <c r="BM153" s="808"/>
      <c r="BN153" s="808"/>
      <c r="BO153" s="808"/>
      <c r="BP153" s="808"/>
      <c r="BQ153" s="808"/>
      <c r="BR153" s="808"/>
      <c r="BS153" s="808"/>
      <c r="BT153" s="808"/>
      <c r="BU153" s="808"/>
      <c r="BV153" s="808"/>
      <c r="BW153" s="808"/>
      <c r="BX153" s="808"/>
      <c r="BY153" s="808"/>
      <c r="BZ153" s="808"/>
      <c r="CA153" s="808"/>
      <c r="CB153" s="808"/>
      <c r="CC153" s="808"/>
      <c r="CD153" s="808"/>
      <c r="CE153" s="808"/>
      <c r="CF153" s="808"/>
      <c r="CG153" s="808"/>
      <c r="CH153" s="808"/>
      <c r="CI153" s="808"/>
      <c r="CJ153" s="808"/>
      <c r="CK153" s="808"/>
      <c r="CL153" s="808"/>
      <c r="CM153" s="808"/>
      <c r="CN153" s="808"/>
      <c r="CO153" s="808"/>
      <c r="CP153" s="808"/>
      <c r="CQ153" s="808"/>
      <c r="CR153" s="808"/>
      <c r="CS153" s="808"/>
      <c r="CT153" s="808"/>
      <c r="CU153" s="808"/>
      <c r="CV153" s="808"/>
      <c r="CW153" s="808"/>
      <c r="CX153" s="808"/>
      <c r="CY153" s="808"/>
      <c r="CZ153" s="808"/>
      <c r="DA153" s="808"/>
      <c r="DB153" s="808"/>
      <c r="DC153" s="808"/>
      <c r="DD153" s="808"/>
      <c r="DE153" s="808"/>
      <c r="DF153" s="808"/>
      <c r="DG153" s="808"/>
      <c r="DH153" s="808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9"/>
      <c r="DW153" s="455"/>
      <c r="DX153" s="455"/>
      <c r="DY153" s="455"/>
      <c r="DZ153" s="455"/>
      <c r="EA153" s="455"/>
      <c r="EB153" s="455"/>
      <c r="EC153" s="455"/>
      <c r="ED153" s="455"/>
      <c r="EE153" s="455"/>
      <c r="EF153" s="455"/>
      <c r="EG153" s="455"/>
      <c r="EH153" s="455">
        <f t="shared" si="135"/>
        <v>0</v>
      </c>
      <c r="EI153" s="455">
        <f t="shared" si="135"/>
        <v>0</v>
      </c>
      <c r="EJ153" s="455">
        <f t="shared" si="135"/>
        <v>0</v>
      </c>
      <c r="EK153" s="455">
        <f t="shared" si="135"/>
        <v>0</v>
      </c>
      <c r="EL153" s="455">
        <f t="shared" si="135"/>
        <v>0</v>
      </c>
      <c r="EM153" s="455">
        <f t="shared" si="135"/>
        <v>0</v>
      </c>
      <c r="EN153" s="455">
        <f t="shared" si="135"/>
        <v>0</v>
      </c>
      <c r="EO153" s="455">
        <f t="shared" si="135"/>
        <v>0</v>
      </c>
      <c r="EP153" s="455">
        <f t="shared" si="141"/>
        <v>0</v>
      </c>
      <c r="EQ153" s="455">
        <f t="shared" si="141"/>
        <v>0</v>
      </c>
      <c r="ER153" s="455">
        <f t="shared" si="141"/>
        <v>0</v>
      </c>
    </row>
    <row r="154" spans="1:148" ht="14.5" thickBot="1">
      <c r="DW154" s="455"/>
      <c r="DX154" s="455"/>
      <c r="DY154" s="455"/>
      <c r="DZ154" s="455"/>
      <c r="EA154" s="455"/>
      <c r="EB154" s="455"/>
      <c r="EC154" s="455"/>
      <c r="ED154" s="455"/>
      <c r="EE154" s="455"/>
      <c r="EF154" s="455"/>
      <c r="EG154" s="455"/>
      <c r="EH154" s="455">
        <f t="shared" si="135"/>
        <v>0</v>
      </c>
      <c r="EI154" s="455">
        <f t="shared" si="135"/>
        <v>0</v>
      </c>
      <c r="EJ154" s="455">
        <f t="shared" si="135"/>
        <v>0</v>
      </c>
      <c r="EK154" s="455">
        <f t="shared" si="135"/>
        <v>0</v>
      </c>
      <c r="EL154" s="455">
        <f t="shared" si="135"/>
        <v>0</v>
      </c>
      <c r="EM154" s="455">
        <f t="shared" si="135"/>
        <v>0</v>
      </c>
      <c r="EN154" s="455">
        <f t="shared" si="135"/>
        <v>0</v>
      </c>
      <c r="EO154" s="455">
        <f t="shared" si="135"/>
        <v>0</v>
      </c>
      <c r="EP154" s="455">
        <f t="shared" si="141"/>
        <v>0</v>
      </c>
      <c r="EQ154" s="455">
        <f t="shared" si="141"/>
        <v>0</v>
      </c>
      <c r="ER154" s="455">
        <f t="shared" si="141"/>
        <v>0</v>
      </c>
    </row>
    <row r="155" spans="1:148">
      <c r="A155" s="665" t="s">
        <v>399</v>
      </c>
      <c r="B155" s="665">
        <v>42736</v>
      </c>
      <c r="C155" s="666">
        <v>2017</v>
      </c>
      <c r="D155" s="454">
        <f>D44/3</f>
        <v>56075</v>
      </c>
      <c r="E155" s="454">
        <f>E44/3</f>
        <v>440</v>
      </c>
      <c r="F155" s="453">
        <f t="shared" ref="F155:BQ155" si="168">F44/3</f>
        <v>198.33333333333334</v>
      </c>
      <c r="G155" s="580">
        <f t="shared" si="168"/>
        <v>138</v>
      </c>
      <c r="H155" s="580">
        <f t="shared" si="168"/>
        <v>0</v>
      </c>
      <c r="I155" s="580">
        <f t="shared" si="168"/>
        <v>60.333333333333336</v>
      </c>
      <c r="J155" s="452">
        <f t="shared" si="168"/>
        <v>0</v>
      </c>
      <c r="K155" s="453">
        <f t="shared" si="168"/>
        <v>241.66666666666666</v>
      </c>
      <c r="L155" s="580">
        <f t="shared" si="168"/>
        <v>209.33333333333334</v>
      </c>
      <c r="M155" s="580">
        <f t="shared" si="168"/>
        <v>0</v>
      </c>
      <c r="N155" s="580">
        <f t="shared" si="168"/>
        <v>29.333333333333332</v>
      </c>
      <c r="O155" s="451">
        <f t="shared" si="168"/>
        <v>3</v>
      </c>
      <c r="P155" s="454">
        <f t="shared" si="168"/>
        <v>0.66666666666666663</v>
      </c>
      <c r="Q155" s="453">
        <f t="shared" si="168"/>
        <v>0</v>
      </c>
      <c r="R155" s="580">
        <f t="shared" si="168"/>
        <v>0</v>
      </c>
      <c r="S155" s="580">
        <f t="shared" si="168"/>
        <v>0</v>
      </c>
      <c r="T155" s="580">
        <f t="shared" si="168"/>
        <v>0</v>
      </c>
      <c r="U155" s="452">
        <f t="shared" si="168"/>
        <v>0</v>
      </c>
      <c r="V155" s="453">
        <f t="shared" si="168"/>
        <v>0.66666666666666663</v>
      </c>
      <c r="W155" s="580">
        <f t="shared" si="168"/>
        <v>0.33333333333333331</v>
      </c>
      <c r="X155" s="580">
        <f t="shared" si="168"/>
        <v>0</v>
      </c>
      <c r="Y155" s="580">
        <f t="shared" si="168"/>
        <v>0.33333333333333331</v>
      </c>
      <c r="Z155" s="451">
        <f t="shared" si="168"/>
        <v>0</v>
      </c>
      <c r="AA155" s="454">
        <f t="shared" si="168"/>
        <v>0.33333333333333331</v>
      </c>
      <c r="AB155" s="453">
        <f t="shared" si="168"/>
        <v>0</v>
      </c>
      <c r="AC155" s="580">
        <f t="shared" si="168"/>
        <v>0</v>
      </c>
      <c r="AD155" s="580">
        <f t="shared" si="168"/>
        <v>0</v>
      </c>
      <c r="AE155" s="580">
        <f t="shared" si="168"/>
        <v>0</v>
      </c>
      <c r="AF155" s="452">
        <f t="shared" si="168"/>
        <v>0</v>
      </c>
      <c r="AG155" s="453">
        <f t="shared" si="168"/>
        <v>0.33333333333333331</v>
      </c>
      <c r="AH155" s="580">
        <f t="shared" si="168"/>
        <v>0.33333333333333331</v>
      </c>
      <c r="AI155" s="580">
        <f t="shared" si="168"/>
        <v>0</v>
      </c>
      <c r="AJ155" s="580">
        <f t="shared" si="168"/>
        <v>0</v>
      </c>
      <c r="AK155" s="451">
        <f t="shared" si="168"/>
        <v>0</v>
      </c>
      <c r="AL155" s="454">
        <f t="shared" si="168"/>
        <v>3.6666666666666665</v>
      </c>
      <c r="AM155" s="453">
        <f t="shared" si="168"/>
        <v>1.3333333333333333</v>
      </c>
      <c r="AN155" s="580">
        <f t="shared" si="168"/>
        <v>1</v>
      </c>
      <c r="AO155" s="580">
        <f t="shared" si="168"/>
        <v>0</v>
      </c>
      <c r="AP155" s="580">
        <f t="shared" si="168"/>
        <v>0.33333333333333331</v>
      </c>
      <c r="AQ155" s="452">
        <f t="shared" si="168"/>
        <v>0</v>
      </c>
      <c r="AR155" s="453">
        <f t="shared" si="168"/>
        <v>2.3333333333333335</v>
      </c>
      <c r="AS155" s="580">
        <f t="shared" si="168"/>
        <v>2</v>
      </c>
      <c r="AT155" s="580">
        <f t="shared" si="168"/>
        <v>0</v>
      </c>
      <c r="AU155" s="580">
        <f t="shared" si="168"/>
        <v>0.33333333333333331</v>
      </c>
      <c r="AV155" s="451">
        <f t="shared" si="168"/>
        <v>0</v>
      </c>
      <c r="AW155" s="454">
        <f t="shared" si="168"/>
        <v>1.3333333333333333</v>
      </c>
      <c r="AX155" s="453">
        <f t="shared" si="168"/>
        <v>0.33333333333333331</v>
      </c>
      <c r="AY155" s="580">
        <f t="shared" si="168"/>
        <v>0.33333333333333331</v>
      </c>
      <c r="AZ155" s="580">
        <f t="shared" si="168"/>
        <v>0</v>
      </c>
      <c r="BA155" s="580">
        <f t="shared" si="168"/>
        <v>0</v>
      </c>
      <c r="BB155" s="452">
        <f t="shared" si="168"/>
        <v>0</v>
      </c>
      <c r="BC155" s="453">
        <f t="shared" si="168"/>
        <v>1</v>
      </c>
      <c r="BD155" s="580">
        <f t="shared" si="168"/>
        <v>1</v>
      </c>
      <c r="BE155" s="580">
        <f t="shared" si="168"/>
        <v>0</v>
      </c>
      <c r="BF155" s="580">
        <f t="shared" si="168"/>
        <v>0</v>
      </c>
      <c r="BG155" s="451">
        <f t="shared" si="168"/>
        <v>0</v>
      </c>
      <c r="BH155" s="454">
        <f t="shared" si="168"/>
        <v>2</v>
      </c>
      <c r="BI155" s="453">
        <f t="shared" si="168"/>
        <v>1.6666666666666667</v>
      </c>
      <c r="BJ155" s="580">
        <f t="shared" si="168"/>
        <v>1</v>
      </c>
      <c r="BK155" s="580">
        <f t="shared" si="168"/>
        <v>0</v>
      </c>
      <c r="BL155" s="580">
        <f t="shared" si="168"/>
        <v>0.66666666666666663</v>
      </c>
      <c r="BM155" s="452">
        <f t="shared" si="168"/>
        <v>0</v>
      </c>
      <c r="BN155" s="453">
        <f t="shared" si="168"/>
        <v>0.33333333333333331</v>
      </c>
      <c r="BO155" s="580">
        <f t="shared" si="168"/>
        <v>0.33333333333333331</v>
      </c>
      <c r="BP155" s="580">
        <f t="shared" si="168"/>
        <v>0</v>
      </c>
      <c r="BQ155" s="580">
        <f t="shared" si="168"/>
        <v>0</v>
      </c>
      <c r="BR155" s="451">
        <f t="shared" ref="BR155:DU155" si="169">BR44/3</f>
        <v>0</v>
      </c>
      <c r="BS155" s="454">
        <f t="shared" si="169"/>
        <v>1.6666666666666667</v>
      </c>
      <c r="BT155" s="453">
        <f t="shared" si="169"/>
        <v>0.66666666666666663</v>
      </c>
      <c r="BU155" s="580">
        <f t="shared" si="169"/>
        <v>0.33333333333333331</v>
      </c>
      <c r="BV155" s="580">
        <f t="shared" si="169"/>
        <v>0</v>
      </c>
      <c r="BW155" s="580">
        <f t="shared" si="169"/>
        <v>0.33333333333333331</v>
      </c>
      <c r="BX155" s="452">
        <f t="shared" si="169"/>
        <v>0</v>
      </c>
      <c r="BY155" s="453">
        <f t="shared" si="169"/>
        <v>1</v>
      </c>
      <c r="BZ155" s="580">
        <f t="shared" si="169"/>
        <v>1</v>
      </c>
      <c r="CA155" s="580">
        <f t="shared" si="169"/>
        <v>0</v>
      </c>
      <c r="CB155" s="580">
        <f t="shared" si="169"/>
        <v>0</v>
      </c>
      <c r="CC155" s="451">
        <f t="shared" si="169"/>
        <v>0</v>
      </c>
      <c r="CD155" s="454">
        <f t="shared" si="169"/>
        <v>1.3333333333333333</v>
      </c>
      <c r="CE155" s="453">
        <f t="shared" si="169"/>
        <v>1</v>
      </c>
      <c r="CF155" s="580">
        <f t="shared" si="169"/>
        <v>0.66666666666666663</v>
      </c>
      <c r="CG155" s="580">
        <f t="shared" si="169"/>
        <v>0</v>
      </c>
      <c r="CH155" s="580">
        <f t="shared" si="169"/>
        <v>0.33333333333333331</v>
      </c>
      <c r="CI155" s="452">
        <f t="shared" si="169"/>
        <v>0</v>
      </c>
      <c r="CJ155" s="453">
        <f t="shared" si="169"/>
        <v>0.33333333333333331</v>
      </c>
      <c r="CK155" s="580">
        <f t="shared" si="169"/>
        <v>0.33333333333333331</v>
      </c>
      <c r="CL155" s="580">
        <f t="shared" si="169"/>
        <v>0</v>
      </c>
      <c r="CM155" s="580">
        <f t="shared" si="169"/>
        <v>0</v>
      </c>
      <c r="CN155" s="451">
        <f t="shared" si="169"/>
        <v>0</v>
      </c>
      <c r="CO155" s="454">
        <f t="shared" si="169"/>
        <v>0.33333333333333331</v>
      </c>
      <c r="CP155" s="453">
        <f t="shared" si="169"/>
        <v>0</v>
      </c>
      <c r="CQ155" s="580">
        <f t="shared" si="169"/>
        <v>0</v>
      </c>
      <c r="CR155" s="580">
        <f t="shared" si="169"/>
        <v>0</v>
      </c>
      <c r="CS155" s="580">
        <f t="shared" si="169"/>
        <v>0</v>
      </c>
      <c r="CT155" s="452">
        <f t="shared" si="169"/>
        <v>0</v>
      </c>
      <c r="CU155" s="453">
        <f t="shared" si="169"/>
        <v>0.33333333333333331</v>
      </c>
      <c r="CV155" s="580">
        <f t="shared" si="169"/>
        <v>0.33333333333333331</v>
      </c>
      <c r="CW155" s="580">
        <f t="shared" si="169"/>
        <v>0</v>
      </c>
      <c r="CX155" s="580">
        <f t="shared" si="169"/>
        <v>0</v>
      </c>
      <c r="CY155" s="451">
        <f t="shared" si="169"/>
        <v>0</v>
      </c>
      <c r="CZ155" s="454">
        <f t="shared" si="169"/>
        <v>0.33333333333333331</v>
      </c>
      <c r="DA155" s="453">
        <f t="shared" si="169"/>
        <v>0</v>
      </c>
      <c r="DB155" s="580">
        <f t="shared" si="169"/>
        <v>0</v>
      </c>
      <c r="DC155" s="580">
        <f t="shared" si="169"/>
        <v>0</v>
      </c>
      <c r="DD155" s="580">
        <f t="shared" si="169"/>
        <v>0</v>
      </c>
      <c r="DE155" s="452">
        <f t="shared" si="169"/>
        <v>0</v>
      </c>
      <c r="DF155" s="453">
        <f t="shared" si="169"/>
        <v>0.33333333333333331</v>
      </c>
      <c r="DG155" s="580">
        <f t="shared" si="169"/>
        <v>0.33333333333333331</v>
      </c>
      <c r="DH155" s="580">
        <f t="shared" si="169"/>
        <v>0</v>
      </c>
      <c r="DI155" s="580">
        <f t="shared" si="169"/>
        <v>0</v>
      </c>
      <c r="DJ155" s="451">
        <f t="shared" si="169"/>
        <v>0</v>
      </c>
      <c r="DK155" s="454">
        <f t="shared" si="169"/>
        <v>0</v>
      </c>
      <c r="DL155" s="453">
        <f t="shared" si="169"/>
        <v>0</v>
      </c>
      <c r="DM155" s="580">
        <f t="shared" si="169"/>
        <v>0</v>
      </c>
      <c r="DN155" s="580">
        <f t="shared" si="169"/>
        <v>0</v>
      </c>
      <c r="DO155" s="580">
        <f t="shared" si="169"/>
        <v>0</v>
      </c>
      <c r="DP155" s="452">
        <f t="shared" si="169"/>
        <v>0</v>
      </c>
      <c r="DQ155" s="453">
        <f t="shared" si="169"/>
        <v>0</v>
      </c>
      <c r="DR155" s="580">
        <f t="shared" si="169"/>
        <v>0</v>
      </c>
      <c r="DS155" s="580">
        <f t="shared" si="169"/>
        <v>0</v>
      </c>
      <c r="DT155" s="580">
        <f t="shared" si="169"/>
        <v>0</v>
      </c>
      <c r="DU155" s="451">
        <f t="shared" si="169"/>
        <v>0</v>
      </c>
      <c r="DW155" s="454">
        <f t="shared" ref="DW155:EG178" si="170">P155+AA155+AW155+BH155+BS155+CD155+CO155+CZ155+DK155</f>
        <v>7.9999999999999991</v>
      </c>
      <c r="DX155" s="453">
        <f t="shared" si="170"/>
        <v>3.6666666666666665</v>
      </c>
      <c r="DY155" s="580">
        <f t="shared" si="170"/>
        <v>2.333333333333333</v>
      </c>
      <c r="DZ155" s="580">
        <f t="shared" si="170"/>
        <v>0</v>
      </c>
      <c r="EA155" s="580">
        <f t="shared" si="170"/>
        <v>1.3333333333333333</v>
      </c>
      <c r="EB155" s="452">
        <f t="shared" si="170"/>
        <v>0</v>
      </c>
      <c r="EC155" s="453">
        <f t="shared" si="170"/>
        <v>4.333333333333333</v>
      </c>
      <c r="ED155" s="580">
        <f t="shared" si="170"/>
        <v>4</v>
      </c>
      <c r="EE155" s="580">
        <f t="shared" si="170"/>
        <v>0</v>
      </c>
      <c r="EF155" s="580">
        <f t="shared" si="170"/>
        <v>0.33333333333333331</v>
      </c>
      <c r="EG155" s="451">
        <f t="shared" si="170"/>
        <v>0</v>
      </c>
      <c r="EH155" s="454">
        <f t="shared" si="135"/>
        <v>3.6666666666666665</v>
      </c>
      <c r="EI155" s="453">
        <f t="shared" si="135"/>
        <v>1.3333333333333333</v>
      </c>
      <c r="EJ155" s="580">
        <f t="shared" si="135"/>
        <v>1</v>
      </c>
      <c r="EK155" s="580">
        <f t="shared" si="135"/>
        <v>0</v>
      </c>
      <c r="EL155" s="580">
        <f t="shared" si="135"/>
        <v>0.33333333333333331</v>
      </c>
      <c r="EM155" s="452">
        <f t="shared" si="135"/>
        <v>0</v>
      </c>
      <c r="EN155" s="453">
        <f t="shared" si="135"/>
        <v>2.3333333333333335</v>
      </c>
      <c r="EO155" s="580">
        <f t="shared" si="135"/>
        <v>2</v>
      </c>
      <c r="EP155" s="580">
        <f t="shared" si="141"/>
        <v>0</v>
      </c>
      <c r="EQ155" s="580">
        <f t="shared" si="141"/>
        <v>0.33333333333333331</v>
      </c>
      <c r="ER155" s="451">
        <f t="shared" si="141"/>
        <v>0</v>
      </c>
    </row>
    <row r="156" spans="1:148">
      <c r="A156" s="665" t="s">
        <v>399</v>
      </c>
      <c r="B156" s="665">
        <v>42767</v>
      </c>
      <c r="C156" s="666">
        <v>2017</v>
      </c>
      <c r="D156" s="461">
        <f t="shared" ref="D156:AI156" si="171">D45/3+D155</f>
        <v>112150</v>
      </c>
      <c r="E156" s="461">
        <f t="shared" si="171"/>
        <v>880</v>
      </c>
      <c r="F156" s="582">
        <f t="shared" si="171"/>
        <v>396.66666666666669</v>
      </c>
      <c r="G156" s="113">
        <f t="shared" si="171"/>
        <v>276</v>
      </c>
      <c r="H156" s="113">
        <f t="shared" si="171"/>
        <v>0</v>
      </c>
      <c r="I156" s="113">
        <f t="shared" si="171"/>
        <v>120.66666666666667</v>
      </c>
      <c r="J156" s="460">
        <f t="shared" si="171"/>
        <v>0</v>
      </c>
      <c r="K156" s="582">
        <f t="shared" si="171"/>
        <v>483.33333333333331</v>
      </c>
      <c r="L156" s="113">
        <f t="shared" si="171"/>
        <v>418.66666666666669</v>
      </c>
      <c r="M156" s="113">
        <f t="shared" si="171"/>
        <v>0</v>
      </c>
      <c r="N156" s="113">
        <f t="shared" si="171"/>
        <v>58.666666666666664</v>
      </c>
      <c r="O156" s="459">
        <f t="shared" si="171"/>
        <v>6</v>
      </c>
      <c r="P156" s="461">
        <f t="shared" si="171"/>
        <v>1.3333333333333333</v>
      </c>
      <c r="Q156" s="582">
        <f t="shared" si="171"/>
        <v>0</v>
      </c>
      <c r="R156" s="113">
        <f t="shared" si="171"/>
        <v>0</v>
      </c>
      <c r="S156" s="113">
        <f t="shared" si="171"/>
        <v>0</v>
      </c>
      <c r="T156" s="113">
        <f t="shared" si="171"/>
        <v>0</v>
      </c>
      <c r="U156" s="460">
        <f t="shared" si="171"/>
        <v>0</v>
      </c>
      <c r="V156" s="582">
        <f t="shared" si="171"/>
        <v>1.3333333333333333</v>
      </c>
      <c r="W156" s="113">
        <f t="shared" si="171"/>
        <v>0.66666666666666663</v>
      </c>
      <c r="X156" s="113">
        <f t="shared" si="171"/>
        <v>0</v>
      </c>
      <c r="Y156" s="113">
        <f t="shared" si="171"/>
        <v>0.66666666666666663</v>
      </c>
      <c r="Z156" s="459">
        <f t="shared" si="171"/>
        <v>0</v>
      </c>
      <c r="AA156" s="461">
        <f t="shared" si="171"/>
        <v>0.66666666666666663</v>
      </c>
      <c r="AB156" s="582">
        <f t="shared" si="171"/>
        <v>0</v>
      </c>
      <c r="AC156" s="113">
        <f t="shared" si="171"/>
        <v>0</v>
      </c>
      <c r="AD156" s="113">
        <f t="shared" si="171"/>
        <v>0</v>
      </c>
      <c r="AE156" s="113">
        <f t="shared" si="171"/>
        <v>0</v>
      </c>
      <c r="AF156" s="460">
        <f t="shared" si="171"/>
        <v>0</v>
      </c>
      <c r="AG156" s="582">
        <f t="shared" si="171"/>
        <v>0.66666666666666663</v>
      </c>
      <c r="AH156" s="113">
        <f t="shared" si="171"/>
        <v>0.66666666666666663</v>
      </c>
      <c r="AI156" s="113">
        <f t="shared" si="171"/>
        <v>0</v>
      </c>
      <c r="AJ156" s="113">
        <f t="shared" ref="AJ156:BO156" si="172">AJ45/3+AJ155</f>
        <v>0</v>
      </c>
      <c r="AK156" s="459">
        <f t="shared" si="172"/>
        <v>0</v>
      </c>
      <c r="AL156" s="461">
        <f t="shared" si="172"/>
        <v>7.333333333333333</v>
      </c>
      <c r="AM156" s="582">
        <f t="shared" si="172"/>
        <v>2.6666666666666665</v>
      </c>
      <c r="AN156" s="113">
        <f t="shared" si="172"/>
        <v>2</v>
      </c>
      <c r="AO156" s="113">
        <f t="shared" si="172"/>
        <v>0</v>
      </c>
      <c r="AP156" s="113">
        <f t="shared" si="172"/>
        <v>0.66666666666666663</v>
      </c>
      <c r="AQ156" s="460">
        <f t="shared" si="172"/>
        <v>0</v>
      </c>
      <c r="AR156" s="582">
        <f t="shared" si="172"/>
        <v>4.666666666666667</v>
      </c>
      <c r="AS156" s="113">
        <f t="shared" si="172"/>
        <v>4</v>
      </c>
      <c r="AT156" s="113">
        <f t="shared" si="172"/>
        <v>0</v>
      </c>
      <c r="AU156" s="113">
        <f t="shared" si="172"/>
        <v>0.66666666666666663</v>
      </c>
      <c r="AV156" s="459">
        <f t="shared" si="172"/>
        <v>0</v>
      </c>
      <c r="AW156" s="461">
        <f t="shared" si="172"/>
        <v>2.6666666666666665</v>
      </c>
      <c r="AX156" s="582">
        <f t="shared" si="172"/>
        <v>0.66666666666666663</v>
      </c>
      <c r="AY156" s="113">
        <f t="shared" si="172"/>
        <v>0.66666666666666663</v>
      </c>
      <c r="AZ156" s="113">
        <f t="shared" si="172"/>
        <v>0</v>
      </c>
      <c r="BA156" s="113">
        <f t="shared" si="172"/>
        <v>0</v>
      </c>
      <c r="BB156" s="460">
        <f t="shared" si="172"/>
        <v>0</v>
      </c>
      <c r="BC156" s="582">
        <f t="shared" si="172"/>
        <v>2</v>
      </c>
      <c r="BD156" s="113">
        <f t="shared" si="172"/>
        <v>2</v>
      </c>
      <c r="BE156" s="113">
        <f t="shared" si="172"/>
        <v>0</v>
      </c>
      <c r="BF156" s="113">
        <f t="shared" si="172"/>
        <v>0</v>
      </c>
      <c r="BG156" s="459">
        <f t="shared" si="172"/>
        <v>0</v>
      </c>
      <c r="BH156" s="461">
        <f t="shared" si="172"/>
        <v>4</v>
      </c>
      <c r="BI156" s="582">
        <f t="shared" si="172"/>
        <v>3.3333333333333335</v>
      </c>
      <c r="BJ156" s="113">
        <f t="shared" si="172"/>
        <v>2</v>
      </c>
      <c r="BK156" s="113">
        <f t="shared" si="172"/>
        <v>0</v>
      </c>
      <c r="BL156" s="113">
        <f t="shared" si="172"/>
        <v>1.3333333333333333</v>
      </c>
      <c r="BM156" s="460">
        <f t="shared" si="172"/>
        <v>0</v>
      </c>
      <c r="BN156" s="582">
        <f t="shared" si="172"/>
        <v>0.66666666666666663</v>
      </c>
      <c r="BO156" s="113">
        <f t="shared" si="172"/>
        <v>0.66666666666666663</v>
      </c>
      <c r="BP156" s="113">
        <f t="shared" ref="BP156:CU156" si="173">BP45/3+BP155</f>
        <v>0</v>
      </c>
      <c r="BQ156" s="113">
        <f t="shared" si="173"/>
        <v>0</v>
      </c>
      <c r="BR156" s="459">
        <f t="shared" si="173"/>
        <v>0</v>
      </c>
      <c r="BS156" s="461">
        <f t="shared" si="173"/>
        <v>3.3333333333333335</v>
      </c>
      <c r="BT156" s="582">
        <f t="shared" si="173"/>
        <v>1.3333333333333333</v>
      </c>
      <c r="BU156" s="113">
        <f t="shared" si="173"/>
        <v>0.66666666666666663</v>
      </c>
      <c r="BV156" s="113">
        <f t="shared" si="173"/>
        <v>0</v>
      </c>
      <c r="BW156" s="113">
        <f t="shared" si="173"/>
        <v>0.66666666666666663</v>
      </c>
      <c r="BX156" s="460">
        <f t="shared" si="173"/>
        <v>0</v>
      </c>
      <c r="BY156" s="582">
        <f t="shared" si="173"/>
        <v>2</v>
      </c>
      <c r="BZ156" s="113">
        <f t="shared" si="173"/>
        <v>2</v>
      </c>
      <c r="CA156" s="113">
        <f t="shared" si="173"/>
        <v>0</v>
      </c>
      <c r="CB156" s="113">
        <f t="shared" si="173"/>
        <v>0</v>
      </c>
      <c r="CC156" s="459">
        <f t="shared" si="173"/>
        <v>0</v>
      </c>
      <c r="CD156" s="461">
        <f t="shared" si="173"/>
        <v>2.6666666666666665</v>
      </c>
      <c r="CE156" s="582">
        <f t="shared" si="173"/>
        <v>2</v>
      </c>
      <c r="CF156" s="113">
        <f t="shared" si="173"/>
        <v>1.3333333333333333</v>
      </c>
      <c r="CG156" s="113">
        <f t="shared" si="173"/>
        <v>0</v>
      </c>
      <c r="CH156" s="113">
        <f t="shared" si="173"/>
        <v>0.66666666666666663</v>
      </c>
      <c r="CI156" s="460">
        <f t="shared" si="173"/>
        <v>0</v>
      </c>
      <c r="CJ156" s="582">
        <f t="shared" si="173"/>
        <v>0.66666666666666663</v>
      </c>
      <c r="CK156" s="113">
        <f t="shared" si="173"/>
        <v>0.66666666666666663</v>
      </c>
      <c r="CL156" s="113">
        <f t="shared" si="173"/>
        <v>0</v>
      </c>
      <c r="CM156" s="113">
        <f t="shared" si="173"/>
        <v>0</v>
      </c>
      <c r="CN156" s="459">
        <f t="shared" si="173"/>
        <v>0</v>
      </c>
      <c r="CO156" s="461">
        <f t="shared" si="173"/>
        <v>0.66666666666666663</v>
      </c>
      <c r="CP156" s="582">
        <f t="shared" si="173"/>
        <v>0</v>
      </c>
      <c r="CQ156" s="113">
        <f t="shared" si="173"/>
        <v>0</v>
      </c>
      <c r="CR156" s="113">
        <f t="shared" si="173"/>
        <v>0</v>
      </c>
      <c r="CS156" s="113">
        <f t="shared" si="173"/>
        <v>0</v>
      </c>
      <c r="CT156" s="460">
        <f t="shared" si="173"/>
        <v>0</v>
      </c>
      <c r="CU156" s="582">
        <f t="shared" si="173"/>
        <v>0.66666666666666663</v>
      </c>
      <c r="CV156" s="113">
        <f t="shared" ref="CV156:DU156" si="174">CV45/3+CV155</f>
        <v>0.66666666666666663</v>
      </c>
      <c r="CW156" s="113">
        <f t="shared" si="174"/>
        <v>0</v>
      </c>
      <c r="CX156" s="113">
        <f t="shared" si="174"/>
        <v>0</v>
      </c>
      <c r="CY156" s="459">
        <f t="shared" si="174"/>
        <v>0</v>
      </c>
      <c r="CZ156" s="461">
        <f t="shared" si="174"/>
        <v>0.66666666666666663</v>
      </c>
      <c r="DA156" s="582">
        <f t="shared" si="174"/>
        <v>0</v>
      </c>
      <c r="DB156" s="113">
        <f t="shared" si="174"/>
        <v>0</v>
      </c>
      <c r="DC156" s="113">
        <f t="shared" si="174"/>
        <v>0</v>
      </c>
      <c r="DD156" s="113">
        <f t="shared" si="174"/>
        <v>0</v>
      </c>
      <c r="DE156" s="460">
        <f t="shared" si="174"/>
        <v>0</v>
      </c>
      <c r="DF156" s="582">
        <f t="shared" si="174"/>
        <v>0.66666666666666663</v>
      </c>
      <c r="DG156" s="113">
        <f t="shared" si="174"/>
        <v>0.66666666666666663</v>
      </c>
      <c r="DH156" s="113">
        <f t="shared" si="174"/>
        <v>0</v>
      </c>
      <c r="DI156" s="113">
        <f t="shared" si="174"/>
        <v>0</v>
      </c>
      <c r="DJ156" s="459">
        <f t="shared" si="174"/>
        <v>0</v>
      </c>
      <c r="DK156" s="461">
        <f t="shared" si="174"/>
        <v>0</v>
      </c>
      <c r="DL156" s="582">
        <f t="shared" si="174"/>
        <v>0</v>
      </c>
      <c r="DM156" s="113">
        <f t="shared" si="174"/>
        <v>0</v>
      </c>
      <c r="DN156" s="113">
        <f t="shared" si="174"/>
        <v>0</v>
      </c>
      <c r="DO156" s="113">
        <f t="shared" si="174"/>
        <v>0</v>
      </c>
      <c r="DP156" s="460">
        <f t="shared" si="174"/>
        <v>0</v>
      </c>
      <c r="DQ156" s="582">
        <f t="shared" si="174"/>
        <v>0</v>
      </c>
      <c r="DR156" s="113">
        <f t="shared" si="174"/>
        <v>0</v>
      </c>
      <c r="DS156" s="113">
        <f t="shared" si="174"/>
        <v>0</v>
      </c>
      <c r="DT156" s="113">
        <f t="shared" si="174"/>
        <v>0</v>
      </c>
      <c r="DU156" s="459">
        <f t="shared" si="174"/>
        <v>0</v>
      </c>
      <c r="DW156" s="461">
        <f t="shared" si="170"/>
        <v>15.999999999999998</v>
      </c>
      <c r="DX156" s="582">
        <f t="shared" si="170"/>
        <v>7.333333333333333</v>
      </c>
      <c r="DY156" s="113">
        <f t="shared" si="170"/>
        <v>4.6666666666666661</v>
      </c>
      <c r="DZ156" s="113">
        <f t="shared" si="170"/>
        <v>0</v>
      </c>
      <c r="EA156" s="113">
        <f t="shared" si="170"/>
        <v>2.6666666666666665</v>
      </c>
      <c r="EB156" s="460">
        <f t="shared" si="170"/>
        <v>0</v>
      </c>
      <c r="EC156" s="582">
        <f t="shared" si="170"/>
        <v>8.6666666666666661</v>
      </c>
      <c r="ED156" s="113">
        <f t="shared" si="170"/>
        <v>8</v>
      </c>
      <c r="EE156" s="113">
        <f t="shared" si="170"/>
        <v>0</v>
      </c>
      <c r="EF156" s="113">
        <f t="shared" si="170"/>
        <v>0.66666666666666663</v>
      </c>
      <c r="EG156" s="459">
        <f t="shared" si="170"/>
        <v>0</v>
      </c>
      <c r="EH156" s="461">
        <f t="shared" si="135"/>
        <v>7.333333333333333</v>
      </c>
      <c r="EI156" s="582">
        <f t="shared" si="135"/>
        <v>2.6666666666666665</v>
      </c>
      <c r="EJ156" s="113">
        <f t="shared" si="135"/>
        <v>2</v>
      </c>
      <c r="EK156" s="113">
        <f t="shared" si="135"/>
        <v>0</v>
      </c>
      <c r="EL156" s="113">
        <f t="shared" si="135"/>
        <v>0.66666666666666663</v>
      </c>
      <c r="EM156" s="460">
        <f t="shared" si="135"/>
        <v>0</v>
      </c>
      <c r="EN156" s="582">
        <f t="shared" si="135"/>
        <v>4.666666666666667</v>
      </c>
      <c r="EO156" s="113">
        <f t="shared" si="135"/>
        <v>4</v>
      </c>
      <c r="EP156" s="113">
        <f t="shared" si="141"/>
        <v>0</v>
      </c>
      <c r="EQ156" s="113">
        <f t="shared" si="141"/>
        <v>0.66666666666666663</v>
      </c>
      <c r="ER156" s="459">
        <f t="shared" si="141"/>
        <v>0</v>
      </c>
    </row>
    <row r="157" spans="1:148">
      <c r="A157" s="665" t="s">
        <v>399</v>
      </c>
      <c r="B157" s="665">
        <v>42795</v>
      </c>
      <c r="C157" s="666">
        <v>2017</v>
      </c>
      <c r="D157" s="461">
        <f t="shared" ref="D157" si="175">D46/3+D156</f>
        <v>168225</v>
      </c>
      <c r="E157" s="461">
        <f t="shared" ref="E157:E188" si="176">E46/3+E156</f>
        <v>1320</v>
      </c>
      <c r="F157" s="582">
        <f t="shared" ref="F157:F188" si="177">F46/3+F156</f>
        <v>595</v>
      </c>
      <c r="G157" s="113">
        <f t="shared" ref="G157:G188" si="178">G46/3+G156</f>
        <v>414</v>
      </c>
      <c r="H157" s="113">
        <f t="shared" ref="H157:H188" si="179">H46/3+H156</f>
        <v>0</v>
      </c>
      <c r="I157" s="113">
        <f t="shared" ref="I157:I188" si="180">I46/3+I156</f>
        <v>181</v>
      </c>
      <c r="J157" s="460">
        <f t="shared" ref="J157:J188" si="181">J46/3+J156</f>
        <v>0</v>
      </c>
      <c r="K157" s="582">
        <f t="shared" ref="K157:K188" si="182">K46/3+K156</f>
        <v>725</v>
      </c>
      <c r="L157" s="113">
        <f t="shared" ref="L157:L188" si="183">L46/3+L156</f>
        <v>628</v>
      </c>
      <c r="M157" s="113">
        <f t="shared" ref="M157:M188" si="184">M46/3+M156</f>
        <v>0</v>
      </c>
      <c r="N157" s="113">
        <f t="shared" ref="N157:N188" si="185">N46/3+N156</f>
        <v>88</v>
      </c>
      <c r="O157" s="459">
        <f t="shared" ref="O157:O188" si="186">O46/3+O156</f>
        <v>9</v>
      </c>
      <c r="P157" s="461">
        <f t="shared" ref="P157:P188" si="187">P46/3+P156</f>
        <v>2</v>
      </c>
      <c r="Q157" s="582">
        <f t="shared" ref="Q157:Q188" si="188">Q46/3+Q156</f>
        <v>0</v>
      </c>
      <c r="R157" s="113">
        <f t="shared" ref="R157:R188" si="189">R46/3+R156</f>
        <v>0</v>
      </c>
      <c r="S157" s="113">
        <f t="shared" ref="S157:S188" si="190">S46/3+S156</f>
        <v>0</v>
      </c>
      <c r="T157" s="113">
        <f t="shared" ref="T157:T188" si="191">T46/3+T156</f>
        <v>0</v>
      </c>
      <c r="U157" s="460">
        <f t="shared" ref="U157:U188" si="192">U46/3+U156</f>
        <v>0</v>
      </c>
      <c r="V157" s="582">
        <f t="shared" ref="V157:V188" si="193">V46/3+V156</f>
        <v>2</v>
      </c>
      <c r="W157" s="113">
        <f t="shared" ref="W157:W188" si="194">W46/3+W156</f>
        <v>1</v>
      </c>
      <c r="X157" s="113">
        <f t="shared" ref="X157:X188" si="195">X46/3+X156</f>
        <v>0</v>
      </c>
      <c r="Y157" s="113">
        <f t="shared" ref="Y157:Y188" si="196">Y46/3+Y156</f>
        <v>1</v>
      </c>
      <c r="Z157" s="459">
        <f t="shared" ref="Z157:Z188" si="197">Z46/3+Z156</f>
        <v>0</v>
      </c>
      <c r="AA157" s="461">
        <f t="shared" ref="AA157:AA188" si="198">AA46/3+AA156</f>
        <v>1</v>
      </c>
      <c r="AB157" s="582">
        <f t="shared" ref="AB157:AB188" si="199">AB46/3+AB156</f>
        <v>0</v>
      </c>
      <c r="AC157" s="113">
        <f t="shared" ref="AC157:AC188" si="200">AC46/3+AC156</f>
        <v>0</v>
      </c>
      <c r="AD157" s="113">
        <f t="shared" ref="AD157:AD188" si="201">AD46/3+AD156</f>
        <v>0</v>
      </c>
      <c r="AE157" s="113">
        <f t="shared" ref="AE157:AE188" si="202">AE46/3+AE156</f>
        <v>0</v>
      </c>
      <c r="AF157" s="460">
        <f t="shared" ref="AF157:AF188" si="203">AF46/3+AF156</f>
        <v>0</v>
      </c>
      <c r="AG157" s="582">
        <f t="shared" ref="AG157:AG188" si="204">AG46/3+AG156</f>
        <v>1</v>
      </c>
      <c r="AH157" s="113">
        <f t="shared" ref="AH157:AH188" si="205">AH46/3+AH156</f>
        <v>1</v>
      </c>
      <c r="AI157" s="113">
        <f t="shared" ref="AI157:AI188" si="206">AI46/3+AI156</f>
        <v>0</v>
      </c>
      <c r="AJ157" s="113">
        <f t="shared" ref="AJ157:AJ188" si="207">AJ46/3+AJ156</f>
        <v>0</v>
      </c>
      <c r="AK157" s="459">
        <f t="shared" ref="AK157:AK188" si="208">AK46/3+AK156</f>
        <v>0</v>
      </c>
      <c r="AL157" s="461">
        <f t="shared" ref="AL157:AL188" si="209">AL46/3+AL156</f>
        <v>11</v>
      </c>
      <c r="AM157" s="582">
        <f t="shared" ref="AM157:AM188" si="210">AM46/3+AM156</f>
        <v>4</v>
      </c>
      <c r="AN157" s="113">
        <f t="shared" ref="AN157:AN188" si="211">AN46/3+AN156</f>
        <v>3</v>
      </c>
      <c r="AO157" s="113">
        <f t="shared" ref="AO157:AO188" si="212">AO46/3+AO156</f>
        <v>0</v>
      </c>
      <c r="AP157" s="113">
        <f t="shared" ref="AP157:AP188" si="213">AP46/3+AP156</f>
        <v>1</v>
      </c>
      <c r="AQ157" s="460">
        <f t="shared" ref="AQ157:AQ188" si="214">AQ46/3+AQ156</f>
        <v>0</v>
      </c>
      <c r="AR157" s="582">
        <f t="shared" ref="AR157:AR188" si="215">AR46/3+AR156</f>
        <v>7</v>
      </c>
      <c r="AS157" s="113">
        <f t="shared" ref="AS157:AS188" si="216">AS46/3+AS156</f>
        <v>6</v>
      </c>
      <c r="AT157" s="113">
        <f t="shared" ref="AT157:AT188" si="217">AT46/3+AT156</f>
        <v>0</v>
      </c>
      <c r="AU157" s="113">
        <f t="shared" ref="AU157:AU188" si="218">AU46/3+AU156</f>
        <v>1</v>
      </c>
      <c r="AV157" s="459">
        <f t="shared" ref="AV157:AV188" si="219">AV46/3+AV156</f>
        <v>0</v>
      </c>
      <c r="AW157" s="461">
        <f t="shared" ref="AW157:AW188" si="220">AW46/3+AW156</f>
        <v>4</v>
      </c>
      <c r="AX157" s="582">
        <f t="shared" ref="AX157:AX188" si="221">AX46/3+AX156</f>
        <v>1</v>
      </c>
      <c r="AY157" s="113">
        <f t="shared" ref="AY157:AY188" si="222">AY46/3+AY156</f>
        <v>1</v>
      </c>
      <c r="AZ157" s="113">
        <f t="shared" ref="AZ157:AZ188" si="223">AZ46/3+AZ156</f>
        <v>0</v>
      </c>
      <c r="BA157" s="113">
        <f t="shared" ref="BA157:BA188" si="224">BA46/3+BA156</f>
        <v>0</v>
      </c>
      <c r="BB157" s="460">
        <f t="shared" ref="BB157:BB188" si="225">BB46/3+BB156</f>
        <v>0</v>
      </c>
      <c r="BC157" s="582">
        <f t="shared" ref="BC157:BC188" si="226">BC46/3+BC156</f>
        <v>3</v>
      </c>
      <c r="BD157" s="113">
        <f t="shared" ref="BD157:BD188" si="227">BD46/3+BD156</f>
        <v>3</v>
      </c>
      <c r="BE157" s="113">
        <f t="shared" ref="BE157:BE188" si="228">BE46/3+BE156</f>
        <v>0</v>
      </c>
      <c r="BF157" s="113">
        <f t="shared" ref="BF157:BF188" si="229">BF46/3+BF156</f>
        <v>0</v>
      </c>
      <c r="BG157" s="459">
        <f t="shared" ref="BG157:BG188" si="230">BG46/3+BG156</f>
        <v>0</v>
      </c>
      <c r="BH157" s="461">
        <f t="shared" ref="BH157:BH188" si="231">BH46/3+BH156</f>
        <v>6</v>
      </c>
      <c r="BI157" s="582">
        <f t="shared" ref="BI157:BI188" si="232">BI46/3+BI156</f>
        <v>5</v>
      </c>
      <c r="BJ157" s="113">
        <f t="shared" ref="BJ157:BJ188" si="233">BJ46/3+BJ156</f>
        <v>3</v>
      </c>
      <c r="BK157" s="113">
        <f t="shared" ref="BK157:BK188" si="234">BK46/3+BK156</f>
        <v>0</v>
      </c>
      <c r="BL157" s="113">
        <f t="shared" ref="BL157:BL188" si="235">BL46/3+BL156</f>
        <v>2</v>
      </c>
      <c r="BM157" s="460">
        <f t="shared" ref="BM157:BM188" si="236">BM46/3+BM156</f>
        <v>0</v>
      </c>
      <c r="BN157" s="582">
        <f t="shared" ref="BN157:BN188" si="237">BN46/3+BN156</f>
        <v>1</v>
      </c>
      <c r="BO157" s="113">
        <f t="shared" ref="BO157:BO188" si="238">BO46/3+BO156</f>
        <v>1</v>
      </c>
      <c r="BP157" s="113">
        <f t="shared" ref="BP157:BP188" si="239">BP46/3+BP156</f>
        <v>0</v>
      </c>
      <c r="BQ157" s="113">
        <f t="shared" ref="BQ157:BQ188" si="240">BQ46/3+BQ156</f>
        <v>0</v>
      </c>
      <c r="BR157" s="459">
        <f t="shared" ref="BR157:BR188" si="241">BR46/3+BR156</f>
        <v>0</v>
      </c>
      <c r="BS157" s="461">
        <f t="shared" ref="BS157:BS188" si="242">BS46/3+BS156</f>
        <v>5</v>
      </c>
      <c r="BT157" s="582">
        <f t="shared" ref="BT157:BT188" si="243">BT46/3+BT156</f>
        <v>2</v>
      </c>
      <c r="BU157" s="113">
        <f t="shared" ref="BU157:BU188" si="244">BU46/3+BU156</f>
        <v>1</v>
      </c>
      <c r="BV157" s="113">
        <f t="shared" ref="BV157:BV188" si="245">BV46/3+BV156</f>
        <v>0</v>
      </c>
      <c r="BW157" s="113">
        <f t="shared" ref="BW157:BW188" si="246">BW46/3+BW156</f>
        <v>1</v>
      </c>
      <c r="BX157" s="460">
        <f t="shared" ref="BX157:BX188" si="247">BX46/3+BX156</f>
        <v>0</v>
      </c>
      <c r="BY157" s="582">
        <f t="shared" ref="BY157:BY188" si="248">BY46/3+BY156</f>
        <v>3</v>
      </c>
      <c r="BZ157" s="113">
        <f t="shared" ref="BZ157:BZ188" si="249">BZ46/3+BZ156</f>
        <v>3</v>
      </c>
      <c r="CA157" s="113">
        <f t="shared" ref="CA157:CA188" si="250">CA46/3+CA156</f>
        <v>0</v>
      </c>
      <c r="CB157" s="113">
        <f t="shared" ref="CB157:CB188" si="251">CB46/3+CB156</f>
        <v>0</v>
      </c>
      <c r="CC157" s="459">
        <f t="shared" ref="CC157:CC188" si="252">CC46/3+CC156</f>
        <v>0</v>
      </c>
      <c r="CD157" s="461">
        <f t="shared" ref="CD157:CD188" si="253">CD46/3+CD156</f>
        <v>4</v>
      </c>
      <c r="CE157" s="582">
        <f t="shared" ref="CE157:CE188" si="254">CE46/3+CE156</f>
        <v>3</v>
      </c>
      <c r="CF157" s="113">
        <f t="shared" ref="CF157:CF188" si="255">CF46/3+CF156</f>
        <v>2</v>
      </c>
      <c r="CG157" s="113">
        <f t="shared" ref="CG157:CG188" si="256">CG46/3+CG156</f>
        <v>0</v>
      </c>
      <c r="CH157" s="113">
        <f t="shared" ref="CH157:CH188" si="257">CH46/3+CH156</f>
        <v>1</v>
      </c>
      <c r="CI157" s="460">
        <f t="shared" ref="CI157:CI188" si="258">CI46/3+CI156</f>
        <v>0</v>
      </c>
      <c r="CJ157" s="582">
        <f t="shared" ref="CJ157:CJ188" si="259">CJ46/3+CJ156</f>
        <v>1</v>
      </c>
      <c r="CK157" s="113">
        <f t="shared" ref="CK157:CK188" si="260">CK46/3+CK156</f>
        <v>1</v>
      </c>
      <c r="CL157" s="113">
        <f t="shared" ref="CL157:CL188" si="261">CL46/3+CL156</f>
        <v>0</v>
      </c>
      <c r="CM157" s="113">
        <f t="shared" ref="CM157:CM188" si="262">CM46/3+CM156</f>
        <v>0</v>
      </c>
      <c r="CN157" s="459">
        <f t="shared" ref="CN157:CN188" si="263">CN46/3+CN156</f>
        <v>0</v>
      </c>
      <c r="CO157" s="461">
        <f t="shared" ref="CO157:CO188" si="264">CO46/3+CO156</f>
        <v>1</v>
      </c>
      <c r="CP157" s="582">
        <f t="shared" ref="CP157:CP188" si="265">CP46/3+CP156</f>
        <v>0</v>
      </c>
      <c r="CQ157" s="113">
        <f t="shared" ref="CQ157:CQ188" si="266">CQ46/3+CQ156</f>
        <v>0</v>
      </c>
      <c r="CR157" s="113">
        <f t="shared" ref="CR157:CR188" si="267">CR46/3+CR156</f>
        <v>0</v>
      </c>
      <c r="CS157" s="113">
        <f t="shared" ref="CS157:CS188" si="268">CS46/3+CS156</f>
        <v>0</v>
      </c>
      <c r="CT157" s="460">
        <f t="shared" ref="CT157:CT188" si="269">CT46/3+CT156</f>
        <v>0</v>
      </c>
      <c r="CU157" s="582">
        <f t="shared" ref="CU157:CU188" si="270">CU46/3+CU156</f>
        <v>1</v>
      </c>
      <c r="CV157" s="113">
        <f t="shared" ref="CV157:CV188" si="271">CV46/3+CV156</f>
        <v>1</v>
      </c>
      <c r="CW157" s="113">
        <f t="shared" ref="CW157:CW188" si="272">CW46/3+CW156</f>
        <v>0</v>
      </c>
      <c r="CX157" s="113">
        <f t="shared" ref="CX157:CX188" si="273">CX46/3+CX156</f>
        <v>0</v>
      </c>
      <c r="CY157" s="459">
        <f t="shared" ref="CY157:CY188" si="274">CY46/3+CY156</f>
        <v>0</v>
      </c>
      <c r="CZ157" s="461">
        <f t="shared" ref="CZ157:CZ188" si="275">CZ46/3+CZ156</f>
        <v>1</v>
      </c>
      <c r="DA157" s="582">
        <f t="shared" ref="DA157:DA188" si="276">DA46/3+DA156</f>
        <v>0</v>
      </c>
      <c r="DB157" s="113">
        <f t="shared" ref="DB157:DB188" si="277">DB46/3+DB156</f>
        <v>0</v>
      </c>
      <c r="DC157" s="113">
        <f t="shared" ref="DC157:DC188" si="278">DC46/3+DC156</f>
        <v>0</v>
      </c>
      <c r="DD157" s="113">
        <f t="shared" ref="DD157:DD188" si="279">DD46/3+DD156</f>
        <v>0</v>
      </c>
      <c r="DE157" s="460">
        <f t="shared" ref="DE157:DE188" si="280">DE46/3+DE156</f>
        <v>0</v>
      </c>
      <c r="DF157" s="582">
        <f t="shared" ref="DF157:DF188" si="281">DF46/3+DF156</f>
        <v>1</v>
      </c>
      <c r="DG157" s="113">
        <f t="shared" ref="DG157:DG188" si="282">DG46/3+DG156</f>
        <v>1</v>
      </c>
      <c r="DH157" s="113">
        <f t="shared" ref="DH157:DH188" si="283">DH46/3+DH156</f>
        <v>0</v>
      </c>
      <c r="DI157" s="113">
        <f t="shared" ref="DI157:DI188" si="284">DI46/3+DI156</f>
        <v>0</v>
      </c>
      <c r="DJ157" s="459">
        <f t="shared" ref="DJ157:DJ188" si="285">DJ46/3+DJ156</f>
        <v>0</v>
      </c>
      <c r="DK157" s="461">
        <f t="shared" ref="DK157:DK188" si="286">DK46/3+DK156</f>
        <v>0</v>
      </c>
      <c r="DL157" s="582">
        <f t="shared" ref="DL157:DL188" si="287">DL46/3+DL156</f>
        <v>0</v>
      </c>
      <c r="DM157" s="113">
        <f t="shared" ref="DM157:DM188" si="288">DM46/3+DM156</f>
        <v>0</v>
      </c>
      <c r="DN157" s="113">
        <f t="shared" ref="DN157:DN188" si="289">DN46/3+DN156</f>
        <v>0</v>
      </c>
      <c r="DO157" s="113">
        <f t="shared" ref="DO157:DO188" si="290">DO46/3+DO156</f>
        <v>0</v>
      </c>
      <c r="DP157" s="460">
        <f t="shared" ref="DP157:DP188" si="291">DP46/3+DP156</f>
        <v>0</v>
      </c>
      <c r="DQ157" s="582">
        <f t="shared" ref="DQ157:DQ188" si="292">DQ46/3+DQ156</f>
        <v>0</v>
      </c>
      <c r="DR157" s="113">
        <f t="shared" ref="DR157:DR188" si="293">DR46/3+DR156</f>
        <v>0</v>
      </c>
      <c r="DS157" s="113">
        <f t="shared" ref="DS157:DS188" si="294">DS46/3+DS156</f>
        <v>0</v>
      </c>
      <c r="DT157" s="113">
        <f t="shared" ref="DT157:DT188" si="295">DT46/3+DT156</f>
        <v>0</v>
      </c>
      <c r="DU157" s="459">
        <f t="shared" ref="DU157:DU188" si="296">DU46/3+DU156</f>
        <v>0</v>
      </c>
      <c r="DW157" s="461">
        <f t="shared" si="170"/>
        <v>24</v>
      </c>
      <c r="DX157" s="582">
        <f t="shared" si="170"/>
        <v>11</v>
      </c>
      <c r="DY157" s="113">
        <f t="shared" si="170"/>
        <v>7</v>
      </c>
      <c r="DZ157" s="113">
        <f t="shared" si="170"/>
        <v>0</v>
      </c>
      <c r="EA157" s="113">
        <f t="shared" si="170"/>
        <v>4</v>
      </c>
      <c r="EB157" s="460">
        <f t="shared" si="170"/>
        <v>0</v>
      </c>
      <c r="EC157" s="582">
        <f t="shared" si="170"/>
        <v>13</v>
      </c>
      <c r="ED157" s="113">
        <f t="shared" si="170"/>
        <v>12</v>
      </c>
      <c r="EE157" s="113">
        <f t="shared" si="170"/>
        <v>0</v>
      </c>
      <c r="EF157" s="113">
        <f t="shared" si="170"/>
        <v>1</v>
      </c>
      <c r="EG157" s="459">
        <f t="shared" si="170"/>
        <v>0</v>
      </c>
      <c r="EH157" s="461">
        <f t="shared" si="135"/>
        <v>11</v>
      </c>
      <c r="EI157" s="582">
        <f t="shared" si="135"/>
        <v>4</v>
      </c>
      <c r="EJ157" s="113">
        <f t="shared" si="135"/>
        <v>3</v>
      </c>
      <c r="EK157" s="113">
        <f t="shared" si="135"/>
        <v>0</v>
      </c>
      <c r="EL157" s="113">
        <f t="shared" si="135"/>
        <v>1</v>
      </c>
      <c r="EM157" s="460">
        <f t="shared" si="135"/>
        <v>0</v>
      </c>
      <c r="EN157" s="582">
        <f t="shared" si="135"/>
        <v>7</v>
      </c>
      <c r="EO157" s="113">
        <f t="shared" si="135"/>
        <v>6</v>
      </c>
      <c r="EP157" s="113">
        <f t="shared" si="141"/>
        <v>0</v>
      </c>
      <c r="EQ157" s="113">
        <f t="shared" si="141"/>
        <v>1</v>
      </c>
      <c r="ER157" s="459">
        <f t="shared" si="141"/>
        <v>0</v>
      </c>
    </row>
    <row r="158" spans="1:148">
      <c r="A158" s="665" t="s">
        <v>400</v>
      </c>
      <c r="B158" s="665">
        <v>42826</v>
      </c>
      <c r="C158" s="666">
        <v>2017</v>
      </c>
      <c r="D158" s="461">
        <f t="shared" ref="D158" si="297">D47/3+D157</f>
        <v>246232</v>
      </c>
      <c r="E158" s="461">
        <f t="shared" si="176"/>
        <v>2016.3333333333335</v>
      </c>
      <c r="F158" s="582">
        <f t="shared" si="177"/>
        <v>872.33333333333326</v>
      </c>
      <c r="G158" s="113">
        <f t="shared" si="178"/>
        <v>615.66666666666663</v>
      </c>
      <c r="H158" s="113">
        <f t="shared" si="179"/>
        <v>0</v>
      </c>
      <c r="I158" s="113">
        <f t="shared" si="180"/>
        <v>256.66666666666669</v>
      </c>
      <c r="J158" s="460">
        <f t="shared" si="181"/>
        <v>0</v>
      </c>
      <c r="K158" s="582">
        <f t="shared" si="182"/>
        <v>1144</v>
      </c>
      <c r="L158" s="113">
        <f t="shared" si="183"/>
        <v>940.33333333333326</v>
      </c>
      <c r="M158" s="113">
        <f t="shared" si="184"/>
        <v>0</v>
      </c>
      <c r="N158" s="113">
        <f t="shared" si="185"/>
        <v>139</v>
      </c>
      <c r="O158" s="459">
        <f t="shared" si="186"/>
        <v>64.666666666666657</v>
      </c>
      <c r="P158" s="461">
        <f t="shared" si="187"/>
        <v>3</v>
      </c>
      <c r="Q158" s="582">
        <f t="shared" si="188"/>
        <v>0.33333333333333331</v>
      </c>
      <c r="R158" s="113">
        <f t="shared" si="189"/>
        <v>0.33333333333333331</v>
      </c>
      <c r="S158" s="113">
        <f t="shared" si="190"/>
        <v>0</v>
      </c>
      <c r="T158" s="113">
        <f t="shared" si="191"/>
        <v>0</v>
      </c>
      <c r="U158" s="460">
        <f t="shared" si="192"/>
        <v>0</v>
      </c>
      <c r="V158" s="582">
        <f t="shared" si="193"/>
        <v>2.6666666666666665</v>
      </c>
      <c r="W158" s="113">
        <f t="shared" si="194"/>
        <v>1.6666666666666665</v>
      </c>
      <c r="X158" s="113">
        <f t="shared" si="195"/>
        <v>0</v>
      </c>
      <c r="Y158" s="113">
        <f t="shared" si="196"/>
        <v>1</v>
      </c>
      <c r="Z158" s="459">
        <f t="shared" si="197"/>
        <v>0</v>
      </c>
      <c r="AA158" s="461">
        <f t="shared" si="198"/>
        <v>2</v>
      </c>
      <c r="AB158" s="582">
        <f t="shared" si="199"/>
        <v>0</v>
      </c>
      <c r="AC158" s="113">
        <f t="shared" si="200"/>
        <v>0</v>
      </c>
      <c r="AD158" s="113">
        <f t="shared" si="201"/>
        <v>0</v>
      </c>
      <c r="AE158" s="113">
        <f t="shared" si="202"/>
        <v>0</v>
      </c>
      <c r="AF158" s="460">
        <f t="shared" si="203"/>
        <v>0</v>
      </c>
      <c r="AG158" s="582">
        <f t="shared" si="204"/>
        <v>2</v>
      </c>
      <c r="AH158" s="113">
        <f t="shared" si="205"/>
        <v>2</v>
      </c>
      <c r="AI158" s="113">
        <f t="shared" si="206"/>
        <v>0</v>
      </c>
      <c r="AJ158" s="113">
        <f t="shared" si="207"/>
        <v>0</v>
      </c>
      <c r="AK158" s="459">
        <f t="shared" si="208"/>
        <v>0</v>
      </c>
      <c r="AL158" s="461">
        <f t="shared" si="209"/>
        <v>15.333333333333332</v>
      </c>
      <c r="AM158" s="582">
        <f t="shared" si="210"/>
        <v>6</v>
      </c>
      <c r="AN158" s="113">
        <f t="shared" si="211"/>
        <v>5</v>
      </c>
      <c r="AO158" s="113">
        <f t="shared" si="212"/>
        <v>0</v>
      </c>
      <c r="AP158" s="113">
        <f t="shared" si="213"/>
        <v>1</v>
      </c>
      <c r="AQ158" s="460">
        <f t="shared" si="214"/>
        <v>0</v>
      </c>
      <c r="AR158" s="582">
        <f t="shared" si="215"/>
        <v>9.3333333333333339</v>
      </c>
      <c r="AS158" s="113">
        <f t="shared" si="216"/>
        <v>8</v>
      </c>
      <c r="AT158" s="113">
        <f t="shared" si="217"/>
        <v>0</v>
      </c>
      <c r="AU158" s="113">
        <f t="shared" si="218"/>
        <v>1</v>
      </c>
      <c r="AV158" s="459">
        <f t="shared" si="219"/>
        <v>0.33333333333333331</v>
      </c>
      <c r="AW158" s="461">
        <f t="shared" si="220"/>
        <v>8</v>
      </c>
      <c r="AX158" s="582">
        <f t="shared" si="221"/>
        <v>2.666666666666667</v>
      </c>
      <c r="AY158" s="113">
        <f t="shared" si="222"/>
        <v>2.333333333333333</v>
      </c>
      <c r="AZ158" s="113">
        <f t="shared" si="223"/>
        <v>0</v>
      </c>
      <c r="BA158" s="113">
        <f t="shared" si="224"/>
        <v>0.33333333333333331</v>
      </c>
      <c r="BB158" s="460">
        <f t="shared" si="225"/>
        <v>0</v>
      </c>
      <c r="BC158" s="582">
        <f t="shared" si="226"/>
        <v>5.3333333333333339</v>
      </c>
      <c r="BD158" s="113">
        <f t="shared" si="227"/>
        <v>5</v>
      </c>
      <c r="BE158" s="113">
        <f t="shared" si="228"/>
        <v>0</v>
      </c>
      <c r="BF158" s="113">
        <f t="shared" si="229"/>
        <v>0.33333333333333331</v>
      </c>
      <c r="BG158" s="459">
        <f t="shared" si="230"/>
        <v>0</v>
      </c>
      <c r="BH158" s="461">
        <f t="shared" si="231"/>
        <v>12</v>
      </c>
      <c r="BI158" s="582">
        <f t="shared" si="232"/>
        <v>6.333333333333333</v>
      </c>
      <c r="BJ158" s="113">
        <f t="shared" si="233"/>
        <v>4.333333333333333</v>
      </c>
      <c r="BK158" s="113">
        <f t="shared" si="234"/>
        <v>0</v>
      </c>
      <c r="BL158" s="113">
        <f t="shared" si="235"/>
        <v>2</v>
      </c>
      <c r="BM158" s="460">
        <f t="shared" si="236"/>
        <v>0</v>
      </c>
      <c r="BN158" s="582">
        <f t="shared" si="237"/>
        <v>5.666666666666667</v>
      </c>
      <c r="BO158" s="113">
        <f t="shared" si="238"/>
        <v>4.6666666666666661</v>
      </c>
      <c r="BP158" s="113">
        <f t="shared" si="239"/>
        <v>0</v>
      </c>
      <c r="BQ158" s="113">
        <f t="shared" si="240"/>
        <v>0</v>
      </c>
      <c r="BR158" s="459">
        <f t="shared" si="241"/>
        <v>1</v>
      </c>
      <c r="BS158" s="461">
        <f t="shared" si="242"/>
        <v>14</v>
      </c>
      <c r="BT158" s="582">
        <f t="shared" si="243"/>
        <v>7.333333333333333</v>
      </c>
      <c r="BU158" s="113">
        <f t="shared" si="244"/>
        <v>6</v>
      </c>
      <c r="BV158" s="113">
        <f t="shared" si="245"/>
        <v>0</v>
      </c>
      <c r="BW158" s="113">
        <f t="shared" si="246"/>
        <v>1.3333333333333333</v>
      </c>
      <c r="BX158" s="460">
        <f t="shared" si="247"/>
        <v>0</v>
      </c>
      <c r="BY158" s="582">
        <f t="shared" si="248"/>
        <v>6.6666666666666661</v>
      </c>
      <c r="BZ158" s="113">
        <f t="shared" si="249"/>
        <v>6</v>
      </c>
      <c r="CA158" s="113">
        <f t="shared" si="250"/>
        <v>0</v>
      </c>
      <c r="CB158" s="113">
        <f t="shared" si="251"/>
        <v>0</v>
      </c>
      <c r="CC158" s="459">
        <f t="shared" si="252"/>
        <v>0.66666666666666663</v>
      </c>
      <c r="CD158" s="461">
        <f t="shared" si="253"/>
        <v>7.6666666666666661</v>
      </c>
      <c r="CE158" s="582">
        <f t="shared" si="254"/>
        <v>4.666666666666667</v>
      </c>
      <c r="CF158" s="113">
        <f t="shared" si="255"/>
        <v>3.333333333333333</v>
      </c>
      <c r="CG158" s="113">
        <f t="shared" si="256"/>
        <v>0</v>
      </c>
      <c r="CH158" s="113">
        <f t="shared" si="257"/>
        <v>1.3333333333333333</v>
      </c>
      <c r="CI158" s="460">
        <f t="shared" si="258"/>
        <v>0</v>
      </c>
      <c r="CJ158" s="582">
        <f t="shared" si="259"/>
        <v>3</v>
      </c>
      <c r="CK158" s="113">
        <f t="shared" si="260"/>
        <v>2.333333333333333</v>
      </c>
      <c r="CL158" s="113">
        <f t="shared" si="261"/>
        <v>0</v>
      </c>
      <c r="CM158" s="113">
        <f t="shared" si="262"/>
        <v>0.33333333333333331</v>
      </c>
      <c r="CN158" s="459">
        <f t="shared" si="263"/>
        <v>0.33333333333333331</v>
      </c>
      <c r="CO158" s="461">
        <f t="shared" si="264"/>
        <v>2</v>
      </c>
      <c r="CP158" s="582">
        <f t="shared" si="265"/>
        <v>0.66666666666666663</v>
      </c>
      <c r="CQ158" s="113">
        <f t="shared" si="266"/>
        <v>0.66666666666666663</v>
      </c>
      <c r="CR158" s="113">
        <f t="shared" si="267"/>
        <v>0</v>
      </c>
      <c r="CS158" s="113">
        <f t="shared" si="268"/>
        <v>0</v>
      </c>
      <c r="CT158" s="460">
        <f t="shared" si="269"/>
        <v>0</v>
      </c>
      <c r="CU158" s="582">
        <f t="shared" si="270"/>
        <v>1.3333333333333333</v>
      </c>
      <c r="CV158" s="113">
        <f t="shared" si="271"/>
        <v>1.3333333333333333</v>
      </c>
      <c r="CW158" s="113">
        <f t="shared" si="272"/>
        <v>0</v>
      </c>
      <c r="CX158" s="113">
        <f t="shared" si="273"/>
        <v>0</v>
      </c>
      <c r="CY158" s="459">
        <f t="shared" si="274"/>
        <v>0</v>
      </c>
      <c r="CZ158" s="461">
        <f t="shared" si="275"/>
        <v>1.3333333333333333</v>
      </c>
      <c r="DA158" s="582">
        <f t="shared" si="276"/>
        <v>0.33333333333333331</v>
      </c>
      <c r="DB158" s="113">
        <f t="shared" si="277"/>
        <v>0</v>
      </c>
      <c r="DC158" s="113">
        <f t="shared" si="278"/>
        <v>0</v>
      </c>
      <c r="DD158" s="113">
        <f t="shared" si="279"/>
        <v>0.33333333333333331</v>
      </c>
      <c r="DE158" s="460">
        <f t="shared" si="280"/>
        <v>0</v>
      </c>
      <c r="DF158" s="582">
        <f t="shared" si="281"/>
        <v>1</v>
      </c>
      <c r="DG158" s="113">
        <f t="shared" si="282"/>
        <v>1</v>
      </c>
      <c r="DH158" s="113">
        <f t="shared" si="283"/>
        <v>0</v>
      </c>
      <c r="DI158" s="113">
        <f t="shared" si="284"/>
        <v>0</v>
      </c>
      <c r="DJ158" s="459">
        <f t="shared" si="285"/>
        <v>0</v>
      </c>
      <c r="DK158" s="461">
        <f t="shared" si="286"/>
        <v>0</v>
      </c>
      <c r="DL158" s="582">
        <f t="shared" si="287"/>
        <v>0</v>
      </c>
      <c r="DM158" s="113">
        <f t="shared" si="288"/>
        <v>0</v>
      </c>
      <c r="DN158" s="113">
        <f t="shared" si="289"/>
        <v>0</v>
      </c>
      <c r="DO158" s="113">
        <f t="shared" si="290"/>
        <v>0</v>
      </c>
      <c r="DP158" s="460">
        <f t="shared" si="291"/>
        <v>0</v>
      </c>
      <c r="DQ158" s="582">
        <f t="shared" si="292"/>
        <v>0</v>
      </c>
      <c r="DR158" s="113">
        <f t="shared" si="293"/>
        <v>0</v>
      </c>
      <c r="DS158" s="113">
        <f t="shared" si="294"/>
        <v>0</v>
      </c>
      <c r="DT158" s="113">
        <f t="shared" si="295"/>
        <v>0</v>
      </c>
      <c r="DU158" s="459">
        <f t="shared" si="296"/>
        <v>0</v>
      </c>
      <c r="DW158" s="461">
        <f t="shared" si="170"/>
        <v>50</v>
      </c>
      <c r="DX158" s="582">
        <f t="shared" si="170"/>
        <v>22.333333333333336</v>
      </c>
      <c r="DY158" s="113">
        <f t="shared" si="170"/>
        <v>17</v>
      </c>
      <c r="DZ158" s="113">
        <f t="shared" si="170"/>
        <v>0</v>
      </c>
      <c r="EA158" s="113">
        <f t="shared" si="170"/>
        <v>5.333333333333333</v>
      </c>
      <c r="EB158" s="460">
        <f t="shared" si="170"/>
        <v>0</v>
      </c>
      <c r="EC158" s="582">
        <f t="shared" si="170"/>
        <v>27.666666666666668</v>
      </c>
      <c r="ED158" s="113">
        <f t="shared" si="170"/>
        <v>23.999999999999996</v>
      </c>
      <c r="EE158" s="113">
        <f t="shared" si="170"/>
        <v>0</v>
      </c>
      <c r="EF158" s="113">
        <f t="shared" si="170"/>
        <v>1.6666666666666665</v>
      </c>
      <c r="EG158" s="459">
        <f t="shared" si="170"/>
        <v>1.9999999999999998</v>
      </c>
      <c r="EH158" s="461">
        <f t="shared" si="135"/>
        <v>15.333333333333332</v>
      </c>
      <c r="EI158" s="582">
        <f t="shared" si="135"/>
        <v>6</v>
      </c>
      <c r="EJ158" s="113">
        <f t="shared" si="135"/>
        <v>5</v>
      </c>
      <c r="EK158" s="113">
        <f t="shared" si="135"/>
        <v>0</v>
      </c>
      <c r="EL158" s="113">
        <f t="shared" si="135"/>
        <v>1</v>
      </c>
      <c r="EM158" s="460">
        <f t="shared" si="135"/>
        <v>0</v>
      </c>
      <c r="EN158" s="582">
        <f t="shared" si="135"/>
        <v>9.3333333333333339</v>
      </c>
      <c r="EO158" s="113">
        <f t="shared" si="135"/>
        <v>8</v>
      </c>
      <c r="EP158" s="113">
        <f t="shared" si="141"/>
        <v>0</v>
      </c>
      <c r="EQ158" s="113">
        <f t="shared" si="141"/>
        <v>1</v>
      </c>
      <c r="ER158" s="459">
        <f t="shared" si="141"/>
        <v>0.33333333333333331</v>
      </c>
    </row>
    <row r="159" spans="1:148">
      <c r="A159" s="665" t="s">
        <v>400</v>
      </c>
      <c r="B159" s="665">
        <v>42856</v>
      </c>
      <c r="C159" s="666">
        <v>2017</v>
      </c>
      <c r="D159" s="461">
        <f t="shared" ref="D159" si="298">D48/3+D158</f>
        <v>324239</v>
      </c>
      <c r="E159" s="461">
        <f t="shared" si="176"/>
        <v>2712.666666666667</v>
      </c>
      <c r="F159" s="582">
        <f t="shared" si="177"/>
        <v>1149.6666666666665</v>
      </c>
      <c r="G159" s="113">
        <f t="shared" si="178"/>
        <v>817.33333333333326</v>
      </c>
      <c r="H159" s="113">
        <f t="shared" si="179"/>
        <v>0</v>
      </c>
      <c r="I159" s="113">
        <f t="shared" si="180"/>
        <v>332.33333333333337</v>
      </c>
      <c r="J159" s="460">
        <f t="shared" si="181"/>
        <v>0</v>
      </c>
      <c r="K159" s="582">
        <f t="shared" si="182"/>
        <v>1563</v>
      </c>
      <c r="L159" s="113">
        <f t="shared" si="183"/>
        <v>1252.6666666666665</v>
      </c>
      <c r="M159" s="113">
        <f t="shared" si="184"/>
        <v>0</v>
      </c>
      <c r="N159" s="113">
        <f t="shared" si="185"/>
        <v>190</v>
      </c>
      <c r="O159" s="459">
        <f t="shared" si="186"/>
        <v>120.33333333333331</v>
      </c>
      <c r="P159" s="461">
        <f t="shared" si="187"/>
        <v>4</v>
      </c>
      <c r="Q159" s="582">
        <f t="shared" si="188"/>
        <v>0.66666666666666663</v>
      </c>
      <c r="R159" s="113">
        <f t="shared" si="189"/>
        <v>0.66666666666666663</v>
      </c>
      <c r="S159" s="113">
        <f t="shared" si="190"/>
        <v>0</v>
      </c>
      <c r="T159" s="113">
        <f t="shared" si="191"/>
        <v>0</v>
      </c>
      <c r="U159" s="460">
        <f t="shared" si="192"/>
        <v>0</v>
      </c>
      <c r="V159" s="582">
        <f t="shared" si="193"/>
        <v>3.333333333333333</v>
      </c>
      <c r="W159" s="113">
        <f t="shared" si="194"/>
        <v>2.333333333333333</v>
      </c>
      <c r="X159" s="113">
        <f t="shared" si="195"/>
        <v>0</v>
      </c>
      <c r="Y159" s="113">
        <f t="shared" si="196"/>
        <v>1</v>
      </c>
      <c r="Z159" s="459">
        <f t="shared" si="197"/>
        <v>0</v>
      </c>
      <c r="AA159" s="461">
        <f t="shared" si="198"/>
        <v>3</v>
      </c>
      <c r="AB159" s="582">
        <f t="shared" si="199"/>
        <v>0</v>
      </c>
      <c r="AC159" s="113">
        <f t="shared" si="200"/>
        <v>0</v>
      </c>
      <c r="AD159" s="113">
        <f t="shared" si="201"/>
        <v>0</v>
      </c>
      <c r="AE159" s="113">
        <f t="shared" si="202"/>
        <v>0</v>
      </c>
      <c r="AF159" s="460">
        <f t="shared" si="203"/>
        <v>0</v>
      </c>
      <c r="AG159" s="582">
        <f t="shared" si="204"/>
        <v>3</v>
      </c>
      <c r="AH159" s="113">
        <f t="shared" si="205"/>
        <v>3</v>
      </c>
      <c r="AI159" s="113">
        <f t="shared" si="206"/>
        <v>0</v>
      </c>
      <c r="AJ159" s="113">
        <f t="shared" si="207"/>
        <v>0</v>
      </c>
      <c r="AK159" s="459">
        <f t="shared" si="208"/>
        <v>0</v>
      </c>
      <c r="AL159" s="461">
        <f t="shared" si="209"/>
        <v>19.666666666666664</v>
      </c>
      <c r="AM159" s="582">
        <f t="shared" si="210"/>
        <v>8</v>
      </c>
      <c r="AN159" s="113">
        <f t="shared" si="211"/>
        <v>7</v>
      </c>
      <c r="AO159" s="113">
        <f t="shared" si="212"/>
        <v>0</v>
      </c>
      <c r="AP159" s="113">
        <f t="shared" si="213"/>
        <v>1</v>
      </c>
      <c r="AQ159" s="460">
        <f t="shared" si="214"/>
        <v>0</v>
      </c>
      <c r="AR159" s="582">
        <f t="shared" si="215"/>
        <v>11.666666666666668</v>
      </c>
      <c r="AS159" s="113">
        <f t="shared" si="216"/>
        <v>10</v>
      </c>
      <c r="AT159" s="113">
        <f t="shared" si="217"/>
        <v>0</v>
      </c>
      <c r="AU159" s="113">
        <f t="shared" si="218"/>
        <v>1</v>
      </c>
      <c r="AV159" s="459">
        <f t="shared" si="219"/>
        <v>0.66666666666666663</v>
      </c>
      <c r="AW159" s="461">
        <f t="shared" si="220"/>
        <v>12</v>
      </c>
      <c r="AX159" s="582">
        <f t="shared" si="221"/>
        <v>4.3333333333333339</v>
      </c>
      <c r="AY159" s="113">
        <f t="shared" si="222"/>
        <v>3.6666666666666661</v>
      </c>
      <c r="AZ159" s="113">
        <f t="shared" si="223"/>
        <v>0</v>
      </c>
      <c r="BA159" s="113">
        <f t="shared" si="224"/>
        <v>0.66666666666666663</v>
      </c>
      <c r="BB159" s="460">
        <f t="shared" si="225"/>
        <v>0</v>
      </c>
      <c r="BC159" s="582">
        <f t="shared" si="226"/>
        <v>7.6666666666666679</v>
      </c>
      <c r="BD159" s="113">
        <f t="shared" si="227"/>
        <v>7</v>
      </c>
      <c r="BE159" s="113">
        <f t="shared" si="228"/>
        <v>0</v>
      </c>
      <c r="BF159" s="113">
        <f t="shared" si="229"/>
        <v>0.66666666666666663</v>
      </c>
      <c r="BG159" s="459">
        <f t="shared" si="230"/>
        <v>0</v>
      </c>
      <c r="BH159" s="461">
        <f t="shared" si="231"/>
        <v>18</v>
      </c>
      <c r="BI159" s="582">
        <f t="shared" si="232"/>
        <v>7.6666666666666661</v>
      </c>
      <c r="BJ159" s="113">
        <f t="shared" si="233"/>
        <v>5.6666666666666661</v>
      </c>
      <c r="BK159" s="113">
        <f t="shared" si="234"/>
        <v>0</v>
      </c>
      <c r="BL159" s="113">
        <f t="shared" si="235"/>
        <v>2</v>
      </c>
      <c r="BM159" s="460">
        <f t="shared" si="236"/>
        <v>0</v>
      </c>
      <c r="BN159" s="582">
        <f t="shared" si="237"/>
        <v>10.333333333333334</v>
      </c>
      <c r="BO159" s="113">
        <f t="shared" si="238"/>
        <v>8.3333333333333321</v>
      </c>
      <c r="BP159" s="113">
        <f t="shared" si="239"/>
        <v>0</v>
      </c>
      <c r="BQ159" s="113">
        <f t="shared" si="240"/>
        <v>0</v>
      </c>
      <c r="BR159" s="459">
        <f t="shared" si="241"/>
        <v>2</v>
      </c>
      <c r="BS159" s="461">
        <f t="shared" si="242"/>
        <v>23</v>
      </c>
      <c r="BT159" s="582">
        <f t="shared" si="243"/>
        <v>12.666666666666666</v>
      </c>
      <c r="BU159" s="113">
        <f t="shared" si="244"/>
        <v>11</v>
      </c>
      <c r="BV159" s="113">
        <f t="shared" si="245"/>
        <v>0</v>
      </c>
      <c r="BW159" s="113">
        <f t="shared" si="246"/>
        <v>1.6666666666666665</v>
      </c>
      <c r="BX159" s="460">
        <f t="shared" si="247"/>
        <v>0</v>
      </c>
      <c r="BY159" s="582">
        <f t="shared" si="248"/>
        <v>10.333333333333332</v>
      </c>
      <c r="BZ159" s="113">
        <f t="shared" si="249"/>
        <v>9</v>
      </c>
      <c r="CA159" s="113">
        <f t="shared" si="250"/>
        <v>0</v>
      </c>
      <c r="CB159" s="113">
        <f t="shared" si="251"/>
        <v>0</v>
      </c>
      <c r="CC159" s="459">
        <f t="shared" si="252"/>
        <v>1.3333333333333333</v>
      </c>
      <c r="CD159" s="461">
        <f t="shared" si="253"/>
        <v>11.333333333333332</v>
      </c>
      <c r="CE159" s="582">
        <f t="shared" si="254"/>
        <v>6.3333333333333339</v>
      </c>
      <c r="CF159" s="113">
        <f t="shared" si="255"/>
        <v>4.6666666666666661</v>
      </c>
      <c r="CG159" s="113">
        <f t="shared" si="256"/>
        <v>0</v>
      </c>
      <c r="CH159" s="113">
        <f t="shared" si="257"/>
        <v>1.6666666666666665</v>
      </c>
      <c r="CI159" s="460">
        <f t="shared" si="258"/>
        <v>0</v>
      </c>
      <c r="CJ159" s="582">
        <f t="shared" si="259"/>
        <v>5</v>
      </c>
      <c r="CK159" s="113">
        <f t="shared" si="260"/>
        <v>3.6666666666666661</v>
      </c>
      <c r="CL159" s="113">
        <f t="shared" si="261"/>
        <v>0</v>
      </c>
      <c r="CM159" s="113">
        <f t="shared" si="262"/>
        <v>0.66666666666666663</v>
      </c>
      <c r="CN159" s="459">
        <f t="shared" si="263"/>
        <v>0.66666666666666663</v>
      </c>
      <c r="CO159" s="461">
        <f t="shared" si="264"/>
        <v>3</v>
      </c>
      <c r="CP159" s="582">
        <f t="shared" si="265"/>
        <v>1.3333333333333333</v>
      </c>
      <c r="CQ159" s="113">
        <f t="shared" si="266"/>
        <v>1.3333333333333333</v>
      </c>
      <c r="CR159" s="113">
        <f t="shared" si="267"/>
        <v>0</v>
      </c>
      <c r="CS159" s="113">
        <f t="shared" si="268"/>
        <v>0</v>
      </c>
      <c r="CT159" s="460">
        <f t="shared" si="269"/>
        <v>0</v>
      </c>
      <c r="CU159" s="582">
        <f t="shared" si="270"/>
        <v>1.6666666666666665</v>
      </c>
      <c r="CV159" s="113">
        <f t="shared" si="271"/>
        <v>1.6666666666666665</v>
      </c>
      <c r="CW159" s="113">
        <f t="shared" si="272"/>
        <v>0</v>
      </c>
      <c r="CX159" s="113">
        <f t="shared" si="273"/>
        <v>0</v>
      </c>
      <c r="CY159" s="459">
        <f t="shared" si="274"/>
        <v>0</v>
      </c>
      <c r="CZ159" s="461">
        <f t="shared" si="275"/>
        <v>1.6666666666666665</v>
      </c>
      <c r="DA159" s="582">
        <f t="shared" si="276"/>
        <v>0.66666666666666663</v>
      </c>
      <c r="DB159" s="113">
        <f t="shared" si="277"/>
        <v>0</v>
      </c>
      <c r="DC159" s="113">
        <f t="shared" si="278"/>
        <v>0</v>
      </c>
      <c r="DD159" s="113">
        <f t="shared" si="279"/>
        <v>0.66666666666666663</v>
      </c>
      <c r="DE159" s="460">
        <f t="shared" si="280"/>
        <v>0</v>
      </c>
      <c r="DF159" s="582">
        <f t="shared" si="281"/>
        <v>1</v>
      </c>
      <c r="DG159" s="113">
        <f t="shared" si="282"/>
        <v>1</v>
      </c>
      <c r="DH159" s="113">
        <f t="shared" si="283"/>
        <v>0</v>
      </c>
      <c r="DI159" s="113">
        <f t="shared" si="284"/>
        <v>0</v>
      </c>
      <c r="DJ159" s="459">
        <f t="shared" si="285"/>
        <v>0</v>
      </c>
      <c r="DK159" s="461">
        <f t="shared" si="286"/>
        <v>0</v>
      </c>
      <c r="DL159" s="582">
        <f t="shared" si="287"/>
        <v>0</v>
      </c>
      <c r="DM159" s="113">
        <f t="shared" si="288"/>
        <v>0</v>
      </c>
      <c r="DN159" s="113">
        <f t="shared" si="289"/>
        <v>0</v>
      </c>
      <c r="DO159" s="113">
        <f t="shared" si="290"/>
        <v>0</v>
      </c>
      <c r="DP159" s="460">
        <f t="shared" si="291"/>
        <v>0</v>
      </c>
      <c r="DQ159" s="582">
        <f t="shared" si="292"/>
        <v>0</v>
      </c>
      <c r="DR159" s="113">
        <f t="shared" si="293"/>
        <v>0</v>
      </c>
      <c r="DS159" s="113">
        <f t="shared" si="294"/>
        <v>0</v>
      </c>
      <c r="DT159" s="113">
        <f t="shared" si="295"/>
        <v>0</v>
      </c>
      <c r="DU159" s="459">
        <f t="shared" si="296"/>
        <v>0</v>
      </c>
      <c r="DW159" s="461">
        <f t="shared" si="170"/>
        <v>76</v>
      </c>
      <c r="DX159" s="582">
        <f t="shared" si="170"/>
        <v>33.666666666666671</v>
      </c>
      <c r="DY159" s="113">
        <f t="shared" si="170"/>
        <v>26.999999999999996</v>
      </c>
      <c r="DZ159" s="113">
        <f t="shared" si="170"/>
        <v>0</v>
      </c>
      <c r="EA159" s="113">
        <f t="shared" si="170"/>
        <v>6.666666666666667</v>
      </c>
      <c r="EB159" s="460">
        <f t="shared" si="170"/>
        <v>0</v>
      </c>
      <c r="EC159" s="582">
        <f t="shared" si="170"/>
        <v>42.333333333333336</v>
      </c>
      <c r="ED159" s="113">
        <f t="shared" si="170"/>
        <v>35.999999999999993</v>
      </c>
      <c r="EE159" s="113">
        <f t="shared" si="170"/>
        <v>0</v>
      </c>
      <c r="EF159" s="113">
        <f t="shared" si="170"/>
        <v>2.333333333333333</v>
      </c>
      <c r="EG159" s="459">
        <f t="shared" si="170"/>
        <v>3.9999999999999996</v>
      </c>
      <c r="EH159" s="461">
        <f t="shared" si="135"/>
        <v>19.666666666666664</v>
      </c>
      <c r="EI159" s="582">
        <f t="shared" si="135"/>
        <v>8</v>
      </c>
      <c r="EJ159" s="113">
        <f t="shared" si="135"/>
        <v>7</v>
      </c>
      <c r="EK159" s="113">
        <f t="shared" si="135"/>
        <v>0</v>
      </c>
      <c r="EL159" s="113">
        <f t="shared" si="135"/>
        <v>1</v>
      </c>
      <c r="EM159" s="460">
        <f t="shared" si="135"/>
        <v>0</v>
      </c>
      <c r="EN159" s="582">
        <f t="shared" si="135"/>
        <v>11.666666666666668</v>
      </c>
      <c r="EO159" s="113">
        <f t="shared" si="135"/>
        <v>10</v>
      </c>
      <c r="EP159" s="113">
        <f t="shared" si="141"/>
        <v>0</v>
      </c>
      <c r="EQ159" s="113">
        <f t="shared" si="141"/>
        <v>1</v>
      </c>
      <c r="ER159" s="459">
        <f t="shared" si="141"/>
        <v>0.66666666666666663</v>
      </c>
    </row>
    <row r="160" spans="1:148">
      <c r="A160" s="665" t="s">
        <v>400</v>
      </c>
      <c r="B160" s="665">
        <v>42887</v>
      </c>
      <c r="C160" s="666">
        <v>2017</v>
      </c>
      <c r="D160" s="461">
        <f t="shared" ref="D160" si="299">D49/3+D159</f>
        <v>402246</v>
      </c>
      <c r="E160" s="461">
        <f t="shared" si="176"/>
        <v>3409.0000000000005</v>
      </c>
      <c r="F160" s="582">
        <f t="shared" si="177"/>
        <v>1426.9999999999998</v>
      </c>
      <c r="G160" s="113">
        <f t="shared" si="178"/>
        <v>1018.9999999999999</v>
      </c>
      <c r="H160" s="113">
        <f t="shared" si="179"/>
        <v>0</v>
      </c>
      <c r="I160" s="113">
        <f t="shared" si="180"/>
        <v>408.00000000000006</v>
      </c>
      <c r="J160" s="460">
        <f t="shared" si="181"/>
        <v>0</v>
      </c>
      <c r="K160" s="582">
        <f t="shared" si="182"/>
        <v>1982</v>
      </c>
      <c r="L160" s="113">
        <f t="shared" si="183"/>
        <v>1564.9999999999998</v>
      </c>
      <c r="M160" s="113">
        <f t="shared" si="184"/>
        <v>0</v>
      </c>
      <c r="N160" s="113">
        <f t="shared" si="185"/>
        <v>241</v>
      </c>
      <c r="O160" s="459">
        <f t="shared" si="186"/>
        <v>175.99999999999997</v>
      </c>
      <c r="P160" s="461">
        <f t="shared" si="187"/>
        <v>5</v>
      </c>
      <c r="Q160" s="582">
        <f t="shared" si="188"/>
        <v>1</v>
      </c>
      <c r="R160" s="113">
        <f t="shared" si="189"/>
        <v>1</v>
      </c>
      <c r="S160" s="113">
        <f t="shared" si="190"/>
        <v>0</v>
      </c>
      <c r="T160" s="113">
        <f t="shared" si="191"/>
        <v>0</v>
      </c>
      <c r="U160" s="460">
        <f t="shared" si="192"/>
        <v>0</v>
      </c>
      <c r="V160" s="582">
        <f t="shared" si="193"/>
        <v>3.9999999999999996</v>
      </c>
      <c r="W160" s="113">
        <f t="shared" si="194"/>
        <v>2.9999999999999996</v>
      </c>
      <c r="X160" s="113">
        <f t="shared" si="195"/>
        <v>0</v>
      </c>
      <c r="Y160" s="113">
        <f t="shared" si="196"/>
        <v>1</v>
      </c>
      <c r="Z160" s="459">
        <f t="shared" si="197"/>
        <v>0</v>
      </c>
      <c r="AA160" s="461">
        <f t="shared" si="198"/>
        <v>4</v>
      </c>
      <c r="AB160" s="582">
        <f t="shared" si="199"/>
        <v>0</v>
      </c>
      <c r="AC160" s="113">
        <f t="shared" si="200"/>
        <v>0</v>
      </c>
      <c r="AD160" s="113">
        <f t="shared" si="201"/>
        <v>0</v>
      </c>
      <c r="AE160" s="113">
        <f t="shared" si="202"/>
        <v>0</v>
      </c>
      <c r="AF160" s="460">
        <f t="shared" si="203"/>
        <v>0</v>
      </c>
      <c r="AG160" s="582">
        <f t="shared" si="204"/>
        <v>4</v>
      </c>
      <c r="AH160" s="113">
        <f t="shared" si="205"/>
        <v>4</v>
      </c>
      <c r="AI160" s="113">
        <f t="shared" si="206"/>
        <v>0</v>
      </c>
      <c r="AJ160" s="113">
        <f t="shared" si="207"/>
        <v>0</v>
      </c>
      <c r="AK160" s="459">
        <f t="shared" si="208"/>
        <v>0</v>
      </c>
      <c r="AL160" s="461">
        <f t="shared" si="209"/>
        <v>23.999999999999996</v>
      </c>
      <c r="AM160" s="582">
        <f t="shared" si="210"/>
        <v>10</v>
      </c>
      <c r="AN160" s="113">
        <f t="shared" si="211"/>
        <v>9</v>
      </c>
      <c r="AO160" s="113">
        <f t="shared" si="212"/>
        <v>0</v>
      </c>
      <c r="AP160" s="113">
        <f t="shared" si="213"/>
        <v>1</v>
      </c>
      <c r="AQ160" s="460">
        <f t="shared" si="214"/>
        <v>0</v>
      </c>
      <c r="AR160" s="582">
        <f t="shared" si="215"/>
        <v>14.000000000000002</v>
      </c>
      <c r="AS160" s="113">
        <f t="shared" si="216"/>
        <v>12</v>
      </c>
      <c r="AT160" s="113">
        <f t="shared" si="217"/>
        <v>0</v>
      </c>
      <c r="AU160" s="113">
        <f t="shared" si="218"/>
        <v>1</v>
      </c>
      <c r="AV160" s="459">
        <f t="shared" si="219"/>
        <v>1</v>
      </c>
      <c r="AW160" s="461">
        <f t="shared" si="220"/>
        <v>16</v>
      </c>
      <c r="AX160" s="582">
        <f t="shared" si="221"/>
        <v>6.0000000000000009</v>
      </c>
      <c r="AY160" s="113">
        <f t="shared" si="222"/>
        <v>4.9999999999999991</v>
      </c>
      <c r="AZ160" s="113">
        <f t="shared" si="223"/>
        <v>0</v>
      </c>
      <c r="BA160" s="113">
        <f t="shared" si="224"/>
        <v>1</v>
      </c>
      <c r="BB160" s="460">
        <f t="shared" si="225"/>
        <v>0</v>
      </c>
      <c r="BC160" s="582">
        <f t="shared" si="226"/>
        <v>10.000000000000002</v>
      </c>
      <c r="BD160" s="113">
        <f t="shared" si="227"/>
        <v>9</v>
      </c>
      <c r="BE160" s="113">
        <f t="shared" si="228"/>
        <v>0</v>
      </c>
      <c r="BF160" s="113">
        <f t="shared" si="229"/>
        <v>1</v>
      </c>
      <c r="BG160" s="459">
        <f t="shared" si="230"/>
        <v>0</v>
      </c>
      <c r="BH160" s="461">
        <f t="shared" si="231"/>
        <v>24</v>
      </c>
      <c r="BI160" s="582">
        <f t="shared" si="232"/>
        <v>9</v>
      </c>
      <c r="BJ160" s="113">
        <f t="shared" si="233"/>
        <v>6.9999999999999991</v>
      </c>
      <c r="BK160" s="113">
        <f t="shared" si="234"/>
        <v>0</v>
      </c>
      <c r="BL160" s="113">
        <f t="shared" si="235"/>
        <v>2</v>
      </c>
      <c r="BM160" s="460">
        <f t="shared" si="236"/>
        <v>0</v>
      </c>
      <c r="BN160" s="582">
        <f t="shared" si="237"/>
        <v>15</v>
      </c>
      <c r="BO160" s="113">
        <f t="shared" si="238"/>
        <v>11.999999999999998</v>
      </c>
      <c r="BP160" s="113">
        <f t="shared" si="239"/>
        <v>0</v>
      </c>
      <c r="BQ160" s="113">
        <f t="shared" si="240"/>
        <v>0</v>
      </c>
      <c r="BR160" s="459">
        <f t="shared" si="241"/>
        <v>3</v>
      </c>
      <c r="BS160" s="461">
        <f t="shared" si="242"/>
        <v>32</v>
      </c>
      <c r="BT160" s="582">
        <f t="shared" si="243"/>
        <v>18</v>
      </c>
      <c r="BU160" s="113">
        <f t="shared" si="244"/>
        <v>16</v>
      </c>
      <c r="BV160" s="113">
        <f t="shared" si="245"/>
        <v>0</v>
      </c>
      <c r="BW160" s="113">
        <f t="shared" si="246"/>
        <v>1.9999999999999998</v>
      </c>
      <c r="BX160" s="460">
        <f t="shared" si="247"/>
        <v>0</v>
      </c>
      <c r="BY160" s="582">
        <f t="shared" si="248"/>
        <v>13.999999999999998</v>
      </c>
      <c r="BZ160" s="113">
        <f t="shared" si="249"/>
        <v>12</v>
      </c>
      <c r="CA160" s="113">
        <f t="shared" si="250"/>
        <v>0</v>
      </c>
      <c r="CB160" s="113">
        <f t="shared" si="251"/>
        <v>0</v>
      </c>
      <c r="CC160" s="459">
        <f t="shared" si="252"/>
        <v>2</v>
      </c>
      <c r="CD160" s="461">
        <f t="shared" si="253"/>
        <v>14.999999999999998</v>
      </c>
      <c r="CE160" s="582">
        <f t="shared" si="254"/>
        <v>8</v>
      </c>
      <c r="CF160" s="113">
        <f t="shared" si="255"/>
        <v>5.9999999999999991</v>
      </c>
      <c r="CG160" s="113">
        <f t="shared" si="256"/>
        <v>0</v>
      </c>
      <c r="CH160" s="113">
        <f t="shared" si="257"/>
        <v>1.9999999999999998</v>
      </c>
      <c r="CI160" s="460">
        <f t="shared" si="258"/>
        <v>0</v>
      </c>
      <c r="CJ160" s="582">
        <f t="shared" si="259"/>
        <v>7</v>
      </c>
      <c r="CK160" s="113">
        <f t="shared" si="260"/>
        <v>4.9999999999999991</v>
      </c>
      <c r="CL160" s="113">
        <f t="shared" si="261"/>
        <v>0</v>
      </c>
      <c r="CM160" s="113">
        <f t="shared" si="262"/>
        <v>1</v>
      </c>
      <c r="CN160" s="459">
        <f t="shared" si="263"/>
        <v>1</v>
      </c>
      <c r="CO160" s="461">
        <f t="shared" si="264"/>
        <v>4</v>
      </c>
      <c r="CP160" s="582">
        <f t="shared" si="265"/>
        <v>2</v>
      </c>
      <c r="CQ160" s="113">
        <f t="shared" si="266"/>
        <v>2</v>
      </c>
      <c r="CR160" s="113">
        <f t="shared" si="267"/>
        <v>0</v>
      </c>
      <c r="CS160" s="113">
        <f t="shared" si="268"/>
        <v>0</v>
      </c>
      <c r="CT160" s="460">
        <f t="shared" si="269"/>
        <v>0</v>
      </c>
      <c r="CU160" s="582">
        <f t="shared" si="270"/>
        <v>1.9999999999999998</v>
      </c>
      <c r="CV160" s="113">
        <f t="shared" si="271"/>
        <v>1.9999999999999998</v>
      </c>
      <c r="CW160" s="113">
        <f t="shared" si="272"/>
        <v>0</v>
      </c>
      <c r="CX160" s="113">
        <f t="shared" si="273"/>
        <v>0</v>
      </c>
      <c r="CY160" s="459">
        <f t="shared" si="274"/>
        <v>0</v>
      </c>
      <c r="CZ160" s="461">
        <f t="shared" si="275"/>
        <v>1.9999999999999998</v>
      </c>
      <c r="DA160" s="582">
        <f t="shared" si="276"/>
        <v>1</v>
      </c>
      <c r="DB160" s="113">
        <f t="shared" si="277"/>
        <v>0</v>
      </c>
      <c r="DC160" s="113">
        <f t="shared" si="278"/>
        <v>0</v>
      </c>
      <c r="DD160" s="113">
        <f t="shared" si="279"/>
        <v>1</v>
      </c>
      <c r="DE160" s="460">
        <f t="shared" si="280"/>
        <v>0</v>
      </c>
      <c r="DF160" s="582">
        <f t="shared" si="281"/>
        <v>1</v>
      </c>
      <c r="DG160" s="113">
        <f t="shared" si="282"/>
        <v>1</v>
      </c>
      <c r="DH160" s="113">
        <f t="shared" si="283"/>
        <v>0</v>
      </c>
      <c r="DI160" s="113">
        <f t="shared" si="284"/>
        <v>0</v>
      </c>
      <c r="DJ160" s="459">
        <f t="shared" si="285"/>
        <v>0</v>
      </c>
      <c r="DK160" s="461">
        <f t="shared" si="286"/>
        <v>0</v>
      </c>
      <c r="DL160" s="582">
        <f t="shared" si="287"/>
        <v>0</v>
      </c>
      <c r="DM160" s="113">
        <f t="shared" si="288"/>
        <v>0</v>
      </c>
      <c r="DN160" s="113">
        <f t="shared" si="289"/>
        <v>0</v>
      </c>
      <c r="DO160" s="113">
        <f t="shared" si="290"/>
        <v>0</v>
      </c>
      <c r="DP160" s="460">
        <f t="shared" si="291"/>
        <v>0</v>
      </c>
      <c r="DQ160" s="582">
        <f t="shared" si="292"/>
        <v>0</v>
      </c>
      <c r="DR160" s="113">
        <f t="shared" si="293"/>
        <v>0</v>
      </c>
      <c r="DS160" s="113">
        <f t="shared" si="294"/>
        <v>0</v>
      </c>
      <c r="DT160" s="113">
        <f t="shared" si="295"/>
        <v>0</v>
      </c>
      <c r="DU160" s="459">
        <f t="shared" si="296"/>
        <v>0</v>
      </c>
      <c r="DW160" s="461">
        <f t="shared" si="170"/>
        <v>102</v>
      </c>
      <c r="DX160" s="582">
        <f t="shared" si="170"/>
        <v>45</v>
      </c>
      <c r="DY160" s="113">
        <f t="shared" si="170"/>
        <v>37</v>
      </c>
      <c r="DZ160" s="113">
        <f t="shared" si="170"/>
        <v>0</v>
      </c>
      <c r="EA160" s="113">
        <f t="shared" si="170"/>
        <v>8</v>
      </c>
      <c r="EB160" s="460">
        <f t="shared" si="170"/>
        <v>0</v>
      </c>
      <c r="EC160" s="582">
        <f t="shared" si="170"/>
        <v>57</v>
      </c>
      <c r="ED160" s="113">
        <f t="shared" si="170"/>
        <v>48</v>
      </c>
      <c r="EE160" s="113">
        <f t="shared" si="170"/>
        <v>0</v>
      </c>
      <c r="EF160" s="113">
        <f t="shared" si="170"/>
        <v>3</v>
      </c>
      <c r="EG160" s="459">
        <f t="shared" si="170"/>
        <v>6</v>
      </c>
      <c r="EH160" s="461">
        <f t="shared" si="135"/>
        <v>23.999999999999996</v>
      </c>
      <c r="EI160" s="582">
        <f t="shared" si="135"/>
        <v>10</v>
      </c>
      <c r="EJ160" s="113">
        <f t="shared" si="135"/>
        <v>9</v>
      </c>
      <c r="EK160" s="113">
        <f t="shared" si="135"/>
        <v>0</v>
      </c>
      <c r="EL160" s="113">
        <f t="shared" si="135"/>
        <v>1</v>
      </c>
      <c r="EM160" s="460">
        <f t="shared" si="135"/>
        <v>0</v>
      </c>
      <c r="EN160" s="582">
        <f t="shared" si="135"/>
        <v>14.000000000000002</v>
      </c>
      <c r="EO160" s="113">
        <f t="shared" si="135"/>
        <v>12</v>
      </c>
      <c r="EP160" s="113">
        <f t="shared" si="141"/>
        <v>0</v>
      </c>
      <c r="EQ160" s="113">
        <f t="shared" si="141"/>
        <v>1</v>
      </c>
      <c r="ER160" s="459">
        <f t="shared" si="141"/>
        <v>1</v>
      </c>
    </row>
    <row r="161" spans="1:148">
      <c r="A161" s="665" t="s">
        <v>401</v>
      </c>
      <c r="B161" s="665">
        <v>42917</v>
      </c>
      <c r="C161" s="666">
        <v>2017</v>
      </c>
      <c r="D161" s="461">
        <f t="shared" ref="D161" si="300">D50/3+D160</f>
        <v>475456.66666666669</v>
      </c>
      <c r="E161" s="461">
        <f t="shared" si="176"/>
        <v>4118.666666666667</v>
      </c>
      <c r="F161" s="582">
        <f t="shared" si="177"/>
        <v>1743.6666666666665</v>
      </c>
      <c r="G161" s="113">
        <f t="shared" si="178"/>
        <v>1247.3333333333333</v>
      </c>
      <c r="H161" s="113">
        <f t="shared" si="179"/>
        <v>0</v>
      </c>
      <c r="I161" s="113">
        <f t="shared" si="180"/>
        <v>496.33333333333337</v>
      </c>
      <c r="J161" s="460">
        <f t="shared" si="181"/>
        <v>0</v>
      </c>
      <c r="K161" s="582">
        <f t="shared" si="182"/>
        <v>2375</v>
      </c>
      <c r="L161" s="113">
        <f t="shared" si="183"/>
        <v>1892.9999999999998</v>
      </c>
      <c r="M161" s="113">
        <f t="shared" si="184"/>
        <v>0</v>
      </c>
      <c r="N161" s="113">
        <f t="shared" si="185"/>
        <v>273.66666666666669</v>
      </c>
      <c r="O161" s="459">
        <f t="shared" si="186"/>
        <v>208.33333333333331</v>
      </c>
      <c r="P161" s="461">
        <f t="shared" si="187"/>
        <v>6</v>
      </c>
      <c r="Q161" s="582">
        <f t="shared" si="188"/>
        <v>1.3333333333333333</v>
      </c>
      <c r="R161" s="113">
        <f t="shared" si="189"/>
        <v>1.3333333333333333</v>
      </c>
      <c r="S161" s="113">
        <f t="shared" si="190"/>
        <v>0</v>
      </c>
      <c r="T161" s="113">
        <f t="shared" si="191"/>
        <v>0</v>
      </c>
      <c r="U161" s="460">
        <f t="shared" si="192"/>
        <v>0</v>
      </c>
      <c r="V161" s="582">
        <f t="shared" si="193"/>
        <v>4.6666666666666661</v>
      </c>
      <c r="W161" s="113">
        <f t="shared" si="194"/>
        <v>3.6666666666666661</v>
      </c>
      <c r="X161" s="113">
        <f t="shared" si="195"/>
        <v>0</v>
      </c>
      <c r="Y161" s="113">
        <f t="shared" si="196"/>
        <v>1</v>
      </c>
      <c r="Z161" s="459">
        <f t="shared" si="197"/>
        <v>0</v>
      </c>
      <c r="AA161" s="461">
        <f t="shared" si="198"/>
        <v>5.333333333333333</v>
      </c>
      <c r="AB161" s="582">
        <f t="shared" si="199"/>
        <v>0.66666666666666663</v>
      </c>
      <c r="AC161" s="113">
        <f t="shared" si="200"/>
        <v>0.66666666666666663</v>
      </c>
      <c r="AD161" s="113">
        <f t="shared" si="201"/>
        <v>0</v>
      </c>
      <c r="AE161" s="113">
        <f t="shared" si="202"/>
        <v>0</v>
      </c>
      <c r="AF161" s="460">
        <f t="shared" si="203"/>
        <v>0</v>
      </c>
      <c r="AG161" s="582">
        <f t="shared" si="204"/>
        <v>4.666666666666667</v>
      </c>
      <c r="AH161" s="113">
        <f t="shared" si="205"/>
        <v>4.666666666666667</v>
      </c>
      <c r="AI161" s="113">
        <f t="shared" si="206"/>
        <v>0</v>
      </c>
      <c r="AJ161" s="113">
        <f t="shared" si="207"/>
        <v>0</v>
      </c>
      <c r="AK161" s="459">
        <f t="shared" si="208"/>
        <v>0</v>
      </c>
      <c r="AL161" s="461">
        <f t="shared" si="209"/>
        <v>30.666666666666664</v>
      </c>
      <c r="AM161" s="582">
        <f t="shared" si="210"/>
        <v>13</v>
      </c>
      <c r="AN161" s="113">
        <f t="shared" si="211"/>
        <v>10.666666666666666</v>
      </c>
      <c r="AO161" s="113">
        <f t="shared" si="212"/>
        <v>0</v>
      </c>
      <c r="AP161" s="113">
        <f t="shared" si="213"/>
        <v>2.333333333333333</v>
      </c>
      <c r="AQ161" s="460">
        <f t="shared" si="214"/>
        <v>0</v>
      </c>
      <c r="AR161" s="582">
        <f t="shared" si="215"/>
        <v>17.666666666666668</v>
      </c>
      <c r="AS161" s="113">
        <f t="shared" si="216"/>
        <v>15</v>
      </c>
      <c r="AT161" s="113">
        <f t="shared" si="217"/>
        <v>0</v>
      </c>
      <c r="AU161" s="113">
        <f t="shared" si="218"/>
        <v>1.3333333333333333</v>
      </c>
      <c r="AV161" s="459">
        <f t="shared" si="219"/>
        <v>1.3333333333333333</v>
      </c>
      <c r="AW161" s="461">
        <f t="shared" si="220"/>
        <v>18.666666666666668</v>
      </c>
      <c r="AX161" s="582">
        <f t="shared" si="221"/>
        <v>7.0000000000000009</v>
      </c>
      <c r="AY161" s="113">
        <f t="shared" si="222"/>
        <v>5.6666666666666661</v>
      </c>
      <c r="AZ161" s="113">
        <f t="shared" si="223"/>
        <v>0</v>
      </c>
      <c r="BA161" s="113">
        <f t="shared" si="224"/>
        <v>1.3333333333333333</v>
      </c>
      <c r="BB161" s="460">
        <f t="shared" si="225"/>
        <v>0</v>
      </c>
      <c r="BC161" s="582">
        <f t="shared" si="226"/>
        <v>11.666666666666668</v>
      </c>
      <c r="BD161" s="113">
        <f t="shared" si="227"/>
        <v>10.333333333333334</v>
      </c>
      <c r="BE161" s="113">
        <f t="shared" si="228"/>
        <v>0</v>
      </c>
      <c r="BF161" s="113">
        <f t="shared" si="229"/>
        <v>1</v>
      </c>
      <c r="BG161" s="459">
        <f t="shared" si="230"/>
        <v>0.33333333333333331</v>
      </c>
      <c r="BH161" s="461">
        <f t="shared" si="231"/>
        <v>28</v>
      </c>
      <c r="BI161" s="582">
        <f t="shared" si="232"/>
        <v>12</v>
      </c>
      <c r="BJ161" s="113">
        <f t="shared" si="233"/>
        <v>10</v>
      </c>
      <c r="BK161" s="113">
        <f t="shared" si="234"/>
        <v>0</v>
      </c>
      <c r="BL161" s="113">
        <f t="shared" si="235"/>
        <v>2</v>
      </c>
      <c r="BM161" s="460">
        <f t="shared" si="236"/>
        <v>0</v>
      </c>
      <c r="BN161" s="582">
        <f t="shared" si="237"/>
        <v>16</v>
      </c>
      <c r="BO161" s="113">
        <f t="shared" si="238"/>
        <v>12.999999999999998</v>
      </c>
      <c r="BP161" s="113">
        <f t="shared" si="239"/>
        <v>0</v>
      </c>
      <c r="BQ161" s="113">
        <f t="shared" si="240"/>
        <v>0</v>
      </c>
      <c r="BR161" s="459">
        <f t="shared" si="241"/>
        <v>3</v>
      </c>
      <c r="BS161" s="461">
        <f t="shared" si="242"/>
        <v>37.333333333333336</v>
      </c>
      <c r="BT161" s="582">
        <f t="shared" si="243"/>
        <v>20.666666666666668</v>
      </c>
      <c r="BU161" s="113">
        <f t="shared" si="244"/>
        <v>18.333333333333332</v>
      </c>
      <c r="BV161" s="113">
        <f t="shared" si="245"/>
        <v>0</v>
      </c>
      <c r="BW161" s="113">
        <f t="shared" si="246"/>
        <v>2.333333333333333</v>
      </c>
      <c r="BX161" s="460">
        <f t="shared" si="247"/>
        <v>0</v>
      </c>
      <c r="BY161" s="582">
        <f t="shared" si="248"/>
        <v>16.666666666666664</v>
      </c>
      <c r="BZ161" s="113">
        <f t="shared" si="249"/>
        <v>14.333333333333334</v>
      </c>
      <c r="CA161" s="113">
        <f t="shared" si="250"/>
        <v>0</v>
      </c>
      <c r="CB161" s="113">
        <f t="shared" si="251"/>
        <v>0.33333333333333331</v>
      </c>
      <c r="CC161" s="459">
        <f t="shared" si="252"/>
        <v>2</v>
      </c>
      <c r="CD161" s="461">
        <f t="shared" si="253"/>
        <v>17.333333333333332</v>
      </c>
      <c r="CE161" s="582">
        <f t="shared" si="254"/>
        <v>9.3333333333333339</v>
      </c>
      <c r="CF161" s="113">
        <f t="shared" si="255"/>
        <v>6.6666666666666661</v>
      </c>
      <c r="CG161" s="113">
        <f t="shared" si="256"/>
        <v>0</v>
      </c>
      <c r="CH161" s="113">
        <f t="shared" si="257"/>
        <v>2.6666666666666665</v>
      </c>
      <c r="CI161" s="460">
        <f t="shared" si="258"/>
        <v>0</v>
      </c>
      <c r="CJ161" s="582">
        <f t="shared" si="259"/>
        <v>8</v>
      </c>
      <c r="CK161" s="113">
        <f t="shared" si="260"/>
        <v>5.9999999999999991</v>
      </c>
      <c r="CL161" s="113">
        <f t="shared" si="261"/>
        <v>0</v>
      </c>
      <c r="CM161" s="113">
        <f t="shared" si="262"/>
        <v>1</v>
      </c>
      <c r="CN161" s="459">
        <f t="shared" si="263"/>
        <v>1</v>
      </c>
      <c r="CO161" s="461">
        <f t="shared" si="264"/>
        <v>4.666666666666667</v>
      </c>
      <c r="CP161" s="582">
        <f t="shared" si="265"/>
        <v>2.3333333333333335</v>
      </c>
      <c r="CQ161" s="113">
        <f t="shared" si="266"/>
        <v>2.3333333333333335</v>
      </c>
      <c r="CR161" s="113">
        <f t="shared" si="267"/>
        <v>0</v>
      </c>
      <c r="CS161" s="113">
        <f t="shared" si="268"/>
        <v>0</v>
      </c>
      <c r="CT161" s="460">
        <f t="shared" si="269"/>
        <v>0</v>
      </c>
      <c r="CU161" s="582">
        <f t="shared" si="270"/>
        <v>2.333333333333333</v>
      </c>
      <c r="CV161" s="113">
        <f t="shared" si="271"/>
        <v>2.333333333333333</v>
      </c>
      <c r="CW161" s="113">
        <f t="shared" si="272"/>
        <v>0</v>
      </c>
      <c r="CX161" s="113">
        <f t="shared" si="273"/>
        <v>0</v>
      </c>
      <c r="CY161" s="459">
        <f t="shared" si="274"/>
        <v>0</v>
      </c>
      <c r="CZ161" s="461">
        <f t="shared" si="275"/>
        <v>1.9999999999999998</v>
      </c>
      <c r="DA161" s="582">
        <f t="shared" si="276"/>
        <v>1</v>
      </c>
      <c r="DB161" s="113">
        <f t="shared" si="277"/>
        <v>0</v>
      </c>
      <c r="DC161" s="113">
        <f t="shared" si="278"/>
        <v>0</v>
      </c>
      <c r="DD161" s="113">
        <f t="shared" si="279"/>
        <v>1</v>
      </c>
      <c r="DE161" s="460">
        <f t="shared" si="280"/>
        <v>0</v>
      </c>
      <c r="DF161" s="582">
        <f t="shared" si="281"/>
        <v>1</v>
      </c>
      <c r="DG161" s="113">
        <f t="shared" si="282"/>
        <v>1</v>
      </c>
      <c r="DH161" s="113">
        <f t="shared" si="283"/>
        <v>0</v>
      </c>
      <c r="DI161" s="113">
        <f t="shared" si="284"/>
        <v>0</v>
      </c>
      <c r="DJ161" s="459">
        <f t="shared" si="285"/>
        <v>0</v>
      </c>
      <c r="DK161" s="461">
        <f t="shared" si="286"/>
        <v>0</v>
      </c>
      <c r="DL161" s="582">
        <f t="shared" si="287"/>
        <v>0</v>
      </c>
      <c r="DM161" s="113">
        <f t="shared" si="288"/>
        <v>0</v>
      </c>
      <c r="DN161" s="113">
        <f t="shared" si="289"/>
        <v>0</v>
      </c>
      <c r="DO161" s="113">
        <f t="shared" si="290"/>
        <v>0</v>
      </c>
      <c r="DP161" s="460">
        <f t="shared" si="291"/>
        <v>0</v>
      </c>
      <c r="DQ161" s="582">
        <f t="shared" si="292"/>
        <v>0</v>
      </c>
      <c r="DR161" s="113">
        <f t="shared" si="293"/>
        <v>0</v>
      </c>
      <c r="DS161" s="113">
        <f t="shared" si="294"/>
        <v>0</v>
      </c>
      <c r="DT161" s="113">
        <f t="shared" si="295"/>
        <v>0</v>
      </c>
      <c r="DU161" s="459">
        <f t="shared" si="296"/>
        <v>0</v>
      </c>
      <c r="DW161" s="461">
        <f t="shared" si="170"/>
        <v>119.33333333333334</v>
      </c>
      <c r="DX161" s="582">
        <f t="shared" si="170"/>
        <v>54.333333333333343</v>
      </c>
      <c r="DY161" s="113">
        <f t="shared" si="170"/>
        <v>45</v>
      </c>
      <c r="DZ161" s="113">
        <f t="shared" si="170"/>
        <v>0</v>
      </c>
      <c r="EA161" s="113">
        <f t="shared" si="170"/>
        <v>9.3333333333333321</v>
      </c>
      <c r="EB161" s="460">
        <f t="shared" si="170"/>
        <v>0</v>
      </c>
      <c r="EC161" s="582">
        <f t="shared" si="170"/>
        <v>65</v>
      </c>
      <c r="ED161" s="113">
        <f t="shared" si="170"/>
        <v>55.333333333333336</v>
      </c>
      <c r="EE161" s="113">
        <f t="shared" si="170"/>
        <v>0</v>
      </c>
      <c r="EF161" s="113">
        <f t="shared" si="170"/>
        <v>3.3333333333333335</v>
      </c>
      <c r="EG161" s="459">
        <f t="shared" si="170"/>
        <v>6.3333333333333339</v>
      </c>
      <c r="EH161" s="461">
        <f t="shared" si="135"/>
        <v>30.666666666666664</v>
      </c>
      <c r="EI161" s="582">
        <f t="shared" si="135"/>
        <v>13</v>
      </c>
      <c r="EJ161" s="113">
        <f t="shared" si="135"/>
        <v>10.666666666666666</v>
      </c>
      <c r="EK161" s="113">
        <f t="shared" si="135"/>
        <v>0</v>
      </c>
      <c r="EL161" s="113">
        <f t="shared" si="135"/>
        <v>2.333333333333333</v>
      </c>
      <c r="EM161" s="460">
        <f t="shared" si="135"/>
        <v>0</v>
      </c>
      <c r="EN161" s="582">
        <f t="shared" si="135"/>
        <v>17.666666666666668</v>
      </c>
      <c r="EO161" s="113">
        <f t="shared" si="135"/>
        <v>15</v>
      </c>
      <c r="EP161" s="113">
        <f t="shared" si="141"/>
        <v>0</v>
      </c>
      <c r="EQ161" s="113">
        <f t="shared" si="141"/>
        <v>1.3333333333333333</v>
      </c>
      <c r="ER161" s="459">
        <f t="shared" si="141"/>
        <v>1.3333333333333333</v>
      </c>
    </row>
    <row r="162" spans="1:148">
      <c r="A162" s="665" t="s">
        <v>401</v>
      </c>
      <c r="B162" s="665">
        <v>42948</v>
      </c>
      <c r="C162" s="666">
        <v>2017</v>
      </c>
      <c r="D162" s="461">
        <f t="shared" ref="D162" si="301">D51/3+D161</f>
        <v>548667.33333333337</v>
      </c>
      <c r="E162" s="461">
        <f t="shared" si="176"/>
        <v>4828.3333333333339</v>
      </c>
      <c r="F162" s="582">
        <f t="shared" si="177"/>
        <v>2060.333333333333</v>
      </c>
      <c r="G162" s="113">
        <f t="shared" si="178"/>
        <v>1475.6666666666665</v>
      </c>
      <c r="H162" s="113">
        <f t="shared" si="179"/>
        <v>0</v>
      </c>
      <c r="I162" s="113">
        <f t="shared" si="180"/>
        <v>584.66666666666674</v>
      </c>
      <c r="J162" s="460">
        <f t="shared" si="181"/>
        <v>0</v>
      </c>
      <c r="K162" s="582">
        <f t="shared" si="182"/>
        <v>2768</v>
      </c>
      <c r="L162" s="113">
        <f t="shared" si="183"/>
        <v>2221</v>
      </c>
      <c r="M162" s="113">
        <f t="shared" si="184"/>
        <v>0</v>
      </c>
      <c r="N162" s="113">
        <f t="shared" si="185"/>
        <v>306.33333333333337</v>
      </c>
      <c r="O162" s="459">
        <f t="shared" si="186"/>
        <v>240.66666666666666</v>
      </c>
      <c r="P162" s="461">
        <f t="shared" si="187"/>
        <v>7</v>
      </c>
      <c r="Q162" s="582">
        <f t="shared" si="188"/>
        <v>1.6666666666666665</v>
      </c>
      <c r="R162" s="113">
        <f t="shared" si="189"/>
        <v>1.6666666666666665</v>
      </c>
      <c r="S162" s="113">
        <f t="shared" si="190"/>
        <v>0</v>
      </c>
      <c r="T162" s="113">
        <f t="shared" si="191"/>
        <v>0</v>
      </c>
      <c r="U162" s="460">
        <f t="shared" si="192"/>
        <v>0</v>
      </c>
      <c r="V162" s="582">
        <f t="shared" si="193"/>
        <v>5.333333333333333</v>
      </c>
      <c r="W162" s="113">
        <f t="shared" si="194"/>
        <v>4.333333333333333</v>
      </c>
      <c r="X162" s="113">
        <f t="shared" si="195"/>
        <v>0</v>
      </c>
      <c r="Y162" s="113">
        <f t="shared" si="196"/>
        <v>1</v>
      </c>
      <c r="Z162" s="459">
        <f t="shared" si="197"/>
        <v>0</v>
      </c>
      <c r="AA162" s="461">
        <f t="shared" si="198"/>
        <v>6.6666666666666661</v>
      </c>
      <c r="AB162" s="582">
        <f t="shared" si="199"/>
        <v>1.3333333333333333</v>
      </c>
      <c r="AC162" s="113">
        <f t="shared" si="200"/>
        <v>1.3333333333333333</v>
      </c>
      <c r="AD162" s="113">
        <f t="shared" si="201"/>
        <v>0</v>
      </c>
      <c r="AE162" s="113">
        <f t="shared" si="202"/>
        <v>0</v>
      </c>
      <c r="AF162" s="460">
        <f t="shared" si="203"/>
        <v>0</v>
      </c>
      <c r="AG162" s="582">
        <f t="shared" si="204"/>
        <v>5.3333333333333339</v>
      </c>
      <c r="AH162" s="113">
        <f t="shared" si="205"/>
        <v>5.3333333333333339</v>
      </c>
      <c r="AI162" s="113">
        <f t="shared" si="206"/>
        <v>0</v>
      </c>
      <c r="AJ162" s="113">
        <f t="shared" si="207"/>
        <v>0</v>
      </c>
      <c r="AK162" s="459">
        <f t="shared" si="208"/>
        <v>0</v>
      </c>
      <c r="AL162" s="461">
        <f t="shared" si="209"/>
        <v>37.333333333333329</v>
      </c>
      <c r="AM162" s="582">
        <f t="shared" si="210"/>
        <v>16</v>
      </c>
      <c r="AN162" s="113">
        <f t="shared" si="211"/>
        <v>12.333333333333332</v>
      </c>
      <c r="AO162" s="113">
        <f t="shared" si="212"/>
        <v>0</v>
      </c>
      <c r="AP162" s="113">
        <f t="shared" si="213"/>
        <v>3.6666666666666661</v>
      </c>
      <c r="AQ162" s="460">
        <f t="shared" si="214"/>
        <v>0</v>
      </c>
      <c r="AR162" s="582">
        <f t="shared" si="215"/>
        <v>21.333333333333336</v>
      </c>
      <c r="AS162" s="113">
        <f t="shared" si="216"/>
        <v>18</v>
      </c>
      <c r="AT162" s="113">
        <f t="shared" si="217"/>
        <v>0</v>
      </c>
      <c r="AU162" s="113">
        <f t="shared" si="218"/>
        <v>1.6666666666666665</v>
      </c>
      <c r="AV162" s="459">
        <f t="shared" si="219"/>
        <v>1.6666666666666665</v>
      </c>
      <c r="AW162" s="461">
        <f t="shared" si="220"/>
        <v>21.333333333333336</v>
      </c>
      <c r="AX162" s="582">
        <f t="shared" si="221"/>
        <v>8</v>
      </c>
      <c r="AY162" s="113">
        <f t="shared" si="222"/>
        <v>6.333333333333333</v>
      </c>
      <c r="AZ162" s="113">
        <f t="shared" si="223"/>
        <v>0</v>
      </c>
      <c r="BA162" s="113">
        <f t="shared" si="224"/>
        <v>1.6666666666666665</v>
      </c>
      <c r="BB162" s="460">
        <f t="shared" si="225"/>
        <v>0</v>
      </c>
      <c r="BC162" s="582">
        <f t="shared" si="226"/>
        <v>13.333333333333334</v>
      </c>
      <c r="BD162" s="113">
        <f t="shared" si="227"/>
        <v>11.666666666666668</v>
      </c>
      <c r="BE162" s="113">
        <f t="shared" si="228"/>
        <v>0</v>
      </c>
      <c r="BF162" s="113">
        <f t="shared" si="229"/>
        <v>1</v>
      </c>
      <c r="BG162" s="459">
        <f t="shared" si="230"/>
        <v>0.66666666666666663</v>
      </c>
      <c r="BH162" s="461">
        <f t="shared" si="231"/>
        <v>32</v>
      </c>
      <c r="BI162" s="582">
        <f t="shared" si="232"/>
        <v>15</v>
      </c>
      <c r="BJ162" s="113">
        <f t="shared" si="233"/>
        <v>13</v>
      </c>
      <c r="BK162" s="113">
        <f t="shared" si="234"/>
        <v>0</v>
      </c>
      <c r="BL162" s="113">
        <f t="shared" si="235"/>
        <v>2</v>
      </c>
      <c r="BM162" s="460">
        <f t="shared" si="236"/>
        <v>0</v>
      </c>
      <c r="BN162" s="582">
        <f t="shared" si="237"/>
        <v>17</v>
      </c>
      <c r="BO162" s="113">
        <f t="shared" si="238"/>
        <v>13.999999999999998</v>
      </c>
      <c r="BP162" s="113">
        <f t="shared" si="239"/>
        <v>0</v>
      </c>
      <c r="BQ162" s="113">
        <f t="shared" si="240"/>
        <v>0</v>
      </c>
      <c r="BR162" s="459">
        <f t="shared" si="241"/>
        <v>3</v>
      </c>
      <c r="BS162" s="461">
        <f t="shared" si="242"/>
        <v>42.666666666666671</v>
      </c>
      <c r="BT162" s="582">
        <f t="shared" si="243"/>
        <v>23.333333333333336</v>
      </c>
      <c r="BU162" s="113">
        <f t="shared" si="244"/>
        <v>20.666666666666664</v>
      </c>
      <c r="BV162" s="113">
        <f t="shared" si="245"/>
        <v>0</v>
      </c>
      <c r="BW162" s="113">
        <f t="shared" si="246"/>
        <v>2.6666666666666665</v>
      </c>
      <c r="BX162" s="460">
        <f t="shared" si="247"/>
        <v>0</v>
      </c>
      <c r="BY162" s="582">
        <f t="shared" si="248"/>
        <v>19.333333333333332</v>
      </c>
      <c r="BZ162" s="113">
        <f t="shared" si="249"/>
        <v>16.666666666666668</v>
      </c>
      <c r="CA162" s="113">
        <f t="shared" si="250"/>
        <v>0</v>
      </c>
      <c r="CB162" s="113">
        <f t="shared" si="251"/>
        <v>0.66666666666666663</v>
      </c>
      <c r="CC162" s="459">
        <f t="shared" si="252"/>
        <v>2</v>
      </c>
      <c r="CD162" s="461">
        <f t="shared" si="253"/>
        <v>19.666666666666664</v>
      </c>
      <c r="CE162" s="582">
        <f t="shared" si="254"/>
        <v>10.666666666666668</v>
      </c>
      <c r="CF162" s="113">
        <f t="shared" si="255"/>
        <v>7.333333333333333</v>
      </c>
      <c r="CG162" s="113">
        <f t="shared" si="256"/>
        <v>0</v>
      </c>
      <c r="CH162" s="113">
        <f t="shared" si="257"/>
        <v>3.333333333333333</v>
      </c>
      <c r="CI162" s="460">
        <f t="shared" si="258"/>
        <v>0</v>
      </c>
      <c r="CJ162" s="582">
        <f t="shared" si="259"/>
        <v>9</v>
      </c>
      <c r="CK162" s="113">
        <f t="shared" si="260"/>
        <v>6.9999999999999991</v>
      </c>
      <c r="CL162" s="113">
        <f t="shared" si="261"/>
        <v>0</v>
      </c>
      <c r="CM162" s="113">
        <f t="shared" si="262"/>
        <v>1</v>
      </c>
      <c r="CN162" s="459">
        <f t="shared" si="263"/>
        <v>1</v>
      </c>
      <c r="CO162" s="461">
        <f t="shared" si="264"/>
        <v>5.3333333333333339</v>
      </c>
      <c r="CP162" s="582">
        <f t="shared" si="265"/>
        <v>2.666666666666667</v>
      </c>
      <c r="CQ162" s="113">
        <f t="shared" si="266"/>
        <v>2.666666666666667</v>
      </c>
      <c r="CR162" s="113">
        <f t="shared" si="267"/>
        <v>0</v>
      </c>
      <c r="CS162" s="113">
        <f t="shared" si="268"/>
        <v>0</v>
      </c>
      <c r="CT162" s="460">
        <f t="shared" si="269"/>
        <v>0</v>
      </c>
      <c r="CU162" s="582">
        <f t="shared" si="270"/>
        <v>2.6666666666666665</v>
      </c>
      <c r="CV162" s="113">
        <f t="shared" si="271"/>
        <v>2.6666666666666665</v>
      </c>
      <c r="CW162" s="113">
        <f t="shared" si="272"/>
        <v>0</v>
      </c>
      <c r="CX162" s="113">
        <f t="shared" si="273"/>
        <v>0</v>
      </c>
      <c r="CY162" s="459">
        <f t="shared" si="274"/>
        <v>0</v>
      </c>
      <c r="CZ162" s="461">
        <f t="shared" si="275"/>
        <v>1.9999999999999998</v>
      </c>
      <c r="DA162" s="582">
        <f t="shared" si="276"/>
        <v>1</v>
      </c>
      <c r="DB162" s="113">
        <f t="shared" si="277"/>
        <v>0</v>
      </c>
      <c r="DC162" s="113">
        <f t="shared" si="278"/>
        <v>0</v>
      </c>
      <c r="DD162" s="113">
        <f t="shared" si="279"/>
        <v>1</v>
      </c>
      <c r="DE162" s="460">
        <f t="shared" si="280"/>
        <v>0</v>
      </c>
      <c r="DF162" s="582">
        <f t="shared" si="281"/>
        <v>1</v>
      </c>
      <c r="DG162" s="113">
        <f t="shared" si="282"/>
        <v>1</v>
      </c>
      <c r="DH162" s="113">
        <f t="shared" si="283"/>
        <v>0</v>
      </c>
      <c r="DI162" s="113">
        <f t="shared" si="284"/>
        <v>0</v>
      </c>
      <c r="DJ162" s="459">
        <f t="shared" si="285"/>
        <v>0</v>
      </c>
      <c r="DK162" s="461">
        <f t="shared" si="286"/>
        <v>0</v>
      </c>
      <c r="DL162" s="582">
        <f t="shared" si="287"/>
        <v>0</v>
      </c>
      <c r="DM162" s="113">
        <f t="shared" si="288"/>
        <v>0</v>
      </c>
      <c r="DN162" s="113">
        <f t="shared" si="289"/>
        <v>0</v>
      </c>
      <c r="DO162" s="113">
        <f t="shared" si="290"/>
        <v>0</v>
      </c>
      <c r="DP162" s="460">
        <f t="shared" si="291"/>
        <v>0</v>
      </c>
      <c r="DQ162" s="582">
        <f t="shared" si="292"/>
        <v>0</v>
      </c>
      <c r="DR162" s="113">
        <f t="shared" si="293"/>
        <v>0</v>
      </c>
      <c r="DS162" s="113">
        <f t="shared" si="294"/>
        <v>0</v>
      </c>
      <c r="DT162" s="113">
        <f t="shared" si="295"/>
        <v>0</v>
      </c>
      <c r="DU162" s="459">
        <f t="shared" si="296"/>
        <v>0</v>
      </c>
      <c r="DW162" s="461">
        <f t="shared" si="170"/>
        <v>136.66666666666669</v>
      </c>
      <c r="DX162" s="582">
        <f t="shared" si="170"/>
        <v>63.666666666666664</v>
      </c>
      <c r="DY162" s="113">
        <f t="shared" si="170"/>
        <v>53</v>
      </c>
      <c r="DZ162" s="113">
        <f t="shared" si="170"/>
        <v>0</v>
      </c>
      <c r="EA162" s="113">
        <f t="shared" si="170"/>
        <v>10.666666666666666</v>
      </c>
      <c r="EB162" s="460">
        <f t="shared" si="170"/>
        <v>0</v>
      </c>
      <c r="EC162" s="582">
        <f t="shared" si="170"/>
        <v>73</v>
      </c>
      <c r="ED162" s="113">
        <f t="shared" si="170"/>
        <v>62.666666666666664</v>
      </c>
      <c r="EE162" s="113">
        <f t="shared" si="170"/>
        <v>0</v>
      </c>
      <c r="EF162" s="113">
        <f t="shared" si="170"/>
        <v>3.6666666666666665</v>
      </c>
      <c r="EG162" s="459">
        <f t="shared" si="170"/>
        <v>6.6666666666666661</v>
      </c>
      <c r="EH162" s="461">
        <f t="shared" si="135"/>
        <v>37.333333333333329</v>
      </c>
      <c r="EI162" s="582">
        <f t="shared" si="135"/>
        <v>16</v>
      </c>
      <c r="EJ162" s="113">
        <f t="shared" si="135"/>
        <v>12.333333333333332</v>
      </c>
      <c r="EK162" s="113">
        <f t="shared" si="135"/>
        <v>0</v>
      </c>
      <c r="EL162" s="113">
        <f t="shared" si="135"/>
        <v>3.6666666666666661</v>
      </c>
      <c r="EM162" s="460">
        <f t="shared" si="135"/>
        <v>0</v>
      </c>
      <c r="EN162" s="582">
        <f t="shared" si="135"/>
        <v>21.333333333333336</v>
      </c>
      <c r="EO162" s="113">
        <f t="shared" si="135"/>
        <v>18</v>
      </c>
      <c r="EP162" s="113">
        <f t="shared" si="141"/>
        <v>0</v>
      </c>
      <c r="EQ162" s="113">
        <f t="shared" si="141"/>
        <v>1.6666666666666665</v>
      </c>
      <c r="ER162" s="459">
        <f t="shared" si="141"/>
        <v>1.6666666666666665</v>
      </c>
    </row>
    <row r="163" spans="1:148">
      <c r="A163" s="665" t="s">
        <v>401</v>
      </c>
      <c r="B163" s="665">
        <v>42979</v>
      </c>
      <c r="C163" s="666">
        <v>2017</v>
      </c>
      <c r="D163" s="461">
        <f t="shared" ref="D163" si="302">D52/3+D162</f>
        <v>621878</v>
      </c>
      <c r="E163" s="461">
        <f t="shared" si="176"/>
        <v>5538.0000000000009</v>
      </c>
      <c r="F163" s="582">
        <f t="shared" si="177"/>
        <v>2376.9999999999995</v>
      </c>
      <c r="G163" s="113">
        <f t="shared" si="178"/>
        <v>1703.9999999999998</v>
      </c>
      <c r="H163" s="113">
        <f t="shared" si="179"/>
        <v>0</v>
      </c>
      <c r="I163" s="113">
        <f t="shared" si="180"/>
        <v>673.00000000000011</v>
      </c>
      <c r="J163" s="460">
        <f t="shared" si="181"/>
        <v>0</v>
      </c>
      <c r="K163" s="582">
        <f t="shared" si="182"/>
        <v>3161</v>
      </c>
      <c r="L163" s="113">
        <f t="shared" si="183"/>
        <v>2549</v>
      </c>
      <c r="M163" s="113">
        <f t="shared" si="184"/>
        <v>0</v>
      </c>
      <c r="N163" s="113">
        <f t="shared" si="185"/>
        <v>339.00000000000006</v>
      </c>
      <c r="O163" s="459">
        <f t="shared" si="186"/>
        <v>273</v>
      </c>
      <c r="P163" s="461">
        <f t="shared" si="187"/>
        <v>8</v>
      </c>
      <c r="Q163" s="582">
        <f t="shared" si="188"/>
        <v>1.9999999999999998</v>
      </c>
      <c r="R163" s="113">
        <f t="shared" si="189"/>
        <v>1.9999999999999998</v>
      </c>
      <c r="S163" s="113">
        <f t="shared" si="190"/>
        <v>0</v>
      </c>
      <c r="T163" s="113">
        <f t="shared" si="191"/>
        <v>0</v>
      </c>
      <c r="U163" s="460">
        <f t="shared" si="192"/>
        <v>0</v>
      </c>
      <c r="V163" s="582">
        <f t="shared" si="193"/>
        <v>6</v>
      </c>
      <c r="W163" s="113">
        <f t="shared" si="194"/>
        <v>5</v>
      </c>
      <c r="X163" s="113">
        <f t="shared" si="195"/>
        <v>0</v>
      </c>
      <c r="Y163" s="113">
        <f t="shared" si="196"/>
        <v>1</v>
      </c>
      <c r="Z163" s="459">
        <f t="shared" si="197"/>
        <v>0</v>
      </c>
      <c r="AA163" s="461">
        <f t="shared" si="198"/>
        <v>7.9999999999999991</v>
      </c>
      <c r="AB163" s="582">
        <f t="shared" si="199"/>
        <v>2</v>
      </c>
      <c r="AC163" s="113">
        <f t="shared" si="200"/>
        <v>2</v>
      </c>
      <c r="AD163" s="113">
        <f t="shared" si="201"/>
        <v>0</v>
      </c>
      <c r="AE163" s="113">
        <f t="shared" si="202"/>
        <v>0</v>
      </c>
      <c r="AF163" s="460">
        <f t="shared" si="203"/>
        <v>0</v>
      </c>
      <c r="AG163" s="582">
        <f t="shared" si="204"/>
        <v>6.0000000000000009</v>
      </c>
      <c r="AH163" s="113">
        <f t="shared" si="205"/>
        <v>6.0000000000000009</v>
      </c>
      <c r="AI163" s="113">
        <f t="shared" si="206"/>
        <v>0</v>
      </c>
      <c r="AJ163" s="113">
        <f t="shared" si="207"/>
        <v>0</v>
      </c>
      <c r="AK163" s="459">
        <f t="shared" si="208"/>
        <v>0</v>
      </c>
      <c r="AL163" s="461">
        <f t="shared" si="209"/>
        <v>43.999999999999993</v>
      </c>
      <c r="AM163" s="582">
        <f t="shared" si="210"/>
        <v>19</v>
      </c>
      <c r="AN163" s="113">
        <f t="shared" si="211"/>
        <v>13.999999999999998</v>
      </c>
      <c r="AO163" s="113">
        <f t="shared" si="212"/>
        <v>0</v>
      </c>
      <c r="AP163" s="113">
        <f t="shared" si="213"/>
        <v>4.9999999999999991</v>
      </c>
      <c r="AQ163" s="460">
        <f t="shared" si="214"/>
        <v>0</v>
      </c>
      <c r="AR163" s="582">
        <f t="shared" si="215"/>
        <v>25.000000000000004</v>
      </c>
      <c r="AS163" s="113">
        <f t="shared" si="216"/>
        <v>21</v>
      </c>
      <c r="AT163" s="113">
        <f t="shared" si="217"/>
        <v>0</v>
      </c>
      <c r="AU163" s="113">
        <f t="shared" si="218"/>
        <v>1.9999999999999998</v>
      </c>
      <c r="AV163" s="459">
        <f t="shared" si="219"/>
        <v>1.9999999999999998</v>
      </c>
      <c r="AW163" s="461">
        <f t="shared" si="220"/>
        <v>24.000000000000004</v>
      </c>
      <c r="AX163" s="582">
        <f t="shared" si="221"/>
        <v>9</v>
      </c>
      <c r="AY163" s="113">
        <f t="shared" si="222"/>
        <v>7</v>
      </c>
      <c r="AZ163" s="113">
        <f t="shared" si="223"/>
        <v>0</v>
      </c>
      <c r="BA163" s="113">
        <f t="shared" si="224"/>
        <v>1.9999999999999998</v>
      </c>
      <c r="BB163" s="460">
        <f t="shared" si="225"/>
        <v>0</v>
      </c>
      <c r="BC163" s="582">
        <f t="shared" si="226"/>
        <v>15</v>
      </c>
      <c r="BD163" s="113">
        <f t="shared" si="227"/>
        <v>13.000000000000002</v>
      </c>
      <c r="BE163" s="113">
        <f t="shared" si="228"/>
        <v>0</v>
      </c>
      <c r="BF163" s="113">
        <f t="shared" si="229"/>
        <v>1</v>
      </c>
      <c r="BG163" s="459">
        <f t="shared" si="230"/>
        <v>1</v>
      </c>
      <c r="BH163" s="461">
        <f t="shared" si="231"/>
        <v>36</v>
      </c>
      <c r="BI163" s="582">
        <f t="shared" si="232"/>
        <v>18</v>
      </c>
      <c r="BJ163" s="113">
        <f t="shared" si="233"/>
        <v>16</v>
      </c>
      <c r="BK163" s="113">
        <f t="shared" si="234"/>
        <v>0</v>
      </c>
      <c r="BL163" s="113">
        <f t="shared" si="235"/>
        <v>2</v>
      </c>
      <c r="BM163" s="460">
        <f t="shared" si="236"/>
        <v>0</v>
      </c>
      <c r="BN163" s="582">
        <f t="shared" si="237"/>
        <v>18</v>
      </c>
      <c r="BO163" s="113">
        <f t="shared" si="238"/>
        <v>14.999999999999998</v>
      </c>
      <c r="BP163" s="113">
        <f t="shared" si="239"/>
        <v>0</v>
      </c>
      <c r="BQ163" s="113">
        <f t="shared" si="240"/>
        <v>0</v>
      </c>
      <c r="BR163" s="459">
        <f t="shared" si="241"/>
        <v>3</v>
      </c>
      <c r="BS163" s="461">
        <f t="shared" si="242"/>
        <v>48.000000000000007</v>
      </c>
      <c r="BT163" s="582">
        <f t="shared" si="243"/>
        <v>26.000000000000004</v>
      </c>
      <c r="BU163" s="113">
        <f t="shared" si="244"/>
        <v>22.999999999999996</v>
      </c>
      <c r="BV163" s="113">
        <f t="shared" si="245"/>
        <v>0</v>
      </c>
      <c r="BW163" s="113">
        <f t="shared" si="246"/>
        <v>3</v>
      </c>
      <c r="BX163" s="460">
        <f t="shared" si="247"/>
        <v>0</v>
      </c>
      <c r="BY163" s="582">
        <f t="shared" si="248"/>
        <v>22</v>
      </c>
      <c r="BZ163" s="113">
        <f t="shared" si="249"/>
        <v>19</v>
      </c>
      <c r="CA163" s="113">
        <f t="shared" si="250"/>
        <v>0</v>
      </c>
      <c r="CB163" s="113">
        <f t="shared" si="251"/>
        <v>1</v>
      </c>
      <c r="CC163" s="459">
        <f t="shared" si="252"/>
        <v>2</v>
      </c>
      <c r="CD163" s="461">
        <f t="shared" si="253"/>
        <v>21.999999999999996</v>
      </c>
      <c r="CE163" s="582">
        <f t="shared" si="254"/>
        <v>12.000000000000002</v>
      </c>
      <c r="CF163" s="113">
        <f t="shared" si="255"/>
        <v>8</v>
      </c>
      <c r="CG163" s="113">
        <f t="shared" si="256"/>
        <v>0</v>
      </c>
      <c r="CH163" s="113">
        <f t="shared" si="257"/>
        <v>3.9999999999999996</v>
      </c>
      <c r="CI163" s="460">
        <f t="shared" si="258"/>
        <v>0</v>
      </c>
      <c r="CJ163" s="582">
        <f t="shared" si="259"/>
        <v>10</v>
      </c>
      <c r="CK163" s="113">
        <f t="shared" si="260"/>
        <v>7.9999999999999991</v>
      </c>
      <c r="CL163" s="113">
        <f t="shared" si="261"/>
        <v>0</v>
      </c>
      <c r="CM163" s="113">
        <f t="shared" si="262"/>
        <v>1</v>
      </c>
      <c r="CN163" s="459">
        <f t="shared" si="263"/>
        <v>1</v>
      </c>
      <c r="CO163" s="461">
        <f t="shared" si="264"/>
        <v>6.0000000000000009</v>
      </c>
      <c r="CP163" s="582">
        <f t="shared" si="265"/>
        <v>3.0000000000000004</v>
      </c>
      <c r="CQ163" s="113">
        <f t="shared" si="266"/>
        <v>3.0000000000000004</v>
      </c>
      <c r="CR163" s="113">
        <f t="shared" si="267"/>
        <v>0</v>
      </c>
      <c r="CS163" s="113">
        <f t="shared" si="268"/>
        <v>0</v>
      </c>
      <c r="CT163" s="460">
        <f t="shared" si="269"/>
        <v>0</v>
      </c>
      <c r="CU163" s="582">
        <f t="shared" si="270"/>
        <v>3</v>
      </c>
      <c r="CV163" s="113">
        <f t="shared" si="271"/>
        <v>3</v>
      </c>
      <c r="CW163" s="113">
        <f t="shared" si="272"/>
        <v>0</v>
      </c>
      <c r="CX163" s="113">
        <f t="shared" si="273"/>
        <v>0</v>
      </c>
      <c r="CY163" s="459">
        <f t="shared" si="274"/>
        <v>0</v>
      </c>
      <c r="CZ163" s="461">
        <f t="shared" si="275"/>
        <v>1.9999999999999998</v>
      </c>
      <c r="DA163" s="582">
        <f t="shared" si="276"/>
        <v>1</v>
      </c>
      <c r="DB163" s="113">
        <f t="shared" si="277"/>
        <v>0</v>
      </c>
      <c r="DC163" s="113">
        <f t="shared" si="278"/>
        <v>0</v>
      </c>
      <c r="DD163" s="113">
        <f t="shared" si="279"/>
        <v>1</v>
      </c>
      <c r="DE163" s="460">
        <f t="shared" si="280"/>
        <v>0</v>
      </c>
      <c r="DF163" s="582">
        <f t="shared" si="281"/>
        <v>1</v>
      </c>
      <c r="DG163" s="113">
        <f t="shared" si="282"/>
        <v>1</v>
      </c>
      <c r="DH163" s="113">
        <f t="shared" si="283"/>
        <v>0</v>
      </c>
      <c r="DI163" s="113">
        <f t="shared" si="284"/>
        <v>0</v>
      </c>
      <c r="DJ163" s="459">
        <f t="shared" si="285"/>
        <v>0</v>
      </c>
      <c r="DK163" s="461">
        <f t="shared" si="286"/>
        <v>0</v>
      </c>
      <c r="DL163" s="582">
        <f t="shared" si="287"/>
        <v>0</v>
      </c>
      <c r="DM163" s="113">
        <f t="shared" si="288"/>
        <v>0</v>
      </c>
      <c r="DN163" s="113">
        <f t="shared" si="289"/>
        <v>0</v>
      </c>
      <c r="DO163" s="113">
        <f t="shared" si="290"/>
        <v>0</v>
      </c>
      <c r="DP163" s="460">
        <f t="shared" si="291"/>
        <v>0</v>
      </c>
      <c r="DQ163" s="582">
        <f t="shared" si="292"/>
        <v>0</v>
      </c>
      <c r="DR163" s="113">
        <f t="shared" si="293"/>
        <v>0</v>
      </c>
      <c r="DS163" s="113">
        <f t="shared" si="294"/>
        <v>0</v>
      </c>
      <c r="DT163" s="113">
        <f t="shared" si="295"/>
        <v>0</v>
      </c>
      <c r="DU163" s="459">
        <f t="shared" si="296"/>
        <v>0</v>
      </c>
      <c r="DW163" s="461">
        <f t="shared" si="170"/>
        <v>154</v>
      </c>
      <c r="DX163" s="582">
        <f t="shared" si="170"/>
        <v>73</v>
      </c>
      <c r="DY163" s="113">
        <f t="shared" si="170"/>
        <v>61</v>
      </c>
      <c r="DZ163" s="113">
        <f t="shared" si="170"/>
        <v>0</v>
      </c>
      <c r="EA163" s="113">
        <f t="shared" si="170"/>
        <v>12</v>
      </c>
      <c r="EB163" s="460">
        <f t="shared" si="170"/>
        <v>0</v>
      </c>
      <c r="EC163" s="582">
        <f t="shared" si="170"/>
        <v>81</v>
      </c>
      <c r="ED163" s="113">
        <f t="shared" si="170"/>
        <v>70</v>
      </c>
      <c r="EE163" s="113">
        <f t="shared" si="170"/>
        <v>0</v>
      </c>
      <c r="EF163" s="113">
        <f t="shared" si="170"/>
        <v>4</v>
      </c>
      <c r="EG163" s="459">
        <f t="shared" si="170"/>
        <v>7</v>
      </c>
      <c r="EH163" s="461">
        <f t="shared" si="135"/>
        <v>43.999999999999993</v>
      </c>
      <c r="EI163" s="582">
        <f t="shared" si="135"/>
        <v>19</v>
      </c>
      <c r="EJ163" s="113">
        <f t="shared" si="135"/>
        <v>13.999999999999998</v>
      </c>
      <c r="EK163" s="113">
        <f t="shared" si="135"/>
        <v>0</v>
      </c>
      <c r="EL163" s="113">
        <f t="shared" si="135"/>
        <v>4.9999999999999991</v>
      </c>
      <c r="EM163" s="460">
        <f t="shared" si="135"/>
        <v>0</v>
      </c>
      <c r="EN163" s="582">
        <f t="shared" si="135"/>
        <v>25.000000000000004</v>
      </c>
      <c r="EO163" s="113">
        <f t="shared" si="135"/>
        <v>21</v>
      </c>
      <c r="EP163" s="113">
        <f t="shared" si="141"/>
        <v>0</v>
      </c>
      <c r="EQ163" s="113">
        <f t="shared" si="141"/>
        <v>1.9999999999999998</v>
      </c>
      <c r="ER163" s="459">
        <f t="shared" si="141"/>
        <v>1.9999999999999998</v>
      </c>
    </row>
    <row r="164" spans="1:148">
      <c r="A164" s="665" t="s">
        <v>402</v>
      </c>
      <c r="B164" s="665">
        <v>43009</v>
      </c>
      <c r="C164" s="666">
        <v>2017</v>
      </c>
      <c r="D164" s="461">
        <f t="shared" ref="D164" si="303">D53/3+D163</f>
        <v>681717</v>
      </c>
      <c r="E164" s="461">
        <f t="shared" si="176"/>
        <v>6418.0000000000009</v>
      </c>
      <c r="F164" s="582">
        <f t="shared" si="177"/>
        <v>2772.333333333333</v>
      </c>
      <c r="G164" s="113">
        <f t="shared" si="178"/>
        <v>1979.9999999999998</v>
      </c>
      <c r="H164" s="113">
        <f t="shared" si="179"/>
        <v>0</v>
      </c>
      <c r="I164" s="113">
        <f t="shared" si="180"/>
        <v>792.33333333333348</v>
      </c>
      <c r="J164" s="460">
        <f t="shared" si="181"/>
        <v>0</v>
      </c>
      <c r="K164" s="582">
        <f t="shared" si="182"/>
        <v>3645.6666666666665</v>
      </c>
      <c r="L164" s="113">
        <f t="shared" si="183"/>
        <v>2918.3333333333335</v>
      </c>
      <c r="M164" s="113">
        <f t="shared" si="184"/>
        <v>0</v>
      </c>
      <c r="N164" s="113">
        <f t="shared" si="185"/>
        <v>371.33333333333337</v>
      </c>
      <c r="O164" s="459">
        <f t="shared" si="186"/>
        <v>356</v>
      </c>
      <c r="P164" s="461">
        <f t="shared" si="187"/>
        <v>8.6666666666666661</v>
      </c>
      <c r="Q164" s="582">
        <f t="shared" si="188"/>
        <v>2.333333333333333</v>
      </c>
      <c r="R164" s="113">
        <f t="shared" si="189"/>
        <v>2.333333333333333</v>
      </c>
      <c r="S164" s="113">
        <f t="shared" si="190"/>
        <v>0</v>
      </c>
      <c r="T164" s="113">
        <f t="shared" si="191"/>
        <v>0</v>
      </c>
      <c r="U164" s="460">
        <f t="shared" si="192"/>
        <v>0</v>
      </c>
      <c r="V164" s="582">
        <f t="shared" si="193"/>
        <v>6.333333333333333</v>
      </c>
      <c r="W164" s="113">
        <f t="shared" si="194"/>
        <v>5.333333333333333</v>
      </c>
      <c r="X164" s="113">
        <f t="shared" si="195"/>
        <v>0</v>
      </c>
      <c r="Y164" s="113">
        <f t="shared" si="196"/>
        <v>1</v>
      </c>
      <c r="Z164" s="459">
        <f t="shared" si="197"/>
        <v>0</v>
      </c>
      <c r="AA164" s="461">
        <f t="shared" si="198"/>
        <v>9.3333333333333321</v>
      </c>
      <c r="AB164" s="582">
        <f t="shared" si="199"/>
        <v>2</v>
      </c>
      <c r="AC164" s="113">
        <f t="shared" si="200"/>
        <v>2</v>
      </c>
      <c r="AD164" s="113">
        <f t="shared" si="201"/>
        <v>0</v>
      </c>
      <c r="AE164" s="113">
        <f t="shared" si="202"/>
        <v>0</v>
      </c>
      <c r="AF164" s="460">
        <f t="shared" si="203"/>
        <v>0</v>
      </c>
      <c r="AG164" s="582">
        <f t="shared" si="204"/>
        <v>7.3333333333333339</v>
      </c>
      <c r="AH164" s="113">
        <f t="shared" si="205"/>
        <v>7.3333333333333339</v>
      </c>
      <c r="AI164" s="113">
        <f t="shared" si="206"/>
        <v>0</v>
      </c>
      <c r="AJ164" s="113">
        <f t="shared" si="207"/>
        <v>0</v>
      </c>
      <c r="AK164" s="459">
        <f t="shared" si="208"/>
        <v>0</v>
      </c>
      <c r="AL164" s="461">
        <f t="shared" si="209"/>
        <v>52.999999999999993</v>
      </c>
      <c r="AM164" s="582">
        <f t="shared" si="210"/>
        <v>22.666666666666668</v>
      </c>
      <c r="AN164" s="113">
        <f t="shared" si="211"/>
        <v>15.999999999999998</v>
      </c>
      <c r="AO164" s="113">
        <f t="shared" si="212"/>
        <v>0</v>
      </c>
      <c r="AP164" s="113">
        <f t="shared" si="213"/>
        <v>6.6666666666666661</v>
      </c>
      <c r="AQ164" s="460">
        <f t="shared" si="214"/>
        <v>0</v>
      </c>
      <c r="AR164" s="582">
        <f t="shared" si="215"/>
        <v>30.333333333333336</v>
      </c>
      <c r="AS164" s="113">
        <f t="shared" si="216"/>
        <v>24</v>
      </c>
      <c r="AT164" s="113">
        <f t="shared" si="217"/>
        <v>0</v>
      </c>
      <c r="AU164" s="113">
        <f t="shared" si="218"/>
        <v>1.9999999999999998</v>
      </c>
      <c r="AV164" s="459">
        <f t="shared" si="219"/>
        <v>4.333333333333333</v>
      </c>
      <c r="AW164" s="461">
        <f t="shared" si="220"/>
        <v>29.000000000000004</v>
      </c>
      <c r="AX164" s="582">
        <f t="shared" si="221"/>
        <v>10.666666666666666</v>
      </c>
      <c r="AY164" s="113">
        <f t="shared" si="222"/>
        <v>8.6666666666666661</v>
      </c>
      <c r="AZ164" s="113">
        <f t="shared" si="223"/>
        <v>0</v>
      </c>
      <c r="BA164" s="113">
        <f t="shared" si="224"/>
        <v>1.9999999999999998</v>
      </c>
      <c r="BB164" s="460">
        <f t="shared" si="225"/>
        <v>0</v>
      </c>
      <c r="BC164" s="582">
        <f t="shared" si="226"/>
        <v>18.333333333333332</v>
      </c>
      <c r="BD164" s="113">
        <f t="shared" si="227"/>
        <v>16</v>
      </c>
      <c r="BE164" s="113">
        <f t="shared" si="228"/>
        <v>0</v>
      </c>
      <c r="BF164" s="113">
        <f t="shared" si="229"/>
        <v>1</v>
      </c>
      <c r="BG164" s="459">
        <f t="shared" si="230"/>
        <v>1.3333333333333333</v>
      </c>
      <c r="BH164" s="461">
        <f t="shared" si="231"/>
        <v>40.666666666666664</v>
      </c>
      <c r="BI164" s="582">
        <f t="shared" si="232"/>
        <v>20</v>
      </c>
      <c r="BJ164" s="113">
        <f t="shared" si="233"/>
        <v>17.333333333333332</v>
      </c>
      <c r="BK164" s="113">
        <f t="shared" si="234"/>
        <v>0</v>
      </c>
      <c r="BL164" s="113">
        <f t="shared" si="235"/>
        <v>2.6666666666666665</v>
      </c>
      <c r="BM164" s="460">
        <f t="shared" si="236"/>
        <v>0</v>
      </c>
      <c r="BN164" s="582">
        <f t="shared" si="237"/>
        <v>20.666666666666668</v>
      </c>
      <c r="BO164" s="113">
        <f t="shared" si="238"/>
        <v>17</v>
      </c>
      <c r="BP164" s="113">
        <f t="shared" si="239"/>
        <v>0</v>
      </c>
      <c r="BQ164" s="113">
        <f t="shared" si="240"/>
        <v>0.33333333333333331</v>
      </c>
      <c r="BR164" s="459">
        <f t="shared" si="241"/>
        <v>3.3333333333333335</v>
      </c>
      <c r="BS164" s="461">
        <f t="shared" si="242"/>
        <v>55.333333333333343</v>
      </c>
      <c r="BT164" s="582">
        <f t="shared" si="243"/>
        <v>29.666666666666671</v>
      </c>
      <c r="BU164" s="113">
        <f t="shared" si="244"/>
        <v>25.999999999999996</v>
      </c>
      <c r="BV164" s="113">
        <f t="shared" si="245"/>
        <v>0</v>
      </c>
      <c r="BW164" s="113">
        <f t="shared" si="246"/>
        <v>3.6666666666666665</v>
      </c>
      <c r="BX164" s="460">
        <f t="shared" si="247"/>
        <v>0</v>
      </c>
      <c r="BY164" s="582">
        <f t="shared" si="248"/>
        <v>25.666666666666668</v>
      </c>
      <c r="BZ164" s="113">
        <f t="shared" si="249"/>
        <v>22</v>
      </c>
      <c r="CA164" s="113">
        <f t="shared" si="250"/>
        <v>0</v>
      </c>
      <c r="CB164" s="113">
        <f t="shared" si="251"/>
        <v>1.3333333333333333</v>
      </c>
      <c r="CC164" s="459">
        <f t="shared" si="252"/>
        <v>2.3333333333333335</v>
      </c>
      <c r="CD164" s="461">
        <f t="shared" si="253"/>
        <v>23.333333333333329</v>
      </c>
      <c r="CE164" s="582">
        <f t="shared" si="254"/>
        <v>12.666666666666668</v>
      </c>
      <c r="CF164" s="113">
        <f t="shared" si="255"/>
        <v>8.3333333333333339</v>
      </c>
      <c r="CG164" s="113">
        <f t="shared" si="256"/>
        <v>0</v>
      </c>
      <c r="CH164" s="113">
        <f t="shared" si="257"/>
        <v>4.333333333333333</v>
      </c>
      <c r="CI164" s="460">
        <f t="shared" si="258"/>
        <v>0</v>
      </c>
      <c r="CJ164" s="582">
        <f t="shared" si="259"/>
        <v>10.666666666666666</v>
      </c>
      <c r="CK164" s="113">
        <f t="shared" si="260"/>
        <v>8.3333333333333321</v>
      </c>
      <c r="CL164" s="113">
        <f t="shared" si="261"/>
        <v>0</v>
      </c>
      <c r="CM164" s="113">
        <f t="shared" si="262"/>
        <v>1</v>
      </c>
      <c r="CN164" s="459">
        <f t="shared" si="263"/>
        <v>1.3333333333333333</v>
      </c>
      <c r="CO164" s="461">
        <f t="shared" si="264"/>
        <v>7.0000000000000009</v>
      </c>
      <c r="CP164" s="582">
        <f t="shared" si="265"/>
        <v>3.0000000000000004</v>
      </c>
      <c r="CQ164" s="113">
        <f t="shared" si="266"/>
        <v>3.0000000000000004</v>
      </c>
      <c r="CR164" s="113">
        <f t="shared" si="267"/>
        <v>0</v>
      </c>
      <c r="CS164" s="113">
        <f t="shared" si="268"/>
        <v>0</v>
      </c>
      <c r="CT164" s="460">
        <f t="shared" si="269"/>
        <v>0</v>
      </c>
      <c r="CU164" s="582">
        <f t="shared" si="270"/>
        <v>4</v>
      </c>
      <c r="CV164" s="113">
        <f t="shared" si="271"/>
        <v>4</v>
      </c>
      <c r="CW164" s="113">
        <f t="shared" si="272"/>
        <v>0</v>
      </c>
      <c r="CX164" s="113">
        <f t="shared" si="273"/>
        <v>0</v>
      </c>
      <c r="CY164" s="459">
        <f t="shared" si="274"/>
        <v>0</v>
      </c>
      <c r="CZ164" s="461">
        <f t="shared" si="275"/>
        <v>3.6666666666666665</v>
      </c>
      <c r="DA164" s="582">
        <f t="shared" si="276"/>
        <v>1</v>
      </c>
      <c r="DB164" s="113">
        <f t="shared" si="277"/>
        <v>0</v>
      </c>
      <c r="DC164" s="113">
        <f t="shared" si="278"/>
        <v>0</v>
      </c>
      <c r="DD164" s="113">
        <f t="shared" si="279"/>
        <v>1</v>
      </c>
      <c r="DE164" s="460">
        <f t="shared" si="280"/>
        <v>0</v>
      </c>
      <c r="DF164" s="582">
        <f t="shared" si="281"/>
        <v>2.666666666666667</v>
      </c>
      <c r="DG164" s="113">
        <f t="shared" si="282"/>
        <v>2.666666666666667</v>
      </c>
      <c r="DH164" s="113">
        <f t="shared" si="283"/>
        <v>0</v>
      </c>
      <c r="DI164" s="113">
        <f t="shared" si="284"/>
        <v>0</v>
      </c>
      <c r="DJ164" s="459">
        <f t="shared" si="285"/>
        <v>0</v>
      </c>
      <c r="DK164" s="461">
        <f t="shared" si="286"/>
        <v>0</v>
      </c>
      <c r="DL164" s="582">
        <f t="shared" si="287"/>
        <v>0</v>
      </c>
      <c r="DM164" s="113">
        <f t="shared" si="288"/>
        <v>0</v>
      </c>
      <c r="DN164" s="113">
        <f t="shared" si="289"/>
        <v>0</v>
      </c>
      <c r="DO164" s="113">
        <f t="shared" si="290"/>
        <v>0</v>
      </c>
      <c r="DP164" s="460">
        <f t="shared" si="291"/>
        <v>0</v>
      </c>
      <c r="DQ164" s="582">
        <f t="shared" si="292"/>
        <v>0</v>
      </c>
      <c r="DR164" s="113">
        <f t="shared" si="293"/>
        <v>0</v>
      </c>
      <c r="DS164" s="113">
        <f t="shared" si="294"/>
        <v>0</v>
      </c>
      <c r="DT164" s="113">
        <f t="shared" si="295"/>
        <v>0</v>
      </c>
      <c r="DU164" s="459">
        <f t="shared" si="296"/>
        <v>0</v>
      </c>
      <c r="DW164" s="461">
        <f t="shared" si="170"/>
        <v>176.99999999999997</v>
      </c>
      <c r="DX164" s="582">
        <f t="shared" si="170"/>
        <v>81.333333333333343</v>
      </c>
      <c r="DY164" s="113">
        <f t="shared" si="170"/>
        <v>67.666666666666657</v>
      </c>
      <c r="DZ164" s="113">
        <f t="shared" si="170"/>
        <v>0</v>
      </c>
      <c r="EA164" s="113">
        <f t="shared" si="170"/>
        <v>13.666666666666664</v>
      </c>
      <c r="EB164" s="460">
        <f t="shared" si="170"/>
        <v>0</v>
      </c>
      <c r="EC164" s="582">
        <f t="shared" si="170"/>
        <v>95.666666666666686</v>
      </c>
      <c r="ED164" s="113">
        <f t="shared" si="170"/>
        <v>82.666666666666671</v>
      </c>
      <c r="EE164" s="113">
        <f t="shared" si="170"/>
        <v>0</v>
      </c>
      <c r="EF164" s="113">
        <f t="shared" si="170"/>
        <v>4.666666666666667</v>
      </c>
      <c r="EG164" s="459">
        <f t="shared" si="170"/>
        <v>8.3333333333333339</v>
      </c>
      <c r="EH164" s="461">
        <f t="shared" si="135"/>
        <v>52.999999999999993</v>
      </c>
      <c r="EI164" s="582">
        <f t="shared" si="135"/>
        <v>22.666666666666668</v>
      </c>
      <c r="EJ164" s="113">
        <f t="shared" si="135"/>
        <v>15.999999999999998</v>
      </c>
      <c r="EK164" s="113">
        <f t="shared" si="135"/>
        <v>0</v>
      </c>
      <c r="EL164" s="113">
        <f t="shared" si="135"/>
        <v>6.6666666666666661</v>
      </c>
      <c r="EM164" s="460">
        <f t="shared" si="135"/>
        <v>0</v>
      </c>
      <c r="EN164" s="582">
        <f t="shared" si="135"/>
        <v>30.333333333333336</v>
      </c>
      <c r="EO164" s="113">
        <f t="shared" si="135"/>
        <v>24</v>
      </c>
      <c r="EP164" s="113">
        <f t="shared" si="141"/>
        <v>0</v>
      </c>
      <c r="EQ164" s="113">
        <f t="shared" si="141"/>
        <v>1.9999999999999998</v>
      </c>
      <c r="ER164" s="459">
        <f t="shared" si="141"/>
        <v>4.333333333333333</v>
      </c>
    </row>
    <row r="165" spans="1:148">
      <c r="A165" s="665" t="s">
        <v>402</v>
      </c>
      <c r="B165" s="665">
        <v>43040</v>
      </c>
      <c r="C165" s="666">
        <v>2017</v>
      </c>
      <c r="D165" s="461">
        <f t="shared" ref="D165" si="304">D54/3+D164</f>
        <v>741556</v>
      </c>
      <c r="E165" s="461">
        <f t="shared" si="176"/>
        <v>7298.0000000000009</v>
      </c>
      <c r="F165" s="582">
        <f t="shared" si="177"/>
        <v>3167.6666666666665</v>
      </c>
      <c r="G165" s="113">
        <f t="shared" si="178"/>
        <v>2256</v>
      </c>
      <c r="H165" s="113">
        <f t="shared" si="179"/>
        <v>0</v>
      </c>
      <c r="I165" s="113">
        <f t="shared" si="180"/>
        <v>911.66666666666686</v>
      </c>
      <c r="J165" s="460">
        <f t="shared" si="181"/>
        <v>0</v>
      </c>
      <c r="K165" s="582">
        <f t="shared" si="182"/>
        <v>4130.333333333333</v>
      </c>
      <c r="L165" s="113">
        <f t="shared" si="183"/>
        <v>3287.666666666667</v>
      </c>
      <c r="M165" s="113">
        <f t="shared" si="184"/>
        <v>0</v>
      </c>
      <c r="N165" s="113">
        <f t="shared" si="185"/>
        <v>403.66666666666669</v>
      </c>
      <c r="O165" s="459">
        <f t="shared" si="186"/>
        <v>439</v>
      </c>
      <c r="P165" s="461">
        <f t="shared" si="187"/>
        <v>9.3333333333333321</v>
      </c>
      <c r="Q165" s="582">
        <f t="shared" si="188"/>
        <v>2.6666666666666665</v>
      </c>
      <c r="R165" s="113">
        <f t="shared" si="189"/>
        <v>2.6666666666666665</v>
      </c>
      <c r="S165" s="113">
        <f t="shared" si="190"/>
        <v>0</v>
      </c>
      <c r="T165" s="113">
        <f t="shared" si="191"/>
        <v>0</v>
      </c>
      <c r="U165" s="460">
        <f t="shared" si="192"/>
        <v>0</v>
      </c>
      <c r="V165" s="582">
        <f t="shared" si="193"/>
        <v>6.6666666666666661</v>
      </c>
      <c r="W165" s="113">
        <f t="shared" si="194"/>
        <v>5.6666666666666661</v>
      </c>
      <c r="X165" s="113">
        <f t="shared" si="195"/>
        <v>0</v>
      </c>
      <c r="Y165" s="113">
        <f t="shared" si="196"/>
        <v>1</v>
      </c>
      <c r="Z165" s="459">
        <f t="shared" si="197"/>
        <v>0</v>
      </c>
      <c r="AA165" s="461">
        <f t="shared" si="198"/>
        <v>10.666666666666666</v>
      </c>
      <c r="AB165" s="582">
        <f t="shared" si="199"/>
        <v>2</v>
      </c>
      <c r="AC165" s="113">
        <f t="shared" si="200"/>
        <v>2</v>
      </c>
      <c r="AD165" s="113">
        <f t="shared" si="201"/>
        <v>0</v>
      </c>
      <c r="AE165" s="113">
        <f t="shared" si="202"/>
        <v>0</v>
      </c>
      <c r="AF165" s="460">
        <f t="shared" si="203"/>
        <v>0</v>
      </c>
      <c r="AG165" s="582">
        <f t="shared" si="204"/>
        <v>8.6666666666666679</v>
      </c>
      <c r="AH165" s="113">
        <f t="shared" si="205"/>
        <v>8.6666666666666679</v>
      </c>
      <c r="AI165" s="113">
        <f t="shared" si="206"/>
        <v>0</v>
      </c>
      <c r="AJ165" s="113">
        <f t="shared" si="207"/>
        <v>0</v>
      </c>
      <c r="AK165" s="459">
        <f t="shared" si="208"/>
        <v>0</v>
      </c>
      <c r="AL165" s="461">
        <f t="shared" si="209"/>
        <v>61.999999999999993</v>
      </c>
      <c r="AM165" s="582">
        <f t="shared" si="210"/>
        <v>26.333333333333336</v>
      </c>
      <c r="AN165" s="113">
        <f t="shared" si="211"/>
        <v>18</v>
      </c>
      <c r="AO165" s="113">
        <f t="shared" si="212"/>
        <v>0</v>
      </c>
      <c r="AP165" s="113">
        <f t="shared" si="213"/>
        <v>8.3333333333333321</v>
      </c>
      <c r="AQ165" s="460">
        <f t="shared" si="214"/>
        <v>0</v>
      </c>
      <c r="AR165" s="582">
        <f t="shared" si="215"/>
        <v>35.666666666666671</v>
      </c>
      <c r="AS165" s="113">
        <f t="shared" si="216"/>
        <v>27</v>
      </c>
      <c r="AT165" s="113">
        <f t="shared" si="217"/>
        <v>0</v>
      </c>
      <c r="AU165" s="113">
        <f t="shared" si="218"/>
        <v>1.9999999999999998</v>
      </c>
      <c r="AV165" s="459">
        <f t="shared" si="219"/>
        <v>6.6666666666666661</v>
      </c>
      <c r="AW165" s="461">
        <f t="shared" si="220"/>
        <v>34</v>
      </c>
      <c r="AX165" s="582">
        <f t="shared" si="221"/>
        <v>12.333333333333332</v>
      </c>
      <c r="AY165" s="113">
        <f t="shared" si="222"/>
        <v>10.333333333333332</v>
      </c>
      <c r="AZ165" s="113">
        <f t="shared" si="223"/>
        <v>0</v>
      </c>
      <c r="BA165" s="113">
        <f t="shared" si="224"/>
        <v>1.9999999999999998</v>
      </c>
      <c r="BB165" s="460">
        <f t="shared" si="225"/>
        <v>0</v>
      </c>
      <c r="BC165" s="582">
        <f t="shared" si="226"/>
        <v>21.666666666666664</v>
      </c>
      <c r="BD165" s="113">
        <f t="shared" si="227"/>
        <v>19</v>
      </c>
      <c r="BE165" s="113">
        <f t="shared" si="228"/>
        <v>0</v>
      </c>
      <c r="BF165" s="113">
        <f t="shared" si="229"/>
        <v>1</v>
      </c>
      <c r="BG165" s="459">
        <f t="shared" si="230"/>
        <v>1.6666666666666665</v>
      </c>
      <c r="BH165" s="461">
        <f t="shared" si="231"/>
        <v>45.333333333333329</v>
      </c>
      <c r="BI165" s="582">
        <f t="shared" si="232"/>
        <v>22</v>
      </c>
      <c r="BJ165" s="113">
        <f t="shared" si="233"/>
        <v>18.666666666666664</v>
      </c>
      <c r="BK165" s="113">
        <f t="shared" si="234"/>
        <v>0</v>
      </c>
      <c r="BL165" s="113">
        <f t="shared" si="235"/>
        <v>3.333333333333333</v>
      </c>
      <c r="BM165" s="460">
        <f t="shared" si="236"/>
        <v>0</v>
      </c>
      <c r="BN165" s="582">
        <f t="shared" si="237"/>
        <v>23.333333333333336</v>
      </c>
      <c r="BO165" s="113">
        <f t="shared" si="238"/>
        <v>19</v>
      </c>
      <c r="BP165" s="113">
        <f t="shared" si="239"/>
        <v>0</v>
      </c>
      <c r="BQ165" s="113">
        <f t="shared" si="240"/>
        <v>0.66666666666666663</v>
      </c>
      <c r="BR165" s="459">
        <f t="shared" si="241"/>
        <v>3.666666666666667</v>
      </c>
      <c r="BS165" s="461">
        <f t="shared" si="242"/>
        <v>62.666666666666679</v>
      </c>
      <c r="BT165" s="582">
        <f t="shared" si="243"/>
        <v>33.333333333333336</v>
      </c>
      <c r="BU165" s="113">
        <f t="shared" si="244"/>
        <v>28.999999999999996</v>
      </c>
      <c r="BV165" s="113">
        <f t="shared" si="245"/>
        <v>0</v>
      </c>
      <c r="BW165" s="113">
        <f t="shared" si="246"/>
        <v>4.333333333333333</v>
      </c>
      <c r="BX165" s="460">
        <f t="shared" si="247"/>
        <v>0</v>
      </c>
      <c r="BY165" s="582">
        <f t="shared" si="248"/>
        <v>29.333333333333336</v>
      </c>
      <c r="BZ165" s="113">
        <f t="shared" si="249"/>
        <v>25</v>
      </c>
      <c r="CA165" s="113">
        <f t="shared" si="250"/>
        <v>0</v>
      </c>
      <c r="CB165" s="113">
        <f t="shared" si="251"/>
        <v>1.6666666666666665</v>
      </c>
      <c r="CC165" s="459">
        <f t="shared" si="252"/>
        <v>2.666666666666667</v>
      </c>
      <c r="CD165" s="461">
        <f t="shared" si="253"/>
        <v>24.666666666666661</v>
      </c>
      <c r="CE165" s="582">
        <f t="shared" si="254"/>
        <v>13.333333333333334</v>
      </c>
      <c r="CF165" s="113">
        <f t="shared" si="255"/>
        <v>8.6666666666666679</v>
      </c>
      <c r="CG165" s="113">
        <f t="shared" si="256"/>
        <v>0</v>
      </c>
      <c r="CH165" s="113">
        <f t="shared" si="257"/>
        <v>4.6666666666666661</v>
      </c>
      <c r="CI165" s="460">
        <f t="shared" si="258"/>
        <v>0</v>
      </c>
      <c r="CJ165" s="582">
        <f t="shared" si="259"/>
        <v>11.333333333333332</v>
      </c>
      <c r="CK165" s="113">
        <f t="shared" si="260"/>
        <v>8.6666666666666661</v>
      </c>
      <c r="CL165" s="113">
        <f t="shared" si="261"/>
        <v>0</v>
      </c>
      <c r="CM165" s="113">
        <f t="shared" si="262"/>
        <v>1</v>
      </c>
      <c r="CN165" s="459">
        <f t="shared" si="263"/>
        <v>1.6666666666666665</v>
      </c>
      <c r="CO165" s="461">
        <f t="shared" si="264"/>
        <v>8</v>
      </c>
      <c r="CP165" s="582">
        <f t="shared" si="265"/>
        <v>3.0000000000000004</v>
      </c>
      <c r="CQ165" s="113">
        <f t="shared" si="266"/>
        <v>3.0000000000000004</v>
      </c>
      <c r="CR165" s="113">
        <f t="shared" si="267"/>
        <v>0</v>
      </c>
      <c r="CS165" s="113">
        <f t="shared" si="268"/>
        <v>0</v>
      </c>
      <c r="CT165" s="460">
        <f t="shared" si="269"/>
        <v>0</v>
      </c>
      <c r="CU165" s="582">
        <f t="shared" si="270"/>
        <v>5</v>
      </c>
      <c r="CV165" s="113">
        <f t="shared" si="271"/>
        <v>5</v>
      </c>
      <c r="CW165" s="113">
        <f t="shared" si="272"/>
        <v>0</v>
      </c>
      <c r="CX165" s="113">
        <f t="shared" si="273"/>
        <v>0</v>
      </c>
      <c r="CY165" s="459">
        <f t="shared" si="274"/>
        <v>0</v>
      </c>
      <c r="CZ165" s="461">
        <f t="shared" si="275"/>
        <v>5.333333333333333</v>
      </c>
      <c r="DA165" s="582">
        <f t="shared" si="276"/>
        <v>1</v>
      </c>
      <c r="DB165" s="113">
        <f t="shared" si="277"/>
        <v>0</v>
      </c>
      <c r="DC165" s="113">
        <f t="shared" si="278"/>
        <v>0</v>
      </c>
      <c r="DD165" s="113">
        <f t="shared" si="279"/>
        <v>1</v>
      </c>
      <c r="DE165" s="460">
        <f t="shared" si="280"/>
        <v>0</v>
      </c>
      <c r="DF165" s="582">
        <f t="shared" si="281"/>
        <v>4.3333333333333339</v>
      </c>
      <c r="DG165" s="113">
        <f t="shared" si="282"/>
        <v>4.3333333333333339</v>
      </c>
      <c r="DH165" s="113">
        <f t="shared" si="283"/>
        <v>0</v>
      </c>
      <c r="DI165" s="113">
        <f t="shared" si="284"/>
        <v>0</v>
      </c>
      <c r="DJ165" s="459">
        <f t="shared" si="285"/>
        <v>0</v>
      </c>
      <c r="DK165" s="461">
        <f t="shared" si="286"/>
        <v>0</v>
      </c>
      <c r="DL165" s="582">
        <f t="shared" si="287"/>
        <v>0</v>
      </c>
      <c r="DM165" s="113">
        <f t="shared" si="288"/>
        <v>0</v>
      </c>
      <c r="DN165" s="113">
        <f t="shared" si="289"/>
        <v>0</v>
      </c>
      <c r="DO165" s="113">
        <f t="shared" si="290"/>
        <v>0</v>
      </c>
      <c r="DP165" s="460">
        <f t="shared" si="291"/>
        <v>0</v>
      </c>
      <c r="DQ165" s="582">
        <f t="shared" si="292"/>
        <v>0</v>
      </c>
      <c r="DR165" s="113">
        <f t="shared" si="293"/>
        <v>0</v>
      </c>
      <c r="DS165" s="113">
        <f t="shared" si="294"/>
        <v>0</v>
      </c>
      <c r="DT165" s="113">
        <f t="shared" si="295"/>
        <v>0</v>
      </c>
      <c r="DU165" s="459">
        <f t="shared" si="296"/>
        <v>0</v>
      </c>
      <c r="DW165" s="461">
        <f t="shared" si="170"/>
        <v>200</v>
      </c>
      <c r="DX165" s="582">
        <f t="shared" si="170"/>
        <v>89.666666666666671</v>
      </c>
      <c r="DY165" s="113">
        <f t="shared" si="170"/>
        <v>74.333333333333329</v>
      </c>
      <c r="DZ165" s="113">
        <f t="shared" si="170"/>
        <v>0</v>
      </c>
      <c r="EA165" s="113">
        <f t="shared" si="170"/>
        <v>15.333333333333332</v>
      </c>
      <c r="EB165" s="460">
        <f t="shared" si="170"/>
        <v>0</v>
      </c>
      <c r="EC165" s="582">
        <f t="shared" si="170"/>
        <v>110.33333333333333</v>
      </c>
      <c r="ED165" s="113">
        <f t="shared" si="170"/>
        <v>95.333333333333343</v>
      </c>
      <c r="EE165" s="113">
        <f t="shared" si="170"/>
        <v>0</v>
      </c>
      <c r="EF165" s="113">
        <f t="shared" si="170"/>
        <v>5.333333333333333</v>
      </c>
      <c r="EG165" s="459">
        <f t="shared" si="170"/>
        <v>9.6666666666666661</v>
      </c>
      <c r="EH165" s="461">
        <f t="shared" si="135"/>
        <v>61.999999999999993</v>
      </c>
      <c r="EI165" s="582">
        <f t="shared" si="135"/>
        <v>26.333333333333336</v>
      </c>
      <c r="EJ165" s="113">
        <f t="shared" si="135"/>
        <v>18</v>
      </c>
      <c r="EK165" s="113">
        <f t="shared" si="135"/>
        <v>0</v>
      </c>
      <c r="EL165" s="113">
        <f t="shared" si="135"/>
        <v>8.3333333333333321</v>
      </c>
      <c r="EM165" s="460">
        <f t="shared" si="135"/>
        <v>0</v>
      </c>
      <c r="EN165" s="582">
        <f t="shared" si="135"/>
        <v>35.666666666666671</v>
      </c>
      <c r="EO165" s="113">
        <f t="shared" si="135"/>
        <v>27</v>
      </c>
      <c r="EP165" s="113">
        <f t="shared" si="141"/>
        <v>0</v>
      </c>
      <c r="EQ165" s="113">
        <f t="shared" si="141"/>
        <v>1.9999999999999998</v>
      </c>
      <c r="ER165" s="459">
        <f t="shared" si="141"/>
        <v>6.6666666666666661</v>
      </c>
    </row>
    <row r="166" spans="1:148">
      <c r="A166" s="665" t="s">
        <v>402</v>
      </c>
      <c r="B166" s="665">
        <v>43070</v>
      </c>
      <c r="C166" s="666">
        <v>2017</v>
      </c>
      <c r="D166" s="461">
        <f t="shared" ref="D166" si="305">D55/3+D165</f>
        <v>801395</v>
      </c>
      <c r="E166" s="461">
        <f t="shared" si="176"/>
        <v>8178.0000000000009</v>
      </c>
      <c r="F166" s="582">
        <f t="shared" si="177"/>
        <v>3563</v>
      </c>
      <c r="G166" s="113">
        <f t="shared" si="178"/>
        <v>2532</v>
      </c>
      <c r="H166" s="113">
        <f t="shared" si="179"/>
        <v>0</v>
      </c>
      <c r="I166" s="113">
        <f t="shared" si="180"/>
        <v>1031.0000000000002</v>
      </c>
      <c r="J166" s="460">
        <f t="shared" si="181"/>
        <v>0</v>
      </c>
      <c r="K166" s="582">
        <f t="shared" si="182"/>
        <v>4615</v>
      </c>
      <c r="L166" s="113">
        <f t="shared" si="183"/>
        <v>3657.0000000000005</v>
      </c>
      <c r="M166" s="113">
        <f t="shared" si="184"/>
        <v>0</v>
      </c>
      <c r="N166" s="113">
        <f t="shared" si="185"/>
        <v>436</v>
      </c>
      <c r="O166" s="459">
        <f t="shared" si="186"/>
        <v>522</v>
      </c>
      <c r="P166" s="461">
        <f t="shared" si="187"/>
        <v>9.9999999999999982</v>
      </c>
      <c r="Q166" s="582">
        <f t="shared" si="188"/>
        <v>3</v>
      </c>
      <c r="R166" s="113">
        <f t="shared" si="189"/>
        <v>3</v>
      </c>
      <c r="S166" s="113">
        <f t="shared" si="190"/>
        <v>0</v>
      </c>
      <c r="T166" s="113">
        <f t="shared" si="191"/>
        <v>0</v>
      </c>
      <c r="U166" s="460">
        <f t="shared" si="192"/>
        <v>0</v>
      </c>
      <c r="V166" s="582">
        <f t="shared" si="193"/>
        <v>6.9999999999999991</v>
      </c>
      <c r="W166" s="113">
        <f t="shared" si="194"/>
        <v>5.9999999999999991</v>
      </c>
      <c r="X166" s="113">
        <f t="shared" si="195"/>
        <v>0</v>
      </c>
      <c r="Y166" s="113">
        <f t="shared" si="196"/>
        <v>1</v>
      </c>
      <c r="Z166" s="459">
        <f t="shared" si="197"/>
        <v>0</v>
      </c>
      <c r="AA166" s="461">
        <f t="shared" si="198"/>
        <v>12</v>
      </c>
      <c r="AB166" s="582">
        <f t="shared" si="199"/>
        <v>2</v>
      </c>
      <c r="AC166" s="113">
        <f t="shared" si="200"/>
        <v>2</v>
      </c>
      <c r="AD166" s="113">
        <f t="shared" si="201"/>
        <v>0</v>
      </c>
      <c r="AE166" s="113">
        <f t="shared" si="202"/>
        <v>0</v>
      </c>
      <c r="AF166" s="460">
        <f t="shared" si="203"/>
        <v>0</v>
      </c>
      <c r="AG166" s="582">
        <f t="shared" si="204"/>
        <v>10.000000000000002</v>
      </c>
      <c r="AH166" s="113">
        <f t="shared" si="205"/>
        <v>10.000000000000002</v>
      </c>
      <c r="AI166" s="113">
        <f t="shared" si="206"/>
        <v>0</v>
      </c>
      <c r="AJ166" s="113">
        <f t="shared" si="207"/>
        <v>0</v>
      </c>
      <c r="AK166" s="459">
        <f t="shared" si="208"/>
        <v>0</v>
      </c>
      <c r="AL166" s="461">
        <f t="shared" si="209"/>
        <v>71</v>
      </c>
      <c r="AM166" s="582">
        <f t="shared" si="210"/>
        <v>30.000000000000004</v>
      </c>
      <c r="AN166" s="113">
        <f t="shared" si="211"/>
        <v>20</v>
      </c>
      <c r="AO166" s="113">
        <f t="shared" si="212"/>
        <v>0</v>
      </c>
      <c r="AP166" s="113">
        <f t="shared" si="213"/>
        <v>9.9999999999999982</v>
      </c>
      <c r="AQ166" s="460">
        <f t="shared" si="214"/>
        <v>0</v>
      </c>
      <c r="AR166" s="582">
        <f t="shared" si="215"/>
        <v>41.000000000000007</v>
      </c>
      <c r="AS166" s="113">
        <f t="shared" si="216"/>
        <v>30</v>
      </c>
      <c r="AT166" s="113">
        <f t="shared" si="217"/>
        <v>0</v>
      </c>
      <c r="AU166" s="113">
        <f t="shared" si="218"/>
        <v>1.9999999999999998</v>
      </c>
      <c r="AV166" s="459">
        <f t="shared" si="219"/>
        <v>9</v>
      </c>
      <c r="AW166" s="461">
        <f t="shared" si="220"/>
        <v>39</v>
      </c>
      <c r="AX166" s="582">
        <f t="shared" si="221"/>
        <v>13.999999999999998</v>
      </c>
      <c r="AY166" s="113">
        <f t="shared" si="222"/>
        <v>11.999999999999998</v>
      </c>
      <c r="AZ166" s="113">
        <f t="shared" si="223"/>
        <v>0</v>
      </c>
      <c r="BA166" s="113">
        <f t="shared" si="224"/>
        <v>1.9999999999999998</v>
      </c>
      <c r="BB166" s="460">
        <f t="shared" si="225"/>
        <v>0</v>
      </c>
      <c r="BC166" s="582">
        <f t="shared" si="226"/>
        <v>24.999999999999996</v>
      </c>
      <c r="BD166" s="113">
        <f t="shared" si="227"/>
        <v>22</v>
      </c>
      <c r="BE166" s="113">
        <f t="shared" si="228"/>
        <v>0</v>
      </c>
      <c r="BF166" s="113">
        <f t="shared" si="229"/>
        <v>1</v>
      </c>
      <c r="BG166" s="459">
        <f t="shared" si="230"/>
        <v>1.9999999999999998</v>
      </c>
      <c r="BH166" s="461">
        <f t="shared" si="231"/>
        <v>49.999999999999993</v>
      </c>
      <c r="BI166" s="582">
        <f t="shared" si="232"/>
        <v>24</v>
      </c>
      <c r="BJ166" s="113">
        <f t="shared" si="233"/>
        <v>19.999999999999996</v>
      </c>
      <c r="BK166" s="113">
        <f t="shared" si="234"/>
        <v>0</v>
      </c>
      <c r="BL166" s="113">
        <f t="shared" si="235"/>
        <v>3.9999999999999996</v>
      </c>
      <c r="BM166" s="460">
        <f t="shared" si="236"/>
        <v>0</v>
      </c>
      <c r="BN166" s="582">
        <f t="shared" si="237"/>
        <v>26.000000000000004</v>
      </c>
      <c r="BO166" s="113">
        <f t="shared" si="238"/>
        <v>21</v>
      </c>
      <c r="BP166" s="113">
        <f t="shared" si="239"/>
        <v>0</v>
      </c>
      <c r="BQ166" s="113">
        <f t="shared" si="240"/>
        <v>1</v>
      </c>
      <c r="BR166" s="459">
        <f t="shared" si="241"/>
        <v>4</v>
      </c>
      <c r="BS166" s="461">
        <f t="shared" si="242"/>
        <v>70.000000000000014</v>
      </c>
      <c r="BT166" s="582">
        <f t="shared" si="243"/>
        <v>37</v>
      </c>
      <c r="BU166" s="113">
        <f t="shared" si="244"/>
        <v>31.999999999999996</v>
      </c>
      <c r="BV166" s="113">
        <f t="shared" si="245"/>
        <v>0</v>
      </c>
      <c r="BW166" s="113">
        <f t="shared" si="246"/>
        <v>5</v>
      </c>
      <c r="BX166" s="460">
        <f t="shared" si="247"/>
        <v>0</v>
      </c>
      <c r="BY166" s="582">
        <f t="shared" si="248"/>
        <v>33</v>
      </c>
      <c r="BZ166" s="113">
        <f t="shared" si="249"/>
        <v>28</v>
      </c>
      <c r="CA166" s="113">
        <f t="shared" si="250"/>
        <v>0</v>
      </c>
      <c r="CB166" s="113">
        <f t="shared" si="251"/>
        <v>1.9999999999999998</v>
      </c>
      <c r="CC166" s="459">
        <f t="shared" si="252"/>
        <v>3.0000000000000004</v>
      </c>
      <c r="CD166" s="461">
        <f t="shared" si="253"/>
        <v>25.999999999999993</v>
      </c>
      <c r="CE166" s="582">
        <f t="shared" si="254"/>
        <v>14</v>
      </c>
      <c r="CF166" s="113">
        <f t="shared" si="255"/>
        <v>9.0000000000000018</v>
      </c>
      <c r="CG166" s="113">
        <f t="shared" si="256"/>
        <v>0</v>
      </c>
      <c r="CH166" s="113">
        <f t="shared" si="257"/>
        <v>4.9999999999999991</v>
      </c>
      <c r="CI166" s="460">
        <f t="shared" si="258"/>
        <v>0</v>
      </c>
      <c r="CJ166" s="582">
        <f t="shared" si="259"/>
        <v>11.999999999999998</v>
      </c>
      <c r="CK166" s="113">
        <f t="shared" si="260"/>
        <v>9</v>
      </c>
      <c r="CL166" s="113">
        <f t="shared" si="261"/>
        <v>0</v>
      </c>
      <c r="CM166" s="113">
        <f t="shared" si="262"/>
        <v>1</v>
      </c>
      <c r="CN166" s="459">
        <f t="shared" si="263"/>
        <v>1.9999999999999998</v>
      </c>
      <c r="CO166" s="461">
        <f t="shared" si="264"/>
        <v>9</v>
      </c>
      <c r="CP166" s="582">
        <f t="shared" si="265"/>
        <v>3.0000000000000004</v>
      </c>
      <c r="CQ166" s="113">
        <f t="shared" si="266"/>
        <v>3.0000000000000004</v>
      </c>
      <c r="CR166" s="113">
        <f t="shared" si="267"/>
        <v>0</v>
      </c>
      <c r="CS166" s="113">
        <f t="shared" si="268"/>
        <v>0</v>
      </c>
      <c r="CT166" s="460">
        <f t="shared" si="269"/>
        <v>0</v>
      </c>
      <c r="CU166" s="582">
        <f t="shared" si="270"/>
        <v>6</v>
      </c>
      <c r="CV166" s="113">
        <f t="shared" si="271"/>
        <v>6</v>
      </c>
      <c r="CW166" s="113">
        <f t="shared" si="272"/>
        <v>0</v>
      </c>
      <c r="CX166" s="113">
        <f t="shared" si="273"/>
        <v>0</v>
      </c>
      <c r="CY166" s="459">
        <f t="shared" si="274"/>
        <v>0</v>
      </c>
      <c r="CZ166" s="461">
        <f t="shared" si="275"/>
        <v>7</v>
      </c>
      <c r="DA166" s="582">
        <f t="shared" si="276"/>
        <v>1</v>
      </c>
      <c r="DB166" s="113">
        <f t="shared" si="277"/>
        <v>0</v>
      </c>
      <c r="DC166" s="113">
        <f t="shared" si="278"/>
        <v>0</v>
      </c>
      <c r="DD166" s="113">
        <f t="shared" si="279"/>
        <v>1</v>
      </c>
      <c r="DE166" s="460">
        <f t="shared" si="280"/>
        <v>0</v>
      </c>
      <c r="DF166" s="582">
        <f t="shared" si="281"/>
        <v>6.0000000000000009</v>
      </c>
      <c r="DG166" s="113">
        <f t="shared" si="282"/>
        <v>6.0000000000000009</v>
      </c>
      <c r="DH166" s="113">
        <f t="shared" si="283"/>
        <v>0</v>
      </c>
      <c r="DI166" s="113">
        <f t="shared" si="284"/>
        <v>0</v>
      </c>
      <c r="DJ166" s="459">
        <f t="shared" si="285"/>
        <v>0</v>
      </c>
      <c r="DK166" s="461">
        <f t="shared" si="286"/>
        <v>0</v>
      </c>
      <c r="DL166" s="582">
        <f t="shared" si="287"/>
        <v>0</v>
      </c>
      <c r="DM166" s="113">
        <f t="shared" si="288"/>
        <v>0</v>
      </c>
      <c r="DN166" s="113">
        <f t="shared" si="289"/>
        <v>0</v>
      </c>
      <c r="DO166" s="113">
        <f t="shared" si="290"/>
        <v>0</v>
      </c>
      <c r="DP166" s="460">
        <f t="shared" si="291"/>
        <v>0</v>
      </c>
      <c r="DQ166" s="582">
        <f t="shared" si="292"/>
        <v>0</v>
      </c>
      <c r="DR166" s="113">
        <f t="shared" si="293"/>
        <v>0</v>
      </c>
      <c r="DS166" s="113">
        <f t="shared" si="294"/>
        <v>0</v>
      </c>
      <c r="DT166" s="113">
        <f t="shared" si="295"/>
        <v>0</v>
      </c>
      <c r="DU166" s="459">
        <f t="shared" si="296"/>
        <v>0</v>
      </c>
      <c r="DW166" s="461">
        <f t="shared" si="170"/>
        <v>223</v>
      </c>
      <c r="DX166" s="582">
        <f t="shared" si="170"/>
        <v>98</v>
      </c>
      <c r="DY166" s="113">
        <f t="shared" si="170"/>
        <v>81</v>
      </c>
      <c r="DZ166" s="113">
        <f t="shared" si="170"/>
        <v>0</v>
      </c>
      <c r="EA166" s="113">
        <f t="shared" si="170"/>
        <v>17</v>
      </c>
      <c r="EB166" s="460">
        <f t="shared" si="170"/>
        <v>0</v>
      </c>
      <c r="EC166" s="582">
        <f t="shared" si="170"/>
        <v>125</v>
      </c>
      <c r="ED166" s="113">
        <f t="shared" si="170"/>
        <v>108</v>
      </c>
      <c r="EE166" s="113">
        <f t="shared" si="170"/>
        <v>0</v>
      </c>
      <c r="EF166" s="113">
        <f t="shared" si="170"/>
        <v>6</v>
      </c>
      <c r="EG166" s="459">
        <f t="shared" si="170"/>
        <v>11</v>
      </c>
      <c r="EH166" s="461">
        <f t="shared" si="135"/>
        <v>71</v>
      </c>
      <c r="EI166" s="582">
        <f t="shared" si="135"/>
        <v>30.000000000000004</v>
      </c>
      <c r="EJ166" s="113">
        <f t="shared" si="135"/>
        <v>20</v>
      </c>
      <c r="EK166" s="113">
        <f t="shared" si="135"/>
        <v>0</v>
      </c>
      <c r="EL166" s="113">
        <f t="shared" si="135"/>
        <v>9.9999999999999982</v>
      </c>
      <c r="EM166" s="460">
        <f t="shared" si="135"/>
        <v>0</v>
      </c>
      <c r="EN166" s="582">
        <f t="shared" si="135"/>
        <v>41.000000000000007</v>
      </c>
      <c r="EO166" s="113">
        <f t="shared" si="135"/>
        <v>30</v>
      </c>
      <c r="EP166" s="113">
        <f t="shared" si="141"/>
        <v>0</v>
      </c>
      <c r="EQ166" s="113">
        <f t="shared" si="141"/>
        <v>1.9999999999999998</v>
      </c>
      <c r="ER166" s="459">
        <f t="shared" si="141"/>
        <v>9</v>
      </c>
    </row>
    <row r="167" spans="1:148">
      <c r="A167" s="665" t="s">
        <v>403</v>
      </c>
      <c r="B167" s="665">
        <v>43101</v>
      </c>
      <c r="C167" s="666">
        <v>2018</v>
      </c>
      <c r="D167" s="461">
        <f t="shared" ref="D167" si="306">D56/3+D166</f>
        <v>856527.33333333337</v>
      </c>
      <c r="E167" s="461">
        <f t="shared" si="176"/>
        <v>9093.6666666666679</v>
      </c>
      <c r="F167" s="582">
        <f t="shared" si="177"/>
        <v>3872.3333333333335</v>
      </c>
      <c r="G167" s="113">
        <f t="shared" si="178"/>
        <v>2783.3333333333335</v>
      </c>
      <c r="H167" s="113">
        <f t="shared" si="179"/>
        <v>0</v>
      </c>
      <c r="I167" s="113">
        <f t="shared" si="180"/>
        <v>1089.0000000000002</v>
      </c>
      <c r="J167" s="460">
        <f t="shared" si="181"/>
        <v>0</v>
      </c>
      <c r="K167" s="582">
        <f t="shared" si="182"/>
        <v>5221.333333333333</v>
      </c>
      <c r="L167" s="113">
        <f t="shared" si="183"/>
        <v>4074.0000000000005</v>
      </c>
      <c r="M167" s="113">
        <f t="shared" si="184"/>
        <v>0</v>
      </c>
      <c r="N167" s="113">
        <f t="shared" si="185"/>
        <v>555.66666666666663</v>
      </c>
      <c r="O167" s="459">
        <f t="shared" si="186"/>
        <v>591.66666666666663</v>
      </c>
      <c r="P167" s="461">
        <f t="shared" si="187"/>
        <v>11.666666666666664</v>
      </c>
      <c r="Q167" s="582">
        <f t="shared" si="188"/>
        <v>3</v>
      </c>
      <c r="R167" s="113">
        <f t="shared" si="189"/>
        <v>3</v>
      </c>
      <c r="S167" s="113">
        <f t="shared" si="190"/>
        <v>0</v>
      </c>
      <c r="T167" s="113">
        <f t="shared" si="191"/>
        <v>0</v>
      </c>
      <c r="U167" s="460">
        <f t="shared" si="192"/>
        <v>0</v>
      </c>
      <c r="V167" s="582">
        <f t="shared" si="193"/>
        <v>8.6666666666666661</v>
      </c>
      <c r="W167" s="113">
        <f t="shared" si="194"/>
        <v>6.9999999999999991</v>
      </c>
      <c r="X167" s="113">
        <f t="shared" si="195"/>
        <v>0</v>
      </c>
      <c r="Y167" s="113">
        <f t="shared" si="196"/>
        <v>1.3333333333333333</v>
      </c>
      <c r="Z167" s="459">
        <f t="shared" si="197"/>
        <v>0.33333333333333331</v>
      </c>
      <c r="AA167" s="461">
        <f t="shared" si="198"/>
        <v>13.333333333333334</v>
      </c>
      <c r="AB167" s="582">
        <f t="shared" si="199"/>
        <v>2</v>
      </c>
      <c r="AC167" s="113">
        <f t="shared" si="200"/>
        <v>2</v>
      </c>
      <c r="AD167" s="113">
        <f t="shared" si="201"/>
        <v>0</v>
      </c>
      <c r="AE167" s="113">
        <f t="shared" si="202"/>
        <v>0</v>
      </c>
      <c r="AF167" s="460">
        <f t="shared" si="203"/>
        <v>0</v>
      </c>
      <c r="AG167" s="582">
        <f t="shared" si="204"/>
        <v>11.333333333333336</v>
      </c>
      <c r="AH167" s="113">
        <f t="shared" si="205"/>
        <v>11.000000000000002</v>
      </c>
      <c r="AI167" s="113">
        <f t="shared" si="206"/>
        <v>0</v>
      </c>
      <c r="AJ167" s="113">
        <f t="shared" si="207"/>
        <v>0</v>
      </c>
      <c r="AK167" s="459">
        <f t="shared" si="208"/>
        <v>0.33333333333333331</v>
      </c>
      <c r="AL167" s="461">
        <f t="shared" si="209"/>
        <v>80</v>
      </c>
      <c r="AM167" s="582">
        <f t="shared" si="210"/>
        <v>33.333333333333336</v>
      </c>
      <c r="AN167" s="113">
        <f t="shared" si="211"/>
        <v>22.666666666666668</v>
      </c>
      <c r="AO167" s="113">
        <f t="shared" si="212"/>
        <v>0</v>
      </c>
      <c r="AP167" s="113">
        <f t="shared" si="213"/>
        <v>10.666666666666664</v>
      </c>
      <c r="AQ167" s="460">
        <f t="shared" si="214"/>
        <v>0</v>
      </c>
      <c r="AR167" s="582">
        <f t="shared" si="215"/>
        <v>46.666666666666671</v>
      </c>
      <c r="AS167" s="113">
        <f t="shared" si="216"/>
        <v>34.666666666666664</v>
      </c>
      <c r="AT167" s="113">
        <f t="shared" si="217"/>
        <v>0</v>
      </c>
      <c r="AU167" s="113">
        <f t="shared" si="218"/>
        <v>3</v>
      </c>
      <c r="AV167" s="459">
        <f t="shared" si="219"/>
        <v>9</v>
      </c>
      <c r="AW167" s="461">
        <f t="shared" si="220"/>
        <v>47</v>
      </c>
      <c r="AX167" s="582">
        <f t="shared" si="221"/>
        <v>16.666666666666664</v>
      </c>
      <c r="AY167" s="113">
        <f t="shared" si="222"/>
        <v>14.333333333333332</v>
      </c>
      <c r="AZ167" s="113">
        <f t="shared" si="223"/>
        <v>0</v>
      </c>
      <c r="BA167" s="113">
        <f t="shared" si="224"/>
        <v>2.333333333333333</v>
      </c>
      <c r="BB167" s="460">
        <f t="shared" si="225"/>
        <v>0</v>
      </c>
      <c r="BC167" s="582">
        <f t="shared" si="226"/>
        <v>30.333333333333329</v>
      </c>
      <c r="BD167" s="113">
        <f t="shared" si="227"/>
        <v>26.666666666666668</v>
      </c>
      <c r="BE167" s="113">
        <f t="shared" si="228"/>
        <v>0</v>
      </c>
      <c r="BF167" s="113">
        <f t="shared" si="229"/>
        <v>1</v>
      </c>
      <c r="BG167" s="459">
        <f t="shared" si="230"/>
        <v>2.6666666666666665</v>
      </c>
      <c r="BH167" s="461">
        <f t="shared" si="231"/>
        <v>54.999999999999993</v>
      </c>
      <c r="BI167" s="582">
        <f t="shared" si="232"/>
        <v>26.333333333333332</v>
      </c>
      <c r="BJ167" s="113">
        <f t="shared" si="233"/>
        <v>21.999999999999996</v>
      </c>
      <c r="BK167" s="113">
        <f t="shared" si="234"/>
        <v>0</v>
      </c>
      <c r="BL167" s="113">
        <f t="shared" si="235"/>
        <v>4.333333333333333</v>
      </c>
      <c r="BM167" s="460">
        <f t="shared" si="236"/>
        <v>0</v>
      </c>
      <c r="BN167" s="582">
        <f t="shared" si="237"/>
        <v>28.666666666666671</v>
      </c>
      <c r="BO167" s="113">
        <f t="shared" si="238"/>
        <v>23</v>
      </c>
      <c r="BP167" s="113">
        <f t="shared" si="239"/>
        <v>0</v>
      </c>
      <c r="BQ167" s="113">
        <f t="shared" si="240"/>
        <v>1.6666666666666665</v>
      </c>
      <c r="BR167" s="459">
        <f t="shared" si="241"/>
        <v>4</v>
      </c>
      <c r="BS167" s="461">
        <f t="shared" si="242"/>
        <v>80.000000000000014</v>
      </c>
      <c r="BT167" s="582">
        <f t="shared" si="243"/>
        <v>39.333333333333336</v>
      </c>
      <c r="BU167" s="113">
        <f t="shared" si="244"/>
        <v>34.333333333333329</v>
      </c>
      <c r="BV167" s="113">
        <f t="shared" si="245"/>
        <v>0</v>
      </c>
      <c r="BW167" s="113">
        <f t="shared" si="246"/>
        <v>5</v>
      </c>
      <c r="BX167" s="460">
        <f t="shared" si="247"/>
        <v>0</v>
      </c>
      <c r="BY167" s="582">
        <f t="shared" si="248"/>
        <v>40.666666666666664</v>
      </c>
      <c r="BZ167" s="113">
        <f t="shared" si="249"/>
        <v>33</v>
      </c>
      <c r="CA167" s="113">
        <f t="shared" si="250"/>
        <v>0</v>
      </c>
      <c r="CB167" s="113">
        <f t="shared" si="251"/>
        <v>3.333333333333333</v>
      </c>
      <c r="CC167" s="459">
        <f t="shared" si="252"/>
        <v>4.3333333333333339</v>
      </c>
      <c r="CD167" s="461">
        <f t="shared" si="253"/>
        <v>29.333333333333325</v>
      </c>
      <c r="CE167" s="582">
        <f t="shared" si="254"/>
        <v>16</v>
      </c>
      <c r="CF167" s="113">
        <f t="shared" si="255"/>
        <v>10.666666666666668</v>
      </c>
      <c r="CG167" s="113">
        <f t="shared" si="256"/>
        <v>0</v>
      </c>
      <c r="CH167" s="113">
        <f t="shared" si="257"/>
        <v>5.3333333333333321</v>
      </c>
      <c r="CI167" s="460">
        <f t="shared" si="258"/>
        <v>0</v>
      </c>
      <c r="CJ167" s="582">
        <f t="shared" si="259"/>
        <v>13.333333333333332</v>
      </c>
      <c r="CK167" s="113">
        <f t="shared" si="260"/>
        <v>10.333333333333334</v>
      </c>
      <c r="CL167" s="113">
        <f t="shared" si="261"/>
        <v>0</v>
      </c>
      <c r="CM167" s="113">
        <f t="shared" si="262"/>
        <v>1</v>
      </c>
      <c r="CN167" s="459">
        <f t="shared" si="263"/>
        <v>1.9999999999999998</v>
      </c>
      <c r="CO167" s="461">
        <f t="shared" si="264"/>
        <v>10.333333333333334</v>
      </c>
      <c r="CP167" s="582">
        <f t="shared" si="265"/>
        <v>3.666666666666667</v>
      </c>
      <c r="CQ167" s="113">
        <f t="shared" si="266"/>
        <v>3.666666666666667</v>
      </c>
      <c r="CR167" s="113">
        <f t="shared" si="267"/>
        <v>0</v>
      </c>
      <c r="CS167" s="113">
        <f t="shared" si="268"/>
        <v>0</v>
      </c>
      <c r="CT167" s="460">
        <f t="shared" si="269"/>
        <v>0</v>
      </c>
      <c r="CU167" s="582">
        <f t="shared" si="270"/>
        <v>6.666666666666667</v>
      </c>
      <c r="CV167" s="113">
        <f t="shared" si="271"/>
        <v>6.666666666666667</v>
      </c>
      <c r="CW167" s="113">
        <f t="shared" si="272"/>
        <v>0</v>
      </c>
      <c r="CX167" s="113">
        <f t="shared" si="273"/>
        <v>0</v>
      </c>
      <c r="CY167" s="459">
        <f t="shared" si="274"/>
        <v>0</v>
      </c>
      <c r="CZ167" s="461">
        <f t="shared" si="275"/>
        <v>7.666666666666667</v>
      </c>
      <c r="DA167" s="582">
        <f t="shared" si="276"/>
        <v>1</v>
      </c>
      <c r="DB167" s="113">
        <f t="shared" si="277"/>
        <v>0</v>
      </c>
      <c r="DC167" s="113">
        <f t="shared" si="278"/>
        <v>0</v>
      </c>
      <c r="DD167" s="113">
        <f t="shared" si="279"/>
        <v>1</v>
      </c>
      <c r="DE167" s="460">
        <f t="shared" si="280"/>
        <v>0</v>
      </c>
      <c r="DF167" s="582">
        <f t="shared" si="281"/>
        <v>6.6666666666666679</v>
      </c>
      <c r="DG167" s="113">
        <f t="shared" si="282"/>
        <v>6.6666666666666679</v>
      </c>
      <c r="DH167" s="113">
        <f t="shared" si="283"/>
        <v>0</v>
      </c>
      <c r="DI167" s="113">
        <f t="shared" si="284"/>
        <v>0</v>
      </c>
      <c r="DJ167" s="459">
        <f t="shared" si="285"/>
        <v>0</v>
      </c>
      <c r="DK167" s="461">
        <f t="shared" si="286"/>
        <v>0</v>
      </c>
      <c r="DL167" s="582">
        <f t="shared" si="287"/>
        <v>0</v>
      </c>
      <c r="DM167" s="113">
        <f t="shared" si="288"/>
        <v>0</v>
      </c>
      <c r="DN167" s="113">
        <f t="shared" si="289"/>
        <v>0</v>
      </c>
      <c r="DO167" s="113">
        <f t="shared" si="290"/>
        <v>0</v>
      </c>
      <c r="DP167" s="460">
        <f t="shared" si="291"/>
        <v>0</v>
      </c>
      <c r="DQ167" s="582">
        <f t="shared" si="292"/>
        <v>0</v>
      </c>
      <c r="DR167" s="113">
        <f t="shared" si="293"/>
        <v>0</v>
      </c>
      <c r="DS167" s="113">
        <f t="shared" si="294"/>
        <v>0</v>
      </c>
      <c r="DT167" s="113">
        <f t="shared" si="295"/>
        <v>0</v>
      </c>
      <c r="DU167" s="459">
        <f t="shared" si="296"/>
        <v>0</v>
      </c>
      <c r="DW167" s="461">
        <f t="shared" si="170"/>
        <v>254.33333333333331</v>
      </c>
      <c r="DX167" s="582">
        <f t="shared" si="170"/>
        <v>108.00000000000001</v>
      </c>
      <c r="DY167" s="113">
        <f t="shared" si="170"/>
        <v>90</v>
      </c>
      <c r="DZ167" s="113">
        <f t="shared" si="170"/>
        <v>0</v>
      </c>
      <c r="EA167" s="113">
        <f t="shared" si="170"/>
        <v>18</v>
      </c>
      <c r="EB167" s="460">
        <f t="shared" si="170"/>
        <v>0</v>
      </c>
      <c r="EC167" s="582">
        <f t="shared" si="170"/>
        <v>146.33333333333331</v>
      </c>
      <c r="ED167" s="113">
        <f t="shared" si="170"/>
        <v>124.33333333333334</v>
      </c>
      <c r="EE167" s="113">
        <f t="shared" si="170"/>
        <v>0</v>
      </c>
      <c r="EF167" s="113">
        <f t="shared" si="170"/>
        <v>8.3333333333333321</v>
      </c>
      <c r="EG167" s="459">
        <f t="shared" si="170"/>
        <v>13.666666666666668</v>
      </c>
      <c r="EH167" s="461">
        <f t="shared" si="135"/>
        <v>80</v>
      </c>
      <c r="EI167" s="582">
        <f t="shared" si="135"/>
        <v>33.333333333333336</v>
      </c>
      <c r="EJ167" s="113">
        <f t="shared" si="135"/>
        <v>22.666666666666668</v>
      </c>
      <c r="EK167" s="113">
        <f t="shared" si="135"/>
        <v>0</v>
      </c>
      <c r="EL167" s="113">
        <f t="shared" si="135"/>
        <v>10.666666666666664</v>
      </c>
      <c r="EM167" s="460">
        <f t="shared" si="135"/>
        <v>0</v>
      </c>
      <c r="EN167" s="582">
        <f t="shared" si="135"/>
        <v>46.666666666666671</v>
      </c>
      <c r="EO167" s="113">
        <f t="shared" si="135"/>
        <v>34.666666666666664</v>
      </c>
      <c r="EP167" s="113">
        <f t="shared" si="141"/>
        <v>0</v>
      </c>
      <c r="EQ167" s="113">
        <f t="shared" si="141"/>
        <v>3</v>
      </c>
      <c r="ER167" s="459">
        <f t="shared" si="141"/>
        <v>9</v>
      </c>
    </row>
    <row r="168" spans="1:148">
      <c r="A168" s="665" t="s">
        <v>403</v>
      </c>
      <c r="B168" s="665">
        <v>43132</v>
      </c>
      <c r="C168" s="666">
        <v>2018</v>
      </c>
      <c r="D168" s="461">
        <f t="shared" ref="D168" si="307">D57/3+D167</f>
        <v>911659.66666666674</v>
      </c>
      <c r="E168" s="461">
        <f t="shared" si="176"/>
        <v>10009.333333333334</v>
      </c>
      <c r="F168" s="582">
        <f t="shared" si="177"/>
        <v>4181.666666666667</v>
      </c>
      <c r="G168" s="113">
        <f t="shared" si="178"/>
        <v>3034.666666666667</v>
      </c>
      <c r="H168" s="113">
        <f t="shared" si="179"/>
        <v>0</v>
      </c>
      <c r="I168" s="113">
        <f t="shared" si="180"/>
        <v>1147.0000000000002</v>
      </c>
      <c r="J168" s="460">
        <f t="shared" si="181"/>
        <v>0</v>
      </c>
      <c r="K168" s="582">
        <f t="shared" si="182"/>
        <v>5827.6666666666661</v>
      </c>
      <c r="L168" s="113">
        <f t="shared" si="183"/>
        <v>4491</v>
      </c>
      <c r="M168" s="113">
        <f t="shared" si="184"/>
        <v>0</v>
      </c>
      <c r="N168" s="113">
        <f t="shared" si="185"/>
        <v>675.33333333333326</v>
      </c>
      <c r="O168" s="459">
        <f t="shared" si="186"/>
        <v>661.33333333333326</v>
      </c>
      <c r="P168" s="461">
        <f t="shared" si="187"/>
        <v>13.33333333333333</v>
      </c>
      <c r="Q168" s="582">
        <f t="shared" si="188"/>
        <v>3</v>
      </c>
      <c r="R168" s="113">
        <f t="shared" si="189"/>
        <v>3</v>
      </c>
      <c r="S168" s="113">
        <f t="shared" si="190"/>
        <v>0</v>
      </c>
      <c r="T168" s="113">
        <f t="shared" si="191"/>
        <v>0</v>
      </c>
      <c r="U168" s="460">
        <f t="shared" si="192"/>
        <v>0</v>
      </c>
      <c r="V168" s="582">
        <f t="shared" si="193"/>
        <v>10.333333333333332</v>
      </c>
      <c r="W168" s="113">
        <f t="shared" si="194"/>
        <v>7.9999999999999991</v>
      </c>
      <c r="X168" s="113">
        <f t="shared" si="195"/>
        <v>0</v>
      </c>
      <c r="Y168" s="113">
        <f t="shared" si="196"/>
        <v>1.6666666666666665</v>
      </c>
      <c r="Z168" s="459">
        <f t="shared" si="197"/>
        <v>0.66666666666666663</v>
      </c>
      <c r="AA168" s="461">
        <f t="shared" si="198"/>
        <v>14.666666666666668</v>
      </c>
      <c r="AB168" s="582">
        <f t="shared" si="199"/>
        <v>2</v>
      </c>
      <c r="AC168" s="113">
        <f t="shared" si="200"/>
        <v>2</v>
      </c>
      <c r="AD168" s="113">
        <f t="shared" si="201"/>
        <v>0</v>
      </c>
      <c r="AE168" s="113">
        <f t="shared" si="202"/>
        <v>0</v>
      </c>
      <c r="AF168" s="460">
        <f t="shared" si="203"/>
        <v>0</v>
      </c>
      <c r="AG168" s="582">
        <f t="shared" si="204"/>
        <v>12.66666666666667</v>
      </c>
      <c r="AH168" s="113">
        <f t="shared" si="205"/>
        <v>12.000000000000002</v>
      </c>
      <c r="AI168" s="113">
        <f t="shared" si="206"/>
        <v>0</v>
      </c>
      <c r="AJ168" s="113">
        <f t="shared" si="207"/>
        <v>0</v>
      </c>
      <c r="AK168" s="459">
        <f t="shared" si="208"/>
        <v>0.66666666666666663</v>
      </c>
      <c r="AL168" s="461">
        <f t="shared" si="209"/>
        <v>89</v>
      </c>
      <c r="AM168" s="582">
        <f t="shared" si="210"/>
        <v>36.666666666666671</v>
      </c>
      <c r="AN168" s="113">
        <f t="shared" si="211"/>
        <v>25.333333333333336</v>
      </c>
      <c r="AO168" s="113">
        <f t="shared" si="212"/>
        <v>0</v>
      </c>
      <c r="AP168" s="113">
        <f t="shared" si="213"/>
        <v>11.33333333333333</v>
      </c>
      <c r="AQ168" s="460">
        <f t="shared" si="214"/>
        <v>0</v>
      </c>
      <c r="AR168" s="582">
        <f t="shared" si="215"/>
        <v>52.333333333333336</v>
      </c>
      <c r="AS168" s="113">
        <f t="shared" si="216"/>
        <v>39.333333333333329</v>
      </c>
      <c r="AT168" s="113">
        <f t="shared" si="217"/>
        <v>0</v>
      </c>
      <c r="AU168" s="113">
        <f t="shared" si="218"/>
        <v>4</v>
      </c>
      <c r="AV168" s="459">
        <f t="shared" si="219"/>
        <v>9</v>
      </c>
      <c r="AW168" s="461">
        <f t="shared" si="220"/>
        <v>55</v>
      </c>
      <c r="AX168" s="582">
        <f t="shared" si="221"/>
        <v>19.333333333333332</v>
      </c>
      <c r="AY168" s="113">
        <f t="shared" si="222"/>
        <v>16.666666666666664</v>
      </c>
      <c r="AZ168" s="113">
        <f t="shared" si="223"/>
        <v>0</v>
      </c>
      <c r="BA168" s="113">
        <f t="shared" si="224"/>
        <v>2.6666666666666665</v>
      </c>
      <c r="BB168" s="460">
        <f t="shared" si="225"/>
        <v>0</v>
      </c>
      <c r="BC168" s="582">
        <f t="shared" si="226"/>
        <v>35.666666666666664</v>
      </c>
      <c r="BD168" s="113">
        <f t="shared" si="227"/>
        <v>31.333333333333336</v>
      </c>
      <c r="BE168" s="113">
        <f t="shared" si="228"/>
        <v>0</v>
      </c>
      <c r="BF168" s="113">
        <f t="shared" si="229"/>
        <v>1</v>
      </c>
      <c r="BG168" s="459">
        <f t="shared" si="230"/>
        <v>3.333333333333333</v>
      </c>
      <c r="BH168" s="461">
        <f t="shared" si="231"/>
        <v>59.999999999999993</v>
      </c>
      <c r="BI168" s="582">
        <f t="shared" si="232"/>
        <v>28.666666666666664</v>
      </c>
      <c r="BJ168" s="113">
        <f t="shared" si="233"/>
        <v>23.999999999999996</v>
      </c>
      <c r="BK168" s="113">
        <f t="shared" si="234"/>
        <v>0</v>
      </c>
      <c r="BL168" s="113">
        <f t="shared" si="235"/>
        <v>4.6666666666666661</v>
      </c>
      <c r="BM168" s="460">
        <f t="shared" si="236"/>
        <v>0</v>
      </c>
      <c r="BN168" s="582">
        <f t="shared" si="237"/>
        <v>31.333333333333339</v>
      </c>
      <c r="BO168" s="113">
        <f t="shared" si="238"/>
        <v>25</v>
      </c>
      <c r="BP168" s="113">
        <f t="shared" si="239"/>
        <v>0</v>
      </c>
      <c r="BQ168" s="113">
        <f t="shared" si="240"/>
        <v>2.333333333333333</v>
      </c>
      <c r="BR168" s="459">
        <f t="shared" si="241"/>
        <v>4</v>
      </c>
      <c r="BS168" s="461">
        <f t="shared" si="242"/>
        <v>90.000000000000014</v>
      </c>
      <c r="BT168" s="582">
        <f t="shared" si="243"/>
        <v>41.666666666666671</v>
      </c>
      <c r="BU168" s="113">
        <f t="shared" si="244"/>
        <v>36.666666666666664</v>
      </c>
      <c r="BV168" s="113">
        <f t="shared" si="245"/>
        <v>0</v>
      </c>
      <c r="BW168" s="113">
        <f t="shared" si="246"/>
        <v>5</v>
      </c>
      <c r="BX168" s="460">
        <f t="shared" si="247"/>
        <v>0</v>
      </c>
      <c r="BY168" s="582">
        <f t="shared" si="248"/>
        <v>48.333333333333329</v>
      </c>
      <c r="BZ168" s="113">
        <f t="shared" si="249"/>
        <v>38</v>
      </c>
      <c r="CA168" s="113">
        <f t="shared" si="250"/>
        <v>0</v>
      </c>
      <c r="CB168" s="113">
        <f t="shared" si="251"/>
        <v>4.6666666666666661</v>
      </c>
      <c r="CC168" s="459">
        <f t="shared" si="252"/>
        <v>5.666666666666667</v>
      </c>
      <c r="CD168" s="461">
        <f t="shared" si="253"/>
        <v>32.666666666666657</v>
      </c>
      <c r="CE168" s="582">
        <f t="shared" si="254"/>
        <v>18</v>
      </c>
      <c r="CF168" s="113">
        <f t="shared" si="255"/>
        <v>12.333333333333334</v>
      </c>
      <c r="CG168" s="113">
        <f t="shared" si="256"/>
        <v>0</v>
      </c>
      <c r="CH168" s="113">
        <f t="shared" si="257"/>
        <v>5.6666666666666652</v>
      </c>
      <c r="CI168" s="460">
        <f t="shared" si="258"/>
        <v>0</v>
      </c>
      <c r="CJ168" s="582">
        <f t="shared" si="259"/>
        <v>14.666666666666666</v>
      </c>
      <c r="CK168" s="113">
        <f t="shared" si="260"/>
        <v>11.666666666666668</v>
      </c>
      <c r="CL168" s="113">
        <f t="shared" si="261"/>
        <v>0</v>
      </c>
      <c r="CM168" s="113">
        <f t="shared" si="262"/>
        <v>1</v>
      </c>
      <c r="CN168" s="459">
        <f t="shared" si="263"/>
        <v>1.9999999999999998</v>
      </c>
      <c r="CO168" s="461">
        <f t="shared" si="264"/>
        <v>11.666666666666668</v>
      </c>
      <c r="CP168" s="582">
        <f t="shared" si="265"/>
        <v>4.3333333333333339</v>
      </c>
      <c r="CQ168" s="113">
        <f t="shared" si="266"/>
        <v>4.3333333333333339</v>
      </c>
      <c r="CR168" s="113">
        <f t="shared" si="267"/>
        <v>0</v>
      </c>
      <c r="CS168" s="113">
        <f t="shared" si="268"/>
        <v>0</v>
      </c>
      <c r="CT168" s="460">
        <f t="shared" si="269"/>
        <v>0</v>
      </c>
      <c r="CU168" s="582">
        <f t="shared" si="270"/>
        <v>7.3333333333333339</v>
      </c>
      <c r="CV168" s="113">
        <f t="shared" si="271"/>
        <v>7.3333333333333339</v>
      </c>
      <c r="CW168" s="113">
        <f t="shared" si="272"/>
        <v>0</v>
      </c>
      <c r="CX168" s="113">
        <f t="shared" si="273"/>
        <v>0</v>
      </c>
      <c r="CY168" s="459">
        <f t="shared" si="274"/>
        <v>0</v>
      </c>
      <c r="CZ168" s="461">
        <f t="shared" si="275"/>
        <v>8.3333333333333339</v>
      </c>
      <c r="DA168" s="582">
        <f t="shared" si="276"/>
        <v>1</v>
      </c>
      <c r="DB168" s="113">
        <f t="shared" si="277"/>
        <v>0</v>
      </c>
      <c r="DC168" s="113">
        <f t="shared" si="278"/>
        <v>0</v>
      </c>
      <c r="DD168" s="113">
        <f t="shared" si="279"/>
        <v>1</v>
      </c>
      <c r="DE168" s="460">
        <f t="shared" si="280"/>
        <v>0</v>
      </c>
      <c r="DF168" s="582">
        <f t="shared" si="281"/>
        <v>7.3333333333333348</v>
      </c>
      <c r="DG168" s="113">
        <f t="shared" si="282"/>
        <v>7.3333333333333348</v>
      </c>
      <c r="DH168" s="113">
        <f t="shared" si="283"/>
        <v>0</v>
      </c>
      <c r="DI168" s="113">
        <f t="shared" si="284"/>
        <v>0</v>
      </c>
      <c r="DJ168" s="459">
        <f t="shared" si="285"/>
        <v>0</v>
      </c>
      <c r="DK168" s="461">
        <f t="shared" si="286"/>
        <v>0</v>
      </c>
      <c r="DL168" s="582">
        <f t="shared" si="287"/>
        <v>0</v>
      </c>
      <c r="DM168" s="113">
        <f t="shared" si="288"/>
        <v>0</v>
      </c>
      <c r="DN168" s="113">
        <f t="shared" si="289"/>
        <v>0</v>
      </c>
      <c r="DO168" s="113">
        <f t="shared" si="290"/>
        <v>0</v>
      </c>
      <c r="DP168" s="460">
        <f t="shared" si="291"/>
        <v>0</v>
      </c>
      <c r="DQ168" s="582">
        <f t="shared" si="292"/>
        <v>0</v>
      </c>
      <c r="DR168" s="113">
        <f t="shared" si="293"/>
        <v>0</v>
      </c>
      <c r="DS168" s="113">
        <f t="shared" si="294"/>
        <v>0</v>
      </c>
      <c r="DT168" s="113">
        <f t="shared" si="295"/>
        <v>0</v>
      </c>
      <c r="DU168" s="459">
        <f t="shared" si="296"/>
        <v>0</v>
      </c>
      <c r="DW168" s="461">
        <f t="shared" si="170"/>
        <v>285.66666666666663</v>
      </c>
      <c r="DX168" s="582">
        <f t="shared" si="170"/>
        <v>118</v>
      </c>
      <c r="DY168" s="113">
        <f t="shared" si="170"/>
        <v>98.999999999999972</v>
      </c>
      <c r="DZ168" s="113">
        <f t="shared" si="170"/>
        <v>0</v>
      </c>
      <c r="EA168" s="113">
        <f t="shared" si="170"/>
        <v>18.999999999999996</v>
      </c>
      <c r="EB168" s="460">
        <f t="shared" si="170"/>
        <v>0</v>
      </c>
      <c r="EC168" s="582">
        <f t="shared" si="170"/>
        <v>167.66666666666666</v>
      </c>
      <c r="ED168" s="113">
        <f t="shared" si="170"/>
        <v>140.66666666666669</v>
      </c>
      <c r="EE168" s="113">
        <f t="shared" si="170"/>
        <v>0</v>
      </c>
      <c r="EF168" s="113">
        <f t="shared" si="170"/>
        <v>10.666666666666666</v>
      </c>
      <c r="EG168" s="459">
        <f t="shared" si="170"/>
        <v>16.333333333333332</v>
      </c>
      <c r="EH168" s="461">
        <f t="shared" si="135"/>
        <v>89</v>
      </c>
      <c r="EI168" s="582">
        <f t="shared" si="135"/>
        <v>36.666666666666671</v>
      </c>
      <c r="EJ168" s="113">
        <f t="shared" si="135"/>
        <v>25.333333333333336</v>
      </c>
      <c r="EK168" s="113">
        <f t="shared" si="135"/>
        <v>0</v>
      </c>
      <c r="EL168" s="113">
        <f t="shared" si="135"/>
        <v>11.33333333333333</v>
      </c>
      <c r="EM168" s="460">
        <f t="shared" si="135"/>
        <v>0</v>
      </c>
      <c r="EN168" s="582">
        <f t="shared" si="135"/>
        <v>52.333333333333336</v>
      </c>
      <c r="EO168" s="113">
        <f t="shared" si="135"/>
        <v>39.333333333333329</v>
      </c>
      <c r="EP168" s="113">
        <f t="shared" si="141"/>
        <v>0</v>
      </c>
      <c r="EQ168" s="113">
        <f t="shared" si="141"/>
        <v>4</v>
      </c>
      <c r="ER168" s="459">
        <f t="shared" si="141"/>
        <v>9</v>
      </c>
    </row>
    <row r="169" spans="1:148">
      <c r="A169" s="665" t="s">
        <v>403</v>
      </c>
      <c r="B169" s="665">
        <v>43160</v>
      </c>
      <c r="C169" s="666">
        <v>2018</v>
      </c>
      <c r="D169" s="461">
        <f t="shared" ref="D169" si="308">D58/3+D168</f>
        <v>966792.00000000012</v>
      </c>
      <c r="E169" s="461">
        <f t="shared" si="176"/>
        <v>10925</v>
      </c>
      <c r="F169" s="582">
        <f t="shared" si="177"/>
        <v>4491</v>
      </c>
      <c r="G169" s="113">
        <f t="shared" si="178"/>
        <v>3286.0000000000005</v>
      </c>
      <c r="H169" s="113">
        <f t="shared" si="179"/>
        <v>0</v>
      </c>
      <c r="I169" s="113">
        <f t="shared" si="180"/>
        <v>1205.0000000000002</v>
      </c>
      <c r="J169" s="460">
        <f t="shared" si="181"/>
        <v>0</v>
      </c>
      <c r="K169" s="582">
        <f t="shared" si="182"/>
        <v>6433.9999999999991</v>
      </c>
      <c r="L169" s="113">
        <f t="shared" si="183"/>
        <v>4908</v>
      </c>
      <c r="M169" s="113">
        <f t="shared" si="184"/>
        <v>0</v>
      </c>
      <c r="N169" s="113">
        <f t="shared" si="185"/>
        <v>794.99999999999989</v>
      </c>
      <c r="O169" s="459">
        <f t="shared" si="186"/>
        <v>730.99999999999989</v>
      </c>
      <c r="P169" s="461">
        <f t="shared" si="187"/>
        <v>14.999999999999996</v>
      </c>
      <c r="Q169" s="582">
        <f t="shared" si="188"/>
        <v>3</v>
      </c>
      <c r="R169" s="113">
        <f t="shared" si="189"/>
        <v>3</v>
      </c>
      <c r="S169" s="113">
        <f t="shared" si="190"/>
        <v>0</v>
      </c>
      <c r="T169" s="113">
        <f t="shared" si="191"/>
        <v>0</v>
      </c>
      <c r="U169" s="460">
        <f t="shared" si="192"/>
        <v>0</v>
      </c>
      <c r="V169" s="582">
        <f t="shared" si="193"/>
        <v>11.999999999999998</v>
      </c>
      <c r="W169" s="113">
        <f t="shared" si="194"/>
        <v>9</v>
      </c>
      <c r="X169" s="113">
        <f t="shared" si="195"/>
        <v>0</v>
      </c>
      <c r="Y169" s="113">
        <f t="shared" si="196"/>
        <v>1.9999999999999998</v>
      </c>
      <c r="Z169" s="459">
        <f t="shared" si="197"/>
        <v>1</v>
      </c>
      <c r="AA169" s="461">
        <f t="shared" si="198"/>
        <v>16</v>
      </c>
      <c r="AB169" s="582">
        <f t="shared" si="199"/>
        <v>2</v>
      </c>
      <c r="AC169" s="113">
        <f t="shared" si="200"/>
        <v>2</v>
      </c>
      <c r="AD169" s="113">
        <f t="shared" si="201"/>
        <v>0</v>
      </c>
      <c r="AE169" s="113">
        <f t="shared" si="202"/>
        <v>0</v>
      </c>
      <c r="AF169" s="460">
        <f t="shared" si="203"/>
        <v>0</v>
      </c>
      <c r="AG169" s="582">
        <f t="shared" si="204"/>
        <v>14.000000000000004</v>
      </c>
      <c r="AH169" s="113">
        <f t="shared" si="205"/>
        <v>13.000000000000002</v>
      </c>
      <c r="AI169" s="113">
        <f t="shared" si="206"/>
        <v>0</v>
      </c>
      <c r="AJ169" s="113">
        <f t="shared" si="207"/>
        <v>0</v>
      </c>
      <c r="AK169" s="459">
        <f t="shared" si="208"/>
        <v>1</v>
      </c>
      <c r="AL169" s="461">
        <f t="shared" si="209"/>
        <v>98</v>
      </c>
      <c r="AM169" s="582">
        <f t="shared" si="210"/>
        <v>40.000000000000007</v>
      </c>
      <c r="AN169" s="113">
        <f t="shared" si="211"/>
        <v>28.000000000000004</v>
      </c>
      <c r="AO169" s="113">
        <f t="shared" si="212"/>
        <v>0</v>
      </c>
      <c r="AP169" s="113">
        <f t="shared" si="213"/>
        <v>11.999999999999996</v>
      </c>
      <c r="AQ169" s="460">
        <f t="shared" si="214"/>
        <v>0</v>
      </c>
      <c r="AR169" s="582">
        <f t="shared" si="215"/>
        <v>58</v>
      </c>
      <c r="AS169" s="113">
        <f t="shared" si="216"/>
        <v>43.999999999999993</v>
      </c>
      <c r="AT169" s="113">
        <f t="shared" si="217"/>
        <v>0</v>
      </c>
      <c r="AU169" s="113">
        <f t="shared" si="218"/>
        <v>5</v>
      </c>
      <c r="AV169" s="459">
        <f t="shared" si="219"/>
        <v>9</v>
      </c>
      <c r="AW169" s="461">
        <f t="shared" si="220"/>
        <v>63</v>
      </c>
      <c r="AX169" s="582">
        <f t="shared" si="221"/>
        <v>22</v>
      </c>
      <c r="AY169" s="113">
        <f t="shared" si="222"/>
        <v>18.999999999999996</v>
      </c>
      <c r="AZ169" s="113">
        <f t="shared" si="223"/>
        <v>0</v>
      </c>
      <c r="BA169" s="113">
        <f t="shared" si="224"/>
        <v>3</v>
      </c>
      <c r="BB169" s="460">
        <f t="shared" si="225"/>
        <v>0</v>
      </c>
      <c r="BC169" s="582">
        <f t="shared" si="226"/>
        <v>41</v>
      </c>
      <c r="BD169" s="113">
        <f t="shared" si="227"/>
        <v>36</v>
      </c>
      <c r="BE169" s="113">
        <f t="shared" si="228"/>
        <v>0</v>
      </c>
      <c r="BF169" s="113">
        <f t="shared" si="229"/>
        <v>1</v>
      </c>
      <c r="BG169" s="459">
        <f t="shared" si="230"/>
        <v>3.9999999999999996</v>
      </c>
      <c r="BH169" s="461">
        <f t="shared" si="231"/>
        <v>65</v>
      </c>
      <c r="BI169" s="582">
        <f t="shared" si="232"/>
        <v>30.999999999999996</v>
      </c>
      <c r="BJ169" s="113">
        <f t="shared" si="233"/>
        <v>25.999999999999996</v>
      </c>
      <c r="BK169" s="113">
        <f t="shared" si="234"/>
        <v>0</v>
      </c>
      <c r="BL169" s="113">
        <f t="shared" si="235"/>
        <v>4.9999999999999991</v>
      </c>
      <c r="BM169" s="460">
        <f t="shared" si="236"/>
        <v>0</v>
      </c>
      <c r="BN169" s="582">
        <f t="shared" si="237"/>
        <v>34.000000000000007</v>
      </c>
      <c r="BO169" s="113">
        <f t="shared" si="238"/>
        <v>27</v>
      </c>
      <c r="BP169" s="113">
        <f t="shared" si="239"/>
        <v>0</v>
      </c>
      <c r="BQ169" s="113">
        <f t="shared" si="240"/>
        <v>2.9999999999999996</v>
      </c>
      <c r="BR169" s="459">
        <f t="shared" si="241"/>
        <v>4</v>
      </c>
      <c r="BS169" s="461">
        <f t="shared" si="242"/>
        <v>100.00000000000001</v>
      </c>
      <c r="BT169" s="582">
        <f t="shared" si="243"/>
        <v>44.000000000000007</v>
      </c>
      <c r="BU169" s="113">
        <f t="shared" si="244"/>
        <v>39</v>
      </c>
      <c r="BV169" s="113">
        <f t="shared" si="245"/>
        <v>0</v>
      </c>
      <c r="BW169" s="113">
        <f t="shared" si="246"/>
        <v>5</v>
      </c>
      <c r="BX169" s="460">
        <f t="shared" si="247"/>
        <v>0</v>
      </c>
      <c r="BY169" s="582">
        <f t="shared" si="248"/>
        <v>55.999999999999993</v>
      </c>
      <c r="BZ169" s="113">
        <f t="shared" si="249"/>
        <v>43</v>
      </c>
      <c r="CA169" s="113">
        <f t="shared" si="250"/>
        <v>0</v>
      </c>
      <c r="CB169" s="113">
        <f t="shared" si="251"/>
        <v>5.9999999999999991</v>
      </c>
      <c r="CC169" s="459">
        <f t="shared" si="252"/>
        <v>7</v>
      </c>
      <c r="CD169" s="461">
        <f t="shared" si="253"/>
        <v>35.999999999999993</v>
      </c>
      <c r="CE169" s="582">
        <f t="shared" si="254"/>
        <v>20</v>
      </c>
      <c r="CF169" s="113">
        <f t="shared" si="255"/>
        <v>14</v>
      </c>
      <c r="CG169" s="113">
        <f t="shared" si="256"/>
        <v>0</v>
      </c>
      <c r="CH169" s="113">
        <f t="shared" si="257"/>
        <v>5.9999999999999982</v>
      </c>
      <c r="CI169" s="460">
        <f t="shared" si="258"/>
        <v>0</v>
      </c>
      <c r="CJ169" s="582">
        <f t="shared" si="259"/>
        <v>16</v>
      </c>
      <c r="CK169" s="113">
        <f t="shared" si="260"/>
        <v>13.000000000000002</v>
      </c>
      <c r="CL169" s="113">
        <f t="shared" si="261"/>
        <v>0</v>
      </c>
      <c r="CM169" s="113">
        <f t="shared" si="262"/>
        <v>1</v>
      </c>
      <c r="CN169" s="459">
        <f t="shared" si="263"/>
        <v>1.9999999999999998</v>
      </c>
      <c r="CO169" s="461">
        <f t="shared" si="264"/>
        <v>13.000000000000002</v>
      </c>
      <c r="CP169" s="582">
        <f t="shared" si="265"/>
        <v>5.0000000000000009</v>
      </c>
      <c r="CQ169" s="113">
        <f t="shared" si="266"/>
        <v>5.0000000000000009</v>
      </c>
      <c r="CR169" s="113">
        <f t="shared" si="267"/>
        <v>0</v>
      </c>
      <c r="CS169" s="113">
        <f t="shared" si="268"/>
        <v>0</v>
      </c>
      <c r="CT169" s="460">
        <f t="shared" si="269"/>
        <v>0</v>
      </c>
      <c r="CU169" s="582">
        <f t="shared" si="270"/>
        <v>8</v>
      </c>
      <c r="CV169" s="113">
        <f t="shared" si="271"/>
        <v>8</v>
      </c>
      <c r="CW169" s="113">
        <f t="shared" si="272"/>
        <v>0</v>
      </c>
      <c r="CX169" s="113">
        <f t="shared" si="273"/>
        <v>0</v>
      </c>
      <c r="CY169" s="459">
        <f t="shared" si="274"/>
        <v>0</v>
      </c>
      <c r="CZ169" s="461">
        <f t="shared" si="275"/>
        <v>9</v>
      </c>
      <c r="DA169" s="582">
        <f t="shared" si="276"/>
        <v>1</v>
      </c>
      <c r="DB169" s="113">
        <f t="shared" si="277"/>
        <v>0</v>
      </c>
      <c r="DC169" s="113">
        <f t="shared" si="278"/>
        <v>0</v>
      </c>
      <c r="DD169" s="113">
        <f t="shared" si="279"/>
        <v>1</v>
      </c>
      <c r="DE169" s="460">
        <f t="shared" si="280"/>
        <v>0</v>
      </c>
      <c r="DF169" s="582">
        <f t="shared" si="281"/>
        <v>8.0000000000000018</v>
      </c>
      <c r="DG169" s="113">
        <f t="shared" si="282"/>
        <v>8.0000000000000018</v>
      </c>
      <c r="DH169" s="113">
        <f t="shared" si="283"/>
        <v>0</v>
      </c>
      <c r="DI169" s="113">
        <f t="shared" si="284"/>
        <v>0</v>
      </c>
      <c r="DJ169" s="459">
        <f t="shared" si="285"/>
        <v>0</v>
      </c>
      <c r="DK169" s="461">
        <f t="shared" si="286"/>
        <v>0</v>
      </c>
      <c r="DL169" s="582">
        <f t="shared" si="287"/>
        <v>0</v>
      </c>
      <c r="DM169" s="113">
        <f t="shared" si="288"/>
        <v>0</v>
      </c>
      <c r="DN169" s="113">
        <f t="shared" si="289"/>
        <v>0</v>
      </c>
      <c r="DO169" s="113">
        <f t="shared" si="290"/>
        <v>0</v>
      </c>
      <c r="DP169" s="460">
        <f t="shared" si="291"/>
        <v>0</v>
      </c>
      <c r="DQ169" s="582">
        <f t="shared" si="292"/>
        <v>0</v>
      </c>
      <c r="DR169" s="113">
        <f t="shared" si="293"/>
        <v>0</v>
      </c>
      <c r="DS169" s="113">
        <f t="shared" si="294"/>
        <v>0</v>
      </c>
      <c r="DT169" s="113">
        <f t="shared" si="295"/>
        <v>0</v>
      </c>
      <c r="DU169" s="459">
        <f t="shared" si="296"/>
        <v>0</v>
      </c>
      <c r="DW169" s="461">
        <f t="shared" si="170"/>
        <v>317</v>
      </c>
      <c r="DX169" s="582">
        <f t="shared" si="170"/>
        <v>128</v>
      </c>
      <c r="DY169" s="113">
        <f t="shared" si="170"/>
        <v>108</v>
      </c>
      <c r="DZ169" s="113">
        <f t="shared" si="170"/>
        <v>0</v>
      </c>
      <c r="EA169" s="113">
        <f t="shared" si="170"/>
        <v>20</v>
      </c>
      <c r="EB169" s="460">
        <f t="shared" si="170"/>
        <v>0</v>
      </c>
      <c r="EC169" s="582">
        <f t="shared" si="170"/>
        <v>189</v>
      </c>
      <c r="ED169" s="113">
        <f t="shared" si="170"/>
        <v>157</v>
      </c>
      <c r="EE169" s="113">
        <f t="shared" si="170"/>
        <v>0</v>
      </c>
      <c r="EF169" s="113">
        <f t="shared" si="170"/>
        <v>13</v>
      </c>
      <c r="EG169" s="459">
        <f t="shared" si="170"/>
        <v>19</v>
      </c>
      <c r="EH169" s="461">
        <f t="shared" si="135"/>
        <v>98</v>
      </c>
      <c r="EI169" s="582">
        <f t="shared" si="135"/>
        <v>40.000000000000007</v>
      </c>
      <c r="EJ169" s="113">
        <f t="shared" si="135"/>
        <v>28.000000000000004</v>
      </c>
      <c r="EK169" s="113">
        <f t="shared" si="135"/>
        <v>0</v>
      </c>
      <c r="EL169" s="113">
        <f t="shared" si="135"/>
        <v>11.999999999999996</v>
      </c>
      <c r="EM169" s="460">
        <f t="shared" si="135"/>
        <v>0</v>
      </c>
      <c r="EN169" s="582">
        <f t="shared" si="135"/>
        <v>58</v>
      </c>
      <c r="EO169" s="113">
        <f t="shared" si="135"/>
        <v>43.999999999999993</v>
      </c>
      <c r="EP169" s="113">
        <f t="shared" si="141"/>
        <v>0</v>
      </c>
      <c r="EQ169" s="113">
        <f t="shared" si="141"/>
        <v>5</v>
      </c>
      <c r="ER169" s="459">
        <f t="shared" si="141"/>
        <v>9</v>
      </c>
    </row>
    <row r="170" spans="1:148">
      <c r="A170" s="665" t="s">
        <v>404</v>
      </c>
      <c r="B170" s="665">
        <v>43191</v>
      </c>
      <c r="C170" s="666">
        <v>2018</v>
      </c>
      <c r="D170" s="461">
        <f t="shared" ref="D170" si="309">D59/3+D169</f>
        <v>1046752.3333333335</v>
      </c>
      <c r="E170" s="461">
        <f t="shared" si="176"/>
        <v>13241.333333333334</v>
      </c>
      <c r="F170" s="582">
        <f t="shared" si="177"/>
        <v>5696.666666666667</v>
      </c>
      <c r="G170" s="113">
        <f t="shared" si="178"/>
        <v>4388</v>
      </c>
      <c r="H170" s="113">
        <f t="shared" si="179"/>
        <v>0</v>
      </c>
      <c r="I170" s="113">
        <f t="shared" si="180"/>
        <v>1308.666666666667</v>
      </c>
      <c r="J170" s="460">
        <f t="shared" si="181"/>
        <v>0</v>
      </c>
      <c r="K170" s="582">
        <f t="shared" si="182"/>
        <v>7544.6666666666661</v>
      </c>
      <c r="L170" s="113">
        <f t="shared" si="183"/>
        <v>5647.333333333333</v>
      </c>
      <c r="M170" s="113">
        <f t="shared" si="184"/>
        <v>0</v>
      </c>
      <c r="N170" s="113">
        <f t="shared" si="185"/>
        <v>1030.6666666666665</v>
      </c>
      <c r="O170" s="459">
        <f t="shared" si="186"/>
        <v>866.66666666666652</v>
      </c>
      <c r="P170" s="461">
        <f t="shared" si="187"/>
        <v>19.333333333333329</v>
      </c>
      <c r="Q170" s="582">
        <f t="shared" si="188"/>
        <v>5.6666666666666661</v>
      </c>
      <c r="R170" s="113">
        <f t="shared" si="189"/>
        <v>5.3333333333333339</v>
      </c>
      <c r="S170" s="113">
        <f t="shared" si="190"/>
        <v>0</v>
      </c>
      <c r="T170" s="113">
        <f t="shared" si="191"/>
        <v>0.33333333333333331</v>
      </c>
      <c r="U170" s="460">
        <f t="shared" si="192"/>
        <v>0</v>
      </c>
      <c r="V170" s="582">
        <f t="shared" si="193"/>
        <v>13.666666666666664</v>
      </c>
      <c r="W170" s="113">
        <f t="shared" si="194"/>
        <v>10</v>
      </c>
      <c r="X170" s="113">
        <f t="shared" si="195"/>
        <v>0</v>
      </c>
      <c r="Y170" s="113">
        <f t="shared" si="196"/>
        <v>2.333333333333333</v>
      </c>
      <c r="Z170" s="459">
        <f t="shared" si="197"/>
        <v>1.3333333333333333</v>
      </c>
      <c r="AA170" s="461">
        <f t="shared" si="198"/>
        <v>20.333333333333332</v>
      </c>
      <c r="AB170" s="582">
        <f t="shared" si="199"/>
        <v>3.666666666666667</v>
      </c>
      <c r="AC170" s="113">
        <f t="shared" si="200"/>
        <v>3.333333333333333</v>
      </c>
      <c r="AD170" s="113">
        <f t="shared" si="201"/>
        <v>0</v>
      </c>
      <c r="AE170" s="113">
        <f t="shared" si="202"/>
        <v>0.33333333333333331</v>
      </c>
      <c r="AF170" s="460">
        <f t="shared" si="203"/>
        <v>0</v>
      </c>
      <c r="AG170" s="582">
        <f t="shared" si="204"/>
        <v>16.666666666666671</v>
      </c>
      <c r="AH170" s="113">
        <f t="shared" si="205"/>
        <v>15.333333333333336</v>
      </c>
      <c r="AI170" s="113">
        <f t="shared" si="206"/>
        <v>0</v>
      </c>
      <c r="AJ170" s="113">
        <f t="shared" si="207"/>
        <v>0</v>
      </c>
      <c r="AK170" s="459">
        <f t="shared" si="208"/>
        <v>1.3333333333333333</v>
      </c>
      <c r="AL170" s="461">
        <f t="shared" si="209"/>
        <v>116.66666666666667</v>
      </c>
      <c r="AM170" s="582">
        <f t="shared" si="210"/>
        <v>50.000000000000007</v>
      </c>
      <c r="AN170" s="113">
        <f t="shared" si="211"/>
        <v>37.333333333333336</v>
      </c>
      <c r="AO170" s="113">
        <f t="shared" si="212"/>
        <v>0</v>
      </c>
      <c r="AP170" s="113">
        <f t="shared" si="213"/>
        <v>12.666666666666663</v>
      </c>
      <c r="AQ170" s="460">
        <f t="shared" si="214"/>
        <v>0</v>
      </c>
      <c r="AR170" s="582">
        <f t="shared" si="215"/>
        <v>66.666666666666671</v>
      </c>
      <c r="AS170" s="113">
        <f t="shared" si="216"/>
        <v>49.666666666666657</v>
      </c>
      <c r="AT170" s="113">
        <f t="shared" si="217"/>
        <v>0</v>
      </c>
      <c r="AU170" s="113">
        <f t="shared" si="218"/>
        <v>7.3333333333333339</v>
      </c>
      <c r="AV170" s="459">
        <f t="shared" si="219"/>
        <v>9.6666666666666661</v>
      </c>
      <c r="AW170" s="461">
        <f t="shared" si="220"/>
        <v>76.666666666666671</v>
      </c>
      <c r="AX170" s="582">
        <f t="shared" si="221"/>
        <v>28.666666666666668</v>
      </c>
      <c r="AY170" s="113">
        <f t="shared" si="222"/>
        <v>24.999999999999996</v>
      </c>
      <c r="AZ170" s="113">
        <f t="shared" si="223"/>
        <v>0</v>
      </c>
      <c r="BA170" s="113">
        <f t="shared" si="224"/>
        <v>3.6666666666666665</v>
      </c>
      <c r="BB170" s="460">
        <f t="shared" si="225"/>
        <v>0</v>
      </c>
      <c r="BC170" s="582">
        <f t="shared" si="226"/>
        <v>48</v>
      </c>
      <c r="BD170" s="113">
        <f t="shared" si="227"/>
        <v>41.333333333333336</v>
      </c>
      <c r="BE170" s="113">
        <f t="shared" si="228"/>
        <v>0</v>
      </c>
      <c r="BF170" s="113">
        <f t="shared" si="229"/>
        <v>2</v>
      </c>
      <c r="BG170" s="459">
        <f t="shared" si="230"/>
        <v>4.6666666666666661</v>
      </c>
      <c r="BH170" s="461">
        <f t="shared" si="231"/>
        <v>82.666666666666671</v>
      </c>
      <c r="BI170" s="582">
        <f t="shared" si="232"/>
        <v>42</v>
      </c>
      <c r="BJ170" s="113">
        <f t="shared" si="233"/>
        <v>36.333333333333329</v>
      </c>
      <c r="BK170" s="113">
        <f t="shared" si="234"/>
        <v>0</v>
      </c>
      <c r="BL170" s="113">
        <f t="shared" si="235"/>
        <v>5.6666666666666661</v>
      </c>
      <c r="BM170" s="460">
        <f t="shared" si="236"/>
        <v>0</v>
      </c>
      <c r="BN170" s="582">
        <f t="shared" si="237"/>
        <v>40.666666666666671</v>
      </c>
      <c r="BO170" s="113">
        <f t="shared" si="238"/>
        <v>31</v>
      </c>
      <c r="BP170" s="113">
        <f t="shared" si="239"/>
        <v>0</v>
      </c>
      <c r="BQ170" s="113">
        <f t="shared" si="240"/>
        <v>5.333333333333333</v>
      </c>
      <c r="BR170" s="459">
        <f t="shared" si="241"/>
        <v>4.333333333333333</v>
      </c>
      <c r="BS170" s="461">
        <f t="shared" si="242"/>
        <v>125.00000000000001</v>
      </c>
      <c r="BT170" s="582">
        <f t="shared" si="243"/>
        <v>57.666666666666671</v>
      </c>
      <c r="BU170" s="113">
        <f t="shared" si="244"/>
        <v>52.333333333333336</v>
      </c>
      <c r="BV170" s="113">
        <f t="shared" si="245"/>
        <v>0</v>
      </c>
      <c r="BW170" s="113">
        <f t="shared" si="246"/>
        <v>5.333333333333333</v>
      </c>
      <c r="BX170" s="460">
        <f t="shared" si="247"/>
        <v>0</v>
      </c>
      <c r="BY170" s="582">
        <f t="shared" si="248"/>
        <v>67.333333333333329</v>
      </c>
      <c r="BZ170" s="113">
        <f t="shared" si="249"/>
        <v>49.666666666666664</v>
      </c>
      <c r="CA170" s="113">
        <f t="shared" si="250"/>
        <v>0</v>
      </c>
      <c r="CB170" s="113">
        <f t="shared" si="251"/>
        <v>9</v>
      </c>
      <c r="CC170" s="459">
        <f t="shared" si="252"/>
        <v>8.6666666666666661</v>
      </c>
      <c r="CD170" s="461">
        <f t="shared" si="253"/>
        <v>41.999999999999993</v>
      </c>
      <c r="CE170" s="582">
        <f t="shared" si="254"/>
        <v>23.666666666666668</v>
      </c>
      <c r="CF170" s="113">
        <f t="shared" si="255"/>
        <v>17.666666666666668</v>
      </c>
      <c r="CG170" s="113">
        <f t="shared" si="256"/>
        <v>0</v>
      </c>
      <c r="CH170" s="113">
        <f t="shared" si="257"/>
        <v>5.9999999999999982</v>
      </c>
      <c r="CI170" s="460">
        <f t="shared" si="258"/>
        <v>0</v>
      </c>
      <c r="CJ170" s="582">
        <f t="shared" si="259"/>
        <v>18.333333333333332</v>
      </c>
      <c r="CK170" s="113">
        <f t="shared" si="260"/>
        <v>14.666666666666668</v>
      </c>
      <c r="CL170" s="113">
        <f t="shared" si="261"/>
        <v>0</v>
      </c>
      <c r="CM170" s="113">
        <f t="shared" si="262"/>
        <v>1.3333333333333333</v>
      </c>
      <c r="CN170" s="459">
        <f t="shared" si="263"/>
        <v>2.333333333333333</v>
      </c>
      <c r="CO170" s="461">
        <f t="shared" si="264"/>
        <v>19.666666666666668</v>
      </c>
      <c r="CP170" s="582">
        <f t="shared" si="265"/>
        <v>8.3333333333333339</v>
      </c>
      <c r="CQ170" s="113">
        <f t="shared" si="266"/>
        <v>8.3333333333333339</v>
      </c>
      <c r="CR170" s="113">
        <f t="shared" si="267"/>
        <v>0</v>
      </c>
      <c r="CS170" s="113">
        <f t="shared" si="268"/>
        <v>0</v>
      </c>
      <c r="CT170" s="460">
        <f t="shared" si="269"/>
        <v>0</v>
      </c>
      <c r="CU170" s="582">
        <f t="shared" si="270"/>
        <v>11.333333333333334</v>
      </c>
      <c r="CV170" s="113">
        <f t="shared" si="271"/>
        <v>11</v>
      </c>
      <c r="CW170" s="113">
        <f t="shared" si="272"/>
        <v>0</v>
      </c>
      <c r="CX170" s="113">
        <f t="shared" si="273"/>
        <v>0.33333333333333331</v>
      </c>
      <c r="CY170" s="459">
        <f t="shared" si="274"/>
        <v>0</v>
      </c>
      <c r="CZ170" s="461">
        <f t="shared" si="275"/>
        <v>9.3333333333333339</v>
      </c>
      <c r="DA170" s="582">
        <f t="shared" si="276"/>
        <v>1</v>
      </c>
      <c r="DB170" s="113">
        <f t="shared" si="277"/>
        <v>0</v>
      </c>
      <c r="DC170" s="113">
        <f t="shared" si="278"/>
        <v>0</v>
      </c>
      <c r="DD170" s="113">
        <f t="shared" si="279"/>
        <v>1</v>
      </c>
      <c r="DE170" s="460">
        <f t="shared" si="280"/>
        <v>0</v>
      </c>
      <c r="DF170" s="582">
        <f t="shared" si="281"/>
        <v>8.3333333333333357</v>
      </c>
      <c r="DG170" s="113">
        <f t="shared" si="282"/>
        <v>8.3333333333333357</v>
      </c>
      <c r="DH170" s="113">
        <f t="shared" si="283"/>
        <v>0</v>
      </c>
      <c r="DI170" s="113">
        <f t="shared" si="284"/>
        <v>0</v>
      </c>
      <c r="DJ170" s="459">
        <f t="shared" si="285"/>
        <v>0</v>
      </c>
      <c r="DK170" s="461">
        <f t="shared" si="286"/>
        <v>0</v>
      </c>
      <c r="DL170" s="582">
        <f t="shared" si="287"/>
        <v>0</v>
      </c>
      <c r="DM170" s="113">
        <f t="shared" si="288"/>
        <v>0</v>
      </c>
      <c r="DN170" s="113">
        <f t="shared" si="289"/>
        <v>0</v>
      </c>
      <c r="DO170" s="113">
        <f t="shared" si="290"/>
        <v>0</v>
      </c>
      <c r="DP170" s="460">
        <f t="shared" si="291"/>
        <v>0</v>
      </c>
      <c r="DQ170" s="582">
        <f t="shared" si="292"/>
        <v>0</v>
      </c>
      <c r="DR170" s="113">
        <f t="shared" si="293"/>
        <v>0</v>
      </c>
      <c r="DS170" s="113">
        <f t="shared" si="294"/>
        <v>0</v>
      </c>
      <c r="DT170" s="113">
        <f t="shared" si="295"/>
        <v>0</v>
      </c>
      <c r="DU170" s="459">
        <f t="shared" si="296"/>
        <v>0</v>
      </c>
      <c r="DW170" s="461">
        <f t="shared" si="170"/>
        <v>395</v>
      </c>
      <c r="DX170" s="582">
        <f t="shared" si="170"/>
        <v>170.66666666666669</v>
      </c>
      <c r="DY170" s="113">
        <f t="shared" si="170"/>
        <v>148.33333333333334</v>
      </c>
      <c r="DZ170" s="113">
        <f t="shared" si="170"/>
        <v>0</v>
      </c>
      <c r="EA170" s="113">
        <f t="shared" si="170"/>
        <v>22.333333333333329</v>
      </c>
      <c r="EB170" s="460">
        <f t="shared" si="170"/>
        <v>0</v>
      </c>
      <c r="EC170" s="582">
        <f t="shared" si="170"/>
        <v>224.33333333333337</v>
      </c>
      <c r="ED170" s="113">
        <f t="shared" si="170"/>
        <v>181.33333333333334</v>
      </c>
      <c r="EE170" s="113">
        <f t="shared" si="170"/>
        <v>0</v>
      </c>
      <c r="EF170" s="113">
        <f t="shared" si="170"/>
        <v>20.333333333333329</v>
      </c>
      <c r="EG170" s="459">
        <f t="shared" si="170"/>
        <v>22.666666666666661</v>
      </c>
      <c r="EH170" s="461">
        <f t="shared" si="135"/>
        <v>116.66666666666667</v>
      </c>
      <c r="EI170" s="582">
        <f t="shared" si="135"/>
        <v>50.000000000000007</v>
      </c>
      <c r="EJ170" s="113">
        <f t="shared" si="135"/>
        <v>37.333333333333336</v>
      </c>
      <c r="EK170" s="113">
        <f t="shared" si="135"/>
        <v>0</v>
      </c>
      <c r="EL170" s="113">
        <f t="shared" si="135"/>
        <v>12.666666666666663</v>
      </c>
      <c r="EM170" s="460">
        <f t="shared" si="135"/>
        <v>0</v>
      </c>
      <c r="EN170" s="582">
        <f t="shared" si="135"/>
        <v>66.666666666666671</v>
      </c>
      <c r="EO170" s="113">
        <f t="shared" si="135"/>
        <v>49.666666666666657</v>
      </c>
      <c r="EP170" s="113">
        <f t="shared" si="141"/>
        <v>0</v>
      </c>
      <c r="EQ170" s="113">
        <f t="shared" si="141"/>
        <v>7.3333333333333339</v>
      </c>
      <c r="ER170" s="459">
        <f t="shared" si="141"/>
        <v>9.6666666666666661</v>
      </c>
    </row>
    <row r="171" spans="1:148">
      <c r="A171" s="665" t="s">
        <v>404</v>
      </c>
      <c r="B171" s="665">
        <v>43221</v>
      </c>
      <c r="C171" s="666">
        <v>2018</v>
      </c>
      <c r="D171" s="461">
        <f t="shared" ref="D171" si="310">D60/3+D170</f>
        <v>1126712.6666666667</v>
      </c>
      <c r="E171" s="461">
        <f t="shared" si="176"/>
        <v>15557.666666666668</v>
      </c>
      <c r="F171" s="582">
        <f t="shared" si="177"/>
        <v>6902.3333333333339</v>
      </c>
      <c r="G171" s="113">
        <f t="shared" si="178"/>
        <v>5490</v>
      </c>
      <c r="H171" s="113">
        <f t="shared" si="179"/>
        <v>0</v>
      </c>
      <c r="I171" s="113">
        <f t="shared" si="180"/>
        <v>1412.3333333333337</v>
      </c>
      <c r="J171" s="460">
        <f t="shared" si="181"/>
        <v>0</v>
      </c>
      <c r="K171" s="582">
        <f t="shared" si="182"/>
        <v>8655.3333333333321</v>
      </c>
      <c r="L171" s="113">
        <f t="shared" si="183"/>
        <v>6386.6666666666661</v>
      </c>
      <c r="M171" s="113">
        <f t="shared" si="184"/>
        <v>0</v>
      </c>
      <c r="N171" s="113">
        <f t="shared" si="185"/>
        <v>1266.3333333333333</v>
      </c>
      <c r="O171" s="459">
        <f t="shared" si="186"/>
        <v>1002.3333333333331</v>
      </c>
      <c r="P171" s="461">
        <f t="shared" si="187"/>
        <v>23.666666666666661</v>
      </c>
      <c r="Q171" s="582">
        <f t="shared" si="188"/>
        <v>8.3333333333333321</v>
      </c>
      <c r="R171" s="113">
        <f t="shared" si="189"/>
        <v>7.6666666666666679</v>
      </c>
      <c r="S171" s="113">
        <f t="shared" si="190"/>
        <v>0</v>
      </c>
      <c r="T171" s="113">
        <f t="shared" si="191"/>
        <v>0.66666666666666663</v>
      </c>
      <c r="U171" s="460">
        <f t="shared" si="192"/>
        <v>0</v>
      </c>
      <c r="V171" s="582">
        <f t="shared" si="193"/>
        <v>15.33333333333333</v>
      </c>
      <c r="W171" s="113">
        <f t="shared" si="194"/>
        <v>11</v>
      </c>
      <c r="X171" s="113">
        <f t="shared" si="195"/>
        <v>0</v>
      </c>
      <c r="Y171" s="113">
        <f t="shared" si="196"/>
        <v>2.6666666666666665</v>
      </c>
      <c r="Z171" s="459">
        <f t="shared" si="197"/>
        <v>1.6666666666666665</v>
      </c>
      <c r="AA171" s="461">
        <f t="shared" si="198"/>
        <v>24.666666666666664</v>
      </c>
      <c r="AB171" s="582">
        <f t="shared" si="199"/>
        <v>5.3333333333333339</v>
      </c>
      <c r="AC171" s="113">
        <f t="shared" si="200"/>
        <v>4.6666666666666661</v>
      </c>
      <c r="AD171" s="113">
        <f t="shared" si="201"/>
        <v>0</v>
      </c>
      <c r="AE171" s="113">
        <f t="shared" si="202"/>
        <v>0.66666666666666663</v>
      </c>
      <c r="AF171" s="460">
        <f t="shared" si="203"/>
        <v>0</v>
      </c>
      <c r="AG171" s="582">
        <f t="shared" si="204"/>
        <v>19.333333333333339</v>
      </c>
      <c r="AH171" s="113">
        <f t="shared" si="205"/>
        <v>17.666666666666668</v>
      </c>
      <c r="AI171" s="113">
        <f t="shared" si="206"/>
        <v>0</v>
      </c>
      <c r="AJ171" s="113">
        <f t="shared" si="207"/>
        <v>0</v>
      </c>
      <c r="AK171" s="459">
        <f t="shared" si="208"/>
        <v>1.6666666666666665</v>
      </c>
      <c r="AL171" s="461">
        <f t="shared" si="209"/>
        <v>135.33333333333334</v>
      </c>
      <c r="AM171" s="582">
        <f t="shared" si="210"/>
        <v>60.000000000000007</v>
      </c>
      <c r="AN171" s="113">
        <f t="shared" si="211"/>
        <v>46.666666666666671</v>
      </c>
      <c r="AO171" s="113">
        <f t="shared" si="212"/>
        <v>0</v>
      </c>
      <c r="AP171" s="113">
        <f t="shared" si="213"/>
        <v>13.333333333333329</v>
      </c>
      <c r="AQ171" s="460">
        <f t="shared" si="214"/>
        <v>0</v>
      </c>
      <c r="AR171" s="582">
        <f t="shared" si="215"/>
        <v>75.333333333333343</v>
      </c>
      <c r="AS171" s="113">
        <f t="shared" si="216"/>
        <v>55.333333333333321</v>
      </c>
      <c r="AT171" s="113">
        <f t="shared" si="217"/>
        <v>0</v>
      </c>
      <c r="AU171" s="113">
        <f t="shared" si="218"/>
        <v>9.6666666666666679</v>
      </c>
      <c r="AV171" s="459">
        <f t="shared" si="219"/>
        <v>10.333333333333332</v>
      </c>
      <c r="AW171" s="461">
        <f t="shared" si="220"/>
        <v>90.333333333333343</v>
      </c>
      <c r="AX171" s="582">
        <f t="shared" si="221"/>
        <v>35.333333333333336</v>
      </c>
      <c r="AY171" s="113">
        <f t="shared" si="222"/>
        <v>30.999999999999996</v>
      </c>
      <c r="AZ171" s="113">
        <f t="shared" si="223"/>
        <v>0</v>
      </c>
      <c r="BA171" s="113">
        <f t="shared" si="224"/>
        <v>4.333333333333333</v>
      </c>
      <c r="BB171" s="460">
        <f t="shared" si="225"/>
        <v>0</v>
      </c>
      <c r="BC171" s="582">
        <f t="shared" si="226"/>
        <v>55</v>
      </c>
      <c r="BD171" s="113">
        <f t="shared" si="227"/>
        <v>46.666666666666671</v>
      </c>
      <c r="BE171" s="113">
        <f t="shared" si="228"/>
        <v>0</v>
      </c>
      <c r="BF171" s="113">
        <f t="shared" si="229"/>
        <v>3</v>
      </c>
      <c r="BG171" s="459">
        <f t="shared" si="230"/>
        <v>5.333333333333333</v>
      </c>
      <c r="BH171" s="461">
        <f t="shared" si="231"/>
        <v>100.33333333333334</v>
      </c>
      <c r="BI171" s="582">
        <f t="shared" si="232"/>
        <v>53</v>
      </c>
      <c r="BJ171" s="113">
        <f t="shared" si="233"/>
        <v>46.666666666666664</v>
      </c>
      <c r="BK171" s="113">
        <f t="shared" si="234"/>
        <v>0</v>
      </c>
      <c r="BL171" s="113">
        <f t="shared" si="235"/>
        <v>6.333333333333333</v>
      </c>
      <c r="BM171" s="460">
        <f t="shared" si="236"/>
        <v>0</v>
      </c>
      <c r="BN171" s="582">
        <f t="shared" si="237"/>
        <v>47.333333333333336</v>
      </c>
      <c r="BO171" s="113">
        <f t="shared" si="238"/>
        <v>35</v>
      </c>
      <c r="BP171" s="113">
        <f t="shared" si="239"/>
        <v>0</v>
      </c>
      <c r="BQ171" s="113">
        <f t="shared" si="240"/>
        <v>7.6666666666666661</v>
      </c>
      <c r="BR171" s="459">
        <f t="shared" si="241"/>
        <v>4.6666666666666661</v>
      </c>
      <c r="BS171" s="461">
        <f t="shared" si="242"/>
        <v>150</v>
      </c>
      <c r="BT171" s="582">
        <f t="shared" si="243"/>
        <v>71.333333333333343</v>
      </c>
      <c r="BU171" s="113">
        <f t="shared" si="244"/>
        <v>65.666666666666671</v>
      </c>
      <c r="BV171" s="113">
        <f t="shared" si="245"/>
        <v>0</v>
      </c>
      <c r="BW171" s="113">
        <f t="shared" si="246"/>
        <v>5.6666666666666661</v>
      </c>
      <c r="BX171" s="460">
        <f t="shared" si="247"/>
        <v>0</v>
      </c>
      <c r="BY171" s="582">
        <f t="shared" si="248"/>
        <v>78.666666666666657</v>
      </c>
      <c r="BZ171" s="113">
        <f t="shared" si="249"/>
        <v>56.333333333333329</v>
      </c>
      <c r="CA171" s="113">
        <f t="shared" si="250"/>
        <v>0</v>
      </c>
      <c r="CB171" s="113">
        <f t="shared" si="251"/>
        <v>12</v>
      </c>
      <c r="CC171" s="459">
        <f t="shared" si="252"/>
        <v>10.333333333333332</v>
      </c>
      <c r="CD171" s="461">
        <f t="shared" si="253"/>
        <v>47.999999999999993</v>
      </c>
      <c r="CE171" s="582">
        <f t="shared" si="254"/>
        <v>27.333333333333336</v>
      </c>
      <c r="CF171" s="113">
        <f t="shared" si="255"/>
        <v>21.333333333333336</v>
      </c>
      <c r="CG171" s="113">
        <f t="shared" si="256"/>
        <v>0</v>
      </c>
      <c r="CH171" s="113">
        <f t="shared" si="257"/>
        <v>5.9999999999999982</v>
      </c>
      <c r="CI171" s="460">
        <f t="shared" si="258"/>
        <v>0</v>
      </c>
      <c r="CJ171" s="582">
        <f t="shared" si="259"/>
        <v>20.666666666666664</v>
      </c>
      <c r="CK171" s="113">
        <f t="shared" si="260"/>
        <v>16.333333333333336</v>
      </c>
      <c r="CL171" s="113">
        <f t="shared" si="261"/>
        <v>0</v>
      </c>
      <c r="CM171" s="113">
        <f t="shared" si="262"/>
        <v>1.6666666666666665</v>
      </c>
      <c r="CN171" s="459">
        <f t="shared" si="263"/>
        <v>2.6666666666666665</v>
      </c>
      <c r="CO171" s="461">
        <f t="shared" si="264"/>
        <v>26.333333333333336</v>
      </c>
      <c r="CP171" s="582">
        <f t="shared" si="265"/>
        <v>11.666666666666668</v>
      </c>
      <c r="CQ171" s="113">
        <f t="shared" si="266"/>
        <v>11.666666666666668</v>
      </c>
      <c r="CR171" s="113">
        <f t="shared" si="267"/>
        <v>0</v>
      </c>
      <c r="CS171" s="113">
        <f t="shared" si="268"/>
        <v>0</v>
      </c>
      <c r="CT171" s="460">
        <f t="shared" si="269"/>
        <v>0</v>
      </c>
      <c r="CU171" s="582">
        <f t="shared" si="270"/>
        <v>14.666666666666668</v>
      </c>
      <c r="CV171" s="113">
        <f t="shared" si="271"/>
        <v>14</v>
      </c>
      <c r="CW171" s="113">
        <f t="shared" si="272"/>
        <v>0</v>
      </c>
      <c r="CX171" s="113">
        <f t="shared" si="273"/>
        <v>0.66666666666666663</v>
      </c>
      <c r="CY171" s="459">
        <f t="shared" si="274"/>
        <v>0</v>
      </c>
      <c r="CZ171" s="461">
        <f t="shared" si="275"/>
        <v>9.6666666666666679</v>
      </c>
      <c r="DA171" s="582">
        <f t="shared" si="276"/>
        <v>1</v>
      </c>
      <c r="DB171" s="113">
        <f t="shared" si="277"/>
        <v>0</v>
      </c>
      <c r="DC171" s="113">
        <f t="shared" si="278"/>
        <v>0</v>
      </c>
      <c r="DD171" s="113">
        <f t="shared" si="279"/>
        <v>1</v>
      </c>
      <c r="DE171" s="460">
        <f t="shared" si="280"/>
        <v>0</v>
      </c>
      <c r="DF171" s="582">
        <f t="shared" si="281"/>
        <v>8.6666666666666696</v>
      </c>
      <c r="DG171" s="113">
        <f t="shared" si="282"/>
        <v>8.6666666666666696</v>
      </c>
      <c r="DH171" s="113">
        <f t="shared" si="283"/>
        <v>0</v>
      </c>
      <c r="DI171" s="113">
        <f t="shared" si="284"/>
        <v>0</v>
      </c>
      <c r="DJ171" s="459">
        <f t="shared" si="285"/>
        <v>0</v>
      </c>
      <c r="DK171" s="461">
        <f t="shared" si="286"/>
        <v>0</v>
      </c>
      <c r="DL171" s="582">
        <f t="shared" si="287"/>
        <v>0</v>
      </c>
      <c r="DM171" s="113">
        <f t="shared" si="288"/>
        <v>0</v>
      </c>
      <c r="DN171" s="113">
        <f t="shared" si="289"/>
        <v>0</v>
      </c>
      <c r="DO171" s="113">
        <f t="shared" si="290"/>
        <v>0</v>
      </c>
      <c r="DP171" s="460">
        <f t="shared" si="291"/>
        <v>0</v>
      </c>
      <c r="DQ171" s="582">
        <f t="shared" si="292"/>
        <v>0</v>
      </c>
      <c r="DR171" s="113">
        <f t="shared" si="293"/>
        <v>0</v>
      </c>
      <c r="DS171" s="113">
        <f t="shared" si="294"/>
        <v>0</v>
      </c>
      <c r="DT171" s="113">
        <f t="shared" si="295"/>
        <v>0</v>
      </c>
      <c r="DU171" s="459">
        <f t="shared" si="296"/>
        <v>0</v>
      </c>
      <c r="DW171" s="461">
        <f t="shared" si="170"/>
        <v>473</v>
      </c>
      <c r="DX171" s="582">
        <f t="shared" si="170"/>
        <v>213.33333333333334</v>
      </c>
      <c r="DY171" s="113">
        <f t="shared" si="170"/>
        <v>188.66666666666669</v>
      </c>
      <c r="DZ171" s="113">
        <f t="shared" si="170"/>
        <v>0</v>
      </c>
      <c r="EA171" s="113">
        <f t="shared" si="170"/>
        <v>24.666666666666664</v>
      </c>
      <c r="EB171" s="460">
        <f t="shared" si="170"/>
        <v>0</v>
      </c>
      <c r="EC171" s="582">
        <f t="shared" si="170"/>
        <v>259.66666666666663</v>
      </c>
      <c r="ED171" s="113">
        <f t="shared" si="170"/>
        <v>205.66666666666669</v>
      </c>
      <c r="EE171" s="113">
        <f t="shared" si="170"/>
        <v>0</v>
      </c>
      <c r="EF171" s="113">
        <f t="shared" si="170"/>
        <v>27.666666666666668</v>
      </c>
      <c r="EG171" s="459">
        <f t="shared" si="170"/>
        <v>26.333333333333332</v>
      </c>
      <c r="EH171" s="461">
        <f t="shared" si="135"/>
        <v>135.33333333333334</v>
      </c>
      <c r="EI171" s="582">
        <f t="shared" si="135"/>
        <v>60.000000000000007</v>
      </c>
      <c r="EJ171" s="113">
        <f t="shared" si="135"/>
        <v>46.666666666666671</v>
      </c>
      <c r="EK171" s="113">
        <f t="shared" si="135"/>
        <v>0</v>
      </c>
      <c r="EL171" s="113">
        <f t="shared" si="135"/>
        <v>13.333333333333329</v>
      </c>
      <c r="EM171" s="460">
        <f t="shared" si="135"/>
        <v>0</v>
      </c>
      <c r="EN171" s="582">
        <f t="shared" si="135"/>
        <v>75.333333333333343</v>
      </c>
      <c r="EO171" s="113">
        <f t="shared" si="135"/>
        <v>55.333333333333321</v>
      </c>
      <c r="EP171" s="113">
        <f t="shared" si="141"/>
        <v>0</v>
      </c>
      <c r="EQ171" s="113">
        <f t="shared" si="141"/>
        <v>9.6666666666666679</v>
      </c>
      <c r="ER171" s="459">
        <f t="shared" si="141"/>
        <v>10.333333333333332</v>
      </c>
    </row>
    <row r="172" spans="1:148">
      <c r="A172" s="665" t="s">
        <v>404</v>
      </c>
      <c r="B172" s="665">
        <v>43252</v>
      </c>
      <c r="C172" s="666">
        <v>2018</v>
      </c>
      <c r="D172" s="461">
        <f t="shared" ref="D172:D188" si="311">D61/3+D171</f>
        <v>1206673</v>
      </c>
      <c r="E172" s="461">
        <f t="shared" si="176"/>
        <v>17874</v>
      </c>
      <c r="F172" s="582">
        <f t="shared" si="177"/>
        <v>8108.0000000000009</v>
      </c>
      <c r="G172" s="113">
        <f t="shared" si="178"/>
        <v>6592</v>
      </c>
      <c r="H172" s="113">
        <f t="shared" si="179"/>
        <v>0</v>
      </c>
      <c r="I172" s="113">
        <f t="shared" si="180"/>
        <v>1516.0000000000005</v>
      </c>
      <c r="J172" s="460">
        <f t="shared" si="181"/>
        <v>0</v>
      </c>
      <c r="K172" s="582">
        <f t="shared" si="182"/>
        <v>9765.9999999999982</v>
      </c>
      <c r="L172" s="113">
        <f t="shared" si="183"/>
        <v>7125.9999999999991</v>
      </c>
      <c r="M172" s="113">
        <f t="shared" si="184"/>
        <v>0</v>
      </c>
      <c r="N172" s="113">
        <f t="shared" si="185"/>
        <v>1502</v>
      </c>
      <c r="O172" s="459">
        <f t="shared" si="186"/>
        <v>1137.9999999999998</v>
      </c>
      <c r="P172" s="461">
        <f t="shared" si="187"/>
        <v>27.999999999999993</v>
      </c>
      <c r="Q172" s="582">
        <f t="shared" si="188"/>
        <v>10.999999999999998</v>
      </c>
      <c r="R172" s="113">
        <f t="shared" si="189"/>
        <v>10.000000000000002</v>
      </c>
      <c r="S172" s="113">
        <f t="shared" si="190"/>
        <v>0</v>
      </c>
      <c r="T172" s="113">
        <f t="shared" si="191"/>
        <v>1</v>
      </c>
      <c r="U172" s="460">
        <f t="shared" si="192"/>
        <v>0</v>
      </c>
      <c r="V172" s="582">
        <f t="shared" si="193"/>
        <v>16.999999999999996</v>
      </c>
      <c r="W172" s="113">
        <f t="shared" si="194"/>
        <v>12</v>
      </c>
      <c r="X172" s="113">
        <f t="shared" si="195"/>
        <v>0</v>
      </c>
      <c r="Y172" s="113">
        <f t="shared" si="196"/>
        <v>3</v>
      </c>
      <c r="Z172" s="459">
        <f t="shared" si="197"/>
        <v>1.9999999999999998</v>
      </c>
      <c r="AA172" s="461">
        <f t="shared" si="198"/>
        <v>28.999999999999996</v>
      </c>
      <c r="AB172" s="582">
        <f t="shared" si="199"/>
        <v>7.0000000000000009</v>
      </c>
      <c r="AC172" s="113">
        <f t="shared" si="200"/>
        <v>5.9999999999999991</v>
      </c>
      <c r="AD172" s="113">
        <f t="shared" si="201"/>
        <v>0</v>
      </c>
      <c r="AE172" s="113">
        <f t="shared" si="202"/>
        <v>1</v>
      </c>
      <c r="AF172" s="460">
        <f t="shared" si="203"/>
        <v>0</v>
      </c>
      <c r="AG172" s="582">
        <f t="shared" si="204"/>
        <v>22.000000000000007</v>
      </c>
      <c r="AH172" s="113">
        <f t="shared" si="205"/>
        <v>20</v>
      </c>
      <c r="AI172" s="113">
        <f t="shared" si="206"/>
        <v>0</v>
      </c>
      <c r="AJ172" s="113">
        <f t="shared" si="207"/>
        <v>0</v>
      </c>
      <c r="AK172" s="459">
        <f t="shared" si="208"/>
        <v>1.9999999999999998</v>
      </c>
      <c r="AL172" s="461">
        <f t="shared" si="209"/>
        <v>154</v>
      </c>
      <c r="AM172" s="582">
        <f t="shared" si="210"/>
        <v>70</v>
      </c>
      <c r="AN172" s="113">
        <f t="shared" si="211"/>
        <v>56.000000000000007</v>
      </c>
      <c r="AO172" s="113">
        <f t="shared" si="212"/>
        <v>0</v>
      </c>
      <c r="AP172" s="113">
        <f t="shared" si="213"/>
        <v>13.999999999999995</v>
      </c>
      <c r="AQ172" s="460">
        <f t="shared" si="214"/>
        <v>0</v>
      </c>
      <c r="AR172" s="582">
        <f t="shared" si="215"/>
        <v>84.000000000000014</v>
      </c>
      <c r="AS172" s="113">
        <f t="shared" si="216"/>
        <v>60.999999999999986</v>
      </c>
      <c r="AT172" s="113">
        <f t="shared" si="217"/>
        <v>0</v>
      </c>
      <c r="AU172" s="113">
        <f t="shared" si="218"/>
        <v>12.000000000000002</v>
      </c>
      <c r="AV172" s="459">
        <f t="shared" si="219"/>
        <v>10.999999999999998</v>
      </c>
      <c r="AW172" s="461">
        <f t="shared" si="220"/>
        <v>104.00000000000001</v>
      </c>
      <c r="AX172" s="582">
        <f t="shared" si="221"/>
        <v>42</v>
      </c>
      <c r="AY172" s="113">
        <f t="shared" si="222"/>
        <v>37</v>
      </c>
      <c r="AZ172" s="113">
        <f t="shared" si="223"/>
        <v>0</v>
      </c>
      <c r="BA172" s="113">
        <f t="shared" si="224"/>
        <v>5</v>
      </c>
      <c r="BB172" s="460">
        <f t="shared" si="225"/>
        <v>0</v>
      </c>
      <c r="BC172" s="582">
        <f t="shared" si="226"/>
        <v>62</v>
      </c>
      <c r="BD172" s="113">
        <f t="shared" si="227"/>
        <v>52.000000000000007</v>
      </c>
      <c r="BE172" s="113">
        <f t="shared" si="228"/>
        <v>0</v>
      </c>
      <c r="BF172" s="113">
        <f t="shared" si="229"/>
        <v>4</v>
      </c>
      <c r="BG172" s="459">
        <f t="shared" si="230"/>
        <v>6</v>
      </c>
      <c r="BH172" s="461">
        <f t="shared" si="231"/>
        <v>118.00000000000001</v>
      </c>
      <c r="BI172" s="582">
        <f t="shared" si="232"/>
        <v>64</v>
      </c>
      <c r="BJ172" s="113">
        <f t="shared" si="233"/>
        <v>57</v>
      </c>
      <c r="BK172" s="113">
        <f t="shared" si="234"/>
        <v>0</v>
      </c>
      <c r="BL172" s="113">
        <f t="shared" si="235"/>
        <v>7</v>
      </c>
      <c r="BM172" s="460">
        <f t="shared" si="236"/>
        <v>0</v>
      </c>
      <c r="BN172" s="582">
        <f t="shared" si="237"/>
        <v>54</v>
      </c>
      <c r="BO172" s="113">
        <f t="shared" si="238"/>
        <v>39</v>
      </c>
      <c r="BP172" s="113">
        <f t="shared" si="239"/>
        <v>0</v>
      </c>
      <c r="BQ172" s="113">
        <f t="shared" si="240"/>
        <v>10</v>
      </c>
      <c r="BR172" s="459">
        <f t="shared" si="241"/>
        <v>4.9999999999999991</v>
      </c>
      <c r="BS172" s="461">
        <f t="shared" si="242"/>
        <v>175</v>
      </c>
      <c r="BT172" s="582">
        <f t="shared" si="243"/>
        <v>85.000000000000014</v>
      </c>
      <c r="BU172" s="113">
        <f t="shared" si="244"/>
        <v>79</v>
      </c>
      <c r="BV172" s="113">
        <f t="shared" si="245"/>
        <v>0</v>
      </c>
      <c r="BW172" s="113">
        <f t="shared" si="246"/>
        <v>5.9999999999999991</v>
      </c>
      <c r="BX172" s="460">
        <f t="shared" si="247"/>
        <v>0</v>
      </c>
      <c r="BY172" s="582">
        <f t="shared" si="248"/>
        <v>89.999999999999986</v>
      </c>
      <c r="BZ172" s="113">
        <f t="shared" si="249"/>
        <v>62.999999999999993</v>
      </c>
      <c r="CA172" s="113">
        <f t="shared" si="250"/>
        <v>0</v>
      </c>
      <c r="CB172" s="113">
        <f t="shared" si="251"/>
        <v>15</v>
      </c>
      <c r="CC172" s="459">
        <f t="shared" si="252"/>
        <v>11.999999999999998</v>
      </c>
      <c r="CD172" s="461">
        <f t="shared" si="253"/>
        <v>53.999999999999993</v>
      </c>
      <c r="CE172" s="582">
        <f t="shared" si="254"/>
        <v>31.000000000000004</v>
      </c>
      <c r="CF172" s="113">
        <f t="shared" si="255"/>
        <v>25.000000000000004</v>
      </c>
      <c r="CG172" s="113">
        <f t="shared" si="256"/>
        <v>0</v>
      </c>
      <c r="CH172" s="113">
        <f t="shared" si="257"/>
        <v>5.9999999999999982</v>
      </c>
      <c r="CI172" s="460">
        <f t="shared" si="258"/>
        <v>0</v>
      </c>
      <c r="CJ172" s="582">
        <f t="shared" si="259"/>
        <v>22.999999999999996</v>
      </c>
      <c r="CK172" s="113">
        <f t="shared" si="260"/>
        <v>18.000000000000004</v>
      </c>
      <c r="CL172" s="113">
        <f t="shared" si="261"/>
        <v>0</v>
      </c>
      <c r="CM172" s="113">
        <f t="shared" si="262"/>
        <v>1.9999999999999998</v>
      </c>
      <c r="CN172" s="459">
        <f t="shared" si="263"/>
        <v>3</v>
      </c>
      <c r="CO172" s="461">
        <f t="shared" si="264"/>
        <v>33</v>
      </c>
      <c r="CP172" s="582">
        <f t="shared" si="265"/>
        <v>15.000000000000002</v>
      </c>
      <c r="CQ172" s="113">
        <f t="shared" si="266"/>
        <v>15.000000000000002</v>
      </c>
      <c r="CR172" s="113">
        <f t="shared" si="267"/>
        <v>0</v>
      </c>
      <c r="CS172" s="113">
        <f t="shared" si="268"/>
        <v>0</v>
      </c>
      <c r="CT172" s="460">
        <f t="shared" si="269"/>
        <v>0</v>
      </c>
      <c r="CU172" s="582">
        <f t="shared" si="270"/>
        <v>18</v>
      </c>
      <c r="CV172" s="113">
        <f t="shared" si="271"/>
        <v>17</v>
      </c>
      <c r="CW172" s="113">
        <f t="shared" si="272"/>
        <v>0</v>
      </c>
      <c r="CX172" s="113">
        <f t="shared" si="273"/>
        <v>1</v>
      </c>
      <c r="CY172" s="459">
        <f t="shared" si="274"/>
        <v>0</v>
      </c>
      <c r="CZ172" s="461">
        <f t="shared" si="275"/>
        <v>10.000000000000002</v>
      </c>
      <c r="DA172" s="582">
        <f t="shared" si="276"/>
        <v>1</v>
      </c>
      <c r="DB172" s="113">
        <f t="shared" si="277"/>
        <v>0</v>
      </c>
      <c r="DC172" s="113">
        <f t="shared" si="278"/>
        <v>0</v>
      </c>
      <c r="DD172" s="113">
        <f t="shared" si="279"/>
        <v>1</v>
      </c>
      <c r="DE172" s="460">
        <f t="shared" si="280"/>
        <v>0</v>
      </c>
      <c r="DF172" s="582">
        <f t="shared" si="281"/>
        <v>9.0000000000000036</v>
      </c>
      <c r="DG172" s="113">
        <f t="shared" si="282"/>
        <v>9.0000000000000036</v>
      </c>
      <c r="DH172" s="113">
        <f t="shared" si="283"/>
        <v>0</v>
      </c>
      <c r="DI172" s="113">
        <f t="shared" si="284"/>
        <v>0</v>
      </c>
      <c r="DJ172" s="459">
        <f t="shared" si="285"/>
        <v>0</v>
      </c>
      <c r="DK172" s="461">
        <f t="shared" si="286"/>
        <v>0</v>
      </c>
      <c r="DL172" s="582">
        <f t="shared" si="287"/>
        <v>0</v>
      </c>
      <c r="DM172" s="113">
        <f t="shared" si="288"/>
        <v>0</v>
      </c>
      <c r="DN172" s="113">
        <f t="shared" si="289"/>
        <v>0</v>
      </c>
      <c r="DO172" s="113">
        <f t="shared" si="290"/>
        <v>0</v>
      </c>
      <c r="DP172" s="460">
        <f t="shared" si="291"/>
        <v>0</v>
      </c>
      <c r="DQ172" s="582">
        <f t="shared" si="292"/>
        <v>0</v>
      </c>
      <c r="DR172" s="113">
        <f t="shared" si="293"/>
        <v>0</v>
      </c>
      <c r="DS172" s="113">
        <f t="shared" si="294"/>
        <v>0</v>
      </c>
      <c r="DT172" s="113">
        <f t="shared" si="295"/>
        <v>0</v>
      </c>
      <c r="DU172" s="459">
        <f t="shared" si="296"/>
        <v>0</v>
      </c>
      <c r="DW172" s="461">
        <f t="shared" si="170"/>
        <v>551</v>
      </c>
      <c r="DX172" s="582">
        <f t="shared" si="170"/>
        <v>256</v>
      </c>
      <c r="DY172" s="113">
        <f t="shared" si="170"/>
        <v>229</v>
      </c>
      <c r="DZ172" s="113">
        <f t="shared" si="170"/>
        <v>0</v>
      </c>
      <c r="EA172" s="113">
        <f t="shared" si="170"/>
        <v>27</v>
      </c>
      <c r="EB172" s="460">
        <f t="shared" si="170"/>
        <v>0</v>
      </c>
      <c r="EC172" s="582">
        <f t="shared" si="170"/>
        <v>295</v>
      </c>
      <c r="ED172" s="113">
        <f t="shared" si="170"/>
        <v>230</v>
      </c>
      <c r="EE172" s="113">
        <f t="shared" si="170"/>
        <v>0</v>
      </c>
      <c r="EF172" s="113">
        <f t="shared" si="170"/>
        <v>35</v>
      </c>
      <c r="EG172" s="459">
        <f t="shared" si="170"/>
        <v>30</v>
      </c>
      <c r="EH172" s="461">
        <f t="shared" si="135"/>
        <v>154</v>
      </c>
      <c r="EI172" s="582">
        <f t="shared" si="135"/>
        <v>70</v>
      </c>
      <c r="EJ172" s="113">
        <f t="shared" si="135"/>
        <v>56.000000000000007</v>
      </c>
      <c r="EK172" s="113">
        <f t="shared" si="135"/>
        <v>0</v>
      </c>
      <c r="EL172" s="113">
        <f t="shared" si="135"/>
        <v>13.999999999999995</v>
      </c>
      <c r="EM172" s="460">
        <f t="shared" si="135"/>
        <v>0</v>
      </c>
      <c r="EN172" s="582">
        <f t="shared" si="135"/>
        <v>84.000000000000014</v>
      </c>
      <c r="EO172" s="113">
        <f t="shared" si="135"/>
        <v>60.999999999999986</v>
      </c>
      <c r="EP172" s="113">
        <f t="shared" si="141"/>
        <v>0</v>
      </c>
      <c r="EQ172" s="113">
        <f t="shared" si="141"/>
        <v>12.000000000000002</v>
      </c>
      <c r="ER172" s="459">
        <f t="shared" si="141"/>
        <v>10.999999999999998</v>
      </c>
    </row>
    <row r="173" spans="1:148">
      <c r="A173" s="665" t="s">
        <v>405</v>
      </c>
      <c r="B173" s="665">
        <v>43282</v>
      </c>
      <c r="C173" s="666">
        <v>2018</v>
      </c>
      <c r="D173" s="461">
        <f t="shared" si="311"/>
        <v>1279597</v>
      </c>
      <c r="E173" s="461">
        <f t="shared" si="176"/>
        <v>19600</v>
      </c>
      <c r="F173" s="582">
        <f t="shared" si="177"/>
        <v>8950</v>
      </c>
      <c r="G173" s="113">
        <f t="shared" si="178"/>
        <v>7350.333333333333</v>
      </c>
      <c r="H173" s="113">
        <f t="shared" si="179"/>
        <v>0</v>
      </c>
      <c r="I173" s="113">
        <f t="shared" si="180"/>
        <v>1599.6666666666672</v>
      </c>
      <c r="J173" s="460">
        <f t="shared" si="181"/>
        <v>0</v>
      </c>
      <c r="K173" s="582">
        <f t="shared" si="182"/>
        <v>10649.999999999998</v>
      </c>
      <c r="L173" s="113">
        <f t="shared" si="183"/>
        <v>7660.3333333333321</v>
      </c>
      <c r="M173" s="113">
        <f t="shared" si="184"/>
        <v>0</v>
      </c>
      <c r="N173" s="113">
        <f t="shared" si="185"/>
        <v>1783.3333333333333</v>
      </c>
      <c r="O173" s="459">
        <f t="shared" si="186"/>
        <v>1206.333333333333</v>
      </c>
      <c r="P173" s="461">
        <f t="shared" si="187"/>
        <v>30.999999999999993</v>
      </c>
      <c r="Q173" s="582">
        <f t="shared" si="188"/>
        <v>12.333333333333332</v>
      </c>
      <c r="R173" s="113">
        <f t="shared" si="189"/>
        <v>11.333333333333336</v>
      </c>
      <c r="S173" s="113">
        <f t="shared" si="190"/>
        <v>0</v>
      </c>
      <c r="T173" s="113">
        <f t="shared" si="191"/>
        <v>1</v>
      </c>
      <c r="U173" s="460">
        <f t="shared" si="192"/>
        <v>0</v>
      </c>
      <c r="V173" s="582">
        <f t="shared" si="193"/>
        <v>18.666666666666664</v>
      </c>
      <c r="W173" s="113">
        <f t="shared" si="194"/>
        <v>13</v>
      </c>
      <c r="X173" s="113">
        <f t="shared" si="195"/>
        <v>0</v>
      </c>
      <c r="Y173" s="113">
        <f t="shared" si="196"/>
        <v>3.6666666666666665</v>
      </c>
      <c r="Z173" s="459">
        <f t="shared" si="197"/>
        <v>1.9999999999999998</v>
      </c>
      <c r="AA173" s="461">
        <f t="shared" si="198"/>
        <v>31.333333333333329</v>
      </c>
      <c r="AB173" s="582">
        <f t="shared" si="199"/>
        <v>8</v>
      </c>
      <c r="AC173" s="113">
        <f t="shared" si="200"/>
        <v>6.9999999999999991</v>
      </c>
      <c r="AD173" s="113">
        <f t="shared" si="201"/>
        <v>0</v>
      </c>
      <c r="AE173" s="113">
        <f t="shared" si="202"/>
        <v>1</v>
      </c>
      <c r="AF173" s="460">
        <f t="shared" si="203"/>
        <v>0</v>
      </c>
      <c r="AG173" s="582">
        <f t="shared" si="204"/>
        <v>23.333333333333339</v>
      </c>
      <c r="AH173" s="113">
        <f t="shared" si="205"/>
        <v>21</v>
      </c>
      <c r="AI173" s="113">
        <f t="shared" si="206"/>
        <v>0</v>
      </c>
      <c r="AJ173" s="113">
        <f t="shared" si="207"/>
        <v>0</v>
      </c>
      <c r="AK173" s="459">
        <f t="shared" si="208"/>
        <v>2.333333333333333</v>
      </c>
      <c r="AL173" s="461">
        <f t="shared" si="209"/>
        <v>168</v>
      </c>
      <c r="AM173" s="582">
        <f t="shared" si="210"/>
        <v>78</v>
      </c>
      <c r="AN173" s="113">
        <f t="shared" si="211"/>
        <v>63.333333333333343</v>
      </c>
      <c r="AO173" s="113">
        <f t="shared" si="212"/>
        <v>0</v>
      </c>
      <c r="AP173" s="113">
        <f t="shared" si="213"/>
        <v>14.666666666666661</v>
      </c>
      <c r="AQ173" s="460">
        <f t="shared" si="214"/>
        <v>0</v>
      </c>
      <c r="AR173" s="582">
        <f t="shared" si="215"/>
        <v>90.000000000000014</v>
      </c>
      <c r="AS173" s="113">
        <f t="shared" si="216"/>
        <v>64.333333333333314</v>
      </c>
      <c r="AT173" s="113">
        <f t="shared" si="217"/>
        <v>0</v>
      </c>
      <c r="AU173" s="113">
        <f t="shared" si="218"/>
        <v>14.333333333333336</v>
      </c>
      <c r="AV173" s="459">
        <f t="shared" si="219"/>
        <v>11.333333333333332</v>
      </c>
      <c r="AW173" s="461">
        <f t="shared" si="220"/>
        <v>111.66666666666669</v>
      </c>
      <c r="AX173" s="582">
        <f t="shared" si="221"/>
        <v>45.666666666666664</v>
      </c>
      <c r="AY173" s="113">
        <f t="shared" si="222"/>
        <v>40</v>
      </c>
      <c r="AZ173" s="113">
        <f t="shared" si="223"/>
        <v>0</v>
      </c>
      <c r="BA173" s="113">
        <f t="shared" si="224"/>
        <v>5.666666666666667</v>
      </c>
      <c r="BB173" s="460">
        <f t="shared" si="225"/>
        <v>0</v>
      </c>
      <c r="BC173" s="582">
        <f t="shared" si="226"/>
        <v>66</v>
      </c>
      <c r="BD173" s="113">
        <f t="shared" si="227"/>
        <v>54.000000000000007</v>
      </c>
      <c r="BE173" s="113">
        <f t="shared" si="228"/>
        <v>0</v>
      </c>
      <c r="BF173" s="113">
        <f t="shared" si="229"/>
        <v>5.666666666666667</v>
      </c>
      <c r="BG173" s="459">
        <f t="shared" si="230"/>
        <v>6.333333333333333</v>
      </c>
      <c r="BH173" s="461">
        <f t="shared" si="231"/>
        <v>131.66666666666669</v>
      </c>
      <c r="BI173" s="582">
        <f t="shared" si="232"/>
        <v>70.333333333333329</v>
      </c>
      <c r="BJ173" s="113">
        <f t="shared" si="233"/>
        <v>63</v>
      </c>
      <c r="BK173" s="113">
        <f t="shared" si="234"/>
        <v>0</v>
      </c>
      <c r="BL173" s="113">
        <f t="shared" si="235"/>
        <v>7.333333333333333</v>
      </c>
      <c r="BM173" s="460">
        <f t="shared" si="236"/>
        <v>0</v>
      </c>
      <c r="BN173" s="582">
        <f t="shared" si="237"/>
        <v>61.333333333333336</v>
      </c>
      <c r="BO173" s="113">
        <f t="shared" si="238"/>
        <v>42</v>
      </c>
      <c r="BP173" s="113">
        <f t="shared" si="239"/>
        <v>0</v>
      </c>
      <c r="BQ173" s="113">
        <f t="shared" si="240"/>
        <v>13.666666666666666</v>
      </c>
      <c r="BR173" s="459">
        <f t="shared" si="241"/>
        <v>5.6666666666666661</v>
      </c>
      <c r="BS173" s="461">
        <f t="shared" si="242"/>
        <v>191.33333333333334</v>
      </c>
      <c r="BT173" s="582">
        <f t="shared" si="243"/>
        <v>91.000000000000014</v>
      </c>
      <c r="BU173" s="113">
        <f t="shared" si="244"/>
        <v>84</v>
      </c>
      <c r="BV173" s="113">
        <f t="shared" si="245"/>
        <v>0</v>
      </c>
      <c r="BW173" s="113">
        <f t="shared" si="246"/>
        <v>6.9999999999999991</v>
      </c>
      <c r="BX173" s="460">
        <f t="shared" si="247"/>
        <v>0</v>
      </c>
      <c r="BY173" s="582">
        <f t="shared" si="248"/>
        <v>100.33333333333331</v>
      </c>
      <c r="BZ173" s="113">
        <f t="shared" si="249"/>
        <v>67.666666666666657</v>
      </c>
      <c r="CA173" s="113">
        <f t="shared" si="250"/>
        <v>0</v>
      </c>
      <c r="CB173" s="113">
        <f t="shared" si="251"/>
        <v>19.666666666666668</v>
      </c>
      <c r="CC173" s="459">
        <f t="shared" si="252"/>
        <v>12.999999999999998</v>
      </c>
      <c r="CD173" s="461">
        <f t="shared" si="253"/>
        <v>57.999999999999993</v>
      </c>
      <c r="CE173" s="582">
        <f t="shared" si="254"/>
        <v>33.333333333333336</v>
      </c>
      <c r="CF173" s="113">
        <f t="shared" si="255"/>
        <v>27.000000000000004</v>
      </c>
      <c r="CG173" s="113">
        <f t="shared" si="256"/>
        <v>0</v>
      </c>
      <c r="CH173" s="113">
        <f t="shared" si="257"/>
        <v>6.3333333333333313</v>
      </c>
      <c r="CI173" s="460">
        <f t="shared" si="258"/>
        <v>0</v>
      </c>
      <c r="CJ173" s="582">
        <f t="shared" si="259"/>
        <v>24.666666666666664</v>
      </c>
      <c r="CK173" s="113">
        <f t="shared" si="260"/>
        <v>18.333333333333336</v>
      </c>
      <c r="CL173" s="113">
        <f t="shared" si="261"/>
        <v>0</v>
      </c>
      <c r="CM173" s="113">
        <f t="shared" si="262"/>
        <v>3.333333333333333</v>
      </c>
      <c r="CN173" s="459">
        <f t="shared" si="263"/>
        <v>3</v>
      </c>
      <c r="CO173" s="461">
        <f t="shared" si="264"/>
        <v>37</v>
      </c>
      <c r="CP173" s="582">
        <f t="shared" si="265"/>
        <v>16.333333333333336</v>
      </c>
      <c r="CQ173" s="113">
        <f t="shared" si="266"/>
        <v>16.333333333333336</v>
      </c>
      <c r="CR173" s="113">
        <f t="shared" si="267"/>
        <v>0</v>
      </c>
      <c r="CS173" s="113">
        <f t="shared" si="268"/>
        <v>0</v>
      </c>
      <c r="CT173" s="460">
        <f t="shared" si="269"/>
        <v>0</v>
      </c>
      <c r="CU173" s="582">
        <f t="shared" si="270"/>
        <v>20.666666666666668</v>
      </c>
      <c r="CV173" s="113">
        <f t="shared" si="271"/>
        <v>17.333333333333332</v>
      </c>
      <c r="CW173" s="113">
        <f t="shared" si="272"/>
        <v>0</v>
      </c>
      <c r="CX173" s="113">
        <f t="shared" si="273"/>
        <v>3.3333333333333335</v>
      </c>
      <c r="CY173" s="459">
        <f t="shared" si="274"/>
        <v>0</v>
      </c>
      <c r="CZ173" s="461">
        <f t="shared" si="275"/>
        <v>11.000000000000002</v>
      </c>
      <c r="DA173" s="582">
        <f t="shared" si="276"/>
        <v>1.3333333333333333</v>
      </c>
      <c r="DB173" s="113">
        <f t="shared" si="277"/>
        <v>0</v>
      </c>
      <c r="DC173" s="113">
        <f t="shared" si="278"/>
        <v>0</v>
      </c>
      <c r="DD173" s="113">
        <f t="shared" si="279"/>
        <v>1.3333333333333333</v>
      </c>
      <c r="DE173" s="460">
        <f t="shared" si="280"/>
        <v>0</v>
      </c>
      <c r="DF173" s="582">
        <f t="shared" si="281"/>
        <v>9.6666666666666696</v>
      </c>
      <c r="DG173" s="113">
        <f t="shared" si="282"/>
        <v>9.3333333333333375</v>
      </c>
      <c r="DH173" s="113">
        <f t="shared" si="283"/>
        <v>0</v>
      </c>
      <c r="DI173" s="113">
        <f t="shared" si="284"/>
        <v>0.33333333333333331</v>
      </c>
      <c r="DJ173" s="459">
        <f t="shared" si="285"/>
        <v>0</v>
      </c>
      <c r="DK173" s="461">
        <f t="shared" si="286"/>
        <v>0</v>
      </c>
      <c r="DL173" s="582">
        <f t="shared" si="287"/>
        <v>0</v>
      </c>
      <c r="DM173" s="113">
        <f t="shared" si="288"/>
        <v>0</v>
      </c>
      <c r="DN173" s="113">
        <f t="shared" si="289"/>
        <v>0</v>
      </c>
      <c r="DO173" s="113">
        <f t="shared" si="290"/>
        <v>0</v>
      </c>
      <c r="DP173" s="460">
        <f t="shared" si="291"/>
        <v>0</v>
      </c>
      <c r="DQ173" s="582">
        <f t="shared" si="292"/>
        <v>0</v>
      </c>
      <c r="DR173" s="113">
        <f t="shared" si="293"/>
        <v>0</v>
      </c>
      <c r="DS173" s="113">
        <f t="shared" si="294"/>
        <v>0</v>
      </c>
      <c r="DT173" s="113">
        <f t="shared" si="295"/>
        <v>0</v>
      </c>
      <c r="DU173" s="459">
        <f t="shared" si="296"/>
        <v>0</v>
      </c>
      <c r="DW173" s="461">
        <f t="shared" si="170"/>
        <v>603</v>
      </c>
      <c r="DX173" s="582">
        <f t="shared" si="170"/>
        <v>278.33333333333326</v>
      </c>
      <c r="DY173" s="113">
        <f t="shared" si="170"/>
        <v>248.66666666666669</v>
      </c>
      <c r="DZ173" s="113">
        <f t="shared" si="170"/>
        <v>0</v>
      </c>
      <c r="EA173" s="113">
        <f t="shared" si="170"/>
        <v>29.666666666666664</v>
      </c>
      <c r="EB173" s="460">
        <f t="shared" si="170"/>
        <v>0</v>
      </c>
      <c r="EC173" s="582">
        <f t="shared" si="170"/>
        <v>324.66666666666669</v>
      </c>
      <c r="ED173" s="113">
        <f t="shared" si="170"/>
        <v>242.66666666666669</v>
      </c>
      <c r="EE173" s="113">
        <f t="shared" si="170"/>
        <v>0</v>
      </c>
      <c r="EF173" s="113">
        <f t="shared" si="170"/>
        <v>49.666666666666679</v>
      </c>
      <c r="EG173" s="459">
        <f t="shared" si="170"/>
        <v>32.333333333333329</v>
      </c>
      <c r="EH173" s="461">
        <f t="shared" si="135"/>
        <v>168</v>
      </c>
      <c r="EI173" s="582">
        <f t="shared" si="135"/>
        <v>78</v>
      </c>
      <c r="EJ173" s="113">
        <f t="shared" si="135"/>
        <v>63.333333333333343</v>
      </c>
      <c r="EK173" s="113">
        <f t="shared" si="135"/>
        <v>0</v>
      </c>
      <c r="EL173" s="113">
        <f t="shared" si="135"/>
        <v>14.666666666666661</v>
      </c>
      <c r="EM173" s="460">
        <f t="shared" si="135"/>
        <v>0</v>
      </c>
      <c r="EN173" s="582">
        <f t="shared" si="135"/>
        <v>90.000000000000014</v>
      </c>
      <c r="EO173" s="113">
        <f t="shared" si="135"/>
        <v>64.333333333333314</v>
      </c>
      <c r="EP173" s="113">
        <f t="shared" si="141"/>
        <v>0</v>
      </c>
      <c r="EQ173" s="113">
        <f t="shared" si="141"/>
        <v>14.333333333333336</v>
      </c>
      <c r="ER173" s="459">
        <f t="shared" si="141"/>
        <v>11.333333333333332</v>
      </c>
    </row>
    <row r="174" spans="1:148">
      <c r="A174" s="665" t="s">
        <v>405</v>
      </c>
      <c r="B174" s="665">
        <v>43313</v>
      </c>
      <c r="C174" s="666">
        <v>2018</v>
      </c>
      <c r="D174" s="461">
        <f t="shared" si="311"/>
        <v>1352521</v>
      </c>
      <c r="E174" s="461">
        <f t="shared" si="176"/>
        <v>21326</v>
      </c>
      <c r="F174" s="582">
        <f t="shared" si="177"/>
        <v>9792</v>
      </c>
      <c r="G174" s="113">
        <f t="shared" si="178"/>
        <v>8108.6666666666661</v>
      </c>
      <c r="H174" s="113">
        <f t="shared" si="179"/>
        <v>0</v>
      </c>
      <c r="I174" s="113">
        <f t="shared" si="180"/>
        <v>1683.3333333333339</v>
      </c>
      <c r="J174" s="460">
        <f t="shared" si="181"/>
        <v>0</v>
      </c>
      <c r="K174" s="582">
        <f t="shared" si="182"/>
        <v>11533.999999999998</v>
      </c>
      <c r="L174" s="113">
        <f t="shared" si="183"/>
        <v>8194.6666666666661</v>
      </c>
      <c r="M174" s="113">
        <f t="shared" si="184"/>
        <v>0</v>
      </c>
      <c r="N174" s="113">
        <f t="shared" si="185"/>
        <v>2064.6666666666665</v>
      </c>
      <c r="O174" s="459">
        <f t="shared" si="186"/>
        <v>1274.6666666666663</v>
      </c>
      <c r="P174" s="461">
        <f t="shared" si="187"/>
        <v>33.999999999999993</v>
      </c>
      <c r="Q174" s="582">
        <f t="shared" si="188"/>
        <v>13.666666666666666</v>
      </c>
      <c r="R174" s="113">
        <f t="shared" si="189"/>
        <v>12.66666666666667</v>
      </c>
      <c r="S174" s="113">
        <f t="shared" si="190"/>
        <v>0</v>
      </c>
      <c r="T174" s="113">
        <f t="shared" si="191"/>
        <v>1</v>
      </c>
      <c r="U174" s="460">
        <f t="shared" si="192"/>
        <v>0</v>
      </c>
      <c r="V174" s="582">
        <f t="shared" si="193"/>
        <v>20.333333333333332</v>
      </c>
      <c r="W174" s="113">
        <f t="shared" si="194"/>
        <v>14</v>
      </c>
      <c r="X174" s="113">
        <f t="shared" si="195"/>
        <v>0</v>
      </c>
      <c r="Y174" s="113">
        <f t="shared" si="196"/>
        <v>4.333333333333333</v>
      </c>
      <c r="Z174" s="459">
        <f t="shared" si="197"/>
        <v>1.9999999999999998</v>
      </c>
      <c r="AA174" s="461">
        <f t="shared" si="198"/>
        <v>33.666666666666664</v>
      </c>
      <c r="AB174" s="582">
        <f t="shared" si="199"/>
        <v>9</v>
      </c>
      <c r="AC174" s="113">
        <f t="shared" si="200"/>
        <v>7.9999999999999991</v>
      </c>
      <c r="AD174" s="113">
        <f t="shared" si="201"/>
        <v>0</v>
      </c>
      <c r="AE174" s="113">
        <f t="shared" si="202"/>
        <v>1</v>
      </c>
      <c r="AF174" s="460">
        <f t="shared" si="203"/>
        <v>0</v>
      </c>
      <c r="AG174" s="582">
        <f t="shared" si="204"/>
        <v>24.666666666666671</v>
      </c>
      <c r="AH174" s="113">
        <f t="shared" si="205"/>
        <v>22</v>
      </c>
      <c r="AI174" s="113">
        <f t="shared" si="206"/>
        <v>0</v>
      </c>
      <c r="AJ174" s="113">
        <f t="shared" si="207"/>
        <v>0</v>
      </c>
      <c r="AK174" s="459">
        <f t="shared" si="208"/>
        <v>2.6666666666666665</v>
      </c>
      <c r="AL174" s="461">
        <f t="shared" si="209"/>
        <v>182</v>
      </c>
      <c r="AM174" s="582">
        <f t="shared" si="210"/>
        <v>86</v>
      </c>
      <c r="AN174" s="113">
        <f t="shared" si="211"/>
        <v>70.666666666666671</v>
      </c>
      <c r="AO174" s="113">
        <f t="shared" si="212"/>
        <v>0</v>
      </c>
      <c r="AP174" s="113">
        <f t="shared" si="213"/>
        <v>15.333333333333327</v>
      </c>
      <c r="AQ174" s="460">
        <f t="shared" si="214"/>
        <v>0</v>
      </c>
      <c r="AR174" s="582">
        <f t="shared" si="215"/>
        <v>96.000000000000014</v>
      </c>
      <c r="AS174" s="113">
        <f t="shared" si="216"/>
        <v>67.666666666666643</v>
      </c>
      <c r="AT174" s="113">
        <f t="shared" si="217"/>
        <v>0</v>
      </c>
      <c r="AU174" s="113">
        <f t="shared" si="218"/>
        <v>16.666666666666668</v>
      </c>
      <c r="AV174" s="459">
        <f t="shared" si="219"/>
        <v>11.666666666666666</v>
      </c>
      <c r="AW174" s="461">
        <f t="shared" si="220"/>
        <v>119.33333333333336</v>
      </c>
      <c r="AX174" s="582">
        <f t="shared" si="221"/>
        <v>49.333333333333329</v>
      </c>
      <c r="AY174" s="113">
        <f t="shared" si="222"/>
        <v>43</v>
      </c>
      <c r="AZ174" s="113">
        <f t="shared" si="223"/>
        <v>0</v>
      </c>
      <c r="BA174" s="113">
        <f t="shared" si="224"/>
        <v>6.3333333333333339</v>
      </c>
      <c r="BB174" s="460">
        <f t="shared" si="225"/>
        <v>0</v>
      </c>
      <c r="BC174" s="582">
        <f t="shared" si="226"/>
        <v>70</v>
      </c>
      <c r="BD174" s="113">
        <f t="shared" si="227"/>
        <v>56.000000000000007</v>
      </c>
      <c r="BE174" s="113">
        <f t="shared" si="228"/>
        <v>0</v>
      </c>
      <c r="BF174" s="113">
        <f t="shared" si="229"/>
        <v>7.3333333333333339</v>
      </c>
      <c r="BG174" s="459">
        <f t="shared" si="230"/>
        <v>6.6666666666666661</v>
      </c>
      <c r="BH174" s="461">
        <f t="shared" si="231"/>
        <v>145.33333333333334</v>
      </c>
      <c r="BI174" s="582">
        <f t="shared" si="232"/>
        <v>76.666666666666657</v>
      </c>
      <c r="BJ174" s="113">
        <f t="shared" si="233"/>
        <v>69</v>
      </c>
      <c r="BK174" s="113">
        <f t="shared" si="234"/>
        <v>0</v>
      </c>
      <c r="BL174" s="113">
        <f t="shared" si="235"/>
        <v>7.6666666666666661</v>
      </c>
      <c r="BM174" s="460">
        <f t="shared" si="236"/>
        <v>0</v>
      </c>
      <c r="BN174" s="582">
        <f t="shared" si="237"/>
        <v>68.666666666666671</v>
      </c>
      <c r="BO174" s="113">
        <f t="shared" si="238"/>
        <v>45</v>
      </c>
      <c r="BP174" s="113">
        <f t="shared" si="239"/>
        <v>0</v>
      </c>
      <c r="BQ174" s="113">
        <f t="shared" si="240"/>
        <v>17.333333333333332</v>
      </c>
      <c r="BR174" s="459">
        <f t="shared" si="241"/>
        <v>6.333333333333333</v>
      </c>
      <c r="BS174" s="461">
        <f t="shared" si="242"/>
        <v>207.66666666666669</v>
      </c>
      <c r="BT174" s="582">
        <f t="shared" si="243"/>
        <v>97.000000000000014</v>
      </c>
      <c r="BU174" s="113">
        <f t="shared" si="244"/>
        <v>89</v>
      </c>
      <c r="BV174" s="113">
        <f t="shared" si="245"/>
        <v>0</v>
      </c>
      <c r="BW174" s="113">
        <f t="shared" si="246"/>
        <v>7.9999999999999991</v>
      </c>
      <c r="BX174" s="460">
        <f t="shared" si="247"/>
        <v>0</v>
      </c>
      <c r="BY174" s="582">
        <f t="shared" si="248"/>
        <v>110.66666666666664</v>
      </c>
      <c r="BZ174" s="113">
        <f t="shared" si="249"/>
        <v>72.333333333333329</v>
      </c>
      <c r="CA174" s="113">
        <f t="shared" si="250"/>
        <v>0</v>
      </c>
      <c r="CB174" s="113">
        <f t="shared" si="251"/>
        <v>24.333333333333336</v>
      </c>
      <c r="CC174" s="459">
        <f t="shared" si="252"/>
        <v>13.999999999999998</v>
      </c>
      <c r="CD174" s="461">
        <f t="shared" si="253"/>
        <v>61.999999999999993</v>
      </c>
      <c r="CE174" s="582">
        <f t="shared" si="254"/>
        <v>35.666666666666671</v>
      </c>
      <c r="CF174" s="113">
        <f t="shared" si="255"/>
        <v>29.000000000000004</v>
      </c>
      <c r="CG174" s="113">
        <f t="shared" si="256"/>
        <v>0</v>
      </c>
      <c r="CH174" s="113">
        <f t="shared" si="257"/>
        <v>6.6666666666666643</v>
      </c>
      <c r="CI174" s="460">
        <f t="shared" si="258"/>
        <v>0</v>
      </c>
      <c r="CJ174" s="582">
        <f t="shared" si="259"/>
        <v>26.333333333333332</v>
      </c>
      <c r="CK174" s="113">
        <f t="shared" si="260"/>
        <v>18.666666666666668</v>
      </c>
      <c r="CL174" s="113">
        <f t="shared" si="261"/>
        <v>0</v>
      </c>
      <c r="CM174" s="113">
        <f t="shared" si="262"/>
        <v>4.6666666666666661</v>
      </c>
      <c r="CN174" s="459">
        <f t="shared" si="263"/>
        <v>3</v>
      </c>
      <c r="CO174" s="461">
        <f t="shared" si="264"/>
        <v>41</v>
      </c>
      <c r="CP174" s="582">
        <f t="shared" si="265"/>
        <v>17.666666666666668</v>
      </c>
      <c r="CQ174" s="113">
        <f t="shared" si="266"/>
        <v>17.666666666666668</v>
      </c>
      <c r="CR174" s="113">
        <f t="shared" si="267"/>
        <v>0</v>
      </c>
      <c r="CS174" s="113">
        <f t="shared" si="268"/>
        <v>0</v>
      </c>
      <c r="CT174" s="460">
        <f t="shared" si="269"/>
        <v>0</v>
      </c>
      <c r="CU174" s="582">
        <f t="shared" si="270"/>
        <v>23.333333333333336</v>
      </c>
      <c r="CV174" s="113">
        <f t="shared" si="271"/>
        <v>17.666666666666664</v>
      </c>
      <c r="CW174" s="113">
        <f t="shared" si="272"/>
        <v>0</v>
      </c>
      <c r="CX174" s="113">
        <f t="shared" si="273"/>
        <v>5.666666666666667</v>
      </c>
      <c r="CY174" s="459">
        <f t="shared" si="274"/>
        <v>0</v>
      </c>
      <c r="CZ174" s="461">
        <f t="shared" si="275"/>
        <v>12.000000000000002</v>
      </c>
      <c r="DA174" s="582">
        <f t="shared" si="276"/>
        <v>1.6666666666666665</v>
      </c>
      <c r="DB174" s="113">
        <f t="shared" si="277"/>
        <v>0</v>
      </c>
      <c r="DC174" s="113">
        <f t="shared" si="278"/>
        <v>0</v>
      </c>
      <c r="DD174" s="113">
        <f t="shared" si="279"/>
        <v>1.6666666666666665</v>
      </c>
      <c r="DE174" s="460">
        <f t="shared" si="280"/>
        <v>0</v>
      </c>
      <c r="DF174" s="582">
        <f t="shared" si="281"/>
        <v>10.333333333333336</v>
      </c>
      <c r="DG174" s="113">
        <f t="shared" si="282"/>
        <v>9.6666666666666714</v>
      </c>
      <c r="DH174" s="113">
        <f t="shared" si="283"/>
        <v>0</v>
      </c>
      <c r="DI174" s="113">
        <f t="shared" si="284"/>
        <v>0.66666666666666663</v>
      </c>
      <c r="DJ174" s="459">
        <f t="shared" si="285"/>
        <v>0</v>
      </c>
      <c r="DK174" s="461">
        <f t="shared" si="286"/>
        <v>0</v>
      </c>
      <c r="DL174" s="582">
        <f t="shared" si="287"/>
        <v>0</v>
      </c>
      <c r="DM174" s="113">
        <f t="shared" si="288"/>
        <v>0</v>
      </c>
      <c r="DN174" s="113">
        <f t="shared" si="289"/>
        <v>0</v>
      </c>
      <c r="DO174" s="113">
        <f t="shared" si="290"/>
        <v>0</v>
      </c>
      <c r="DP174" s="460">
        <f t="shared" si="291"/>
        <v>0</v>
      </c>
      <c r="DQ174" s="582">
        <f t="shared" si="292"/>
        <v>0</v>
      </c>
      <c r="DR174" s="113">
        <f t="shared" si="293"/>
        <v>0</v>
      </c>
      <c r="DS174" s="113">
        <f t="shared" si="294"/>
        <v>0</v>
      </c>
      <c r="DT174" s="113">
        <f t="shared" si="295"/>
        <v>0</v>
      </c>
      <c r="DU174" s="459">
        <f t="shared" si="296"/>
        <v>0</v>
      </c>
      <c r="DW174" s="461">
        <f t="shared" si="170"/>
        <v>655</v>
      </c>
      <c r="DX174" s="582">
        <f t="shared" si="170"/>
        <v>300.66666666666674</v>
      </c>
      <c r="DY174" s="113">
        <f t="shared" si="170"/>
        <v>268.33333333333337</v>
      </c>
      <c r="DZ174" s="113">
        <f t="shared" si="170"/>
        <v>0</v>
      </c>
      <c r="EA174" s="113">
        <f t="shared" si="170"/>
        <v>32.333333333333329</v>
      </c>
      <c r="EB174" s="460">
        <f t="shared" si="170"/>
        <v>0</v>
      </c>
      <c r="EC174" s="582">
        <f t="shared" si="170"/>
        <v>354.33333333333326</v>
      </c>
      <c r="ED174" s="113">
        <f t="shared" si="170"/>
        <v>255.33333333333331</v>
      </c>
      <c r="EE174" s="113">
        <f t="shared" si="170"/>
        <v>0</v>
      </c>
      <c r="EF174" s="113">
        <f t="shared" si="170"/>
        <v>64.333333333333329</v>
      </c>
      <c r="EG174" s="459">
        <f t="shared" si="170"/>
        <v>34.666666666666664</v>
      </c>
      <c r="EH174" s="461">
        <f t="shared" si="135"/>
        <v>182</v>
      </c>
      <c r="EI174" s="582">
        <f t="shared" si="135"/>
        <v>86</v>
      </c>
      <c r="EJ174" s="113">
        <f t="shared" si="135"/>
        <v>70.666666666666671</v>
      </c>
      <c r="EK174" s="113">
        <f t="shared" si="135"/>
        <v>0</v>
      </c>
      <c r="EL174" s="113">
        <f t="shared" si="135"/>
        <v>15.333333333333327</v>
      </c>
      <c r="EM174" s="460">
        <f t="shared" si="135"/>
        <v>0</v>
      </c>
      <c r="EN174" s="582">
        <f t="shared" si="135"/>
        <v>96.000000000000014</v>
      </c>
      <c r="EO174" s="113">
        <f t="shared" si="135"/>
        <v>67.666666666666643</v>
      </c>
      <c r="EP174" s="113">
        <f t="shared" si="141"/>
        <v>0</v>
      </c>
      <c r="EQ174" s="113">
        <f t="shared" si="141"/>
        <v>16.666666666666668</v>
      </c>
      <c r="ER174" s="459">
        <f t="shared" si="141"/>
        <v>11.666666666666666</v>
      </c>
    </row>
    <row r="175" spans="1:148">
      <c r="A175" s="665" t="s">
        <v>405</v>
      </c>
      <c r="B175" s="665">
        <v>43344</v>
      </c>
      <c r="C175" s="666">
        <v>2018</v>
      </c>
      <c r="D175" s="461">
        <f t="shared" si="311"/>
        <v>1425445</v>
      </c>
      <c r="E175" s="461">
        <f t="shared" si="176"/>
        <v>23052</v>
      </c>
      <c r="F175" s="582">
        <f t="shared" si="177"/>
        <v>10634</v>
      </c>
      <c r="G175" s="113">
        <f t="shared" si="178"/>
        <v>8867</v>
      </c>
      <c r="H175" s="113">
        <f t="shared" si="179"/>
        <v>0</v>
      </c>
      <c r="I175" s="113">
        <f t="shared" si="180"/>
        <v>1767.0000000000007</v>
      </c>
      <c r="J175" s="460">
        <f t="shared" si="181"/>
        <v>0</v>
      </c>
      <c r="K175" s="582">
        <f t="shared" si="182"/>
        <v>12417.999999999998</v>
      </c>
      <c r="L175" s="113">
        <f t="shared" si="183"/>
        <v>8729</v>
      </c>
      <c r="M175" s="113">
        <f t="shared" si="184"/>
        <v>0</v>
      </c>
      <c r="N175" s="113">
        <f t="shared" si="185"/>
        <v>2346</v>
      </c>
      <c r="O175" s="459">
        <f t="shared" si="186"/>
        <v>1342.9999999999995</v>
      </c>
      <c r="P175" s="461">
        <f t="shared" si="187"/>
        <v>36.999999999999993</v>
      </c>
      <c r="Q175" s="582">
        <f t="shared" si="188"/>
        <v>15</v>
      </c>
      <c r="R175" s="113">
        <f t="shared" si="189"/>
        <v>14.000000000000004</v>
      </c>
      <c r="S175" s="113">
        <f t="shared" si="190"/>
        <v>0</v>
      </c>
      <c r="T175" s="113">
        <f t="shared" si="191"/>
        <v>1</v>
      </c>
      <c r="U175" s="460">
        <f t="shared" si="192"/>
        <v>0</v>
      </c>
      <c r="V175" s="582">
        <f t="shared" si="193"/>
        <v>22</v>
      </c>
      <c r="W175" s="113">
        <f t="shared" si="194"/>
        <v>15</v>
      </c>
      <c r="X175" s="113">
        <f t="shared" si="195"/>
        <v>0</v>
      </c>
      <c r="Y175" s="113">
        <f t="shared" si="196"/>
        <v>5</v>
      </c>
      <c r="Z175" s="459">
        <f t="shared" si="197"/>
        <v>1.9999999999999998</v>
      </c>
      <c r="AA175" s="461">
        <f t="shared" si="198"/>
        <v>36</v>
      </c>
      <c r="AB175" s="582">
        <f t="shared" si="199"/>
        <v>10</v>
      </c>
      <c r="AC175" s="113">
        <f t="shared" si="200"/>
        <v>9</v>
      </c>
      <c r="AD175" s="113">
        <f t="shared" si="201"/>
        <v>0</v>
      </c>
      <c r="AE175" s="113">
        <f t="shared" si="202"/>
        <v>1</v>
      </c>
      <c r="AF175" s="460">
        <f t="shared" si="203"/>
        <v>0</v>
      </c>
      <c r="AG175" s="582">
        <f t="shared" si="204"/>
        <v>26.000000000000004</v>
      </c>
      <c r="AH175" s="113">
        <f t="shared" si="205"/>
        <v>23</v>
      </c>
      <c r="AI175" s="113">
        <f t="shared" si="206"/>
        <v>0</v>
      </c>
      <c r="AJ175" s="113">
        <f t="shared" si="207"/>
        <v>0</v>
      </c>
      <c r="AK175" s="459">
        <f t="shared" si="208"/>
        <v>3</v>
      </c>
      <c r="AL175" s="461">
        <f t="shared" si="209"/>
        <v>196</v>
      </c>
      <c r="AM175" s="582">
        <f t="shared" si="210"/>
        <v>94</v>
      </c>
      <c r="AN175" s="113">
        <f t="shared" si="211"/>
        <v>78</v>
      </c>
      <c r="AO175" s="113">
        <f t="shared" si="212"/>
        <v>0</v>
      </c>
      <c r="AP175" s="113">
        <f t="shared" si="213"/>
        <v>15.999999999999993</v>
      </c>
      <c r="AQ175" s="460">
        <f t="shared" si="214"/>
        <v>0</v>
      </c>
      <c r="AR175" s="582">
        <f t="shared" si="215"/>
        <v>102.00000000000001</v>
      </c>
      <c r="AS175" s="113">
        <f t="shared" si="216"/>
        <v>70.999999999999972</v>
      </c>
      <c r="AT175" s="113">
        <f t="shared" si="217"/>
        <v>0</v>
      </c>
      <c r="AU175" s="113">
        <f t="shared" si="218"/>
        <v>19</v>
      </c>
      <c r="AV175" s="459">
        <f t="shared" si="219"/>
        <v>12</v>
      </c>
      <c r="AW175" s="461">
        <f t="shared" si="220"/>
        <v>127.00000000000003</v>
      </c>
      <c r="AX175" s="582">
        <f t="shared" si="221"/>
        <v>52.999999999999993</v>
      </c>
      <c r="AY175" s="113">
        <f t="shared" si="222"/>
        <v>46</v>
      </c>
      <c r="AZ175" s="113">
        <f t="shared" si="223"/>
        <v>0</v>
      </c>
      <c r="BA175" s="113">
        <f t="shared" si="224"/>
        <v>7.0000000000000009</v>
      </c>
      <c r="BB175" s="460">
        <f t="shared" si="225"/>
        <v>0</v>
      </c>
      <c r="BC175" s="582">
        <f t="shared" si="226"/>
        <v>74</v>
      </c>
      <c r="BD175" s="113">
        <f t="shared" si="227"/>
        <v>58.000000000000007</v>
      </c>
      <c r="BE175" s="113">
        <f t="shared" si="228"/>
        <v>0</v>
      </c>
      <c r="BF175" s="113">
        <f t="shared" si="229"/>
        <v>9</v>
      </c>
      <c r="BG175" s="459">
        <f t="shared" si="230"/>
        <v>6.9999999999999991</v>
      </c>
      <c r="BH175" s="461">
        <f t="shared" si="231"/>
        <v>159</v>
      </c>
      <c r="BI175" s="582">
        <f t="shared" si="232"/>
        <v>82.999999999999986</v>
      </c>
      <c r="BJ175" s="113">
        <f t="shared" si="233"/>
        <v>75</v>
      </c>
      <c r="BK175" s="113">
        <f t="shared" si="234"/>
        <v>0</v>
      </c>
      <c r="BL175" s="113">
        <f t="shared" si="235"/>
        <v>7.9999999999999991</v>
      </c>
      <c r="BM175" s="460">
        <f t="shared" si="236"/>
        <v>0</v>
      </c>
      <c r="BN175" s="582">
        <f t="shared" si="237"/>
        <v>76</v>
      </c>
      <c r="BO175" s="113">
        <f t="shared" si="238"/>
        <v>48</v>
      </c>
      <c r="BP175" s="113">
        <f t="shared" si="239"/>
        <v>0</v>
      </c>
      <c r="BQ175" s="113">
        <f t="shared" si="240"/>
        <v>21</v>
      </c>
      <c r="BR175" s="459">
        <f t="shared" si="241"/>
        <v>7</v>
      </c>
      <c r="BS175" s="461">
        <f t="shared" si="242"/>
        <v>224.00000000000003</v>
      </c>
      <c r="BT175" s="582">
        <f t="shared" si="243"/>
        <v>103.00000000000001</v>
      </c>
      <c r="BU175" s="113">
        <f t="shared" si="244"/>
        <v>94</v>
      </c>
      <c r="BV175" s="113">
        <f t="shared" si="245"/>
        <v>0</v>
      </c>
      <c r="BW175" s="113">
        <f t="shared" si="246"/>
        <v>9</v>
      </c>
      <c r="BX175" s="460">
        <f t="shared" si="247"/>
        <v>0</v>
      </c>
      <c r="BY175" s="582">
        <f t="shared" si="248"/>
        <v>120.99999999999997</v>
      </c>
      <c r="BZ175" s="113">
        <f t="shared" si="249"/>
        <v>77</v>
      </c>
      <c r="CA175" s="113">
        <f t="shared" si="250"/>
        <v>0</v>
      </c>
      <c r="CB175" s="113">
        <f t="shared" si="251"/>
        <v>29.000000000000004</v>
      </c>
      <c r="CC175" s="459">
        <f t="shared" si="252"/>
        <v>14.999999999999998</v>
      </c>
      <c r="CD175" s="461">
        <f t="shared" si="253"/>
        <v>66</v>
      </c>
      <c r="CE175" s="582">
        <f t="shared" si="254"/>
        <v>38.000000000000007</v>
      </c>
      <c r="CF175" s="113">
        <f t="shared" si="255"/>
        <v>31.000000000000004</v>
      </c>
      <c r="CG175" s="113">
        <f t="shared" si="256"/>
        <v>0</v>
      </c>
      <c r="CH175" s="113">
        <f t="shared" si="257"/>
        <v>6.9999999999999973</v>
      </c>
      <c r="CI175" s="460">
        <f t="shared" si="258"/>
        <v>0</v>
      </c>
      <c r="CJ175" s="582">
        <f t="shared" si="259"/>
        <v>28</v>
      </c>
      <c r="CK175" s="113">
        <f t="shared" si="260"/>
        <v>19</v>
      </c>
      <c r="CL175" s="113">
        <f t="shared" si="261"/>
        <v>0</v>
      </c>
      <c r="CM175" s="113">
        <f t="shared" si="262"/>
        <v>5.9999999999999991</v>
      </c>
      <c r="CN175" s="459">
        <f t="shared" si="263"/>
        <v>3</v>
      </c>
      <c r="CO175" s="461">
        <f t="shared" si="264"/>
        <v>45</v>
      </c>
      <c r="CP175" s="582">
        <f t="shared" si="265"/>
        <v>19</v>
      </c>
      <c r="CQ175" s="113">
        <f t="shared" si="266"/>
        <v>19</v>
      </c>
      <c r="CR175" s="113">
        <f t="shared" si="267"/>
        <v>0</v>
      </c>
      <c r="CS175" s="113">
        <f t="shared" si="268"/>
        <v>0</v>
      </c>
      <c r="CT175" s="460">
        <f t="shared" si="269"/>
        <v>0</v>
      </c>
      <c r="CU175" s="582">
        <f t="shared" si="270"/>
        <v>26.000000000000004</v>
      </c>
      <c r="CV175" s="113">
        <f t="shared" si="271"/>
        <v>17.999999999999996</v>
      </c>
      <c r="CW175" s="113">
        <f t="shared" si="272"/>
        <v>0</v>
      </c>
      <c r="CX175" s="113">
        <f t="shared" si="273"/>
        <v>8</v>
      </c>
      <c r="CY175" s="459">
        <f t="shared" si="274"/>
        <v>0</v>
      </c>
      <c r="CZ175" s="461">
        <f t="shared" si="275"/>
        <v>13.000000000000002</v>
      </c>
      <c r="DA175" s="582">
        <f t="shared" si="276"/>
        <v>1.9999999999999998</v>
      </c>
      <c r="DB175" s="113">
        <f t="shared" si="277"/>
        <v>0</v>
      </c>
      <c r="DC175" s="113">
        <f t="shared" si="278"/>
        <v>0</v>
      </c>
      <c r="DD175" s="113">
        <f t="shared" si="279"/>
        <v>1.9999999999999998</v>
      </c>
      <c r="DE175" s="460">
        <f t="shared" si="280"/>
        <v>0</v>
      </c>
      <c r="DF175" s="582">
        <f t="shared" si="281"/>
        <v>11.000000000000002</v>
      </c>
      <c r="DG175" s="113">
        <f t="shared" si="282"/>
        <v>10.000000000000005</v>
      </c>
      <c r="DH175" s="113">
        <f t="shared" si="283"/>
        <v>0</v>
      </c>
      <c r="DI175" s="113">
        <f t="shared" si="284"/>
        <v>1</v>
      </c>
      <c r="DJ175" s="459">
        <f t="shared" si="285"/>
        <v>0</v>
      </c>
      <c r="DK175" s="461">
        <f t="shared" si="286"/>
        <v>0</v>
      </c>
      <c r="DL175" s="582">
        <f t="shared" si="287"/>
        <v>0</v>
      </c>
      <c r="DM175" s="113">
        <f t="shared" si="288"/>
        <v>0</v>
      </c>
      <c r="DN175" s="113">
        <f t="shared" si="289"/>
        <v>0</v>
      </c>
      <c r="DO175" s="113">
        <f t="shared" si="290"/>
        <v>0</v>
      </c>
      <c r="DP175" s="460">
        <f t="shared" si="291"/>
        <v>0</v>
      </c>
      <c r="DQ175" s="582">
        <f t="shared" si="292"/>
        <v>0</v>
      </c>
      <c r="DR175" s="113">
        <f t="shared" si="293"/>
        <v>0</v>
      </c>
      <c r="DS175" s="113">
        <f t="shared" si="294"/>
        <v>0</v>
      </c>
      <c r="DT175" s="113">
        <f t="shared" si="295"/>
        <v>0</v>
      </c>
      <c r="DU175" s="459">
        <f t="shared" si="296"/>
        <v>0</v>
      </c>
      <c r="DW175" s="461">
        <f t="shared" si="170"/>
        <v>707</v>
      </c>
      <c r="DX175" s="582">
        <f t="shared" si="170"/>
        <v>323</v>
      </c>
      <c r="DY175" s="113">
        <f t="shared" si="170"/>
        <v>288</v>
      </c>
      <c r="DZ175" s="113">
        <f t="shared" si="170"/>
        <v>0</v>
      </c>
      <c r="EA175" s="113">
        <f t="shared" si="170"/>
        <v>35</v>
      </c>
      <c r="EB175" s="460">
        <f t="shared" si="170"/>
        <v>0</v>
      </c>
      <c r="EC175" s="582">
        <f t="shared" si="170"/>
        <v>384</v>
      </c>
      <c r="ED175" s="113">
        <f t="shared" si="170"/>
        <v>268</v>
      </c>
      <c r="EE175" s="113">
        <f t="shared" si="170"/>
        <v>0</v>
      </c>
      <c r="EF175" s="113">
        <f t="shared" si="170"/>
        <v>79</v>
      </c>
      <c r="EG175" s="459">
        <f t="shared" si="170"/>
        <v>37</v>
      </c>
      <c r="EH175" s="461">
        <f t="shared" si="135"/>
        <v>196</v>
      </c>
      <c r="EI175" s="582">
        <f t="shared" si="135"/>
        <v>94</v>
      </c>
      <c r="EJ175" s="113">
        <f t="shared" si="135"/>
        <v>78</v>
      </c>
      <c r="EK175" s="113">
        <f t="shared" si="135"/>
        <v>0</v>
      </c>
      <c r="EL175" s="113">
        <f t="shared" si="135"/>
        <v>15.999999999999993</v>
      </c>
      <c r="EM175" s="460">
        <f t="shared" si="135"/>
        <v>0</v>
      </c>
      <c r="EN175" s="582">
        <f t="shared" si="135"/>
        <v>102.00000000000001</v>
      </c>
      <c r="EO175" s="113">
        <f t="shared" si="135"/>
        <v>70.999999999999972</v>
      </c>
      <c r="EP175" s="113">
        <f t="shared" si="141"/>
        <v>0</v>
      </c>
      <c r="EQ175" s="113">
        <f t="shared" si="141"/>
        <v>19</v>
      </c>
      <c r="ER175" s="459">
        <f t="shared" si="141"/>
        <v>12</v>
      </c>
    </row>
    <row r="176" spans="1:148">
      <c r="A176" s="665" t="s">
        <v>406</v>
      </c>
      <c r="B176" s="665">
        <v>43374</v>
      </c>
      <c r="C176" s="666">
        <v>2018</v>
      </c>
      <c r="D176" s="461">
        <f t="shared" si="311"/>
        <v>1483619.3333333333</v>
      </c>
      <c r="E176" s="461">
        <f t="shared" si="176"/>
        <v>23680.666666666668</v>
      </c>
      <c r="F176" s="582">
        <f t="shared" si="177"/>
        <v>11015.666666666666</v>
      </c>
      <c r="G176" s="113">
        <f t="shared" si="178"/>
        <v>9194</v>
      </c>
      <c r="H176" s="113">
        <f t="shared" si="179"/>
        <v>0</v>
      </c>
      <c r="I176" s="113">
        <f t="shared" si="180"/>
        <v>1821.6666666666674</v>
      </c>
      <c r="J176" s="460">
        <f t="shared" si="181"/>
        <v>0</v>
      </c>
      <c r="K176" s="582">
        <f t="shared" si="182"/>
        <v>12664.999999999998</v>
      </c>
      <c r="L176" s="113">
        <f t="shared" si="183"/>
        <v>8877.6666666666661</v>
      </c>
      <c r="M176" s="113">
        <f t="shared" si="184"/>
        <v>0</v>
      </c>
      <c r="N176" s="113">
        <f t="shared" si="185"/>
        <v>2426.6666666666665</v>
      </c>
      <c r="O176" s="459">
        <f t="shared" si="186"/>
        <v>1360.6666666666663</v>
      </c>
      <c r="P176" s="461">
        <f t="shared" si="187"/>
        <v>38.333333333333329</v>
      </c>
      <c r="Q176" s="582">
        <f t="shared" si="188"/>
        <v>15.666666666666666</v>
      </c>
      <c r="R176" s="113">
        <f t="shared" si="189"/>
        <v>14.66666666666667</v>
      </c>
      <c r="S176" s="113">
        <f t="shared" si="190"/>
        <v>0</v>
      </c>
      <c r="T176" s="113">
        <f t="shared" si="191"/>
        <v>1</v>
      </c>
      <c r="U176" s="460">
        <f t="shared" si="192"/>
        <v>0</v>
      </c>
      <c r="V176" s="582">
        <f t="shared" si="193"/>
        <v>22.666666666666668</v>
      </c>
      <c r="W176" s="113">
        <f t="shared" si="194"/>
        <v>15.333333333333334</v>
      </c>
      <c r="X176" s="113">
        <f t="shared" si="195"/>
        <v>0</v>
      </c>
      <c r="Y176" s="113">
        <f t="shared" si="196"/>
        <v>5.333333333333333</v>
      </c>
      <c r="Z176" s="459">
        <f t="shared" si="197"/>
        <v>1.9999999999999998</v>
      </c>
      <c r="AA176" s="461">
        <f t="shared" si="198"/>
        <v>37</v>
      </c>
      <c r="AB176" s="582">
        <f t="shared" si="199"/>
        <v>10.333333333333334</v>
      </c>
      <c r="AC176" s="113">
        <f t="shared" si="200"/>
        <v>9.3333333333333339</v>
      </c>
      <c r="AD176" s="113">
        <f t="shared" si="201"/>
        <v>0</v>
      </c>
      <c r="AE176" s="113">
        <f t="shared" si="202"/>
        <v>1</v>
      </c>
      <c r="AF176" s="460">
        <f t="shared" si="203"/>
        <v>0</v>
      </c>
      <c r="AG176" s="582">
        <f t="shared" si="204"/>
        <v>26.666666666666671</v>
      </c>
      <c r="AH176" s="113">
        <f t="shared" si="205"/>
        <v>23.333333333333332</v>
      </c>
      <c r="AI176" s="113">
        <f t="shared" si="206"/>
        <v>0</v>
      </c>
      <c r="AJ176" s="113">
        <f t="shared" si="207"/>
        <v>0</v>
      </c>
      <c r="AK176" s="459">
        <f t="shared" si="208"/>
        <v>3.3333333333333335</v>
      </c>
      <c r="AL176" s="461">
        <f t="shared" si="209"/>
        <v>201</v>
      </c>
      <c r="AM176" s="582">
        <f t="shared" si="210"/>
        <v>97.333333333333329</v>
      </c>
      <c r="AN176" s="113">
        <f t="shared" si="211"/>
        <v>81</v>
      </c>
      <c r="AO176" s="113">
        <f t="shared" si="212"/>
        <v>0</v>
      </c>
      <c r="AP176" s="113">
        <f t="shared" si="213"/>
        <v>16.333333333333325</v>
      </c>
      <c r="AQ176" s="460">
        <f t="shared" si="214"/>
        <v>0</v>
      </c>
      <c r="AR176" s="582">
        <f t="shared" si="215"/>
        <v>103.66666666666669</v>
      </c>
      <c r="AS176" s="113">
        <f t="shared" si="216"/>
        <v>70.999999999999972</v>
      </c>
      <c r="AT176" s="113">
        <f t="shared" si="217"/>
        <v>0</v>
      </c>
      <c r="AU176" s="113">
        <f t="shared" si="218"/>
        <v>20.666666666666668</v>
      </c>
      <c r="AV176" s="459">
        <f t="shared" si="219"/>
        <v>12</v>
      </c>
      <c r="AW176" s="461">
        <f t="shared" si="220"/>
        <v>130.33333333333337</v>
      </c>
      <c r="AX176" s="582">
        <f t="shared" si="221"/>
        <v>55.333333333333329</v>
      </c>
      <c r="AY176" s="113">
        <f t="shared" si="222"/>
        <v>48.333333333333336</v>
      </c>
      <c r="AZ176" s="113">
        <f t="shared" si="223"/>
        <v>0</v>
      </c>
      <c r="BA176" s="113">
        <f t="shared" si="224"/>
        <v>7.0000000000000009</v>
      </c>
      <c r="BB176" s="460">
        <f t="shared" si="225"/>
        <v>0</v>
      </c>
      <c r="BC176" s="582">
        <f t="shared" si="226"/>
        <v>75</v>
      </c>
      <c r="BD176" s="113">
        <f t="shared" si="227"/>
        <v>58.666666666666671</v>
      </c>
      <c r="BE176" s="113">
        <f t="shared" si="228"/>
        <v>0</v>
      </c>
      <c r="BF176" s="113">
        <f t="shared" si="229"/>
        <v>9.3333333333333339</v>
      </c>
      <c r="BG176" s="459">
        <f t="shared" si="230"/>
        <v>6.9999999999999991</v>
      </c>
      <c r="BH176" s="461">
        <f t="shared" si="231"/>
        <v>165</v>
      </c>
      <c r="BI176" s="582">
        <f t="shared" si="232"/>
        <v>86.999999999999986</v>
      </c>
      <c r="BJ176" s="113">
        <f t="shared" si="233"/>
        <v>78</v>
      </c>
      <c r="BK176" s="113">
        <f t="shared" si="234"/>
        <v>0</v>
      </c>
      <c r="BL176" s="113">
        <f t="shared" si="235"/>
        <v>9</v>
      </c>
      <c r="BM176" s="460">
        <f t="shared" si="236"/>
        <v>0</v>
      </c>
      <c r="BN176" s="582">
        <f t="shared" si="237"/>
        <v>78</v>
      </c>
      <c r="BO176" s="113">
        <f t="shared" si="238"/>
        <v>49.333333333333336</v>
      </c>
      <c r="BP176" s="113">
        <f t="shared" si="239"/>
        <v>0</v>
      </c>
      <c r="BQ176" s="113">
        <f t="shared" si="240"/>
        <v>21.666666666666668</v>
      </c>
      <c r="BR176" s="459">
        <f t="shared" si="241"/>
        <v>7</v>
      </c>
      <c r="BS176" s="461">
        <f t="shared" si="242"/>
        <v>230.33333333333337</v>
      </c>
      <c r="BT176" s="582">
        <f t="shared" si="243"/>
        <v>107.00000000000001</v>
      </c>
      <c r="BU176" s="113">
        <f t="shared" si="244"/>
        <v>97.333333333333329</v>
      </c>
      <c r="BV176" s="113">
        <f t="shared" si="245"/>
        <v>0</v>
      </c>
      <c r="BW176" s="113">
        <f t="shared" si="246"/>
        <v>9.6666666666666661</v>
      </c>
      <c r="BX176" s="460">
        <f t="shared" si="247"/>
        <v>0</v>
      </c>
      <c r="BY176" s="582">
        <f t="shared" si="248"/>
        <v>123.3333333333333</v>
      </c>
      <c r="BZ176" s="113">
        <f t="shared" si="249"/>
        <v>78.666666666666671</v>
      </c>
      <c r="CA176" s="113">
        <f t="shared" si="250"/>
        <v>0</v>
      </c>
      <c r="CB176" s="113">
        <f t="shared" si="251"/>
        <v>29.333333333333336</v>
      </c>
      <c r="CC176" s="459">
        <f t="shared" si="252"/>
        <v>15.333333333333332</v>
      </c>
      <c r="CD176" s="461">
        <f t="shared" si="253"/>
        <v>67.333333333333329</v>
      </c>
      <c r="CE176" s="582">
        <f t="shared" si="254"/>
        <v>39.333333333333343</v>
      </c>
      <c r="CF176" s="113">
        <f t="shared" si="255"/>
        <v>32</v>
      </c>
      <c r="CG176" s="113">
        <f t="shared" si="256"/>
        <v>0</v>
      </c>
      <c r="CH176" s="113">
        <f t="shared" si="257"/>
        <v>7.3333333333333304</v>
      </c>
      <c r="CI176" s="460">
        <f t="shared" si="258"/>
        <v>0</v>
      </c>
      <c r="CJ176" s="582">
        <f t="shared" si="259"/>
        <v>28</v>
      </c>
      <c r="CK176" s="113">
        <f t="shared" si="260"/>
        <v>19</v>
      </c>
      <c r="CL176" s="113">
        <f t="shared" si="261"/>
        <v>0</v>
      </c>
      <c r="CM176" s="113">
        <f t="shared" si="262"/>
        <v>5.9999999999999991</v>
      </c>
      <c r="CN176" s="459">
        <f t="shared" si="263"/>
        <v>3</v>
      </c>
      <c r="CO176" s="461">
        <f t="shared" si="264"/>
        <v>46</v>
      </c>
      <c r="CP176" s="582">
        <f t="shared" si="265"/>
        <v>19.666666666666668</v>
      </c>
      <c r="CQ176" s="113">
        <f t="shared" si="266"/>
        <v>19.666666666666668</v>
      </c>
      <c r="CR176" s="113">
        <f t="shared" si="267"/>
        <v>0</v>
      </c>
      <c r="CS176" s="113">
        <f t="shared" si="268"/>
        <v>0</v>
      </c>
      <c r="CT176" s="460">
        <f t="shared" si="269"/>
        <v>0</v>
      </c>
      <c r="CU176" s="582">
        <f t="shared" si="270"/>
        <v>26.333333333333336</v>
      </c>
      <c r="CV176" s="113">
        <f t="shared" si="271"/>
        <v>18.333333333333329</v>
      </c>
      <c r="CW176" s="113">
        <f t="shared" si="272"/>
        <v>0</v>
      </c>
      <c r="CX176" s="113">
        <f t="shared" si="273"/>
        <v>8</v>
      </c>
      <c r="CY176" s="459">
        <f t="shared" si="274"/>
        <v>0</v>
      </c>
      <c r="CZ176" s="461">
        <f t="shared" si="275"/>
        <v>13.333333333333336</v>
      </c>
      <c r="DA176" s="582">
        <f t="shared" si="276"/>
        <v>1.9999999999999998</v>
      </c>
      <c r="DB176" s="113">
        <f t="shared" si="277"/>
        <v>0</v>
      </c>
      <c r="DC176" s="113">
        <f t="shared" si="278"/>
        <v>0</v>
      </c>
      <c r="DD176" s="113">
        <f t="shared" si="279"/>
        <v>1.9999999999999998</v>
      </c>
      <c r="DE176" s="460">
        <f t="shared" si="280"/>
        <v>0</v>
      </c>
      <c r="DF176" s="582">
        <f t="shared" si="281"/>
        <v>11.333333333333336</v>
      </c>
      <c r="DG176" s="113">
        <f t="shared" si="282"/>
        <v>10.333333333333339</v>
      </c>
      <c r="DH176" s="113">
        <f t="shared" si="283"/>
        <v>0</v>
      </c>
      <c r="DI176" s="113">
        <f t="shared" si="284"/>
        <v>1</v>
      </c>
      <c r="DJ176" s="459">
        <f t="shared" si="285"/>
        <v>0</v>
      </c>
      <c r="DK176" s="461">
        <f t="shared" si="286"/>
        <v>0</v>
      </c>
      <c r="DL176" s="582">
        <f t="shared" si="287"/>
        <v>0</v>
      </c>
      <c r="DM176" s="113">
        <f t="shared" si="288"/>
        <v>0</v>
      </c>
      <c r="DN176" s="113">
        <f t="shared" si="289"/>
        <v>0</v>
      </c>
      <c r="DO176" s="113">
        <f t="shared" si="290"/>
        <v>0</v>
      </c>
      <c r="DP176" s="460">
        <f t="shared" si="291"/>
        <v>0</v>
      </c>
      <c r="DQ176" s="582">
        <f t="shared" si="292"/>
        <v>0</v>
      </c>
      <c r="DR176" s="113">
        <f t="shared" si="293"/>
        <v>0</v>
      </c>
      <c r="DS176" s="113">
        <f t="shared" si="294"/>
        <v>0</v>
      </c>
      <c r="DT176" s="113">
        <f t="shared" si="295"/>
        <v>0</v>
      </c>
      <c r="DU176" s="459">
        <f t="shared" si="296"/>
        <v>0</v>
      </c>
      <c r="DW176" s="461">
        <f t="shared" si="170"/>
        <v>727.66666666666674</v>
      </c>
      <c r="DX176" s="582">
        <f t="shared" si="170"/>
        <v>336.33333333333331</v>
      </c>
      <c r="DY176" s="113">
        <f t="shared" si="170"/>
        <v>299.33333333333337</v>
      </c>
      <c r="DZ176" s="113">
        <f t="shared" si="170"/>
        <v>0</v>
      </c>
      <c r="EA176" s="113">
        <f t="shared" si="170"/>
        <v>36.999999999999993</v>
      </c>
      <c r="EB176" s="460">
        <f t="shared" si="170"/>
        <v>0</v>
      </c>
      <c r="EC176" s="582">
        <f t="shared" si="170"/>
        <v>391.33333333333326</v>
      </c>
      <c r="ED176" s="113">
        <f t="shared" si="170"/>
        <v>273</v>
      </c>
      <c r="EE176" s="113">
        <f t="shared" si="170"/>
        <v>0</v>
      </c>
      <c r="EF176" s="113">
        <f t="shared" si="170"/>
        <v>80.666666666666671</v>
      </c>
      <c r="EG176" s="459">
        <f t="shared" si="170"/>
        <v>37.666666666666664</v>
      </c>
      <c r="EH176" s="461">
        <f t="shared" si="135"/>
        <v>201</v>
      </c>
      <c r="EI176" s="582">
        <f t="shared" ref="EI176:ER211" si="312">AM176</f>
        <v>97.333333333333329</v>
      </c>
      <c r="EJ176" s="113">
        <f t="shared" si="312"/>
        <v>81</v>
      </c>
      <c r="EK176" s="113">
        <f t="shared" si="312"/>
        <v>0</v>
      </c>
      <c r="EL176" s="113">
        <f t="shared" si="312"/>
        <v>16.333333333333325</v>
      </c>
      <c r="EM176" s="460">
        <f t="shared" si="312"/>
        <v>0</v>
      </c>
      <c r="EN176" s="582">
        <f t="shared" si="312"/>
        <v>103.66666666666669</v>
      </c>
      <c r="EO176" s="113">
        <f t="shared" si="312"/>
        <v>70.999999999999972</v>
      </c>
      <c r="EP176" s="113">
        <f t="shared" si="141"/>
        <v>0</v>
      </c>
      <c r="EQ176" s="113">
        <f t="shared" si="141"/>
        <v>20.666666666666668</v>
      </c>
      <c r="ER176" s="459">
        <f t="shared" si="141"/>
        <v>12</v>
      </c>
    </row>
    <row r="177" spans="1:148">
      <c r="A177" s="665" t="s">
        <v>406</v>
      </c>
      <c r="B177" s="665">
        <v>43405</v>
      </c>
      <c r="C177" s="666">
        <v>2018</v>
      </c>
      <c r="D177" s="461">
        <f t="shared" si="311"/>
        <v>1541793.6666666665</v>
      </c>
      <c r="E177" s="461">
        <f t="shared" si="176"/>
        <v>24309.333333333336</v>
      </c>
      <c r="F177" s="582">
        <f t="shared" si="177"/>
        <v>11397.333333333332</v>
      </c>
      <c r="G177" s="113">
        <f t="shared" si="178"/>
        <v>9521</v>
      </c>
      <c r="H177" s="113">
        <f t="shared" si="179"/>
        <v>0</v>
      </c>
      <c r="I177" s="113">
        <f t="shared" si="180"/>
        <v>1876.3333333333342</v>
      </c>
      <c r="J177" s="460">
        <f t="shared" si="181"/>
        <v>0</v>
      </c>
      <c r="K177" s="582">
        <f t="shared" si="182"/>
        <v>12911.999999999998</v>
      </c>
      <c r="L177" s="113">
        <f t="shared" si="183"/>
        <v>9026.3333333333321</v>
      </c>
      <c r="M177" s="113">
        <f t="shared" si="184"/>
        <v>0</v>
      </c>
      <c r="N177" s="113">
        <f t="shared" si="185"/>
        <v>2507.333333333333</v>
      </c>
      <c r="O177" s="459">
        <f t="shared" si="186"/>
        <v>1378.333333333333</v>
      </c>
      <c r="P177" s="461">
        <f t="shared" si="187"/>
        <v>39.666666666666664</v>
      </c>
      <c r="Q177" s="582">
        <f t="shared" si="188"/>
        <v>16.333333333333332</v>
      </c>
      <c r="R177" s="113">
        <f t="shared" si="189"/>
        <v>15.333333333333336</v>
      </c>
      <c r="S177" s="113">
        <f t="shared" si="190"/>
        <v>0</v>
      </c>
      <c r="T177" s="113">
        <f t="shared" si="191"/>
        <v>1</v>
      </c>
      <c r="U177" s="460">
        <f t="shared" si="192"/>
        <v>0</v>
      </c>
      <c r="V177" s="582">
        <f t="shared" si="193"/>
        <v>23.333333333333336</v>
      </c>
      <c r="W177" s="113">
        <f t="shared" si="194"/>
        <v>15.666666666666668</v>
      </c>
      <c r="X177" s="113">
        <f t="shared" si="195"/>
        <v>0</v>
      </c>
      <c r="Y177" s="113">
        <f t="shared" si="196"/>
        <v>5.6666666666666661</v>
      </c>
      <c r="Z177" s="459">
        <f t="shared" si="197"/>
        <v>1.9999999999999998</v>
      </c>
      <c r="AA177" s="461">
        <f t="shared" si="198"/>
        <v>38</v>
      </c>
      <c r="AB177" s="582">
        <f t="shared" si="199"/>
        <v>10.666666666666668</v>
      </c>
      <c r="AC177" s="113">
        <f t="shared" si="200"/>
        <v>9.6666666666666679</v>
      </c>
      <c r="AD177" s="113">
        <f t="shared" si="201"/>
        <v>0</v>
      </c>
      <c r="AE177" s="113">
        <f t="shared" si="202"/>
        <v>1</v>
      </c>
      <c r="AF177" s="460">
        <f t="shared" si="203"/>
        <v>0</v>
      </c>
      <c r="AG177" s="582">
        <f t="shared" si="204"/>
        <v>27.333333333333339</v>
      </c>
      <c r="AH177" s="113">
        <f t="shared" si="205"/>
        <v>23.666666666666664</v>
      </c>
      <c r="AI177" s="113">
        <f t="shared" si="206"/>
        <v>0</v>
      </c>
      <c r="AJ177" s="113">
        <f t="shared" si="207"/>
        <v>0</v>
      </c>
      <c r="AK177" s="459">
        <f t="shared" si="208"/>
        <v>3.666666666666667</v>
      </c>
      <c r="AL177" s="461">
        <f t="shared" si="209"/>
        <v>206</v>
      </c>
      <c r="AM177" s="582">
        <f t="shared" si="210"/>
        <v>100.66666666666666</v>
      </c>
      <c r="AN177" s="113">
        <f t="shared" si="211"/>
        <v>84</v>
      </c>
      <c r="AO177" s="113">
        <f t="shared" si="212"/>
        <v>0</v>
      </c>
      <c r="AP177" s="113">
        <f t="shared" si="213"/>
        <v>16.666666666666657</v>
      </c>
      <c r="AQ177" s="460">
        <f t="shared" si="214"/>
        <v>0</v>
      </c>
      <c r="AR177" s="582">
        <f t="shared" si="215"/>
        <v>105.33333333333336</v>
      </c>
      <c r="AS177" s="113">
        <f t="shared" si="216"/>
        <v>70.999999999999972</v>
      </c>
      <c r="AT177" s="113">
        <f t="shared" si="217"/>
        <v>0</v>
      </c>
      <c r="AU177" s="113">
        <f t="shared" si="218"/>
        <v>22.333333333333336</v>
      </c>
      <c r="AV177" s="459">
        <f t="shared" si="219"/>
        <v>12</v>
      </c>
      <c r="AW177" s="461">
        <f t="shared" si="220"/>
        <v>133.66666666666671</v>
      </c>
      <c r="AX177" s="582">
        <f t="shared" si="221"/>
        <v>57.666666666666664</v>
      </c>
      <c r="AY177" s="113">
        <f t="shared" si="222"/>
        <v>50.666666666666671</v>
      </c>
      <c r="AZ177" s="113">
        <f t="shared" si="223"/>
        <v>0</v>
      </c>
      <c r="BA177" s="113">
        <f t="shared" si="224"/>
        <v>7.0000000000000009</v>
      </c>
      <c r="BB177" s="460">
        <f t="shared" si="225"/>
        <v>0</v>
      </c>
      <c r="BC177" s="582">
        <f t="shared" si="226"/>
        <v>76</v>
      </c>
      <c r="BD177" s="113">
        <f t="shared" si="227"/>
        <v>59.333333333333336</v>
      </c>
      <c r="BE177" s="113">
        <f t="shared" si="228"/>
        <v>0</v>
      </c>
      <c r="BF177" s="113">
        <f t="shared" si="229"/>
        <v>9.6666666666666679</v>
      </c>
      <c r="BG177" s="459">
        <f t="shared" si="230"/>
        <v>6.9999999999999991</v>
      </c>
      <c r="BH177" s="461">
        <f t="shared" si="231"/>
        <v>171</v>
      </c>
      <c r="BI177" s="582">
        <f t="shared" si="232"/>
        <v>90.999999999999986</v>
      </c>
      <c r="BJ177" s="113">
        <f t="shared" si="233"/>
        <v>81</v>
      </c>
      <c r="BK177" s="113">
        <f t="shared" si="234"/>
        <v>0</v>
      </c>
      <c r="BL177" s="113">
        <f t="shared" si="235"/>
        <v>10</v>
      </c>
      <c r="BM177" s="460">
        <f t="shared" si="236"/>
        <v>0</v>
      </c>
      <c r="BN177" s="582">
        <f t="shared" si="237"/>
        <v>80</v>
      </c>
      <c r="BO177" s="113">
        <f t="shared" si="238"/>
        <v>50.666666666666671</v>
      </c>
      <c r="BP177" s="113">
        <f t="shared" si="239"/>
        <v>0</v>
      </c>
      <c r="BQ177" s="113">
        <f t="shared" si="240"/>
        <v>22.333333333333336</v>
      </c>
      <c r="BR177" s="459">
        <f t="shared" si="241"/>
        <v>7</v>
      </c>
      <c r="BS177" s="461">
        <f t="shared" si="242"/>
        <v>236.66666666666671</v>
      </c>
      <c r="BT177" s="582">
        <f t="shared" si="243"/>
        <v>111.00000000000001</v>
      </c>
      <c r="BU177" s="113">
        <f t="shared" si="244"/>
        <v>100.66666666666666</v>
      </c>
      <c r="BV177" s="113">
        <f t="shared" si="245"/>
        <v>0</v>
      </c>
      <c r="BW177" s="113">
        <f t="shared" si="246"/>
        <v>10.333333333333332</v>
      </c>
      <c r="BX177" s="460">
        <f t="shared" si="247"/>
        <v>0</v>
      </c>
      <c r="BY177" s="582">
        <f t="shared" si="248"/>
        <v>125.66666666666663</v>
      </c>
      <c r="BZ177" s="113">
        <f t="shared" si="249"/>
        <v>80.333333333333343</v>
      </c>
      <c r="CA177" s="113">
        <f t="shared" si="250"/>
        <v>0</v>
      </c>
      <c r="CB177" s="113">
        <f t="shared" si="251"/>
        <v>29.666666666666668</v>
      </c>
      <c r="CC177" s="459">
        <f t="shared" si="252"/>
        <v>15.666666666666666</v>
      </c>
      <c r="CD177" s="461">
        <f t="shared" si="253"/>
        <v>68.666666666666657</v>
      </c>
      <c r="CE177" s="582">
        <f t="shared" si="254"/>
        <v>40.666666666666679</v>
      </c>
      <c r="CF177" s="113">
        <f t="shared" si="255"/>
        <v>33</v>
      </c>
      <c r="CG177" s="113">
        <f t="shared" si="256"/>
        <v>0</v>
      </c>
      <c r="CH177" s="113">
        <f t="shared" si="257"/>
        <v>7.6666666666666634</v>
      </c>
      <c r="CI177" s="460">
        <f t="shared" si="258"/>
        <v>0</v>
      </c>
      <c r="CJ177" s="582">
        <f t="shared" si="259"/>
        <v>28</v>
      </c>
      <c r="CK177" s="113">
        <f t="shared" si="260"/>
        <v>19</v>
      </c>
      <c r="CL177" s="113">
        <f t="shared" si="261"/>
        <v>0</v>
      </c>
      <c r="CM177" s="113">
        <f t="shared" si="262"/>
        <v>5.9999999999999991</v>
      </c>
      <c r="CN177" s="459">
        <f t="shared" si="263"/>
        <v>3</v>
      </c>
      <c r="CO177" s="461">
        <f t="shared" si="264"/>
        <v>47</v>
      </c>
      <c r="CP177" s="582">
        <f t="shared" si="265"/>
        <v>20.333333333333336</v>
      </c>
      <c r="CQ177" s="113">
        <f t="shared" si="266"/>
        <v>20.333333333333336</v>
      </c>
      <c r="CR177" s="113">
        <f t="shared" si="267"/>
        <v>0</v>
      </c>
      <c r="CS177" s="113">
        <f t="shared" si="268"/>
        <v>0</v>
      </c>
      <c r="CT177" s="460">
        <f t="shared" si="269"/>
        <v>0</v>
      </c>
      <c r="CU177" s="582">
        <f t="shared" si="270"/>
        <v>26.666666666666668</v>
      </c>
      <c r="CV177" s="113">
        <f t="shared" si="271"/>
        <v>18.666666666666661</v>
      </c>
      <c r="CW177" s="113">
        <f t="shared" si="272"/>
        <v>0</v>
      </c>
      <c r="CX177" s="113">
        <f t="shared" si="273"/>
        <v>8</v>
      </c>
      <c r="CY177" s="459">
        <f t="shared" si="274"/>
        <v>0</v>
      </c>
      <c r="CZ177" s="461">
        <f t="shared" si="275"/>
        <v>13.66666666666667</v>
      </c>
      <c r="DA177" s="582">
        <f t="shared" si="276"/>
        <v>1.9999999999999998</v>
      </c>
      <c r="DB177" s="113">
        <f t="shared" si="277"/>
        <v>0</v>
      </c>
      <c r="DC177" s="113">
        <f t="shared" si="278"/>
        <v>0</v>
      </c>
      <c r="DD177" s="113">
        <f t="shared" si="279"/>
        <v>1.9999999999999998</v>
      </c>
      <c r="DE177" s="460">
        <f t="shared" si="280"/>
        <v>0</v>
      </c>
      <c r="DF177" s="582">
        <f t="shared" si="281"/>
        <v>11.66666666666667</v>
      </c>
      <c r="DG177" s="113">
        <f t="shared" si="282"/>
        <v>10.666666666666673</v>
      </c>
      <c r="DH177" s="113">
        <f t="shared" si="283"/>
        <v>0</v>
      </c>
      <c r="DI177" s="113">
        <f t="shared" si="284"/>
        <v>1</v>
      </c>
      <c r="DJ177" s="459">
        <f t="shared" si="285"/>
        <v>0</v>
      </c>
      <c r="DK177" s="461">
        <f t="shared" si="286"/>
        <v>0</v>
      </c>
      <c r="DL177" s="582">
        <f t="shared" si="287"/>
        <v>0</v>
      </c>
      <c r="DM177" s="113">
        <f t="shared" si="288"/>
        <v>0</v>
      </c>
      <c r="DN177" s="113">
        <f t="shared" si="289"/>
        <v>0</v>
      </c>
      <c r="DO177" s="113">
        <f t="shared" si="290"/>
        <v>0</v>
      </c>
      <c r="DP177" s="460">
        <f t="shared" si="291"/>
        <v>0</v>
      </c>
      <c r="DQ177" s="582">
        <f t="shared" si="292"/>
        <v>0</v>
      </c>
      <c r="DR177" s="113">
        <f t="shared" si="293"/>
        <v>0</v>
      </c>
      <c r="DS177" s="113">
        <f t="shared" si="294"/>
        <v>0</v>
      </c>
      <c r="DT177" s="113">
        <f t="shared" si="295"/>
        <v>0</v>
      </c>
      <c r="DU177" s="459">
        <f t="shared" si="296"/>
        <v>0</v>
      </c>
      <c r="DW177" s="461">
        <f t="shared" si="170"/>
        <v>748.33333333333337</v>
      </c>
      <c r="DX177" s="582">
        <f t="shared" si="170"/>
        <v>349.66666666666663</v>
      </c>
      <c r="DY177" s="113">
        <f t="shared" si="170"/>
        <v>310.66666666666669</v>
      </c>
      <c r="DZ177" s="113">
        <f t="shared" si="170"/>
        <v>0</v>
      </c>
      <c r="EA177" s="113">
        <f t="shared" si="170"/>
        <v>38.999999999999993</v>
      </c>
      <c r="EB177" s="460">
        <f t="shared" si="170"/>
        <v>0</v>
      </c>
      <c r="EC177" s="582">
        <f t="shared" si="170"/>
        <v>398.66666666666669</v>
      </c>
      <c r="ED177" s="113">
        <f t="shared" si="170"/>
        <v>278</v>
      </c>
      <c r="EE177" s="113">
        <f t="shared" si="170"/>
        <v>0</v>
      </c>
      <c r="EF177" s="113">
        <f t="shared" si="170"/>
        <v>82.333333333333343</v>
      </c>
      <c r="EG177" s="459">
        <f t="shared" si="170"/>
        <v>38.333333333333329</v>
      </c>
      <c r="EH177" s="461">
        <f t="shared" ref="EH177:ER231" si="313">AL177</f>
        <v>206</v>
      </c>
      <c r="EI177" s="582">
        <f t="shared" si="312"/>
        <v>100.66666666666666</v>
      </c>
      <c r="EJ177" s="113">
        <f t="shared" si="312"/>
        <v>84</v>
      </c>
      <c r="EK177" s="113">
        <f t="shared" si="312"/>
        <v>0</v>
      </c>
      <c r="EL177" s="113">
        <f t="shared" si="312"/>
        <v>16.666666666666657</v>
      </c>
      <c r="EM177" s="460">
        <f t="shared" si="312"/>
        <v>0</v>
      </c>
      <c r="EN177" s="582">
        <f t="shared" si="312"/>
        <v>105.33333333333336</v>
      </c>
      <c r="EO177" s="113">
        <f t="shared" si="312"/>
        <v>70.999999999999972</v>
      </c>
      <c r="EP177" s="113">
        <f t="shared" si="141"/>
        <v>0</v>
      </c>
      <c r="EQ177" s="113">
        <f t="shared" si="141"/>
        <v>22.333333333333336</v>
      </c>
      <c r="ER177" s="459">
        <f t="shared" si="141"/>
        <v>12</v>
      </c>
    </row>
    <row r="178" spans="1:148">
      <c r="A178" s="665" t="s">
        <v>406</v>
      </c>
      <c r="B178" s="665">
        <v>43435</v>
      </c>
      <c r="C178" s="666">
        <v>2018</v>
      </c>
      <c r="D178" s="461">
        <f t="shared" si="311"/>
        <v>1599967.9999999998</v>
      </c>
      <c r="E178" s="461">
        <f t="shared" si="176"/>
        <v>24938.000000000004</v>
      </c>
      <c r="F178" s="582">
        <f t="shared" si="177"/>
        <v>11778.999999999998</v>
      </c>
      <c r="G178" s="113">
        <f t="shared" si="178"/>
        <v>9848</v>
      </c>
      <c r="H178" s="113">
        <f t="shared" si="179"/>
        <v>0</v>
      </c>
      <c r="I178" s="113">
        <f t="shared" si="180"/>
        <v>1931.0000000000009</v>
      </c>
      <c r="J178" s="460">
        <f t="shared" si="181"/>
        <v>0</v>
      </c>
      <c r="K178" s="582">
        <f t="shared" si="182"/>
        <v>13158.999999999998</v>
      </c>
      <c r="L178" s="113">
        <f t="shared" si="183"/>
        <v>9174.9999999999982</v>
      </c>
      <c r="M178" s="113">
        <f t="shared" si="184"/>
        <v>0</v>
      </c>
      <c r="N178" s="113">
        <f t="shared" si="185"/>
        <v>2587.9999999999995</v>
      </c>
      <c r="O178" s="459">
        <f t="shared" si="186"/>
        <v>1395.9999999999998</v>
      </c>
      <c r="P178" s="461">
        <f t="shared" si="187"/>
        <v>41</v>
      </c>
      <c r="Q178" s="582">
        <f t="shared" si="188"/>
        <v>17</v>
      </c>
      <c r="R178" s="113">
        <f t="shared" si="189"/>
        <v>16.000000000000004</v>
      </c>
      <c r="S178" s="113">
        <f t="shared" si="190"/>
        <v>0</v>
      </c>
      <c r="T178" s="113">
        <f t="shared" si="191"/>
        <v>1</v>
      </c>
      <c r="U178" s="460">
        <f t="shared" si="192"/>
        <v>0</v>
      </c>
      <c r="V178" s="582">
        <f t="shared" si="193"/>
        <v>24.000000000000004</v>
      </c>
      <c r="W178" s="113">
        <f t="shared" si="194"/>
        <v>16</v>
      </c>
      <c r="X178" s="113">
        <f t="shared" si="195"/>
        <v>0</v>
      </c>
      <c r="Y178" s="113">
        <f t="shared" si="196"/>
        <v>5.9999999999999991</v>
      </c>
      <c r="Z178" s="459">
        <f t="shared" si="197"/>
        <v>1.9999999999999998</v>
      </c>
      <c r="AA178" s="461">
        <f t="shared" si="198"/>
        <v>39</v>
      </c>
      <c r="AB178" s="582">
        <f t="shared" si="199"/>
        <v>11.000000000000002</v>
      </c>
      <c r="AC178" s="113">
        <f t="shared" si="200"/>
        <v>10.000000000000002</v>
      </c>
      <c r="AD178" s="113">
        <f t="shared" si="201"/>
        <v>0</v>
      </c>
      <c r="AE178" s="113">
        <f t="shared" si="202"/>
        <v>1</v>
      </c>
      <c r="AF178" s="460">
        <f t="shared" si="203"/>
        <v>0</v>
      </c>
      <c r="AG178" s="582">
        <f t="shared" si="204"/>
        <v>28.000000000000007</v>
      </c>
      <c r="AH178" s="113">
        <f t="shared" si="205"/>
        <v>23.999999999999996</v>
      </c>
      <c r="AI178" s="113">
        <f t="shared" si="206"/>
        <v>0</v>
      </c>
      <c r="AJ178" s="113">
        <f t="shared" si="207"/>
        <v>0</v>
      </c>
      <c r="AK178" s="459">
        <f t="shared" si="208"/>
        <v>4</v>
      </c>
      <c r="AL178" s="461">
        <f t="shared" si="209"/>
        <v>211</v>
      </c>
      <c r="AM178" s="582">
        <f t="shared" si="210"/>
        <v>103.99999999999999</v>
      </c>
      <c r="AN178" s="113">
        <f t="shared" si="211"/>
        <v>87</v>
      </c>
      <c r="AO178" s="113">
        <f t="shared" si="212"/>
        <v>0</v>
      </c>
      <c r="AP178" s="113">
        <f t="shared" si="213"/>
        <v>16.999999999999989</v>
      </c>
      <c r="AQ178" s="460">
        <f t="shared" si="214"/>
        <v>0</v>
      </c>
      <c r="AR178" s="582">
        <f t="shared" si="215"/>
        <v>107.00000000000003</v>
      </c>
      <c r="AS178" s="113">
        <f t="shared" si="216"/>
        <v>70.999999999999972</v>
      </c>
      <c r="AT178" s="113">
        <f t="shared" si="217"/>
        <v>0</v>
      </c>
      <c r="AU178" s="113">
        <f t="shared" si="218"/>
        <v>24.000000000000004</v>
      </c>
      <c r="AV178" s="459">
        <f t="shared" si="219"/>
        <v>12</v>
      </c>
      <c r="AW178" s="461">
        <f t="shared" si="220"/>
        <v>137.00000000000006</v>
      </c>
      <c r="AX178" s="582">
        <f t="shared" si="221"/>
        <v>60</v>
      </c>
      <c r="AY178" s="113">
        <f t="shared" si="222"/>
        <v>53.000000000000007</v>
      </c>
      <c r="AZ178" s="113">
        <f t="shared" si="223"/>
        <v>0</v>
      </c>
      <c r="BA178" s="113">
        <f t="shared" si="224"/>
        <v>7.0000000000000009</v>
      </c>
      <c r="BB178" s="460">
        <f t="shared" si="225"/>
        <v>0</v>
      </c>
      <c r="BC178" s="582">
        <f t="shared" si="226"/>
        <v>77</v>
      </c>
      <c r="BD178" s="113">
        <f t="shared" si="227"/>
        <v>60</v>
      </c>
      <c r="BE178" s="113">
        <f t="shared" si="228"/>
        <v>0</v>
      </c>
      <c r="BF178" s="113">
        <f t="shared" si="229"/>
        <v>10.000000000000002</v>
      </c>
      <c r="BG178" s="459">
        <f t="shared" si="230"/>
        <v>6.9999999999999991</v>
      </c>
      <c r="BH178" s="461">
        <f t="shared" si="231"/>
        <v>177</v>
      </c>
      <c r="BI178" s="582">
        <f t="shared" si="232"/>
        <v>94.999999999999986</v>
      </c>
      <c r="BJ178" s="113">
        <f t="shared" si="233"/>
        <v>84</v>
      </c>
      <c r="BK178" s="113">
        <f t="shared" si="234"/>
        <v>0</v>
      </c>
      <c r="BL178" s="113">
        <f t="shared" si="235"/>
        <v>11</v>
      </c>
      <c r="BM178" s="460">
        <f t="shared" si="236"/>
        <v>0</v>
      </c>
      <c r="BN178" s="582">
        <f t="shared" si="237"/>
        <v>82</v>
      </c>
      <c r="BO178" s="113">
        <f t="shared" si="238"/>
        <v>52.000000000000007</v>
      </c>
      <c r="BP178" s="113">
        <f t="shared" si="239"/>
        <v>0</v>
      </c>
      <c r="BQ178" s="113">
        <f t="shared" si="240"/>
        <v>23.000000000000004</v>
      </c>
      <c r="BR178" s="459">
        <f t="shared" si="241"/>
        <v>7</v>
      </c>
      <c r="BS178" s="461">
        <f t="shared" si="242"/>
        <v>243.00000000000006</v>
      </c>
      <c r="BT178" s="582">
        <f t="shared" si="243"/>
        <v>115.00000000000001</v>
      </c>
      <c r="BU178" s="113">
        <f t="shared" si="244"/>
        <v>103.99999999999999</v>
      </c>
      <c r="BV178" s="113">
        <f t="shared" si="245"/>
        <v>0</v>
      </c>
      <c r="BW178" s="113">
        <f t="shared" si="246"/>
        <v>10.999999999999998</v>
      </c>
      <c r="BX178" s="460">
        <f t="shared" si="247"/>
        <v>0</v>
      </c>
      <c r="BY178" s="582">
        <f t="shared" si="248"/>
        <v>127.99999999999996</v>
      </c>
      <c r="BZ178" s="113">
        <f t="shared" si="249"/>
        <v>82.000000000000014</v>
      </c>
      <c r="CA178" s="113">
        <f t="shared" si="250"/>
        <v>0</v>
      </c>
      <c r="CB178" s="113">
        <f t="shared" si="251"/>
        <v>30</v>
      </c>
      <c r="CC178" s="459">
        <f t="shared" si="252"/>
        <v>16</v>
      </c>
      <c r="CD178" s="461">
        <f t="shared" si="253"/>
        <v>69.999999999999986</v>
      </c>
      <c r="CE178" s="582">
        <f t="shared" si="254"/>
        <v>42.000000000000014</v>
      </c>
      <c r="CF178" s="113">
        <f t="shared" si="255"/>
        <v>34</v>
      </c>
      <c r="CG178" s="113">
        <f t="shared" si="256"/>
        <v>0</v>
      </c>
      <c r="CH178" s="113">
        <f t="shared" si="257"/>
        <v>7.9999999999999964</v>
      </c>
      <c r="CI178" s="460">
        <f t="shared" si="258"/>
        <v>0</v>
      </c>
      <c r="CJ178" s="582">
        <f t="shared" si="259"/>
        <v>28</v>
      </c>
      <c r="CK178" s="113">
        <f t="shared" si="260"/>
        <v>19</v>
      </c>
      <c r="CL178" s="113">
        <f t="shared" si="261"/>
        <v>0</v>
      </c>
      <c r="CM178" s="113">
        <f t="shared" si="262"/>
        <v>5.9999999999999991</v>
      </c>
      <c r="CN178" s="459">
        <f t="shared" si="263"/>
        <v>3</v>
      </c>
      <c r="CO178" s="461">
        <f t="shared" si="264"/>
        <v>48</v>
      </c>
      <c r="CP178" s="582">
        <f t="shared" si="265"/>
        <v>21.000000000000004</v>
      </c>
      <c r="CQ178" s="113">
        <f t="shared" si="266"/>
        <v>21.000000000000004</v>
      </c>
      <c r="CR178" s="113">
        <f t="shared" si="267"/>
        <v>0</v>
      </c>
      <c r="CS178" s="113">
        <f t="shared" si="268"/>
        <v>0</v>
      </c>
      <c r="CT178" s="460">
        <f t="shared" si="269"/>
        <v>0</v>
      </c>
      <c r="CU178" s="582">
        <f t="shared" si="270"/>
        <v>27</v>
      </c>
      <c r="CV178" s="113">
        <f t="shared" si="271"/>
        <v>18.999999999999993</v>
      </c>
      <c r="CW178" s="113">
        <f t="shared" si="272"/>
        <v>0</v>
      </c>
      <c r="CX178" s="113">
        <f t="shared" si="273"/>
        <v>8</v>
      </c>
      <c r="CY178" s="459">
        <f t="shared" si="274"/>
        <v>0</v>
      </c>
      <c r="CZ178" s="461">
        <f t="shared" si="275"/>
        <v>14.000000000000004</v>
      </c>
      <c r="DA178" s="582">
        <f t="shared" si="276"/>
        <v>1.9999999999999998</v>
      </c>
      <c r="DB178" s="113">
        <f t="shared" si="277"/>
        <v>0</v>
      </c>
      <c r="DC178" s="113">
        <f t="shared" si="278"/>
        <v>0</v>
      </c>
      <c r="DD178" s="113">
        <f t="shared" si="279"/>
        <v>1.9999999999999998</v>
      </c>
      <c r="DE178" s="460">
        <f t="shared" si="280"/>
        <v>0</v>
      </c>
      <c r="DF178" s="582">
        <f t="shared" si="281"/>
        <v>12.000000000000004</v>
      </c>
      <c r="DG178" s="113">
        <f t="shared" si="282"/>
        <v>11.000000000000007</v>
      </c>
      <c r="DH178" s="113">
        <f t="shared" si="283"/>
        <v>0</v>
      </c>
      <c r="DI178" s="113">
        <f t="shared" si="284"/>
        <v>1</v>
      </c>
      <c r="DJ178" s="459">
        <f t="shared" si="285"/>
        <v>0</v>
      </c>
      <c r="DK178" s="461">
        <f t="shared" si="286"/>
        <v>0</v>
      </c>
      <c r="DL178" s="582">
        <f t="shared" si="287"/>
        <v>0</v>
      </c>
      <c r="DM178" s="113">
        <f t="shared" si="288"/>
        <v>0</v>
      </c>
      <c r="DN178" s="113">
        <f t="shared" si="289"/>
        <v>0</v>
      </c>
      <c r="DO178" s="113">
        <f t="shared" si="290"/>
        <v>0</v>
      </c>
      <c r="DP178" s="460">
        <f t="shared" si="291"/>
        <v>0</v>
      </c>
      <c r="DQ178" s="582">
        <f t="shared" si="292"/>
        <v>0</v>
      </c>
      <c r="DR178" s="113">
        <f t="shared" si="293"/>
        <v>0</v>
      </c>
      <c r="DS178" s="113">
        <f t="shared" si="294"/>
        <v>0</v>
      </c>
      <c r="DT178" s="113">
        <f t="shared" si="295"/>
        <v>0</v>
      </c>
      <c r="DU178" s="459">
        <f t="shared" si="296"/>
        <v>0</v>
      </c>
      <c r="DW178" s="461">
        <f t="shared" si="170"/>
        <v>769.00000000000011</v>
      </c>
      <c r="DX178" s="582">
        <f t="shared" si="170"/>
        <v>363</v>
      </c>
      <c r="DY178" s="113">
        <f t="shared" ref="DY178:EG206" si="314">R178+AC178+AY178+BJ178+BU178+CF178+CQ178+DB178+DM178</f>
        <v>322</v>
      </c>
      <c r="DZ178" s="113">
        <f t="shared" si="314"/>
        <v>0</v>
      </c>
      <c r="EA178" s="113">
        <f t="shared" si="314"/>
        <v>41</v>
      </c>
      <c r="EB178" s="460">
        <f t="shared" si="314"/>
        <v>0</v>
      </c>
      <c r="EC178" s="582">
        <f t="shared" si="314"/>
        <v>405.99999999999994</v>
      </c>
      <c r="ED178" s="113">
        <f t="shared" si="314"/>
        <v>283</v>
      </c>
      <c r="EE178" s="113">
        <f t="shared" si="314"/>
        <v>0</v>
      </c>
      <c r="EF178" s="113">
        <f t="shared" si="314"/>
        <v>84</v>
      </c>
      <c r="EG178" s="459">
        <f t="shared" si="314"/>
        <v>39</v>
      </c>
      <c r="EH178" s="461">
        <f t="shared" si="313"/>
        <v>211</v>
      </c>
      <c r="EI178" s="582">
        <f t="shared" si="312"/>
        <v>103.99999999999999</v>
      </c>
      <c r="EJ178" s="113">
        <f t="shared" si="312"/>
        <v>87</v>
      </c>
      <c r="EK178" s="113">
        <f t="shared" si="312"/>
        <v>0</v>
      </c>
      <c r="EL178" s="113">
        <f t="shared" si="312"/>
        <v>16.999999999999989</v>
      </c>
      <c r="EM178" s="460">
        <f t="shared" si="312"/>
        <v>0</v>
      </c>
      <c r="EN178" s="582">
        <f t="shared" si="312"/>
        <v>107.00000000000003</v>
      </c>
      <c r="EO178" s="113">
        <f t="shared" si="312"/>
        <v>70.999999999999972</v>
      </c>
      <c r="EP178" s="113">
        <f t="shared" si="141"/>
        <v>0</v>
      </c>
      <c r="EQ178" s="113">
        <f t="shared" si="141"/>
        <v>24.000000000000004</v>
      </c>
      <c r="ER178" s="459">
        <f t="shared" si="141"/>
        <v>12</v>
      </c>
    </row>
    <row r="179" spans="1:148">
      <c r="A179" s="665" t="s">
        <v>407</v>
      </c>
      <c r="B179" s="665">
        <v>43466</v>
      </c>
      <c r="C179" s="666">
        <v>2019</v>
      </c>
      <c r="D179" s="461">
        <f t="shared" si="311"/>
        <v>1656287.6666666665</v>
      </c>
      <c r="E179" s="461">
        <f t="shared" si="176"/>
        <v>25385.666666666672</v>
      </c>
      <c r="F179" s="582">
        <f t="shared" si="177"/>
        <v>12062.333333333332</v>
      </c>
      <c r="G179" s="113">
        <f t="shared" si="178"/>
        <v>10036.333333333334</v>
      </c>
      <c r="H179" s="113">
        <f t="shared" si="179"/>
        <v>0</v>
      </c>
      <c r="I179" s="113">
        <f t="shared" si="180"/>
        <v>2026.0000000000009</v>
      </c>
      <c r="J179" s="460">
        <f t="shared" si="181"/>
        <v>0</v>
      </c>
      <c r="K179" s="582">
        <f t="shared" si="182"/>
        <v>13323.333333333332</v>
      </c>
      <c r="L179" s="113">
        <f t="shared" si="183"/>
        <v>9268.3333333333321</v>
      </c>
      <c r="M179" s="113">
        <f t="shared" si="184"/>
        <v>0</v>
      </c>
      <c r="N179" s="113">
        <f t="shared" si="185"/>
        <v>2650.9999999999995</v>
      </c>
      <c r="O179" s="459">
        <f t="shared" si="186"/>
        <v>1403.9999999999998</v>
      </c>
      <c r="P179" s="461">
        <f t="shared" si="187"/>
        <v>42</v>
      </c>
      <c r="Q179" s="582">
        <f t="shared" si="188"/>
        <v>17</v>
      </c>
      <c r="R179" s="113">
        <f t="shared" si="189"/>
        <v>16.000000000000004</v>
      </c>
      <c r="S179" s="113">
        <f t="shared" si="190"/>
        <v>0</v>
      </c>
      <c r="T179" s="113">
        <f t="shared" si="191"/>
        <v>1</v>
      </c>
      <c r="U179" s="460">
        <f t="shared" si="192"/>
        <v>0</v>
      </c>
      <c r="V179" s="582">
        <f t="shared" si="193"/>
        <v>25.000000000000004</v>
      </c>
      <c r="W179" s="113">
        <f t="shared" si="194"/>
        <v>16.666666666666668</v>
      </c>
      <c r="X179" s="113">
        <f t="shared" si="195"/>
        <v>0</v>
      </c>
      <c r="Y179" s="113">
        <f t="shared" si="196"/>
        <v>6.3333333333333321</v>
      </c>
      <c r="Z179" s="459">
        <f t="shared" si="197"/>
        <v>1.9999999999999998</v>
      </c>
      <c r="AA179" s="461">
        <f t="shared" si="198"/>
        <v>39</v>
      </c>
      <c r="AB179" s="582">
        <f t="shared" si="199"/>
        <v>11.000000000000002</v>
      </c>
      <c r="AC179" s="113">
        <f t="shared" si="200"/>
        <v>10.000000000000002</v>
      </c>
      <c r="AD179" s="113">
        <f t="shared" si="201"/>
        <v>0</v>
      </c>
      <c r="AE179" s="113">
        <f t="shared" si="202"/>
        <v>1</v>
      </c>
      <c r="AF179" s="460">
        <f t="shared" si="203"/>
        <v>0</v>
      </c>
      <c r="AG179" s="582">
        <f t="shared" si="204"/>
        <v>28.000000000000007</v>
      </c>
      <c r="AH179" s="113">
        <f t="shared" si="205"/>
        <v>23.999999999999996</v>
      </c>
      <c r="AI179" s="113">
        <f t="shared" si="206"/>
        <v>0</v>
      </c>
      <c r="AJ179" s="113">
        <f t="shared" si="207"/>
        <v>0</v>
      </c>
      <c r="AK179" s="459">
        <f t="shared" si="208"/>
        <v>4</v>
      </c>
      <c r="AL179" s="461">
        <f t="shared" si="209"/>
        <v>214.66666666666666</v>
      </c>
      <c r="AM179" s="582">
        <f t="shared" si="210"/>
        <v>106.66666666666666</v>
      </c>
      <c r="AN179" s="113">
        <f t="shared" si="211"/>
        <v>88.333333333333329</v>
      </c>
      <c r="AO179" s="113">
        <f t="shared" si="212"/>
        <v>0</v>
      </c>
      <c r="AP179" s="113">
        <f t="shared" si="213"/>
        <v>18.333333333333321</v>
      </c>
      <c r="AQ179" s="460">
        <f t="shared" si="214"/>
        <v>0</v>
      </c>
      <c r="AR179" s="582">
        <f t="shared" si="215"/>
        <v>108.00000000000003</v>
      </c>
      <c r="AS179" s="113">
        <f t="shared" si="216"/>
        <v>70.999999999999972</v>
      </c>
      <c r="AT179" s="113">
        <f t="shared" si="217"/>
        <v>0</v>
      </c>
      <c r="AU179" s="113">
        <f t="shared" si="218"/>
        <v>25.000000000000004</v>
      </c>
      <c r="AV179" s="459">
        <f t="shared" si="219"/>
        <v>12</v>
      </c>
      <c r="AW179" s="461">
        <f t="shared" si="220"/>
        <v>138.3333333333334</v>
      </c>
      <c r="AX179" s="582">
        <f t="shared" si="221"/>
        <v>60.666666666666664</v>
      </c>
      <c r="AY179" s="113">
        <f t="shared" si="222"/>
        <v>53.666666666666671</v>
      </c>
      <c r="AZ179" s="113">
        <f t="shared" si="223"/>
        <v>0</v>
      </c>
      <c r="BA179" s="113">
        <f t="shared" si="224"/>
        <v>7.0000000000000009</v>
      </c>
      <c r="BB179" s="460">
        <f t="shared" si="225"/>
        <v>0</v>
      </c>
      <c r="BC179" s="582">
        <f t="shared" si="226"/>
        <v>77.666666666666671</v>
      </c>
      <c r="BD179" s="113">
        <f t="shared" si="227"/>
        <v>60.333333333333336</v>
      </c>
      <c r="BE179" s="113">
        <f t="shared" si="228"/>
        <v>0</v>
      </c>
      <c r="BF179" s="113">
        <f t="shared" si="229"/>
        <v>10.333333333333336</v>
      </c>
      <c r="BG179" s="459">
        <f t="shared" si="230"/>
        <v>6.9999999999999991</v>
      </c>
      <c r="BH179" s="461">
        <f t="shared" si="231"/>
        <v>178</v>
      </c>
      <c r="BI179" s="582">
        <f t="shared" si="232"/>
        <v>95.666666666666657</v>
      </c>
      <c r="BJ179" s="113">
        <f t="shared" si="233"/>
        <v>84.666666666666671</v>
      </c>
      <c r="BK179" s="113">
        <f t="shared" si="234"/>
        <v>0</v>
      </c>
      <c r="BL179" s="113">
        <f t="shared" si="235"/>
        <v>11</v>
      </c>
      <c r="BM179" s="460">
        <f t="shared" si="236"/>
        <v>0</v>
      </c>
      <c r="BN179" s="582">
        <f t="shared" si="237"/>
        <v>82.333333333333329</v>
      </c>
      <c r="BO179" s="113">
        <f t="shared" si="238"/>
        <v>52.000000000000007</v>
      </c>
      <c r="BP179" s="113">
        <f t="shared" si="239"/>
        <v>0</v>
      </c>
      <c r="BQ179" s="113">
        <f t="shared" si="240"/>
        <v>23.333333333333336</v>
      </c>
      <c r="BR179" s="459">
        <f t="shared" si="241"/>
        <v>7</v>
      </c>
      <c r="BS179" s="461">
        <f t="shared" si="242"/>
        <v>246.3333333333334</v>
      </c>
      <c r="BT179" s="582">
        <f t="shared" si="243"/>
        <v>116.66666666666669</v>
      </c>
      <c r="BU179" s="113">
        <f t="shared" si="244"/>
        <v>104.99999999999999</v>
      </c>
      <c r="BV179" s="113">
        <f t="shared" si="245"/>
        <v>0</v>
      </c>
      <c r="BW179" s="113">
        <f t="shared" si="246"/>
        <v>11.666666666666664</v>
      </c>
      <c r="BX179" s="460">
        <f t="shared" si="247"/>
        <v>0</v>
      </c>
      <c r="BY179" s="582">
        <f t="shared" si="248"/>
        <v>129.66666666666663</v>
      </c>
      <c r="BZ179" s="113">
        <f t="shared" si="249"/>
        <v>82.333333333333343</v>
      </c>
      <c r="CA179" s="113">
        <f t="shared" si="250"/>
        <v>0</v>
      </c>
      <c r="CB179" s="113">
        <f t="shared" si="251"/>
        <v>31.333333333333332</v>
      </c>
      <c r="CC179" s="459">
        <f t="shared" si="252"/>
        <v>16</v>
      </c>
      <c r="CD179" s="461">
        <f t="shared" si="253"/>
        <v>69.999999999999986</v>
      </c>
      <c r="CE179" s="582">
        <f t="shared" si="254"/>
        <v>42.000000000000014</v>
      </c>
      <c r="CF179" s="113">
        <f t="shared" si="255"/>
        <v>34</v>
      </c>
      <c r="CG179" s="113">
        <f t="shared" si="256"/>
        <v>0</v>
      </c>
      <c r="CH179" s="113">
        <f t="shared" si="257"/>
        <v>7.9999999999999964</v>
      </c>
      <c r="CI179" s="460">
        <f t="shared" si="258"/>
        <v>0</v>
      </c>
      <c r="CJ179" s="582">
        <f t="shared" si="259"/>
        <v>28</v>
      </c>
      <c r="CK179" s="113">
        <f t="shared" si="260"/>
        <v>19</v>
      </c>
      <c r="CL179" s="113">
        <f t="shared" si="261"/>
        <v>0</v>
      </c>
      <c r="CM179" s="113">
        <f t="shared" si="262"/>
        <v>5.9999999999999991</v>
      </c>
      <c r="CN179" s="459">
        <f t="shared" si="263"/>
        <v>3</v>
      </c>
      <c r="CO179" s="461">
        <f t="shared" si="264"/>
        <v>48</v>
      </c>
      <c r="CP179" s="582">
        <f t="shared" si="265"/>
        <v>21.000000000000004</v>
      </c>
      <c r="CQ179" s="113">
        <f t="shared" si="266"/>
        <v>21.000000000000004</v>
      </c>
      <c r="CR179" s="113">
        <f t="shared" si="267"/>
        <v>0</v>
      </c>
      <c r="CS179" s="113">
        <f t="shared" si="268"/>
        <v>0</v>
      </c>
      <c r="CT179" s="460">
        <f t="shared" si="269"/>
        <v>0</v>
      </c>
      <c r="CU179" s="582">
        <f t="shared" si="270"/>
        <v>27</v>
      </c>
      <c r="CV179" s="113">
        <f t="shared" si="271"/>
        <v>18.999999999999993</v>
      </c>
      <c r="CW179" s="113">
        <f t="shared" si="272"/>
        <v>0</v>
      </c>
      <c r="CX179" s="113">
        <f t="shared" si="273"/>
        <v>8</v>
      </c>
      <c r="CY179" s="459">
        <f t="shared" si="274"/>
        <v>0</v>
      </c>
      <c r="CZ179" s="461">
        <f t="shared" si="275"/>
        <v>14.000000000000004</v>
      </c>
      <c r="DA179" s="582">
        <f t="shared" si="276"/>
        <v>1.9999999999999998</v>
      </c>
      <c r="DB179" s="113">
        <f t="shared" si="277"/>
        <v>0</v>
      </c>
      <c r="DC179" s="113">
        <f t="shared" si="278"/>
        <v>0</v>
      </c>
      <c r="DD179" s="113">
        <f t="shared" si="279"/>
        <v>1.9999999999999998</v>
      </c>
      <c r="DE179" s="460">
        <f t="shared" si="280"/>
        <v>0</v>
      </c>
      <c r="DF179" s="582">
        <f t="shared" si="281"/>
        <v>12.000000000000004</v>
      </c>
      <c r="DG179" s="113">
        <f t="shared" si="282"/>
        <v>11.000000000000007</v>
      </c>
      <c r="DH179" s="113">
        <f t="shared" si="283"/>
        <v>0</v>
      </c>
      <c r="DI179" s="113">
        <f t="shared" si="284"/>
        <v>1</v>
      </c>
      <c r="DJ179" s="459">
        <f t="shared" si="285"/>
        <v>0</v>
      </c>
      <c r="DK179" s="461">
        <f t="shared" si="286"/>
        <v>0</v>
      </c>
      <c r="DL179" s="582">
        <f t="shared" si="287"/>
        <v>0</v>
      </c>
      <c r="DM179" s="113">
        <f t="shared" si="288"/>
        <v>0</v>
      </c>
      <c r="DN179" s="113">
        <f t="shared" si="289"/>
        <v>0</v>
      </c>
      <c r="DO179" s="113">
        <f t="shared" si="290"/>
        <v>0</v>
      </c>
      <c r="DP179" s="460">
        <f t="shared" si="291"/>
        <v>0</v>
      </c>
      <c r="DQ179" s="582">
        <f t="shared" si="292"/>
        <v>0</v>
      </c>
      <c r="DR179" s="113">
        <f t="shared" si="293"/>
        <v>0</v>
      </c>
      <c r="DS179" s="113">
        <f t="shared" si="294"/>
        <v>0</v>
      </c>
      <c r="DT179" s="113">
        <f t="shared" si="295"/>
        <v>0</v>
      </c>
      <c r="DU179" s="459">
        <f t="shared" si="296"/>
        <v>0</v>
      </c>
      <c r="DW179" s="461">
        <f t="shared" ref="DW179:EA239" si="315">P179+AA179+AW179+BH179+BS179+CD179+CO179+CZ179+DK179</f>
        <v>775.66666666666674</v>
      </c>
      <c r="DX179" s="582">
        <f t="shared" si="315"/>
        <v>366</v>
      </c>
      <c r="DY179" s="113">
        <f t="shared" si="314"/>
        <v>324.33333333333337</v>
      </c>
      <c r="DZ179" s="113">
        <f t="shared" si="314"/>
        <v>0</v>
      </c>
      <c r="EA179" s="113">
        <f t="shared" si="314"/>
        <v>41.666666666666657</v>
      </c>
      <c r="EB179" s="460">
        <f t="shared" si="314"/>
        <v>0</v>
      </c>
      <c r="EC179" s="582">
        <f t="shared" si="314"/>
        <v>409.66666666666663</v>
      </c>
      <c r="ED179" s="113">
        <f t="shared" si="314"/>
        <v>284.33333333333331</v>
      </c>
      <c r="EE179" s="113">
        <f t="shared" si="314"/>
        <v>0</v>
      </c>
      <c r="EF179" s="113">
        <f t="shared" si="314"/>
        <v>86.333333333333329</v>
      </c>
      <c r="EG179" s="459">
        <f t="shared" si="314"/>
        <v>39</v>
      </c>
      <c r="EH179" s="461">
        <f t="shared" si="313"/>
        <v>214.66666666666666</v>
      </c>
      <c r="EI179" s="582">
        <f t="shared" si="312"/>
        <v>106.66666666666666</v>
      </c>
      <c r="EJ179" s="113">
        <f t="shared" si="312"/>
        <v>88.333333333333329</v>
      </c>
      <c r="EK179" s="113">
        <f t="shared" si="312"/>
        <v>0</v>
      </c>
      <c r="EL179" s="113">
        <f t="shared" si="312"/>
        <v>18.333333333333321</v>
      </c>
      <c r="EM179" s="460">
        <f t="shared" si="312"/>
        <v>0</v>
      </c>
      <c r="EN179" s="582">
        <f t="shared" si="312"/>
        <v>108.00000000000003</v>
      </c>
      <c r="EO179" s="113">
        <f t="shared" si="312"/>
        <v>70.999999999999972</v>
      </c>
      <c r="EP179" s="113">
        <f t="shared" si="141"/>
        <v>0</v>
      </c>
      <c r="EQ179" s="113">
        <f t="shared" si="141"/>
        <v>25.000000000000004</v>
      </c>
      <c r="ER179" s="459">
        <f t="shared" si="141"/>
        <v>12</v>
      </c>
    </row>
    <row r="180" spans="1:148">
      <c r="A180" s="665" t="s">
        <v>407</v>
      </c>
      <c r="B180" s="665">
        <v>43497</v>
      </c>
      <c r="C180" s="666">
        <v>2019</v>
      </c>
      <c r="D180" s="461">
        <f t="shared" si="311"/>
        <v>1712607.3333333333</v>
      </c>
      <c r="E180" s="461">
        <f t="shared" si="176"/>
        <v>25833.333333333339</v>
      </c>
      <c r="F180" s="582">
        <f t="shared" si="177"/>
        <v>12345.666666666666</v>
      </c>
      <c r="G180" s="113">
        <f t="shared" si="178"/>
        <v>10224.666666666668</v>
      </c>
      <c r="H180" s="113">
        <f t="shared" si="179"/>
        <v>0</v>
      </c>
      <c r="I180" s="113">
        <f t="shared" si="180"/>
        <v>2121.0000000000009</v>
      </c>
      <c r="J180" s="460">
        <f t="shared" si="181"/>
        <v>0</v>
      </c>
      <c r="K180" s="582">
        <f t="shared" si="182"/>
        <v>13487.666666666666</v>
      </c>
      <c r="L180" s="113">
        <f t="shared" si="183"/>
        <v>9361.6666666666661</v>
      </c>
      <c r="M180" s="113">
        <f t="shared" si="184"/>
        <v>0</v>
      </c>
      <c r="N180" s="113">
        <f t="shared" si="185"/>
        <v>2713.9999999999995</v>
      </c>
      <c r="O180" s="459">
        <f t="shared" si="186"/>
        <v>1411.9999999999998</v>
      </c>
      <c r="P180" s="461">
        <f t="shared" si="187"/>
        <v>43</v>
      </c>
      <c r="Q180" s="582">
        <f t="shared" si="188"/>
        <v>17</v>
      </c>
      <c r="R180" s="113">
        <f t="shared" si="189"/>
        <v>16.000000000000004</v>
      </c>
      <c r="S180" s="113">
        <f t="shared" si="190"/>
        <v>0</v>
      </c>
      <c r="T180" s="113">
        <f t="shared" si="191"/>
        <v>1</v>
      </c>
      <c r="U180" s="460">
        <f t="shared" si="192"/>
        <v>0</v>
      </c>
      <c r="V180" s="582">
        <f t="shared" si="193"/>
        <v>26.000000000000004</v>
      </c>
      <c r="W180" s="113">
        <f t="shared" si="194"/>
        <v>17.333333333333336</v>
      </c>
      <c r="X180" s="113">
        <f t="shared" si="195"/>
        <v>0</v>
      </c>
      <c r="Y180" s="113">
        <f t="shared" si="196"/>
        <v>6.6666666666666652</v>
      </c>
      <c r="Z180" s="459">
        <f t="shared" si="197"/>
        <v>1.9999999999999998</v>
      </c>
      <c r="AA180" s="461">
        <f t="shared" si="198"/>
        <v>39</v>
      </c>
      <c r="AB180" s="582">
        <f t="shared" si="199"/>
        <v>11.000000000000002</v>
      </c>
      <c r="AC180" s="113">
        <f t="shared" si="200"/>
        <v>10.000000000000002</v>
      </c>
      <c r="AD180" s="113">
        <f t="shared" si="201"/>
        <v>0</v>
      </c>
      <c r="AE180" s="113">
        <f t="shared" si="202"/>
        <v>1</v>
      </c>
      <c r="AF180" s="460">
        <f t="shared" si="203"/>
        <v>0</v>
      </c>
      <c r="AG180" s="582">
        <f t="shared" si="204"/>
        <v>28.000000000000007</v>
      </c>
      <c r="AH180" s="113">
        <f t="shared" si="205"/>
        <v>23.999999999999996</v>
      </c>
      <c r="AI180" s="113">
        <f t="shared" si="206"/>
        <v>0</v>
      </c>
      <c r="AJ180" s="113">
        <f t="shared" si="207"/>
        <v>0</v>
      </c>
      <c r="AK180" s="459">
        <f t="shared" si="208"/>
        <v>4</v>
      </c>
      <c r="AL180" s="461">
        <f t="shared" si="209"/>
        <v>218.33333333333331</v>
      </c>
      <c r="AM180" s="582">
        <f t="shared" si="210"/>
        <v>109.33333333333333</v>
      </c>
      <c r="AN180" s="113">
        <f t="shared" si="211"/>
        <v>89.666666666666657</v>
      </c>
      <c r="AO180" s="113">
        <f t="shared" si="212"/>
        <v>0</v>
      </c>
      <c r="AP180" s="113">
        <f t="shared" si="213"/>
        <v>19.666666666666654</v>
      </c>
      <c r="AQ180" s="460">
        <f t="shared" si="214"/>
        <v>0</v>
      </c>
      <c r="AR180" s="582">
        <f t="shared" si="215"/>
        <v>109.00000000000003</v>
      </c>
      <c r="AS180" s="113">
        <f t="shared" si="216"/>
        <v>70.999999999999972</v>
      </c>
      <c r="AT180" s="113">
        <f t="shared" si="217"/>
        <v>0</v>
      </c>
      <c r="AU180" s="113">
        <f t="shared" si="218"/>
        <v>26.000000000000004</v>
      </c>
      <c r="AV180" s="459">
        <f t="shared" si="219"/>
        <v>12</v>
      </c>
      <c r="AW180" s="461">
        <f t="shared" si="220"/>
        <v>139.66666666666674</v>
      </c>
      <c r="AX180" s="582">
        <f t="shared" si="221"/>
        <v>61.333333333333329</v>
      </c>
      <c r="AY180" s="113">
        <f t="shared" si="222"/>
        <v>54.333333333333336</v>
      </c>
      <c r="AZ180" s="113">
        <f t="shared" si="223"/>
        <v>0</v>
      </c>
      <c r="BA180" s="113">
        <f t="shared" si="224"/>
        <v>7.0000000000000009</v>
      </c>
      <c r="BB180" s="460">
        <f t="shared" si="225"/>
        <v>0</v>
      </c>
      <c r="BC180" s="582">
        <f t="shared" si="226"/>
        <v>78.333333333333343</v>
      </c>
      <c r="BD180" s="113">
        <f t="shared" si="227"/>
        <v>60.666666666666671</v>
      </c>
      <c r="BE180" s="113">
        <f t="shared" si="228"/>
        <v>0</v>
      </c>
      <c r="BF180" s="113">
        <f t="shared" si="229"/>
        <v>10.66666666666667</v>
      </c>
      <c r="BG180" s="459">
        <f t="shared" si="230"/>
        <v>6.9999999999999991</v>
      </c>
      <c r="BH180" s="461">
        <f t="shared" si="231"/>
        <v>179</v>
      </c>
      <c r="BI180" s="582">
        <f t="shared" si="232"/>
        <v>96.333333333333329</v>
      </c>
      <c r="BJ180" s="113">
        <f t="shared" si="233"/>
        <v>85.333333333333343</v>
      </c>
      <c r="BK180" s="113">
        <f t="shared" si="234"/>
        <v>0</v>
      </c>
      <c r="BL180" s="113">
        <f t="shared" si="235"/>
        <v>11</v>
      </c>
      <c r="BM180" s="460">
        <f t="shared" si="236"/>
        <v>0</v>
      </c>
      <c r="BN180" s="582">
        <f t="shared" si="237"/>
        <v>82.666666666666657</v>
      </c>
      <c r="BO180" s="113">
        <f t="shared" si="238"/>
        <v>52.000000000000007</v>
      </c>
      <c r="BP180" s="113">
        <f t="shared" si="239"/>
        <v>0</v>
      </c>
      <c r="BQ180" s="113">
        <f t="shared" si="240"/>
        <v>23.666666666666668</v>
      </c>
      <c r="BR180" s="459">
        <f t="shared" si="241"/>
        <v>7</v>
      </c>
      <c r="BS180" s="461">
        <f t="shared" si="242"/>
        <v>249.66666666666674</v>
      </c>
      <c r="BT180" s="582">
        <f t="shared" si="243"/>
        <v>118.33333333333336</v>
      </c>
      <c r="BU180" s="113">
        <f t="shared" si="244"/>
        <v>105.99999999999999</v>
      </c>
      <c r="BV180" s="113">
        <f t="shared" si="245"/>
        <v>0</v>
      </c>
      <c r="BW180" s="113">
        <f t="shared" si="246"/>
        <v>12.33333333333333</v>
      </c>
      <c r="BX180" s="460">
        <f t="shared" si="247"/>
        <v>0</v>
      </c>
      <c r="BY180" s="582">
        <f t="shared" si="248"/>
        <v>131.33333333333329</v>
      </c>
      <c r="BZ180" s="113">
        <f t="shared" si="249"/>
        <v>82.666666666666671</v>
      </c>
      <c r="CA180" s="113">
        <f t="shared" si="250"/>
        <v>0</v>
      </c>
      <c r="CB180" s="113">
        <f t="shared" si="251"/>
        <v>32.666666666666664</v>
      </c>
      <c r="CC180" s="459">
        <f t="shared" si="252"/>
        <v>16</v>
      </c>
      <c r="CD180" s="461">
        <f t="shared" si="253"/>
        <v>69.999999999999986</v>
      </c>
      <c r="CE180" s="582">
        <f t="shared" si="254"/>
        <v>42.000000000000014</v>
      </c>
      <c r="CF180" s="113">
        <f t="shared" si="255"/>
        <v>34</v>
      </c>
      <c r="CG180" s="113">
        <f t="shared" si="256"/>
        <v>0</v>
      </c>
      <c r="CH180" s="113">
        <f t="shared" si="257"/>
        <v>7.9999999999999964</v>
      </c>
      <c r="CI180" s="460">
        <f t="shared" si="258"/>
        <v>0</v>
      </c>
      <c r="CJ180" s="582">
        <f t="shared" si="259"/>
        <v>28</v>
      </c>
      <c r="CK180" s="113">
        <f t="shared" si="260"/>
        <v>19</v>
      </c>
      <c r="CL180" s="113">
        <f t="shared" si="261"/>
        <v>0</v>
      </c>
      <c r="CM180" s="113">
        <f t="shared" si="262"/>
        <v>5.9999999999999991</v>
      </c>
      <c r="CN180" s="459">
        <f t="shared" si="263"/>
        <v>3</v>
      </c>
      <c r="CO180" s="461">
        <f t="shared" si="264"/>
        <v>48</v>
      </c>
      <c r="CP180" s="582">
        <f t="shared" si="265"/>
        <v>21.000000000000004</v>
      </c>
      <c r="CQ180" s="113">
        <f t="shared" si="266"/>
        <v>21.000000000000004</v>
      </c>
      <c r="CR180" s="113">
        <f t="shared" si="267"/>
        <v>0</v>
      </c>
      <c r="CS180" s="113">
        <f t="shared" si="268"/>
        <v>0</v>
      </c>
      <c r="CT180" s="460">
        <f t="shared" si="269"/>
        <v>0</v>
      </c>
      <c r="CU180" s="582">
        <f t="shared" si="270"/>
        <v>27</v>
      </c>
      <c r="CV180" s="113">
        <f t="shared" si="271"/>
        <v>18.999999999999993</v>
      </c>
      <c r="CW180" s="113">
        <f t="shared" si="272"/>
        <v>0</v>
      </c>
      <c r="CX180" s="113">
        <f t="shared" si="273"/>
        <v>8</v>
      </c>
      <c r="CY180" s="459">
        <f t="shared" si="274"/>
        <v>0</v>
      </c>
      <c r="CZ180" s="461">
        <f t="shared" si="275"/>
        <v>14.000000000000004</v>
      </c>
      <c r="DA180" s="582">
        <f t="shared" si="276"/>
        <v>1.9999999999999998</v>
      </c>
      <c r="DB180" s="113">
        <f t="shared" si="277"/>
        <v>0</v>
      </c>
      <c r="DC180" s="113">
        <f t="shared" si="278"/>
        <v>0</v>
      </c>
      <c r="DD180" s="113">
        <f t="shared" si="279"/>
        <v>1.9999999999999998</v>
      </c>
      <c r="DE180" s="460">
        <f t="shared" si="280"/>
        <v>0</v>
      </c>
      <c r="DF180" s="582">
        <f t="shared" si="281"/>
        <v>12.000000000000004</v>
      </c>
      <c r="DG180" s="113">
        <f t="shared" si="282"/>
        <v>11.000000000000007</v>
      </c>
      <c r="DH180" s="113">
        <f t="shared" si="283"/>
        <v>0</v>
      </c>
      <c r="DI180" s="113">
        <f t="shared" si="284"/>
        <v>1</v>
      </c>
      <c r="DJ180" s="459">
        <f t="shared" si="285"/>
        <v>0</v>
      </c>
      <c r="DK180" s="461">
        <f t="shared" si="286"/>
        <v>0</v>
      </c>
      <c r="DL180" s="582">
        <f t="shared" si="287"/>
        <v>0</v>
      </c>
      <c r="DM180" s="113">
        <f t="shared" si="288"/>
        <v>0</v>
      </c>
      <c r="DN180" s="113">
        <f t="shared" si="289"/>
        <v>0</v>
      </c>
      <c r="DO180" s="113">
        <f t="shared" si="290"/>
        <v>0</v>
      </c>
      <c r="DP180" s="460">
        <f t="shared" si="291"/>
        <v>0</v>
      </c>
      <c r="DQ180" s="582">
        <f t="shared" si="292"/>
        <v>0</v>
      </c>
      <c r="DR180" s="113">
        <f t="shared" si="293"/>
        <v>0</v>
      </c>
      <c r="DS180" s="113">
        <f t="shared" si="294"/>
        <v>0</v>
      </c>
      <c r="DT180" s="113">
        <f t="shared" si="295"/>
        <v>0</v>
      </c>
      <c r="DU180" s="459">
        <f t="shared" si="296"/>
        <v>0</v>
      </c>
      <c r="DW180" s="461">
        <f t="shared" si="315"/>
        <v>782.33333333333348</v>
      </c>
      <c r="DX180" s="582">
        <f t="shared" si="315"/>
        <v>369</v>
      </c>
      <c r="DY180" s="113">
        <f t="shared" si="314"/>
        <v>326.66666666666669</v>
      </c>
      <c r="DZ180" s="113">
        <f t="shared" si="314"/>
        <v>0</v>
      </c>
      <c r="EA180" s="113">
        <f t="shared" si="314"/>
        <v>42.333333333333329</v>
      </c>
      <c r="EB180" s="460">
        <f t="shared" si="314"/>
        <v>0</v>
      </c>
      <c r="EC180" s="582">
        <f t="shared" si="314"/>
        <v>413.33333333333331</v>
      </c>
      <c r="ED180" s="113">
        <f t="shared" si="314"/>
        <v>285.66666666666669</v>
      </c>
      <c r="EE180" s="113">
        <f t="shared" si="314"/>
        <v>0</v>
      </c>
      <c r="EF180" s="113">
        <f t="shared" si="314"/>
        <v>88.666666666666657</v>
      </c>
      <c r="EG180" s="459">
        <f t="shared" si="314"/>
        <v>39</v>
      </c>
      <c r="EH180" s="461">
        <f t="shared" si="313"/>
        <v>218.33333333333331</v>
      </c>
      <c r="EI180" s="582">
        <f t="shared" si="312"/>
        <v>109.33333333333333</v>
      </c>
      <c r="EJ180" s="113">
        <f t="shared" si="312"/>
        <v>89.666666666666657</v>
      </c>
      <c r="EK180" s="113">
        <f t="shared" si="312"/>
        <v>0</v>
      </c>
      <c r="EL180" s="113">
        <f t="shared" si="312"/>
        <v>19.666666666666654</v>
      </c>
      <c r="EM180" s="460">
        <f t="shared" si="312"/>
        <v>0</v>
      </c>
      <c r="EN180" s="582">
        <f t="shared" si="312"/>
        <v>109.00000000000003</v>
      </c>
      <c r="EO180" s="113">
        <f t="shared" si="312"/>
        <v>70.999999999999972</v>
      </c>
      <c r="EP180" s="113">
        <f t="shared" si="141"/>
        <v>0</v>
      </c>
      <c r="EQ180" s="113">
        <f t="shared" si="141"/>
        <v>26.000000000000004</v>
      </c>
      <c r="ER180" s="459">
        <f t="shared" si="141"/>
        <v>12</v>
      </c>
    </row>
    <row r="181" spans="1:148">
      <c r="A181" s="665" t="s">
        <v>407</v>
      </c>
      <c r="B181" s="665">
        <v>43525</v>
      </c>
      <c r="C181" s="666">
        <v>2019</v>
      </c>
      <c r="D181" s="461">
        <f t="shared" si="311"/>
        <v>1768927</v>
      </c>
      <c r="E181" s="461">
        <f t="shared" si="176"/>
        <v>26281.000000000007</v>
      </c>
      <c r="F181" s="582">
        <f t="shared" si="177"/>
        <v>12629</v>
      </c>
      <c r="G181" s="113">
        <f t="shared" si="178"/>
        <v>10413.000000000002</v>
      </c>
      <c r="H181" s="113">
        <f t="shared" si="179"/>
        <v>0</v>
      </c>
      <c r="I181" s="113">
        <f t="shared" si="180"/>
        <v>2216.0000000000009</v>
      </c>
      <c r="J181" s="460">
        <f t="shared" si="181"/>
        <v>0</v>
      </c>
      <c r="K181" s="582">
        <f t="shared" si="182"/>
        <v>13652</v>
      </c>
      <c r="L181" s="113">
        <f t="shared" si="183"/>
        <v>9455</v>
      </c>
      <c r="M181" s="113">
        <f t="shared" si="184"/>
        <v>0</v>
      </c>
      <c r="N181" s="113">
        <f t="shared" si="185"/>
        <v>2776.9999999999995</v>
      </c>
      <c r="O181" s="459">
        <f t="shared" si="186"/>
        <v>1419.9999999999998</v>
      </c>
      <c r="P181" s="461">
        <f t="shared" si="187"/>
        <v>44</v>
      </c>
      <c r="Q181" s="582">
        <f t="shared" si="188"/>
        <v>17</v>
      </c>
      <c r="R181" s="113">
        <f t="shared" si="189"/>
        <v>16.000000000000004</v>
      </c>
      <c r="S181" s="113">
        <f t="shared" si="190"/>
        <v>0</v>
      </c>
      <c r="T181" s="113">
        <f t="shared" si="191"/>
        <v>1</v>
      </c>
      <c r="U181" s="460">
        <f t="shared" si="192"/>
        <v>0</v>
      </c>
      <c r="V181" s="582">
        <f t="shared" si="193"/>
        <v>27.000000000000004</v>
      </c>
      <c r="W181" s="113">
        <f t="shared" si="194"/>
        <v>18.000000000000004</v>
      </c>
      <c r="X181" s="113">
        <f t="shared" si="195"/>
        <v>0</v>
      </c>
      <c r="Y181" s="113">
        <f t="shared" si="196"/>
        <v>6.9999999999999982</v>
      </c>
      <c r="Z181" s="459">
        <f t="shared" si="197"/>
        <v>1.9999999999999998</v>
      </c>
      <c r="AA181" s="461">
        <f t="shared" si="198"/>
        <v>39</v>
      </c>
      <c r="AB181" s="582">
        <f t="shared" si="199"/>
        <v>11.000000000000002</v>
      </c>
      <c r="AC181" s="113">
        <f t="shared" si="200"/>
        <v>10.000000000000002</v>
      </c>
      <c r="AD181" s="113">
        <f t="shared" si="201"/>
        <v>0</v>
      </c>
      <c r="AE181" s="113">
        <f t="shared" si="202"/>
        <v>1</v>
      </c>
      <c r="AF181" s="460">
        <f t="shared" si="203"/>
        <v>0</v>
      </c>
      <c r="AG181" s="582">
        <f t="shared" si="204"/>
        <v>28.000000000000007</v>
      </c>
      <c r="AH181" s="113">
        <f t="shared" si="205"/>
        <v>23.999999999999996</v>
      </c>
      <c r="AI181" s="113">
        <f t="shared" si="206"/>
        <v>0</v>
      </c>
      <c r="AJ181" s="113">
        <f t="shared" si="207"/>
        <v>0</v>
      </c>
      <c r="AK181" s="459">
        <f t="shared" si="208"/>
        <v>4</v>
      </c>
      <c r="AL181" s="461">
        <f t="shared" si="209"/>
        <v>221.99999999999997</v>
      </c>
      <c r="AM181" s="582">
        <f t="shared" si="210"/>
        <v>112</v>
      </c>
      <c r="AN181" s="113">
        <f t="shared" si="211"/>
        <v>90.999999999999986</v>
      </c>
      <c r="AO181" s="113">
        <f t="shared" si="212"/>
        <v>0</v>
      </c>
      <c r="AP181" s="113">
        <f t="shared" si="213"/>
        <v>20.999999999999986</v>
      </c>
      <c r="AQ181" s="460">
        <f t="shared" si="214"/>
        <v>0</v>
      </c>
      <c r="AR181" s="582">
        <f t="shared" si="215"/>
        <v>110.00000000000003</v>
      </c>
      <c r="AS181" s="113">
        <f t="shared" si="216"/>
        <v>70.999999999999972</v>
      </c>
      <c r="AT181" s="113">
        <f t="shared" si="217"/>
        <v>0</v>
      </c>
      <c r="AU181" s="113">
        <f t="shared" si="218"/>
        <v>27.000000000000004</v>
      </c>
      <c r="AV181" s="459">
        <f t="shared" si="219"/>
        <v>12</v>
      </c>
      <c r="AW181" s="461">
        <f t="shared" si="220"/>
        <v>141.00000000000009</v>
      </c>
      <c r="AX181" s="582">
        <f t="shared" si="221"/>
        <v>61.999999999999993</v>
      </c>
      <c r="AY181" s="113">
        <f t="shared" si="222"/>
        <v>55</v>
      </c>
      <c r="AZ181" s="113">
        <f t="shared" si="223"/>
        <v>0</v>
      </c>
      <c r="BA181" s="113">
        <f t="shared" si="224"/>
        <v>7.0000000000000009</v>
      </c>
      <c r="BB181" s="460">
        <f t="shared" si="225"/>
        <v>0</v>
      </c>
      <c r="BC181" s="582">
        <f t="shared" si="226"/>
        <v>79.000000000000014</v>
      </c>
      <c r="BD181" s="113">
        <f t="shared" si="227"/>
        <v>61.000000000000007</v>
      </c>
      <c r="BE181" s="113">
        <f t="shared" si="228"/>
        <v>0</v>
      </c>
      <c r="BF181" s="113">
        <f t="shared" si="229"/>
        <v>11.000000000000004</v>
      </c>
      <c r="BG181" s="459">
        <f t="shared" si="230"/>
        <v>6.9999999999999991</v>
      </c>
      <c r="BH181" s="461">
        <f t="shared" si="231"/>
        <v>180</v>
      </c>
      <c r="BI181" s="582">
        <f t="shared" si="232"/>
        <v>97</v>
      </c>
      <c r="BJ181" s="113">
        <f t="shared" si="233"/>
        <v>86.000000000000014</v>
      </c>
      <c r="BK181" s="113">
        <f t="shared" si="234"/>
        <v>0</v>
      </c>
      <c r="BL181" s="113">
        <f t="shared" si="235"/>
        <v>11</v>
      </c>
      <c r="BM181" s="460">
        <f t="shared" si="236"/>
        <v>0</v>
      </c>
      <c r="BN181" s="582">
        <f t="shared" si="237"/>
        <v>82.999999999999986</v>
      </c>
      <c r="BO181" s="113">
        <f t="shared" si="238"/>
        <v>52.000000000000007</v>
      </c>
      <c r="BP181" s="113">
        <f t="shared" si="239"/>
        <v>0</v>
      </c>
      <c r="BQ181" s="113">
        <f t="shared" si="240"/>
        <v>24</v>
      </c>
      <c r="BR181" s="459">
        <f t="shared" si="241"/>
        <v>7</v>
      </c>
      <c r="BS181" s="461">
        <f t="shared" si="242"/>
        <v>253.00000000000009</v>
      </c>
      <c r="BT181" s="582">
        <f t="shared" si="243"/>
        <v>120.00000000000003</v>
      </c>
      <c r="BU181" s="113">
        <f t="shared" si="244"/>
        <v>106.99999999999999</v>
      </c>
      <c r="BV181" s="113">
        <f t="shared" si="245"/>
        <v>0</v>
      </c>
      <c r="BW181" s="113">
        <f t="shared" si="246"/>
        <v>12.999999999999996</v>
      </c>
      <c r="BX181" s="460">
        <f t="shared" si="247"/>
        <v>0</v>
      </c>
      <c r="BY181" s="582">
        <f t="shared" si="248"/>
        <v>132.99999999999994</v>
      </c>
      <c r="BZ181" s="113">
        <f t="shared" si="249"/>
        <v>83</v>
      </c>
      <c r="CA181" s="113">
        <f t="shared" si="250"/>
        <v>0</v>
      </c>
      <c r="CB181" s="113">
        <f t="shared" si="251"/>
        <v>34</v>
      </c>
      <c r="CC181" s="459">
        <f t="shared" si="252"/>
        <v>16</v>
      </c>
      <c r="CD181" s="461">
        <f t="shared" si="253"/>
        <v>69.999999999999986</v>
      </c>
      <c r="CE181" s="582">
        <f t="shared" si="254"/>
        <v>42.000000000000014</v>
      </c>
      <c r="CF181" s="113">
        <f t="shared" si="255"/>
        <v>34</v>
      </c>
      <c r="CG181" s="113">
        <f t="shared" si="256"/>
        <v>0</v>
      </c>
      <c r="CH181" s="113">
        <f t="shared" si="257"/>
        <v>7.9999999999999964</v>
      </c>
      <c r="CI181" s="460">
        <f t="shared" si="258"/>
        <v>0</v>
      </c>
      <c r="CJ181" s="582">
        <f t="shared" si="259"/>
        <v>28</v>
      </c>
      <c r="CK181" s="113">
        <f t="shared" si="260"/>
        <v>19</v>
      </c>
      <c r="CL181" s="113">
        <f t="shared" si="261"/>
        <v>0</v>
      </c>
      <c r="CM181" s="113">
        <f t="shared" si="262"/>
        <v>5.9999999999999991</v>
      </c>
      <c r="CN181" s="459">
        <f t="shared" si="263"/>
        <v>3</v>
      </c>
      <c r="CO181" s="461">
        <f t="shared" si="264"/>
        <v>48</v>
      </c>
      <c r="CP181" s="582">
        <f t="shared" si="265"/>
        <v>21.000000000000004</v>
      </c>
      <c r="CQ181" s="113">
        <f t="shared" si="266"/>
        <v>21.000000000000004</v>
      </c>
      <c r="CR181" s="113">
        <f t="shared" si="267"/>
        <v>0</v>
      </c>
      <c r="CS181" s="113">
        <f t="shared" si="268"/>
        <v>0</v>
      </c>
      <c r="CT181" s="460">
        <f t="shared" si="269"/>
        <v>0</v>
      </c>
      <c r="CU181" s="582">
        <f t="shared" si="270"/>
        <v>27</v>
      </c>
      <c r="CV181" s="113">
        <f t="shared" si="271"/>
        <v>18.999999999999993</v>
      </c>
      <c r="CW181" s="113">
        <f t="shared" si="272"/>
        <v>0</v>
      </c>
      <c r="CX181" s="113">
        <f t="shared" si="273"/>
        <v>8</v>
      </c>
      <c r="CY181" s="459">
        <f t="shared" si="274"/>
        <v>0</v>
      </c>
      <c r="CZ181" s="461">
        <f t="shared" si="275"/>
        <v>14.000000000000004</v>
      </c>
      <c r="DA181" s="582">
        <f t="shared" si="276"/>
        <v>1.9999999999999998</v>
      </c>
      <c r="DB181" s="113">
        <f t="shared" si="277"/>
        <v>0</v>
      </c>
      <c r="DC181" s="113">
        <f t="shared" si="278"/>
        <v>0</v>
      </c>
      <c r="DD181" s="113">
        <f t="shared" si="279"/>
        <v>1.9999999999999998</v>
      </c>
      <c r="DE181" s="460">
        <f t="shared" si="280"/>
        <v>0</v>
      </c>
      <c r="DF181" s="582">
        <f t="shared" si="281"/>
        <v>12.000000000000004</v>
      </c>
      <c r="DG181" s="113">
        <f t="shared" si="282"/>
        <v>11.000000000000007</v>
      </c>
      <c r="DH181" s="113">
        <f t="shared" si="283"/>
        <v>0</v>
      </c>
      <c r="DI181" s="113">
        <f t="shared" si="284"/>
        <v>1</v>
      </c>
      <c r="DJ181" s="459">
        <f t="shared" si="285"/>
        <v>0</v>
      </c>
      <c r="DK181" s="461">
        <f t="shared" si="286"/>
        <v>0</v>
      </c>
      <c r="DL181" s="582">
        <f t="shared" si="287"/>
        <v>0</v>
      </c>
      <c r="DM181" s="113">
        <f t="shared" si="288"/>
        <v>0</v>
      </c>
      <c r="DN181" s="113">
        <f t="shared" si="289"/>
        <v>0</v>
      </c>
      <c r="DO181" s="113">
        <f t="shared" si="290"/>
        <v>0</v>
      </c>
      <c r="DP181" s="460">
        <f t="shared" si="291"/>
        <v>0</v>
      </c>
      <c r="DQ181" s="582">
        <f t="shared" si="292"/>
        <v>0</v>
      </c>
      <c r="DR181" s="113">
        <f t="shared" si="293"/>
        <v>0</v>
      </c>
      <c r="DS181" s="113">
        <f t="shared" si="294"/>
        <v>0</v>
      </c>
      <c r="DT181" s="113">
        <f t="shared" si="295"/>
        <v>0</v>
      </c>
      <c r="DU181" s="459">
        <f t="shared" si="296"/>
        <v>0</v>
      </c>
      <c r="DW181" s="461">
        <f t="shared" si="315"/>
        <v>789.00000000000023</v>
      </c>
      <c r="DX181" s="582">
        <f t="shared" si="315"/>
        <v>372</v>
      </c>
      <c r="DY181" s="113">
        <f t="shared" si="314"/>
        <v>329</v>
      </c>
      <c r="DZ181" s="113">
        <f t="shared" si="314"/>
        <v>0</v>
      </c>
      <c r="EA181" s="113">
        <f t="shared" si="314"/>
        <v>43</v>
      </c>
      <c r="EB181" s="460">
        <f t="shared" si="314"/>
        <v>0</v>
      </c>
      <c r="EC181" s="582">
        <f t="shared" si="314"/>
        <v>416.99999999999994</v>
      </c>
      <c r="ED181" s="113">
        <f t="shared" si="314"/>
        <v>287</v>
      </c>
      <c r="EE181" s="113">
        <f t="shared" si="314"/>
        <v>0</v>
      </c>
      <c r="EF181" s="113">
        <f t="shared" si="314"/>
        <v>91</v>
      </c>
      <c r="EG181" s="459">
        <f t="shared" si="314"/>
        <v>39</v>
      </c>
      <c r="EH181" s="461">
        <f t="shared" si="313"/>
        <v>221.99999999999997</v>
      </c>
      <c r="EI181" s="582">
        <f t="shared" si="312"/>
        <v>112</v>
      </c>
      <c r="EJ181" s="113">
        <f t="shared" si="312"/>
        <v>90.999999999999986</v>
      </c>
      <c r="EK181" s="113">
        <f t="shared" si="312"/>
        <v>0</v>
      </c>
      <c r="EL181" s="113">
        <f t="shared" si="312"/>
        <v>20.999999999999986</v>
      </c>
      <c r="EM181" s="460">
        <f t="shared" si="312"/>
        <v>0</v>
      </c>
      <c r="EN181" s="582">
        <f t="shared" si="312"/>
        <v>110.00000000000003</v>
      </c>
      <c r="EO181" s="113">
        <f t="shared" si="312"/>
        <v>70.999999999999972</v>
      </c>
      <c r="EP181" s="113">
        <f t="shared" si="141"/>
        <v>0</v>
      </c>
      <c r="EQ181" s="113">
        <f t="shared" si="141"/>
        <v>27.000000000000004</v>
      </c>
      <c r="ER181" s="459">
        <f t="shared" si="141"/>
        <v>12</v>
      </c>
    </row>
    <row r="182" spans="1:148">
      <c r="A182" s="665" t="s">
        <v>408</v>
      </c>
      <c r="B182" s="665">
        <v>43556</v>
      </c>
      <c r="C182" s="666">
        <v>2019</v>
      </c>
      <c r="D182" s="461">
        <f t="shared" si="311"/>
        <v>1843191</v>
      </c>
      <c r="E182" s="461">
        <f t="shared" si="176"/>
        <v>27239.333333333339</v>
      </c>
      <c r="F182" s="582">
        <f t="shared" si="177"/>
        <v>13293</v>
      </c>
      <c r="G182" s="113">
        <f t="shared" si="178"/>
        <v>10965.000000000002</v>
      </c>
      <c r="H182" s="113">
        <f t="shared" si="179"/>
        <v>0</v>
      </c>
      <c r="I182" s="113">
        <f t="shared" si="180"/>
        <v>2328.0000000000009</v>
      </c>
      <c r="J182" s="460">
        <f t="shared" si="181"/>
        <v>0</v>
      </c>
      <c r="K182" s="582">
        <f t="shared" si="182"/>
        <v>13946.333333333334</v>
      </c>
      <c r="L182" s="113">
        <f t="shared" si="183"/>
        <v>9620.6666666666661</v>
      </c>
      <c r="M182" s="113">
        <f t="shared" si="184"/>
        <v>0</v>
      </c>
      <c r="N182" s="113">
        <f t="shared" si="185"/>
        <v>2893.333333333333</v>
      </c>
      <c r="O182" s="459">
        <f t="shared" si="186"/>
        <v>1432.333333333333</v>
      </c>
      <c r="P182" s="461">
        <f t="shared" si="187"/>
        <v>45.666666666666664</v>
      </c>
      <c r="Q182" s="582">
        <f t="shared" si="188"/>
        <v>17.333333333333332</v>
      </c>
      <c r="R182" s="113">
        <f t="shared" si="189"/>
        <v>16.333333333333336</v>
      </c>
      <c r="S182" s="113">
        <f t="shared" si="190"/>
        <v>0</v>
      </c>
      <c r="T182" s="113">
        <f t="shared" si="191"/>
        <v>1</v>
      </c>
      <c r="U182" s="460">
        <f t="shared" si="192"/>
        <v>0</v>
      </c>
      <c r="V182" s="582">
        <f t="shared" si="193"/>
        <v>28.333333333333336</v>
      </c>
      <c r="W182" s="113">
        <f t="shared" si="194"/>
        <v>18.666666666666671</v>
      </c>
      <c r="X182" s="113">
        <f t="shared" si="195"/>
        <v>0</v>
      </c>
      <c r="Y182" s="113">
        <f t="shared" si="196"/>
        <v>7.3333333333333313</v>
      </c>
      <c r="Z182" s="459">
        <f t="shared" si="197"/>
        <v>2.333333333333333</v>
      </c>
      <c r="AA182" s="461">
        <f t="shared" si="198"/>
        <v>39.666666666666664</v>
      </c>
      <c r="AB182" s="582">
        <f t="shared" si="199"/>
        <v>11.666666666666668</v>
      </c>
      <c r="AC182" s="113">
        <f t="shared" si="200"/>
        <v>10.000000000000002</v>
      </c>
      <c r="AD182" s="113">
        <f t="shared" si="201"/>
        <v>0</v>
      </c>
      <c r="AE182" s="113">
        <f t="shared" si="202"/>
        <v>1.6666666666666665</v>
      </c>
      <c r="AF182" s="460">
        <f t="shared" si="203"/>
        <v>0</v>
      </c>
      <c r="AG182" s="582">
        <f t="shared" si="204"/>
        <v>28.000000000000007</v>
      </c>
      <c r="AH182" s="113">
        <f t="shared" si="205"/>
        <v>23.999999999999996</v>
      </c>
      <c r="AI182" s="113">
        <f t="shared" si="206"/>
        <v>0</v>
      </c>
      <c r="AJ182" s="113">
        <f t="shared" si="207"/>
        <v>0</v>
      </c>
      <c r="AK182" s="459">
        <f t="shared" si="208"/>
        <v>4</v>
      </c>
      <c r="AL182" s="461">
        <f t="shared" si="209"/>
        <v>228.99999999999997</v>
      </c>
      <c r="AM182" s="582">
        <f t="shared" si="210"/>
        <v>117.66666666666667</v>
      </c>
      <c r="AN182" s="113">
        <f t="shared" si="211"/>
        <v>95.333333333333314</v>
      </c>
      <c r="AO182" s="113">
        <f t="shared" si="212"/>
        <v>0</v>
      </c>
      <c r="AP182" s="113">
        <f t="shared" si="213"/>
        <v>22.333333333333318</v>
      </c>
      <c r="AQ182" s="460">
        <f t="shared" si="214"/>
        <v>0</v>
      </c>
      <c r="AR182" s="582">
        <f t="shared" si="215"/>
        <v>111.33333333333336</v>
      </c>
      <c r="AS182" s="113">
        <f t="shared" si="216"/>
        <v>71.666666666666643</v>
      </c>
      <c r="AT182" s="113">
        <f t="shared" si="217"/>
        <v>0</v>
      </c>
      <c r="AU182" s="113">
        <f t="shared" si="218"/>
        <v>27.666666666666671</v>
      </c>
      <c r="AV182" s="459">
        <f t="shared" si="219"/>
        <v>12</v>
      </c>
      <c r="AW182" s="461">
        <f t="shared" si="220"/>
        <v>146.33333333333343</v>
      </c>
      <c r="AX182" s="582">
        <f t="shared" si="221"/>
        <v>65</v>
      </c>
      <c r="AY182" s="113">
        <f t="shared" si="222"/>
        <v>57.666666666666664</v>
      </c>
      <c r="AZ182" s="113">
        <f t="shared" si="223"/>
        <v>0</v>
      </c>
      <c r="BA182" s="113">
        <f t="shared" si="224"/>
        <v>7.3333333333333339</v>
      </c>
      <c r="BB182" s="460">
        <f t="shared" si="225"/>
        <v>0</v>
      </c>
      <c r="BC182" s="582">
        <f t="shared" si="226"/>
        <v>81.333333333333343</v>
      </c>
      <c r="BD182" s="113">
        <f t="shared" si="227"/>
        <v>62.333333333333343</v>
      </c>
      <c r="BE182" s="113">
        <f t="shared" si="228"/>
        <v>0</v>
      </c>
      <c r="BF182" s="113">
        <f t="shared" si="229"/>
        <v>12.000000000000004</v>
      </c>
      <c r="BG182" s="459">
        <f t="shared" si="230"/>
        <v>6.9999999999999991</v>
      </c>
      <c r="BH182" s="461">
        <f t="shared" si="231"/>
        <v>184.66666666666666</v>
      </c>
      <c r="BI182" s="582">
        <f t="shared" si="232"/>
        <v>100</v>
      </c>
      <c r="BJ182" s="113">
        <f t="shared" si="233"/>
        <v>89.000000000000014</v>
      </c>
      <c r="BK182" s="113">
        <f t="shared" si="234"/>
        <v>0</v>
      </c>
      <c r="BL182" s="113">
        <f t="shared" si="235"/>
        <v>11</v>
      </c>
      <c r="BM182" s="460">
        <f t="shared" si="236"/>
        <v>0</v>
      </c>
      <c r="BN182" s="582">
        <f t="shared" si="237"/>
        <v>84.666666666666657</v>
      </c>
      <c r="BO182" s="113">
        <f t="shared" si="238"/>
        <v>53.000000000000007</v>
      </c>
      <c r="BP182" s="113">
        <f t="shared" si="239"/>
        <v>0</v>
      </c>
      <c r="BQ182" s="113">
        <f t="shared" si="240"/>
        <v>24.666666666666668</v>
      </c>
      <c r="BR182" s="459">
        <f t="shared" si="241"/>
        <v>7</v>
      </c>
      <c r="BS182" s="461">
        <f t="shared" si="242"/>
        <v>260.33333333333343</v>
      </c>
      <c r="BT182" s="582">
        <f t="shared" si="243"/>
        <v>126.00000000000003</v>
      </c>
      <c r="BU182" s="113">
        <f t="shared" si="244"/>
        <v>109.99999999999999</v>
      </c>
      <c r="BV182" s="113">
        <f t="shared" si="245"/>
        <v>0</v>
      </c>
      <c r="BW182" s="113">
        <f t="shared" si="246"/>
        <v>15.999999999999996</v>
      </c>
      <c r="BX182" s="460">
        <f t="shared" si="247"/>
        <v>0</v>
      </c>
      <c r="BY182" s="582">
        <f t="shared" si="248"/>
        <v>134.33333333333329</v>
      </c>
      <c r="BZ182" s="113">
        <f t="shared" si="249"/>
        <v>83.666666666666671</v>
      </c>
      <c r="CA182" s="113">
        <f t="shared" si="250"/>
        <v>0</v>
      </c>
      <c r="CB182" s="113">
        <f t="shared" si="251"/>
        <v>34.666666666666664</v>
      </c>
      <c r="CC182" s="459">
        <f t="shared" si="252"/>
        <v>16</v>
      </c>
      <c r="CD182" s="461">
        <f t="shared" si="253"/>
        <v>71.666666666666657</v>
      </c>
      <c r="CE182" s="582">
        <f t="shared" si="254"/>
        <v>43.000000000000014</v>
      </c>
      <c r="CF182" s="113">
        <f t="shared" si="255"/>
        <v>34.666666666666664</v>
      </c>
      <c r="CG182" s="113">
        <f t="shared" si="256"/>
        <v>0</v>
      </c>
      <c r="CH182" s="113">
        <f t="shared" si="257"/>
        <v>8.3333333333333304</v>
      </c>
      <c r="CI182" s="460">
        <f t="shared" si="258"/>
        <v>0</v>
      </c>
      <c r="CJ182" s="582">
        <f t="shared" si="259"/>
        <v>28.666666666666668</v>
      </c>
      <c r="CK182" s="113">
        <f t="shared" si="260"/>
        <v>19.333333333333332</v>
      </c>
      <c r="CL182" s="113">
        <f t="shared" si="261"/>
        <v>0</v>
      </c>
      <c r="CM182" s="113">
        <f t="shared" si="262"/>
        <v>6.3333333333333321</v>
      </c>
      <c r="CN182" s="459">
        <f t="shared" si="263"/>
        <v>3</v>
      </c>
      <c r="CO182" s="461">
        <f t="shared" si="264"/>
        <v>50</v>
      </c>
      <c r="CP182" s="582">
        <f t="shared" si="265"/>
        <v>22.666666666666671</v>
      </c>
      <c r="CQ182" s="113">
        <f t="shared" si="266"/>
        <v>22.333333333333336</v>
      </c>
      <c r="CR182" s="113">
        <f t="shared" si="267"/>
        <v>0</v>
      </c>
      <c r="CS182" s="113">
        <f t="shared" si="268"/>
        <v>0.33333333333333331</v>
      </c>
      <c r="CT182" s="460">
        <f t="shared" si="269"/>
        <v>0</v>
      </c>
      <c r="CU182" s="582">
        <f t="shared" si="270"/>
        <v>27.333333333333332</v>
      </c>
      <c r="CV182" s="113">
        <f t="shared" si="271"/>
        <v>19.333333333333325</v>
      </c>
      <c r="CW182" s="113">
        <f t="shared" si="272"/>
        <v>0</v>
      </c>
      <c r="CX182" s="113">
        <f t="shared" si="273"/>
        <v>8</v>
      </c>
      <c r="CY182" s="459">
        <f t="shared" si="274"/>
        <v>0</v>
      </c>
      <c r="CZ182" s="461">
        <f t="shared" si="275"/>
        <v>14.000000000000004</v>
      </c>
      <c r="DA182" s="582">
        <f t="shared" si="276"/>
        <v>1.9999999999999998</v>
      </c>
      <c r="DB182" s="113">
        <f t="shared" si="277"/>
        <v>0</v>
      </c>
      <c r="DC182" s="113">
        <f t="shared" si="278"/>
        <v>0</v>
      </c>
      <c r="DD182" s="113">
        <f t="shared" si="279"/>
        <v>1.9999999999999998</v>
      </c>
      <c r="DE182" s="460">
        <f t="shared" si="280"/>
        <v>0</v>
      </c>
      <c r="DF182" s="582">
        <f t="shared" si="281"/>
        <v>12.000000000000004</v>
      </c>
      <c r="DG182" s="113">
        <f t="shared" si="282"/>
        <v>11.000000000000007</v>
      </c>
      <c r="DH182" s="113">
        <f t="shared" si="283"/>
        <v>0</v>
      </c>
      <c r="DI182" s="113">
        <f t="shared" si="284"/>
        <v>1</v>
      </c>
      <c r="DJ182" s="459">
        <f t="shared" si="285"/>
        <v>0</v>
      </c>
      <c r="DK182" s="461">
        <f t="shared" si="286"/>
        <v>0</v>
      </c>
      <c r="DL182" s="582">
        <f t="shared" si="287"/>
        <v>0</v>
      </c>
      <c r="DM182" s="113">
        <f t="shared" si="288"/>
        <v>0</v>
      </c>
      <c r="DN182" s="113">
        <f t="shared" si="289"/>
        <v>0</v>
      </c>
      <c r="DO182" s="113">
        <f t="shared" si="290"/>
        <v>0</v>
      </c>
      <c r="DP182" s="460">
        <f t="shared" si="291"/>
        <v>0</v>
      </c>
      <c r="DQ182" s="582">
        <f t="shared" si="292"/>
        <v>0</v>
      </c>
      <c r="DR182" s="113">
        <f t="shared" si="293"/>
        <v>0</v>
      </c>
      <c r="DS182" s="113">
        <f t="shared" si="294"/>
        <v>0</v>
      </c>
      <c r="DT182" s="113">
        <f t="shared" si="295"/>
        <v>0</v>
      </c>
      <c r="DU182" s="459">
        <f t="shared" si="296"/>
        <v>0</v>
      </c>
      <c r="DW182" s="461">
        <f t="shared" si="315"/>
        <v>812.33333333333337</v>
      </c>
      <c r="DX182" s="582">
        <f t="shared" si="315"/>
        <v>387.66666666666669</v>
      </c>
      <c r="DY182" s="113">
        <f t="shared" si="314"/>
        <v>340</v>
      </c>
      <c r="DZ182" s="113">
        <f t="shared" si="314"/>
        <v>0</v>
      </c>
      <c r="EA182" s="113">
        <f t="shared" si="314"/>
        <v>47.666666666666664</v>
      </c>
      <c r="EB182" s="460">
        <f t="shared" si="314"/>
        <v>0</v>
      </c>
      <c r="EC182" s="582">
        <f t="shared" si="314"/>
        <v>424.66666666666663</v>
      </c>
      <c r="ED182" s="113">
        <f t="shared" si="314"/>
        <v>291.33333333333331</v>
      </c>
      <c r="EE182" s="113">
        <f t="shared" si="314"/>
        <v>0</v>
      </c>
      <c r="EF182" s="113">
        <f t="shared" si="314"/>
        <v>93.999999999999986</v>
      </c>
      <c r="EG182" s="459">
        <f t="shared" si="314"/>
        <v>39.333333333333329</v>
      </c>
      <c r="EH182" s="461">
        <f t="shared" si="313"/>
        <v>228.99999999999997</v>
      </c>
      <c r="EI182" s="582">
        <f t="shared" si="312"/>
        <v>117.66666666666667</v>
      </c>
      <c r="EJ182" s="113">
        <f t="shared" si="312"/>
        <v>95.333333333333314</v>
      </c>
      <c r="EK182" s="113">
        <f t="shared" si="312"/>
        <v>0</v>
      </c>
      <c r="EL182" s="113">
        <f t="shared" si="312"/>
        <v>22.333333333333318</v>
      </c>
      <c r="EM182" s="460">
        <f t="shared" si="312"/>
        <v>0</v>
      </c>
      <c r="EN182" s="582">
        <f t="shared" si="312"/>
        <v>111.33333333333336</v>
      </c>
      <c r="EO182" s="113">
        <f t="shared" si="312"/>
        <v>71.666666666666643</v>
      </c>
      <c r="EP182" s="113">
        <f t="shared" si="141"/>
        <v>0</v>
      </c>
      <c r="EQ182" s="113">
        <f t="shared" si="141"/>
        <v>27.666666666666671</v>
      </c>
      <c r="ER182" s="459">
        <f t="shared" si="141"/>
        <v>12</v>
      </c>
    </row>
    <row r="183" spans="1:148">
      <c r="A183" s="665" t="s">
        <v>408</v>
      </c>
      <c r="B183" s="665">
        <v>43586</v>
      </c>
      <c r="C183" s="666">
        <v>2019</v>
      </c>
      <c r="D183" s="461">
        <f t="shared" si="311"/>
        <v>1917455</v>
      </c>
      <c r="E183" s="461">
        <f t="shared" si="176"/>
        <v>28197.666666666672</v>
      </c>
      <c r="F183" s="582">
        <f t="shared" si="177"/>
        <v>13957</v>
      </c>
      <c r="G183" s="113">
        <f t="shared" si="178"/>
        <v>11517.000000000002</v>
      </c>
      <c r="H183" s="113">
        <f t="shared" si="179"/>
        <v>0</v>
      </c>
      <c r="I183" s="113">
        <f t="shared" si="180"/>
        <v>2440.0000000000009</v>
      </c>
      <c r="J183" s="460">
        <f t="shared" si="181"/>
        <v>0</v>
      </c>
      <c r="K183" s="582">
        <f t="shared" si="182"/>
        <v>14240.666666666668</v>
      </c>
      <c r="L183" s="113">
        <f t="shared" si="183"/>
        <v>9786.3333333333321</v>
      </c>
      <c r="M183" s="113">
        <f t="shared" si="184"/>
        <v>0</v>
      </c>
      <c r="N183" s="113">
        <f t="shared" si="185"/>
        <v>3009.6666666666665</v>
      </c>
      <c r="O183" s="459">
        <f t="shared" si="186"/>
        <v>1444.6666666666663</v>
      </c>
      <c r="P183" s="461">
        <f t="shared" si="187"/>
        <v>47.333333333333329</v>
      </c>
      <c r="Q183" s="582">
        <f t="shared" si="188"/>
        <v>17.666666666666664</v>
      </c>
      <c r="R183" s="113">
        <f t="shared" si="189"/>
        <v>16.666666666666668</v>
      </c>
      <c r="S183" s="113">
        <f t="shared" si="190"/>
        <v>0</v>
      </c>
      <c r="T183" s="113">
        <f t="shared" si="191"/>
        <v>1</v>
      </c>
      <c r="U183" s="460">
        <f t="shared" si="192"/>
        <v>0</v>
      </c>
      <c r="V183" s="582">
        <f t="shared" si="193"/>
        <v>29.666666666666668</v>
      </c>
      <c r="W183" s="113">
        <f t="shared" si="194"/>
        <v>19.333333333333339</v>
      </c>
      <c r="X183" s="113">
        <f t="shared" si="195"/>
        <v>0</v>
      </c>
      <c r="Y183" s="113">
        <f t="shared" si="196"/>
        <v>7.6666666666666643</v>
      </c>
      <c r="Z183" s="459">
        <f t="shared" si="197"/>
        <v>2.6666666666666665</v>
      </c>
      <c r="AA183" s="461">
        <f t="shared" si="198"/>
        <v>40.333333333333329</v>
      </c>
      <c r="AB183" s="582">
        <f t="shared" si="199"/>
        <v>12.333333333333334</v>
      </c>
      <c r="AC183" s="113">
        <f t="shared" si="200"/>
        <v>10.000000000000002</v>
      </c>
      <c r="AD183" s="113">
        <f t="shared" si="201"/>
        <v>0</v>
      </c>
      <c r="AE183" s="113">
        <f t="shared" si="202"/>
        <v>2.333333333333333</v>
      </c>
      <c r="AF183" s="460">
        <f t="shared" si="203"/>
        <v>0</v>
      </c>
      <c r="AG183" s="582">
        <f t="shared" si="204"/>
        <v>28.000000000000007</v>
      </c>
      <c r="AH183" s="113">
        <f t="shared" si="205"/>
        <v>23.999999999999996</v>
      </c>
      <c r="AI183" s="113">
        <f t="shared" si="206"/>
        <v>0</v>
      </c>
      <c r="AJ183" s="113">
        <f t="shared" si="207"/>
        <v>0</v>
      </c>
      <c r="AK183" s="459">
        <f t="shared" si="208"/>
        <v>4</v>
      </c>
      <c r="AL183" s="461">
        <f t="shared" si="209"/>
        <v>235.99999999999997</v>
      </c>
      <c r="AM183" s="582">
        <f t="shared" si="210"/>
        <v>123.33333333333334</v>
      </c>
      <c r="AN183" s="113">
        <f t="shared" si="211"/>
        <v>99.666666666666643</v>
      </c>
      <c r="AO183" s="113">
        <f t="shared" si="212"/>
        <v>0</v>
      </c>
      <c r="AP183" s="113">
        <f t="shared" si="213"/>
        <v>23.66666666666665</v>
      </c>
      <c r="AQ183" s="460">
        <f t="shared" si="214"/>
        <v>0</v>
      </c>
      <c r="AR183" s="582">
        <f t="shared" si="215"/>
        <v>112.66666666666669</v>
      </c>
      <c r="AS183" s="113">
        <f t="shared" si="216"/>
        <v>72.333333333333314</v>
      </c>
      <c r="AT183" s="113">
        <f t="shared" si="217"/>
        <v>0</v>
      </c>
      <c r="AU183" s="113">
        <f t="shared" si="218"/>
        <v>28.333333333333339</v>
      </c>
      <c r="AV183" s="459">
        <f t="shared" si="219"/>
        <v>12</v>
      </c>
      <c r="AW183" s="461">
        <f t="shared" si="220"/>
        <v>151.66666666666677</v>
      </c>
      <c r="AX183" s="582">
        <f t="shared" si="221"/>
        <v>68</v>
      </c>
      <c r="AY183" s="113">
        <f t="shared" si="222"/>
        <v>60.333333333333329</v>
      </c>
      <c r="AZ183" s="113">
        <f t="shared" si="223"/>
        <v>0</v>
      </c>
      <c r="BA183" s="113">
        <f t="shared" si="224"/>
        <v>7.666666666666667</v>
      </c>
      <c r="BB183" s="460">
        <f t="shared" si="225"/>
        <v>0</v>
      </c>
      <c r="BC183" s="582">
        <f t="shared" si="226"/>
        <v>83.666666666666671</v>
      </c>
      <c r="BD183" s="113">
        <f t="shared" si="227"/>
        <v>63.666666666666679</v>
      </c>
      <c r="BE183" s="113">
        <f t="shared" si="228"/>
        <v>0</v>
      </c>
      <c r="BF183" s="113">
        <f t="shared" si="229"/>
        <v>13.000000000000004</v>
      </c>
      <c r="BG183" s="459">
        <f t="shared" si="230"/>
        <v>6.9999999999999991</v>
      </c>
      <c r="BH183" s="461">
        <f t="shared" si="231"/>
        <v>189.33333333333331</v>
      </c>
      <c r="BI183" s="582">
        <f t="shared" si="232"/>
        <v>103</v>
      </c>
      <c r="BJ183" s="113">
        <f t="shared" si="233"/>
        <v>92.000000000000014</v>
      </c>
      <c r="BK183" s="113">
        <f t="shared" si="234"/>
        <v>0</v>
      </c>
      <c r="BL183" s="113">
        <f t="shared" si="235"/>
        <v>11</v>
      </c>
      <c r="BM183" s="460">
        <f t="shared" si="236"/>
        <v>0</v>
      </c>
      <c r="BN183" s="582">
        <f t="shared" si="237"/>
        <v>86.333333333333329</v>
      </c>
      <c r="BO183" s="113">
        <f t="shared" si="238"/>
        <v>54.000000000000007</v>
      </c>
      <c r="BP183" s="113">
        <f t="shared" si="239"/>
        <v>0</v>
      </c>
      <c r="BQ183" s="113">
        <f t="shared" si="240"/>
        <v>25.333333333333336</v>
      </c>
      <c r="BR183" s="459">
        <f t="shared" si="241"/>
        <v>7</v>
      </c>
      <c r="BS183" s="461">
        <f t="shared" si="242"/>
        <v>267.66666666666674</v>
      </c>
      <c r="BT183" s="582">
        <f t="shared" si="243"/>
        <v>132.00000000000003</v>
      </c>
      <c r="BU183" s="113">
        <f t="shared" si="244"/>
        <v>112.99999999999999</v>
      </c>
      <c r="BV183" s="113">
        <f t="shared" si="245"/>
        <v>0</v>
      </c>
      <c r="BW183" s="113">
        <f t="shared" si="246"/>
        <v>18.999999999999996</v>
      </c>
      <c r="BX183" s="460">
        <f t="shared" si="247"/>
        <v>0</v>
      </c>
      <c r="BY183" s="582">
        <f t="shared" si="248"/>
        <v>135.66666666666663</v>
      </c>
      <c r="BZ183" s="113">
        <f t="shared" si="249"/>
        <v>84.333333333333343</v>
      </c>
      <c r="CA183" s="113">
        <f t="shared" si="250"/>
        <v>0</v>
      </c>
      <c r="CB183" s="113">
        <f t="shared" si="251"/>
        <v>35.333333333333329</v>
      </c>
      <c r="CC183" s="459">
        <f t="shared" si="252"/>
        <v>16</v>
      </c>
      <c r="CD183" s="461">
        <f t="shared" si="253"/>
        <v>73.333333333333329</v>
      </c>
      <c r="CE183" s="582">
        <f t="shared" si="254"/>
        <v>44.000000000000014</v>
      </c>
      <c r="CF183" s="113">
        <f t="shared" si="255"/>
        <v>35.333333333333329</v>
      </c>
      <c r="CG183" s="113">
        <f t="shared" si="256"/>
        <v>0</v>
      </c>
      <c r="CH183" s="113">
        <f t="shared" si="257"/>
        <v>8.6666666666666643</v>
      </c>
      <c r="CI183" s="460">
        <f t="shared" si="258"/>
        <v>0</v>
      </c>
      <c r="CJ183" s="582">
        <f t="shared" si="259"/>
        <v>29.333333333333336</v>
      </c>
      <c r="CK183" s="113">
        <f t="shared" si="260"/>
        <v>19.666666666666664</v>
      </c>
      <c r="CL183" s="113">
        <f t="shared" si="261"/>
        <v>0</v>
      </c>
      <c r="CM183" s="113">
        <f t="shared" si="262"/>
        <v>6.6666666666666652</v>
      </c>
      <c r="CN183" s="459">
        <f t="shared" si="263"/>
        <v>3</v>
      </c>
      <c r="CO183" s="461">
        <f t="shared" si="264"/>
        <v>52</v>
      </c>
      <c r="CP183" s="582">
        <f t="shared" si="265"/>
        <v>24.333333333333339</v>
      </c>
      <c r="CQ183" s="113">
        <f t="shared" si="266"/>
        <v>23.666666666666668</v>
      </c>
      <c r="CR183" s="113">
        <f t="shared" si="267"/>
        <v>0</v>
      </c>
      <c r="CS183" s="113">
        <f t="shared" si="268"/>
        <v>0.66666666666666663</v>
      </c>
      <c r="CT183" s="460">
        <f t="shared" si="269"/>
        <v>0</v>
      </c>
      <c r="CU183" s="582">
        <f t="shared" si="270"/>
        <v>27.666666666666664</v>
      </c>
      <c r="CV183" s="113">
        <f t="shared" si="271"/>
        <v>19.666666666666657</v>
      </c>
      <c r="CW183" s="113">
        <f t="shared" si="272"/>
        <v>0</v>
      </c>
      <c r="CX183" s="113">
        <f t="shared" si="273"/>
        <v>8</v>
      </c>
      <c r="CY183" s="459">
        <f t="shared" si="274"/>
        <v>0</v>
      </c>
      <c r="CZ183" s="461">
        <f t="shared" si="275"/>
        <v>14.000000000000004</v>
      </c>
      <c r="DA183" s="582">
        <f t="shared" si="276"/>
        <v>1.9999999999999998</v>
      </c>
      <c r="DB183" s="113">
        <f t="shared" si="277"/>
        <v>0</v>
      </c>
      <c r="DC183" s="113">
        <f t="shared" si="278"/>
        <v>0</v>
      </c>
      <c r="DD183" s="113">
        <f t="shared" si="279"/>
        <v>1.9999999999999998</v>
      </c>
      <c r="DE183" s="460">
        <f t="shared" si="280"/>
        <v>0</v>
      </c>
      <c r="DF183" s="582">
        <f t="shared" si="281"/>
        <v>12.000000000000004</v>
      </c>
      <c r="DG183" s="113">
        <f t="shared" si="282"/>
        <v>11.000000000000007</v>
      </c>
      <c r="DH183" s="113">
        <f t="shared" si="283"/>
        <v>0</v>
      </c>
      <c r="DI183" s="113">
        <f t="shared" si="284"/>
        <v>1</v>
      </c>
      <c r="DJ183" s="459">
        <f t="shared" si="285"/>
        <v>0</v>
      </c>
      <c r="DK183" s="461">
        <f t="shared" si="286"/>
        <v>0</v>
      </c>
      <c r="DL183" s="582">
        <f t="shared" si="287"/>
        <v>0</v>
      </c>
      <c r="DM183" s="113">
        <f t="shared" si="288"/>
        <v>0</v>
      </c>
      <c r="DN183" s="113">
        <f t="shared" si="289"/>
        <v>0</v>
      </c>
      <c r="DO183" s="113">
        <f t="shared" si="290"/>
        <v>0</v>
      </c>
      <c r="DP183" s="460">
        <f t="shared" si="291"/>
        <v>0</v>
      </c>
      <c r="DQ183" s="582">
        <f t="shared" si="292"/>
        <v>0</v>
      </c>
      <c r="DR183" s="113">
        <f t="shared" si="293"/>
        <v>0</v>
      </c>
      <c r="DS183" s="113">
        <f t="shared" si="294"/>
        <v>0</v>
      </c>
      <c r="DT183" s="113">
        <f t="shared" si="295"/>
        <v>0</v>
      </c>
      <c r="DU183" s="459">
        <f t="shared" si="296"/>
        <v>0</v>
      </c>
      <c r="DW183" s="461">
        <f t="shared" si="315"/>
        <v>835.66666666666686</v>
      </c>
      <c r="DX183" s="582">
        <f t="shared" si="315"/>
        <v>403.33333333333331</v>
      </c>
      <c r="DY183" s="113">
        <f t="shared" si="314"/>
        <v>351</v>
      </c>
      <c r="DZ183" s="113">
        <f t="shared" si="314"/>
        <v>0</v>
      </c>
      <c r="EA183" s="113">
        <f t="shared" si="314"/>
        <v>52.333333333333329</v>
      </c>
      <c r="EB183" s="460">
        <f t="shared" si="314"/>
        <v>0</v>
      </c>
      <c r="EC183" s="582">
        <f t="shared" si="314"/>
        <v>432.33333333333331</v>
      </c>
      <c r="ED183" s="113">
        <f t="shared" si="314"/>
        <v>295.66666666666674</v>
      </c>
      <c r="EE183" s="113">
        <f t="shared" si="314"/>
        <v>0</v>
      </c>
      <c r="EF183" s="113">
        <f t="shared" si="314"/>
        <v>97</v>
      </c>
      <c r="EG183" s="459">
        <f t="shared" si="314"/>
        <v>39.666666666666664</v>
      </c>
      <c r="EH183" s="461">
        <f t="shared" si="313"/>
        <v>235.99999999999997</v>
      </c>
      <c r="EI183" s="582">
        <f t="shared" si="312"/>
        <v>123.33333333333334</v>
      </c>
      <c r="EJ183" s="113">
        <f t="shared" si="312"/>
        <v>99.666666666666643</v>
      </c>
      <c r="EK183" s="113">
        <f t="shared" si="312"/>
        <v>0</v>
      </c>
      <c r="EL183" s="113">
        <f t="shared" si="312"/>
        <v>23.66666666666665</v>
      </c>
      <c r="EM183" s="460">
        <f t="shared" si="312"/>
        <v>0</v>
      </c>
      <c r="EN183" s="582">
        <f t="shared" si="312"/>
        <v>112.66666666666669</v>
      </c>
      <c r="EO183" s="113">
        <f t="shared" si="312"/>
        <v>72.333333333333314</v>
      </c>
      <c r="EP183" s="113">
        <f t="shared" si="141"/>
        <v>0</v>
      </c>
      <c r="EQ183" s="113">
        <f t="shared" si="141"/>
        <v>28.333333333333339</v>
      </c>
      <c r="ER183" s="459">
        <f t="shared" si="141"/>
        <v>12</v>
      </c>
    </row>
    <row r="184" spans="1:148">
      <c r="A184" s="665" t="s">
        <v>408</v>
      </c>
      <c r="B184" s="665">
        <v>43617</v>
      </c>
      <c r="C184" s="666">
        <v>2019</v>
      </c>
      <c r="D184" s="461">
        <f t="shared" si="311"/>
        <v>1991719</v>
      </c>
      <c r="E184" s="461">
        <f t="shared" si="176"/>
        <v>29156.000000000004</v>
      </c>
      <c r="F184" s="582">
        <f t="shared" si="177"/>
        <v>14621</v>
      </c>
      <c r="G184" s="113">
        <f t="shared" si="178"/>
        <v>12069.000000000002</v>
      </c>
      <c r="H184" s="113">
        <f t="shared" si="179"/>
        <v>0</v>
      </c>
      <c r="I184" s="113">
        <f t="shared" si="180"/>
        <v>2552.0000000000009</v>
      </c>
      <c r="J184" s="460">
        <f t="shared" si="181"/>
        <v>0</v>
      </c>
      <c r="K184" s="582">
        <f t="shared" si="182"/>
        <v>14535.000000000002</v>
      </c>
      <c r="L184" s="113">
        <f t="shared" si="183"/>
        <v>9951.9999999999982</v>
      </c>
      <c r="M184" s="113">
        <f t="shared" si="184"/>
        <v>0</v>
      </c>
      <c r="N184" s="113">
        <f t="shared" si="185"/>
        <v>3126</v>
      </c>
      <c r="O184" s="459">
        <f t="shared" si="186"/>
        <v>1456.9999999999995</v>
      </c>
      <c r="P184" s="461">
        <f t="shared" si="187"/>
        <v>48.999999999999993</v>
      </c>
      <c r="Q184" s="582">
        <f t="shared" si="188"/>
        <v>17.999999999999996</v>
      </c>
      <c r="R184" s="113">
        <f t="shared" si="189"/>
        <v>17</v>
      </c>
      <c r="S184" s="113">
        <f t="shared" si="190"/>
        <v>0</v>
      </c>
      <c r="T184" s="113">
        <f t="shared" si="191"/>
        <v>1</v>
      </c>
      <c r="U184" s="460">
        <f t="shared" si="192"/>
        <v>0</v>
      </c>
      <c r="V184" s="582">
        <f t="shared" si="193"/>
        <v>31</v>
      </c>
      <c r="W184" s="113">
        <f t="shared" si="194"/>
        <v>20.000000000000007</v>
      </c>
      <c r="X184" s="113">
        <f t="shared" si="195"/>
        <v>0</v>
      </c>
      <c r="Y184" s="113">
        <f t="shared" si="196"/>
        <v>7.9999999999999973</v>
      </c>
      <c r="Z184" s="459">
        <f t="shared" si="197"/>
        <v>3</v>
      </c>
      <c r="AA184" s="461">
        <f t="shared" si="198"/>
        <v>40.999999999999993</v>
      </c>
      <c r="AB184" s="582">
        <f t="shared" si="199"/>
        <v>13</v>
      </c>
      <c r="AC184" s="113">
        <f t="shared" si="200"/>
        <v>10.000000000000002</v>
      </c>
      <c r="AD184" s="113">
        <f t="shared" si="201"/>
        <v>0</v>
      </c>
      <c r="AE184" s="113">
        <f t="shared" si="202"/>
        <v>2.9999999999999996</v>
      </c>
      <c r="AF184" s="460">
        <f t="shared" si="203"/>
        <v>0</v>
      </c>
      <c r="AG184" s="582">
        <f t="shared" si="204"/>
        <v>28.000000000000007</v>
      </c>
      <c r="AH184" s="113">
        <f t="shared" si="205"/>
        <v>23.999999999999996</v>
      </c>
      <c r="AI184" s="113">
        <f t="shared" si="206"/>
        <v>0</v>
      </c>
      <c r="AJ184" s="113">
        <f t="shared" si="207"/>
        <v>0</v>
      </c>
      <c r="AK184" s="459">
        <f t="shared" si="208"/>
        <v>4</v>
      </c>
      <c r="AL184" s="461">
        <f t="shared" si="209"/>
        <v>242.99999999999997</v>
      </c>
      <c r="AM184" s="582">
        <f t="shared" si="210"/>
        <v>129</v>
      </c>
      <c r="AN184" s="113">
        <f t="shared" si="211"/>
        <v>103.99999999999997</v>
      </c>
      <c r="AO184" s="113">
        <f t="shared" si="212"/>
        <v>0</v>
      </c>
      <c r="AP184" s="113">
        <f t="shared" si="213"/>
        <v>24.999999999999982</v>
      </c>
      <c r="AQ184" s="460">
        <f t="shared" si="214"/>
        <v>0</v>
      </c>
      <c r="AR184" s="582">
        <f t="shared" si="215"/>
        <v>114.00000000000001</v>
      </c>
      <c r="AS184" s="113">
        <f t="shared" si="216"/>
        <v>72.999999999999986</v>
      </c>
      <c r="AT184" s="113">
        <f t="shared" si="217"/>
        <v>0</v>
      </c>
      <c r="AU184" s="113">
        <f t="shared" si="218"/>
        <v>29.000000000000007</v>
      </c>
      <c r="AV184" s="459">
        <f t="shared" si="219"/>
        <v>12</v>
      </c>
      <c r="AW184" s="461">
        <f t="shared" si="220"/>
        <v>157.00000000000011</v>
      </c>
      <c r="AX184" s="582">
        <f t="shared" si="221"/>
        <v>71</v>
      </c>
      <c r="AY184" s="113">
        <f t="shared" si="222"/>
        <v>62.999999999999993</v>
      </c>
      <c r="AZ184" s="113">
        <f t="shared" si="223"/>
        <v>0</v>
      </c>
      <c r="BA184" s="113">
        <f t="shared" si="224"/>
        <v>8</v>
      </c>
      <c r="BB184" s="460">
        <f t="shared" si="225"/>
        <v>0</v>
      </c>
      <c r="BC184" s="582">
        <f t="shared" si="226"/>
        <v>86</v>
      </c>
      <c r="BD184" s="113">
        <f t="shared" si="227"/>
        <v>65.000000000000014</v>
      </c>
      <c r="BE184" s="113">
        <f t="shared" si="228"/>
        <v>0</v>
      </c>
      <c r="BF184" s="113">
        <f t="shared" si="229"/>
        <v>14.000000000000004</v>
      </c>
      <c r="BG184" s="459">
        <f t="shared" si="230"/>
        <v>6.9999999999999991</v>
      </c>
      <c r="BH184" s="461">
        <f t="shared" si="231"/>
        <v>193.99999999999997</v>
      </c>
      <c r="BI184" s="582">
        <f t="shared" si="232"/>
        <v>106</v>
      </c>
      <c r="BJ184" s="113">
        <f t="shared" si="233"/>
        <v>95.000000000000014</v>
      </c>
      <c r="BK184" s="113">
        <f t="shared" si="234"/>
        <v>0</v>
      </c>
      <c r="BL184" s="113">
        <f t="shared" si="235"/>
        <v>11</v>
      </c>
      <c r="BM184" s="460">
        <f t="shared" si="236"/>
        <v>0</v>
      </c>
      <c r="BN184" s="582">
        <f t="shared" si="237"/>
        <v>88</v>
      </c>
      <c r="BO184" s="113">
        <f t="shared" si="238"/>
        <v>55.000000000000007</v>
      </c>
      <c r="BP184" s="113">
        <f t="shared" si="239"/>
        <v>0</v>
      </c>
      <c r="BQ184" s="113">
        <f t="shared" si="240"/>
        <v>26.000000000000004</v>
      </c>
      <c r="BR184" s="459">
        <f t="shared" si="241"/>
        <v>7</v>
      </c>
      <c r="BS184" s="461">
        <f t="shared" si="242"/>
        <v>275.00000000000006</v>
      </c>
      <c r="BT184" s="582">
        <f t="shared" si="243"/>
        <v>138.00000000000003</v>
      </c>
      <c r="BU184" s="113">
        <f t="shared" si="244"/>
        <v>115.99999999999999</v>
      </c>
      <c r="BV184" s="113">
        <f t="shared" si="245"/>
        <v>0</v>
      </c>
      <c r="BW184" s="113">
        <f t="shared" si="246"/>
        <v>21.999999999999996</v>
      </c>
      <c r="BX184" s="460">
        <f t="shared" si="247"/>
        <v>0</v>
      </c>
      <c r="BY184" s="582">
        <f t="shared" si="248"/>
        <v>136.99999999999997</v>
      </c>
      <c r="BZ184" s="113">
        <f t="shared" si="249"/>
        <v>85.000000000000014</v>
      </c>
      <c r="CA184" s="113">
        <f t="shared" si="250"/>
        <v>0</v>
      </c>
      <c r="CB184" s="113">
        <f t="shared" si="251"/>
        <v>35.999999999999993</v>
      </c>
      <c r="CC184" s="459">
        <f t="shared" si="252"/>
        <v>16</v>
      </c>
      <c r="CD184" s="461">
        <f t="shared" si="253"/>
        <v>75</v>
      </c>
      <c r="CE184" s="582">
        <f t="shared" si="254"/>
        <v>45.000000000000014</v>
      </c>
      <c r="CF184" s="113">
        <f t="shared" si="255"/>
        <v>35.999999999999993</v>
      </c>
      <c r="CG184" s="113">
        <f t="shared" si="256"/>
        <v>0</v>
      </c>
      <c r="CH184" s="113">
        <f t="shared" si="257"/>
        <v>8.9999999999999982</v>
      </c>
      <c r="CI184" s="460">
        <f t="shared" si="258"/>
        <v>0</v>
      </c>
      <c r="CJ184" s="582">
        <f t="shared" si="259"/>
        <v>30.000000000000004</v>
      </c>
      <c r="CK184" s="113">
        <f t="shared" si="260"/>
        <v>19.999999999999996</v>
      </c>
      <c r="CL184" s="113">
        <f t="shared" si="261"/>
        <v>0</v>
      </c>
      <c r="CM184" s="113">
        <f t="shared" si="262"/>
        <v>6.9999999999999982</v>
      </c>
      <c r="CN184" s="459">
        <f t="shared" si="263"/>
        <v>3</v>
      </c>
      <c r="CO184" s="461">
        <f t="shared" si="264"/>
        <v>54</v>
      </c>
      <c r="CP184" s="582">
        <f t="shared" si="265"/>
        <v>26.000000000000007</v>
      </c>
      <c r="CQ184" s="113">
        <f t="shared" si="266"/>
        <v>25</v>
      </c>
      <c r="CR184" s="113">
        <f t="shared" si="267"/>
        <v>0</v>
      </c>
      <c r="CS184" s="113">
        <f t="shared" si="268"/>
        <v>1</v>
      </c>
      <c r="CT184" s="460">
        <f t="shared" si="269"/>
        <v>0</v>
      </c>
      <c r="CU184" s="582">
        <f t="shared" si="270"/>
        <v>27.999999999999996</v>
      </c>
      <c r="CV184" s="113">
        <f t="shared" si="271"/>
        <v>19.999999999999989</v>
      </c>
      <c r="CW184" s="113">
        <f t="shared" si="272"/>
        <v>0</v>
      </c>
      <c r="CX184" s="113">
        <f t="shared" si="273"/>
        <v>8</v>
      </c>
      <c r="CY184" s="459">
        <f t="shared" si="274"/>
        <v>0</v>
      </c>
      <c r="CZ184" s="461">
        <f t="shared" si="275"/>
        <v>14.000000000000004</v>
      </c>
      <c r="DA184" s="582">
        <f t="shared" si="276"/>
        <v>1.9999999999999998</v>
      </c>
      <c r="DB184" s="113">
        <f t="shared" si="277"/>
        <v>0</v>
      </c>
      <c r="DC184" s="113">
        <f t="shared" si="278"/>
        <v>0</v>
      </c>
      <c r="DD184" s="113">
        <f t="shared" si="279"/>
        <v>1.9999999999999998</v>
      </c>
      <c r="DE184" s="460">
        <f t="shared" si="280"/>
        <v>0</v>
      </c>
      <c r="DF184" s="582">
        <f t="shared" si="281"/>
        <v>12.000000000000004</v>
      </c>
      <c r="DG184" s="113">
        <f t="shared" si="282"/>
        <v>11.000000000000007</v>
      </c>
      <c r="DH184" s="113">
        <f t="shared" si="283"/>
        <v>0</v>
      </c>
      <c r="DI184" s="113">
        <f t="shared" si="284"/>
        <v>1</v>
      </c>
      <c r="DJ184" s="459">
        <f t="shared" si="285"/>
        <v>0</v>
      </c>
      <c r="DK184" s="461">
        <f t="shared" si="286"/>
        <v>0</v>
      </c>
      <c r="DL184" s="582">
        <f t="shared" si="287"/>
        <v>0</v>
      </c>
      <c r="DM184" s="113">
        <f t="shared" si="288"/>
        <v>0</v>
      </c>
      <c r="DN184" s="113">
        <f t="shared" si="289"/>
        <v>0</v>
      </c>
      <c r="DO184" s="113">
        <f t="shared" si="290"/>
        <v>0</v>
      </c>
      <c r="DP184" s="460">
        <f t="shared" si="291"/>
        <v>0</v>
      </c>
      <c r="DQ184" s="582">
        <f t="shared" si="292"/>
        <v>0</v>
      </c>
      <c r="DR184" s="113">
        <f t="shared" si="293"/>
        <v>0</v>
      </c>
      <c r="DS184" s="113">
        <f t="shared" si="294"/>
        <v>0</v>
      </c>
      <c r="DT184" s="113">
        <f t="shared" si="295"/>
        <v>0</v>
      </c>
      <c r="DU184" s="459">
        <f t="shared" si="296"/>
        <v>0</v>
      </c>
      <c r="DW184" s="461">
        <f t="shared" si="315"/>
        <v>859.00000000000023</v>
      </c>
      <c r="DX184" s="582">
        <f t="shared" si="315"/>
        <v>419</v>
      </c>
      <c r="DY184" s="113">
        <f t="shared" si="314"/>
        <v>362</v>
      </c>
      <c r="DZ184" s="113">
        <f t="shared" si="314"/>
        <v>0</v>
      </c>
      <c r="EA184" s="113">
        <f t="shared" si="314"/>
        <v>57</v>
      </c>
      <c r="EB184" s="460">
        <f t="shared" si="314"/>
        <v>0</v>
      </c>
      <c r="EC184" s="582">
        <f t="shared" si="314"/>
        <v>440</v>
      </c>
      <c r="ED184" s="113">
        <f t="shared" si="314"/>
        <v>300.00000000000006</v>
      </c>
      <c r="EE184" s="113">
        <f t="shared" si="314"/>
        <v>0</v>
      </c>
      <c r="EF184" s="113">
        <f t="shared" si="314"/>
        <v>100</v>
      </c>
      <c r="EG184" s="459">
        <f t="shared" si="314"/>
        <v>40</v>
      </c>
      <c r="EH184" s="461">
        <f t="shared" si="313"/>
        <v>242.99999999999997</v>
      </c>
      <c r="EI184" s="582">
        <f t="shared" si="312"/>
        <v>129</v>
      </c>
      <c r="EJ184" s="113">
        <f t="shared" si="312"/>
        <v>103.99999999999997</v>
      </c>
      <c r="EK184" s="113">
        <f t="shared" si="312"/>
        <v>0</v>
      </c>
      <c r="EL184" s="113">
        <f t="shared" si="312"/>
        <v>24.999999999999982</v>
      </c>
      <c r="EM184" s="460">
        <f t="shared" si="312"/>
        <v>0</v>
      </c>
      <c r="EN184" s="582">
        <f t="shared" si="312"/>
        <v>114.00000000000001</v>
      </c>
      <c r="EO184" s="113">
        <f t="shared" si="312"/>
        <v>72.999999999999986</v>
      </c>
      <c r="EP184" s="113">
        <f t="shared" si="141"/>
        <v>0</v>
      </c>
      <c r="EQ184" s="113">
        <f t="shared" si="141"/>
        <v>29.000000000000007</v>
      </c>
      <c r="ER184" s="459">
        <f t="shared" si="141"/>
        <v>12</v>
      </c>
    </row>
    <row r="185" spans="1:148">
      <c r="A185" s="665" t="s">
        <v>409</v>
      </c>
      <c r="B185" s="665">
        <v>43647</v>
      </c>
      <c r="C185" s="666">
        <v>2019</v>
      </c>
      <c r="D185" s="461">
        <f t="shared" si="311"/>
        <v>2064915.6666666667</v>
      </c>
      <c r="E185" s="461">
        <f t="shared" si="176"/>
        <v>30205.666666666672</v>
      </c>
      <c r="F185" s="582">
        <f t="shared" si="177"/>
        <v>15348</v>
      </c>
      <c r="G185" s="113">
        <f t="shared" si="178"/>
        <v>12683.666666666668</v>
      </c>
      <c r="H185" s="113">
        <f t="shared" si="179"/>
        <v>0</v>
      </c>
      <c r="I185" s="113">
        <f t="shared" si="180"/>
        <v>2664.3333333333344</v>
      </c>
      <c r="J185" s="460">
        <f t="shared" si="181"/>
        <v>0</v>
      </c>
      <c r="K185" s="582">
        <f t="shared" si="182"/>
        <v>14857.666666666668</v>
      </c>
      <c r="L185" s="113">
        <f t="shared" si="183"/>
        <v>10166.666666666664</v>
      </c>
      <c r="M185" s="113">
        <f t="shared" si="184"/>
        <v>0</v>
      </c>
      <c r="N185" s="113">
        <f t="shared" si="185"/>
        <v>3228</v>
      </c>
      <c r="O185" s="459">
        <f t="shared" si="186"/>
        <v>1462.9999999999995</v>
      </c>
      <c r="P185" s="461">
        <f t="shared" si="187"/>
        <v>50.999999999999993</v>
      </c>
      <c r="Q185" s="582">
        <f t="shared" si="188"/>
        <v>19.333333333333329</v>
      </c>
      <c r="R185" s="113">
        <f t="shared" si="189"/>
        <v>18.333333333333332</v>
      </c>
      <c r="S185" s="113">
        <f t="shared" si="190"/>
        <v>0</v>
      </c>
      <c r="T185" s="113">
        <f t="shared" si="191"/>
        <v>1</v>
      </c>
      <c r="U185" s="460">
        <f t="shared" si="192"/>
        <v>0</v>
      </c>
      <c r="V185" s="582">
        <f t="shared" si="193"/>
        <v>31.666666666666668</v>
      </c>
      <c r="W185" s="113">
        <f t="shared" si="194"/>
        <v>20.666666666666675</v>
      </c>
      <c r="X185" s="113">
        <f t="shared" si="195"/>
        <v>0</v>
      </c>
      <c r="Y185" s="113">
        <f t="shared" si="196"/>
        <v>7.9999999999999973</v>
      </c>
      <c r="Z185" s="459">
        <f t="shared" si="197"/>
        <v>3</v>
      </c>
      <c r="AA185" s="461">
        <f t="shared" si="198"/>
        <v>41.333333333333329</v>
      </c>
      <c r="AB185" s="582">
        <f t="shared" si="199"/>
        <v>13.333333333333334</v>
      </c>
      <c r="AC185" s="113">
        <f t="shared" si="200"/>
        <v>10.000000000000002</v>
      </c>
      <c r="AD185" s="113">
        <f t="shared" si="201"/>
        <v>0</v>
      </c>
      <c r="AE185" s="113">
        <f t="shared" si="202"/>
        <v>3.333333333333333</v>
      </c>
      <c r="AF185" s="460">
        <f t="shared" si="203"/>
        <v>0</v>
      </c>
      <c r="AG185" s="582">
        <f t="shared" si="204"/>
        <v>28.000000000000007</v>
      </c>
      <c r="AH185" s="113">
        <f t="shared" si="205"/>
        <v>23.999999999999996</v>
      </c>
      <c r="AI185" s="113">
        <f t="shared" si="206"/>
        <v>0</v>
      </c>
      <c r="AJ185" s="113">
        <f t="shared" si="207"/>
        <v>0</v>
      </c>
      <c r="AK185" s="459">
        <f t="shared" si="208"/>
        <v>4</v>
      </c>
      <c r="AL185" s="461">
        <f t="shared" si="209"/>
        <v>252.66666666666663</v>
      </c>
      <c r="AM185" s="582">
        <f t="shared" si="210"/>
        <v>137</v>
      </c>
      <c r="AN185" s="113">
        <f t="shared" si="211"/>
        <v>111.66666666666664</v>
      </c>
      <c r="AO185" s="113">
        <f t="shared" si="212"/>
        <v>0</v>
      </c>
      <c r="AP185" s="113">
        <f t="shared" si="213"/>
        <v>25.333333333333314</v>
      </c>
      <c r="AQ185" s="460">
        <f t="shared" si="214"/>
        <v>0</v>
      </c>
      <c r="AR185" s="582">
        <f t="shared" si="215"/>
        <v>115.66666666666669</v>
      </c>
      <c r="AS185" s="113">
        <f t="shared" si="216"/>
        <v>73.999999999999986</v>
      </c>
      <c r="AT185" s="113">
        <f t="shared" si="217"/>
        <v>0</v>
      </c>
      <c r="AU185" s="113">
        <f t="shared" si="218"/>
        <v>29.666666666666675</v>
      </c>
      <c r="AV185" s="459">
        <f t="shared" si="219"/>
        <v>12</v>
      </c>
      <c r="AW185" s="461">
        <f t="shared" si="220"/>
        <v>162.66666666666677</v>
      </c>
      <c r="AX185" s="582">
        <f t="shared" si="221"/>
        <v>75.333333333333329</v>
      </c>
      <c r="AY185" s="113">
        <f t="shared" si="222"/>
        <v>66.333333333333329</v>
      </c>
      <c r="AZ185" s="113">
        <f t="shared" si="223"/>
        <v>0</v>
      </c>
      <c r="BA185" s="113">
        <f t="shared" si="224"/>
        <v>9</v>
      </c>
      <c r="BB185" s="460">
        <f t="shared" si="225"/>
        <v>0</v>
      </c>
      <c r="BC185" s="582">
        <f t="shared" si="226"/>
        <v>87.333333333333329</v>
      </c>
      <c r="BD185" s="113">
        <f t="shared" si="227"/>
        <v>66.333333333333343</v>
      </c>
      <c r="BE185" s="113">
        <f t="shared" si="228"/>
        <v>0</v>
      </c>
      <c r="BF185" s="113">
        <f t="shared" si="229"/>
        <v>14.000000000000004</v>
      </c>
      <c r="BG185" s="459">
        <f t="shared" si="230"/>
        <v>6.9999999999999991</v>
      </c>
      <c r="BH185" s="461">
        <f t="shared" si="231"/>
        <v>199.99999999999997</v>
      </c>
      <c r="BI185" s="582">
        <f t="shared" si="232"/>
        <v>111.33333333333333</v>
      </c>
      <c r="BJ185" s="113">
        <f t="shared" si="233"/>
        <v>100.33333333333334</v>
      </c>
      <c r="BK185" s="113">
        <f t="shared" si="234"/>
        <v>0</v>
      </c>
      <c r="BL185" s="113">
        <f t="shared" si="235"/>
        <v>11</v>
      </c>
      <c r="BM185" s="460">
        <f t="shared" si="236"/>
        <v>0</v>
      </c>
      <c r="BN185" s="582">
        <f t="shared" si="237"/>
        <v>88.666666666666671</v>
      </c>
      <c r="BO185" s="113">
        <f t="shared" si="238"/>
        <v>55.333333333333343</v>
      </c>
      <c r="BP185" s="113">
        <f t="shared" si="239"/>
        <v>0</v>
      </c>
      <c r="BQ185" s="113">
        <f t="shared" si="240"/>
        <v>26.333333333333336</v>
      </c>
      <c r="BR185" s="459">
        <f t="shared" si="241"/>
        <v>7</v>
      </c>
      <c r="BS185" s="461">
        <f t="shared" si="242"/>
        <v>286.66666666666674</v>
      </c>
      <c r="BT185" s="582">
        <f t="shared" si="243"/>
        <v>147.00000000000003</v>
      </c>
      <c r="BU185" s="113">
        <f t="shared" si="244"/>
        <v>124.33333333333331</v>
      </c>
      <c r="BV185" s="113">
        <f t="shared" si="245"/>
        <v>0</v>
      </c>
      <c r="BW185" s="113">
        <f t="shared" si="246"/>
        <v>22.666666666666664</v>
      </c>
      <c r="BX185" s="460">
        <f t="shared" si="247"/>
        <v>0</v>
      </c>
      <c r="BY185" s="582">
        <f t="shared" si="248"/>
        <v>139.66666666666663</v>
      </c>
      <c r="BZ185" s="113">
        <f t="shared" si="249"/>
        <v>87.000000000000014</v>
      </c>
      <c r="CA185" s="113">
        <f t="shared" si="250"/>
        <v>0</v>
      </c>
      <c r="CB185" s="113">
        <f t="shared" si="251"/>
        <v>36.666666666666657</v>
      </c>
      <c r="CC185" s="459">
        <f t="shared" si="252"/>
        <v>16</v>
      </c>
      <c r="CD185" s="461">
        <f t="shared" si="253"/>
        <v>76</v>
      </c>
      <c r="CE185" s="582">
        <f t="shared" si="254"/>
        <v>45.33333333333335</v>
      </c>
      <c r="CF185" s="113">
        <f t="shared" si="255"/>
        <v>36.333333333333329</v>
      </c>
      <c r="CG185" s="113">
        <f t="shared" si="256"/>
        <v>0</v>
      </c>
      <c r="CH185" s="113">
        <f t="shared" si="257"/>
        <v>8.9999999999999982</v>
      </c>
      <c r="CI185" s="460">
        <f t="shared" si="258"/>
        <v>0</v>
      </c>
      <c r="CJ185" s="582">
        <f t="shared" si="259"/>
        <v>30.666666666666671</v>
      </c>
      <c r="CK185" s="113">
        <f t="shared" si="260"/>
        <v>20.333333333333329</v>
      </c>
      <c r="CL185" s="113">
        <f t="shared" si="261"/>
        <v>0</v>
      </c>
      <c r="CM185" s="113">
        <f t="shared" si="262"/>
        <v>7.3333333333333313</v>
      </c>
      <c r="CN185" s="459">
        <f t="shared" si="263"/>
        <v>3</v>
      </c>
      <c r="CO185" s="461">
        <f t="shared" si="264"/>
        <v>55.666666666666664</v>
      </c>
      <c r="CP185" s="582">
        <f t="shared" si="265"/>
        <v>26.666666666666675</v>
      </c>
      <c r="CQ185" s="113">
        <f t="shared" si="266"/>
        <v>25.666666666666668</v>
      </c>
      <c r="CR185" s="113">
        <f t="shared" si="267"/>
        <v>0</v>
      </c>
      <c r="CS185" s="113">
        <f t="shared" si="268"/>
        <v>1</v>
      </c>
      <c r="CT185" s="460">
        <f t="shared" si="269"/>
        <v>0</v>
      </c>
      <c r="CU185" s="582">
        <f t="shared" si="270"/>
        <v>28.999999999999996</v>
      </c>
      <c r="CV185" s="113">
        <f t="shared" si="271"/>
        <v>20.999999999999989</v>
      </c>
      <c r="CW185" s="113">
        <f t="shared" si="272"/>
        <v>0</v>
      </c>
      <c r="CX185" s="113">
        <f t="shared" si="273"/>
        <v>8</v>
      </c>
      <c r="CY185" s="459">
        <f t="shared" si="274"/>
        <v>0</v>
      </c>
      <c r="CZ185" s="461">
        <f t="shared" si="275"/>
        <v>14.000000000000004</v>
      </c>
      <c r="DA185" s="582">
        <f t="shared" si="276"/>
        <v>1.9999999999999998</v>
      </c>
      <c r="DB185" s="113">
        <f t="shared" si="277"/>
        <v>0</v>
      </c>
      <c r="DC185" s="113">
        <f t="shared" si="278"/>
        <v>0</v>
      </c>
      <c r="DD185" s="113">
        <f t="shared" si="279"/>
        <v>1.9999999999999998</v>
      </c>
      <c r="DE185" s="460">
        <f t="shared" si="280"/>
        <v>0</v>
      </c>
      <c r="DF185" s="582">
        <f t="shared" si="281"/>
        <v>12.000000000000004</v>
      </c>
      <c r="DG185" s="113">
        <f t="shared" si="282"/>
        <v>11.000000000000007</v>
      </c>
      <c r="DH185" s="113">
        <f t="shared" si="283"/>
        <v>0</v>
      </c>
      <c r="DI185" s="113">
        <f t="shared" si="284"/>
        <v>1</v>
      </c>
      <c r="DJ185" s="459">
        <f t="shared" si="285"/>
        <v>0</v>
      </c>
      <c r="DK185" s="461">
        <f t="shared" si="286"/>
        <v>0</v>
      </c>
      <c r="DL185" s="582">
        <f t="shared" si="287"/>
        <v>0</v>
      </c>
      <c r="DM185" s="113">
        <f t="shared" si="288"/>
        <v>0</v>
      </c>
      <c r="DN185" s="113">
        <f t="shared" si="289"/>
        <v>0</v>
      </c>
      <c r="DO185" s="113">
        <f t="shared" si="290"/>
        <v>0</v>
      </c>
      <c r="DP185" s="460">
        <f t="shared" si="291"/>
        <v>0</v>
      </c>
      <c r="DQ185" s="582">
        <f t="shared" si="292"/>
        <v>0.33333333333333331</v>
      </c>
      <c r="DR185" s="113">
        <f t="shared" si="293"/>
        <v>0.33333333333333331</v>
      </c>
      <c r="DS185" s="113">
        <f t="shared" si="294"/>
        <v>0</v>
      </c>
      <c r="DT185" s="113">
        <f t="shared" si="295"/>
        <v>0</v>
      </c>
      <c r="DU185" s="459">
        <f t="shared" si="296"/>
        <v>0</v>
      </c>
      <c r="DW185" s="461">
        <f t="shared" si="315"/>
        <v>887.33333333333337</v>
      </c>
      <c r="DX185" s="582">
        <f t="shared" si="315"/>
        <v>440.33333333333343</v>
      </c>
      <c r="DY185" s="113">
        <f t="shared" si="314"/>
        <v>381.33333333333331</v>
      </c>
      <c r="DZ185" s="113">
        <f t="shared" si="314"/>
        <v>0</v>
      </c>
      <c r="EA185" s="113">
        <f t="shared" si="314"/>
        <v>59</v>
      </c>
      <c r="EB185" s="460">
        <f t="shared" si="314"/>
        <v>0</v>
      </c>
      <c r="EC185" s="582">
        <f t="shared" si="314"/>
        <v>447.33333333333331</v>
      </c>
      <c r="ED185" s="113">
        <f t="shared" si="314"/>
        <v>306</v>
      </c>
      <c r="EE185" s="113">
        <f t="shared" si="314"/>
        <v>0</v>
      </c>
      <c r="EF185" s="113">
        <f t="shared" si="314"/>
        <v>101.33333333333333</v>
      </c>
      <c r="EG185" s="459">
        <f t="shared" si="314"/>
        <v>40</v>
      </c>
      <c r="EH185" s="461">
        <f t="shared" si="313"/>
        <v>252.66666666666663</v>
      </c>
      <c r="EI185" s="582">
        <f t="shared" si="312"/>
        <v>137</v>
      </c>
      <c r="EJ185" s="113">
        <f t="shared" si="312"/>
        <v>111.66666666666664</v>
      </c>
      <c r="EK185" s="113">
        <f t="shared" si="312"/>
        <v>0</v>
      </c>
      <c r="EL185" s="113">
        <f t="shared" si="312"/>
        <v>25.333333333333314</v>
      </c>
      <c r="EM185" s="460">
        <f t="shared" si="312"/>
        <v>0</v>
      </c>
      <c r="EN185" s="582">
        <f t="shared" si="312"/>
        <v>115.66666666666669</v>
      </c>
      <c r="EO185" s="113">
        <f t="shared" si="312"/>
        <v>73.999999999999986</v>
      </c>
      <c r="EP185" s="113">
        <f t="shared" si="141"/>
        <v>0</v>
      </c>
      <c r="EQ185" s="113">
        <f t="shared" si="141"/>
        <v>29.666666666666675</v>
      </c>
      <c r="ER185" s="459">
        <f t="shared" si="141"/>
        <v>12</v>
      </c>
    </row>
    <row r="186" spans="1:148">
      <c r="A186" s="665" t="s">
        <v>409</v>
      </c>
      <c r="B186" s="665">
        <v>43678</v>
      </c>
      <c r="C186" s="666">
        <v>2019</v>
      </c>
      <c r="D186" s="461">
        <f t="shared" si="311"/>
        <v>2138112.3333333335</v>
      </c>
      <c r="E186" s="461">
        <f t="shared" si="176"/>
        <v>31255.333333333339</v>
      </c>
      <c r="F186" s="582">
        <f t="shared" si="177"/>
        <v>16075</v>
      </c>
      <c r="G186" s="113">
        <f t="shared" si="178"/>
        <v>13298.333333333334</v>
      </c>
      <c r="H186" s="113">
        <f t="shared" si="179"/>
        <v>0</v>
      </c>
      <c r="I186" s="113">
        <f t="shared" si="180"/>
        <v>2776.6666666666679</v>
      </c>
      <c r="J186" s="460">
        <f t="shared" si="181"/>
        <v>0</v>
      </c>
      <c r="K186" s="582">
        <f t="shared" si="182"/>
        <v>15180.333333333334</v>
      </c>
      <c r="L186" s="113">
        <f t="shared" si="183"/>
        <v>10381.33333333333</v>
      </c>
      <c r="M186" s="113">
        <f t="shared" si="184"/>
        <v>0</v>
      </c>
      <c r="N186" s="113">
        <f t="shared" si="185"/>
        <v>3330</v>
      </c>
      <c r="O186" s="459">
        <f t="shared" si="186"/>
        <v>1468.9999999999995</v>
      </c>
      <c r="P186" s="461">
        <f t="shared" si="187"/>
        <v>52.999999999999993</v>
      </c>
      <c r="Q186" s="582">
        <f t="shared" si="188"/>
        <v>20.666666666666661</v>
      </c>
      <c r="R186" s="113">
        <f t="shared" si="189"/>
        <v>19.666666666666664</v>
      </c>
      <c r="S186" s="113">
        <f t="shared" si="190"/>
        <v>0</v>
      </c>
      <c r="T186" s="113">
        <f t="shared" si="191"/>
        <v>1</v>
      </c>
      <c r="U186" s="460">
        <f t="shared" si="192"/>
        <v>0</v>
      </c>
      <c r="V186" s="582">
        <f t="shared" si="193"/>
        <v>32.333333333333336</v>
      </c>
      <c r="W186" s="113">
        <f t="shared" si="194"/>
        <v>21.333333333333343</v>
      </c>
      <c r="X186" s="113">
        <f t="shared" si="195"/>
        <v>0</v>
      </c>
      <c r="Y186" s="113">
        <f t="shared" si="196"/>
        <v>7.9999999999999973</v>
      </c>
      <c r="Z186" s="459">
        <f t="shared" si="197"/>
        <v>3</v>
      </c>
      <c r="AA186" s="461">
        <f t="shared" si="198"/>
        <v>41.666666666666664</v>
      </c>
      <c r="AB186" s="582">
        <f t="shared" si="199"/>
        <v>13.666666666666668</v>
      </c>
      <c r="AC186" s="113">
        <f t="shared" si="200"/>
        <v>10.000000000000002</v>
      </c>
      <c r="AD186" s="113">
        <f t="shared" si="201"/>
        <v>0</v>
      </c>
      <c r="AE186" s="113">
        <f t="shared" si="202"/>
        <v>3.6666666666666665</v>
      </c>
      <c r="AF186" s="460">
        <f t="shared" si="203"/>
        <v>0</v>
      </c>
      <c r="AG186" s="582">
        <f t="shared" si="204"/>
        <v>28.000000000000007</v>
      </c>
      <c r="AH186" s="113">
        <f t="shared" si="205"/>
        <v>23.999999999999996</v>
      </c>
      <c r="AI186" s="113">
        <f t="shared" si="206"/>
        <v>0</v>
      </c>
      <c r="AJ186" s="113">
        <f t="shared" si="207"/>
        <v>0</v>
      </c>
      <c r="AK186" s="459">
        <f t="shared" si="208"/>
        <v>4</v>
      </c>
      <c r="AL186" s="461">
        <f t="shared" si="209"/>
        <v>262.33333333333331</v>
      </c>
      <c r="AM186" s="582">
        <f t="shared" si="210"/>
        <v>145</v>
      </c>
      <c r="AN186" s="113">
        <f t="shared" si="211"/>
        <v>119.33333333333331</v>
      </c>
      <c r="AO186" s="113">
        <f t="shared" si="212"/>
        <v>0</v>
      </c>
      <c r="AP186" s="113">
        <f t="shared" si="213"/>
        <v>25.666666666666647</v>
      </c>
      <c r="AQ186" s="460">
        <f t="shared" si="214"/>
        <v>0</v>
      </c>
      <c r="AR186" s="582">
        <f t="shared" si="215"/>
        <v>117.33333333333336</v>
      </c>
      <c r="AS186" s="113">
        <f t="shared" si="216"/>
        <v>74.999999999999986</v>
      </c>
      <c r="AT186" s="113">
        <f t="shared" si="217"/>
        <v>0</v>
      </c>
      <c r="AU186" s="113">
        <f t="shared" si="218"/>
        <v>30.333333333333343</v>
      </c>
      <c r="AV186" s="459">
        <f t="shared" si="219"/>
        <v>12</v>
      </c>
      <c r="AW186" s="461">
        <f t="shared" si="220"/>
        <v>168.33333333333343</v>
      </c>
      <c r="AX186" s="582">
        <f t="shared" si="221"/>
        <v>79.666666666666657</v>
      </c>
      <c r="AY186" s="113">
        <f t="shared" si="222"/>
        <v>69.666666666666657</v>
      </c>
      <c r="AZ186" s="113">
        <f t="shared" si="223"/>
        <v>0</v>
      </c>
      <c r="BA186" s="113">
        <f t="shared" si="224"/>
        <v>10</v>
      </c>
      <c r="BB186" s="460">
        <f t="shared" si="225"/>
        <v>0</v>
      </c>
      <c r="BC186" s="582">
        <f t="shared" si="226"/>
        <v>88.666666666666657</v>
      </c>
      <c r="BD186" s="113">
        <f t="shared" si="227"/>
        <v>67.666666666666671</v>
      </c>
      <c r="BE186" s="113">
        <f t="shared" si="228"/>
        <v>0</v>
      </c>
      <c r="BF186" s="113">
        <f t="shared" si="229"/>
        <v>14.000000000000004</v>
      </c>
      <c r="BG186" s="459">
        <f t="shared" si="230"/>
        <v>6.9999999999999991</v>
      </c>
      <c r="BH186" s="461">
        <f t="shared" si="231"/>
        <v>205.99999999999997</v>
      </c>
      <c r="BI186" s="582">
        <f t="shared" si="232"/>
        <v>116.66666666666666</v>
      </c>
      <c r="BJ186" s="113">
        <f t="shared" si="233"/>
        <v>105.66666666666667</v>
      </c>
      <c r="BK186" s="113">
        <f t="shared" si="234"/>
        <v>0</v>
      </c>
      <c r="BL186" s="113">
        <f t="shared" si="235"/>
        <v>11</v>
      </c>
      <c r="BM186" s="460">
        <f t="shared" si="236"/>
        <v>0</v>
      </c>
      <c r="BN186" s="582">
        <f t="shared" si="237"/>
        <v>89.333333333333343</v>
      </c>
      <c r="BO186" s="113">
        <f t="shared" si="238"/>
        <v>55.666666666666679</v>
      </c>
      <c r="BP186" s="113">
        <f t="shared" si="239"/>
        <v>0</v>
      </c>
      <c r="BQ186" s="113">
        <f t="shared" si="240"/>
        <v>26.666666666666668</v>
      </c>
      <c r="BR186" s="459">
        <f t="shared" si="241"/>
        <v>7</v>
      </c>
      <c r="BS186" s="461">
        <f t="shared" si="242"/>
        <v>298.33333333333343</v>
      </c>
      <c r="BT186" s="582">
        <f t="shared" si="243"/>
        <v>156.00000000000003</v>
      </c>
      <c r="BU186" s="113">
        <f t="shared" si="244"/>
        <v>132.66666666666666</v>
      </c>
      <c r="BV186" s="113">
        <f t="shared" si="245"/>
        <v>0</v>
      </c>
      <c r="BW186" s="113">
        <f t="shared" si="246"/>
        <v>23.333333333333332</v>
      </c>
      <c r="BX186" s="460">
        <f t="shared" si="247"/>
        <v>0</v>
      </c>
      <c r="BY186" s="582">
        <f t="shared" si="248"/>
        <v>142.33333333333329</v>
      </c>
      <c r="BZ186" s="113">
        <f t="shared" si="249"/>
        <v>89.000000000000014</v>
      </c>
      <c r="CA186" s="113">
        <f t="shared" si="250"/>
        <v>0</v>
      </c>
      <c r="CB186" s="113">
        <f t="shared" si="251"/>
        <v>37.333333333333321</v>
      </c>
      <c r="CC186" s="459">
        <f t="shared" si="252"/>
        <v>16</v>
      </c>
      <c r="CD186" s="461">
        <f t="shared" si="253"/>
        <v>77</v>
      </c>
      <c r="CE186" s="582">
        <f t="shared" si="254"/>
        <v>45.666666666666686</v>
      </c>
      <c r="CF186" s="113">
        <f t="shared" si="255"/>
        <v>36.666666666666664</v>
      </c>
      <c r="CG186" s="113">
        <f t="shared" si="256"/>
        <v>0</v>
      </c>
      <c r="CH186" s="113">
        <f t="shared" si="257"/>
        <v>8.9999999999999982</v>
      </c>
      <c r="CI186" s="460">
        <f t="shared" si="258"/>
        <v>0</v>
      </c>
      <c r="CJ186" s="582">
        <f t="shared" si="259"/>
        <v>31.333333333333339</v>
      </c>
      <c r="CK186" s="113">
        <f t="shared" si="260"/>
        <v>20.666666666666661</v>
      </c>
      <c r="CL186" s="113">
        <f t="shared" si="261"/>
        <v>0</v>
      </c>
      <c r="CM186" s="113">
        <f t="shared" si="262"/>
        <v>7.6666666666666643</v>
      </c>
      <c r="CN186" s="459">
        <f t="shared" si="263"/>
        <v>3</v>
      </c>
      <c r="CO186" s="461">
        <f t="shared" si="264"/>
        <v>57.333333333333329</v>
      </c>
      <c r="CP186" s="582">
        <f t="shared" si="265"/>
        <v>27.333333333333343</v>
      </c>
      <c r="CQ186" s="113">
        <f t="shared" si="266"/>
        <v>26.333333333333336</v>
      </c>
      <c r="CR186" s="113">
        <f t="shared" si="267"/>
        <v>0</v>
      </c>
      <c r="CS186" s="113">
        <f t="shared" si="268"/>
        <v>1</v>
      </c>
      <c r="CT186" s="460">
        <f t="shared" si="269"/>
        <v>0</v>
      </c>
      <c r="CU186" s="582">
        <f t="shared" si="270"/>
        <v>29.999999999999996</v>
      </c>
      <c r="CV186" s="113">
        <f t="shared" si="271"/>
        <v>21.999999999999989</v>
      </c>
      <c r="CW186" s="113">
        <f t="shared" si="272"/>
        <v>0</v>
      </c>
      <c r="CX186" s="113">
        <f t="shared" si="273"/>
        <v>8</v>
      </c>
      <c r="CY186" s="459">
        <f t="shared" si="274"/>
        <v>0</v>
      </c>
      <c r="CZ186" s="461">
        <f t="shared" si="275"/>
        <v>14.000000000000004</v>
      </c>
      <c r="DA186" s="582">
        <f t="shared" si="276"/>
        <v>1.9999999999999998</v>
      </c>
      <c r="DB186" s="113">
        <f t="shared" si="277"/>
        <v>0</v>
      </c>
      <c r="DC186" s="113">
        <f t="shared" si="278"/>
        <v>0</v>
      </c>
      <c r="DD186" s="113">
        <f t="shared" si="279"/>
        <v>1.9999999999999998</v>
      </c>
      <c r="DE186" s="460">
        <f t="shared" si="280"/>
        <v>0</v>
      </c>
      <c r="DF186" s="582">
        <f t="shared" si="281"/>
        <v>12.000000000000004</v>
      </c>
      <c r="DG186" s="113">
        <f t="shared" si="282"/>
        <v>11.000000000000007</v>
      </c>
      <c r="DH186" s="113">
        <f t="shared" si="283"/>
        <v>0</v>
      </c>
      <c r="DI186" s="113">
        <f t="shared" si="284"/>
        <v>1</v>
      </c>
      <c r="DJ186" s="459">
        <f t="shared" si="285"/>
        <v>0</v>
      </c>
      <c r="DK186" s="461">
        <f t="shared" si="286"/>
        <v>0</v>
      </c>
      <c r="DL186" s="582">
        <f t="shared" si="287"/>
        <v>0</v>
      </c>
      <c r="DM186" s="113">
        <f t="shared" si="288"/>
        <v>0</v>
      </c>
      <c r="DN186" s="113">
        <f t="shared" si="289"/>
        <v>0</v>
      </c>
      <c r="DO186" s="113">
        <f t="shared" si="290"/>
        <v>0</v>
      </c>
      <c r="DP186" s="460">
        <f t="shared" si="291"/>
        <v>0</v>
      </c>
      <c r="DQ186" s="582">
        <f t="shared" si="292"/>
        <v>0.66666666666666663</v>
      </c>
      <c r="DR186" s="113">
        <f t="shared" si="293"/>
        <v>0.66666666666666663</v>
      </c>
      <c r="DS186" s="113">
        <f t="shared" si="294"/>
        <v>0</v>
      </c>
      <c r="DT186" s="113">
        <f t="shared" si="295"/>
        <v>0</v>
      </c>
      <c r="DU186" s="459">
        <f t="shared" si="296"/>
        <v>0</v>
      </c>
      <c r="DW186" s="461">
        <f t="shared" si="315"/>
        <v>915.66666666666686</v>
      </c>
      <c r="DX186" s="582">
        <f t="shared" si="315"/>
        <v>461.66666666666663</v>
      </c>
      <c r="DY186" s="113">
        <f t="shared" si="314"/>
        <v>400.66666666666663</v>
      </c>
      <c r="DZ186" s="113">
        <f t="shared" si="314"/>
        <v>0</v>
      </c>
      <c r="EA186" s="113">
        <f t="shared" si="314"/>
        <v>61</v>
      </c>
      <c r="EB186" s="460">
        <f t="shared" si="314"/>
        <v>0</v>
      </c>
      <c r="EC186" s="582">
        <f t="shared" si="314"/>
        <v>454.66666666666663</v>
      </c>
      <c r="ED186" s="113">
        <f t="shared" si="314"/>
        <v>312.00000000000006</v>
      </c>
      <c r="EE186" s="113">
        <f t="shared" si="314"/>
        <v>0</v>
      </c>
      <c r="EF186" s="113">
        <f t="shared" si="314"/>
        <v>102.66666666666666</v>
      </c>
      <c r="EG186" s="459">
        <f t="shared" si="314"/>
        <v>40</v>
      </c>
      <c r="EH186" s="461">
        <f t="shared" si="313"/>
        <v>262.33333333333331</v>
      </c>
      <c r="EI186" s="582">
        <f t="shared" si="312"/>
        <v>145</v>
      </c>
      <c r="EJ186" s="113">
        <f t="shared" si="312"/>
        <v>119.33333333333331</v>
      </c>
      <c r="EK186" s="113">
        <f t="shared" si="312"/>
        <v>0</v>
      </c>
      <c r="EL186" s="113">
        <f t="shared" si="312"/>
        <v>25.666666666666647</v>
      </c>
      <c r="EM186" s="460">
        <f t="shared" si="312"/>
        <v>0</v>
      </c>
      <c r="EN186" s="582">
        <f t="shared" si="312"/>
        <v>117.33333333333336</v>
      </c>
      <c r="EO186" s="113">
        <f t="shared" si="312"/>
        <v>74.999999999999986</v>
      </c>
      <c r="EP186" s="113">
        <f t="shared" si="141"/>
        <v>0</v>
      </c>
      <c r="EQ186" s="113">
        <f t="shared" si="141"/>
        <v>30.333333333333343</v>
      </c>
      <c r="ER186" s="459">
        <f t="shared" si="141"/>
        <v>12</v>
      </c>
    </row>
    <row r="187" spans="1:148">
      <c r="A187" s="665" t="s">
        <v>409</v>
      </c>
      <c r="B187" s="665">
        <v>43709</v>
      </c>
      <c r="C187" s="666">
        <v>2019</v>
      </c>
      <c r="D187" s="461">
        <f t="shared" si="311"/>
        <v>2211309</v>
      </c>
      <c r="E187" s="461">
        <f t="shared" si="176"/>
        <v>32305.000000000007</v>
      </c>
      <c r="F187" s="582">
        <f t="shared" si="177"/>
        <v>16802</v>
      </c>
      <c r="G187" s="113">
        <f t="shared" si="178"/>
        <v>13913</v>
      </c>
      <c r="H187" s="113">
        <f t="shared" si="179"/>
        <v>0</v>
      </c>
      <c r="I187" s="113">
        <f t="shared" si="180"/>
        <v>2889.0000000000014</v>
      </c>
      <c r="J187" s="460">
        <f t="shared" si="181"/>
        <v>0</v>
      </c>
      <c r="K187" s="582">
        <f t="shared" si="182"/>
        <v>15503</v>
      </c>
      <c r="L187" s="113">
        <f t="shared" si="183"/>
        <v>10595.999999999996</v>
      </c>
      <c r="M187" s="113">
        <f t="shared" si="184"/>
        <v>0</v>
      </c>
      <c r="N187" s="113">
        <f t="shared" si="185"/>
        <v>3432</v>
      </c>
      <c r="O187" s="459">
        <f t="shared" si="186"/>
        <v>1474.9999999999995</v>
      </c>
      <c r="P187" s="461">
        <f t="shared" si="187"/>
        <v>54.999999999999993</v>
      </c>
      <c r="Q187" s="582">
        <f t="shared" si="188"/>
        <v>21.999999999999993</v>
      </c>
      <c r="R187" s="113">
        <f t="shared" si="189"/>
        <v>20.999999999999996</v>
      </c>
      <c r="S187" s="113">
        <f t="shared" si="190"/>
        <v>0</v>
      </c>
      <c r="T187" s="113">
        <f t="shared" si="191"/>
        <v>1</v>
      </c>
      <c r="U187" s="460">
        <f t="shared" si="192"/>
        <v>0</v>
      </c>
      <c r="V187" s="582">
        <f t="shared" si="193"/>
        <v>33</v>
      </c>
      <c r="W187" s="113">
        <f t="shared" si="194"/>
        <v>22.000000000000011</v>
      </c>
      <c r="X187" s="113">
        <f t="shared" si="195"/>
        <v>0</v>
      </c>
      <c r="Y187" s="113">
        <f t="shared" si="196"/>
        <v>7.9999999999999973</v>
      </c>
      <c r="Z187" s="459">
        <f t="shared" si="197"/>
        <v>3</v>
      </c>
      <c r="AA187" s="461">
        <f t="shared" si="198"/>
        <v>42</v>
      </c>
      <c r="AB187" s="582">
        <f t="shared" si="199"/>
        <v>14.000000000000002</v>
      </c>
      <c r="AC187" s="113">
        <f t="shared" si="200"/>
        <v>10.000000000000002</v>
      </c>
      <c r="AD187" s="113">
        <f t="shared" si="201"/>
        <v>0</v>
      </c>
      <c r="AE187" s="113">
        <f t="shared" si="202"/>
        <v>4</v>
      </c>
      <c r="AF187" s="460">
        <f t="shared" si="203"/>
        <v>0</v>
      </c>
      <c r="AG187" s="582">
        <f t="shared" si="204"/>
        <v>28.000000000000007</v>
      </c>
      <c r="AH187" s="113">
        <f t="shared" si="205"/>
        <v>23.999999999999996</v>
      </c>
      <c r="AI187" s="113">
        <f t="shared" si="206"/>
        <v>0</v>
      </c>
      <c r="AJ187" s="113">
        <f t="shared" si="207"/>
        <v>0</v>
      </c>
      <c r="AK187" s="459">
        <f t="shared" si="208"/>
        <v>4</v>
      </c>
      <c r="AL187" s="461">
        <f t="shared" si="209"/>
        <v>272</v>
      </c>
      <c r="AM187" s="582">
        <f t="shared" si="210"/>
        <v>153</v>
      </c>
      <c r="AN187" s="113">
        <f t="shared" si="211"/>
        <v>126.99999999999999</v>
      </c>
      <c r="AO187" s="113">
        <f t="shared" si="212"/>
        <v>0</v>
      </c>
      <c r="AP187" s="113">
        <f t="shared" si="213"/>
        <v>25.999999999999979</v>
      </c>
      <c r="AQ187" s="460">
        <f t="shared" si="214"/>
        <v>0</v>
      </c>
      <c r="AR187" s="582">
        <f t="shared" si="215"/>
        <v>119.00000000000003</v>
      </c>
      <c r="AS187" s="113">
        <f t="shared" si="216"/>
        <v>75.999999999999986</v>
      </c>
      <c r="AT187" s="113">
        <f t="shared" si="217"/>
        <v>0</v>
      </c>
      <c r="AU187" s="113">
        <f t="shared" si="218"/>
        <v>31.000000000000011</v>
      </c>
      <c r="AV187" s="459">
        <f t="shared" si="219"/>
        <v>12</v>
      </c>
      <c r="AW187" s="461">
        <f t="shared" si="220"/>
        <v>174.00000000000009</v>
      </c>
      <c r="AX187" s="582">
        <f t="shared" si="221"/>
        <v>83.999999999999986</v>
      </c>
      <c r="AY187" s="113">
        <f t="shared" si="222"/>
        <v>72.999999999999986</v>
      </c>
      <c r="AZ187" s="113">
        <f t="shared" si="223"/>
        <v>0</v>
      </c>
      <c r="BA187" s="113">
        <f t="shared" si="224"/>
        <v>11</v>
      </c>
      <c r="BB187" s="460">
        <f t="shared" si="225"/>
        <v>0</v>
      </c>
      <c r="BC187" s="582">
        <f t="shared" si="226"/>
        <v>89.999999999999986</v>
      </c>
      <c r="BD187" s="113">
        <f t="shared" si="227"/>
        <v>69</v>
      </c>
      <c r="BE187" s="113">
        <f t="shared" si="228"/>
        <v>0</v>
      </c>
      <c r="BF187" s="113">
        <f t="shared" si="229"/>
        <v>14.000000000000004</v>
      </c>
      <c r="BG187" s="459">
        <f t="shared" si="230"/>
        <v>6.9999999999999991</v>
      </c>
      <c r="BH187" s="461">
        <f t="shared" si="231"/>
        <v>211.99999999999997</v>
      </c>
      <c r="BI187" s="582">
        <f t="shared" si="232"/>
        <v>121.99999999999999</v>
      </c>
      <c r="BJ187" s="113">
        <f t="shared" si="233"/>
        <v>111</v>
      </c>
      <c r="BK187" s="113">
        <f t="shared" si="234"/>
        <v>0</v>
      </c>
      <c r="BL187" s="113">
        <f t="shared" si="235"/>
        <v>11</v>
      </c>
      <c r="BM187" s="460">
        <f t="shared" si="236"/>
        <v>0</v>
      </c>
      <c r="BN187" s="582">
        <f t="shared" si="237"/>
        <v>90.000000000000014</v>
      </c>
      <c r="BO187" s="113">
        <f t="shared" si="238"/>
        <v>56.000000000000014</v>
      </c>
      <c r="BP187" s="113">
        <f t="shared" si="239"/>
        <v>0</v>
      </c>
      <c r="BQ187" s="113">
        <f t="shared" si="240"/>
        <v>27</v>
      </c>
      <c r="BR187" s="459">
        <f t="shared" si="241"/>
        <v>7</v>
      </c>
      <c r="BS187" s="461">
        <f t="shared" si="242"/>
        <v>310.00000000000011</v>
      </c>
      <c r="BT187" s="582">
        <f t="shared" si="243"/>
        <v>165.00000000000003</v>
      </c>
      <c r="BU187" s="113">
        <f t="shared" si="244"/>
        <v>141</v>
      </c>
      <c r="BV187" s="113">
        <f t="shared" si="245"/>
        <v>0</v>
      </c>
      <c r="BW187" s="113">
        <f t="shared" si="246"/>
        <v>24</v>
      </c>
      <c r="BX187" s="460">
        <f t="shared" si="247"/>
        <v>0</v>
      </c>
      <c r="BY187" s="582">
        <f t="shared" si="248"/>
        <v>144.99999999999994</v>
      </c>
      <c r="BZ187" s="113">
        <f t="shared" si="249"/>
        <v>91.000000000000014</v>
      </c>
      <c r="CA187" s="113">
        <f t="shared" si="250"/>
        <v>0</v>
      </c>
      <c r="CB187" s="113">
        <f t="shared" si="251"/>
        <v>37.999999999999986</v>
      </c>
      <c r="CC187" s="459">
        <f t="shared" si="252"/>
        <v>16</v>
      </c>
      <c r="CD187" s="461">
        <f t="shared" si="253"/>
        <v>78</v>
      </c>
      <c r="CE187" s="582">
        <f t="shared" si="254"/>
        <v>46.000000000000021</v>
      </c>
      <c r="CF187" s="113">
        <f t="shared" si="255"/>
        <v>37</v>
      </c>
      <c r="CG187" s="113">
        <f t="shared" si="256"/>
        <v>0</v>
      </c>
      <c r="CH187" s="113">
        <f t="shared" si="257"/>
        <v>8.9999999999999982</v>
      </c>
      <c r="CI187" s="460">
        <f t="shared" si="258"/>
        <v>0</v>
      </c>
      <c r="CJ187" s="582">
        <f t="shared" si="259"/>
        <v>32.000000000000007</v>
      </c>
      <c r="CK187" s="113">
        <f t="shared" si="260"/>
        <v>20.999999999999993</v>
      </c>
      <c r="CL187" s="113">
        <f t="shared" si="261"/>
        <v>0</v>
      </c>
      <c r="CM187" s="113">
        <f t="shared" si="262"/>
        <v>7.9999999999999973</v>
      </c>
      <c r="CN187" s="459">
        <f t="shared" si="263"/>
        <v>3</v>
      </c>
      <c r="CO187" s="461">
        <f t="shared" si="264"/>
        <v>58.999999999999993</v>
      </c>
      <c r="CP187" s="582">
        <f t="shared" si="265"/>
        <v>28.000000000000011</v>
      </c>
      <c r="CQ187" s="113">
        <f t="shared" si="266"/>
        <v>27.000000000000004</v>
      </c>
      <c r="CR187" s="113">
        <f t="shared" si="267"/>
        <v>0</v>
      </c>
      <c r="CS187" s="113">
        <f t="shared" si="268"/>
        <v>1</v>
      </c>
      <c r="CT187" s="460">
        <f t="shared" si="269"/>
        <v>0</v>
      </c>
      <c r="CU187" s="582">
        <f t="shared" si="270"/>
        <v>30.999999999999996</v>
      </c>
      <c r="CV187" s="113">
        <f t="shared" si="271"/>
        <v>22.999999999999989</v>
      </c>
      <c r="CW187" s="113">
        <f t="shared" si="272"/>
        <v>0</v>
      </c>
      <c r="CX187" s="113">
        <f t="shared" si="273"/>
        <v>8</v>
      </c>
      <c r="CY187" s="459">
        <f t="shared" si="274"/>
        <v>0</v>
      </c>
      <c r="CZ187" s="461">
        <f t="shared" si="275"/>
        <v>14.000000000000004</v>
      </c>
      <c r="DA187" s="582">
        <f t="shared" si="276"/>
        <v>1.9999999999999998</v>
      </c>
      <c r="DB187" s="113">
        <f t="shared" si="277"/>
        <v>0</v>
      </c>
      <c r="DC187" s="113">
        <f t="shared" si="278"/>
        <v>0</v>
      </c>
      <c r="DD187" s="113">
        <f t="shared" si="279"/>
        <v>1.9999999999999998</v>
      </c>
      <c r="DE187" s="460">
        <f t="shared" si="280"/>
        <v>0</v>
      </c>
      <c r="DF187" s="582">
        <f t="shared" si="281"/>
        <v>12.000000000000004</v>
      </c>
      <c r="DG187" s="113">
        <f t="shared" si="282"/>
        <v>11.000000000000007</v>
      </c>
      <c r="DH187" s="113">
        <f t="shared" si="283"/>
        <v>0</v>
      </c>
      <c r="DI187" s="113">
        <f t="shared" si="284"/>
        <v>1</v>
      </c>
      <c r="DJ187" s="459">
        <f t="shared" si="285"/>
        <v>0</v>
      </c>
      <c r="DK187" s="461">
        <f t="shared" si="286"/>
        <v>0</v>
      </c>
      <c r="DL187" s="582">
        <f t="shared" si="287"/>
        <v>0</v>
      </c>
      <c r="DM187" s="113">
        <f t="shared" si="288"/>
        <v>0</v>
      </c>
      <c r="DN187" s="113">
        <f t="shared" si="289"/>
        <v>0</v>
      </c>
      <c r="DO187" s="113">
        <f t="shared" si="290"/>
        <v>0</v>
      </c>
      <c r="DP187" s="460">
        <f t="shared" si="291"/>
        <v>0</v>
      </c>
      <c r="DQ187" s="582">
        <f t="shared" si="292"/>
        <v>1</v>
      </c>
      <c r="DR187" s="113">
        <f t="shared" si="293"/>
        <v>1</v>
      </c>
      <c r="DS187" s="113">
        <f t="shared" si="294"/>
        <v>0</v>
      </c>
      <c r="DT187" s="113">
        <f t="shared" si="295"/>
        <v>0</v>
      </c>
      <c r="DU187" s="459">
        <f t="shared" si="296"/>
        <v>0</v>
      </c>
      <c r="DW187" s="461">
        <f t="shared" si="315"/>
        <v>944.00000000000023</v>
      </c>
      <c r="DX187" s="582">
        <f t="shared" si="315"/>
        <v>483</v>
      </c>
      <c r="DY187" s="113">
        <f t="shared" si="314"/>
        <v>420</v>
      </c>
      <c r="DZ187" s="113">
        <f t="shared" si="314"/>
        <v>0</v>
      </c>
      <c r="EA187" s="113">
        <f t="shared" si="314"/>
        <v>63</v>
      </c>
      <c r="EB187" s="460">
        <f t="shared" si="314"/>
        <v>0</v>
      </c>
      <c r="EC187" s="582">
        <f t="shared" si="314"/>
        <v>461.99999999999994</v>
      </c>
      <c r="ED187" s="113">
        <f t="shared" si="314"/>
        <v>318</v>
      </c>
      <c r="EE187" s="113">
        <f t="shared" si="314"/>
        <v>0</v>
      </c>
      <c r="EF187" s="113">
        <f t="shared" si="314"/>
        <v>103.99999999999999</v>
      </c>
      <c r="EG187" s="459">
        <f t="shared" si="314"/>
        <v>40</v>
      </c>
      <c r="EH187" s="461">
        <f t="shared" si="313"/>
        <v>272</v>
      </c>
      <c r="EI187" s="582">
        <f t="shared" si="312"/>
        <v>153</v>
      </c>
      <c r="EJ187" s="113">
        <f t="shared" si="312"/>
        <v>126.99999999999999</v>
      </c>
      <c r="EK187" s="113">
        <f t="shared" si="312"/>
        <v>0</v>
      </c>
      <c r="EL187" s="113">
        <f t="shared" si="312"/>
        <v>25.999999999999979</v>
      </c>
      <c r="EM187" s="460">
        <f t="shared" si="312"/>
        <v>0</v>
      </c>
      <c r="EN187" s="582">
        <f t="shared" si="312"/>
        <v>119.00000000000003</v>
      </c>
      <c r="EO187" s="113">
        <f t="shared" si="312"/>
        <v>75.999999999999986</v>
      </c>
      <c r="EP187" s="113">
        <f t="shared" si="141"/>
        <v>0</v>
      </c>
      <c r="EQ187" s="113">
        <f t="shared" si="141"/>
        <v>31.000000000000011</v>
      </c>
      <c r="ER187" s="459">
        <f t="shared" si="141"/>
        <v>12</v>
      </c>
    </row>
    <row r="188" spans="1:148">
      <c r="A188" s="665" t="s">
        <v>410</v>
      </c>
      <c r="B188" s="665">
        <v>43739</v>
      </c>
      <c r="C188" s="666">
        <v>2019</v>
      </c>
      <c r="D188" s="461">
        <f t="shared" si="311"/>
        <v>2272888</v>
      </c>
      <c r="E188" s="461">
        <f t="shared" si="176"/>
        <v>33064.333333333343</v>
      </c>
      <c r="F188" s="582">
        <f t="shared" si="177"/>
        <v>17315</v>
      </c>
      <c r="G188" s="113">
        <f t="shared" si="178"/>
        <v>14311</v>
      </c>
      <c r="H188" s="113">
        <f t="shared" si="179"/>
        <v>0</v>
      </c>
      <c r="I188" s="113">
        <f t="shared" si="180"/>
        <v>3004.0000000000014</v>
      </c>
      <c r="J188" s="460">
        <f t="shared" si="181"/>
        <v>0</v>
      </c>
      <c r="K188" s="582">
        <f t="shared" si="182"/>
        <v>15749.333333333334</v>
      </c>
      <c r="L188" s="113">
        <f t="shared" si="183"/>
        <v>10743.33333333333</v>
      </c>
      <c r="M188" s="113">
        <f t="shared" si="184"/>
        <v>0</v>
      </c>
      <c r="N188" s="113">
        <f t="shared" si="185"/>
        <v>3526.6666666666665</v>
      </c>
      <c r="O188" s="459">
        <f t="shared" si="186"/>
        <v>1479.3333333333328</v>
      </c>
      <c r="P188" s="461">
        <f t="shared" si="187"/>
        <v>57.333333333333329</v>
      </c>
      <c r="Q188" s="582">
        <f t="shared" si="188"/>
        <v>23.999999999999993</v>
      </c>
      <c r="R188" s="113">
        <f t="shared" si="189"/>
        <v>22.333333333333329</v>
      </c>
      <c r="S188" s="113">
        <f t="shared" si="190"/>
        <v>0</v>
      </c>
      <c r="T188" s="113">
        <f t="shared" si="191"/>
        <v>1.6666666666666665</v>
      </c>
      <c r="U188" s="460">
        <f t="shared" si="192"/>
        <v>0</v>
      </c>
      <c r="V188" s="582">
        <f t="shared" si="193"/>
        <v>33.333333333333336</v>
      </c>
      <c r="W188" s="113">
        <f t="shared" si="194"/>
        <v>22.000000000000011</v>
      </c>
      <c r="X188" s="113">
        <f t="shared" si="195"/>
        <v>0</v>
      </c>
      <c r="Y188" s="113">
        <f t="shared" si="196"/>
        <v>8.3333333333333304</v>
      </c>
      <c r="Z188" s="459">
        <f t="shared" si="197"/>
        <v>3</v>
      </c>
      <c r="AA188" s="461">
        <f t="shared" si="198"/>
        <v>42</v>
      </c>
      <c r="AB188" s="582">
        <f t="shared" si="199"/>
        <v>14.000000000000002</v>
      </c>
      <c r="AC188" s="113">
        <f t="shared" si="200"/>
        <v>10.000000000000002</v>
      </c>
      <c r="AD188" s="113">
        <f t="shared" si="201"/>
        <v>0</v>
      </c>
      <c r="AE188" s="113">
        <f t="shared" si="202"/>
        <v>4</v>
      </c>
      <c r="AF188" s="460">
        <f t="shared" si="203"/>
        <v>0</v>
      </c>
      <c r="AG188" s="582">
        <f t="shared" si="204"/>
        <v>28.000000000000007</v>
      </c>
      <c r="AH188" s="113">
        <f t="shared" si="205"/>
        <v>23.999999999999996</v>
      </c>
      <c r="AI188" s="113">
        <f t="shared" si="206"/>
        <v>0</v>
      </c>
      <c r="AJ188" s="113">
        <f t="shared" si="207"/>
        <v>0</v>
      </c>
      <c r="AK188" s="459">
        <f t="shared" si="208"/>
        <v>4</v>
      </c>
      <c r="AL188" s="461">
        <f t="shared" si="209"/>
        <v>281.66666666666669</v>
      </c>
      <c r="AM188" s="582">
        <f t="shared" si="210"/>
        <v>160</v>
      </c>
      <c r="AN188" s="113">
        <f t="shared" si="211"/>
        <v>133</v>
      </c>
      <c r="AO188" s="113">
        <f t="shared" si="212"/>
        <v>0</v>
      </c>
      <c r="AP188" s="113">
        <f t="shared" si="213"/>
        <v>26.999999999999979</v>
      </c>
      <c r="AQ188" s="460">
        <f t="shared" si="214"/>
        <v>0</v>
      </c>
      <c r="AR188" s="582">
        <f t="shared" si="215"/>
        <v>121.6666666666667</v>
      </c>
      <c r="AS188" s="113">
        <f t="shared" si="216"/>
        <v>77.999999999999986</v>
      </c>
      <c r="AT188" s="113">
        <f t="shared" si="217"/>
        <v>0</v>
      </c>
      <c r="AU188" s="113">
        <f t="shared" si="218"/>
        <v>31.666666666666679</v>
      </c>
      <c r="AV188" s="459">
        <f t="shared" si="219"/>
        <v>12</v>
      </c>
      <c r="AW188" s="461">
        <f t="shared" si="220"/>
        <v>177.33333333333343</v>
      </c>
      <c r="AX188" s="582">
        <f t="shared" si="221"/>
        <v>86.666666666666657</v>
      </c>
      <c r="AY188" s="113">
        <f t="shared" si="222"/>
        <v>75.333333333333314</v>
      </c>
      <c r="AZ188" s="113">
        <f t="shared" si="223"/>
        <v>0</v>
      </c>
      <c r="BA188" s="113">
        <f t="shared" si="224"/>
        <v>11.333333333333334</v>
      </c>
      <c r="BB188" s="460">
        <f t="shared" si="225"/>
        <v>0</v>
      </c>
      <c r="BC188" s="582">
        <f t="shared" si="226"/>
        <v>90.666666666666657</v>
      </c>
      <c r="BD188" s="113">
        <f t="shared" si="227"/>
        <v>69.333333333333329</v>
      </c>
      <c r="BE188" s="113">
        <f t="shared" si="228"/>
        <v>0</v>
      </c>
      <c r="BF188" s="113">
        <f t="shared" si="229"/>
        <v>14.333333333333337</v>
      </c>
      <c r="BG188" s="459">
        <f t="shared" si="230"/>
        <v>6.9999999999999991</v>
      </c>
      <c r="BH188" s="461">
        <f t="shared" si="231"/>
        <v>218.99999999999997</v>
      </c>
      <c r="BI188" s="582">
        <f t="shared" si="232"/>
        <v>127.99999999999999</v>
      </c>
      <c r="BJ188" s="113">
        <f t="shared" si="233"/>
        <v>115.33333333333333</v>
      </c>
      <c r="BK188" s="113">
        <f t="shared" si="234"/>
        <v>0</v>
      </c>
      <c r="BL188" s="113">
        <f t="shared" si="235"/>
        <v>12.666666666666666</v>
      </c>
      <c r="BM188" s="460">
        <f t="shared" si="236"/>
        <v>0</v>
      </c>
      <c r="BN188" s="582">
        <f t="shared" si="237"/>
        <v>91.000000000000014</v>
      </c>
      <c r="BO188" s="113">
        <f t="shared" si="238"/>
        <v>56.666666666666679</v>
      </c>
      <c r="BP188" s="113">
        <f t="shared" si="239"/>
        <v>0</v>
      </c>
      <c r="BQ188" s="113">
        <f t="shared" si="240"/>
        <v>27.333333333333332</v>
      </c>
      <c r="BR188" s="459">
        <f t="shared" si="241"/>
        <v>7</v>
      </c>
      <c r="BS188" s="461">
        <f t="shared" si="242"/>
        <v>320.6666666666668</v>
      </c>
      <c r="BT188" s="582">
        <f t="shared" si="243"/>
        <v>173.33333333333337</v>
      </c>
      <c r="BU188" s="113">
        <f t="shared" si="244"/>
        <v>145</v>
      </c>
      <c r="BV188" s="113">
        <f t="shared" si="245"/>
        <v>0</v>
      </c>
      <c r="BW188" s="113">
        <f t="shared" si="246"/>
        <v>28.333333333333332</v>
      </c>
      <c r="BX188" s="460">
        <f t="shared" si="247"/>
        <v>0</v>
      </c>
      <c r="BY188" s="582">
        <f t="shared" si="248"/>
        <v>147.33333333333329</v>
      </c>
      <c r="BZ188" s="113">
        <f t="shared" si="249"/>
        <v>92.666666666666686</v>
      </c>
      <c r="CA188" s="113">
        <f t="shared" si="250"/>
        <v>0</v>
      </c>
      <c r="CB188" s="113">
        <f t="shared" si="251"/>
        <v>38.66666666666665</v>
      </c>
      <c r="CC188" s="459">
        <f t="shared" si="252"/>
        <v>16</v>
      </c>
      <c r="CD188" s="461">
        <f t="shared" si="253"/>
        <v>80</v>
      </c>
      <c r="CE188" s="582">
        <f t="shared" si="254"/>
        <v>47.333333333333357</v>
      </c>
      <c r="CF188" s="113">
        <f t="shared" si="255"/>
        <v>38</v>
      </c>
      <c r="CG188" s="113">
        <f t="shared" si="256"/>
        <v>0</v>
      </c>
      <c r="CH188" s="113">
        <f t="shared" si="257"/>
        <v>9.3333333333333321</v>
      </c>
      <c r="CI188" s="460">
        <f t="shared" si="258"/>
        <v>0</v>
      </c>
      <c r="CJ188" s="582">
        <f t="shared" si="259"/>
        <v>32.666666666666671</v>
      </c>
      <c r="CK188" s="113">
        <f t="shared" si="260"/>
        <v>21.666666666666661</v>
      </c>
      <c r="CL188" s="113">
        <f t="shared" si="261"/>
        <v>0</v>
      </c>
      <c r="CM188" s="113">
        <f t="shared" si="262"/>
        <v>7.9999999999999973</v>
      </c>
      <c r="CN188" s="459">
        <f t="shared" si="263"/>
        <v>3</v>
      </c>
      <c r="CO188" s="461">
        <f t="shared" si="264"/>
        <v>60.666666666666657</v>
      </c>
      <c r="CP188" s="582">
        <f t="shared" si="265"/>
        <v>29.666666666666679</v>
      </c>
      <c r="CQ188" s="113">
        <f t="shared" si="266"/>
        <v>28.666666666666671</v>
      </c>
      <c r="CR188" s="113">
        <f t="shared" si="267"/>
        <v>0</v>
      </c>
      <c r="CS188" s="113">
        <f t="shared" si="268"/>
        <v>1</v>
      </c>
      <c r="CT188" s="460">
        <f t="shared" si="269"/>
        <v>0</v>
      </c>
      <c r="CU188" s="582">
        <f t="shared" si="270"/>
        <v>30.999999999999996</v>
      </c>
      <c r="CV188" s="113">
        <f t="shared" si="271"/>
        <v>22.999999999999989</v>
      </c>
      <c r="CW188" s="113">
        <f t="shared" si="272"/>
        <v>0</v>
      </c>
      <c r="CX188" s="113">
        <f t="shared" si="273"/>
        <v>8</v>
      </c>
      <c r="CY188" s="459">
        <f t="shared" si="274"/>
        <v>0</v>
      </c>
      <c r="CZ188" s="461">
        <f t="shared" si="275"/>
        <v>14.000000000000004</v>
      </c>
      <c r="DA188" s="582">
        <f t="shared" si="276"/>
        <v>1.9999999999999998</v>
      </c>
      <c r="DB188" s="113">
        <f t="shared" si="277"/>
        <v>0</v>
      </c>
      <c r="DC188" s="113">
        <f t="shared" si="278"/>
        <v>0</v>
      </c>
      <c r="DD188" s="113">
        <f t="shared" si="279"/>
        <v>1.9999999999999998</v>
      </c>
      <c r="DE188" s="460">
        <f t="shared" si="280"/>
        <v>0</v>
      </c>
      <c r="DF188" s="582">
        <f t="shared" si="281"/>
        <v>12.000000000000004</v>
      </c>
      <c r="DG188" s="113">
        <f t="shared" si="282"/>
        <v>11.000000000000007</v>
      </c>
      <c r="DH188" s="113">
        <f t="shared" si="283"/>
        <v>0</v>
      </c>
      <c r="DI188" s="113">
        <f t="shared" si="284"/>
        <v>1</v>
      </c>
      <c r="DJ188" s="459">
        <f t="shared" si="285"/>
        <v>0</v>
      </c>
      <c r="DK188" s="461">
        <f t="shared" si="286"/>
        <v>0</v>
      </c>
      <c r="DL188" s="582">
        <f t="shared" si="287"/>
        <v>0</v>
      </c>
      <c r="DM188" s="113">
        <f t="shared" si="288"/>
        <v>0</v>
      </c>
      <c r="DN188" s="113">
        <f t="shared" si="289"/>
        <v>0</v>
      </c>
      <c r="DO188" s="113">
        <f t="shared" si="290"/>
        <v>0</v>
      </c>
      <c r="DP188" s="460">
        <f t="shared" si="291"/>
        <v>0</v>
      </c>
      <c r="DQ188" s="582">
        <f t="shared" si="292"/>
        <v>1</v>
      </c>
      <c r="DR188" s="113">
        <f t="shared" si="293"/>
        <v>1</v>
      </c>
      <c r="DS188" s="113">
        <f t="shared" si="294"/>
        <v>0</v>
      </c>
      <c r="DT188" s="113">
        <f t="shared" si="295"/>
        <v>0</v>
      </c>
      <c r="DU188" s="459">
        <f t="shared" si="296"/>
        <v>0</v>
      </c>
      <c r="DW188" s="461">
        <f t="shared" si="315"/>
        <v>971.00000000000011</v>
      </c>
      <c r="DX188" s="582">
        <f t="shared" si="315"/>
        <v>505.00000000000006</v>
      </c>
      <c r="DY188" s="113">
        <f t="shared" si="314"/>
        <v>434.66666666666669</v>
      </c>
      <c r="DZ188" s="113">
        <f t="shared" si="314"/>
        <v>0</v>
      </c>
      <c r="EA188" s="113">
        <f t="shared" si="314"/>
        <v>70.333333333333329</v>
      </c>
      <c r="EB188" s="460">
        <f t="shared" si="314"/>
        <v>0</v>
      </c>
      <c r="EC188" s="582">
        <f t="shared" si="314"/>
        <v>466.99999999999994</v>
      </c>
      <c r="ED188" s="113">
        <f t="shared" si="314"/>
        <v>321.33333333333343</v>
      </c>
      <c r="EE188" s="113">
        <f t="shared" si="314"/>
        <v>0</v>
      </c>
      <c r="EF188" s="113">
        <f t="shared" si="314"/>
        <v>105.66666666666666</v>
      </c>
      <c r="EG188" s="459">
        <f t="shared" si="314"/>
        <v>40</v>
      </c>
      <c r="EH188" s="461">
        <f t="shared" si="313"/>
        <v>281.66666666666669</v>
      </c>
      <c r="EI188" s="582">
        <f t="shared" si="312"/>
        <v>160</v>
      </c>
      <c r="EJ188" s="113">
        <f t="shared" si="312"/>
        <v>133</v>
      </c>
      <c r="EK188" s="113">
        <f t="shared" si="312"/>
        <v>0</v>
      </c>
      <c r="EL188" s="113">
        <f t="shared" si="312"/>
        <v>26.999999999999979</v>
      </c>
      <c r="EM188" s="460">
        <f t="shared" si="312"/>
        <v>0</v>
      </c>
      <c r="EN188" s="582">
        <f t="shared" si="312"/>
        <v>121.6666666666667</v>
      </c>
      <c r="EO188" s="113">
        <f t="shared" si="312"/>
        <v>77.999999999999986</v>
      </c>
      <c r="EP188" s="113">
        <f t="shared" si="141"/>
        <v>0</v>
      </c>
      <c r="EQ188" s="113">
        <f t="shared" si="141"/>
        <v>31.666666666666679</v>
      </c>
      <c r="ER188" s="459">
        <f t="shared" si="141"/>
        <v>12</v>
      </c>
    </row>
    <row r="189" spans="1:148">
      <c r="A189" s="665" t="s">
        <v>410</v>
      </c>
      <c r="B189" s="665">
        <v>43770</v>
      </c>
      <c r="C189" s="666">
        <v>2019</v>
      </c>
      <c r="D189" s="461">
        <f t="shared" ref="D189" si="316">D78/3+D188</f>
        <v>2334467</v>
      </c>
      <c r="E189" s="461">
        <f t="shared" ref="E189:E220" si="317">E78/3+E188</f>
        <v>33823.666666666679</v>
      </c>
      <c r="F189" s="582">
        <f t="shared" ref="F189:F220" si="318">F78/3+F188</f>
        <v>17828</v>
      </c>
      <c r="G189" s="113">
        <f t="shared" ref="G189:G220" si="319">G78/3+G188</f>
        <v>14709</v>
      </c>
      <c r="H189" s="113">
        <f t="shared" ref="H189:H220" si="320">H78/3+H188</f>
        <v>0</v>
      </c>
      <c r="I189" s="113">
        <f t="shared" ref="I189:I220" si="321">I78/3+I188</f>
        <v>3119.0000000000014</v>
      </c>
      <c r="J189" s="460">
        <f t="shared" ref="J189:J220" si="322">J78/3+J188</f>
        <v>0</v>
      </c>
      <c r="K189" s="582">
        <f t="shared" ref="K189:K220" si="323">K78/3+K188</f>
        <v>15995.666666666668</v>
      </c>
      <c r="L189" s="113">
        <f t="shared" ref="L189:L220" si="324">L78/3+L188</f>
        <v>10890.666666666664</v>
      </c>
      <c r="M189" s="113">
        <f t="shared" ref="M189:M220" si="325">M78/3+M188</f>
        <v>0</v>
      </c>
      <c r="N189" s="113">
        <f t="shared" ref="N189:N220" si="326">N78/3+N188</f>
        <v>3621.333333333333</v>
      </c>
      <c r="O189" s="459">
        <f t="shared" ref="O189:O220" si="327">O78/3+O188</f>
        <v>1483.6666666666661</v>
      </c>
      <c r="P189" s="461">
        <f t="shared" ref="P189:P220" si="328">P78/3+P188</f>
        <v>59.666666666666664</v>
      </c>
      <c r="Q189" s="582">
        <f t="shared" ref="Q189:Q220" si="329">Q78/3+Q188</f>
        <v>25.999999999999993</v>
      </c>
      <c r="R189" s="113">
        <f t="shared" ref="R189:R220" si="330">R78/3+R188</f>
        <v>23.666666666666661</v>
      </c>
      <c r="S189" s="113">
        <f t="shared" ref="S189:S220" si="331">S78/3+S188</f>
        <v>0</v>
      </c>
      <c r="T189" s="113">
        <f t="shared" ref="T189:T220" si="332">T78/3+T188</f>
        <v>2.333333333333333</v>
      </c>
      <c r="U189" s="460">
        <f t="shared" ref="U189:U220" si="333">U78/3+U188</f>
        <v>0</v>
      </c>
      <c r="V189" s="582">
        <f t="shared" ref="V189:V220" si="334">V78/3+V188</f>
        <v>33.666666666666671</v>
      </c>
      <c r="W189" s="113">
        <f t="shared" ref="W189:W220" si="335">W78/3+W188</f>
        <v>22.000000000000011</v>
      </c>
      <c r="X189" s="113">
        <f t="shared" ref="X189:X220" si="336">X78/3+X188</f>
        <v>0</v>
      </c>
      <c r="Y189" s="113">
        <f t="shared" ref="Y189:Y220" si="337">Y78/3+Y188</f>
        <v>8.6666666666666643</v>
      </c>
      <c r="Z189" s="459">
        <f t="shared" ref="Z189:Z220" si="338">Z78/3+Z188</f>
        <v>3</v>
      </c>
      <c r="AA189" s="461">
        <f t="shared" ref="AA189:AA220" si="339">AA78/3+AA188</f>
        <v>42</v>
      </c>
      <c r="AB189" s="582">
        <f t="shared" ref="AB189:AB220" si="340">AB78/3+AB188</f>
        <v>14.000000000000002</v>
      </c>
      <c r="AC189" s="113">
        <f t="shared" ref="AC189:AC220" si="341">AC78/3+AC188</f>
        <v>10.000000000000002</v>
      </c>
      <c r="AD189" s="113">
        <f t="shared" ref="AD189:AD220" si="342">AD78/3+AD188</f>
        <v>0</v>
      </c>
      <c r="AE189" s="113">
        <f t="shared" ref="AE189:AE220" si="343">AE78/3+AE188</f>
        <v>4</v>
      </c>
      <c r="AF189" s="460">
        <f t="shared" ref="AF189:AF220" si="344">AF78/3+AF188</f>
        <v>0</v>
      </c>
      <c r="AG189" s="582">
        <f t="shared" ref="AG189:AG220" si="345">AG78/3+AG188</f>
        <v>28.000000000000007</v>
      </c>
      <c r="AH189" s="113">
        <f t="shared" ref="AH189:AH220" si="346">AH78/3+AH188</f>
        <v>23.999999999999996</v>
      </c>
      <c r="AI189" s="113">
        <f t="shared" ref="AI189:AI220" si="347">AI78/3+AI188</f>
        <v>0</v>
      </c>
      <c r="AJ189" s="113">
        <f t="shared" ref="AJ189:AJ220" si="348">AJ78/3+AJ188</f>
        <v>0</v>
      </c>
      <c r="AK189" s="459">
        <f t="shared" ref="AK189:AK220" si="349">AK78/3+AK188</f>
        <v>4</v>
      </c>
      <c r="AL189" s="461">
        <f t="shared" ref="AL189:AL220" si="350">AL78/3+AL188</f>
        <v>291.33333333333337</v>
      </c>
      <c r="AM189" s="582">
        <f t="shared" ref="AM189:AM220" si="351">AM78/3+AM188</f>
        <v>167</v>
      </c>
      <c r="AN189" s="113">
        <f t="shared" ref="AN189:AN220" si="352">AN78/3+AN188</f>
        <v>139</v>
      </c>
      <c r="AO189" s="113">
        <f t="shared" ref="AO189:AO220" si="353">AO78/3+AO188</f>
        <v>0</v>
      </c>
      <c r="AP189" s="113">
        <f t="shared" ref="AP189:AP220" si="354">AP78/3+AP188</f>
        <v>27.999999999999979</v>
      </c>
      <c r="AQ189" s="460">
        <f t="shared" ref="AQ189:AQ220" si="355">AQ78/3+AQ188</f>
        <v>0</v>
      </c>
      <c r="AR189" s="582">
        <f t="shared" ref="AR189:AR220" si="356">AR78/3+AR188</f>
        <v>124.33333333333337</v>
      </c>
      <c r="AS189" s="113">
        <f t="shared" ref="AS189:AS220" si="357">AS78/3+AS188</f>
        <v>79.999999999999986</v>
      </c>
      <c r="AT189" s="113">
        <f t="shared" ref="AT189:AT220" si="358">AT78/3+AT188</f>
        <v>0</v>
      </c>
      <c r="AU189" s="113">
        <f t="shared" ref="AU189:AU220" si="359">AU78/3+AU188</f>
        <v>32.333333333333343</v>
      </c>
      <c r="AV189" s="459">
        <f t="shared" ref="AV189:AV220" si="360">AV78/3+AV188</f>
        <v>12</v>
      </c>
      <c r="AW189" s="461">
        <f t="shared" ref="AW189:AW220" si="361">AW78/3+AW188</f>
        <v>180.66666666666677</v>
      </c>
      <c r="AX189" s="582">
        <f t="shared" ref="AX189:AX220" si="362">AX78/3+AX188</f>
        <v>89.333333333333329</v>
      </c>
      <c r="AY189" s="113">
        <f t="shared" ref="AY189:AY220" si="363">AY78/3+AY188</f>
        <v>77.666666666666643</v>
      </c>
      <c r="AZ189" s="113">
        <f t="shared" ref="AZ189:AZ220" si="364">AZ78/3+AZ188</f>
        <v>0</v>
      </c>
      <c r="BA189" s="113">
        <f t="shared" ref="BA189:BA220" si="365">BA78/3+BA188</f>
        <v>11.666666666666668</v>
      </c>
      <c r="BB189" s="460">
        <f t="shared" ref="BB189:BB220" si="366">BB78/3+BB188</f>
        <v>0</v>
      </c>
      <c r="BC189" s="582">
        <f t="shared" ref="BC189:BC220" si="367">BC78/3+BC188</f>
        <v>91.333333333333329</v>
      </c>
      <c r="BD189" s="113">
        <f t="shared" ref="BD189:BD220" si="368">BD78/3+BD188</f>
        <v>69.666666666666657</v>
      </c>
      <c r="BE189" s="113">
        <f t="shared" ref="BE189:BE220" si="369">BE78/3+BE188</f>
        <v>0</v>
      </c>
      <c r="BF189" s="113">
        <f t="shared" ref="BF189:BF220" si="370">BF78/3+BF188</f>
        <v>14.666666666666671</v>
      </c>
      <c r="BG189" s="459">
        <f t="shared" ref="BG189:BG220" si="371">BG78/3+BG188</f>
        <v>6.9999999999999991</v>
      </c>
      <c r="BH189" s="461">
        <f t="shared" ref="BH189:BH220" si="372">BH78/3+BH188</f>
        <v>225.99999999999997</v>
      </c>
      <c r="BI189" s="582">
        <f t="shared" ref="BI189:BI220" si="373">BI78/3+BI188</f>
        <v>134</v>
      </c>
      <c r="BJ189" s="113">
        <f t="shared" ref="BJ189:BJ220" si="374">BJ78/3+BJ188</f>
        <v>119.66666666666666</v>
      </c>
      <c r="BK189" s="113">
        <f t="shared" ref="BK189:BK220" si="375">BK78/3+BK188</f>
        <v>0</v>
      </c>
      <c r="BL189" s="113">
        <f t="shared" ref="BL189:BL220" si="376">BL78/3+BL188</f>
        <v>14.333333333333332</v>
      </c>
      <c r="BM189" s="460">
        <f t="shared" ref="BM189:BM220" si="377">BM78/3+BM188</f>
        <v>0</v>
      </c>
      <c r="BN189" s="582">
        <f t="shared" ref="BN189:BN220" si="378">BN78/3+BN188</f>
        <v>92.000000000000014</v>
      </c>
      <c r="BO189" s="113">
        <f t="shared" ref="BO189:BO220" si="379">BO78/3+BO188</f>
        <v>57.333333333333343</v>
      </c>
      <c r="BP189" s="113">
        <f t="shared" ref="BP189:BP220" si="380">BP78/3+BP188</f>
        <v>0</v>
      </c>
      <c r="BQ189" s="113">
        <f t="shared" ref="BQ189:BQ220" si="381">BQ78/3+BQ188</f>
        <v>27.666666666666664</v>
      </c>
      <c r="BR189" s="459">
        <f t="shared" ref="BR189:BR220" si="382">BR78/3+BR188</f>
        <v>7</v>
      </c>
      <c r="BS189" s="461">
        <f t="shared" ref="BS189:BS220" si="383">BS78/3+BS188</f>
        <v>331.33333333333348</v>
      </c>
      <c r="BT189" s="582">
        <f t="shared" ref="BT189:BT220" si="384">BT78/3+BT188</f>
        <v>181.66666666666671</v>
      </c>
      <c r="BU189" s="113">
        <f t="shared" ref="BU189:BU220" si="385">BU78/3+BU188</f>
        <v>149</v>
      </c>
      <c r="BV189" s="113">
        <f t="shared" ref="BV189:BV220" si="386">BV78/3+BV188</f>
        <v>0</v>
      </c>
      <c r="BW189" s="113">
        <f t="shared" ref="BW189:BW220" si="387">BW78/3+BW188</f>
        <v>32.666666666666664</v>
      </c>
      <c r="BX189" s="460">
        <f t="shared" ref="BX189:BX220" si="388">BX78/3+BX188</f>
        <v>0</v>
      </c>
      <c r="BY189" s="582">
        <f t="shared" ref="BY189:BY220" si="389">BY78/3+BY188</f>
        <v>149.66666666666663</v>
      </c>
      <c r="BZ189" s="113">
        <f t="shared" ref="BZ189:BZ220" si="390">BZ78/3+BZ188</f>
        <v>94.333333333333357</v>
      </c>
      <c r="CA189" s="113">
        <f t="shared" ref="CA189:CA220" si="391">CA78/3+CA188</f>
        <v>0</v>
      </c>
      <c r="CB189" s="113">
        <f t="shared" ref="CB189:CB220" si="392">CB78/3+CB188</f>
        <v>39.333333333333314</v>
      </c>
      <c r="CC189" s="459">
        <f t="shared" ref="CC189:CC220" si="393">CC78/3+CC188</f>
        <v>16</v>
      </c>
      <c r="CD189" s="461">
        <f t="shared" ref="CD189:CD220" si="394">CD78/3+CD188</f>
        <v>82</v>
      </c>
      <c r="CE189" s="582">
        <f t="shared" ref="CE189:CE220" si="395">CE78/3+CE188</f>
        <v>48.666666666666693</v>
      </c>
      <c r="CF189" s="113">
        <f t="shared" ref="CF189:CF220" si="396">CF78/3+CF188</f>
        <v>39</v>
      </c>
      <c r="CG189" s="113">
        <f t="shared" ref="CG189:CG220" si="397">CG78/3+CG188</f>
        <v>0</v>
      </c>
      <c r="CH189" s="113">
        <f t="shared" ref="CH189:CH220" si="398">CH78/3+CH188</f>
        <v>9.6666666666666661</v>
      </c>
      <c r="CI189" s="460">
        <f t="shared" ref="CI189:CI220" si="399">CI78/3+CI188</f>
        <v>0</v>
      </c>
      <c r="CJ189" s="582">
        <f t="shared" ref="CJ189:CJ220" si="400">CJ78/3+CJ188</f>
        <v>33.333333333333336</v>
      </c>
      <c r="CK189" s="113">
        <f t="shared" ref="CK189:CK220" si="401">CK78/3+CK188</f>
        <v>22.333333333333329</v>
      </c>
      <c r="CL189" s="113">
        <f t="shared" ref="CL189:CL220" si="402">CL78/3+CL188</f>
        <v>0</v>
      </c>
      <c r="CM189" s="113">
        <f t="shared" ref="CM189:CM220" si="403">CM78/3+CM188</f>
        <v>7.9999999999999973</v>
      </c>
      <c r="CN189" s="459">
        <f t="shared" ref="CN189:CN220" si="404">CN78/3+CN188</f>
        <v>3</v>
      </c>
      <c r="CO189" s="461">
        <f t="shared" ref="CO189:CO220" si="405">CO78/3+CO188</f>
        <v>62.333333333333321</v>
      </c>
      <c r="CP189" s="582">
        <f t="shared" ref="CP189:CP220" si="406">CP78/3+CP188</f>
        <v>31.333333333333346</v>
      </c>
      <c r="CQ189" s="113">
        <f t="shared" ref="CQ189:CQ220" si="407">CQ78/3+CQ188</f>
        <v>30.333333333333339</v>
      </c>
      <c r="CR189" s="113">
        <f t="shared" ref="CR189:CR220" si="408">CR78/3+CR188</f>
        <v>0</v>
      </c>
      <c r="CS189" s="113">
        <f t="shared" ref="CS189:CS220" si="409">CS78/3+CS188</f>
        <v>1</v>
      </c>
      <c r="CT189" s="460">
        <f t="shared" ref="CT189:CT220" si="410">CT78/3+CT188</f>
        <v>0</v>
      </c>
      <c r="CU189" s="582">
        <f t="shared" ref="CU189:CU220" si="411">CU78/3+CU188</f>
        <v>30.999999999999996</v>
      </c>
      <c r="CV189" s="113">
        <f t="shared" ref="CV189:CV220" si="412">CV78/3+CV188</f>
        <v>22.999999999999989</v>
      </c>
      <c r="CW189" s="113">
        <f t="shared" ref="CW189:CW220" si="413">CW78/3+CW188</f>
        <v>0</v>
      </c>
      <c r="CX189" s="113">
        <f t="shared" ref="CX189:CX220" si="414">CX78/3+CX188</f>
        <v>8</v>
      </c>
      <c r="CY189" s="459">
        <f t="shared" ref="CY189:CY220" si="415">CY78/3+CY188</f>
        <v>0</v>
      </c>
      <c r="CZ189" s="461">
        <f t="shared" ref="CZ189:CZ220" si="416">CZ78/3+CZ188</f>
        <v>14.000000000000004</v>
      </c>
      <c r="DA189" s="582">
        <f t="shared" ref="DA189:DA220" si="417">DA78/3+DA188</f>
        <v>1.9999999999999998</v>
      </c>
      <c r="DB189" s="113">
        <f t="shared" ref="DB189:DB220" si="418">DB78/3+DB188</f>
        <v>0</v>
      </c>
      <c r="DC189" s="113">
        <f t="shared" ref="DC189:DC220" si="419">DC78/3+DC188</f>
        <v>0</v>
      </c>
      <c r="DD189" s="113">
        <f t="shared" ref="DD189:DD220" si="420">DD78/3+DD188</f>
        <v>1.9999999999999998</v>
      </c>
      <c r="DE189" s="460">
        <f t="shared" ref="DE189:DE220" si="421">DE78/3+DE188</f>
        <v>0</v>
      </c>
      <c r="DF189" s="582">
        <f t="shared" ref="DF189:DF220" si="422">DF78/3+DF188</f>
        <v>12.000000000000004</v>
      </c>
      <c r="DG189" s="113">
        <f t="shared" ref="DG189:DG220" si="423">DG78/3+DG188</f>
        <v>11.000000000000007</v>
      </c>
      <c r="DH189" s="113">
        <f t="shared" ref="DH189:DH220" si="424">DH78/3+DH188</f>
        <v>0</v>
      </c>
      <c r="DI189" s="113">
        <f t="shared" ref="DI189:DI220" si="425">DI78/3+DI188</f>
        <v>1</v>
      </c>
      <c r="DJ189" s="459">
        <f t="shared" ref="DJ189:DJ220" si="426">DJ78/3+DJ188</f>
        <v>0</v>
      </c>
      <c r="DK189" s="461">
        <f t="shared" ref="DK189:DK220" si="427">DK78/3+DK188</f>
        <v>0</v>
      </c>
      <c r="DL189" s="582">
        <f t="shared" ref="DL189:DL220" si="428">DL78/3+DL188</f>
        <v>0</v>
      </c>
      <c r="DM189" s="113">
        <f t="shared" ref="DM189:DM220" si="429">DM78/3+DM188</f>
        <v>0</v>
      </c>
      <c r="DN189" s="113">
        <f t="shared" ref="DN189:DN220" si="430">DN78/3+DN188</f>
        <v>0</v>
      </c>
      <c r="DO189" s="113">
        <f t="shared" ref="DO189:DO220" si="431">DO78/3+DO188</f>
        <v>0</v>
      </c>
      <c r="DP189" s="460">
        <f t="shared" ref="DP189:DP220" si="432">DP78/3+DP188</f>
        <v>0</v>
      </c>
      <c r="DQ189" s="582">
        <f t="shared" ref="DQ189:DQ220" si="433">DQ78/3+DQ188</f>
        <v>1</v>
      </c>
      <c r="DR189" s="113">
        <f t="shared" ref="DR189:DR220" si="434">DR78/3+DR188</f>
        <v>1</v>
      </c>
      <c r="DS189" s="113">
        <f t="shared" ref="DS189:DS220" si="435">DS78/3+DS188</f>
        <v>0</v>
      </c>
      <c r="DT189" s="113">
        <f t="shared" ref="DT189:DT220" si="436">DT78/3+DT188</f>
        <v>0</v>
      </c>
      <c r="DU189" s="459">
        <f t="shared" ref="DU189:DU220" si="437">DU78/3+DU188</f>
        <v>0</v>
      </c>
      <c r="DW189" s="461">
        <f t="shared" si="315"/>
        <v>998.00000000000023</v>
      </c>
      <c r="DX189" s="582">
        <f t="shared" si="315"/>
        <v>527</v>
      </c>
      <c r="DY189" s="113">
        <f t="shared" si="314"/>
        <v>449.33333333333331</v>
      </c>
      <c r="DZ189" s="113">
        <f t="shared" si="314"/>
        <v>0</v>
      </c>
      <c r="EA189" s="113">
        <f t="shared" si="314"/>
        <v>77.666666666666671</v>
      </c>
      <c r="EB189" s="460">
        <f t="shared" si="314"/>
        <v>0</v>
      </c>
      <c r="EC189" s="582">
        <f t="shared" si="314"/>
        <v>471.99999999999994</v>
      </c>
      <c r="ED189" s="113">
        <f t="shared" si="314"/>
        <v>324.66666666666669</v>
      </c>
      <c r="EE189" s="113">
        <f t="shared" si="314"/>
        <v>0</v>
      </c>
      <c r="EF189" s="113">
        <f t="shared" si="314"/>
        <v>107.33333333333331</v>
      </c>
      <c r="EG189" s="459">
        <f t="shared" si="314"/>
        <v>40</v>
      </c>
      <c r="EH189" s="461">
        <f t="shared" si="313"/>
        <v>291.33333333333337</v>
      </c>
      <c r="EI189" s="582">
        <f t="shared" si="312"/>
        <v>167</v>
      </c>
      <c r="EJ189" s="113">
        <f t="shared" si="312"/>
        <v>139</v>
      </c>
      <c r="EK189" s="113">
        <f t="shared" si="312"/>
        <v>0</v>
      </c>
      <c r="EL189" s="113">
        <f t="shared" si="312"/>
        <v>27.999999999999979</v>
      </c>
      <c r="EM189" s="460">
        <f t="shared" si="312"/>
        <v>0</v>
      </c>
      <c r="EN189" s="582">
        <f t="shared" si="312"/>
        <v>124.33333333333337</v>
      </c>
      <c r="EO189" s="113">
        <f t="shared" si="312"/>
        <v>79.999999999999986</v>
      </c>
      <c r="EP189" s="113">
        <f t="shared" si="141"/>
        <v>0</v>
      </c>
      <c r="EQ189" s="113">
        <f t="shared" si="141"/>
        <v>32.333333333333343</v>
      </c>
      <c r="ER189" s="459">
        <f t="shared" si="141"/>
        <v>12</v>
      </c>
    </row>
    <row r="190" spans="1:148">
      <c r="A190" s="665" t="s">
        <v>410</v>
      </c>
      <c r="B190" s="665">
        <v>43800</v>
      </c>
      <c r="C190" s="666">
        <v>2019</v>
      </c>
      <c r="D190" s="461">
        <f t="shared" ref="D190" si="438">D79/3+D189</f>
        <v>2396046</v>
      </c>
      <c r="E190" s="461">
        <f t="shared" si="317"/>
        <v>34583.000000000015</v>
      </c>
      <c r="F190" s="582">
        <f t="shared" si="318"/>
        <v>18341</v>
      </c>
      <c r="G190" s="113">
        <f t="shared" si="319"/>
        <v>15107</v>
      </c>
      <c r="H190" s="113">
        <f t="shared" si="320"/>
        <v>0</v>
      </c>
      <c r="I190" s="113">
        <f t="shared" si="321"/>
        <v>3234.0000000000014</v>
      </c>
      <c r="J190" s="460">
        <f t="shared" si="322"/>
        <v>0</v>
      </c>
      <c r="K190" s="582">
        <f t="shared" si="323"/>
        <v>16242.000000000002</v>
      </c>
      <c r="L190" s="113">
        <f t="shared" si="324"/>
        <v>11037.999999999998</v>
      </c>
      <c r="M190" s="113">
        <f t="shared" si="325"/>
        <v>0</v>
      </c>
      <c r="N190" s="113">
        <f t="shared" si="326"/>
        <v>3715.9999999999995</v>
      </c>
      <c r="O190" s="459">
        <f t="shared" si="327"/>
        <v>1487.9999999999993</v>
      </c>
      <c r="P190" s="461">
        <f t="shared" si="328"/>
        <v>62</v>
      </c>
      <c r="Q190" s="582">
        <f t="shared" si="329"/>
        <v>27.999999999999993</v>
      </c>
      <c r="R190" s="113">
        <f t="shared" si="330"/>
        <v>24.999999999999993</v>
      </c>
      <c r="S190" s="113">
        <f t="shared" si="331"/>
        <v>0</v>
      </c>
      <c r="T190" s="113">
        <f t="shared" si="332"/>
        <v>2.9999999999999996</v>
      </c>
      <c r="U190" s="460">
        <f t="shared" si="333"/>
        <v>0</v>
      </c>
      <c r="V190" s="582">
        <f t="shared" si="334"/>
        <v>34.000000000000007</v>
      </c>
      <c r="W190" s="113">
        <f t="shared" si="335"/>
        <v>22.000000000000011</v>
      </c>
      <c r="X190" s="113">
        <f t="shared" si="336"/>
        <v>0</v>
      </c>
      <c r="Y190" s="113">
        <f t="shared" si="337"/>
        <v>8.9999999999999982</v>
      </c>
      <c r="Z190" s="459">
        <f t="shared" si="338"/>
        <v>3</v>
      </c>
      <c r="AA190" s="461">
        <f t="shared" si="339"/>
        <v>42</v>
      </c>
      <c r="AB190" s="582">
        <f t="shared" si="340"/>
        <v>14.000000000000002</v>
      </c>
      <c r="AC190" s="113">
        <f t="shared" si="341"/>
        <v>10.000000000000002</v>
      </c>
      <c r="AD190" s="113">
        <f t="shared" si="342"/>
        <v>0</v>
      </c>
      <c r="AE190" s="113">
        <f t="shared" si="343"/>
        <v>4</v>
      </c>
      <c r="AF190" s="460">
        <f t="shared" si="344"/>
        <v>0</v>
      </c>
      <c r="AG190" s="582">
        <f t="shared" si="345"/>
        <v>28.000000000000007</v>
      </c>
      <c r="AH190" s="113">
        <f t="shared" si="346"/>
        <v>23.999999999999996</v>
      </c>
      <c r="AI190" s="113">
        <f t="shared" si="347"/>
        <v>0</v>
      </c>
      <c r="AJ190" s="113">
        <f t="shared" si="348"/>
        <v>0</v>
      </c>
      <c r="AK190" s="459">
        <f t="shared" si="349"/>
        <v>4</v>
      </c>
      <c r="AL190" s="461">
        <f t="shared" si="350"/>
        <v>301.00000000000006</v>
      </c>
      <c r="AM190" s="582">
        <f t="shared" si="351"/>
        <v>174</v>
      </c>
      <c r="AN190" s="113">
        <f t="shared" si="352"/>
        <v>145</v>
      </c>
      <c r="AO190" s="113">
        <f t="shared" si="353"/>
        <v>0</v>
      </c>
      <c r="AP190" s="113">
        <f t="shared" si="354"/>
        <v>28.999999999999979</v>
      </c>
      <c r="AQ190" s="460">
        <f t="shared" si="355"/>
        <v>0</v>
      </c>
      <c r="AR190" s="582">
        <f t="shared" si="356"/>
        <v>127.00000000000004</v>
      </c>
      <c r="AS190" s="113">
        <f t="shared" si="357"/>
        <v>81.999999999999986</v>
      </c>
      <c r="AT190" s="113">
        <f t="shared" si="358"/>
        <v>0</v>
      </c>
      <c r="AU190" s="113">
        <f t="shared" si="359"/>
        <v>33.000000000000007</v>
      </c>
      <c r="AV190" s="459">
        <f t="shared" si="360"/>
        <v>12</v>
      </c>
      <c r="AW190" s="461">
        <f t="shared" si="361"/>
        <v>184.00000000000011</v>
      </c>
      <c r="AX190" s="582">
        <f t="shared" si="362"/>
        <v>92</v>
      </c>
      <c r="AY190" s="113">
        <f t="shared" si="363"/>
        <v>79.999999999999972</v>
      </c>
      <c r="AZ190" s="113">
        <f t="shared" si="364"/>
        <v>0</v>
      </c>
      <c r="BA190" s="113">
        <f t="shared" si="365"/>
        <v>12.000000000000002</v>
      </c>
      <c r="BB190" s="460">
        <f t="shared" si="366"/>
        <v>0</v>
      </c>
      <c r="BC190" s="582">
        <f t="shared" si="367"/>
        <v>92</v>
      </c>
      <c r="BD190" s="113">
        <f t="shared" si="368"/>
        <v>69.999999999999986</v>
      </c>
      <c r="BE190" s="113">
        <f t="shared" si="369"/>
        <v>0</v>
      </c>
      <c r="BF190" s="113">
        <f t="shared" si="370"/>
        <v>15.000000000000005</v>
      </c>
      <c r="BG190" s="459">
        <f t="shared" si="371"/>
        <v>6.9999999999999991</v>
      </c>
      <c r="BH190" s="461">
        <f t="shared" si="372"/>
        <v>232.99999999999997</v>
      </c>
      <c r="BI190" s="582">
        <f t="shared" si="373"/>
        <v>140</v>
      </c>
      <c r="BJ190" s="113">
        <f t="shared" si="374"/>
        <v>123.99999999999999</v>
      </c>
      <c r="BK190" s="113">
        <f t="shared" si="375"/>
        <v>0</v>
      </c>
      <c r="BL190" s="113">
        <f t="shared" si="376"/>
        <v>15.999999999999998</v>
      </c>
      <c r="BM190" s="460">
        <f t="shared" si="377"/>
        <v>0</v>
      </c>
      <c r="BN190" s="582">
        <f t="shared" si="378"/>
        <v>93.000000000000014</v>
      </c>
      <c r="BO190" s="113">
        <f t="shared" si="379"/>
        <v>58.000000000000007</v>
      </c>
      <c r="BP190" s="113">
        <f t="shared" si="380"/>
        <v>0</v>
      </c>
      <c r="BQ190" s="113">
        <f t="shared" si="381"/>
        <v>27.999999999999996</v>
      </c>
      <c r="BR190" s="459">
        <f t="shared" si="382"/>
        <v>7</v>
      </c>
      <c r="BS190" s="461">
        <f t="shared" si="383"/>
        <v>342.00000000000017</v>
      </c>
      <c r="BT190" s="582">
        <f t="shared" si="384"/>
        <v>190.00000000000006</v>
      </c>
      <c r="BU190" s="113">
        <f t="shared" si="385"/>
        <v>153</v>
      </c>
      <c r="BV190" s="113">
        <f t="shared" si="386"/>
        <v>0</v>
      </c>
      <c r="BW190" s="113">
        <f t="shared" si="387"/>
        <v>37</v>
      </c>
      <c r="BX190" s="460">
        <f t="shared" si="388"/>
        <v>0</v>
      </c>
      <c r="BY190" s="582">
        <f t="shared" si="389"/>
        <v>151.99999999999997</v>
      </c>
      <c r="BZ190" s="113">
        <f t="shared" si="390"/>
        <v>96.000000000000028</v>
      </c>
      <c r="CA190" s="113">
        <f t="shared" si="391"/>
        <v>0</v>
      </c>
      <c r="CB190" s="113">
        <f t="shared" si="392"/>
        <v>39.999999999999979</v>
      </c>
      <c r="CC190" s="459">
        <f t="shared" si="393"/>
        <v>16</v>
      </c>
      <c r="CD190" s="461">
        <f t="shared" si="394"/>
        <v>84</v>
      </c>
      <c r="CE190" s="582">
        <f t="shared" si="395"/>
        <v>50.000000000000028</v>
      </c>
      <c r="CF190" s="113">
        <f t="shared" si="396"/>
        <v>40</v>
      </c>
      <c r="CG190" s="113">
        <f t="shared" si="397"/>
        <v>0</v>
      </c>
      <c r="CH190" s="113">
        <f t="shared" si="398"/>
        <v>10</v>
      </c>
      <c r="CI190" s="460">
        <f t="shared" si="399"/>
        <v>0</v>
      </c>
      <c r="CJ190" s="582">
        <f t="shared" si="400"/>
        <v>34</v>
      </c>
      <c r="CK190" s="113">
        <f t="shared" si="401"/>
        <v>22.999999999999996</v>
      </c>
      <c r="CL190" s="113">
        <f t="shared" si="402"/>
        <v>0</v>
      </c>
      <c r="CM190" s="113">
        <f t="shared" si="403"/>
        <v>7.9999999999999973</v>
      </c>
      <c r="CN190" s="459">
        <f t="shared" si="404"/>
        <v>3</v>
      </c>
      <c r="CO190" s="461">
        <f t="shared" si="405"/>
        <v>63.999999999999986</v>
      </c>
      <c r="CP190" s="582">
        <f t="shared" si="406"/>
        <v>33.000000000000014</v>
      </c>
      <c r="CQ190" s="113">
        <f t="shared" si="407"/>
        <v>32.000000000000007</v>
      </c>
      <c r="CR190" s="113">
        <f t="shared" si="408"/>
        <v>0</v>
      </c>
      <c r="CS190" s="113">
        <f t="shared" si="409"/>
        <v>1</v>
      </c>
      <c r="CT190" s="460">
        <f t="shared" si="410"/>
        <v>0</v>
      </c>
      <c r="CU190" s="582">
        <f t="shared" si="411"/>
        <v>30.999999999999996</v>
      </c>
      <c r="CV190" s="113">
        <f t="shared" si="412"/>
        <v>22.999999999999989</v>
      </c>
      <c r="CW190" s="113">
        <f t="shared" si="413"/>
        <v>0</v>
      </c>
      <c r="CX190" s="113">
        <f t="shared" si="414"/>
        <v>8</v>
      </c>
      <c r="CY190" s="459">
        <f t="shared" si="415"/>
        <v>0</v>
      </c>
      <c r="CZ190" s="461">
        <f t="shared" si="416"/>
        <v>14.000000000000004</v>
      </c>
      <c r="DA190" s="582">
        <f t="shared" si="417"/>
        <v>1.9999999999999998</v>
      </c>
      <c r="DB190" s="113">
        <f t="shared" si="418"/>
        <v>0</v>
      </c>
      <c r="DC190" s="113">
        <f t="shared" si="419"/>
        <v>0</v>
      </c>
      <c r="DD190" s="113">
        <f t="shared" si="420"/>
        <v>1.9999999999999998</v>
      </c>
      <c r="DE190" s="460">
        <f t="shared" si="421"/>
        <v>0</v>
      </c>
      <c r="DF190" s="582">
        <f t="shared" si="422"/>
        <v>12.000000000000004</v>
      </c>
      <c r="DG190" s="113">
        <f t="shared" si="423"/>
        <v>11.000000000000007</v>
      </c>
      <c r="DH190" s="113">
        <f t="shared" si="424"/>
        <v>0</v>
      </c>
      <c r="DI190" s="113">
        <f t="shared" si="425"/>
        <v>1</v>
      </c>
      <c r="DJ190" s="459">
        <f t="shared" si="426"/>
        <v>0</v>
      </c>
      <c r="DK190" s="461">
        <f t="shared" si="427"/>
        <v>0</v>
      </c>
      <c r="DL190" s="582">
        <f t="shared" si="428"/>
        <v>0</v>
      </c>
      <c r="DM190" s="113">
        <f t="shared" si="429"/>
        <v>0</v>
      </c>
      <c r="DN190" s="113">
        <f t="shared" si="430"/>
        <v>0</v>
      </c>
      <c r="DO190" s="113">
        <f t="shared" si="431"/>
        <v>0</v>
      </c>
      <c r="DP190" s="460">
        <f t="shared" si="432"/>
        <v>0</v>
      </c>
      <c r="DQ190" s="582">
        <f t="shared" si="433"/>
        <v>1</v>
      </c>
      <c r="DR190" s="113">
        <f t="shared" si="434"/>
        <v>1</v>
      </c>
      <c r="DS190" s="113">
        <f t="shared" si="435"/>
        <v>0</v>
      </c>
      <c r="DT190" s="113">
        <f t="shared" si="436"/>
        <v>0</v>
      </c>
      <c r="DU190" s="459">
        <f t="shared" si="437"/>
        <v>0</v>
      </c>
      <c r="DW190" s="461">
        <f t="shared" si="315"/>
        <v>1025.0000000000002</v>
      </c>
      <c r="DX190" s="582">
        <f t="shared" si="315"/>
        <v>549.00000000000011</v>
      </c>
      <c r="DY190" s="113">
        <f t="shared" si="314"/>
        <v>463.99999999999994</v>
      </c>
      <c r="DZ190" s="113">
        <f t="shared" si="314"/>
        <v>0</v>
      </c>
      <c r="EA190" s="113">
        <f t="shared" si="314"/>
        <v>85</v>
      </c>
      <c r="EB190" s="460">
        <f t="shared" si="314"/>
        <v>0</v>
      </c>
      <c r="EC190" s="582">
        <f t="shared" si="314"/>
        <v>477</v>
      </c>
      <c r="ED190" s="113">
        <f t="shared" si="314"/>
        <v>328</v>
      </c>
      <c r="EE190" s="113">
        <f t="shared" si="314"/>
        <v>0</v>
      </c>
      <c r="EF190" s="113">
        <f t="shared" si="314"/>
        <v>108.99999999999997</v>
      </c>
      <c r="EG190" s="459">
        <f t="shared" si="314"/>
        <v>40</v>
      </c>
      <c r="EH190" s="461">
        <f t="shared" si="313"/>
        <v>301.00000000000006</v>
      </c>
      <c r="EI190" s="582">
        <f t="shared" si="312"/>
        <v>174</v>
      </c>
      <c r="EJ190" s="113">
        <f t="shared" si="312"/>
        <v>145</v>
      </c>
      <c r="EK190" s="113">
        <f t="shared" si="312"/>
        <v>0</v>
      </c>
      <c r="EL190" s="113">
        <f t="shared" si="312"/>
        <v>28.999999999999979</v>
      </c>
      <c r="EM190" s="460">
        <f t="shared" si="312"/>
        <v>0</v>
      </c>
      <c r="EN190" s="582">
        <f t="shared" si="312"/>
        <v>127.00000000000004</v>
      </c>
      <c r="EO190" s="113">
        <f t="shared" si="312"/>
        <v>81.999999999999986</v>
      </c>
      <c r="EP190" s="113">
        <f t="shared" si="141"/>
        <v>0</v>
      </c>
      <c r="EQ190" s="113">
        <f t="shared" si="141"/>
        <v>33.000000000000007</v>
      </c>
      <c r="ER190" s="459">
        <f t="shared" si="141"/>
        <v>12</v>
      </c>
    </row>
    <row r="191" spans="1:148">
      <c r="A191" s="665" t="s">
        <v>411</v>
      </c>
      <c r="B191" s="665">
        <v>43831</v>
      </c>
      <c r="C191" s="666">
        <v>2020</v>
      </c>
      <c r="D191" s="461">
        <f t="shared" ref="D191" si="439">D80/3+D190</f>
        <v>2442406</v>
      </c>
      <c r="E191" s="461">
        <f t="shared" si="317"/>
        <v>35153.666666666679</v>
      </c>
      <c r="F191" s="582">
        <f t="shared" si="318"/>
        <v>18735.666666666668</v>
      </c>
      <c r="G191" s="113">
        <f t="shared" si="319"/>
        <v>15353.666666666666</v>
      </c>
      <c r="H191" s="113">
        <f t="shared" si="320"/>
        <v>0</v>
      </c>
      <c r="I191" s="113">
        <f t="shared" si="321"/>
        <v>3382.0000000000014</v>
      </c>
      <c r="J191" s="460">
        <f t="shared" si="322"/>
        <v>0</v>
      </c>
      <c r="K191" s="582">
        <f t="shared" si="323"/>
        <v>16418</v>
      </c>
      <c r="L191" s="113">
        <f t="shared" si="324"/>
        <v>11122.333333333332</v>
      </c>
      <c r="M191" s="113">
        <f t="shared" si="325"/>
        <v>0</v>
      </c>
      <c r="N191" s="113">
        <f t="shared" si="326"/>
        <v>3793.9999999999995</v>
      </c>
      <c r="O191" s="459">
        <f t="shared" si="327"/>
        <v>1501.6666666666661</v>
      </c>
      <c r="P191" s="461">
        <f t="shared" si="328"/>
        <v>63</v>
      </c>
      <c r="Q191" s="582">
        <f t="shared" si="329"/>
        <v>28.666666666666661</v>
      </c>
      <c r="R191" s="113">
        <f t="shared" si="330"/>
        <v>24.999999999999993</v>
      </c>
      <c r="S191" s="113">
        <f t="shared" si="331"/>
        <v>0</v>
      </c>
      <c r="T191" s="113">
        <f t="shared" si="332"/>
        <v>3.6666666666666661</v>
      </c>
      <c r="U191" s="460">
        <f t="shared" si="333"/>
        <v>0</v>
      </c>
      <c r="V191" s="582">
        <f t="shared" si="334"/>
        <v>34.333333333333343</v>
      </c>
      <c r="W191" s="113">
        <f t="shared" si="335"/>
        <v>22.000000000000011</v>
      </c>
      <c r="X191" s="113">
        <f t="shared" si="336"/>
        <v>0</v>
      </c>
      <c r="Y191" s="113">
        <f t="shared" si="337"/>
        <v>9.3333333333333321</v>
      </c>
      <c r="Z191" s="459">
        <f t="shared" si="338"/>
        <v>3</v>
      </c>
      <c r="AA191" s="461">
        <f t="shared" si="339"/>
        <v>42.333333333333336</v>
      </c>
      <c r="AB191" s="582">
        <f t="shared" si="340"/>
        <v>14.000000000000002</v>
      </c>
      <c r="AC191" s="113">
        <f t="shared" si="341"/>
        <v>10.000000000000002</v>
      </c>
      <c r="AD191" s="113">
        <f t="shared" si="342"/>
        <v>0</v>
      </c>
      <c r="AE191" s="113">
        <f t="shared" si="343"/>
        <v>4</v>
      </c>
      <c r="AF191" s="460">
        <f t="shared" si="344"/>
        <v>0</v>
      </c>
      <c r="AG191" s="582">
        <f t="shared" si="345"/>
        <v>28.333333333333339</v>
      </c>
      <c r="AH191" s="113">
        <f t="shared" si="346"/>
        <v>23.999999999999996</v>
      </c>
      <c r="AI191" s="113">
        <f t="shared" si="347"/>
        <v>0</v>
      </c>
      <c r="AJ191" s="113">
        <f t="shared" si="348"/>
        <v>0.33333333333333331</v>
      </c>
      <c r="AK191" s="459">
        <f t="shared" si="349"/>
        <v>4</v>
      </c>
      <c r="AL191" s="461">
        <f t="shared" si="350"/>
        <v>306.33333333333337</v>
      </c>
      <c r="AM191" s="582">
        <f t="shared" si="351"/>
        <v>177.33333333333334</v>
      </c>
      <c r="AN191" s="113">
        <f t="shared" si="352"/>
        <v>147.66666666666666</v>
      </c>
      <c r="AO191" s="113">
        <f t="shared" si="353"/>
        <v>0</v>
      </c>
      <c r="AP191" s="113">
        <f t="shared" si="354"/>
        <v>29.666666666666647</v>
      </c>
      <c r="AQ191" s="460">
        <f t="shared" si="355"/>
        <v>0</v>
      </c>
      <c r="AR191" s="582">
        <f t="shared" si="356"/>
        <v>129.00000000000006</v>
      </c>
      <c r="AS191" s="113">
        <f t="shared" si="357"/>
        <v>83.333333333333314</v>
      </c>
      <c r="AT191" s="113">
        <f t="shared" si="358"/>
        <v>0</v>
      </c>
      <c r="AU191" s="113">
        <f t="shared" si="359"/>
        <v>33.333333333333343</v>
      </c>
      <c r="AV191" s="459">
        <f t="shared" si="360"/>
        <v>12.333333333333334</v>
      </c>
      <c r="AW191" s="461">
        <f t="shared" si="361"/>
        <v>188.00000000000011</v>
      </c>
      <c r="AX191" s="582">
        <f t="shared" si="362"/>
        <v>95.333333333333329</v>
      </c>
      <c r="AY191" s="113">
        <f t="shared" si="363"/>
        <v>82.999999999999972</v>
      </c>
      <c r="AZ191" s="113">
        <f t="shared" si="364"/>
        <v>0</v>
      </c>
      <c r="BA191" s="113">
        <f t="shared" si="365"/>
        <v>12.333333333333336</v>
      </c>
      <c r="BB191" s="460">
        <f t="shared" si="366"/>
        <v>0</v>
      </c>
      <c r="BC191" s="582">
        <f t="shared" si="367"/>
        <v>92.666666666666671</v>
      </c>
      <c r="BD191" s="113">
        <f t="shared" si="368"/>
        <v>70.666666666666657</v>
      </c>
      <c r="BE191" s="113">
        <f t="shared" si="369"/>
        <v>0</v>
      </c>
      <c r="BF191" s="113">
        <f t="shared" si="370"/>
        <v>15.000000000000005</v>
      </c>
      <c r="BG191" s="459">
        <f t="shared" si="371"/>
        <v>6.9999999999999991</v>
      </c>
      <c r="BH191" s="461">
        <f t="shared" si="372"/>
        <v>237.33333333333331</v>
      </c>
      <c r="BI191" s="582">
        <f t="shared" si="373"/>
        <v>143.33333333333334</v>
      </c>
      <c r="BJ191" s="113">
        <f t="shared" si="374"/>
        <v>126.33333333333331</v>
      </c>
      <c r="BK191" s="113">
        <f t="shared" si="375"/>
        <v>0</v>
      </c>
      <c r="BL191" s="113">
        <f t="shared" si="376"/>
        <v>17</v>
      </c>
      <c r="BM191" s="460">
        <f t="shared" si="377"/>
        <v>0</v>
      </c>
      <c r="BN191" s="582">
        <f t="shared" si="378"/>
        <v>94.000000000000014</v>
      </c>
      <c r="BO191" s="113">
        <f t="shared" si="379"/>
        <v>58.000000000000007</v>
      </c>
      <c r="BP191" s="113">
        <f t="shared" si="380"/>
        <v>0</v>
      </c>
      <c r="BQ191" s="113">
        <f t="shared" si="381"/>
        <v>28.666666666666664</v>
      </c>
      <c r="BR191" s="459">
        <f t="shared" si="382"/>
        <v>7.333333333333333</v>
      </c>
      <c r="BS191" s="461">
        <f t="shared" si="383"/>
        <v>349.33333333333348</v>
      </c>
      <c r="BT191" s="582">
        <f t="shared" si="384"/>
        <v>194.00000000000006</v>
      </c>
      <c r="BU191" s="113">
        <f t="shared" si="385"/>
        <v>155.66666666666666</v>
      </c>
      <c r="BV191" s="113">
        <f t="shared" si="386"/>
        <v>0</v>
      </c>
      <c r="BW191" s="113">
        <f t="shared" si="387"/>
        <v>38.333333333333336</v>
      </c>
      <c r="BX191" s="460">
        <f t="shared" si="388"/>
        <v>0</v>
      </c>
      <c r="BY191" s="582">
        <f t="shared" si="389"/>
        <v>155.33333333333331</v>
      </c>
      <c r="BZ191" s="113">
        <f t="shared" si="390"/>
        <v>96.6666666666667</v>
      </c>
      <c r="CA191" s="113">
        <f t="shared" si="391"/>
        <v>0</v>
      </c>
      <c r="CB191" s="113">
        <f t="shared" si="392"/>
        <v>42.666666666666643</v>
      </c>
      <c r="CC191" s="459">
        <f t="shared" si="393"/>
        <v>16</v>
      </c>
      <c r="CD191" s="461">
        <f t="shared" si="394"/>
        <v>84.666666666666671</v>
      </c>
      <c r="CE191" s="582">
        <f t="shared" si="395"/>
        <v>50.000000000000028</v>
      </c>
      <c r="CF191" s="113">
        <f t="shared" si="396"/>
        <v>40</v>
      </c>
      <c r="CG191" s="113">
        <f t="shared" si="397"/>
        <v>0</v>
      </c>
      <c r="CH191" s="113">
        <f t="shared" si="398"/>
        <v>10</v>
      </c>
      <c r="CI191" s="460">
        <f t="shared" si="399"/>
        <v>0</v>
      </c>
      <c r="CJ191" s="582">
        <f t="shared" si="400"/>
        <v>34.666666666666664</v>
      </c>
      <c r="CK191" s="113">
        <f t="shared" si="401"/>
        <v>23.666666666666664</v>
      </c>
      <c r="CL191" s="113">
        <f t="shared" si="402"/>
        <v>0</v>
      </c>
      <c r="CM191" s="113">
        <f t="shared" si="403"/>
        <v>7.9999999999999973</v>
      </c>
      <c r="CN191" s="459">
        <f t="shared" si="404"/>
        <v>3</v>
      </c>
      <c r="CO191" s="461">
        <f t="shared" si="405"/>
        <v>64.333333333333314</v>
      </c>
      <c r="CP191" s="582">
        <f t="shared" si="406"/>
        <v>33.33333333333335</v>
      </c>
      <c r="CQ191" s="113">
        <f t="shared" si="407"/>
        <v>32.333333333333343</v>
      </c>
      <c r="CR191" s="113">
        <f t="shared" si="408"/>
        <v>0</v>
      </c>
      <c r="CS191" s="113">
        <f t="shared" si="409"/>
        <v>1</v>
      </c>
      <c r="CT191" s="460">
        <f t="shared" si="410"/>
        <v>0</v>
      </c>
      <c r="CU191" s="582">
        <f t="shared" si="411"/>
        <v>30.999999999999996</v>
      </c>
      <c r="CV191" s="113">
        <f t="shared" si="412"/>
        <v>22.999999999999989</v>
      </c>
      <c r="CW191" s="113">
        <f t="shared" si="413"/>
        <v>0</v>
      </c>
      <c r="CX191" s="113">
        <f t="shared" si="414"/>
        <v>8</v>
      </c>
      <c r="CY191" s="459">
        <f t="shared" si="415"/>
        <v>0</v>
      </c>
      <c r="CZ191" s="461">
        <f t="shared" si="416"/>
        <v>14.333333333333337</v>
      </c>
      <c r="DA191" s="582">
        <f t="shared" si="417"/>
        <v>2.333333333333333</v>
      </c>
      <c r="DB191" s="113">
        <f t="shared" si="418"/>
        <v>0</v>
      </c>
      <c r="DC191" s="113">
        <f t="shared" si="419"/>
        <v>0</v>
      </c>
      <c r="DD191" s="113">
        <f t="shared" si="420"/>
        <v>2.333333333333333</v>
      </c>
      <c r="DE191" s="460">
        <f t="shared" si="421"/>
        <v>0</v>
      </c>
      <c r="DF191" s="582">
        <f t="shared" si="422"/>
        <v>12.000000000000004</v>
      </c>
      <c r="DG191" s="113">
        <f t="shared" si="423"/>
        <v>11.000000000000007</v>
      </c>
      <c r="DH191" s="113">
        <f t="shared" si="424"/>
        <v>0</v>
      </c>
      <c r="DI191" s="113">
        <f t="shared" si="425"/>
        <v>1</v>
      </c>
      <c r="DJ191" s="459">
        <f t="shared" si="426"/>
        <v>0</v>
      </c>
      <c r="DK191" s="461">
        <f t="shared" si="427"/>
        <v>0</v>
      </c>
      <c r="DL191" s="582">
        <f t="shared" si="428"/>
        <v>0</v>
      </c>
      <c r="DM191" s="113">
        <f t="shared" si="429"/>
        <v>0</v>
      </c>
      <c r="DN191" s="113">
        <f t="shared" si="430"/>
        <v>0</v>
      </c>
      <c r="DO191" s="113">
        <f t="shared" si="431"/>
        <v>0</v>
      </c>
      <c r="DP191" s="460">
        <f t="shared" si="432"/>
        <v>0</v>
      </c>
      <c r="DQ191" s="582">
        <f t="shared" si="433"/>
        <v>1</v>
      </c>
      <c r="DR191" s="113">
        <f t="shared" si="434"/>
        <v>1</v>
      </c>
      <c r="DS191" s="113">
        <f t="shared" si="435"/>
        <v>0</v>
      </c>
      <c r="DT191" s="113">
        <f t="shared" si="436"/>
        <v>0</v>
      </c>
      <c r="DU191" s="459">
        <f t="shared" si="437"/>
        <v>0</v>
      </c>
      <c r="DW191" s="461">
        <f t="shared" si="315"/>
        <v>1043.3333333333335</v>
      </c>
      <c r="DX191" s="582">
        <f t="shared" si="315"/>
        <v>561.00000000000023</v>
      </c>
      <c r="DY191" s="113">
        <f t="shared" si="314"/>
        <v>472.33333333333326</v>
      </c>
      <c r="DZ191" s="113">
        <f t="shared" si="314"/>
        <v>0</v>
      </c>
      <c r="EA191" s="113">
        <f t="shared" si="314"/>
        <v>88.666666666666671</v>
      </c>
      <c r="EB191" s="460">
        <f t="shared" si="314"/>
        <v>0</v>
      </c>
      <c r="EC191" s="582">
        <f t="shared" si="314"/>
        <v>483.33333333333337</v>
      </c>
      <c r="ED191" s="113">
        <f t="shared" si="314"/>
        <v>330.00000000000006</v>
      </c>
      <c r="EE191" s="113">
        <f t="shared" si="314"/>
        <v>0</v>
      </c>
      <c r="EF191" s="113">
        <f t="shared" si="314"/>
        <v>112.99999999999997</v>
      </c>
      <c r="EG191" s="459">
        <f t="shared" si="314"/>
        <v>40.333333333333329</v>
      </c>
      <c r="EH191" s="461">
        <f t="shared" si="313"/>
        <v>306.33333333333337</v>
      </c>
      <c r="EI191" s="582">
        <f t="shared" si="312"/>
        <v>177.33333333333334</v>
      </c>
      <c r="EJ191" s="113">
        <f t="shared" si="312"/>
        <v>147.66666666666666</v>
      </c>
      <c r="EK191" s="113">
        <f t="shared" si="312"/>
        <v>0</v>
      </c>
      <c r="EL191" s="113">
        <f t="shared" si="312"/>
        <v>29.666666666666647</v>
      </c>
      <c r="EM191" s="460">
        <f t="shared" si="312"/>
        <v>0</v>
      </c>
      <c r="EN191" s="582">
        <f t="shared" si="312"/>
        <v>129.00000000000006</v>
      </c>
      <c r="EO191" s="113">
        <f t="shared" si="312"/>
        <v>83.333333333333314</v>
      </c>
      <c r="EP191" s="113">
        <f t="shared" si="141"/>
        <v>0</v>
      </c>
      <c r="EQ191" s="113">
        <f t="shared" si="141"/>
        <v>33.333333333333343</v>
      </c>
      <c r="ER191" s="459">
        <f t="shared" si="141"/>
        <v>12.333333333333334</v>
      </c>
    </row>
    <row r="192" spans="1:148">
      <c r="A192" s="665" t="s">
        <v>411</v>
      </c>
      <c r="B192" s="665">
        <v>43862</v>
      </c>
      <c r="C192" s="666">
        <v>2020</v>
      </c>
      <c r="D192" s="461">
        <f t="shared" ref="D192" si="440">D81/3+D191</f>
        <v>2488766</v>
      </c>
      <c r="E192" s="461">
        <f t="shared" si="317"/>
        <v>35724.333333333343</v>
      </c>
      <c r="F192" s="582">
        <f t="shared" si="318"/>
        <v>19130.333333333336</v>
      </c>
      <c r="G192" s="113">
        <f t="shared" si="319"/>
        <v>15600.333333333332</v>
      </c>
      <c r="H192" s="113">
        <f t="shared" si="320"/>
        <v>0</v>
      </c>
      <c r="I192" s="113">
        <f t="shared" si="321"/>
        <v>3530.0000000000014</v>
      </c>
      <c r="J192" s="460">
        <f t="shared" si="322"/>
        <v>0</v>
      </c>
      <c r="K192" s="582">
        <f t="shared" si="323"/>
        <v>16594</v>
      </c>
      <c r="L192" s="113">
        <f t="shared" si="324"/>
        <v>11206.666666666666</v>
      </c>
      <c r="M192" s="113">
        <f t="shared" si="325"/>
        <v>0</v>
      </c>
      <c r="N192" s="113">
        <f t="shared" si="326"/>
        <v>3871.9999999999995</v>
      </c>
      <c r="O192" s="459">
        <f t="shared" si="327"/>
        <v>1515.3333333333328</v>
      </c>
      <c r="P192" s="461">
        <f t="shared" si="328"/>
        <v>64</v>
      </c>
      <c r="Q192" s="582">
        <f t="shared" si="329"/>
        <v>29.333333333333329</v>
      </c>
      <c r="R192" s="113">
        <f t="shared" si="330"/>
        <v>24.999999999999993</v>
      </c>
      <c r="S192" s="113">
        <f t="shared" si="331"/>
        <v>0</v>
      </c>
      <c r="T192" s="113">
        <f t="shared" si="332"/>
        <v>4.333333333333333</v>
      </c>
      <c r="U192" s="460">
        <f t="shared" si="333"/>
        <v>0</v>
      </c>
      <c r="V192" s="582">
        <f t="shared" si="334"/>
        <v>34.666666666666679</v>
      </c>
      <c r="W192" s="113">
        <f t="shared" si="335"/>
        <v>22.000000000000011</v>
      </c>
      <c r="X192" s="113">
        <f t="shared" si="336"/>
        <v>0</v>
      </c>
      <c r="Y192" s="113">
        <f t="shared" si="337"/>
        <v>9.6666666666666661</v>
      </c>
      <c r="Z192" s="459">
        <f t="shared" si="338"/>
        <v>3</v>
      </c>
      <c r="AA192" s="461">
        <f t="shared" si="339"/>
        <v>42.666666666666671</v>
      </c>
      <c r="AB192" s="582">
        <f t="shared" si="340"/>
        <v>14.000000000000002</v>
      </c>
      <c r="AC192" s="113">
        <f t="shared" si="341"/>
        <v>10.000000000000002</v>
      </c>
      <c r="AD192" s="113">
        <f t="shared" si="342"/>
        <v>0</v>
      </c>
      <c r="AE192" s="113">
        <f t="shared" si="343"/>
        <v>4</v>
      </c>
      <c r="AF192" s="460">
        <f t="shared" si="344"/>
        <v>0</v>
      </c>
      <c r="AG192" s="582">
        <f t="shared" si="345"/>
        <v>28.666666666666671</v>
      </c>
      <c r="AH192" s="113">
        <f t="shared" si="346"/>
        <v>23.999999999999996</v>
      </c>
      <c r="AI192" s="113">
        <f t="shared" si="347"/>
        <v>0</v>
      </c>
      <c r="AJ192" s="113">
        <f t="shared" si="348"/>
        <v>0.66666666666666663</v>
      </c>
      <c r="AK192" s="459">
        <f t="shared" si="349"/>
        <v>4</v>
      </c>
      <c r="AL192" s="461">
        <f t="shared" si="350"/>
        <v>311.66666666666669</v>
      </c>
      <c r="AM192" s="582">
        <f t="shared" si="351"/>
        <v>180.66666666666669</v>
      </c>
      <c r="AN192" s="113">
        <f t="shared" si="352"/>
        <v>150.33333333333331</v>
      </c>
      <c r="AO192" s="113">
        <f t="shared" si="353"/>
        <v>0</v>
      </c>
      <c r="AP192" s="113">
        <f t="shared" si="354"/>
        <v>30.333333333333314</v>
      </c>
      <c r="AQ192" s="460">
        <f t="shared" si="355"/>
        <v>0</v>
      </c>
      <c r="AR192" s="582">
        <f t="shared" si="356"/>
        <v>131.00000000000006</v>
      </c>
      <c r="AS192" s="113">
        <f t="shared" si="357"/>
        <v>84.666666666666643</v>
      </c>
      <c r="AT192" s="113">
        <f t="shared" si="358"/>
        <v>0</v>
      </c>
      <c r="AU192" s="113">
        <f t="shared" si="359"/>
        <v>33.666666666666679</v>
      </c>
      <c r="AV192" s="459">
        <f t="shared" si="360"/>
        <v>12.666666666666668</v>
      </c>
      <c r="AW192" s="461">
        <f t="shared" si="361"/>
        <v>192.00000000000011</v>
      </c>
      <c r="AX192" s="582">
        <f t="shared" si="362"/>
        <v>98.666666666666657</v>
      </c>
      <c r="AY192" s="113">
        <f t="shared" si="363"/>
        <v>85.999999999999972</v>
      </c>
      <c r="AZ192" s="113">
        <f t="shared" si="364"/>
        <v>0</v>
      </c>
      <c r="BA192" s="113">
        <f t="shared" si="365"/>
        <v>12.66666666666667</v>
      </c>
      <c r="BB192" s="460">
        <f t="shared" si="366"/>
        <v>0</v>
      </c>
      <c r="BC192" s="582">
        <f t="shared" si="367"/>
        <v>93.333333333333343</v>
      </c>
      <c r="BD192" s="113">
        <f t="shared" si="368"/>
        <v>71.333333333333329</v>
      </c>
      <c r="BE192" s="113">
        <f t="shared" si="369"/>
        <v>0</v>
      </c>
      <c r="BF192" s="113">
        <f t="shared" si="370"/>
        <v>15.000000000000005</v>
      </c>
      <c r="BG192" s="459">
        <f t="shared" si="371"/>
        <v>6.9999999999999991</v>
      </c>
      <c r="BH192" s="461">
        <f t="shared" si="372"/>
        <v>241.66666666666666</v>
      </c>
      <c r="BI192" s="582">
        <f t="shared" si="373"/>
        <v>146.66666666666669</v>
      </c>
      <c r="BJ192" s="113">
        <f t="shared" si="374"/>
        <v>128.66666666666666</v>
      </c>
      <c r="BK192" s="113">
        <f t="shared" si="375"/>
        <v>0</v>
      </c>
      <c r="BL192" s="113">
        <f t="shared" si="376"/>
        <v>18</v>
      </c>
      <c r="BM192" s="460">
        <f t="shared" si="377"/>
        <v>0</v>
      </c>
      <c r="BN192" s="582">
        <f t="shared" si="378"/>
        <v>95.000000000000014</v>
      </c>
      <c r="BO192" s="113">
        <f t="shared" si="379"/>
        <v>58.000000000000007</v>
      </c>
      <c r="BP192" s="113">
        <f t="shared" si="380"/>
        <v>0</v>
      </c>
      <c r="BQ192" s="113">
        <f t="shared" si="381"/>
        <v>29.333333333333332</v>
      </c>
      <c r="BR192" s="459">
        <f t="shared" si="382"/>
        <v>7.6666666666666661</v>
      </c>
      <c r="BS192" s="461">
        <f t="shared" si="383"/>
        <v>356.6666666666668</v>
      </c>
      <c r="BT192" s="582">
        <f t="shared" si="384"/>
        <v>198.00000000000006</v>
      </c>
      <c r="BU192" s="113">
        <f t="shared" si="385"/>
        <v>158.33333333333331</v>
      </c>
      <c r="BV192" s="113">
        <f t="shared" si="386"/>
        <v>0</v>
      </c>
      <c r="BW192" s="113">
        <f t="shared" si="387"/>
        <v>39.666666666666671</v>
      </c>
      <c r="BX192" s="460">
        <f t="shared" si="388"/>
        <v>0</v>
      </c>
      <c r="BY192" s="582">
        <f t="shared" si="389"/>
        <v>158.66666666666666</v>
      </c>
      <c r="BZ192" s="113">
        <f t="shared" si="390"/>
        <v>97.333333333333371</v>
      </c>
      <c r="CA192" s="113">
        <f t="shared" si="391"/>
        <v>0</v>
      </c>
      <c r="CB192" s="113">
        <f t="shared" si="392"/>
        <v>45.333333333333307</v>
      </c>
      <c r="CC192" s="459">
        <f t="shared" si="393"/>
        <v>16</v>
      </c>
      <c r="CD192" s="461">
        <f t="shared" si="394"/>
        <v>85.333333333333343</v>
      </c>
      <c r="CE192" s="582">
        <f t="shared" si="395"/>
        <v>50.000000000000028</v>
      </c>
      <c r="CF192" s="113">
        <f t="shared" si="396"/>
        <v>40</v>
      </c>
      <c r="CG192" s="113">
        <f t="shared" si="397"/>
        <v>0</v>
      </c>
      <c r="CH192" s="113">
        <f t="shared" si="398"/>
        <v>10</v>
      </c>
      <c r="CI192" s="460">
        <f t="shared" si="399"/>
        <v>0</v>
      </c>
      <c r="CJ192" s="582">
        <f t="shared" si="400"/>
        <v>35.333333333333329</v>
      </c>
      <c r="CK192" s="113">
        <f t="shared" si="401"/>
        <v>24.333333333333332</v>
      </c>
      <c r="CL192" s="113">
        <f t="shared" si="402"/>
        <v>0</v>
      </c>
      <c r="CM192" s="113">
        <f t="shared" si="403"/>
        <v>7.9999999999999973</v>
      </c>
      <c r="CN192" s="459">
        <f t="shared" si="404"/>
        <v>3</v>
      </c>
      <c r="CO192" s="461">
        <f t="shared" si="405"/>
        <v>64.666666666666643</v>
      </c>
      <c r="CP192" s="582">
        <f t="shared" si="406"/>
        <v>33.666666666666686</v>
      </c>
      <c r="CQ192" s="113">
        <f t="shared" si="407"/>
        <v>32.666666666666679</v>
      </c>
      <c r="CR192" s="113">
        <f t="shared" si="408"/>
        <v>0</v>
      </c>
      <c r="CS192" s="113">
        <f t="shared" si="409"/>
        <v>1</v>
      </c>
      <c r="CT192" s="460">
        <f t="shared" si="410"/>
        <v>0</v>
      </c>
      <c r="CU192" s="582">
        <f t="shared" si="411"/>
        <v>30.999999999999996</v>
      </c>
      <c r="CV192" s="113">
        <f t="shared" si="412"/>
        <v>22.999999999999989</v>
      </c>
      <c r="CW192" s="113">
        <f t="shared" si="413"/>
        <v>0</v>
      </c>
      <c r="CX192" s="113">
        <f t="shared" si="414"/>
        <v>8</v>
      </c>
      <c r="CY192" s="459">
        <f t="shared" si="415"/>
        <v>0</v>
      </c>
      <c r="CZ192" s="461">
        <f t="shared" si="416"/>
        <v>14.666666666666671</v>
      </c>
      <c r="DA192" s="582">
        <f t="shared" si="417"/>
        <v>2.6666666666666665</v>
      </c>
      <c r="DB192" s="113">
        <f t="shared" si="418"/>
        <v>0</v>
      </c>
      <c r="DC192" s="113">
        <f t="shared" si="419"/>
        <v>0</v>
      </c>
      <c r="DD192" s="113">
        <f t="shared" si="420"/>
        <v>2.6666666666666665</v>
      </c>
      <c r="DE192" s="460">
        <f t="shared" si="421"/>
        <v>0</v>
      </c>
      <c r="DF192" s="582">
        <f t="shared" si="422"/>
        <v>12.000000000000004</v>
      </c>
      <c r="DG192" s="113">
        <f t="shared" si="423"/>
        <v>11.000000000000007</v>
      </c>
      <c r="DH192" s="113">
        <f t="shared" si="424"/>
        <v>0</v>
      </c>
      <c r="DI192" s="113">
        <f t="shared" si="425"/>
        <v>1</v>
      </c>
      <c r="DJ192" s="459">
        <f t="shared" si="426"/>
        <v>0</v>
      </c>
      <c r="DK192" s="461">
        <f t="shared" si="427"/>
        <v>0</v>
      </c>
      <c r="DL192" s="582">
        <f t="shared" si="428"/>
        <v>0</v>
      </c>
      <c r="DM192" s="113">
        <f t="shared" si="429"/>
        <v>0</v>
      </c>
      <c r="DN192" s="113">
        <f t="shared" si="430"/>
        <v>0</v>
      </c>
      <c r="DO192" s="113">
        <f t="shared" si="431"/>
        <v>0</v>
      </c>
      <c r="DP192" s="460">
        <f t="shared" si="432"/>
        <v>0</v>
      </c>
      <c r="DQ192" s="582">
        <f t="shared" si="433"/>
        <v>1</v>
      </c>
      <c r="DR192" s="113">
        <f t="shared" si="434"/>
        <v>1</v>
      </c>
      <c r="DS192" s="113">
        <f t="shared" si="435"/>
        <v>0</v>
      </c>
      <c r="DT192" s="113">
        <f t="shared" si="436"/>
        <v>0</v>
      </c>
      <c r="DU192" s="459">
        <f t="shared" si="437"/>
        <v>0</v>
      </c>
      <c r="DW192" s="461">
        <f t="shared" si="315"/>
        <v>1061.666666666667</v>
      </c>
      <c r="DX192" s="582">
        <f t="shared" si="315"/>
        <v>573.00000000000011</v>
      </c>
      <c r="DY192" s="113">
        <f t="shared" si="314"/>
        <v>480.66666666666663</v>
      </c>
      <c r="DZ192" s="113">
        <f t="shared" si="314"/>
        <v>0</v>
      </c>
      <c r="EA192" s="113">
        <f t="shared" si="314"/>
        <v>92.333333333333343</v>
      </c>
      <c r="EB192" s="460">
        <f t="shared" si="314"/>
        <v>0</v>
      </c>
      <c r="EC192" s="582">
        <f t="shared" si="314"/>
        <v>489.66666666666669</v>
      </c>
      <c r="ED192" s="113">
        <f t="shared" si="314"/>
        <v>332.00000000000006</v>
      </c>
      <c r="EE192" s="113">
        <f t="shared" si="314"/>
        <v>0</v>
      </c>
      <c r="EF192" s="113">
        <f t="shared" si="314"/>
        <v>116.99999999999997</v>
      </c>
      <c r="EG192" s="459">
        <f t="shared" si="314"/>
        <v>40.666666666666664</v>
      </c>
      <c r="EH192" s="461">
        <f t="shared" si="313"/>
        <v>311.66666666666669</v>
      </c>
      <c r="EI192" s="582">
        <f t="shared" si="312"/>
        <v>180.66666666666669</v>
      </c>
      <c r="EJ192" s="113">
        <f t="shared" si="312"/>
        <v>150.33333333333331</v>
      </c>
      <c r="EK192" s="113">
        <f t="shared" si="312"/>
        <v>0</v>
      </c>
      <c r="EL192" s="113">
        <f t="shared" si="312"/>
        <v>30.333333333333314</v>
      </c>
      <c r="EM192" s="460">
        <f t="shared" si="312"/>
        <v>0</v>
      </c>
      <c r="EN192" s="582">
        <f t="shared" si="312"/>
        <v>131.00000000000006</v>
      </c>
      <c r="EO192" s="113">
        <f t="shared" si="312"/>
        <v>84.666666666666643</v>
      </c>
      <c r="EP192" s="113">
        <f t="shared" si="141"/>
        <v>0</v>
      </c>
      <c r="EQ192" s="113">
        <f t="shared" si="141"/>
        <v>33.666666666666679</v>
      </c>
      <c r="ER192" s="459">
        <f t="shared" si="141"/>
        <v>12.666666666666668</v>
      </c>
    </row>
    <row r="193" spans="1:148">
      <c r="A193" s="665" t="s">
        <v>411</v>
      </c>
      <c r="B193" s="665">
        <v>43891</v>
      </c>
      <c r="C193" s="666">
        <v>2020</v>
      </c>
      <c r="D193" s="461">
        <f t="shared" ref="D193" si="441">D82/3+D192</f>
        <v>2535126</v>
      </c>
      <c r="E193" s="461">
        <f t="shared" si="317"/>
        <v>36295.000000000007</v>
      </c>
      <c r="F193" s="582">
        <f t="shared" si="318"/>
        <v>19525.000000000004</v>
      </c>
      <c r="G193" s="113">
        <f t="shared" si="319"/>
        <v>15846.999999999998</v>
      </c>
      <c r="H193" s="113">
        <f t="shared" si="320"/>
        <v>0</v>
      </c>
      <c r="I193" s="113">
        <f t="shared" si="321"/>
        <v>3678.0000000000014</v>
      </c>
      <c r="J193" s="460">
        <f t="shared" si="322"/>
        <v>0</v>
      </c>
      <c r="K193" s="582">
        <f t="shared" si="323"/>
        <v>16770</v>
      </c>
      <c r="L193" s="113">
        <f t="shared" si="324"/>
        <v>11291</v>
      </c>
      <c r="M193" s="113">
        <f t="shared" si="325"/>
        <v>0</v>
      </c>
      <c r="N193" s="113">
        <f t="shared" si="326"/>
        <v>3949.9999999999995</v>
      </c>
      <c r="O193" s="459">
        <f t="shared" si="327"/>
        <v>1528.9999999999995</v>
      </c>
      <c r="P193" s="461">
        <f t="shared" si="328"/>
        <v>65</v>
      </c>
      <c r="Q193" s="582">
        <f t="shared" si="329"/>
        <v>29.999999999999996</v>
      </c>
      <c r="R193" s="113">
        <f t="shared" si="330"/>
        <v>24.999999999999993</v>
      </c>
      <c r="S193" s="113">
        <f t="shared" si="331"/>
        <v>0</v>
      </c>
      <c r="T193" s="113">
        <f t="shared" si="332"/>
        <v>5</v>
      </c>
      <c r="U193" s="460">
        <f t="shared" si="333"/>
        <v>0</v>
      </c>
      <c r="V193" s="582">
        <f t="shared" si="334"/>
        <v>35.000000000000014</v>
      </c>
      <c r="W193" s="113">
        <f t="shared" si="335"/>
        <v>22.000000000000011</v>
      </c>
      <c r="X193" s="113">
        <f t="shared" si="336"/>
        <v>0</v>
      </c>
      <c r="Y193" s="113">
        <f t="shared" si="337"/>
        <v>10</v>
      </c>
      <c r="Z193" s="459">
        <f t="shared" si="338"/>
        <v>3</v>
      </c>
      <c r="AA193" s="461">
        <f t="shared" si="339"/>
        <v>43.000000000000007</v>
      </c>
      <c r="AB193" s="582">
        <f t="shared" si="340"/>
        <v>14.000000000000002</v>
      </c>
      <c r="AC193" s="113">
        <f t="shared" si="341"/>
        <v>10.000000000000002</v>
      </c>
      <c r="AD193" s="113">
        <f t="shared" si="342"/>
        <v>0</v>
      </c>
      <c r="AE193" s="113">
        <f t="shared" si="343"/>
        <v>4</v>
      </c>
      <c r="AF193" s="460">
        <f t="shared" si="344"/>
        <v>0</v>
      </c>
      <c r="AG193" s="582">
        <f t="shared" si="345"/>
        <v>29.000000000000004</v>
      </c>
      <c r="AH193" s="113">
        <f t="shared" si="346"/>
        <v>23.999999999999996</v>
      </c>
      <c r="AI193" s="113">
        <f t="shared" si="347"/>
        <v>0</v>
      </c>
      <c r="AJ193" s="113">
        <f t="shared" si="348"/>
        <v>1</v>
      </c>
      <c r="AK193" s="459">
        <f t="shared" si="349"/>
        <v>4</v>
      </c>
      <c r="AL193" s="461">
        <f t="shared" si="350"/>
        <v>317</v>
      </c>
      <c r="AM193" s="582">
        <f t="shared" si="351"/>
        <v>184.00000000000003</v>
      </c>
      <c r="AN193" s="113">
        <f t="shared" si="352"/>
        <v>152.99999999999997</v>
      </c>
      <c r="AO193" s="113">
        <f t="shared" si="353"/>
        <v>0</v>
      </c>
      <c r="AP193" s="113">
        <f t="shared" si="354"/>
        <v>30.999999999999982</v>
      </c>
      <c r="AQ193" s="460">
        <f t="shared" si="355"/>
        <v>0</v>
      </c>
      <c r="AR193" s="582">
        <f t="shared" si="356"/>
        <v>133.00000000000006</v>
      </c>
      <c r="AS193" s="113">
        <f t="shared" si="357"/>
        <v>85.999999999999972</v>
      </c>
      <c r="AT193" s="113">
        <f t="shared" si="358"/>
        <v>0</v>
      </c>
      <c r="AU193" s="113">
        <f t="shared" si="359"/>
        <v>34.000000000000014</v>
      </c>
      <c r="AV193" s="459">
        <f t="shared" si="360"/>
        <v>13.000000000000002</v>
      </c>
      <c r="AW193" s="461">
        <f t="shared" si="361"/>
        <v>196.00000000000011</v>
      </c>
      <c r="AX193" s="582">
        <f t="shared" si="362"/>
        <v>101.99999999999999</v>
      </c>
      <c r="AY193" s="113">
        <f t="shared" si="363"/>
        <v>88.999999999999972</v>
      </c>
      <c r="AZ193" s="113">
        <f t="shared" si="364"/>
        <v>0</v>
      </c>
      <c r="BA193" s="113">
        <f t="shared" si="365"/>
        <v>13.000000000000004</v>
      </c>
      <c r="BB193" s="460">
        <f t="shared" si="366"/>
        <v>0</v>
      </c>
      <c r="BC193" s="582">
        <f t="shared" si="367"/>
        <v>94.000000000000014</v>
      </c>
      <c r="BD193" s="113">
        <f t="shared" si="368"/>
        <v>72</v>
      </c>
      <c r="BE193" s="113">
        <f t="shared" si="369"/>
        <v>0</v>
      </c>
      <c r="BF193" s="113">
        <f t="shared" si="370"/>
        <v>15.000000000000005</v>
      </c>
      <c r="BG193" s="459">
        <f t="shared" si="371"/>
        <v>6.9999999999999991</v>
      </c>
      <c r="BH193" s="461">
        <f t="shared" si="372"/>
        <v>246</v>
      </c>
      <c r="BI193" s="582">
        <f t="shared" si="373"/>
        <v>150.00000000000003</v>
      </c>
      <c r="BJ193" s="113">
        <f t="shared" si="374"/>
        <v>131</v>
      </c>
      <c r="BK193" s="113">
        <f t="shared" si="375"/>
        <v>0</v>
      </c>
      <c r="BL193" s="113">
        <f t="shared" si="376"/>
        <v>19</v>
      </c>
      <c r="BM193" s="460">
        <f t="shared" si="377"/>
        <v>0</v>
      </c>
      <c r="BN193" s="582">
        <f t="shared" si="378"/>
        <v>96.000000000000014</v>
      </c>
      <c r="BO193" s="113">
        <f t="shared" si="379"/>
        <v>58.000000000000007</v>
      </c>
      <c r="BP193" s="113">
        <f t="shared" si="380"/>
        <v>0</v>
      </c>
      <c r="BQ193" s="113">
        <f t="shared" si="381"/>
        <v>30</v>
      </c>
      <c r="BR193" s="459">
        <f t="shared" si="382"/>
        <v>7.9999999999999991</v>
      </c>
      <c r="BS193" s="461">
        <f t="shared" si="383"/>
        <v>364.00000000000011</v>
      </c>
      <c r="BT193" s="582">
        <f t="shared" si="384"/>
        <v>202.00000000000006</v>
      </c>
      <c r="BU193" s="113">
        <f t="shared" si="385"/>
        <v>160.99999999999997</v>
      </c>
      <c r="BV193" s="113">
        <f t="shared" si="386"/>
        <v>0</v>
      </c>
      <c r="BW193" s="113">
        <f t="shared" si="387"/>
        <v>41.000000000000007</v>
      </c>
      <c r="BX193" s="460">
        <f t="shared" si="388"/>
        <v>0</v>
      </c>
      <c r="BY193" s="582">
        <f t="shared" si="389"/>
        <v>162</v>
      </c>
      <c r="BZ193" s="113">
        <f t="shared" si="390"/>
        <v>98.000000000000043</v>
      </c>
      <c r="CA193" s="113">
        <f t="shared" si="391"/>
        <v>0</v>
      </c>
      <c r="CB193" s="113">
        <f t="shared" si="392"/>
        <v>47.999999999999972</v>
      </c>
      <c r="CC193" s="459">
        <f t="shared" si="393"/>
        <v>16</v>
      </c>
      <c r="CD193" s="461">
        <f t="shared" si="394"/>
        <v>86.000000000000014</v>
      </c>
      <c r="CE193" s="582">
        <f t="shared" si="395"/>
        <v>50.000000000000028</v>
      </c>
      <c r="CF193" s="113">
        <f t="shared" si="396"/>
        <v>40</v>
      </c>
      <c r="CG193" s="113">
        <f t="shared" si="397"/>
        <v>0</v>
      </c>
      <c r="CH193" s="113">
        <f t="shared" si="398"/>
        <v>10</v>
      </c>
      <c r="CI193" s="460">
        <f t="shared" si="399"/>
        <v>0</v>
      </c>
      <c r="CJ193" s="582">
        <f t="shared" si="400"/>
        <v>35.999999999999993</v>
      </c>
      <c r="CK193" s="113">
        <f t="shared" si="401"/>
        <v>25</v>
      </c>
      <c r="CL193" s="113">
        <f t="shared" si="402"/>
        <v>0</v>
      </c>
      <c r="CM193" s="113">
        <f t="shared" si="403"/>
        <v>7.9999999999999973</v>
      </c>
      <c r="CN193" s="459">
        <f t="shared" si="404"/>
        <v>3</v>
      </c>
      <c r="CO193" s="461">
        <f t="shared" si="405"/>
        <v>64.999999999999972</v>
      </c>
      <c r="CP193" s="582">
        <f t="shared" si="406"/>
        <v>34.000000000000021</v>
      </c>
      <c r="CQ193" s="113">
        <f t="shared" si="407"/>
        <v>33.000000000000014</v>
      </c>
      <c r="CR193" s="113">
        <f t="shared" si="408"/>
        <v>0</v>
      </c>
      <c r="CS193" s="113">
        <f t="shared" si="409"/>
        <v>1</v>
      </c>
      <c r="CT193" s="460">
        <f t="shared" si="410"/>
        <v>0</v>
      </c>
      <c r="CU193" s="582">
        <f t="shared" si="411"/>
        <v>30.999999999999996</v>
      </c>
      <c r="CV193" s="113">
        <f t="shared" si="412"/>
        <v>22.999999999999989</v>
      </c>
      <c r="CW193" s="113">
        <f t="shared" si="413"/>
        <v>0</v>
      </c>
      <c r="CX193" s="113">
        <f t="shared" si="414"/>
        <v>8</v>
      </c>
      <c r="CY193" s="459">
        <f t="shared" si="415"/>
        <v>0</v>
      </c>
      <c r="CZ193" s="461">
        <f t="shared" si="416"/>
        <v>15.000000000000005</v>
      </c>
      <c r="DA193" s="582">
        <f t="shared" si="417"/>
        <v>3</v>
      </c>
      <c r="DB193" s="113">
        <f t="shared" si="418"/>
        <v>0</v>
      </c>
      <c r="DC193" s="113">
        <f t="shared" si="419"/>
        <v>0</v>
      </c>
      <c r="DD193" s="113">
        <f t="shared" si="420"/>
        <v>3</v>
      </c>
      <c r="DE193" s="460">
        <f t="shared" si="421"/>
        <v>0</v>
      </c>
      <c r="DF193" s="582">
        <f t="shared" si="422"/>
        <v>12.000000000000004</v>
      </c>
      <c r="DG193" s="113">
        <f t="shared" si="423"/>
        <v>11.000000000000007</v>
      </c>
      <c r="DH193" s="113">
        <f t="shared" si="424"/>
        <v>0</v>
      </c>
      <c r="DI193" s="113">
        <f t="shared" si="425"/>
        <v>1</v>
      </c>
      <c r="DJ193" s="459">
        <f t="shared" si="426"/>
        <v>0</v>
      </c>
      <c r="DK193" s="461">
        <f t="shared" si="427"/>
        <v>0</v>
      </c>
      <c r="DL193" s="582">
        <f t="shared" si="428"/>
        <v>0</v>
      </c>
      <c r="DM193" s="113">
        <f t="shared" si="429"/>
        <v>0</v>
      </c>
      <c r="DN193" s="113">
        <f t="shared" si="430"/>
        <v>0</v>
      </c>
      <c r="DO193" s="113">
        <f t="shared" si="431"/>
        <v>0</v>
      </c>
      <c r="DP193" s="460">
        <f t="shared" si="432"/>
        <v>0</v>
      </c>
      <c r="DQ193" s="582">
        <f t="shared" si="433"/>
        <v>1</v>
      </c>
      <c r="DR193" s="113">
        <f t="shared" si="434"/>
        <v>1</v>
      </c>
      <c r="DS193" s="113">
        <f t="shared" si="435"/>
        <v>0</v>
      </c>
      <c r="DT193" s="113">
        <f t="shared" si="436"/>
        <v>0</v>
      </c>
      <c r="DU193" s="459">
        <f t="shared" si="437"/>
        <v>0</v>
      </c>
      <c r="DW193" s="461">
        <f t="shared" si="315"/>
        <v>1080.0000000000002</v>
      </c>
      <c r="DX193" s="582">
        <f t="shared" si="315"/>
        <v>585.00000000000011</v>
      </c>
      <c r="DY193" s="113">
        <f t="shared" si="314"/>
        <v>488.99999999999994</v>
      </c>
      <c r="DZ193" s="113">
        <f t="shared" si="314"/>
        <v>0</v>
      </c>
      <c r="EA193" s="113">
        <f t="shared" si="314"/>
        <v>96</v>
      </c>
      <c r="EB193" s="460">
        <f t="shared" si="314"/>
        <v>0</v>
      </c>
      <c r="EC193" s="582">
        <f t="shared" si="314"/>
        <v>496.00000000000006</v>
      </c>
      <c r="ED193" s="113">
        <f t="shared" si="314"/>
        <v>334.00000000000006</v>
      </c>
      <c r="EE193" s="113">
        <f t="shared" si="314"/>
        <v>0</v>
      </c>
      <c r="EF193" s="113">
        <f t="shared" si="314"/>
        <v>120.99999999999997</v>
      </c>
      <c r="EG193" s="459">
        <f t="shared" si="314"/>
        <v>41</v>
      </c>
      <c r="EH193" s="461">
        <f t="shared" si="313"/>
        <v>317</v>
      </c>
      <c r="EI193" s="582">
        <f t="shared" si="312"/>
        <v>184.00000000000003</v>
      </c>
      <c r="EJ193" s="113">
        <f t="shared" si="312"/>
        <v>152.99999999999997</v>
      </c>
      <c r="EK193" s="113">
        <f t="shared" si="312"/>
        <v>0</v>
      </c>
      <c r="EL193" s="113">
        <f t="shared" si="312"/>
        <v>30.999999999999982</v>
      </c>
      <c r="EM193" s="460">
        <f t="shared" si="312"/>
        <v>0</v>
      </c>
      <c r="EN193" s="582">
        <f t="shared" si="312"/>
        <v>133.00000000000006</v>
      </c>
      <c r="EO193" s="113">
        <f t="shared" si="312"/>
        <v>85.999999999999972</v>
      </c>
      <c r="EP193" s="113">
        <f t="shared" si="141"/>
        <v>0</v>
      </c>
      <c r="EQ193" s="113">
        <f t="shared" si="141"/>
        <v>34.000000000000014</v>
      </c>
      <c r="ER193" s="459">
        <f t="shared" si="141"/>
        <v>13.000000000000002</v>
      </c>
    </row>
    <row r="194" spans="1:148">
      <c r="A194" s="665" t="s">
        <v>412</v>
      </c>
      <c r="B194" s="665">
        <v>43922</v>
      </c>
      <c r="C194" s="666">
        <v>2020</v>
      </c>
      <c r="D194" s="461">
        <f t="shared" ref="D194" si="442">D83/3+D193</f>
        <v>2571525</v>
      </c>
      <c r="E194" s="461">
        <f t="shared" si="317"/>
        <v>36882.000000000007</v>
      </c>
      <c r="F194" s="582">
        <f t="shared" si="318"/>
        <v>19970.666666666672</v>
      </c>
      <c r="G194" s="113">
        <f t="shared" si="319"/>
        <v>16220.999999999998</v>
      </c>
      <c r="H194" s="113">
        <f t="shared" si="320"/>
        <v>0</v>
      </c>
      <c r="I194" s="113">
        <f t="shared" si="321"/>
        <v>3749.6666666666679</v>
      </c>
      <c r="J194" s="460">
        <f t="shared" si="322"/>
        <v>0</v>
      </c>
      <c r="K194" s="582">
        <f t="shared" si="323"/>
        <v>16911.333333333332</v>
      </c>
      <c r="L194" s="113">
        <f t="shared" si="324"/>
        <v>11361</v>
      </c>
      <c r="M194" s="113">
        <f t="shared" si="325"/>
        <v>0</v>
      </c>
      <c r="N194" s="113">
        <f t="shared" si="326"/>
        <v>4013.9999999999995</v>
      </c>
      <c r="O194" s="459">
        <f t="shared" si="327"/>
        <v>1536.3333333333328</v>
      </c>
      <c r="P194" s="461">
        <f t="shared" si="328"/>
        <v>66.666666666666671</v>
      </c>
      <c r="Q194" s="582">
        <f t="shared" si="329"/>
        <v>30.999999999999996</v>
      </c>
      <c r="R194" s="113">
        <f t="shared" si="330"/>
        <v>25.666666666666661</v>
      </c>
      <c r="S194" s="113">
        <f t="shared" si="331"/>
        <v>0</v>
      </c>
      <c r="T194" s="113">
        <f t="shared" si="332"/>
        <v>5.333333333333333</v>
      </c>
      <c r="U194" s="460">
        <f t="shared" si="333"/>
        <v>0</v>
      </c>
      <c r="V194" s="582">
        <f t="shared" si="334"/>
        <v>35.666666666666679</v>
      </c>
      <c r="W194" s="113">
        <f t="shared" si="335"/>
        <v>22.333333333333343</v>
      </c>
      <c r="X194" s="113">
        <f t="shared" si="336"/>
        <v>0</v>
      </c>
      <c r="Y194" s="113">
        <f t="shared" si="337"/>
        <v>10.333333333333334</v>
      </c>
      <c r="Z194" s="459">
        <f t="shared" si="338"/>
        <v>3</v>
      </c>
      <c r="AA194" s="461">
        <f t="shared" si="339"/>
        <v>43.333333333333343</v>
      </c>
      <c r="AB194" s="582">
        <f t="shared" si="340"/>
        <v>14.333333333333336</v>
      </c>
      <c r="AC194" s="113">
        <f t="shared" si="341"/>
        <v>10.000000000000002</v>
      </c>
      <c r="AD194" s="113">
        <f t="shared" si="342"/>
        <v>0</v>
      </c>
      <c r="AE194" s="113">
        <f t="shared" si="343"/>
        <v>4.333333333333333</v>
      </c>
      <c r="AF194" s="460">
        <f t="shared" si="344"/>
        <v>0</v>
      </c>
      <c r="AG194" s="582">
        <f t="shared" si="345"/>
        <v>29.000000000000004</v>
      </c>
      <c r="AH194" s="113">
        <f t="shared" si="346"/>
        <v>23.999999999999996</v>
      </c>
      <c r="AI194" s="113">
        <f t="shared" si="347"/>
        <v>0</v>
      </c>
      <c r="AJ194" s="113">
        <f t="shared" si="348"/>
        <v>1</v>
      </c>
      <c r="AK194" s="459">
        <f t="shared" si="349"/>
        <v>4</v>
      </c>
      <c r="AL194" s="461">
        <f t="shared" si="350"/>
        <v>323</v>
      </c>
      <c r="AM194" s="582">
        <f t="shared" si="351"/>
        <v>188.33333333333337</v>
      </c>
      <c r="AN194" s="113">
        <f t="shared" si="352"/>
        <v>156.99999999999997</v>
      </c>
      <c r="AO194" s="113">
        <f t="shared" si="353"/>
        <v>0</v>
      </c>
      <c r="AP194" s="113">
        <f t="shared" si="354"/>
        <v>31.333333333333314</v>
      </c>
      <c r="AQ194" s="460">
        <f t="shared" si="355"/>
        <v>0</v>
      </c>
      <c r="AR194" s="582">
        <f t="shared" si="356"/>
        <v>134.66666666666671</v>
      </c>
      <c r="AS194" s="113">
        <f t="shared" si="357"/>
        <v>87.3333333333333</v>
      </c>
      <c r="AT194" s="113">
        <f t="shared" si="358"/>
        <v>0</v>
      </c>
      <c r="AU194" s="113">
        <f t="shared" si="359"/>
        <v>34.33333333333335</v>
      </c>
      <c r="AV194" s="459">
        <f t="shared" si="360"/>
        <v>13.000000000000002</v>
      </c>
      <c r="AW194" s="461">
        <f t="shared" si="361"/>
        <v>199.00000000000011</v>
      </c>
      <c r="AX194" s="582">
        <f t="shared" si="362"/>
        <v>104.33333333333331</v>
      </c>
      <c r="AY194" s="113">
        <f t="shared" si="363"/>
        <v>90.999999999999972</v>
      </c>
      <c r="AZ194" s="113">
        <f t="shared" si="364"/>
        <v>0</v>
      </c>
      <c r="BA194" s="113">
        <f t="shared" si="365"/>
        <v>13.333333333333337</v>
      </c>
      <c r="BB194" s="460">
        <f t="shared" si="366"/>
        <v>0</v>
      </c>
      <c r="BC194" s="582">
        <f t="shared" si="367"/>
        <v>94.666666666666686</v>
      </c>
      <c r="BD194" s="113">
        <f t="shared" si="368"/>
        <v>72.333333333333329</v>
      </c>
      <c r="BE194" s="113">
        <f t="shared" si="369"/>
        <v>0</v>
      </c>
      <c r="BF194" s="113">
        <f t="shared" si="370"/>
        <v>15.333333333333339</v>
      </c>
      <c r="BG194" s="459">
        <f t="shared" si="371"/>
        <v>6.9999999999999991</v>
      </c>
      <c r="BH194" s="461">
        <f t="shared" si="372"/>
        <v>248.33333333333334</v>
      </c>
      <c r="BI194" s="582">
        <f t="shared" si="373"/>
        <v>151.66666666666669</v>
      </c>
      <c r="BJ194" s="113">
        <f t="shared" si="374"/>
        <v>132.66666666666666</v>
      </c>
      <c r="BK194" s="113">
        <f t="shared" si="375"/>
        <v>0</v>
      </c>
      <c r="BL194" s="113">
        <f t="shared" si="376"/>
        <v>19</v>
      </c>
      <c r="BM194" s="460">
        <f t="shared" si="377"/>
        <v>0</v>
      </c>
      <c r="BN194" s="582">
        <f t="shared" si="378"/>
        <v>96.666666666666686</v>
      </c>
      <c r="BO194" s="113">
        <f t="shared" si="379"/>
        <v>58.333333333333343</v>
      </c>
      <c r="BP194" s="113">
        <f t="shared" si="380"/>
        <v>0</v>
      </c>
      <c r="BQ194" s="113">
        <f t="shared" si="381"/>
        <v>30.333333333333332</v>
      </c>
      <c r="BR194" s="459">
        <f t="shared" si="382"/>
        <v>7.9999999999999991</v>
      </c>
      <c r="BS194" s="461">
        <f t="shared" si="383"/>
        <v>370.00000000000011</v>
      </c>
      <c r="BT194" s="582">
        <f t="shared" si="384"/>
        <v>207.00000000000006</v>
      </c>
      <c r="BU194" s="113">
        <f t="shared" si="385"/>
        <v>165.66666666666663</v>
      </c>
      <c r="BV194" s="113">
        <f t="shared" si="386"/>
        <v>0</v>
      </c>
      <c r="BW194" s="113">
        <f t="shared" si="387"/>
        <v>41.333333333333343</v>
      </c>
      <c r="BX194" s="460">
        <f t="shared" si="388"/>
        <v>0</v>
      </c>
      <c r="BY194" s="582">
        <f t="shared" si="389"/>
        <v>163</v>
      </c>
      <c r="BZ194" s="113">
        <f t="shared" si="390"/>
        <v>98.333333333333371</v>
      </c>
      <c r="CA194" s="113">
        <f t="shared" si="391"/>
        <v>0</v>
      </c>
      <c r="CB194" s="113">
        <f t="shared" si="392"/>
        <v>48.333333333333307</v>
      </c>
      <c r="CC194" s="459">
        <f t="shared" si="393"/>
        <v>16.333333333333332</v>
      </c>
      <c r="CD194" s="461">
        <f t="shared" si="394"/>
        <v>87.000000000000014</v>
      </c>
      <c r="CE194" s="582">
        <f t="shared" si="395"/>
        <v>51.000000000000028</v>
      </c>
      <c r="CF194" s="113">
        <f t="shared" si="396"/>
        <v>41</v>
      </c>
      <c r="CG194" s="113">
        <f t="shared" si="397"/>
        <v>0</v>
      </c>
      <c r="CH194" s="113">
        <f t="shared" si="398"/>
        <v>10</v>
      </c>
      <c r="CI194" s="460">
        <f t="shared" si="399"/>
        <v>0</v>
      </c>
      <c r="CJ194" s="582">
        <f t="shared" si="400"/>
        <v>35.999999999999993</v>
      </c>
      <c r="CK194" s="113">
        <f t="shared" si="401"/>
        <v>25</v>
      </c>
      <c r="CL194" s="113">
        <f t="shared" si="402"/>
        <v>0</v>
      </c>
      <c r="CM194" s="113">
        <f t="shared" si="403"/>
        <v>7.9999999999999973</v>
      </c>
      <c r="CN194" s="459">
        <f t="shared" si="404"/>
        <v>3</v>
      </c>
      <c r="CO194" s="461">
        <f t="shared" si="405"/>
        <v>65.3333333333333</v>
      </c>
      <c r="CP194" s="582">
        <f t="shared" si="406"/>
        <v>34.333333333333357</v>
      </c>
      <c r="CQ194" s="113">
        <f t="shared" si="407"/>
        <v>33.33333333333335</v>
      </c>
      <c r="CR194" s="113">
        <f t="shared" si="408"/>
        <v>0</v>
      </c>
      <c r="CS194" s="113">
        <f t="shared" si="409"/>
        <v>1</v>
      </c>
      <c r="CT194" s="460">
        <f t="shared" si="410"/>
        <v>0</v>
      </c>
      <c r="CU194" s="582">
        <f t="shared" si="411"/>
        <v>30.999999999999996</v>
      </c>
      <c r="CV194" s="113">
        <f t="shared" si="412"/>
        <v>22.999999999999989</v>
      </c>
      <c r="CW194" s="113">
        <f t="shared" si="413"/>
        <v>0</v>
      </c>
      <c r="CX194" s="113">
        <f t="shared" si="414"/>
        <v>8</v>
      </c>
      <c r="CY194" s="459">
        <f t="shared" si="415"/>
        <v>0</v>
      </c>
      <c r="CZ194" s="461">
        <f t="shared" si="416"/>
        <v>15.000000000000005</v>
      </c>
      <c r="DA194" s="582">
        <f t="shared" si="417"/>
        <v>3</v>
      </c>
      <c r="DB194" s="113">
        <f t="shared" si="418"/>
        <v>0</v>
      </c>
      <c r="DC194" s="113">
        <f t="shared" si="419"/>
        <v>0</v>
      </c>
      <c r="DD194" s="113">
        <f t="shared" si="420"/>
        <v>3</v>
      </c>
      <c r="DE194" s="460">
        <f t="shared" si="421"/>
        <v>0</v>
      </c>
      <c r="DF194" s="582">
        <f t="shared" si="422"/>
        <v>12.000000000000004</v>
      </c>
      <c r="DG194" s="113">
        <f t="shared" si="423"/>
        <v>11.000000000000007</v>
      </c>
      <c r="DH194" s="113">
        <f t="shared" si="424"/>
        <v>0</v>
      </c>
      <c r="DI194" s="113">
        <f t="shared" si="425"/>
        <v>1</v>
      </c>
      <c r="DJ194" s="459">
        <f t="shared" si="426"/>
        <v>0</v>
      </c>
      <c r="DK194" s="461">
        <f t="shared" si="427"/>
        <v>0</v>
      </c>
      <c r="DL194" s="582">
        <f t="shared" si="428"/>
        <v>0</v>
      </c>
      <c r="DM194" s="113">
        <f t="shared" si="429"/>
        <v>0</v>
      </c>
      <c r="DN194" s="113">
        <f t="shared" si="430"/>
        <v>0</v>
      </c>
      <c r="DO194" s="113">
        <f t="shared" si="431"/>
        <v>0</v>
      </c>
      <c r="DP194" s="460">
        <f t="shared" si="432"/>
        <v>0</v>
      </c>
      <c r="DQ194" s="582">
        <f t="shared" si="433"/>
        <v>1</v>
      </c>
      <c r="DR194" s="113">
        <f t="shared" si="434"/>
        <v>1</v>
      </c>
      <c r="DS194" s="113">
        <f t="shared" si="435"/>
        <v>0</v>
      </c>
      <c r="DT194" s="113">
        <f t="shared" si="436"/>
        <v>0</v>
      </c>
      <c r="DU194" s="459">
        <f t="shared" si="437"/>
        <v>0</v>
      </c>
      <c r="DW194" s="461">
        <f t="shared" si="315"/>
        <v>1094.666666666667</v>
      </c>
      <c r="DX194" s="582">
        <f t="shared" si="315"/>
        <v>596.66666666666674</v>
      </c>
      <c r="DY194" s="113">
        <f t="shared" si="314"/>
        <v>499.33333333333326</v>
      </c>
      <c r="DZ194" s="113">
        <f t="shared" si="314"/>
        <v>0</v>
      </c>
      <c r="EA194" s="113">
        <f t="shared" si="314"/>
        <v>97.333333333333343</v>
      </c>
      <c r="EB194" s="460">
        <f t="shared" si="314"/>
        <v>0</v>
      </c>
      <c r="EC194" s="582">
        <f t="shared" si="314"/>
        <v>499.00000000000006</v>
      </c>
      <c r="ED194" s="113">
        <f t="shared" si="314"/>
        <v>335.33333333333337</v>
      </c>
      <c r="EE194" s="113">
        <f t="shared" si="314"/>
        <v>0</v>
      </c>
      <c r="EF194" s="113">
        <f t="shared" si="314"/>
        <v>122.33333333333331</v>
      </c>
      <c r="EG194" s="459">
        <f t="shared" si="314"/>
        <v>41.333333333333329</v>
      </c>
      <c r="EH194" s="461">
        <f t="shared" si="313"/>
        <v>323</v>
      </c>
      <c r="EI194" s="582">
        <f t="shared" si="312"/>
        <v>188.33333333333337</v>
      </c>
      <c r="EJ194" s="113">
        <f t="shared" si="312"/>
        <v>156.99999999999997</v>
      </c>
      <c r="EK194" s="113">
        <f t="shared" si="312"/>
        <v>0</v>
      </c>
      <c r="EL194" s="113">
        <f t="shared" si="312"/>
        <v>31.333333333333314</v>
      </c>
      <c r="EM194" s="460">
        <f t="shared" si="312"/>
        <v>0</v>
      </c>
      <c r="EN194" s="582">
        <f t="shared" si="312"/>
        <v>134.66666666666671</v>
      </c>
      <c r="EO194" s="113">
        <f t="shared" si="312"/>
        <v>87.3333333333333</v>
      </c>
      <c r="EP194" s="113">
        <f t="shared" si="141"/>
        <v>0</v>
      </c>
      <c r="EQ194" s="113">
        <f t="shared" si="141"/>
        <v>34.33333333333335</v>
      </c>
      <c r="ER194" s="459">
        <f t="shared" si="141"/>
        <v>13.000000000000002</v>
      </c>
    </row>
    <row r="195" spans="1:148">
      <c r="A195" s="665" t="s">
        <v>412</v>
      </c>
      <c r="B195" s="665">
        <v>43952</v>
      </c>
      <c r="C195" s="666">
        <v>2020</v>
      </c>
      <c r="D195" s="461">
        <f t="shared" ref="D195" si="443">D84/3+D194</f>
        <v>2607924</v>
      </c>
      <c r="E195" s="461">
        <f t="shared" si="317"/>
        <v>37469.000000000007</v>
      </c>
      <c r="F195" s="582">
        <f t="shared" si="318"/>
        <v>20416.333333333339</v>
      </c>
      <c r="G195" s="113">
        <f t="shared" si="319"/>
        <v>16595</v>
      </c>
      <c r="H195" s="113">
        <f t="shared" si="320"/>
        <v>0</v>
      </c>
      <c r="I195" s="113">
        <f t="shared" si="321"/>
        <v>3821.3333333333344</v>
      </c>
      <c r="J195" s="460">
        <f t="shared" si="322"/>
        <v>0</v>
      </c>
      <c r="K195" s="582">
        <f t="shared" si="323"/>
        <v>17052.666666666664</v>
      </c>
      <c r="L195" s="113">
        <f t="shared" si="324"/>
        <v>11431</v>
      </c>
      <c r="M195" s="113">
        <f t="shared" si="325"/>
        <v>0</v>
      </c>
      <c r="N195" s="113">
        <f t="shared" si="326"/>
        <v>4077.9999999999995</v>
      </c>
      <c r="O195" s="459">
        <f t="shared" si="327"/>
        <v>1543.6666666666661</v>
      </c>
      <c r="P195" s="461">
        <f t="shared" si="328"/>
        <v>68.333333333333343</v>
      </c>
      <c r="Q195" s="582">
        <f t="shared" si="329"/>
        <v>31.999999999999996</v>
      </c>
      <c r="R195" s="113">
        <f t="shared" si="330"/>
        <v>26.333333333333329</v>
      </c>
      <c r="S195" s="113">
        <f t="shared" si="331"/>
        <v>0</v>
      </c>
      <c r="T195" s="113">
        <f t="shared" si="332"/>
        <v>5.6666666666666661</v>
      </c>
      <c r="U195" s="460">
        <f t="shared" si="333"/>
        <v>0</v>
      </c>
      <c r="V195" s="582">
        <f t="shared" si="334"/>
        <v>36.333333333333343</v>
      </c>
      <c r="W195" s="113">
        <f t="shared" si="335"/>
        <v>22.666666666666675</v>
      </c>
      <c r="X195" s="113">
        <f t="shared" si="336"/>
        <v>0</v>
      </c>
      <c r="Y195" s="113">
        <f t="shared" si="337"/>
        <v>10.666666666666668</v>
      </c>
      <c r="Z195" s="459">
        <f t="shared" si="338"/>
        <v>3</v>
      </c>
      <c r="AA195" s="461">
        <f t="shared" si="339"/>
        <v>43.666666666666679</v>
      </c>
      <c r="AB195" s="582">
        <f t="shared" si="340"/>
        <v>14.66666666666667</v>
      </c>
      <c r="AC195" s="113">
        <f t="shared" si="341"/>
        <v>10.000000000000002</v>
      </c>
      <c r="AD195" s="113">
        <f t="shared" si="342"/>
        <v>0</v>
      </c>
      <c r="AE195" s="113">
        <f t="shared" si="343"/>
        <v>4.6666666666666661</v>
      </c>
      <c r="AF195" s="460">
        <f t="shared" si="344"/>
        <v>0</v>
      </c>
      <c r="AG195" s="582">
        <f t="shared" si="345"/>
        <v>29.000000000000004</v>
      </c>
      <c r="AH195" s="113">
        <f t="shared" si="346"/>
        <v>23.999999999999996</v>
      </c>
      <c r="AI195" s="113">
        <f t="shared" si="347"/>
        <v>0</v>
      </c>
      <c r="AJ195" s="113">
        <f t="shared" si="348"/>
        <v>1</v>
      </c>
      <c r="AK195" s="459">
        <f t="shared" si="349"/>
        <v>4</v>
      </c>
      <c r="AL195" s="461">
        <f t="shared" si="350"/>
        <v>329</v>
      </c>
      <c r="AM195" s="582">
        <f t="shared" si="351"/>
        <v>192.66666666666671</v>
      </c>
      <c r="AN195" s="113">
        <f t="shared" si="352"/>
        <v>160.99999999999997</v>
      </c>
      <c r="AO195" s="113">
        <f t="shared" si="353"/>
        <v>0</v>
      </c>
      <c r="AP195" s="113">
        <f t="shared" si="354"/>
        <v>31.666666666666647</v>
      </c>
      <c r="AQ195" s="460">
        <f t="shared" si="355"/>
        <v>0</v>
      </c>
      <c r="AR195" s="582">
        <f t="shared" si="356"/>
        <v>136.33333333333337</v>
      </c>
      <c r="AS195" s="113">
        <f t="shared" si="357"/>
        <v>88.666666666666629</v>
      </c>
      <c r="AT195" s="113">
        <f t="shared" si="358"/>
        <v>0</v>
      </c>
      <c r="AU195" s="113">
        <f t="shared" si="359"/>
        <v>34.666666666666686</v>
      </c>
      <c r="AV195" s="459">
        <f t="shared" si="360"/>
        <v>13.000000000000002</v>
      </c>
      <c r="AW195" s="461">
        <f t="shared" si="361"/>
        <v>202.00000000000011</v>
      </c>
      <c r="AX195" s="582">
        <f t="shared" si="362"/>
        <v>106.66666666666664</v>
      </c>
      <c r="AY195" s="113">
        <f t="shared" si="363"/>
        <v>92.999999999999972</v>
      </c>
      <c r="AZ195" s="113">
        <f t="shared" si="364"/>
        <v>0</v>
      </c>
      <c r="BA195" s="113">
        <f t="shared" si="365"/>
        <v>13.666666666666671</v>
      </c>
      <c r="BB195" s="460">
        <f t="shared" si="366"/>
        <v>0</v>
      </c>
      <c r="BC195" s="582">
        <f t="shared" si="367"/>
        <v>95.333333333333357</v>
      </c>
      <c r="BD195" s="113">
        <f t="shared" si="368"/>
        <v>72.666666666666657</v>
      </c>
      <c r="BE195" s="113">
        <f t="shared" si="369"/>
        <v>0</v>
      </c>
      <c r="BF195" s="113">
        <f t="shared" si="370"/>
        <v>15.666666666666673</v>
      </c>
      <c r="BG195" s="459">
        <f t="shared" si="371"/>
        <v>6.9999999999999991</v>
      </c>
      <c r="BH195" s="461">
        <f t="shared" si="372"/>
        <v>250.66666666666669</v>
      </c>
      <c r="BI195" s="582">
        <f t="shared" si="373"/>
        <v>153.33333333333334</v>
      </c>
      <c r="BJ195" s="113">
        <f t="shared" si="374"/>
        <v>134.33333333333331</v>
      </c>
      <c r="BK195" s="113">
        <f t="shared" si="375"/>
        <v>0</v>
      </c>
      <c r="BL195" s="113">
        <f t="shared" si="376"/>
        <v>19</v>
      </c>
      <c r="BM195" s="460">
        <f t="shared" si="377"/>
        <v>0</v>
      </c>
      <c r="BN195" s="582">
        <f t="shared" si="378"/>
        <v>97.333333333333357</v>
      </c>
      <c r="BO195" s="113">
        <f t="shared" si="379"/>
        <v>58.666666666666679</v>
      </c>
      <c r="BP195" s="113">
        <f t="shared" si="380"/>
        <v>0</v>
      </c>
      <c r="BQ195" s="113">
        <f t="shared" si="381"/>
        <v>30.666666666666664</v>
      </c>
      <c r="BR195" s="459">
        <f t="shared" si="382"/>
        <v>7.9999999999999991</v>
      </c>
      <c r="BS195" s="461">
        <f t="shared" si="383"/>
        <v>376.00000000000011</v>
      </c>
      <c r="BT195" s="582">
        <f t="shared" si="384"/>
        <v>212.00000000000006</v>
      </c>
      <c r="BU195" s="113">
        <f t="shared" si="385"/>
        <v>170.33333333333329</v>
      </c>
      <c r="BV195" s="113">
        <f t="shared" si="386"/>
        <v>0</v>
      </c>
      <c r="BW195" s="113">
        <f t="shared" si="387"/>
        <v>41.666666666666679</v>
      </c>
      <c r="BX195" s="460">
        <f t="shared" si="388"/>
        <v>0</v>
      </c>
      <c r="BY195" s="582">
        <f t="shared" si="389"/>
        <v>164</v>
      </c>
      <c r="BZ195" s="113">
        <f t="shared" si="390"/>
        <v>98.6666666666667</v>
      </c>
      <c r="CA195" s="113">
        <f t="shared" si="391"/>
        <v>0</v>
      </c>
      <c r="CB195" s="113">
        <f t="shared" si="392"/>
        <v>48.666666666666643</v>
      </c>
      <c r="CC195" s="459">
        <f t="shared" si="393"/>
        <v>16.666666666666664</v>
      </c>
      <c r="CD195" s="461">
        <f t="shared" si="394"/>
        <v>88.000000000000014</v>
      </c>
      <c r="CE195" s="582">
        <f t="shared" si="395"/>
        <v>52.000000000000028</v>
      </c>
      <c r="CF195" s="113">
        <f t="shared" si="396"/>
        <v>42</v>
      </c>
      <c r="CG195" s="113">
        <f t="shared" si="397"/>
        <v>0</v>
      </c>
      <c r="CH195" s="113">
        <f t="shared" si="398"/>
        <v>10</v>
      </c>
      <c r="CI195" s="460">
        <f t="shared" si="399"/>
        <v>0</v>
      </c>
      <c r="CJ195" s="582">
        <f t="shared" si="400"/>
        <v>35.999999999999993</v>
      </c>
      <c r="CK195" s="113">
        <f t="shared" si="401"/>
        <v>25</v>
      </c>
      <c r="CL195" s="113">
        <f t="shared" si="402"/>
        <v>0</v>
      </c>
      <c r="CM195" s="113">
        <f t="shared" si="403"/>
        <v>7.9999999999999973</v>
      </c>
      <c r="CN195" s="459">
        <f t="shared" si="404"/>
        <v>3</v>
      </c>
      <c r="CO195" s="461">
        <f t="shared" si="405"/>
        <v>65.666666666666629</v>
      </c>
      <c r="CP195" s="582">
        <f t="shared" si="406"/>
        <v>34.666666666666693</v>
      </c>
      <c r="CQ195" s="113">
        <f t="shared" si="407"/>
        <v>33.666666666666686</v>
      </c>
      <c r="CR195" s="113">
        <f t="shared" si="408"/>
        <v>0</v>
      </c>
      <c r="CS195" s="113">
        <f t="shared" si="409"/>
        <v>1</v>
      </c>
      <c r="CT195" s="460">
        <f t="shared" si="410"/>
        <v>0</v>
      </c>
      <c r="CU195" s="582">
        <f t="shared" si="411"/>
        <v>30.999999999999996</v>
      </c>
      <c r="CV195" s="113">
        <f t="shared" si="412"/>
        <v>22.999999999999989</v>
      </c>
      <c r="CW195" s="113">
        <f t="shared" si="413"/>
        <v>0</v>
      </c>
      <c r="CX195" s="113">
        <f t="shared" si="414"/>
        <v>8</v>
      </c>
      <c r="CY195" s="459">
        <f t="shared" si="415"/>
        <v>0</v>
      </c>
      <c r="CZ195" s="461">
        <f t="shared" si="416"/>
        <v>15.000000000000005</v>
      </c>
      <c r="DA195" s="582">
        <f t="shared" si="417"/>
        <v>3</v>
      </c>
      <c r="DB195" s="113">
        <f t="shared" si="418"/>
        <v>0</v>
      </c>
      <c r="DC195" s="113">
        <f t="shared" si="419"/>
        <v>0</v>
      </c>
      <c r="DD195" s="113">
        <f t="shared" si="420"/>
        <v>3</v>
      </c>
      <c r="DE195" s="460">
        <f t="shared" si="421"/>
        <v>0</v>
      </c>
      <c r="DF195" s="582">
        <f t="shared" si="422"/>
        <v>12.000000000000004</v>
      </c>
      <c r="DG195" s="113">
        <f t="shared" si="423"/>
        <v>11.000000000000007</v>
      </c>
      <c r="DH195" s="113">
        <f t="shared" si="424"/>
        <v>0</v>
      </c>
      <c r="DI195" s="113">
        <f t="shared" si="425"/>
        <v>1</v>
      </c>
      <c r="DJ195" s="459">
        <f t="shared" si="426"/>
        <v>0</v>
      </c>
      <c r="DK195" s="461">
        <f t="shared" si="427"/>
        <v>0</v>
      </c>
      <c r="DL195" s="582">
        <f t="shared" si="428"/>
        <v>0</v>
      </c>
      <c r="DM195" s="113">
        <f t="shared" si="429"/>
        <v>0</v>
      </c>
      <c r="DN195" s="113">
        <f t="shared" si="430"/>
        <v>0</v>
      </c>
      <c r="DO195" s="113">
        <f t="shared" si="431"/>
        <v>0</v>
      </c>
      <c r="DP195" s="460">
        <f t="shared" si="432"/>
        <v>0</v>
      </c>
      <c r="DQ195" s="582">
        <f t="shared" si="433"/>
        <v>1</v>
      </c>
      <c r="DR195" s="113">
        <f t="shared" si="434"/>
        <v>1</v>
      </c>
      <c r="DS195" s="113">
        <f t="shared" si="435"/>
        <v>0</v>
      </c>
      <c r="DT195" s="113">
        <f t="shared" si="436"/>
        <v>0</v>
      </c>
      <c r="DU195" s="459">
        <f t="shared" si="437"/>
        <v>0</v>
      </c>
      <c r="DW195" s="461">
        <f t="shared" si="315"/>
        <v>1109.3333333333335</v>
      </c>
      <c r="DX195" s="582">
        <f t="shared" si="315"/>
        <v>608.33333333333348</v>
      </c>
      <c r="DY195" s="113">
        <f t="shared" si="314"/>
        <v>509.66666666666657</v>
      </c>
      <c r="DZ195" s="113">
        <f t="shared" si="314"/>
        <v>0</v>
      </c>
      <c r="EA195" s="113">
        <f t="shared" si="314"/>
        <v>98.666666666666686</v>
      </c>
      <c r="EB195" s="460">
        <f t="shared" si="314"/>
        <v>0</v>
      </c>
      <c r="EC195" s="582">
        <f t="shared" si="314"/>
        <v>502.00000000000006</v>
      </c>
      <c r="ED195" s="113">
        <f t="shared" si="314"/>
        <v>336.66666666666669</v>
      </c>
      <c r="EE195" s="113">
        <f t="shared" si="314"/>
        <v>0</v>
      </c>
      <c r="EF195" s="113">
        <f t="shared" si="314"/>
        <v>123.66666666666666</v>
      </c>
      <c r="EG195" s="459">
        <f t="shared" si="314"/>
        <v>41.666666666666664</v>
      </c>
      <c r="EH195" s="461">
        <f t="shared" si="313"/>
        <v>329</v>
      </c>
      <c r="EI195" s="582">
        <f t="shared" si="312"/>
        <v>192.66666666666671</v>
      </c>
      <c r="EJ195" s="113">
        <f t="shared" si="312"/>
        <v>160.99999999999997</v>
      </c>
      <c r="EK195" s="113">
        <f t="shared" si="312"/>
        <v>0</v>
      </c>
      <c r="EL195" s="113">
        <f t="shared" si="312"/>
        <v>31.666666666666647</v>
      </c>
      <c r="EM195" s="460">
        <f t="shared" si="312"/>
        <v>0</v>
      </c>
      <c r="EN195" s="582">
        <f t="shared" si="312"/>
        <v>136.33333333333337</v>
      </c>
      <c r="EO195" s="113">
        <f t="shared" si="312"/>
        <v>88.666666666666629</v>
      </c>
      <c r="EP195" s="113">
        <f t="shared" si="141"/>
        <v>0</v>
      </c>
      <c r="EQ195" s="113">
        <f t="shared" si="141"/>
        <v>34.666666666666686</v>
      </c>
      <c r="ER195" s="459">
        <f t="shared" si="141"/>
        <v>13.000000000000002</v>
      </c>
    </row>
    <row r="196" spans="1:148">
      <c r="A196" s="665" t="s">
        <v>412</v>
      </c>
      <c r="B196" s="665">
        <v>43983</v>
      </c>
      <c r="C196" s="666">
        <v>2020</v>
      </c>
      <c r="D196" s="461">
        <f t="shared" ref="D196" si="444">D85/3+D195</f>
        <v>2644323</v>
      </c>
      <c r="E196" s="461">
        <f t="shared" si="317"/>
        <v>38056.000000000007</v>
      </c>
      <c r="F196" s="582">
        <f t="shared" si="318"/>
        <v>20862.000000000007</v>
      </c>
      <c r="G196" s="113">
        <f t="shared" si="319"/>
        <v>16969</v>
      </c>
      <c r="H196" s="113">
        <f t="shared" si="320"/>
        <v>0</v>
      </c>
      <c r="I196" s="113">
        <f t="shared" si="321"/>
        <v>3893.0000000000009</v>
      </c>
      <c r="J196" s="460">
        <f t="shared" si="322"/>
        <v>0</v>
      </c>
      <c r="K196" s="582">
        <f t="shared" si="323"/>
        <v>17193.999999999996</v>
      </c>
      <c r="L196" s="113">
        <f t="shared" si="324"/>
        <v>11501</v>
      </c>
      <c r="M196" s="113">
        <f t="shared" si="325"/>
        <v>0</v>
      </c>
      <c r="N196" s="113">
        <f t="shared" si="326"/>
        <v>4142</v>
      </c>
      <c r="O196" s="459">
        <f t="shared" si="327"/>
        <v>1550.9999999999993</v>
      </c>
      <c r="P196" s="461">
        <f t="shared" si="328"/>
        <v>70.000000000000014</v>
      </c>
      <c r="Q196" s="582">
        <f t="shared" si="329"/>
        <v>33</v>
      </c>
      <c r="R196" s="113">
        <f t="shared" si="330"/>
        <v>26.999999999999996</v>
      </c>
      <c r="S196" s="113">
        <f t="shared" si="331"/>
        <v>0</v>
      </c>
      <c r="T196" s="113">
        <f t="shared" si="332"/>
        <v>5.9999999999999991</v>
      </c>
      <c r="U196" s="460">
        <f t="shared" si="333"/>
        <v>0</v>
      </c>
      <c r="V196" s="582">
        <f t="shared" si="334"/>
        <v>37.000000000000007</v>
      </c>
      <c r="W196" s="113">
        <f t="shared" si="335"/>
        <v>23.000000000000007</v>
      </c>
      <c r="X196" s="113">
        <f t="shared" si="336"/>
        <v>0</v>
      </c>
      <c r="Y196" s="113">
        <f t="shared" si="337"/>
        <v>11.000000000000002</v>
      </c>
      <c r="Z196" s="459">
        <f t="shared" si="338"/>
        <v>3</v>
      </c>
      <c r="AA196" s="461">
        <f t="shared" si="339"/>
        <v>44.000000000000014</v>
      </c>
      <c r="AB196" s="582">
        <f t="shared" si="340"/>
        <v>15.000000000000004</v>
      </c>
      <c r="AC196" s="113">
        <f t="shared" si="341"/>
        <v>10.000000000000002</v>
      </c>
      <c r="AD196" s="113">
        <f t="shared" si="342"/>
        <v>0</v>
      </c>
      <c r="AE196" s="113">
        <f t="shared" si="343"/>
        <v>4.9999999999999991</v>
      </c>
      <c r="AF196" s="460">
        <f t="shared" si="344"/>
        <v>0</v>
      </c>
      <c r="AG196" s="582">
        <f t="shared" si="345"/>
        <v>29.000000000000004</v>
      </c>
      <c r="AH196" s="113">
        <f t="shared" si="346"/>
        <v>23.999999999999996</v>
      </c>
      <c r="AI196" s="113">
        <f t="shared" si="347"/>
        <v>0</v>
      </c>
      <c r="AJ196" s="113">
        <f t="shared" si="348"/>
        <v>1</v>
      </c>
      <c r="AK196" s="459">
        <f t="shared" si="349"/>
        <v>4</v>
      </c>
      <c r="AL196" s="461">
        <f t="shared" si="350"/>
        <v>335</v>
      </c>
      <c r="AM196" s="582">
        <f t="shared" si="351"/>
        <v>197.00000000000006</v>
      </c>
      <c r="AN196" s="113">
        <f t="shared" si="352"/>
        <v>164.99999999999997</v>
      </c>
      <c r="AO196" s="113">
        <f t="shared" si="353"/>
        <v>0</v>
      </c>
      <c r="AP196" s="113">
        <f t="shared" si="354"/>
        <v>31.999999999999979</v>
      </c>
      <c r="AQ196" s="460">
        <f t="shared" si="355"/>
        <v>0</v>
      </c>
      <c r="AR196" s="582">
        <f t="shared" si="356"/>
        <v>138.00000000000003</v>
      </c>
      <c r="AS196" s="113">
        <f t="shared" si="357"/>
        <v>89.999999999999957</v>
      </c>
      <c r="AT196" s="113">
        <f t="shared" si="358"/>
        <v>0</v>
      </c>
      <c r="AU196" s="113">
        <f t="shared" si="359"/>
        <v>35.000000000000021</v>
      </c>
      <c r="AV196" s="459">
        <f t="shared" si="360"/>
        <v>13.000000000000002</v>
      </c>
      <c r="AW196" s="461">
        <f t="shared" si="361"/>
        <v>205.00000000000011</v>
      </c>
      <c r="AX196" s="582">
        <f t="shared" si="362"/>
        <v>108.99999999999997</v>
      </c>
      <c r="AY196" s="113">
        <f t="shared" si="363"/>
        <v>94.999999999999972</v>
      </c>
      <c r="AZ196" s="113">
        <f t="shared" si="364"/>
        <v>0</v>
      </c>
      <c r="BA196" s="113">
        <f t="shared" si="365"/>
        <v>14.000000000000005</v>
      </c>
      <c r="BB196" s="460">
        <f t="shared" si="366"/>
        <v>0</v>
      </c>
      <c r="BC196" s="582">
        <f t="shared" si="367"/>
        <v>96.000000000000028</v>
      </c>
      <c r="BD196" s="113">
        <f t="shared" si="368"/>
        <v>72.999999999999986</v>
      </c>
      <c r="BE196" s="113">
        <f t="shared" si="369"/>
        <v>0</v>
      </c>
      <c r="BF196" s="113">
        <f t="shared" si="370"/>
        <v>16.000000000000007</v>
      </c>
      <c r="BG196" s="459">
        <f t="shared" si="371"/>
        <v>6.9999999999999991</v>
      </c>
      <c r="BH196" s="461">
        <f t="shared" si="372"/>
        <v>253.00000000000003</v>
      </c>
      <c r="BI196" s="582">
        <f t="shared" si="373"/>
        <v>155</v>
      </c>
      <c r="BJ196" s="113">
        <f t="shared" si="374"/>
        <v>135.99999999999997</v>
      </c>
      <c r="BK196" s="113">
        <f t="shared" si="375"/>
        <v>0</v>
      </c>
      <c r="BL196" s="113">
        <f t="shared" si="376"/>
        <v>19</v>
      </c>
      <c r="BM196" s="460">
        <f t="shared" si="377"/>
        <v>0</v>
      </c>
      <c r="BN196" s="582">
        <f t="shared" si="378"/>
        <v>98.000000000000028</v>
      </c>
      <c r="BO196" s="113">
        <f t="shared" si="379"/>
        <v>59.000000000000014</v>
      </c>
      <c r="BP196" s="113">
        <f t="shared" si="380"/>
        <v>0</v>
      </c>
      <c r="BQ196" s="113">
        <f t="shared" si="381"/>
        <v>30.999999999999996</v>
      </c>
      <c r="BR196" s="459">
        <f t="shared" si="382"/>
        <v>7.9999999999999991</v>
      </c>
      <c r="BS196" s="461">
        <f t="shared" si="383"/>
        <v>382.00000000000011</v>
      </c>
      <c r="BT196" s="582">
        <f t="shared" si="384"/>
        <v>217.00000000000006</v>
      </c>
      <c r="BU196" s="113">
        <f t="shared" si="385"/>
        <v>174.99999999999994</v>
      </c>
      <c r="BV196" s="113">
        <f t="shared" si="386"/>
        <v>0</v>
      </c>
      <c r="BW196" s="113">
        <f t="shared" si="387"/>
        <v>42.000000000000014</v>
      </c>
      <c r="BX196" s="460">
        <f t="shared" si="388"/>
        <v>0</v>
      </c>
      <c r="BY196" s="582">
        <f t="shared" si="389"/>
        <v>165</v>
      </c>
      <c r="BZ196" s="113">
        <f t="shared" si="390"/>
        <v>99.000000000000028</v>
      </c>
      <c r="CA196" s="113">
        <f t="shared" si="391"/>
        <v>0</v>
      </c>
      <c r="CB196" s="113">
        <f t="shared" si="392"/>
        <v>48.999999999999979</v>
      </c>
      <c r="CC196" s="459">
        <f t="shared" si="393"/>
        <v>16.999999999999996</v>
      </c>
      <c r="CD196" s="461">
        <f t="shared" si="394"/>
        <v>89.000000000000014</v>
      </c>
      <c r="CE196" s="582">
        <f t="shared" si="395"/>
        <v>53.000000000000028</v>
      </c>
      <c r="CF196" s="113">
        <f t="shared" si="396"/>
        <v>43</v>
      </c>
      <c r="CG196" s="113">
        <f t="shared" si="397"/>
        <v>0</v>
      </c>
      <c r="CH196" s="113">
        <f t="shared" si="398"/>
        <v>10</v>
      </c>
      <c r="CI196" s="460">
        <f t="shared" si="399"/>
        <v>0</v>
      </c>
      <c r="CJ196" s="582">
        <f t="shared" si="400"/>
        <v>35.999999999999993</v>
      </c>
      <c r="CK196" s="113">
        <f t="shared" si="401"/>
        <v>25</v>
      </c>
      <c r="CL196" s="113">
        <f t="shared" si="402"/>
        <v>0</v>
      </c>
      <c r="CM196" s="113">
        <f t="shared" si="403"/>
        <v>7.9999999999999973</v>
      </c>
      <c r="CN196" s="459">
        <f t="shared" si="404"/>
        <v>3</v>
      </c>
      <c r="CO196" s="461">
        <f t="shared" si="405"/>
        <v>65.999999999999957</v>
      </c>
      <c r="CP196" s="582">
        <f t="shared" si="406"/>
        <v>35.000000000000028</v>
      </c>
      <c r="CQ196" s="113">
        <f t="shared" si="407"/>
        <v>34.000000000000021</v>
      </c>
      <c r="CR196" s="113">
        <f t="shared" si="408"/>
        <v>0</v>
      </c>
      <c r="CS196" s="113">
        <f t="shared" si="409"/>
        <v>1</v>
      </c>
      <c r="CT196" s="460">
        <f t="shared" si="410"/>
        <v>0</v>
      </c>
      <c r="CU196" s="582">
        <f t="shared" si="411"/>
        <v>30.999999999999996</v>
      </c>
      <c r="CV196" s="113">
        <f t="shared" si="412"/>
        <v>22.999999999999989</v>
      </c>
      <c r="CW196" s="113">
        <f t="shared" si="413"/>
        <v>0</v>
      </c>
      <c r="CX196" s="113">
        <f t="shared" si="414"/>
        <v>8</v>
      </c>
      <c r="CY196" s="459">
        <f t="shared" si="415"/>
        <v>0</v>
      </c>
      <c r="CZ196" s="461">
        <f t="shared" si="416"/>
        <v>15.000000000000005</v>
      </c>
      <c r="DA196" s="582">
        <f t="shared" si="417"/>
        <v>3</v>
      </c>
      <c r="DB196" s="113">
        <f t="shared" si="418"/>
        <v>0</v>
      </c>
      <c r="DC196" s="113">
        <f t="shared" si="419"/>
        <v>0</v>
      </c>
      <c r="DD196" s="113">
        <f t="shared" si="420"/>
        <v>3</v>
      </c>
      <c r="DE196" s="460">
        <f t="shared" si="421"/>
        <v>0</v>
      </c>
      <c r="DF196" s="582">
        <f t="shared" si="422"/>
        <v>12.000000000000004</v>
      </c>
      <c r="DG196" s="113">
        <f t="shared" si="423"/>
        <v>11.000000000000007</v>
      </c>
      <c r="DH196" s="113">
        <f t="shared" si="424"/>
        <v>0</v>
      </c>
      <c r="DI196" s="113">
        <f t="shared" si="425"/>
        <v>1</v>
      </c>
      <c r="DJ196" s="459">
        <f t="shared" si="426"/>
        <v>0</v>
      </c>
      <c r="DK196" s="461">
        <f t="shared" si="427"/>
        <v>0</v>
      </c>
      <c r="DL196" s="582">
        <f t="shared" si="428"/>
        <v>0</v>
      </c>
      <c r="DM196" s="113">
        <f t="shared" si="429"/>
        <v>0</v>
      </c>
      <c r="DN196" s="113">
        <f t="shared" si="430"/>
        <v>0</v>
      </c>
      <c r="DO196" s="113">
        <f t="shared" si="431"/>
        <v>0</v>
      </c>
      <c r="DP196" s="460">
        <f t="shared" si="432"/>
        <v>0</v>
      </c>
      <c r="DQ196" s="582">
        <f t="shared" si="433"/>
        <v>1</v>
      </c>
      <c r="DR196" s="113">
        <f t="shared" si="434"/>
        <v>1</v>
      </c>
      <c r="DS196" s="113">
        <f t="shared" si="435"/>
        <v>0</v>
      </c>
      <c r="DT196" s="113">
        <f t="shared" si="436"/>
        <v>0</v>
      </c>
      <c r="DU196" s="459">
        <f t="shared" si="437"/>
        <v>0</v>
      </c>
      <c r="DW196" s="461">
        <f t="shared" si="315"/>
        <v>1124.0000000000002</v>
      </c>
      <c r="DX196" s="582">
        <f t="shared" si="315"/>
        <v>620</v>
      </c>
      <c r="DY196" s="113">
        <f t="shared" si="314"/>
        <v>519.99999999999989</v>
      </c>
      <c r="DZ196" s="113">
        <f t="shared" si="314"/>
        <v>0</v>
      </c>
      <c r="EA196" s="113">
        <f t="shared" si="314"/>
        <v>100.00000000000001</v>
      </c>
      <c r="EB196" s="460">
        <f t="shared" si="314"/>
        <v>0</v>
      </c>
      <c r="EC196" s="582">
        <f t="shared" si="314"/>
        <v>505.00000000000011</v>
      </c>
      <c r="ED196" s="113">
        <f t="shared" si="314"/>
        <v>338</v>
      </c>
      <c r="EE196" s="113">
        <f t="shared" si="314"/>
        <v>0</v>
      </c>
      <c r="EF196" s="113">
        <f t="shared" si="314"/>
        <v>124.99999999999997</v>
      </c>
      <c r="EG196" s="459">
        <f t="shared" si="314"/>
        <v>42</v>
      </c>
      <c r="EH196" s="461">
        <f t="shared" si="313"/>
        <v>335</v>
      </c>
      <c r="EI196" s="582">
        <f t="shared" si="312"/>
        <v>197.00000000000006</v>
      </c>
      <c r="EJ196" s="113">
        <f t="shared" si="312"/>
        <v>164.99999999999997</v>
      </c>
      <c r="EK196" s="113">
        <f t="shared" si="312"/>
        <v>0</v>
      </c>
      <c r="EL196" s="113">
        <f t="shared" si="312"/>
        <v>31.999999999999979</v>
      </c>
      <c r="EM196" s="460">
        <f t="shared" si="312"/>
        <v>0</v>
      </c>
      <c r="EN196" s="582">
        <f t="shared" si="312"/>
        <v>138.00000000000003</v>
      </c>
      <c r="EO196" s="113">
        <f t="shared" si="312"/>
        <v>89.999999999999957</v>
      </c>
      <c r="EP196" s="113">
        <f t="shared" si="141"/>
        <v>0</v>
      </c>
      <c r="EQ196" s="113">
        <f t="shared" si="141"/>
        <v>35.000000000000021</v>
      </c>
      <c r="ER196" s="459">
        <f t="shared" si="141"/>
        <v>13.000000000000002</v>
      </c>
    </row>
    <row r="197" spans="1:148">
      <c r="A197" s="665" t="s">
        <v>413</v>
      </c>
      <c r="B197" s="665">
        <v>44013</v>
      </c>
      <c r="C197" s="666">
        <v>2020</v>
      </c>
      <c r="D197" s="461">
        <f t="shared" ref="D197" si="445">D86/3+D196</f>
        <v>2710458.3333333335</v>
      </c>
      <c r="E197" s="461">
        <f t="shared" si="317"/>
        <v>39245.333333333343</v>
      </c>
      <c r="F197" s="582">
        <f t="shared" si="318"/>
        <v>21797.666666666675</v>
      </c>
      <c r="G197" s="113">
        <f t="shared" si="319"/>
        <v>17462</v>
      </c>
      <c r="H197" s="113">
        <f t="shared" si="320"/>
        <v>0</v>
      </c>
      <c r="I197" s="113">
        <f t="shared" si="321"/>
        <v>4335.6666666666679</v>
      </c>
      <c r="J197" s="460">
        <f t="shared" si="322"/>
        <v>0</v>
      </c>
      <c r="K197" s="582">
        <f t="shared" si="323"/>
        <v>17447.666666666664</v>
      </c>
      <c r="L197" s="113">
        <f t="shared" si="324"/>
        <v>11609</v>
      </c>
      <c r="M197" s="113">
        <f t="shared" si="325"/>
        <v>0</v>
      </c>
      <c r="N197" s="113">
        <f t="shared" si="326"/>
        <v>4277</v>
      </c>
      <c r="O197" s="459">
        <f t="shared" si="327"/>
        <v>1561.6666666666661</v>
      </c>
      <c r="P197" s="461">
        <f t="shared" si="328"/>
        <v>72.333333333333343</v>
      </c>
      <c r="Q197" s="582">
        <f t="shared" si="329"/>
        <v>35</v>
      </c>
      <c r="R197" s="113">
        <f t="shared" si="330"/>
        <v>28.333333333333329</v>
      </c>
      <c r="S197" s="113">
        <f t="shared" si="331"/>
        <v>0</v>
      </c>
      <c r="T197" s="113">
        <f t="shared" si="332"/>
        <v>6.6666666666666661</v>
      </c>
      <c r="U197" s="460">
        <f t="shared" si="333"/>
        <v>0</v>
      </c>
      <c r="V197" s="582">
        <f t="shared" si="334"/>
        <v>37.333333333333343</v>
      </c>
      <c r="W197" s="113">
        <f t="shared" si="335"/>
        <v>23.333333333333339</v>
      </c>
      <c r="X197" s="113">
        <f t="shared" si="336"/>
        <v>0</v>
      </c>
      <c r="Y197" s="113">
        <f t="shared" si="337"/>
        <v>11.000000000000002</v>
      </c>
      <c r="Z197" s="459">
        <f t="shared" si="338"/>
        <v>3</v>
      </c>
      <c r="AA197" s="461">
        <f t="shared" si="339"/>
        <v>46.33333333333335</v>
      </c>
      <c r="AB197" s="582">
        <f t="shared" si="340"/>
        <v>16.666666666666671</v>
      </c>
      <c r="AC197" s="113">
        <f t="shared" si="341"/>
        <v>11.000000000000002</v>
      </c>
      <c r="AD197" s="113">
        <f t="shared" si="342"/>
        <v>0</v>
      </c>
      <c r="AE197" s="113">
        <f t="shared" si="343"/>
        <v>5.6666666666666661</v>
      </c>
      <c r="AF197" s="460">
        <f t="shared" si="344"/>
        <v>0</v>
      </c>
      <c r="AG197" s="582">
        <f t="shared" si="345"/>
        <v>29.666666666666671</v>
      </c>
      <c r="AH197" s="113">
        <f t="shared" si="346"/>
        <v>24.666666666666664</v>
      </c>
      <c r="AI197" s="113">
        <f t="shared" si="347"/>
        <v>0</v>
      </c>
      <c r="AJ197" s="113">
        <f t="shared" si="348"/>
        <v>1</v>
      </c>
      <c r="AK197" s="459">
        <f t="shared" si="349"/>
        <v>4</v>
      </c>
      <c r="AL197" s="461">
        <f t="shared" si="350"/>
        <v>344.66666666666669</v>
      </c>
      <c r="AM197" s="582">
        <f t="shared" si="351"/>
        <v>205.3333333333334</v>
      </c>
      <c r="AN197" s="113">
        <f t="shared" si="352"/>
        <v>169.33333333333331</v>
      </c>
      <c r="AO197" s="113">
        <f t="shared" si="353"/>
        <v>0</v>
      </c>
      <c r="AP197" s="113">
        <f t="shared" si="354"/>
        <v>35.999999999999979</v>
      </c>
      <c r="AQ197" s="460">
        <f t="shared" si="355"/>
        <v>0</v>
      </c>
      <c r="AR197" s="582">
        <f t="shared" si="356"/>
        <v>139.33333333333337</v>
      </c>
      <c r="AS197" s="113">
        <f t="shared" si="357"/>
        <v>89.999999999999957</v>
      </c>
      <c r="AT197" s="113">
        <f t="shared" si="358"/>
        <v>0</v>
      </c>
      <c r="AU197" s="113">
        <f t="shared" si="359"/>
        <v>36.000000000000021</v>
      </c>
      <c r="AV197" s="459">
        <f t="shared" si="360"/>
        <v>13.333333333333336</v>
      </c>
      <c r="AW197" s="461">
        <f t="shared" si="361"/>
        <v>209.66666666666677</v>
      </c>
      <c r="AX197" s="582">
        <f t="shared" si="362"/>
        <v>112.66666666666664</v>
      </c>
      <c r="AY197" s="113">
        <f t="shared" si="363"/>
        <v>95.999999999999972</v>
      </c>
      <c r="AZ197" s="113">
        <f t="shared" si="364"/>
        <v>0</v>
      </c>
      <c r="BA197" s="113">
        <f t="shared" si="365"/>
        <v>16.666666666666671</v>
      </c>
      <c r="BB197" s="460">
        <f t="shared" si="366"/>
        <v>0</v>
      </c>
      <c r="BC197" s="582">
        <f t="shared" si="367"/>
        <v>97.000000000000028</v>
      </c>
      <c r="BD197" s="113">
        <f t="shared" si="368"/>
        <v>73.333333333333314</v>
      </c>
      <c r="BE197" s="113">
        <f t="shared" si="369"/>
        <v>0</v>
      </c>
      <c r="BF197" s="113">
        <f t="shared" si="370"/>
        <v>16.666666666666675</v>
      </c>
      <c r="BG197" s="459">
        <f t="shared" si="371"/>
        <v>6.9999999999999991</v>
      </c>
      <c r="BH197" s="461">
        <f t="shared" si="372"/>
        <v>259</v>
      </c>
      <c r="BI197" s="582">
        <f t="shared" si="373"/>
        <v>160.33333333333334</v>
      </c>
      <c r="BJ197" s="113">
        <f t="shared" si="374"/>
        <v>139.33333333333331</v>
      </c>
      <c r="BK197" s="113">
        <f t="shared" si="375"/>
        <v>0</v>
      </c>
      <c r="BL197" s="113">
        <f t="shared" si="376"/>
        <v>21</v>
      </c>
      <c r="BM197" s="460">
        <f t="shared" si="377"/>
        <v>0</v>
      </c>
      <c r="BN197" s="582">
        <f t="shared" si="378"/>
        <v>98.6666666666667</v>
      </c>
      <c r="BO197" s="113">
        <f t="shared" si="379"/>
        <v>59.33333333333335</v>
      </c>
      <c r="BP197" s="113">
        <f t="shared" si="380"/>
        <v>0</v>
      </c>
      <c r="BQ197" s="113">
        <f t="shared" si="381"/>
        <v>31.333333333333329</v>
      </c>
      <c r="BR197" s="459">
        <f t="shared" si="382"/>
        <v>7.9999999999999991</v>
      </c>
      <c r="BS197" s="461">
        <f t="shared" si="383"/>
        <v>392.6666666666668</v>
      </c>
      <c r="BT197" s="582">
        <f t="shared" si="384"/>
        <v>227.3333333333334</v>
      </c>
      <c r="BU197" s="113">
        <f t="shared" si="385"/>
        <v>180.99999999999994</v>
      </c>
      <c r="BV197" s="113">
        <f t="shared" si="386"/>
        <v>0</v>
      </c>
      <c r="BW197" s="113">
        <f t="shared" si="387"/>
        <v>46.33333333333335</v>
      </c>
      <c r="BX197" s="460">
        <f t="shared" si="388"/>
        <v>0</v>
      </c>
      <c r="BY197" s="582">
        <f t="shared" si="389"/>
        <v>165.33333333333334</v>
      </c>
      <c r="BZ197" s="113">
        <f t="shared" si="390"/>
        <v>99.333333333333357</v>
      </c>
      <c r="CA197" s="113">
        <f t="shared" si="391"/>
        <v>0</v>
      </c>
      <c r="CB197" s="113">
        <f t="shared" si="392"/>
        <v>48.999999999999979</v>
      </c>
      <c r="CC197" s="459">
        <f t="shared" si="393"/>
        <v>16.999999999999996</v>
      </c>
      <c r="CD197" s="461">
        <f t="shared" si="394"/>
        <v>91.000000000000014</v>
      </c>
      <c r="CE197" s="582">
        <f t="shared" si="395"/>
        <v>55.000000000000028</v>
      </c>
      <c r="CF197" s="113">
        <f t="shared" si="396"/>
        <v>44</v>
      </c>
      <c r="CG197" s="113">
        <f t="shared" si="397"/>
        <v>0</v>
      </c>
      <c r="CH197" s="113">
        <f t="shared" si="398"/>
        <v>11</v>
      </c>
      <c r="CI197" s="460">
        <f t="shared" si="399"/>
        <v>0</v>
      </c>
      <c r="CJ197" s="582">
        <f t="shared" si="400"/>
        <v>35.999999999999993</v>
      </c>
      <c r="CK197" s="113">
        <f t="shared" si="401"/>
        <v>25</v>
      </c>
      <c r="CL197" s="113">
        <f t="shared" si="402"/>
        <v>0</v>
      </c>
      <c r="CM197" s="113">
        <f t="shared" si="403"/>
        <v>7.9999999999999973</v>
      </c>
      <c r="CN197" s="459">
        <f t="shared" si="404"/>
        <v>3</v>
      </c>
      <c r="CO197" s="461">
        <f t="shared" si="405"/>
        <v>67.666666666666629</v>
      </c>
      <c r="CP197" s="582">
        <f t="shared" si="406"/>
        <v>36.666666666666693</v>
      </c>
      <c r="CQ197" s="113">
        <f t="shared" si="407"/>
        <v>34.666666666666686</v>
      </c>
      <c r="CR197" s="113">
        <f t="shared" si="408"/>
        <v>0</v>
      </c>
      <c r="CS197" s="113">
        <f t="shared" si="409"/>
        <v>2</v>
      </c>
      <c r="CT197" s="460">
        <f t="shared" si="410"/>
        <v>0</v>
      </c>
      <c r="CU197" s="582">
        <f t="shared" si="411"/>
        <v>30.999999999999996</v>
      </c>
      <c r="CV197" s="113">
        <f t="shared" si="412"/>
        <v>22.999999999999989</v>
      </c>
      <c r="CW197" s="113">
        <f t="shared" si="413"/>
        <v>0</v>
      </c>
      <c r="CX197" s="113">
        <f t="shared" si="414"/>
        <v>8</v>
      </c>
      <c r="CY197" s="459">
        <f t="shared" si="415"/>
        <v>0</v>
      </c>
      <c r="CZ197" s="461">
        <f t="shared" si="416"/>
        <v>16.333333333333339</v>
      </c>
      <c r="DA197" s="582">
        <f t="shared" si="417"/>
        <v>4</v>
      </c>
      <c r="DB197" s="113">
        <f t="shared" si="418"/>
        <v>1</v>
      </c>
      <c r="DC197" s="113">
        <f t="shared" si="419"/>
        <v>0</v>
      </c>
      <c r="DD197" s="113">
        <f t="shared" si="420"/>
        <v>3</v>
      </c>
      <c r="DE197" s="460">
        <f t="shared" si="421"/>
        <v>0</v>
      </c>
      <c r="DF197" s="582">
        <f t="shared" si="422"/>
        <v>12.333333333333337</v>
      </c>
      <c r="DG197" s="113">
        <f t="shared" si="423"/>
        <v>11.333333333333341</v>
      </c>
      <c r="DH197" s="113">
        <f t="shared" si="424"/>
        <v>0</v>
      </c>
      <c r="DI197" s="113">
        <f t="shared" si="425"/>
        <v>1</v>
      </c>
      <c r="DJ197" s="459">
        <f t="shared" si="426"/>
        <v>0</v>
      </c>
      <c r="DK197" s="461">
        <f t="shared" si="427"/>
        <v>0</v>
      </c>
      <c r="DL197" s="582">
        <f t="shared" si="428"/>
        <v>0</v>
      </c>
      <c r="DM197" s="113">
        <f t="shared" si="429"/>
        <v>0</v>
      </c>
      <c r="DN197" s="113">
        <f t="shared" si="430"/>
        <v>0</v>
      </c>
      <c r="DO197" s="113">
        <f t="shared" si="431"/>
        <v>0</v>
      </c>
      <c r="DP197" s="460">
        <f t="shared" si="432"/>
        <v>0</v>
      </c>
      <c r="DQ197" s="582">
        <f t="shared" si="433"/>
        <v>1</v>
      </c>
      <c r="DR197" s="113">
        <f t="shared" si="434"/>
        <v>1</v>
      </c>
      <c r="DS197" s="113">
        <f t="shared" si="435"/>
        <v>0</v>
      </c>
      <c r="DT197" s="113">
        <f t="shared" si="436"/>
        <v>0</v>
      </c>
      <c r="DU197" s="459">
        <f t="shared" si="437"/>
        <v>0</v>
      </c>
      <c r="DW197" s="461">
        <f t="shared" si="315"/>
        <v>1155.0000000000002</v>
      </c>
      <c r="DX197" s="582">
        <f t="shared" si="315"/>
        <v>647.66666666666674</v>
      </c>
      <c r="DY197" s="113">
        <f t="shared" si="314"/>
        <v>535.33333333333326</v>
      </c>
      <c r="DZ197" s="113">
        <f t="shared" si="314"/>
        <v>0</v>
      </c>
      <c r="EA197" s="113">
        <f t="shared" si="314"/>
        <v>112.33333333333334</v>
      </c>
      <c r="EB197" s="460">
        <f t="shared" si="314"/>
        <v>0</v>
      </c>
      <c r="EC197" s="582">
        <f t="shared" si="314"/>
        <v>508.33333333333343</v>
      </c>
      <c r="ED197" s="113">
        <f t="shared" si="314"/>
        <v>340.33333333333331</v>
      </c>
      <c r="EE197" s="113">
        <f t="shared" si="314"/>
        <v>0</v>
      </c>
      <c r="EF197" s="113">
        <f t="shared" si="314"/>
        <v>125.99999999999999</v>
      </c>
      <c r="EG197" s="459">
        <f t="shared" si="314"/>
        <v>42</v>
      </c>
      <c r="EH197" s="461">
        <f t="shared" si="313"/>
        <v>344.66666666666669</v>
      </c>
      <c r="EI197" s="582">
        <f t="shared" si="312"/>
        <v>205.3333333333334</v>
      </c>
      <c r="EJ197" s="113">
        <f t="shared" si="312"/>
        <v>169.33333333333331</v>
      </c>
      <c r="EK197" s="113">
        <f t="shared" si="312"/>
        <v>0</v>
      </c>
      <c r="EL197" s="113">
        <f t="shared" si="312"/>
        <v>35.999999999999979</v>
      </c>
      <c r="EM197" s="460">
        <f t="shared" si="312"/>
        <v>0</v>
      </c>
      <c r="EN197" s="582">
        <f t="shared" si="312"/>
        <v>139.33333333333337</v>
      </c>
      <c r="EO197" s="113">
        <f t="shared" si="312"/>
        <v>89.999999999999957</v>
      </c>
      <c r="EP197" s="113">
        <f t="shared" si="141"/>
        <v>0</v>
      </c>
      <c r="EQ197" s="113">
        <f t="shared" si="141"/>
        <v>36.000000000000021</v>
      </c>
      <c r="ER197" s="459">
        <f t="shared" si="141"/>
        <v>13.333333333333336</v>
      </c>
    </row>
    <row r="198" spans="1:148">
      <c r="A198" s="665" t="s">
        <v>413</v>
      </c>
      <c r="B198" s="665">
        <v>44044</v>
      </c>
      <c r="C198" s="666">
        <v>2020</v>
      </c>
      <c r="D198" s="461">
        <f t="shared" ref="D198" si="446">D87/3+D197</f>
        <v>2776593.666666667</v>
      </c>
      <c r="E198" s="461">
        <f t="shared" si="317"/>
        <v>40434.666666666679</v>
      </c>
      <c r="F198" s="582">
        <f t="shared" si="318"/>
        <v>22733.333333333343</v>
      </c>
      <c r="G198" s="113">
        <f t="shared" si="319"/>
        <v>17955</v>
      </c>
      <c r="H198" s="113">
        <f t="shared" si="320"/>
        <v>0</v>
      </c>
      <c r="I198" s="113">
        <f t="shared" si="321"/>
        <v>4778.3333333333348</v>
      </c>
      <c r="J198" s="460">
        <f t="shared" si="322"/>
        <v>0</v>
      </c>
      <c r="K198" s="582">
        <f t="shared" si="323"/>
        <v>17701.333333333332</v>
      </c>
      <c r="L198" s="113">
        <f t="shared" si="324"/>
        <v>11717</v>
      </c>
      <c r="M198" s="113">
        <f t="shared" si="325"/>
        <v>0</v>
      </c>
      <c r="N198" s="113">
        <f t="shared" si="326"/>
        <v>4412</v>
      </c>
      <c r="O198" s="459">
        <f t="shared" si="327"/>
        <v>1572.3333333333328</v>
      </c>
      <c r="P198" s="461">
        <f t="shared" si="328"/>
        <v>74.666666666666671</v>
      </c>
      <c r="Q198" s="582">
        <f t="shared" si="329"/>
        <v>37</v>
      </c>
      <c r="R198" s="113">
        <f t="shared" si="330"/>
        <v>29.666666666666661</v>
      </c>
      <c r="S198" s="113">
        <f t="shared" si="331"/>
        <v>0</v>
      </c>
      <c r="T198" s="113">
        <f t="shared" si="332"/>
        <v>7.333333333333333</v>
      </c>
      <c r="U198" s="460">
        <f t="shared" si="333"/>
        <v>0</v>
      </c>
      <c r="V198" s="582">
        <f t="shared" si="334"/>
        <v>37.666666666666679</v>
      </c>
      <c r="W198" s="113">
        <f t="shared" si="335"/>
        <v>23.666666666666671</v>
      </c>
      <c r="X198" s="113">
        <f t="shared" si="336"/>
        <v>0</v>
      </c>
      <c r="Y198" s="113">
        <f t="shared" si="337"/>
        <v>11.000000000000002</v>
      </c>
      <c r="Z198" s="459">
        <f t="shared" si="338"/>
        <v>3</v>
      </c>
      <c r="AA198" s="461">
        <f t="shared" si="339"/>
        <v>48.666666666666686</v>
      </c>
      <c r="AB198" s="582">
        <f t="shared" si="340"/>
        <v>18.333333333333339</v>
      </c>
      <c r="AC198" s="113">
        <f t="shared" si="341"/>
        <v>12.000000000000002</v>
      </c>
      <c r="AD198" s="113">
        <f t="shared" si="342"/>
        <v>0</v>
      </c>
      <c r="AE198" s="113">
        <f t="shared" si="343"/>
        <v>6.333333333333333</v>
      </c>
      <c r="AF198" s="460">
        <f t="shared" si="344"/>
        <v>0</v>
      </c>
      <c r="AG198" s="582">
        <f t="shared" si="345"/>
        <v>30.333333333333339</v>
      </c>
      <c r="AH198" s="113">
        <f t="shared" si="346"/>
        <v>25.333333333333332</v>
      </c>
      <c r="AI198" s="113">
        <f t="shared" si="347"/>
        <v>0</v>
      </c>
      <c r="AJ198" s="113">
        <f t="shared" si="348"/>
        <v>1</v>
      </c>
      <c r="AK198" s="459">
        <f t="shared" si="349"/>
        <v>4</v>
      </c>
      <c r="AL198" s="461">
        <f t="shared" si="350"/>
        <v>354.33333333333337</v>
      </c>
      <c r="AM198" s="582">
        <f t="shared" si="351"/>
        <v>213.66666666666674</v>
      </c>
      <c r="AN198" s="113">
        <f t="shared" si="352"/>
        <v>173.66666666666666</v>
      </c>
      <c r="AO198" s="113">
        <f t="shared" si="353"/>
        <v>0</v>
      </c>
      <c r="AP198" s="113">
        <f t="shared" si="354"/>
        <v>39.999999999999979</v>
      </c>
      <c r="AQ198" s="460">
        <f t="shared" si="355"/>
        <v>0</v>
      </c>
      <c r="AR198" s="582">
        <f t="shared" si="356"/>
        <v>140.66666666666671</v>
      </c>
      <c r="AS198" s="113">
        <f t="shared" si="357"/>
        <v>89.999999999999957</v>
      </c>
      <c r="AT198" s="113">
        <f t="shared" si="358"/>
        <v>0</v>
      </c>
      <c r="AU198" s="113">
        <f t="shared" si="359"/>
        <v>37.000000000000021</v>
      </c>
      <c r="AV198" s="459">
        <f t="shared" si="360"/>
        <v>13.66666666666667</v>
      </c>
      <c r="AW198" s="461">
        <f t="shared" si="361"/>
        <v>214.33333333333343</v>
      </c>
      <c r="AX198" s="582">
        <f t="shared" si="362"/>
        <v>116.33333333333331</v>
      </c>
      <c r="AY198" s="113">
        <f t="shared" si="363"/>
        <v>96.999999999999972</v>
      </c>
      <c r="AZ198" s="113">
        <f t="shared" si="364"/>
        <v>0</v>
      </c>
      <c r="BA198" s="113">
        <f t="shared" si="365"/>
        <v>19.333333333333339</v>
      </c>
      <c r="BB198" s="460">
        <f t="shared" si="366"/>
        <v>0</v>
      </c>
      <c r="BC198" s="582">
        <f t="shared" si="367"/>
        <v>98.000000000000028</v>
      </c>
      <c r="BD198" s="113">
        <f t="shared" si="368"/>
        <v>73.666666666666643</v>
      </c>
      <c r="BE198" s="113">
        <f t="shared" si="369"/>
        <v>0</v>
      </c>
      <c r="BF198" s="113">
        <f t="shared" si="370"/>
        <v>17.333333333333343</v>
      </c>
      <c r="BG198" s="459">
        <f t="shared" si="371"/>
        <v>6.9999999999999991</v>
      </c>
      <c r="BH198" s="461">
        <f t="shared" si="372"/>
        <v>265</v>
      </c>
      <c r="BI198" s="582">
        <f t="shared" si="373"/>
        <v>165.66666666666669</v>
      </c>
      <c r="BJ198" s="113">
        <f t="shared" si="374"/>
        <v>142.66666666666666</v>
      </c>
      <c r="BK198" s="113">
        <f t="shared" si="375"/>
        <v>0</v>
      </c>
      <c r="BL198" s="113">
        <f t="shared" si="376"/>
        <v>23</v>
      </c>
      <c r="BM198" s="460">
        <f t="shared" si="377"/>
        <v>0</v>
      </c>
      <c r="BN198" s="582">
        <f t="shared" si="378"/>
        <v>99.333333333333371</v>
      </c>
      <c r="BO198" s="113">
        <f t="shared" si="379"/>
        <v>59.666666666666686</v>
      </c>
      <c r="BP198" s="113">
        <f t="shared" si="380"/>
        <v>0</v>
      </c>
      <c r="BQ198" s="113">
        <f t="shared" si="381"/>
        <v>31.666666666666661</v>
      </c>
      <c r="BR198" s="459">
        <f t="shared" si="382"/>
        <v>7.9999999999999991</v>
      </c>
      <c r="BS198" s="461">
        <f t="shared" si="383"/>
        <v>403.33333333333348</v>
      </c>
      <c r="BT198" s="582">
        <f t="shared" si="384"/>
        <v>237.66666666666674</v>
      </c>
      <c r="BU198" s="113">
        <f t="shared" si="385"/>
        <v>186.99999999999994</v>
      </c>
      <c r="BV198" s="113">
        <f t="shared" si="386"/>
        <v>0</v>
      </c>
      <c r="BW198" s="113">
        <f t="shared" si="387"/>
        <v>50.666666666666686</v>
      </c>
      <c r="BX198" s="460">
        <f t="shared" si="388"/>
        <v>0</v>
      </c>
      <c r="BY198" s="582">
        <f t="shared" si="389"/>
        <v>165.66666666666669</v>
      </c>
      <c r="BZ198" s="113">
        <f t="shared" si="390"/>
        <v>99.666666666666686</v>
      </c>
      <c r="CA198" s="113">
        <f t="shared" si="391"/>
        <v>0</v>
      </c>
      <c r="CB198" s="113">
        <f t="shared" si="392"/>
        <v>48.999999999999979</v>
      </c>
      <c r="CC198" s="459">
        <f t="shared" si="393"/>
        <v>16.999999999999996</v>
      </c>
      <c r="CD198" s="461">
        <f t="shared" si="394"/>
        <v>93.000000000000014</v>
      </c>
      <c r="CE198" s="582">
        <f t="shared" si="395"/>
        <v>57.000000000000028</v>
      </c>
      <c r="CF198" s="113">
        <f t="shared" si="396"/>
        <v>45</v>
      </c>
      <c r="CG198" s="113">
        <f t="shared" si="397"/>
        <v>0</v>
      </c>
      <c r="CH198" s="113">
        <f t="shared" si="398"/>
        <v>12</v>
      </c>
      <c r="CI198" s="460">
        <f t="shared" si="399"/>
        <v>0</v>
      </c>
      <c r="CJ198" s="582">
        <f t="shared" si="400"/>
        <v>35.999999999999993</v>
      </c>
      <c r="CK198" s="113">
        <f t="shared" si="401"/>
        <v>25</v>
      </c>
      <c r="CL198" s="113">
        <f t="shared" si="402"/>
        <v>0</v>
      </c>
      <c r="CM198" s="113">
        <f t="shared" si="403"/>
        <v>7.9999999999999973</v>
      </c>
      <c r="CN198" s="459">
        <f t="shared" si="404"/>
        <v>3</v>
      </c>
      <c r="CO198" s="461">
        <f t="shared" si="405"/>
        <v>69.3333333333333</v>
      </c>
      <c r="CP198" s="582">
        <f t="shared" si="406"/>
        <v>38.333333333333357</v>
      </c>
      <c r="CQ198" s="113">
        <f t="shared" si="407"/>
        <v>35.33333333333335</v>
      </c>
      <c r="CR198" s="113">
        <f t="shared" si="408"/>
        <v>0</v>
      </c>
      <c r="CS198" s="113">
        <f t="shared" si="409"/>
        <v>3</v>
      </c>
      <c r="CT198" s="460">
        <f t="shared" si="410"/>
        <v>0</v>
      </c>
      <c r="CU198" s="582">
        <f t="shared" si="411"/>
        <v>30.999999999999996</v>
      </c>
      <c r="CV198" s="113">
        <f t="shared" si="412"/>
        <v>22.999999999999989</v>
      </c>
      <c r="CW198" s="113">
        <f t="shared" si="413"/>
        <v>0</v>
      </c>
      <c r="CX198" s="113">
        <f t="shared" si="414"/>
        <v>8</v>
      </c>
      <c r="CY198" s="459">
        <f t="shared" si="415"/>
        <v>0</v>
      </c>
      <c r="CZ198" s="461">
        <f t="shared" si="416"/>
        <v>17.666666666666671</v>
      </c>
      <c r="DA198" s="582">
        <f t="shared" si="417"/>
        <v>5</v>
      </c>
      <c r="DB198" s="113">
        <f t="shared" si="418"/>
        <v>2</v>
      </c>
      <c r="DC198" s="113">
        <f t="shared" si="419"/>
        <v>0</v>
      </c>
      <c r="DD198" s="113">
        <f t="shared" si="420"/>
        <v>3</v>
      </c>
      <c r="DE198" s="460">
        <f t="shared" si="421"/>
        <v>0</v>
      </c>
      <c r="DF198" s="582">
        <f t="shared" si="422"/>
        <v>12.666666666666671</v>
      </c>
      <c r="DG198" s="113">
        <f t="shared" si="423"/>
        <v>11.666666666666675</v>
      </c>
      <c r="DH198" s="113">
        <f t="shared" si="424"/>
        <v>0</v>
      </c>
      <c r="DI198" s="113">
        <f t="shared" si="425"/>
        <v>1</v>
      </c>
      <c r="DJ198" s="459">
        <f t="shared" si="426"/>
        <v>0</v>
      </c>
      <c r="DK198" s="461">
        <f t="shared" si="427"/>
        <v>0</v>
      </c>
      <c r="DL198" s="582">
        <f t="shared" si="428"/>
        <v>0</v>
      </c>
      <c r="DM198" s="113">
        <f t="shared" si="429"/>
        <v>0</v>
      </c>
      <c r="DN198" s="113">
        <f t="shared" si="430"/>
        <v>0</v>
      </c>
      <c r="DO198" s="113">
        <f t="shared" si="431"/>
        <v>0</v>
      </c>
      <c r="DP198" s="460">
        <f t="shared" si="432"/>
        <v>0</v>
      </c>
      <c r="DQ198" s="582">
        <f t="shared" si="433"/>
        <v>1</v>
      </c>
      <c r="DR198" s="113">
        <f t="shared" si="434"/>
        <v>1</v>
      </c>
      <c r="DS198" s="113">
        <f t="shared" si="435"/>
        <v>0</v>
      </c>
      <c r="DT198" s="113">
        <f t="shared" si="436"/>
        <v>0</v>
      </c>
      <c r="DU198" s="459">
        <f t="shared" si="437"/>
        <v>0</v>
      </c>
      <c r="DW198" s="461">
        <f t="shared" si="315"/>
        <v>1186.0000000000002</v>
      </c>
      <c r="DX198" s="582">
        <f t="shared" si="315"/>
        <v>675.33333333333348</v>
      </c>
      <c r="DY198" s="113">
        <f t="shared" si="314"/>
        <v>550.66666666666663</v>
      </c>
      <c r="DZ198" s="113">
        <f t="shared" si="314"/>
        <v>0</v>
      </c>
      <c r="EA198" s="113">
        <f t="shared" si="314"/>
        <v>124.66666666666669</v>
      </c>
      <c r="EB198" s="460">
        <f t="shared" si="314"/>
        <v>0</v>
      </c>
      <c r="EC198" s="582">
        <f t="shared" si="314"/>
        <v>511.6666666666668</v>
      </c>
      <c r="ED198" s="113">
        <f t="shared" si="314"/>
        <v>342.66666666666669</v>
      </c>
      <c r="EE198" s="113">
        <f t="shared" si="314"/>
        <v>0</v>
      </c>
      <c r="EF198" s="113">
        <f t="shared" si="314"/>
        <v>126.99999999999997</v>
      </c>
      <c r="EG198" s="459">
        <f t="shared" si="314"/>
        <v>42</v>
      </c>
      <c r="EH198" s="461">
        <f t="shared" si="313"/>
        <v>354.33333333333337</v>
      </c>
      <c r="EI198" s="582">
        <f t="shared" si="312"/>
        <v>213.66666666666674</v>
      </c>
      <c r="EJ198" s="113">
        <f t="shared" si="312"/>
        <v>173.66666666666666</v>
      </c>
      <c r="EK198" s="113">
        <f t="shared" si="312"/>
        <v>0</v>
      </c>
      <c r="EL198" s="113">
        <f t="shared" si="312"/>
        <v>39.999999999999979</v>
      </c>
      <c r="EM198" s="460">
        <f t="shared" si="312"/>
        <v>0</v>
      </c>
      <c r="EN198" s="582">
        <f t="shared" si="312"/>
        <v>140.66666666666671</v>
      </c>
      <c r="EO198" s="113">
        <f t="shared" si="312"/>
        <v>89.999999999999957</v>
      </c>
      <c r="EP198" s="113">
        <f t="shared" si="141"/>
        <v>0</v>
      </c>
      <c r="EQ198" s="113">
        <f t="shared" si="141"/>
        <v>37.000000000000021</v>
      </c>
      <c r="ER198" s="459">
        <f t="shared" si="141"/>
        <v>13.66666666666667</v>
      </c>
    </row>
    <row r="199" spans="1:148">
      <c r="A199" s="665" t="s">
        <v>413</v>
      </c>
      <c r="B199" s="665">
        <v>44075</v>
      </c>
      <c r="C199" s="666">
        <v>2020</v>
      </c>
      <c r="D199" s="461">
        <f t="shared" ref="D199" si="447">D88/3+D198</f>
        <v>2842729.0000000005</v>
      </c>
      <c r="E199" s="461">
        <f t="shared" si="317"/>
        <v>41624.000000000015</v>
      </c>
      <c r="F199" s="582">
        <f t="shared" si="318"/>
        <v>23669.000000000011</v>
      </c>
      <c r="G199" s="113">
        <f t="shared" si="319"/>
        <v>18448</v>
      </c>
      <c r="H199" s="113">
        <f t="shared" si="320"/>
        <v>0</v>
      </c>
      <c r="I199" s="113">
        <f t="shared" si="321"/>
        <v>5221.0000000000018</v>
      </c>
      <c r="J199" s="460">
        <f t="shared" si="322"/>
        <v>0</v>
      </c>
      <c r="K199" s="582">
        <f t="shared" si="323"/>
        <v>17955</v>
      </c>
      <c r="L199" s="113">
        <f t="shared" si="324"/>
        <v>11825</v>
      </c>
      <c r="M199" s="113">
        <f t="shared" si="325"/>
        <v>0</v>
      </c>
      <c r="N199" s="113">
        <f t="shared" si="326"/>
        <v>4547</v>
      </c>
      <c r="O199" s="459">
        <f t="shared" si="327"/>
        <v>1582.9999999999995</v>
      </c>
      <c r="P199" s="461">
        <f t="shared" si="328"/>
        <v>77</v>
      </c>
      <c r="Q199" s="582">
        <f t="shared" si="329"/>
        <v>39</v>
      </c>
      <c r="R199" s="113">
        <f t="shared" si="330"/>
        <v>30.999999999999993</v>
      </c>
      <c r="S199" s="113">
        <f t="shared" si="331"/>
        <v>0</v>
      </c>
      <c r="T199" s="113">
        <f t="shared" si="332"/>
        <v>8</v>
      </c>
      <c r="U199" s="460">
        <f t="shared" si="333"/>
        <v>0</v>
      </c>
      <c r="V199" s="582">
        <f t="shared" si="334"/>
        <v>38.000000000000014</v>
      </c>
      <c r="W199" s="113">
        <f t="shared" si="335"/>
        <v>24.000000000000004</v>
      </c>
      <c r="X199" s="113">
        <f t="shared" si="336"/>
        <v>0</v>
      </c>
      <c r="Y199" s="113">
        <f t="shared" si="337"/>
        <v>11.000000000000002</v>
      </c>
      <c r="Z199" s="459">
        <f t="shared" si="338"/>
        <v>3</v>
      </c>
      <c r="AA199" s="461">
        <f t="shared" si="339"/>
        <v>51.000000000000021</v>
      </c>
      <c r="AB199" s="582">
        <f t="shared" si="340"/>
        <v>20.000000000000007</v>
      </c>
      <c r="AC199" s="113">
        <f t="shared" si="341"/>
        <v>13.000000000000002</v>
      </c>
      <c r="AD199" s="113">
        <f t="shared" si="342"/>
        <v>0</v>
      </c>
      <c r="AE199" s="113">
        <f t="shared" si="343"/>
        <v>7</v>
      </c>
      <c r="AF199" s="460">
        <f t="shared" si="344"/>
        <v>0</v>
      </c>
      <c r="AG199" s="582">
        <f t="shared" si="345"/>
        <v>31.000000000000007</v>
      </c>
      <c r="AH199" s="113">
        <f t="shared" si="346"/>
        <v>26</v>
      </c>
      <c r="AI199" s="113">
        <f t="shared" si="347"/>
        <v>0</v>
      </c>
      <c r="AJ199" s="113">
        <f t="shared" si="348"/>
        <v>1</v>
      </c>
      <c r="AK199" s="459">
        <f t="shared" si="349"/>
        <v>4</v>
      </c>
      <c r="AL199" s="461">
        <f t="shared" si="350"/>
        <v>364.00000000000006</v>
      </c>
      <c r="AM199" s="582">
        <f t="shared" si="351"/>
        <v>222.00000000000009</v>
      </c>
      <c r="AN199" s="113">
        <f t="shared" si="352"/>
        <v>178</v>
      </c>
      <c r="AO199" s="113">
        <f t="shared" si="353"/>
        <v>0</v>
      </c>
      <c r="AP199" s="113">
        <f t="shared" si="354"/>
        <v>43.999999999999979</v>
      </c>
      <c r="AQ199" s="460">
        <f t="shared" si="355"/>
        <v>0</v>
      </c>
      <c r="AR199" s="582">
        <f t="shared" si="356"/>
        <v>142.00000000000006</v>
      </c>
      <c r="AS199" s="113">
        <f t="shared" si="357"/>
        <v>89.999999999999957</v>
      </c>
      <c r="AT199" s="113">
        <f t="shared" si="358"/>
        <v>0</v>
      </c>
      <c r="AU199" s="113">
        <f t="shared" si="359"/>
        <v>38.000000000000021</v>
      </c>
      <c r="AV199" s="459">
        <f t="shared" si="360"/>
        <v>14.000000000000004</v>
      </c>
      <c r="AW199" s="461">
        <f t="shared" si="361"/>
        <v>219.00000000000009</v>
      </c>
      <c r="AX199" s="582">
        <f t="shared" si="362"/>
        <v>119.99999999999999</v>
      </c>
      <c r="AY199" s="113">
        <f t="shared" si="363"/>
        <v>97.999999999999972</v>
      </c>
      <c r="AZ199" s="113">
        <f t="shared" si="364"/>
        <v>0</v>
      </c>
      <c r="BA199" s="113">
        <f t="shared" si="365"/>
        <v>22.000000000000007</v>
      </c>
      <c r="BB199" s="460">
        <f t="shared" si="366"/>
        <v>0</v>
      </c>
      <c r="BC199" s="582">
        <f t="shared" si="367"/>
        <v>99.000000000000028</v>
      </c>
      <c r="BD199" s="113">
        <f t="shared" si="368"/>
        <v>73.999999999999972</v>
      </c>
      <c r="BE199" s="113">
        <f t="shared" si="369"/>
        <v>0</v>
      </c>
      <c r="BF199" s="113">
        <f t="shared" si="370"/>
        <v>18.000000000000011</v>
      </c>
      <c r="BG199" s="459">
        <f t="shared" si="371"/>
        <v>6.9999999999999991</v>
      </c>
      <c r="BH199" s="461">
        <f t="shared" si="372"/>
        <v>271</v>
      </c>
      <c r="BI199" s="582">
        <f t="shared" si="373"/>
        <v>171.00000000000003</v>
      </c>
      <c r="BJ199" s="113">
        <f t="shared" si="374"/>
        <v>146</v>
      </c>
      <c r="BK199" s="113">
        <f t="shared" si="375"/>
        <v>0</v>
      </c>
      <c r="BL199" s="113">
        <f t="shared" si="376"/>
        <v>25</v>
      </c>
      <c r="BM199" s="460">
        <f t="shared" si="377"/>
        <v>0</v>
      </c>
      <c r="BN199" s="582">
        <f t="shared" si="378"/>
        <v>100.00000000000004</v>
      </c>
      <c r="BO199" s="113">
        <f t="shared" si="379"/>
        <v>60.000000000000021</v>
      </c>
      <c r="BP199" s="113">
        <f t="shared" si="380"/>
        <v>0</v>
      </c>
      <c r="BQ199" s="113">
        <f t="shared" si="381"/>
        <v>31.999999999999993</v>
      </c>
      <c r="BR199" s="459">
        <f t="shared" si="382"/>
        <v>7.9999999999999991</v>
      </c>
      <c r="BS199" s="461">
        <f t="shared" si="383"/>
        <v>414.00000000000017</v>
      </c>
      <c r="BT199" s="582">
        <f t="shared" si="384"/>
        <v>248.00000000000009</v>
      </c>
      <c r="BU199" s="113">
        <f t="shared" si="385"/>
        <v>192.99999999999994</v>
      </c>
      <c r="BV199" s="113">
        <f t="shared" si="386"/>
        <v>0</v>
      </c>
      <c r="BW199" s="113">
        <f t="shared" si="387"/>
        <v>55.000000000000021</v>
      </c>
      <c r="BX199" s="460">
        <f t="shared" si="388"/>
        <v>0</v>
      </c>
      <c r="BY199" s="582">
        <f t="shared" si="389"/>
        <v>166.00000000000003</v>
      </c>
      <c r="BZ199" s="113">
        <f t="shared" si="390"/>
        <v>100.00000000000001</v>
      </c>
      <c r="CA199" s="113">
        <f t="shared" si="391"/>
        <v>0</v>
      </c>
      <c r="CB199" s="113">
        <f t="shared" si="392"/>
        <v>48.999999999999979</v>
      </c>
      <c r="CC199" s="459">
        <f t="shared" si="393"/>
        <v>16.999999999999996</v>
      </c>
      <c r="CD199" s="461">
        <f t="shared" si="394"/>
        <v>95.000000000000014</v>
      </c>
      <c r="CE199" s="582">
        <f t="shared" si="395"/>
        <v>59.000000000000028</v>
      </c>
      <c r="CF199" s="113">
        <f t="shared" si="396"/>
        <v>46</v>
      </c>
      <c r="CG199" s="113">
        <f t="shared" si="397"/>
        <v>0</v>
      </c>
      <c r="CH199" s="113">
        <f t="shared" si="398"/>
        <v>13</v>
      </c>
      <c r="CI199" s="460">
        <f t="shared" si="399"/>
        <v>0</v>
      </c>
      <c r="CJ199" s="582">
        <f t="shared" si="400"/>
        <v>35.999999999999993</v>
      </c>
      <c r="CK199" s="113">
        <f t="shared" si="401"/>
        <v>25</v>
      </c>
      <c r="CL199" s="113">
        <f t="shared" si="402"/>
        <v>0</v>
      </c>
      <c r="CM199" s="113">
        <f t="shared" si="403"/>
        <v>7.9999999999999973</v>
      </c>
      <c r="CN199" s="459">
        <f t="shared" si="404"/>
        <v>3</v>
      </c>
      <c r="CO199" s="461">
        <f t="shared" si="405"/>
        <v>70.999999999999972</v>
      </c>
      <c r="CP199" s="582">
        <f t="shared" si="406"/>
        <v>40.000000000000021</v>
      </c>
      <c r="CQ199" s="113">
        <f t="shared" si="407"/>
        <v>36.000000000000014</v>
      </c>
      <c r="CR199" s="113">
        <f t="shared" si="408"/>
        <v>0</v>
      </c>
      <c r="CS199" s="113">
        <f t="shared" si="409"/>
        <v>4</v>
      </c>
      <c r="CT199" s="460">
        <f t="shared" si="410"/>
        <v>0</v>
      </c>
      <c r="CU199" s="582">
        <f t="shared" si="411"/>
        <v>30.999999999999996</v>
      </c>
      <c r="CV199" s="113">
        <f t="shared" si="412"/>
        <v>22.999999999999989</v>
      </c>
      <c r="CW199" s="113">
        <f t="shared" si="413"/>
        <v>0</v>
      </c>
      <c r="CX199" s="113">
        <f t="shared" si="414"/>
        <v>8</v>
      </c>
      <c r="CY199" s="459">
        <f t="shared" si="415"/>
        <v>0</v>
      </c>
      <c r="CZ199" s="461">
        <f t="shared" si="416"/>
        <v>19.000000000000004</v>
      </c>
      <c r="DA199" s="582">
        <f t="shared" si="417"/>
        <v>6</v>
      </c>
      <c r="DB199" s="113">
        <f t="shared" si="418"/>
        <v>3</v>
      </c>
      <c r="DC199" s="113">
        <f t="shared" si="419"/>
        <v>0</v>
      </c>
      <c r="DD199" s="113">
        <f t="shared" si="420"/>
        <v>3</v>
      </c>
      <c r="DE199" s="460">
        <f t="shared" si="421"/>
        <v>0</v>
      </c>
      <c r="DF199" s="582">
        <f t="shared" si="422"/>
        <v>13.000000000000005</v>
      </c>
      <c r="DG199" s="113">
        <f t="shared" si="423"/>
        <v>12.000000000000009</v>
      </c>
      <c r="DH199" s="113">
        <f t="shared" si="424"/>
        <v>0</v>
      </c>
      <c r="DI199" s="113">
        <f t="shared" si="425"/>
        <v>1</v>
      </c>
      <c r="DJ199" s="459">
        <f t="shared" si="426"/>
        <v>0</v>
      </c>
      <c r="DK199" s="461">
        <f t="shared" si="427"/>
        <v>0</v>
      </c>
      <c r="DL199" s="582">
        <f t="shared" si="428"/>
        <v>0</v>
      </c>
      <c r="DM199" s="113">
        <f t="shared" si="429"/>
        <v>0</v>
      </c>
      <c r="DN199" s="113">
        <f t="shared" si="430"/>
        <v>0</v>
      </c>
      <c r="DO199" s="113">
        <f t="shared" si="431"/>
        <v>0</v>
      </c>
      <c r="DP199" s="460">
        <f t="shared" si="432"/>
        <v>0</v>
      </c>
      <c r="DQ199" s="582">
        <f t="shared" si="433"/>
        <v>1</v>
      </c>
      <c r="DR199" s="113">
        <f t="shared" si="434"/>
        <v>1</v>
      </c>
      <c r="DS199" s="113">
        <f t="shared" si="435"/>
        <v>0</v>
      </c>
      <c r="DT199" s="113">
        <f t="shared" si="436"/>
        <v>0</v>
      </c>
      <c r="DU199" s="459">
        <f t="shared" si="437"/>
        <v>0</v>
      </c>
      <c r="DW199" s="461">
        <f t="shared" si="315"/>
        <v>1217.0000000000002</v>
      </c>
      <c r="DX199" s="582">
        <f t="shared" si="315"/>
        <v>703.00000000000011</v>
      </c>
      <c r="DY199" s="113">
        <f t="shared" si="314"/>
        <v>566</v>
      </c>
      <c r="DZ199" s="113">
        <f t="shared" si="314"/>
        <v>0</v>
      </c>
      <c r="EA199" s="113">
        <f t="shared" si="314"/>
        <v>137.00000000000003</v>
      </c>
      <c r="EB199" s="460">
        <f t="shared" si="314"/>
        <v>0</v>
      </c>
      <c r="EC199" s="582">
        <f t="shared" si="314"/>
        <v>515.00000000000011</v>
      </c>
      <c r="ED199" s="113">
        <f t="shared" si="314"/>
        <v>345</v>
      </c>
      <c r="EE199" s="113">
        <f t="shared" si="314"/>
        <v>0</v>
      </c>
      <c r="EF199" s="113">
        <f t="shared" si="314"/>
        <v>127.99999999999999</v>
      </c>
      <c r="EG199" s="459">
        <f t="shared" si="314"/>
        <v>42</v>
      </c>
      <c r="EH199" s="461">
        <f t="shared" si="313"/>
        <v>364.00000000000006</v>
      </c>
      <c r="EI199" s="582">
        <f t="shared" si="312"/>
        <v>222.00000000000009</v>
      </c>
      <c r="EJ199" s="113">
        <f t="shared" si="312"/>
        <v>178</v>
      </c>
      <c r="EK199" s="113">
        <f t="shared" si="312"/>
        <v>0</v>
      </c>
      <c r="EL199" s="113">
        <f t="shared" si="312"/>
        <v>43.999999999999979</v>
      </c>
      <c r="EM199" s="460">
        <f t="shared" si="312"/>
        <v>0</v>
      </c>
      <c r="EN199" s="582">
        <f t="shared" si="312"/>
        <v>142.00000000000006</v>
      </c>
      <c r="EO199" s="113">
        <f t="shared" si="312"/>
        <v>89.999999999999957</v>
      </c>
      <c r="EP199" s="113">
        <f t="shared" si="141"/>
        <v>0</v>
      </c>
      <c r="EQ199" s="113">
        <f t="shared" si="141"/>
        <v>38.000000000000021</v>
      </c>
      <c r="ER199" s="459">
        <f t="shared" si="141"/>
        <v>14.000000000000004</v>
      </c>
    </row>
    <row r="200" spans="1:148">
      <c r="A200" s="665" t="s">
        <v>414</v>
      </c>
      <c r="B200" s="665">
        <v>44105</v>
      </c>
      <c r="C200" s="666">
        <v>2020</v>
      </c>
      <c r="D200" s="461">
        <f t="shared" ref="D200" si="448">D89/3+D199</f>
        <v>2894020.333333334</v>
      </c>
      <c r="E200" s="461">
        <f t="shared" si="317"/>
        <v>42782.666666666679</v>
      </c>
      <c r="F200" s="582">
        <f t="shared" si="318"/>
        <v>24613.333333333343</v>
      </c>
      <c r="G200" s="113">
        <f t="shared" si="319"/>
        <v>18900.666666666668</v>
      </c>
      <c r="H200" s="113">
        <f t="shared" si="320"/>
        <v>0</v>
      </c>
      <c r="I200" s="113">
        <f t="shared" si="321"/>
        <v>5712.6666666666688</v>
      </c>
      <c r="J200" s="460">
        <f t="shared" si="322"/>
        <v>0</v>
      </c>
      <c r="K200" s="582">
        <f t="shared" si="323"/>
        <v>18169.333333333332</v>
      </c>
      <c r="L200" s="113">
        <f t="shared" si="324"/>
        <v>11898</v>
      </c>
      <c r="M200" s="113">
        <f t="shared" si="325"/>
        <v>0</v>
      </c>
      <c r="N200" s="113">
        <f t="shared" si="326"/>
        <v>4675</v>
      </c>
      <c r="O200" s="459">
        <f t="shared" si="327"/>
        <v>1596.3333333333328</v>
      </c>
      <c r="P200" s="461">
        <f t="shared" si="328"/>
        <v>78</v>
      </c>
      <c r="Q200" s="582">
        <f t="shared" si="329"/>
        <v>40</v>
      </c>
      <c r="R200" s="113">
        <f t="shared" si="330"/>
        <v>31.666666666666661</v>
      </c>
      <c r="S200" s="113">
        <f t="shared" si="331"/>
        <v>0</v>
      </c>
      <c r="T200" s="113">
        <f t="shared" si="332"/>
        <v>8.3333333333333339</v>
      </c>
      <c r="U200" s="460">
        <f t="shared" si="333"/>
        <v>0</v>
      </c>
      <c r="V200" s="582">
        <f t="shared" si="334"/>
        <v>38.000000000000014</v>
      </c>
      <c r="W200" s="113">
        <f t="shared" si="335"/>
        <v>24.000000000000004</v>
      </c>
      <c r="X200" s="113">
        <f t="shared" si="336"/>
        <v>0</v>
      </c>
      <c r="Y200" s="113">
        <f t="shared" si="337"/>
        <v>11.000000000000002</v>
      </c>
      <c r="Z200" s="459">
        <f t="shared" si="338"/>
        <v>3</v>
      </c>
      <c r="AA200" s="461">
        <f t="shared" si="339"/>
        <v>52.000000000000021</v>
      </c>
      <c r="AB200" s="582">
        <f t="shared" si="340"/>
        <v>21.000000000000007</v>
      </c>
      <c r="AC200" s="113">
        <f t="shared" si="341"/>
        <v>13.333333333333336</v>
      </c>
      <c r="AD200" s="113">
        <f t="shared" si="342"/>
        <v>0</v>
      </c>
      <c r="AE200" s="113">
        <f t="shared" si="343"/>
        <v>7.666666666666667</v>
      </c>
      <c r="AF200" s="460">
        <f t="shared" si="344"/>
        <v>0</v>
      </c>
      <c r="AG200" s="582">
        <f t="shared" si="345"/>
        <v>31.000000000000007</v>
      </c>
      <c r="AH200" s="113">
        <f t="shared" si="346"/>
        <v>26</v>
      </c>
      <c r="AI200" s="113">
        <f t="shared" si="347"/>
        <v>0</v>
      </c>
      <c r="AJ200" s="113">
        <f t="shared" si="348"/>
        <v>1</v>
      </c>
      <c r="AK200" s="459">
        <f t="shared" si="349"/>
        <v>4</v>
      </c>
      <c r="AL200" s="461">
        <f t="shared" si="350"/>
        <v>375.33333333333337</v>
      </c>
      <c r="AM200" s="582">
        <f t="shared" si="351"/>
        <v>232.66666666666674</v>
      </c>
      <c r="AN200" s="113">
        <f t="shared" si="352"/>
        <v>184</v>
      </c>
      <c r="AO200" s="113">
        <f t="shared" si="353"/>
        <v>0</v>
      </c>
      <c r="AP200" s="113">
        <f t="shared" si="354"/>
        <v>48.666666666666643</v>
      </c>
      <c r="AQ200" s="460">
        <f t="shared" si="355"/>
        <v>0</v>
      </c>
      <c r="AR200" s="582">
        <f t="shared" si="356"/>
        <v>142.66666666666671</v>
      </c>
      <c r="AS200" s="113">
        <f t="shared" si="357"/>
        <v>89.999999999999957</v>
      </c>
      <c r="AT200" s="113">
        <f t="shared" si="358"/>
        <v>0</v>
      </c>
      <c r="AU200" s="113">
        <f t="shared" si="359"/>
        <v>38.333333333333357</v>
      </c>
      <c r="AV200" s="459">
        <f t="shared" si="360"/>
        <v>14.333333333333337</v>
      </c>
      <c r="AW200" s="461">
        <f t="shared" si="361"/>
        <v>221.66666666666674</v>
      </c>
      <c r="AX200" s="582">
        <f t="shared" si="362"/>
        <v>122.33333333333331</v>
      </c>
      <c r="AY200" s="113">
        <f t="shared" si="363"/>
        <v>98.666666666666643</v>
      </c>
      <c r="AZ200" s="113">
        <f t="shared" si="364"/>
        <v>0</v>
      </c>
      <c r="BA200" s="113">
        <f t="shared" si="365"/>
        <v>23.666666666666675</v>
      </c>
      <c r="BB200" s="460">
        <f t="shared" si="366"/>
        <v>0</v>
      </c>
      <c r="BC200" s="582">
        <f t="shared" si="367"/>
        <v>99.333333333333357</v>
      </c>
      <c r="BD200" s="113">
        <f t="shared" si="368"/>
        <v>74.3333333333333</v>
      </c>
      <c r="BE200" s="113">
        <f t="shared" si="369"/>
        <v>0</v>
      </c>
      <c r="BF200" s="113">
        <f t="shared" si="370"/>
        <v>18.000000000000011</v>
      </c>
      <c r="BG200" s="459">
        <f t="shared" si="371"/>
        <v>6.9999999999999991</v>
      </c>
      <c r="BH200" s="461">
        <f t="shared" si="372"/>
        <v>278</v>
      </c>
      <c r="BI200" s="582">
        <f t="shared" si="373"/>
        <v>177.33333333333337</v>
      </c>
      <c r="BJ200" s="113">
        <f t="shared" si="374"/>
        <v>149.33333333333334</v>
      </c>
      <c r="BK200" s="113">
        <f t="shared" si="375"/>
        <v>0</v>
      </c>
      <c r="BL200" s="113">
        <f t="shared" si="376"/>
        <v>28</v>
      </c>
      <c r="BM200" s="460">
        <f t="shared" si="377"/>
        <v>0</v>
      </c>
      <c r="BN200" s="582">
        <f t="shared" si="378"/>
        <v>100.66666666666671</v>
      </c>
      <c r="BO200" s="113">
        <f t="shared" si="379"/>
        <v>60.000000000000021</v>
      </c>
      <c r="BP200" s="113">
        <f t="shared" si="380"/>
        <v>0</v>
      </c>
      <c r="BQ200" s="113">
        <f t="shared" si="381"/>
        <v>32.666666666666657</v>
      </c>
      <c r="BR200" s="459">
        <f t="shared" si="382"/>
        <v>7.9999999999999991</v>
      </c>
      <c r="BS200" s="461">
        <f t="shared" si="383"/>
        <v>430.66666666666686</v>
      </c>
      <c r="BT200" s="582">
        <f t="shared" si="384"/>
        <v>261.66666666666674</v>
      </c>
      <c r="BU200" s="113">
        <f t="shared" si="385"/>
        <v>197.99999999999994</v>
      </c>
      <c r="BV200" s="113">
        <f t="shared" si="386"/>
        <v>0</v>
      </c>
      <c r="BW200" s="113">
        <f t="shared" si="387"/>
        <v>63.666666666666686</v>
      </c>
      <c r="BX200" s="460">
        <f t="shared" si="388"/>
        <v>0</v>
      </c>
      <c r="BY200" s="582">
        <f t="shared" si="389"/>
        <v>169.00000000000003</v>
      </c>
      <c r="BZ200" s="113">
        <f t="shared" si="390"/>
        <v>100.33333333333334</v>
      </c>
      <c r="CA200" s="113">
        <f t="shared" si="391"/>
        <v>0</v>
      </c>
      <c r="CB200" s="113">
        <f t="shared" si="392"/>
        <v>51.666666666666643</v>
      </c>
      <c r="CC200" s="459">
        <f t="shared" si="393"/>
        <v>16.999999999999996</v>
      </c>
      <c r="CD200" s="461">
        <f t="shared" si="394"/>
        <v>96.333333333333343</v>
      </c>
      <c r="CE200" s="582">
        <f t="shared" si="395"/>
        <v>60.333333333333364</v>
      </c>
      <c r="CF200" s="113">
        <f t="shared" si="396"/>
        <v>46.666666666666664</v>
      </c>
      <c r="CG200" s="113">
        <f t="shared" si="397"/>
        <v>0</v>
      </c>
      <c r="CH200" s="113">
        <f t="shared" si="398"/>
        <v>13.666666666666666</v>
      </c>
      <c r="CI200" s="460">
        <f t="shared" si="399"/>
        <v>0</v>
      </c>
      <c r="CJ200" s="582">
        <f t="shared" si="400"/>
        <v>35.999999999999993</v>
      </c>
      <c r="CK200" s="113">
        <f t="shared" si="401"/>
        <v>25</v>
      </c>
      <c r="CL200" s="113">
        <f t="shared" si="402"/>
        <v>0</v>
      </c>
      <c r="CM200" s="113">
        <f t="shared" si="403"/>
        <v>7.9999999999999973</v>
      </c>
      <c r="CN200" s="459">
        <f t="shared" si="404"/>
        <v>3</v>
      </c>
      <c r="CO200" s="461">
        <f t="shared" si="405"/>
        <v>71.999999999999972</v>
      </c>
      <c r="CP200" s="582">
        <f t="shared" si="406"/>
        <v>40.333333333333357</v>
      </c>
      <c r="CQ200" s="113">
        <f t="shared" si="407"/>
        <v>36.000000000000014</v>
      </c>
      <c r="CR200" s="113">
        <f t="shared" si="408"/>
        <v>0</v>
      </c>
      <c r="CS200" s="113">
        <f t="shared" si="409"/>
        <v>4.333333333333333</v>
      </c>
      <c r="CT200" s="460">
        <f t="shared" si="410"/>
        <v>0</v>
      </c>
      <c r="CU200" s="582">
        <f t="shared" si="411"/>
        <v>31.666666666666664</v>
      </c>
      <c r="CV200" s="113">
        <f t="shared" si="412"/>
        <v>23.333333333333321</v>
      </c>
      <c r="CW200" s="113">
        <f t="shared" si="413"/>
        <v>0</v>
      </c>
      <c r="CX200" s="113">
        <f t="shared" si="414"/>
        <v>8.3333333333333339</v>
      </c>
      <c r="CY200" s="459">
        <f t="shared" si="415"/>
        <v>0</v>
      </c>
      <c r="CZ200" s="461">
        <f t="shared" si="416"/>
        <v>19.333333333333336</v>
      </c>
      <c r="DA200" s="582">
        <f t="shared" si="417"/>
        <v>6.333333333333333</v>
      </c>
      <c r="DB200" s="113">
        <f t="shared" si="418"/>
        <v>3.3333333333333335</v>
      </c>
      <c r="DC200" s="113">
        <f t="shared" si="419"/>
        <v>0</v>
      </c>
      <c r="DD200" s="113">
        <f t="shared" si="420"/>
        <v>3</v>
      </c>
      <c r="DE200" s="460">
        <f t="shared" si="421"/>
        <v>0</v>
      </c>
      <c r="DF200" s="582">
        <f t="shared" si="422"/>
        <v>13.000000000000005</v>
      </c>
      <c r="DG200" s="113">
        <f t="shared" si="423"/>
        <v>12.000000000000009</v>
      </c>
      <c r="DH200" s="113">
        <f t="shared" si="424"/>
        <v>0</v>
      </c>
      <c r="DI200" s="113">
        <f t="shared" si="425"/>
        <v>1</v>
      </c>
      <c r="DJ200" s="459">
        <f t="shared" si="426"/>
        <v>0</v>
      </c>
      <c r="DK200" s="461">
        <f t="shared" si="427"/>
        <v>0</v>
      </c>
      <c r="DL200" s="582">
        <f t="shared" si="428"/>
        <v>0</v>
      </c>
      <c r="DM200" s="113">
        <f t="shared" si="429"/>
        <v>0</v>
      </c>
      <c r="DN200" s="113">
        <f t="shared" si="430"/>
        <v>0</v>
      </c>
      <c r="DO200" s="113">
        <f t="shared" si="431"/>
        <v>0</v>
      </c>
      <c r="DP200" s="460">
        <f t="shared" si="432"/>
        <v>0</v>
      </c>
      <c r="DQ200" s="582">
        <f t="shared" si="433"/>
        <v>1</v>
      </c>
      <c r="DR200" s="113">
        <f t="shared" si="434"/>
        <v>1</v>
      </c>
      <c r="DS200" s="113">
        <f t="shared" si="435"/>
        <v>0</v>
      </c>
      <c r="DT200" s="113">
        <f t="shared" si="436"/>
        <v>0</v>
      </c>
      <c r="DU200" s="459">
        <f t="shared" si="437"/>
        <v>0</v>
      </c>
      <c r="DW200" s="461">
        <f t="shared" si="315"/>
        <v>1248</v>
      </c>
      <c r="DX200" s="582">
        <f t="shared" si="315"/>
        <v>729.3333333333336</v>
      </c>
      <c r="DY200" s="113">
        <f t="shared" si="314"/>
        <v>577</v>
      </c>
      <c r="DZ200" s="113">
        <f t="shared" si="314"/>
        <v>0</v>
      </c>
      <c r="EA200" s="113">
        <f t="shared" si="314"/>
        <v>152.33333333333337</v>
      </c>
      <c r="EB200" s="460">
        <f t="shared" si="314"/>
        <v>0</v>
      </c>
      <c r="EC200" s="582">
        <f t="shared" si="314"/>
        <v>519.66666666666686</v>
      </c>
      <c r="ED200" s="113">
        <f t="shared" si="314"/>
        <v>345.99999999999994</v>
      </c>
      <c r="EE200" s="113">
        <f t="shared" si="314"/>
        <v>0</v>
      </c>
      <c r="EF200" s="113">
        <f t="shared" si="314"/>
        <v>131.66666666666666</v>
      </c>
      <c r="EG200" s="459">
        <f t="shared" si="314"/>
        <v>42</v>
      </c>
      <c r="EH200" s="461">
        <f t="shared" si="313"/>
        <v>375.33333333333337</v>
      </c>
      <c r="EI200" s="582">
        <f t="shared" si="312"/>
        <v>232.66666666666674</v>
      </c>
      <c r="EJ200" s="113">
        <f t="shared" si="312"/>
        <v>184</v>
      </c>
      <c r="EK200" s="113">
        <f t="shared" si="312"/>
        <v>0</v>
      </c>
      <c r="EL200" s="113">
        <f t="shared" si="312"/>
        <v>48.666666666666643</v>
      </c>
      <c r="EM200" s="460">
        <f t="shared" si="312"/>
        <v>0</v>
      </c>
      <c r="EN200" s="582">
        <f t="shared" si="312"/>
        <v>142.66666666666671</v>
      </c>
      <c r="EO200" s="113">
        <f t="shared" si="312"/>
        <v>89.999999999999957</v>
      </c>
      <c r="EP200" s="113">
        <f t="shared" si="141"/>
        <v>0</v>
      </c>
      <c r="EQ200" s="113">
        <f t="shared" si="141"/>
        <v>38.333333333333357</v>
      </c>
      <c r="ER200" s="459">
        <f t="shared" si="141"/>
        <v>14.333333333333337</v>
      </c>
    </row>
    <row r="201" spans="1:148">
      <c r="A201" s="665" t="s">
        <v>414</v>
      </c>
      <c r="B201" s="665">
        <v>44136</v>
      </c>
      <c r="C201" s="666">
        <v>2020</v>
      </c>
      <c r="D201" s="461">
        <f t="shared" ref="D201" si="449">D90/3+D200</f>
        <v>2945311.6666666674</v>
      </c>
      <c r="E201" s="461">
        <f t="shared" si="317"/>
        <v>43941.333333333343</v>
      </c>
      <c r="F201" s="582">
        <f t="shared" si="318"/>
        <v>25557.666666666675</v>
      </c>
      <c r="G201" s="113">
        <f t="shared" si="319"/>
        <v>19353.333333333336</v>
      </c>
      <c r="H201" s="113">
        <f t="shared" si="320"/>
        <v>0</v>
      </c>
      <c r="I201" s="113">
        <f t="shared" si="321"/>
        <v>6204.3333333333358</v>
      </c>
      <c r="J201" s="460">
        <f t="shared" si="322"/>
        <v>0</v>
      </c>
      <c r="K201" s="582">
        <f t="shared" si="323"/>
        <v>18383.666666666664</v>
      </c>
      <c r="L201" s="113">
        <f t="shared" si="324"/>
        <v>11971</v>
      </c>
      <c r="M201" s="113">
        <f t="shared" si="325"/>
        <v>0</v>
      </c>
      <c r="N201" s="113">
        <f t="shared" si="326"/>
        <v>4803</v>
      </c>
      <c r="O201" s="459">
        <f t="shared" si="327"/>
        <v>1609.6666666666661</v>
      </c>
      <c r="P201" s="461">
        <f t="shared" si="328"/>
        <v>79</v>
      </c>
      <c r="Q201" s="582">
        <f t="shared" si="329"/>
        <v>41</v>
      </c>
      <c r="R201" s="113">
        <f t="shared" si="330"/>
        <v>32.333333333333329</v>
      </c>
      <c r="S201" s="113">
        <f t="shared" si="331"/>
        <v>0</v>
      </c>
      <c r="T201" s="113">
        <f t="shared" si="332"/>
        <v>8.6666666666666679</v>
      </c>
      <c r="U201" s="460">
        <f t="shared" si="333"/>
        <v>0</v>
      </c>
      <c r="V201" s="582">
        <f t="shared" si="334"/>
        <v>38.000000000000014</v>
      </c>
      <c r="W201" s="113">
        <f t="shared" si="335"/>
        <v>24.000000000000004</v>
      </c>
      <c r="X201" s="113">
        <f t="shared" si="336"/>
        <v>0</v>
      </c>
      <c r="Y201" s="113">
        <f t="shared" si="337"/>
        <v>11.000000000000002</v>
      </c>
      <c r="Z201" s="459">
        <f t="shared" si="338"/>
        <v>3</v>
      </c>
      <c r="AA201" s="461">
        <f t="shared" si="339"/>
        <v>53.000000000000021</v>
      </c>
      <c r="AB201" s="582">
        <f t="shared" si="340"/>
        <v>22.000000000000007</v>
      </c>
      <c r="AC201" s="113">
        <f t="shared" si="341"/>
        <v>13.66666666666667</v>
      </c>
      <c r="AD201" s="113">
        <f t="shared" si="342"/>
        <v>0</v>
      </c>
      <c r="AE201" s="113">
        <f t="shared" si="343"/>
        <v>8.3333333333333339</v>
      </c>
      <c r="AF201" s="460">
        <f t="shared" si="344"/>
        <v>0</v>
      </c>
      <c r="AG201" s="582">
        <f t="shared" si="345"/>
        <v>31.000000000000007</v>
      </c>
      <c r="AH201" s="113">
        <f t="shared" si="346"/>
        <v>26</v>
      </c>
      <c r="AI201" s="113">
        <f t="shared" si="347"/>
        <v>0</v>
      </c>
      <c r="AJ201" s="113">
        <f t="shared" si="348"/>
        <v>1</v>
      </c>
      <c r="AK201" s="459">
        <f t="shared" si="349"/>
        <v>4</v>
      </c>
      <c r="AL201" s="461">
        <f t="shared" si="350"/>
        <v>386.66666666666669</v>
      </c>
      <c r="AM201" s="582">
        <f t="shared" si="351"/>
        <v>243.3333333333334</v>
      </c>
      <c r="AN201" s="113">
        <f t="shared" si="352"/>
        <v>190</v>
      </c>
      <c r="AO201" s="113">
        <f t="shared" si="353"/>
        <v>0</v>
      </c>
      <c r="AP201" s="113">
        <f t="shared" si="354"/>
        <v>53.333333333333307</v>
      </c>
      <c r="AQ201" s="460">
        <f t="shared" si="355"/>
        <v>0</v>
      </c>
      <c r="AR201" s="582">
        <f t="shared" si="356"/>
        <v>143.33333333333337</v>
      </c>
      <c r="AS201" s="113">
        <f t="shared" si="357"/>
        <v>89.999999999999957</v>
      </c>
      <c r="AT201" s="113">
        <f t="shared" si="358"/>
        <v>0</v>
      </c>
      <c r="AU201" s="113">
        <f t="shared" si="359"/>
        <v>38.666666666666693</v>
      </c>
      <c r="AV201" s="459">
        <f t="shared" si="360"/>
        <v>14.666666666666671</v>
      </c>
      <c r="AW201" s="461">
        <f t="shared" si="361"/>
        <v>224.3333333333334</v>
      </c>
      <c r="AX201" s="582">
        <f t="shared" si="362"/>
        <v>124.66666666666664</v>
      </c>
      <c r="AY201" s="113">
        <f t="shared" si="363"/>
        <v>99.333333333333314</v>
      </c>
      <c r="AZ201" s="113">
        <f t="shared" si="364"/>
        <v>0</v>
      </c>
      <c r="BA201" s="113">
        <f t="shared" si="365"/>
        <v>25.333333333333343</v>
      </c>
      <c r="BB201" s="460">
        <f t="shared" si="366"/>
        <v>0</v>
      </c>
      <c r="BC201" s="582">
        <f t="shared" si="367"/>
        <v>99.666666666666686</v>
      </c>
      <c r="BD201" s="113">
        <f t="shared" si="368"/>
        <v>74.666666666666629</v>
      </c>
      <c r="BE201" s="113">
        <f t="shared" si="369"/>
        <v>0</v>
      </c>
      <c r="BF201" s="113">
        <f t="shared" si="370"/>
        <v>18.000000000000011</v>
      </c>
      <c r="BG201" s="459">
        <f t="shared" si="371"/>
        <v>6.9999999999999991</v>
      </c>
      <c r="BH201" s="461">
        <f t="shared" si="372"/>
        <v>285</v>
      </c>
      <c r="BI201" s="582">
        <f t="shared" si="373"/>
        <v>183.66666666666671</v>
      </c>
      <c r="BJ201" s="113">
        <f t="shared" si="374"/>
        <v>152.66666666666669</v>
      </c>
      <c r="BK201" s="113">
        <f t="shared" si="375"/>
        <v>0</v>
      </c>
      <c r="BL201" s="113">
        <f t="shared" si="376"/>
        <v>31</v>
      </c>
      <c r="BM201" s="460">
        <f t="shared" si="377"/>
        <v>0</v>
      </c>
      <c r="BN201" s="582">
        <f t="shared" si="378"/>
        <v>101.33333333333339</v>
      </c>
      <c r="BO201" s="113">
        <f t="shared" si="379"/>
        <v>60.000000000000021</v>
      </c>
      <c r="BP201" s="113">
        <f t="shared" si="380"/>
        <v>0</v>
      </c>
      <c r="BQ201" s="113">
        <f t="shared" si="381"/>
        <v>33.333333333333321</v>
      </c>
      <c r="BR201" s="459">
        <f t="shared" si="382"/>
        <v>7.9999999999999991</v>
      </c>
      <c r="BS201" s="461">
        <f t="shared" si="383"/>
        <v>447.33333333333354</v>
      </c>
      <c r="BT201" s="582">
        <f t="shared" si="384"/>
        <v>275.33333333333343</v>
      </c>
      <c r="BU201" s="113">
        <f t="shared" si="385"/>
        <v>202.99999999999994</v>
      </c>
      <c r="BV201" s="113">
        <f t="shared" si="386"/>
        <v>0</v>
      </c>
      <c r="BW201" s="113">
        <f t="shared" si="387"/>
        <v>72.333333333333357</v>
      </c>
      <c r="BX201" s="460">
        <f t="shared" si="388"/>
        <v>0</v>
      </c>
      <c r="BY201" s="582">
        <f t="shared" si="389"/>
        <v>172.00000000000003</v>
      </c>
      <c r="BZ201" s="113">
        <f t="shared" si="390"/>
        <v>100.66666666666667</v>
      </c>
      <c r="CA201" s="113">
        <f t="shared" si="391"/>
        <v>0</v>
      </c>
      <c r="CB201" s="113">
        <f t="shared" si="392"/>
        <v>54.333333333333307</v>
      </c>
      <c r="CC201" s="459">
        <f t="shared" si="393"/>
        <v>16.999999999999996</v>
      </c>
      <c r="CD201" s="461">
        <f t="shared" si="394"/>
        <v>97.666666666666671</v>
      </c>
      <c r="CE201" s="582">
        <f t="shared" si="395"/>
        <v>61.6666666666667</v>
      </c>
      <c r="CF201" s="113">
        <f t="shared" si="396"/>
        <v>47.333333333333329</v>
      </c>
      <c r="CG201" s="113">
        <f t="shared" si="397"/>
        <v>0</v>
      </c>
      <c r="CH201" s="113">
        <f t="shared" si="398"/>
        <v>14.333333333333332</v>
      </c>
      <c r="CI201" s="460">
        <f t="shared" si="399"/>
        <v>0</v>
      </c>
      <c r="CJ201" s="582">
        <f t="shared" si="400"/>
        <v>35.999999999999993</v>
      </c>
      <c r="CK201" s="113">
        <f t="shared" si="401"/>
        <v>25</v>
      </c>
      <c r="CL201" s="113">
        <f t="shared" si="402"/>
        <v>0</v>
      </c>
      <c r="CM201" s="113">
        <f t="shared" si="403"/>
        <v>7.9999999999999973</v>
      </c>
      <c r="CN201" s="459">
        <f t="shared" si="404"/>
        <v>3</v>
      </c>
      <c r="CO201" s="461">
        <f t="shared" si="405"/>
        <v>72.999999999999972</v>
      </c>
      <c r="CP201" s="582">
        <f t="shared" si="406"/>
        <v>40.666666666666693</v>
      </c>
      <c r="CQ201" s="113">
        <f t="shared" si="407"/>
        <v>36.000000000000014</v>
      </c>
      <c r="CR201" s="113">
        <f t="shared" si="408"/>
        <v>0</v>
      </c>
      <c r="CS201" s="113">
        <f t="shared" si="409"/>
        <v>4.6666666666666661</v>
      </c>
      <c r="CT201" s="460">
        <f t="shared" si="410"/>
        <v>0</v>
      </c>
      <c r="CU201" s="582">
        <f t="shared" si="411"/>
        <v>32.333333333333329</v>
      </c>
      <c r="CV201" s="113">
        <f t="shared" si="412"/>
        <v>23.666666666666654</v>
      </c>
      <c r="CW201" s="113">
        <f t="shared" si="413"/>
        <v>0</v>
      </c>
      <c r="CX201" s="113">
        <f t="shared" si="414"/>
        <v>8.6666666666666679</v>
      </c>
      <c r="CY201" s="459">
        <f t="shared" si="415"/>
        <v>0</v>
      </c>
      <c r="CZ201" s="461">
        <f t="shared" si="416"/>
        <v>19.666666666666668</v>
      </c>
      <c r="DA201" s="582">
        <f t="shared" si="417"/>
        <v>6.6666666666666661</v>
      </c>
      <c r="DB201" s="113">
        <f t="shared" si="418"/>
        <v>3.666666666666667</v>
      </c>
      <c r="DC201" s="113">
        <f t="shared" si="419"/>
        <v>0</v>
      </c>
      <c r="DD201" s="113">
        <f t="shared" si="420"/>
        <v>3</v>
      </c>
      <c r="DE201" s="460">
        <f t="shared" si="421"/>
        <v>0</v>
      </c>
      <c r="DF201" s="582">
        <f t="shared" si="422"/>
        <v>13.000000000000005</v>
      </c>
      <c r="DG201" s="113">
        <f t="shared" si="423"/>
        <v>12.000000000000009</v>
      </c>
      <c r="DH201" s="113">
        <f t="shared" si="424"/>
        <v>0</v>
      </c>
      <c r="DI201" s="113">
        <f t="shared" si="425"/>
        <v>1</v>
      </c>
      <c r="DJ201" s="459">
        <f t="shared" si="426"/>
        <v>0</v>
      </c>
      <c r="DK201" s="461">
        <f t="shared" si="427"/>
        <v>0</v>
      </c>
      <c r="DL201" s="582">
        <f t="shared" si="428"/>
        <v>0</v>
      </c>
      <c r="DM201" s="113">
        <f t="shared" si="429"/>
        <v>0</v>
      </c>
      <c r="DN201" s="113">
        <f t="shared" si="430"/>
        <v>0</v>
      </c>
      <c r="DO201" s="113">
        <f t="shared" si="431"/>
        <v>0</v>
      </c>
      <c r="DP201" s="460">
        <f t="shared" si="432"/>
        <v>0</v>
      </c>
      <c r="DQ201" s="582">
        <f t="shared" si="433"/>
        <v>1</v>
      </c>
      <c r="DR201" s="113">
        <f t="shared" si="434"/>
        <v>1</v>
      </c>
      <c r="DS201" s="113">
        <f t="shared" si="435"/>
        <v>0</v>
      </c>
      <c r="DT201" s="113">
        <f t="shared" si="436"/>
        <v>0</v>
      </c>
      <c r="DU201" s="459">
        <f t="shared" si="437"/>
        <v>0</v>
      </c>
      <c r="DW201" s="461">
        <f t="shared" si="315"/>
        <v>1279.0000000000005</v>
      </c>
      <c r="DX201" s="582">
        <f t="shared" si="315"/>
        <v>755.66666666666686</v>
      </c>
      <c r="DY201" s="113">
        <f t="shared" si="314"/>
        <v>587.99999999999989</v>
      </c>
      <c r="DZ201" s="113">
        <f t="shared" si="314"/>
        <v>0</v>
      </c>
      <c r="EA201" s="113">
        <f t="shared" si="314"/>
        <v>167.66666666666669</v>
      </c>
      <c r="EB201" s="460">
        <f t="shared" si="314"/>
        <v>0</v>
      </c>
      <c r="EC201" s="582">
        <f t="shared" si="314"/>
        <v>524.33333333333348</v>
      </c>
      <c r="ED201" s="113">
        <f t="shared" si="314"/>
        <v>346.99999999999994</v>
      </c>
      <c r="EE201" s="113">
        <f t="shared" si="314"/>
        <v>0</v>
      </c>
      <c r="EF201" s="113">
        <f t="shared" si="314"/>
        <v>135.33333333333331</v>
      </c>
      <c r="EG201" s="459">
        <f t="shared" si="314"/>
        <v>42</v>
      </c>
      <c r="EH201" s="461">
        <f t="shared" si="313"/>
        <v>386.66666666666669</v>
      </c>
      <c r="EI201" s="582">
        <f t="shared" si="312"/>
        <v>243.3333333333334</v>
      </c>
      <c r="EJ201" s="113">
        <f t="shared" si="312"/>
        <v>190</v>
      </c>
      <c r="EK201" s="113">
        <f t="shared" si="312"/>
        <v>0</v>
      </c>
      <c r="EL201" s="113">
        <f t="shared" si="312"/>
        <v>53.333333333333307</v>
      </c>
      <c r="EM201" s="460">
        <f t="shared" si="312"/>
        <v>0</v>
      </c>
      <c r="EN201" s="582">
        <f t="shared" si="312"/>
        <v>143.33333333333337</v>
      </c>
      <c r="EO201" s="113">
        <f t="shared" si="312"/>
        <v>89.999999999999957</v>
      </c>
      <c r="EP201" s="113">
        <f t="shared" si="141"/>
        <v>0</v>
      </c>
      <c r="EQ201" s="113">
        <f t="shared" si="141"/>
        <v>38.666666666666693</v>
      </c>
      <c r="ER201" s="459">
        <f t="shared" si="141"/>
        <v>14.666666666666671</v>
      </c>
    </row>
    <row r="202" spans="1:148">
      <c r="A202" s="665" t="s">
        <v>414</v>
      </c>
      <c r="B202" s="665">
        <v>44166</v>
      </c>
      <c r="C202" s="666">
        <v>2020</v>
      </c>
      <c r="D202" s="461">
        <f t="shared" ref="D202" si="450">D91/3+D201</f>
        <v>2996603.0000000009</v>
      </c>
      <c r="E202" s="461">
        <f t="shared" si="317"/>
        <v>45100.000000000007</v>
      </c>
      <c r="F202" s="582">
        <f t="shared" si="318"/>
        <v>26502.000000000007</v>
      </c>
      <c r="G202" s="113">
        <f t="shared" si="319"/>
        <v>19806.000000000004</v>
      </c>
      <c r="H202" s="113">
        <f t="shared" si="320"/>
        <v>0</v>
      </c>
      <c r="I202" s="113">
        <f t="shared" si="321"/>
        <v>6696.0000000000027</v>
      </c>
      <c r="J202" s="460">
        <f t="shared" si="322"/>
        <v>0</v>
      </c>
      <c r="K202" s="582">
        <f t="shared" si="323"/>
        <v>18597.999999999996</v>
      </c>
      <c r="L202" s="113">
        <f t="shared" si="324"/>
        <v>12044</v>
      </c>
      <c r="M202" s="113">
        <f t="shared" si="325"/>
        <v>0</v>
      </c>
      <c r="N202" s="113">
        <f t="shared" si="326"/>
        <v>4931</v>
      </c>
      <c r="O202" s="459">
        <f t="shared" si="327"/>
        <v>1622.9999999999993</v>
      </c>
      <c r="P202" s="461">
        <f t="shared" si="328"/>
        <v>80</v>
      </c>
      <c r="Q202" s="582">
        <f t="shared" si="329"/>
        <v>42</v>
      </c>
      <c r="R202" s="113">
        <f t="shared" si="330"/>
        <v>32.999999999999993</v>
      </c>
      <c r="S202" s="113">
        <f t="shared" si="331"/>
        <v>0</v>
      </c>
      <c r="T202" s="113">
        <f t="shared" si="332"/>
        <v>9.0000000000000018</v>
      </c>
      <c r="U202" s="460">
        <f t="shared" si="333"/>
        <v>0</v>
      </c>
      <c r="V202" s="582">
        <f t="shared" si="334"/>
        <v>38.000000000000014</v>
      </c>
      <c r="W202" s="113">
        <f t="shared" si="335"/>
        <v>24.000000000000004</v>
      </c>
      <c r="X202" s="113">
        <f t="shared" si="336"/>
        <v>0</v>
      </c>
      <c r="Y202" s="113">
        <f t="shared" si="337"/>
        <v>11.000000000000002</v>
      </c>
      <c r="Z202" s="459">
        <f t="shared" si="338"/>
        <v>3</v>
      </c>
      <c r="AA202" s="461">
        <f t="shared" si="339"/>
        <v>54.000000000000021</v>
      </c>
      <c r="AB202" s="582">
        <f t="shared" si="340"/>
        <v>23.000000000000007</v>
      </c>
      <c r="AC202" s="113">
        <f t="shared" si="341"/>
        <v>14.000000000000004</v>
      </c>
      <c r="AD202" s="113">
        <f t="shared" si="342"/>
        <v>0</v>
      </c>
      <c r="AE202" s="113">
        <f t="shared" si="343"/>
        <v>9</v>
      </c>
      <c r="AF202" s="460">
        <f t="shared" si="344"/>
        <v>0</v>
      </c>
      <c r="AG202" s="582">
        <f t="shared" si="345"/>
        <v>31.000000000000007</v>
      </c>
      <c r="AH202" s="113">
        <f t="shared" si="346"/>
        <v>26</v>
      </c>
      <c r="AI202" s="113">
        <f t="shared" si="347"/>
        <v>0</v>
      </c>
      <c r="AJ202" s="113">
        <f t="shared" si="348"/>
        <v>1</v>
      </c>
      <c r="AK202" s="459">
        <f t="shared" si="349"/>
        <v>4</v>
      </c>
      <c r="AL202" s="461">
        <f t="shared" si="350"/>
        <v>398</v>
      </c>
      <c r="AM202" s="582">
        <f t="shared" si="351"/>
        <v>254.00000000000006</v>
      </c>
      <c r="AN202" s="113">
        <f t="shared" si="352"/>
        <v>196</v>
      </c>
      <c r="AO202" s="113">
        <f t="shared" si="353"/>
        <v>0</v>
      </c>
      <c r="AP202" s="113">
        <f t="shared" si="354"/>
        <v>57.999999999999972</v>
      </c>
      <c r="AQ202" s="460">
        <f t="shared" si="355"/>
        <v>0</v>
      </c>
      <c r="AR202" s="582">
        <f t="shared" si="356"/>
        <v>144.00000000000003</v>
      </c>
      <c r="AS202" s="113">
        <f t="shared" si="357"/>
        <v>89.999999999999957</v>
      </c>
      <c r="AT202" s="113">
        <f t="shared" si="358"/>
        <v>0</v>
      </c>
      <c r="AU202" s="113">
        <f t="shared" si="359"/>
        <v>39.000000000000028</v>
      </c>
      <c r="AV202" s="459">
        <f t="shared" si="360"/>
        <v>15.000000000000005</v>
      </c>
      <c r="AW202" s="461">
        <f t="shared" si="361"/>
        <v>227.00000000000006</v>
      </c>
      <c r="AX202" s="582">
        <f t="shared" si="362"/>
        <v>126.99999999999997</v>
      </c>
      <c r="AY202" s="113">
        <f t="shared" si="363"/>
        <v>99.999999999999986</v>
      </c>
      <c r="AZ202" s="113">
        <f t="shared" si="364"/>
        <v>0</v>
      </c>
      <c r="BA202" s="113">
        <f t="shared" si="365"/>
        <v>27.000000000000011</v>
      </c>
      <c r="BB202" s="460">
        <f t="shared" si="366"/>
        <v>0</v>
      </c>
      <c r="BC202" s="582">
        <f t="shared" si="367"/>
        <v>100.00000000000001</v>
      </c>
      <c r="BD202" s="113">
        <f t="shared" si="368"/>
        <v>74.999999999999957</v>
      </c>
      <c r="BE202" s="113">
        <f t="shared" si="369"/>
        <v>0</v>
      </c>
      <c r="BF202" s="113">
        <f t="shared" si="370"/>
        <v>18.000000000000011</v>
      </c>
      <c r="BG202" s="459">
        <f t="shared" si="371"/>
        <v>6.9999999999999991</v>
      </c>
      <c r="BH202" s="461">
        <f t="shared" si="372"/>
        <v>292</v>
      </c>
      <c r="BI202" s="582">
        <f t="shared" si="373"/>
        <v>190.00000000000006</v>
      </c>
      <c r="BJ202" s="113">
        <f t="shared" si="374"/>
        <v>156.00000000000003</v>
      </c>
      <c r="BK202" s="113">
        <f t="shared" si="375"/>
        <v>0</v>
      </c>
      <c r="BL202" s="113">
        <f t="shared" si="376"/>
        <v>34</v>
      </c>
      <c r="BM202" s="460">
        <f t="shared" si="377"/>
        <v>0</v>
      </c>
      <c r="BN202" s="582">
        <f t="shared" si="378"/>
        <v>102.00000000000006</v>
      </c>
      <c r="BO202" s="113">
        <f t="shared" si="379"/>
        <v>60.000000000000021</v>
      </c>
      <c r="BP202" s="113">
        <f t="shared" si="380"/>
        <v>0</v>
      </c>
      <c r="BQ202" s="113">
        <f t="shared" si="381"/>
        <v>33.999999999999986</v>
      </c>
      <c r="BR202" s="459">
        <f t="shared" si="382"/>
        <v>7.9999999999999991</v>
      </c>
      <c r="BS202" s="461">
        <f t="shared" si="383"/>
        <v>464.00000000000023</v>
      </c>
      <c r="BT202" s="582">
        <f t="shared" si="384"/>
        <v>289.00000000000011</v>
      </c>
      <c r="BU202" s="113">
        <f t="shared" si="385"/>
        <v>207.99999999999994</v>
      </c>
      <c r="BV202" s="113">
        <f t="shared" si="386"/>
        <v>0</v>
      </c>
      <c r="BW202" s="113">
        <f t="shared" si="387"/>
        <v>81.000000000000028</v>
      </c>
      <c r="BX202" s="460">
        <f t="shared" si="388"/>
        <v>0</v>
      </c>
      <c r="BY202" s="582">
        <f t="shared" si="389"/>
        <v>175.00000000000003</v>
      </c>
      <c r="BZ202" s="113">
        <f t="shared" si="390"/>
        <v>101</v>
      </c>
      <c r="CA202" s="113">
        <f t="shared" si="391"/>
        <v>0</v>
      </c>
      <c r="CB202" s="113">
        <f t="shared" si="392"/>
        <v>56.999999999999972</v>
      </c>
      <c r="CC202" s="459">
        <f t="shared" si="393"/>
        <v>16.999999999999996</v>
      </c>
      <c r="CD202" s="461">
        <f t="shared" si="394"/>
        <v>99</v>
      </c>
      <c r="CE202" s="582">
        <f t="shared" si="395"/>
        <v>63.000000000000036</v>
      </c>
      <c r="CF202" s="113">
        <f t="shared" si="396"/>
        <v>47.999999999999993</v>
      </c>
      <c r="CG202" s="113">
        <f t="shared" si="397"/>
        <v>0</v>
      </c>
      <c r="CH202" s="113">
        <f t="shared" si="398"/>
        <v>14.999999999999998</v>
      </c>
      <c r="CI202" s="460">
        <f t="shared" si="399"/>
        <v>0</v>
      </c>
      <c r="CJ202" s="582">
        <f t="shared" si="400"/>
        <v>35.999999999999993</v>
      </c>
      <c r="CK202" s="113">
        <f t="shared" si="401"/>
        <v>25</v>
      </c>
      <c r="CL202" s="113">
        <f t="shared" si="402"/>
        <v>0</v>
      </c>
      <c r="CM202" s="113">
        <f t="shared" si="403"/>
        <v>7.9999999999999973</v>
      </c>
      <c r="CN202" s="459">
        <f t="shared" si="404"/>
        <v>3</v>
      </c>
      <c r="CO202" s="461">
        <f t="shared" si="405"/>
        <v>73.999999999999972</v>
      </c>
      <c r="CP202" s="582">
        <f t="shared" si="406"/>
        <v>41.000000000000028</v>
      </c>
      <c r="CQ202" s="113">
        <f t="shared" si="407"/>
        <v>36.000000000000014</v>
      </c>
      <c r="CR202" s="113">
        <f t="shared" si="408"/>
        <v>0</v>
      </c>
      <c r="CS202" s="113">
        <f t="shared" si="409"/>
        <v>4.9999999999999991</v>
      </c>
      <c r="CT202" s="460">
        <f t="shared" si="410"/>
        <v>0</v>
      </c>
      <c r="CU202" s="582">
        <f t="shared" si="411"/>
        <v>32.999999999999993</v>
      </c>
      <c r="CV202" s="113">
        <f t="shared" si="412"/>
        <v>23.999999999999986</v>
      </c>
      <c r="CW202" s="113">
        <f t="shared" si="413"/>
        <v>0</v>
      </c>
      <c r="CX202" s="113">
        <f t="shared" si="414"/>
        <v>9.0000000000000018</v>
      </c>
      <c r="CY202" s="459">
        <f t="shared" si="415"/>
        <v>0</v>
      </c>
      <c r="CZ202" s="461">
        <f t="shared" si="416"/>
        <v>20</v>
      </c>
      <c r="DA202" s="582">
        <f t="shared" si="417"/>
        <v>6.9999999999999991</v>
      </c>
      <c r="DB202" s="113">
        <f t="shared" si="418"/>
        <v>4</v>
      </c>
      <c r="DC202" s="113">
        <f t="shared" si="419"/>
        <v>0</v>
      </c>
      <c r="DD202" s="113">
        <f t="shared" si="420"/>
        <v>3</v>
      </c>
      <c r="DE202" s="460">
        <f t="shared" si="421"/>
        <v>0</v>
      </c>
      <c r="DF202" s="582">
        <f t="shared" si="422"/>
        <v>13.000000000000005</v>
      </c>
      <c r="DG202" s="113">
        <f t="shared" si="423"/>
        <v>12.000000000000009</v>
      </c>
      <c r="DH202" s="113">
        <f t="shared" si="424"/>
        <v>0</v>
      </c>
      <c r="DI202" s="113">
        <f t="shared" si="425"/>
        <v>1</v>
      </c>
      <c r="DJ202" s="459">
        <f t="shared" si="426"/>
        <v>0</v>
      </c>
      <c r="DK202" s="461">
        <f t="shared" si="427"/>
        <v>0</v>
      </c>
      <c r="DL202" s="582">
        <f t="shared" si="428"/>
        <v>0</v>
      </c>
      <c r="DM202" s="113">
        <f t="shared" si="429"/>
        <v>0</v>
      </c>
      <c r="DN202" s="113">
        <f t="shared" si="430"/>
        <v>0</v>
      </c>
      <c r="DO202" s="113">
        <f t="shared" si="431"/>
        <v>0</v>
      </c>
      <c r="DP202" s="460">
        <f t="shared" si="432"/>
        <v>0</v>
      </c>
      <c r="DQ202" s="582">
        <f t="shared" si="433"/>
        <v>1</v>
      </c>
      <c r="DR202" s="113">
        <f t="shared" si="434"/>
        <v>1</v>
      </c>
      <c r="DS202" s="113">
        <f t="shared" si="435"/>
        <v>0</v>
      </c>
      <c r="DT202" s="113">
        <f t="shared" si="436"/>
        <v>0</v>
      </c>
      <c r="DU202" s="459">
        <f t="shared" si="437"/>
        <v>0</v>
      </c>
      <c r="DW202" s="461">
        <f t="shared" si="315"/>
        <v>1310.0000000000005</v>
      </c>
      <c r="DX202" s="582">
        <f t="shared" si="315"/>
        <v>782.00000000000011</v>
      </c>
      <c r="DY202" s="113">
        <f t="shared" si="314"/>
        <v>598.99999999999989</v>
      </c>
      <c r="DZ202" s="113">
        <f t="shared" si="314"/>
        <v>0</v>
      </c>
      <c r="EA202" s="113">
        <f t="shared" si="314"/>
        <v>183.00000000000006</v>
      </c>
      <c r="EB202" s="460">
        <f t="shared" si="314"/>
        <v>0</v>
      </c>
      <c r="EC202" s="582">
        <f t="shared" si="314"/>
        <v>529.00000000000011</v>
      </c>
      <c r="ED202" s="113">
        <f t="shared" si="314"/>
        <v>348</v>
      </c>
      <c r="EE202" s="113">
        <f t="shared" si="314"/>
        <v>0</v>
      </c>
      <c r="EF202" s="113">
        <f t="shared" si="314"/>
        <v>138.99999999999997</v>
      </c>
      <c r="EG202" s="459">
        <f t="shared" si="314"/>
        <v>42</v>
      </c>
      <c r="EH202" s="461">
        <f t="shared" si="313"/>
        <v>398</v>
      </c>
      <c r="EI202" s="582">
        <f t="shared" si="312"/>
        <v>254.00000000000006</v>
      </c>
      <c r="EJ202" s="113">
        <f t="shared" si="312"/>
        <v>196</v>
      </c>
      <c r="EK202" s="113">
        <f t="shared" si="312"/>
        <v>0</v>
      </c>
      <c r="EL202" s="113">
        <f t="shared" si="312"/>
        <v>57.999999999999972</v>
      </c>
      <c r="EM202" s="460">
        <f t="shared" si="312"/>
        <v>0</v>
      </c>
      <c r="EN202" s="582">
        <f t="shared" si="312"/>
        <v>144.00000000000003</v>
      </c>
      <c r="EO202" s="113">
        <f t="shared" si="312"/>
        <v>89.999999999999957</v>
      </c>
      <c r="EP202" s="113">
        <f t="shared" si="141"/>
        <v>0</v>
      </c>
      <c r="EQ202" s="113">
        <f t="shared" si="141"/>
        <v>39.000000000000028</v>
      </c>
      <c r="ER202" s="459">
        <f t="shared" si="141"/>
        <v>15.000000000000005</v>
      </c>
    </row>
    <row r="203" spans="1:148">
      <c r="A203" s="665" t="s">
        <v>415</v>
      </c>
      <c r="B203" s="665">
        <v>44197</v>
      </c>
      <c r="C203" s="666">
        <v>2021</v>
      </c>
      <c r="D203" s="461">
        <f t="shared" ref="D203" si="451">D92/3+D202</f>
        <v>3043876.0000000009</v>
      </c>
      <c r="E203" s="461">
        <f t="shared" si="317"/>
        <v>46220.666666666672</v>
      </c>
      <c r="F203" s="582">
        <f t="shared" si="318"/>
        <v>27368.666666666675</v>
      </c>
      <c r="G203" s="113">
        <f t="shared" si="319"/>
        <v>20145.333333333336</v>
      </c>
      <c r="H203" s="113">
        <f t="shared" si="320"/>
        <v>0</v>
      </c>
      <c r="I203" s="113">
        <f t="shared" si="321"/>
        <v>7223.3333333333358</v>
      </c>
      <c r="J203" s="460">
        <f t="shared" si="322"/>
        <v>0</v>
      </c>
      <c r="K203" s="582">
        <f t="shared" si="323"/>
        <v>18851.999999999996</v>
      </c>
      <c r="L203" s="113">
        <f t="shared" si="324"/>
        <v>12105</v>
      </c>
      <c r="M203" s="113">
        <f t="shared" si="325"/>
        <v>0</v>
      </c>
      <c r="N203" s="113">
        <f t="shared" si="326"/>
        <v>5101.666666666667</v>
      </c>
      <c r="O203" s="459">
        <f t="shared" si="327"/>
        <v>1645.3333333333326</v>
      </c>
      <c r="P203" s="461">
        <f t="shared" si="328"/>
        <v>81.666666666666671</v>
      </c>
      <c r="Q203" s="582">
        <f t="shared" si="329"/>
        <v>43.333333333333336</v>
      </c>
      <c r="R203" s="113">
        <f t="shared" si="330"/>
        <v>33.333333333333329</v>
      </c>
      <c r="S203" s="113">
        <f t="shared" si="331"/>
        <v>0</v>
      </c>
      <c r="T203" s="113">
        <f t="shared" si="332"/>
        <v>10.000000000000002</v>
      </c>
      <c r="U203" s="460">
        <f t="shared" si="333"/>
        <v>0</v>
      </c>
      <c r="V203" s="582">
        <f t="shared" si="334"/>
        <v>38.33333333333335</v>
      </c>
      <c r="W203" s="113">
        <f t="shared" si="335"/>
        <v>24.333333333333336</v>
      </c>
      <c r="X203" s="113">
        <f t="shared" si="336"/>
        <v>0</v>
      </c>
      <c r="Y203" s="113">
        <f t="shared" si="337"/>
        <v>11.000000000000002</v>
      </c>
      <c r="Z203" s="459">
        <f t="shared" si="338"/>
        <v>3</v>
      </c>
      <c r="AA203" s="461">
        <f t="shared" si="339"/>
        <v>55.333333333333357</v>
      </c>
      <c r="AB203" s="582">
        <f t="shared" si="340"/>
        <v>24.333333333333339</v>
      </c>
      <c r="AC203" s="113">
        <f t="shared" si="341"/>
        <v>15.000000000000004</v>
      </c>
      <c r="AD203" s="113">
        <f t="shared" si="342"/>
        <v>0</v>
      </c>
      <c r="AE203" s="113">
        <f t="shared" si="343"/>
        <v>9.3333333333333339</v>
      </c>
      <c r="AF203" s="460">
        <f t="shared" si="344"/>
        <v>0</v>
      </c>
      <c r="AG203" s="582">
        <f t="shared" si="345"/>
        <v>31.000000000000007</v>
      </c>
      <c r="AH203" s="113">
        <f t="shared" si="346"/>
        <v>26</v>
      </c>
      <c r="AI203" s="113">
        <f t="shared" si="347"/>
        <v>0</v>
      </c>
      <c r="AJ203" s="113">
        <f t="shared" si="348"/>
        <v>1</v>
      </c>
      <c r="AK203" s="459">
        <f t="shared" si="349"/>
        <v>4</v>
      </c>
      <c r="AL203" s="461">
        <f t="shared" si="350"/>
        <v>408</v>
      </c>
      <c r="AM203" s="582">
        <f t="shared" si="351"/>
        <v>262.00000000000006</v>
      </c>
      <c r="AN203" s="113">
        <f t="shared" si="352"/>
        <v>200</v>
      </c>
      <c r="AO203" s="113">
        <f t="shared" si="353"/>
        <v>0</v>
      </c>
      <c r="AP203" s="113">
        <f t="shared" si="354"/>
        <v>61.999999999999972</v>
      </c>
      <c r="AQ203" s="460">
        <f t="shared" si="355"/>
        <v>0</v>
      </c>
      <c r="AR203" s="582">
        <f t="shared" si="356"/>
        <v>146.00000000000003</v>
      </c>
      <c r="AS203" s="113">
        <f t="shared" si="357"/>
        <v>90.999999999999957</v>
      </c>
      <c r="AT203" s="113">
        <f t="shared" si="358"/>
        <v>0</v>
      </c>
      <c r="AU203" s="113">
        <f t="shared" si="359"/>
        <v>40.000000000000028</v>
      </c>
      <c r="AV203" s="459">
        <f t="shared" si="360"/>
        <v>15.000000000000005</v>
      </c>
      <c r="AW203" s="461">
        <f t="shared" si="361"/>
        <v>230.66666666666671</v>
      </c>
      <c r="AX203" s="582">
        <f t="shared" si="362"/>
        <v>130.66666666666663</v>
      </c>
      <c r="AY203" s="113">
        <f t="shared" si="363"/>
        <v>101.33333333333331</v>
      </c>
      <c r="AZ203" s="113">
        <f t="shared" si="364"/>
        <v>0</v>
      </c>
      <c r="BA203" s="113">
        <f t="shared" si="365"/>
        <v>29.333333333333343</v>
      </c>
      <c r="BB203" s="460">
        <f t="shared" si="366"/>
        <v>0</v>
      </c>
      <c r="BC203" s="582">
        <f t="shared" si="367"/>
        <v>100.00000000000001</v>
      </c>
      <c r="BD203" s="113">
        <f t="shared" si="368"/>
        <v>74.999999999999957</v>
      </c>
      <c r="BE203" s="113">
        <f t="shared" si="369"/>
        <v>0</v>
      </c>
      <c r="BF203" s="113">
        <f t="shared" si="370"/>
        <v>18.000000000000011</v>
      </c>
      <c r="BG203" s="459">
        <f t="shared" si="371"/>
        <v>6.9999999999999991</v>
      </c>
      <c r="BH203" s="461">
        <f t="shared" si="372"/>
        <v>301.66666666666669</v>
      </c>
      <c r="BI203" s="582">
        <f t="shared" si="373"/>
        <v>198.00000000000006</v>
      </c>
      <c r="BJ203" s="113">
        <f t="shared" si="374"/>
        <v>160.33333333333337</v>
      </c>
      <c r="BK203" s="113">
        <f t="shared" si="375"/>
        <v>0</v>
      </c>
      <c r="BL203" s="113">
        <f t="shared" si="376"/>
        <v>37.666666666666664</v>
      </c>
      <c r="BM203" s="460">
        <f t="shared" si="377"/>
        <v>0</v>
      </c>
      <c r="BN203" s="582">
        <f t="shared" si="378"/>
        <v>103.66666666666673</v>
      </c>
      <c r="BO203" s="113">
        <f t="shared" si="379"/>
        <v>60.000000000000021</v>
      </c>
      <c r="BP203" s="113">
        <f t="shared" si="380"/>
        <v>0</v>
      </c>
      <c r="BQ203" s="113">
        <f t="shared" si="381"/>
        <v>35.333333333333321</v>
      </c>
      <c r="BR203" s="459">
        <f t="shared" si="382"/>
        <v>8.3333333333333321</v>
      </c>
      <c r="BS203" s="461">
        <f t="shared" si="383"/>
        <v>474.33333333333354</v>
      </c>
      <c r="BT203" s="582">
        <f t="shared" si="384"/>
        <v>298.33333333333343</v>
      </c>
      <c r="BU203" s="113">
        <f t="shared" si="385"/>
        <v>212.99999999999994</v>
      </c>
      <c r="BV203" s="113">
        <f t="shared" si="386"/>
        <v>0</v>
      </c>
      <c r="BW203" s="113">
        <f t="shared" si="387"/>
        <v>85.333333333333357</v>
      </c>
      <c r="BX203" s="460">
        <f t="shared" si="388"/>
        <v>0</v>
      </c>
      <c r="BY203" s="582">
        <f t="shared" si="389"/>
        <v>176.00000000000003</v>
      </c>
      <c r="BZ203" s="113">
        <f t="shared" si="390"/>
        <v>101.33333333333333</v>
      </c>
      <c r="CA203" s="113">
        <f t="shared" si="391"/>
        <v>0</v>
      </c>
      <c r="CB203" s="113">
        <f t="shared" si="392"/>
        <v>57.666666666666636</v>
      </c>
      <c r="CC203" s="459">
        <f t="shared" si="393"/>
        <v>16.999999999999996</v>
      </c>
      <c r="CD203" s="461">
        <f t="shared" si="394"/>
        <v>100</v>
      </c>
      <c r="CE203" s="582">
        <f t="shared" si="395"/>
        <v>64.000000000000028</v>
      </c>
      <c r="CF203" s="113">
        <f t="shared" si="396"/>
        <v>47.999999999999993</v>
      </c>
      <c r="CG203" s="113">
        <f t="shared" si="397"/>
        <v>0</v>
      </c>
      <c r="CH203" s="113">
        <f t="shared" si="398"/>
        <v>15.999999999999998</v>
      </c>
      <c r="CI203" s="460">
        <f t="shared" si="399"/>
        <v>0</v>
      </c>
      <c r="CJ203" s="582">
        <f t="shared" si="400"/>
        <v>35.999999999999993</v>
      </c>
      <c r="CK203" s="113">
        <f t="shared" si="401"/>
        <v>25</v>
      </c>
      <c r="CL203" s="113">
        <f t="shared" si="402"/>
        <v>0</v>
      </c>
      <c r="CM203" s="113">
        <f t="shared" si="403"/>
        <v>7.9999999999999973</v>
      </c>
      <c r="CN203" s="459">
        <f t="shared" si="404"/>
        <v>3</v>
      </c>
      <c r="CO203" s="461">
        <f t="shared" si="405"/>
        <v>75.666666666666643</v>
      </c>
      <c r="CP203" s="582">
        <f t="shared" si="406"/>
        <v>42.333333333333364</v>
      </c>
      <c r="CQ203" s="113">
        <f t="shared" si="407"/>
        <v>37.000000000000014</v>
      </c>
      <c r="CR203" s="113">
        <f t="shared" si="408"/>
        <v>0</v>
      </c>
      <c r="CS203" s="113">
        <f t="shared" si="409"/>
        <v>5.3333333333333321</v>
      </c>
      <c r="CT203" s="460">
        <f t="shared" si="410"/>
        <v>0</v>
      </c>
      <c r="CU203" s="582">
        <f t="shared" si="411"/>
        <v>33.333333333333329</v>
      </c>
      <c r="CV203" s="113">
        <f t="shared" si="412"/>
        <v>23.999999999999986</v>
      </c>
      <c r="CW203" s="113">
        <f t="shared" si="413"/>
        <v>0</v>
      </c>
      <c r="CX203" s="113">
        <f t="shared" si="414"/>
        <v>9.3333333333333357</v>
      </c>
      <c r="CY203" s="459">
        <f t="shared" si="415"/>
        <v>0</v>
      </c>
      <c r="CZ203" s="461">
        <f t="shared" si="416"/>
        <v>20.333333333333332</v>
      </c>
      <c r="DA203" s="582">
        <f t="shared" si="417"/>
        <v>7.3333333333333321</v>
      </c>
      <c r="DB203" s="113">
        <f t="shared" si="418"/>
        <v>4</v>
      </c>
      <c r="DC203" s="113">
        <f t="shared" si="419"/>
        <v>0</v>
      </c>
      <c r="DD203" s="113">
        <f t="shared" si="420"/>
        <v>3.3333333333333335</v>
      </c>
      <c r="DE203" s="460">
        <f t="shared" si="421"/>
        <v>0</v>
      </c>
      <c r="DF203" s="582">
        <f t="shared" si="422"/>
        <v>13.000000000000005</v>
      </c>
      <c r="DG203" s="113">
        <f t="shared" si="423"/>
        <v>12.000000000000009</v>
      </c>
      <c r="DH203" s="113">
        <f t="shared" si="424"/>
        <v>0</v>
      </c>
      <c r="DI203" s="113">
        <f t="shared" si="425"/>
        <v>1</v>
      </c>
      <c r="DJ203" s="459">
        <f t="shared" si="426"/>
        <v>0</v>
      </c>
      <c r="DK203" s="461">
        <f t="shared" si="427"/>
        <v>0</v>
      </c>
      <c r="DL203" s="582">
        <f t="shared" si="428"/>
        <v>0</v>
      </c>
      <c r="DM203" s="113">
        <f t="shared" si="429"/>
        <v>0</v>
      </c>
      <c r="DN203" s="113">
        <f t="shared" si="430"/>
        <v>0</v>
      </c>
      <c r="DO203" s="113">
        <f t="shared" si="431"/>
        <v>0</v>
      </c>
      <c r="DP203" s="460">
        <f t="shared" si="432"/>
        <v>0</v>
      </c>
      <c r="DQ203" s="582">
        <f t="shared" si="433"/>
        <v>1</v>
      </c>
      <c r="DR203" s="113">
        <f t="shared" si="434"/>
        <v>1</v>
      </c>
      <c r="DS203" s="113">
        <f t="shared" si="435"/>
        <v>0</v>
      </c>
      <c r="DT203" s="113">
        <f t="shared" si="436"/>
        <v>0</v>
      </c>
      <c r="DU203" s="459">
        <f t="shared" si="437"/>
        <v>0</v>
      </c>
      <c r="DW203" s="461">
        <f t="shared" si="315"/>
        <v>1339.666666666667</v>
      </c>
      <c r="DX203" s="582">
        <f t="shared" si="315"/>
        <v>808.33333333333348</v>
      </c>
      <c r="DY203" s="113">
        <f t="shared" si="314"/>
        <v>612</v>
      </c>
      <c r="DZ203" s="113">
        <f t="shared" si="314"/>
        <v>0</v>
      </c>
      <c r="EA203" s="113">
        <f t="shared" si="314"/>
        <v>196.33333333333337</v>
      </c>
      <c r="EB203" s="460">
        <f t="shared" si="314"/>
        <v>0</v>
      </c>
      <c r="EC203" s="582">
        <f t="shared" si="314"/>
        <v>532.33333333333348</v>
      </c>
      <c r="ED203" s="113">
        <f t="shared" si="314"/>
        <v>348.66666666666663</v>
      </c>
      <c r="EE203" s="113">
        <f t="shared" si="314"/>
        <v>0</v>
      </c>
      <c r="EF203" s="113">
        <f t="shared" si="314"/>
        <v>141.33333333333331</v>
      </c>
      <c r="EG203" s="459">
        <f t="shared" si="314"/>
        <v>42.333333333333329</v>
      </c>
      <c r="EH203" s="461">
        <f t="shared" si="313"/>
        <v>408</v>
      </c>
      <c r="EI203" s="582">
        <f t="shared" si="312"/>
        <v>262.00000000000006</v>
      </c>
      <c r="EJ203" s="113">
        <f t="shared" si="312"/>
        <v>200</v>
      </c>
      <c r="EK203" s="113">
        <f t="shared" si="312"/>
        <v>0</v>
      </c>
      <c r="EL203" s="113">
        <f t="shared" si="312"/>
        <v>61.999999999999972</v>
      </c>
      <c r="EM203" s="460">
        <f t="shared" si="312"/>
        <v>0</v>
      </c>
      <c r="EN203" s="582">
        <f t="shared" si="312"/>
        <v>146.00000000000003</v>
      </c>
      <c r="EO203" s="113">
        <f t="shared" si="312"/>
        <v>90.999999999999957</v>
      </c>
      <c r="EP203" s="113">
        <f t="shared" si="141"/>
        <v>0</v>
      </c>
      <c r="EQ203" s="113">
        <f t="shared" si="141"/>
        <v>40.000000000000028</v>
      </c>
      <c r="ER203" s="459">
        <f t="shared" si="141"/>
        <v>15.000000000000005</v>
      </c>
    </row>
    <row r="204" spans="1:148">
      <c r="A204" s="665" t="s">
        <v>415</v>
      </c>
      <c r="B204" s="665">
        <v>44228</v>
      </c>
      <c r="C204" s="666">
        <v>2021</v>
      </c>
      <c r="D204" s="461">
        <f t="shared" ref="D204:D220" si="452">D93/3+D203</f>
        <v>3091149.0000000009</v>
      </c>
      <c r="E204" s="461">
        <f t="shared" si="317"/>
        <v>47341.333333333336</v>
      </c>
      <c r="F204" s="582">
        <f t="shared" si="318"/>
        <v>28235.333333333343</v>
      </c>
      <c r="G204" s="113">
        <f t="shared" si="319"/>
        <v>20484.666666666668</v>
      </c>
      <c r="H204" s="113">
        <f t="shared" si="320"/>
        <v>0</v>
      </c>
      <c r="I204" s="113">
        <f t="shared" si="321"/>
        <v>7750.6666666666688</v>
      </c>
      <c r="J204" s="460">
        <f t="shared" si="322"/>
        <v>0</v>
      </c>
      <c r="K204" s="582">
        <f t="shared" si="323"/>
        <v>19105.999999999996</v>
      </c>
      <c r="L204" s="113">
        <f t="shared" si="324"/>
        <v>12166</v>
      </c>
      <c r="M204" s="113">
        <f t="shared" si="325"/>
        <v>0</v>
      </c>
      <c r="N204" s="113">
        <f t="shared" si="326"/>
        <v>5272.3333333333339</v>
      </c>
      <c r="O204" s="459">
        <f t="shared" si="327"/>
        <v>1667.6666666666658</v>
      </c>
      <c r="P204" s="461">
        <f t="shared" si="328"/>
        <v>83.333333333333343</v>
      </c>
      <c r="Q204" s="582">
        <f t="shared" si="329"/>
        <v>44.666666666666671</v>
      </c>
      <c r="R204" s="113">
        <f t="shared" si="330"/>
        <v>33.666666666666664</v>
      </c>
      <c r="S204" s="113">
        <f t="shared" si="331"/>
        <v>0</v>
      </c>
      <c r="T204" s="113">
        <f t="shared" si="332"/>
        <v>11.000000000000002</v>
      </c>
      <c r="U204" s="460">
        <f t="shared" si="333"/>
        <v>0</v>
      </c>
      <c r="V204" s="582">
        <f t="shared" si="334"/>
        <v>38.666666666666686</v>
      </c>
      <c r="W204" s="113">
        <f t="shared" si="335"/>
        <v>24.666666666666668</v>
      </c>
      <c r="X204" s="113">
        <f t="shared" si="336"/>
        <v>0</v>
      </c>
      <c r="Y204" s="113">
        <f t="shared" si="337"/>
        <v>11.000000000000002</v>
      </c>
      <c r="Z204" s="459">
        <f t="shared" si="338"/>
        <v>3</v>
      </c>
      <c r="AA204" s="461">
        <f t="shared" si="339"/>
        <v>56.666666666666693</v>
      </c>
      <c r="AB204" s="582">
        <f t="shared" si="340"/>
        <v>25.666666666666671</v>
      </c>
      <c r="AC204" s="113">
        <f t="shared" si="341"/>
        <v>16.000000000000004</v>
      </c>
      <c r="AD204" s="113">
        <f t="shared" si="342"/>
        <v>0</v>
      </c>
      <c r="AE204" s="113">
        <f t="shared" si="343"/>
        <v>9.6666666666666679</v>
      </c>
      <c r="AF204" s="460">
        <f t="shared" si="344"/>
        <v>0</v>
      </c>
      <c r="AG204" s="582">
        <f t="shared" si="345"/>
        <v>31.000000000000007</v>
      </c>
      <c r="AH204" s="113">
        <f t="shared" si="346"/>
        <v>26</v>
      </c>
      <c r="AI204" s="113">
        <f t="shared" si="347"/>
        <v>0</v>
      </c>
      <c r="AJ204" s="113">
        <f t="shared" si="348"/>
        <v>1</v>
      </c>
      <c r="AK204" s="459">
        <f t="shared" si="349"/>
        <v>4</v>
      </c>
      <c r="AL204" s="461">
        <f t="shared" si="350"/>
        <v>418</v>
      </c>
      <c r="AM204" s="582">
        <f t="shared" si="351"/>
        <v>270.00000000000006</v>
      </c>
      <c r="AN204" s="113">
        <f t="shared" si="352"/>
        <v>204</v>
      </c>
      <c r="AO204" s="113">
        <f t="shared" si="353"/>
        <v>0</v>
      </c>
      <c r="AP204" s="113">
        <f t="shared" si="354"/>
        <v>65.999999999999972</v>
      </c>
      <c r="AQ204" s="460">
        <f t="shared" si="355"/>
        <v>0</v>
      </c>
      <c r="AR204" s="582">
        <f t="shared" si="356"/>
        <v>148.00000000000003</v>
      </c>
      <c r="AS204" s="113">
        <f t="shared" si="357"/>
        <v>91.999999999999957</v>
      </c>
      <c r="AT204" s="113">
        <f t="shared" si="358"/>
        <v>0</v>
      </c>
      <c r="AU204" s="113">
        <f t="shared" si="359"/>
        <v>41.000000000000028</v>
      </c>
      <c r="AV204" s="459">
        <f t="shared" si="360"/>
        <v>15.000000000000005</v>
      </c>
      <c r="AW204" s="461">
        <f t="shared" si="361"/>
        <v>234.33333333333337</v>
      </c>
      <c r="AX204" s="582">
        <f t="shared" si="362"/>
        <v>134.33333333333329</v>
      </c>
      <c r="AY204" s="113">
        <f t="shared" si="363"/>
        <v>102.66666666666664</v>
      </c>
      <c r="AZ204" s="113">
        <f t="shared" si="364"/>
        <v>0</v>
      </c>
      <c r="BA204" s="113">
        <f t="shared" si="365"/>
        <v>31.666666666666675</v>
      </c>
      <c r="BB204" s="460">
        <f t="shared" si="366"/>
        <v>0</v>
      </c>
      <c r="BC204" s="582">
        <f t="shared" si="367"/>
        <v>100.00000000000001</v>
      </c>
      <c r="BD204" s="113">
        <f t="shared" si="368"/>
        <v>74.999999999999957</v>
      </c>
      <c r="BE204" s="113">
        <f t="shared" si="369"/>
        <v>0</v>
      </c>
      <c r="BF204" s="113">
        <f t="shared" si="370"/>
        <v>18.000000000000011</v>
      </c>
      <c r="BG204" s="459">
        <f t="shared" si="371"/>
        <v>6.9999999999999991</v>
      </c>
      <c r="BH204" s="461">
        <f t="shared" si="372"/>
        <v>311.33333333333337</v>
      </c>
      <c r="BI204" s="582">
        <f t="shared" si="373"/>
        <v>206.00000000000006</v>
      </c>
      <c r="BJ204" s="113">
        <f t="shared" si="374"/>
        <v>164.66666666666671</v>
      </c>
      <c r="BK204" s="113">
        <f t="shared" si="375"/>
        <v>0</v>
      </c>
      <c r="BL204" s="113">
        <f t="shared" si="376"/>
        <v>41.333333333333329</v>
      </c>
      <c r="BM204" s="460">
        <f t="shared" si="377"/>
        <v>0</v>
      </c>
      <c r="BN204" s="582">
        <f t="shared" si="378"/>
        <v>105.3333333333334</v>
      </c>
      <c r="BO204" s="113">
        <f t="shared" si="379"/>
        <v>60.000000000000021</v>
      </c>
      <c r="BP204" s="113">
        <f t="shared" si="380"/>
        <v>0</v>
      </c>
      <c r="BQ204" s="113">
        <f t="shared" si="381"/>
        <v>36.666666666666657</v>
      </c>
      <c r="BR204" s="459">
        <f t="shared" si="382"/>
        <v>8.6666666666666661</v>
      </c>
      <c r="BS204" s="461">
        <f t="shared" si="383"/>
        <v>484.66666666666686</v>
      </c>
      <c r="BT204" s="582">
        <f t="shared" si="384"/>
        <v>307.66666666666674</v>
      </c>
      <c r="BU204" s="113">
        <f t="shared" si="385"/>
        <v>217.99999999999994</v>
      </c>
      <c r="BV204" s="113">
        <f t="shared" si="386"/>
        <v>0</v>
      </c>
      <c r="BW204" s="113">
        <f t="shared" si="387"/>
        <v>89.666666666666686</v>
      </c>
      <c r="BX204" s="460">
        <f t="shared" si="388"/>
        <v>0</v>
      </c>
      <c r="BY204" s="582">
        <f t="shared" si="389"/>
        <v>177.00000000000003</v>
      </c>
      <c r="BZ204" s="113">
        <f t="shared" si="390"/>
        <v>101.66666666666666</v>
      </c>
      <c r="CA204" s="113">
        <f t="shared" si="391"/>
        <v>0</v>
      </c>
      <c r="CB204" s="113">
        <f t="shared" si="392"/>
        <v>58.3333333333333</v>
      </c>
      <c r="CC204" s="459">
        <f t="shared" si="393"/>
        <v>16.999999999999996</v>
      </c>
      <c r="CD204" s="461">
        <f t="shared" si="394"/>
        <v>101</v>
      </c>
      <c r="CE204" s="582">
        <f t="shared" si="395"/>
        <v>65.000000000000028</v>
      </c>
      <c r="CF204" s="113">
        <f t="shared" si="396"/>
        <v>47.999999999999993</v>
      </c>
      <c r="CG204" s="113">
        <f t="shared" si="397"/>
        <v>0</v>
      </c>
      <c r="CH204" s="113">
        <f t="shared" si="398"/>
        <v>17</v>
      </c>
      <c r="CI204" s="460">
        <f t="shared" si="399"/>
        <v>0</v>
      </c>
      <c r="CJ204" s="582">
        <f t="shared" si="400"/>
        <v>35.999999999999993</v>
      </c>
      <c r="CK204" s="113">
        <f t="shared" si="401"/>
        <v>25</v>
      </c>
      <c r="CL204" s="113">
        <f t="shared" si="402"/>
        <v>0</v>
      </c>
      <c r="CM204" s="113">
        <f t="shared" si="403"/>
        <v>7.9999999999999973</v>
      </c>
      <c r="CN204" s="459">
        <f t="shared" si="404"/>
        <v>3</v>
      </c>
      <c r="CO204" s="461">
        <f t="shared" si="405"/>
        <v>77.333333333333314</v>
      </c>
      <c r="CP204" s="582">
        <f t="shared" si="406"/>
        <v>43.6666666666667</v>
      </c>
      <c r="CQ204" s="113">
        <f t="shared" si="407"/>
        <v>38.000000000000014</v>
      </c>
      <c r="CR204" s="113">
        <f t="shared" si="408"/>
        <v>0</v>
      </c>
      <c r="CS204" s="113">
        <f t="shared" si="409"/>
        <v>5.6666666666666652</v>
      </c>
      <c r="CT204" s="460">
        <f t="shared" si="410"/>
        <v>0</v>
      </c>
      <c r="CU204" s="582">
        <f t="shared" si="411"/>
        <v>33.666666666666664</v>
      </c>
      <c r="CV204" s="113">
        <f t="shared" si="412"/>
        <v>23.999999999999986</v>
      </c>
      <c r="CW204" s="113">
        <f t="shared" si="413"/>
        <v>0</v>
      </c>
      <c r="CX204" s="113">
        <f t="shared" si="414"/>
        <v>9.6666666666666696</v>
      </c>
      <c r="CY204" s="459">
        <f t="shared" si="415"/>
        <v>0</v>
      </c>
      <c r="CZ204" s="461">
        <f t="shared" si="416"/>
        <v>20.666666666666664</v>
      </c>
      <c r="DA204" s="582">
        <f t="shared" si="417"/>
        <v>7.6666666666666652</v>
      </c>
      <c r="DB204" s="113">
        <f t="shared" si="418"/>
        <v>4</v>
      </c>
      <c r="DC204" s="113">
        <f t="shared" si="419"/>
        <v>0</v>
      </c>
      <c r="DD204" s="113">
        <f t="shared" si="420"/>
        <v>3.666666666666667</v>
      </c>
      <c r="DE204" s="460">
        <f t="shared" si="421"/>
        <v>0</v>
      </c>
      <c r="DF204" s="582">
        <f t="shared" si="422"/>
        <v>13.000000000000005</v>
      </c>
      <c r="DG204" s="113">
        <f t="shared" si="423"/>
        <v>12.000000000000009</v>
      </c>
      <c r="DH204" s="113">
        <f t="shared" si="424"/>
        <v>0</v>
      </c>
      <c r="DI204" s="113">
        <f t="shared" si="425"/>
        <v>1</v>
      </c>
      <c r="DJ204" s="459">
        <f t="shared" si="426"/>
        <v>0</v>
      </c>
      <c r="DK204" s="461">
        <f t="shared" si="427"/>
        <v>0</v>
      </c>
      <c r="DL204" s="582">
        <f t="shared" si="428"/>
        <v>0</v>
      </c>
      <c r="DM204" s="113">
        <f t="shared" si="429"/>
        <v>0</v>
      </c>
      <c r="DN204" s="113">
        <f t="shared" si="430"/>
        <v>0</v>
      </c>
      <c r="DO204" s="113">
        <f t="shared" si="431"/>
        <v>0</v>
      </c>
      <c r="DP204" s="460">
        <f t="shared" si="432"/>
        <v>0</v>
      </c>
      <c r="DQ204" s="582">
        <f t="shared" si="433"/>
        <v>1</v>
      </c>
      <c r="DR204" s="113">
        <f t="shared" si="434"/>
        <v>1</v>
      </c>
      <c r="DS204" s="113">
        <f t="shared" si="435"/>
        <v>0</v>
      </c>
      <c r="DT204" s="113">
        <f t="shared" si="436"/>
        <v>0</v>
      </c>
      <c r="DU204" s="459">
        <f t="shared" si="437"/>
        <v>0</v>
      </c>
      <c r="DW204" s="461">
        <f t="shared" si="315"/>
        <v>1369.3333333333335</v>
      </c>
      <c r="DX204" s="582">
        <f t="shared" si="315"/>
        <v>834.66666666666686</v>
      </c>
      <c r="DY204" s="113">
        <f t="shared" si="314"/>
        <v>625</v>
      </c>
      <c r="DZ204" s="113">
        <f t="shared" si="314"/>
        <v>0</v>
      </c>
      <c r="EA204" s="113">
        <f t="shared" si="314"/>
        <v>209.66666666666669</v>
      </c>
      <c r="EB204" s="460">
        <f t="shared" si="314"/>
        <v>0</v>
      </c>
      <c r="EC204" s="582">
        <f t="shared" si="314"/>
        <v>535.66666666666674</v>
      </c>
      <c r="ED204" s="113">
        <f t="shared" si="314"/>
        <v>349.33333333333331</v>
      </c>
      <c r="EE204" s="113">
        <f t="shared" si="314"/>
        <v>0</v>
      </c>
      <c r="EF204" s="113">
        <f t="shared" si="314"/>
        <v>143.66666666666663</v>
      </c>
      <c r="EG204" s="459">
        <f t="shared" si="314"/>
        <v>42.666666666666657</v>
      </c>
      <c r="EH204" s="461">
        <f t="shared" si="313"/>
        <v>418</v>
      </c>
      <c r="EI204" s="582">
        <f t="shared" si="312"/>
        <v>270.00000000000006</v>
      </c>
      <c r="EJ204" s="113">
        <f t="shared" si="312"/>
        <v>204</v>
      </c>
      <c r="EK204" s="113">
        <f t="shared" si="312"/>
        <v>0</v>
      </c>
      <c r="EL204" s="113">
        <f t="shared" si="312"/>
        <v>65.999999999999972</v>
      </c>
      <c r="EM204" s="460">
        <f t="shared" si="312"/>
        <v>0</v>
      </c>
      <c r="EN204" s="582">
        <f t="shared" si="312"/>
        <v>148.00000000000003</v>
      </c>
      <c r="EO204" s="113">
        <f t="shared" si="312"/>
        <v>91.999999999999957</v>
      </c>
      <c r="EP204" s="113">
        <f t="shared" si="141"/>
        <v>0</v>
      </c>
      <c r="EQ204" s="113">
        <f t="shared" si="141"/>
        <v>41.000000000000028</v>
      </c>
      <c r="ER204" s="459">
        <f t="shared" si="141"/>
        <v>15.000000000000005</v>
      </c>
    </row>
    <row r="205" spans="1:148">
      <c r="A205" s="665" t="s">
        <v>415</v>
      </c>
      <c r="B205" s="665">
        <v>44256</v>
      </c>
      <c r="C205" s="666">
        <v>2021</v>
      </c>
      <c r="D205" s="461">
        <f t="shared" si="452"/>
        <v>3138422.0000000009</v>
      </c>
      <c r="E205" s="461">
        <f t="shared" si="317"/>
        <v>48462</v>
      </c>
      <c r="F205" s="582">
        <f t="shared" si="318"/>
        <v>29102.000000000011</v>
      </c>
      <c r="G205" s="113">
        <f t="shared" si="319"/>
        <v>20824</v>
      </c>
      <c r="H205" s="113">
        <f t="shared" si="320"/>
        <v>0</v>
      </c>
      <c r="I205" s="113">
        <f t="shared" si="321"/>
        <v>8278.0000000000018</v>
      </c>
      <c r="J205" s="460">
        <f t="shared" si="322"/>
        <v>0</v>
      </c>
      <c r="K205" s="582">
        <f t="shared" si="323"/>
        <v>19359.999999999996</v>
      </c>
      <c r="L205" s="113">
        <f t="shared" si="324"/>
        <v>12227</v>
      </c>
      <c r="M205" s="113">
        <f t="shared" si="325"/>
        <v>0</v>
      </c>
      <c r="N205" s="113">
        <f t="shared" si="326"/>
        <v>5443.0000000000009</v>
      </c>
      <c r="O205" s="459">
        <f t="shared" si="327"/>
        <v>1689.9999999999991</v>
      </c>
      <c r="P205" s="461">
        <f t="shared" si="328"/>
        <v>85.000000000000014</v>
      </c>
      <c r="Q205" s="582">
        <f t="shared" si="329"/>
        <v>46.000000000000007</v>
      </c>
      <c r="R205" s="113">
        <f t="shared" si="330"/>
        <v>34</v>
      </c>
      <c r="S205" s="113">
        <f t="shared" si="331"/>
        <v>0</v>
      </c>
      <c r="T205" s="113">
        <f t="shared" si="332"/>
        <v>12.000000000000002</v>
      </c>
      <c r="U205" s="460">
        <f t="shared" si="333"/>
        <v>0</v>
      </c>
      <c r="V205" s="582">
        <f t="shared" si="334"/>
        <v>39.000000000000021</v>
      </c>
      <c r="W205" s="113">
        <f t="shared" si="335"/>
        <v>25</v>
      </c>
      <c r="X205" s="113">
        <f t="shared" si="336"/>
        <v>0</v>
      </c>
      <c r="Y205" s="113">
        <f t="shared" si="337"/>
        <v>11.000000000000002</v>
      </c>
      <c r="Z205" s="459">
        <f t="shared" si="338"/>
        <v>3</v>
      </c>
      <c r="AA205" s="461">
        <f t="shared" si="339"/>
        <v>58.000000000000028</v>
      </c>
      <c r="AB205" s="582">
        <f t="shared" si="340"/>
        <v>27.000000000000004</v>
      </c>
      <c r="AC205" s="113">
        <f t="shared" si="341"/>
        <v>17.000000000000004</v>
      </c>
      <c r="AD205" s="113">
        <f t="shared" si="342"/>
        <v>0</v>
      </c>
      <c r="AE205" s="113">
        <f t="shared" si="343"/>
        <v>10.000000000000002</v>
      </c>
      <c r="AF205" s="460">
        <f t="shared" si="344"/>
        <v>0</v>
      </c>
      <c r="AG205" s="582">
        <f t="shared" si="345"/>
        <v>31.000000000000007</v>
      </c>
      <c r="AH205" s="113">
        <f t="shared" si="346"/>
        <v>26</v>
      </c>
      <c r="AI205" s="113">
        <f t="shared" si="347"/>
        <v>0</v>
      </c>
      <c r="AJ205" s="113">
        <f t="shared" si="348"/>
        <v>1</v>
      </c>
      <c r="AK205" s="459">
        <f t="shared" si="349"/>
        <v>4</v>
      </c>
      <c r="AL205" s="461">
        <f t="shared" si="350"/>
        <v>428</v>
      </c>
      <c r="AM205" s="582">
        <f t="shared" si="351"/>
        <v>278.00000000000006</v>
      </c>
      <c r="AN205" s="113">
        <f t="shared" si="352"/>
        <v>208</v>
      </c>
      <c r="AO205" s="113">
        <f t="shared" si="353"/>
        <v>0</v>
      </c>
      <c r="AP205" s="113">
        <f t="shared" si="354"/>
        <v>69.999999999999972</v>
      </c>
      <c r="AQ205" s="460">
        <f t="shared" si="355"/>
        <v>0</v>
      </c>
      <c r="AR205" s="582">
        <f t="shared" si="356"/>
        <v>150.00000000000003</v>
      </c>
      <c r="AS205" s="113">
        <f t="shared" si="357"/>
        <v>92.999999999999957</v>
      </c>
      <c r="AT205" s="113">
        <f t="shared" si="358"/>
        <v>0</v>
      </c>
      <c r="AU205" s="113">
        <f t="shared" si="359"/>
        <v>42.000000000000028</v>
      </c>
      <c r="AV205" s="459">
        <f t="shared" si="360"/>
        <v>15.000000000000005</v>
      </c>
      <c r="AW205" s="461">
        <f t="shared" si="361"/>
        <v>238.00000000000003</v>
      </c>
      <c r="AX205" s="582">
        <f t="shared" si="362"/>
        <v>137.99999999999994</v>
      </c>
      <c r="AY205" s="113">
        <f t="shared" si="363"/>
        <v>103.99999999999997</v>
      </c>
      <c r="AZ205" s="113">
        <f t="shared" si="364"/>
        <v>0</v>
      </c>
      <c r="BA205" s="113">
        <f t="shared" si="365"/>
        <v>34.000000000000007</v>
      </c>
      <c r="BB205" s="460">
        <f t="shared" si="366"/>
        <v>0</v>
      </c>
      <c r="BC205" s="582">
        <f t="shared" si="367"/>
        <v>100.00000000000001</v>
      </c>
      <c r="BD205" s="113">
        <f t="shared" si="368"/>
        <v>74.999999999999957</v>
      </c>
      <c r="BE205" s="113">
        <f t="shared" si="369"/>
        <v>0</v>
      </c>
      <c r="BF205" s="113">
        <f t="shared" si="370"/>
        <v>18.000000000000011</v>
      </c>
      <c r="BG205" s="459">
        <f t="shared" si="371"/>
        <v>6.9999999999999991</v>
      </c>
      <c r="BH205" s="461">
        <f t="shared" si="372"/>
        <v>321.00000000000006</v>
      </c>
      <c r="BI205" s="582">
        <f t="shared" si="373"/>
        <v>214.00000000000006</v>
      </c>
      <c r="BJ205" s="113">
        <f t="shared" si="374"/>
        <v>169.00000000000006</v>
      </c>
      <c r="BK205" s="113">
        <f t="shared" si="375"/>
        <v>0</v>
      </c>
      <c r="BL205" s="113">
        <f t="shared" si="376"/>
        <v>44.999999999999993</v>
      </c>
      <c r="BM205" s="460">
        <f t="shared" si="377"/>
        <v>0</v>
      </c>
      <c r="BN205" s="582">
        <f t="shared" si="378"/>
        <v>107.00000000000007</v>
      </c>
      <c r="BO205" s="113">
        <f t="shared" si="379"/>
        <v>60.000000000000021</v>
      </c>
      <c r="BP205" s="113">
        <f t="shared" si="380"/>
        <v>0</v>
      </c>
      <c r="BQ205" s="113">
        <f t="shared" si="381"/>
        <v>37.999999999999993</v>
      </c>
      <c r="BR205" s="459">
        <f t="shared" si="382"/>
        <v>9</v>
      </c>
      <c r="BS205" s="461">
        <f t="shared" si="383"/>
        <v>495.00000000000017</v>
      </c>
      <c r="BT205" s="582">
        <f t="shared" si="384"/>
        <v>317.00000000000006</v>
      </c>
      <c r="BU205" s="113">
        <f t="shared" si="385"/>
        <v>222.99999999999994</v>
      </c>
      <c r="BV205" s="113">
        <f t="shared" si="386"/>
        <v>0</v>
      </c>
      <c r="BW205" s="113">
        <f t="shared" si="387"/>
        <v>94.000000000000014</v>
      </c>
      <c r="BX205" s="460">
        <f t="shared" si="388"/>
        <v>0</v>
      </c>
      <c r="BY205" s="582">
        <f t="shared" si="389"/>
        <v>178.00000000000003</v>
      </c>
      <c r="BZ205" s="113">
        <f t="shared" si="390"/>
        <v>101.99999999999999</v>
      </c>
      <c r="CA205" s="113">
        <f t="shared" si="391"/>
        <v>0</v>
      </c>
      <c r="CB205" s="113">
        <f t="shared" si="392"/>
        <v>58.999999999999964</v>
      </c>
      <c r="CC205" s="459">
        <f t="shared" si="393"/>
        <v>16.999999999999996</v>
      </c>
      <c r="CD205" s="461">
        <f t="shared" si="394"/>
        <v>102</v>
      </c>
      <c r="CE205" s="582">
        <f t="shared" si="395"/>
        <v>66.000000000000028</v>
      </c>
      <c r="CF205" s="113">
        <f t="shared" si="396"/>
        <v>47.999999999999993</v>
      </c>
      <c r="CG205" s="113">
        <f t="shared" si="397"/>
        <v>0</v>
      </c>
      <c r="CH205" s="113">
        <f t="shared" si="398"/>
        <v>18</v>
      </c>
      <c r="CI205" s="460">
        <f t="shared" si="399"/>
        <v>0</v>
      </c>
      <c r="CJ205" s="582">
        <f t="shared" si="400"/>
        <v>35.999999999999993</v>
      </c>
      <c r="CK205" s="113">
        <f t="shared" si="401"/>
        <v>25</v>
      </c>
      <c r="CL205" s="113">
        <f t="shared" si="402"/>
        <v>0</v>
      </c>
      <c r="CM205" s="113">
        <f t="shared" si="403"/>
        <v>7.9999999999999973</v>
      </c>
      <c r="CN205" s="459">
        <f t="shared" si="404"/>
        <v>3</v>
      </c>
      <c r="CO205" s="461">
        <f t="shared" si="405"/>
        <v>78.999999999999986</v>
      </c>
      <c r="CP205" s="582">
        <f t="shared" si="406"/>
        <v>45.000000000000036</v>
      </c>
      <c r="CQ205" s="113">
        <f t="shared" si="407"/>
        <v>39.000000000000014</v>
      </c>
      <c r="CR205" s="113">
        <f t="shared" si="408"/>
        <v>0</v>
      </c>
      <c r="CS205" s="113">
        <f t="shared" si="409"/>
        <v>5.9999999999999982</v>
      </c>
      <c r="CT205" s="460">
        <f t="shared" si="410"/>
        <v>0</v>
      </c>
      <c r="CU205" s="582">
        <f t="shared" si="411"/>
        <v>34</v>
      </c>
      <c r="CV205" s="113">
        <f t="shared" si="412"/>
        <v>23.999999999999986</v>
      </c>
      <c r="CW205" s="113">
        <f t="shared" si="413"/>
        <v>0</v>
      </c>
      <c r="CX205" s="113">
        <f t="shared" si="414"/>
        <v>10.000000000000004</v>
      </c>
      <c r="CY205" s="459">
        <f t="shared" si="415"/>
        <v>0</v>
      </c>
      <c r="CZ205" s="461">
        <f t="shared" si="416"/>
        <v>20.999999999999996</v>
      </c>
      <c r="DA205" s="582">
        <f t="shared" si="417"/>
        <v>7.9999999999999982</v>
      </c>
      <c r="DB205" s="113">
        <f t="shared" si="418"/>
        <v>4</v>
      </c>
      <c r="DC205" s="113">
        <f t="shared" si="419"/>
        <v>0</v>
      </c>
      <c r="DD205" s="113">
        <f t="shared" si="420"/>
        <v>4</v>
      </c>
      <c r="DE205" s="460">
        <f t="shared" si="421"/>
        <v>0</v>
      </c>
      <c r="DF205" s="582">
        <f t="shared" si="422"/>
        <v>13.000000000000005</v>
      </c>
      <c r="DG205" s="113">
        <f t="shared" si="423"/>
        <v>12.000000000000009</v>
      </c>
      <c r="DH205" s="113">
        <f t="shared" si="424"/>
        <v>0</v>
      </c>
      <c r="DI205" s="113">
        <f t="shared" si="425"/>
        <v>1</v>
      </c>
      <c r="DJ205" s="459">
        <f t="shared" si="426"/>
        <v>0</v>
      </c>
      <c r="DK205" s="461">
        <f t="shared" si="427"/>
        <v>0</v>
      </c>
      <c r="DL205" s="582">
        <f t="shared" si="428"/>
        <v>0</v>
      </c>
      <c r="DM205" s="113">
        <f t="shared" si="429"/>
        <v>0</v>
      </c>
      <c r="DN205" s="113">
        <f t="shared" si="430"/>
        <v>0</v>
      </c>
      <c r="DO205" s="113">
        <f t="shared" si="431"/>
        <v>0</v>
      </c>
      <c r="DP205" s="460">
        <f t="shared" si="432"/>
        <v>0</v>
      </c>
      <c r="DQ205" s="582">
        <f t="shared" si="433"/>
        <v>1</v>
      </c>
      <c r="DR205" s="113">
        <f t="shared" si="434"/>
        <v>1</v>
      </c>
      <c r="DS205" s="113">
        <f t="shared" si="435"/>
        <v>0</v>
      </c>
      <c r="DT205" s="113">
        <f t="shared" si="436"/>
        <v>0</v>
      </c>
      <c r="DU205" s="459">
        <f t="shared" si="437"/>
        <v>0</v>
      </c>
      <c r="DW205" s="461">
        <f t="shared" si="315"/>
        <v>1399.0000000000005</v>
      </c>
      <c r="DX205" s="582">
        <f t="shared" si="315"/>
        <v>861</v>
      </c>
      <c r="DY205" s="113">
        <f t="shared" si="314"/>
        <v>638</v>
      </c>
      <c r="DZ205" s="113">
        <f t="shared" si="314"/>
        <v>0</v>
      </c>
      <c r="EA205" s="113">
        <f t="shared" si="314"/>
        <v>223</v>
      </c>
      <c r="EB205" s="460">
        <f t="shared" si="314"/>
        <v>0</v>
      </c>
      <c r="EC205" s="582">
        <f t="shared" si="314"/>
        <v>539.00000000000011</v>
      </c>
      <c r="ED205" s="113">
        <f t="shared" si="314"/>
        <v>349.99999999999994</v>
      </c>
      <c r="EE205" s="113">
        <f t="shared" si="314"/>
        <v>0</v>
      </c>
      <c r="EF205" s="113">
        <f t="shared" si="314"/>
        <v>145.99999999999997</v>
      </c>
      <c r="EG205" s="459">
        <f t="shared" si="314"/>
        <v>43</v>
      </c>
      <c r="EH205" s="461">
        <f t="shared" si="313"/>
        <v>428</v>
      </c>
      <c r="EI205" s="582">
        <f t="shared" si="312"/>
        <v>278.00000000000006</v>
      </c>
      <c r="EJ205" s="113">
        <f t="shared" si="312"/>
        <v>208</v>
      </c>
      <c r="EK205" s="113">
        <f t="shared" si="312"/>
        <v>0</v>
      </c>
      <c r="EL205" s="113">
        <f t="shared" si="312"/>
        <v>69.999999999999972</v>
      </c>
      <c r="EM205" s="460">
        <f t="shared" si="312"/>
        <v>0</v>
      </c>
      <c r="EN205" s="582">
        <f t="shared" si="312"/>
        <v>150.00000000000003</v>
      </c>
      <c r="EO205" s="113">
        <f t="shared" si="312"/>
        <v>92.999999999999957</v>
      </c>
      <c r="EP205" s="113">
        <f t="shared" si="141"/>
        <v>0</v>
      </c>
      <c r="EQ205" s="113">
        <f t="shared" si="141"/>
        <v>42.000000000000028</v>
      </c>
      <c r="ER205" s="459">
        <f t="shared" si="141"/>
        <v>15.000000000000005</v>
      </c>
    </row>
    <row r="206" spans="1:148">
      <c r="A206" s="665" t="s">
        <v>416</v>
      </c>
      <c r="B206" s="665">
        <v>44287</v>
      </c>
      <c r="C206" s="666">
        <v>2021</v>
      </c>
      <c r="D206" s="461">
        <f t="shared" si="452"/>
        <v>3198482.3333333344</v>
      </c>
      <c r="E206" s="461">
        <f t="shared" si="317"/>
        <v>50178</v>
      </c>
      <c r="F206" s="582">
        <f t="shared" si="318"/>
        <v>30356.000000000011</v>
      </c>
      <c r="G206" s="113">
        <f t="shared" si="319"/>
        <v>21391.333333333332</v>
      </c>
      <c r="H206" s="113">
        <f t="shared" si="320"/>
        <v>0</v>
      </c>
      <c r="I206" s="113">
        <f t="shared" si="321"/>
        <v>8964.6666666666679</v>
      </c>
      <c r="J206" s="460">
        <f t="shared" si="322"/>
        <v>0</v>
      </c>
      <c r="K206" s="582">
        <f t="shared" si="323"/>
        <v>19821.999999999996</v>
      </c>
      <c r="L206" s="113">
        <f t="shared" si="324"/>
        <v>12316</v>
      </c>
      <c r="M206" s="113">
        <f t="shared" si="325"/>
        <v>0</v>
      </c>
      <c r="N206" s="113">
        <f t="shared" si="326"/>
        <v>5797.3333333333339</v>
      </c>
      <c r="O206" s="459">
        <f t="shared" si="327"/>
        <v>1708.6666666666658</v>
      </c>
      <c r="P206" s="461">
        <f t="shared" si="328"/>
        <v>86.000000000000014</v>
      </c>
      <c r="Q206" s="582">
        <f t="shared" si="329"/>
        <v>47.000000000000007</v>
      </c>
      <c r="R206" s="113">
        <f t="shared" si="330"/>
        <v>34.666666666666664</v>
      </c>
      <c r="S206" s="113">
        <f t="shared" si="331"/>
        <v>0</v>
      </c>
      <c r="T206" s="113">
        <f t="shared" si="332"/>
        <v>12.333333333333336</v>
      </c>
      <c r="U206" s="460">
        <f t="shared" si="333"/>
        <v>0</v>
      </c>
      <c r="V206" s="582">
        <f t="shared" si="334"/>
        <v>39.000000000000021</v>
      </c>
      <c r="W206" s="113">
        <f t="shared" si="335"/>
        <v>25</v>
      </c>
      <c r="X206" s="113">
        <f t="shared" si="336"/>
        <v>0</v>
      </c>
      <c r="Y206" s="113">
        <f t="shared" si="337"/>
        <v>11.000000000000002</v>
      </c>
      <c r="Z206" s="459">
        <f t="shared" si="338"/>
        <v>3</v>
      </c>
      <c r="AA206" s="461">
        <f t="shared" si="339"/>
        <v>59.333333333333364</v>
      </c>
      <c r="AB206" s="582">
        <f t="shared" si="340"/>
        <v>28.000000000000004</v>
      </c>
      <c r="AC206" s="113">
        <f t="shared" si="341"/>
        <v>17.000000000000004</v>
      </c>
      <c r="AD206" s="113">
        <f t="shared" si="342"/>
        <v>0</v>
      </c>
      <c r="AE206" s="113">
        <f t="shared" si="343"/>
        <v>11.000000000000002</v>
      </c>
      <c r="AF206" s="460">
        <f t="shared" si="344"/>
        <v>0</v>
      </c>
      <c r="AG206" s="582">
        <f t="shared" si="345"/>
        <v>31.333333333333339</v>
      </c>
      <c r="AH206" s="113">
        <f t="shared" si="346"/>
        <v>26.333333333333332</v>
      </c>
      <c r="AI206" s="113">
        <f t="shared" si="347"/>
        <v>0</v>
      </c>
      <c r="AJ206" s="113">
        <f t="shared" si="348"/>
        <v>1</v>
      </c>
      <c r="AK206" s="459">
        <f t="shared" si="349"/>
        <v>4</v>
      </c>
      <c r="AL206" s="461">
        <f t="shared" si="350"/>
        <v>446.66666666666669</v>
      </c>
      <c r="AM206" s="582">
        <f t="shared" si="351"/>
        <v>291.00000000000006</v>
      </c>
      <c r="AN206" s="113">
        <f t="shared" si="352"/>
        <v>214</v>
      </c>
      <c r="AO206" s="113">
        <f t="shared" si="353"/>
        <v>0</v>
      </c>
      <c r="AP206" s="113">
        <f t="shared" si="354"/>
        <v>76.999999999999972</v>
      </c>
      <c r="AQ206" s="460">
        <f t="shared" si="355"/>
        <v>0</v>
      </c>
      <c r="AR206" s="582">
        <f t="shared" si="356"/>
        <v>155.66666666666669</v>
      </c>
      <c r="AS206" s="113">
        <f t="shared" si="357"/>
        <v>93.999999999999957</v>
      </c>
      <c r="AT206" s="113">
        <f t="shared" si="358"/>
        <v>0</v>
      </c>
      <c r="AU206" s="113">
        <f t="shared" si="359"/>
        <v>46.666666666666693</v>
      </c>
      <c r="AV206" s="459">
        <f t="shared" si="360"/>
        <v>15.000000000000005</v>
      </c>
      <c r="AW206" s="461">
        <f t="shared" si="361"/>
        <v>246.00000000000003</v>
      </c>
      <c r="AX206" s="582">
        <f t="shared" si="362"/>
        <v>144.6666666666666</v>
      </c>
      <c r="AY206" s="113">
        <f t="shared" si="363"/>
        <v>107.66666666666664</v>
      </c>
      <c r="AZ206" s="113">
        <f t="shared" si="364"/>
        <v>0</v>
      </c>
      <c r="BA206" s="113">
        <f t="shared" si="365"/>
        <v>37.000000000000007</v>
      </c>
      <c r="BB206" s="460">
        <f t="shared" si="366"/>
        <v>0</v>
      </c>
      <c r="BC206" s="582">
        <f t="shared" si="367"/>
        <v>101.33333333333334</v>
      </c>
      <c r="BD206" s="113">
        <f t="shared" si="368"/>
        <v>75.666666666666629</v>
      </c>
      <c r="BE206" s="113">
        <f t="shared" si="369"/>
        <v>0</v>
      </c>
      <c r="BF206" s="113">
        <f t="shared" si="370"/>
        <v>18.666666666666679</v>
      </c>
      <c r="BG206" s="459">
        <f t="shared" si="371"/>
        <v>6.9999999999999991</v>
      </c>
      <c r="BH206" s="461">
        <f t="shared" si="372"/>
        <v>336.00000000000006</v>
      </c>
      <c r="BI206" s="582">
        <f t="shared" si="373"/>
        <v>226.66666666666671</v>
      </c>
      <c r="BJ206" s="113">
        <f t="shared" si="374"/>
        <v>174.66666666666671</v>
      </c>
      <c r="BK206" s="113">
        <f t="shared" si="375"/>
        <v>0</v>
      </c>
      <c r="BL206" s="113">
        <f t="shared" si="376"/>
        <v>51.999999999999993</v>
      </c>
      <c r="BM206" s="460">
        <f t="shared" si="377"/>
        <v>0</v>
      </c>
      <c r="BN206" s="582">
        <f t="shared" si="378"/>
        <v>109.3333333333334</v>
      </c>
      <c r="BO206" s="113">
        <f t="shared" si="379"/>
        <v>60.666666666666686</v>
      </c>
      <c r="BP206" s="113">
        <f t="shared" si="380"/>
        <v>0</v>
      </c>
      <c r="BQ206" s="113">
        <f t="shared" si="381"/>
        <v>39.333333333333329</v>
      </c>
      <c r="BR206" s="459">
        <f t="shared" si="382"/>
        <v>9.3333333333333339</v>
      </c>
      <c r="BS206" s="461">
        <f t="shared" si="383"/>
        <v>510.33333333333348</v>
      </c>
      <c r="BT206" s="582">
        <f t="shared" si="384"/>
        <v>329.66666666666674</v>
      </c>
      <c r="BU206" s="113">
        <f t="shared" si="385"/>
        <v>228.33333333333329</v>
      </c>
      <c r="BV206" s="113">
        <f t="shared" si="386"/>
        <v>0</v>
      </c>
      <c r="BW206" s="113">
        <f t="shared" si="387"/>
        <v>101.33333333333334</v>
      </c>
      <c r="BX206" s="460">
        <f t="shared" si="388"/>
        <v>0</v>
      </c>
      <c r="BY206" s="582">
        <f t="shared" si="389"/>
        <v>180.66666666666669</v>
      </c>
      <c r="BZ206" s="113">
        <f t="shared" si="390"/>
        <v>102.99999999999999</v>
      </c>
      <c r="CA206" s="113">
        <f t="shared" si="391"/>
        <v>0</v>
      </c>
      <c r="CB206" s="113">
        <f t="shared" si="392"/>
        <v>60.666666666666629</v>
      </c>
      <c r="CC206" s="459">
        <f t="shared" si="393"/>
        <v>16.999999999999996</v>
      </c>
      <c r="CD206" s="461">
        <f t="shared" si="394"/>
        <v>104.66666666666667</v>
      </c>
      <c r="CE206" s="582">
        <f t="shared" si="395"/>
        <v>68.000000000000028</v>
      </c>
      <c r="CF206" s="113">
        <f t="shared" si="396"/>
        <v>47.999999999999993</v>
      </c>
      <c r="CG206" s="113">
        <f t="shared" si="397"/>
        <v>0</v>
      </c>
      <c r="CH206" s="113">
        <f t="shared" si="398"/>
        <v>20</v>
      </c>
      <c r="CI206" s="460">
        <f t="shared" si="399"/>
        <v>0</v>
      </c>
      <c r="CJ206" s="582">
        <f t="shared" si="400"/>
        <v>36.666666666666657</v>
      </c>
      <c r="CK206" s="113">
        <f t="shared" si="401"/>
        <v>25</v>
      </c>
      <c r="CL206" s="113">
        <f t="shared" si="402"/>
        <v>0</v>
      </c>
      <c r="CM206" s="113">
        <f t="shared" si="403"/>
        <v>8.6666666666666643</v>
      </c>
      <c r="CN206" s="459">
        <f t="shared" si="404"/>
        <v>3</v>
      </c>
      <c r="CO206" s="461">
        <f t="shared" si="405"/>
        <v>80.999999999999986</v>
      </c>
      <c r="CP206" s="582">
        <f t="shared" si="406"/>
        <v>46.333333333333371</v>
      </c>
      <c r="CQ206" s="113">
        <f t="shared" si="407"/>
        <v>39.33333333333335</v>
      </c>
      <c r="CR206" s="113">
        <f t="shared" si="408"/>
        <v>0</v>
      </c>
      <c r="CS206" s="113">
        <f t="shared" si="409"/>
        <v>6.9999999999999982</v>
      </c>
      <c r="CT206" s="460">
        <f t="shared" si="410"/>
        <v>0</v>
      </c>
      <c r="CU206" s="582">
        <f t="shared" si="411"/>
        <v>34.666666666666664</v>
      </c>
      <c r="CV206" s="113">
        <f t="shared" si="412"/>
        <v>23.999999999999986</v>
      </c>
      <c r="CW206" s="113">
        <f t="shared" si="413"/>
        <v>0</v>
      </c>
      <c r="CX206" s="113">
        <f t="shared" si="414"/>
        <v>10.66666666666667</v>
      </c>
      <c r="CY206" s="459">
        <f t="shared" si="415"/>
        <v>0</v>
      </c>
      <c r="CZ206" s="461">
        <f t="shared" si="416"/>
        <v>21.333333333333329</v>
      </c>
      <c r="DA206" s="582">
        <f t="shared" si="417"/>
        <v>8.3333333333333321</v>
      </c>
      <c r="DB206" s="113">
        <f t="shared" si="418"/>
        <v>4</v>
      </c>
      <c r="DC206" s="113">
        <f t="shared" si="419"/>
        <v>0</v>
      </c>
      <c r="DD206" s="113">
        <f t="shared" si="420"/>
        <v>4.333333333333333</v>
      </c>
      <c r="DE206" s="460">
        <f t="shared" si="421"/>
        <v>0</v>
      </c>
      <c r="DF206" s="582">
        <f t="shared" si="422"/>
        <v>13.000000000000005</v>
      </c>
      <c r="DG206" s="113">
        <f t="shared" si="423"/>
        <v>12.000000000000009</v>
      </c>
      <c r="DH206" s="113">
        <f t="shared" si="424"/>
        <v>0</v>
      </c>
      <c r="DI206" s="113">
        <f t="shared" si="425"/>
        <v>1</v>
      </c>
      <c r="DJ206" s="459">
        <f t="shared" si="426"/>
        <v>0</v>
      </c>
      <c r="DK206" s="461">
        <f t="shared" si="427"/>
        <v>0</v>
      </c>
      <c r="DL206" s="582">
        <f t="shared" si="428"/>
        <v>0</v>
      </c>
      <c r="DM206" s="113">
        <f t="shared" si="429"/>
        <v>0</v>
      </c>
      <c r="DN206" s="113">
        <f t="shared" si="430"/>
        <v>0</v>
      </c>
      <c r="DO206" s="113">
        <f t="shared" si="431"/>
        <v>0</v>
      </c>
      <c r="DP206" s="460">
        <f t="shared" si="432"/>
        <v>0</v>
      </c>
      <c r="DQ206" s="582">
        <f t="shared" si="433"/>
        <v>1</v>
      </c>
      <c r="DR206" s="113">
        <f t="shared" si="434"/>
        <v>1</v>
      </c>
      <c r="DS206" s="113">
        <f t="shared" si="435"/>
        <v>0</v>
      </c>
      <c r="DT206" s="113">
        <f t="shared" si="436"/>
        <v>0</v>
      </c>
      <c r="DU206" s="459">
        <f t="shared" si="437"/>
        <v>0</v>
      </c>
      <c r="DW206" s="461">
        <f t="shared" si="315"/>
        <v>1444.666666666667</v>
      </c>
      <c r="DX206" s="582">
        <f t="shared" si="315"/>
        <v>898.66666666666686</v>
      </c>
      <c r="DY206" s="113">
        <f t="shared" si="314"/>
        <v>653.66666666666663</v>
      </c>
      <c r="DZ206" s="113">
        <f t="shared" si="314"/>
        <v>0</v>
      </c>
      <c r="EA206" s="113">
        <f t="shared" si="314"/>
        <v>245.00000000000003</v>
      </c>
      <c r="EB206" s="460">
        <f t="shared" ref="EB206:EG248" si="453">U206+AF206+BB206+BM206+BX206+CI206+CT206+DE206+DP206</f>
        <v>0</v>
      </c>
      <c r="EC206" s="582">
        <f t="shared" si="453"/>
        <v>547.00000000000011</v>
      </c>
      <c r="ED206" s="113">
        <f t="shared" si="453"/>
        <v>352.66666666666663</v>
      </c>
      <c r="EE206" s="113">
        <f t="shared" si="453"/>
        <v>0</v>
      </c>
      <c r="EF206" s="113">
        <f t="shared" si="453"/>
        <v>150.99999999999994</v>
      </c>
      <c r="EG206" s="459">
        <f t="shared" si="453"/>
        <v>43.333333333333329</v>
      </c>
      <c r="EH206" s="461">
        <f t="shared" si="313"/>
        <v>446.66666666666669</v>
      </c>
      <c r="EI206" s="582">
        <f t="shared" si="312"/>
        <v>291.00000000000006</v>
      </c>
      <c r="EJ206" s="113">
        <f t="shared" si="312"/>
        <v>214</v>
      </c>
      <c r="EK206" s="113">
        <f t="shared" si="312"/>
        <v>0</v>
      </c>
      <c r="EL206" s="113">
        <f t="shared" si="312"/>
        <v>76.999999999999972</v>
      </c>
      <c r="EM206" s="460">
        <f t="shared" si="312"/>
        <v>0</v>
      </c>
      <c r="EN206" s="582">
        <f t="shared" si="312"/>
        <v>155.66666666666669</v>
      </c>
      <c r="EO206" s="113">
        <f t="shared" si="312"/>
        <v>93.999999999999957</v>
      </c>
      <c r="EP206" s="113">
        <f t="shared" si="141"/>
        <v>0</v>
      </c>
      <c r="EQ206" s="113">
        <f t="shared" si="141"/>
        <v>46.666666666666693</v>
      </c>
      <c r="ER206" s="459">
        <f t="shared" si="141"/>
        <v>15.000000000000005</v>
      </c>
    </row>
    <row r="207" spans="1:148">
      <c r="A207" s="665" t="s">
        <v>416</v>
      </c>
      <c r="B207" s="665">
        <v>44317</v>
      </c>
      <c r="C207" s="666">
        <v>2021</v>
      </c>
      <c r="D207" s="461">
        <f t="shared" si="452"/>
        <v>3258542.6666666679</v>
      </c>
      <c r="E207" s="461">
        <f t="shared" si="317"/>
        <v>51894</v>
      </c>
      <c r="F207" s="582">
        <f t="shared" si="318"/>
        <v>31610.000000000011</v>
      </c>
      <c r="G207" s="113">
        <f t="shared" si="319"/>
        <v>21958.666666666664</v>
      </c>
      <c r="H207" s="113">
        <f t="shared" si="320"/>
        <v>0</v>
      </c>
      <c r="I207" s="113">
        <f t="shared" si="321"/>
        <v>9651.3333333333339</v>
      </c>
      <c r="J207" s="460">
        <f t="shared" si="322"/>
        <v>0</v>
      </c>
      <c r="K207" s="582">
        <f t="shared" si="323"/>
        <v>20283.999999999996</v>
      </c>
      <c r="L207" s="113">
        <f t="shared" si="324"/>
        <v>12405</v>
      </c>
      <c r="M207" s="113">
        <f t="shared" si="325"/>
        <v>0</v>
      </c>
      <c r="N207" s="113">
        <f t="shared" si="326"/>
        <v>6151.666666666667</v>
      </c>
      <c r="O207" s="459">
        <f t="shared" si="327"/>
        <v>1727.3333333333326</v>
      </c>
      <c r="P207" s="461">
        <f t="shared" si="328"/>
        <v>87.000000000000014</v>
      </c>
      <c r="Q207" s="582">
        <f t="shared" si="329"/>
        <v>48.000000000000007</v>
      </c>
      <c r="R207" s="113">
        <f t="shared" si="330"/>
        <v>35.333333333333329</v>
      </c>
      <c r="S207" s="113">
        <f t="shared" si="331"/>
        <v>0</v>
      </c>
      <c r="T207" s="113">
        <f t="shared" si="332"/>
        <v>12.66666666666667</v>
      </c>
      <c r="U207" s="460">
        <f t="shared" si="333"/>
        <v>0</v>
      </c>
      <c r="V207" s="582">
        <f t="shared" si="334"/>
        <v>39.000000000000021</v>
      </c>
      <c r="W207" s="113">
        <f t="shared" si="335"/>
        <v>25</v>
      </c>
      <c r="X207" s="113">
        <f t="shared" si="336"/>
        <v>0</v>
      </c>
      <c r="Y207" s="113">
        <f t="shared" si="337"/>
        <v>11.000000000000002</v>
      </c>
      <c r="Z207" s="459">
        <f t="shared" si="338"/>
        <v>3</v>
      </c>
      <c r="AA207" s="461">
        <f t="shared" si="339"/>
        <v>60.6666666666667</v>
      </c>
      <c r="AB207" s="582">
        <f t="shared" si="340"/>
        <v>29.000000000000004</v>
      </c>
      <c r="AC207" s="113">
        <f t="shared" si="341"/>
        <v>17.000000000000004</v>
      </c>
      <c r="AD207" s="113">
        <f t="shared" si="342"/>
        <v>0</v>
      </c>
      <c r="AE207" s="113">
        <f t="shared" si="343"/>
        <v>12.000000000000002</v>
      </c>
      <c r="AF207" s="460">
        <f t="shared" si="344"/>
        <v>0</v>
      </c>
      <c r="AG207" s="582">
        <f t="shared" si="345"/>
        <v>31.666666666666671</v>
      </c>
      <c r="AH207" s="113">
        <f t="shared" si="346"/>
        <v>26.666666666666664</v>
      </c>
      <c r="AI207" s="113">
        <f t="shared" si="347"/>
        <v>0</v>
      </c>
      <c r="AJ207" s="113">
        <f t="shared" si="348"/>
        <v>1</v>
      </c>
      <c r="AK207" s="459">
        <f t="shared" si="349"/>
        <v>4</v>
      </c>
      <c r="AL207" s="461">
        <f t="shared" si="350"/>
        <v>465.33333333333337</v>
      </c>
      <c r="AM207" s="582">
        <f t="shared" si="351"/>
        <v>304.00000000000006</v>
      </c>
      <c r="AN207" s="113">
        <f t="shared" si="352"/>
        <v>220</v>
      </c>
      <c r="AO207" s="113">
        <f t="shared" si="353"/>
        <v>0</v>
      </c>
      <c r="AP207" s="113">
        <f t="shared" si="354"/>
        <v>83.999999999999972</v>
      </c>
      <c r="AQ207" s="460">
        <f t="shared" si="355"/>
        <v>0</v>
      </c>
      <c r="AR207" s="582">
        <f t="shared" si="356"/>
        <v>161.33333333333334</v>
      </c>
      <c r="AS207" s="113">
        <f t="shared" si="357"/>
        <v>94.999999999999957</v>
      </c>
      <c r="AT207" s="113">
        <f t="shared" si="358"/>
        <v>0</v>
      </c>
      <c r="AU207" s="113">
        <f t="shared" si="359"/>
        <v>51.333333333333357</v>
      </c>
      <c r="AV207" s="459">
        <f t="shared" si="360"/>
        <v>15.000000000000005</v>
      </c>
      <c r="AW207" s="461">
        <f t="shared" si="361"/>
        <v>254.00000000000003</v>
      </c>
      <c r="AX207" s="582">
        <f t="shared" si="362"/>
        <v>151.33333333333326</v>
      </c>
      <c r="AY207" s="113">
        <f t="shared" si="363"/>
        <v>111.33333333333331</v>
      </c>
      <c r="AZ207" s="113">
        <f t="shared" si="364"/>
        <v>0</v>
      </c>
      <c r="BA207" s="113">
        <f t="shared" si="365"/>
        <v>40.000000000000007</v>
      </c>
      <c r="BB207" s="460">
        <f t="shared" si="366"/>
        <v>0</v>
      </c>
      <c r="BC207" s="582">
        <f t="shared" si="367"/>
        <v>102.66666666666667</v>
      </c>
      <c r="BD207" s="113">
        <f t="shared" si="368"/>
        <v>76.3333333333333</v>
      </c>
      <c r="BE207" s="113">
        <f t="shared" si="369"/>
        <v>0</v>
      </c>
      <c r="BF207" s="113">
        <f t="shared" si="370"/>
        <v>19.333333333333346</v>
      </c>
      <c r="BG207" s="459">
        <f t="shared" si="371"/>
        <v>6.9999999999999991</v>
      </c>
      <c r="BH207" s="461">
        <f t="shared" si="372"/>
        <v>351.00000000000006</v>
      </c>
      <c r="BI207" s="582">
        <f t="shared" si="373"/>
        <v>239.33333333333337</v>
      </c>
      <c r="BJ207" s="113">
        <f t="shared" si="374"/>
        <v>180.33333333333337</v>
      </c>
      <c r="BK207" s="113">
        <f t="shared" si="375"/>
        <v>0</v>
      </c>
      <c r="BL207" s="113">
        <f t="shared" si="376"/>
        <v>58.999999999999993</v>
      </c>
      <c r="BM207" s="460">
        <f t="shared" si="377"/>
        <v>0</v>
      </c>
      <c r="BN207" s="582">
        <f t="shared" si="378"/>
        <v>111.66666666666673</v>
      </c>
      <c r="BO207" s="113">
        <f t="shared" si="379"/>
        <v>61.33333333333335</v>
      </c>
      <c r="BP207" s="113">
        <f t="shared" si="380"/>
        <v>0</v>
      </c>
      <c r="BQ207" s="113">
        <f t="shared" si="381"/>
        <v>40.666666666666664</v>
      </c>
      <c r="BR207" s="459">
        <f t="shared" si="382"/>
        <v>9.6666666666666679</v>
      </c>
      <c r="BS207" s="461">
        <f t="shared" si="383"/>
        <v>525.66666666666686</v>
      </c>
      <c r="BT207" s="582">
        <f t="shared" si="384"/>
        <v>342.33333333333343</v>
      </c>
      <c r="BU207" s="113">
        <f t="shared" si="385"/>
        <v>233.66666666666663</v>
      </c>
      <c r="BV207" s="113">
        <f t="shared" si="386"/>
        <v>0</v>
      </c>
      <c r="BW207" s="113">
        <f t="shared" si="387"/>
        <v>108.66666666666667</v>
      </c>
      <c r="BX207" s="460">
        <f t="shared" si="388"/>
        <v>0</v>
      </c>
      <c r="BY207" s="582">
        <f t="shared" si="389"/>
        <v>183.33333333333334</v>
      </c>
      <c r="BZ207" s="113">
        <f t="shared" si="390"/>
        <v>103.99999999999999</v>
      </c>
      <c r="CA207" s="113">
        <f t="shared" si="391"/>
        <v>0</v>
      </c>
      <c r="CB207" s="113">
        <f t="shared" si="392"/>
        <v>62.333333333333293</v>
      </c>
      <c r="CC207" s="459">
        <f t="shared" si="393"/>
        <v>16.999999999999996</v>
      </c>
      <c r="CD207" s="461">
        <f t="shared" si="394"/>
        <v>107.33333333333334</v>
      </c>
      <c r="CE207" s="582">
        <f t="shared" si="395"/>
        <v>70.000000000000028</v>
      </c>
      <c r="CF207" s="113">
        <f t="shared" si="396"/>
        <v>47.999999999999993</v>
      </c>
      <c r="CG207" s="113">
        <f t="shared" si="397"/>
        <v>0</v>
      </c>
      <c r="CH207" s="113">
        <f t="shared" si="398"/>
        <v>22</v>
      </c>
      <c r="CI207" s="460">
        <f t="shared" si="399"/>
        <v>0</v>
      </c>
      <c r="CJ207" s="582">
        <f t="shared" si="400"/>
        <v>37.333333333333321</v>
      </c>
      <c r="CK207" s="113">
        <f t="shared" si="401"/>
        <v>25</v>
      </c>
      <c r="CL207" s="113">
        <f t="shared" si="402"/>
        <v>0</v>
      </c>
      <c r="CM207" s="113">
        <f t="shared" si="403"/>
        <v>9.3333333333333304</v>
      </c>
      <c r="CN207" s="459">
        <f t="shared" si="404"/>
        <v>3</v>
      </c>
      <c r="CO207" s="461">
        <f t="shared" si="405"/>
        <v>82.999999999999986</v>
      </c>
      <c r="CP207" s="582">
        <f t="shared" si="406"/>
        <v>47.666666666666707</v>
      </c>
      <c r="CQ207" s="113">
        <f t="shared" si="407"/>
        <v>39.666666666666686</v>
      </c>
      <c r="CR207" s="113">
        <f t="shared" si="408"/>
        <v>0</v>
      </c>
      <c r="CS207" s="113">
        <f t="shared" si="409"/>
        <v>7.9999999999999982</v>
      </c>
      <c r="CT207" s="460">
        <f t="shared" si="410"/>
        <v>0</v>
      </c>
      <c r="CU207" s="582">
        <f t="shared" si="411"/>
        <v>35.333333333333329</v>
      </c>
      <c r="CV207" s="113">
        <f t="shared" si="412"/>
        <v>23.999999999999986</v>
      </c>
      <c r="CW207" s="113">
        <f t="shared" si="413"/>
        <v>0</v>
      </c>
      <c r="CX207" s="113">
        <f t="shared" si="414"/>
        <v>11.333333333333336</v>
      </c>
      <c r="CY207" s="459">
        <f t="shared" si="415"/>
        <v>0</v>
      </c>
      <c r="CZ207" s="461">
        <f t="shared" si="416"/>
        <v>21.666666666666661</v>
      </c>
      <c r="DA207" s="582">
        <f t="shared" si="417"/>
        <v>8.6666666666666661</v>
      </c>
      <c r="DB207" s="113">
        <f t="shared" si="418"/>
        <v>4</v>
      </c>
      <c r="DC207" s="113">
        <f t="shared" si="419"/>
        <v>0</v>
      </c>
      <c r="DD207" s="113">
        <f t="shared" si="420"/>
        <v>4.6666666666666661</v>
      </c>
      <c r="DE207" s="460">
        <f t="shared" si="421"/>
        <v>0</v>
      </c>
      <c r="DF207" s="582">
        <f t="shared" si="422"/>
        <v>13.000000000000005</v>
      </c>
      <c r="DG207" s="113">
        <f t="shared" si="423"/>
        <v>12.000000000000009</v>
      </c>
      <c r="DH207" s="113">
        <f t="shared" si="424"/>
        <v>0</v>
      </c>
      <c r="DI207" s="113">
        <f t="shared" si="425"/>
        <v>1</v>
      </c>
      <c r="DJ207" s="459">
        <f t="shared" si="426"/>
        <v>0</v>
      </c>
      <c r="DK207" s="461">
        <f t="shared" si="427"/>
        <v>0</v>
      </c>
      <c r="DL207" s="582">
        <f t="shared" si="428"/>
        <v>0</v>
      </c>
      <c r="DM207" s="113">
        <f t="shared" si="429"/>
        <v>0</v>
      </c>
      <c r="DN207" s="113">
        <f t="shared" si="430"/>
        <v>0</v>
      </c>
      <c r="DO207" s="113">
        <f t="shared" si="431"/>
        <v>0</v>
      </c>
      <c r="DP207" s="460">
        <f t="shared" si="432"/>
        <v>0</v>
      </c>
      <c r="DQ207" s="582">
        <f t="shared" si="433"/>
        <v>1</v>
      </c>
      <c r="DR207" s="113">
        <f t="shared" si="434"/>
        <v>1</v>
      </c>
      <c r="DS207" s="113">
        <f t="shared" si="435"/>
        <v>0</v>
      </c>
      <c r="DT207" s="113">
        <f t="shared" si="436"/>
        <v>0</v>
      </c>
      <c r="DU207" s="459">
        <f t="shared" si="437"/>
        <v>0</v>
      </c>
      <c r="DW207" s="461">
        <f t="shared" si="315"/>
        <v>1490.3333333333335</v>
      </c>
      <c r="DX207" s="582">
        <f t="shared" si="315"/>
        <v>936.33333333333337</v>
      </c>
      <c r="DY207" s="113">
        <f t="shared" si="315"/>
        <v>669.33333333333326</v>
      </c>
      <c r="DZ207" s="113">
        <f t="shared" si="315"/>
        <v>0</v>
      </c>
      <c r="EA207" s="113">
        <f t="shared" si="315"/>
        <v>267.00000000000006</v>
      </c>
      <c r="EB207" s="460">
        <f t="shared" si="453"/>
        <v>0</v>
      </c>
      <c r="EC207" s="582">
        <f t="shared" si="453"/>
        <v>555.00000000000011</v>
      </c>
      <c r="ED207" s="113">
        <f t="shared" si="453"/>
        <v>355.33333333333331</v>
      </c>
      <c r="EE207" s="113">
        <f t="shared" si="453"/>
        <v>0</v>
      </c>
      <c r="EF207" s="113">
        <f t="shared" si="453"/>
        <v>156</v>
      </c>
      <c r="EG207" s="459">
        <f t="shared" si="453"/>
        <v>43.666666666666664</v>
      </c>
      <c r="EH207" s="461">
        <f t="shared" si="313"/>
        <v>465.33333333333337</v>
      </c>
      <c r="EI207" s="582">
        <f t="shared" si="312"/>
        <v>304.00000000000006</v>
      </c>
      <c r="EJ207" s="113">
        <f t="shared" si="312"/>
        <v>220</v>
      </c>
      <c r="EK207" s="113">
        <f t="shared" si="312"/>
        <v>0</v>
      </c>
      <c r="EL207" s="113">
        <f t="shared" si="312"/>
        <v>83.999999999999972</v>
      </c>
      <c r="EM207" s="460">
        <f t="shared" si="312"/>
        <v>0</v>
      </c>
      <c r="EN207" s="582">
        <f t="shared" si="312"/>
        <v>161.33333333333334</v>
      </c>
      <c r="EO207" s="113">
        <f t="shared" si="312"/>
        <v>94.999999999999957</v>
      </c>
      <c r="EP207" s="113">
        <f t="shared" si="141"/>
        <v>0</v>
      </c>
      <c r="EQ207" s="113">
        <f t="shared" si="141"/>
        <v>51.333333333333357</v>
      </c>
      <c r="ER207" s="459">
        <f t="shared" si="141"/>
        <v>15.000000000000005</v>
      </c>
    </row>
    <row r="208" spans="1:148">
      <c r="A208" s="665" t="s">
        <v>416</v>
      </c>
      <c r="B208" s="665">
        <v>44348</v>
      </c>
      <c r="C208" s="666">
        <v>2021</v>
      </c>
      <c r="D208" s="461">
        <f t="shared" si="452"/>
        <v>3318603.0000000014</v>
      </c>
      <c r="E208" s="461">
        <f t="shared" si="317"/>
        <v>53610</v>
      </c>
      <c r="F208" s="582">
        <f t="shared" si="318"/>
        <v>32864.000000000015</v>
      </c>
      <c r="G208" s="113">
        <f t="shared" si="319"/>
        <v>22525.999999999996</v>
      </c>
      <c r="H208" s="113">
        <f t="shared" si="320"/>
        <v>0</v>
      </c>
      <c r="I208" s="113">
        <f t="shared" si="321"/>
        <v>10338</v>
      </c>
      <c r="J208" s="460">
        <f t="shared" si="322"/>
        <v>0</v>
      </c>
      <c r="K208" s="582">
        <f t="shared" si="323"/>
        <v>20745.999999999996</v>
      </c>
      <c r="L208" s="113">
        <f t="shared" si="324"/>
        <v>12494</v>
      </c>
      <c r="M208" s="113">
        <f t="shared" si="325"/>
        <v>0</v>
      </c>
      <c r="N208" s="113">
        <f t="shared" si="326"/>
        <v>6506</v>
      </c>
      <c r="O208" s="459">
        <f t="shared" si="327"/>
        <v>1745.9999999999993</v>
      </c>
      <c r="P208" s="461">
        <f t="shared" si="328"/>
        <v>88.000000000000014</v>
      </c>
      <c r="Q208" s="582">
        <f t="shared" si="329"/>
        <v>49.000000000000007</v>
      </c>
      <c r="R208" s="113">
        <f t="shared" si="330"/>
        <v>35.999999999999993</v>
      </c>
      <c r="S208" s="113">
        <f t="shared" si="331"/>
        <v>0</v>
      </c>
      <c r="T208" s="113">
        <f t="shared" si="332"/>
        <v>13.000000000000004</v>
      </c>
      <c r="U208" s="460">
        <f t="shared" si="333"/>
        <v>0</v>
      </c>
      <c r="V208" s="582">
        <f t="shared" si="334"/>
        <v>39.000000000000021</v>
      </c>
      <c r="W208" s="113">
        <f t="shared" si="335"/>
        <v>25</v>
      </c>
      <c r="X208" s="113">
        <f t="shared" si="336"/>
        <v>0</v>
      </c>
      <c r="Y208" s="113">
        <f t="shared" si="337"/>
        <v>11.000000000000002</v>
      </c>
      <c r="Z208" s="459">
        <f t="shared" si="338"/>
        <v>3</v>
      </c>
      <c r="AA208" s="461">
        <f t="shared" si="339"/>
        <v>62.000000000000036</v>
      </c>
      <c r="AB208" s="582">
        <f t="shared" si="340"/>
        <v>30.000000000000004</v>
      </c>
      <c r="AC208" s="113">
        <f t="shared" si="341"/>
        <v>17.000000000000004</v>
      </c>
      <c r="AD208" s="113">
        <f t="shared" si="342"/>
        <v>0</v>
      </c>
      <c r="AE208" s="113">
        <f t="shared" si="343"/>
        <v>13.000000000000002</v>
      </c>
      <c r="AF208" s="460">
        <f t="shared" si="344"/>
        <v>0</v>
      </c>
      <c r="AG208" s="582">
        <f t="shared" si="345"/>
        <v>32.000000000000007</v>
      </c>
      <c r="AH208" s="113">
        <f t="shared" si="346"/>
        <v>26.999999999999996</v>
      </c>
      <c r="AI208" s="113">
        <f t="shared" si="347"/>
        <v>0</v>
      </c>
      <c r="AJ208" s="113">
        <f t="shared" si="348"/>
        <v>1</v>
      </c>
      <c r="AK208" s="459">
        <f t="shared" si="349"/>
        <v>4</v>
      </c>
      <c r="AL208" s="461">
        <f t="shared" si="350"/>
        <v>484.00000000000006</v>
      </c>
      <c r="AM208" s="582">
        <f t="shared" si="351"/>
        <v>317.00000000000006</v>
      </c>
      <c r="AN208" s="113">
        <f t="shared" si="352"/>
        <v>226</v>
      </c>
      <c r="AO208" s="113">
        <f t="shared" si="353"/>
        <v>0</v>
      </c>
      <c r="AP208" s="113">
        <f t="shared" si="354"/>
        <v>90.999999999999972</v>
      </c>
      <c r="AQ208" s="460">
        <f t="shared" si="355"/>
        <v>0</v>
      </c>
      <c r="AR208" s="582">
        <f t="shared" si="356"/>
        <v>167</v>
      </c>
      <c r="AS208" s="113">
        <f t="shared" si="357"/>
        <v>95.999999999999957</v>
      </c>
      <c r="AT208" s="113">
        <f t="shared" si="358"/>
        <v>0</v>
      </c>
      <c r="AU208" s="113">
        <f t="shared" si="359"/>
        <v>56.000000000000021</v>
      </c>
      <c r="AV208" s="459">
        <f t="shared" si="360"/>
        <v>15.000000000000005</v>
      </c>
      <c r="AW208" s="461">
        <f t="shared" si="361"/>
        <v>262</v>
      </c>
      <c r="AX208" s="582">
        <f t="shared" si="362"/>
        <v>157.99999999999991</v>
      </c>
      <c r="AY208" s="113">
        <f t="shared" si="363"/>
        <v>114.99999999999999</v>
      </c>
      <c r="AZ208" s="113">
        <f t="shared" si="364"/>
        <v>0</v>
      </c>
      <c r="BA208" s="113">
        <f t="shared" si="365"/>
        <v>43.000000000000007</v>
      </c>
      <c r="BB208" s="460">
        <f t="shared" si="366"/>
        <v>0</v>
      </c>
      <c r="BC208" s="582">
        <f t="shared" si="367"/>
        <v>104</v>
      </c>
      <c r="BD208" s="113">
        <f t="shared" si="368"/>
        <v>76.999999999999972</v>
      </c>
      <c r="BE208" s="113">
        <f t="shared" si="369"/>
        <v>0</v>
      </c>
      <c r="BF208" s="113">
        <f t="shared" si="370"/>
        <v>20.000000000000014</v>
      </c>
      <c r="BG208" s="459">
        <f t="shared" si="371"/>
        <v>6.9999999999999991</v>
      </c>
      <c r="BH208" s="461">
        <f t="shared" si="372"/>
        <v>366.00000000000006</v>
      </c>
      <c r="BI208" s="582">
        <f t="shared" si="373"/>
        <v>252.00000000000003</v>
      </c>
      <c r="BJ208" s="113">
        <f t="shared" si="374"/>
        <v>186.00000000000003</v>
      </c>
      <c r="BK208" s="113">
        <f t="shared" si="375"/>
        <v>0</v>
      </c>
      <c r="BL208" s="113">
        <f t="shared" si="376"/>
        <v>66</v>
      </c>
      <c r="BM208" s="460">
        <f t="shared" si="377"/>
        <v>0</v>
      </c>
      <c r="BN208" s="582">
        <f t="shared" si="378"/>
        <v>114.00000000000006</v>
      </c>
      <c r="BO208" s="113">
        <f t="shared" si="379"/>
        <v>62.000000000000014</v>
      </c>
      <c r="BP208" s="113">
        <f t="shared" si="380"/>
        <v>0</v>
      </c>
      <c r="BQ208" s="113">
        <f t="shared" si="381"/>
        <v>42</v>
      </c>
      <c r="BR208" s="459">
        <f t="shared" si="382"/>
        <v>10.000000000000002</v>
      </c>
      <c r="BS208" s="461">
        <f t="shared" si="383"/>
        <v>541.00000000000023</v>
      </c>
      <c r="BT208" s="582">
        <f t="shared" si="384"/>
        <v>355.00000000000011</v>
      </c>
      <c r="BU208" s="113">
        <f t="shared" si="385"/>
        <v>238.99999999999997</v>
      </c>
      <c r="BV208" s="113">
        <f t="shared" si="386"/>
        <v>0</v>
      </c>
      <c r="BW208" s="113">
        <f t="shared" si="387"/>
        <v>116</v>
      </c>
      <c r="BX208" s="460">
        <f t="shared" si="388"/>
        <v>0</v>
      </c>
      <c r="BY208" s="582">
        <f t="shared" si="389"/>
        <v>186</v>
      </c>
      <c r="BZ208" s="113">
        <f t="shared" si="390"/>
        <v>104.99999999999999</v>
      </c>
      <c r="CA208" s="113">
        <f t="shared" si="391"/>
        <v>0</v>
      </c>
      <c r="CB208" s="113">
        <f t="shared" si="392"/>
        <v>63.999999999999957</v>
      </c>
      <c r="CC208" s="459">
        <f t="shared" si="393"/>
        <v>16.999999999999996</v>
      </c>
      <c r="CD208" s="461">
        <f t="shared" si="394"/>
        <v>110.00000000000001</v>
      </c>
      <c r="CE208" s="582">
        <f t="shared" si="395"/>
        <v>72.000000000000028</v>
      </c>
      <c r="CF208" s="113">
        <f t="shared" si="396"/>
        <v>47.999999999999993</v>
      </c>
      <c r="CG208" s="113">
        <f t="shared" si="397"/>
        <v>0</v>
      </c>
      <c r="CH208" s="113">
        <f t="shared" si="398"/>
        <v>24</v>
      </c>
      <c r="CI208" s="460">
        <f t="shared" si="399"/>
        <v>0</v>
      </c>
      <c r="CJ208" s="582">
        <f t="shared" si="400"/>
        <v>37.999999999999986</v>
      </c>
      <c r="CK208" s="113">
        <f t="shared" si="401"/>
        <v>25</v>
      </c>
      <c r="CL208" s="113">
        <f t="shared" si="402"/>
        <v>0</v>
      </c>
      <c r="CM208" s="113">
        <f t="shared" si="403"/>
        <v>9.9999999999999964</v>
      </c>
      <c r="CN208" s="459">
        <f t="shared" si="404"/>
        <v>3</v>
      </c>
      <c r="CO208" s="461">
        <f t="shared" si="405"/>
        <v>84.999999999999986</v>
      </c>
      <c r="CP208" s="582">
        <f t="shared" si="406"/>
        <v>49.000000000000043</v>
      </c>
      <c r="CQ208" s="113">
        <f t="shared" si="407"/>
        <v>40.000000000000021</v>
      </c>
      <c r="CR208" s="113">
        <f t="shared" si="408"/>
        <v>0</v>
      </c>
      <c r="CS208" s="113">
        <f t="shared" si="409"/>
        <v>8.9999999999999982</v>
      </c>
      <c r="CT208" s="460">
        <f t="shared" si="410"/>
        <v>0</v>
      </c>
      <c r="CU208" s="582">
        <f t="shared" si="411"/>
        <v>35.999999999999993</v>
      </c>
      <c r="CV208" s="113">
        <f t="shared" si="412"/>
        <v>23.999999999999986</v>
      </c>
      <c r="CW208" s="113">
        <f t="shared" si="413"/>
        <v>0</v>
      </c>
      <c r="CX208" s="113">
        <f t="shared" si="414"/>
        <v>12.000000000000002</v>
      </c>
      <c r="CY208" s="459">
        <f t="shared" si="415"/>
        <v>0</v>
      </c>
      <c r="CZ208" s="461">
        <f t="shared" si="416"/>
        <v>21.999999999999993</v>
      </c>
      <c r="DA208" s="582">
        <f t="shared" si="417"/>
        <v>9</v>
      </c>
      <c r="DB208" s="113">
        <f t="shared" si="418"/>
        <v>4</v>
      </c>
      <c r="DC208" s="113">
        <f t="shared" si="419"/>
        <v>0</v>
      </c>
      <c r="DD208" s="113">
        <f t="shared" si="420"/>
        <v>4.9999999999999991</v>
      </c>
      <c r="DE208" s="460">
        <f t="shared" si="421"/>
        <v>0</v>
      </c>
      <c r="DF208" s="582">
        <f t="shared" si="422"/>
        <v>13.000000000000005</v>
      </c>
      <c r="DG208" s="113">
        <f t="shared" si="423"/>
        <v>12.000000000000009</v>
      </c>
      <c r="DH208" s="113">
        <f t="shared" si="424"/>
        <v>0</v>
      </c>
      <c r="DI208" s="113">
        <f t="shared" si="425"/>
        <v>1</v>
      </c>
      <c r="DJ208" s="459">
        <f t="shared" si="426"/>
        <v>0</v>
      </c>
      <c r="DK208" s="461">
        <f t="shared" si="427"/>
        <v>0</v>
      </c>
      <c r="DL208" s="582">
        <f t="shared" si="428"/>
        <v>0</v>
      </c>
      <c r="DM208" s="113">
        <f t="shared" si="429"/>
        <v>0</v>
      </c>
      <c r="DN208" s="113">
        <f t="shared" si="430"/>
        <v>0</v>
      </c>
      <c r="DO208" s="113">
        <f t="shared" si="431"/>
        <v>0</v>
      </c>
      <c r="DP208" s="460">
        <f t="shared" si="432"/>
        <v>0</v>
      </c>
      <c r="DQ208" s="582">
        <f t="shared" si="433"/>
        <v>1</v>
      </c>
      <c r="DR208" s="113">
        <f t="shared" si="434"/>
        <v>1</v>
      </c>
      <c r="DS208" s="113">
        <f t="shared" si="435"/>
        <v>0</v>
      </c>
      <c r="DT208" s="113">
        <f t="shared" si="436"/>
        <v>0</v>
      </c>
      <c r="DU208" s="459">
        <f t="shared" si="437"/>
        <v>0</v>
      </c>
      <c r="DW208" s="461">
        <f t="shared" si="315"/>
        <v>1536.0000000000005</v>
      </c>
      <c r="DX208" s="582">
        <f t="shared" si="315"/>
        <v>974.00000000000011</v>
      </c>
      <c r="DY208" s="113">
        <f t="shared" si="315"/>
        <v>685</v>
      </c>
      <c r="DZ208" s="113">
        <f t="shared" si="315"/>
        <v>0</v>
      </c>
      <c r="EA208" s="113">
        <f t="shared" si="315"/>
        <v>289</v>
      </c>
      <c r="EB208" s="460">
        <f t="shared" si="453"/>
        <v>0</v>
      </c>
      <c r="EC208" s="582">
        <f t="shared" si="453"/>
        <v>563.00000000000011</v>
      </c>
      <c r="ED208" s="113">
        <f t="shared" si="453"/>
        <v>358</v>
      </c>
      <c r="EE208" s="113">
        <f t="shared" si="453"/>
        <v>0</v>
      </c>
      <c r="EF208" s="113">
        <f t="shared" si="453"/>
        <v>160.99999999999997</v>
      </c>
      <c r="EG208" s="459">
        <f t="shared" si="453"/>
        <v>44</v>
      </c>
      <c r="EH208" s="461">
        <f t="shared" si="313"/>
        <v>484.00000000000006</v>
      </c>
      <c r="EI208" s="582">
        <f t="shared" si="312"/>
        <v>317.00000000000006</v>
      </c>
      <c r="EJ208" s="113">
        <f t="shared" si="312"/>
        <v>226</v>
      </c>
      <c r="EK208" s="113">
        <f t="shared" si="312"/>
        <v>0</v>
      </c>
      <c r="EL208" s="113">
        <f t="shared" si="312"/>
        <v>90.999999999999972</v>
      </c>
      <c r="EM208" s="460">
        <f t="shared" si="312"/>
        <v>0</v>
      </c>
      <c r="EN208" s="582">
        <f t="shared" si="312"/>
        <v>167</v>
      </c>
      <c r="EO208" s="113">
        <f t="shared" si="312"/>
        <v>95.999999999999957</v>
      </c>
      <c r="EP208" s="113">
        <f t="shared" si="141"/>
        <v>0</v>
      </c>
      <c r="EQ208" s="113">
        <f t="shared" si="141"/>
        <v>56.000000000000021</v>
      </c>
      <c r="ER208" s="459">
        <f t="shared" si="141"/>
        <v>15.000000000000005</v>
      </c>
    </row>
    <row r="209" spans="1:148">
      <c r="A209" s="665" t="s">
        <v>417</v>
      </c>
      <c r="B209" s="665">
        <v>44378</v>
      </c>
      <c r="C209" s="666">
        <v>2021</v>
      </c>
      <c r="D209" s="461">
        <f t="shared" si="452"/>
        <v>3376815.6666666679</v>
      </c>
      <c r="E209" s="461">
        <f t="shared" si="317"/>
        <v>55333.666666666664</v>
      </c>
      <c r="F209" s="582">
        <f t="shared" si="318"/>
        <v>34088.000000000015</v>
      </c>
      <c r="G209" s="113">
        <f t="shared" si="319"/>
        <v>23198.666666666664</v>
      </c>
      <c r="H209" s="113">
        <f t="shared" si="320"/>
        <v>0</v>
      </c>
      <c r="I209" s="113">
        <f t="shared" si="321"/>
        <v>10889.333333333334</v>
      </c>
      <c r="J209" s="460">
        <f t="shared" si="322"/>
        <v>0</v>
      </c>
      <c r="K209" s="582">
        <f t="shared" si="323"/>
        <v>21245.666666666664</v>
      </c>
      <c r="L209" s="113">
        <f t="shared" si="324"/>
        <v>12621.333333333334</v>
      </c>
      <c r="M209" s="113">
        <f t="shared" si="325"/>
        <v>0</v>
      </c>
      <c r="N209" s="113">
        <f t="shared" si="326"/>
        <v>6835</v>
      </c>
      <c r="O209" s="459">
        <f t="shared" si="327"/>
        <v>1789.3333333333326</v>
      </c>
      <c r="P209" s="461">
        <f t="shared" si="328"/>
        <v>91.000000000000014</v>
      </c>
      <c r="Q209" s="582">
        <f t="shared" si="329"/>
        <v>50.666666666666671</v>
      </c>
      <c r="R209" s="113">
        <f t="shared" si="330"/>
        <v>37.333333333333329</v>
      </c>
      <c r="S209" s="113">
        <f t="shared" si="331"/>
        <v>0</v>
      </c>
      <c r="T209" s="113">
        <f t="shared" si="332"/>
        <v>13.333333333333337</v>
      </c>
      <c r="U209" s="460">
        <f t="shared" si="333"/>
        <v>0</v>
      </c>
      <c r="V209" s="582">
        <f t="shared" si="334"/>
        <v>40.333333333333357</v>
      </c>
      <c r="W209" s="113">
        <f t="shared" si="335"/>
        <v>25.666666666666668</v>
      </c>
      <c r="X209" s="113">
        <f t="shared" si="336"/>
        <v>0</v>
      </c>
      <c r="Y209" s="113">
        <f t="shared" si="337"/>
        <v>11.333333333333336</v>
      </c>
      <c r="Z209" s="459">
        <f t="shared" si="338"/>
        <v>3.3333333333333335</v>
      </c>
      <c r="AA209" s="461">
        <f t="shared" si="339"/>
        <v>63.000000000000036</v>
      </c>
      <c r="AB209" s="582">
        <f t="shared" si="340"/>
        <v>30.666666666666671</v>
      </c>
      <c r="AC209" s="113">
        <f t="shared" si="341"/>
        <v>17.000000000000004</v>
      </c>
      <c r="AD209" s="113">
        <f t="shared" si="342"/>
        <v>0</v>
      </c>
      <c r="AE209" s="113">
        <f t="shared" si="343"/>
        <v>13.666666666666668</v>
      </c>
      <c r="AF209" s="460">
        <f t="shared" si="344"/>
        <v>0</v>
      </c>
      <c r="AG209" s="582">
        <f t="shared" si="345"/>
        <v>32.333333333333343</v>
      </c>
      <c r="AH209" s="113">
        <f t="shared" si="346"/>
        <v>27.333333333333329</v>
      </c>
      <c r="AI209" s="113">
        <f t="shared" si="347"/>
        <v>0</v>
      </c>
      <c r="AJ209" s="113">
        <f t="shared" si="348"/>
        <v>1</v>
      </c>
      <c r="AK209" s="459">
        <f t="shared" si="349"/>
        <v>4</v>
      </c>
      <c r="AL209" s="461">
        <f t="shared" si="350"/>
        <v>503.33333333333337</v>
      </c>
      <c r="AM209" s="582">
        <f t="shared" si="351"/>
        <v>331.33333333333337</v>
      </c>
      <c r="AN209" s="113">
        <f t="shared" si="352"/>
        <v>234.66666666666666</v>
      </c>
      <c r="AO209" s="113">
        <f t="shared" si="353"/>
        <v>0</v>
      </c>
      <c r="AP209" s="113">
        <f t="shared" si="354"/>
        <v>96.666666666666643</v>
      </c>
      <c r="AQ209" s="460">
        <f t="shared" si="355"/>
        <v>0</v>
      </c>
      <c r="AR209" s="582">
        <f t="shared" si="356"/>
        <v>172</v>
      </c>
      <c r="AS209" s="113">
        <f t="shared" si="357"/>
        <v>96.999999999999957</v>
      </c>
      <c r="AT209" s="113">
        <f t="shared" si="358"/>
        <v>0</v>
      </c>
      <c r="AU209" s="113">
        <f t="shared" si="359"/>
        <v>60.000000000000021</v>
      </c>
      <c r="AV209" s="459">
        <f t="shared" si="360"/>
        <v>15.000000000000005</v>
      </c>
      <c r="AW209" s="461">
        <f t="shared" si="361"/>
        <v>271.66666666666669</v>
      </c>
      <c r="AX209" s="582">
        <f t="shared" si="362"/>
        <v>165.66666666666657</v>
      </c>
      <c r="AY209" s="113">
        <f t="shared" si="363"/>
        <v>120.66666666666666</v>
      </c>
      <c r="AZ209" s="113">
        <f t="shared" si="364"/>
        <v>0</v>
      </c>
      <c r="BA209" s="113">
        <f t="shared" si="365"/>
        <v>45.000000000000007</v>
      </c>
      <c r="BB209" s="460">
        <f t="shared" si="366"/>
        <v>0</v>
      </c>
      <c r="BC209" s="582">
        <f t="shared" si="367"/>
        <v>106</v>
      </c>
      <c r="BD209" s="113">
        <f t="shared" si="368"/>
        <v>77.999999999999972</v>
      </c>
      <c r="BE209" s="113">
        <f t="shared" si="369"/>
        <v>0</v>
      </c>
      <c r="BF209" s="113">
        <f t="shared" si="370"/>
        <v>20.666666666666682</v>
      </c>
      <c r="BG209" s="459">
        <f t="shared" si="371"/>
        <v>7.3333333333333321</v>
      </c>
      <c r="BH209" s="461">
        <f t="shared" si="372"/>
        <v>383.00000000000006</v>
      </c>
      <c r="BI209" s="582">
        <f t="shared" si="373"/>
        <v>265.33333333333337</v>
      </c>
      <c r="BJ209" s="113">
        <f t="shared" si="374"/>
        <v>194.33333333333337</v>
      </c>
      <c r="BK209" s="113">
        <f t="shared" si="375"/>
        <v>0</v>
      </c>
      <c r="BL209" s="113">
        <f t="shared" si="376"/>
        <v>71</v>
      </c>
      <c r="BM209" s="460">
        <f t="shared" si="377"/>
        <v>0</v>
      </c>
      <c r="BN209" s="582">
        <f t="shared" si="378"/>
        <v>117.66666666666673</v>
      </c>
      <c r="BO209" s="113">
        <f t="shared" si="379"/>
        <v>62.000000000000014</v>
      </c>
      <c r="BP209" s="113">
        <f t="shared" si="380"/>
        <v>0</v>
      </c>
      <c r="BQ209" s="113">
        <f t="shared" si="381"/>
        <v>45.333333333333336</v>
      </c>
      <c r="BR209" s="459">
        <f t="shared" si="382"/>
        <v>10.333333333333336</v>
      </c>
      <c r="BS209" s="461">
        <f t="shared" si="383"/>
        <v>558.3333333333336</v>
      </c>
      <c r="BT209" s="582">
        <f t="shared" si="384"/>
        <v>368.00000000000011</v>
      </c>
      <c r="BU209" s="113">
        <f t="shared" si="385"/>
        <v>246.33333333333331</v>
      </c>
      <c r="BV209" s="113">
        <f t="shared" si="386"/>
        <v>0</v>
      </c>
      <c r="BW209" s="113">
        <f t="shared" si="387"/>
        <v>121.66666666666667</v>
      </c>
      <c r="BX209" s="460">
        <f t="shared" si="388"/>
        <v>0</v>
      </c>
      <c r="BY209" s="582">
        <f t="shared" si="389"/>
        <v>190.33333333333334</v>
      </c>
      <c r="BZ209" s="113">
        <f t="shared" si="390"/>
        <v>106.33333333333331</v>
      </c>
      <c r="CA209" s="113">
        <f t="shared" si="391"/>
        <v>0</v>
      </c>
      <c r="CB209" s="113">
        <f t="shared" si="392"/>
        <v>66.333333333333286</v>
      </c>
      <c r="CC209" s="459">
        <f t="shared" si="393"/>
        <v>17.666666666666664</v>
      </c>
      <c r="CD209" s="461">
        <f t="shared" si="394"/>
        <v>112.33333333333334</v>
      </c>
      <c r="CE209" s="582">
        <f t="shared" si="395"/>
        <v>74.000000000000028</v>
      </c>
      <c r="CF209" s="113">
        <f t="shared" si="396"/>
        <v>48.666666666666657</v>
      </c>
      <c r="CG209" s="113">
        <f t="shared" si="397"/>
        <v>0</v>
      </c>
      <c r="CH209" s="113">
        <f t="shared" si="398"/>
        <v>25.333333333333332</v>
      </c>
      <c r="CI209" s="460">
        <f t="shared" si="399"/>
        <v>0</v>
      </c>
      <c r="CJ209" s="582">
        <f t="shared" si="400"/>
        <v>38.333333333333321</v>
      </c>
      <c r="CK209" s="113">
        <f t="shared" si="401"/>
        <v>25</v>
      </c>
      <c r="CL209" s="113">
        <f t="shared" si="402"/>
        <v>0</v>
      </c>
      <c r="CM209" s="113">
        <f t="shared" si="403"/>
        <v>10.33333333333333</v>
      </c>
      <c r="CN209" s="459">
        <f t="shared" si="404"/>
        <v>3</v>
      </c>
      <c r="CO209" s="461">
        <f t="shared" si="405"/>
        <v>89.666666666666657</v>
      </c>
      <c r="CP209" s="582">
        <f t="shared" si="406"/>
        <v>52.000000000000043</v>
      </c>
      <c r="CQ209" s="113">
        <f t="shared" si="407"/>
        <v>42.000000000000021</v>
      </c>
      <c r="CR209" s="113">
        <f t="shared" si="408"/>
        <v>0</v>
      </c>
      <c r="CS209" s="113">
        <f t="shared" si="409"/>
        <v>9.9999999999999982</v>
      </c>
      <c r="CT209" s="460">
        <f t="shared" si="410"/>
        <v>0</v>
      </c>
      <c r="CU209" s="582">
        <f t="shared" si="411"/>
        <v>37.666666666666657</v>
      </c>
      <c r="CV209" s="113">
        <f t="shared" si="412"/>
        <v>23.999999999999986</v>
      </c>
      <c r="CW209" s="113">
        <f t="shared" si="413"/>
        <v>0</v>
      </c>
      <c r="CX209" s="113">
        <f t="shared" si="414"/>
        <v>13.666666666666668</v>
      </c>
      <c r="CY209" s="459">
        <f t="shared" si="415"/>
        <v>0</v>
      </c>
      <c r="CZ209" s="461">
        <f t="shared" si="416"/>
        <v>23.333333333333325</v>
      </c>
      <c r="DA209" s="582">
        <f t="shared" si="417"/>
        <v>10</v>
      </c>
      <c r="DB209" s="113">
        <f t="shared" si="418"/>
        <v>4.666666666666667</v>
      </c>
      <c r="DC209" s="113">
        <f t="shared" si="419"/>
        <v>0</v>
      </c>
      <c r="DD209" s="113">
        <f t="shared" si="420"/>
        <v>5.3333333333333321</v>
      </c>
      <c r="DE209" s="460">
        <f t="shared" si="421"/>
        <v>0</v>
      </c>
      <c r="DF209" s="582">
        <f t="shared" si="422"/>
        <v>13.333333333333339</v>
      </c>
      <c r="DG209" s="113">
        <f t="shared" si="423"/>
        <v>12.333333333333343</v>
      </c>
      <c r="DH209" s="113">
        <f t="shared" si="424"/>
        <v>0</v>
      </c>
      <c r="DI209" s="113">
        <f t="shared" si="425"/>
        <v>1</v>
      </c>
      <c r="DJ209" s="459">
        <f t="shared" si="426"/>
        <v>0</v>
      </c>
      <c r="DK209" s="461">
        <f t="shared" si="427"/>
        <v>0</v>
      </c>
      <c r="DL209" s="582">
        <f t="shared" si="428"/>
        <v>0</v>
      </c>
      <c r="DM209" s="113">
        <f t="shared" si="429"/>
        <v>0</v>
      </c>
      <c r="DN209" s="113">
        <f t="shared" si="430"/>
        <v>0</v>
      </c>
      <c r="DO209" s="113">
        <f t="shared" si="431"/>
        <v>0</v>
      </c>
      <c r="DP209" s="460">
        <f t="shared" si="432"/>
        <v>0</v>
      </c>
      <c r="DQ209" s="582">
        <f t="shared" si="433"/>
        <v>1</v>
      </c>
      <c r="DR209" s="113">
        <f t="shared" si="434"/>
        <v>1</v>
      </c>
      <c r="DS209" s="113">
        <f t="shared" si="435"/>
        <v>0</v>
      </c>
      <c r="DT209" s="113">
        <f t="shared" si="436"/>
        <v>0</v>
      </c>
      <c r="DU209" s="459">
        <f t="shared" si="437"/>
        <v>0</v>
      </c>
      <c r="DW209" s="461">
        <f t="shared" si="315"/>
        <v>1592.3333333333337</v>
      </c>
      <c r="DX209" s="582">
        <f t="shared" si="315"/>
        <v>1016.3333333333334</v>
      </c>
      <c r="DY209" s="113">
        <f t="shared" si="315"/>
        <v>711</v>
      </c>
      <c r="DZ209" s="113">
        <f t="shared" si="315"/>
        <v>0</v>
      </c>
      <c r="EA209" s="113">
        <f t="shared" si="315"/>
        <v>305.33333333333331</v>
      </c>
      <c r="EB209" s="460">
        <f t="shared" si="453"/>
        <v>0</v>
      </c>
      <c r="EC209" s="582">
        <f t="shared" si="453"/>
        <v>577.00000000000011</v>
      </c>
      <c r="ED209" s="113">
        <f t="shared" si="453"/>
        <v>361.66666666666663</v>
      </c>
      <c r="EE209" s="113">
        <f t="shared" si="453"/>
        <v>0</v>
      </c>
      <c r="EF209" s="113">
        <f t="shared" si="453"/>
        <v>169.66666666666663</v>
      </c>
      <c r="EG209" s="459">
        <f t="shared" si="453"/>
        <v>45.666666666666664</v>
      </c>
      <c r="EH209" s="461">
        <f t="shared" si="313"/>
        <v>503.33333333333337</v>
      </c>
      <c r="EI209" s="582">
        <f t="shared" si="312"/>
        <v>331.33333333333337</v>
      </c>
      <c r="EJ209" s="113">
        <f t="shared" si="312"/>
        <v>234.66666666666666</v>
      </c>
      <c r="EK209" s="113">
        <f t="shared" si="312"/>
        <v>0</v>
      </c>
      <c r="EL209" s="113">
        <f t="shared" si="312"/>
        <v>96.666666666666643</v>
      </c>
      <c r="EM209" s="460">
        <f t="shared" si="312"/>
        <v>0</v>
      </c>
      <c r="EN209" s="582">
        <f t="shared" si="312"/>
        <v>172</v>
      </c>
      <c r="EO209" s="113">
        <f t="shared" si="312"/>
        <v>96.999999999999957</v>
      </c>
      <c r="EP209" s="113">
        <f t="shared" si="141"/>
        <v>0</v>
      </c>
      <c r="EQ209" s="113">
        <f t="shared" si="141"/>
        <v>60.000000000000021</v>
      </c>
      <c r="ER209" s="459">
        <f t="shared" si="141"/>
        <v>15.000000000000005</v>
      </c>
    </row>
    <row r="210" spans="1:148">
      <c r="A210" s="665" t="s">
        <v>417</v>
      </c>
      <c r="B210" s="665">
        <v>44409</v>
      </c>
      <c r="C210" s="666">
        <v>2021</v>
      </c>
      <c r="D210" s="461">
        <f t="shared" si="452"/>
        <v>3435028.3333333344</v>
      </c>
      <c r="E210" s="461">
        <f t="shared" si="317"/>
        <v>57057.333333333328</v>
      </c>
      <c r="F210" s="582">
        <f t="shared" si="318"/>
        <v>35312.000000000015</v>
      </c>
      <c r="G210" s="113">
        <f t="shared" si="319"/>
        <v>23871.333333333332</v>
      </c>
      <c r="H210" s="113">
        <f t="shared" si="320"/>
        <v>0</v>
      </c>
      <c r="I210" s="113">
        <f t="shared" si="321"/>
        <v>11440.666666666668</v>
      </c>
      <c r="J210" s="460">
        <f t="shared" si="322"/>
        <v>0</v>
      </c>
      <c r="K210" s="582">
        <f t="shared" si="323"/>
        <v>21745.333333333332</v>
      </c>
      <c r="L210" s="113">
        <f t="shared" si="324"/>
        <v>12748.666666666668</v>
      </c>
      <c r="M210" s="113">
        <f t="shared" si="325"/>
        <v>0</v>
      </c>
      <c r="N210" s="113">
        <f t="shared" si="326"/>
        <v>7164</v>
      </c>
      <c r="O210" s="459">
        <f t="shared" si="327"/>
        <v>1832.6666666666658</v>
      </c>
      <c r="P210" s="461">
        <f t="shared" si="328"/>
        <v>94.000000000000014</v>
      </c>
      <c r="Q210" s="582">
        <f t="shared" si="329"/>
        <v>52.333333333333336</v>
      </c>
      <c r="R210" s="113">
        <f t="shared" si="330"/>
        <v>38.666666666666664</v>
      </c>
      <c r="S210" s="113">
        <f t="shared" si="331"/>
        <v>0</v>
      </c>
      <c r="T210" s="113">
        <f t="shared" si="332"/>
        <v>13.666666666666671</v>
      </c>
      <c r="U210" s="460">
        <f t="shared" si="333"/>
        <v>0</v>
      </c>
      <c r="V210" s="582">
        <f t="shared" si="334"/>
        <v>41.666666666666693</v>
      </c>
      <c r="W210" s="113">
        <f t="shared" si="335"/>
        <v>26.333333333333336</v>
      </c>
      <c r="X210" s="113">
        <f t="shared" si="336"/>
        <v>0</v>
      </c>
      <c r="Y210" s="113">
        <f t="shared" si="337"/>
        <v>11.66666666666667</v>
      </c>
      <c r="Z210" s="459">
        <f t="shared" si="338"/>
        <v>3.666666666666667</v>
      </c>
      <c r="AA210" s="461">
        <f t="shared" si="339"/>
        <v>64.000000000000028</v>
      </c>
      <c r="AB210" s="582">
        <f t="shared" si="340"/>
        <v>31.333333333333339</v>
      </c>
      <c r="AC210" s="113">
        <f t="shared" si="341"/>
        <v>17.000000000000004</v>
      </c>
      <c r="AD210" s="113">
        <f t="shared" si="342"/>
        <v>0</v>
      </c>
      <c r="AE210" s="113">
        <f t="shared" si="343"/>
        <v>14.333333333333334</v>
      </c>
      <c r="AF210" s="460">
        <f t="shared" si="344"/>
        <v>0</v>
      </c>
      <c r="AG210" s="582">
        <f t="shared" si="345"/>
        <v>32.666666666666679</v>
      </c>
      <c r="AH210" s="113">
        <f t="shared" si="346"/>
        <v>27.666666666666661</v>
      </c>
      <c r="AI210" s="113">
        <f t="shared" si="347"/>
        <v>0</v>
      </c>
      <c r="AJ210" s="113">
        <f t="shared" si="348"/>
        <v>1</v>
      </c>
      <c r="AK210" s="459">
        <f t="shared" si="349"/>
        <v>4</v>
      </c>
      <c r="AL210" s="461">
        <f t="shared" si="350"/>
        <v>522.66666666666674</v>
      </c>
      <c r="AM210" s="582">
        <f t="shared" si="351"/>
        <v>345.66666666666669</v>
      </c>
      <c r="AN210" s="113">
        <f t="shared" si="352"/>
        <v>243.33333333333331</v>
      </c>
      <c r="AO210" s="113">
        <f t="shared" si="353"/>
        <v>0</v>
      </c>
      <c r="AP210" s="113">
        <f t="shared" si="354"/>
        <v>102.33333333333331</v>
      </c>
      <c r="AQ210" s="460">
        <f t="shared" si="355"/>
        <v>0</v>
      </c>
      <c r="AR210" s="582">
        <f t="shared" si="356"/>
        <v>177</v>
      </c>
      <c r="AS210" s="113">
        <f t="shared" si="357"/>
        <v>97.999999999999957</v>
      </c>
      <c r="AT210" s="113">
        <f t="shared" si="358"/>
        <v>0</v>
      </c>
      <c r="AU210" s="113">
        <f t="shared" si="359"/>
        <v>64.000000000000028</v>
      </c>
      <c r="AV210" s="459">
        <f t="shared" si="360"/>
        <v>15.000000000000005</v>
      </c>
      <c r="AW210" s="461">
        <f t="shared" si="361"/>
        <v>281.33333333333337</v>
      </c>
      <c r="AX210" s="582">
        <f t="shared" si="362"/>
        <v>173.33333333333323</v>
      </c>
      <c r="AY210" s="113">
        <f t="shared" si="363"/>
        <v>126.33333333333333</v>
      </c>
      <c r="AZ210" s="113">
        <f t="shared" si="364"/>
        <v>0</v>
      </c>
      <c r="BA210" s="113">
        <f t="shared" si="365"/>
        <v>47.000000000000007</v>
      </c>
      <c r="BB210" s="460">
        <f t="shared" si="366"/>
        <v>0</v>
      </c>
      <c r="BC210" s="582">
        <f t="shared" si="367"/>
        <v>108</v>
      </c>
      <c r="BD210" s="113">
        <f t="shared" si="368"/>
        <v>78.999999999999972</v>
      </c>
      <c r="BE210" s="113">
        <f t="shared" si="369"/>
        <v>0</v>
      </c>
      <c r="BF210" s="113">
        <f t="shared" si="370"/>
        <v>21.33333333333335</v>
      </c>
      <c r="BG210" s="459">
        <f t="shared" si="371"/>
        <v>7.6666666666666652</v>
      </c>
      <c r="BH210" s="461">
        <f t="shared" si="372"/>
        <v>400.00000000000006</v>
      </c>
      <c r="BI210" s="582">
        <f t="shared" si="373"/>
        <v>278.66666666666669</v>
      </c>
      <c r="BJ210" s="113">
        <f t="shared" si="374"/>
        <v>202.66666666666671</v>
      </c>
      <c r="BK210" s="113">
        <f t="shared" si="375"/>
        <v>0</v>
      </c>
      <c r="BL210" s="113">
        <f t="shared" si="376"/>
        <v>76</v>
      </c>
      <c r="BM210" s="460">
        <f t="shared" si="377"/>
        <v>0</v>
      </c>
      <c r="BN210" s="582">
        <f t="shared" si="378"/>
        <v>121.3333333333334</v>
      </c>
      <c r="BO210" s="113">
        <f t="shared" si="379"/>
        <v>62.000000000000014</v>
      </c>
      <c r="BP210" s="113">
        <f t="shared" si="380"/>
        <v>0</v>
      </c>
      <c r="BQ210" s="113">
        <f t="shared" si="381"/>
        <v>48.666666666666671</v>
      </c>
      <c r="BR210" s="459">
        <f t="shared" si="382"/>
        <v>10.66666666666667</v>
      </c>
      <c r="BS210" s="461">
        <f t="shared" si="383"/>
        <v>575.66666666666697</v>
      </c>
      <c r="BT210" s="582">
        <f t="shared" si="384"/>
        <v>381.00000000000011</v>
      </c>
      <c r="BU210" s="113">
        <f t="shared" si="385"/>
        <v>253.66666666666666</v>
      </c>
      <c r="BV210" s="113">
        <f t="shared" si="386"/>
        <v>0</v>
      </c>
      <c r="BW210" s="113">
        <f t="shared" si="387"/>
        <v>127.33333333333334</v>
      </c>
      <c r="BX210" s="460">
        <f t="shared" si="388"/>
        <v>0</v>
      </c>
      <c r="BY210" s="582">
        <f t="shared" si="389"/>
        <v>194.66666666666669</v>
      </c>
      <c r="BZ210" s="113">
        <f t="shared" si="390"/>
        <v>107.66666666666664</v>
      </c>
      <c r="CA210" s="113">
        <f t="shared" si="391"/>
        <v>0</v>
      </c>
      <c r="CB210" s="113">
        <f t="shared" si="392"/>
        <v>68.666666666666615</v>
      </c>
      <c r="CC210" s="459">
        <f t="shared" si="393"/>
        <v>18.333333333333332</v>
      </c>
      <c r="CD210" s="461">
        <f t="shared" si="394"/>
        <v>114.66666666666667</v>
      </c>
      <c r="CE210" s="582">
        <f t="shared" si="395"/>
        <v>76.000000000000028</v>
      </c>
      <c r="CF210" s="113">
        <f t="shared" si="396"/>
        <v>49.333333333333321</v>
      </c>
      <c r="CG210" s="113">
        <f t="shared" si="397"/>
        <v>0</v>
      </c>
      <c r="CH210" s="113">
        <f t="shared" si="398"/>
        <v>26.666666666666664</v>
      </c>
      <c r="CI210" s="460">
        <f t="shared" si="399"/>
        <v>0</v>
      </c>
      <c r="CJ210" s="582">
        <f t="shared" si="400"/>
        <v>38.666666666666657</v>
      </c>
      <c r="CK210" s="113">
        <f t="shared" si="401"/>
        <v>25</v>
      </c>
      <c r="CL210" s="113">
        <f t="shared" si="402"/>
        <v>0</v>
      </c>
      <c r="CM210" s="113">
        <f t="shared" si="403"/>
        <v>10.666666666666664</v>
      </c>
      <c r="CN210" s="459">
        <f t="shared" si="404"/>
        <v>3</v>
      </c>
      <c r="CO210" s="461">
        <f t="shared" si="405"/>
        <v>94.333333333333329</v>
      </c>
      <c r="CP210" s="582">
        <f t="shared" si="406"/>
        <v>55.000000000000043</v>
      </c>
      <c r="CQ210" s="113">
        <f t="shared" si="407"/>
        <v>44.000000000000021</v>
      </c>
      <c r="CR210" s="113">
        <f t="shared" si="408"/>
        <v>0</v>
      </c>
      <c r="CS210" s="113">
        <f t="shared" si="409"/>
        <v>10.999999999999998</v>
      </c>
      <c r="CT210" s="460">
        <f t="shared" si="410"/>
        <v>0</v>
      </c>
      <c r="CU210" s="582">
        <f t="shared" si="411"/>
        <v>39.333333333333321</v>
      </c>
      <c r="CV210" s="113">
        <f t="shared" si="412"/>
        <v>23.999999999999986</v>
      </c>
      <c r="CW210" s="113">
        <f t="shared" si="413"/>
        <v>0</v>
      </c>
      <c r="CX210" s="113">
        <f t="shared" si="414"/>
        <v>15.333333333333334</v>
      </c>
      <c r="CY210" s="459">
        <f t="shared" si="415"/>
        <v>0</v>
      </c>
      <c r="CZ210" s="461">
        <f t="shared" si="416"/>
        <v>24.666666666666657</v>
      </c>
      <c r="DA210" s="582">
        <f t="shared" si="417"/>
        <v>11</v>
      </c>
      <c r="DB210" s="113">
        <f t="shared" si="418"/>
        <v>5.3333333333333339</v>
      </c>
      <c r="DC210" s="113">
        <f t="shared" si="419"/>
        <v>0</v>
      </c>
      <c r="DD210" s="113">
        <f t="shared" si="420"/>
        <v>5.6666666666666652</v>
      </c>
      <c r="DE210" s="460">
        <f t="shared" si="421"/>
        <v>0</v>
      </c>
      <c r="DF210" s="582">
        <f t="shared" si="422"/>
        <v>13.666666666666673</v>
      </c>
      <c r="DG210" s="113">
        <f t="shared" si="423"/>
        <v>12.666666666666677</v>
      </c>
      <c r="DH210" s="113">
        <f t="shared" si="424"/>
        <v>0</v>
      </c>
      <c r="DI210" s="113">
        <f t="shared" si="425"/>
        <v>1</v>
      </c>
      <c r="DJ210" s="459">
        <f t="shared" si="426"/>
        <v>0</v>
      </c>
      <c r="DK210" s="461">
        <f t="shared" si="427"/>
        <v>0</v>
      </c>
      <c r="DL210" s="582">
        <f t="shared" si="428"/>
        <v>0</v>
      </c>
      <c r="DM210" s="113">
        <f t="shared" si="429"/>
        <v>0</v>
      </c>
      <c r="DN210" s="113">
        <f t="shared" si="430"/>
        <v>0</v>
      </c>
      <c r="DO210" s="113">
        <f t="shared" si="431"/>
        <v>0</v>
      </c>
      <c r="DP210" s="460">
        <f t="shared" si="432"/>
        <v>0</v>
      </c>
      <c r="DQ210" s="582">
        <f t="shared" si="433"/>
        <v>1</v>
      </c>
      <c r="DR210" s="113">
        <f t="shared" si="434"/>
        <v>1</v>
      </c>
      <c r="DS210" s="113">
        <f t="shared" si="435"/>
        <v>0</v>
      </c>
      <c r="DT210" s="113">
        <f t="shared" si="436"/>
        <v>0</v>
      </c>
      <c r="DU210" s="459">
        <f t="shared" si="437"/>
        <v>0</v>
      </c>
      <c r="DW210" s="461">
        <f t="shared" si="315"/>
        <v>1648.6666666666672</v>
      </c>
      <c r="DX210" s="582">
        <f t="shared" si="315"/>
        <v>1058.6666666666667</v>
      </c>
      <c r="DY210" s="113">
        <f t="shared" si="315"/>
        <v>737.00000000000011</v>
      </c>
      <c r="DZ210" s="113">
        <f t="shared" si="315"/>
        <v>0</v>
      </c>
      <c r="EA210" s="113">
        <f t="shared" si="315"/>
        <v>321.66666666666674</v>
      </c>
      <c r="EB210" s="460">
        <f t="shared" si="453"/>
        <v>0</v>
      </c>
      <c r="EC210" s="582">
        <f t="shared" si="453"/>
        <v>591.00000000000011</v>
      </c>
      <c r="ED210" s="113">
        <f t="shared" si="453"/>
        <v>365.33333333333331</v>
      </c>
      <c r="EE210" s="113">
        <f t="shared" si="453"/>
        <v>0</v>
      </c>
      <c r="EF210" s="113">
        <f t="shared" si="453"/>
        <v>178.33333333333331</v>
      </c>
      <c r="EG210" s="459">
        <f t="shared" si="453"/>
        <v>47.333333333333329</v>
      </c>
      <c r="EH210" s="461">
        <f t="shared" si="313"/>
        <v>522.66666666666674</v>
      </c>
      <c r="EI210" s="582">
        <f t="shared" si="312"/>
        <v>345.66666666666669</v>
      </c>
      <c r="EJ210" s="113">
        <f t="shared" si="312"/>
        <v>243.33333333333331</v>
      </c>
      <c r="EK210" s="113">
        <f t="shared" si="312"/>
        <v>0</v>
      </c>
      <c r="EL210" s="113">
        <f t="shared" si="312"/>
        <v>102.33333333333331</v>
      </c>
      <c r="EM210" s="460">
        <f t="shared" si="312"/>
        <v>0</v>
      </c>
      <c r="EN210" s="582">
        <f t="shared" si="312"/>
        <v>177</v>
      </c>
      <c r="EO210" s="113">
        <f t="shared" si="312"/>
        <v>97.999999999999957</v>
      </c>
      <c r="EP210" s="113">
        <f t="shared" si="141"/>
        <v>0</v>
      </c>
      <c r="EQ210" s="113">
        <f t="shared" si="141"/>
        <v>64.000000000000028</v>
      </c>
      <c r="ER210" s="459">
        <f t="shared" si="141"/>
        <v>15.000000000000005</v>
      </c>
    </row>
    <row r="211" spans="1:148">
      <c r="A211" s="665" t="s">
        <v>417</v>
      </c>
      <c r="B211" s="665">
        <v>44440</v>
      </c>
      <c r="C211" s="666">
        <v>2021</v>
      </c>
      <c r="D211" s="461">
        <f t="shared" si="452"/>
        <v>3493241.0000000009</v>
      </c>
      <c r="E211" s="461">
        <f t="shared" si="317"/>
        <v>58780.999999999993</v>
      </c>
      <c r="F211" s="582">
        <f t="shared" si="318"/>
        <v>36536.000000000015</v>
      </c>
      <c r="G211" s="113">
        <f t="shared" si="319"/>
        <v>24544</v>
      </c>
      <c r="H211" s="113">
        <f t="shared" si="320"/>
        <v>0</v>
      </c>
      <c r="I211" s="113">
        <f t="shared" si="321"/>
        <v>11992.000000000002</v>
      </c>
      <c r="J211" s="460">
        <f t="shared" si="322"/>
        <v>0</v>
      </c>
      <c r="K211" s="582">
        <f t="shared" si="323"/>
        <v>22245</v>
      </c>
      <c r="L211" s="113">
        <f t="shared" si="324"/>
        <v>12876.000000000002</v>
      </c>
      <c r="M211" s="113">
        <f t="shared" si="325"/>
        <v>0</v>
      </c>
      <c r="N211" s="113">
        <f t="shared" si="326"/>
        <v>7493</v>
      </c>
      <c r="O211" s="459">
        <f t="shared" si="327"/>
        <v>1875.9999999999991</v>
      </c>
      <c r="P211" s="461">
        <f t="shared" si="328"/>
        <v>97.000000000000014</v>
      </c>
      <c r="Q211" s="582">
        <f t="shared" si="329"/>
        <v>54</v>
      </c>
      <c r="R211" s="113">
        <f t="shared" si="330"/>
        <v>40</v>
      </c>
      <c r="S211" s="113">
        <f t="shared" si="331"/>
        <v>0</v>
      </c>
      <c r="T211" s="113">
        <f t="shared" si="332"/>
        <v>14.000000000000005</v>
      </c>
      <c r="U211" s="460">
        <f t="shared" si="333"/>
        <v>0</v>
      </c>
      <c r="V211" s="582">
        <f t="shared" si="334"/>
        <v>43.000000000000028</v>
      </c>
      <c r="W211" s="113">
        <f t="shared" si="335"/>
        <v>27.000000000000004</v>
      </c>
      <c r="X211" s="113">
        <f t="shared" si="336"/>
        <v>0</v>
      </c>
      <c r="Y211" s="113">
        <f t="shared" si="337"/>
        <v>12.000000000000004</v>
      </c>
      <c r="Z211" s="459">
        <f t="shared" si="338"/>
        <v>4</v>
      </c>
      <c r="AA211" s="461">
        <f t="shared" si="339"/>
        <v>65.000000000000028</v>
      </c>
      <c r="AB211" s="582">
        <f t="shared" si="340"/>
        <v>32.000000000000007</v>
      </c>
      <c r="AC211" s="113">
        <f t="shared" si="341"/>
        <v>17.000000000000004</v>
      </c>
      <c r="AD211" s="113">
        <f t="shared" si="342"/>
        <v>0</v>
      </c>
      <c r="AE211" s="113">
        <f t="shared" si="343"/>
        <v>15</v>
      </c>
      <c r="AF211" s="460">
        <f t="shared" si="344"/>
        <v>0</v>
      </c>
      <c r="AG211" s="582">
        <f t="shared" si="345"/>
        <v>33.000000000000014</v>
      </c>
      <c r="AH211" s="113">
        <f t="shared" si="346"/>
        <v>27.999999999999993</v>
      </c>
      <c r="AI211" s="113">
        <f t="shared" si="347"/>
        <v>0</v>
      </c>
      <c r="AJ211" s="113">
        <f t="shared" si="348"/>
        <v>1</v>
      </c>
      <c r="AK211" s="459">
        <f t="shared" si="349"/>
        <v>4</v>
      </c>
      <c r="AL211" s="461">
        <f t="shared" si="350"/>
        <v>542.00000000000011</v>
      </c>
      <c r="AM211" s="582">
        <f t="shared" si="351"/>
        <v>360</v>
      </c>
      <c r="AN211" s="113">
        <f t="shared" si="352"/>
        <v>251.99999999999997</v>
      </c>
      <c r="AO211" s="113">
        <f t="shared" si="353"/>
        <v>0</v>
      </c>
      <c r="AP211" s="113">
        <f t="shared" si="354"/>
        <v>107.99999999999999</v>
      </c>
      <c r="AQ211" s="460">
        <f t="shared" si="355"/>
        <v>0</v>
      </c>
      <c r="AR211" s="582">
        <f t="shared" si="356"/>
        <v>182</v>
      </c>
      <c r="AS211" s="113">
        <f t="shared" si="357"/>
        <v>98.999999999999957</v>
      </c>
      <c r="AT211" s="113">
        <f t="shared" si="358"/>
        <v>0</v>
      </c>
      <c r="AU211" s="113">
        <f t="shared" si="359"/>
        <v>68.000000000000028</v>
      </c>
      <c r="AV211" s="459">
        <f t="shared" si="360"/>
        <v>15.000000000000005</v>
      </c>
      <c r="AW211" s="461">
        <f t="shared" si="361"/>
        <v>291.00000000000006</v>
      </c>
      <c r="AX211" s="582">
        <f t="shared" si="362"/>
        <v>180.99999999999989</v>
      </c>
      <c r="AY211" s="113">
        <f t="shared" si="363"/>
        <v>132</v>
      </c>
      <c r="AZ211" s="113">
        <f t="shared" si="364"/>
        <v>0</v>
      </c>
      <c r="BA211" s="113">
        <f t="shared" si="365"/>
        <v>49.000000000000007</v>
      </c>
      <c r="BB211" s="460">
        <f t="shared" si="366"/>
        <v>0</v>
      </c>
      <c r="BC211" s="582">
        <f t="shared" si="367"/>
        <v>110</v>
      </c>
      <c r="BD211" s="113">
        <f t="shared" si="368"/>
        <v>79.999999999999972</v>
      </c>
      <c r="BE211" s="113">
        <f t="shared" si="369"/>
        <v>0</v>
      </c>
      <c r="BF211" s="113">
        <f t="shared" si="370"/>
        <v>22.000000000000018</v>
      </c>
      <c r="BG211" s="459">
        <f t="shared" si="371"/>
        <v>7.9999999999999982</v>
      </c>
      <c r="BH211" s="461">
        <f t="shared" si="372"/>
        <v>417.00000000000006</v>
      </c>
      <c r="BI211" s="582">
        <f t="shared" si="373"/>
        <v>292</v>
      </c>
      <c r="BJ211" s="113">
        <f t="shared" si="374"/>
        <v>211.00000000000006</v>
      </c>
      <c r="BK211" s="113">
        <f t="shared" si="375"/>
        <v>0</v>
      </c>
      <c r="BL211" s="113">
        <f t="shared" si="376"/>
        <v>81</v>
      </c>
      <c r="BM211" s="460">
        <f t="shared" si="377"/>
        <v>0</v>
      </c>
      <c r="BN211" s="582">
        <f t="shared" si="378"/>
        <v>125.00000000000007</v>
      </c>
      <c r="BO211" s="113">
        <f t="shared" si="379"/>
        <v>62.000000000000014</v>
      </c>
      <c r="BP211" s="113">
        <f t="shared" si="380"/>
        <v>0</v>
      </c>
      <c r="BQ211" s="113">
        <f t="shared" si="381"/>
        <v>52.000000000000007</v>
      </c>
      <c r="BR211" s="459">
        <f t="shared" si="382"/>
        <v>11.000000000000004</v>
      </c>
      <c r="BS211" s="461">
        <f t="shared" si="383"/>
        <v>593.00000000000034</v>
      </c>
      <c r="BT211" s="582">
        <f t="shared" si="384"/>
        <v>394.00000000000011</v>
      </c>
      <c r="BU211" s="113">
        <f t="shared" si="385"/>
        <v>261</v>
      </c>
      <c r="BV211" s="113">
        <f t="shared" si="386"/>
        <v>0</v>
      </c>
      <c r="BW211" s="113">
        <f t="shared" si="387"/>
        <v>133</v>
      </c>
      <c r="BX211" s="460">
        <f t="shared" si="388"/>
        <v>0</v>
      </c>
      <c r="BY211" s="582">
        <f t="shared" si="389"/>
        <v>199.00000000000003</v>
      </c>
      <c r="BZ211" s="113">
        <f t="shared" si="390"/>
        <v>108.99999999999997</v>
      </c>
      <c r="CA211" s="113">
        <f t="shared" si="391"/>
        <v>0</v>
      </c>
      <c r="CB211" s="113">
        <f t="shared" si="392"/>
        <v>70.999999999999943</v>
      </c>
      <c r="CC211" s="459">
        <f t="shared" si="393"/>
        <v>19</v>
      </c>
      <c r="CD211" s="461">
        <f t="shared" si="394"/>
        <v>117</v>
      </c>
      <c r="CE211" s="582">
        <f t="shared" si="395"/>
        <v>78.000000000000028</v>
      </c>
      <c r="CF211" s="113">
        <f t="shared" si="396"/>
        <v>49.999999999999986</v>
      </c>
      <c r="CG211" s="113">
        <f t="shared" si="397"/>
        <v>0</v>
      </c>
      <c r="CH211" s="113">
        <f t="shared" si="398"/>
        <v>27.999999999999996</v>
      </c>
      <c r="CI211" s="460">
        <f t="shared" si="399"/>
        <v>0</v>
      </c>
      <c r="CJ211" s="582">
        <f t="shared" si="400"/>
        <v>38.999999999999993</v>
      </c>
      <c r="CK211" s="113">
        <f t="shared" si="401"/>
        <v>25</v>
      </c>
      <c r="CL211" s="113">
        <f t="shared" si="402"/>
        <v>0</v>
      </c>
      <c r="CM211" s="113">
        <f t="shared" si="403"/>
        <v>10.999999999999998</v>
      </c>
      <c r="CN211" s="459">
        <f t="shared" si="404"/>
        <v>3</v>
      </c>
      <c r="CO211" s="461">
        <f t="shared" si="405"/>
        <v>99</v>
      </c>
      <c r="CP211" s="582">
        <f t="shared" si="406"/>
        <v>58.000000000000043</v>
      </c>
      <c r="CQ211" s="113">
        <f t="shared" si="407"/>
        <v>46.000000000000021</v>
      </c>
      <c r="CR211" s="113">
        <f t="shared" si="408"/>
        <v>0</v>
      </c>
      <c r="CS211" s="113">
        <f t="shared" si="409"/>
        <v>11.999999999999998</v>
      </c>
      <c r="CT211" s="460">
        <f t="shared" si="410"/>
        <v>0</v>
      </c>
      <c r="CU211" s="582">
        <f t="shared" si="411"/>
        <v>40.999999999999986</v>
      </c>
      <c r="CV211" s="113">
        <f t="shared" si="412"/>
        <v>23.999999999999986</v>
      </c>
      <c r="CW211" s="113">
        <f t="shared" si="413"/>
        <v>0</v>
      </c>
      <c r="CX211" s="113">
        <f t="shared" si="414"/>
        <v>17</v>
      </c>
      <c r="CY211" s="459">
        <f t="shared" si="415"/>
        <v>0</v>
      </c>
      <c r="CZ211" s="461">
        <f t="shared" si="416"/>
        <v>25.999999999999989</v>
      </c>
      <c r="DA211" s="582">
        <f t="shared" si="417"/>
        <v>12</v>
      </c>
      <c r="DB211" s="113">
        <f t="shared" si="418"/>
        <v>6.0000000000000009</v>
      </c>
      <c r="DC211" s="113">
        <f t="shared" si="419"/>
        <v>0</v>
      </c>
      <c r="DD211" s="113">
        <f t="shared" si="420"/>
        <v>5.9999999999999982</v>
      </c>
      <c r="DE211" s="460">
        <f t="shared" si="421"/>
        <v>0</v>
      </c>
      <c r="DF211" s="582">
        <f t="shared" si="422"/>
        <v>14.000000000000007</v>
      </c>
      <c r="DG211" s="113">
        <f t="shared" si="423"/>
        <v>13.000000000000011</v>
      </c>
      <c r="DH211" s="113">
        <f t="shared" si="424"/>
        <v>0</v>
      </c>
      <c r="DI211" s="113">
        <f t="shared" si="425"/>
        <v>1</v>
      </c>
      <c r="DJ211" s="459">
        <f t="shared" si="426"/>
        <v>0</v>
      </c>
      <c r="DK211" s="461">
        <f t="shared" si="427"/>
        <v>0</v>
      </c>
      <c r="DL211" s="582">
        <f t="shared" si="428"/>
        <v>0</v>
      </c>
      <c r="DM211" s="113">
        <f t="shared" si="429"/>
        <v>0</v>
      </c>
      <c r="DN211" s="113">
        <f t="shared" si="430"/>
        <v>0</v>
      </c>
      <c r="DO211" s="113">
        <f t="shared" si="431"/>
        <v>0</v>
      </c>
      <c r="DP211" s="460">
        <f t="shared" si="432"/>
        <v>0</v>
      </c>
      <c r="DQ211" s="582">
        <f t="shared" si="433"/>
        <v>1</v>
      </c>
      <c r="DR211" s="113">
        <f t="shared" si="434"/>
        <v>1</v>
      </c>
      <c r="DS211" s="113">
        <f t="shared" si="435"/>
        <v>0</v>
      </c>
      <c r="DT211" s="113">
        <f t="shared" si="436"/>
        <v>0</v>
      </c>
      <c r="DU211" s="459">
        <f t="shared" si="437"/>
        <v>0</v>
      </c>
      <c r="DW211" s="461">
        <f t="shared" si="315"/>
        <v>1705.0000000000005</v>
      </c>
      <c r="DX211" s="582">
        <f t="shared" si="315"/>
        <v>1101</v>
      </c>
      <c r="DY211" s="113">
        <f t="shared" si="315"/>
        <v>763</v>
      </c>
      <c r="DZ211" s="113">
        <f t="shared" si="315"/>
        <v>0</v>
      </c>
      <c r="EA211" s="113">
        <f t="shared" si="315"/>
        <v>338</v>
      </c>
      <c r="EB211" s="460">
        <f t="shared" si="453"/>
        <v>0</v>
      </c>
      <c r="EC211" s="582">
        <f t="shared" si="453"/>
        <v>605.00000000000011</v>
      </c>
      <c r="ED211" s="113">
        <f t="shared" si="453"/>
        <v>369</v>
      </c>
      <c r="EE211" s="113">
        <f t="shared" si="453"/>
        <v>0</v>
      </c>
      <c r="EF211" s="113">
        <f t="shared" si="453"/>
        <v>186.99999999999997</v>
      </c>
      <c r="EG211" s="459">
        <f t="shared" si="453"/>
        <v>49</v>
      </c>
      <c r="EH211" s="461">
        <f t="shared" si="313"/>
        <v>542.00000000000011</v>
      </c>
      <c r="EI211" s="582">
        <f t="shared" si="312"/>
        <v>360</v>
      </c>
      <c r="EJ211" s="113">
        <f t="shared" si="312"/>
        <v>251.99999999999997</v>
      </c>
      <c r="EK211" s="113">
        <f t="shared" si="312"/>
        <v>0</v>
      </c>
      <c r="EL211" s="113">
        <f t="shared" si="312"/>
        <v>107.99999999999999</v>
      </c>
      <c r="EM211" s="460">
        <f t="shared" si="312"/>
        <v>0</v>
      </c>
      <c r="EN211" s="582">
        <f t="shared" si="312"/>
        <v>182</v>
      </c>
      <c r="EO211" s="113">
        <f t="shared" si="312"/>
        <v>98.999999999999957</v>
      </c>
      <c r="EP211" s="113">
        <f t="shared" si="312"/>
        <v>0</v>
      </c>
      <c r="EQ211" s="113">
        <f t="shared" si="312"/>
        <v>68.000000000000028</v>
      </c>
      <c r="ER211" s="459">
        <f t="shared" si="312"/>
        <v>15.000000000000005</v>
      </c>
    </row>
    <row r="212" spans="1:148">
      <c r="A212" s="665" t="s">
        <v>418</v>
      </c>
      <c r="B212" s="665">
        <v>44470</v>
      </c>
      <c r="C212" s="666">
        <v>2021</v>
      </c>
      <c r="D212" s="461">
        <f t="shared" si="452"/>
        <v>3536784.3333333344</v>
      </c>
      <c r="E212" s="461">
        <f t="shared" si="317"/>
        <v>60823.999999999993</v>
      </c>
      <c r="F212" s="582">
        <f t="shared" si="318"/>
        <v>38131.666666666679</v>
      </c>
      <c r="G212" s="113">
        <f t="shared" si="319"/>
        <v>25324.666666666668</v>
      </c>
      <c r="H212" s="113">
        <f t="shared" si="320"/>
        <v>0</v>
      </c>
      <c r="I212" s="113">
        <f t="shared" si="321"/>
        <v>12807.000000000002</v>
      </c>
      <c r="J212" s="460">
        <f t="shared" si="322"/>
        <v>0</v>
      </c>
      <c r="K212" s="582">
        <f t="shared" si="323"/>
        <v>22692.333333333332</v>
      </c>
      <c r="L212" s="113">
        <f t="shared" si="324"/>
        <v>12942.333333333336</v>
      </c>
      <c r="M212" s="113">
        <f t="shared" si="325"/>
        <v>0</v>
      </c>
      <c r="N212" s="113">
        <f t="shared" si="326"/>
        <v>7864.333333333333</v>
      </c>
      <c r="O212" s="459">
        <f t="shared" si="327"/>
        <v>1885.6666666666658</v>
      </c>
      <c r="P212" s="461">
        <f t="shared" si="328"/>
        <v>101.00000000000001</v>
      </c>
      <c r="Q212" s="582">
        <f t="shared" si="329"/>
        <v>56</v>
      </c>
      <c r="R212" s="113">
        <f t="shared" si="330"/>
        <v>40.666666666666664</v>
      </c>
      <c r="S212" s="113">
        <f t="shared" si="331"/>
        <v>0</v>
      </c>
      <c r="T212" s="113">
        <f t="shared" si="332"/>
        <v>15.333333333333339</v>
      </c>
      <c r="U212" s="460">
        <f t="shared" si="333"/>
        <v>0</v>
      </c>
      <c r="V212" s="582">
        <f t="shared" si="334"/>
        <v>45.000000000000028</v>
      </c>
      <c r="W212" s="113">
        <f t="shared" si="335"/>
        <v>27.000000000000004</v>
      </c>
      <c r="X212" s="113">
        <f t="shared" si="336"/>
        <v>0</v>
      </c>
      <c r="Y212" s="113">
        <f t="shared" si="337"/>
        <v>14.000000000000004</v>
      </c>
      <c r="Z212" s="459">
        <f t="shared" si="338"/>
        <v>4</v>
      </c>
      <c r="AA212" s="461">
        <f t="shared" si="339"/>
        <v>66.333333333333357</v>
      </c>
      <c r="AB212" s="582">
        <f t="shared" si="340"/>
        <v>33.000000000000007</v>
      </c>
      <c r="AC212" s="113">
        <f t="shared" si="341"/>
        <v>18.000000000000004</v>
      </c>
      <c r="AD212" s="113">
        <f t="shared" si="342"/>
        <v>0</v>
      </c>
      <c r="AE212" s="113">
        <f t="shared" si="343"/>
        <v>15</v>
      </c>
      <c r="AF212" s="460">
        <f t="shared" si="344"/>
        <v>0</v>
      </c>
      <c r="AG212" s="582">
        <f t="shared" si="345"/>
        <v>33.33333333333335</v>
      </c>
      <c r="AH212" s="113">
        <f t="shared" si="346"/>
        <v>28.333333333333325</v>
      </c>
      <c r="AI212" s="113">
        <f t="shared" si="347"/>
        <v>0</v>
      </c>
      <c r="AJ212" s="113">
        <f t="shared" si="348"/>
        <v>1</v>
      </c>
      <c r="AK212" s="459">
        <f t="shared" si="349"/>
        <v>4</v>
      </c>
      <c r="AL212" s="461">
        <f t="shared" si="350"/>
        <v>560.00000000000011</v>
      </c>
      <c r="AM212" s="582">
        <f t="shared" si="351"/>
        <v>376.33333333333331</v>
      </c>
      <c r="AN212" s="113">
        <f t="shared" si="352"/>
        <v>263</v>
      </c>
      <c r="AO212" s="113">
        <f t="shared" si="353"/>
        <v>0</v>
      </c>
      <c r="AP212" s="113">
        <f t="shared" si="354"/>
        <v>113.33333333333331</v>
      </c>
      <c r="AQ212" s="460">
        <f t="shared" si="355"/>
        <v>0</v>
      </c>
      <c r="AR212" s="582">
        <f t="shared" si="356"/>
        <v>183.66666666666666</v>
      </c>
      <c r="AS212" s="113">
        <f t="shared" si="357"/>
        <v>98.999999999999957</v>
      </c>
      <c r="AT212" s="113">
        <f t="shared" si="358"/>
        <v>0</v>
      </c>
      <c r="AU212" s="113">
        <f t="shared" si="359"/>
        <v>69.6666666666667</v>
      </c>
      <c r="AV212" s="459">
        <f t="shared" si="360"/>
        <v>15.000000000000005</v>
      </c>
      <c r="AW212" s="461">
        <f t="shared" si="361"/>
        <v>302.00000000000006</v>
      </c>
      <c r="AX212" s="582">
        <f t="shared" si="362"/>
        <v>188.33333333333323</v>
      </c>
      <c r="AY212" s="113">
        <f t="shared" si="363"/>
        <v>136.33333333333334</v>
      </c>
      <c r="AZ212" s="113">
        <f t="shared" si="364"/>
        <v>0</v>
      </c>
      <c r="BA212" s="113">
        <f t="shared" si="365"/>
        <v>52.000000000000007</v>
      </c>
      <c r="BB212" s="460">
        <f t="shared" si="366"/>
        <v>0</v>
      </c>
      <c r="BC212" s="582">
        <f t="shared" si="367"/>
        <v>113.66666666666667</v>
      </c>
      <c r="BD212" s="113">
        <f t="shared" si="368"/>
        <v>80.666666666666643</v>
      </c>
      <c r="BE212" s="113">
        <f t="shared" si="369"/>
        <v>0</v>
      </c>
      <c r="BF212" s="113">
        <f t="shared" si="370"/>
        <v>24.666666666666686</v>
      </c>
      <c r="BG212" s="459">
        <f t="shared" si="371"/>
        <v>8.3333333333333321</v>
      </c>
      <c r="BH212" s="461">
        <f t="shared" si="372"/>
        <v>428.33333333333337</v>
      </c>
      <c r="BI212" s="582">
        <f t="shared" si="373"/>
        <v>300.66666666666669</v>
      </c>
      <c r="BJ212" s="113">
        <f t="shared" si="374"/>
        <v>214.66666666666671</v>
      </c>
      <c r="BK212" s="113">
        <f t="shared" si="375"/>
        <v>0</v>
      </c>
      <c r="BL212" s="113">
        <f t="shared" si="376"/>
        <v>86</v>
      </c>
      <c r="BM212" s="460">
        <f t="shared" si="377"/>
        <v>0</v>
      </c>
      <c r="BN212" s="582">
        <f t="shared" si="378"/>
        <v>127.66666666666674</v>
      </c>
      <c r="BO212" s="113">
        <f t="shared" si="379"/>
        <v>62.666666666666679</v>
      </c>
      <c r="BP212" s="113">
        <f t="shared" si="380"/>
        <v>0</v>
      </c>
      <c r="BQ212" s="113">
        <f t="shared" si="381"/>
        <v>54.000000000000007</v>
      </c>
      <c r="BR212" s="459">
        <f t="shared" si="382"/>
        <v>11.000000000000004</v>
      </c>
      <c r="BS212" s="461">
        <f t="shared" si="383"/>
        <v>618.00000000000034</v>
      </c>
      <c r="BT212" s="582">
        <f t="shared" si="384"/>
        <v>411.33333333333343</v>
      </c>
      <c r="BU212" s="113">
        <f t="shared" si="385"/>
        <v>267.33333333333331</v>
      </c>
      <c r="BV212" s="113">
        <f t="shared" si="386"/>
        <v>0</v>
      </c>
      <c r="BW212" s="113">
        <f t="shared" si="387"/>
        <v>144</v>
      </c>
      <c r="BX212" s="460">
        <f t="shared" si="388"/>
        <v>0</v>
      </c>
      <c r="BY212" s="582">
        <f t="shared" si="389"/>
        <v>206.66666666666669</v>
      </c>
      <c r="BZ212" s="113">
        <f t="shared" si="390"/>
        <v>110.3333333333333</v>
      </c>
      <c r="CA212" s="113">
        <f t="shared" si="391"/>
        <v>0</v>
      </c>
      <c r="CB212" s="113">
        <f t="shared" si="392"/>
        <v>77.333333333333272</v>
      </c>
      <c r="CC212" s="459">
        <f t="shared" si="393"/>
        <v>19</v>
      </c>
      <c r="CD212" s="461">
        <f t="shared" si="394"/>
        <v>120.66666666666667</v>
      </c>
      <c r="CE212" s="582">
        <f t="shared" si="395"/>
        <v>80.6666666666667</v>
      </c>
      <c r="CF212" s="113">
        <f t="shared" si="396"/>
        <v>51.333333333333321</v>
      </c>
      <c r="CG212" s="113">
        <f t="shared" si="397"/>
        <v>0</v>
      </c>
      <c r="CH212" s="113">
        <f t="shared" si="398"/>
        <v>29.333333333333329</v>
      </c>
      <c r="CI212" s="460">
        <f t="shared" si="399"/>
        <v>0</v>
      </c>
      <c r="CJ212" s="582">
        <f t="shared" si="400"/>
        <v>39.999999999999993</v>
      </c>
      <c r="CK212" s="113">
        <f t="shared" si="401"/>
        <v>25</v>
      </c>
      <c r="CL212" s="113">
        <f t="shared" si="402"/>
        <v>0</v>
      </c>
      <c r="CM212" s="113">
        <f t="shared" si="403"/>
        <v>11.999999999999998</v>
      </c>
      <c r="CN212" s="459">
        <f t="shared" si="404"/>
        <v>3</v>
      </c>
      <c r="CO212" s="461">
        <f t="shared" si="405"/>
        <v>101</v>
      </c>
      <c r="CP212" s="582">
        <f t="shared" si="406"/>
        <v>59.666666666666707</v>
      </c>
      <c r="CQ212" s="113">
        <f t="shared" si="407"/>
        <v>47.666666666666686</v>
      </c>
      <c r="CR212" s="113">
        <f t="shared" si="408"/>
        <v>0</v>
      </c>
      <c r="CS212" s="113">
        <f t="shared" si="409"/>
        <v>11.999999999999998</v>
      </c>
      <c r="CT212" s="460">
        <f t="shared" si="410"/>
        <v>0</v>
      </c>
      <c r="CU212" s="582">
        <f t="shared" si="411"/>
        <v>41.333333333333321</v>
      </c>
      <c r="CV212" s="113">
        <f t="shared" si="412"/>
        <v>23.999999999999986</v>
      </c>
      <c r="CW212" s="113">
        <f t="shared" si="413"/>
        <v>0</v>
      </c>
      <c r="CX212" s="113">
        <f t="shared" si="414"/>
        <v>17.333333333333332</v>
      </c>
      <c r="CY212" s="459">
        <f t="shared" si="415"/>
        <v>0</v>
      </c>
      <c r="CZ212" s="461">
        <f t="shared" si="416"/>
        <v>26.666666666666657</v>
      </c>
      <c r="DA212" s="582">
        <f t="shared" si="417"/>
        <v>12.666666666666666</v>
      </c>
      <c r="DB212" s="113">
        <f t="shared" si="418"/>
        <v>6.3333333333333339</v>
      </c>
      <c r="DC212" s="113">
        <f t="shared" si="419"/>
        <v>0</v>
      </c>
      <c r="DD212" s="113">
        <f t="shared" si="420"/>
        <v>6.3333333333333313</v>
      </c>
      <c r="DE212" s="460">
        <f t="shared" si="421"/>
        <v>0</v>
      </c>
      <c r="DF212" s="582">
        <f t="shared" si="422"/>
        <v>14.000000000000007</v>
      </c>
      <c r="DG212" s="113">
        <f t="shared" si="423"/>
        <v>13.000000000000011</v>
      </c>
      <c r="DH212" s="113">
        <f t="shared" si="424"/>
        <v>0</v>
      </c>
      <c r="DI212" s="113">
        <f t="shared" si="425"/>
        <v>1</v>
      </c>
      <c r="DJ212" s="459">
        <f t="shared" si="426"/>
        <v>0</v>
      </c>
      <c r="DK212" s="461">
        <f t="shared" si="427"/>
        <v>0</v>
      </c>
      <c r="DL212" s="582">
        <f t="shared" si="428"/>
        <v>0</v>
      </c>
      <c r="DM212" s="113">
        <f t="shared" si="429"/>
        <v>0</v>
      </c>
      <c r="DN212" s="113">
        <f t="shared" si="430"/>
        <v>0</v>
      </c>
      <c r="DO212" s="113">
        <f t="shared" si="431"/>
        <v>0</v>
      </c>
      <c r="DP212" s="460">
        <f t="shared" si="432"/>
        <v>0</v>
      </c>
      <c r="DQ212" s="582">
        <f t="shared" si="433"/>
        <v>1</v>
      </c>
      <c r="DR212" s="113">
        <f t="shared" si="434"/>
        <v>1</v>
      </c>
      <c r="DS212" s="113">
        <f t="shared" si="435"/>
        <v>0</v>
      </c>
      <c r="DT212" s="113">
        <f t="shared" si="436"/>
        <v>0</v>
      </c>
      <c r="DU212" s="459">
        <f t="shared" si="437"/>
        <v>0</v>
      </c>
      <c r="DW212" s="461">
        <f t="shared" si="315"/>
        <v>1764.0000000000005</v>
      </c>
      <c r="DX212" s="582">
        <f t="shared" si="315"/>
        <v>1142.3333333333337</v>
      </c>
      <c r="DY212" s="113">
        <f t="shared" si="315"/>
        <v>782.33333333333337</v>
      </c>
      <c r="DZ212" s="113">
        <f t="shared" si="315"/>
        <v>0</v>
      </c>
      <c r="EA212" s="113">
        <f t="shared" si="315"/>
        <v>360</v>
      </c>
      <c r="EB212" s="460">
        <f t="shared" si="453"/>
        <v>0</v>
      </c>
      <c r="EC212" s="582">
        <f t="shared" si="453"/>
        <v>622.66666666666686</v>
      </c>
      <c r="ED212" s="113">
        <f t="shared" si="453"/>
        <v>371.99999999999994</v>
      </c>
      <c r="EE212" s="113">
        <f t="shared" si="453"/>
        <v>0</v>
      </c>
      <c r="EF212" s="113">
        <f t="shared" si="453"/>
        <v>201.33333333333329</v>
      </c>
      <c r="EG212" s="459">
        <f t="shared" si="453"/>
        <v>49.333333333333336</v>
      </c>
      <c r="EH212" s="461">
        <f t="shared" si="313"/>
        <v>560.00000000000011</v>
      </c>
      <c r="EI212" s="582">
        <f t="shared" si="313"/>
        <v>376.33333333333331</v>
      </c>
      <c r="EJ212" s="113">
        <f t="shared" si="313"/>
        <v>263</v>
      </c>
      <c r="EK212" s="113">
        <f t="shared" si="313"/>
        <v>0</v>
      </c>
      <c r="EL212" s="113">
        <f t="shared" si="313"/>
        <v>113.33333333333331</v>
      </c>
      <c r="EM212" s="460">
        <f t="shared" si="313"/>
        <v>0</v>
      </c>
      <c r="EN212" s="582">
        <f t="shared" si="313"/>
        <v>183.66666666666666</v>
      </c>
      <c r="EO212" s="113">
        <f t="shared" si="313"/>
        <v>98.999999999999957</v>
      </c>
      <c r="EP212" s="113">
        <f t="shared" si="313"/>
        <v>0</v>
      </c>
      <c r="EQ212" s="113">
        <f t="shared" si="313"/>
        <v>69.6666666666667</v>
      </c>
      <c r="ER212" s="459">
        <f t="shared" si="313"/>
        <v>15.000000000000005</v>
      </c>
    </row>
    <row r="213" spans="1:148">
      <c r="A213" s="665" t="s">
        <v>418</v>
      </c>
      <c r="B213" s="665">
        <v>44501</v>
      </c>
      <c r="C213" s="666">
        <v>2021</v>
      </c>
      <c r="D213" s="461">
        <f t="shared" si="452"/>
        <v>3580327.6666666679</v>
      </c>
      <c r="E213" s="461">
        <f t="shared" si="317"/>
        <v>62866.999999999993</v>
      </c>
      <c r="F213" s="582">
        <f t="shared" si="318"/>
        <v>39727.333333333343</v>
      </c>
      <c r="G213" s="113">
        <f t="shared" si="319"/>
        <v>26105.333333333336</v>
      </c>
      <c r="H213" s="113">
        <f t="shared" si="320"/>
        <v>0</v>
      </c>
      <c r="I213" s="113">
        <f t="shared" si="321"/>
        <v>13622.000000000002</v>
      </c>
      <c r="J213" s="460">
        <f t="shared" si="322"/>
        <v>0</v>
      </c>
      <c r="K213" s="582">
        <f t="shared" si="323"/>
        <v>23139.666666666664</v>
      </c>
      <c r="L213" s="113">
        <f t="shared" si="324"/>
        <v>13008.66666666667</v>
      </c>
      <c r="M213" s="113">
        <f t="shared" si="325"/>
        <v>0</v>
      </c>
      <c r="N213" s="113">
        <f t="shared" si="326"/>
        <v>8235.6666666666661</v>
      </c>
      <c r="O213" s="459">
        <f t="shared" si="327"/>
        <v>1895.3333333333326</v>
      </c>
      <c r="P213" s="461">
        <f t="shared" si="328"/>
        <v>105.00000000000001</v>
      </c>
      <c r="Q213" s="582">
        <f t="shared" si="329"/>
        <v>58</v>
      </c>
      <c r="R213" s="113">
        <f t="shared" si="330"/>
        <v>41.333333333333329</v>
      </c>
      <c r="S213" s="113">
        <f t="shared" si="331"/>
        <v>0</v>
      </c>
      <c r="T213" s="113">
        <f t="shared" si="332"/>
        <v>16.666666666666671</v>
      </c>
      <c r="U213" s="460">
        <f t="shared" si="333"/>
        <v>0</v>
      </c>
      <c r="V213" s="582">
        <f t="shared" si="334"/>
        <v>47.000000000000028</v>
      </c>
      <c r="W213" s="113">
        <f t="shared" si="335"/>
        <v>27.000000000000004</v>
      </c>
      <c r="X213" s="113">
        <f t="shared" si="336"/>
        <v>0</v>
      </c>
      <c r="Y213" s="113">
        <f t="shared" si="337"/>
        <v>16.000000000000004</v>
      </c>
      <c r="Z213" s="459">
        <f t="shared" si="338"/>
        <v>4</v>
      </c>
      <c r="AA213" s="461">
        <f t="shared" si="339"/>
        <v>67.666666666666686</v>
      </c>
      <c r="AB213" s="582">
        <f t="shared" si="340"/>
        <v>34.000000000000007</v>
      </c>
      <c r="AC213" s="113">
        <f t="shared" si="341"/>
        <v>19.000000000000004</v>
      </c>
      <c r="AD213" s="113">
        <f t="shared" si="342"/>
        <v>0</v>
      </c>
      <c r="AE213" s="113">
        <f t="shared" si="343"/>
        <v>15</v>
      </c>
      <c r="AF213" s="460">
        <f t="shared" si="344"/>
        <v>0</v>
      </c>
      <c r="AG213" s="582">
        <f t="shared" si="345"/>
        <v>33.666666666666686</v>
      </c>
      <c r="AH213" s="113">
        <f t="shared" si="346"/>
        <v>28.666666666666657</v>
      </c>
      <c r="AI213" s="113">
        <f t="shared" si="347"/>
        <v>0</v>
      </c>
      <c r="AJ213" s="113">
        <f t="shared" si="348"/>
        <v>1</v>
      </c>
      <c r="AK213" s="459">
        <f t="shared" si="349"/>
        <v>4</v>
      </c>
      <c r="AL213" s="461">
        <f t="shared" si="350"/>
        <v>578.00000000000011</v>
      </c>
      <c r="AM213" s="582">
        <f t="shared" si="351"/>
        <v>392.66666666666663</v>
      </c>
      <c r="AN213" s="113">
        <f t="shared" si="352"/>
        <v>274</v>
      </c>
      <c r="AO213" s="113">
        <f t="shared" si="353"/>
        <v>0</v>
      </c>
      <c r="AP213" s="113">
        <f t="shared" si="354"/>
        <v>118.66666666666664</v>
      </c>
      <c r="AQ213" s="460">
        <f t="shared" si="355"/>
        <v>0</v>
      </c>
      <c r="AR213" s="582">
        <f t="shared" si="356"/>
        <v>185.33333333333331</v>
      </c>
      <c r="AS213" s="113">
        <f t="shared" si="357"/>
        <v>98.999999999999957</v>
      </c>
      <c r="AT213" s="113">
        <f t="shared" si="358"/>
        <v>0</v>
      </c>
      <c r="AU213" s="113">
        <f t="shared" si="359"/>
        <v>71.333333333333371</v>
      </c>
      <c r="AV213" s="459">
        <f t="shared" si="360"/>
        <v>15.000000000000005</v>
      </c>
      <c r="AW213" s="461">
        <f t="shared" si="361"/>
        <v>313.00000000000006</v>
      </c>
      <c r="AX213" s="582">
        <f t="shared" si="362"/>
        <v>195.66666666666657</v>
      </c>
      <c r="AY213" s="113">
        <f t="shared" si="363"/>
        <v>140.66666666666669</v>
      </c>
      <c r="AZ213" s="113">
        <f t="shared" si="364"/>
        <v>0</v>
      </c>
      <c r="BA213" s="113">
        <f t="shared" si="365"/>
        <v>55.000000000000007</v>
      </c>
      <c r="BB213" s="460">
        <f t="shared" si="366"/>
        <v>0</v>
      </c>
      <c r="BC213" s="582">
        <f t="shared" si="367"/>
        <v>117.33333333333334</v>
      </c>
      <c r="BD213" s="113">
        <f t="shared" si="368"/>
        <v>81.333333333333314</v>
      </c>
      <c r="BE213" s="113">
        <f t="shared" si="369"/>
        <v>0</v>
      </c>
      <c r="BF213" s="113">
        <f t="shared" si="370"/>
        <v>27.333333333333353</v>
      </c>
      <c r="BG213" s="459">
        <f t="shared" si="371"/>
        <v>8.6666666666666661</v>
      </c>
      <c r="BH213" s="461">
        <f t="shared" si="372"/>
        <v>439.66666666666669</v>
      </c>
      <c r="BI213" s="582">
        <f t="shared" si="373"/>
        <v>309.33333333333337</v>
      </c>
      <c r="BJ213" s="113">
        <f t="shared" si="374"/>
        <v>218.33333333333337</v>
      </c>
      <c r="BK213" s="113">
        <f t="shared" si="375"/>
        <v>0</v>
      </c>
      <c r="BL213" s="113">
        <f t="shared" si="376"/>
        <v>91</v>
      </c>
      <c r="BM213" s="460">
        <f t="shared" si="377"/>
        <v>0</v>
      </c>
      <c r="BN213" s="582">
        <f t="shared" si="378"/>
        <v>130.3333333333334</v>
      </c>
      <c r="BO213" s="113">
        <f t="shared" si="379"/>
        <v>63.333333333333343</v>
      </c>
      <c r="BP213" s="113">
        <f t="shared" si="380"/>
        <v>0</v>
      </c>
      <c r="BQ213" s="113">
        <f t="shared" si="381"/>
        <v>56.000000000000007</v>
      </c>
      <c r="BR213" s="459">
        <f t="shared" si="382"/>
        <v>11.000000000000004</v>
      </c>
      <c r="BS213" s="461">
        <f t="shared" si="383"/>
        <v>643.00000000000034</v>
      </c>
      <c r="BT213" s="582">
        <f t="shared" si="384"/>
        <v>428.66666666666674</v>
      </c>
      <c r="BU213" s="113">
        <f t="shared" si="385"/>
        <v>273.66666666666663</v>
      </c>
      <c r="BV213" s="113">
        <f t="shared" si="386"/>
        <v>0</v>
      </c>
      <c r="BW213" s="113">
        <f t="shared" si="387"/>
        <v>155</v>
      </c>
      <c r="BX213" s="460">
        <f t="shared" si="388"/>
        <v>0</v>
      </c>
      <c r="BY213" s="582">
        <f t="shared" si="389"/>
        <v>214.33333333333334</v>
      </c>
      <c r="BZ213" s="113">
        <f t="shared" si="390"/>
        <v>111.66666666666663</v>
      </c>
      <c r="CA213" s="113">
        <f t="shared" si="391"/>
        <v>0</v>
      </c>
      <c r="CB213" s="113">
        <f t="shared" si="392"/>
        <v>83.6666666666666</v>
      </c>
      <c r="CC213" s="459">
        <f t="shared" si="393"/>
        <v>19</v>
      </c>
      <c r="CD213" s="461">
        <f t="shared" si="394"/>
        <v>124.33333333333334</v>
      </c>
      <c r="CE213" s="582">
        <f t="shared" si="395"/>
        <v>83.333333333333371</v>
      </c>
      <c r="CF213" s="113">
        <f t="shared" si="396"/>
        <v>52.666666666666657</v>
      </c>
      <c r="CG213" s="113">
        <f t="shared" si="397"/>
        <v>0</v>
      </c>
      <c r="CH213" s="113">
        <f t="shared" si="398"/>
        <v>30.666666666666661</v>
      </c>
      <c r="CI213" s="460">
        <f t="shared" si="399"/>
        <v>0</v>
      </c>
      <c r="CJ213" s="582">
        <f t="shared" si="400"/>
        <v>40.999999999999993</v>
      </c>
      <c r="CK213" s="113">
        <f t="shared" si="401"/>
        <v>25</v>
      </c>
      <c r="CL213" s="113">
        <f t="shared" si="402"/>
        <v>0</v>
      </c>
      <c r="CM213" s="113">
        <f t="shared" si="403"/>
        <v>12.999999999999998</v>
      </c>
      <c r="CN213" s="459">
        <f t="shared" si="404"/>
        <v>3</v>
      </c>
      <c r="CO213" s="461">
        <f t="shared" si="405"/>
        <v>103</v>
      </c>
      <c r="CP213" s="582">
        <f t="shared" si="406"/>
        <v>61.333333333333371</v>
      </c>
      <c r="CQ213" s="113">
        <f t="shared" si="407"/>
        <v>49.33333333333335</v>
      </c>
      <c r="CR213" s="113">
        <f t="shared" si="408"/>
        <v>0</v>
      </c>
      <c r="CS213" s="113">
        <f t="shared" si="409"/>
        <v>11.999999999999998</v>
      </c>
      <c r="CT213" s="460">
        <f t="shared" si="410"/>
        <v>0</v>
      </c>
      <c r="CU213" s="582">
        <f t="shared" si="411"/>
        <v>41.666666666666657</v>
      </c>
      <c r="CV213" s="113">
        <f t="shared" si="412"/>
        <v>23.999999999999986</v>
      </c>
      <c r="CW213" s="113">
        <f t="shared" si="413"/>
        <v>0</v>
      </c>
      <c r="CX213" s="113">
        <f t="shared" si="414"/>
        <v>17.666666666666664</v>
      </c>
      <c r="CY213" s="459">
        <f t="shared" si="415"/>
        <v>0</v>
      </c>
      <c r="CZ213" s="461">
        <f t="shared" si="416"/>
        <v>27.333333333333325</v>
      </c>
      <c r="DA213" s="582">
        <f t="shared" si="417"/>
        <v>13.333333333333332</v>
      </c>
      <c r="DB213" s="113">
        <f t="shared" si="418"/>
        <v>6.666666666666667</v>
      </c>
      <c r="DC213" s="113">
        <f t="shared" si="419"/>
        <v>0</v>
      </c>
      <c r="DD213" s="113">
        <f t="shared" si="420"/>
        <v>6.6666666666666643</v>
      </c>
      <c r="DE213" s="460">
        <f t="shared" si="421"/>
        <v>0</v>
      </c>
      <c r="DF213" s="582">
        <f t="shared" si="422"/>
        <v>14.000000000000007</v>
      </c>
      <c r="DG213" s="113">
        <f t="shared" si="423"/>
        <v>13.000000000000011</v>
      </c>
      <c r="DH213" s="113">
        <f t="shared" si="424"/>
        <v>0</v>
      </c>
      <c r="DI213" s="113">
        <f t="shared" si="425"/>
        <v>1</v>
      </c>
      <c r="DJ213" s="459">
        <f t="shared" si="426"/>
        <v>0</v>
      </c>
      <c r="DK213" s="461">
        <f t="shared" si="427"/>
        <v>0</v>
      </c>
      <c r="DL213" s="582">
        <f t="shared" si="428"/>
        <v>0</v>
      </c>
      <c r="DM213" s="113">
        <f t="shared" si="429"/>
        <v>0</v>
      </c>
      <c r="DN213" s="113">
        <f t="shared" si="430"/>
        <v>0</v>
      </c>
      <c r="DO213" s="113">
        <f t="shared" si="431"/>
        <v>0</v>
      </c>
      <c r="DP213" s="460">
        <f t="shared" si="432"/>
        <v>0</v>
      </c>
      <c r="DQ213" s="582">
        <f t="shared" si="433"/>
        <v>1</v>
      </c>
      <c r="DR213" s="113">
        <f t="shared" si="434"/>
        <v>1</v>
      </c>
      <c r="DS213" s="113">
        <f t="shared" si="435"/>
        <v>0</v>
      </c>
      <c r="DT213" s="113">
        <f t="shared" si="436"/>
        <v>0</v>
      </c>
      <c r="DU213" s="459">
        <f t="shared" si="437"/>
        <v>0</v>
      </c>
      <c r="DW213" s="461">
        <f t="shared" si="315"/>
        <v>1823.0000000000005</v>
      </c>
      <c r="DX213" s="582">
        <f t="shared" si="315"/>
        <v>1183.6666666666667</v>
      </c>
      <c r="DY213" s="113">
        <f t="shared" si="315"/>
        <v>801.66666666666663</v>
      </c>
      <c r="DZ213" s="113">
        <f t="shared" si="315"/>
        <v>0</v>
      </c>
      <c r="EA213" s="113">
        <f t="shared" si="315"/>
        <v>382.00000000000006</v>
      </c>
      <c r="EB213" s="460">
        <f t="shared" si="453"/>
        <v>0</v>
      </c>
      <c r="EC213" s="582">
        <f t="shared" si="453"/>
        <v>640.33333333333348</v>
      </c>
      <c r="ED213" s="113">
        <f t="shared" si="453"/>
        <v>374.99999999999994</v>
      </c>
      <c r="EE213" s="113">
        <f t="shared" si="453"/>
        <v>0</v>
      </c>
      <c r="EF213" s="113">
        <f t="shared" si="453"/>
        <v>215.66666666666663</v>
      </c>
      <c r="EG213" s="459">
        <f t="shared" si="453"/>
        <v>49.666666666666671</v>
      </c>
      <c r="EH213" s="461">
        <f t="shared" si="313"/>
        <v>578.00000000000011</v>
      </c>
      <c r="EI213" s="582">
        <f t="shared" si="313"/>
        <v>392.66666666666663</v>
      </c>
      <c r="EJ213" s="113">
        <f t="shared" si="313"/>
        <v>274</v>
      </c>
      <c r="EK213" s="113">
        <f t="shared" si="313"/>
        <v>0</v>
      </c>
      <c r="EL213" s="113">
        <f t="shared" si="313"/>
        <v>118.66666666666664</v>
      </c>
      <c r="EM213" s="460">
        <f t="shared" si="313"/>
        <v>0</v>
      </c>
      <c r="EN213" s="582">
        <f t="shared" si="313"/>
        <v>185.33333333333331</v>
      </c>
      <c r="EO213" s="113">
        <f t="shared" si="313"/>
        <v>98.999999999999957</v>
      </c>
      <c r="EP213" s="113">
        <f t="shared" si="313"/>
        <v>0</v>
      </c>
      <c r="EQ213" s="113">
        <f t="shared" si="313"/>
        <v>71.333333333333371</v>
      </c>
      <c r="ER213" s="459">
        <f t="shared" si="313"/>
        <v>15.000000000000005</v>
      </c>
    </row>
    <row r="214" spans="1:148">
      <c r="A214" s="665" t="s">
        <v>418</v>
      </c>
      <c r="B214" s="665">
        <v>44531</v>
      </c>
      <c r="C214" s="666">
        <v>2021</v>
      </c>
      <c r="D214" s="461">
        <f t="shared" si="452"/>
        <v>3623871.0000000014</v>
      </c>
      <c r="E214" s="461">
        <f t="shared" si="317"/>
        <v>64909.999999999993</v>
      </c>
      <c r="F214" s="582">
        <f t="shared" si="318"/>
        <v>41323.000000000007</v>
      </c>
      <c r="G214" s="113">
        <f t="shared" si="319"/>
        <v>26886.000000000004</v>
      </c>
      <c r="H214" s="113">
        <f t="shared" si="320"/>
        <v>0</v>
      </c>
      <c r="I214" s="113">
        <f t="shared" si="321"/>
        <v>14437.000000000002</v>
      </c>
      <c r="J214" s="460">
        <f t="shared" si="322"/>
        <v>0</v>
      </c>
      <c r="K214" s="582">
        <f t="shared" si="323"/>
        <v>23586.999999999996</v>
      </c>
      <c r="L214" s="113">
        <f t="shared" si="324"/>
        <v>13075.000000000004</v>
      </c>
      <c r="M214" s="113">
        <f t="shared" si="325"/>
        <v>0</v>
      </c>
      <c r="N214" s="113">
        <f t="shared" si="326"/>
        <v>8607</v>
      </c>
      <c r="O214" s="459">
        <f t="shared" si="327"/>
        <v>1904.9999999999993</v>
      </c>
      <c r="P214" s="461">
        <f t="shared" si="328"/>
        <v>109.00000000000001</v>
      </c>
      <c r="Q214" s="582">
        <f t="shared" si="329"/>
        <v>60</v>
      </c>
      <c r="R214" s="113">
        <f t="shared" si="330"/>
        <v>41.999999999999993</v>
      </c>
      <c r="S214" s="113">
        <f t="shared" si="331"/>
        <v>0</v>
      </c>
      <c r="T214" s="113">
        <f t="shared" si="332"/>
        <v>18.000000000000004</v>
      </c>
      <c r="U214" s="460">
        <f t="shared" si="333"/>
        <v>0</v>
      </c>
      <c r="V214" s="582">
        <f t="shared" si="334"/>
        <v>49.000000000000028</v>
      </c>
      <c r="W214" s="113">
        <f t="shared" si="335"/>
        <v>27.000000000000004</v>
      </c>
      <c r="X214" s="113">
        <f t="shared" si="336"/>
        <v>0</v>
      </c>
      <c r="Y214" s="113">
        <f t="shared" si="337"/>
        <v>18.000000000000004</v>
      </c>
      <c r="Z214" s="459">
        <f t="shared" si="338"/>
        <v>4</v>
      </c>
      <c r="AA214" s="461">
        <f t="shared" si="339"/>
        <v>69.000000000000014</v>
      </c>
      <c r="AB214" s="582">
        <f t="shared" si="340"/>
        <v>35.000000000000007</v>
      </c>
      <c r="AC214" s="113">
        <f t="shared" si="341"/>
        <v>20.000000000000004</v>
      </c>
      <c r="AD214" s="113">
        <f t="shared" si="342"/>
        <v>0</v>
      </c>
      <c r="AE214" s="113">
        <f t="shared" si="343"/>
        <v>15</v>
      </c>
      <c r="AF214" s="460">
        <f t="shared" si="344"/>
        <v>0</v>
      </c>
      <c r="AG214" s="582">
        <f t="shared" si="345"/>
        <v>34.000000000000021</v>
      </c>
      <c r="AH214" s="113">
        <f t="shared" si="346"/>
        <v>28.999999999999989</v>
      </c>
      <c r="AI214" s="113">
        <f t="shared" si="347"/>
        <v>0</v>
      </c>
      <c r="AJ214" s="113">
        <f t="shared" si="348"/>
        <v>1</v>
      </c>
      <c r="AK214" s="459">
        <f t="shared" si="349"/>
        <v>4</v>
      </c>
      <c r="AL214" s="461">
        <f t="shared" si="350"/>
        <v>596.00000000000011</v>
      </c>
      <c r="AM214" s="582">
        <f t="shared" si="351"/>
        <v>408.99999999999994</v>
      </c>
      <c r="AN214" s="113">
        <f t="shared" si="352"/>
        <v>285</v>
      </c>
      <c r="AO214" s="113">
        <f t="shared" si="353"/>
        <v>0</v>
      </c>
      <c r="AP214" s="113">
        <f t="shared" si="354"/>
        <v>123.99999999999997</v>
      </c>
      <c r="AQ214" s="460">
        <f t="shared" si="355"/>
        <v>0</v>
      </c>
      <c r="AR214" s="582">
        <f t="shared" si="356"/>
        <v>186.99999999999997</v>
      </c>
      <c r="AS214" s="113">
        <f t="shared" si="357"/>
        <v>98.999999999999957</v>
      </c>
      <c r="AT214" s="113">
        <f t="shared" si="358"/>
        <v>0</v>
      </c>
      <c r="AU214" s="113">
        <f t="shared" si="359"/>
        <v>73.000000000000043</v>
      </c>
      <c r="AV214" s="459">
        <f t="shared" si="360"/>
        <v>15.000000000000005</v>
      </c>
      <c r="AW214" s="461">
        <f t="shared" si="361"/>
        <v>324.00000000000006</v>
      </c>
      <c r="AX214" s="582">
        <f t="shared" si="362"/>
        <v>202.99999999999991</v>
      </c>
      <c r="AY214" s="113">
        <f t="shared" si="363"/>
        <v>145.00000000000003</v>
      </c>
      <c r="AZ214" s="113">
        <f t="shared" si="364"/>
        <v>0</v>
      </c>
      <c r="BA214" s="113">
        <f t="shared" si="365"/>
        <v>58.000000000000007</v>
      </c>
      <c r="BB214" s="460">
        <f t="shared" si="366"/>
        <v>0</v>
      </c>
      <c r="BC214" s="582">
        <f t="shared" si="367"/>
        <v>121.00000000000001</v>
      </c>
      <c r="BD214" s="113">
        <f t="shared" si="368"/>
        <v>81.999999999999986</v>
      </c>
      <c r="BE214" s="113">
        <f t="shared" si="369"/>
        <v>0</v>
      </c>
      <c r="BF214" s="113">
        <f t="shared" si="370"/>
        <v>30.000000000000021</v>
      </c>
      <c r="BG214" s="459">
        <f t="shared" si="371"/>
        <v>9</v>
      </c>
      <c r="BH214" s="461">
        <f t="shared" si="372"/>
        <v>451</v>
      </c>
      <c r="BI214" s="582">
        <f t="shared" si="373"/>
        <v>318.00000000000006</v>
      </c>
      <c r="BJ214" s="113">
        <f t="shared" si="374"/>
        <v>222.00000000000003</v>
      </c>
      <c r="BK214" s="113">
        <f t="shared" si="375"/>
        <v>0</v>
      </c>
      <c r="BL214" s="113">
        <f t="shared" si="376"/>
        <v>96</v>
      </c>
      <c r="BM214" s="460">
        <f t="shared" si="377"/>
        <v>0</v>
      </c>
      <c r="BN214" s="582">
        <f t="shared" si="378"/>
        <v>133.00000000000006</v>
      </c>
      <c r="BO214" s="113">
        <f t="shared" si="379"/>
        <v>64.000000000000014</v>
      </c>
      <c r="BP214" s="113">
        <f t="shared" si="380"/>
        <v>0</v>
      </c>
      <c r="BQ214" s="113">
        <f t="shared" si="381"/>
        <v>58.000000000000007</v>
      </c>
      <c r="BR214" s="459">
        <f t="shared" si="382"/>
        <v>11.000000000000004</v>
      </c>
      <c r="BS214" s="461">
        <f t="shared" si="383"/>
        <v>668.00000000000034</v>
      </c>
      <c r="BT214" s="582">
        <f t="shared" si="384"/>
        <v>446.00000000000006</v>
      </c>
      <c r="BU214" s="113">
        <f t="shared" si="385"/>
        <v>279.99999999999994</v>
      </c>
      <c r="BV214" s="113">
        <f t="shared" si="386"/>
        <v>0</v>
      </c>
      <c r="BW214" s="113">
        <f t="shared" si="387"/>
        <v>166</v>
      </c>
      <c r="BX214" s="460">
        <f t="shared" si="388"/>
        <v>0</v>
      </c>
      <c r="BY214" s="582">
        <f t="shared" si="389"/>
        <v>222</v>
      </c>
      <c r="BZ214" s="113">
        <f t="shared" si="390"/>
        <v>112.99999999999996</v>
      </c>
      <c r="CA214" s="113">
        <f t="shared" si="391"/>
        <v>0</v>
      </c>
      <c r="CB214" s="113">
        <f t="shared" si="392"/>
        <v>89.999999999999929</v>
      </c>
      <c r="CC214" s="459">
        <f t="shared" si="393"/>
        <v>19</v>
      </c>
      <c r="CD214" s="461">
        <f t="shared" si="394"/>
        <v>128</v>
      </c>
      <c r="CE214" s="582">
        <f t="shared" si="395"/>
        <v>86.000000000000043</v>
      </c>
      <c r="CF214" s="113">
        <f t="shared" si="396"/>
        <v>53.999999999999993</v>
      </c>
      <c r="CG214" s="113">
        <f t="shared" si="397"/>
        <v>0</v>
      </c>
      <c r="CH214" s="113">
        <f t="shared" si="398"/>
        <v>31.999999999999993</v>
      </c>
      <c r="CI214" s="460">
        <f t="shared" si="399"/>
        <v>0</v>
      </c>
      <c r="CJ214" s="582">
        <f t="shared" si="400"/>
        <v>41.999999999999993</v>
      </c>
      <c r="CK214" s="113">
        <f t="shared" si="401"/>
        <v>25</v>
      </c>
      <c r="CL214" s="113">
        <f t="shared" si="402"/>
        <v>0</v>
      </c>
      <c r="CM214" s="113">
        <f t="shared" si="403"/>
        <v>13.999999999999998</v>
      </c>
      <c r="CN214" s="459">
        <f t="shared" si="404"/>
        <v>3</v>
      </c>
      <c r="CO214" s="461">
        <f t="shared" si="405"/>
        <v>105</v>
      </c>
      <c r="CP214" s="582">
        <f t="shared" si="406"/>
        <v>63.000000000000036</v>
      </c>
      <c r="CQ214" s="113">
        <f t="shared" si="407"/>
        <v>51.000000000000014</v>
      </c>
      <c r="CR214" s="113">
        <f t="shared" si="408"/>
        <v>0</v>
      </c>
      <c r="CS214" s="113">
        <f t="shared" si="409"/>
        <v>11.999999999999998</v>
      </c>
      <c r="CT214" s="460">
        <f t="shared" si="410"/>
        <v>0</v>
      </c>
      <c r="CU214" s="582">
        <f t="shared" si="411"/>
        <v>41.999999999999993</v>
      </c>
      <c r="CV214" s="113">
        <f t="shared" si="412"/>
        <v>23.999999999999986</v>
      </c>
      <c r="CW214" s="113">
        <f t="shared" si="413"/>
        <v>0</v>
      </c>
      <c r="CX214" s="113">
        <f t="shared" si="414"/>
        <v>17.999999999999996</v>
      </c>
      <c r="CY214" s="459">
        <f t="shared" si="415"/>
        <v>0</v>
      </c>
      <c r="CZ214" s="461">
        <f t="shared" si="416"/>
        <v>27.999999999999993</v>
      </c>
      <c r="DA214" s="582">
        <f t="shared" si="417"/>
        <v>13.999999999999998</v>
      </c>
      <c r="DB214" s="113">
        <f t="shared" si="418"/>
        <v>7</v>
      </c>
      <c r="DC214" s="113">
        <f t="shared" si="419"/>
        <v>0</v>
      </c>
      <c r="DD214" s="113">
        <f t="shared" si="420"/>
        <v>6.9999999999999973</v>
      </c>
      <c r="DE214" s="460">
        <f t="shared" si="421"/>
        <v>0</v>
      </c>
      <c r="DF214" s="582">
        <f t="shared" si="422"/>
        <v>14.000000000000007</v>
      </c>
      <c r="DG214" s="113">
        <f t="shared" si="423"/>
        <v>13.000000000000011</v>
      </c>
      <c r="DH214" s="113">
        <f t="shared" si="424"/>
        <v>0</v>
      </c>
      <c r="DI214" s="113">
        <f t="shared" si="425"/>
        <v>1</v>
      </c>
      <c r="DJ214" s="459">
        <f t="shared" si="426"/>
        <v>0</v>
      </c>
      <c r="DK214" s="461">
        <f t="shared" si="427"/>
        <v>0</v>
      </c>
      <c r="DL214" s="582">
        <f t="shared" si="428"/>
        <v>0</v>
      </c>
      <c r="DM214" s="113">
        <f t="shared" si="429"/>
        <v>0</v>
      </c>
      <c r="DN214" s="113">
        <f t="shared" si="430"/>
        <v>0</v>
      </c>
      <c r="DO214" s="113">
        <f t="shared" si="431"/>
        <v>0</v>
      </c>
      <c r="DP214" s="460">
        <f t="shared" si="432"/>
        <v>0</v>
      </c>
      <c r="DQ214" s="582">
        <f t="shared" si="433"/>
        <v>1</v>
      </c>
      <c r="DR214" s="113">
        <f t="shared" si="434"/>
        <v>1</v>
      </c>
      <c r="DS214" s="113">
        <f t="shared" si="435"/>
        <v>0</v>
      </c>
      <c r="DT214" s="113">
        <f t="shared" si="436"/>
        <v>0</v>
      </c>
      <c r="DU214" s="459">
        <f t="shared" si="437"/>
        <v>0</v>
      </c>
      <c r="DW214" s="461">
        <f t="shared" si="315"/>
        <v>1882.0000000000005</v>
      </c>
      <c r="DX214" s="582">
        <f t="shared" si="315"/>
        <v>1225</v>
      </c>
      <c r="DY214" s="113">
        <f t="shared" si="315"/>
        <v>821</v>
      </c>
      <c r="DZ214" s="113">
        <f t="shared" si="315"/>
        <v>0</v>
      </c>
      <c r="EA214" s="113">
        <f t="shared" si="315"/>
        <v>404</v>
      </c>
      <c r="EB214" s="460">
        <f t="shared" si="453"/>
        <v>0</v>
      </c>
      <c r="EC214" s="582">
        <f t="shared" si="453"/>
        <v>658.00000000000011</v>
      </c>
      <c r="ED214" s="113">
        <f t="shared" si="453"/>
        <v>377.99999999999994</v>
      </c>
      <c r="EE214" s="113">
        <f t="shared" si="453"/>
        <v>0</v>
      </c>
      <c r="EF214" s="113">
        <f t="shared" si="453"/>
        <v>229.99999999999994</v>
      </c>
      <c r="EG214" s="459">
        <f t="shared" si="453"/>
        <v>50</v>
      </c>
      <c r="EH214" s="461">
        <f t="shared" si="313"/>
        <v>596.00000000000011</v>
      </c>
      <c r="EI214" s="582">
        <f t="shared" si="313"/>
        <v>408.99999999999994</v>
      </c>
      <c r="EJ214" s="113">
        <f t="shared" si="313"/>
        <v>285</v>
      </c>
      <c r="EK214" s="113">
        <f t="shared" si="313"/>
        <v>0</v>
      </c>
      <c r="EL214" s="113">
        <f t="shared" si="313"/>
        <v>123.99999999999997</v>
      </c>
      <c r="EM214" s="460">
        <f t="shared" si="313"/>
        <v>0</v>
      </c>
      <c r="EN214" s="582">
        <f t="shared" si="313"/>
        <v>186.99999999999997</v>
      </c>
      <c r="EO214" s="113">
        <f t="shared" si="313"/>
        <v>98.999999999999957</v>
      </c>
      <c r="EP214" s="113">
        <f t="shared" si="313"/>
        <v>0</v>
      </c>
      <c r="EQ214" s="113">
        <f t="shared" si="313"/>
        <v>73.000000000000043</v>
      </c>
      <c r="ER214" s="459">
        <f t="shared" si="313"/>
        <v>15.000000000000005</v>
      </c>
    </row>
    <row r="215" spans="1:148">
      <c r="A215" s="665" t="s">
        <v>419</v>
      </c>
      <c r="B215" s="665">
        <v>44562</v>
      </c>
      <c r="C215" s="666">
        <v>2022</v>
      </c>
      <c r="D215" s="461">
        <f t="shared" si="452"/>
        <v>3668917.0000000014</v>
      </c>
      <c r="E215" s="461">
        <f t="shared" si="317"/>
        <v>67284.666666666657</v>
      </c>
      <c r="F215" s="582">
        <f t="shared" si="318"/>
        <v>43218.333333333343</v>
      </c>
      <c r="G215" s="113">
        <f t="shared" si="319"/>
        <v>27842.333333333336</v>
      </c>
      <c r="H215" s="113">
        <f t="shared" si="320"/>
        <v>0</v>
      </c>
      <c r="I215" s="113">
        <f t="shared" si="321"/>
        <v>15374.666666666668</v>
      </c>
      <c r="J215" s="460">
        <f t="shared" si="322"/>
        <v>1.3333333333333333</v>
      </c>
      <c r="K215" s="582">
        <f t="shared" si="323"/>
        <v>24066.333333333328</v>
      </c>
      <c r="L215" s="113">
        <f t="shared" si="324"/>
        <v>13125.66666666667</v>
      </c>
      <c r="M215" s="113">
        <f t="shared" si="325"/>
        <v>0</v>
      </c>
      <c r="N215" s="113">
        <f t="shared" si="326"/>
        <v>8955.3333333333339</v>
      </c>
      <c r="O215" s="459">
        <f t="shared" si="327"/>
        <v>1985.3333333333326</v>
      </c>
      <c r="P215" s="461">
        <f t="shared" si="328"/>
        <v>112.00000000000001</v>
      </c>
      <c r="Q215" s="582">
        <f t="shared" si="329"/>
        <v>62</v>
      </c>
      <c r="R215" s="113">
        <f t="shared" si="330"/>
        <v>42.333333333333329</v>
      </c>
      <c r="S215" s="113">
        <f t="shared" si="331"/>
        <v>0</v>
      </c>
      <c r="T215" s="113">
        <f t="shared" si="332"/>
        <v>19.666666666666671</v>
      </c>
      <c r="U215" s="460">
        <f t="shared" si="333"/>
        <v>0</v>
      </c>
      <c r="V215" s="582">
        <f t="shared" si="334"/>
        <v>50.000000000000028</v>
      </c>
      <c r="W215" s="113">
        <f t="shared" si="335"/>
        <v>27.000000000000004</v>
      </c>
      <c r="X215" s="113">
        <f t="shared" si="336"/>
        <v>0</v>
      </c>
      <c r="Y215" s="113">
        <f t="shared" si="337"/>
        <v>19.000000000000004</v>
      </c>
      <c r="Z215" s="459">
        <f t="shared" si="338"/>
        <v>4</v>
      </c>
      <c r="AA215" s="461">
        <f t="shared" si="339"/>
        <v>70.666666666666686</v>
      </c>
      <c r="AB215" s="582">
        <f t="shared" si="340"/>
        <v>36.666666666666671</v>
      </c>
      <c r="AC215" s="113">
        <f t="shared" si="341"/>
        <v>20.666666666666671</v>
      </c>
      <c r="AD215" s="113">
        <f t="shared" si="342"/>
        <v>0</v>
      </c>
      <c r="AE215" s="113">
        <f t="shared" si="343"/>
        <v>16</v>
      </c>
      <c r="AF215" s="460">
        <f t="shared" si="344"/>
        <v>0</v>
      </c>
      <c r="AG215" s="582">
        <f t="shared" si="345"/>
        <v>34.000000000000021</v>
      </c>
      <c r="AH215" s="113">
        <f t="shared" si="346"/>
        <v>28.999999999999989</v>
      </c>
      <c r="AI215" s="113">
        <f t="shared" si="347"/>
        <v>0</v>
      </c>
      <c r="AJ215" s="113">
        <f t="shared" si="348"/>
        <v>1</v>
      </c>
      <c r="AK215" s="459">
        <f t="shared" si="349"/>
        <v>4</v>
      </c>
      <c r="AL215" s="461">
        <f t="shared" si="350"/>
        <v>623.00000000000011</v>
      </c>
      <c r="AM215" s="582">
        <f t="shared" si="351"/>
        <v>428.99999999999994</v>
      </c>
      <c r="AN215" s="113">
        <f t="shared" si="352"/>
        <v>294.33333333333331</v>
      </c>
      <c r="AO215" s="113">
        <f t="shared" si="353"/>
        <v>0</v>
      </c>
      <c r="AP215" s="113">
        <f t="shared" si="354"/>
        <v>134.66666666666663</v>
      </c>
      <c r="AQ215" s="460">
        <f t="shared" si="355"/>
        <v>0</v>
      </c>
      <c r="AR215" s="582">
        <f t="shared" si="356"/>
        <v>193.99999999999997</v>
      </c>
      <c r="AS215" s="113">
        <f t="shared" si="357"/>
        <v>98.999999999999957</v>
      </c>
      <c r="AT215" s="113">
        <f t="shared" si="358"/>
        <v>0</v>
      </c>
      <c r="AU215" s="113">
        <f t="shared" si="359"/>
        <v>79.666666666666714</v>
      </c>
      <c r="AV215" s="459">
        <f t="shared" si="360"/>
        <v>15.333333333333339</v>
      </c>
      <c r="AW215" s="461">
        <f t="shared" si="361"/>
        <v>337.00000000000006</v>
      </c>
      <c r="AX215" s="582">
        <f t="shared" si="362"/>
        <v>213.33333333333326</v>
      </c>
      <c r="AY215" s="113">
        <f t="shared" si="363"/>
        <v>150.66666666666669</v>
      </c>
      <c r="AZ215" s="113">
        <f t="shared" si="364"/>
        <v>0</v>
      </c>
      <c r="BA215" s="113">
        <f t="shared" si="365"/>
        <v>62.666666666666671</v>
      </c>
      <c r="BB215" s="460">
        <f t="shared" si="366"/>
        <v>0</v>
      </c>
      <c r="BC215" s="582">
        <f t="shared" si="367"/>
        <v>123.66666666666669</v>
      </c>
      <c r="BD215" s="113">
        <f t="shared" si="368"/>
        <v>82.333333333333314</v>
      </c>
      <c r="BE215" s="113">
        <f t="shared" si="369"/>
        <v>0</v>
      </c>
      <c r="BF215" s="113">
        <f t="shared" si="370"/>
        <v>32.333333333333357</v>
      </c>
      <c r="BG215" s="459">
        <f t="shared" si="371"/>
        <v>9</v>
      </c>
      <c r="BH215" s="461">
        <f t="shared" si="372"/>
        <v>469.66666666666669</v>
      </c>
      <c r="BI215" s="582">
        <f t="shared" si="373"/>
        <v>333.00000000000006</v>
      </c>
      <c r="BJ215" s="113">
        <f t="shared" si="374"/>
        <v>229.33333333333337</v>
      </c>
      <c r="BK215" s="113">
        <f t="shared" si="375"/>
        <v>0</v>
      </c>
      <c r="BL215" s="113">
        <f t="shared" si="376"/>
        <v>103.66666666666667</v>
      </c>
      <c r="BM215" s="460">
        <f t="shared" si="377"/>
        <v>0</v>
      </c>
      <c r="BN215" s="582">
        <f t="shared" si="378"/>
        <v>136.66666666666671</v>
      </c>
      <c r="BO215" s="113">
        <f t="shared" si="379"/>
        <v>64.333333333333343</v>
      </c>
      <c r="BP215" s="113">
        <f t="shared" si="380"/>
        <v>0</v>
      </c>
      <c r="BQ215" s="113">
        <f t="shared" si="381"/>
        <v>60.666666666666671</v>
      </c>
      <c r="BR215" s="459">
        <f t="shared" si="382"/>
        <v>11.66666666666667</v>
      </c>
      <c r="BS215" s="461">
        <f t="shared" si="383"/>
        <v>697.33333333333371</v>
      </c>
      <c r="BT215" s="582">
        <f t="shared" si="384"/>
        <v>469.33333333333337</v>
      </c>
      <c r="BU215" s="113">
        <f t="shared" si="385"/>
        <v>291.66666666666663</v>
      </c>
      <c r="BV215" s="113">
        <f t="shared" si="386"/>
        <v>0</v>
      </c>
      <c r="BW215" s="113">
        <f t="shared" si="387"/>
        <v>177.66666666666666</v>
      </c>
      <c r="BX215" s="460">
        <f t="shared" si="388"/>
        <v>0</v>
      </c>
      <c r="BY215" s="582">
        <f t="shared" si="389"/>
        <v>228</v>
      </c>
      <c r="BZ215" s="113">
        <f t="shared" si="390"/>
        <v>113.33333333333329</v>
      </c>
      <c r="CA215" s="113">
        <f t="shared" si="391"/>
        <v>0</v>
      </c>
      <c r="CB215" s="113">
        <f t="shared" si="392"/>
        <v>94.6666666666666</v>
      </c>
      <c r="CC215" s="459">
        <f t="shared" si="393"/>
        <v>20</v>
      </c>
      <c r="CD215" s="461">
        <f t="shared" si="394"/>
        <v>132</v>
      </c>
      <c r="CE215" s="582">
        <f t="shared" si="395"/>
        <v>89.000000000000043</v>
      </c>
      <c r="CF215" s="113">
        <f t="shared" si="396"/>
        <v>55.666666666666657</v>
      </c>
      <c r="CG215" s="113">
        <f t="shared" si="397"/>
        <v>0</v>
      </c>
      <c r="CH215" s="113">
        <f t="shared" si="398"/>
        <v>33.333333333333329</v>
      </c>
      <c r="CI215" s="460">
        <f t="shared" si="399"/>
        <v>0</v>
      </c>
      <c r="CJ215" s="582">
        <f t="shared" si="400"/>
        <v>42.999999999999993</v>
      </c>
      <c r="CK215" s="113">
        <f t="shared" si="401"/>
        <v>25</v>
      </c>
      <c r="CL215" s="113">
        <f t="shared" si="402"/>
        <v>0</v>
      </c>
      <c r="CM215" s="113">
        <f t="shared" si="403"/>
        <v>14.999999999999998</v>
      </c>
      <c r="CN215" s="459">
        <f t="shared" si="404"/>
        <v>3</v>
      </c>
      <c r="CO215" s="461">
        <f t="shared" si="405"/>
        <v>106.33333333333333</v>
      </c>
      <c r="CP215" s="582">
        <f t="shared" si="406"/>
        <v>64.000000000000028</v>
      </c>
      <c r="CQ215" s="113">
        <f t="shared" si="407"/>
        <v>51.33333333333335</v>
      </c>
      <c r="CR215" s="113">
        <f t="shared" si="408"/>
        <v>0</v>
      </c>
      <c r="CS215" s="113">
        <f t="shared" si="409"/>
        <v>12.666666666666664</v>
      </c>
      <c r="CT215" s="460">
        <f t="shared" si="410"/>
        <v>0</v>
      </c>
      <c r="CU215" s="582">
        <f t="shared" si="411"/>
        <v>42.333333333333329</v>
      </c>
      <c r="CV215" s="113">
        <f t="shared" si="412"/>
        <v>23.999999999999986</v>
      </c>
      <c r="CW215" s="113">
        <f t="shared" si="413"/>
        <v>0</v>
      </c>
      <c r="CX215" s="113">
        <f t="shared" si="414"/>
        <v>18.333333333333329</v>
      </c>
      <c r="CY215" s="459">
        <f t="shared" si="415"/>
        <v>0</v>
      </c>
      <c r="CZ215" s="461">
        <f t="shared" si="416"/>
        <v>28.999999999999993</v>
      </c>
      <c r="DA215" s="582">
        <f t="shared" si="417"/>
        <v>14.999999999999998</v>
      </c>
      <c r="DB215" s="113">
        <f t="shared" si="418"/>
        <v>7.333333333333333</v>
      </c>
      <c r="DC215" s="113">
        <f t="shared" si="419"/>
        <v>0</v>
      </c>
      <c r="DD215" s="113">
        <f t="shared" si="420"/>
        <v>7.6666666666666643</v>
      </c>
      <c r="DE215" s="460">
        <f t="shared" si="421"/>
        <v>0</v>
      </c>
      <c r="DF215" s="582">
        <f t="shared" si="422"/>
        <v>14.000000000000007</v>
      </c>
      <c r="DG215" s="113">
        <f t="shared" si="423"/>
        <v>13.000000000000011</v>
      </c>
      <c r="DH215" s="113">
        <f t="shared" si="424"/>
        <v>0</v>
      </c>
      <c r="DI215" s="113">
        <f t="shared" si="425"/>
        <v>1</v>
      </c>
      <c r="DJ215" s="459">
        <f t="shared" si="426"/>
        <v>0</v>
      </c>
      <c r="DK215" s="461">
        <f t="shared" si="427"/>
        <v>0</v>
      </c>
      <c r="DL215" s="582">
        <f t="shared" si="428"/>
        <v>0</v>
      </c>
      <c r="DM215" s="113">
        <f t="shared" si="429"/>
        <v>0</v>
      </c>
      <c r="DN215" s="113">
        <f t="shared" si="430"/>
        <v>0</v>
      </c>
      <c r="DO215" s="113">
        <f t="shared" si="431"/>
        <v>0</v>
      </c>
      <c r="DP215" s="460">
        <f t="shared" si="432"/>
        <v>0</v>
      </c>
      <c r="DQ215" s="582">
        <f t="shared" si="433"/>
        <v>1</v>
      </c>
      <c r="DR215" s="113">
        <f t="shared" si="434"/>
        <v>1</v>
      </c>
      <c r="DS215" s="113">
        <f t="shared" si="435"/>
        <v>0</v>
      </c>
      <c r="DT215" s="113">
        <f t="shared" si="436"/>
        <v>0</v>
      </c>
      <c r="DU215" s="459">
        <f t="shared" si="437"/>
        <v>0</v>
      </c>
      <c r="DW215" s="461">
        <f t="shared" si="315"/>
        <v>1954.0000000000005</v>
      </c>
      <c r="DX215" s="582">
        <f t="shared" si="315"/>
        <v>1282.3333333333335</v>
      </c>
      <c r="DY215" s="113">
        <f t="shared" si="315"/>
        <v>849.00000000000011</v>
      </c>
      <c r="DZ215" s="113">
        <f t="shared" si="315"/>
        <v>0</v>
      </c>
      <c r="EA215" s="113">
        <f t="shared" si="315"/>
        <v>433.33333333333331</v>
      </c>
      <c r="EB215" s="460">
        <f t="shared" si="453"/>
        <v>0</v>
      </c>
      <c r="EC215" s="582">
        <f t="shared" si="453"/>
        <v>672.66666666666686</v>
      </c>
      <c r="ED215" s="113">
        <f t="shared" si="453"/>
        <v>378.99999999999994</v>
      </c>
      <c r="EE215" s="113">
        <f t="shared" si="453"/>
        <v>0</v>
      </c>
      <c r="EF215" s="113">
        <f t="shared" si="453"/>
        <v>241.99999999999994</v>
      </c>
      <c r="EG215" s="459">
        <f t="shared" si="453"/>
        <v>51.666666666666671</v>
      </c>
      <c r="EH215" s="461">
        <f t="shared" si="313"/>
        <v>623.00000000000011</v>
      </c>
      <c r="EI215" s="582">
        <f t="shared" si="313"/>
        <v>428.99999999999994</v>
      </c>
      <c r="EJ215" s="113">
        <f t="shared" si="313"/>
        <v>294.33333333333331</v>
      </c>
      <c r="EK215" s="113">
        <f t="shared" si="313"/>
        <v>0</v>
      </c>
      <c r="EL215" s="113">
        <f t="shared" si="313"/>
        <v>134.66666666666663</v>
      </c>
      <c r="EM215" s="460">
        <f t="shared" si="313"/>
        <v>0</v>
      </c>
      <c r="EN215" s="582">
        <f t="shared" si="313"/>
        <v>193.99999999999997</v>
      </c>
      <c r="EO215" s="113">
        <f t="shared" si="313"/>
        <v>98.999999999999957</v>
      </c>
      <c r="EP215" s="113">
        <f t="shared" si="313"/>
        <v>0</v>
      </c>
      <c r="EQ215" s="113">
        <f t="shared" si="313"/>
        <v>79.666666666666714</v>
      </c>
      <c r="ER215" s="459">
        <f t="shared" si="313"/>
        <v>15.333333333333339</v>
      </c>
    </row>
    <row r="216" spans="1:148">
      <c r="A216" s="665" t="s">
        <v>419</v>
      </c>
      <c r="B216" s="665">
        <v>44593</v>
      </c>
      <c r="C216" s="666">
        <v>2022</v>
      </c>
      <c r="D216" s="461">
        <f t="shared" si="452"/>
        <v>3713963.0000000014</v>
      </c>
      <c r="E216" s="461">
        <f t="shared" si="317"/>
        <v>69659.333333333328</v>
      </c>
      <c r="F216" s="582">
        <f t="shared" si="318"/>
        <v>45113.666666666679</v>
      </c>
      <c r="G216" s="113">
        <f t="shared" si="319"/>
        <v>28798.666666666668</v>
      </c>
      <c r="H216" s="113">
        <f t="shared" si="320"/>
        <v>0</v>
      </c>
      <c r="I216" s="113">
        <f t="shared" si="321"/>
        <v>16312.333333333334</v>
      </c>
      <c r="J216" s="460">
        <f t="shared" si="322"/>
        <v>2.6666666666666665</v>
      </c>
      <c r="K216" s="582">
        <f t="shared" si="323"/>
        <v>24545.666666666661</v>
      </c>
      <c r="L216" s="113">
        <f t="shared" si="324"/>
        <v>13176.333333333336</v>
      </c>
      <c r="M216" s="113">
        <f t="shared" si="325"/>
        <v>0</v>
      </c>
      <c r="N216" s="113">
        <f t="shared" si="326"/>
        <v>9303.6666666666679</v>
      </c>
      <c r="O216" s="459">
        <f t="shared" si="327"/>
        <v>2065.6666666666661</v>
      </c>
      <c r="P216" s="461">
        <f t="shared" si="328"/>
        <v>115.00000000000001</v>
      </c>
      <c r="Q216" s="582">
        <f t="shared" si="329"/>
        <v>64</v>
      </c>
      <c r="R216" s="113">
        <f t="shared" si="330"/>
        <v>42.666666666666664</v>
      </c>
      <c r="S216" s="113">
        <f t="shared" si="331"/>
        <v>0</v>
      </c>
      <c r="T216" s="113">
        <f t="shared" si="332"/>
        <v>21.333333333333339</v>
      </c>
      <c r="U216" s="460">
        <f t="shared" si="333"/>
        <v>0</v>
      </c>
      <c r="V216" s="582">
        <f t="shared" si="334"/>
        <v>51.000000000000028</v>
      </c>
      <c r="W216" s="113">
        <f t="shared" si="335"/>
        <v>27.000000000000004</v>
      </c>
      <c r="X216" s="113">
        <f t="shared" si="336"/>
        <v>0</v>
      </c>
      <c r="Y216" s="113">
        <f t="shared" si="337"/>
        <v>20.000000000000004</v>
      </c>
      <c r="Z216" s="459">
        <f t="shared" si="338"/>
        <v>4</v>
      </c>
      <c r="AA216" s="461">
        <f t="shared" si="339"/>
        <v>72.333333333333357</v>
      </c>
      <c r="AB216" s="582">
        <f t="shared" si="340"/>
        <v>38.333333333333336</v>
      </c>
      <c r="AC216" s="113">
        <f t="shared" si="341"/>
        <v>21.333333333333339</v>
      </c>
      <c r="AD216" s="113">
        <f t="shared" si="342"/>
        <v>0</v>
      </c>
      <c r="AE216" s="113">
        <f t="shared" si="343"/>
        <v>17</v>
      </c>
      <c r="AF216" s="460">
        <f t="shared" si="344"/>
        <v>0</v>
      </c>
      <c r="AG216" s="582">
        <f t="shared" si="345"/>
        <v>34.000000000000021</v>
      </c>
      <c r="AH216" s="113">
        <f t="shared" si="346"/>
        <v>28.999999999999989</v>
      </c>
      <c r="AI216" s="113">
        <f t="shared" si="347"/>
        <v>0</v>
      </c>
      <c r="AJ216" s="113">
        <f t="shared" si="348"/>
        <v>1</v>
      </c>
      <c r="AK216" s="459">
        <f t="shared" si="349"/>
        <v>4</v>
      </c>
      <c r="AL216" s="461">
        <f t="shared" si="350"/>
        <v>650.00000000000011</v>
      </c>
      <c r="AM216" s="582">
        <f t="shared" si="351"/>
        <v>448.99999999999994</v>
      </c>
      <c r="AN216" s="113">
        <f t="shared" si="352"/>
        <v>303.66666666666663</v>
      </c>
      <c r="AO216" s="113">
        <f t="shared" si="353"/>
        <v>0</v>
      </c>
      <c r="AP216" s="113">
        <f t="shared" si="354"/>
        <v>145.33333333333329</v>
      </c>
      <c r="AQ216" s="460">
        <f t="shared" si="355"/>
        <v>0</v>
      </c>
      <c r="AR216" s="582">
        <f t="shared" si="356"/>
        <v>200.99999999999997</v>
      </c>
      <c r="AS216" s="113">
        <f t="shared" si="357"/>
        <v>98.999999999999957</v>
      </c>
      <c r="AT216" s="113">
        <f t="shared" si="358"/>
        <v>0</v>
      </c>
      <c r="AU216" s="113">
        <f t="shared" si="359"/>
        <v>86.333333333333385</v>
      </c>
      <c r="AV216" s="459">
        <f t="shared" si="360"/>
        <v>15.666666666666673</v>
      </c>
      <c r="AW216" s="461">
        <f t="shared" si="361"/>
        <v>350.00000000000006</v>
      </c>
      <c r="AX216" s="582">
        <f t="shared" si="362"/>
        <v>223.6666666666666</v>
      </c>
      <c r="AY216" s="113">
        <f t="shared" si="363"/>
        <v>156.33333333333334</v>
      </c>
      <c r="AZ216" s="113">
        <f t="shared" si="364"/>
        <v>0</v>
      </c>
      <c r="BA216" s="113">
        <f t="shared" si="365"/>
        <v>67.333333333333343</v>
      </c>
      <c r="BB216" s="460">
        <f t="shared" si="366"/>
        <v>0</v>
      </c>
      <c r="BC216" s="582">
        <f t="shared" si="367"/>
        <v>126.33333333333336</v>
      </c>
      <c r="BD216" s="113">
        <f t="shared" si="368"/>
        <v>82.666666666666643</v>
      </c>
      <c r="BE216" s="113">
        <f t="shared" si="369"/>
        <v>0</v>
      </c>
      <c r="BF216" s="113">
        <f t="shared" si="370"/>
        <v>34.666666666666693</v>
      </c>
      <c r="BG216" s="459">
        <f t="shared" si="371"/>
        <v>9</v>
      </c>
      <c r="BH216" s="461">
        <f t="shared" si="372"/>
        <v>488.33333333333337</v>
      </c>
      <c r="BI216" s="582">
        <f t="shared" si="373"/>
        <v>348.00000000000006</v>
      </c>
      <c r="BJ216" s="113">
        <f t="shared" si="374"/>
        <v>236.66666666666671</v>
      </c>
      <c r="BK216" s="113">
        <f t="shared" si="375"/>
        <v>0</v>
      </c>
      <c r="BL216" s="113">
        <f t="shared" si="376"/>
        <v>111.33333333333334</v>
      </c>
      <c r="BM216" s="460">
        <f t="shared" si="377"/>
        <v>0</v>
      </c>
      <c r="BN216" s="582">
        <f t="shared" si="378"/>
        <v>140.33333333333337</v>
      </c>
      <c r="BO216" s="113">
        <f t="shared" si="379"/>
        <v>64.666666666666671</v>
      </c>
      <c r="BP216" s="113">
        <f t="shared" si="380"/>
        <v>0</v>
      </c>
      <c r="BQ216" s="113">
        <f t="shared" si="381"/>
        <v>63.333333333333336</v>
      </c>
      <c r="BR216" s="459">
        <f t="shared" si="382"/>
        <v>12.333333333333336</v>
      </c>
      <c r="BS216" s="461">
        <f t="shared" si="383"/>
        <v>726.66666666666708</v>
      </c>
      <c r="BT216" s="582">
        <f t="shared" si="384"/>
        <v>492.66666666666669</v>
      </c>
      <c r="BU216" s="113">
        <f t="shared" si="385"/>
        <v>303.33333333333331</v>
      </c>
      <c r="BV216" s="113">
        <f t="shared" si="386"/>
        <v>0</v>
      </c>
      <c r="BW216" s="113">
        <f t="shared" si="387"/>
        <v>189.33333333333331</v>
      </c>
      <c r="BX216" s="460">
        <f t="shared" si="388"/>
        <v>0</v>
      </c>
      <c r="BY216" s="582">
        <f t="shared" si="389"/>
        <v>234</v>
      </c>
      <c r="BZ216" s="113">
        <f t="shared" si="390"/>
        <v>113.66666666666661</v>
      </c>
      <c r="CA216" s="113">
        <f t="shared" si="391"/>
        <v>0</v>
      </c>
      <c r="CB216" s="113">
        <f t="shared" si="392"/>
        <v>99.333333333333272</v>
      </c>
      <c r="CC216" s="459">
        <f t="shared" si="393"/>
        <v>21</v>
      </c>
      <c r="CD216" s="461">
        <f t="shared" si="394"/>
        <v>136</v>
      </c>
      <c r="CE216" s="582">
        <f t="shared" si="395"/>
        <v>92.000000000000043</v>
      </c>
      <c r="CF216" s="113">
        <f t="shared" si="396"/>
        <v>57.333333333333321</v>
      </c>
      <c r="CG216" s="113">
        <f t="shared" si="397"/>
        <v>0</v>
      </c>
      <c r="CH216" s="113">
        <f t="shared" si="398"/>
        <v>34.666666666666664</v>
      </c>
      <c r="CI216" s="460">
        <f t="shared" si="399"/>
        <v>0</v>
      </c>
      <c r="CJ216" s="582">
        <f t="shared" si="400"/>
        <v>43.999999999999993</v>
      </c>
      <c r="CK216" s="113">
        <f t="shared" si="401"/>
        <v>25</v>
      </c>
      <c r="CL216" s="113">
        <f t="shared" si="402"/>
        <v>0</v>
      </c>
      <c r="CM216" s="113">
        <f t="shared" si="403"/>
        <v>15.999999999999998</v>
      </c>
      <c r="CN216" s="459">
        <f t="shared" si="404"/>
        <v>3</v>
      </c>
      <c r="CO216" s="461">
        <f t="shared" si="405"/>
        <v>107.66666666666666</v>
      </c>
      <c r="CP216" s="582">
        <f t="shared" si="406"/>
        <v>65.000000000000028</v>
      </c>
      <c r="CQ216" s="113">
        <f t="shared" si="407"/>
        <v>51.666666666666686</v>
      </c>
      <c r="CR216" s="113">
        <f t="shared" si="408"/>
        <v>0</v>
      </c>
      <c r="CS216" s="113">
        <f t="shared" si="409"/>
        <v>13.33333333333333</v>
      </c>
      <c r="CT216" s="460">
        <f t="shared" si="410"/>
        <v>0</v>
      </c>
      <c r="CU216" s="582">
        <f t="shared" si="411"/>
        <v>42.666666666666664</v>
      </c>
      <c r="CV216" s="113">
        <f t="shared" si="412"/>
        <v>23.999999999999986</v>
      </c>
      <c r="CW216" s="113">
        <f t="shared" si="413"/>
        <v>0</v>
      </c>
      <c r="CX216" s="113">
        <f t="shared" si="414"/>
        <v>18.666666666666661</v>
      </c>
      <c r="CY216" s="459">
        <f t="shared" si="415"/>
        <v>0</v>
      </c>
      <c r="CZ216" s="461">
        <f t="shared" si="416"/>
        <v>29.999999999999993</v>
      </c>
      <c r="DA216" s="582">
        <f t="shared" si="417"/>
        <v>15.999999999999998</v>
      </c>
      <c r="DB216" s="113">
        <f t="shared" si="418"/>
        <v>7.6666666666666661</v>
      </c>
      <c r="DC216" s="113">
        <f t="shared" si="419"/>
        <v>0</v>
      </c>
      <c r="DD216" s="113">
        <f t="shared" si="420"/>
        <v>8.3333333333333304</v>
      </c>
      <c r="DE216" s="460">
        <f t="shared" si="421"/>
        <v>0</v>
      </c>
      <c r="DF216" s="582">
        <f t="shared" si="422"/>
        <v>14.000000000000007</v>
      </c>
      <c r="DG216" s="113">
        <f t="shared" si="423"/>
        <v>13.000000000000011</v>
      </c>
      <c r="DH216" s="113">
        <f t="shared" si="424"/>
        <v>0</v>
      </c>
      <c r="DI216" s="113">
        <f t="shared" si="425"/>
        <v>1</v>
      </c>
      <c r="DJ216" s="459">
        <f t="shared" si="426"/>
        <v>0</v>
      </c>
      <c r="DK216" s="461">
        <f t="shared" si="427"/>
        <v>0</v>
      </c>
      <c r="DL216" s="582">
        <f t="shared" si="428"/>
        <v>0</v>
      </c>
      <c r="DM216" s="113">
        <f t="shared" si="429"/>
        <v>0</v>
      </c>
      <c r="DN216" s="113">
        <f t="shared" si="430"/>
        <v>0</v>
      </c>
      <c r="DO216" s="113">
        <f t="shared" si="431"/>
        <v>0</v>
      </c>
      <c r="DP216" s="460">
        <f t="shared" si="432"/>
        <v>0</v>
      </c>
      <c r="DQ216" s="582">
        <f t="shared" si="433"/>
        <v>1</v>
      </c>
      <c r="DR216" s="113">
        <f t="shared" si="434"/>
        <v>1</v>
      </c>
      <c r="DS216" s="113">
        <f t="shared" si="435"/>
        <v>0</v>
      </c>
      <c r="DT216" s="113">
        <f t="shared" si="436"/>
        <v>0</v>
      </c>
      <c r="DU216" s="459">
        <f t="shared" si="437"/>
        <v>0</v>
      </c>
      <c r="DW216" s="461">
        <f t="shared" si="315"/>
        <v>2026.0000000000007</v>
      </c>
      <c r="DX216" s="582">
        <f t="shared" si="315"/>
        <v>1339.6666666666667</v>
      </c>
      <c r="DY216" s="113">
        <f t="shared" si="315"/>
        <v>877.00000000000011</v>
      </c>
      <c r="DZ216" s="113">
        <f t="shared" si="315"/>
        <v>0</v>
      </c>
      <c r="EA216" s="113">
        <f t="shared" si="315"/>
        <v>462.66666666666669</v>
      </c>
      <c r="EB216" s="460">
        <f t="shared" si="453"/>
        <v>0</v>
      </c>
      <c r="EC216" s="582">
        <f t="shared" si="453"/>
        <v>687.33333333333337</v>
      </c>
      <c r="ED216" s="113">
        <f t="shared" si="453"/>
        <v>379.99999999999994</v>
      </c>
      <c r="EE216" s="113">
        <f t="shared" si="453"/>
        <v>0</v>
      </c>
      <c r="EF216" s="113">
        <f t="shared" si="453"/>
        <v>253.99999999999997</v>
      </c>
      <c r="EG216" s="459">
        <f t="shared" si="453"/>
        <v>53.333333333333336</v>
      </c>
      <c r="EH216" s="461">
        <f t="shared" si="313"/>
        <v>650.00000000000011</v>
      </c>
      <c r="EI216" s="582">
        <f t="shared" si="313"/>
        <v>448.99999999999994</v>
      </c>
      <c r="EJ216" s="113">
        <f t="shared" si="313"/>
        <v>303.66666666666663</v>
      </c>
      <c r="EK216" s="113">
        <f t="shared" si="313"/>
        <v>0</v>
      </c>
      <c r="EL216" s="113">
        <f t="shared" si="313"/>
        <v>145.33333333333329</v>
      </c>
      <c r="EM216" s="460">
        <f t="shared" si="313"/>
        <v>0</v>
      </c>
      <c r="EN216" s="582">
        <f t="shared" si="313"/>
        <v>200.99999999999997</v>
      </c>
      <c r="EO216" s="113">
        <f t="shared" si="313"/>
        <v>98.999999999999957</v>
      </c>
      <c r="EP216" s="113">
        <f t="shared" si="313"/>
        <v>0</v>
      </c>
      <c r="EQ216" s="113">
        <f t="shared" si="313"/>
        <v>86.333333333333385</v>
      </c>
      <c r="ER216" s="459">
        <f t="shared" si="313"/>
        <v>15.666666666666673</v>
      </c>
    </row>
    <row r="217" spans="1:148">
      <c r="A217" s="665" t="s">
        <v>419</v>
      </c>
      <c r="B217" s="665">
        <v>44621</v>
      </c>
      <c r="C217" s="666">
        <v>2022</v>
      </c>
      <c r="D217" s="461">
        <f t="shared" si="452"/>
        <v>3759009.0000000014</v>
      </c>
      <c r="E217" s="461">
        <f t="shared" si="317"/>
        <v>72034</v>
      </c>
      <c r="F217" s="582">
        <f t="shared" si="318"/>
        <v>47009.000000000015</v>
      </c>
      <c r="G217" s="113">
        <f t="shared" si="319"/>
        <v>29755</v>
      </c>
      <c r="H217" s="113">
        <f t="shared" si="320"/>
        <v>0</v>
      </c>
      <c r="I217" s="113">
        <f t="shared" si="321"/>
        <v>17250</v>
      </c>
      <c r="J217" s="460">
        <f t="shared" si="322"/>
        <v>4</v>
      </c>
      <c r="K217" s="582">
        <f t="shared" si="323"/>
        <v>25024.999999999993</v>
      </c>
      <c r="L217" s="113">
        <f t="shared" si="324"/>
        <v>13227.000000000002</v>
      </c>
      <c r="M217" s="113">
        <f t="shared" si="325"/>
        <v>0</v>
      </c>
      <c r="N217" s="113">
        <f t="shared" si="326"/>
        <v>9652.0000000000018</v>
      </c>
      <c r="O217" s="459">
        <f t="shared" si="327"/>
        <v>2145.9999999999995</v>
      </c>
      <c r="P217" s="461">
        <f t="shared" si="328"/>
        <v>118.00000000000001</v>
      </c>
      <c r="Q217" s="582">
        <f t="shared" si="329"/>
        <v>66</v>
      </c>
      <c r="R217" s="113">
        <f t="shared" si="330"/>
        <v>43</v>
      </c>
      <c r="S217" s="113">
        <f t="shared" si="331"/>
        <v>0</v>
      </c>
      <c r="T217" s="113">
        <f t="shared" si="332"/>
        <v>23.000000000000007</v>
      </c>
      <c r="U217" s="460">
        <f t="shared" si="333"/>
        <v>0</v>
      </c>
      <c r="V217" s="582">
        <f t="shared" si="334"/>
        <v>52.000000000000028</v>
      </c>
      <c r="W217" s="113">
        <f t="shared" si="335"/>
        <v>27.000000000000004</v>
      </c>
      <c r="X217" s="113">
        <f t="shared" si="336"/>
        <v>0</v>
      </c>
      <c r="Y217" s="113">
        <f t="shared" si="337"/>
        <v>21.000000000000004</v>
      </c>
      <c r="Z217" s="459">
        <f t="shared" si="338"/>
        <v>4</v>
      </c>
      <c r="AA217" s="461">
        <f t="shared" si="339"/>
        <v>74.000000000000028</v>
      </c>
      <c r="AB217" s="582">
        <f t="shared" si="340"/>
        <v>40</v>
      </c>
      <c r="AC217" s="113">
        <f t="shared" si="341"/>
        <v>22.000000000000007</v>
      </c>
      <c r="AD217" s="113">
        <f t="shared" si="342"/>
        <v>0</v>
      </c>
      <c r="AE217" s="113">
        <f t="shared" si="343"/>
        <v>18</v>
      </c>
      <c r="AF217" s="460">
        <f t="shared" si="344"/>
        <v>0</v>
      </c>
      <c r="AG217" s="582">
        <f t="shared" si="345"/>
        <v>34.000000000000021</v>
      </c>
      <c r="AH217" s="113">
        <f t="shared" si="346"/>
        <v>28.999999999999989</v>
      </c>
      <c r="AI217" s="113">
        <f t="shared" si="347"/>
        <v>0</v>
      </c>
      <c r="AJ217" s="113">
        <f t="shared" si="348"/>
        <v>1</v>
      </c>
      <c r="AK217" s="459">
        <f t="shared" si="349"/>
        <v>4</v>
      </c>
      <c r="AL217" s="461">
        <f t="shared" si="350"/>
        <v>677.00000000000011</v>
      </c>
      <c r="AM217" s="582">
        <f t="shared" si="351"/>
        <v>468.99999999999994</v>
      </c>
      <c r="AN217" s="113">
        <f t="shared" si="352"/>
        <v>312.99999999999994</v>
      </c>
      <c r="AO217" s="113">
        <f t="shared" si="353"/>
        <v>0</v>
      </c>
      <c r="AP217" s="113">
        <f t="shared" si="354"/>
        <v>155.99999999999994</v>
      </c>
      <c r="AQ217" s="460">
        <f t="shared" si="355"/>
        <v>0</v>
      </c>
      <c r="AR217" s="582">
        <f t="shared" si="356"/>
        <v>207.99999999999997</v>
      </c>
      <c r="AS217" s="113">
        <f t="shared" si="357"/>
        <v>98.999999999999957</v>
      </c>
      <c r="AT217" s="113">
        <f t="shared" si="358"/>
        <v>0</v>
      </c>
      <c r="AU217" s="113">
        <f t="shared" si="359"/>
        <v>93.000000000000057</v>
      </c>
      <c r="AV217" s="459">
        <f t="shared" si="360"/>
        <v>16.000000000000007</v>
      </c>
      <c r="AW217" s="461">
        <f t="shared" si="361"/>
        <v>363.00000000000006</v>
      </c>
      <c r="AX217" s="582">
        <f t="shared" si="362"/>
        <v>233.99999999999994</v>
      </c>
      <c r="AY217" s="113">
        <f t="shared" si="363"/>
        <v>162</v>
      </c>
      <c r="AZ217" s="113">
        <f t="shared" si="364"/>
        <v>0</v>
      </c>
      <c r="BA217" s="113">
        <f t="shared" si="365"/>
        <v>72.000000000000014</v>
      </c>
      <c r="BB217" s="460">
        <f t="shared" si="366"/>
        <v>0</v>
      </c>
      <c r="BC217" s="582">
        <f t="shared" si="367"/>
        <v>129.00000000000003</v>
      </c>
      <c r="BD217" s="113">
        <f t="shared" si="368"/>
        <v>82.999999999999972</v>
      </c>
      <c r="BE217" s="113">
        <f t="shared" si="369"/>
        <v>0</v>
      </c>
      <c r="BF217" s="113">
        <f t="shared" si="370"/>
        <v>37.000000000000028</v>
      </c>
      <c r="BG217" s="459">
        <f t="shared" si="371"/>
        <v>9</v>
      </c>
      <c r="BH217" s="461">
        <f t="shared" si="372"/>
        <v>507.00000000000006</v>
      </c>
      <c r="BI217" s="582">
        <f t="shared" si="373"/>
        <v>363.00000000000006</v>
      </c>
      <c r="BJ217" s="113">
        <f t="shared" si="374"/>
        <v>244.00000000000006</v>
      </c>
      <c r="BK217" s="113">
        <f t="shared" si="375"/>
        <v>0</v>
      </c>
      <c r="BL217" s="113">
        <f t="shared" si="376"/>
        <v>119.00000000000001</v>
      </c>
      <c r="BM217" s="460">
        <f t="shared" si="377"/>
        <v>0</v>
      </c>
      <c r="BN217" s="582">
        <f t="shared" si="378"/>
        <v>144.00000000000003</v>
      </c>
      <c r="BO217" s="113">
        <f t="shared" si="379"/>
        <v>65</v>
      </c>
      <c r="BP217" s="113">
        <f t="shared" si="380"/>
        <v>0</v>
      </c>
      <c r="BQ217" s="113">
        <f t="shared" si="381"/>
        <v>66</v>
      </c>
      <c r="BR217" s="459">
        <f t="shared" si="382"/>
        <v>13.000000000000002</v>
      </c>
      <c r="BS217" s="461">
        <f t="shared" si="383"/>
        <v>756.00000000000045</v>
      </c>
      <c r="BT217" s="582">
        <f t="shared" si="384"/>
        <v>516</v>
      </c>
      <c r="BU217" s="113">
        <f t="shared" si="385"/>
        <v>315</v>
      </c>
      <c r="BV217" s="113">
        <f t="shared" si="386"/>
        <v>0</v>
      </c>
      <c r="BW217" s="113">
        <f t="shared" si="387"/>
        <v>200.99999999999997</v>
      </c>
      <c r="BX217" s="460">
        <f t="shared" si="388"/>
        <v>0</v>
      </c>
      <c r="BY217" s="582">
        <f t="shared" si="389"/>
        <v>240</v>
      </c>
      <c r="BZ217" s="113">
        <f t="shared" si="390"/>
        <v>113.99999999999994</v>
      </c>
      <c r="CA217" s="113">
        <f t="shared" si="391"/>
        <v>0</v>
      </c>
      <c r="CB217" s="113">
        <f t="shared" si="392"/>
        <v>103.99999999999994</v>
      </c>
      <c r="CC217" s="459">
        <f t="shared" si="393"/>
        <v>22</v>
      </c>
      <c r="CD217" s="461">
        <f t="shared" si="394"/>
        <v>140</v>
      </c>
      <c r="CE217" s="582">
        <f t="shared" si="395"/>
        <v>95.000000000000043</v>
      </c>
      <c r="CF217" s="113">
        <f t="shared" si="396"/>
        <v>58.999999999999986</v>
      </c>
      <c r="CG217" s="113">
        <f t="shared" si="397"/>
        <v>0</v>
      </c>
      <c r="CH217" s="113">
        <f t="shared" si="398"/>
        <v>36</v>
      </c>
      <c r="CI217" s="460">
        <f t="shared" si="399"/>
        <v>0</v>
      </c>
      <c r="CJ217" s="582">
        <f t="shared" si="400"/>
        <v>44.999999999999993</v>
      </c>
      <c r="CK217" s="113">
        <f t="shared" si="401"/>
        <v>25</v>
      </c>
      <c r="CL217" s="113">
        <f t="shared" si="402"/>
        <v>0</v>
      </c>
      <c r="CM217" s="113">
        <f t="shared" si="403"/>
        <v>17</v>
      </c>
      <c r="CN217" s="459">
        <f t="shared" si="404"/>
        <v>3</v>
      </c>
      <c r="CO217" s="461">
        <f t="shared" si="405"/>
        <v>108.99999999999999</v>
      </c>
      <c r="CP217" s="582">
        <f t="shared" si="406"/>
        <v>66.000000000000028</v>
      </c>
      <c r="CQ217" s="113">
        <f t="shared" si="407"/>
        <v>52.000000000000021</v>
      </c>
      <c r="CR217" s="113">
        <f t="shared" si="408"/>
        <v>0</v>
      </c>
      <c r="CS217" s="113">
        <f t="shared" si="409"/>
        <v>13.999999999999996</v>
      </c>
      <c r="CT217" s="460">
        <f t="shared" si="410"/>
        <v>0</v>
      </c>
      <c r="CU217" s="582">
        <f t="shared" si="411"/>
        <v>43</v>
      </c>
      <c r="CV217" s="113">
        <f t="shared" si="412"/>
        <v>23.999999999999986</v>
      </c>
      <c r="CW217" s="113">
        <f t="shared" si="413"/>
        <v>0</v>
      </c>
      <c r="CX217" s="113">
        <f t="shared" si="414"/>
        <v>18.999999999999993</v>
      </c>
      <c r="CY217" s="459">
        <f t="shared" si="415"/>
        <v>0</v>
      </c>
      <c r="CZ217" s="461">
        <f t="shared" si="416"/>
        <v>30.999999999999993</v>
      </c>
      <c r="DA217" s="582">
        <f t="shared" si="417"/>
        <v>17</v>
      </c>
      <c r="DB217" s="113">
        <f t="shared" si="418"/>
        <v>7.9999999999999991</v>
      </c>
      <c r="DC217" s="113">
        <f t="shared" si="419"/>
        <v>0</v>
      </c>
      <c r="DD217" s="113">
        <f t="shared" si="420"/>
        <v>8.9999999999999964</v>
      </c>
      <c r="DE217" s="460">
        <f t="shared" si="421"/>
        <v>0</v>
      </c>
      <c r="DF217" s="582">
        <f t="shared" si="422"/>
        <v>14.000000000000007</v>
      </c>
      <c r="DG217" s="113">
        <f t="shared" si="423"/>
        <v>13.000000000000011</v>
      </c>
      <c r="DH217" s="113">
        <f t="shared" si="424"/>
        <v>0</v>
      </c>
      <c r="DI217" s="113">
        <f t="shared" si="425"/>
        <v>1</v>
      </c>
      <c r="DJ217" s="459">
        <f t="shared" si="426"/>
        <v>0</v>
      </c>
      <c r="DK217" s="461">
        <f t="shared" si="427"/>
        <v>0</v>
      </c>
      <c r="DL217" s="582">
        <f t="shared" si="428"/>
        <v>0</v>
      </c>
      <c r="DM217" s="113">
        <f t="shared" si="429"/>
        <v>0</v>
      </c>
      <c r="DN217" s="113">
        <f t="shared" si="430"/>
        <v>0</v>
      </c>
      <c r="DO217" s="113">
        <f t="shared" si="431"/>
        <v>0</v>
      </c>
      <c r="DP217" s="460">
        <f t="shared" si="432"/>
        <v>0</v>
      </c>
      <c r="DQ217" s="582">
        <f t="shared" si="433"/>
        <v>1</v>
      </c>
      <c r="DR217" s="113">
        <f t="shared" si="434"/>
        <v>1</v>
      </c>
      <c r="DS217" s="113">
        <f t="shared" si="435"/>
        <v>0</v>
      </c>
      <c r="DT217" s="113">
        <f t="shared" si="436"/>
        <v>0</v>
      </c>
      <c r="DU217" s="459">
        <f t="shared" si="437"/>
        <v>0</v>
      </c>
      <c r="DW217" s="461">
        <f t="shared" si="315"/>
        <v>2098.0000000000005</v>
      </c>
      <c r="DX217" s="582">
        <f t="shared" si="315"/>
        <v>1397</v>
      </c>
      <c r="DY217" s="113">
        <f t="shared" si="315"/>
        <v>905</v>
      </c>
      <c r="DZ217" s="113">
        <f t="shared" si="315"/>
        <v>0</v>
      </c>
      <c r="EA217" s="113">
        <f t="shared" si="315"/>
        <v>492</v>
      </c>
      <c r="EB217" s="460">
        <f t="shared" si="453"/>
        <v>0</v>
      </c>
      <c r="EC217" s="582">
        <f t="shared" si="453"/>
        <v>702.00000000000011</v>
      </c>
      <c r="ED217" s="113">
        <f t="shared" si="453"/>
        <v>380.99999999999989</v>
      </c>
      <c r="EE217" s="113">
        <f t="shared" si="453"/>
        <v>0</v>
      </c>
      <c r="EF217" s="113">
        <f t="shared" si="453"/>
        <v>265.99999999999994</v>
      </c>
      <c r="EG217" s="459">
        <f t="shared" si="453"/>
        <v>55</v>
      </c>
      <c r="EH217" s="461">
        <f t="shared" si="313"/>
        <v>677.00000000000011</v>
      </c>
      <c r="EI217" s="582">
        <f t="shared" si="313"/>
        <v>468.99999999999994</v>
      </c>
      <c r="EJ217" s="113">
        <f t="shared" si="313"/>
        <v>312.99999999999994</v>
      </c>
      <c r="EK217" s="113">
        <f t="shared" si="313"/>
        <v>0</v>
      </c>
      <c r="EL217" s="113">
        <f t="shared" si="313"/>
        <v>155.99999999999994</v>
      </c>
      <c r="EM217" s="460">
        <f t="shared" si="313"/>
        <v>0</v>
      </c>
      <c r="EN217" s="582">
        <f t="shared" si="313"/>
        <v>207.99999999999997</v>
      </c>
      <c r="EO217" s="113">
        <f t="shared" si="313"/>
        <v>98.999999999999957</v>
      </c>
      <c r="EP217" s="113">
        <f t="shared" si="313"/>
        <v>0</v>
      </c>
      <c r="EQ217" s="113">
        <f t="shared" si="313"/>
        <v>93.000000000000057</v>
      </c>
      <c r="ER217" s="459">
        <f t="shared" si="313"/>
        <v>16.000000000000007</v>
      </c>
    </row>
    <row r="218" spans="1:148">
      <c r="A218" s="665" t="s">
        <v>420</v>
      </c>
      <c r="B218" s="665">
        <v>44652</v>
      </c>
      <c r="C218" s="666">
        <v>2022</v>
      </c>
      <c r="D218" s="461">
        <f t="shared" si="452"/>
        <v>3815423.6666666679</v>
      </c>
      <c r="E218" s="461">
        <f t="shared" si="317"/>
        <v>75212</v>
      </c>
      <c r="F218" s="582">
        <f t="shared" si="318"/>
        <v>49634.000000000015</v>
      </c>
      <c r="G218" s="113">
        <f t="shared" si="319"/>
        <v>30723</v>
      </c>
      <c r="H218" s="113">
        <f t="shared" si="320"/>
        <v>19.666666666666668</v>
      </c>
      <c r="I218" s="113">
        <f t="shared" si="321"/>
        <v>18872.666666666668</v>
      </c>
      <c r="J218" s="460">
        <f t="shared" si="322"/>
        <v>18.666666666666664</v>
      </c>
      <c r="K218" s="582">
        <f t="shared" si="323"/>
        <v>25577.999999999993</v>
      </c>
      <c r="L218" s="113">
        <f t="shared" si="324"/>
        <v>13317.333333333336</v>
      </c>
      <c r="M218" s="113">
        <f t="shared" si="325"/>
        <v>0</v>
      </c>
      <c r="N218" s="113">
        <f t="shared" si="326"/>
        <v>10075.666666666668</v>
      </c>
      <c r="O218" s="459">
        <f t="shared" si="327"/>
        <v>2184.9999999999995</v>
      </c>
      <c r="P218" s="461">
        <f t="shared" si="328"/>
        <v>122.33333333333334</v>
      </c>
      <c r="Q218" s="582">
        <f t="shared" si="329"/>
        <v>69.666666666666671</v>
      </c>
      <c r="R218" s="113">
        <f t="shared" si="330"/>
        <v>43.666666666666664</v>
      </c>
      <c r="S218" s="113">
        <f t="shared" si="331"/>
        <v>0.33333333333333331</v>
      </c>
      <c r="T218" s="113">
        <f t="shared" si="332"/>
        <v>25.666666666666675</v>
      </c>
      <c r="U218" s="460">
        <f t="shared" si="333"/>
        <v>0</v>
      </c>
      <c r="V218" s="582">
        <f t="shared" si="334"/>
        <v>52.666666666666693</v>
      </c>
      <c r="W218" s="113">
        <f t="shared" si="335"/>
        <v>27.000000000000004</v>
      </c>
      <c r="X218" s="113">
        <f t="shared" si="336"/>
        <v>0</v>
      </c>
      <c r="Y218" s="113">
        <f t="shared" si="337"/>
        <v>21.666666666666671</v>
      </c>
      <c r="Z218" s="459">
        <f t="shared" si="338"/>
        <v>4</v>
      </c>
      <c r="AA218" s="461">
        <f t="shared" si="339"/>
        <v>78.6666666666667</v>
      </c>
      <c r="AB218" s="582">
        <f t="shared" si="340"/>
        <v>43</v>
      </c>
      <c r="AC218" s="113">
        <f t="shared" si="341"/>
        <v>23.333333333333339</v>
      </c>
      <c r="AD218" s="113">
        <f t="shared" si="342"/>
        <v>0</v>
      </c>
      <c r="AE218" s="113">
        <f t="shared" si="343"/>
        <v>19.666666666666668</v>
      </c>
      <c r="AF218" s="460">
        <f t="shared" si="344"/>
        <v>0</v>
      </c>
      <c r="AG218" s="582">
        <f t="shared" si="345"/>
        <v>35.666666666666686</v>
      </c>
      <c r="AH218" s="113">
        <f t="shared" si="346"/>
        <v>28.999999999999989</v>
      </c>
      <c r="AI218" s="113">
        <f t="shared" si="347"/>
        <v>0</v>
      </c>
      <c r="AJ218" s="113">
        <f t="shared" si="348"/>
        <v>2.333333333333333</v>
      </c>
      <c r="AK218" s="459">
        <f t="shared" si="349"/>
        <v>4.333333333333333</v>
      </c>
      <c r="AL218" s="461">
        <f t="shared" si="350"/>
        <v>703.66666666666674</v>
      </c>
      <c r="AM218" s="582">
        <f t="shared" si="351"/>
        <v>488.99999999999994</v>
      </c>
      <c r="AN218" s="113">
        <f t="shared" si="352"/>
        <v>319.66666666666663</v>
      </c>
      <c r="AO218" s="113">
        <f t="shared" si="353"/>
        <v>0.33333333333333331</v>
      </c>
      <c r="AP218" s="113">
        <f t="shared" si="354"/>
        <v>168.6666666666666</v>
      </c>
      <c r="AQ218" s="460">
        <f t="shared" si="355"/>
        <v>0.33333333333333331</v>
      </c>
      <c r="AR218" s="582">
        <f t="shared" si="356"/>
        <v>214.66666666666663</v>
      </c>
      <c r="AS218" s="113">
        <f t="shared" si="357"/>
        <v>99.333333333333286</v>
      </c>
      <c r="AT218" s="113">
        <f t="shared" si="358"/>
        <v>0</v>
      </c>
      <c r="AU218" s="113">
        <f t="shared" si="359"/>
        <v>99.000000000000057</v>
      </c>
      <c r="AV218" s="459">
        <f t="shared" si="360"/>
        <v>16.333333333333339</v>
      </c>
      <c r="AW218" s="461">
        <f t="shared" si="361"/>
        <v>385.33333333333337</v>
      </c>
      <c r="AX218" s="582">
        <f t="shared" si="362"/>
        <v>251.99999999999994</v>
      </c>
      <c r="AY218" s="113">
        <f t="shared" si="363"/>
        <v>171.66666666666666</v>
      </c>
      <c r="AZ218" s="113">
        <f t="shared" si="364"/>
        <v>0</v>
      </c>
      <c r="BA218" s="113">
        <f t="shared" si="365"/>
        <v>80.333333333333343</v>
      </c>
      <c r="BB218" s="460">
        <f t="shared" si="366"/>
        <v>0</v>
      </c>
      <c r="BC218" s="582">
        <f t="shared" si="367"/>
        <v>133.33333333333337</v>
      </c>
      <c r="BD218" s="113">
        <f t="shared" si="368"/>
        <v>83.3333333333333</v>
      </c>
      <c r="BE218" s="113">
        <f t="shared" si="369"/>
        <v>0</v>
      </c>
      <c r="BF218" s="113">
        <f t="shared" si="370"/>
        <v>40.666666666666693</v>
      </c>
      <c r="BG218" s="459">
        <f t="shared" si="371"/>
        <v>9.3333333333333339</v>
      </c>
      <c r="BH218" s="461">
        <f t="shared" si="372"/>
        <v>534.33333333333337</v>
      </c>
      <c r="BI218" s="582">
        <f t="shared" si="373"/>
        <v>386.33333333333337</v>
      </c>
      <c r="BJ218" s="113">
        <f t="shared" si="374"/>
        <v>250.66666666666671</v>
      </c>
      <c r="BK218" s="113">
        <f t="shared" si="375"/>
        <v>0.66666666666666663</v>
      </c>
      <c r="BL218" s="113">
        <f t="shared" si="376"/>
        <v>135</v>
      </c>
      <c r="BM218" s="460">
        <f t="shared" si="377"/>
        <v>0</v>
      </c>
      <c r="BN218" s="582">
        <f t="shared" si="378"/>
        <v>148.00000000000003</v>
      </c>
      <c r="BO218" s="113">
        <f t="shared" si="379"/>
        <v>65.666666666666671</v>
      </c>
      <c r="BP218" s="113">
        <f t="shared" si="380"/>
        <v>0</v>
      </c>
      <c r="BQ218" s="113">
        <f t="shared" si="381"/>
        <v>69</v>
      </c>
      <c r="BR218" s="459">
        <f t="shared" si="382"/>
        <v>13.333333333333336</v>
      </c>
      <c r="BS218" s="461">
        <f t="shared" si="383"/>
        <v>789.66666666666708</v>
      </c>
      <c r="BT218" s="582">
        <f t="shared" si="384"/>
        <v>547</v>
      </c>
      <c r="BU218" s="113">
        <f t="shared" si="385"/>
        <v>324</v>
      </c>
      <c r="BV218" s="113">
        <f t="shared" si="386"/>
        <v>0.33333333333333331</v>
      </c>
      <c r="BW218" s="113">
        <f t="shared" si="387"/>
        <v>222.66666666666663</v>
      </c>
      <c r="BX218" s="460">
        <f t="shared" si="388"/>
        <v>0</v>
      </c>
      <c r="BY218" s="582">
        <f t="shared" si="389"/>
        <v>242.66666666666666</v>
      </c>
      <c r="BZ218" s="113">
        <f t="shared" si="390"/>
        <v>114.33333333333327</v>
      </c>
      <c r="CA218" s="113">
        <f t="shared" si="391"/>
        <v>0</v>
      </c>
      <c r="CB218" s="113">
        <f t="shared" si="392"/>
        <v>106.33333333333327</v>
      </c>
      <c r="CC218" s="459">
        <f t="shared" si="393"/>
        <v>22</v>
      </c>
      <c r="CD218" s="461">
        <f t="shared" si="394"/>
        <v>145.33333333333334</v>
      </c>
      <c r="CE218" s="582">
        <f t="shared" si="395"/>
        <v>99.333333333333371</v>
      </c>
      <c r="CF218" s="113">
        <f t="shared" si="396"/>
        <v>60.333333333333321</v>
      </c>
      <c r="CG218" s="113">
        <f t="shared" si="397"/>
        <v>0</v>
      </c>
      <c r="CH218" s="113">
        <f t="shared" si="398"/>
        <v>39</v>
      </c>
      <c r="CI218" s="460">
        <f t="shared" si="399"/>
        <v>0</v>
      </c>
      <c r="CJ218" s="582">
        <f t="shared" si="400"/>
        <v>45.999999999999993</v>
      </c>
      <c r="CK218" s="113">
        <f t="shared" si="401"/>
        <v>25.333333333333332</v>
      </c>
      <c r="CL218" s="113">
        <f t="shared" si="402"/>
        <v>0</v>
      </c>
      <c r="CM218" s="113">
        <f t="shared" si="403"/>
        <v>17.333333333333332</v>
      </c>
      <c r="CN218" s="459">
        <f t="shared" si="404"/>
        <v>3.3333333333333335</v>
      </c>
      <c r="CO218" s="461">
        <f t="shared" si="405"/>
        <v>113.66666666666666</v>
      </c>
      <c r="CP218" s="582">
        <f t="shared" si="406"/>
        <v>70.333333333333357</v>
      </c>
      <c r="CQ218" s="113">
        <f t="shared" si="407"/>
        <v>53.666666666666686</v>
      </c>
      <c r="CR218" s="113">
        <f t="shared" si="408"/>
        <v>0.33333333333333331</v>
      </c>
      <c r="CS218" s="113">
        <f t="shared" si="409"/>
        <v>16.333333333333329</v>
      </c>
      <c r="CT218" s="460">
        <f t="shared" si="410"/>
        <v>0</v>
      </c>
      <c r="CU218" s="582">
        <f t="shared" si="411"/>
        <v>43.333333333333336</v>
      </c>
      <c r="CV218" s="113">
        <f t="shared" si="412"/>
        <v>23.999999999999986</v>
      </c>
      <c r="CW218" s="113">
        <f t="shared" si="413"/>
        <v>0</v>
      </c>
      <c r="CX218" s="113">
        <f t="shared" si="414"/>
        <v>19.333333333333325</v>
      </c>
      <c r="CY218" s="459">
        <f t="shared" si="415"/>
        <v>0</v>
      </c>
      <c r="CZ218" s="461">
        <f t="shared" si="416"/>
        <v>32.333333333333329</v>
      </c>
      <c r="DA218" s="582">
        <f t="shared" si="417"/>
        <v>18</v>
      </c>
      <c r="DB218" s="113">
        <f t="shared" si="418"/>
        <v>7.9999999999999991</v>
      </c>
      <c r="DC218" s="113">
        <f t="shared" si="419"/>
        <v>0</v>
      </c>
      <c r="DD218" s="113">
        <f t="shared" si="420"/>
        <v>9.9999999999999964</v>
      </c>
      <c r="DE218" s="460">
        <f t="shared" si="421"/>
        <v>0</v>
      </c>
      <c r="DF218" s="582">
        <f t="shared" si="422"/>
        <v>14.333333333333341</v>
      </c>
      <c r="DG218" s="113">
        <f t="shared" si="423"/>
        <v>13.000000000000011</v>
      </c>
      <c r="DH218" s="113">
        <f t="shared" si="424"/>
        <v>0</v>
      </c>
      <c r="DI218" s="113">
        <f t="shared" si="425"/>
        <v>1.3333333333333333</v>
      </c>
      <c r="DJ218" s="459">
        <f t="shared" si="426"/>
        <v>0</v>
      </c>
      <c r="DK218" s="461">
        <f t="shared" si="427"/>
        <v>0</v>
      </c>
      <c r="DL218" s="582">
        <f t="shared" si="428"/>
        <v>0</v>
      </c>
      <c r="DM218" s="113">
        <f t="shared" si="429"/>
        <v>0</v>
      </c>
      <c r="DN218" s="113">
        <f t="shared" si="430"/>
        <v>0</v>
      </c>
      <c r="DO218" s="113">
        <f t="shared" si="431"/>
        <v>0</v>
      </c>
      <c r="DP218" s="460">
        <f t="shared" si="432"/>
        <v>0</v>
      </c>
      <c r="DQ218" s="582">
        <f t="shared" si="433"/>
        <v>1</v>
      </c>
      <c r="DR218" s="113">
        <f t="shared" si="434"/>
        <v>1</v>
      </c>
      <c r="DS218" s="113">
        <f t="shared" si="435"/>
        <v>0</v>
      </c>
      <c r="DT218" s="113">
        <f t="shared" si="436"/>
        <v>0</v>
      </c>
      <c r="DU218" s="459">
        <f t="shared" si="437"/>
        <v>0</v>
      </c>
      <c r="DW218" s="461">
        <f t="shared" si="315"/>
        <v>2201.6666666666674</v>
      </c>
      <c r="DX218" s="582">
        <f t="shared" si="315"/>
        <v>1485.6666666666667</v>
      </c>
      <c r="DY218" s="113">
        <f t="shared" si="315"/>
        <v>935.33333333333348</v>
      </c>
      <c r="DZ218" s="113">
        <f t="shared" si="315"/>
        <v>1.6666666666666665</v>
      </c>
      <c r="EA218" s="113">
        <f t="shared" si="315"/>
        <v>548.66666666666663</v>
      </c>
      <c r="EB218" s="460">
        <f t="shared" si="453"/>
        <v>0</v>
      </c>
      <c r="EC218" s="582">
        <f t="shared" si="453"/>
        <v>717.00000000000011</v>
      </c>
      <c r="ED218" s="113">
        <f t="shared" si="453"/>
        <v>382.66666666666652</v>
      </c>
      <c r="EE218" s="113">
        <f t="shared" si="453"/>
        <v>0</v>
      </c>
      <c r="EF218" s="113">
        <f t="shared" si="453"/>
        <v>277.99999999999989</v>
      </c>
      <c r="EG218" s="459">
        <f t="shared" si="453"/>
        <v>56.333333333333336</v>
      </c>
      <c r="EH218" s="461">
        <f t="shared" si="313"/>
        <v>703.66666666666674</v>
      </c>
      <c r="EI218" s="582">
        <f t="shared" si="313"/>
        <v>488.99999999999994</v>
      </c>
      <c r="EJ218" s="113">
        <f t="shared" si="313"/>
        <v>319.66666666666663</v>
      </c>
      <c r="EK218" s="113">
        <f t="shared" si="313"/>
        <v>0.33333333333333331</v>
      </c>
      <c r="EL218" s="113">
        <f t="shared" si="313"/>
        <v>168.6666666666666</v>
      </c>
      <c r="EM218" s="460">
        <f t="shared" si="313"/>
        <v>0.33333333333333331</v>
      </c>
      <c r="EN218" s="582">
        <f t="shared" si="313"/>
        <v>214.66666666666663</v>
      </c>
      <c r="EO218" s="113">
        <f t="shared" si="313"/>
        <v>99.333333333333286</v>
      </c>
      <c r="EP218" s="113">
        <f t="shared" si="313"/>
        <v>0</v>
      </c>
      <c r="EQ218" s="113">
        <f t="shared" si="313"/>
        <v>99.000000000000057</v>
      </c>
      <c r="ER218" s="459">
        <f t="shared" si="313"/>
        <v>16.333333333333339</v>
      </c>
    </row>
    <row r="219" spans="1:148">
      <c r="A219" s="665" t="s">
        <v>420</v>
      </c>
      <c r="B219" s="665">
        <v>44682</v>
      </c>
      <c r="C219" s="666">
        <v>2022</v>
      </c>
      <c r="D219" s="461">
        <f t="shared" si="452"/>
        <v>3871838.3333333344</v>
      </c>
      <c r="E219" s="461">
        <f t="shared" si="317"/>
        <v>78390</v>
      </c>
      <c r="F219" s="582">
        <f t="shared" si="318"/>
        <v>52259.000000000015</v>
      </c>
      <c r="G219" s="113">
        <f t="shared" si="319"/>
        <v>31691</v>
      </c>
      <c r="H219" s="113">
        <f t="shared" si="320"/>
        <v>39.333333333333336</v>
      </c>
      <c r="I219" s="113">
        <f t="shared" si="321"/>
        <v>20495.333333333336</v>
      </c>
      <c r="J219" s="460">
        <f t="shared" si="322"/>
        <v>33.333333333333329</v>
      </c>
      <c r="K219" s="582">
        <f t="shared" si="323"/>
        <v>26130.999999999993</v>
      </c>
      <c r="L219" s="113">
        <f t="shared" si="324"/>
        <v>13407.66666666667</v>
      </c>
      <c r="M219" s="113">
        <f t="shared" si="325"/>
        <v>0</v>
      </c>
      <c r="N219" s="113">
        <f t="shared" si="326"/>
        <v>10499.333333333334</v>
      </c>
      <c r="O219" s="459">
        <f t="shared" si="327"/>
        <v>2223.9999999999995</v>
      </c>
      <c r="P219" s="461">
        <f t="shared" si="328"/>
        <v>126.66666666666667</v>
      </c>
      <c r="Q219" s="582">
        <f t="shared" si="329"/>
        <v>73.333333333333343</v>
      </c>
      <c r="R219" s="113">
        <f t="shared" si="330"/>
        <v>44.333333333333329</v>
      </c>
      <c r="S219" s="113">
        <f t="shared" si="331"/>
        <v>0.66666666666666663</v>
      </c>
      <c r="T219" s="113">
        <f t="shared" si="332"/>
        <v>28.333333333333343</v>
      </c>
      <c r="U219" s="460">
        <f t="shared" si="333"/>
        <v>0</v>
      </c>
      <c r="V219" s="582">
        <f t="shared" si="334"/>
        <v>53.333333333333357</v>
      </c>
      <c r="W219" s="113">
        <f t="shared" si="335"/>
        <v>27.000000000000004</v>
      </c>
      <c r="X219" s="113">
        <f t="shared" si="336"/>
        <v>0</v>
      </c>
      <c r="Y219" s="113">
        <f t="shared" si="337"/>
        <v>22.333333333333339</v>
      </c>
      <c r="Z219" s="459">
        <f t="shared" si="338"/>
        <v>4</v>
      </c>
      <c r="AA219" s="461">
        <f t="shared" si="339"/>
        <v>83.333333333333371</v>
      </c>
      <c r="AB219" s="582">
        <f t="shared" si="340"/>
        <v>46</v>
      </c>
      <c r="AC219" s="113">
        <f t="shared" si="341"/>
        <v>24.666666666666671</v>
      </c>
      <c r="AD219" s="113">
        <f t="shared" si="342"/>
        <v>0</v>
      </c>
      <c r="AE219" s="113">
        <f t="shared" si="343"/>
        <v>21.333333333333336</v>
      </c>
      <c r="AF219" s="460">
        <f t="shared" si="344"/>
        <v>0</v>
      </c>
      <c r="AG219" s="582">
        <f t="shared" si="345"/>
        <v>37.33333333333335</v>
      </c>
      <c r="AH219" s="113">
        <f t="shared" si="346"/>
        <v>28.999999999999989</v>
      </c>
      <c r="AI219" s="113">
        <f t="shared" si="347"/>
        <v>0</v>
      </c>
      <c r="AJ219" s="113">
        <f t="shared" si="348"/>
        <v>3.6666666666666661</v>
      </c>
      <c r="AK219" s="459">
        <f t="shared" si="349"/>
        <v>4.6666666666666661</v>
      </c>
      <c r="AL219" s="461">
        <f t="shared" si="350"/>
        <v>730.33333333333337</v>
      </c>
      <c r="AM219" s="582">
        <f t="shared" si="351"/>
        <v>508.99999999999994</v>
      </c>
      <c r="AN219" s="113">
        <f t="shared" si="352"/>
        <v>326.33333333333331</v>
      </c>
      <c r="AO219" s="113">
        <f t="shared" si="353"/>
        <v>0.66666666666666663</v>
      </c>
      <c r="AP219" s="113">
        <f t="shared" si="354"/>
        <v>181.33333333333326</v>
      </c>
      <c r="AQ219" s="460">
        <f t="shared" si="355"/>
        <v>0.66666666666666663</v>
      </c>
      <c r="AR219" s="582">
        <f t="shared" si="356"/>
        <v>221.33333333333329</v>
      </c>
      <c r="AS219" s="113">
        <f t="shared" si="357"/>
        <v>99.666666666666615</v>
      </c>
      <c r="AT219" s="113">
        <f t="shared" si="358"/>
        <v>0</v>
      </c>
      <c r="AU219" s="113">
        <f t="shared" si="359"/>
        <v>105.00000000000006</v>
      </c>
      <c r="AV219" s="459">
        <f t="shared" si="360"/>
        <v>16.666666666666671</v>
      </c>
      <c r="AW219" s="461">
        <f t="shared" si="361"/>
        <v>407.66666666666669</v>
      </c>
      <c r="AX219" s="582">
        <f t="shared" si="362"/>
        <v>269.99999999999994</v>
      </c>
      <c r="AY219" s="113">
        <f t="shared" si="363"/>
        <v>181.33333333333331</v>
      </c>
      <c r="AZ219" s="113">
        <f t="shared" si="364"/>
        <v>0</v>
      </c>
      <c r="BA219" s="113">
        <f t="shared" si="365"/>
        <v>88.666666666666671</v>
      </c>
      <c r="BB219" s="460">
        <f t="shared" si="366"/>
        <v>0</v>
      </c>
      <c r="BC219" s="582">
        <f t="shared" si="367"/>
        <v>137.66666666666671</v>
      </c>
      <c r="BD219" s="113">
        <f t="shared" si="368"/>
        <v>83.666666666666629</v>
      </c>
      <c r="BE219" s="113">
        <f t="shared" si="369"/>
        <v>0</v>
      </c>
      <c r="BF219" s="113">
        <f t="shared" si="370"/>
        <v>44.333333333333357</v>
      </c>
      <c r="BG219" s="459">
        <f t="shared" si="371"/>
        <v>9.6666666666666679</v>
      </c>
      <c r="BH219" s="461">
        <f t="shared" si="372"/>
        <v>561.66666666666674</v>
      </c>
      <c r="BI219" s="582">
        <f t="shared" si="373"/>
        <v>409.66666666666669</v>
      </c>
      <c r="BJ219" s="113">
        <f t="shared" si="374"/>
        <v>257.33333333333337</v>
      </c>
      <c r="BK219" s="113">
        <f t="shared" si="375"/>
        <v>1.3333333333333333</v>
      </c>
      <c r="BL219" s="113">
        <f t="shared" si="376"/>
        <v>151</v>
      </c>
      <c r="BM219" s="460">
        <f t="shared" si="377"/>
        <v>0</v>
      </c>
      <c r="BN219" s="582">
        <f t="shared" si="378"/>
        <v>152.00000000000003</v>
      </c>
      <c r="BO219" s="113">
        <f t="shared" si="379"/>
        <v>66.333333333333343</v>
      </c>
      <c r="BP219" s="113">
        <f t="shared" si="380"/>
        <v>0</v>
      </c>
      <c r="BQ219" s="113">
        <f t="shared" si="381"/>
        <v>72</v>
      </c>
      <c r="BR219" s="459">
        <f t="shared" si="382"/>
        <v>13.66666666666667</v>
      </c>
      <c r="BS219" s="461">
        <f t="shared" si="383"/>
        <v>823.33333333333371</v>
      </c>
      <c r="BT219" s="582">
        <f t="shared" si="384"/>
        <v>578</v>
      </c>
      <c r="BU219" s="113">
        <f t="shared" si="385"/>
        <v>333</v>
      </c>
      <c r="BV219" s="113">
        <f t="shared" si="386"/>
        <v>0.66666666666666663</v>
      </c>
      <c r="BW219" s="113">
        <f t="shared" si="387"/>
        <v>244.33333333333329</v>
      </c>
      <c r="BX219" s="460">
        <f t="shared" si="388"/>
        <v>0</v>
      </c>
      <c r="BY219" s="582">
        <f t="shared" si="389"/>
        <v>245.33333333333331</v>
      </c>
      <c r="BZ219" s="113">
        <f t="shared" si="390"/>
        <v>114.6666666666666</v>
      </c>
      <c r="CA219" s="113">
        <f t="shared" si="391"/>
        <v>0</v>
      </c>
      <c r="CB219" s="113">
        <f t="shared" si="392"/>
        <v>108.6666666666666</v>
      </c>
      <c r="CC219" s="459">
        <f t="shared" si="393"/>
        <v>22</v>
      </c>
      <c r="CD219" s="461">
        <f t="shared" si="394"/>
        <v>150.66666666666669</v>
      </c>
      <c r="CE219" s="582">
        <f t="shared" si="395"/>
        <v>103.6666666666667</v>
      </c>
      <c r="CF219" s="113">
        <f t="shared" si="396"/>
        <v>61.666666666666657</v>
      </c>
      <c r="CG219" s="113">
        <f t="shared" si="397"/>
        <v>0</v>
      </c>
      <c r="CH219" s="113">
        <f t="shared" si="398"/>
        <v>42</v>
      </c>
      <c r="CI219" s="460">
        <f t="shared" si="399"/>
        <v>0</v>
      </c>
      <c r="CJ219" s="582">
        <f t="shared" si="400"/>
        <v>46.999999999999993</v>
      </c>
      <c r="CK219" s="113">
        <f t="shared" si="401"/>
        <v>25.666666666666664</v>
      </c>
      <c r="CL219" s="113">
        <f t="shared" si="402"/>
        <v>0</v>
      </c>
      <c r="CM219" s="113">
        <f t="shared" si="403"/>
        <v>17.666666666666664</v>
      </c>
      <c r="CN219" s="459">
        <f t="shared" si="404"/>
        <v>3.666666666666667</v>
      </c>
      <c r="CO219" s="461">
        <f t="shared" si="405"/>
        <v>118.33333333333333</v>
      </c>
      <c r="CP219" s="582">
        <f t="shared" si="406"/>
        <v>74.666666666666686</v>
      </c>
      <c r="CQ219" s="113">
        <f t="shared" si="407"/>
        <v>55.33333333333335</v>
      </c>
      <c r="CR219" s="113">
        <f t="shared" si="408"/>
        <v>0.66666666666666663</v>
      </c>
      <c r="CS219" s="113">
        <f t="shared" si="409"/>
        <v>18.666666666666661</v>
      </c>
      <c r="CT219" s="460">
        <f t="shared" si="410"/>
        <v>0</v>
      </c>
      <c r="CU219" s="582">
        <f t="shared" si="411"/>
        <v>43.666666666666671</v>
      </c>
      <c r="CV219" s="113">
        <f t="shared" si="412"/>
        <v>23.999999999999986</v>
      </c>
      <c r="CW219" s="113">
        <f t="shared" si="413"/>
        <v>0</v>
      </c>
      <c r="CX219" s="113">
        <f t="shared" si="414"/>
        <v>19.666666666666657</v>
      </c>
      <c r="CY219" s="459">
        <f t="shared" si="415"/>
        <v>0</v>
      </c>
      <c r="CZ219" s="461">
        <f t="shared" si="416"/>
        <v>33.666666666666664</v>
      </c>
      <c r="DA219" s="582">
        <f t="shared" si="417"/>
        <v>19</v>
      </c>
      <c r="DB219" s="113">
        <f t="shared" si="418"/>
        <v>7.9999999999999991</v>
      </c>
      <c r="DC219" s="113">
        <f t="shared" si="419"/>
        <v>0</v>
      </c>
      <c r="DD219" s="113">
        <f t="shared" si="420"/>
        <v>10.999999999999996</v>
      </c>
      <c r="DE219" s="460">
        <f t="shared" si="421"/>
        <v>0</v>
      </c>
      <c r="DF219" s="582">
        <f t="shared" si="422"/>
        <v>14.666666666666675</v>
      </c>
      <c r="DG219" s="113">
        <f t="shared" si="423"/>
        <v>13.000000000000011</v>
      </c>
      <c r="DH219" s="113">
        <f t="shared" si="424"/>
        <v>0</v>
      </c>
      <c r="DI219" s="113">
        <f t="shared" si="425"/>
        <v>1.6666666666666665</v>
      </c>
      <c r="DJ219" s="459">
        <f t="shared" si="426"/>
        <v>0</v>
      </c>
      <c r="DK219" s="461">
        <f t="shared" si="427"/>
        <v>0</v>
      </c>
      <c r="DL219" s="582">
        <f t="shared" si="428"/>
        <v>0</v>
      </c>
      <c r="DM219" s="113">
        <f t="shared" si="429"/>
        <v>0</v>
      </c>
      <c r="DN219" s="113">
        <f t="shared" si="430"/>
        <v>0</v>
      </c>
      <c r="DO219" s="113">
        <f t="shared" si="431"/>
        <v>0</v>
      </c>
      <c r="DP219" s="460">
        <f t="shared" si="432"/>
        <v>0</v>
      </c>
      <c r="DQ219" s="582">
        <f t="shared" si="433"/>
        <v>1</v>
      </c>
      <c r="DR219" s="113">
        <f t="shared" si="434"/>
        <v>1</v>
      </c>
      <c r="DS219" s="113">
        <f t="shared" si="435"/>
        <v>0</v>
      </c>
      <c r="DT219" s="113">
        <f t="shared" si="436"/>
        <v>0</v>
      </c>
      <c r="DU219" s="459">
        <f t="shared" si="437"/>
        <v>0</v>
      </c>
      <c r="DW219" s="461">
        <f t="shared" si="315"/>
        <v>2305.3333333333339</v>
      </c>
      <c r="DX219" s="582">
        <f t="shared" si="315"/>
        <v>1574.3333333333335</v>
      </c>
      <c r="DY219" s="113">
        <f t="shared" si="315"/>
        <v>965.66666666666674</v>
      </c>
      <c r="DZ219" s="113">
        <f t="shared" si="315"/>
        <v>3.333333333333333</v>
      </c>
      <c r="EA219" s="113">
        <f t="shared" si="315"/>
        <v>605.33333333333326</v>
      </c>
      <c r="EB219" s="460">
        <f t="shared" si="453"/>
        <v>0</v>
      </c>
      <c r="EC219" s="582">
        <f t="shared" si="453"/>
        <v>732</v>
      </c>
      <c r="ED219" s="113">
        <f t="shared" si="453"/>
        <v>384.33333333333326</v>
      </c>
      <c r="EE219" s="113">
        <f t="shared" si="453"/>
        <v>0</v>
      </c>
      <c r="EF219" s="113">
        <f t="shared" si="453"/>
        <v>289.99999999999994</v>
      </c>
      <c r="EG219" s="459">
        <f t="shared" si="453"/>
        <v>57.666666666666671</v>
      </c>
      <c r="EH219" s="461">
        <f t="shared" si="313"/>
        <v>730.33333333333337</v>
      </c>
      <c r="EI219" s="582">
        <f t="shared" si="313"/>
        <v>508.99999999999994</v>
      </c>
      <c r="EJ219" s="113">
        <f t="shared" si="313"/>
        <v>326.33333333333331</v>
      </c>
      <c r="EK219" s="113">
        <f t="shared" si="313"/>
        <v>0.66666666666666663</v>
      </c>
      <c r="EL219" s="113">
        <f t="shared" si="313"/>
        <v>181.33333333333326</v>
      </c>
      <c r="EM219" s="460">
        <f t="shared" si="313"/>
        <v>0.66666666666666663</v>
      </c>
      <c r="EN219" s="582">
        <f t="shared" si="313"/>
        <v>221.33333333333329</v>
      </c>
      <c r="EO219" s="113">
        <f t="shared" si="313"/>
        <v>99.666666666666615</v>
      </c>
      <c r="EP219" s="113">
        <f t="shared" si="313"/>
        <v>0</v>
      </c>
      <c r="EQ219" s="113">
        <f t="shared" si="313"/>
        <v>105.00000000000006</v>
      </c>
      <c r="ER219" s="459">
        <f t="shared" si="313"/>
        <v>16.666666666666671</v>
      </c>
    </row>
    <row r="220" spans="1:148">
      <c r="A220" s="665" t="s">
        <v>420</v>
      </c>
      <c r="B220" s="665">
        <v>44713</v>
      </c>
      <c r="C220" s="666">
        <v>2022</v>
      </c>
      <c r="D220" s="461">
        <f t="shared" si="452"/>
        <v>3928253.0000000009</v>
      </c>
      <c r="E220" s="461">
        <f t="shared" si="317"/>
        <v>81568</v>
      </c>
      <c r="F220" s="582">
        <f t="shared" si="318"/>
        <v>54884.000000000015</v>
      </c>
      <c r="G220" s="113">
        <f t="shared" si="319"/>
        <v>32659</v>
      </c>
      <c r="H220" s="113">
        <f t="shared" si="320"/>
        <v>59</v>
      </c>
      <c r="I220" s="113">
        <f t="shared" si="321"/>
        <v>22118.000000000004</v>
      </c>
      <c r="J220" s="460">
        <f t="shared" si="322"/>
        <v>47.999999999999993</v>
      </c>
      <c r="K220" s="582">
        <f t="shared" si="323"/>
        <v>26683.999999999993</v>
      </c>
      <c r="L220" s="113">
        <f t="shared" si="324"/>
        <v>13498.000000000004</v>
      </c>
      <c r="M220" s="113">
        <f t="shared" si="325"/>
        <v>0</v>
      </c>
      <c r="N220" s="113">
        <f t="shared" si="326"/>
        <v>10923</v>
      </c>
      <c r="O220" s="459">
        <f t="shared" si="327"/>
        <v>2262.9999999999995</v>
      </c>
      <c r="P220" s="461">
        <f t="shared" si="328"/>
        <v>131</v>
      </c>
      <c r="Q220" s="582">
        <f t="shared" si="329"/>
        <v>77.000000000000014</v>
      </c>
      <c r="R220" s="113">
        <f t="shared" si="330"/>
        <v>44.999999999999993</v>
      </c>
      <c r="S220" s="113">
        <f t="shared" si="331"/>
        <v>1</v>
      </c>
      <c r="T220" s="113">
        <f t="shared" si="332"/>
        <v>31.000000000000011</v>
      </c>
      <c r="U220" s="460">
        <f t="shared" si="333"/>
        <v>0</v>
      </c>
      <c r="V220" s="582">
        <f t="shared" si="334"/>
        <v>54.000000000000021</v>
      </c>
      <c r="W220" s="113">
        <f t="shared" si="335"/>
        <v>27.000000000000004</v>
      </c>
      <c r="X220" s="113">
        <f t="shared" si="336"/>
        <v>0</v>
      </c>
      <c r="Y220" s="113">
        <f t="shared" si="337"/>
        <v>23.000000000000007</v>
      </c>
      <c r="Z220" s="459">
        <f t="shared" si="338"/>
        <v>4</v>
      </c>
      <c r="AA220" s="461">
        <f t="shared" si="339"/>
        <v>88.000000000000043</v>
      </c>
      <c r="AB220" s="582">
        <f t="shared" si="340"/>
        <v>49</v>
      </c>
      <c r="AC220" s="113">
        <f t="shared" si="341"/>
        <v>26.000000000000004</v>
      </c>
      <c r="AD220" s="113">
        <f t="shared" si="342"/>
        <v>0</v>
      </c>
      <c r="AE220" s="113">
        <f t="shared" si="343"/>
        <v>23.000000000000004</v>
      </c>
      <c r="AF220" s="460">
        <f t="shared" si="344"/>
        <v>0</v>
      </c>
      <c r="AG220" s="582">
        <f t="shared" si="345"/>
        <v>39.000000000000014</v>
      </c>
      <c r="AH220" s="113">
        <f t="shared" si="346"/>
        <v>28.999999999999989</v>
      </c>
      <c r="AI220" s="113">
        <f t="shared" si="347"/>
        <v>0</v>
      </c>
      <c r="AJ220" s="113">
        <f t="shared" si="348"/>
        <v>4.9999999999999991</v>
      </c>
      <c r="AK220" s="459">
        <f t="shared" si="349"/>
        <v>4.9999999999999991</v>
      </c>
      <c r="AL220" s="461">
        <f t="shared" si="350"/>
        <v>757</v>
      </c>
      <c r="AM220" s="582">
        <f t="shared" si="351"/>
        <v>529</v>
      </c>
      <c r="AN220" s="113">
        <f t="shared" si="352"/>
        <v>333</v>
      </c>
      <c r="AO220" s="113">
        <f t="shared" si="353"/>
        <v>1</v>
      </c>
      <c r="AP220" s="113">
        <f t="shared" si="354"/>
        <v>193.99999999999991</v>
      </c>
      <c r="AQ220" s="460">
        <f t="shared" si="355"/>
        <v>1</v>
      </c>
      <c r="AR220" s="582">
        <f t="shared" si="356"/>
        <v>227.99999999999994</v>
      </c>
      <c r="AS220" s="113">
        <f t="shared" si="357"/>
        <v>99.999999999999943</v>
      </c>
      <c r="AT220" s="113">
        <f t="shared" si="358"/>
        <v>0</v>
      </c>
      <c r="AU220" s="113">
        <f t="shared" si="359"/>
        <v>111.00000000000006</v>
      </c>
      <c r="AV220" s="459">
        <f t="shared" si="360"/>
        <v>17.000000000000004</v>
      </c>
      <c r="AW220" s="461">
        <f t="shared" si="361"/>
        <v>430</v>
      </c>
      <c r="AX220" s="582">
        <f t="shared" si="362"/>
        <v>287.99999999999994</v>
      </c>
      <c r="AY220" s="113">
        <f t="shared" si="363"/>
        <v>190.99999999999997</v>
      </c>
      <c r="AZ220" s="113">
        <f t="shared" si="364"/>
        <v>0</v>
      </c>
      <c r="BA220" s="113">
        <f t="shared" si="365"/>
        <v>97</v>
      </c>
      <c r="BB220" s="460">
        <f t="shared" si="366"/>
        <v>0</v>
      </c>
      <c r="BC220" s="582">
        <f t="shared" si="367"/>
        <v>142.00000000000006</v>
      </c>
      <c r="BD220" s="113">
        <f t="shared" si="368"/>
        <v>83.999999999999957</v>
      </c>
      <c r="BE220" s="113">
        <f t="shared" si="369"/>
        <v>0</v>
      </c>
      <c r="BF220" s="113">
        <f t="shared" si="370"/>
        <v>48.000000000000021</v>
      </c>
      <c r="BG220" s="459">
        <f t="shared" si="371"/>
        <v>10.000000000000002</v>
      </c>
      <c r="BH220" s="461">
        <f t="shared" si="372"/>
        <v>589.00000000000011</v>
      </c>
      <c r="BI220" s="582">
        <f t="shared" si="373"/>
        <v>433</v>
      </c>
      <c r="BJ220" s="113">
        <f t="shared" si="374"/>
        <v>264.00000000000006</v>
      </c>
      <c r="BK220" s="113">
        <f t="shared" si="375"/>
        <v>2</v>
      </c>
      <c r="BL220" s="113">
        <f t="shared" si="376"/>
        <v>167</v>
      </c>
      <c r="BM220" s="460">
        <f t="shared" si="377"/>
        <v>0</v>
      </c>
      <c r="BN220" s="582">
        <f t="shared" si="378"/>
        <v>156.00000000000003</v>
      </c>
      <c r="BO220" s="113">
        <f t="shared" si="379"/>
        <v>67.000000000000014</v>
      </c>
      <c r="BP220" s="113">
        <f t="shared" si="380"/>
        <v>0</v>
      </c>
      <c r="BQ220" s="113">
        <f t="shared" si="381"/>
        <v>75</v>
      </c>
      <c r="BR220" s="459">
        <f t="shared" si="382"/>
        <v>14.000000000000004</v>
      </c>
      <c r="BS220" s="461">
        <f t="shared" si="383"/>
        <v>857.00000000000034</v>
      </c>
      <c r="BT220" s="582">
        <f t="shared" si="384"/>
        <v>609</v>
      </c>
      <c r="BU220" s="113">
        <f t="shared" si="385"/>
        <v>342</v>
      </c>
      <c r="BV220" s="113">
        <f t="shared" si="386"/>
        <v>1</v>
      </c>
      <c r="BW220" s="113">
        <f t="shared" si="387"/>
        <v>265.99999999999994</v>
      </c>
      <c r="BX220" s="460">
        <f t="shared" si="388"/>
        <v>0</v>
      </c>
      <c r="BY220" s="582">
        <f t="shared" si="389"/>
        <v>247.99999999999997</v>
      </c>
      <c r="BZ220" s="113">
        <f t="shared" si="390"/>
        <v>114.99999999999993</v>
      </c>
      <c r="CA220" s="113">
        <f t="shared" si="391"/>
        <v>0</v>
      </c>
      <c r="CB220" s="113">
        <f t="shared" si="392"/>
        <v>110.99999999999993</v>
      </c>
      <c r="CC220" s="459">
        <f t="shared" si="393"/>
        <v>22</v>
      </c>
      <c r="CD220" s="461">
        <f t="shared" si="394"/>
        <v>156.00000000000003</v>
      </c>
      <c r="CE220" s="582">
        <f t="shared" si="395"/>
        <v>108.00000000000003</v>
      </c>
      <c r="CF220" s="113">
        <f t="shared" si="396"/>
        <v>62.999999999999993</v>
      </c>
      <c r="CG220" s="113">
        <f t="shared" si="397"/>
        <v>0</v>
      </c>
      <c r="CH220" s="113">
        <f t="shared" si="398"/>
        <v>45</v>
      </c>
      <c r="CI220" s="460">
        <f t="shared" si="399"/>
        <v>0</v>
      </c>
      <c r="CJ220" s="582">
        <f t="shared" si="400"/>
        <v>47.999999999999993</v>
      </c>
      <c r="CK220" s="113">
        <f t="shared" si="401"/>
        <v>25.999999999999996</v>
      </c>
      <c r="CL220" s="113">
        <f t="shared" si="402"/>
        <v>0</v>
      </c>
      <c r="CM220" s="113">
        <f t="shared" si="403"/>
        <v>17.999999999999996</v>
      </c>
      <c r="CN220" s="459">
        <f t="shared" si="404"/>
        <v>4</v>
      </c>
      <c r="CO220" s="461">
        <f t="shared" si="405"/>
        <v>123</v>
      </c>
      <c r="CP220" s="582">
        <f t="shared" si="406"/>
        <v>79.000000000000014</v>
      </c>
      <c r="CQ220" s="113">
        <f t="shared" si="407"/>
        <v>57.000000000000014</v>
      </c>
      <c r="CR220" s="113">
        <f t="shared" si="408"/>
        <v>1</v>
      </c>
      <c r="CS220" s="113">
        <f t="shared" si="409"/>
        <v>20.999999999999993</v>
      </c>
      <c r="CT220" s="460">
        <f t="shared" si="410"/>
        <v>0</v>
      </c>
      <c r="CU220" s="582">
        <f t="shared" si="411"/>
        <v>44.000000000000007</v>
      </c>
      <c r="CV220" s="113">
        <f t="shared" si="412"/>
        <v>23.999999999999986</v>
      </c>
      <c r="CW220" s="113">
        <f t="shared" si="413"/>
        <v>0</v>
      </c>
      <c r="CX220" s="113">
        <f t="shared" si="414"/>
        <v>19.999999999999989</v>
      </c>
      <c r="CY220" s="459">
        <f t="shared" si="415"/>
        <v>0</v>
      </c>
      <c r="CZ220" s="461">
        <f t="shared" si="416"/>
        <v>35</v>
      </c>
      <c r="DA220" s="582">
        <f t="shared" si="417"/>
        <v>20</v>
      </c>
      <c r="DB220" s="113">
        <f t="shared" si="418"/>
        <v>7.9999999999999991</v>
      </c>
      <c r="DC220" s="113">
        <f t="shared" si="419"/>
        <v>0</v>
      </c>
      <c r="DD220" s="113">
        <f t="shared" si="420"/>
        <v>11.999999999999996</v>
      </c>
      <c r="DE220" s="460">
        <f t="shared" si="421"/>
        <v>0</v>
      </c>
      <c r="DF220" s="582">
        <f t="shared" si="422"/>
        <v>15.000000000000009</v>
      </c>
      <c r="DG220" s="113">
        <f t="shared" si="423"/>
        <v>13.000000000000011</v>
      </c>
      <c r="DH220" s="113">
        <f t="shared" si="424"/>
        <v>0</v>
      </c>
      <c r="DI220" s="113">
        <f t="shared" si="425"/>
        <v>1.9999999999999998</v>
      </c>
      <c r="DJ220" s="459">
        <f t="shared" si="426"/>
        <v>0</v>
      </c>
      <c r="DK220" s="461">
        <f t="shared" si="427"/>
        <v>0</v>
      </c>
      <c r="DL220" s="582">
        <f t="shared" si="428"/>
        <v>0</v>
      </c>
      <c r="DM220" s="113">
        <f t="shared" si="429"/>
        <v>0</v>
      </c>
      <c r="DN220" s="113">
        <f t="shared" si="430"/>
        <v>0</v>
      </c>
      <c r="DO220" s="113">
        <f t="shared" si="431"/>
        <v>0</v>
      </c>
      <c r="DP220" s="460">
        <f t="shared" si="432"/>
        <v>0</v>
      </c>
      <c r="DQ220" s="582">
        <f t="shared" si="433"/>
        <v>1</v>
      </c>
      <c r="DR220" s="113">
        <f t="shared" si="434"/>
        <v>1</v>
      </c>
      <c r="DS220" s="113">
        <f t="shared" si="435"/>
        <v>0</v>
      </c>
      <c r="DT220" s="113">
        <f t="shared" si="436"/>
        <v>0</v>
      </c>
      <c r="DU220" s="459">
        <f t="shared" si="437"/>
        <v>0</v>
      </c>
      <c r="DW220" s="461">
        <f t="shared" si="315"/>
        <v>2409.0000000000005</v>
      </c>
      <c r="DX220" s="582">
        <f t="shared" si="315"/>
        <v>1663</v>
      </c>
      <c r="DY220" s="113">
        <f t="shared" si="315"/>
        <v>996</v>
      </c>
      <c r="DZ220" s="113">
        <f t="shared" si="315"/>
        <v>5</v>
      </c>
      <c r="EA220" s="113">
        <f t="shared" si="315"/>
        <v>662</v>
      </c>
      <c r="EB220" s="460">
        <f t="shared" si="453"/>
        <v>0</v>
      </c>
      <c r="EC220" s="582">
        <f t="shared" si="453"/>
        <v>747.00000000000011</v>
      </c>
      <c r="ED220" s="113">
        <f t="shared" si="453"/>
        <v>385.99999999999989</v>
      </c>
      <c r="EE220" s="113">
        <f t="shared" si="453"/>
        <v>0</v>
      </c>
      <c r="EF220" s="113">
        <f t="shared" si="453"/>
        <v>301.99999999999994</v>
      </c>
      <c r="EG220" s="459">
        <f t="shared" si="453"/>
        <v>59</v>
      </c>
      <c r="EH220" s="461">
        <f t="shared" si="313"/>
        <v>757</v>
      </c>
      <c r="EI220" s="582">
        <f t="shared" si="313"/>
        <v>529</v>
      </c>
      <c r="EJ220" s="113">
        <f t="shared" si="313"/>
        <v>333</v>
      </c>
      <c r="EK220" s="113">
        <f t="shared" si="313"/>
        <v>1</v>
      </c>
      <c r="EL220" s="113">
        <f t="shared" si="313"/>
        <v>193.99999999999991</v>
      </c>
      <c r="EM220" s="460">
        <f t="shared" si="313"/>
        <v>1</v>
      </c>
      <c r="EN220" s="582">
        <f t="shared" si="313"/>
        <v>227.99999999999994</v>
      </c>
      <c r="EO220" s="113">
        <f t="shared" si="313"/>
        <v>99.999999999999943</v>
      </c>
      <c r="EP220" s="113">
        <f t="shared" si="313"/>
        <v>0</v>
      </c>
      <c r="EQ220" s="113">
        <f t="shared" si="313"/>
        <v>111.00000000000006</v>
      </c>
      <c r="ER220" s="459">
        <f t="shared" si="313"/>
        <v>17.000000000000004</v>
      </c>
    </row>
    <row r="221" spans="1:148">
      <c r="A221" s="665" t="s">
        <v>421</v>
      </c>
      <c r="B221" s="665">
        <v>44743</v>
      </c>
      <c r="C221" s="666">
        <v>2022</v>
      </c>
      <c r="D221" s="461">
        <f t="shared" ref="D221" si="454">D110/3+D220</f>
        <v>3979512.6666666674</v>
      </c>
      <c r="E221" s="461">
        <f t="shared" ref="E221:E249" si="455">E110/3+E220</f>
        <v>85239</v>
      </c>
      <c r="F221" s="582">
        <f t="shared" ref="F221:F249" si="456">F110/3+F220</f>
        <v>58122.666666666679</v>
      </c>
      <c r="G221" s="113">
        <f t="shared" ref="G221:G249" si="457">G110/3+G220</f>
        <v>33990.666666666664</v>
      </c>
      <c r="H221" s="113">
        <f t="shared" ref="H221:H249" si="458">H110/3+H220</f>
        <v>215.33333333333334</v>
      </c>
      <c r="I221" s="113">
        <f t="shared" ref="I221:I249" si="459">I110/3+I220</f>
        <v>23853.333333333336</v>
      </c>
      <c r="J221" s="460">
        <f t="shared" ref="J221:J249" si="460">J110/3+J220</f>
        <v>63.333333333333329</v>
      </c>
      <c r="K221" s="582">
        <f t="shared" ref="K221:K249" si="461">K110/3+K220</f>
        <v>27116.333333333325</v>
      </c>
      <c r="L221" s="113">
        <f t="shared" ref="L221:L249" si="462">L110/3+L220</f>
        <v>13565.000000000004</v>
      </c>
      <c r="M221" s="113">
        <f t="shared" ref="M221:M249" si="463">M110/3+M220</f>
        <v>0</v>
      </c>
      <c r="N221" s="113">
        <f t="shared" ref="N221:N249" si="464">N110/3+N220</f>
        <v>11256.666666666666</v>
      </c>
      <c r="O221" s="459">
        <f t="shared" ref="O221:O249" si="465">O110/3+O220</f>
        <v>2294.6666666666661</v>
      </c>
      <c r="P221" s="461">
        <f t="shared" ref="P221:P249" si="466">P110/3+P220</f>
        <v>136</v>
      </c>
      <c r="Q221" s="582">
        <f t="shared" ref="Q221:Q249" si="467">Q110/3+Q220</f>
        <v>80.666666666666686</v>
      </c>
      <c r="R221" s="113">
        <f t="shared" ref="R221:R249" si="468">R110/3+R220</f>
        <v>46.333333333333329</v>
      </c>
      <c r="S221" s="113">
        <f t="shared" ref="S221:S249" si="469">S110/3+S220</f>
        <v>1</v>
      </c>
      <c r="T221" s="113">
        <f t="shared" ref="T221:T249" si="470">T110/3+T220</f>
        <v>33.333333333333343</v>
      </c>
      <c r="U221" s="460">
        <f t="shared" ref="U221:U249" si="471">U110/3+U220</f>
        <v>0</v>
      </c>
      <c r="V221" s="582">
        <f t="shared" ref="V221:V249" si="472">V110/3+V220</f>
        <v>55.333333333333357</v>
      </c>
      <c r="W221" s="113">
        <f t="shared" ref="W221:W249" si="473">W110/3+W220</f>
        <v>27.000000000000004</v>
      </c>
      <c r="X221" s="113">
        <f t="shared" ref="X221:X249" si="474">X110/3+X220</f>
        <v>0</v>
      </c>
      <c r="Y221" s="113">
        <f t="shared" ref="Y221:Y249" si="475">Y110/3+Y220</f>
        <v>24.000000000000007</v>
      </c>
      <c r="Z221" s="459">
        <f t="shared" ref="Z221:Z249" si="476">Z110/3+Z220</f>
        <v>4.333333333333333</v>
      </c>
      <c r="AA221" s="461">
        <f t="shared" ref="AA221:AA249" si="477">AA110/3+AA220</f>
        <v>90.333333333333371</v>
      </c>
      <c r="AB221" s="582">
        <f t="shared" ref="AB221:AB249" si="478">AB110/3+AB220</f>
        <v>50.666666666666664</v>
      </c>
      <c r="AC221" s="113">
        <f t="shared" ref="AC221:AC249" si="479">AC110/3+AC220</f>
        <v>26.333333333333336</v>
      </c>
      <c r="AD221" s="113">
        <f t="shared" ref="AD221:AD249" si="480">AD110/3+AD220</f>
        <v>0.33333333333333331</v>
      </c>
      <c r="AE221" s="113">
        <f t="shared" ref="AE221:AE249" si="481">AE110/3+AE220</f>
        <v>24.000000000000004</v>
      </c>
      <c r="AF221" s="460">
        <f t="shared" ref="AF221:AF249" si="482">AF110/3+AF220</f>
        <v>0</v>
      </c>
      <c r="AG221" s="582">
        <f t="shared" ref="AG221:AG249" si="483">AG110/3+AG220</f>
        <v>39.666666666666679</v>
      </c>
      <c r="AH221" s="113">
        <f t="shared" ref="AH221:AH249" si="484">AH110/3+AH220</f>
        <v>29.333333333333321</v>
      </c>
      <c r="AI221" s="113">
        <f t="shared" ref="AI221:AI249" si="485">AI110/3+AI220</f>
        <v>0</v>
      </c>
      <c r="AJ221" s="113">
        <f t="shared" ref="AJ221:AJ249" si="486">AJ110/3+AJ220</f>
        <v>5.3333333333333321</v>
      </c>
      <c r="AK221" s="459">
        <f t="shared" ref="AK221:AK249" si="487">AK110/3+AK220</f>
        <v>4.9999999999999991</v>
      </c>
      <c r="AL221" s="461">
        <f t="shared" ref="AL221:AL249" si="488">AL110/3+AL220</f>
        <v>791.66666666666663</v>
      </c>
      <c r="AM221" s="582">
        <f t="shared" ref="AM221:AM249" si="489">AM110/3+AM220</f>
        <v>558.66666666666663</v>
      </c>
      <c r="AN221" s="113">
        <f t="shared" ref="AN221:AN249" si="490">AN110/3+AN220</f>
        <v>345</v>
      </c>
      <c r="AO221" s="113">
        <f t="shared" ref="AO221:AO249" si="491">AO110/3+AO220</f>
        <v>2.666666666666667</v>
      </c>
      <c r="AP221" s="113">
        <f t="shared" ref="AP221:AP249" si="492">AP110/3+AP220</f>
        <v>209.99999999999991</v>
      </c>
      <c r="AQ221" s="460">
        <f t="shared" ref="AQ221:AQ249" si="493">AQ110/3+AQ220</f>
        <v>1</v>
      </c>
      <c r="AR221" s="582">
        <f t="shared" ref="AR221:AR249" si="494">AR110/3+AR220</f>
        <v>232.99999999999994</v>
      </c>
      <c r="AS221" s="113">
        <f t="shared" ref="AS221:AS249" si="495">AS110/3+AS220</f>
        <v>100.66666666666661</v>
      </c>
      <c r="AT221" s="113">
        <f t="shared" ref="AT221:AT249" si="496">AT110/3+AT220</f>
        <v>0</v>
      </c>
      <c r="AU221" s="113">
        <f t="shared" ref="AU221:AU249" si="497">AU110/3+AU220</f>
        <v>115.00000000000006</v>
      </c>
      <c r="AV221" s="459">
        <f t="shared" ref="AV221:AV249" si="498">AV110/3+AV220</f>
        <v>17.333333333333336</v>
      </c>
      <c r="AW221" s="461">
        <f t="shared" ref="AW221:AW249" si="499">AW110/3+AW220</f>
        <v>446</v>
      </c>
      <c r="AX221" s="582">
        <f t="shared" ref="AX221:AX249" si="500">AX110/3+AX220</f>
        <v>301.99999999999994</v>
      </c>
      <c r="AY221" s="113">
        <f t="shared" ref="AY221:AY249" si="501">AY110/3+AY220</f>
        <v>197.33333333333331</v>
      </c>
      <c r="AZ221" s="113">
        <f t="shared" ref="AZ221:AZ249" si="502">AZ110/3+AZ220</f>
        <v>0</v>
      </c>
      <c r="BA221" s="113">
        <f t="shared" ref="BA221:BA249" si="503">BA110/3+BA220</f>
        <v>104.66666666666667</v>
      </c>
      <c r="BB221" s="460">
        <f t="shared" ref="BB221:BB249" si="504">BB110/3+BB220</f>
        <v>0</v>
      </c>
      <c r="BC221" s="582">
        <f t="shared" ref="BC221:BC249" si="505">BC110/3+BC220</f>
        <v>144.00000000000006</v>
      </c>
      <c r="BD221" s="113">
        <f t="shared" ref="BD221:BD249" si="506">BD110/3+BD220</f>
        <v>84.333333333333286</v>
      </c>
      <c r="BE221" s="113">
        <f t="shared" ref="BE221:BE249" si="507">BE110/3+BE220</f>
        <v>0</v>
      </c>
      <c r="BF221" s="113">
        <f t="shared" ref="BF221:BF249" si="508">BF110/3+BF220</f>
        <v>49.666666666666686</v>
      </c>
      <c r="BG221" s="459">
        <f t="shared" ref="BG221:BG249" si="509">BG110/3+BG220</f>
        <v>10.000000000000002</v>
      </c>
      <c r="BH221" s="461">
        <f t="shared" ref="BH221:BH249" si="510">BH110/3+BH220</f>
        <v>624.00000000000011</v>
      </c>
      <c r="BI221" s="582">
        <f t="shared" ref="BI221:BI249" si="511">BI110/3+BI220</f>
        <v>465.33333333333331</v>
      </c>
      <c r="BJ221" s="113">
        <f t="shared" ref="BJ221:BJ249" si="512">BJ110/3+BJ220</f>
        <v>278.00000000000006</v>
      </c>
      <c r="BK221" s="113">
        <f t="shared" ref="BK221:BK249" si="513">BK110/3+BK220</f>
        <v>2.3333333333333335</v>
      </c>
      <c r="BL221" s="113">
        <f t="shared" ref="BL221:BL249" si="514">BL110/3+BL220</f>
        <v>185</v>
      </c>
      <c r="BM221" s="460">
        <f t="shared" ref="BM221:BM249" si="515">BM110/3+BM220</f>
        <v>0</v>
      </c>
      <c r="BN221" s="582">
        <f t="shared" ref="BN221:BN249" si="516">BN110/3+BN220</f>
        <v>158.66666666666669</v>
      </c>
      <c r="BO221" s="113">
        <f t="shared" ref="BO221:BO249" si="517">BO110/3+BO220</f>
        <v>68.000000000000014</v>
      </c>
      <c r="BP221" s="113">
        <f t="shared" ref="BP221:BP249" si="518">BP110/3+BP220</f>
        <v>0</v>
      </c>
      <c r="BQ221" s="113">
        <f t="shared" ref="BQ221:BQ250" si="519">BQ110/3+BQ220</f>
        <v>76.666666666666671</v>
      </c>
      <c r="BR221" s="459">
        <f t="shared" ref="BR221:BR250" si="520">BR110/3+BR220</f>
        <v>14.000000000000004</v>
      </c>
      <c r="BS221" s="461">
        <f t="shared" ref="BS221:BS250" si="521">BS110/3+BS220</f>
        <v>898.00000000000034</v>
      </c>
      <c r="BT221" s="582">
        <f t="shared" ref="BT221:BT250" si="522">BT110/3+BT220</f>
        <v>646.33333333333337</v>
      </c>
      <c r="BU221" s="113">
        <f t="shared" ref="BU221:BU250" si="523">BU110/3+BU220</f>
        <v>357.33333333333331</v>
      </c>
      <c r="BV221" s="113">
        <f t="shared" ref="BV221:BV250" si="524">BV110/3+BV220</f>
        <v>1</v>
      </c>
      <c r="BW221" s="113">
        <f t="shared" ref="BW221:BW250" si="525">BW110/3+BW220</f>
        <v>287.99999999999994</v>
      </c>
      <c r="BX221" s="460">
        <f t="shared" ref="BX221:BX250" si="526">BX110/3+BX220</f>
        <v>0</v>
      </c>
      <c r="BY221" s="582">
        <f t="shared" ref="BY221:BY250" si="527">BY110/3+BY220</f>
        <v>251.66666666666663</v>
      </c>
      <c r="BZ221" s="113">
        <f t="shared" ref="BZ221:BZ250" si="528">BZ110/3+BZ220</f>
        <v>116.33333333333326</v>
      </c>
      <c r="CA221" s="113">
        <f t="shared" ref="CA221:CA250" si="529">CA110/3+CA220</f>
        <v>0</v>
      </c>
      <c r="CB221" s="113">
        <f t="shared" ref="CB221:CB250" si="530">CB110/3+CB220</f>
        <v>113.33333333333326</v>
      </c>
      <c r="CC221" s="459">
        <f t="shared" ref="CC221:CC250" si="531">CC110/3+CC220</f>
        <v>22</v>
      </c>
      <c r="CD221" s="461">
        <f t="shared" ref="CD221:CD250" si="532">CD110/3+CD220</f>
        <v>163.66666666666669</v>
      </c>
      <c r="CE221" s="582">
        <f t="shared" ref="CE221:CE250" si="533">CE110/3+CE220</f>
        <v>115.00000000000003</v>
      </c>
      <c r="CF221" s="113">
        <f t="shared" ref="CF221:CF250" si="534">CF110/3+CF220</f>
        <v>65.333333333333329</v>
      </c>
      <c r="CG221" s="113">
        <f t="shared" ref="CG221:CG250" si="535">CG110/3+CG220</f>
        <v>0.66666666666666663</v>
      </c>
      <c r="CH221" s="113">
        <f t="shared" ref="CH221:CH250" si="536">CH110/3+CH220</f>
        <v>49</v>
      </c>
      <c r="CI221" s="460">
        <f t="shared" ref="CI221:CI250" si="537">CI110/3+CI220</f>
        <v>0</v>
      </c>
      <c r="CJ221" s="582">
        <f t="shared" ref="CJ221:CJ250" si="538">CJ110/3+CJ220</f>
        <v>48.666666666666657</v>
      </c>
      <c r="CK221" s="113">
        <f t="shared" ref="CK221:CK250" si="539">CK110/3+CK220</f>
        <v>25.999999999999996</v>
      </c>
      <c r="CL221" s="113">
        <f t="shared" ref="CL221:CL250" si="540">CL110/3+CL220</f>
        <v>0</v>
      </c>
      <c r="CM221" s="113">
        <f t="shared" ref="CM221:CM250" si="541">CM110/3+CM220</f>
        <v>18.666666666666664</v>
      </c>
      <c r="CN221" s="459">
        <f t="shared" ref="CN221:CN250" si="542">CN110/3+CN220</f>
        <v>4</v>
      </c>
      <c r="CO221" s="461">
        <f t="shared" ref="CO221:CO250" si="543">CO110/3+CO220</f>
        <v>127.33333333333333</v>
      </c>
      <c r="CP221" s="582">
        <f t="shared" ref="CP221:CP250" si="544">CP110/3+CP220</f>
        <v>82.333333333333343</v>
      </c>
      <c r="CQ221" s="113">
        <f t="shared" ref="CQ221:CQ250" si="545">CQ110/3+CQ220</f>
        <v>57.666666666666679</v>
      </c>
      <c r="CR221" s="113">
        <f t="shared" ref="CR221:CR250" si="546">CR110/3+CR220</f>
        <v>1</v>
      </c>
      <c r="CS221" s="113">
        <f t="shared" ref="CS221:CS250" si="547">CS110/3+CS220</f>
        <v>23.666666666666661</v>
      </c>
      <c r="CT221" s="460">
        <f t="shared" ref="CT221:CT250" si="548">CT110/3+CT220</f>
        <v>0</v>
      </c>
      <c r="CU221" s="582">
        <f t="shared" ref="CU221:CU250" si="549">CU110/3+CU220</f>
        <v>45.000000000000007</v>
      </c>
      <c r="CV221" s="113">
        <f t="shared" ref="CV221:CV250" si="550">CV110/3+CV220</f>
        <v>23.999999999999986</v>
      </c>
      <c r="CW221" s="113">
        <f t="shared" ref="CW221:CW250" si="551">CW110/3+CW220</f>
        <v>0</v>
      </c>
      <c r="CX221" s="113">
        <f t="shared" ref="CX221:CX250" si="552">CX110/3+CX220</f>
        <v>20.999999999999989</v>
      </c>
      <c r="CY221" s="459">
        <f t="shared" ref="CY221:CY250" si="553">CY110/3+CY220</f>
        <v>0</v>
      </c>
      <c r="CZ221" s="461">
        <f t="shared" ref="CZ221:CZ250" si="554">CZ110/3+CZ220</f>
        <v>37.333333333333336</v>
      </c>
      <c r="DA221" s="582">
        <f t="shared" ref="DA221:DA250" si="555">DA110/3+DA220</f>
        <v>21.666666666666668</v>
      </c>
      <c r="DB221" s="113">
        <f t="shared" ref="DB221:DB250" si="556">DB110/3+DB220</f>
        <v>9</v>
      </c>
      <c r="DC221" s="113">
        <f t="shared" ref="DC221:DC250" si="557">DC110/3+DC220</f>
        <v>0</v>
      </c>
      <c r="DD221" s="113">
        <f t="shared" ref="DD221:DD250" si="558">DD110/3+DD220</f>
        <v>12.666666666666663</v>
      </c>
      <c r="DE221" s="460">
        <f t="shared" ref="DE221:DE250" si="559">DE110/3+DE220</f>
        <v>0</v>
      </c>
      <c r="DF221" s="582">
        <f t="shared" ref="DF221:DF250" si="560">DF110/3+DF220</f>
        <v>15.666666666666675</v>
      </c>
      <c r="DG221" s="113">
        <f t="shared" ref="DG221:DG250" si="561">DG110/3+DG220</f>
        <v>13.000000000000011</v>
      </c>
      <c r="DH221" s="113">
        <f t="shared" ref="DH221:DH250" si="562">DH110/3+DH220</f>
        <v>0</v>
      </c>
      <c r="DI221" s="113">
        <f t="shared" ref="DI221:DI250" si="563">DI110/3+DI220</f>
        <v>2.6666666666666665</v>
      </c>
      <c r="DJ221" s="459">
        <f t="shared" ref="DJ221:DJ250" si="564">DJ110/3+DJ220</f>
        <v>0</v>
      </c>
      <c r="DK221" s="461">
        <f t="shared" ref="DK221:DK250" si="565">DK110/3+DK220</f>
        <v>0</v>
      </c>
      <c r="DL221" s="582">
        <f t="shared" ref="DL221:DL250" si="566">DL110/3+DL220</f>
        <v>0</v>
      </c>
      <c r="DM221" s="113">
        <f t="shared" ref="DM221:DM250" si="567">DM110/3+DM220</f>
        <v>0</v>
      </c>
      <c r="DN221" s="113">
        <f t="shared" ref="DN221:DN250" si="568">DN110/3+DN220</f>
        <v>0</v>
      </c>
      <c r="DO221" s="113">
        <f t="shared" ref="DO221:DO250" si="569">DO110/3+DO220</f>
        <v>0</v>
      </c>
      <c r="DP221" s="460">
        <f t="shared" ref="DP221:DP250" si="570">DP110/3+DP220</f>
        <v>0</v>
      </c>
      <c r="DQ221" s="582">
        <f t="shared" ref="DQ221:DQ250" si="571">DQ110/3+DQ220</f>
        <v>1</v>
      </c>
      <c r="DR221" s="113">
        <f t="shared" ref="DR221:DR250" si="572">DR110/3+DR220</f>
        <v>1</v>
      </c>
      <c r="DS221" s="113">
        <f t="shared" ref="DS221:DS250" si="573">DS110/3+DS220</f>
        <v>0</v>
      </c>
      <c r="DT221" s="113">
        <f t="shared" ref="DT221:DT250" si="574">DT110/3+DT220</f>
        <v>0</v>
      </c>
      <c r="DU221" s="459">
        <f t="shared" ref="DU221:DU250" si="575">DU110/3+DU220</f>
        <v>0</v>
      </c>
      <c r="DW221" s="461">
        <f t="shared" si="315"/>
        <v>2522.6666666666674</v>
      </c>
      <c r="DX221" s="582">
        <f t="shared" si="315"/>
        <v>1764</v>
      </c>
      <c r="DY221" s="113">
        <f t="shared" si="315"/>
        <v>1037.3333333333333</v>
      </c>
      <c r="DZ221" s="113">
        <f t="shared" si="315"/>
        <v>6.3333333333333339</v>
      </c>
      <c r="EA221" s="113">
        <f t="shared" si="315"/>
        <v>720.33333333333326</v>
      </c>
      <c r="EB221" s="460">
        <f t="shared" si="453"/>
        <v>0</v>
      </c>
      <c r="EC221" s="582">
        <f t="shared" si="453"/>
        <v>759.66666666666663</v>
      </c>
      <c r="ED221" s="113">
        <f t="shared" si="453"/>
        <v>388.99999999999989</v>
      </c>
      <c r="EE221" s="113">
        <f t="shared" si="453"/>
        <v>0</v>
      </c>
      <c r="EF221" s="113">
        <f t="shared" si="453"/>
        <v>311.33333333333331</v>
      </c>
      <c r="EG221" s="459">
        <f t="shared" si="453"/>
        <v>59.333333333333343</v>
      </c>
      <c r="EH221" s="461">
        <f t="shared" si="313"/>
        <v>791.66666666666663</v>
      </c>
      <c r="EI221" s="582">
        <f t="shared" si="313"/>
        <v>558.66666666666663</v>
      </c>
      <c r="EJ221" s="113">
        <f t="shared" si="313"/>
        <v>345</v>
      </c>
      <c r="EK221" s="113">
        <f t="shared" si="313"/>
        <v>2.666666666666667</v>
      </c>
      <c r="EL221" s="113">
        <f t="shared" si="313"/>
        <v>209.99999999999991</v>
      </c>
      <c r="EM221" s="460">
        <f t="shared" si="313"/>
        <v>1</v>
      </c>
      <c r="EN221" s="582">
        <f t="shared" si="313"/>
        <v>232.99999999999994</v>
      </c>
      <c r="EO221" s="113">
        <f t="shared" si="313"/>
        <v>100.66666666666661</v>
      </c>
      <c r="EP221" s="113">
        <f t="shared" si="313"/>
        <v>0</v>
      </c>
      <c r="EQ221" s="113">
        <f t="shared" si="313"/>
        <v>115.00000000000006</v>
      </c>
      <c r="ER221" s="459">
        <f t="shared" si="313"/>
        <v>17.333333333333336</v>
      </c>
    </row>
    <row r="222" spans="1:148">
      <c r="A222" s="665" t="s">
        <v>421</v>
      </c>
      <c r="B222" s="665">
        <v>44774</v>
      </c>
      <c r="C222" s="666">
        <v>2022</v>
      </c>
      <c r="D222" s="461">
        <f t="shared" ref="D222" si="576">D111/3+D221</f>
        <v>4030772.333333334</v>
      </c>
      <c r="E222" s="461">
        <f t="shared" si="455"/>
        <v>88910</v>
      </c>
      <c r="F222" s="582">
        <f t="shared" si="456"/>
        <v>61361.333333333343</v>
      </c>
      <c r="G222" s="113">
        <f t="shared" si="457"/>
        <v>35322.333333333328</v>
      </c>
      <c r="H222" s="113">
        <f t="shared" si="458"/>
        <v>371.66666666666669</v>
      </c>
      <c r="I222" s="113">
        <f t="shared" si="459"/>
        <v>25588.666666666668</v>
      </c>
      <c r="J222" s="460">
        <f t="shared" si="460"/>
        <v>78.666666666666657</v>
      </c>
      <c r="K222" s="582">
        <f t="shared" si="461"/>
        <v>27548.666666666657</v>
      </c>
      <c r="L222" s="113">
        <f t="shared" si="462"/>
        <v>13632.000000000004</v>
      </c>
      <c r="M222" s="113">
        <f t="shared" si="463"/>
        <v>0</v>
      </c>
      <c r="N222" s="113">
        <f t="shared" si="464"/>
        <v>11590.333333333332</v>
      </c>
      <c r="O222" s="459">
        <f t="shared" si="465"/>
        <v>2326.3333333333326</v>
      </c>
      <c r="P222" s="461">
        <f t="shared" si="466"/>
        <v>141</v>
      </c>
      <c r="Q222" s="582">
        <f t="shared" si="467"/>
        <v>84.333333333333357</v>
      </c>
      <c r="R222" s="113">
        <f t="shared" si="468"/>
        <v>47.666666666666664</v>
      </c>
      <c r="S222" s="113">
        <f t="shared" si="469"/>
        <v>1</v>
      </c>
      <c r="T222" s="113">
        <f t="shared" si="470"/>
        <v>35.666666666666679</v>
      </c>
      <c r="U222" s="460">
        <f t="shared" si="471"/>
        <v>0</v>
      </c>
      <c r="V222" s="582">
        <f t="shared" si="472"/>
        <v>56.666666666666693</v>
      </c>
      <c r="W222" s="113">
        <f t="shared" si="473"/>
        <v>27.000000000000004</v>
      </c>
      <c r="X222" s="113">
        <f t="shared" si="474"/>
        <v>0</v>
      </c>
      <c r="Y222" s="113">
        <f t="shared" si="475"/>
        <v>25.000000000000007</v>
      </c>
      <c r="Z222" s="459">
        <f t="shared" si="476"/>
        <v>4.6666666666666661</v>
      </c>
      <c r="AA222" s="461">
        <f t="shared" si="477"/>
        <v>92.6666666666667</v>
      </c>
      <c r="AB222" s="582">
        <f t="shared" si="478"/>
        <v>52.333333333333329</v>
      </c>
      <c r="AC222" s="113">
        <f t="shared" si="479"/>
        <v>26.666666666666668</v>
      </c>
      <c r="AD222" s="113">
        <f t="shared" si="480"/>
        <v>0.66666666666666663</v>
      </c>
      <c r="AE222" s="113">
        <f t="shared" si="481"/>
        <v>25.000000000000004</v>
      </c>
      <c r="AF222" s="460">
        <f t="shared" si="482"/>
        <v>0</v>
      </c>
      <c r="AG222" s="582">
        <f t="shared" si="483"/>
        <v>40.333333333333343</v>
      </c>
      <c r="AH222" s="113">
        <f t="shared" si="484"/>
        <v>29.666666666666654</v>
      </c>
      <c r="AI222" s="113">
        <f t="shared" si="485"/>
        <v>0</v>
      </c>
      <c r="AJ222" s="113">
        <f t="shared" si="486"/>
        <v>5.6666666666666652</v>
      </c>
      <c r="AK222" s="459">
        <f t="shared" si="487"/>
        <v>4.9999999999999991</v>
      </c>
      <c r="AL222" s="461">
        <f t="shared" si="488"/>
        <v>826.33333333333326</v>
      </c>
      <c r="AM222" s="582">
        <f t="shared" si="489"/>
        <v>588.33333333333326</v>
      </c>
      <c r="AN222" s="113">
        <f t="shared" si="490"/>
        <v>357</v>
      </c>
      <c r="AO222" s="113">
        <f t="shared" si="491"/>
        <v>4.3333333333333339</v>
      </c>
      <c r="AP222" s="113">
        <f t="shared" si="492"/>
        <v>225.99999999999991</v>
      </c>
      <c r="AQ222" s="460">
        <f t="shared" si="493"/>
        <v>1</v>
      </c>
      <c r="AR222" s="582">
        <f t="shared" si="494"/>
        <v>237.99999999999994</v>
      </c>
      <c r="AS222" s="113">
        <f t="shared" si="495"/>
        <v>101.33333333333329</v>
      </c>
      <c r="AT222" s="113">
        <f t="shared" si="496"/>
        <v>0</v>
      </c>
      <c r="AU222" s="113">
        <f t="shared" si="497"/>
        <v>119.00000000000006</v>
      </c>
      <c r="AV222" s="459">
        <f t="shared" si="498"/>
        <v>17.666666666666668</v>
      </c>
      <c r="AW222" s="461">
        <f t="shared" si="499"/>
        <v>462</v>
      </c>
      <c r="AX222" s="582">
        <f t="shared" si="500"/>
        <v>315.99999999999994</v>
      </c>
      <c r="AY222" s="113">
        <f t="shared" si="501"/>
        <v>203.66666666666666</v>
      </c>
      <c r="AZ222" s="113">
        <f t="shared" si="502"/>
        <v>0</v>
      </c>
      <c r="BA222" s="113">
        <f t="shared" si="503"/>
        <v>112.33333333333334</v>
      </c>
      <c r="BB222" s="460">
        <f t="shared" si="504"/>
        <v>0</v>
      </c>
      <c r="BC222" s="582">
        <f t="shared" si="505"/>
        <v>146.00000000000006</v>
      </c>
      <c r="BD222" s="113">
        <f t="shared" si="506"/>
        <v>84.666666666666615</v>
      </c>
      <c r="BE222" s="113">
        <f t="shared" si="507"/>
        <v>0</v>
      </c>
      <c r="BF222" s="113">
        <f t="shared" si="508"/>
        <v>51.33333333333335</v>
      </c>
      <c r="BG222" s="459">
        <f t="shared" si="509"/>
        <v>10.000000000000002</v>
      </c>
      <c r="BH222" s="461">
        <f t="shared" si="510"/>
        <v>659.00000000000011</v>
      </c>
      <c r="BI222" s="582">
        <f t="shared" si="511"/>
        <v>497.66666666666663</v>
      </c>
      <c r="BJ222" s="113">
        <f t="shared" si="512"/>
        <v>292.00000000000006</v>
      </c>
      <c r="BK222" s="113">
        <f t="shared" si="513"/>
        <v>2.666666666666667</v>
      </c>
      <c r="BL222" s="113">
        <f t="shared" si="514"/>
        <v>203</v>
      </c>
      <c r="BM222" s="460">
        <f t="shared" si="515"/>
        <v>0</v>
      </c>
      <c r="BN222" s="582">
        <f t="shared" si="516"/>
        <v>161.33333333333334</v>
      </c>
      <c r="BO222" s="113">
        <f t="shared" si="517"/>
        <v>69.000000000000014</v>
      </c>
      <c r="BP222" s="113">
        <f t="shared" si="518"/>
        <v>0</v>
      </c>
      <c r="BQ222" s="113">
        <f t="shared" si="519"/>
        <v>78.333333333333343</v>
      </c>
      <c r="BR222" s="459">
        <f t="shared" si="520"/>
        <v>14.000000000000004</v>
      </c>
      <c r="BS222" s="461">
        <f t="shared" si="521"/>
        <v>939.00000000000034</v>
      </c>
      <c r="BT222" s="582">
        <f t="shared" si="522"/>
        <v>683.66666666666674</v>
      </c>
      <c r="BU222" s="113">
        <f t="shared" si="523"/>
        <v>372.66666666666663</v>
      </c>
      <c r="BV222" s="113">
        <f t="shared" si="524"/>
        <v>1</v>
      </c>
      <c r="BW222" s="113">
        <f t="shared" si="525"/>
        <v>309.99999999999994</v>
      </c>
      <c r="BX222" s="460">
        <f t="shared" si="526"/>
        <v>0</v>
      </c>
      <c r="BY222" s="582">
        <f t="shared" si="527"/>
        <v>255.33333333333329</v>
      </c>
      <c r="BZ222" s="113">
        <f t="shared" si="528"/>
        <v>117.66666666666659</v>
      </c>
      <c r="CA222" s="113">
        <f t="shared" si="529"/>
        <v>0</v>
      </c>
      <c r="CB222" s="113">
        <f t="shared" si="530"/>
        <v>115.66666666666659</v>
      </c>
      <c r="CC222" s="459">
        <f t="shared" si="531"/>
        <v>22</v>
      </c>
      <c r="CD222" s="461">
        <f t="shared" si="532"/>
        <v>171.33333333333334</v>
      </c>
      <c r="CE222" s="582">
        <f t="shared" si="533"/>
        <v>122.00000000000003</v>
      </c>
      <c r="CF222" s="113">
        <f t="shared" si="534"/>
        <v>67.666666666666657</v>
      </c>
      <c r="CG222" s="113">
        <f t="shared" si="535"/>
        <v>1.3333333333333333</v>
      </c>
      <c r="CH222" s="113">
        <f t="shared" si="536"/>
        <v>53</v>
      </c>
      <c r="CI222" s="460">
        <f t="shared" si="537"/>
        <v>0</v>
      </c>
      <c r="CJ222" s="582">
        <f t="shared" si="538"/>
        <v>49.333333333333321</v>
      </c>
      <c r="CK222" s="113">
        <f t="shared" si="539"/>
        <v>25.999999999999996</v>
      </c>
      <c r="CL222" s="113">
        <f t="shared" si="540"/>
        <v>0</v>
      </c>
      <c r="CM222" s="113">
        <f t="shared" si="541"/>
        <v>19.333333333333332</v>
      </c>
      <c r="CN222" s="459">
        <f t="shared" si="542"/>
        <v>4</v>
      </c>
      <c r="CO222" s="461">
        <f t="shared" si="543"/>
        <v>131.66666666666666</v>
      </c>
      <c r="CP222" s="582">
        <f t="shared" si="544"/>
        <v>85.666666666666671</v>
      </c>
      <c r="CQ222" s="113">
        <f t="shared" si="545"/>
        <v>58.333333333333343</v>
      </c>
      <c r="CR222" s="113">
        <f t="shared" si="546"/>
        <v>1</v>
      </c>
      <c r="CS222" s="113">
        <f t="shared" si="547"/>
        <v>26.333333333333329</v>
      </c>
      <c r="CT222" s="460">
        <f t="shared" si="548"/>
        <v>0</v>
      </c>
      <c r="CU222" s="582">
        <f t="shared" si="549"/>
        <v>46.000000000000007</v>
      </c>
      <c r="CV222" s="113">
        <f t="shared" si="550"/>
        <v>23.999999999999986</v>
      </c>
      <c r="CW222" s="113">
        <f t="shared" si="551"/>
        <v>0</v>
      </c>
      <c r="CX222" s="113">
        <f t="shared" si="552"/>
        <v>21.999999999999989</v>
      </c>
      <c r="CY222" s="459">
        <f t="shared" si="553"/>
        <v>0</v>
      </c>
      <c r="CZ222" s="461">
        <f t="shared" si="554"/>
        <v>39.666666666666671</v>
      </c>
      <c r="DA222" s="582">
        <f t="shared" si="555"/>
        <v>23.333333333333336</v>
      </c>
      <c r="DB222" s="113">
        <f t="shared" si="556"/>
        <v>10</v>
      </c>
      <c r="DC222" s="113">
        <f t="shared" si="557"/>
        <v>0</v>
      </c>
      <c r="DD222" s="113">
        <f t="shared" si="558"/>
        <v>13.333333333333329</v>
      </c>
      <c r="DE222" s="460">
        <f t="shared" si="559"/>
        <v>0</v>
      </c>
      <c r="DF222" s="582">
        <f t="shared" si="560"/>
        <v>16.333333333333343</v>
      </c>
      <c r="DG222" s="113">
        <f t="shared" si="561"/>
        <v>13.000000000000011</v>
      </c>
      <c r="DH222" s="113">
        <f t="shared" si="562"/>
        <v>0</v>
      </c>
      <c r="DI222" s="113">
        <f t="shared" si="563"/>
        <v>3.333333333333333</v>
      </c>
      <c r="DJ222" s="459">
        <f t="shared" si="564"/>
        <v>0</v>
      </c>
      <c r="DK222" s="461">
        <f t="shared" si="565"/>
        <v>0</v>
      </c>
      <c r="DL222" s="582">
        <f t="shared" si="566"/>
        <v>0</v>
      </c>
      <c r="DM222" s="113">
        <f t="shared" si="567"/>
        <v>0</v>
      </c>
      <c r="DN222" s="113">
        <f t="shared" si="568"/>
        <v>0</v>
      </c>
      <c r="DO222" s="113">
        <f t="shared" si="569"/>
        <v>0</v>
      </c>
      <c r="DP222" s="460">
        <f t="shared" si="570"/>
        <v>0</v>
      </c>
      <c r="DQ222" s="582">
        <f t="shared" si="571"/>
        <v>1</v>
      </c>
      <c r="DR222" s="113">
        <f t="shared" si="572"/>
        <v>1</v>
      </c>
      <c r="DS222" s="113">
        <f t="shared" si="573"/>
        <v>0</v>
      </c>
      <c r="DT222" s="113">
        <f t="shared" si="574"/>
        <v>0</v>
      </c>
      <c r="DU222" s="459">
        <f t="shared" si="575"/>
        <v>0</v>
      </c>
      <c r="DW222" s="461">
        <f t="shared" si="315"/>
        <v>2636.3333333333339</v>
      </c>
      <c r="DX222" s="582">
        <f t="shared" si="315"/>
        <v>1865</v>
      </c>
      <c r="DY222" s="113">
        <f t="shared" si="315"/>
        <v>1078.6666666666665</v>
      </c>
      <c r="DZ222" s="113">
        <f t="shared" si="315"/>
        <v>7.666666666666667</v>
      </c>
      <c r="EA222" s="113">
        <f t="shared" si="315"/>
        <v>778.66666666666674</v>
      </c>
      <c r="EB222" s="460">
        <f t="shared" si="453"/>
        <v>0</v>
      </c>
      <c r="EC222" s="582">
        <f t="shared" si="453"/>
        <v>772.33333333333348</v>
      </c>
      <c r="ED222" s="113">
        <f t="shared" si="453"/>
        <v>391.99999999999983</v>
      </c>
      <c r="EE222" s="113">
        <f t="shared" si="453"/>
        <v>0</v>
      </c>
      <c r="EF222" s="113">
        <f t="shared" si="453"/>
        <v>320.66666666666657</v>
      </c>
      <c r="EG222" s="459">
        <f t="shared" si="453"/>
        <v>59.666666666666671</v>
      </c>
      <c r="EH222" s="461">
        <f t="shared" si="313"/>
        <v>826.33333333333326</v>
      </c>
      <c r="EI222" s="582">
        <f t="shared" si="313"/>
        <v>588.33333333333326</v>
      </c>
      <c r="EJ222" s="113">
        <f t="shared" si="313"/>
        <v>357</v>
      </c>
      <c r="EK222" s="113">
        <f t="shared" si="313"/>
        <v>4.3333333333333339</v>
      </c>
      <c r="EL222" s="113">
        <f t="shared" si="313"/>
        <v>225.99999999999991</v>
      </c>
      <c r="EM222" s="460">
        <f t="shared" si="313"/>
        <v>1</v>
      </c>
      <c r="EN222" s="582">
        <f t="shared" si="313"/>
        <v>237.99999999999994</v>
      </c>
      <c r="EO222" s="113">
        <f t="shared" si="313"/>
        <v>101.33333333333329</v>
      </c>
      <c r="EP222" s="113">
        <f t="shared" si="313"/>
        <v>0</v>
      </c>
      <c r="EQ222" s="113">
        <f t="shared" si="313"/>
        <v>119.00000000000006</v>
      </c>
      <c r="ER222" s="459">
        <f t="shared" si="313"/>
        <v>17.666666666666668</v>
      </c>
    </row>
    <row r="223" spans="1:148">
      <c r="A223" s="665" t="s">
        <v>421</v>
      </c>
      <c r="B223" s="665">
        <v>44805</v>
      </c>
      <c r="C223" s="666">
        <v>2022</v>
      </c>
      <c r="D223" s="461">
        <f t="shared" ref="D223" si="577">D112/3+D222</f>
        <v>4082032.0000000005</v>
      </c>
      <c r="E223" s="461">
        <f t="shared" si="455"/>
        <v>92581</v>
      </c>
      <c r="F223" s="582">
        <f t="shared" si="456"/>
        <v>64600.000000000007</v>
      </c>
      <c r="G223" s="113">
        <f t="shared" si="457"/>
        <v>36653.999999999993</v>
      </c>
      <c r="H223" s="113">
        <f t="shared" si="458"/>
        <v>528</v>
      </c>
      <c r="I223" s="113">
        <f t="shared" si="459"/>
        <v>27324</v>
      </c>
      <c r="J223" s="460">
        <f t="shared" si="460"/>
        <v>93.999999999999986</v>
      </c>
      <c r="K223" s="582">
        <f t="shared" si="461"/>
        <v>27980.999999999989</v>
      </c>
      <c r="L223" s="113">
        <f t="shared" si="462"/>
        <v>13699.000000000004</v>
      </c>
      <c r="M223" s="113">
        <f t="shared" si="463"/>
        <v>0</v>
      </c>
      <c r="N223" s="113">
        <f t="shared" si="464"/>
        <v>11923.999999999998</v>
      </c>
      <c r="O223" s="459">
        <f t="shared" si="465"/>
        <v>2357.9999999999991</v>
      </c>
      <c r="P223" s="461">
        <f t="shared" si="466"/>
        <v>146</v>
      </c>
      <c r="Q223" s="582">
        <f t="shared" si="467"/>
        <v>88.000000000000028</v>
      </c>
      <c r="R223" s="113">
        <f t="shared" si="468"/>
        <v>49</v>
      </c>
      <c r="S223" s="113">
        <f t="shared" si="469"/>
        <v>1</v>
      </c>
      <c r="T223" s="113">
        <f t="shared" si="470"/>
        <v>38.000000000000014</v>
      </c>
      <c r="U223" s="460">
        <f t="shared" si="471"/>
        <v>0</v>
      </c>
      <c r="V223" s="582">
        <f t="shared" si="472"/>
        <v>58.000000000000028</v>
      </c>
      <c r="W223" s="113">
        <f t="shared" si="473"/>
        <v>27.000000000000004</v>
      </c>
      <c r="X223" s="113">
        <f t="shared" si="474"/>
        <v>0</v>
      </c>
      <c r="Y223" s="113">
        <f t="shared" si="475"/>
        <v>26.000000000000007</v>
      </c>
      <c r="Z223" s="459">
        <f t="shared" si="476"/>
        <v>4.9999999999999991</v>
      </c>
      <c r="AA223" s="461">
        <f t="shared" si="477"/>
        <v>95.000000000000028</v>
      </c>
      <c r="AB223" s="582">
        <f t="shared" si="478"/>
        <v>53.999999999999993</v>
      </c>
      <c r="AC223" s="113">
        <f t="shared" si="479"/>
        <v>27</v>
      </c>
      <c r="AD223" s="113">
        <f t="shared" si="480"/>
        <v>1</v>
      </c>
      <c r="AE223" s="113">
        <f t="shared" si="481"/>
        <v>26.000000000000004</v>
      </c>
      <c r="AF223" s="460">
        <f t="shared" si="482"/>
        <v>0</v>
      </c>
      <c r="AG223" s="582">
        <f t="shared" si="483"/>
        <v>41.000000000000007</v>
      </c>
      <c r="AH223" s="113">
        <f t="shared" si="484"/>
        <v>29.999999999999986</v>
      </c>
      <c r="AI223" s="113">
        <f t="shared" si="485"/>
        <v>0</v>
      </c>
      <c r="AJ223" s="113">
        <f t="shared" si="486"/>
        <v>5.9999999999999982</v>
      </c>
      <c r="AK223" s="459">
        <f t="shared" si="487"/>
        <v>4.9999999999999991</v>
      </c>
      <c r="AL223" s="461">
        <f t="shared" si="488"/>
        <v>860.99999999999989</v>
      </c>
      <c r="AM223" s="582">
        <f t="shared" si="489"/>
        <v>617.99999999999989</v>
      </c>
      <c r="AN223" s="113">
        <f t="shared" si="490"/>
        <v>369</v>
      </c>
      <c r="AO223" s="113">
        <f t="shared" si="491"/>
        <v>6.0000000000000009</v>
      </c>
      <c r="AP223" s="113">
        <f t="shared" si="492"/>
        <v>241.99999999999991</v>
      </c>
      <c r="AQ223" s="460">
        <f t="shared" si="493"/>
        <v>1</v>
      </c>
      <c r="AR223" s="582">
        <f t="shared" si="494"/>
        <v>242.99999999999994</v>
      </c>
      <c r="AS223" s="113">
        <f t="shared" si="495"/>
        <v>101.99999999999996</v>
      </c>
      <c r="AT223" s="113">
        <f t="shared" si="496"/>
        <v>0</v>
      </c>
      <c r="AU223" s="113">
        <f t="shared" si="497"/>
        <v>123.00000000000006</v>
      </c>
      <c r="AV223" s="459">
        <f t="shared" si="498"/>
        <v>18</v>
      </c>
      <c r="AW223" s="461">
        <f t="shared" si="499"/>
        <v>478</v>
      </c>
      <c r="AX223" s="582">
        <f t="shared" si="500"/>
        <v>329.99999999999994</v>
      </c>
      <c r="AY223" s="113">
        <f t="shared" si="501"/>
        <v>210</v>
      </c>
      <c r="AZ223" s="113">
        <f t="shared" si="502"/>
        <v>0</v>
      </c>
      <c r="BA223" s="113">
        <f t="shared" si="503"/>
        <v>120.00000000000001</v>
      </c>
      <c r="BB223" s="460">
        <f t="shared" si="504"/>
        <v>0</v>
      </c>
      <c r="BC223" s="582">
        <f t="shared" si="505"/>
        <v>148.00000000000006</v>
      </c>
      <c r="BD223" s="113">
        <f t="shared" si="506"/>
        <v>84.999999999999943</v>
      </c>
      <c r="BE223" s="113">
        <f t="shared" si="507"/>
        <v>0</v>
      </c>
      <c r="BF223" s="113">
        <f t="shared" si="508"/>
        <v>53.000000000000014</v>
      </c>
      <c r="BG223" s="459">
        <f t="shared" si="509"/>
        <v>10.000000000000002</v>
      </c>
      <c r="BH223" s="461">
        <f t="shared" si="510"/>
        <v>694.00000000000011</v>
      </c>
      <c r="BI223" s="582">
        <f t="shared" si="511"/>
        <v>530</v>
      </c>
      <c r="BJ223" s="113">
        <f t="shared" si="512"/>
        <v>306.00000000000006</v>
      </c>
      <c r="BK223" s="113">
        <f t="shared" si="513"/>
        <v>3.0000000000000004</v>
      </c>
      <c r="BL223" s="113">
        <f t="shared" si="514"/>
        <v>221</v>
      </c>
      <c r="BM223" s="460">
        <f t="shared" si="515"/>
        <v>0</v>
      </c>
      <c r="BN223" s="582">
        <f t="shared" si="516"/>
        <v>164</v>
      </c>
      <c r="BO223" s="113">
        <f t="shared" si="517"/>
        <v>70.000000000000014</v>
      </c>
      <c r="BP223" s="113">
        <f t="shared" si="518"/>
        <v>0</v>
      </c>
      <c r="BQ223" s="113">
        <f t="shared" si="519"/>
        <v>80.000000000000014</v>
      </c>
      <c r="BR223" s="459">
        <f t="shared" si="520"/>
        <v>14.000000000000004</v>
      </c>
      <c r="BS223" s="461">
        <f t="shared" si="521"/>
        <v>980.00000000000034</v>
      </c>
      <c r="BT223" s="582">
        <f t="shared" si="522"/>
        <v>721.00000000000011</v>
      </c>
      <c r="BU223" s="113">
        <f t="shared" si="523"/>
        <v>387.99999999999994</v>
      </c>
      <c r="BV223" s="113">
        <f t="shared" si="524"/>
        <v>1</v>
      </c>
      <c r="BW223" s="113">
        <f t="shared" si="525"/>
        <v>331.99999999999994</v>
      </c>
      <c r="BX223" s="460">
        <f t="shared" si="526"/>
        <v>0</v>
      </c>
      <c r="BY223" s="582">
        <f t="shared" si="527"/>
        <v>258.99999999999994</v>
      </c>
      <c r="BZ223" s="113">
        <f t="shared" si="528"/>
        <v>118.99999999999991</v>
      </c>
      <c r="CA223" s="113">
        <f t="shared" si="529"/>
        <v>0</v>
      </c>
      <c r="CB223" s="113">
        <f t="shared" si="530"/>
        <v>117.99999999999991</v>
      </c>
      <c r="CC223" s="459">
        <f t="shared" si="531"/>
        <v>22</v>
      </c>
      <c r="CD223" s="461">
        <f t="shared" si="532"/>
        <v>179</v>
      </c>
      <c r="CE223" s="582">
        <f t="shared" si="533"/>
        <v>129.00000000000003</v>
      </c>
      <c r="CF223" s="113">
        <f t="shared" si="534"/>
        <v>69.999999999999986</v>
      </c>
      <c r="CG223" s="113">
        <f t="shared" si="535"/>
        <v>2</v>
      </c>
      <c r="CH223" s="113">
        <f t="shared" si="536"/>
        <v>57</v>
      </c>
      <c r="CI223" s="460">
        <f t="shared" si="537"/>
        <v>0</v>
      </c>
      <c r="CJ223" s="582">
        <f t="shared" si="538"/>
        <v>49.999999999999986</v>
      </c>
      <c r="CK223" s="113">
        <f t="shared" si="539"/>
        <v>25.999999999999996</v>
      </c>
      <c r="CL223" s="113">
        <f t="shared" si="540"/>
        <v>0</v>
      </c>
      <c r="CM223" s="113">
        <f t="shared" si="541"/>
        <v>20</v>
      </c>
      <c r="CN223" s="459">
        <f t="shared" si="542"/>
        <v>4</v>
      </c>
      <c r="CO223" s="461">
        <f t="shared" si="543"/>
        <v>136</v>
      </c>
      <c r="CP223" s="582">
        <f t="shared" si="544"/>
        <v>89</v>
      </c>
      <c r="CQ223" s="113">
        <f t="shared" si="545"/>
        <v>59.000000000000007</v>
      </c>
      <c r="CR223" s="113">
        <f t="shared" si="546"/>
        <v>1</v>
      </c>
      <c r="CS223" s="113">
        <f t="shared" si="547"/>
        <v>28.999999999999996</v>
      </c>
      <c r="CT223" s="460">
        <f t="shared" si="548"/>
        <v>0</v>
      </c>
      <c r="CU223" s="582">
        <f t="shared" si="549"/>
        <v>47.000000000000007</v>
      </c>
      <c r="CV223" s="113">
        <f t="shared" si="550"/>
        <v>23.999999999999986</v>
      </c>
      <c r="CW223" s="113">
        <f t="shared" si="551"/>
        <v>0</v>
      </c>
      <c r="CX223" s="113">
        <f t="shared" si="552"/>
        <v>22.999999999999989</v>
      </c>
      <c r="CY223" s="459">
        <f t="shared" si="553"/>
        <v>0</v>
      </c>
      <c r="CZ223" s="461">
        <f t="shared" si="554"/>
        <v>42.000000000000007</v>
      </c>
      <c r="DA223" s="582">
        <f t="shared" si="555"/>
        <v>25.000000000000004</v>
      </c>
      <c r="DB223" s="113">
        <f t="shared" si="556"/>
        <v>11</v>
      </c>
      <c r="DC223" s="113">
        <f t="shared" si="557"/>
        <v>0</v>
      </c>
      <c r="DD223" s="113">
        <f t="shared" si="558"/>
        <v>13.999999999999995</v>
      </c>
      <c r="DE223" s="460">
        <f t="shared" si="559"/>
        <v>0</v>
      </c>
      <c r="DF223" s="582">
        <f t="shared" si="560"/>
        <v>17.000000000000011</v>
      </c>
      <c r="DG223" s="113">
        <f t="shared" si="561"/>
        <v>13.000000000000011</v>
      </c>
      <c r="DH223" s="113">
        <f t="shared" si="562"/>
        <v>0</v>
      </c>
      <c r="DI223" s="113">
        <f t="shared" si="563"/>
        <v>3.9999999999999996</v>
      </c>
      <c r="DJ223" s="459">
        <f t="shared" si="564"/>
        <v>0</v>
      </c>
      <c r="DK223" s="461">
        <f t="shared" si="565"/>
        <v>0</v>
      </c>
      <c r="DL223" s="582">
        <f t="shared" si="566"/>
        <v>0</v>
      </c>
      <c r="DM223" s="113">
        <f t="shared" si="567"/>
        <v>0</v>
      </c>
      <c r="DN223" s="113">
        <f t="shared" si="568"/>
        <v>0</v>
      </c>
      <c r="DO223" s="113">
        <f t="shared" si="569"/>
        <v>0</v>
      </c>
      <c r="DP223" s="460">
        <f t="shared" si="570"/>
        <v>0</v>
      </c>
      <c r="DQ223" s="582">
        <f t="shared" si="571"/>
        <v>1</v>
      </c>
      <c r="DR223" s="113">
        <f t="shared" si="572"/>
        <v>1</v>
      </c>
      <c r="DS223" s="113">
        <f t="shared" si="573"/>
        <v>0</v>
      </c>
      <c r="DT223" s="113">
        <f t="shared" si="574"/>
        <v>0</v>
      </c>
      <c r="DU223" s="459">
        <f t="shared" si="575"/>
        <v>0</v>
      </c>
      <c r="DW223" s="461">
        <f t="shared" si="315"/>
        <v>2750.0000000000005</v>
      </c>
      <c r="DX223" s="582">
        <f t="shared" si="315"/>
        <v>1966</v>
      </c>
      <c r="DY223" s="113">
        <f t="shared" si="315"/>
        <v>1120</v>
      </c>
      <c r="DZ223" s="113">
        <f t="shared" si="315"/>
        <v>9</v>
      </c>
      <c r="EA223" s="113">
        <f t="shared" si="315"/>
        <v>837</v>
      </c>
      <c r="EB223" s="460">
        <f t="shared" si="453"/>
        <v>0</v>
      </c>
      <c r="EC223" s="582">
        <f t="shared" si="453"/>
        <v>785</v>
      </c>
      <c r="ED223" s="113">
        <f t="shared" si="453"/>
        <v>394.99999999999989</v>
      </c>
      <c r="EE223" s="113">
        <f t="shared" si="453"/>
        <v>0</v>
      </c>
      <c r="EF223" s="113">
        <f t="shared" si="453"/>
        <v>330</v>
      </c>
      <c r="EG223" s="459">
        <f t="shared" si="453"/>
        <v>60</v>
      </c>
      <c r="EH223" s="461">
        <f t="shared" si="313"/>
        <v>860.99999999999989</v>
      </c>
      <c r="EI223" s="582">
        <f t="shared" si="313"/>
        <v>617.99999999999989</v>
      </c>
      <c r="EJ223" s="113">
        <f t="shared" si="313"/>
        <v>369</v>
      </c>
      <c r="EK223" s="113">
        <f t="shared" si="313"/>
        <v>6.0000000000000009</v>
      </c>
      <c r="EL223" s="113">
        <f t="shared" si="313"/>
        <v>241.99999999999991</v>
      </c>
      <c r="EM223" s="460">
        <f t="shared" si="313"/>
        <v>1</v>
      </c>
      <c r="EN223" s="582">
        <f t="shared" si="313"/>
        <v>242.99999999999994</v>
      </c>
      <c r="EO223" s="113">
        <f t="shared" si="313"/>
        <v>101.99999999999996</v>
      </c>
      <c r="EP223" s="113">
        <f t="shared" si="313"/>
        <v>0</v>
      </c>
      <c r="EQ223" s="113">
        <f t="shared" si="313"/>
        <v>123.00000000000006</v>
      </c>
      <c r="ER223" s="459">
        <f t="shared" si="313"/>
        <v>18</v>
      </c>
    </row>
    <row r="224" spans="1:148">
      <c r="A224" s="665" t="s">
        <v>422</v>
      </c>
      <c r="B224" s="665">
        <v>44835</v>
      </c>
      <c r="C224" s="666">
        <v>2022</v>
      </c>
      <c r="D224" s="461">
        <f t="shared" ref="D224" si="578">D113/3+D223</f>
        <v>4127478.0000000005</v>
      </c>
      <c r="E224" s="461">
        <f t="shared" si="455"/>
        <v>96244.666666666672</v>
      </c>
      <c r="F224" s="582">
        <f t="shared" si="456"/>
        <v>67768.666666666672</v>
      </c>
      <c r="G224" s="113">
        <f t="shared" si="457"/>
        <v>37518.666666666657</v>
      </c>
      <c r="H224" s="113">
        <f t="shared" si="458"/>
        <v>642.66666666666663</v>
      </c>
      <c r="I224" s="113">
        <f t="shared" si="459"/>
        <v>29486</v>
      </c>
      <c r="J224" s="460">
        <f t="shared" si="460"/>
        <v>121.33333333333331</v>
      </c>
      <c r="K224" s="582">
        <f t="shared" si="461"/>
        <v>28475.999999999989</v>
      </c>
      <c r="L224" s="113">
        <f t="shared" si="462"/>
        <v>13756.000000000004</v>
      </c>
      <c r="M224" s="113">
        <f t="shared" si="463"/>
        <v>0</v>
      </c>
      <c r="N224" s="113">
        <f t="shared" si="464"/>
        <v>12339.999999999998</v>
      </c>
      <c r="O224" s="459">
        <f t="shared" si="465"/>
        <v>2379.9999999999991</v>
      </c>
      <c r="P224" s="461">
        <f t="shared" si="466"/>
        <v>150</v>
      </c>
      <c r="Q224" s="582">
        <f t="shared" si="467"/>
        <v>91.6666666666667</v>
      </c>
      <c r="R224" s="113">
        <f t="shared" si="468"/>
        <v>50.333333333333336</v>
      </c>
      <c r="S224" s="113">
        <f t="shared" si="469"/>
        <v>1</v>
      </c>
      <c r="T224" s="113">
        <f t="shared" si="470"/>
        <v>40.33333333333335</v>
      </c>
      <c r="U224" s="460">
        <f t="shared" si="471"/>
        <v>0</v>
      </c>
      <c r="V224" s="582">
        <f t="shared" si="472"/>
        <v>58.333333333333364</v>
      </c>
      <c r="W224" s="113">
        <f t="shared" si="473"/>
        <v>27.000000000000004</v>
      </c>
      <c r="X224" s="113">
        <f t="shared" si="474"/>
        <v>0</v>
      </c>
      <c r="Y224" s="113">
        <f t="shared" si="475"/>
        <v>26.333333333333339</v>
      </c>
      <c r="Z224" s="459">
        <f t="shared" si="476"/>
        <v>4.9999999999999991</v>
      </c>
      <c r="AA224" s="461">
        <f t="shared" si="477"/>
        <v>97.000000000000028</v>
      </c>
      <c r="AB224" s="582">
        <f t="shared" si="478"/>
        <v>55.666666666666657</v>
      </c>
      <c r="AC224" s="113">
        <f t="shared" si="479"/>
        <v>28.333333333333332</v>
      </c>
      <c r="AD224" s="113">
        <f t="shared" si="480"/>
        <v>1</v>
      </c>
      <c r="AE224" s="113">
        <f t="shared" si="481"/>
        <v>26.333333333333336</v>
      </c>
      <c r="AF224" s="460">
        <f t="shared" si="482"/>
        <v>0</v>
      </c>
      <c r="AG224" s="582">
        <f t="shared" si="483"/>
        <v>41.333333333333343</v>
      </c>
      <c r="AH224" s="113">
        <f t="shared" si="484"/>
        <v>30.333333333333318</v>
      </c>
      <c r="AI224" s="113">
        <f t="shared" si="485"/>
        <v>0</v>
      </c>
      <c r="AJ224" s="113">
        <f t="shared" si="486"/>
        <v>5.9999999999999982</v>
      </c>
      <c r="AK224" s="459">
        <f t="shared" si="487"/>
        <v>4.9999999999999991</v>
      </c>
      <c r="AL224" s="461">
        <f t="shared" si="488"/>
        <v>896.33333333333326</v>
      </c>
      <c r="AM224" s="582">
        <f t="shared" si="489"/>
        <v>647.66666666666652</v>
      </c>
      <c r="AN224" s="113">
        <f t="shared" si="490"/>
        <v>380.33333333333331</v>
      </c>
      <c r="AO224" s="113">
        <f t="shared" si="491"/>
        <v>7.0000000000000009</v>
      </c>
      <c r="AP224" s="113">
        <f t="shared" si="492"/>
        <v>259.33333333333326</v>
      </c>
      <c r="AQ224" s="460">
        <f t="shared" si="493"/>
        <v>1</v>
      </c>
      <c r="AR224" s="582">
        <f t="shared" si="494"/>
        <v>248.6666666666666</v>
      </c>
      <c r="AS224" s="113">
        <f t="shared" si="495"/>
        <v>102.33333333333329</v>
      </c>
      <c r="AT224" s="113">
        <f t="shared" si="496"/>
        <v>0</v>
      </c>
      <c r="AU224" s="113">
        <f t="shared" si="497"/>
        <v>128.00000000000006</v>
      </c>
      <c r="AV224" s="459">
        <f t="shared" si="498"/>
        <v>18.333333333333332</v>
      </c>
      <c r="AW224" s="461">
        <f t="shared" si="499"/>
        <v>499.66666666666669</v>
      </c>
      <c r="AX224" s="582">
        <f t="shared" si="500"/>
        <v>346.99999999999994</v>
      </c>
      <c r="AY224" s="113">
        <f t="shared" si="501"/>
        <v>217.33333333333334</v>
      </c>
      <c r="AZ224" s="113">
        <f t="shared" si="502"/>
        <v>0</v>
      </c>
      <c r="BA224" s="113">
        <f t="shared" si="503"/>
        <v>129.66666666666669</v>
      </c>
      <c r="BB224" s="460">
        <f t="shared" si="504"/>
        <v>0</v>
      </c>
      <c r="BC224" s="582">
        <f t="shared" si="505"/>
        <v>152.66666666666671</v>
      </c>
      <c r="BD224" s="113">
        <f t="shared" si="506"/>
        <v>85.999999999999943</v>
      </c>
      <c r="BE224" s="113">
        <f t="shared" si="507"/>
        <v>0</v>
      </c>
      <c r="BF224" s="113">
        <f t="shared" si="508"/>
        <v>56.666666666666679</v>
      </c>
      <c r="BG224" s="459">
        <f t="shared" si="509"/>
        <v>10.000000000000002</v>
      </c>
      <c r="BH224" s="461">
        <f t="shared" si="510"/>
        <v>725.33333333333348</v>
      </c>
      <c r="BI224" s="582">
        <f t="shared" si="511"/>
        <v>557.66666666666663</v>
      </c>
      <c r="BJ224" s="113">
        <f t="shared" si="512"/>
        <v>311.66666666666674</v>
      </c>
      <c r="BK224" s="113">
        <f t="shared" si="513"/>
        <v>3.666666666666667</v>
      </c>
      <c r="BL224" s="113">
        <f t="shared" si="514"/>
        <v>242</v>
      </c>
      <c r="BM224" s="460">
        <f t="shared" si="515"/>
        <v>0.33333333333333331</v>
      </c>
      <c r="BN224" s="582">
        <f t="shared" si="516"/>
        <v>167.66666666666666</v>
      </c>
      <c r="BO224" s="113">
        <f t="shared" si="517"/>
        <v>71.000000000000014</v>
      </c>
      <c r="BP224" s="113">
        <f t="shared" si="518"/>
        <v>0</v>
      </c>
      <c r="BQ224" s="113">
        <f t="shared" si="519"/>
        <v>82.666666666666686</v>
      </c>
      <c r="BR224" s="459">
        <f t="shared" si="520"/>
        <v>14.000000000000004</v>
      </c>
      <c r="BS224" s="461">
        <f t="shared" si="521"/>
        <v>1027.0000000000005</v>
      </c>
      <c r="BT224" s="582">
        <f t="shared" si="522"/>
        <v>763.00000000000011</v>
      </c>
      <c r="BU224" s="113">
        <f t="shared" si="523"/>
        <v>397.33333333333326</v>
      </c>
      <c r="BV224" s="113">
        <f t="shared" si="524"/>
        <v>1.3333333333333333</v>
      </c>
      <c r="BW224" s="113">
        <f t="shared" si="525"/>
        <v>363.99999999999994</v>
      </c>
      <c r="BX224" s="460">
        <f t="shared" si="526"/>
        <v>0.33333333333333331</v>
      </c>
      <c r="BY224" s="582">
        <f t="shared" si="527"/>
        <v>263.99999999999994</v>
      </c>
      <c r="BZ224" s="113">
        <f t="shared" si="528"/>
        <v>119.33333333333324</v>
      </c>
      <c r="CA224" s="113">
        <f t="shared" si="529"/>
        <v>0</v>
      </c>
      <c r="CB224" s="113">
        <f t="shared" si="530"/>
        <v>122.33333333333324</v>
      </c>
      <c r="CC224" s="459">
        <f t="shared" si="531"/>
        <v>22.333333333333332</v>
      </c>
      <c r="CD224" s="461">
        <f t="shared" si="532"/>
        <v>189.66666666666666</v>
      </c>
      <c r="CE224" s="582">
        <f t="shared" si="533"/>
        <v>137.00000000000003</v>
      </c>
      <c r="CF224" s="113">
        <f t="shared" si="534"/>
        <v>71.666666666666657</v>
      </c>
      <c r="CG224" s="113">
        <f t="shared" si="535"/>
        <v>2</v>
      </c>
      <c r="CH224" s="113">
        <f t="shared" si="536"/>
        <v>63.333333333333336</v>
      </c>
      <c r="CI224" s="460">
        <f t="shared" si="537"/>
        <v>0</v>
      </c>
      <c r="CJ224" s="582">
        <f t="shared" si="538"/>
        <v>52.66666666666665</v>
      </c>
      <c r="CK224" s="113">
        <f t="shared" si="539"/>
        <v>25.999999999999996</v>
      </c>
      <c r="CL224" s="113">
        <f t="shared" si="540"/>
        <v>0</v>
      </c>
      <c r="CM224" s="113">
        <f t="shared" si="541"/>
        <v>22.666666666666668</v>
      </c>
      <c r="CN224" s="459">
        <f t="shared" si="542"/>
        <v>4</v>
      </c>
      <c r="CO224" s="461">
        <f t="shared" si="543"/>
        <v>142</v>
      </c>
      <c r="CP224" s="582">
        <f t="shared" si="544"/>
        <v>94.666666666666671</v>
      </c>
      <c r="CQ224" s="113">
        <f t="shared" si="545"/>
        <v>61.666666666666671</v>
      </c>
      <c r="CR224" s="113">
        <f t="shared" si="546"/>
        <v>1.3333333333333333</v>
      </c>
      <c r="CS224" s="113">
        <f t="shared" si="547"/>
        <v>31.666666666666664</v>
      </c>
      <c r="CT224" s="460">
        <f t="shared" si="548"/>
        <v>0</v>
      </c>
      <c r="CU224" s="582">
        <f t="shared" si="549"/>
        <v>47.333333333333343</v>
      </c>
      <c r="CV224" s="113">
        <f t="shared" si="550"/>
        <v>23.999999999999986</v>
      </c>
      <c r="CW224" s="113">
        <f t="shared" si="551"/>
        <v>0</v>
      </c>
      <c r="CX224" s="113">
        <f t="shared" si="552"/>
        <v>23.333333333333321</v>
      </c>
      <c r="CY224" s="459">
        <f t="shared" si="553"/>
        <v>0</v>
      </c>
      <c r="CZ224" s="461">
        <f t="shared" si="554"/>
        <v>44.666666666666671</v>
      </c>
      <c r="DA224" s="582">
        <f t="shared" si="555"/>
        <v>27.666666666666671</v>
      </c>
      <c r="DB224" s="113">
        <f t="shared" si="556"/>
        <v>11</v>
      </c>
      <c r="DC224" s="113">
        <f t="shared" si="557"/>
        <v>0.33333333333333331</v>
      </c>
      <c r="DD224" s="113">
        <f t="shared" si="558"/>
        <v>16.333333333333329</v>
      </c>
      <c r="DE224" s="460">
        <f t="shared" si="559"/>
        <v>0</v>
      </c>
      <c r="DF224" s="582">
        <f t="shared" si="560"/>
        <v>17.000000000000011</v>
      </c>
      <c r="DG224" s="113">
        <f t="shared" si="561"/>
        <v>13.000000000000011</v>
      </c>
      <c r="DH224" s="113">
        <f t="shared" si="562"/>
        <v>0</v>
      </c>
      <c r="DI224" s="113">
        <f t="shared" si="563"/>
        <v>3.9999999999999996</v>
      </c>
      <c r="DJ224" s="459">
        <f t="shared" si="564"/>
        <v>0</v>
      </c>
      <c r="DK224" s="461">
        <f t="shared" si="565"/>
        <v>0</v>
      </c>
      <c r="DL224" s="582">
        <f t="shared" si="566"/>
        <v>0</v>
      </c>
      <c r="DM224" s="113">
        <f t="shared" si="567"/>
        <v>0</v>
      </c>
      <c r="DN224" s="113">
        <f t="shared" si="568"/>
        <v>0</v>
      </c>
      <c r="DO224" s="113">
        <f t="shared" si="569"/>
        <v>0</v>
      </c>
      <c r="DP224" s="460">
        <f t="shared" si="570"/>
        <v>0</v>
      </c>
      <c r="DQ224" s="582">
        <f t="shared" si="571"/>
        <v>1</v>
      </c>
      <c r="DR224" s="113">
        <f t="shared" si="572"/>
        <v>1</v>
      </c>
      <c r="DS224" s="113">
        <f t="shared" si="573"/>
        <v>0</v>
      </c>
      <c r="DT224" s="113">
        <f t="shared" si="574"/>
        <v>0</v>
      </c>
      <c r="DU224" s="459">
        <f t="shared" si="575"/>
        <v>0</v>
      </c>
      <c r="DW224" s="461">
        <f t="shared" si="315"/>
        <v>2875.3333333333339</v>
      </c>
      <c r="DX224" s="582">
        <f t="shared" si="315"/>
        <v>2074.3333333333335</v>
      </c>
      <c r="DY224" s="113">
        <f t="shared" si="315"/>
        <v>1149.3333333333335</v>
      </c>
      <c r="DZ224" s="113">
        <f t="shared" si="315"/>
        <v>10.666666666666668</v>
      </c>
      <c r="EA224" s="113">
        <f t="shared" si="315"/>
        <v>913.66666666666663</v>
      </c>
      <c r="EB224" s="460">
        <f t="shared" si="453"/>
        <v>0.66666666666666663</v>
      </c>
      <c r="EC224" s="582">
        <f t="shared" si="453"/>
        <v>802</v>
      </c>
      <c r="ED224" s="113">
        <f t="shared" si="453"/>
        <v>397.66666666666652</v>
      </c>
      <c r="EE224" s="113">
        <f t="shared" si="453"/>
        <v>0</v>
      </c>
      <c r="EF224" s="113">
        <f t="shared" si="453"/>
        <v>343.99999999999994</v>
      </c>
      <c r="EG224" s="459">
        <f t="shared" si="453"/>
        <v>60.333333333333329</v>
      </c>
      <c r="EH224" s="461">
        <f t="shared" si="313"/>
        <v>896.33333333333326</v>
      </c>
      <c r="EI224" s="582">
        <f t="shared" si="313"/>
        <v>647.66666666666652</v>
      </c>
      <c r="EJ224" s="113">
        <f t="shared" si="313"/>
        <v>380.33333333333331</v>
      </c>
      <c r="EK224" s="113">
        <f t="shared" si="313"/>
        <v>7.0000000000000009</v>
      </c>
      <c r="EL224" s="113">
        <f t="shared" si="313"/>
        <v>259.33333333333326</v>
      </c>
      <c r="EM224" s="460">
        <f t="shared" si="313"/>
        <v>1</v>
      </c>
      <c r="EN224" s="582">
        <f t="shared" si="313"/>
        <v>248.6666666666666</v>
      </c>
      <c r="EO224" s="113">
        <f t="shared" si="313"/>
        <v>102.33333333333329</v>
      </c>
      <c r="EP224" s="113">
        <f t="shared" si="313"/>
        <v>0</v>
      </c>
      <c r="EQ224" s="113">
        <f t="shared" si="313"/>
        <v>128.00000000000006</v>
      </c>
      <c r="ER224" s="459">
        <f t="shared" si="313"/>
        <v>18.333333333333332</v>
      </c>
    </row>
    <row r="225" spans="1:148">
      <c r="A225" s="665" t="s">
        <v>422</v>
      </c>
      <c r="B225" s="665">
        <v>44866</v>
      </c>
      <c r="C225" s="666">
        <v>2022</v>
      </c>
      <c r="D225" s="461">
        <f t="shared" ref="D225" si="579">D114/3+D224</f>
        <v>4172924.0000000005</v>
      </c>
      <c r="E225" s="461">
        <f t="shared" si="455"/>
        <v>99908.333333333343</v>
      </c>
      <c r="F225" s="582">
        <f t="shared" si="456"/>
        <v>70937.333333333343</v>
      </c>
      <c r="G225" s="113">
        <f t="shared" si="457"/>
        <v>38383.333333333321</v>
      </c>
      <c r="H225" s="113">
        <f t="shared" si="458"/>
        <v>757.33333333333326</v>
      </c>
      <c r="I225" s="113">
        <f t="shared" si="459"/>
        <v>31648</v>
      </c>
      <c r="J225" s="460">
        <f t="shared" si="460"/>
        <v>148.66666666666666</v>
      </c>
      <c r="K225" s="582">
        <f t="shared" si="461"/>
        <v>28970.999999999989</v>
      </c>
      <c r="L225" s="113">
        <f t="shared" si="462"/>
        <v>13813.000000000004</v>
      </c>
      <c r="M225" s="113">
        <f t="shared" si="463"/>
        <v>0</v>
      </c>
      <c r="N225" s="113">
        <f t="shared" si="464"/>
        <v>12755.999999999998</v>
      </c>
      <c r="O225" s="459">
        <f t="shared" si="465"/>
        <v>2401.9999999999991</v>
      </c>
      <c r="P225" s="461">
        <f t="shared" si="466"/>
        <v>154</v>
      </c>
      <c r="Q225" s="582">
        <f t="shared" si="467"/>
        <v>95.333333333333371</v>
      </c>
      <c r="R225" s="113">
        <f t="shared" si="468"/>
        <v>51.666666666666671</v>
      </c>
      <c r="S225" s="113">
        <f t="shared" si="469"/>
        <v>1</v>
      </c>
      <c r="T225" s="113">
        <f t="shared" si="470"/>
        <v>42.666666666666686</v>
      </c>
      <c r="U225" s="460">
        <f t="shared" si="471"/>
        <v>0</v>
      </c>
      <c r="V225" s="582">
        <f t="shared" si="472"/>
        <v>58.6666666666667</v>
      </c>
      <c r="W225" s="113">
        <f t="shared" si="473"/>
        <v>27.000000000000004</v>
      </c>
      <c r="X225" s="113">
        <f t="shared" si="474"/>
        <v>0</v>
      </c>
      <c r="Y225" s="113">
        <f t="shared" si="475"/>
        <v>26.666666666666671</v>
      </c>
      <c r="Z225" s="459">
        <f t="shared" si="476"/>
        <v>4.9999999999999991</v>
      </c>
      <c r="AA225" s="461">
        <f t="shared" si="477"/>
        <v>99.000000000000028</v>
      </c>
      <c r="AB225" s="582">
        <f t="shared" si="478"/>
        <v>57.333333333333321</v>
      </c>
      <c r="AC225" s="113">
        <f t="shared" si="479"/>
        <v>29.666666666666664</v>
      </c>
      <c r="AD225" s="113">
        <f t="shared" si="480"/>
        <v>1</v>
      </c>
      <c r="AE225" s="113">
        <f t="shared" si="481"/>
        <v>26.666666666666668</v>
      </c>
      <c r="AF225" s="460">
        <f t="shared" si="482"/>
        <v>0</v>
      </c>
      <c r="AG225" s="582">
        <f t="shared" si="483"/>
        <v>41.666666666666679</v>
      </c>
      <c r="AH225" s="113">
        <f t="shared" si="484"/>
        <v>30.66666666666665</v>
      </c>
      <c r="AI225" s="113">
        <f t="shared" si="485"/>
        <v>0</v>
      </c>
      <c r="AJ225" s="113">
        <f t="shared" si="486"/>
        <v>5.9999999999999982</v>
      </c>
      <c r="AK225" s="459">
        <f t="shared" si="487"/>
        <v>4.9999999999999991</v>
      </c>
      <c r="AL225" s="461">
        <f t="shared" si="488"/>
        <v>931.66666666666663</v>
      </c>
      <c r="AM225" s="582">
        <f t="shared" si="489"/>
        <v>677.33333333333314</v>
      </c>
      <c r="AN225" s="113">
        <f t="shared" si="490"/>
        <v>391.66666666666663</v>
      </c>
      <c r="AO225" s="113">
        <f t="shared" si="491"/>
        <v>8</v>
      </c>
      <c r="AP225" s="113">
        <f t="shared" si="492"/>
        <v>276.66666666666657</v>
      </c>
      <c r="AQ225" s="460">
        <f t="shared" si="493"/>
        <v>1</v>
      </c>
      <c r="AR225" s="582">
        <f t="shared" si="494"/>
        <v>254.33333333333326</v>
      </c>
      <c r="AS225" s="113">
        <f t="shared" si="495"/>
        <v>102.66666666666661</v>
      </c>
      <c r="AT225" s="113">
        <f t="shared" si="496"/>
        <v>0</v>
      </c>
      <c r="AU225" s="113">
        <f t="shared" si="497"/>
        <v>133.00000000000006</v>
      </c>
      <c r="AV225" s="459">
        <f t="shared" si="498"/>
        <v>18.666666666666664</v>
      </c>
      <c r="AW225" s="461">
        <f t="shared" si="499"/>
        <v>521.33333333333337</v>
      </c>
      <c r="AX225" s="582">
        <f t="shared" si="500"/>
        <v>363.99999999999994</v>
      </c>
      <c r="AY225" s="113">
        <f t="shared" si="501"/>
        <v>224.66666666666669</v>
      </c>
      <c r="AZ225" s="113">
        <f t="shared" si="502"/>
        <v>0</v>
      </c>
      <c r="BA225" s="113">
        <f t="shared" si="503"/>
        <v>139.33333333333334</v>
      </c>
      <c r="BB225" s="460">
        <f t="shared" si="504"/>
        <v>0</v>
      </c>
      <c r="BC225" s="582">
        <f t="shared" si="505"/>
        <v>157.33333333333337</v>
      </c>
      <c r="BD225" s="113">
        <f t="shared" si="506"/>
        <v>86.999999999999943</v>
      </c>
      <c r="BE225" s="113">
        <f t="shared" si="507"/>
        <v>0</v>
      </c>
      <c r="BF225" s="113">
        <f t="shared" si="508"/>
        <v>60.333333333333343</v>
      </c>
      <c r="BG225" s="459">
        <f t="shared" si="509"/>
        <v>10.000000000000002</v>
      </c>
      <c r="BH225" s="461">
        <f t="shared" si="510"/>
        <v>756.66666666666686</v>
      </c>
      <c r="BI225" s="582">
        <f t="shared" si="511"/>
        <v>585.33333333333326</v>
      </c>
      <c r="BJ225" s="113">
        <f t="shared" si="512"/>
        <v>317.33333333333343</v>
      </c>
      <c r="BK225" s="113">
        <f t="shared" si="513"/>
        <v>4.3333333333333339</v>
      </c>
      <c r="BL225" s="113">
        <f t="shared" si="514"/>
        <v>263</v>
      </c>
      <c r="BM225" s="460">
        <f t="shared" si="515"/>
        <v>0.66666666666666663</v>
      </c>
      <c r="BN225" s="582">
        <f t="shared" si="516"/>
        <v>171.33333333333331</v>
      </c>
      <c r="BO225" s="113">
        <f t="shared" si="517"/>
        <v>72.000000000000014</v>
      </c>
      <c r="BP225" s="113">
        <f t="shared" si="518"/>
        <v>0</v>
      </c>
      <c r="BQ225" s="113">
        <f t="shared" si="519"/>
        <v>85.333333333333357</v>
      </c>
      <c r="BR225" s="459">
        <f t="shared" si="520"/>
        <v>14.000000000000004</v>
      </c>
      <c r="BS225" s="461">
        <f t="shared" si="521"/>
        <v>1074.0000000000005</v>
      </c>
      <c r="BT225" s="582">
        <f t="shared" si="522"/>
        <v>805.00000000000011</v>
      </c>
      <c r="BU225" s="113">
        <f t="shared" si="523"/>
        <v>406.66666666666657</v>
      </c>
      <c r="BV225" s="113">
        <f t="shared" si="524"/>
        <v>1.6666666666666665</v>
      </c>
      <c r="BW225" s="113">
        <f t="shared" si="525"/>
        <v>395.99999999999994</v>
      </c>
      <c r="BX225" s="460">
        <f t="shared" si="526"/>
        <v>0.66666666666666663</v>
      </c>
      <c r="BY225" s="582">
        <f t="shared" si="527"/>
        <v>268.99999999999994</v>
      </c>
      <c r="BZ225" s="113">
        <f t="shared" si="528"/>
        <v>119.66666666666657</v>
      </c>
      <c r="CA225" s="113">
        <f t="shared" si="529"/>
        <v>0</v>
      </c>
      <c r="CB225" s="113">
        <f t="shared" si="530"/>
        <v>126.66666666666657</v>
      </c>
      <c r="CC225" s="459">
        <f t="shared" si="531"/>
        <v>22.666666666666664</v>
      </c>
      <c r="CD225" s="461">
        <f t="shared" si="532"/>
        <v>200.33333333333331</v>
      </c>
      <c r="CE225" s="582">
        <f t="shared" si="533"/>
        <v>145.00000000000003</v>
      </c>
      <c r="CF225" s="113">
        <f t="shared" si="534"/>
        <v>73.333333333333329</v>
      </c>
      <c r="CG225" s="113">
        <f t="shared" si="535"/>
        <v>2</v>
      </c>
      <c r="CH225" s="113">
        <f t="shared" si="536"/>
        <v>69.666666666666671</v>
      </c>
      <c r="CI225" s="460">
        <f t="shared" si="537"/>
        <v>0</v>
      </c>
      <c r="CJ225" s="582">
        <f t="shared" si="538"/>
        <v>55.333333333333314</v>
      </c>
      <c r="CK225" s="113">
        <f t="shared" si="539"/>
        <v>25.999999999999996</v>
      </c>
      <c r="CL225" s="113">
        <f t="shared" si="540"/>
        <v>0</v>
      </c>
      <c r="CM225" s="113">
        <f t="shared" si="541"/>
        <v>25.333333333333336</v>
      </c>
      <c r="CN225" s="459">
        <f t="shared" si="542"/>
        <v>4</v>
      </c>
      <c r="CO225" s="461">
        <f t="shared" si="543"/>
        <v>148</v>
      </c>
      <c r="CP225" s="582">
        <f t="shared" si="544"/>
        <v>100.33333333333334</v>
      </c>
      <c r="CQ225" s="113">
        <f t="shared" si="545"/>
        <v>64.333333333333343</v>
      </c>
      <c r="CR225" s="113">
        <f t="shared" si="546"/>
        <v>1.6666666666666665</v>
      </c>
      <c r="CS225" s="113">
        <f t="shared" si="547"/>
        <v>34.333333333333329</v>
      </c>
      <c r="CT225" s="460">
        <f t="shared" si="548"/>
        <v>0</v>
      </c>
      <c r="CU225" s="582">
        <f t="shared" si="549"/>
        <v>47.666666666666679</v>
      </c>
      <c r="CV225" s="113">
        <f t="shared" si="550"/>
        <v>23.999999999999986</v>
      </c>
      <c r="CW225" s="113">
        <f t="shared" si="551"/>
        <v>0</v>
      </c>
      <c r="CX225" s="113">
        <f t="shared" si="552"/>
        <v>23.666666666666654</v>
      </c>
      <c r="CY225" s="459">
        <f t="shared" si="553"/>
        <v>0</v>
      </c>
      <c r="CZ225" s="461">
        <f t="shared" si="554"/>
        <v>47.333333333333336</v>
      </c>
      <c r="DA225" s="582">
        <f t="shared" si="555"/>
        <v>30.333333333333339</v>
      </c>
      <c r="DB225" s="113">
        <f t="shared" si="556"/>
        <v>11</v>
      </c>
      <c r="DC225" s="113">
        <f t="shared" si="557"/>
        <v>0.66666666666666663</v>
      </c>
      <c r="DD225" s="113">
        <f t="shared" si="558"/>
        <v>18.666666666666661</v>
      </c>
      <c r="DE225" s="460">
        <f t="shared" si="559"/>
        <v>0</v>
      </c>
      <c r="DF225" s="582">
        <f t="shared" si="560"/>
        <v>17.000000000000011</v>
      </c>
      <c r="DG225" s="113">
        <f t="shared" si="561"/>
        <v>13.000000000000011</v>
      </c>
      <c r="DH225" s="113">
        <f t="shared" si="562"/>
        <v>0</v>
      </c>
      <c r="DI225" s="113">
        <f t="shared" si="563"/>
        <v>3.9999999999999996</v>
      </c>
      <c r="DJ225" s="459">
        <f t="shared" si="564"/>
        <v>0</v>
      </c>
      <c r="DK225" s="461">
        <f t="shared" si="565"/>
        <v>0</v>
      </c>
      <c r="DL225" s="582">
        <f t="shared" si="566"/>
        <v>0</v>
      </c>
      <c r="DM225" s="113">
        <f t="shared" si="567"/>
        <v>0</v>
      </c>
      <c r="DN225" s="113">
        <f t="shared" si="568"/>
        <v>0</v>
      </c>
      <c r="DO225" s="113">
        <f t="shared" si="569"/>
        <v>0</v>
      </c>
      <c r="DP225" s="460">
        <f t="shared" si="570"/>
        <v>0</v>
      </c>
      <c r="DQ225" s="582">
        <f t="shared" si="571"/>
        <v>1</v>
      </c>
      <c r="DR225" s="113">
        <f t="shared" si="572"/>
        <v>1</v>
      </c>
      <c r="DS225" s="113">
        <f t="shared" si="573"/>
        <v>0</v>
      </c>
      <c r="DT225" s="113">
        <f t="shared" si="574"/>
        <v>0</v>
      </c>
      <c r="DU225" s="459">
        <f t="shared" si="575"/>
        <v>0</v>
      </c>
      <c r="DW225" s="461">
        <f t="shared" si="315"/>
        <v>3000.6666666666679</v>
      </c>
      <c r="DX225" s="582">
        <f t="shared" si="315"/>
        <v>2182.666666666667</v>
      </c>
      <c r="DY225" s="113">
        <f t="shared" si="315"/>
        <v>1178.6666666666665</v>
      </c>
      <c r="DZ225" s="113">
        <f t="shared" si="315"/>
        <v>12.333333333333332</v>
      </c>
      <c r="EA225" s="113">
        <f t="shared" si="315"/>
        <v>990.33333333333326</v>
      </c>
      <c r="EB225" s="460">
        <f t="shared" si="453"/>
        <v>1.3333333333333333</v>
      </c>
      <c r="EC225" s="582">
        <f t="shared" si="453"/>
        <v>818.99999999999989</v>
      </c>
      <c r="ED225" s="113">
        <f t="shared" si="453"/>
        <v>400.3333333333332</v>
      </c>
      <c r="EE225" s="113">
        <f t="shared" si="453"/>
        <v>0</v>
      </c>
      <c r="EF225" s="113">
        <f t="shared" si="453"/>
        <v>357.99999999999989</v>
      </c>
      <c r="EG225" s="459">
        <f t="shared" si="453"/>
        <v>60.666666666666664</v>
      </c>
      <c r="EH225" s="461">
        <f t="shared" si="313"/>
        <v>931.66666666666663</v>
      </c>
      <c r="EI225" s="582">
        <f t="shared" si="313"/>
        <v>677.33333333333314</v>
      </c>
      <c r="EJ225" s="113">
        <f t="shared" si="313"/>
        <v>391.66666666666663</v>
      </c>
      <c r="EK225" s="113">
        <f t="shared" si="313"/>
        <v>8</v>
      </c>
      <c r="EL225" s="113">
        <f t="shared" si="313"/>
        <v>276.66666666666657</v>
      </c>
      <c r="EM225" s="460">
        <f t="shared" si="313"/>
        <v>1</v>
      </c>
      <c r="EN225" s="582">
        <f t="shared" si="313"/>
        <v>254.33333333333326</v>
      </c>
      <c r="EO225" s="113">
        <f t="shared" si="313"/>
        <v>102.66666666666661</v>
      </c>
      <c r="EP225" s="113">
        <f t="shared" si="313"/>
        <v>0</v>
      </c>
      <c r="EQ225" s="113">
        <f t="shared" si="313"/>
        <v>133.00000000000006</v>
      </c>
      <c r="ER225" s="459">
        <f t="shared" si="313"/>
        <v>18.666666666666664</v>
      </c>
    </row>
    <row r="226" spans="1:148">
      <c r="A226" s="665" t="s">
        <v>422</v>
      </c>
      <c r="B226" s="665">
        <v>44896</v>
      </c>
      <c r="C226" s="666">
        <v>2022</v>
      </c>
      <c r="D226" s="461">
        <f t="shared" ref="D226" si="580">D115/3+D225</f>
        <v>4218370</v>
      </c>
      <c r="E226" s="461">
        <f t="shared" si="455"/>
        <v>103572.00000000001</v>
      </c>
      <c r="F226" s="582">
        <f t="shared" si="456"/>
        <v>74106.000000000015</v>
      </c>
      <c r="G226" s="113">
        <f t="shared" si="457"/>
        <v>39247.999999999985</v>
      </c>
      <c r="H226" s="113">
        <f t="shared" si="458"/>
        <v>871.99999999999989</v>
      </c>
      <c r="I226" s="113">
        <f t="shared" si="459"/>
        <v>33810</v>
      </c>
      <c r="J226" s="460">
        <f t="shared" si="460"/>
        <v>176</v>
      </c>
      <c r="K226" s="582">
        <f t="shared" si="461"/>
        <v>29465.999999999989</v>
      </c>
      <c r="L226" s="113">
        <f t="shared" si="462"/>
        <v>13870.000000000004</v>
      </c>
      <c r="M226" s="113">
        <f t="shared" si="463"/>
        <v>0</v>
      </c>
      <c r="N226" s="113">
        <f t="shared" si="464"/>
        <v>13171.999999999998</v>
      </c>
      <c r="O226" s="459">
        <f t="shared" si="465"/>
        <v>2423.9999999999991</v>
      </c>
      <c r="P226" s="461">
        <f t="shared" si="466"/>
        <v>158</v>
      </c>
      <c r="Q226" s="582">
        <f t="shared" si="467"/>
        <v>99.000000000000043</v>
      </c>
      <c r="R226" s="113">
        <f t="shared" si="468"/>
        <v>53.000000000000007</v>
      </c>
      <c r="S226" s="113">
        <f t="shared" si="469"/>
        <v>1</v>
      </c>
      <c r="T226" s="113">
        <f t="shared" si="470"/>
        <v>45.000000000000021</v>
      </c>
      <c r="U226" s="460">
        <f t="shared" si="471"/>
        <v>0</v>
      </c>
      <c r="V226" s="582">
        <f t="shared" si="472"/>
        <v>59.000000000000036</v>
      </c>
      <c r="W226" s="113">
        <f t="shared" si="473"/>
        <v>27.000000000000004</v>
      </c>
      <c r="X226" s="113">
        <f t="shared" si="474"/>
        <v>0</v>
      </c>
      <c r="Y226" s="113">
        <f t="shared" si="475"/>
        <v>27.000000000000004</v>
      </c>
      <c r="Z226" s="459">
        <f t="shared" si="476"/>
        <v>4.9999999999999991</v>
      </c>
      <c r="AA226" s="461">
        <f t="shared" si="477"/>
        <v>101.00000000000003</v>
      </c>
      <c r="AB226" s="582">
        <f t="shared" si="478"/>
        <v>58.999999999999986</v>
      </c>
      <c r="AC226" s="113">
        <f t="shared" si="479"/>
        <v>30.999999999999996</v>
      </c>
      <c r="AD226" s="113">
        <f t="shared" si="480"/>
        <v>1</v>
      </c>
      <c r="AE226" s="113">
        <f t="shared" si="481"/>
        <v>27</v>
      </c>
      <c r="AF226" s="460">
        <f t="shared" si="482"/>
        <v>0</v>
      </c>
      <c r="AG226" s="582">
        <f t="shared" si="483"/>
        <v>42.000000000000014</v>
      </c>
      <c r="AH226" s="113">
        <f t="shared" si="484"/>
        <v>30.999999999999982</v>
      </c>
      <c r="AI226" s="113">
        <f t="shared" si="485"/>
        <v>0</v>
      </c>
      <c r="AJ226" s="113">
        <f t="shared" si="486"/>
        <v>5.9999999999999982</v>
      </c>
      <c r="AK226" s="459">
        <f t="shared" si="487"/>
        <v>4.9999999999999991</v>
      </c>
      <c r="AL226" s="461">
        <f t="shared" si="488"/>
        <v>967</v>
      </c>
      <c r="AM226" s="582">
        <f t="shared" si="489"/>
        <v>706.99999999999977</v>
      </c>
      <c r="AN226" s="113">
        <f t="shared" si="490"/>
        <v>402.99999999999994</v>
      </c>
      <c r="AO226" s="113">
        <f t="shared" si="491"/>
        <v>9</v>
      </c>
      <c r="AP226" s="113">
        <f t="shared" si="492"/>
        <v>293.99999999999989</v>
      </c>
      <c r="AQ226" s="460">
        <f t="shared" si="493"/>
        <v>1</v>
      </c>
      <c r="AR226" s="582">
        <f t="shared" si="494"/>
        <v>259.99999999999994</v>
      </c>
      <c r="AS226" s="113">
        <f t="shared" si="495"/>
        <v>102.99999999999994</v>
      </c>
      <c r="AT226" s="113">
        <f t="shared" si="496"/>
        <v>0</v>
      </c>
      <c r="AU226" s="113">
        <f t="shared" si="497"/>
        <v>138.00000000000006</v>
      </c>
      <c r="AV226" s="459">
        <f t="shared" si="498"/>
        <v>18.999999999999996</v>
      </c>
      <c r="AW226" s="461">
        <f t="shared" si="499"/>
        <v>543</v>
      </c>
      <c r="AX226" s="582">
        <f t="shared" si="500"/>
        <v>380.99999999999994</v>
      </c>
      <c r="AY226" s="113">
        <f t="shared" si="501"/>
        <v>232.00000000000003</v>
      </c>
      <c r="AZ226" s="113">
        <f t="shared" si="502"/>
        <v>0</v>
      </c>
      <c r="BA226" s="113">
        <f t="shared" si="503"/>
        <v>149</v>
      </c>
      <c r="BB226" s="460">
        <f t="shared" si="504"/>
        <v>0</v>
      </c>
      <c r="BC226" s="582">
        <f t="shared" si="505"/>
        <v>162.00000000000003</v>
      </c>
      <c r="BD226" s="113">
        <f t="shared" si="506"/>
        <v>87.999999999999943</v>
      </c>
      <c r="BE226" s="113">
        <f t="shared" si="507"/>
        <v>0</v>
      </c>
      <c r="BF226" s="113">
        <f t="shared" si="508"/>
        <v>64.000000000000014</v>
      </c>
      <c r="BG226" s="459">
        <f t="shared" si="509"/>
        <v>10.000000000000002</v>
      </c>
      <c r="BH226" s="461">
        <f t="shared" si="510"/>
        <v>788.00000000000023</v>
      </c>
      <c r="BI226" s="582">
        <f t="shared" si="511"/>
        <v>612.99999999999989</v>
      </c>
      <c r="BJ226" s="113">
        <f t="shared" si="512"/>
        <v>323.00000000000011</v>
      </c>
      <c r="BK226" s="113">
        <f t="shared" si="513"/>
        <v>5.0000000000000009</v>
      </c>
      <c r="BL226" s="113">
        <f t="shared" si="514"/>
        <v>284</v>
      </c>
      <c r="BM226" s="460">
        <f t="shared" si="515"/>
        <v>1</v>
      </c>
      <c r="BN226" s="582">
        <f t="shared" si="516"/>
        <v>174.99999999999997</v>
      </c>
      <c r="BO226" s="113">
        <f t="shared" si="517"/>
        <v>73.000000000000014</v>
      </c>
      <c r="BP226" s="113">
        <f t="shared" si="518"/>
        <v>0</v>
      </c>
      <c r="BQ226" s="113">
        <f t="shared" si="519"/>
        <v>88.000000000000028</v>
      </c>
      <c r="BR226" s="459">
        <f t="shared" si="520"/>
        <v>14.000000000000004</v>
      </c>
      <c r="BS226" s="461">
        <f t="shared" si="521"/>
        <v>1121.0000000000005</v>
      </c>
      <c r="BT226" s="582">
        <f t="shared" si="522"/>
        <v>847.00000000000011</v>
      </c>
      <c r="BU226" s="113">
        <f t="shared" si="523"/>
        <v>415.99999999999989</v>
      </c>
      <c r="BV226" s="113">
        <f t="shared" si="524"/>
        <v>1.9999999999999998</v>
      </c>
      <c r="BW226" s="113">
        <f t="shared" si="525"/>
        <v>427.99999999999994</v>
      </c>
      <c r="BX226" s="460">
        <f t="shared" si="526"/>
        <v>1</v>
      </c>
      <c r="BY226" s="582">
        <f t="shared" si="527"/>
        <v>273.99999999999994</v>
      </c>
      <c r="BZ226" s="113">
        <f t="shared" si="528"/>
        <v>119.9999999999999</v>
      </c>
      <c r="CA226" s="113">
        <f t="shared" si="529"/>
        <v>0</v>
      </c>
      <c r="CB226" s="113">
        <f t="shared" si="530"/>
        <v>130.99999999999991</v>
      </c>
      <c r="CC226" s="459">
        <f t="shared" si="531"/>
        <v>22.999999999999996</v>
      </c>
      <c r="CD226" s="461">
        <f t="shared" si="532"/>
        <v>210.99999999999997</v>
      </c>
      <c r="CE226" s="582">
        <f t="shared" si="533"/>
        <v>153.00000000000003</v>
      </c>
      <c r="CF226" s="113">
        <f t="shared" si="534"/>
        <v>75</v>
      </c>
      <c r="CG226" s="113">
        <f t="shared" si="535"/>
        <v>2</v>
      </c>
      <c r="CH226" s="113">
        <f t="shared" si="536"/>
        <v>76</v>
      </c>
      <c r="CI226" s="460">
        <f t="shared" si="537"/>
        <v>0</v>
      </c>
      <c r="CJ226" s="582">
        <f t="shared" si="538"/>
        <v>57.999999999999979</v>
      </c>
      <c r="CK226" s="113">
        <f t="shared" si="539"/>
        <v>25.999999999999996</v>
      </c>
      <c r="CL226" s="113">
        <f t="shared" si="540"/>
        <v>0</v>
      </c>
      <c r="CM226" s="113">
        <f t="shared" si="541"/>
        <v>28.000000000000004</v>
      </c>
      <c r="CN226" s="459">
        <f t="shared" si="542"/>
        <v>4</v>
      </c>
      <c r="CO226" s="461">
        <f t="shared" si="543"/>
        <v>154</v>
      </c>
      <c r="CP226" s="582">
        <f t="shared" si="544"/>
        <v>106.00000000000001</v>
      </c>
      <c r="CQ226" s="113">
        <f t="shared" si="545"/>
        <v>67.000000000000014</v>
      </c>
      <c r="CR226" s="113">
        <f t="shared" si="546"/>
        <v>1.9999999999999998</v>
      </c>
      <c r="CS226" s="113">
        <f t="shared" si="547"/>
        <v>36.999999999999993</v>
      </c>
      <c r="CT226" s="460">
        <f t="shared" si="548"/>
        <v>0</v>
      </c>
      <c r="CU226" s="582">
        <f t="shared" si="549"/>
        <v>48.000000000000014</v>
      </c>
      <c r="CV226" s="113">
        <f t="shared" si="550"/>
        <v>23.999999999999986</v>
      </c>
      <c r="CW226" s="113">
        <f t="shared" si="551"/>
        <v>0</v>
      </c>
      <c r="CX226" s="113">
        <f t="shared" si="552"/>
        <v>23.999999999999986</v>
      </c>
      <c r="CY226" s="459">
        <f t="shared" si="553"/>
        <v>0</v>
      </c>
      <c r="CZ226" s="461">
        <f t="shared" si="554"/>
        <v>50</v>
      </c>
      <c r="DA226" s="582">
        <f t="shared" si="555"/>
        <v>33.000000000000007</v>
      </c>
      <c r="DB226" s="113">
        <f t="shared" si="556"/>
        <v>11</v>
      </c>
      <c r="DC226" s="113">
        <f t="shared" si="557"/>
        <v>1</v>
      </c>
      <c r="DD226" s="113">
        <f t="shared" si="558"/>
        <v>20.999999999999993</v>
      </c>
      <c r="DE226" s="460">
        <f t="shared" si="559"/>
        <v>0</v>
      </c>
      <c r="DF226" s="582">
        <f t="shared" si="560"/>
        <v>17.000000000000011</v>
      </c>
      <c r="DG226" s="113">
        <f t="shared" si="561"/>
        <v>13.000000000000011</v>
      </c>
      <c r="DH226" s="113">
        <f t="shared" si="562"/>
        <v>0</v>
      </c>
      <c r="DI226" s="113">
        <f t="shared" si="563"/>
        <v>3.9999999999999996</v>
      </c>
      <c r="DJ226" s="459">
        <f t="shared" si="564"/>
        <v>0</v>
      </c>
      <c r="DK226" s="461">
        <f t="shared" si="565"/>
        <v>0</v>
      </c>
      <c r="DL226" s="582">
        <f t="shared" si="566"/>
        <v>0</v>
      </c>
      <c r="DM226" s="113">
        <f t="shared" si="567"/>
        <v>0</v>
      </c>
      <c r="DN226" s="113">
        <f t="shared" si="568"/>
        <v>0</v>
      </c>
      <c r="DO226" s="113">
        <f t="shared" si="569"/>
        <v>0</v>
      </c>
      <c r="DP226" s="460">
        <f t="shared" si="570"/>
        <v>0</v>
      </c>
      <c r="DQ226" s="582">
        <f t="shared" si="571"/>
        <v>1</v>
      </c>
      <c r="DR226" s="113">
        <f t="shared" si="572"/>
        <v>1</v>
      </c>
      <c r="DS226" s="113">
        <f t="shared" si="573"/>
        <v>0</v>
      </c>
      <c r="DT226" s="113">
        <f t="shared" si="574"/>
        <v>0</v>
      </c>
      <c r="DU226" s="459">
        <f t="shared" si="575"/>
        <v>0</v>
      </c>
      <c r="DW226" s="461">
        <f t="shared" si="315"/>
        <v>3126.0000000000009</v>
      </c>
      <c r="DX226" s="582">
        <f t="shared" si="315"/>
        <v>2291</v>
      </c>
      <c r="DY226" s="113">
        <f t="shared" si="315"/>
        <v>1208</v>
      </c>
      <c r="DZ226" s="113">
        <f t="shared" si="315"/>
        <v>14</v>
      </c>
      <c r="EA226" s="113">
        <f t="shared" si="315"/>
        <v>1067</v>
      </c>
      <c r="EB226" s="460">
        <f t="shared" si="453"/>
        <v>2</v>
      </c>
      <c r="EC226" s="582">
        <f t="shared" si="453"/>
        <v>836</v>
      </c>
      <c r="ED226" s="113">
        <f t="shared" si="453"/>
        <v>402.99999999999983</v>
      </c>
      <c r="EE226" s="113">
        <f t="shared" si="453"/>
        <v>0</v>
      </c>
      <c r="EF226" s="113">
        <f t="shared" si="453"/>
        <v>372</v>
      </c>
      <c r="EG226" s="459">
        <f t="shared" si="453"/>
        <v>61</v>
      </c>
      <c r="EH226" s="461">
        <f t="shared" si="313"/>
        <v>967</v>
      </c>
      <c r="EI226" s="582">
        <f t="shared" si="313"/>
        <v>706.99999999999977</v>
      </c>
      <c r="EJ226" s="113">
        <f t="shared" si="313"/>
        <v>402.99999999999994</v>
      </c>
      <c r="EK226" s="113">
        <f t="shared" si="313"/>
        <v>9</v>
      </c>
      <c r="EL226" s="113">
        <f t="shared" si="313"/>
        <v>293.99999999999989</v>
      </c>
      <c r="EM226" s="460">
        <f t="shared" si="313"/>
        <v>1</v>
      </c>
      <c r="EN226" s="582">
        <f t="shared" si="313"/>
        <v>259.99999999999994</v>
      </c>
      <c r="EO226" s="113">
        <f t="shared" si="313"/>
        <v>102.99999999999994</v>
      </c>
      <c r="EP226" s="113">
        <f t="shared" si="313"/>
        <v>0</v>
      </c>
      <c r="EQ226" s="113">
        <f t="shared" si="313"/>
        <v>138.00000000000006</v>
      </c>
      <c r="ER226" s="459">
        <f t="shared" si="313"/>
        <v>18.999999999999996</v>
      </c>
    </row>
    <row r="227" spans="1:148">
      <c r="A227" s="665" t="s">
        <v>423</v>
      </c>
      <c r="B227" s="665">
        <v>44927</v>
      </c>
      <c r="C227" s="666">
        <v>2023</v>
      </c>
      <c r="D227" s="461">
        <f t="shared" ref="D227" si="581">D116/3+D226</f>
        <v>4266242.666666667</v>
      </c>
      <c r="E227" s="461">
        <f t="shared" si="455"/>
        <v>106412.00000000001</v>
      </c>
      <c r="F227" s="582">
        <f t="shared" si="456"/>
        <v>76359.333333333343</v>
      </c>
      <c r="G227" s="113">
        <f t="shared" si="457"/>
        <v>40036.333333333321</v>
      </c>
      <c r="H227" s="113">
        <f t="shared" si="458"/>
        <v>989.99999999999989</v>
      </c>
      <c r="I227" s="113">
        <f t="shared" si="459"/>
        <v>35122.666666666664</v>
      </c>
      <c r="J227" s="460">
        <f t="shared" si="460"/>
        <v>210.33333333333334</v>
      </c>
      <c r="K227" s="582">
        <f t="shared" si="461"/>
        <v>30052.666666666657</v>
      </c>
      <c r="L227" s="113">
        <f t="shared" si="462"/>
        <v>13898.333333333338</v>
      </c>
      <c r="M227" s="113">
        <f t="shared" si="463"/>
        <v>0</v>
      </c>
      <c r="N227" s="113">
        <f t="shared" si="464"/>
        <v>13665.333333333332</v>
      </c>
      <c r="O227" s="459">
        <f t="shared" si="465"/>
        <v>2488.9999999999991</v>
      </c>
      <c r="P227" s="461">
        <f t="shared" si="466"/>
        <v>164.33333333333334</v>
      </c>
      <c r="Q227" s="582">
        <f t="shared" si="467"/>
        <v>102.00000000000004</v>
      </c>
      <c r="R227" s="113">
        <f t="shared" si="468"/>
        <v>55.333333333333343</v>
      </c>
      <c r="S227" s="113">
        <f t="shared" si="469"/>
        <v>1</v>
      </c>
      <c r="T227" s="113">
        <f t="shared" si="470"/>
        <v>45.666666666666686</v>
      </c>
      <c r="U227" s="460">
        <f t="shared" si="471"/>
        <v>0</v>
      </c>
      <c r="V227" s="582">
        <f t="shared" si="472"/>
        <v>62.333333333333371</v>
      </c>
      <c r="W227" s="113">
        <f t="shared" si="473"/>
        <v>27.000000000000004</v>
      </c>
      <c r="X227" s="113">
        <f t="shared" si="474"/>
        <v>0</v>
      </c>
      <c r="Y227" s="113">
        <f t="shared" si="475"/>
        <v>29.666666666666671</v>
      </c>
      <c r="Z227" s="459">
        <f t="shared" si="476"/>
        <v>5.6666666666666661</v>
      </c>
      <c r="AA227" s="461">
        <f t="shared" si="477"/>
        <v>105.00000000000003</v>
      </c>
      <c r="AB227" s="582">
        <f t="shared" si="478"/>
        <v>62.66666666666665</v>
      </c>
      <c r="AC227" s="113">
        <f t="shared" si="479"/>
        <v>31.666666666666664</v>
      </c>
      <c r="AD227" s="113">
        <f t="shared" si="480"/>
        <v>1</v>
      </c>
      <c r="AE227" s="113">
        <f t="shared" si="481"/>
        <v>30</v>
      </c>
      <c r="AF227" s="460">
        <f t="shared" si="482"/>
        <v>0</v>
      </c>
      <c r="AG227" s="582">
        <f t="shared" si="483"/>
        <v>42.33333333333335</v>
      </c>
      <c r="AH227" s="113">
        <f t="shared" si="484"/>
        <v>30.999999999999982</v>
      </c>
      <c r="AI227" s="113">
        <f t="shared" si="485"/>
        <v>0</v>
      </c>
      <c r="AJ227" s="113">
        <f t="shared" si="486"/>
        <v>6.3333333333333313</v>
      </c>
      <c r="AK227" s="459">
        <f t="shared" si="487"/>
        <v>4.9999999999999991</v>
      </c>
      <c r="AL227" s="461">
        <f t="shared" si="488"/>
        <v>997</v>
      </c>
      <c r="AM227" s="582">
        <f t="shared" si="489"/>
        <v>731.33333333333314</v>
      </c>
      <c r="AN227" s="113">
        <f t="shared" si="490"/>
        <v>410.33333333333326</v>
      </c>
      <c r="AO227" s="113">
        <f t="shared" si="491"/>
        <v>9.6666666666666661</v>
      </c>
      <c r="AP227" s="113">
        <f t="shared" si="492"/>
        <v>310.3333333333332</v>
      </c>
      <c r="AQ227" s="460">
        <f t="shared" si="493"/>
        <v>1</v>
      </c>
      <c r="AR227" s="582">
        <f t="shared" si="494"/>
        <v>265.66666666666663</v>
      </c>
      <c r="AS227" s="113">
        <f t="shared" si="495"/>
        <v>102.99999999999994</v>
      </c>
      <c r="AT227" s="113">
        <f t="shared" si="496"/>
        <v>0</v>
      </c>
      <c r="AU227" s="113">
        <f t="shared" si="497"/>
        <v>143.66666666666671</v>
      </c>
      <c r="AV227" s="459">
        <f t="shared" si="498"/>
        <v>18.999999999999996</v>
      </c>
      <c r="AW227" s="461">
        <f t="shared" si="499"/>
        <v>560.66666666666663</v>
      </c>
      <c r="AX227" s="582">
        <f t="shared" si="500"/>
        <v>394.99999999999994</v>
      </c>
      <c r="AY227" s="113">
        <f t="shared" si="501"/>
        <v>236.66666666666669</v>
      </c>
      <c r="AZ227" s="113">
        <f t="shared" si="502"/>
        <v>1</v>
      </c>
      <c r="BA227" s="113">
        <f t="shared" si="503"/>
        <v>157.33333333333334</v>
      </c>
      <c r="BB227" s="460">
        <f t="shared" si="504"/>
        <v>0</v>
      </c>
      <c r="BC227" s="582">
        <f t="shared" si="505"/>
        <v>165.66666666666669</v>
      </c>
      <c r="BD227" s="113">
        <f t="shared" si="506"/>
        <v>87.999999999999943</v>
      </c>
      <c r="BE227" s="113">
        <f t="shared" si="507"/>
        <v>0</v>
      </c>
      <c r="BF227" s="113">
        <f t="shared" si="508"/>
        <v>67.666666666666686</v>
      </c>
      <c r="BG227" s="459">
        <f t="shared" si="509"/>
        <v>10.000000000000002</v>
      </c>
      <c r="BH227" s="461">
        <f t="shared" si="510"/>
        <v>810.3333333333336</v>
      </c>
      <c r="BI227" s="582">
        <f t="shared" si="511"/>
        <v>632.66666666666652</v>
      </c>
      <c r="BJ227" s="113">
        <f t="shared" si="512"/>
        <v>329.6666666666668</v>
      </c>
      <c r="BK227" s="113">
        <f t="shared" si="513"/>
        <v>5.6666666666666679</v>
      </c>
      <c r="BL227" s="113">
        <f t="shared" si="514"/>
        <v>296.33333333333331</v>
      </c>
      <c r="BM227" s="460">
        <f t="shared" si="515"/>
        <v>1</v>
      </c>
      <c r="BN227" s="582">
        <f t="shared" si="516"/>
        <v>177.66666666666663</v>
      </c>
      <c r="BO227" s="113">
        <f t="shared" si="517"/>
        <v>73.000000000000014</v>
      </c>
      <c r="BP227" s="113">
        <f t="shared" si="518"/>
        <v>0</v>
      </c>
      <c r="BQ227" s="113">
        <f t="shared" si="519"/>
        <v>90.333333333333357</v>
      </c>
      <c r="BR227" s="459">
        <f t="shared" si="520"/>
        <v>14.333333333333337</v>
      </c>
      <c r="BS227" s="461">
        <f t="shared" si="521"/>
        <v>1161.3333333333337</v>
      </c>
      <c r="BT227" s="582">
        <f t="shared" si="522"/>
        <v>880.66666666666674</v>
      </c>
      <c r="BU227" s="113">
        <f t="shared" si="523"/>
        <v>425.66666666666657</v>
      </c>
      <c r="BV227" s="113">
        <f t="shared" si="524"/>
        <v>2.6666666666666665</v>
      </c>
      <c r="BW227" s="113">
        <f t="shared" si="525"/>
        <v>451.33333333333326</v>
      </c>
      <c r="BX227" s="460">
        <f t="shared" si="526"/>
        <v>1</v>
      </c>
      <c r="BY227" s="582">
        <f t="shared" si="527"/>
        <v>280.66666666666663</v>
      </c>
      <c r="BZ227" s="113">
        <f t="shared" si="528"/>
        <v>119.9999999999999</v>
      </c>
      <c r="CA227" s="113">
        <f t="shared" si="529"/>
        <v>0</v>
      </c>
      <c r="CB227" s="113">
        <f t="shared" si="530"/>
        <v>137.33333333333326</v>
      </c>
      <c r="CC227" s="459">
        <f t="shared" si="531"/>
        <v>23.333333333333329</v>
      </c>
      <c r="CD227" s="461">
        <f t="shared" si="532"/>
        <v>215.33333333333331</v>
      </c>
      <c r="CE227" s="582">
        <f t="shared" si="533"/>
        <v>156.00000000000003</v>
      </c>
      <c r="CF227" s="113">
        <f t="shared" si="534"/>
        <v>76.333333333333329</v>
      </c>
      <c r="CG227" s="113">
        <f t="shared" si="535"/>
        <v>2</v>
      </c>
      <c r="CH227" s="113">
        <f t="shared" si="536"/>
        <v>77.666666666666671</v>
      </c>
      <c r="CI227" s="460">
        <f t="shared" si="537"/>
        <v>0</v>
      </c>
      <c r="CJ227" s="582">
        <f t="shared" si="538"/>
        <v>59.333333333333314</v>
      </c>
      <c r="CK227" s="113">
        <f t="shared" si="539"/>
        <v>25.999999999999996</v>
      </c>
      <c r="CL227" s="113">
        <f t="shared" si="540"/>
        <v>0</v>
      </c>
      <c r="CM227" s="113">
        <f t="shared" si="541"/>
        <v>29.333333333333336</v>
      </c>
      <c r="CN227" s="459">
        <f t="shared" si="542"/>
        <v>4</v>
      </c>
      <c r="CO227" s="461">
        <f t="shared" si="543"/>
        <v>157</v>
      </c>
      <c r="CP227" s="582">
        <f t="shared" si="544"/>
        <v>108.66666666666669</v>
      </c>
      <c r="CQ227" s="113">
        <f t="shared" si="545"/>
        <v>67.666666666666686</v>
      </c>
      <c r="CR227" s="113">
        <f t="shared" si="546"/>
        <v>2.333333333333333</v>
      </c>
      <c r="CS227" s="113">
        <f t="shared" si="547"/>
        <v>38.666666666666657</v>
      </c>
      <c r="CT227" s="460">
        <f t="shared" si="548"/>
        <v>0</v>
      </c>
      <c r="CU227" s="582">
        <f t="shared" si="549"/>
        <v>48.33333333333335</v>
      </c>
      <c r="CV227" s="113">
        <f t="shared" si="550"/>
        <v>23.999999999999986</v>
      </c>
      <c r="CW227" s="113">
        <f t="shared" si="551"/>
        <v>0</v>
      </c>
      <c r="CX227" s="113">
        <f t="shared" si="552"/>
        <v>24.333333333333318</v>
      </c>
      <c r="CY227" s="459">
        <f t="shared" si="553"/>
        <v>0</v>
      </c>
      <c r="CZ227" s="461">
        <f t="shared" si="554"/>
        <v>52</v>
      </c>
      <c r="DA227" s="582">
        <f t="shared" si="555"/>
        <v>34.000000000000007</v>
      </c>
      <c r="DB227" s="113">
        <f t="shared" si="556"/>
        <v>11.666666666666666</v>
      </c>
      <c r="DC227" s="113">
        <f t="shared" si="557"/>
        <v>1</v>
      </c>
      <c r="DD227" s="113">
        <f t="shared" si="558"/>
        <v>21.333333333333325</v>
      </c>
      <c r="DE227" s="460">
        <f t="shared" si="559"/>
        <v>0</v>
      </c>
      <c r="DF227" s="582">
        <f t="shared" si="560"/>
        <v>18.000000000000011</v>
      </c>
      <c r="DG227" s="113">
        <f t="shared" si="561"/>
        <v>13.000000000000011</v>
      </c>
      <c r="DH227" s="113">
        <f t="shared" si="562"/>
        <v>0</v>
      </c>
      <c r="DI227" s="113">
        <f t="shared" si="563"/>
        <v>3.9999999999999996</v>
      </c>
      <c r="DJ227" s="459">
        <f t="shared" si="564"/>
        <v>1</v>
      </c>
      <c r="DK227" s="461">
        <f t="shared" si="565"/>
        <v>0.33333333333333331</v>
      </c>
      <c r="DL227" s="582">
        <f t="shared" si="566"/>
        <v>0.33333333333333331</v>
      </c>
      <c r="DM227" s="113">
        <f t="shared" si="567"/>
        <v>0</v>
      </c>
      <c r="DN227" s="113">
        <f t="shared" si="568"/>
        <v>0.33333333333333331</v>
      </c>
      <c r="DO227" s="113">
        <f t="shared" si="569"/>
        <v>0</v>
      </c>
      <c r="DP227" s="460">
        <f t="shared" si="570"/>
        <v>0</v>
      </c>
      <c r="DQ227" s="582">
        <f t="shared" si="571"/>
        <v>1</v>
      </c>
      <c r="DR227" s="113">
        <f t="shared" si="572"/>
        <v>1</v>
      </c>
      <c r="DS227" s="113">
        <f t="shared" si="573"/>
        <v>0</v>
      </c>
      <c r="DT227" s="113">
        <f t="shared" si="574"/>
        <v>0</v>
      </c>
      <c r="DU227" s="459">
        <f t="shared" si="575"/>
        <v>0</v>
      </c>
      <c r="DW227" s="461">
        <f t="shared" si="315"/>
        <v>3226.3333333333339</v>
      </c>
      <c r="DX227" s="582">
        <f t="shared" si="315"/>
        <v>2372</v>
      </c>
      <c r="DY227" s="113">
        <f t="shared" si="315"/>
        <v>1234.6666666666667</v>
      </c>
      <c r="DZ227" s="113">
        <f t="shared" si="315"/>
        <v>17</v>
      </c>
      <c r="EA227" s="113">
        <f t="shared" si="315"/>
        <v>1118.3333333333333</v>
      </c>
      <c r="EB227" s="460">
        <f t="shared" si="453"/>
        <v>2</v>
      </c>
      <c r="EC227" s="582">
        <f t="shared" si="453"/>
        <v>855.33333333333337</v>
      </c>
      <c r="ED227" s="113">
        <f t="shared" si="453"/>
        <v>402.99999999999983</v>
      </c>
      <c r="EE227" s="113">
        <f t="shared" si="453"/>
        <v>0</v>
      </c>
      <c r="EF227" s="113">
        <f t="shared" si="453"/>
        <v>388.99999999999994</v>
      </c>
      <c r="EG227" s="459">
        <f t="shared" si="453"/>
        <v>63.333333333333329</v>
      </c>
      <c r="EH227" s="461">
        <f t="shared" si="313"/>
        <v>997</v>
      </c>
      <c r="EI227" s="582">
        <f t="shared" si="313"/>
        <v>731.33333333333314</v>
      </c>
      <c r="EJ227" s="113">
        <f t="shared" si="313"/>
        <v>410.33333333333326</v>
      </c>
      <c r="EK227" s="113">
        <f t="shared" si="313"/>
        <v>9.6666666666666661</v>
      </c>
      <c r="EL227" s="113">
        <f t="shared" si="313"/>
        <v>310.3333333333332</v>
      </c>
      <c r="EM227" s="460">
        <f t="shared" si="313"/>
        <v>1</v>
      </c>
      <c r="EN227" s="582">
        <f t="shared" si="313"/>
        <v>265.66666666666663</v>
      </c>
      <c r="EO227" s="113">
        <f t="shared" si="313"/>
        <v>102.99999999999994</v>
      </c>
      <c r="EP227" s="113">
        <f t="shared" si="313"/>
        <v>0</v>
      </c>
      <c r="EQ227" s="113">
        <f t="shared" si="313"/>
        <v>143.66666666666671</v>
      </c>
      <c r="ER227" s="459">
        <f t="shared" si="313"/>
        <v>18.999999999999996</v>
      </c>
    </row>
    <row r="228" spans="1:148">
      <c r="A228" s="665" t="s">
        <v>423</v>
      </c>
      <c r="B228" s="665">
        <v>44958</v>
      </c>
      <c r="C228" s="666">
        <v>2023</v>
      </c>
      <c r="D228" s="461">
        <f t="shared" ref="D228" si="582">D117/3+D227</f>
        <v>4314115.333333334</v>
      </c>
      <c r="E228" s="461">
        <f t="shared" si="455"/>
        <v>109252.00000000001</v>
      </c>
      <c r="F228" s="582">
        <f t="shared" si="456"/>
        <v>78612.666666666672</v>
      </c>
      <c r="G228" s="113">
        <f t="shared" si="457"/>
        <v>40824.666666666657</v>
      </c>
      <c r="H228" s="113">
        <f t="shared" si="458"/>
        <v>1108</v>
      </c>
      <c r="I228" s="113">
        <f t="shared" si="459"/>
        <v>36435.333333333328</v>
      </c>
      <c r="J228" s="460">
        <f t="shared" si="460"/>
        <v>244.66666666666669</v>
      </c>
      <c r="K228" s="582">
        <f t="shared" si="461"/>
        <v>30639.333333333325</v>
      </c>
      <c r="L228" s="113">
        <f t="shared" si="462"/>
        <v>13926.666666666672</v>
      </c>
      <c r="M228" s="113">
        <f t="shared" si="463"/>
        <v>0</v>
      </c>
      <c r="N228" s="113">
        <f t="shared" si="464"/>
        <v>14158.666666666666</v>
      </c>
      <c r="O228" s="459">
        <f t="shared" si="465"/>
        <v>2553.9999999999991</v>
      </c>
      <c r="P228" s="461">
        <f t="shared" si="466"/>
        <v>170.66666666666669</v>
      </c>
      <c r="Q228" s="582">
        <f t="shared" si="467"/>
        <v>105.00000000000004</v>
      </c>
      <c r="R228" s="113">
        <f t="shared" si="468"/>
        <v>57.666666666666679</v>
      </c>
      <c r="S228" s="113">
        <f t="shared" si="469"/>
        <v>1</v>
      </c>
      <c r="T228" s="113">
        <f t="shared" si="470"/>
        <v>46.33333333333335</v>
      </c>
      <c r="U228" s="460">
        <f t="shared" si="471"/>
        <v>0</v>
      </c>
      <c r="V228" s="582">
        <f t="shared" si="472"/>
        <v>65.6666666666667</v>
      </c>
      <c r="W228" s="113">
        <f t="shared" si="473"/>
        <v>27.000000000000004</v>
      </c>
      <c r="X228" s="113">
        <f t="shared" si="474"/>
        <v>0</v>
      </c>
      <c r="Y228" s="113">
        <f t="shared" si="475"/>
        <v>32.333333333333336</v>
      </c>
      <c r="Z228" s="459">
        <f t="shared" si="476"/>
        <v>6.333333333333333</v>
      </c>
      <c r="AA228" s="461">
        <f t="shared" si="477"/>
        <v>109.00000000000003</v>
      </c>
      <c r="AB228" s="582">
        <f t="shared" si="478"/>
        <v>66.333333333333314</v>
      </c>
      <c r="AC228" s="113">
        <f t="shared" si="479"/>
        <v>32.333333333333329</v>
      </c>
      <c r="AD228" s="113">
        <f t="shared" si="480"/>
        <v>1</v>
      </c>
      <c r="AE228" s="113">
        <f t="shared" si="481"/>
        <v>33</v>
      </c>
      <c r="AF228" s="460">
        <f t="shared" si="482"/>
        <v>0</v>
      </c>
      <c r="AG228" s="582">
        <f t="shared" si="483"/>
        <v>42.666666666666686</v>
      </c>
      <c r="AH228" s="113">
        <f t="shared" si="484"/>
        <v>30.999999999999982</v>
      </c>
      <c r="AI228" s="113">
        <f t="shared" si="485"/>
        <v>0</v>
      </c>
      <c r="AJ228" s="113">
        <f t="shared" si="486"/>
        <v>6.6666666666666643</v>
      </c>
      <c r="AK228" s="459">
        <f t="shared" si="487"/>
        <v>4.9999999999999991</v>
      </c>
      <c r="AL228" s="461">
        <f t="shared" si="488"/>
        <v>1027</v>
      </c>
      <c r="AM228" s="582">
        <f t="shared" si="489"/>
        <v>755.66666666666652</v>
      </c>
      <c r="AN228" s="113">
        <f t="shared" si="490"/>
        <v>417.66666666666657</v>
      </c>
      <c r="AO228" s="113">
        <f t="shared" si="491"/>
        <v>10.333333333333332</v>
      </c>
      <c r="AP228" s="113">
        <f t="shared" si="492"/>
        <v>326.66666666666652</v>
      </c>
      <c r="AQ228" s="460">
        <f t="shared" si="493"/>
        <v>1</v>
      </c>
      <c r="AR228" s="582">
        <f t="shared" si="494"/>
        <v>271.33333333333331</v>
      </c>
      <c r="AS228" s="113">
        <f t="shared" si="495"/>
        <v>102.99999999999994</v>
      </c>
      <c r="AT228" s="113">
        <f t="shared" si="496"/>
        <v>0</v>
      </c>
      <c r="AU228" s="113">
        <f t="shared" si="497"/>
        <v>149.33333333333337</v>
      </c>
      <c r="AV228" s="459">
        <f t="shared" si="498"/>
        <v>18.999999999999996</v>
      </c>
      <c r="AW228" s="461">
        <f t="shared" si="499"/>
        <v>578.33333333333326</v>
      </c>
      <c r="AX228" s="582">
        <f t="shared" si="500"/>
        <v>408.99999999999994</v>
      </c>
      <c r="AY228" s="113">
        <f t="shared" si="501"/>
        <v>241.33333333333334</v>
      </c>
      <c r="AZ228" s="113">
        <f t="shared" si="502"/>
        <v>2</v>
      </c>
      <c r="BA228" s="113">
        <f t="shared" si="503"/>
        <v>165.66666666666669</v>
      </c>
      <c r="BB228" s="460">
        <f t="shared" si="504"/>
        <v>0</v>
      </c>
      <c r="BC228" s="582">
        <f t="shared" si="505"/>
        <v>169.33333333333334</v>
      </c>
      <c r="BD228" s="113">
        <f t="shared" si="506"/>
        <v>87.999999999999943</v>
      </c>
      <c r="BE228" s="113">
        <f t="shared" si="507"/>
        <v>0</v>
      </c>
      <c r="BF228" s="113">
        <f t="shared" si="508"/>
        <v>71.333333333333357</v>
      </c>
      <c r="BG228" s="459">
        <f t="shared" si="509"/>
        <v>10.000000000000002</v>
      </c>
      <c r="BH228" s="461">
        <f t="shared" si="510"/>
        <v>832.66666666666697</v>
      </c>
      <c r="BI228" s="582">
        <f t="shared" si="511"/>
        <v>652.33333333333314</v>
      </c>
      <c r="BJ228" s="113">
        <f t="shared" si="512"/>
        <v>336.33333333333348</v>
      </c>
      <c r="BK228" s="113">
        <f t="shared" si="513"/>
        <v>6.3333333333333348</v>
      </c>
      <c r="BL228" s="113">
        <f t="shared" si="514"/>
        <v>308.66666666666663</v>
      </c>
      <c r="BM228" s="460">
        <f t="shared" si="515"/>
        <v>1</v>
      </c>
      <c r="BN228" s="582">
        <f t="shared" si="516"/>
        <v>180.33333333333329</v>
      </c>
      <c r="BO228" s="113">
        <f t="shared" si="517"/>
        <v>73.000000000000014</v>
      </c>
      <c r="BP228" s="113">
        <f t="shared" si="518"/>
        <v>0</v>
      </c>
      <c r="BQ228" s="113">
        <f t="shared" si="519"/>
        <v>92.666666666666686</v>
      </c>
      <c r="BR228" s="459">
        <f t="shared" si="520"/>
        <v>14.666666666666671</v>
      </c>
      <c r="BS228" s="461">
        <f t="shared" si="521"/>
        <v>1201.666666666667</v>
      </c>
      <c r="BT228" s="582">
        <f t="shared" si="522"/>
        <v>914.33333333333337</v>
      </c>
      <c r="BU228" s="113">
        <f t="shared" si="523"/>
        <v>435.33333333333326</v>
      </c>
      <c r="BV228" s="113">
        <f t="shared" si="524"/>
        <v>3.333333333333333</v>
      </c>
      <c r="BW228" s="113">
        <f t="shared" si="525"/>
        <v>474.66666666666657</v>
      </c>
      <c r="BX228" s="460">
        <f t="shared" si="526"/>
        <v>1</v>
      </c>
      <c r="BY228" s="582">
        <f t="shared" si="527"/>
        <v>287.33333333333331</v>
      </c>
      <c r="BZ228" s="113">
        <f t="shared" si="528"/>
        <v>119.9999999999999</v>
      </c>
      <c r="CA228" s="113">
        <f t="shared" si="529"/>
        <v>0</v>
      </c>
      <c r="CB228" s="113">
        <f t="shared" si="530"/>
        <v>143.6666666666666</v>
      </c>
      <c r="CC228" s="459">
        <f t="shared" si="531"/>
        <v>23.666666666666661</v>
      </c>
      <c r="CD228" s="461">
        <f t="shared" si="532"/>
        <v>219.66666666666666</v>
      </c>
      <c r="CE228" s="582">
        <f t="shared" si="533"/>
        <v>159.00000000000003</v>
      </c>
      <c r="CF228" s="113">
        <f t="shared" si="534"/>
        <v>77.666666666666657</v>
      </c>
      <c r="CG228" s="113">
        <f t="shared" si="535"/>
        <v>2</v>
      </c>
      <c r="CH228" s="113">
        <f t="shared" si="536"/>
        <v>79.333333333333343</v>
      </c>
      <c r="CI228" s="460">
        <f t="shared" si="537"/>
        <v>0</v>
      </c>
      <c r="CJ228" s="582">
        <f t="shared" si="538"/>
        <v>60.66666666666665</v>
      </c>
      <c r="CK228" s="113">
        <f t="shared" si="539"/>
        <v>25.999999999999996</v>
      </c>
      <c r="CL228" s="113">
        <f t="shared" si="540"/>
        <v>0</v>
      </c>
      <c r="CM228" s="113">
        <f t="shared" si="541"/>
        <v>30.666666666666668</v>
      </c>
      <c r="CN228" s="459">
        <f t="shared" si="542"/>
        <v>4</v>
      </c>
      <c r="CO228" s="461">
        <f t="shared" si="543"/>
        <v>160</v>
      </c>
      <c r="CP228" s="582">
        <f t="shared" si="544"/>
        <v>111.33333333333336</v>
      </c>
      <c r="CQ228" s="113">
        <f t="shared" si="545"/>
        <v>68.333333333333357</v>
      </c>
      <c r="CR228" s="113">
        <f t="shared" si="546"/>
        <v>2.6666666666666665</v>
      </c>
      <c r="CS228" s="113">
        <f t="shared" si="547"/>
        <v>40.333333333333321</v>
      </c>
      <c r="CT228" s="460">
        <f t="shared" si="548"/>
        <v>0</v>
      </c>
      <c r="CU228" s="582">
        <f t="shared" si="549"/>
        <v>48.666666666666686</v>
      </c>
      <c r="CV228" s="113">
        <f t="shared" si="550"/>
        <v>23.999999999999986</v>
      </c>
      <c r="CW228" s="113">
        <f t="shared" si="551"/>
        <v>0</v>
      </c>
      <c r="CX228" s="113">
        <f t="shared" si="552"/>
        <v>24.66666666666665</v>
      </c>
      <c r="CY228" s="459">
        <f t="shared" si="553"/>
        <v>0</v>
      </c>
      <c r="CZ228" s="461">
        <f t="shared" si="554"/>
        <v>54</v>
      </c>
      <c r="DA228" s="582">
        <f t="shared" si="555"/>
        <v>35.000000000000007</v>
      </c>
      <c r="DB228" s="113">
        <f t="shared" si="556"/>
        <v>12.333333333333332</v>
      </c>
      <c r="DC228" s="113">
        <f t="shared" si="557"/>
        <v>1</v>
      </c>
      <c r="DD228" s="113">
        <f t="shared" si="558"/>
        <v>21.666666666666657</v>
      </c>
      <c r="DE228" s="460">
        <f t="shared" si="559"/>
        <v>0</v>
      </c>
      <c r="DF228" s="582">
        <f t="shared" si="560"/>
        <v>19.000000000000011</v>
      </c>
      <c r="DG228" s="113">
        <f t="shared" si="561"/>
        <v>13.000000000000011</v>
      </c>
      <c r="DH228" s="113">
        <f t="shared" si="562"/>
        <v>0</v>
      </c>
      <c r="DI228" s="113">
        <f t="shared" si="563"/>
        <v>3.9999999999999996</v>
      </c>
      <c r="DJ228" s="459">
        <f t="shared" si="564"/>
        <v>2</v>
      </c>
      <c r="DK228" s="461">
        <f t="shared" si="565"/>
        <v>0.66666666666666663</v>
      </c>
      <c r="DL228" s="582">
        <f t="shared" si="566"/>
        <v>0.66666666666666663</v>
      </c>
      <c r="DM228" s="113">
        <f t="shared" si="567"/>
        <v>0</v>
      </c>
      <c r="DN228" s="113">
        <f t="shared" si="568"/>
        <v>0.66666666666666663</v>
      </c>
      <c r="DO228" s="113">
        <f t="shared" si="569"/>
        <v>0</v>
      </c>
      <c r="DP228" s="460">
        <f t="shared" si="570"/>
        <v>0</v>
      </c>
      <c r="DQ228" s="582">
        <f t="shared" si="571"/>
        <v>1</v>
      </c>
      <c r="DR228" s="113">
        <f t="shared" si="572"/>
        <v>1</v>
      </c>
      <c r="DS228" s="113">
        <f t="shared" si="573"/>
        <v>0</v>
      </c>
      <c r="DT228" s="113">
        <f t="shared" si="574"/>
        <v>0</v>
      </c>
      <c r="DU228" s="459">
        <f t="shared" si="575"/>
        <v>0</v>
      </c>
      <c r="DW228" s="461">
        <f t="shared" si="315"/>
        <v>3326.666666666667</v>
      </c>
      <c r="DX228" s="582">
        <f t="shared" si="315"/>
        <v>2453</v>
      </c>
      <c r="DY228" s="113">
        <f t="shared" si="315"/>
        <v>1261.3333333333333</v>
      </c>
      <c r="DZ228" s="113">
        <f t="shared" si="315"/>
        <v>20.000000000000004</v>
      </c>
      <c r="EA228" s="113">
        <f t="shared" si="315"/>
        <v>1169.6666666666665</v>
      </c>
      <c r="EB228" s="460">
        <f t="shared" si="453"/>
        <v>2</v>
      </c>
      <c r="EC228" s="582">
        <f t="shared" si="453"/>
        <v>874.66666666666652</v>
      </c>
      <c r="ED228" s="113">
        <f t="shared" si="453"/>
        <v>402.99999999999983</v>
      </c>
      <c r="EE228" s="113">
        <f t="shared" si="453"/>
        <v>0</v>
      </c>
      <c r="EF228" s="113">
        <f t="shared" si="453"/>
        <v>405.99999999999994</v>
      </c>
      <c r="EG228" s="459">
        <f t="shared" si="453"/>
        <v>65.666666666666671</v>
      </c>
      <c r="EH228" s="461">
        <f t="shared" si="313"/>
        <v>1027</v>
      </c>
      <c r="EI228" s="582">
        <f t="shared" si="313"/>
        <v>755.66666666666652</v>
      </c>
      <c r="EJ228" s="113">
        <f t="shared" si="313"/>
        <v>417.66666666666657</v>
      </c>
      <c r="EK228" s="113">
        <f t="shared" si="313"/>
        <v>10.333333333333332</v>
      </c>
      <c r="EL228" s="113">
        <f t="shared" si="313"/>
        <v>326.66666666666652</v>
      </c>
      <c r="EM228" s="460">
        <f t="shared" si="313"/>
        <v>1</v>
      </c>
      <c r="EN228" s="582">
        <f t="shared" si="313"/>
        <v>271.33333333333331</v>
      </c>
      <c r="EO228" s="113">
        <f t="shared" si="313"/>
        <v>102.99999999999994</v>
      </c>
      <c r="EP228" s="113">
        <f t="shared" si="313"/>
        <v>0</v>
      </c>
      <c r="EQ228" s="113">
        <f t="shared" si="313"/>
        <v>149.33333333333337</v>
      </c>
      <c r="ER228" s="459">
        <f t="shared" si="313"/>
        <v>18.999999999999996</v>
      </c>
    </row>
    <row r="229" spans="1:148">
      <c r="A229" s="665" t="s">
        <v>423</v>
      </c>
      <c r="B229" s="665">
        <v>44986</v>
      </c>
      <c r="C229" s="666">
        <v>2023</v>
      </c>
      <c r="D229" s="461">
        <f t="shared" ref="D229" si="583">D118/3+D228</f>
        <v>4361988.0000000009</v>
      </c>
      <c r="E229" s="461">
        <f t="shared" si="455"/>
        <v>112092.00000000001</v>
      </c>
      <c r="F229" s="582">
        <f t="shared" si="456"/>
        <v>80866</v>
      </c>
      <c r="G229" s="113">
        <f t="shared" si="457"/>
        <v>41612.999999999993</v>
      </c>
      <c r="H229" s="113">
        <f t="shared" si="458"/>
        <v>1226</v>
      </c>
      <c r="I229" s="113">
        <f t="shared" si="459"/>
        <v>37747.999999999993</v>
      </c>
      <c r="J229" s="460">
        <f t="shared" si="460"/>
        <v>279</v>
      </c>
      <c r="K229" s="582">
        <f t="shared" si="461"/>
        <v>31225.999999999993</v>
      </c>
      <c r="L229" s="113">
        <f t="shared" si="462"/>
        <v>13955.000000000005</v>
      </c>
      <c r="M229" s="113">
        <f t="shared" si="463"/>
        <v>0</v>
      </c>
      <c r="N229" s="113">
        <f t="shared" si="464"/>
        <v>14652</v>
      </c>
      <c r="O229" s="459">
        <f t="shared" si="465"/>
        <v>2618.9999999999991</v>
      </c>
      <c r="P229" s="461">
        <f t="shared" si="466"/>
        <v>177.00000000000003</v>
      </c>
      <c r="Q229" s="582">
        <f t="shared" si="467"/>
        <v>108.00000000000004</v>
      </c>
      <c r="R229" s="113">
        <f t="shared" si="468"/>
        <v>60.000000000000014</v>
      </c>
      <c r="S229" s="113">
        <f t="shared" si="469"/>
        <v>1</v>
      </c>
      <c r="T229" s="113">
        <f t="shared" si="470"/>
        <v>47.000000000000014</v>
      </c>
      <c r="U229" s="460">
        <f t="shared" si="471"/>
        <v>0</v>
      </c>
      <c r="V229" s="582">
        <f t="shared" si="472"/>
        <v>69.000000000000028</v>
      </c>
      <c r="W229" s="113">
        <f t="shared" si="473"/>
        <v>27.000000000000004</v>
      </c>
      <c r="X229" s="113">
        <f t="shared" si="474"/>
        <v>0</v>
      </c>
      <c r="Y229" s="113">
        <f t="shared" si="475"/>
        <v>35</v>
      </c>
      <c r="Z229" s="459">
        <f t="shared" si="476"/>
        <v>7</v>
      </c>
      <c r="AA229" s="461">
        <f t="shared" si="477"/>
        <v>113.00000000000003</v>
      </c>
      <c r="AB229" s="582">
        <f t="shared" si="478"/>
        <v>69.999999999999986</v>
      </c>
      <c r="AC229" s="113">
        <f t="shared" si="479"/>
        <v>32.999999999999993</v>
      </c>
      <c r="AD229" s="113">
        <f t="shared" si="480"/>
        <v>1</v>
      </c>
      <c r="AE229" s="113">
        <f t="shared" si="481"/>
        <v>36</v>
      </c>
      <c r="AF229" s="460">
        <f t="shared" si="482"/>
        <v>0</v>
      </c>
      <c r="AG229" s="582">
        <f t="shared" si="483"/>
        <v>43.000000000000021</v>
      </c>
      <c r="AH229" s="113">
        <f t="shared" si="484"/>
        <v>30.999999999999982</v>
      </c>
      <c r="AI229" s="113">
        <f t="shared" si="485"/>
        <v>0</v>
      </c>
      <c r="AJ229" s="113">
        <f t="shared" si="486"/>
        <v>6.9999999999999973</v>
      </c>
      <c r="AK229" s="459">
        <f t="shared" si="487"/>
        <v>4.9999999999999991</v>
      </c>
      <c r="AL229" s="461">
        <f t="shared" si="488"/>
        <v>1057</v>
      </c>
      <c r="AM229" s="582">
        <f t="shared" si="489"/>
        <v>779.99999999999989</v>
      </c>
      <c r="AN229" s="113">
        <f t="shared" si="490"/>
        <v>424.99999999999989</v>
      </c>
      <c r="AO229" s="113">
        <f t="shared" si="491"/>
        <v>10.999999999999998</v>
      </c>
      <c r="AP229" s="113">
        <f t="shared" si="492"/>
        <v>342.99999999999983</v>
      </c>
      <c r="AQ229" s="460">
        <f t="shared" si="493"/>
        <v>1</v>
      </c>
      <c r="AR229" s="582">
        <f t="shared" si="494"/>
        <v>277</v>
      </c>
      <c r="AS229" s="113">
        <f t="shared" si="495"/>
        <v>102.99999999999994</v>
      </c>
      <c r="AT229" s="113">
        <f t="shared" si="496"/>
        <v>0</v>
      </c>
      <c r="AU229" s="113">
        <f t="shared" si="497"/>
        <v>155.00000000000003</v>
      </c>
      <c r="AV229" s="459">
        <f t="shared" si="498"/>
        <v>18.999999999999996</v>
      </c>
      <c r="AW229" s="461">
        <f t="shared" si="499"/>
        <v>595.99999999999989</v>
      </c>
      <c r="AX229" s="582">
        <f t="shared" si="500"/>
        <v>422.99999999999994</v>
      </c>
      <c r="AY229" s="113">
        <f t="shared" si="501"/>
        <v>246</v>
      </c>
      <c r="AZ229" s="113">
        <f t="shared" si="502"/>
        <v>3</v>
      </c>
      <c r="BA229" s="113">
        <f t="shared" si="503"/>
        <v>174.00000000000003</v>
      </c>
      <c r="BB229" s="460">
        <f t="shared" si="504"/>
        <v>0</v>
      </c>
      <c r="BC229" s="582">
        <f t="shared" si="505"/>
        <v>173</v>
      </c>
      <c r="BD229" s="113">
        <f t="shared" si="506"/>
        <v>87.999999999999943</v>
      </c>
      <c r="BE229" s="113">
        <f t="shared" si="507"/>
        <v>0</v>
      </c>
      <c r="BF229" s="113">
        <f t="shared" si="508"/>
        <v>75.000000000000028</v>
      </c>
      <c r="BG229" s="459">
        <f t="shared" si="509"/>
        <v>10.000000000000002</v>
      </c>
      <c r="BH229" s="461">
        <f t="shared" si="510"/>
        <v>855.00000000000034</v>
      </c>
      <c r="BI229" s="582">
        <f t="shared" si="511"/>
        <v>671.99999999999977</v>
      </c>
      <c r="BJ229" s="113">
        <f t="shared" si="512"/>
        <v>343.00000000000017</v>
      </c>
      <c r="BK229" s="113">
        <f t="shared" si="513"/>
        <v>7.0000000000000018</v>
      </c>
      <c r="BL229" s="113">
        <f t="shared" si="514"/>
        <v>320.99999999999994</v>
      </c>
      <c r="BM229" s="460">
        <f t="shared" si="515"/>
        <v>1</v>
      </c>
      <c r="BN229" s="582">
        <f t="shared" si="516"/>
        <v>182.99999999999994</v>
      </c>
      <c r="BO229" s="113">
        <f t="shared" si="517"/>
        <v>73.000000000000014</v>
      </c>
      <c r="BP229" s="113">
        <f t="shared" si="518"/>
        <v>0</v>
      </c>
      <c r="BQ229" s="113">
        <f t="shared" si="519"/>
        <v>95.000000000000014</v>
      </c>
      <c r="BR229" s="459">
        <f t="shared" si="520"/>
        <v>15.000000000000005</v>
      </c>
      <c r="BS229" s="461">
        <f t="shared" si="521"/>
        <v>1242.0000000000002</v>
      </c>
      <c r="BT229" s="582">
        <f t="shared" si="522"/>
        <v>948</v>
      </c>
      <c r="BU229" s="113">
        <f t="shared" si="523"/>
        <v>444.99999999999994</v>
      </c>
      <c r="BV229" s="113">
        <f t="shared" si="524"/>
        <v>3.9999999999999996</v>
      </c>
      <c r="BW229" s="113">
        <f t="shared" si="525"/>
        <v>497.99999999999989</v>
      </c>
      <c r="BX229" s="460">
        <f t="shared" si="526"/>
        <v>1</v>
      </c>
      <c r="BY229" s="582">
        <f t="shared" si="527"/>
        <v>294</v>
      </c>
      <c r="BZ229" s="113">
        <f t="shared" si="528"/>
        <v>119.9999999999999</v>
      </c>
      <c r="CA229" s="113">
        <f t="shared" si="529"/>
        <v>0</v>
      </c>
      <c r="CB229" s="113">
        <f t="shared" si="530"/>
        <v>149.99999999999994</v>
      </c>
      <c r="CC229" s="459">
        <f t="shared" si="531"/>
        <v>23.999999999999993</v>
      </c>
      <c r="CD229" s="461">
        <f t="shared" si="532"/>
        <v>224</v>
      </c>
      <c r="CE229" s="582">
        <f t="shared" si="533"/>
        <v>162.00000000000003</v>
      </c>
      <c r="CF229" s="113">
        <f t="shared" si="534"/>
        <v>78.999999999999986</v>
      </c>
      <c r="CG229" s="113">
        <f t="shared" si="535"/>
        <v>2</v>
      </c>
      <c r="CH229" s="113">
        <f t="shared" si="536"/>
        <v>81.000000000000014</v>
      </c>
      <c r="CI229" s="460">
        <f t="shared" si="537"/>
        <v>0</v>
      </c>
      <c r="CJ229" s="582">
        <f t="shared" si="538"/>
        <v>61.999999999999986</v>
      </c>
      <c r="CK229" s="113">
        <f t="shared" si="539"/>
        <v>25.999999999999996</v>
      </c>
      <c r="CL229" s="113">
        <f t="shared" si="540"/>
        <v>0</v>
      </c>
      <c r="CM229" s="113">
        <f t="shared" si="541"/>
        <v>32</v>
      </c>
      <c r="CN229" s="459">
        <f t="shared" si="542"/>
        <v>4</v>
      </c>
      <c r="CO229" s="461">
        <f t="shared" si="543"/>
        <v>163</v>
      </c>
      <c r="CP229" s="582">
        <f t="shared" si="544"/>
        <v>114.00000000000003</v>
      </c>
      <c r="CQ229" s="113">
        <f t="shared" si="545"/>
        <v>69.000000000000028</v>
      </c>
      <c r="CR229" s="113">
        <f t="shared" si="546"/>
        <v>3</v>
      </c>
      <c r="CS229" s="113">
        <f t="shared" si="547"/>
        <v>41.999999999999986</v>
      </c>
      <c r="CT229" s="460">
        <f t="shared" si="548"/>
        <v>0</v>
      </c>
      <c r="CU229" s="582">
        <f t="shared" si="549"/>
        <v>49.000000000000021</v>
      </c>
      <c r="CV229" s="113">
        <f t="shared" si="550"/>
        <v>23.999999999999986</v>
      </c>
      <c r="CW229" s="113">
        <f t="shared" si="551"/>
        <v>0</v>
      </c>
      <c r="CX229" s="113">
        <f t="shared" si="552"/>
        <v>24.999999999999982</v>
      </c>
      <c r="CY229" s="459">
        <f t="shared" si="553"/>
        <v>0</v>
      </c>
      <c r="CZ229" s="461">
        <f t="shared" si="554"/>
        <v>56</v>
      </c>
      <c r="DA229" s="582">
        <f t="shared" si="555"/>
        <v>36.000000000000007</v>
      </c>
      <c r="DB229" s="113">
        <f t="shared" si="556"/>
        <v>12.999999999999998</v>
      </c>
      <c r="DC229" s="113">
        <f t="shared" si="557"/>
        <v>1</v>
      </c>
      <c r="DD229" s="113">
        <f t="shared" si="558"/>
        <v>21.999999999999989</v>
      </c>
      <c r="DE229" s="460">
        <f t="shared" si="559"/>
        <v>0</v>
      </c>
      <c r="DF229" s="582">
        <f t="shared" si="560"/>
        <v>20.000000000000011</v>
      </c>
      <c r="DG229" s="113">
        <f t="shared" si="561"/>
        <v>13.000000000000011</v>
      </c>
      <c r="DH229" s="113">
        <f t="shared" si="562"/>
        <v>0</v>
      </c>
      <c r="DI229" s="113">
        <f t="shared" si="563"/>
        <v>3.9999999999999996</v>
      </c>
      <c r="DJ229" s="459">
        <f t="shared" si="564"/>
        <v>3</v>
      </c>
      <c r="DK229" s="461">
        <f t="shared" si="565"/>
        <v>1</v>
      </c>
      <c r="DL229" s="582">
        <f t="shared" si="566"/>
        <v>1</v>
      </c>
      <c r="DM229" s="113">
        <f t="shared" si="567"/>
        <v>0</v>
      </c>
      <c r="DN229" s="113">
        <f t="shared" si="568"/>
        <v>1</v>
      </c>
      <c r="DO229" s="113">
        <f t="shared" si="569"/>
        <v>0</v>
      </c>
      <c r="DP229" s="460">
        <f t="shared" si="570"/>
        <v>0</v>
      </c>
      <c r="DQ229" s="582">
        <f t="shared" si="571"/>
        <v>1</v>
      </c>
      <c r="DR229" s="113">
        <f t="shared" si="572"/>
        <v>1</v>
      </c>
      <c r="DS229" s="113">
        <f t="shared" si="573"/>
        <v>0</v>
      </c>
      <c r="DT229" s="113">
        <f t="shared" si="574"/>
        <v>0</v>
      </c>
      <c r="DU229" s="459">
        <f t="shared" si="575"/>
        <v>0</v>
      </c>
      <c r="DW229" s="461">
        <f t="shared" si="315"/>
        <v>3427.0000000000009</v>
      </c>
      <c r="DX229" s="582">
        <f t="shared" si="315"/>
        <v>2534</v>
      </c>
      <c r="DY229" s="113">
        <f t="shared" si="315"/>
        <v>1288.0000000000002</v>
      </c>
      <c r="DZ229" s="113">
        <f t="shared" si="315"/>
        <v>23</v>
      </c>
      <c r="EA229" s="113">
        <f t="shared" si="315"/>
        <v>1221</v>
      </c>
      <c r="EB229" s="460">
        <f t="shared" si="453"/>
        <v>2</v>
      </c>
      <c r="EC229" s="582">
        <f t="shared" si="453"/>
        <v>894</v>
      </c>
      <c r="ED229" s="113">
        <f t="shared" si="453"/>
        <v>402.99999999999983</v>
      </c>
      <c r="EE229" s="113">
        <f t="shared" si="453"/>
        <v>0</v>
      </c>
      <c r="EF229" s="113">
        <f t="shared" si="453"/>
        <v>423</v>
      </c>
      <c r="EG229" s="459">
        <f t="shared" si="453"/>
        <v>68</v>
      </c>
      <c r="EH229" s="461">
        <f t="shared" si="313"/>
        <v>1057</v>
      </c>
      <c r="EI229" s="582">
        <f t="shared" si="313"/>
        <v>779.99999999999989</v>
      </c>
      <c r="EJ229" s="113">
        <f t="shared" si="313"/>
        <v>424.99999999999989</v>
      </c>
      <c r="EK229" s="113">
        <f t="shared" si="313"/>
        <v>10.999999999999998</v>
      </c>
      <c r="EL229" s="113">
        <f t="shared" si="313"/>
        <v>342.99999999999983</v>
      </c>
      <c r="EM229" s="460">
        <f t="shared" si="313"/>
        <v>1</v>
      </c>
      <c r="EN229" s="582">
        <f t="shared" si="313"/>
        <v>277</v>
      </c>
      <c r="EO229" s="113">
        <f t="shared" si="313"/>
        <v>102.99999999999994</v>
      </c>
      <c r="EP229" s="113">
        <f t="shared" si="313"/>
        <v>0</v>
      </c>
      <c r="EQ229" s="113">
        <f t="shared" si="313"/>
        <v>155.00000000000003</v>
      </c>
      <c r="ER229" s="459">
        <f t="shared" si="313"/>
        <v>18.999999999999996</v>
      </c>
    </row>
    <row r="230" spans="1:148">
      <c r="A230" s="665" t="s">
        <v>424</v>
      </c>
      <c r="B230" s="665">
        <v>45017</v>
      </c>
      <c r="C230" s="666">
        <v>2023</v>
      </c>
      <c r="D230" s="461">
        <f t="shared" ref="D230" si="584">D119/3+D229</f>
        <v>4423205.333333334</v>
      </c>
      <c r="E230" s="461">
        <f t="shared" si="455"/>
        <v>116357.66666666669</v>
      </c>
      <c r="F230" s="582">
        <f t="shared" si="456"/>
        <v>84028</v>
      </c>
      <c r="G230" s="113">
        <f t="shared" si="457"/>
        <v>42343.666666666657</v>
      </c>
      <c r="H230" s="113">
        <f t="shared" si="458"/>
        <v>1353.3333333333333</v>
      </c>
      <c r="I230" s="113">
        <f t="shared" si="459"/>
        <v>39995.666666666657</v>
      </c>
      <c r="J230" s="460">
        <f t="shared" si="460"/>
        <v>335.33333333333331</v>
      </c>
      <c r="K230" s="582">
        <f t="shared" si="461"/>
        <v>32329.666666666661</v>
      </c>
      <c r="L230" s="113">
        <f t="shared" si="462"/>
        <v>14025.000000000005</v>
      </c>
      <c r="M230" s="113">
        <f t="shared" si="463"/>
        <v>0</v>
      </c>
      <c r="N230" s="113">
        <f t="shared" si="464"/>
        <v>15599.666666666666</v>
      </c>
      <c r="O230" s="459">
        <f t="shared" si="465"/>
        <v>2704.9999999999991</v>
      </c>
      <c r="P230" s="461">
        <f t="shared" si="466"/>
        <v>185.66666666666669</v>
      </c>
      <c r="Q230" s="582">
        <f t="shared" si="467"/>
        <v>112.00000000000004</v>
      </c>
      <c r="R230" s="113">
        <f t="shared" si="468"/>
        <v>60.33333333333335</v>
      </c>
      <c r="S230" s="113">
        <f t="shared" si="469"/>
        <v>1.3333333333333333</v>
      </c>
      <c r="T230" s="113">
        <f t="shared" si="470"/>
        <v>50.33333333333335</v>
      </c>
      <c r="U230" s="460">
        <f t="shared" si="471"/>
        <v>0</v>
      </c>
      <c r="V230" s="582">
        <f t="shared" si="472"/>
        <v>73.6666666666667</v>
      </c>
      <c r="W230" s="113">
        <f t="shared" si="473"/>
        <v>27.333333333333336</v>
      </c>
      <c r="X230" s="113">
        <f t="shared" si="474"/>
        <v>0</v>
      </c>
      <c r="Y230" s="113">
        <f t="shared" si="475"/>
        <v>39.333333333333336</v>
      </c>
      <c r="Z230" s="459">
        <f t="shared" si="476"/>
        <v>7</v>
      </c>
      <c r="AA230" s="461">
        <f t="shared" si="477"/>
        <v>114.6666666666667</v>
      </c>
      <c r="AB230" s="582">
        <f t="shared" si="478"/>
        <v>71.333333333333314</v>
      </c>
      <c r="AC230" s="113">
        <f t="shared" si="479"/>
        <v>33.666666666666657</v>
      </c>
      <c r="AD230" s="113">
        <f t="shared" si="480"/>
        <v>1</v>
      </c>
      <c r="AE230" s="113">
        <f t="shared" si="481"/>
        <v>36.666666666666664</v>
      </c>
      <c r="AF230" s="460">
        <f t="shared" si="482"/>
        <v>0</v>
      </c>
      <c r="AG230" s="582">
        <f t="shared" si="483"/>
        <v>43.333333333333357</v>
      </c>
      <c r="AH230" s="113">
        <f t="shared" si="484"/>
        <v>30.999999999999982</v>
      </c>
      <c r="AI230" s="113">
        <f t="shared" si="485"/>
        <v>0</v>
      </c>
      <c r="AJ230" s="113">
        <f t="shared" si="486"/>
        <v>6.9999999999999973</v>
      </c>
      <c r="AK230" s="459">
        <f t="shared" si="487"/>
        <v>5.3333333333333321</v>
      </c>
      <c r="AL230" s="461">
        <f t="shared" si="488"/>
        <v>1107</v>
      </c>
      <c r="AM230" s="582">
        <f t="shared" si="489"/>
        <v>819.33333333333326</v>
      </c>
      <c r="AN230" s="113">
        <f t="shared" si="490"/>
        <v>431.3333333333332</v>
      </c>
      <c r="AO230" s="113">
        <f t="shared" si="491"/>
        <v>11.999999999999998</v>
      </c>
      <c r="AP230" s="113">
        <f t="shared" si="492"/>
        <v>374.99999999999983</v>
      </c>
      <c r="AQ230" s="460">
        <f t="shared" si="493"/>
        <v>1</v>
      </c>
      <c r="AR230" s="582">
        <f t="shared" si="494"/>
        <v>287.66666666666669</v>
      </c>
      <c r="AS230" s="113">
        <f t="shared" si="495"/>
        <v>103.33333333333327</v>
      </c>
      <c r="AT230" s="113">
        <f t="shared" si="496"/>
        <v>0</v>
      </c>
      <c r="AU230" s="113">
        <f t="shared" si="497"/>
        <v>164.33333333333337</v>
      </c>
      <c r="AV230" s="459">
        <f t="shared" si="498"/>
        <v>19.999999999999996</v>
      </c>
      <c r="AW230" s="461">
        <f t="shared" si="499"/>
        <v>617.66666666666652</v>
      </c>
      <c r="AX230" s="582">
        <f t="shared" si="500"/>
        <v>439.33333333333326</v>
      </c>
      <c r="AY230" s="113">
        <f t="shared" si="501"/>
        <v>250.33333333333334</v>
      </c>
      <c r="AZ230" s="113">
        <f t="shared" si="502"/>
        <v>3.3333333333333335</v>
      </c>
      <c r="BA230" s="113">
        <f t="shared" si="503"/>
        <v>185.66666666666669</v>
      </c>
      <c r="BB230" s="460">
        <f t="shared" si="504"/>
        <v>0</v>
      </c>
      <c r="BC230" s="582">
        <f t="shared" si="505"/>
        <v>178.33333333333334</v>
      </c>
      <c r="BD230" s="113">
        <f t="shared" si="506"/>
        <v>87.999999999999943</v>
      </c>
      <c r="BE230" s="113">
        <f t="shared" si="507"/>
        <v>0</v>
      </c>
      <c r="BF230" s="113">
        <f t="shared" si="508"/>
        <v>79.6666666666667</v>
      </c>
      <c r="BG230" s="459">
        <f t="shared" si="509"/>
        <v>10.666666666666668</v>
      </c>
      <c r="BH230" s="461">
        <f t="shared" si="510"/>
        <v>888.33333333333371</v>
      </c>
      <c r="BI230" s="582">
        <f t="shared" si="511"/>
        <v>694.99999999999977</v>
      </c>
      <c r="BJ230" s="113">
        <f t="shared" si="512"/>
        <v>347.66666666666686</v>
      </c>
      <c r="BK230" s="113">
        <f t="shared" si="513"/>
        <v>8.0000000000000018</v>
      </c>
      <c r="BL230" s="113">
        <f t="shared" si="514"/>
        <v>338.33333333333326</v>
      </c>
      <c r="BM230" s="460">
        <f t="shared" si="515"/>
        <v>1</v>
      </c>
      <c r="BN230" s="582">
        <f t="shared" si="516"/>
        <v>193.33333333333329</v>
      </c>
      <c r="BO230" s="113">
        <f t="shared" si="517"/>
        <v>73.000000000000014</v>
      </c>
      <c r="BP230" s="113">
        <f t="shared" si="518"/>
        <v>0</v>
      </c>
      <c r="BQ230" s="113">
        <f t="shared" si="519"/>
        <v>104.00000000000001</v>
      </c>
      <c r="BR230" s="459">
        <f t="shared" si="520"/>
        <v>16.333333333333339</v>
      </c>
      <c r="BS230" s="461">
        <f t="shared" si="521"/>
        <v>1298.3333333333335</v>
      </c>
      <c r="BT230" s="582">
        <f t="shared" si="522"/>
        <v>992.66666666666663</v>
      </c>
      <c r="BU230" s="113">
        <f t="shared" si="523"/>
        <v>454.99999999999994</v>
      </c>
      <c r="BV230" s="113">
        <f t="shared" si="524"/>
        <v>3.9999999999999996</v>
      </c>
      <c r="BW230" s="113">
        <f t="shared" si="525"/>
        <v>532.66666666666652</v>
      </c>
      <c r="BX230" s="460">
        <f t="shared" si="526"/>
        <v>1</v>
      </c>
      <c r="BY230" s="582">
        <f t="shared" si="527"/>
        <v>305.66666666666669</v>
      </c>
      <c r="BZ230" s="113">
        <f t="shared" si="528"/>
        <v>120.66666666666657</v>
      </c>
      <c r="CA230" s="113">
        <f t="shared" si="529"/>
        <v>0</v>
      </c>
      <c r="CB230" s="113">
        <f t="shared" si="530"/>
        <v>160.33333333333329</v>
      </c>
      <c r="CC230" s="459">
        <f t="shared" si="531"/>
        <v>24.666666666666661</v>
      </c>
      <c r="CD230" s="461">
        <f t="shared" si="532"/>
        <v>232</v>
      </c>
      <c r="CE230" s="582">
        <f t="shared" si="533"/>
        <v>167.66666666666669</v>
      </c>
      <c r="CF230" s="113">
        <f t="shared" si="534"/>
        <v>79.666666666666657</v>
      </c>
      <c r="CG230" s="113">
        <f t="shared" si="535"/>
        <v>3</v>
      </c>
      <c r="CH230" s="113">
        <f t="shared" si="536"/>
        <v>85.000000000000014</v>
      </c>
      <c r="CI230" s="460">
        <f t="shared" si="537"/>
        <v>0</v>
      </c>
      <c r="CJ230" s="582">
        <f t="shared" si="538"/>
        <v>64.333333333333314</v>
      </c>
      <c r="CK230" s="113">
        <f t="shared" si="539"/>
        <v>25.999999999999996</v>
      </c>
      <c r="CL230" s="113">
        <f t="shared" si="540"/>
        <v>0</v>
      </c>
      <c r="CM230" s="113">
        <f t="shared" si="541"/>
        <v>34</v>
      </c>
      <c r="CN230" s="459">
        <f t="shared" si="542"/>
        <v>4.333333333333333</v>
      </c>
      <c r="CO230" s="461">
        <f t="shared" si="543"/>
        <v>166</v>
      </c>
      <c r="CP230" s="582">
        <f t="shared" si="544"/>
        <v>116.6666666666667</v>
      </c>
      <c r="CQ230" s="113">
        <f t="shared" si="545"/>
        <v>69.000000000000028</v>
      </c>
      <c r="CR230" s="113">
        <f t="shared" si="546"/>
        <v>3.6666666666666665</v>
      </c>
      <c r="CS230" s="113">
        <f t="shared" si="547"/>
        <v>43.999999999999986</v>
      </c>
      <c r="CT230" s="460">
        <f t="shared" si="548"/>
        <v>0</v>
      </c>
      <c r="CU230" s="582">
        <f t="shared" si="549"/>
        <v>49.333333333333357</v>
      </c>
      <c r="CV230" s="113">
        <f t="shared" si="550"/>
        <v>23.999999999999986</v>
      </c>
      <c r="CW230" s="113">
        <f t="shared" si="551"/>
        <v>0</v>
      </c>
      <c r="CX230" s="113">
        <f t="shared" si="552"/>
        <v>25.333333333333314</v>
      </c>
      <c r="CY230" s="459">
        <f t="shared" si="553"/>
        <v>0</v>
      </c>
      <c r="CZ230" s="461">
        <f t="shared" si="554"/>
        <v>58</v>
      </c>
      <c r="DA230" s="582">
        <f t="shared" si="555"/>
        <v>37.666666666666671</v>
      </c>
      <c r="DB230" s="113">
        <f t="shared" si="556"/>
        <v>12.999999999999998</v>
      </c>
      <c r="DC230" s="113">
        <f t="shared" si="557"/>
        <v>1</v>
      </c>
      <c r="DD230" s="113">
        <f t="shared" si="558"/>
        <v>23.666666666666657</v>
      </c>
      <c r="DE230" s="460">
        <f t="shared" si="559"/>
        <v>0</v>
      </c>
      <c r="DF230" s="582">
        <f t="shared" si="560"/>
        <v>20.333333333333343</v>
      </c>
      <c r="DG230" s="113">
        <f t="shared" si="561"/>
        <v>13.000000000000011</v>
      </c>
      <c r="DH230" s="113">
        <f t="shared" si="562"/>
        <v>0</v>
      </c>
      <c r="DI230" s="113">
        <f t="shared" si="563"/>
        <v>4.333333333333333</v>
      </c>
      <c r="DJ230" s="459">
        <f t="shared" si="564"/>
        <v>3</v>
      </c>
      <c r="DK230" s="461">
        <f t="shared" si="565"/>
        <v>1</v>
      </c>
      <c r="DL230" s="582">
        <f t="shared" si="566"/>
        <v>1</v>
      </c>
      <c r="DM230" s="113">
        <f t="shared" si="567"/>
        <v>0</v>
      </c>
      <c r="DN230" s="113">
        <f t="shared" si="568"/>
        <v>1</v>
      </c>
      <c r="DO230" s="113">
        <f t="shared" si="569"/>
        <v>0</v>
      </c>
      <c r="DP230" s="460">
        <f t="shared" si="570"/>
        <v>0</v>
      </c>
      <c r="DQ230" s="582">
        <f t="shared" si="571"/>
        <v>1</v>
      </c>
      <c r="DR230" s="113">
        <f t="shared" si="572"/>
        <v>1</v>
      </c>
      <c r="DS230" s="113">
        <f t="shared" si="573"/>
        <v>0</v>
      </c>
      <c r="DT230" s="113">
        <f t="shared" si="574"/>
        <v>0</v>
      </c>
      <c r="DU230" s="459">
        <f t="shared" si="575"/>
        <v>0</v>
      </c>
      <c r="DW230" s="461">
        <f t="shared" si="315"/>
        <v>3561.666666666667</v>
      </c>
      <c r="DX230" s="582">
        <f t="shared" si="315"/>
        <v>2633.3333333333326</v>
      </c>
      <c r="DY230" s="113">
        <f t="shared" si="315"/>
        <v>1308.666666666667</v>
      </c>
      <c r="DZ230" s="113">
        <f t="shared" si="315"/>
        <v>26.333333333333336</v>
      </c>
      <c r="EA230" s="113">
        <f t="shared" si="315"/>
        <v>1296.3333333333333</v>
      </c>
      <c r="EB230" s="460">
        <f t="shared" si="453"/>
        <v>2</v>
      </c>
      <c r="EC230" s="582">
        <f t="shared" si="453"/>
        <v>929.33333333333326</v>
      </c>
      <c r="ED230" s="113">
        <f t="shared" si="453"/>
        <v>403.99999999999983</v>
      </c>
      <c r="EE230" s="113">
        <f t="shared" si="453"/>
        <v>0</v>
      </c>
      <c r="EF230" s="113">
        <f t="shared" si="453"/>
        <v>454</v>
      </c>
      <c r="EG230" s="459">
        <f t="shared" si="453"/>
        <v>71.333333333333329</v>
      </c>
      <c r="EH230" s="461">
        <f t="shared" si="313"/>
        <v>1107</v>
      </c>
      <c r="EI230" s="582">
        <f t="shared" si="313"/>
        <v>819.33333333333326</v>
      </c>
      <c r="EJ230" s="113">
        <f t="shared" si="313"/>
        <v>431.3333333333332</v>
      </c>
      <c r="EK230" s="113">
        <f t="shared" si="313"/>
        <v>11.999999999999998</v>
      </c>
      <c r="EL230" s="113">
        <f t="shared" si="313"/>
        <v>374.99999999999983</v>
      </c>
      <c r="EM230" s="460">
        <f t="shared" si="313"/>
        <v>1</v>
      </c>
      <c r="EN230" s="582">
        <f t="shared" si="313"/>
        <v>287.66666666666669</v>
      </c>
      <c r="EO230" s="113">
        <f t="shared" si="313"/>
        <v>103.33333333333327</v>
      </c>
      <c r="EP230" s="113">
        <f t="shared" si="313"/>
        <v>0</v>
      </c>
      <c r="EQ230" s="113">
        <f t="shared" si="313"/>
        <v>164.33333333333337</v>
      </c>
      <c r="ER230" s="459">
        <f t="shared" si="313"/>
        <v>19.999999999999996</v>
      </c>
    </row>
    <row r="231" spans="1:148">
      <c r="A231" s="665" t="s">
        <v>424</v>
      </c>
      <c r="B231" s="665">
        <v>45047</v>
      </c>
      <c r="C231" s="666">
        <v>2023</v>
      </c>
      <c r="D231" s="461">
        <f t="shared" ref="D231" si="585">D120/3+D230</f>
        <v>4484422.666666667</v>
      </c>
      <c r="E231" s="461">
        <f t="shared" si="455"/>
        <v>120623.33333333336</v>
      </c>
      <c r="F231" s="582">
        <f t="shared" si="456"/>
        <v>87190</v>
      </c>
      <c r="G231" s="113">
        <f t="shared" si="457"/>
        <v>43074.333333333321</v>
      </c>
      <c r="H231" s="113">
        <f t="shared" si="458"/>
        <v>1480.6666666666665</v>
      </c>
      <c r="I231" s="113">
        <f t="shared" si="459"/>
        <v>42243.333333333321</v>
      </c>
      <c r="J231" s="460">
        <f t="shared" si="460"/>
        <v>391.66666666666663</v>
      </c>
      <c r="K231" s="582">
        <f t="shared" si="461"/>
        <v>33433.333333333328</v>
      </c>
      <c r="L231" s="113">
        <f t="shared" si="462"/>
        <v>14095.000000000005</v>
      </c>
      <c r="M231" s="113">
        <f t="shared" si="463"/>
        <v>0</v>
      </c>
      <c r="N231" s="113">
        <f t="shared" si="464"/>
        <v>16547.333333333332</v>
      </c>
      <c r="O231" s="459">
        <f t="shared" si="465"/>
        <v>2790.9999999999991</v>
      </c>
      <c r="P231" s="461">
        <f t="shared" si="466"/>
        <v>194.33333333333334</v>
      </c>
      <c r="Q231" s="582">
        <f t="shared" si="467"/>
        <v>116.00000000000004</v>
      </c>
      <c r="R231" s="113">
        <f t="shared" si="468"/>
        <v>60.666666666666686</v>
      </c>
      <c r="S231" s="113">
        <f t="shared" si="469"/>
        <v>1.6666666666666665</v>
      </c>
      <c r="T231" s="113">
        <f t="shared" si="470"/>
        <v>53.666666666666686</v>
      </c>
      <c r="U231" s="460">
        <f t="shared" si="471"/>
        <v>0</v>
      </c>
      <c r="V231" s="582">
        <f t="shared" si="472"/>
        <v>78.333333333333371</v>
      </c>
      <c r="W231" s="113">
        <f t="shared" si="473"/>
        <v>27.666666666666668</v>
      </c>
      <c r="X231" s="113">
        <f t="shared" si="474"/>
        <v>0</v>
      </c>
      <c r="Y231" s="113">
        <f t="shared" si="475"/>
        <v>43.666666666666671</v>
      </c>
      <c r="Z231" s="459">
        <f t="shared" si="476"/>
        <v>7</v>
      </c>
      <c r="AA231" s="461">
        <f t="shared" si="477"/>
        <v>116.33333333333337</v>
      </c>
      <c r="AB231" s="582">
        <f t="shared" si="478"/>
        <v>72.666666666666643</v>
      </c>
      <c r="AC231" s="113">
        <f t="shared" si="479"/>
        <v>34.333333333333321</v>
      </c>
      <c r="AD231" s="113">
        <f t="shared" si="480"/>
        <v>1</v>
      </c>
      <c r="AE231" s="113">
        <f t="shared" si="481"/>
        <v>37.333333333333329</v>
      </c>
      <c r="AF231" s="460">
        <f t="shared" si="482"/>
        <v>0</v>
      </c>
      <c r="AG231" s="582">
        <f t="shared" si="483"/>
        <v>43.666666666666693</v>
      </c>
      <c r="AH231" s="113">
        <f t="shared" si="484"/>
        <v>30.999999999999982</v>
      </c>
      <c r="AI231" s="113">
        <f t="shared" si="485"/>
        <v>0</v>
      </c>
      <c r="AJ231" s="113">
        <f t="shared" si="486"/>
        <v>6.9999999999999973</v>
      </c>
      <c r="AK231" s="459">
        <f t="shared" si="487"/>
        <v>5.6666666666666652</v>
      </c>
      <c r="AL231" s="461">
        <f t="shared" si="488"/>
        <v>1157</v>
      </c>
      <c r="AM231" s="582">
        <f t="shared" si="489"/>
        <v>858.66666666666663</v>
      </c>
      <c r="AN231" s="113">
        <f t="shared" si="490"/>
        <v>437.66666666666652</v>
      </c>
      <c r="AO231" s="113">
        <f t="shared" si="491"/>
        <v>12.999999999999998</v>
      </c>
      <c r="AP231" s="113">
        <f t="shared" si="492"/>
        <v>406.99999999999983</v>
      </c>
      <c r="AQ231" s="460">
        <f t="shared" si="493"/>
        <v>1</v>
      </c>
      <c r="AR231" s="582">
        <f t="shared" si="494"/>
        <v>298.33333333333337</v>
      </c>
      <c r="AS231" s="113">
        <f t="shared" si="495"/>
        <v>103.6666666666666</v>
      </c>
      <c r="AT231" s="113">
        <f t="shared" si="496"/>
        <v>0</v>
      </c>
      <c r="AU231" s="113">
        <f t="shared" si="497"/>
        <v>173.66666666666671</v>
      </c>
      <c r="AV231" s="459">
        <f t="shared" si="498"/>
        <v>20.999999999999996</v>
      </c>
      <c r="AW231" s="461">
        <f t="shared" si="499"/>
        <v>639.33333333333314</v>
      </c>
      <c r="AX231" s="582">
        <f t="shared" si="500"/>
        <v>455.66666666666657</v>
      </c>
      <c r="AY231" s="113">
        <f t="shared" si="501"/>
        <v>254.66666666666669</v>
      </c>
      <c r="AZ231" s="113">
        <f t="shared" si="502"/>
        <v>3.666666666666667</v>
      </c>
      <c r="BA231" s="113">
        <f t="shared" si="503"/>
        <v>197.33333333333334</v>
      </c>
      <c r="BB231" s="460">
        <f t="shared" si="504"/>
        <v>0</v>
      </c>
      <c r="BC231" s="582">
        <f t="shared" si="505"/>
        <v>183.66666666666669</v>
      </c>
      <c r="BD231" s="113">
        <f t="shared" si="506"/>
        <v>87.999999999999943</v>
      </c>
      <c r="BE231" s="113">
        <f t="shared" si="507"/>
        <v>0</v>
      </c>
      <c r="BF231" s="113">
        <f t="shared" si="508"/>
        <v>84.333333333333371</v>
      </c>
      <c r="BG231" s="459">
        <f t="shared" si="509"/>
        <v>11.333333333333334</v>
      </c>
      <c r="BH231" s="461">
        <f t="shared" si="510"/>
        <v>921.66666666666708</v>
      </c>
      <c r="BI231" s="582">
        <f t="shared" si="511"/>
        <v>717.99999999999977</v>
      </c>
      <c r="BJ231" s="113">
        <f t="shared" si="512"/>
        <v>352.33333333333354</v>
      </c>
      <c r="BK231" s="113">
        <f t="shared" si="513"/>
        <v>9.0000000000000018</v>
      </c>
      <c r="BL231" s="113">
        <f t="shared" si="514"/>
        <v>355.66666666666657</v>
      </c>
      <c r="BM231" s="460">
        <f t="shared" si="515"/>
        <v>1</v>
      </c>
      <c r="BN231" s="582">
        <f t="shared" si="516"/>
        <v>203.66666666666663</v>
      </c>
      <c r="BO231" s="113">
        <f t="shared" si="517"/>
        <v>73.000000000000014</v>
      </c>
      <c r="BP231" s="113">
        <f t="shared" si="518"/>
        <v>0</v>
      </c>
      <c r="BQ231" s="113">
        <f t="shared" si="519"/>
        <v>113.00000000000001</v>
      </c>
      <c r="BR231" s="459">
        <f t="shared" si="520"/>
        <v>17.666666666666671</v>
      </c>
      <c r="BS231" s="461">
        <f t="shared" si="521"/>
        <v>1354.6666666666667</v>
      </c>
      <c r="BT231" s="582">
        <f t="shared" si="522"/>
        <v>1037.3333333333333</v>
      </c>
      <c r="BU231" s="113">
        <f t="shared" si="523"/>
        <v>464.99999999999994</v>
      </c>
      <c r="BV231" s="113">
        <f t="shared" si="524"/>
        <v>3.9999999999999996</v>
      </c>
      <c r="BW231" s="113">
        <f t="shared" si="525"/>
        <v>567.33333333333314</v>
      </c>
      <c r="BX231" s="460">
        <f t="shared" si="526"/>
        <v>1</v>
      </c>
      <c r="BY231" s="582">
        <f t="shared" si="527"/>
        <v>317.33333333333337</v>
      </c>
      <c r="BZ231" s="113">
        <f t="shared" si="528"/>
        <v>121.33333333333324</v>
      </c>
      <c r="CA231" s="113">
        <f t="shared" si="529"/>
        <v>0</v>
      </c>
      <c r="CB231" s="113">
        <f t="shared" si="530"/>
        <v>170.66666666666663</v>
      </c>
      <c r="CC231" s="459">
        <f t="shared" si="531"/>
        <v>25.333333333333329</v>
      </c>
      <c r="CD231" s="461">
        <f t="shared" si="532"/>
        <v>240</v>
      </c>
      <c r="CE231" s="582">
        <f t="shared" si="533"/>
        <v>173.33333333333334</v>
      </c>
      <c r="CF231" s="113">
        <f t="shared" si="534"/>
        <v>80.333333333333329</v>
      </c>
      <c r="CG231" s="113">
        <f t="shared" si="535"/>
        <v>4</v>
      </c>
      <c r="CH231" s="113">
        <f t="shared" si="536"/>
        <v>89.000000000000014</v>
      </c>
      <c r="CI231" s="460">
        <f t="shared" si="537"/>
        <v>0</v>
      </c>
      <c r="CJ231" s="582">
        <f t="shared" si="538"/>
        <v>66.666666666666643</v>
      </c>
      <c r="CK231" s="113">
        <f t="shared" si="539"/>
        <v>25.999999999999996</v>
      </c>
      <c r="CL231" s="113">
        <f t="shared" si="540"/>
        <v>0</v>
      </c>
      <c r="CM231" s="113">
        <f t="shared" si="541"/>
        <v>36</v>
      </c>
      <c r="CN231" s="459">
        <f t="shared" si="542"/>
        <v>4.6666666666666661</v>
      </c>
      <c r="CO231" s="461">
        <f t="shared" si="543"/>
        <v>169</v>
      </c>
      <c r="CP231" s="582">
        <f t="shared" si="544"/>
        <v>119.33333333333337</v>
      </c>
      <c r="CQ231" s="113">
        <f t="shared" si="545"/>
        <v>69.000000000000028</v>
      </c>
      <c r="CR231" s="113">
        <f t="shared" si="546"/>
        <v>4.333333333333333</v>
      </c>
      <c r="CS231" s="113">
        <f t="shared" si="547"/>
        <v>45.999999999999986</v>
      </c>
      <c r="CT231" s="460">
        <f t="shared" si="548"/>
        <v>0</v>
      </c>
      <c r="CU231" s="582">
        <f t="shared" si="549"/>
        <v>49.666666666666693</v>
      </c>
      <c r="CV231" s="113">
        <f t="shared" si="550"/>
        <v>23.999999999999986</v>
      </c>
      <c r="CW231" s="113">
        <f t="shared" si="551"/>
        <v>0</v>
      </c>
      <c r="CX231" s="113">
        <f t="shared" si="552"/>
        <v>25.666666666666647</v>
      </c>
      <c r="CY231" s="459">
        <f t="shared" si="553"/>
        <v>0</v>
      </c>
      <c r="CZ231" s="461">
        <f t="shared" si="554"/>
        <v>60</v>
      </c>
      <c r="DA231" s="582">
        <f t="shared" si="555"/>
        <v>39.333333333333336</v>
      </c>
      <c r="DB231" s="113">
        <f t="shared" si="556"/>
        <v>12.999999999999998</v>
      </c>
      <c r="DC231" s="113">
        <f t="shared" si="557"/>
        <v>1</v>
      </c>
      <c r="DD231" s="113">
        <f t="shared" si="558"/>
        <v>25.333333333333325</v>
      </c>
      <c r="DE231" s="460">
        <f t="shared" si="559"/>
        <v>0</v>
      </c>
      <c r="DF231" s="582">
        <f t="shared" si="560"/>
        <v>20.666666666666675</v>
      </c>
      <c r="DG231" s="113">
        <f t="shared" si="561"/>
        <v>13.000000000000011</v>
      </c>
      <c r="DH231" s="113">
        <f t="shared" si="562"/>
        <v>0</v>
      </c>
      <c r="DI231" s="113">
        <f t="shared" si="563"/>
        <v>4.6666666666666661</v>
      </c>
      <c r="DJ231" s="459">
        <f t="shared" si="564"/>
        <v>3</v>
      </c>
      <c r="DK231" s="461">
        <f t="shared" si="565"/>
        <v>1</v>
      </c>
      <c r="DL231" s="582">
        <f t="shared" si="566"/>
        <v>1</v>
      </c>
      <c r="DM231" s="113">
        <f t="shared" si="567"/>
        <v>0</v>
      </c>
      <c r="DN231" s="113">
        <f t="shared" si="568"/>
        <v>1</v>
      </c>
      <c r="DO231" s="113">
        <f t="shared" si="569"/>
        <v>0</v>
      </c>
      <c r="DP231" s="460">
        <f t="shared" si="570"/>
        <v>0</v>
      </c>
      <c r="DQ231" s="582">
        <f t="shared" si="571"/>
        <v>1</v>
      </c>
      <c r="DR231" s="113">
        <f t="shared" si="572"/>
        <v>1</v>
      </c>
      <c r="DS231" s="113">
        <f t="shared" si="573"/>
        <v>0</v>
      </c>
      <c r="DT231" s="113">
        <f t="shared" si="574"/>
        <v>0</v>
      </c>
      <c r="DU231" s="459">
        <f t="shared" si="575"/>
        <v>0</v>
      </c>
      <c r="DW231" s="461">
        <f t="shared" si="315"/>
        <v>3696.3333333333339</v>
      </c>
      <c r="DX231" s="582">
        <f t="shared" si="315"/>
        <v>2732.6666666666665</v>
      </c>
      <c r="DY231" s="113">
        <f t="shared" si="315"/>
        <v>1329.3333333333335</v>
      </c>
      <c r="DZ231" s="113">
        <f t="shared" si="315"/>
        <v>29.666666666666668</v>
      </c>
      <c r="EA231" s="113">
        <f t="shared" si="315"/>
        <v>1371.6666666666663</v>
      </c>
      <c r="EB231" s="460">
        <f t="shared" si="453"/>
        <v>2</v>
      </c>
      <c r="EC231" s="582">
        <f t="shared" si="453"/>
        <v>964.66666666666674</v>
      </c>
      <c r="ED231" s="113">
        <f t="shared" si="453"/>
        <v>404.99999999999989</v>
      </c>
      <c r="EE231" s="113">
        <f t="shared" si="453"/>
        <v>0</v>
      </c>
      <c r="EF231" s="113">
        <f t="shared" si="453"/>
        <v>485</v>
      </c>
      <c r="EG231" s="459">
        <f t="shared" si="453"/>
        <v>74.666666666666671</v>
      </c>
      <c r="EH231" s="461">
        <f t="shared" si="313"/>
        <v>1157</v>
      </c>
      <c r="EI231" s="582">
        <f t="shared" si="313"/>
        <v>858.66666666666663</v>
      </c>
      <c r="EJ231" s="113">
        <f t="shared" si="313"/>
        <v>437.66666666666652</v>
      </c>
      <c r="EK231" s="113">
        <f t="shared" si="313"/>
        <v>12.999999999999998</v>
      </c>
      <c r="EL231" s="113">
        <f t="shared" si="313"/>
        <v>406.99999999999983</v>
      </c>
      <c r="EM231" s="460">
        <f t="shared" si="313"/>
        <v>1</v>
      </c>
      <c r="EN231" s="582">
        <f t="shared" si="313"/>
        <v>298.33333333333337</v>
      </c>
      <c r="EO231" s="113">
        <f t="shared" si="313"/>
        <v>103.6666666666666</v>
      </c>
      <c r="EP231" s="113">
        <f t="shared" si="313"/>
        <v>0</v>
      </c>
      <c r="EQ231" s="113">
        <f t="shared" si="313"/>
        <v>173.66666666666671</v>
      </c>
      <c r="ER231" s="459">
        <f t="shared" si="313"/>
        <v>20.999999999999996</v>
      </c>
    </row>
    <row r="232" spans="1:148">
      <c r="A232" s="665" t="s">
        <v>424</v>
      </c>
      <c r="B232" s="665">
        <v>45078</v>
      </c>
      <c r="C232" s="666">
        <v>2023</v>
      </c>
      <c r="D232" s="461">
        <f t="shared" ref="D232" si="586">D121/3+D231</f>
        <v>4545640</v>
      </c>
      <c r="E232" s="461">
        <f t="shared" si="455"/>
        <v>124889.00000000003</v>
      </c>
      <c r="F232" s="582">
        <f t="shared" si="456"/>
        <v>90352</v>
      </c>
      <c r="G232" s="113">
        <f t="shared" si="457"/>
        <v>43804.999999999985</v>
      </c>
      <c r="H232" s="113">
        <f t="shared" si="458"/>
        <v>1607.9999999999998</v>
      </c>
      <c r="I232" s="113">
        <f t="shared" si="459"/>
        <v>44490.999999999985</v>
      </c>
      <c r="J232" s="460">
        <f t="shared" si="460"/>
        <v>447.99999999999994</v>
      </c>
      <c r="K232" s="582">
        <f t="shared" si="461"/>
        <v>34536.999999999993</v>
      </c>
      <c r="L232" s="113">
        <f t="shared" si="462"/>
        <v>14165.000000000005</v>
      </c>
      <c r="M232" s="113">
        <f t="shared" si="463"/>
        <v>0</v>
      </c>
      <c r="N232" s="113">
        <f t="shared" si="464"/>
        <v>17495</v>
      </c>
      <c r="O232" s="459">
        <f t="shared" si="465"/>
        <v>2876.9999999999991</v>
      </c>
      <c r="P232" s="461">
        <f t="shared" si="466"/>
        <v>203</v>
      </c>
      <c r="Q232" s="582">
        <f t="shared" si="467"/>
        <v>120.00000000000004</v>
      </c>
      <c r="R232" s="113">
        <f t="shared" si="468"/>
        <v>61.000000000000021</v>
      </c>
      <c r="S232" s="113">
        <f t="shared" si="469"/>
        <v>1.9999999999999998</v>
      </c>
      <c r="T232" s="113">
        <f t="shared" si="470"/>
        <v>57.000000000000021</v>
      </c>
      <c r="U232" s="460">
        <f t="shared" si="471"/>
        <v>0</v>
      </c>
      <c r="V232" s="582">
        <f t="shared" si="472"/>
        <v>83.000000000000043</v>
      </c>
      <c r="W232" s="113">
        <f t="shared" si="473"/>
        <v>28</v>
      </c>
      <c r="X232" s="113">
        <f t="shared" si="474"/>
        <v>0</v>
      </c>
      <c r="Y232" s="113">
        <f t="shared" si="475"/>
        <v>48.000000000000007</v>
      </c>
      <c r="Z232" s="459">
        <f t="shared" si="476"/>
        <v>7</v>
      </c>
      <c r="AA232" s="461">
        <f t="shared" si="477"/>
        <v>118.00000000000004</v>
      </c>
      <c r="AB232" s="582">
        <f t="shared" si="478"/>
        <v>73.999999999999972</v>
      </c>
      <c r="AC232" s="113">
        <f t="shared" si="479"/>
        <v>34.999999999999986</v>
      </c>
      <c r="AD232" s="113">
        <f t="shared" si="480"/>
        <v>1</v>
      </c>
      <c r="AE232" s="113">
        <f t="shared" si="481"/>
        <v>37.999999999999993</v>
      </c>
      <c r="AF232" s="460">
        <f t="shared" si="482"/>
        <v>0</v>
      </c>
      <c r="AG232" s="582">
        <f t="shared" si="483"/>
        <v>44.000000000000028</v>
      </c>
      <c r="AH232" s="113">
        <f t="shared" si="484"/>
        <v>30.999999999999982</v>
      </c>
      <c r="AI232" s="113">
        <f t="shared" si="485"/>
        <v>0</v>
      </c>
      <c r="AJ232" s="113">
        <f t="shared" si="486"/>
        <v>6.9999999999999973</v>
      </c>
      <c r="AK232" s="459">
        <f t="shared" si="487"/>
        <v>5.9999999999999982</v>
      </c>
      <c r="AL232" s="461">
        <f t="shared" si="488"/>
        <v>1207</v>
      </c>
      <c r="AM232" s="582">
        <f t="shared" si="489"/>
        <v>898</v>
      </c>
      <c r="AN232" s="113">
        <f t="shared" si="490"/>
        <v>443.99999999999983</v>
      </c>
      <c r="AO232" s="113">
        <f t="shared" si="491"/>
        <v>13.999999999999998</v>
      </c>
      <c r="AP232" s="113">
        <f t="shared" si="492"/>
        <v>438.99999999999983</v>
      </c>
      <c r="AQ232" s="460">
        <f t="shared" si="493"/>
        <v>1</v>
      </c>
      <c r="AR232" s="582">
        <f t="shared" si="494"/>
        <v>309.00000000000006</v>
      </c>
      <c r="AS232" s="113">
        <f t="shared" si="495"/>
        <v>103.99999999999993</v>
      </c>
      <c r="AT232" s="113">
        <f t="shared" si="496"/>
        <v>0</v>
      </c>
      <c r="AU232" s="113">
        <f t="shared" si="497"/>
        <v>183.00000000000006</v>
      </c>
      <c r="AV232" s="459">
        <f t="shared" si="498"/>
        <v>21.999999999999996</v>
      </c>
      <c r="AW232" s="461">
        <f t="shared" si="499"/>
        <v>660.99999999999977</v>
      </c>
      <c r="AX232" s="582">
        <f t="shared" si="500"/>
        <v>471.99999999999989</v>
      </c>
      <c r="AY232" s="113">
        <f t="shared" si="501"/>
        <v>259</v>
      </c>
      <c r="AZ232" s="113">
        <f t="shared" si="502"/>
        <v>4</v>
      </c>
      <c r="BA232" s="113">
        <f t="shared" si="503"/>
        <v>209</v>
      </c>
      <c r="BB232" s="460">
        <f t="shared" si="504"/>
        <v>0</v>
      </c>
      <c r="BC232" s="582">
        <f t="shared" si="505"/>
        <v>189.00000000000003</v>
      </c>
      <c r="BD232" s="113">
        <f t="shared" si="506"/>
        <v>87.999999999999943</v>
      </c>
      <c r="BE232" s="113">
        <f t="shared" si="507"/>
        <v>0</v>
      </c>
      <c r="BF232" s="113">
        <f t="shared" si="508"/>
        <v>89.000000000000043</v>
      </c>
      <c r="BG232" s="459">
        <f t="shared" si="509"/>
        <v>12</v>
      </c>
      <c r="BH232" s="461">
        <f t="shared" si="510"/>
        <v>955.00000000000045</v>
      </c>
      <c r="BI232" s="582">
        <f t="shared" si="511"/>
        <v>740.99999999999977</v>
      </c>
      <c r="BJ232" s="113">
        <f t="shared" si="512"/>
        <v>357.00000000000023</v>
      </c>
      <c r="BK232" s="113">
        <f t="shared" si="513"/>
        <v>10.000000000000002</v>
      </c>
      <c r="BL232" s="113">
        <f t="shared" si="514"/>
        <v>372.99999999999989</v>
      </c>
      <c r="BM232" s="460">
        <f t="shared" si="515"/>
        <v>1</v>
      </c>
      <c r="BN232" s="582">
        <f t="shared" si="516"/>
        <v>213.99999999999997</v>
      </c>
      <c r="BO232" s="113">
        <f t="shared" si="517"/>
        <v>73.000000000000014</v>
      </c>
      <c r="BP232" s="113">
        <f t="shared" si="518"/>
        <v>0</v>
      </c>
      <c r="BQ232" s="113">
        <f t="shared" si="519"/>
        <v>122.00000000000001</v>
      </c>
      <c r="BR232" s="459">
        <f t="shared" si="520"/>
        <v>19.000000000000004</v>
      </c>
      <c r="BS232" s="461">
        <f t="shared" si="521"/>
        <v>1411</v>
      </c>
      <c r="BT232" s="582">
        <f t="shared" si="522"/>
        <v>1082</v>
      </c>
      <c r="BU232" s="113">
        <f t="shared" si="523"/>
        <v>474.99999999999994</v>
      </c>
      <c r="BV232" s="113">
        <f t="shared" si="524"/>
        <v>3.9999999999999996</v>
      </c>
      <c r="BW232" s="113">
        <f t="shared" si="525"/>
        <v>601.99999999999977</v>
      </c>
      <c r="BX232" s="460">
        <f t="shared" si="526"/>
        <v>1</v>
      </c>
      <c r="BY232" s="582">
        <f t="shared" si="527"/>
        <v>329.00000000000006</v>
      </c>
      <c r="BZ232" s="113">
        <f t="shared" si="528"/>
        <v>121.99999999999991</v>
      </c>
      <c r="CA232" s="113">
        <f t="shared" si="529"/>
        <v>0</v>
      </c>
      <c r="CB232" s="113">
        <f t="shared" si="530"/>
        <v>180.99999999999997</v>
      </c>
      <c r="CC232" s="459">
        <f t="shared" si="531"/>
        <v>25.999999999999996</v>
      </c>
      <c r="CD232" s="461">
        <f t="shared" si="532"/>
        <v>248</v>
      </c>
      <c r="CE232" s="582">
        <f t="shared" si="533"/>
        <v>179</v>
      </c>
      <c r="CF232" s="113">
        <f t="shared" si="534"/>
        <v>81</v>
      </c>
      <c r="CG232" s="113">
        <f t="shared" si="535"/>
        <v>5</v>
      </c>
      <c r="CH232" s="113">
        <f t="shared" si="536"/>
        <v>93.000000000000014</v>
      </c>
      <c r="CI232" s="460">
        <f t="shared" si="537"/>
        <v>0</v>
      </c>
      <c r="CJ232" s="582">
        <f t="shared" si="538"/>
        <v>68.999999999999972</v>
      </c>
      <c r="CK232" s="113">
        <f t="shared" si="539"/>
        <v>25.999999999999996</v>
      </c>
      <c r="CL232" s="113">
        <f t="shared" si="540"/>
        <v>0</v>
      </c>
      <c r="CM232" s="113">
        <f t="shared" si="541"/>
        <v>38</v>
      </c>
      <c r="CN232" s="459">
        <f t="shared" si="542"/>
        <v>4.9999999999999991</v>
      </c>
      <c r="CO232" s="461">
        <f t="shared" si="543"/>
        <v>172</v>
      </c>
      <c r="CP232" s="582">
        <f t="shared" si="544"/>
        <v>122.00000000000004</v>
      </c>
      <c r="CQ232" s="113">
        <f t="shared" si="545"/>
        <v>69.000000000000028</v>
      </c>
      <c r="CR232" s="113">
        <f t="shared" si="546"/>
        <v>5</v>
      </c>
      <c r="CS232" s="113">
        <f t="shared" si="547"/>
        <v>47.999999999999986</v>
      </c>
      <c r="CT232" s="460">
        <f t="shared" si="548"/>
        <v>0</v>
      </c>
      <c r="CU232" s="582">
        <f t="shared" si="549"/>
        <v>50.000000000000028</v>
      </c>
      <c r="CV232" s="113">
        <f t="shared" si="550"/>
        <v>23.999999999999986</v>
      </c>
      <c r="CW232" s="113">
        <f t="shared" si="551"/>
        <v>0</v>
      </c>
      <c r="CX232" s="113">
        <f t="shared" si="552"/>
        <v>25.999999999999979</v>
      </c>
      <c r="CY232" s="459">
        <f t="shared" si="553"/>
        <v>0</v>
      </c>
      <c r="CZ232" s="461">
        <f t="shared" si="554"/>
        <v>62</v>
      </c>
      <c r="DA232" s="582">
        <f t="shared" si="555"/>
        <v>41</v>
      </c>
      <c r="DB232" s="113">
        <f t="shared" si="556"/>
        <v>12.999999999999998</v>
      </c>
      <c r="DC232" s="113">
        <f t="shared" si="557"/>
        <v>1</v>
      </c>
      <c r="DD232" s="113">
        <f t="shared" si="558"/>
        <v>26.999999999999993</v>
      </c>
      <c r="DE232" s="460">
        <f t="shared" si="559"/>
        <v>0</v>
      </c>
      <c r="DF232" s="582">
        <f t="shared" si="560"/>
        <v>21.000000000000007</v>
      </c>
      <c r="DG232" s="113">
        <f t="shared" si="561"/>
        <v>13.000000000000011</v>
      </c>
      <c r="DH232" s="113">
        <f t="shared" si="562"/>
        <v>0</v>
      </c>
      <c r="DI232" s="113">
        <f t="shared" si="563"/>
        <v>4.9999999999999991</v>
      </c>
      <c r="DJ232" s="459">
        <f t="shared" si="564"/>
        <v>3</v>
      </c>
      <c r="DK232" s="461">
        <f t="shared" si="565"/>
        <v>1</v>
      </c>
      <c r="DL232" s="582">
        <f t="shared" si="566"/>
        <v>1</v>
      </c>
      <c r="DM232" s="113">
        <f t="shared" si="567"/>
        <v>0</v>
      </c>
      <c r="DN232" s="113">
        <f t="shared" si="568"/>
        <v>1</v>
      </c>
      <c r="DO232" s="113">
        <f t="shared" si="569"/>
        <v>0</v>
      </c>
      <c r="DP232" s="460">
        <f t="shared" si="570"/>
        <v>0</v>
      </c>
      <c r="DQ232" s="582">
        <f t="shared" si="571"/>
        <v>1</v>
      </c>
      <c r="DR232" s="113">
        <f t="shared" si="572"/>
        <v>1</v>
      </c>
      <c r="DS232" s="113">
        <f t="shared" si="573"/>
        <v>0</v>
      </c>
      <c r="DT232" s="113">
        <f t="shared" si="574"/>
        <v>0</v>
      </c>
      <c r="DU232" s="459">
        <f t="shared" si="575"/>
        <v>0</v>
      </c>
      <c r="DW232" s="461">
        <f t="shared" si="315"/>
        <v>3831</v>
      </c>
      <c r="DX232" s="582">
        <f t="shared" si="315"/>
        <v>2831.9999999999995</v>
      </c>
      <c r="DY232" s="113">
        <f t="shared" si="315"/>
        <v>1350.0000000000002</v>
      </c>
      <c r="DZ232" s="113">
        <f t="shared" si="315"/>
        <v>33</v>
      </c>
      <c r="EA232" s="113">
        <f t="shared" si="315"/>
        <v>1446.9999999999995</v>
      </c>
      <c r="EB232" s="460">
        <f t="shared" si="453"/>
        <v>2</v>
      </c>
      <c r="EC232" s="582">
        <f t="shared" si="453"/>
        <v>1000.0000000000002</v>
      </c>
      <c r="ED232" s="113">
        <f t="shared" si="453"/>
        <v>405.99999999999989</v>
      </c>
      <c r="EE232" s="113">
        <f t="shared" si="453"/>
        <v>0</v>
      </c>
      <c r="EF232" s="113">
        <f t="shared" si="453"/>
        <v>516</v>
      </c>
      <c r="EG232" s="459">
        <f t="shared" si="453"/>
        <v>78</v>
      </c>
      <c r="EH232" s="461">
        <f t="shared" ref="EH232:ER250" si="587">AL232</f>
        <v>1207</v>
      </c>
      <c r="EI232" s="582">
        <f t="shared" si="587"/>
        <v>898</v>
      </c>
      <c r="EJ232" s="113">
        <f t="shared" si="587"/>
        <v>443.99999999999983</v>
      </c>
      <c r="EK232" s="113">
        <f t="shared" si="587"/>
        <v>13.999999999999998</v>
      </c>
      <c r="EL232" s="113">
        <f t="shared" si="587"/>
        <v>438.99999999999983</v>
      </c>
      <c r="EM232" s="460">
        <f t="shared" si="587"/>
        <v>1</v>
      </c>
      <c r="EN232" s="582">
        <f t="shared" si="587"/>
        <v>309.00000000000006</v>
      </c>
      <c r="EO232" s="113">
        <f t="shared" si="587"/>
        <v>103.99999999999993</v>
      </c>
      <c r="EP232" s="113">
        <f t="shared" si="587"/>
        <v>0</v>
      </c>
      <c r="EQ232" s="113">
        <f t="shared" si="587"/>
        <v>183.00000000000006</v>
      </c>
      <c r="ER232" s="459">
        <f t="shared" si="587"/>
        <v>21.999999999999996</v>
      </c>
    </row>
    <row r="233" spans="1:148">
      <c r="A233" s="665" t="s">
        <v>425</v>
      </c>
      <c r="B233" s="665">
        <v>45108</v>
      </c>
      <c r="C233" s="666">
        <v>2023</v>
      </c>
      <c r="D233" s="461">
        <f t="shared" ref="D233" si="588">D122/3+D232</f>
        <v>4605172</v>
      </c>
      <c r="E233" s="461">
        <f t="shared" si="455"/>
        <v>129792.33333333336</v>
      </c>
      <c r="F233" s="582">
        <f t="shared" si="456"/>
        <v>94171.333333333328</v>
      </c>
      <c r="G233" s="113">
        <f t="shared" si="457"/>
        <v>44847.999999999985</v>
      </c>
      <c r="H233" s="113">
        <f t="shared" si="458"/>
        <v>1782.333333333333</v>
      </c>
      <c r="I233" s="113">
        <f t="shared" si="459"/>
        <v>47067.66666666665</v>
      </c>
      <c r="J233" s="460">
        <f t="shared" si="460"/>
        <v>473.33333333333326</v>
      </c>
      <c r="K233" s="582">
        <f t="shared" si="461"/>
        <v>35620.999999999993</v>
      </c>
      <c r="L233" s="113">
        <f t="shared" si="462"/>
        <v>14272.333333333339</v>
      </c>
      <c r="M233" s="113">
        <f t="shared" si="463"/>
        <v>0</v>
      </c>
      <c r="N233" s="113">
        <f t="shared" si="464"/>
        <v>18436.666666666668</v>
      </c>
      <c r="O233" s="459">
        <f t="shared" si="465"/>
        <v>2911.9999999999991</v>
      </c>
      <c r="P233" s="461">
        <f t="shared" si="466"/>
        <v>211.33333333333334</v>
      </c>
      <c r="Q233" s="582">
        <f t="shared" si="467"/>
        <v>126.00000000000004</v>
      </c>
      <c r="R233" s="113">
        <f t="shared" si="468"/>
        <v>63.666666666666686</v>
      </c>
      <c r="S233" s="113">
        <f t="shared" si="469"/>
        <v>1.9999999999999998</v>
      </c>
      <c r="T233" s="113">
        <f t="shared" si="470"/>
        <v>60.333333333333357</v>
      </c>
      <c r="U233" s="460">
        <f t="shared" si="471"/>
        <v>0</v>
      </c>
      <c r="V233" s="582">
        <f t="shared" si="472"/>
        <v>85.333333333333371</v>
      </c>
      <c r="W233" s="113">
        <f t="shared" si="473"/>
        <v>28.333333333333332</v>
      </c>
      <c r="X233" s="113">
        <f t="shared" si="474"/>
        <v>0</v>
      </c>
      <c r="Y233" s="113">
        <f t="shared" si="475"/>
        <v>50.000000000000007</v>
      </c>
      <c r="Z233" s="459">
        <f t="shared" si="476"/>
        <v>7</v>
      </c>
      <c r="AA233" s="461">
        <f t="shared" si="477"/>
        <v>123.00000000000004</v>
      </c>
      <c r="AB233" s="582">
        <f t="shared" si="478"/>
        <v>76.999999999999972</v>
      </c>
      <c r="AC233" s="113">
        <f t="shared" si="479"/>
        <v>35.333333333333321</v>
      </c>
      <c r="AD233" s="113">
        <f t="shared" si="480"/>
        <v>1</v>
      </c>
      <c r="AE233" s="113">
        <f t="shared" si="481"/>
        <v>40.666666666666657</v>
      </c>
      <c r="AF233" s="460">
        <f t="shared" si="482"/>
        <v>0</v>
      </c>
      <c r="AG233" s="582">
        <f t="shared" si="483"/>
        <v>46.000000000000028</v>
      </c>
      <c r="AH233" s="113">
        <f t="shared" si="484"/>
        <v>31.66666666666665</v>
      </c>
      <c r="AI233" s="113">
        <f t="shared" si="485"/>
        <v>0</v>
      </c>
      <c r="AJ233" s="113">
        <f t="shared" si="486"/>
        <v>8.3333333333333304</v>
      </c>
      <c r="AK233" s="459">
        <f t="shared" si="487"/>
        <v>5.9999999999999982</v>
      </c>
      <c r="AL233" s="461">
        <f t="shared" si="488"/>
        <v>1253</v>
      </c>
      <c r="AM233" s="582">
        <f t="shared" si="489"/>
        <v>928.66666666666663</v>
      </c>
      <c r="AN233" s="113">
        <f t="shared" si="490"/>
        <v>454.99999999999983</v>
      </c>
      <c r="AO233" s="113">
        <f t="shared" si="491"/>
        <v>15.333333333333332</v>
      </c>
      <c r="AP233" s="113">
        <f t="shared" si="492"/>
        <v>457.33333333333314</v>
      </c>
      <c r="AQ233" s="460">
        <f t="shared" si="493"/>
        <v>1</v>
      </c>
      <c r="AR233" s="582">
        <f t="shared" si="494"/>
        <v>324.33333333333337</v>
      </c>
      <c r="AS233" s="113">
        <f t="shared" si="495"/>
        <v>104.33333333333326</v>
      </c>
      <c r="AT233" s="113">
        <f t="shared" si="496"/>
        <v>0</v>
      </c>
      <c r="AU233" s="113">
        <f t="shared" si="497"/>
        <v>198.00000000000006</v>
      </c>
      <c r="AV233" s="459">
        <f t="shared" si="498"/>
        <v>21.999999999999996</v>
      </c>
      <c r="AW233" s="461">
        <f t="shared" si="499"/>
        <v>688.33333333333314</v>
      </c>
      <c r="AX233" s="582">
        <f t="shared" si="500"/>
        <v>494.99999999999989</v>
      </c>
      <c r="AY233" s="113">
        <f t="shared" si="501"/>
        <v>264.33333333333331</v>
      </c>
      <c r="AZ233" s="113">
        <f t="shared" si="502"/>
        <v>5.333333333333333</v>
      </c>
      <c r="BA233" s="113">
        <f t="shared" si="503"/>
        <v>225.33333333333334</v>
      </c>
      <c r="BB233" s="460">
        <f t="shared" si="504"/>
        <v>0</v>
      </c>
      <c r="BC233" s="582">
        <f t="shared" si="505"/>
        <v>193.33333333333337</v>
      </c>
      <c r="BD233" s="113">
        <f t="shared" si="506"/>
        <v>88.333333333333272</v>
      </c>
      <c r="BE233" s="113">
        <f t="shared" si="507"/>
        <v>0</v>
      </c>
      <c r="BF233" s="113">
        <f t="shared" si="508"/>
        <v>93.000000000000043</v>
      </c>
      <c r="BG233" s="459">
        <f t="shared" si="509"/>
        <v>12</v>
      </c>
      <c r="BH233" s="461">
        <f t="shared" si="510"/>
        <v>997.00000000000045</v>
      </c>
      <c r="BI233" s="582">
        <f t="shared" si="511"/>
        <v>775.6666666666664</v>
      </c>
      <c r="BJ233" s="113">
        <f t="shared" si="512"/>
        <v>366.33333333333354</v>
      </c>
      <c r="BK233" s="113">
        <f t="shared" si="513"/>
        <v>10.666666666666668</v>
      </c>
      <c r="BL233" s="113">
        <f t="shared" si="514"/>
        <v>397.66666666666657</v>
      </c>
      <c r="BM233" s="460">
        <f t="shared" si="515"/>
        <v>1</v>
      </c>
      <c r="BN233" s="582">
        <f t="shared" si="516"/>
        <v>221.33333333333331</v>
      </c>
      <c r="BO233" s="113">
        <f t="shared" si="517"/>
        <v>73.333333333333343</v>
      </c>
      <c r="BP233" s="113">
        <f t="shared" si="518"/>
        <v>0</v>
      </c>
      <c r="BQ233" s="113">
        <f t="shared" si="519"/>
        <v>128.66666666666669</v>
      </c>
      <c r="BR233" s="459">
        <f t="shared" si="520"/>
        <v>19.333333333333336</v>
      </c>
      <c r="BS233" s="461">
        <f t="shared" si="521"/>
        <v>1468</v>
      </c>
      <c r="BT233" s="582">
        <f t="shared" si="522"/>
        <v>1127</v>
      </c>
      <c r="BU233" s="113">
        <f t="shared" si="523"/>
        <v>489.66666666666663</v>
      </c>
      <c r="BV233" s="113">
        <f t="shared" si="524"/>
        <v>4.6666666666666661</v>
      </c>
      <c r="BW233" s="113">
        <f t="shared" si="525"/>
        <v>631.6666666666664</v>
      </c>
      <c r="BX233" s="460">
        <f t="shared" si="526"/>
        <v>1</v>
      </c>
      <c r="BY233" s="582">
        <f t="shared" si="527"/>
        <v>341.00000000000006</v>
      </c>
      <c r="BZ233" s="113">
        <f t="shared" si="528"/>
        <v>122.99999999999991</v>
      </c>
      <c r="CA233" s="113">
        <f t="shared" si="529"/>
        <v>0</v>
      </c>
      <c r="CB233" s="113">
        <f t="shared" si="530"/>
        <v>191.66666666666663</v>
      </c>
      <c r="CC233" s="459">
        <f t="shared" si="531"/>
        <v>26.333333333333329</v>
      </c>
      <c r="CD233" s="461">
        <f t="shared" si="532"/>
        <v>257.33333333333331</v>
      </c>
      <c r="CE233" s="582">
        <f t="shared" si="533"/>
        <v>186.33333333333334</v>
      </c>
      <c r="CF233" s="113">
        <f t="shared" si="534"/>
        <v>82.333333333333329</v>
      </c>
      <c r="CG233" s="113">
        <f t="shared" si="535"/>
        <v>5.666666666666667</v>
      </c>
      <c r="CH233" s="113">
        <f t="shared" si="536"/>
        <v>98.333333333333343</v>
      </c>
      <c r="CI233" s="460">
        <f t="shared" si="537"/>
        <v>0</v>
      </c>
      <c r="CJ233" s="582">
        <f t="shared" si="538"/>
        <v>70.999999999999972</v>
      </c>
      <c r="CK233" s="113">
        <f t="shared" si="539"/>
        <v>25.999999999999996</v>
      </c>
      <c r="CL233" s="113">
        <f t="shared" si="540"/>
        <v>0</v>
      </c>
      <c r="CM233" s="113">
        <f t="shared" si="541"/>
        <v>40</v>
      </c>
      <c r="CN233" s="459">
        <f t="shared" si="542"/>
        <v>4.9999999999999991</v>
      </c>
      <c r="CO233" s="461">
        <f t="shared" si="543"/>
        <v>181.33333333333334</v>
      </c>
      <c r="CP233" s="582">
        <f t="shared" si="544"/>
        <v>129.33333333333337</v>
      </c>
      <c r="CQ233" s="113">
        <f t="shared" si="545"/>
        <v>71.000000000000028</v>
      </c>
      <c r="CR233" s="113">
        <f t="shared" si="546"/>
        <v>5.333333333333333</v>
      </c>
      <c r="CS233" s="113">
        <f t="shared" si="547"/>
        <v>52.999999999999986</v>
      </c>
      <c r="CT233" s="460">
        <f t="shared" si="548"/>
        <v>0</v>
      </c>
      <c r="CU233" s="582">
        <f t="shared" si="549"/>
        <v>52.000000000000028</v>
      </c>
      <c r="CV233" s="113">
        <f t="shared" si="550"/>
        <v>23.999999999999986</v>
      </c>
      <c r="CW233" s="113">
        <f t="shared" si="551"/>
        <v>0</v>
      </c>
      <c r="CX233" s="113">
        <f t="shared" si="552"/>
        <v>27.999999999999979</v>
      </c>
      <c r="CY233" s="459">
        <f t="shared" si="553"/>
        <v>0</v>
      </c>
      <c r="CZ233" s="461">
        <f t="shared" si="554"/>
        <v>63</v>
      </c>
      <c r="DA233" s="582">
        <f t="shared" si="555"/>
        <v>41.666666666666664</v>
      </c>
      <c r="DB233" s="113">
        <f t="shared" si="556"/>
        <v>12.999999999999998</v>
      </c>
      <c r="DC233" s="113">
        <f t="shared" si="557"/>
        <v>1</v>
      </c>
      <c r="DD233" s="113">
        <f t="shared" si="558"/>
        <v>27.666666666666661</v>
      </c>
      <c r="DE233" s="460">
        <f t="shared" si="559"/>
        <v>0</v>
      </c>
      <c r="DF233" s="582">
        <f t="shared" si="560"/>
        <v>21.333333333333339</v>
      </c>
      <c r="DG233" s="113">
        <f t="shared" si="561"/>
        <v>13.000000000000011</v>
      </c>
      <c r="DH233" s="113">
        <f t="shared" si="562"/>
        <v>0</v>
      </c>
      <c r="DI233" s="113">
        <f t="shared" si="563"/>
        <v>5.3333333333333321</v>
      </c>
      <c r="DJ233" s="459">
        <f t="shared" si="564"/>
        <v>3</v>
      </c>
      <c r="DK233" s="461">
        <f t="shared" si="565"/>
        <v>1</v>
      </c>
      <c r="DL233" s="582">
        <f t="shared" si="566"/>
        <v>1</v>
      </c>
      <c r="DM233" s="113">
        <f t="shared" si="567"/>
        <v>0</v>
      </c>
      <c r="DN233" s="113">
        <f t="shared" si="568"/>
        <v>1</v>
      </c>
      <c r="DO233" s="113">
        <f t="shared" si="569"/>
        <v>0</v>
      </c>
      <c r="DP233" s="460">
        <f t="shared" si="570"/>
        <v>0</v>
      </c>
      <c r="DQ233" s="582">
        <f t="shared" si="571"/>
        <v>1</v>
      </c>
      <c r="DR233" s="113">
        <f t="shared" si="572"/>
        <v>1</v>
      </c>
      <c r="DS233" s="113">
        <f t="shared" si="573"/>
        <v>0</v>
      </c>
      <c r="DT233" s="113">
        <f t="shared" si="574"/>
        <v>0</v>
      </c>
      <c r="DU233" s="459">
        <f t="shared" si="575"/>
        <v>0</v>
      </c>
      <c r="DW233" s="461">
        <f t="shared" si="315"/>
        <v>3990.3333333333339</v>
      </c>
      <c r="DX233" s="582">
        <f t="shared" si="315"/>
        <v>2958.9999999999995</v>
      </c>
      <c r="DY233" s="113">
        <f t="shared" si="315"/>
        <v>1385.6666666666667</v>
      </c>
      <c r="DZ233" s="113">
        <f t="shared" si="315"/>
        <v>36.666666666666664</v>
      </c>
      <c r="EA233" s="113">
        <f t="shared" si="315"/>
        <v>1534.6666666666665</v>
      </c>
      <c r="EB233" s="460">
        <f t="shared" si="453"/>
        <v>2</v>
      </c>
      <c r="EC233" s="582">
        <f t="shared" si="453"/>
        <v>1032.3333333333333</v>
      </c>
      <c r="ED233" s="113">
        <f t="shared" si="453"/>
        <v>408.66666666666652</v>
      </c>
      <c r="EE233" s="113">
        <f t="shared" si="453"/>
        <v>0</v>
      </c>
      <c r="EF233" s="113">
        <f t="shared" si="453"/>
        <v>545</v>
      </c>
      <c r="EG233" s="459">
        <f t="shared" si="453"/>
        <v>78.666666666666657</v>
      </c>
      <c r="EH233" s="461">
        <f t="shared" si="587"/>
        <v>1253</v>
      </c>
      <c r="EI233" s="582">
        <f t="shared" si="587"/>
        <v>928.66666666666663</v>
      </c>
      <c r="EJ233" s="113">
        <f t="shared" si="587"/>
        <v>454.99999999999983</v>
      </c>
      <c r="EK233" s="113">
        <f t="shared" si="587"/>
        <v>15.333333333333332</v>
      </c>
      <c r="EL233" s="113">
        <f t="shared" si="587"/>
        <v>457.33333333333314</v>
      </c>
      <c r="EM233" s="460">
        <f t="shared" si="587"/>
        <v>1</v>
      </c>
      <c r="EN233" s="582">
        <f t="shared" si="587"/>
        <v>324.33333333333337</v>
      </c>
      <c r="EO233" s="113">
        <f t="shared" si="587"/>
        <v>104.33333333333326</v>
      </c>
      <c r="EP233" s="113">
        <f t="shared" si="587"/>
        <v>0</v>
      </c>
      <c r="EQ233" s="113">
        <f t="shared" si="587"/>
        <v>198.00000000000006</v>
      </c>
      <c r="ER233" s="459">
        <f t="shared" si="587"/>
        <v>21.999999999999996</v>
      </c>
    </row>
    <row r="234" spans="1:148">
      <c r="A234" s="665" t="s">
        <v>425</v>
      </c>
      <c r="B234" s="665">
        <v>45139</v>
      </c>
      <c r="C234" s="666">
        <v>2023</v>
      </c>
      <c r="D234" s="461">
        <f t="shared" ref="D234" si="589">D123/3+D233</f>
        <v>4664704</v>
      </c>
      <c r="E234" s="461">
        <f t="shared" si="455"/>
        <v>134695.66666666669</v>
      </c>
      <c r="F234" s="582">
        <f t="shared" si="456"/>
        <v>97990.666666666657</v>
      </c>
      <c r="G234" s="113">
        <f t="shared" si="457"/>
        <v>45890.999999999985</v>
      </c>
      <c r="H234" s="113">
        <f t="shared" si="458"/>
        <v>1956.6666666666663</v>
      </c>
      <c r="I234" s="113">
        <f t="shared" si="459"/>
        <v>49644.333333333314</v>
      </c>
      <c r="J234" s="460">
        <f t="shared" si="460"/>
        <v>498.66666666666657</v>
      </c>
      <c r="K234" s="582">
        <f t="shared" si="461"/>
        <v>36704.999999999993</v>
      </c>
      <c r="L234" s="113">
        <f t="shared" si="462"/>
        <v>14379.666666666673</v>
      </c>
      <c r="M234" s="113">
        <f t="shared" si="463"/>
        <v>0</v>
      </c>
      <c r="N234" s="113">
        <f t="shared" si="464"/>
        <v>19378.333333333336</v>
      </c>
      <c r="O234" s="459">
        <f t="shared" si="465"/>
        <v>2946.9999999999991</v>
      </c>
      <c r="P234" s="461">
        <f t="shared" si="466"/>
        <v>219.66666666666669</v>
      </c>
      <c r="Q234" s="582">
        <f t="shared" si="467"/>
        <v>132.00000000000006</v>
      </c>
      <c r="R234" s="113">
        <f t="shared" si="468"/>
        <v>66.333333333333357</v>
      </c>
      <c r="S234" s="113">
        <f t="shared" si="469"/>
        <v>1.9999999999999998</v>
      </c>
      <c r="T234" s="113">
        <f t="shared" si="470"/>
        <v>63.666666666666693</v>
      </c>
      <c r="U234" s="460">
        <f t="shared" si="471"/>
        <v>0</v>
      </c>
      <c r="V234" s="582">
        <f t="shared" si="472"/>
        <v>87.6666666666667</v>
      </c>
      <c r="W234" s="113">
        <f t="shared" si="473"/>
        <v>28.666666666666664</v>
      </c>
      <c r="X234" s="113">
        <f t="shared" si="474"/>
        <v>0</v>
      </c>
      <c r="Y234" s="113">
        <f t="shared" si="475"/>
        <v>52.000000000000007</v>
      </c>
      <c r="Z234" s="459">
        <f t="shared" si="476"/>
        <v>7</v>
      </c>
      <c r="AA234" s="461">
        <f t="shared" si="477"/>
        <v>128.00000000000006</v>
      </c>
      <c r="AB234" s="582">
        <f t="shared" si="478"/>
        <v>79.999999999999972</v>
      </c>
      <c r="AC234" s="113">
        <f t="shared" si="479"/>
        <v>35.666666666666657</v>
      </c>
      <c r="AD234" s="113">
        <f t="shared" si="480"/>
        <v>1</v>
      </c>
      <c r="AE234" s="113">
        <f t="shared" si="481"/>
        <v>43.333333333333321</v>
      </c>
      <c r="AF234" s="460">
        <f t="shared" si="482"/>
        <v>0</v>
      </c>
      <c r="AG234" s="582">
        <f t="shared" si="483"/>
        <v>48.000000000000028</v>
      </c>
      <c r="AH234" s="113">
        <f t="shared" si="484"/>
        <v>32.333333333333314</v>
      </c>
      <c r="AI234" s="113">
        <f t="shared" si="485"/>
        <v>0</v>
      </c>
      <c r="AJ234" s="113">
        <f t="shared" si="486"/>
        <v>9.6666666666666643</v>
      </c>
      <c r="AK234" s="459">
        <f t="shared" si="487"/>
        <v>5.9999999999999982</v>
      </c>
      <c r="AL234" s="461">
        <f t="shared" si="488"/>
        <v>1299</v>
      </c>
      <c r="AM234" s="582">
        <f t="shared" si="489"/>
        <v>959.33333333333326</v>
      </c>
      <c r="AN234" s="113">
        <f t="shared" si="490"/>
        <v>465.99999999999983</v>
      </c>
      <c r="AO234" s="113">
        <f t="shared" si="491"/>
        <v>16.666666666666664</v>
      </c>
      <c r="AP234" s="113">
        <f t="shared" si="492"/>
        <v>475.66666666666646</v>
      </c>
      <c r="AQ234" s="460">
        <f t="shared" si="493"/>
        <v>1</v>
      </c>
      <c r="AR234" s="582">
        <f t="shared" si="494"/>
        <v>339.66666666666669</v>
      </c>
      <c r="AS234" s="113">
        <f t="shared" si="495"/>
        <v>104.66666666666659</v>
      </c>
      <c r="AT234" s="113">
        <f t="shared" si="496"/>
        <v>0</v>
      </c>
      <c r="AU234" s="113">
        <f t="shared" si="497"/>
        <v>213.00000000000006</v>
      </c>
      <c r="AV234" s="459">
        <f t="shared" si="498"/>
        <v>21.999999999999996</v>
      </c>
      <c r="AW234" s="461">
        <f t="shared" si="499"/>
        <v>715.66666666666652</v>
      </c>
      <c r="AX234" s="582">
        <f t="shared" si="500"/>
        <v>517.99999999999989</v>
      </c>
      <c r="AY234" s="113">
        <f t="shared" si="501"/>
        <v>269.66666666666663</v>
      </c>
      <c r="AZ234" s="113">
        <f t="shared" si="502"/>
        <v>6.6666666666666661</v>
      </c>
      <c r="BA234" s="113">
        <f t="shared" si="503"/>
        <v>241.66666666666669</v>
      </c>
      <c r="BB234" s="460">
        <f t="shared" si="504"/>
        <v>0</v>
      </c>
      <c r="BC234" s="582">
        <f t="shared" si="505"/>
        <v>197.66666666666671</v>
      </c>
      <c r="BD234" s="113">
        <f t="shared" si="506"/>
        <v>88.6666666666666</v>
      </c>
      <c r="BE234" s="113">
        <f t="shared" si="507"/>
        <v>0</v>
      </c>
      <c r="BF234" s="113">
        <f t="shared" si="508"/>
        <v>97.000000000000043</v>
      </c>
      <c r="BG234" s="459">
        <f t="shared" si="509"/>
        <v>12</v>
      </c>
      <c r="BH234" s="461">
        <f t="shared" si="510"/>
        <v>1039.0000000000005</v>
      </c>
      <c r="BI234" s="582">
        <f t="shared" si="511"/>
        <v>810.33333333333303</v>
      </c>
      <c r="BJ234" s="113">
        <f t="shared" si="512"/>
        <v>375.66666666666686</v>
      </c>
      <c r="BK234" s="113">
        <f t="shared" si="513"/>
        <v>11.333333333333334</v>
      </c>
      <c r="BL234" s="113">
        <f t="shared" si="514"/>
        <v>422.33333333333326</v>
      </c>
      <c r="BM234" s="460">
        <f t="shared" si="515"/>
        <v>1</v>
      </c>
      <c r="BN234" s="582">
        <f t="shared" si="516"/>
        <v>228.66666666666666</v>
      </c>
      <c r="BO234" s="113">
        <f t="shared" si="517"/>
        <v>73.666666666666671</v>
      </c>
      <c r="BP234" s="113">
        <f t="shared" si="518"/>
        <v>0</v>
      </c>
      <c r="BQ234" s="113">
        <f t="shared" si="519"/>
        <v>135.33333333333334</v>
      </c>
      <c r="BR234" s="459">
        <f t="shared" si="520"/>
        <v>19.666666666666668</v>
      </c>
      <c r="BS234" s="461">
        <f t="shared" si="521"/>
        <v>1525</v>
      </c>
      <c r="BT234" s="582">
        <f t="shared" si="522"/>
        <v>1172</v>
      </c>
      <c r="BU234" s="113">
        <f t="shared" si="523"/>
        <v>504.33333333333331</v>
      </c>
      <c r="BV234" s="113">
        <f t="shared" si="524"/>
        <v>5.333333333333333</v>
      </c>
      <c r="BW234" s="113">
        <f t="shared" si="525"/>
        <v>661.33333333333303</v>
      </c>
      <c r="BX234" s="460">
        <f t="shared" si="526"/>
        <v>1</v>
      </c>
      <c r="BY234" s="582">
        <f t="shared" si="527"/>
        <v>353.00000000000006</v>
      </c>
      <c r="BZ234" s="113">
        <f t="shared" si="528"/>
        <v>123.99999999999991</v>
      </c>
      <c r="CA234" s="113">
        <f t="shared" si="529"/>
        <v>0</v>
      </c>
      <c r="CB234" s="113">
        <f t="shared" si="530"/>
        <v>202.33333333333329</v>
      </c>
      <c r="CC234" s="459">
        <f t="shared" si="531"/>
        <v>26.666666666666661</v>
      </c>
      <c r="CD234" s="461">
        <f t="shared" si="532"/>
        <v>266.66666666666663</v>
      </c>
      <c r="CE234" s="582">
        <f t="shared" si="533"/>
        <v>193.66666666666669</v>
      </c>
      <c r="CF234" s="113">
        <f t="shared" si="534"/>
        <v>83.666666666666657</v>
      </c>
      <c r="CG234" s="113">
        <f t="shared" si="535"/>
        <v>6.3333333333333339</v>
      </c>
      <c r="CH234" s="113">
        <f t="shared" si="536"/>
        <v>103.66666666666667</v>
      </c>
      <c r="CI234" s="460">
        <f t="shared" si="537"/>
        <v>0</v>
      </c>
      <c r="CJ234" s="582">
        <f t="shared" si="538"/>
        <v>72.999999999999972</v>
      </c>
      <c r="CK234" s="113">
        <f t="shared" si="539"/>
        <v>25.999999999999996</v>
      </c>
      <c r="CL234" s="113">
        <f t="shared" si="540"/>
        <v>0</v>
      </c>
      <c r="CM234" s="113">
        <f t="shared" si="541"/>
        <v>42</v>
      </c>
      <c r="CN234" s="459">
        <f t="shared" si="542"/>
        <v>4.9999999999999991</v>
      </c>
      <c r="CO234" s="461">
        <f t="shared" si="543"/>
        <v>190.66666666666669</v>
      </c>
      <c r="CP234" s="582">
        <f t="shared" si="544"/>
        <v>136.66666666666671</v>
      </c>
      <c r="CQ234" s="113">
        <f t="shared" si="545"/>
        <v>73.000000000000028</v>
      </c>
      <c r="CR234" s="113">
        <f t="shared" si="546"/>
        <v>5.6666666666666661</v>
      </c>
      <c r="CS234" s="113">
        <f t="shared" si="547"/>
        <v>57.999999999999986</v>
      </c>
      <c r="CT234" s="460">
        <f t="shared" si="548"/>
        <v>0</v>
      </c>
      <c r="CU234" s="582">
        <f t="shared" si="549"/>
        <v>54.000000000000028</v>
      </c>
      <c r="CV234" s="113">
        <f t="shared" si="550"/>
        <v>23.999999999999986</v>
      </c>
      <c r="CW234" s="113">
        <f t="shared" si="551"/>
        <v>0</v>
      </c>
      <c r="CX234" s="113">
        <f t="shared" si="552"/>
        <v>29.999999999999979</v>
      </c>
      <c r="CY234" s="459">
        <f t="shared" si="553"/>
        <v>0</v>
      </c>
      <c r="CZ234" s="461">
        <f t="shared" si="554"/>
        <v>64</v>
      </c>
      <c r="DA234" s="582">
        <f t="shared" si="555"/>
        <v>42.333333333333329</v>
      </c>
      <c r="DB234" s="113">
        <f t="shared" si="556"/>
        <v>12.999999999999998</v>
      </c>
      <c r="DC234" s="113">
        <f t="shared" si="557"/>
        <v>1</v>
      </c>
      <c r="DD234" s="113">
        <f t="shared" si="558"/>
        <v>28.333333333333329</v>
      </c>
      <c r="DE234" s="460">
        <f t="shared" si="559"/>
        <v>0</v>
      </c>
      <c r="DF234" s="582">
        <f t="shared" si="560"/>
        <v>21.666666666666671</v>
      </c>
      <c r="DG234" s="113">
        <f t="shared" si="561"/>
        <v>13.000000000000011</v>
      </c>
      <c r="DH234" s="113">
        <f t="shared" si="562"/>
        <v>0</v>
      </c>
      <c r="DI234" s="113">
        <f t="shared" si="563"/>
        <v>5.6666666666666652</v>
      </c>
      <c r="DJ234" s="459">
        <f t="shared" si="564"/>
        <v>3</v>
      </c>
      <c r="DK234" s="461">
        <f t="shared" si="565"/>
        <v>1</v>
      </c>
      <c r="DL234" s="582">
        <f t="shared" si="566"/>
        <v>1</v>
      </c>
      <c r="DM234" s="113">
        <f t="shared" si="567"/>
        <v>0</v>
      </c>
      <c r="DN234" s="113">
        <f t="shared" si="568"/>
        <v>1</v>
      </c>
      <c r="DO234" s="113">
        <f t="shared" si="569"/>
        <v>0</v>
      </c>
      <c r="DP234" s="460">
        <f t="shared" si="570"/>
        <v>0</v>
      </c>
      <c r="DQ234" s="582">
        <f t="shared" si="571"/>
        <v>1</v>
      </c>
      <c r="DR234" s="113">
        <f t="shared" si="572"/>
        <v>1</v>
      </c>
      <c r="DS234" s="113">
        <f t="shared" si="573"/>
        <v>0</v>
      </c>
      <c r="DT234" s="113">
        <f t="shared" si="574"/>
        <v>0</v>
      </c>
      <c r="DU234" s="459">
        <f t="shared" si="575"/>
        <v>0</v>
      </c>
      <c r="DW234" s="461">
        <f t="shared" si="315"/>
        <v>4149.666666666667</v>
      </c>
      <c r="DX234" s="582">
        <f t="shared" si="315"/>
        <v>3085.9999999999995</v>
      </c>
      <c r="DY234" s="113">
        <f t="shared" si="315"/>
        <v>1421.3333333333335</v>
      </c>
      <c r="DZ234" s="113">
        <f t="shared" si="315"/>
        <v>40.333333333333329</v>
      </c>
      <c r="EA234" s="113">
        <f t="shared" si="315"/>
        <v>1622.333333333333</v>
      </c>
      <c r="EB234" s="460">
        <f t="shared" si="453"/>
        <v>2</v>
      </c>
      <c r="EC234" s="582">
        <f t="shared" si="453"/>
        <v>1064.666666666667</v>
      </c>
      <c r="ED234" s="113">
        <f t="shared" si="453"/>
        <v>411.33333333333314</v>
      </c>
      <c r="EE234" s="113">
        <f t="shared" si="453"/>
        <v>0</v>
      </c>
      <c r="EF234" s="113">
        <f t="shared" si="453"/>
        <v>574</v>
      </c>
      <c r="EG234" s="459">
        <f t="shared" si="453"/>
        <v>79.333333333333329</v>
      </c>
      <c r="EH234" s="461">
        <f t="shared" si="587"/>
        <v>1299</v>
      </c>
      <c r="EI234" s="582">
        <f t="shared" si="587"/>
        <v>959.33333333333326</v>
      </c>
      <c r="EJ234" s="113">
        <f t="shared" si="587"/>
        <v>465.99999999999983</v>
      </c>
      <c r="EK234" s="113">
        <f t="shared" si="587"/>
        <v>16.666666666666664</v>
      </c>
      <c r="EL234" s="113">
        <f t="shared" si="587"/>
        <v>475.66666666666646</v>
      </c>
      <c r="EM234" s="460">
        <f t="shared" si="587"/>
        <v>1</v>
      </c>
      <c r="EN234" s="582">
        <f t="shared" si="587"/>
        <v>339.66666666666669</v>
      </c>
      <c r="EO234" s="113">
        <f t="shared" si="587"/>
        <v>104.66666666666659</v>
      </c>
      <c r="EP234" s="113">
        <f t="shared" si="587"/>
        <v>0</v>
      </c>
      <c r="EQ234" s="113">
        <f t="shared" si="587"/>
        <v>213.00000000000006</v>
      </c>
      <c r="ER234" s="459">
        <f t="shared" si="587"/>
        <v>21.999999999999996</v>
      </c>
    </row>
    <row r="235" spans="1:148">
      <c r="A235" s="665" t="s">
        <v>425</v>
      </c>
      <c r="B235" s="665">
        <v>45170</v>
      </c>
      <c r="C235" s="666">
        <v>2023</v>
      </c>
      <c r="D235" s="461">
        <f t="shared" ref="D235" si="590">D124/3+D234</f>
        <v>4724236</v>
      </c>
      <c r="E235" s="461">
        <f t="shared" si="455"/>
        <v>139599.00000000003</v>
      </c>
      <c r="F235" s="582">
        <f t="shared" si="456"/>
        <v>101809.99999999999</v>
      </c>
      <c r="G235" s="113">
        <f t="shared" si="457"/>
        <v>46933.999999999985</v>
      </c>
      <c r="H235" s="113">
        <f t="shared" si="458"/>
        <v>2130.9999999999995</v>
      </c>
      <c r="I235" s="113">
        <f t="shared" si="459"/>
        <v>52220.999999999978</v>
      </c>
      <c r="J235" s="460">
        <f t="shared" si="460"/>
        <v>523.99999999999989</v>
      </c>
      <c r="K235" s="582">
        <f t="shared" si="461"/>
        <v>37788.999999999993</v>
      </c>
      <c r="L235" s="113">
        <f t="shared" si="462"/>
        <v>14487.000000000007</v>
      </c>
      <c r="M235" s="113">
        <f t="shared" si="463"/>
        <v>0</v>
      </c>
      <c r="N235" s="113">
        <f t="shared" si="464"/>
        <v>20320.000000000004</v>
      </c>
      <c r="O235" s="459">
        <f t="shared" si="465"/>
        <v>2981.9999999999991</v>
      </c>
      <c r="P235" s="461">
        <f t="shared" si="466"/>
        <v>228.00000000000003</v>
      </c>
      <c r="Q235" s="582">
        <f t="shared" si="467"/>
        <v>138.00000000000006</v>
      </c>
      <c r="R235" s="113">
        <f t="shared" si="468"/>
        <v>69.000000000000028</v>
      </c>
      <c r="S235" s="113">
        <f t="shared" si="469"/>
        <v>1.9999999999999998</v>
      </c>
      <c r="T235" s="113">
        <f t="shared" si="470"/>
        <v>67.000000000000028</v>
      </c>
      <c r="U235" s="460">
        <f t="shared" si="471"/>
        <v>0</v>
      </c>
      <c r="V235" s="582">
        <f t="shared" si="472"/>
        <v>90.000000000000028</v>
      </c>
      <c r="W235" s="113">
        <f t="shared" si="473"/>
        <v>28.999999999999996</v>
      </c>
      <c r="X235" s="113">
        <f t="shared" si="474"/>
        <v>0</v>
      </c>
      <c r="Y235" s="113">
        <f t="shared" si="475"/>
        <v>54.000000000000007</v>
      </c>
      <c r="Z235" s="459">
        <f t="shared" si="476"/>
        <v>7</v>
      </c>
      <c r="AA235" s="461">
        <f t="shared" si="477"/>
        <v>133.00000000000006</v>
      </c>
      <c r="AB235" s="582">
        <f t="shared" si="478"/>
        <v>82.999999999999972</v>
      </c>
      <c r="AC235" s="113">
        <f t="shared" si="479"/>
        <v>35.999999999999993</v>
      </c>
      <c r="AD235" s="113">
        <f t="shared" si="480"/>
        <v>1</v>
      </c>
      <c r="AE235" s="113">
        <f t="shared" si="481"/>
        <v>45.999999999999986</v>
      </c>
      <c r="AF235" s="460">
        <f t="shared" si="482"/>
        <v>0</v>
      </c>
      <c r="AG235" s="582">
        <f t="shared" si="483"/>
        <v>50.000000000000028</v>
      </c>
      <c r="AH235" s="113">
        <f t="shared" si="484"/>
        <v>32.999999999999979</v>
      </c>
      <c r="AI235" s="113">
        <f t="shared" si="485"/>
        <v>0</v>
      </c>
      <c r="AJ235" s="113">
        <f t="shared" si="486"/>
        <v>10.999999999999998</v>
      </c>
      <c r="AK235" s="459">
        <f t="shared" si="487"/>
        <v>5.9999999999999982</v>
      </c>
      <c r="AL235" s="461">
        <f t="shared" si="488"/>
        <v>1345</v>
      </c>
      <c r="AM235" s="582">
        <f t="shared" si="489"/>
        <v>989.99999999999989</v>
      </c>
      <c r="AN235" s="113">
        <f t="shared" si="490"/>
        <v>476.99999999999983</v>
      </c>
      <c r="AO235" s="113">
        <f t="shared" si="491"/>
        <v>17.999999999999996</v>
      </c>
      <c r="AP235" s="113">
        <f t="shared" si="492"/>
        <v>493.99999999999977</v>
      </c>
      <c r="AQ235" s="460">
        <f t="shared" si="493"/>
        <v>1</v>
      </c>
      <c r="AR235" s="582">
        <f t="shared" si="494"/>
        <v>355</v>
      </c>
      <c r="AS235" s="113">
        <f t="shared" si="495"/>
        <v>104.99999999999991</v>
      </c>
      <c r="AT235" s="113">
        <f t="shared" si="496"/>
        <v>0</v>
      </c>
      <c r="AU235" s="113">
        <f t="shared" si="497"/>
        <v>228.00000000000006</v>
      </c>
      <c r="AV235" s="459">
        <f t="shared" si="498"/>
        <v>21.999999999999996</v>
      </c>
      <c r="AW235" s="461">
        <f t="shared" si="499"/>
        <v>742.99999999999989</v>
      </c>
      <c r="AX235" s="582">
        <f t="shared" si="500"/>
        <v>540.99999999999989</v>
      </c>
      <c r="AY235" s="113">
        <f t="shared" si="501"/>
        <v>274.99999999999994</v>
      </c>
      <c r="AZ235" s="113">
        <f t="shared" si="502"/>
        <v>7.9999999999999991</v>
      </c>
      <c r="BA235" s="113">
        <f t="shared" si="503"/>
        <v>258</v>
      </c>
      <c r="BB235" s="460">
        <f t="shared" si="504"/>
        <v>0</v>
      </c>
      <c r="BC235" s="582">
        <f t="shared" si="505"/>
        <v>202.00000000000006</v>
      </c>
      <c r="BD235" s="113">
        <f t="shared" si="506"/>
        <v>88.999999999999929</v>
      </c>
      <c r="BE235" s="113">
        <f t="shared" si="507"/>
        <v>0</v>
      </c>
      <c r="BF235" s="113">
        <f t="shared" si="508"/>
        <v>101.00000000000004</v>
      </c>
      <c r="BG235" s="459">
        <f t="shared" si="509"/>
        <v>12</v>
      </c>
      <c r="BH235" s="461">
        <f t="shared" si="510"/>
        <v>1081.0000000000005</v>
      </c>
      <c r="BI235" s="582">
        <f t="shared" si="511"/>
        <v>844.99999999999966</v>
      </c>
      <c r="BJ235" s="113">
        <f t="shared" si="512"/>
        <v>385.00000000000017</v>
      </c>
      <c r="BK235" s="113">
        <f t="shared" si="513"/>
        <v>12</v>
      </c>
      <c r="BL235" s="113">
        <f t="shared" si="514"/>
        <v>446.99999999999994</v>
      </c>
      <c r="BM235" s="460">
        <f t="shared" si="515"/>
        <v>1</v>
      </c>
      <c r="BN235" s="582">
        <f t="shared" si="516"/>
        <v>236</v>
      </c>
      <c r="BO235" s="113">
        <f t="shared" si="517"/>
        <v>74</v>
      </c>
      <c r="BP235" s="113">
        <f t="shared" si="518"/>
        <v>0</v>
      </c>
      <c r="BQ235" s="113">
        <f t="shared" si="519"/>
        <v>142</v>
      </c>
      <c r="BR235" s="459">
        <f t="shared" si="520"/>
        <v>20</v>
      </c>
      <c r="BS235" s="461">
        <f t="shared" si="521"/>
        <v>1582</v>
      </c>
      <c r="BT235" s="582">
        <f t="shared" si="522"/>
        <v>1217</v>
      </c>
      <c r="BU235" s="113">
        <f t="shared" si="523"/>
        <v>519</v>
      </c>
      <c r="BV235" s="113">
        <f t="shared" si="524"/>
        <v>6</v>
      </c>
      <c r="BW235" s="113">
        <f t="shared" si="525"/>
        <v>690.99999999999966</v>
      </c>
      <c r="BX235" s="460">
        <f t="shared" si="526"/>
        <v>1</v>
      </c>
      <c r="BY235" s="582">
        <f t="shared" si="527"/>
        <v>365.00000000000006</v>
      </c>
      <c r="BZ235" s="113">
        <f t="shared" si="528"/>
        <v>124.99999999999991</v>
      </c>
      <c r="CA235" s="113">
        <f t="shared" si="529"/>
        <v>0</v>
      </c>
      <c r="CB235" s="113">
        <f t="shared" si="530"/>
        <v>212.99999999999994</v>
      </c>
      <c r="CC235" s="459">
        <f t="shared" si="531"/>
        <v>26.999999999999993</v>
      </c>
      <c r="CD235" s="461">
        <f t="shared" si="532"/>
        <v>275.99999999999994</v>
      </c>
      <c r="CE235" s="582">
        <f t="shared" si="533"/>
        <v>201.00000000000003</v>
      </c>
      <c r="CF235" s="113">
        <f t="shared" si="534"/>
        <v>84.999999999999986</v>
      </c>
      <c r="CG235" s="113">
        <f t="shared" si="535"/>
        <v>7.0000000000000009</v>
      </c>
      <c r="CH235" s="113">
        <f t="shared" si="536"/>
        <v>109</v>
      </c>
      <c r="CI235" s="460">
        <f t="shared" si="537"/>
        <v>0</v>
      </c>
      <c r="CJ235" s="582">
        <f t="shared" si="538"/>
        <v>74.999999999999972</v>
      </c>
      <c r="CK235" s="113">
        <f t="shared" si="539"/>
        <v>25.999999999999996</v>
      </c>
      <c r="CL235" s="113">
        <f t="shared" si="540"/>
        <v>0</v>
      </c>
      <c r="CM235" s="113">
        <f t="shared" si="541"/>
        <v>44</v>
      </c>
      <c r="CN235" s="459">
        <f t="shared" si="542"/>
        <v>4.9999999999999991</v>
      </c>
      <c r="CO235" s="461">
        <f t="shared" si="543"/>
        <v>200.00000000000003</v>
      </c>
      <c r="CP235" s="582">
        <f t="shared" si="544"/>
        <v>144.00000000000006</v>
      </c>
      <c r="CQ235" s="113">
        <f t="shared" si="545"/>
        <v>75.000000000000028</v>
      </c>
      <c r="CR235" s="113">
        <f t="shared" si="546"/>
        <v>5.9999999999999991</v>
      </c>
      <c r="CS235" s="113">
        <f t="shared" si="547"/>
        <v>62.999999999999986</v>
      </c>
      <c r="CT235" s="460">
        <f t="shared" si="548"/>
        <v>0</v>
      </c>
      <c r="CU235" s="582">
        <f t="shared" si="549"/>
        <v>56.000000000000028</v>
      </c>
      <c r="CV235" s="113">
        <f t="shared" si="550"/>
        <v>23.999999999999986</v>
      </c>
      <c r="CW235" s="113">
        <f t="shared" si="551"/>
        <v>0</v>
      </c>
      <c r="CX235" s="113">
        <f t="shared" si="552"/>
        <v>31.999999999999979</v>
      </c>
      <c r="CY235" s="459">
        <f t="shared" si="553"/>
        <v>0</v>
      </c>
      <c r="CZ235" s="461">
        <f t="shared" si="554"/>
        <v>65</v>
      </c>
      <c r="DA235" s="582">
        <f t="shared" si="555"/>
        <v>42.999999999999993</v>
      </c>
      <c r="DB235" s="113">
        <f t="shared" si="556"/>
        <v>12.999999999999998</v>
      </c>
      <c r="DC235" s="113">
        <f t="shared" si="557"/>
        <v>1</v>
      </c>
      <c r="DD235" s="113">
        <f t="shared" si="558"/>
        <v>28.999999999999996</v>
      </c>
      <c r="DE235" s="460">
        <f t="shared" si="559"/>
        <v>0</v>
      </c>
      <c r="DF235" s="582">
        <f t="shared" si="560"/>
        <v>22.000000000000004</v>
      </c>
      <c r="DG235" s="113">
        <f t="shared" si="561"/>
        <v>13.000000000000011</v>
      </c>
      <c r="DH235" s="113">
        <f t="shared" si="562"/>
        <v>0</v>
      </c>
      <c r="DI235" s="113">
        <f t="shared" si="563"/>
        <v>5.9999999999999982</v>
      </c>
      <c r="DJ235" s="459">
        <f t="shared" si="564"/>
        <v>3</v>
      </c>
      <c r="DK235" s="461">
        <f t="shared" si="565"/>
        <v>1</v>
      </c>
      <c r="DL235" s="582">
        <f t="shared" si="566"/>
        <v>1</v>
      </c>
      <c r="DM235" s="113">
        <f t="shared" si="567"/>
        <v>0</v>
      </c>
      <c r="DN235" s="113">
        <f t="shared" si="568"/>
        <v>1</v>
      </c>
      <c r="DO235" s="113">
        <f t="shared" si="569"/>
        <v>0</v>
      </c>
      <c r="DP235" s="460">
        <f t="shared" si="570"/>
        <v>0</v>
      </c>
      <c r="DQ235" s="582">
        <f t="shared" si="571"/>
        <v>1</v>
      </c>
      <c r="DR235" s="113">
        <f t="shared" si="572"/>
        <v>1</v>
      </c>
      <c r="DS235" s="113">
        <f t="shared" si="573"/>
        <v>0</v>
      </c>
      <c r="DT235" s="113">
        <f t="shared" si="574"/>
        <v>0</v>
      </c>
      <c r="DU235" s="459">
        <f t="shared" si="575"/>
        <v>0</v>
      </c>
      <c r="DW235" s="461">
        <f t="shared" si="315"/>
        <v>4309.0000000000009</v>
      </c>
      <c r="DX235" s="582">
        <f t="shared" si="315"/>
        <v>3212.9999999999995</v>
      </c>
      <c r="DY235" s="113">
        <f t="shared" si="315"/>
        <v>1457.0000000000002</v>
      </c>
      <c r="DZ235" s="113">
        <f t="shared" si="315"/>
        <v>44</v>
      </c>
      <c r="EA235" s="113">
        <f t="shared" si="315"/>
        <v>1709.9999999999995</v>
      </c>
      <c r="EB235" s="460">
        <f t="shared" si="453"/>
        <v>2</v>
      </c>
      <c r="EC235" s="582">
        <f t="shared" si="453"/>
        <v>1097.0000000000002</v>
      </c>
      <c r="ED235" s="113">
        <f t="shared" si="453"/>
        <v>413.99999999999977</v>
      </c>
      <c r="EE235" s="113">
        <f t="shared" si="453"/>
        <v>0</v>
      </c>
      <c r="EF235" s="113">
        <f t="shared" si="453"/>
        <v>603</v>
      </c>
      <c r="EG235" s="459">
        <f t="shared" si="453"/>
        <v>80</v>
      </c>
      <c r="EH235" s="461">
        <f t="shared" si="587"/>
        <v>1345</v>
      </c>
      <c r="EI235" s="582">
        <f t="shared" si="587"/>
        <v>989.99999999999989</v>
      </c>
      <c r="EJ235" s="113">
        <f t="shared" si="587"/>
        <v>476.99999999999983</v>
      </c>
      <c r="EK235" s="113">
        <f t="shared" si="587"/>
        <v>17.999999999999996</v>
      </c>
      <c r="EL235" s="113">
        <f t="shared" si="587"/>
        <v>493.99999999999977</v>
      </c>
      <c r="EM235" s="460">
        <f t="shared" si="587"/>
        <v>1</v>
      </c>
      <c r="EN235" s="582">
        <f t="shared" si="587"/>
        <v>355</v>
      </c>
      <c r="EO235" s="113">
        <f t="shared" si="587"/>
        <v>104.99999999999991</v>
      </c>
      <c r="EP235" s="113">
        <f t="shared" si="587"/>
        <v>0</v>
      </c>
      <c r="EQ235" s="113">
        <f t="shared" si="587"/>
        <v>228.00000000000006</v>
      </c>
      <c r="ER235" s="459">
        <f t="shared" si="587"/>
        <v>21.999999999999996</v>
      </c>
    </row>
    <row r="236" spans="1:148">
      <c r="A236" s="665" t="s">
        <v>426</v>
      </c>
      <c r="B236" s="665">
        <v>45200</v>
      </c>
      <c r="C236" s="666">
        <v>2023</v>
      </c>
      <c r="D236" s="461">
        <f t="shared" ref="D236" si="591">D125/3+D235</f>
        <v>4781281</v>
      </c>
      <c r="E236" s="461">
        <f t="shared" si="455"/>
        <v>144300.66666666669</v>
      </c>
      <c r="F236" s="582">
        <f t="shared" si="456"/>
        <v>105453.66666666666</v>
      </c>
      <c r="G236" s="113">
        <f t="shared" si="457"/>
        <v>47763.333333333321</v>
      </c>
      <c r="H236" s="113">
        <f t="shared" si="458"/>
        <v>2314.333333333333</v>
      </c>
      <c r="I236" s="113">
        <f t="shared" si="459"/>
        <v>54798.999999999978</v>
      </c>
      <c r="J236" s="460">
        <f t="shared" si="460"/>
        <v>576.99999999999989</v>
      </c>
      <c r="K236" s="582">
        <f t="shared" si="461"/>
        <v>38846.999999999993</v>
      </c>
      <c r="L236" s="113">
        <f t="shared" si="462"/>
        <v>14557.000000000007</v>
      </c>
      <c r="M236" s="113">
        <f t="shared" si="463"/>
        <v>0</v>
      </c>
      <c r="N236" s="113">
        <f t="shared" si="464"/>
        <v>21287.333333333336</v>
      </c>
      <c r="O236" s="459">
        <f t="shared" si="465"/>
        <v>3002.6666666666656</v>
      </c>
      <c r="P236" s="461">
        <f t="shared" si="466"/>
        <v>237.00000000000003</v>
      </c>
      <c r="Q236" s="582">
        <f t="shared" si="467"/>
        <v>144.66666666666671</v>
      </c>
      <c r="R236" s="113">
        <f t="shared" si="468"/>
        <v>70.6666666666667</v>
      </c>
      <c r="S236" s="113">
        <f t="shared" si="469"/>
        <v>2.333333333333333</v>
      </c>
      <c r="T236" s="113">
        <f t="shared" si="470"/>
        <v>71.6666666666667</v>
      </c>
      <c r="U236" s="460">
        <f t="shared" si="471"/>
        <v>0</v>
      </c>
      <c r="V236" s="582">
        <f t="shared" si="472"/>
        <v>92.333333333333357</v>
      </c>
      <c r="W236" s="113">
        <f t="shared" si="473"/>
        <v>28.999999999999996</v>
      </c>
      <c r="X236" s="113">
        <f t="shared" si="474"/>
        <v>0</v>
      </c>
      <c r="Y236" s="113">
        <f t="shared" si="475"/>
        <v>56.333333333333343</v>
      </c>
      <c r="Z236" s="459">
        <f t="shared" si="476"/>
        <v>7</v>
      </c>
      <c r="AA236" s="461">
        <f t="shared" si="477"/>
        <v>136.00000000000006</v>
      </c>
      <c r="AB236" s="582">
        <f t="shared" si="478"/>
        <v>85.666666666666643</v>
      </c>
      <c r="AC236" s="113">
        <f t="shared" si="479"/>
        <v>36.999999999999993</v>
      </c>
      <c r="AD236" s="113">
        <f t="shared" si="480"/>
        <v>1.3333333333333333</v>
      </c>
      <c r="AE236" s="113">
        <f t="shared" si="481"/>
        <v>47.333333333333321</v>
      </c>
      <c r="AF236" s="460">
        <f t="shared" si="482"/>
        <v>0</v>
      </c>
      <c r="AG236" s="582">
        <f t="shared" si="483"/>
        <v>50.333333333333364</v>
      </c>
      <c r="AH236" s="113">
        <f t="shared" si="484"/>
        <v>32.999999999999979</v>
      </c>
      <c r="AI236" s="113">
        <f t="shared" si="485"/>
        <v>0</v>
      </c>
      <c r="AJ236" s="113">
        <f t="shared" si="486"/>
        <v>11.333333333333332</v>
      </c>
      <c r="AK236" s="459">
        <f t="shared" si="487"/>
        <v>5.9999999999999982</v>
      </c>
      <c r="AL236" s="461">
        <f t="shared" si="488"/>
        <v>1398.3333333333333</v>
      </c>
      <c r="AM236" s="582">
        <f t="shared" si="489"/>
        <v>1031.6666666666665</v>
      </c>
      <c r="AN236" s="113">
        <f t="shared" si="490"/>
        <v>483.66666666666652</v>
      </c>
      <c r="AO236" s="113">
        <f t="shared" si="491"/>
        <v>20.666666666666664</v>
      </c>
      <c r="AP236" s="113">
        <f t="shared" si="492"/>
        <v>526.33333333333314</v>
      </c>
      <c r="AQ236" s="460">
        <f t="shared" si="493"/>
        <v>1</v>
      </c>
      <c r="AR236" s="582">
        <f t="shared" si="494"/>
        <v>366.66666666666669</v>
      </c>
      <c r="AS236" s="113">
        <f t="shared" si="495"/>
        <v>105.33333333333324</v>
      </c>
      <c r="AT236" s="113">
        <f t="shared" si="496"/>
        <v>0</v>
      </c>
      <c r="AU236" s="113">
        <f t="shared" si="497"/>
        <v>239.3333333333334</v>
      </c>
      <c r="AV236" s="459">
        <f t="shared" si="498"/>
        <v>21.999999999999996</v>
      </c>
      <c r="AW236" s="461">
        <f t="shared" si="499"/>
        <v>767.66666666666652</v>
      </c>
      <c r="AX236" s="582">
        <f t="shared" si="500"/>
        <v>559.33333333333326</v>
      </c>
      <c r="AY236" s="113">
        <f t="shared" si="501"/>
        <v>278.99999999999994</v>
      </c>
      <c r="AZ236" s="113">
        <f t="shared" si="502"/>
        <v>8.6666666666666661</v>
      </c>
      <c r="BA236" s="113">
        <f t="shared" si="503"/>
        <v>271.66666666666669</v>
      </c>
      <c r="BB236" s="460">
        <f t="shared" si="504"/>
        <v>0</v>
      </c>
      <c r="BC236" s="582">
        <f t="shared" si="505"/>
        <v>208.3333333333334</v>
      </c>
      <c r="BD236" s="113">
        <f t="shared" si="506"/>
        <v>89.333333333333258</v>
      </c>
      <c r="BE236" s="113">
        <f t="shared" si="507"/>
        <v>0</v>
      </c>
      <c r="BF236" s="113">
        <f t="shared" si="508"/>
        <v>106.66666666666671</v>
      </c>
      <c r="BG236" s="459">
        <f t="shared" si="509"/>
        <v>12.333333333333334</v>
      </c>
      <c r="BH236" s="461">
        <f t="shared" si="510"/>
        <v>1117.0000000000005</v>
      </c>
      <c r="BI236" s="582">
        <f t="shared" si="511"/>
        <v>874.66666666666629</v>
      </c>
      <c r="BJ236" s="113">
        <f t="shared" si="512"/>
        <v>393.33333333333348</v>
      </c>
      <c r="BK236" s="113">
        <f t="shared" si="513"/>
        <v>12.333333333333334</v>
      </c>
      <c r="BL236" s="113">
        <f t="shared" si="514"/>
        <v>467.99999999999994</v>
      </c>
      <c r="BM236" s="460">
        <f t="shared" si="515"/>
        <v>1</v>
      </c>
      <c r="BN236" s="582">
        <f t="shared" si="516"/>
        <v>242.33333333333334</v>
      </c>
      <c r="BO236" s="113">
        <f t="shared" si="517"/>
        <v>74</v>
      </c>
      <c r="BP236" s="113">
        <f t="shared" si="518"/>
        <v>0</v>
      </c>
      <c r="BQ236" s="113">
        <f t="shared" si="519"/>
        <v>148.33333333333334</v>
      </c>
      <c r="BR236" s="459">
        <f t="shared" si="520"/>
        <v>20</v>
      </c>
      <c r="BS236" s="461">
        <f t="shared" si="521"/>
        <v>1632.3333333333333</v>
      </c>
      <c r="BT236" s="582">
        <f t="shared" si="522"/>
        <v>1255.6666666666667</v>
      </c>
      <c r="BU236" s="113">
        <f t="shared" si="523"/>
        <v>528</v>
      </c>
      <c r="BV236" s="113">
        <f t="shared" si="524"/>
        <v>6.666666666666667</v>
      </c>
      <c r="BW236" s="113">
        <f t="shared" si="525"/>
        <v>719.99999999999966</v>
      </c>
      <c r="BX236" s="460">
        <f t="shared" si="526"/>
        <v>1</v>
      </c>
      <c r="BY236" s="582">
        <f t="shared" si="527"/>
        <v>376.66666666666674</v>
      </c>
      <c r="BZ236" s="113">
        <f t="shared" si="528"/>
        <v>125.99999999999991</v>
      </c>
      <c r="CA236" s="113">
        <f t="shared" si="529"/>
        <v>0</v>
      </c>
      <c r="CB236" s="113">
        <f t="shared" si="530"/>
        <v>223.33333333333329</v>
      </c>
      <c r="CC236" s="459">
        <f t="shared" si="531"/>
        <v>27.333333333333325</v>
      </c>
      <c r="CD236" s="461">
        <f t="shared" si="532"/>
        <v>283.33333333333326</v>
      </c>
      <c r="CE236" s="582">
        <f t="shared" si="533"/>
        <v>207.33333333333337</v>
      </c>
      <c r="CF236" s="113">
        <f t="shared" si="534"/>
        <v>86.666666666666657</v>
      </c>
      <c r="CG236" s="113">
        <f t="shared" si="535"/>
        <v>7.6666666666666679</v>
      </c>
      <c r="CH236" s="113">
        <f t="shared" si="536"/>
        <v>113</v>
      </c>
      <c r="CI236" s="460">
        <f t="shared" si="537"/>
        <v>0</v>
      </c>
      <c r="CJ236" s="582">
        <f t="shared" si="538"/>
        <v>75.999999999999972</v>
      </c>
      <c r="CK236" s="113">
        <f t="shared" si="539"/>
        <v>25.999999999999996</v>
      </c>
      <c r="CL236" s="113">
        <f t="shared" si="540"/>
        <v>0</v>
      </c>
      <c r="CM236" s="113">
        <f t="shared" si="541"/>
        <v>45</v>
      </c>
      <c r="CN236" s="459">
        <f t="shared" si="542"/>
        <v>4.9999999999999991</v>
      </c>
      <c r="CO236" s="461">
        <f t="shared" si="543"/>
        <v>206.33333333333337</v>
      </c>
      <c r="CP236" s="582">
        <f t="shared" si="544"/>
        <v>149.3333333333334</v>
      </c>
      <c r="CQ236" s="113">
        <f t="shared" si="545"/>
        <v>75.6666666666667</v>
      </c>
      <c r="CR236" s="113">
        <f t="shared" si="546"/>
        <v>6.9999999999999991</v>
      </c>
      <c r="CS236" s="113">
        <f t="shared" si="547"/>
        <v>66.333333333333314</v>
      </c>
      <c r="CT236" s="460">
        <f t="shared" si="548"/>
        <v>0.33333333333333331</v>
      </c>
      <c r="CU236" s="582">
        <f t="shared" si="549"/>
        <v>57.000000000000028</v>
      </c>
      <c r="CV236" s="113">
        <f t="shared" si="550"/>
        <v>23.999999999999986</v>
      </c>
      <c r="CW236" s="113">
        <f t="shared" si="551"/>
        <v>0</v>
      </c>
      <c r="CX236" s="113">
        <f t="shared" si="552"/>
        <v>32.999999999999979</v>
      </c>
      <c r="CY236" s="459">
        <f t="shared" si="553"/>
        <v>0</v>
      </c>
      <c r="CZ236" s="461">
        <f t="shared" si="554"/>
        <v>66.333333333333329</v>
      </c>
      <c r="DA236" s="582">
        <f t="shared" si="555"/>
        <v>43.999999999999993</v>
      </c>
      <c r="DB236" s="113">
        <f t="shared" si="556"/>
        <v>13.333333333333332</v>
      </c>
      <c r="DC236" s="113">
        <f t="shared" si="557"/>
        <v>1</v>
      </c>
      <c r="DD236" s="113">
        <f t="shared" si="558"/>
        <v>29.666666666666664</v>
      </c>
      <c r="DE236" s="460">
        <f t="shared" si="559"/>
        <v>0</v>
      </c>
      <c r="DF236" s="582">
        <f t="shared" si="560"/>
        <v>22.333333333333336</v>
      </c>
      <c r="DG236" s="113">
        <f t="shared" si="561"/>
        <v>13.000000000000011</v>
      </c>
      <c r="DH236" s="113">
        <f t="shared" si="562"/>
        <v>0</v>
      </c>
      <c r="DI236" s="113">
        <f t="shared" si="563"/>
        <v>6.3333333333333313</v>
      </c>
      <c r="DJ236" s="459">
        <f t="shared" si="564"/>
        <v>3</v>
      </c>
      <c r="DK236" s="461">
        <f t="shared" si="565"/>
        <v>1</v>
      </c>
      <c r="DL236" s="582">
        <f t="shared" si="566"/>
        <v>1</v>
      </c>
      <c r="DM236" s="113">
        <f t="shared" si="567"/>
        <v>0</v>
      </c>
      <c r="DN236" s="113">
        <f t="shared" si="568"/>
        <v>1</v>
      </c>
      <c r="DO236" s="113">
        <f t="shared" si="569"/>
        <v>0</v>
      </c>
      <c r="DP236" s="460">
        <f t="shared" si="570"/>
        <v>0</v>
      </c>
      <c r="DQ236" s="582">
        <f t="shared" si="571"/>
        <v>1</v>
      </c>
      <c r="DR236" s="113">
        <f t="shared" si="572"/>
        <v>1</v>
      </c>
      <c r="DS236" s="113">
        <f t="shared" si="573"/>
        <v>0</v>
      </c>
      <c r="DT236" s="113">
        <f t="shared" si="574"/>
        <v>0</v>
      </c>
      <c r="DU236" s="459">
        <f t="shared" si="575"/>
        <v>0</v>
      </c>
      <c r="DW236" s="461">
        <f t="shared" si="315"/>
        <v>4446.9999999999991</v>
      </c>
      <c r="DX236" s="582">
        <f t="shared" si="315"/>
        <v>3321.666666666667</v>
      </c>
      <c r="DY236" s="113">
        <f t="shared" si="315"/>
        <v>1483.6666666666667</v>
      </c>
      <c r="DZ236" s="113">
        <f t="shared" si="315"/>
        <v>48</v>
      </c>
      <c r="EA236" s="113">
        <f t="shared" si="315"/>
        <v>1787.6666666666665</v>
      </c>
      <c r="EB236" s="460">
        <f t="shared" si="453"/>
        <v>2.3333333333333335</v>
      </c>
      <c r="EC236" s="582">
        <f t="shared" si="453"/>
        <v>1126.3333333333335</v>
      </c>
      <c r="ED236" s="113">
        <f t="shared" si="453"/>
        <v>415.33333333333314</v>
      </c>
      <c r="EE236" s="113">
        <f t="shared" si="453"/>
        <v>0</v>
      </c>
      <c r="EF236" s="113">
        <f t="shared" si="453"/>
        <v>630.33333333333337</v>
      </c>
      <c r="EG236" s="459">
        <f t="shared" si="453"/>
        <v>80.666666666666657</v>
      </c>
      <c r="EH236" s="461">
        <f t="shared" si="587"/>
        <v>1398.3333333333333</v>
      </c>
      <c r="EI236" s="582">
        <f t="shared" si="587"/>
        <v>1031.6666666666665</v>
      </c>
      <c r="EJ236" s="113">
        <f t="shared" si="587"/>
        <v>483.66666666666652</v>
      </c>
      <c r="EK236" s="113">
        <f t="shared" si="587"/>
        <v>20.666666666666664</v>
      </c>
      <c r="EL236" s="113">
        <f t="shared" si="587"/>
        <v>526.33333333333314</v>
      </c>
      <c r="EM236" s="460">
        <f t="shared" si="587"/>
        <v>1</v>
      </c>
      <c r="EN236" s="582">
        <f t="shared" si="587"/>
        <v>366.66666666666669</v>
      </c>
      <c r="EO236" s="113">
        <f t="shared" si="587"/>
        <v>105.33333333333324</v>
      </c>
      <c r="EP236" s="113">
        <f t="shared" si="587"/>
        <v>0</v>
      </c>
      <c r="EQ236" s="113">
        <f t="shared" si="587"/>
        <v>239.3333333333334</v>
      </c>
      <c r="ER236" s="459">
        <f t="shared" si="587"/>
        <v>21.999999999999996</v>
      </c>
    </row>
    <row r="237" spans="1:148">
      <c r="A237" s="665" t="s">
        <v>426</v>
      </c>
      <c r="B237" s="665">
        <v>45231</v>
      </c>
      <c r="C237" s="666">
        <v>2023</v>
      </c>
      <c r="D237" s="461">
        <f t="shared" ref="D237" si="592">D126/3+D236</f>
        <v>4838326</v>
      </c>
      <c r="E237" s="461">
        <f t="shared" si="455"/>
        <v>149002.33333333334</v>
      </c>
      <c r="F237" s="582">
        <f t="shared" si="456"/>
        <v>109097.33333333333</v>
      </c>
      <c r="G237" s="113">
        <f t="shared" si="457"/>
        <v>48592.666666666657</v>
      </c>
      <c r="H237" s="113">
        <f t="shared" si="458"/>
        <v>2497.6666666666665</v>
      </c>
      <c r="I237" s="113">
        <f t="shared" si="459"/>
        <v>57376.999999999978</v>
      </c>
      <c r="J237" s="460">
        <f t="shared" si="460"/>
        <v>629.99999999999989</v>
      </c>
      <c r="K237" s="582">
        <f t="shared" si="461"/>
        <v>39904.999999999993</v>
      </c>
      <c r="L237" s="113">
        <f t="shared" si="462"/>
        <v>14627.000000000007</v>
      </c>
      <c r="M237" s="113">
        <f t="shared" si="463"/>
        <v>0</v>
      </c>
      <c r="N237" s="113">
        <f t="shared" si="464"/>
        <v>22254.666666666668</v>
      </c>
      <c r="O237" s="459">
        <f t="shared" si="465"/>
        <v>3023.3333333333321</v>
      </c>
      <c r="P237" s="461">
        <f t="shared" si="466"/>
        <v>246.00000000000003</v>
      </c>
      <c r="Q237" s="582">
        <f t="shared" si="467"/>
        <v>151.33333333333337</v>
      </c>
      <c r="R237" s="113">
        <f t="shared" si="468"/>
        <v>72.333333333333371</v>
      </c>
      <c r="S237" s="113">
        <f t="shared" si="469"/>
        <v>2.6666666666666665</v>
      </c>
      <c r="T237" s="113">
        <f t="shared" si="470"/>
        <v>76.333333333333371</v>
      </c>
      <c r="U237" s="460">
        <f t="shared" si="471"/>
        <v>0</v>
      </c>
      <c r="V237" s="582">
        <f t="shared" si="472"/>
        <v>94.666666666666686</v>
      </c>
      <c r="W237" s="113">
        <f t="shared" si="473"/>
        <v>28.999999999999996</v>
      </c>
      <c r="X237" s="113">
        <f t="shared" si="474"/>
        <v>0</v>
      </c>
      <c r="Y237" s="113">
        <f t="shared" si="475"/>
        <v>58.666666666666679</v>
      </c>
      <c r="Z237" s="459">
        <f t="shared" si="476"/>
        <v>7</v>
      </c>
      <c r="AA237" s="461">
        <f t="shared" si="477"/>
        <v>139.00000000000006</v>
      </c>
      <c r="AB237" s="582">
        <f t="shared" si="478"/>
        <v>88.333333333333314</v>
      </c>
      <c r="AC237" s="113">
        <f t="shared" si="479"/>
        <v>37.999999999999993</v>
      </c>
      <c r="AD237" s="113">
        <f t="shared" si="480"/>
        <v>1.6666666666666665</v>
      </c>
      <c r="AE237" s="113">
        <f t="shared" si="481"/>
        <v>48.666666666666657</v>
      </c>
      <c r="AF237" s="460">
        <f t="shared" si="482"/>
        <v>0</v>
      </c>
      <c r="AG237" s="582">
        <f t="shared" si="483"/>
        <v>50.6666666666667</v>
      </c>
      <c r="AH237" s="113">
        <f t="shared" si="484"/>
        <v>32.999999999999979</v>
      </c>
      <c r="AI237" s="113">
        <f t="shared" si="485"/>
        <v>0</v>
      </c>
      <c r="AJ237" s="113">
        <f t="shared" si="486"/>
        <v>11.666666666666666</v>
      </c>
      <c r="AK237" s="459">
        <f t="shared" si="487"/>
        <v>5.9999999999999982</v>
      </c>
      <c r="AL237" s="461">
        <f t="shared" si="488"/>
        <v>1451.6666666666665</v>
      </c>
      <c r="AM237" s="582">
        <f t="shared" si="489"/>
        <v>1073.3333333333333</v>
      </c>
      <c r="AN237" s="113">
        <f t="shared" si="490"/>
        <v>490.3333333333332</v>
      </c>
      <c r="AO237" s="113">
        <f t="shared" si="491"/>
        <v>23.333333333333332</v>
      </c>
      <c r="AP237" s="113">
        <f t="shared" si="492"/>
        <v>558.66666666666652</v>
      </c>
      <c r="AQ237" s="460">
        <f t="shared" si="493"/>
        <v>1</v>
      </c>
      <c r="AR237" s="582">
        <f t="shared" si="494"/>
        <v>378.33333333333337</v>
      </c>
      <c r="AS237" s="113">
        <f t="shared" si="495"/>
        <v>105.66666666666657</v>
      </c>
      <c r="AT237" s="113">
        <f t="shared" si="496"/>
        <v>0</v>
      </c>
      <c r="AU237" s="113">
        <f t="shared" si="497"/>
        <v>250.66666666666674</v>
      </c>
      <c r="AV237" s="459">
        <f t="shared" si="498"/>
        <v>21.999999999999996</v>
      </c>
      <c r="AW237" s="461">
        <f t="shared" si="499"/>
        <v>792.33333333333314</v>
      </c>
      <c r="AX237" s="582">
        <f t="shared" si="500"/>
        <v>577.66666666666663</v>
      </c>
      <c r="AY237" s="113">
        <f t="shared" si="501"/>
        <v>282.99999999999994</v>
      </c>
      <c r="AZ237" s="113">
        <f t="shared" si="502"/>
        <v>9.3333333333333321</v>
      </c>
      <c r="BA237" s="113">
        <f t="shared" si="503"/>
        <v>285.33333333333337</v>
      </c>
      <c r="BB237" s="460">
        <f t="shared" si="504"/>
        <v>0</v>
      </c>
      <c r="BC237" s="582">
        <f t="shared" si="505"/>
        <v>214.66666666666674</v>
      </c>
      <c r="BD237" s="113">
        <f t="shared" si="506"/>
        <v>89.666666666666586</v>
      </c>
      <c r="BE237" s="113">
        <f t="shared" si="507"/>
        <v>0</v>
      </c>
      <c r="BF237" s="113">
        <f t="shared" si="508"/>
        <v>112.33333333333339</v>
      </c>
      <c r="BG237" s="459">
        <f t="shared" si="509"/>
        <v>12.666666666666668</v>
      </c>
      <c r="BH237" s="461">
        <f t="shared" si="510"/>
        <v>1153.0000000000005</v>
      </c>
      <c r="BI237" s="582">
        <f t="shared" si="511"/>
        <v>904.33333333333292</v>
      </c>
      <c r="BJ237" s="113">
        <f t="shared" si="512"/>
        <v>401.6666666666668</v>
      </c>
      <c r="BK237" s="113">
        <f t="shared" si="513"/>
        <v>12.666666666666668</v>
      </c>
      <c r="BL237" s="113">
        <f t="shared" si="514"/>
        <v>488.99999999999994</v>
      </c>
      <c r="BM237" s="460">
        <f t="shared" si="515"/>
        <v>1</v>
      </c>
      <c r="BN237" s="582">
        <f t="shared" si="516"/>
        <v>248.66666666666669</v>
      </c>
      <c r="BO237" s="113">
        <f t="shared" si="517"/>
        <v>74</v>
      </c>
      <c r="BP237" s="113">
        <f t="shared" si="518"/>
        <v>0</v>
      </c>
      <c r="BQ237" s="113">
        <f t="shared" si="519"/>
        <v>154.66666666666669</v>
      </c>
      <c r="BR237" s="459">
        <f t="shared" si="520"/>
        <v>20</v>
      </c>
      <c r="BS237" s="461">
        <f t="shared" si="521"/>
        <v>1682.6666666666665</v>
      </c>
      <c r="BT237" s="582">
        <f t="shared" si="522"/>
        <v>1294.3333333333335</v>
      </c>
      <c r="BU237" s="113">
        <f t="shared" si="523"/>
        <v>537</v>
      </c>
      <c r="BV237" s="113">
        <f t="shared" si="524"/>
        <v>7.3333333333333339</v>
      </c>
      <c r="BW237" s="113">
        <f t="shared" si="525"/>
        <v>748.99999999999966</v>
      </c>
      <c r="BX237" s="460">
        <f t="shared" si="526"/>
        <v>1</v>
      </c>
      <c r="BY237" s="582">
        <f t="shared" si="527"/>
        <v>388.33333333333343</v>
      </c>
      <c r="BZ237" s="113">
        <f t="shared" si="528"/>
        <v>126.99999999999991</v>
      </c>
      <c r="CA237" s="113">
        <f t="shared" si="529"/>
        <v>0</v>
      </c>
      <c r="CB237" s="113">
        <f t="shared" si="530"/>
        <v>233.66666666666663</v>
      </c>
      <c r="CC237" s="459">
        <f t="shared" si="531"/>
        <v>27.666666666666657</v>
      </c>
      <c r="CD237" s="461">
        <f t="shared" si="532"/>
        <v>290.66666666666657</v>
      </c>
      <c r="CE237" s="582">
        <f t="shared" si="533"/>
        <v>213.66666666666671</v>
      </c>
      <c r="CF237" s="113">
        <f t="shared" si="534"/>
        <v>88.333333333333329</v>
      </c>
      <c r="CG237" s="113">
        <f t="shared" si="535"/>
        <v>8.3333333333333339</v>
      </c>
      <c r="CH237" s="113">
        <f t="shared" si="536"/>
        <v>117</v>
      </c>
      <c r="CI237" s="460">
        <f t="shared" si="537"/>
        <v>0</v>
      </c>
      <c r="CJ237" s="582">
        <f t="shared" si="538"/>
        <v>76.999999999999972</v>
      </c>
      <c r="CK237" s="113">
        <f t="shared" si="539"/>
        <v>25.999999999999996</v>
      </c>
      <c r="CL237" s="113">
        <f t="shared" si="540"/>
        <v>0</v>
      </c>
      <c r="CM237" s="113">
        <f t="shared" si="541"/>
        <v>46</v>
      </c>
      <c r="CN237" s="459">
        <f t="shared" si="542"/>
        <v>4.9999999999999991</v>
      </c>
      <c r="CO237" s="461">
        <f t="shared" si="543"/>
        <v>212.66666666666671</v>
      </c>
      <c r="CP237" s="582">
        <f t="shared" si="544"/>
        <v>154.66666666666674</v>
      </c>
      <c r="CQ237" s="113">
        <f t="shared" si="545"/>
        <v>76.333333333333371</v>
      </c>
      <c r="CR237" s="113">
        <f t="shared" si="546"/>
        <v>7.9999999999999991</v>
      </c>
      <c r="CS237" s="113">
        <f t="shared" si="547"/>
        <v>69.666666666666643</v>
      </c>
      <c r="CT237" s="460">
        <f t="shared" si="548"/>
        <v>0.66666666666666663</v>
      </c>
      <c r="CU237" s="582">
        <f t="shared" si="549"/>
        <v>58.000000000000028</v>
      </c>
      <c r="CV237" s="113">
        <f t="shared" si="550"/>
        <v>23.999999999999986</v>
      </c>
      <c r="CW237" s="113">
        <f t="shared" si="551"/>
        <v>0</v>
      </c>
      <c r="CX237" s="113">
        <f t="shared" si="552"/>
        <v>33.999999999999979</v>
      </c>
      <c r="CY237" s="459">
        <f t="shared" si="553"/>
        <v>0</v>
      </c>
      <c r="CZ237" s="461">
        <f t="shared" si="554"/>
        <v>67.666666666666657</v>
      </c>
      <c r="DA237" s="582">
        <f t="shared" si="555"/>
        <v>44.999999999999993</v>
      </c>
      <c r="DB237" s="113">
        <f t="shared" si="556"/>
        <v>13.666666666666666</v>
      </c>
      <c r="DC237" s="113">
        <f t="shared" si="557"/>
        <v>1</v>
      </c>
      <c r="DD237" s="113">
        <f t="shared" si="558"/>
        <v>30.333333333333332</v>
      </c>
      <c r="DE237" s="460">
        <f t="shared" si="559"/>
        <v>0</v>
      </c>
      <c r="DF237" s="582">
        <f t="shared" si="560"/>
        <v>22.666666666666668</v>
      </c>
      <c r="DG237" s="113">
        <f t="shared" si="561"/>
        <v>13.000000000000011</v>
      </c>
      <c r="DH237" s="113">
        <f t="shared" si="562"/>
        <v>0</v>
      </c>
      <c r="DI237" s="113">
        <f t="shared" si="563"/>
        <v>6.6666666666666643</v>
      </c>
      <c r="DJ237" s="459">
        <f t="shared" si="564"/>
        <v>3</v>
      </c>
      <c r="DK237" s="461">
        <f t="shared" si="565"/>
        <v>1</v>
      </c>
      <c r="DL237" s="582">
        <f t="shared" si="566"/>
        <v>1</v>
      </c>
      <c r="DM237" s="113">
        <f t="shared" si="567"/>
        <v>0</v>
      </c>
      <c r="DN237" s="113">
        <f t="shared" si="568"/>
        <v>1</v>
      </c>
      <c r="DO237" s="113">
        <f t="shared" si="569"/>
        <v>0</v>
      </c>
      <c r="DP237" s="460">
        <f t="shared" si="570"/>
        <v>0</v>
      </c>
      <c r="DQ237" s="582">
        <f t="shared" si="571"/>
        <v>1</v>
      </c>
      <c r="DR237" s="113">
        <f t="shared" si="572"/>
        <v>1</v>
      </c>
      <c r="DS237" s="113">
        <f t="shared" si="573"/>
        <v>0</v>
      </c>
      <c r="DT237" s="113">
        <f t="shared" si="574"/>
        <v>0</v>
      </c>
      <c r="DU237" s="459">
        <f t="shared" si="575"/>
        <v>0</v>
      </c>
      <c r="DW237" s="461">
        <f t="shared" si="315"/>
        <v>4585.0000000000009</v>
      </c>
      <c r="DX237" s="582">
        <f t="shared" si="315"/>
        <v>3430.333333333333</v>
      </c>
      <c r="DY237" s="113">
        <f t="shared" si="315"/>
        <v>1510.3333333333333</v>
      </c>
      <c r="DZ237" s="113">
        <f t="shared" si="315"/>
        <v>52</v>
      </c>
      <c r="EA237" s="113">
        <f t="shared" si="315"/>
        <v>1865.333333333333</v>
      </c>
      <c r="EB237" s="460">
        <f t="shared" si="453"/>
        <v>2.6666666666666665</v>
      </c>
      <c r="EC237" s="582">
        <f t="shared" si="453"/>
        <v>1155.666666666667</v>
      </c>
      <c r="ED237" s="113">
        <f t="shared" si="453"/>
        <v>416.66666666666652</v>
      </c>
      <c r="EE237" s="113">
        <f t="shared" si="453"/>
        <v>0</v>
      </c>
      <c r="EF237" s="113">
        <f t="shared" si="453"/>
        <v>657.66666666666663</v>
      </c>
      <c r="EG237" s="459">
        <f t="shared" si="453"/>
        <v>81.333333333333314</v>
      </c>
      <c r="EH237" s="461">
        <f t="shared" si="587"/>
        <v>1451.6666666666665</v>
      </c>
      <c r="EI237" s="582">
        <f t="shared" si="587"/>
        <v>1073.3333333333333</v>
      </c>
      <c r="EJ237" s="113">
        <f t="shared" si="587"/>
        <v>490.3333333333332</v>
      </c>
      <c r="EK237" s="113">
        <f t="shared" si="587"/>
        <v>23.333333333333332</v>
      </c>
      <c r="EL237" s="113">
        <f t="shared" si="587"/>
        <v>558.66666666666652</v>
      </c>
      <c r="EM237" s="460">
        <f t="shared" si="587"/>
        <v>1</v>
      </c>
      <c r="EN237" s="582">
        <f t="shared" si="587"/>
        <v>378.33333333333337</v>
      </c>
      <c r="EO237" s="113">
        <f t="shared" si="587"/>
        <v>105.66666666666657</v>
      </c>
      <c r="EP237" s="113">
        <f t="shared" si="587"/>
        <v>0</v>
      </c>
      <c r="EQ237" s="113">
        <f t="shared" si="587"/>
        <v>250.66666666666674</v>
      </c>
      <c r="ER237" s="459">
        <f t="shared" si="587"/>
        <v>21.999999999999996</v>
      </c>
    </row>
    <row r="238" spans="1:148">
      <c r="A238" s="665" t="s">
        <v>426</v>
      </c>
      <c r="B238" s="665">
        <v>45261</v>
      </c>
      <c r="C238" s="666">
        <v>2023</v>
      </c>
      <c r="D238" s="461">
        <f t="shared" ref="D238" si="593">D127/3+D237</f>
        <v>4895371</v>
      </c>
      <c r="E238" s="461">
        <f t="shared" si="455"/>
        <v>153704</v>
      </c>
      <c r="F238" s="582">
        <f t="shared" si="456"/>
        <v>112741</v>
      </c>
      <c r="G238" s="113">
        <f t="shared" si="457"/>
        <v>49421.999999999993</v>
      </c>
      <c r="H238" s="113">
        <f t="shared" si="458"/>
        <v>2681</v>
      </c>
      <c r="I238" s="113">
        <f t="shared" si="459"/>
        <v>59954.999999999978</v>
      </c>
      <c r="J238" s="460">
        <f t="shared" si="460"/>
        <v>682.99999999999989</v>
      </c>
      <c r="K238" s="582">
        <f t="shared" si="461"/>
        <v>40962.999999999993</v>
      </c>
      <c r="L238" s="113">
        <f t="shared" si="462"/>
        <v>14697.000000000007</v>
      </c>
      <c r="M238" s="113">
        <f t="shared" si="463"/>
        <v>0</v>
      </c>
      <c r="N238" s="113">
        <f t="shared" si="464"/>
        <v>23222</v>
      </c>
      <c r="O238" s="459">
        <f t="shared" si="465"/>
        <v>3043.9999999999986</v>
      </c>
      <c r="P238" s="461">
        <f t="shared" si="466"/>
        <v>255.00000000000003</v>
      </c>
      <c r="Q238" s="582">
        <f t="shared" si="467"/>
        <v>158.00000000000003</v>
      </c>
      <c r="R238" s="113">
        <f t="shared" si="468"/>
        <v>74.000000000000043</v>
      </c>
      <c r="S238" s="113">
        <f t="shared" si="469"/>
        <v>3</v>
      </c>
      <c r="T238" s="113">
        <f t="shared" si="470"/>
        <v>81.000000000000043</v>
      </c>
      <c r="U238" s="460">
        <f t="shared" si="471"/>
        <v>0</v>
      </c>
      <c r="V238" s="582">
        <f t="shared" si="472"/>
        <v>97.000000000000014</v>
      </c>
      <c r="W238" s="113">
        <f t="shared" si="473"/>
        <v>28.999999999999996</v>
      </c>
      <c r="X238" s="113">
        <f t="shared" si="474"/>
        <v>0</v>
      </c>
      <c r="Y238" s="113">
        <f t="shared" si="475"/>
        <v>61.000000000000014</v>
      </c>
      <c r="Z238" s="459">
        <f t="shared" si="476"/>
        <v>7</v>
      </c>
      <c r="AA238" s="461">
        <f t="shared" si="477"/>
        <v>142.00000000000006</v>
      </c>
      <c r="AB238" s="582">
        <f t="shared" si="478"/>
        <v>90.999999999999986</v>
      </c>
      <c r="AC238" s="113">
        <f t="shared" si="479"/>
        <v>38.999999999999993</v>
      </c>
      <c r="AD238" s="113">
        <f t="shared" si="480"/>
        <v>1.9999999999999998</v>
      </c>
      <c r="AE238" s="113">
        <f t="shared" si="481"/>
        <v>49.999999999999993</v>
      </c>
      <c r="AF238" s="460">
        <f t="shared" si="482"/>
        <v>0</v>
      </c>
      <c r="AG238" s="582">
        <f t="shared" si="483"/>
        <v>51.000000000000036</v>
      </c>
      <c r="AH238" s="113">
        <f t="shared" si="484"/>
        <v>32.999999999999979</v>
      </c>
      <c r="AI238" s="113">
        <f t="shared" si="485"/>
        <v>0</v>
      </c>
      <c r="AJ238" s="113">
        <f t="shared" si="486"/>
        <v>12</v>
      </c>
      <c r="AK238" s="459">
        <f t="shared" si="487"/>
        <v>5.9999999999999982</v>
      </c>
      <c r="AL238" s="461">
        <f t="shared" si="488"/>
        <v>1504.9999999999998</v>
      </c>
      <c r="AM238" s="582">
        <f t="shared" si="489"/>
        <v>1115</v>
      </c>
      <c r="AN238" s="113">
        <f t="shared" si="490"/>
        <v>496.99999999999989</v>
      </c>
      <c r="AO238" s="113">
        <f t="shared" si="491"/>
        <v>26</v>
      </c>
      <c r="AP238" s="113">
        <f t="shared" si="492"/>
        <v>590.99999999999989</v>
      </c>
      <c r="AQ238" s="460">
        <f t="shared" si="493"/>
        <v>1</v>
      </c>
      <c r="AR238" s="582">
        <f t="shared" si="494"/>
        <v>390.00000000000006</v>
      </c>
      <c r="AS238" s="113">
        <f t="shared" si="495"/>
        <v>105.9999999999999</v>
      </c>
      <c r="AT238" s="113">
        <f t="shared" si="496"/>
        <v>0</v>
      </c>
      <c r="AU238" s="113">
        <f t="shared" si="497"/>
        <v>262.00000000000006</v>
      </c>
      <c r="AV238" s="459">
        <f t="shared" si="498"/>
        <v>21.999999999999996</v>
      </c>
      <c r="AW238" s="461">
        <f t="shared" si="499"/>
        <v>816.99999999999977</v>
      </c>
      <c r="AX238" s="582">
        <f t="shared" si="500"/>
        <v>596</v>
      </c>
      <c r="AY238" s="113">
        <f t="shared" si="501"/>
        <v>286.99999999999994</v>
      </c>
      <c r="AZ238" s="113">
        <f t="shared" si="502"/>
        <v>9.9999999999999982</v>
      </c>
      <c r="BA238" s="113">
        <f t="shared" si="503"/>
        <v>299.00000000000006</v>
      </c>
      <c r="BB238" s="460">
        <f t="shared" si="504"/>
        <v>0</v>
      </c>
      <c r="BC238" s="582">
        <f t="shared" si="505"/>
        <v>221.00000000000009</v>
      </c>
      <c r="BD238" s="113">
        <f t="shared" si="506"/>
        <v>89.999999999999915</v>
      </c>
      <c r="BE238" s="113">
        <f t="shared" si="507"/>
        <v>0</v>
      </c>
      <c r="BF238" s="113">
        <f t="shared" si="508"/>
        <v>118.00000000000006</v>
      </c>
      <c r="BG238" s="459">
        <f t="shared" si="509"/>
        <v>13.000000000000002</v>
      </c>
      <c r="BH238" s="461">
        <f t="shared" si="510"/>
        <v>1189.0000000000005</v>
      </c>
      <c r="BI238" s="582">
        <f t="shared" si="511"/>
        <v>933.99999999999955</v>
      </c>
      <c r="BJ238" s="113">
        <f t="shared" si="512"/>
        <v>410.00000000000011</v>
      </c>
      <c r="BK238" s="113">
        <f t="shared" si="513"/>
        <v>13.000000000000002</v>
      </c>
      <c r="BL238" s="113">
        <f t="shared" si="514"/>
        <v>509.99999999999994</v>
      </c>
      <c r="BM238" s="460">
        <f t="shared" si="515"/>
        <v>1</v>
      </c>
      <c r="BN238" s="582">
        <f t="shared" si="516"/>
        <v>255.00000000000003</v>
      </c>
      <c r="BO238" s="113">
        <f t="shared" si="517"/>
        <v>74</v>
      </c>
      <c r="BP238" s="113">
        <f t="shared" si="518"/>
        <v>0</v>
      </c>
      <c r="BQ238" s="113">
        <f t="shared" si="519"/>
        <v>161.00000000000003</v>
      </c>
      <c r="BR238" s="459">
        <f t="shared" si="520"/>
        <v>20</v>
      </c>
      <c r="BS238" s="461">
        <f t="shared" si="521"/>
        <v>1732.9999999999998</v>
      </c>
      <c r="BT238" s="582">
        <f t="shared" si="522"/>
        <v>1333.0000000000002</v>
      </c>
      <c r="BU238" s="113">
        <f t="shared" si="523"/>
        <v>546</v>
      </c>
      <c r="BV238" s="113">
        <f t="shared" si="524"/>
        <v>8</v>
      </c>
      <c r="BW238" s="113">
        <f t="shared" si="525"/>
        <v>777.99999999999966</v>
      </c>
      <c r="BX238" s="460">
        <f t="shared" si="526"/>
        <v>1</v>
      </c>
      <c r="BY238" s="582">
        <f t="shared" si="527"/>
        <v>400.00000000000011</v>
      </c>
      <c r="BZ238" s="113">
        <f t="shared" si="528"/>
        <v>127.99999999999991</v>
      </c>
      <c r="CA238" s="113">
        <f t="shared" si="529"/>
        <v>0</v>
      </c>
      <c r="CB238" s="113">
        <f t="shared" si="530"/>
        <v>243.99999999999997</v>
      </c>
      <c r="CC238" s="459">
        <f t="shared" si="531"/>
        <v>27.999999999999989</v>
      </c>
      <c r="CD238" s="461">
        <f t="shared" si="532"/>
        <v>297.99999999999989</v>
      </c>
      <c r="CE238" s="582">
        <f t="shared" si="533"/>
        <v>220.00000000000006</v>
      </c>
      <c r="CF238" s="113">
        <f t="shared" si="534"/>
        <v>90</v>
      </c>
      <c r="CG238" s="113">
        <f t="shared" si="535"/>
        <v>9</v>
      </c>
      <c r="CH238" s="113">
        <f t="shared" si="536"/>
        <v>121</v>
      </c>
      <c r="CI238" s="460">
        <f t="shared" si="537"/>
        <v>0</v>
      </c>
      <c r="CJ238" s="582">
        <f t="shared" si="538"/>
        <v>77.999999999999972</v>
      </c>
      <c r="CK238" s="113">
        <f t="shared" si="539"/>
        <v>25.999999999999996</v>
      </c>
      <c r="CL238" s="113">
        <f t="shared" si="540"/>
        <v>0</v>
      </c>
      <c r="CM238" s="113">
        <f t="shared" si="541"/>
        <v>47</v>
      </c>
      <c r="CN238" s="459">
        <f t="shared" si="542"/>
        <v>4.9999999999999991</v>
      </c>
      <c r="CO238" s="461">
        <f t="shared" si="543"/>
        <v>219.00000000000006</v>
      </c>
      <c r="CP238" s="582">
        <f t="shared" si="544"/>
        <v>160.00000000000009</v>
      </c>
      <c r="CQ238" s="113">
        <f t="shared" si="545"/>
        <v>77.000000000000043</v>
      </c>
      <c r="CR238" s="113">
        <f t="shared" si="546"/>
        <v>9</v>
      </c>
      <c r="CS238" s="113">
        <f t="shared" si="547"/>
        <v>72.999999999999972</v>
      </c>
      <c r="CT238" s="460">
        <f t="shared" si="548"/>
        <v>1</v>
      </c>
      <c r="CU238" s="582">
        <f t="shared" si="549"/>
        <v>59.000000000000028</v>
      </c>
      <c r="CV238" s="113">
        <f t="shared" si="550"/>
        <v>23.999999999999986</v>
      </c>
      <c r="CW238" s="113">
        <f t="shared" si="551"/>
        <v>0</v>
      </c>
      <c r="CX238" s="113">
        <f t="shared" si="552"/>
        <v>34.999999999999979</v>
      </c>
      <c r="CY238" s="459">
        <f t="shared" si="553"/>
        <v>0</v>
      </c>
      <c r="CZ238" s="461">
        <f t="shared" si="554"/>
        <v>68.999999999999986</v>
      </c>
      <c r="DA238" s="582">
        <f t="shared" si="555"/>
        <v>45.999999999999993</v>
      </c>
      <c r="DB238" s="113">
        <f t="shared" si="556"/>
        <v>14</v>
      </c>
      <c r="DC238" s="113">
        <f t="shared" si="557"/>
        <v>1</v>
      </c>
      <c r="DD238" s="113">
        <f t="shared" si="558"/>
        <v>31</v>
      </c>
      <c r="DE238" s="460">
        <f t="shared" si="559"/>
        <v>0</v>
      </c>
      <c r="DF238" s="582">
        <f t="shared" si="560"/>
        <v>23</v>
      </c>
      <c r="DG238" s="113">
        <f t="shared" si="561"/>
        <v>13.000000000000011</v>
      </c>
      <c r="DH238" s="113">
        <f t="shared" si="562"/>
        <v>0</v>
      </c>
      <c r="DI238" s="113">
        <f t="shared" si="563"/>
        <v>6.9999999999999973</v>
      </c>
      <c r="DJ238" s="459">
        <f t="shared" si="564"/>
        <v>3</v>
      </c>
      <c r="DK238" s="461">
        <f t="shared" si="565"/>
        <v>1</v>
      </c>
      <c r="DL238" s="582">
        <f t="shared" si="566"/>
        <v>1</v>
      </c>
      <c r="DM238" s="113">
        <f t="shared" si="567"/>
        <v>0</v>
      </c>
      <c r="DN238" s="113">
        <f t="shared" si="568"/>
        <v>1</v>
      </c>
      <c r="DO238" s="113">
        <f t="shared" si="569"/>
        <v>0</v>
      </c>
      <c r="DP238" s="460">
        <f t="shared" si="570"/>
        <v>0</v>
      </c>
      <c r="DQ238" s="582">
        <f t="shared" si="571"/>
        <v>1</v>
      </c>
      <c r="DR238" s="113">
        <f t="shared" si="572"/>
        <v>1</v>
      </c>
      <c r="DS238" s="113">
        <f t="shared" si="573"/>
        <v>0</v>
      </c>
      <c r="DT238" s="113">
        <f t="shared" si="574"/>
        <v>0</v>
      </c>
      <c r="DU238" s="459">
        <f t="shared" si="575"/>
        <v>0</v>
      </c>
      <c r="DW238" s="461">
        <f t="shared" si="315"/>
        <v>4723</v>
      </c>
      <c r="DX238" s="582">
        <f t="shared" si="315"/>
        <v>3539</v>
      </c>
      <c r="DY238" s="113">
        <f t="shared" si="315"/>
        <v>1537</v>
      </c>
      <c r="DZ238" s="113">
        <f t="shared" si="315"/>
        <v>56</v>
      </c>
      <c r="EA238" s="113">
        <f t="shared" si="315"/>
        <v>1942.9999999999995</v>
      </c>
      <c r="EB238" s="460">
        <f t="shared" si="453"/>
        <v>3</v>
      </c>
      <c r="EC238" s="582">
        <f t="shared" si="453"/>
        <v>1185.0000000000002</v>
      </c>
      <c r="ED238" s="113">
        <f t="shared" si="453"/>
        <v>417.99999999999977</v>
      </c>
      <c r="EE238" s="113">
        <f t="shared" si="453"/>
        <v>0</v>
      </c>
      <c r="EF238" s="113">
        <f t="shared" si="453"/>
        <v>685.00000000000011</v>
      </c>
      <c r="EG238" s="459">
        <f t="shared" si="453"/>
        <v>81.999999999999986</v>
      </c>
      <c r="EH238" s="461">
        <f t="shared" si="587"/>
        <v>1504.9999999999998</v>
      </c>
      <c r="EI238" s="582">
        <f t="shared" si="587"/>
        <v>1115</v>
      </c>
      <c r="EJ238" s="113">
        <f t="shared" si="587"/>
        <v>496.99999999999989</v>
      </c>
      <c r="EK238" s="113">
        <f t="shared" si="587"/>
        <v>26</v>
      </c>
      <c r="EL238" s="113">
        <f t="shared" si="587"/>
        <v>590.99999999999989</v>
      </c>
      <c r="EM238" s="460">
        <f t="shared" si="587"/>
        <v>1</v>
      </c>
      <c r="EN238" s="582">
        <f t="shared" si="587"/>
        <v>390.00000000000006</v>
      </c>
      <c r="EO238" s="113">
        <f t="shared" si="587"/>
        <v>105.9999999999999</v>
      </c>
      <c r="EP238" s="113">
        <f t="shared" si="587"/>
        <v>0</v>
      </c>
      <c r="EQ238" s="113">
        <f t="shared" si="587"/>
        <v>262.00000000000006</v>
      </c>
      <c r="ER238" s="459">
        <f t="shared" si="587"/>
        <v>21.999999999999996</v>
      </c>
    </row>
    <row r="239" spans="1:148">
      <c r="A239" s="665" t="s">
        <v>427</v>
      </c>
      <c r="B239" s="665">
        <v>45292</v>
      </c>
      <c r="C239" s="666">
        <v>2024</v>
      </c>
      <c r="D239" s="461">
        <f t="shared" ref="D239" si="594">D128/3+D238</f>
        <v>4949713.333333333</v>
      </c>
      <c r="E239" s="461">
        <f t="shared" si="455"/>
        <v>157379.33333333334</v>
      </c>
      <c r="F239" s="582">
        <f t="shared" si="456"/>
        <v>115455.66666666667</v>
      </c>
      <c r="G239" s="113">
        <f t="shared" si="457"/>
        <v>49953.999999999993</v>
      </c>
      <c r="H239" s="113">
        <f t="shared" si="458"/>
        <v>2837.3333333333335</v>
      </c>
      <c r="I239" s="113">
        <f t="shared" si="459"/>
        <v>61964.999999999978</v>
      </c>
      <c r="J239" s="460">
        <f t="shared" si="460"/>
        <v>699.33333333333326</v>
      </c>
      <c r="K239" s="582">
        <f t="shared" si="461"/>
        <v>41923.666666666657</v>
      </c>
      <c r="L239" s="113">
        <f t="shared" si="462"/>
        <v>14826.333333333341</v>
      </c>
      <c r="M239" s="113">
        <f t="shared" si="463"/>
        <v>0</v>
      </c>
      <c r="N239" s="113">
        <f t="shared" si="464"/>
        <v>24029.666666666668</v>
      </c>
      <c r="O239" s="459">
        <f t="shared" si="465"/>
        <v>3067.6666666666652</v>
      </c>
      <c r="P239" s="461">
        <f t="shared" si="466"/>
        <v>261.66666666666669</v>
      </c>
      <c r="Q239" s="582">
        <f t="shared" si="467"/>
        <v>161.00000000000003</v>
      </c>
      <c r="R239" s="113">
        <f t="shared" si="468"/>
        <v>74.333333333333371</v>
      </c>
      <c r="S239" s="113">
        <f t="shared" si="469"/>
        <v>3.3333333333333335</v>
      </c>
      <c r="T239" s="113">
        <f t="shared" si="470"/>
        <v>83.333333333333371</v>
      </c>
      <c r="U239" s="460">
        <f t="shared" si="471"/>
        <v>0</v>
      </c>
      <c r="V239" s="582">
        <f t="shared" si="472"/>
        <v>100.66666666666669</v>
      </c>
      <c r="W239" s="113">
        <f t="shared" si="473"/>
        <v>29.999999999999996</v>
      </c>
      <c r="X239" s="113">
        <f t="shared" si="474"/>
        <v>0</v>
      </c>
      <c r="Y239" s="113">
        <f t="shared" si="475"/>
        <v>63.666666666666679</v>
      </c>
      <c r="Z239" s="459">
        <f t="shared" si="476"/>
        <v>7</v>
      </c>
      <c r="AA239" s="461">
        <f t="shared" si="477"/>
        <v>146.3333333333334</v>
      </c>
      <c r="AB239" s="582">
        <f t="shared" si="478"/>
        <v>94.999999999999986</v>
      </c>
      <c r="AC239" s="113">
        <f t="shared" si="479"/>
        <v>38.999999999999993</v>
      </c>
      <c r="AD239" s="113">
        <f t="shared" si="480"/>
        <v>2.6666666666666665</v>
      </c>
      <c r="AE239" s="113">
        <f t="shared" si="481"/>
        <v>53.333333333333329</v>
      </c>
      <c r="AF239" s="460">
        <f t="shared" si="482"/>
        <v>0</v>
      </c>
      <c r="AG239" s="582">
        <f t="shared" si="483"/>
        <v>51.333333333333371</v>
      </c>
      <c r="AH239" s="113">
        <f t="shared" si="484"/>
        <v>32.999999999999979</v>
      </c>
      <c r="AI239" s="113">
        <f t="shared" si="485"/>
        <v>0</v>
      </c>
      <c r="AJ239" s="113">
        <f t="shared" si="486"/>
        <v>12.333333333333334</v>
      </c>
      <c r="AK239" s="459">
        <f t="shared" si="487"/>
        <v>5.9999999999999982</v>
      </c>
      <c r="AL239" s="461">
        <f t="shared" si="488"/>
        <v>1558.6666666666665</v>
      </c>
      <c r="AM239" s="582">
        <f t="shared" si="489"/>
        <v>1151.3333333333333</v>
      </c>
      <c r="AN239" s="113">
        <f t="shared" si="490"/>
        <v>503.3333333333332</v>
      </c>
      <c r="AO239" s="113">
        <f t="shared" si="491"/>
        <v>28.333333333333332</v>
      </c>
      <c r="AP239" s="113">
        <f t="shared" si="492"/>
        <v>618.66666666666652</v>
      </c>
      <c r="AQ239" s="460">
        <f t="shared" si="493"/>
        <v>1</v>
      </c>
      <c r="AR239" s="582">
        <f t="shared" si="494"/>
        <v>407.33333333333337</v>
      </c>
      <c r="AS239" s="113">
        <f t="shared" si="495"/>
        <v>107.9999999999999</v>
      </c>
      <c r="AT239" s="113">
        <f t="shared" si="496"/>
        <v>0</v>
      </c>
      <c r="AU239" s="113">
        <f t="shared" si="497"/>
        <v>277.00000000000006</v>
      </c>
      <c r="AV239" s="459">
        <f t="shared" si="498"/>
        <v>22.333333333333329</v>
      </c>
      <c r="AW239" s="461">
        <f t="shared" si="499"/>
        <v>838.33333333333314</v>
      </c>
      <c r="AX239" s="582">
        <f t="shared" si="500"/>
        <v>612</v>
      </c>
      <c r="AY239" s="113">
        <f t="shared" si="501"/>
        <v>289.66666666666663</v>
      </c>
      <c r="AZ239" s="113">
        <f t="shared" si="502"/>
        <v>11.333333333333332</v>
      </c>
      <c r="BA239" s="113">
        <f t="shared" si="503"/>
        <v>311.00000000000006</v>
      </c>
      <c r="BB239" s="460">
        <f t="shared" si="504"/>
        <v>0</v>
      </c>
      <c r="BC239" s="582">
        <f t="shared" si="505"/>
        <v>226.33333333333343</v>
      </c>
      <c r="BD239" s="113">
        <f t="shared" si="506"/>
        <v>90.999999999999915</v>
      </c>
      <c r="BE239" s="113">
        <f t="shared" si="507"/>
        <v>0</v>
      </c>
      <c r="BF239" s="113">
        <f t="shared" si="508"/>
        <v>122.33333333333339</v>
      </c>
      <c r="BG239" s="459">
        <f t="shared" si="509"/>
        <v>13.000000000000002</v>
      </c>
      <c r="BH239" s="461">
        <f t="shared" si="510"/>
        <v>1216.6666666666672</v>
      </c>
      <c r="BI239" s="582">
        <f t="shared" si="511"/>
        <v>956.66666666666617</v>
      </c>
      <c r="BJ239" s="113">
        <f t="shared" si="512"/>
        <v>414.00000000000011</v>
      </c>
      <c r="BK239" s="113">
        <f t="shared" si="513"/>
        <v>14.000000000000002</v>
      </c>
      <c r="BL239" s="113">
        <f t="shared" si="514"/>
        <v>527.66666666666663</v>
      </c>
      <c r="BM239" s="460">
        <f t="shared" si="515"/>
        <v>1</v>
      </c>
      <c r="BN239" s="582">
        <f t="shared" si="516"/>
        <v>260</v>
      </c>
      <c r="BO239" s="113">
        <f t="shared" si="517"/>
        <v>74.666666666666671</v>
      </c>
      <c r="BP239" s="113">
        <f t="shared" si="518"/>
        <v>0</v>
      </c>
      <c r="BQ239" s="113">
        <f t="shared" si="519"/>
        <v>165.00000000000003</v>
      </c>
      <c r="BR239" s="459">
        <f t="shared" si="520"/>
        <v>20.333333333333332</v>
      </c>
      <c r="BS239" s="461">
        <f t="shared" si="521"/>
        <v>1790.9999999999998</v>
      </c>
      <c r="BT239" s="582">
        <f t="shared" si="522"/>
        <v>1380.3333333333335</v>
      </c>
      <c r="BU239" s="113">
        <f t="shared" si="523"/>
        <v>555</v>
      </c>
      <c r="BV239" s="113">
        <f t="shared" si="524"/>
        <v>8</v>
      </c>
      <c r="BW239" s="113">
        <f t="shared" si="525"/>
        <v>816.33333333333303</v>
      </c>
      <c r="BX239" s="460">
        <f t="shared" si="526"/>
        <v>1</v>
      </c>
      <c r="BY239" s="582">
        <f t="shared" si="527"/>
        <v>410.6666666666668</v>
      </c>
      <c r="BZ239" s="113">
        <f t="shared" si="528"/>
        <v>129.66666666666657</v>
      </c>
      <c r="CA239" s="113">
        <f t="shared" si="529"/>
        <v>0</v>
      </c>
      <c r="CB239" s="113">
        <f t="shared" si="530"/>
        <v>252.99999999999997</v>
      </c>
      <c r="CC239" s="459">
        <f t="shared" si="531"/>
        <v>27.999999999999989</v>
      </c>
      <c r="CD239" s="461">
        <f t="shared" si="532"/>
        <v>303.99999999999989</v>
      </c>
      <c r="CE239" s="582">
        <f t="shared" si="533"/>
        <v>225.3333333333334</v>
      </c>
      <c r="CF239" s="113">
        <f t="shared" si="534"/>
        <v>90.666666666666671</v>
      </c>
      <c r="CG239" s="113">
        <f t="shared" si="535"/>
        <v>9.3333333333333339</v>
      </c>
      <c r="CH239" s="113">
        <f t="shared" si="536"/>
        <v>125.33333333333333</v>
      </c>
      <c r="CI239" s="460">
        <f t="shared" si="537"/>
        <v>0</v>
      </c>
      <c r="CJ239" s="582">
        <f t="shared" si="538"/>
        <v>78.666666666666643</v>
      </c>
      <c r="CK239" s="113">
        <f t="shared" si="539"/>
        <v>25.999999999999996</v>
      </c>
      <c r="CL239" s="113">
        <f t="shared" si="540"/>
        <v>0</v>
      </c>
      <c r="CM239" s="113">
        <f t="shared" si="541"/>
        <v>47.666666666666664</v>
      </c>
      <c r="CN239" s="459">
        <f t="shared" si="542"/>
        <v>4.9999999999999991</v>
      </c>
      <c r="CO239" s="461">
        <f t="shared" si="543"/>
        <v>224.66666666666671</v>
      </c>
      <c r="CP239" s="582">
        <f t="shared" si="544"/>
        <v>164.33333333333343</v>
      </c>
      <c r="CQ239" s="113">
        <f t="shared" si="545"/>
        <v>77.666666666666714</v>
      </c>
      <c r="CR239" s="113">
        <f t="shared" si="546"/>
        <v>9.6666666666666661</v>
      </c>
      <c r="CS239" s="113">
        <f t="shared" si="547"/>
        <v>75.999999999999972</v>
      </c>
      <c r="CT239" s="460">
        <f t="shared" si="548"/>
        <v>1</v>
      </c>
      <c r="CU239" s="582">
        <f t="shared" si="549"/>
        <v>60.333333333333364</v>
      </c>
      <c r="CV239" s="113">
        <f t="shared" si="550"/>
        <v>24.333333333333318</v>
      </c>
      <c r="CW239" s="113">
        <f t="shared" si="551"/>
        <v>0</v>
      </c>
      <c r="CX239" s="113">
        <f t="shared" si="552"/>
        <v>35.999999999999979</v>
      </c>
      <c r="CY239" s="459">
        <f t="shared" si="553"/>
        <v>0</v>
      </c>
      <c r="CZ239" s="461">
        <f t="shared" si="554"/>
        <v>70.333333333333314</v>
      </c>
      <c r="DA239" s="582">
        <f t="shared" si="555"/>
        <v>46.999999999999993</v>
      </c>
      <c r="DB239" s="113">
        <f t="shared" si="556"/>
        <v>14.333333333333334</v>
      </c>
      <c r="DC239" s="113">
        <f t="shared" si="557"/>
        <v>1</v>
      </c>
      <c r="DD239" s="113">
        <f t="shared" si="558"/>
        <v>31.666666666666668</v>
      </c>
      <c r="DE239" s="460">
        <f t="shared" si="559"/>
        <v>0</v>
      </c>
      <c r="DF239" s="582">
        <f t="shared" si="560"/>
        <v>23.333333333333332</v>
      </c>
      <c r="DG239" s="113">
        <f t="shared" si="561"/>
        <v>13.000000000000011</v>
      </c>
      <c r="DH239" s="113">
        <f t="shared" si="562"/>
        <v>0</v>
      </c>
      <c r="DI239" s="113">
        <f t="shared" si="563"/>
        <v>7.3333333333333304</v>
      </c>
      <c r="DJ239" s="459">
        <f t="shared" si="564"/>
        <v>3</v>
      </c>
      <c r="DK239" s="461">
        <f t="shared" si="565"/>
        <v>2.666666666666667</v>
      </c>
      <c r="DL239" s="582">
        <f t="shared" si="566"/>
        <v>1.6666666666666665</v>
      </c>
      <c r="DM239" s="113">
        <f t="shared" si="567"/>
        <v>0.33333333333333331</v>
      </c>
      <c r="DN239" s="113">
        <f t="shared" si="568"/>
        <v>1.3333333333333333</v>
      </c>
      <c r="DO239" s="113">
        <f t="shared" si="569"/>
        <v>0</v>
      </c>
      <c r="DP239" s="460">
        <f t="shared" si="570"/>
        <v>0</v>
      </c>
      <c r="DQ239" s="582">
        <f t="shared" si="571"/>
        <v>2</v>
      </c>
      <c r="DR239" s="113">
        <f t="shared" si="572"/>
        <v>1</v>
      </c>
      <c r="DS239" s="113">
        <f t="shared" si="573"/>
        <v>0</v>
      </c>
      <c r="DT239" s="113">
        <f t="shared" si="574"/>
        <v>1</v>
      </c>
      <c r="DU239" s="459">
        <f t="shared" si="575"/>
        <v>0</v>
      </c>
      <c r="DW239" s="461">
        <f t="shared" si="315"/>
        <v>4855.666666666667</v>
      </c>
      <c r="DX239" s="582">
        <f t="shared" si="315"/>
        <v>3643.333333333333</v>
      </c>
      <c r="DY239" s="113">
        <f t="shared" si="315"/>
        <v>1555</v>
      </c>
      <c r="DZ239" s="113">
        <f t="shared" si="315"/>
        <v>60.666666666666671</v>
      </c>
      <c r="EA239" s="113">
        <f t="shared" si="315"/>
        <v>2024.6666666666665</v>
      </c>
      <c r="EB239" s="460">
        <f t="shared" si="453"/>
        <v>3</v>
      </c>
      <c r="EC239" s="582">
        <f t="shared" si="453"/>
        <v>1213.3333333333335</v>
      </c>
      <c r="ED239" s="113">
        <f t="shared" si="453"/>
        <v>422.66666666666646</v>
      </c>
      <c r="EE239" s="113">
        <f t="shared" si="453"/>
        <v>0</v>
      </c>
      <c r="EF239" s="113">
        <f t="shared" si="453"/>
        <v>708.33333333333337</v>
      </c>
      <c r="EG239" s="459">
        <f t="shared" si="453"/>
        <v>82.333333333333314</v>
      </c>
      <c r="EH239" s="461">
        <f t="shared" si="587"/>
        <v>1558.6666666666665</v>
      </c>
      <c r="EI239" s="582">
        <f t="shared" si="587"/>
        <v>1151.3333333333333</v>
      </c>
      <c r="EJ239" s="113">
        <f t="shared" si="587"/>
        <v>503.3333333333332</v>
      </c>
      <c r="EK239" s="113">
        <f t="shared" si="587"/>
        <v>28.333333333333332</v>
      </c>
      <c r="EL239" s="113">
        <f t="shared" si="587"/>
        <v>618.66666666666652</v>
      </c>
      <c r="EM239" s="460">
        <f t="shared" si="587"/>
        <v>1</v>
      </c>
      <c r="EN239" s="582">
        <f t="shared" si="587"/>
        <v>407.33333333333337</v>
      </c>
      <c r="EO239" s="113">
        <f t="shared" si="587"/>
        <v>107.9999999999999</v>
      </c>
      <c r="EP239" s="113">
        <f t="shared" si="587"/>
        <v>0</v>
      </c>
      <c r="EQ239" s="113">
        <f t="shared" si="587"/>
        <v>277.00000000000006</v>
      </c>
      <c r="ER239" s="459">
        <f t="shared" si="587"/>
        <v>22.333333333333329</v>
      </c>
    </row>
    <row r="240" spans="1:148">
      <c r="A240" s="665" t="s">
        <v>427</v>
      </c>
      <c r="B240" s="665">
        <v>45323</v>
      </c>
      <c r="C240" s="666">
        <v>2024</v>
      </c>
      <c r="D240" s="461">
        <f t="shared" ref="D240" si="595">D129/3+D239</f>
        <v>5004055.666666666</v>
      </c>
      <c r="E240" s="461">
        <f t="shared" si="455"/>
        <v>161054.66666666669</v>
      </c>
      <c r="F240" s="582">
        <f t="shared" si="456"/>
        <v>118170.33333333334</v>
      </c>
      <c r="G240" s="113">
        <f t="shared" si="457"/>
        <v>50485.999999999993</v>
      </c>
      <c r="H240" s="113">
        <f t="shared" si="458"/>
        <v>2993.666666666667</v>
      </c>
      <c r="I240" s="113">
        <f t="shared" si="459"/>
        <v>63974.999999999978</v>
      </c>
      <c r="J240" s="460">
        <f t="shared" si="460"/>
        <v>715.66666666666663</v>
      </c>
      <c r="K240" s="582">
        <f t="shared" si="461"/>
        <v>42884.333333333321</v>
      </c>
      <c r="L240" s="113">
        <f t="shared" si="462"/>
        <v>14955.666666666675</v>
      </c>
      <c r="M240" s="113">
        <f t="shared" si="463"/>
        <v>0</v>
      </c>
      <c r="N240" s="113">
        <f t="shared" si="464"/>
        <v>24837.333333333336</v>
      </c>
      <c r="O240" s="459">
        <f t="shared" si="465"/>
        <v>3091.3333333333317</v>
      </c>
      <c r="P240" s="461">
        <f t="shared" si="466"/>
        <v>268.33333333333337</v>
      </c>
      <c r="Q240" s="582">
        <f t="shared" si="467"/>
        <v>164.00000000000003</v>
      </c>
      <c r="R240" s="113">
        <f t="shared" si="468"/>
        <v>74.6666666666667</v>
      </c>
      <c r="S240" s="113">
        <f t="shared" si="469"/>
        <v>3.666666666666667</v>
      </c>
      <c r="T240" s="113">
        <f t="shared" si="470"/>
        <v>85.6666666666667</v>
      </c>
      <c r="U240" s="460">
        <f t="shared" si="471"/>
        <v>0</v>
      </c>
      <c r="V240" s="582">
        <f t="shared" si="472"/>
        <v>104.33333333333336</v>
      </c>
      <c r="W240" s="113">
        <f t="shared" si="473"/>
        <v>30.999999999999996</v>
      </c>
      <c r="X240" s="113">
        <f t="shared" si="474"/>
        <v>0</v>
      </c>
      <c r="Y240" s="113">
        <f t="shared" si="475"/>
        <v>66.333333333333343</v>
      </c>
      <c r="Z240" s="459">
        <f t="shared" si="476"/>
        <v>7</v>
      </c>
      <c r="AA240" s="461">
        <f t="shared" si="477"/>
        <v>150.66666666666674</v>
      </c>
      <c r="AB240" s="582">
        <f t="shared" si="478"/>
        <v>98.999999999999986</v>
      </c>
      <c r="AC240" s="113">
        <f t="shared" si="479"/>
        <v>38.999999999999993</v>
      </c>
      <c r="AD240" s="113">
        <f t="shared" si="480"/>
        <v>3.333333333333333</v>
      </c>
      <c r="AE240" s="113">
        <f t="shared" si="481"/>
        <v>56.666666666666664</v>
      </c>
      <c r="AF240" s="460">
        <f t="shared" si="482"/>
        <v>0</v>
      </c>
      <c r="AG240" s="582">
        <f t="shared" si="483"/>
        <v>51.666666666666707</v>
      </c>
      <c r="AH240" s="113">
        <f t="shared" si="484"/>
        <v>32.999999999999979</v>
      </c>
      <c r="AI240" s="113">
        <f t="shared" si="485"/>
        <v>0</v>
      </c>
      <c r="AJ240" s="113">
        <f t="shared" si="486"/>
        <v>12.666666666666668</v>
      </c>
      <c r="AK240" s="459">
        <f t="shared" si="487"/>
        <v>5.9999999999999982</v>
      </c>
      <c r="AL240" s="461">
        <f t="shared" si="488"/>
        <v>1612.3333333333333</v>
      </c>
      <c r="AM240" s="582">
        <f t="shared" si="489"/>
        <v>1187.6666666666665</v>
      </c>
      <c r="AN240" s="113">
        <f t="shared" si="490"/>
        <v>509.66666666666652</v>
      </c>
      <c r="AO240" s="113">
        <f t="shared" si="491"/>
        <v>30.666666666666664</v>
      </c>
      <c r="AP240" s="113">
        <f t="shared" si="492"/>
        <v>646.33333333333314</v>
      </c>
      <c r="AQ240" s="460">
        <f t="shared" si="493"/>
        <v>1</v>
      </c>
      <c r="AR240" s="582">
        <f t="shared" si="494"/>
        <v>424.66666666666669</v>
      </c>
      <c r="AS240" s="113">
        <f t="shared" si="495"/>
        <v>109.9999999999999</v>
      </c>
      <c r="AT240" s="113">
        <f t="shared" si="496"/>
        <v>0</v>
      </c>
      <c r="AU240" s="113">
        <f t="shared" si="497"/>
        <v>292.00000000000006</v>
      </c>
      <c r="AV240" s="459">
        <f t="shared" si="498"/>
        <v>22.666666666666661</v>
      </c>
      <c r="AW240" s="461">
        <f t="shared" si="499"/>
        <v>859.66666666666652</v>
      </c>
      <c r="AX240" s="582">
        <f t="shared" si="500"/>
        <v>628</v>
      </c>
      <c r="AY240" s="113">
        <f t="shared" si="501"/>
        <v>292.33333333333331</v>
      </c>
      <c r="AZ240" s="113">
        <f t="shared" si="502"/>
        <v>12.666666666666666</v>
      </c>
      <c r="BA240" s="113">
        <f t="shared" si="503"/>
        <v>323.00000000000006</v>
      </c>
      <c r="BB240" s="460">
        <f t="shared" si="504"/>
        <v>0</v>
      </c>
      <c r="BC240" s="582">
        <f t="shared" si="505"/>
        <v>231.66666666666677</v>
      </c>
      <c r="BD240" s="113">
        <f t="shared" si="506"/>
        <v>91.999999999999915</v>
      </c>
      <c r="BE240" s="113">
        <f t="shared" si="507"/>
        <v>0</v>
      </c>
      <c r="BF240" s="113">
        <f t="shared" si="508"/>
        <v>126.66666666666671</v>
      </c>
      <c r="BG240" s="459">
        <f t="shared" si="509"/>
        <v>13.000000000000002</v>
      </c>
      <c r="BH240" s="461">
        <f t="shared" si="510"/>
        <v>1244.3333333333339</v>
      </c>
      <c r="BI240" s="582">
        <f t="shared" si="511"/>
        <v>979.3333333333328</v>
      </c>
      <c r="BJ240" s="113">
        <f t="shared" si="512"/>
        <v>418.00000000000011</v>
      </c>
      <c r="BK240" s="113">
        <f t="shared" si="513"/>
        <v>15.000000000000002</v>
      </c>
      <c r="BL240" s="113">
        <f t="shared" si="514"/>
        <v>545.33333333333326</v>
      </c>
      <c r="BM240" s="460">
        <f t="shared" si="515"/>
        <v>1</v>
      </c>
      <c r="BN240" s="582">
        <f t="shared" si="516"/>
        <v>265</v>
      </c>
      <c r="BO240" s="113">
        <f t="shared" si="517"/>
        <v>75.333333333333343</v>
      </c>
      <c r="BP240" s="113">
        <f t="shared" si="518"/>
        <v>0</v>
      </c>
      <c r="BQ240" s="113">
        <f t="shared" si="519"/>
        <v>169.00000000000003</v>
      </c>
      <c r="BR240" s="459">
        <f t="shared" si="520"/>
        <v>20.666666666666664</v>
      </c>
      <c r="BS240" s="461">
        <f t="shared" si="521"/>
        <v>1848.9999999999998</v>
      </c>
      <c r="BT240" s="582">
        <f t="shared" si="522"/>
        <v>1427.6666666666667</v>
      </c>
      <c r="BU240" s="113">
        <f t="shared" si="523"/>
        <v>564</v>
      </c>
      <c r="BV240" s="113">
        <f t="shared" si="524"/>
        <v>8</v>
      </c>
      <c r="BW240" s="113">
        <f t="shared" si="525"/>
        <v>854.6666666666664</v>
      </c>
      <c r="BX240" s="460">
        <f t="shared" si="526"/>
        <v>1</v>
      </c>
      <c r="BY240" s="582">
        <f t="shared" si="527"/>
        <v>421.33333333333348</v>
      </c>
      <c r="BZ240" s="113">
        <f t="shared" si="528"/>
        <v>131.33333333333323</v>
      </c>
      <c r="CA240" s="113">
        <f t="shared" si="529"/>
        <v>0</v>
      </c>
      <c r="CB240" s="113">
        <f t="shared" si="530"/>
        <v>262</v>
      </c>
      <c r="CC240" s="459">
        <f t="shared" si="531"/>
        <v>27.999999999999989</v>
      </c>
      <c r="CD240" s="461">
        <f t="shared" si="532"/>
        <v>309.99999999999989</v>
      </c>
      <c r="CE240" s="582">
        <f t="shared" si="533"/>
        <v>230.66666666666674</v>
      </c>
      <c r="CF240" s="113">
        <f t="shared" si="534"/>
        <v>91.333333333333343</v>
      </c>
      <c r="CG240" s="113">
        <f t="shared" si="535"/>
        <v>9.6666666666666679</v>
      </c>
      <c r="CH240" s="113">
        <f t="shared" si="536"/>
        <v>129.66666666666666</v>
      </c>
      <c r="CI240" s="460">
        <f t="shared" si="537"/>
        <v>0</v>
      </c>
      <c r="CJ240" s="582">
        <f t="shared" si="538"/>
        <v>79.333333333333314</v>
      </c>
      <c r="CK240" s="113">
        <f t="shared" si="539"/>
        <v>25.999999999999996</v>
      </c>
      <c r="CL240" s="113">
        <f t="shared" si="540"/>
        <v>0</v>
      </c>
      <c r="CM240" s="113">
        <f t="shared" si="541"/>
        <v>48.333333333333329</v>
      </c>
      <c r="CN240" s="459">
        <f t="shared" si="542"/>
        <v>4.9999999999999991</v>
      </c>
      <c r="CO240" s="461">
        <f t="shared" si="543"/>
        <v>230.33333333333337</v>
      </c>
      <c r="CP240" s="582">
        <f t="shared" si="544"/>
        <v>168.66666666666677</v>
      </c>
      <c r="CQ240" s="113">
        <f t="shared" si="545"/>
        <v>78.333333333333385</v>
      </c>
      <c r="CR240" s="113">
        <f t="shared" si="546"/>
        <v>10.333333333333332</v>
      </c>
      <c r="CS240" s="113">
        <f t="shared" si="547"/>
        <v>78.999999999999972</v>
      </c>
      <c r="CT240" s="460">
        <f t="shared" si="548"/>
        <v>1</v>
      </c>
      <c r="CU240" s="582">
        <f t="shared" si="549"/>
        <v>61.6666666666667</v>
      </c>
      <c r="CV240" s="113">
        <f t="shared" si="550"/>
        <v>24.66666666666665</v>
      </c>
      <c r="CW240" s="113">
        <f t="shared" si="551"/>
        <v>0</v>
      </c>
      <c r="CX240" s="113">
        <f t="shared" si="552"/>
        <v>36.999999999999979</v>
      </c>
      <c r="CY240" s="459">
        <f t="shared" si="553"/>
        <v>0</v>
      </c>
      <c r="CZ240" s="461">
        <f t="shared" si="554"/>
        <v>71.666666666666643</v>
      </c>
      <c r="DA240" s="582">
        <f t="shared" si="555"/>
        <v>47.999999999999993</v>
      </c>
      <c r="DB240" s="113">
        <f t="shared" si="556"/>
        <v>14.666666666666668</v>
      </c>
      <c r="DC240" s="113">
        <f t="shared" si="557"/>
        <v>1</v>
      </c>
      <c r="DD240" s="113">
        <f t="shared" si="558"/>
        <v>32.333333333333336</v>
      </c>
      <c r="DE240" s="460">
        <f t="shared" si="559"/>
        <v>0</v>
      </c>
      <c r="DF240" s="582">
        <f t="shared" si="560"/>
        <v>23.666666666666664</v>
      </c>
      <c r="DG240" s="113">
        <f t="shared" si="561"/>
        <v>13.000000000000011</v>
      </c>
      <c r="DH240" s="113">
        <f t="shared" si="562"/>
        <v>0</v>
      </c>
      <c r="DI240" s="113">
        <f t="shared" si="563"/>
        <v>7.6666666666666634</v>
      </c>
      <c r="DJ240" s="459">
        <f t="shared" si="564"/>
        <v>3</v>
      </c>
      <c r="DK240" s="461">
        <f t="shared" si="565"/>
        <v>4.3333333333333339</v>
      </c>
      <c r="DL240" s="582">
        <f t="shared" si="566"/>
        <v>2.333333333333333</v>
      </c>
      <c r="DM240" s="113">
        <f t="shared" si="567"/>
        <v>0.66666666666666663</v>
      </c>
      <c r="DN240" s="113">
        <f t="shared" si="568"/>
        <v>1.6666666666666665</v>
      </c>
      <c r="DO240" s="113">
        <f t="shared" si="569"/>
        <v>0</v>
      </c>
      <c r="DP240" s="460">
        <f t="shared" si="570"/>
        <v>0</v>
      </c>
      <c r="DQ240" s="582">
        <f t="shared" si="571"/>
        <v>3</v>
      </c>
      <c r="DR240" s="113">
        <f t="shared" si="572"/>
        <v>1</v>
      </c>
      <c r="DS240" s="113">
        <f t="shared" si="573"/>
        <v>0</v>
      </c>
      <c r="DT240" s="113">
        <f t="shared" si="574"/>
        <v>2</v>
      </c>
      <c r="DU240" s="459">
        <f t="shared" si="575"/>
        <v>0</v>
      </c>
      <c r="DW240" s="461">
        <f t="shared" ref="DW240:ED250" si="596">P240+AA240+AW240+BH240+BS240+CD240+CO240+CZ240+DK240</f>
        <v>4988.333333333333</v>
      </c>
      <c r="DX240" s="582">
        <f t="shared" si="596"/>
        <v>3747.6666666666665</v>
      </c>
      <c r="DY240" s="113">
        <f t="shared" si="596"/>
        <v>1573.0000000000002</v>
      </c>
      <c r="DZ240" s="113">
        <f t="shared" si="596"/>
        <v>65.333333333333329</v>
      </c>
      <c r="EA240" s="113">
        <f t="shared" si="596"/>
        <v>2106.333333333333</v>
      </c>
      <c r="EB240" s="460">
        <f t="shared" si="453"/>
        <v>3</v>
      </c>
      <c r="EC240" s="582">
        <f t="shared" si="453"/>
        <v>1241.6666666666672</v>
      </c>
      <c r="ED240" s="113">
        <f t="shared" si="453"/>
        <v>427.33333333333309</v>
      </c>
      <c r="EE240" s="113">
        <f t="shared" si="453"/>
        <v>0</v>
      </c>
      <c r="EF240" s="113">
        <f t="shared" si="453"/>
        <v>731.66666666666674</v>
      </c>
      <c r="EG240" s="459">
        <f t="shared" si="453"/>
        <v>82.666666666666657</v>
      </c>
      <c r="EH240" s="461">
        <f t="shared" si="587"/>
        <v>1612.3333333333333</v>
      </c>
      <c r="EI240" s="582">
        <f t="shared" si="587"/>
        <v>1187.6666666666665</v>
      </c>
      <c r="EJ240" s="113">
        <f t="shared" si="587"/>
        <v>509.66666666666652</v>
      </c>
      <c r="EK240" s="113">
        <f t="shared" si="587"/>
        <v>30.666666666666664</v>
      </c>
      <c r="EL240" s="113">
        <f t="shared" si="587"/>
        <v>646.33333333333314</v>
      </c>
      <c r="EM240" s="460">
        <f t="shared" si="587"/>
        <v>1</v>
      </c>
      <c r="EN240" s="582">
        <f t="shared" si="587"/>
        <v>424.66666666666669</v>
      </c>
      <c r="EO240" s="113">
        <f t="shared" si="587"/>
        <v>109.9999999999999</v>
      </c>
      <c r="EP240" s="113">
        <f t="shared" si="587"/>
        <v>0</v>
      </c>
      <c r="EQ240" s="113">
        <f t="shared" si="587"/>
        <v>292.00000000000006</v>
      </c>
      <c r="ER240" s="459">
        <f t="shared" si="587"/>
        <v>22.666666666666661</v>
      </c>
    </row>
    <row r="241" spans="1:148">
      <c r="A241" s="665" t="s">
        <v>427</v>
      </c>
      <c r="B241" s="665">
        <v>45352</v>
      </c>
      <c r="C241" s="666">
        <v>2024</v>
      </c>
      <c r="D241" s="461">
        <f t="shared" ref="D241" si="597">D130/3+D240</f>
        <v>5058397.9999999991</v>
      </c>
      <c r="E241" s="461">
        <f t="shared" si="455"/>
        <v>164730.00000000003</v>
      </c>
      <c r="F241" s="582">
        <f t="shared" si="456"/>
        <v>120885.00000000001</v>
      </c>
      <c r="G241" s="113">
        <f t="shared" si="457"/>
        <v>51017.999999999993</v>
      </c>
      <c r="H241" s="113">
        <f t="shared" si="458"/>
        <v>3150.0000000000005</v>
      </c>
      <c r="I241" s="113">
        <f t="shared" si="459"/>
        <v>65984.999999999971</v>
      </c>
      <c r="J241" s="460">
        <f t="shared" si="460"/>
        <v>732</v>
      </c>
      <c r="K241" s="582">
        <f t="shared" si="461"/>
        <v>43844.999999999985</v>
      </c>
      <c r="L241" s="113">
        <f t="shared" si="462"/>
        <v>15085.000000000009</v>
      </c>
      <c r="M241" s="113">
        <f t="shared" si="463"/>
        <v>0</v>
      </c>
      <c r="N241" s="113">
        <f t="shared" si="464"/>
        <v>25645.000000000004</v>
      </c>
      <c r="O241" s="459">
        <f t="shared" si="465"/>
        <v>3114.9999999999982</v>
      </c>
      <c r="P241" s="461">
        <f t="shared" si="466"/>
        <v>275.00000000000006</v>
      </c>
      <c r="Q241" s="582">
        <f t="shared" si="467"/>
        <v>167.00000000000003</v>
      </c>
      <c r="R241" s="113">
        <f t="shared" si="468"/>
        <v>75.000000000000028</v>
      </c>
      <c r="S241" s="113">
        <f t="shared" si="469"/>
        <v>4</v>
      </c>
      <c r="T241" s="113">
        <f t="shared" si="470"/>
        <v>88.000000000000028</v>
      </c>
      <c r="U241" s="460">
        <f t="shared" si="471"/>
        <v>0</v>
      </c>
      <c r="V241" s="582">
        <f t="shared" si="472"/>
        <v>108.00000000000003</v>
      </c>
      <c r="W241" s="113">
        <f t="shared" si="473"/>
        <v>31.999999999999996</v>
      </c>
      <c r="X241" s="113">
        <f t="shared" si="474"/>
        <v>0</v>
      </c>
      <c r="Y241" s="113">
        <f t="shared" si="475"/>
        <v>69.000000000000014</v>
      </c>
      <c r="Z241" s="459">
        <f t="shared" si="476"/>
        <v>7</v>
      </c>
      <c r="AA241" s="461">
        <f t="shared" si="477"/>
        <v>155.00000000000009</v>
      </c>
      <c r="AB241" s="582">
        <f t="shared" si="478"/>
        <v>102.99999999999999</v>
      </c>
      <c r="AC241" s="113">
        <f t="shared" si="479"/>
        <v>38.999999999999993</v>
      </c>
      <c r="AD241" s="113">
        <f t="shared" si="480"/>
        <v>3.9999999999999996</v>
      </c>
      <c r="AE241" s="113">
        <f t="shared" si="481"/>
        <v>60</v>
      </c>
      <c r="AF241" s="460">
        <f t="shared" si="482"/>
        <v>0</v>
      </c>
      <c r="AG241" s="582">
        <f t="shared" si="483"/>
        <v>52.000000000000043</v>
      </c>
      <c r="AH241" s="113">
        <f t="shared" si="484"/>
        <v>32.999999999999979</v>
      </c>
      <c r="AI241" s="113">
        <f t="shared" si="485"/>
        <v>0</v>
      </c>
      <c r="AJ241" s="113">
        <f t="shared" si="486"/>
        <v>13.000000000000002</v>
      </c>
      <c r="AK241" s="459">
        <f t="shared" si="487"/>
        <v>5.9999999999999982</v>
      </c>
      <c r="AL241" s="461">
        <f t="shared" si="488"/>
        <v>1666</v>
      </c>
      <c r="AM241" s="582">
        <f t="shared" si="489"/>
        <v>1223.9999999999998</v>
      </c>
      <c r="AN241" s="113">
        <f t="shared" si="490"/>
        <v>515.99999999999989</v>
      </c>
      <c r="AO241" s="113">
        <f t="shared" si="491"/>
        <v>33</v>
      </c>
      <c r="AP241" s="113">
        <f t="shared" si="492"/>
        <v>673.99999999999977</v>
      </c>
      <c r="AQ241" s="460">
        <f t="shared" si="493"/>
        <v>1</v>
      </c>
      <c r="AR241" s="582">
        <f t="shared" si="494"/>
        <v>442</v>
      </c>
      <c r="AS241" s="113">
        <f t="shared" si="495"/>
        <v>111.9999999999999</v>
      </c>
      <c r="AT241" s="113">
        <f t="shared" si="496"/>
        <v>0</v>
      </c>
      <c r="AU241" s="113">
        <f t="shared" si="497"/>
        <v>307.00000000000006</v>
      </c>
      <c r="AV241" s="459">
        <f t="shared" si="498"/>
        <v>22.999999999999993</v>
      </c>
      <c r="AW241" s="461">
        <f t="shared" si="499"/>
        <v>880.99999999999989</v>
      </c>
      <c r="AX241" s="582">
        <f t="shared" si="500"/>
        <v>644</v>
      </c>
      <c r="AY241" s="113">
        <f t="shared" si="501"/>
        <v>295</v>
      </c>
      <c r="AZ241" s="113">
        <f t="shared" si="502"/>
        <v>14</v>
      </c>
      <c r="BA241" s="113">
        <f t="shared" si="503"/>
        <v>335.00000000000006</v>
      </c>
      <c r="BB241" s="460">
        <f t="shared" si="504"/>
        <v>0</v>
      </c>
      <c r="BC241" s="582">
        <f t="shared" si="505"/>
        <v>237.00000000000011</v>
      </c>
      <c r="BD241" s="113">
        <f t="shared" si="506"/>
        <v>92.999999999999915</v>
      </c>
      <c r="BE241" s="113">
        <f t="shared" si="507"/>
        <v>0</v>
      </c>
      <c r="BF241" s="113">
        <f t="shared" si="508"/>
        <v>131.00000000000006</v>
      </c>
      <c r="BG241" s="459">
        <f t="shared" si="509"/>
        <v>13.000000000000002</v>
      </c>
      <c r="BH241" s="461">
        <f t="shared" si="510"/>
        <v>1272.0000000000007</v>
      </c>
      <c r="BI241" s="582">
        <f t="shared" si="511"/>
        <v>1001.9999999999994</v>
      </c>
      <c r="BJ241" s="113">
        <f t="shared" si="512"/>
        <v>422.00000000000011</v>
      </c>
      <c r="BK241" s="113">
        <f t="shared" si="513"/>
        <v>16</v>
      </c>
      <c r="BL241" s="113">
        <f t="shared" si="514"/>
        <v>562.99999999999989</v>
      </c>
      <c r="BM241" s="460">
        <f t="shared" si="515"/>
        <v>1</v>
      </c>
      <c r="BN241" s="582">
        <f t="shared" si="516"/>
        <v>270</v>
      </c>
      <c r="BO241" s="113">
        <f t="shared" si="517"/>
        <v>76.000000000000014</v>
      </c>
      <c r="BP241" s="113">
        <f t="shared" si="518"/>
        <v>0</v>
      </c>
      <c r="BQ241" s="113">
        <f t="shared" si="519"/>
        <v>173.00000000000003</v>
      </c>
      <c r="BR241" s="459">
        <f t="shared" si="520"/>
        <v>20.999999999999996</v>
      </c>
      <c r="BS241" s="461">
        <f t="shared" si="521"/>
        <v>1906.9999999999998</v>
      </c>
      <c r="BT241" s="582">
        <f t="shared" si="522"/>
        <v>1475</v>
      </c>
      <c r="BU241" s="113">
        <f t="shared" si="523"/>
        <v>573</v>
      </c>
      <c r="BV241" s="113">
        <f t="shared" si="524"/>
        <v>8</v>
      </c>
      <c r="BW241" s="113">
        <f t="shared" si="525"/>
        <v>892.99999999999977</v>
      </c>
      <c r="BX241" s="460">
        <f t="shared" si="526"/>
        <v>1</v>
      </c>
      <c r="BY241" s="582">
        <f t="shared" si="527"/>
        <v>432.00000000000017</v>
      </c>
      <c r="BZ241" s="113">
        <f t="shared" si="528"/>
        <v>132.99999999999989</v>
      </c>
      <c r="CA241" s="113">
        <f t="shared" si="529"/>
        <v>0</v>
      </c>
      <c r="CB241" s="113">
        <f t="shared" si="530"/>
        <v>271</v>
      </c>
      <c r="CC241" s="459">
        <f t="shared" si="531"/>
        <v>27.999999999999989</v>
      </c>
      <c r="CD241" s="461">
        <f t="shared" si="532"/>
        <v>315.99999999999989</v>
      </c>
      <c r="CE241" s="582">
        <f t="shared" si="533"/>
        <v>236.00000000000009</v>
      </c>
      <c r="CF241" s="113">
        <f t="shared" si="534"/>
        <v>92.000000000000014</v>
      </c>
      <c r="CG241" s="113">
        <f t="shared" si="535"/>
        <v>10.000000000000002</v>
      </c>
      <c r="CH241" s="113">
        <f t="shared" si="536"/>
        <v>134</v>
      </c>
      <c r="CI241" s="460">
        <f t="shared" si="537"/>
        <v>0</v>
      </c>
      <c r="CJ241" s="582">
        <f t="shared" si="538"/>
        <v>79.999999999999986</v>
      </c>
      <c r="CK241" s="113">
        <f t="shared" si="539"/>
        <v>25.999999999999996</v>
      </c>
      <c r="CL241" s="113">
        <f t="shared" si="540"/>
        <v>0</v>
      </c>
      <c r="CM241" s="113">
        <f t="shared" si="541"/>
        <v>48.999999999999993</v>
      </c>
      <c r="CN241" s="459">
        <f t="shared" si="542"/>
        <v>4.9999999999999991</v>
      </c>
      <c r="CO241" s="461">
        <f t="shared" si="543"/>
        <v>236.00000000000003</v>
      </c>
      <c r="CP241" s="582">
        <f t="shared" si="544"/>
        <v>173.00000000000011</v>
      </c>
      <c r="CQ241" s="113">
        <f t="shared" si="545"/>
        <v>79.000000000000057</v>
      </c>
      <c r="CR241" s="113">
        <f t="shared" si="546"/>
        <v>10.999999999999998</v>
      </c>
      <c r="CS241" s="113">
        <f t="shared" si="547"/>
        <v>81.999999999999972</v>
      </c>
      <c r="CT241" s="460">
        <f t="shared" si="548"/>
        <v>1</v>
      </c>
      <c r="CU241" s="582">
        <f t="shared" si="549"/>
        <v>63.000000000000036</v>
      </c>
      <c r="CV241" s="113">
        <f t="shared" si="550"/>
        <v>24.999999999999982</v>
      </c>
      <c r="CW241" s="113">
        <f t="shared" si="551"/>
        <v>0</v>
      </c>
      <c r="CX241" s="113">
        <f t="shared" si="552"/>
        <v>37.999999999999979</v>
      </c>
      <c r="CY241" s="459">
        <f t="shared" si="553"/>
        <v>0</v>
      </c>
      <c r="CZ241" s="461">
        <f t="shared" si="554"/>
        <v>72.999999999999972</v>
      </c>
      <c r="DA241" s="582">
        <f t="shared" si="555"/>
        <v>48.999999999999993</v>
      </c>
      <c r="DB241" s="113">
        <f t="shared" si="556"/>
        <v>15.000000000000002</v>
      </c>
      <c r="DC241" s="113">
        <f t="shared" si="557"/>
        <v>1</v>
      </c>
      <c r="DD241" s="113">
        <f t="shared" si="558"/>
        <v>33</v>
      </c>
      <c r="DE241" s="460">
        <f t="shared" si="559"/>
        <v>0</v>
      </c>
      <c r="DF241" s="582">
        <f t="shared" si="560"/>
        <v>23.999999999999996</v>
      </c>
      <c r="DG241" s="113">
        <f t="shared" si="561"/>
        <v>13.000000000000011</v>
      </c>
      <c r="DH241" s="113">
        <f t="shared" si="562"/>
        <v>0</v>
      </c>
      <c r="DI241" s="113">
        <f t="shared" si="563"/>
        <v>7.9999999999999964</v>
      </c>
      <c r="DJ241" s="459">
        <f t="shared" si="564"/>
        <v>3</v>
      </c>
      <c r="DK241" s="461">
        <f t="shared" si="565"/>
        <v>6.0000000000000009</v>
      </c>
      <c r="DL241" s="582">
        <f t="shared" si="566"/>
        <v>2.9999999999999996</v>
      </c>
      <c r="DM241" s="113">
        <f t="shared" si="567"/>
        <v>1</v>
      </c>
      <c r="DN241" s="113">
        <f t="shared" si="568"/>
        <v>1.9999999999999998</v>
      </c>
      <c r="DO241" s="113">
        <f t="shared" si="569"/>
        <v>0</v>
      </c>
      <c r="DP241" s="460">
        <f t="shared" si="570"/>
        <v>0</v>
      </c>
      <c r="DQ241" s="582">
        <f t="shared" si="571"/>
        <v>4</v>
      </c>
      <c r="DR241" s="113">
        <f t="shared" si="572"/>
        <v>1</v>
      </c>
      <c r="DS241" s="113">
        <f t="shared" si="573"/>
        <v>0</v>
      </c>
      <c r="DT241" s="113">
        <f t="shared" si="574"/>
        <v>3</v>
      </c>
      <c r="DU241" s="459">
        <f t="shared" si="575"/>
        <v>0</v>
      </c>
      <c r="DW241" s="461">
        <f t="shared" si="596"/>
        <v>5121.0000000000009</v>
      </c>
      <c r="DX241" s="582">
        <f t="shared" si="596"/>
        <v>3851.9999999999995</v>
      </c>
      <c r="DY241" s="113">
        <f t="shared" si="596"/>
        <v>1591</v>
      </c>
      <c r="DZ241" s="113">
        <f t="shared" si="596"/>
        <v>70</v>
      </c>
      <c r="EA241" s="113">
        <f t="shared" si="596"/>
        <v>2188</v>
      </c>
      <c r="EB241" s="460">
        <f t="shared" si="453"/>
        <v>3</v>
      </c>
      <c r="EC241" s="582">
        <f t="shared" si="453"/>
        <v>1270.0000000000005</v>
      </c>
      <c r="ED241" s="113">
        <f t="shared" si="453"/>
        <v>431.99999999999977</v>
      </c>
      <c r="EE241" s="113">
        <f t="shared" si="453"/>
        <v>0</v>
      </c>
      <c r="EF241" s="113">
        <f t="shared" si="453"/>
        <v>755.00000000000011</v>
      </c>
      <c r="EG241" s="459">
        <f t="shared" si="453"/>
        <v>82.999999999999986</v>
      </c>
      <c r="EH241" s="461">
        <f t="shared" si="587"/>
        <v>1666</v>
      </c>
      <c r="EI241" s="582">
        <f t="shared" si="587"/>
        <v>1223.9999999999998</v>
      </c>
      <c r="EJ241" s="113">
        <f t="shared" si="587"/>
        <v>515.99999999999989</v>
      </c>
      <c r="EK241" s="113">
        <f t="shared" si="587"/>
        <v>33</v>
      </c>
      <c r="EL241" s="113">
        <f t="shared" si="587"/>
        <v>673.99999999999977</v>
      </c>
      <c r="EM241" s="460">
        <f t="shared" si="587"/>
        <v>1</v>
      </c>
      <c r="EN241" s="582">
        <f t="shared" si="587"/>
        <v>442</v>
      </c>
      <c r="EO241" s="113">
        <f t="shared" si="587"/>
        <v>111.9999999999999</v>
      </c>
      <c r="EP241" s="113">
        <f t="shared" si="587"/>
        <v>0</v>
      </c>
      <c r="EQ241" s="113">
        <f t="shared" si="587"/>
        <v>307.00000000000006</v>
      </c>
      <c r="ER241" s="459">
        <f t="shared" si="587"/>
        <v>22.999999999999993</v>
      </c>
    </row>
    <row r="242" spans="1:148">
      <c r="A242" s="665" t="s">
        <v>428</v>
      </c>
      <c r="B242" s="665">
        <v>45383</v>
      </c>
      <c r="C242" s="666">
        <v>2024</v>
      </c>
      <c r="D242" s="461">
        <f t="shared" ref="D242" si="598">D131/3+D241</f>
        <v>5121907.9999999991</v>
      </c>
      <c r="E242" s="461">
        <f t="shared" si="455"/>
        <v>169520.00000000003</v>
      </c>
      <c r="F242" s="582">
        <f t="shared" si="456"/>
        <v>124372.33333333334</v>
      </c>
      <c r="G242" s="113">
        <f t="shared" si="457"/>
        <v>51842.666666666657</v>
      </c>
      <c r="H242" s="113">
        <f t="shared" si="458"/>
        <v>3393.3333333333339</v>
      </c>
      <c r="I242" s="113">
        <f t="shared" si="459"/>
        <v>68387.999999999971</v>
      </c>
      <c r="J242" s="460">
        <f t="shared" si="460"/>
        <v>748.33333333333337</v>
      </c>
      <c r="K242" s="582">
        <f t="shared" si="461"/>
        <v>45147.66666666665</v>
      </c>
      <c r="L242" s="113">
        <f t="shared" si="462"/>
        <v>15150.333333333343</v>
      </c>
      <c r="M242" s="113">
        <f t="shared" si="463"/>
        <v>0</v>
      </c>
      <c r="N242" s="113">
        <f t="shared" si="464"/>
        <v>26837.666666666672</v>
      </c>
      <c r="O242" s="459">
        <f t="shared" si="465"/>
        <v>3159.6666666666647</v>
      </c>
      <c r="P242" s="461">
        <f t="shared" si="466"/>
        <v>285.66666666666674</v>
      </c>
      <c r="Q242" s="582">
        <f t="shared" si="467"/>
        <v>174.00000000000003</v>
      </c>
      <c r="R242" s="113">
        <f t="shared" si="468"/>
        <v>77.6666666666667</v>
      </c>
      <c r="S242" s="113">
        <f t="shared" si="469"/>
        <v>4</v>
      </c>
      <c r="T242" s="113">
        <f t="shared" si="470"/>
        <v>92.333333333333357</v>
      </c>
      <c r="U242" s="460">
        <f t="shared" si="471"/>
        <v>0</v>
      </c>
      <c r="V242" s="582">
        <f t="shared" si="472"/>
        <v>111.6666666666667</v>
      </c>
      <c r="W242" s="113">
        <f t="shared" si="473"/>
        <v>31.999999999999996</v>
      </c>
      <c r="X242" s="113">
        <f t="shared" si="474"/>
        <v>0</v>
      </c>
      <c r="Y242" s="113">
        <f t="shared" si="475"/>
        <v>72.666666666666686</v>
      </c>
      <c r="Z242" s="459">
        <f t="shared" si="476"/>
        <v>7</v>
      </c>
      <c r="AA242" s="461">
        <f t="shared" si="477"/>
        <v>158.33333333333343</v>
      </c>
      <c r="AB242" s="582">
        <f t="shared" si="478"/>
        <v>105.99999999999999</v>
      </c>
      <c r="AC242" s="113">
        <f t="shared" si="479"/>
        <v>39.333333333333329</v>
      </c>
      <c r="AD242" s="113">
        <f t="shared" si="480"/>
        <v>4.333333333333333</v>
      </c>
      <c r="AE242" s="113">
        <f t="shared" si="481"/>
        <v>62.333333333333336</v>
      </c>
      <c r="AF242" s="460">
        <f t="shared" si="482"/>
        <v>0</v>
      </c>
      <c r="AG242" s="582">
        <f t="shared" si="483"/>
        <v>52.333333333333378</v>
      </c>
      <c r="AH242" s="113">
        <f t="shared" si="484"/>
        <v>32.999999999999979</v>
      </c>
      <c r="AI242" s="113">
        <f t="shared" si="485"/>
        <v>0</v>
      </c>
      <c r="AJ242" s="113">
        <f t="shared" si="486"/>
        <v>13.333333333333336</v>
      </c>
      <c r="AK242" s="459">
        <f t="shared" si="487"/>
        <v>5.9999999999999982</v>
      </c>
      <c r="AL242" s="461">
        <f t="shared" si="488"/>
        <v>1723.6666666666667</v>
      </c>
      <c r="AM242" s="582">
        <f t="shared" si="489"/>
        <v>1264.9999999999998</v>
      </c>
      <c r="AN242" s="113">
        <f t="shared" si="490"/>
        <v>523.99999999999989</v>
      </c>
      <c r="AO242" s="113">
        <f t="shared" si="491"/>
        <v>35.666666666666664</v>
      </c>
      <c r="AP242" s="113">
        <f t="shared" si="492"/>
        <v>704.33333333333314</v>
      </c>
      <c r="AQ242" s="460">
        <f t="shared" si="493"/>
        <v>1</v>
      </c>
      <c r="AR242" s="582">
        <f t="shared" si="494"/>
        <v>458.66666666666669</v>
      </c>
      <c r="AS242" s="113">
        <f t="shared" si="495"/>
        <v>112.66666666666657</v>
      </c>
      <c r="AT242" s="113">
        <f t="shared" si="496"/>
        <v>0</v>
      </c>
      <c r="AU242" s="113">
        <f t="shared" si="497"/>
        <v>322.66666666666674</v>
      </c>
      <c r="AV242" s="459">
        <f t="shared" si="498"/>
        <v>23.333333333333325</v>
      </c>
      <c r="AW242" s="461">
        <f t="shared" si="499"/>
        <v>913.66666666666652</v>
      </c>
      <c r="AX242" s="582">
        <f t="shared" si="500"/>
        <v>670.33333333333337</v>
      </c>
      <c r="AY242" s="113">
        <f t="shared" si="501"/>
        <v>300.66666666666669</v>
      </c>
      <c r="AZ242" s="113">
        <f t="shared" si="502"/>
        <v>15.333333333333334</v>
      </c>
      <c r="BA242" s="113">
        <f t="shared" si="503"/>
        <v>354.33333333333337</v>
      </c>
      <c r="BB242" s="460">
        <f t="shared" si="504"/>
        <v>0</v>
      </c>
      <c r="BC242" s="582">
        <f t="shared" si="505"/>
        <v>243.33333333333346</v>
      </c>
      <c r="BD242" s="113">
        <f t="shared" si="506"/>
        <v>92.999999999999915</v>
      </c>
      <c r="BE242" s="113">
        <f t="shared" si="507"/>
        <v>0</v>
      </c>
      <c r="BF242" s="113">
        <f t="shared" si="508"/>
        <v>136.66666666666671</v>
      </c>
      <c r="BG242" s="459">
        <f t="shared" si="509"/>
        <v>13.666666666666668</v>
      </c>
      <c r="BH242" s="461">
        <f t="shared" si="510"/>
        <v>1310.3333333333339</v>
      </c>
      <c r="BI242" s="582">
        <f t="shared" si="511"/>
        <v>1033.6666666666661</v>
      </c>
      <c r="BJ242" s="113">
        <f t="shared" si="512"/>
        <v>428.00000000000011</v>
      </c>
      <c r="BK242" s="113">
        <f t="shared" si="513"/>
        <v>17.666666666666668</v>
      </c>
      <c r="BL242" s="113">
        <f t="shared" si="514"/>
        <v>586.99999999999989</v>
      </c>
      <c r="BM242" s="460">
        <f t="shared" si="515"/>
        <v>1</v>
      </c>
      <c r="BN242" s="582">
        <f t="shared" si="516"/>
        <v>276.66666666666669</v>
      </c>
      <c r="BO242" s="113">
        <f t="shared" si="517"/>
        <v>76.000000000000014</v>
      </c>
      <c r="BP242" s="113">
        <f t="shared" si="518"/>
        <v>0</v>
      </c>
      <c r="BQ242" s="113">
        <f t="shared" si="519"/>
        <v>179.33333333333337</v>
      </c>
      <c r="BR242" s="459">
        <f t="shared" si="520"/>
        <v>21.333333333333329</v>
      </c>
      <c r="BS242" s="461">
        <f t="shared" si="521"/>
        <v>1971.6666666666665</v>
      </c>
      <c r="BT242" s="582">
        <f t="shared" si="522"/>
        <v>1523.6666666666667</v>
      </c>
      <c r="BU242" s="113">
        <f t="shared" si="523"/>
        <v>584.66666666666663</v>
      </c>
      <c r="BV242" s="113">
        <f t="shared" si="524"/>
        <v>8.6666666666666661</v>
      </c>
      <c r="BW242" s="113">
        <f t="shared" si="525"/>
        <v>929.33333333333314</v>
      </c>
      <c r="BX242" s="460">
        <f t="shared" si="526"/>
        <v>1</v>
      </c>
      <c r="BY242" s="582">
        <f t="shared" si="527"/>
        <v>448.00000000000017</v>
      </c>
      <c r="BZ242" s="113">
        <f t="shared" si="528"/>
        <v>132.99999999999989</v>
      </c>
      <c r="CA242" s="113">
        <f t="shared" si="529"/>
        <v>0</v>
      </c>
      <c r="CB242" s="113">
        <f t="shared" si="530"/>
        <v>286.66666666666669</v>
      </c>
      <c r="CC242" s="459">
        <f t="shared" si="531"/>
        <v>28.333333333333321</v>
      </c>
      <c r="CD242" s="461">
        <f t="shared" si="532"/>
        <v>323.99999999999989</v>
      </c>
      <c r="CE242" s="582">
        <f t="shared" si="533"/>
        <v>242.33333333333343</v>
      </c>
      <c r="CF242" s="113">
        <f t="shared" si="534"/>
        <v>93.000000000000014</v>
      </c>
      <c r="CG242" s="113">
        <f t="shared" si="535"/>
        <v>10.333333333333336</v>
      </c>
      <c r="CH242" s="113">
        <f t="shared" si="536"/>
        <v>139</v>
      </c>
      <c r="CI242" s="460">
        <f t="shared" si="537"/>
        <v>0</v>
      </c>
      <c r="CJ242" s="582">
        <f t="shared" si="538"/>
        <v>81.666666666666657</v>
      </c>
      <c r="CK242" s="113">
        <f t="shared" si="539"/>
        <v>25.999999999999996</v>
      </c>
      <c r="CL242" s="113">
        <f t="shared" si="540"/>
        <v>0</v>
      </c>
      <c r="CM242" s="113">
        <f t="shared" si="541"/>
        <v>50.666666666666657</v>
      </c>
      <c r="CN242" s="459">
        <f t="shared" si="542"/>
        <v>4.9999999999999991</v>
      </c>
      <c r="CO242" s="461">
        <f t="shared" si="543"/>
        <v>242.33333333333337</v>
      </c>
      <c r="CP242" s="582">
        <f t="shared" si="544"/>
        <v>177.66666666666677</v>
      </c>
      <c r="CQ242" s="113">
        <f t="shared" si="545"/>
        <v>80.333333333333385</v>
      </c>
      <c r="CR242" s="113">
        <f t="shared" si="546"/>
        <v>11.333333333333332</v>
      </c>
      <c r="CS242" s="113">
        <f t="shared" si="547"/>
        <v>84.999999999999972</v>
      </c>
      <c r="CT242" s="460">
        <f t="shared" si="548"/>
        <v>1</v>
      </c>
      <c r="CU242" s="582">
        <f t="shared" si="549"/>
        <v>64.6666666666667</v>
      </c>
      <c r="CV242" s="113">
        <f t="shared" si="550"/>
        <v>24.999999999999982</v>
      </c>
      <c r="CW242" s="113">
        <f t="shared" si="551"/>
        <v>0</v>
      </c>
      <c r="CX242" s="113">
        <f t="shared" si="552"/>
        <v>39.666666666666643</v>
      </c>
      <c r="CY242" s="459">
        <f t="shared" si="553"/>
        <v>0</v>
      </c>
      <c r="CZ242" s="461">
        <f t="shared" si="554"/>
        <v>74.3333333333333</v>
      </c>
      <c r="DA242" s="582">
        <f t="shared" si="555"/>
        <v>49.666666666666657</v>
      </c>
      <c r="DB242" s="113">
        <f t="shared" si="556"/>
        <v>15.000000000000002</v>
      </c>
      <c r="DC242" s="113">
        <f t="shared" si="557"/>
        <v>1</v>
      </c>
      <c r="DD242" s="113">
        <f t="shared" si="558"/>
        <v>33.666666666666664</v>
      </c>
      <c r="DE242" s="460">
        <f t="shared" si="559"/>
        <v>0</v>
      </c>
      <c r="DF242" s="582">
        <f t="shared" si="560"/>
        <v>24.666666666666664</v>
      </c>
      <c r="DG242" s="113">
        <f t="shared" si="561"/>
        <v>13.000000000000011</v>
      </c>
      <c r="DH242" s="113">
        <f t="shared" si="562"/>
        <v>0</v>
      </c>
      <c r="DI242" s="113">
        <f t="shared" si="563"/>
        <v>8.6666666666666625</v>
      </c>
      <c r="DJ242" s="459">
        <f t="shared" si="564"/>
        <v>3</v>
      </c>
      <c r="DK242" s="461">
        <f t="shared" si="565"/>
        <v>7.0000000000000009</v>
      </c>
      <c r="DL242" s="582">
        <f t="shared" si="566"/>
        <v>3.9999999999999996</v>
      </c>
      <c r="DM242" s="113">
        <f t="shared" si="567"/>
        <v>1</v>
      </c>
      <c r="DN242" s="113">
        <f t="shared" si="568"/>
        <v>2.333333333333333</v>
      </c>
      <c r="DO242" s="113">
        <f t="shared" si="569"/>
        <v>0.66666666666666663</v>
      </c>
      <c r="DP242" s="460">
        <f t="shared" si="570"/>
        <v>0</v>
      </c>
      <c r="DQ242" s="582">
        <f t="shared" si="571"/>
        <v>4</v>
      </c>
      <c r="DR242" s="113">
        <f t="shared" si="572"/>
        <v>1</v>
      </c>
      <c r="DS242" s="113">
        <f t="shared" si="573"/>
        <v>0</v>
      </c>
      <c r="DT242" s="113">
        <f t="shared" si="574"/>
        <v>3</v>
      </c>
      <c r="DU242" s="459">
        <f t="shared" si="575"/>
        <v>0</v>
      </c>
      <c r="DW242" s="461">
        <f t="shared" si="596"/>
        <v>5287.3333333333339</v>
      </c>
      <c r="DX242" s="582">
        <f t="shared" si="596"/>
        <v>3981.333333333333</v>
      </c>
      <c r="DY242" s="113">
        <f t="shared" si="596"/>
        <v>1619.666666666667</v>
      </c>
      <c r="DZ242" s="113">
        <f t="shared" si="596"/>
        <v>74.999999999999986</v>
      </c>
      <c r="EA242" s="113">
        <f t="shared" si="596"/>
        <v>2283.6666666666661</v>
      </c>
      <c r="EB242" s="460">
        <f t="shared" si="453"/>
        <v>3</v>
      </c>
      <c r="EC242" s="582">
        <f t="shared" si="453"/>
        <v>1307.0000000000007</v>
      </c>
      <c r="ED242" s="113">
        <f t="shared" si="453"/>
        <v>431.99999999999977</v>
      </c>
      <c r="EE242" s="113">
        <f t="shared" si="453"/>
        <v>0</v>
      </c>
      <c r="EF242" s="113">
        <f t="shared" si="453"/>
        <v>790.66666666666663</v>
      </c>
      <c r="EG242" s="459">
        <f t="shared" si="453"/>
        <v>84.333333333333314</v>
      </c>
      <c r="EH242" s="461">
        <f t="shared" si="587"/>
        <v>1723.6666666666667</v>
      </c>
      <c r="EI242" s="582">
        <f t="shared" si="587"/>
        <v>1264.9999999999998</v>
      </c>
      <c r="EJ242" s="113">
        <f t="shared" si="587"/>
        <v>523.99999999999989</v>
      </c>
      <c r="EK242" s="113">
        <f t="shared" si="587"/>
        <v>35.666666666666664</v>
      </c>
      <c r="EL242" s="113">
        <f t="shared" si="587"/>
        <v>704.33333333333314</v>
      </c>
      <c r="EM242" s="460">
        <f t="shared" si="587"/>
        <v>1</v>
      </c>
      <c r="EN242" s="582">
        <f t="shared" si="587"/>
        <v>458.66666666666669</v>
      </c>
      <c r="EO242" s="113">
        <f t="shared" si="587"/>
        <v>112.66666666666657</v>
      </c>
      <c r="EP242" s="113">
        <f t="shared" si="587"/>
        <v>0</v>
      </c>
      <c r="EQ242" s="113">
        <f t="shared" si="587"/>
        <v>322.66666666666674</v>
      </c>
      <c r="ER242" s="459">
        <f t="shared" si="587"/>
        <v>23.333333333333325</v>
      </c>
    </row>
    <row r="243" spans="1:148">
      <c r="A243" s="665" t="s">
        <v>428</v>
      </c>
      <c r="B243" s="665">
        <v>45413</v>
      </c>
      <c r="C243" s="666">
        <v>2024</v>
      </c>
      <c r="D243" s="461">
        <f t="shared" ref="D243" si="599">D132/3+D242</f>
        <v>5185417.9999999991</v>
      </c>
      <c r="E243" s="461">
        <f t="shared" si="455"/>
        <v>174310.00000000003</v>
      </c>
      <c r="F243" s="582">
        <f t="shared" si="456"/>
        <v>127859.66666666667</v>
      </c>
      <c r="G243" s="113">
        <f t="shared" si="457"/>
        <v>52667.333333333321</v>
      </c>
      <c r="H243" s="113">
        <f t="shared" si="458"/>
        <v>3636.6666666666674</v>
      </c>
      <c r="I243" s="113">
        <f t="shared" si="459"/>
        <v>70790.999999999971</v>
      </c>
      <c r="J243" s="460">
        <f t="shared" si="460"/>
        <v>764.66666666666674</v>
      </c>
      <c r="K243" s="582">
        <f t="shared" si="461"/>
        <v>46450.333333333314</v>
      </c>
      <c r="L243" s="113">
        <f t="shared" si="462"/>
        <v>15215.666666666677</v>
      </c>
      <c r="M243" s="113">
        <f t="shared" si="463"/>
        <v>0</v>
      </c>
      <c r="N243" s="113">
        <f t="shared" si="464"/>
        <v>28030.333333333339</v>
      </c>
      <c r="O243" s="459">
        <f t="shared" si="465"/>
        <v>3204.3333333333312</v>
      </c>
      <c r="P243" s="461">
        <f t="shared" si="466"/>
        <v>296.33333333333343</v>
      </c>
      <c r="Q243" s="582">
        <f t="shared" si="467"/>
        <v>181.00000000000003</v>
      </c>
      <c r="R243" s="113">
        <f t="shared" si="468"/>
        <v>80.333333333333371</v>
      </c>
      <c r="S243" s="113">
        <f t="shared" si="469"/>
        <v>4</v>
      </c>
      <c r="T243" s="113">
        <f t="shared" si="470"/>
        <v>96.666666666666686</v>
      </c>
      <c r="U243" s="460">
        <f t="shared" si="471"/>
        <v>0</v>
      </c>
      <c r="V243" s="582">
        <f t="shared" si="472"/>
        <v>115.33333333333337</v>
      </c>
      <c r="W243" s="113">
        <f t="shared" si="473"/>
        <v>31.999999999999996</v>
      </c>
      <c r="X243" s="113">
        <f t="shared" si="474"/>
        <v>0</v>
      </c>
      <c r="Y243" s="113">
        <f t="shared" si="475"/>
        <v>76.333333333333357</v>
      </c>
      <c r="Z243" s="459">
        <f t="shared" si="476"/>
        <v>7</v>
      </c>
      <c r="AA243" s="461">
        <f t="shared" si="477"/>
        <v>161.66666666666677</v>
      </c>
      <c r="AB243" s="582">
        <f t="shared" si="478"/>
        <v>108.99999999999999</v>
      </c>
      <c r="AC243" s="113">
        <f t="shared" si="479"/>
        <v>39.666666666666664</v>
      </c>
      <c r="AD243" s="113">
        <f t="shared" si="480"/>
        <v>4.6666666666666661</v>
      </c>
      <c r="AE243" s="113">
        <f t="shared" si="481"/>
        <v>64.666666666666671</v>
      </c>
      <c r="AF243" s="460">
        <f t="shared" si="482"/>
        <v>0</v>
      </c>
      <c r="AG243" s="582">
        <f t="shared" si="483"/>
        <v>52.666666666666714</v>
      </c>
      <c r="AH243" s="113">
        <f t="shared" si="484"/>
        <v>32.999999999999979</v>
      </c>
      <c r="AI243" s="113">
        <f t="shared" si="485"/>
        <v>0</v>
      </c>
      <c r="AJ243" s="113">
        <f t="shared" si="486"/>
        <v>13.66666666666667</v>
      </c>
      <c r="AK243" s="459">
        <f t="shared" si="487"/>
        <v>5.9999999999999982</v>
      </c>
      <c r="AL243" s="461">
        <f t="shared" si="488"/>
        <v>1781.3333333333335</v>
      </c>
      <c r="AM243" s="582">
        <f t="shared" si="489"/>
        <v>1305.9999999999998</v>
      </c>
      <c r="AN243" s="113">
        <f t="shared" si="490"/>
        <v>531.99999999999989</v>
      </c>
      <c r="AO243" s="113">
        <f t="shared" si="491"/>
        <v>38.333333333333329</v>
      </c>
      <c r="AP243" s="113">
        <f t="shared" si="492"/>
        <v>734.66666666666652</v>
      </c>
      <c r="AQ243" s="460">
        <f t="shared" si="493"/>
        <v>1</v>
      </c>
      <c r="AR243" s="582">
        <f t="shared" si="494"/>
        <v>475.33333333333337</v>
      </c>
      <c r="AS243" s="113">
        <f t="shared" si="495"/>
        <v>113.33333333333324</v>
      </c>
      <c r="AT243" s="113">
        <f t="shared" si="496"/>
        <v>0</v>
      </c>
      <c r="AU243" s="113">
        <f t="shared" si="497"/>
        <v>338.33333333333343</v>
      </c>
      <c r="AV243" s="459">
        <f t="shared" si="498"/>
        <v>23.666666666666657</v>
      </c>
      <c r="AW243" s="461">
        <f t="shared" si="499"/>
        <v>946.33333333333314</v>
      </c>
      <c r="AX243" s="582">
        <f t="shared" si="500"/>
        <v>696.66666666666674</v>
      </c>
      <c r="AY243" s="113">
        <f t="shared" si="501"/>
        <v>306.33333333333337</v>
      </c>
      <c r="AZ243" s="113">
        <f t="shared" si="502"/>
        <v>16.666666666666668</v>
      </c>
      <c r="BA243" s="113">
        <f t="shared" si="503"/>
        <v>373.66666666666669</v>
      </c>
      <c r="BB243" s="460">
        <f t="shared" si="504"/>
        <v>0</v>
      </c>
      <c r="BC243" s="582">
        <f t="shared" si="505"/>
        <v>249.6666666666668</v>
      </c>
      <c r="BD243" s="113">
        <f t="shared" si="506"/>
        <v>92.999999999999915</v>
      </c>
      <c r="BE243" s="113">
        <f t="shared" si="507"/>
        <v>0</v>
      </c>
      <c r="BF243" s="113">
        <f t="shared" si="508"/>
        <v>142.33333333333337</v>
      </c>
      <c r="BG243" s="459">
        <f t="shared" si="509"/>
        <v>14.333333333333334</v>
      </c>
      <c r="BH243" s="461">
        <f t="shared" si="510"/>
        <v>1348.6666666666672</v>
      </c>
      <c r="BI243" s="582">
        <f t="shared" si="511"/>
        <v>1065.3333333333328</v>
      </c>
      <c r="BJ243" s="113">
        <f t="shared" si="512"/>
        <v>434.00000000000011</v>
      </c>
      <c r="BK243" s="113">
        <f t="shared" si="513"/>
        <v>19.333333333333336</v>
      </c>
      <c r="BL243" s="113">
        <f t="shared" si="514"/>
        <v>610.99999999999989</v>
      </c>
      <c r="BM243" s="460">
        <f t="shared" si="515"/>
        <v>1</v>
      </c>
      <c r="BN243" s="582">
        <f t="shared" si="516"/>
        <v>283.33333333333337</v>
      </c>
      <c r="BO243" s="113">
        <f t="shared" si="517"/>
        <v>76.000000000000014</v>
      </c>
      <c r="BP243" s="113">
        <f t="shared" si="518"/>
        <v>0</v>
      </c>
      <c r="BQ243" s="113">
        <f t="shared" si="519"/>
        <v>185.66666666666671</v>
      </c>
      <c r="BR243" s="459">
        <f t="shared" si="520"/>
        <v>21.666666666666661</v>
      </c>
      <c r="BS243" s="461">
        <f t="shared" si="521"/>
        <v>2036.3333333333333</v>
      </c>
      <c r="BT243" s="582">
        <f t="shared" si="522"/>
        <v>1572.3333333333335</v>
      </c>
      <c r="BU243" s="113">
        <f t="shared" si="523"/>
        <v>596.33333333333326</v>
      </c>
      <c r="BV243" s="113">
        <f t="shared" si="524"/>
        <v>9.3333333333333321</v>
      </c>
      <c r="BW243" s="113">
        <f t="shared" si="525"/>
        <v>965.66666666666652</v>
      </c>
      <c r="BX243" s="460">
        <f t="shared" si="526"/>
        <v>1</v>
      </c>
      <c r="BY243" s="582">
        <f t="shared" si="527"/>
        <v>464.00000000000017</v>
      </c>
      <c r="BZ243" s="113">
        <f t="shared" si="528"/>
        <v>132.99999999999989</v>
      </c>
      <c r="CA243" s="113">
        <f t="shared" si="529"/>
        <v>0</v>
      </c>
      <c r="CB243" s="113">
        <f t="shared" si="530"/>
        <v>302.33333333333337</v>
      </c>
      <c r="CC243" s="459">
        <f t="shared" si="531"/>
        <v>28.666666666666654</v>
      </c>
      <c r="CD243" s="461">
        <f t="shared" si="532"/>
        <v>331.99999999999989</v>
      </c>
      <c r="CE243" s="582">
        <f t="shared" si="533"/>
        <v>248.66666666666677</v>
      </c>
      <c r="CF243" s="113">
        <f t="shared" si="534"/>
        <v>94.000000000000014</v>
      </c>
      <c r="CG243" s="113">
        <f t="shared" si="535"/>
        <v>10.66666666666667</v>
      </c>
      <c r="CH243" s="113">
        <f t="shared" si="536"/>
        <v>144</v>
      </c>
      <c r="CI243" s="460">
        <f t="shared" si="537"/>
        <v>0</v>
      </c>
      <c r="CJ243" s="582">
        <f t="shared" si="538"/>
        <v>83.333333333333329</v>
      </c>
      <c r="CK243" s="113">
        <f t="shared" si="539"/>
        <v>25.999999999999996</v>
      </c>
      <c r="CL243" s="113">
        <f t="shared" si="540"/>
        <v>0</v>
      </c>
      <c r="CM243" s="113">
        <f t="shared" si="541"/>
        <v>52.333333333333321</v>
      </c>
      <c r="CN243" s="459">
        <f t="shared" si="542"/>
        <v>4.9999999999999991</v>
      </c>
      <c r="CO243" s="461">
        <f t="shared" si="543"/>
        <v>248.66666666666671</v>
      </c>
      <c r="CP243" s="582">
        <f t="shared" si="544"/>
        <v>182.33333333333343</v>
      </c>
      <c r="CQ243" s="113">
        <f t="shared" si="545"/>
        <v>81.666666666666714</v>
      </c>
      <c r="CR243" s="113">
        <f t="shared" si="546"/>
        <v>11.666666666666666</v>
      </c>
      <c r="CS243" s="113">
        <f t="shared" si="547"/>
        <v>87.999999999999972</v>
      </c>
      <c r="CT243" s="460">
        <f t="shared" si="548"/>
        <v>1</v>
      </c>
      <c r="CU243" s="582">
        <f t="shared" si="549"/>
        <v>66.333333333333371</v>
      </c>
      <c r="CV243" s="113">
        <f t="shared" si="550"/>
        <v>24.999999999999982</v>
      </c>
      <c r="CW243" s="113">
        <f t="shared" si="551"/>
        <v>0</v>
      </c>
      <c r="CX243" s="113">
        <f t="shared" si="552"/>
        <v>41.333333333333307</v>
      </c>
      <c r="CY243" s="459">
        <f t="shared" si="553"/>
        <v>0</v>
      </c>
      <c r="CZ243" s="461">
        <f t="shared" si="554"/>
        <v>75.666666666666629</v>
      </c>
      <c r="DA243" s="582">
        <f t="shared" si="555"/>
        <v>50.333333333333321</v>
      </c>
      <c r="DB243" s="113">
        <f t="shared" si="556"/>
        <v>15.000000000000002</v>
      </c>
      <c r="DC243" s="113">
        <f t="shared" si="557"/>
        <v>1</v>
      </c>
      <c r="DD243" s="113">
        <f t="shared" si="558"/>
        <v>34.333333333333329</v>
      </c>
      <c r="DE243" s="460">
        <f t="shared" si="559"/>
        <v>0</v>
      </c>
      <c r="DF243" s="582">
        <f t="shared" si="560"/>
        <v>25.333333333333332</v>
      </c>
      <c r="DG243" s="113">
        <f t="shared" si="561"/>
        <v>13.000000000000011</v>
      </c>
      <c r="DH243" s="113">
        <f t="shared" si="562"/>
        <v>0</v>
      </c>
      <c r="DI243" s="113">
        <f t="shared" si="563"/>
        <v>9.3333333333333286</v>
      </c>
      <c r="DJ243" s="459">
        <f t="shared" si="564"/>
        <v>3</v>
      </c>
      <c r="DK243" s="461">
        <f t="shared" si="565"/>
        <v>8</v>
      </c>
      <c r="DL243" s="582">
        <f t="shared" si="566"/>
        <v>5</v>
      </c>
      <c r="DM243" s="113">
        <f t="shared" si="567"/>
        <v>1</v>
      </c>
      <c r="DN243" s="113">
        <f t="shared" si="568"/>
        <v>2.6666666666666665</v>
      </c>
      <c r="DO243" s="113">
        <f t="shared" si="569"/>
        <v>1.3333333333333333</v>
      </c>
      <c r="DP243" s="460">
        <f t="shared" si="570"/>
        <v>0</v>
      </c>
      <c r="DQ243" s="582">
        <f t="shared" si="571"/>
        <v>4</v>
      </c>
      <c r="DR243" s="113">
        <f t="shared" si="572"/>
        <v>1</v>
      </c>
      <c r="DS243" s="113">
        <f t="shared" si="573"/>
        <v>0</v>
      </c>
      <c r="DT243" s="113">
        <f t="shared" si="574"/>
        <v>3</v>
      </c>
      <c r="DU243" s="459">
        <f t="shared" si="575"/>
        <v>0</v>
      </c>
      <c r="DW243" s="461">
        <f t="shared" si="596"/>
        <v>5453.6666666666679</v>
      </c>
      <c r="DX243" s="582">
        <f t="shared" si="596"/>
        <v>4110.666666666667</v>
      </c>
      <c r="DY243" s="113">
        <f t="shared" si="596"/>
        <v>1648.3333333333335</v>
      </c>
      <c r="DZ243" s="113">
        <f t="shared" si="596"/>
        <v>80.000000000000014</v>
      </c>
      <c r="EA243" s="113">
        <f t="shared" si="596"/>
        <v>2379.3333333333335</v>
      </c>
      <c r="EB243" s="460">
        <f t="shared" si="453"/>
        <v>3</v>
      </c>
      <c r="EC243" s="582">
        <f t="shared" si="453"/>
        <v>1344.0000000000002</v>
      </c>
      <c r="ED243" s="113">
        <f t="shared" si="453"/>
        <v>431.99999999999977</v>
      </c>
      <c r="EE243" s="113">
        <f t="shared" si="453"/>
        <v>0</v>
      </c>
      <c r="EF243" s="113">
        <f t="shared" si="453"/>
        <v>826.33333333333348</v>
      </c>
      <c r="EG243" s="459">
        <f t="shared" si="453"/>
        <v>85.666666666666643</v>
      </c>
      <c r="EH243" s="461">
        <f t="shared" si="587"/>
        <v>1781.3333333333335</v>
      </c>
      <c r="EI243" s="582">
        <f t="shared" si="587"/>
        <v>1305.9999999999998</v>
      </c>
      <c r="EJ243" s="113">
        <f t="shared" si="587"/>
        <v>531.99999999999989</v>
      </c>
      <c r="EK243" s="113">
        <f t="shared" si="587"/>
        <v>38.333333333333329</v>
      </c>
      <c r="EL243" s="113">
        <f t="shared" si="587"/>
        <v>734.66666666666652</v>
      </c>
      <c r="EM243" s="460">
        <f t="shared" si="587"/>
        <v>1</v>
      </c>
      <c r="EN243" s="582">
        <f t="shared" si="587"/>
        <v>475.33333333333337</v>
      </c>
      <c r="EO243" s="113">
        <f t="shared" si="587"/>
        <v>113.33333333333324</v>
      </c>
      <c r="EP243" s="113">
        <f t="shared" si="587"/>
        <v>0</v>
      </c>
      <c r="EQ243" s="113">
        <f t="shared" si="587"/>
        <v>338.33333333333343</v>
      </c>
      <c r="ER243" s="459">
        <f t="shared" si="587"/>
        <v>23.666666666666657</v>
      </c>
    </row>
    <row r="244" spans="1:148">
      <c r="A244" s="665" t="s">
        <v>428</v>
      </c>
      <c r="B244" s="665">
        <v>45444</v>
      </c>
      <c r="C244" s="666">
        <v>2024</v>
      </c>
      <c r="D244" s="461">
        <f t="shared" ref="D244" si="600">D133/3+D243</f>
        <v>5248927.9999999991</v>
      </c>
      <c r="E244" s="461">
        <f t="shared" si="455"/>
        <v>179100.00000000003</v>
      </c>
      <c r="F244" s="582">
        <f t="shared" si="456"/>
        <v>131347</v>
      </c>
      <c r="G244" s="113">
        <f t="shared" si="457"/>
        <v>53491.999999999985</v>
      </c>
      <c r="H244" s="113">
        <f t="shared" si="458"/>
        <v>3880.0000000000009</v>
      </c>
      <c r="I244" s="113">
        <f t="shared" si="459"/>
        <v>73193.999999999971</v>
      </c>
      <c r="J244" s="460">
        <f t="shared" si="460"/>
        <v>781.00000000000011</v>
      </c>
      <c r="K244" s="582">
        <f t="shared" si="461"/>
        <v>47752.999999999978</v>
      </c>
      <c r="L244" s="113">
        <f t="shared" si="462"/>
        <v>15281.000000000011</v>
      </c>
      <c r="M244" s="113">
        <f t="shared" si="463"/>
        <v>0</v>
      </c>
      <c r="N244" s="113">
        <f t="shared" si="464"/>
        <v>29223.000000000007</v>
      </c>
      <c r="O244" s="459">
        <f t="shared" si="465"/>
        <v>3248.9999999999977</v>
      </c>
      <c r="P244" s="461">
        <f t="shared" si="466"/>
        <v>307.00000000000011</v>
      </c>
      <c r="Q244" s="582">
        <f t="shared" si="467"/>
        <v>188.00000000000003</v>
      </c>
      <c r="R244" s="113">
        <f t="shared" si="468"/>
        <v>83.000000000000043</v>
      </c>
      <c r="S244" s="113">
        <f t="shared" si="469"/>
        <v>4</v>
      </c>
      <c r="T244" s="113">
        <f t="shared" si="470"/>
        <v>101.00000000000001</v>
      </c>
      <c r="U244" s="460">
        <f t="shared" si="471"/>
        <v>0</v>
      </c>
      <c r="V244" s="582">
        <f t="shared" si="472"/>
        <v>119.00000000000004</v>
      </c>
      <c r="W244" s="113">
        <f t="shared" si="473"/>
        <v>31.999999999999996</v>
      </c>
      <c r="X244" s="113">
        <f t="shared" si="474"/>
        <v>0</v>
      </c>
      <c r="Y244" s="113">
        <f t="shared" si="475"/>
        <v>80.000000000000028</v>
      </c>
      <c r="Z244" s="459">
        <f t="shared" si="476"/>
        <v>7</v>
      </c>
      <c r="AA244" s="461">
        <f t="shared" si="477"/>
        <v>165.00000000000011</v>
      </c>
      <c r="AB244" s="582">
        <f t="shared" si="478"/>
        <v>111.99999999999999</v>
      </c>
      <c r="AC244" s="113">
        <f t="shared" si="479"/>
        <v>40</v>
      </c>
      <c r="AD244" s="113">
        <f t="shared" si="480"/>
        <v>4.9999999999999991</v>
      </c>
      <c r="AE244" s="113">
        <f t="shared" si="481"/>
        <v>67</v>
      </c>
      <c r="AF244" s="460">
        <f t="shared" si="482"/>
        <v>0</v>
      </c>
      <c r="AG244" s="582">
        <f t="shared" si="483"/>
        <v>53.00000000000005</v>
      </c>
      <c r="AH244" s="113">
        <f t="shared" si="484"/>
        <v>32.999999999999979</v>
      </c>
      <c r="AI244" s="113">
        <f t="shared" si="485"/>
        <v>0</v>
      </c>
      <c r="AJ244" s="113">
        <f t="shared" si="486"/>
        <v>14.000000000000004</v>
      </c>
      <c r="AK244" s="459">
        <f t="shared" si="487"/>
        <v>5.9999999999999982</v>
      </c>
      <c r="AL244" s="461">
        <f t="shared" si="488"/>
        <v>1839.0000000000002</v>
      </c>
      <c r="AM244" s="582">
        <f t="shared" si="489"/>
        <v>1346.9999999999998</v>
      </c>
      <c r="AN244" s="113">
        <f t="shared" si="490"/>
        <v>539.99999999999989</v>
      </c>
      <c r="AO244" s="113">
        <f t="shared" si="491"/>
        <v>40.999999999999993</v>
      </c>
      <c r="AP244" s="113">
        <f t="shared" si="492"/>
        <v>764.99999999999989</v>
      </c>
      <c r="AQ244" s="460">
        <f t="shared" si="493"/>
        <v>1</v>
      </c>
      <c r="AR244" s="582">
        <f t="shared" si="494"/>
        <v>492.00000000000006</v>
      </c>
      <c r="AS244" s="113">
        <f t="shared" si="495"/>
        <v>113.99999999999991</v>
      </c>
      <c r="AT244" s="113">
        <f t="shared" si="496"/>
        <v>0</v>
      </c>
      <c r="AU244" s="113">
        <f t="shared" si="497"/>
        <v>354.00000000000011</v>
      </c>
      <c r="AV244" s="459">
        <f t="shared" si="498"/>
        <v>23.999999999999989</v>
      </c>
      <c r="AW244" s="461">
        <f t="shared" si="499"/>
        <v>978.99999999999977</v>
      </c>
      <c r="AX244" s="582">
        <f t="shared" si="500"/>
        <v>723.00000000000011</v>
      </c>
      <c r="AY244" s="113">
        <f t="shared" si="501"/>
        <v>312.00000000000006</v>
      </c>
      <c r="AZ244" s="113">
        <f t="shared" si="502"/>
        <v>18</v>
      </c>
      <c r="BA244" s="113">
        <f t="shared" si="503"/>
        <v>393</v>
      </c>
      <c r="BB244" s="460">
        <f t="shared" si="504"/>
        <v>0</v>
      </c>
      <c r="BC244" s="582">
        <f t="shared" si="505"/>
        <v>256.00000000000011</v>
      </c>
      <c r="BD244" s="113">
        <f t="shared" si="506"/>
        <v>92.999999999999915</v>
      </c>
      <c r="BE244" s="113">
        <f t="shared" si="507"/>
        <v>0</v>
      </c>
      <c r="BF244" s="113">
        <f t="shared" si="508"/>
        <v>148.00000000000003</v>
      </c>
      <c r="BG244" s="459">
        <f t="shared" si="509"/>
        <v>15</v>
      </c>
      <c r="BH244" s="461">
        <f t="shared" si="510"/>
        <v>1387.0000000000005</v>
      </c>
      <c r="BI244" s="582">
        <f t="shared" si="511"/>
        <v>1096.9999999999995</v>
      </c>
      <c r="BJ244" s="113">
        <f t="shared" si="512"/>
        <v>440.00000000000011</v>
      </c>
      <c r="BK244" s="113">
        <f t="shared" si="513"/>
        <v>21.000000000000004</v>
      </c>
      <c r="BL244" s="113">
        <f t="shared" si="514"/>
        <v>634.99999999999989</v>
      </c>
      <c r="BM244" s="460">
        <f t="shared" si="515"/>
        <v>1</v>
      </c>
      <c r="BN244" s="582">
        <f t="shared" si="516"/>
        <v>290.00000000000006</v>
      </c>
      <c r="BO244" s="113">
        <f t="shared" si="517"/>
        <v>76.000000000000014</v>
      </c>
      <c r="BP244" s="113">
        <f t="shared" si="518"/>
        <v>0</v>
      </c>
      <c r="BQ244" s="113">
        <f t="shared" si="519"/>
        <v>192.00000000000006</v>
      </c>
      <c r="BR244" s="459">
        <f t="shared" si="520"/>
        <v>21.999999999999993</v>
      </c>
      <c r="BS244" s="461">
        <f t="shared" si="521"/>
        <v>2101</v>
      </c>
      <c r="BT244" s="582">
        <f t="shared" si="522"/>
        <v>1621.0000000000002</v>
      </c>
      <c r="BU244" s="113">
        <f t="shared" si="523"/>
        <v>607.99999999999989</v>
      </c>
      <c r="BV244" s="113">
        <f t="shared" si="524"/>
        <v>9.9999999999999982</v>
      </c>
      <c r="BW244" s="113">
        <f t="shared" si="525"/>
        <v>1001.9999999999999</v>
      </c>
      <c r="BX244" s="460">
        <f t="shared" si="526"/>
        <v>1</v>
      </c>
      <c r="BY244" s="582">
        <f t="shared" si="527"/>
        <v>480.00000000000017</v>
      </c>
      <c r="BZ244" s="113">
        <f t="shared" si="528"/>
        <v>132.99999999999989</v>
      </c>
      <c r="CA244" s="113">
        <f t="shared" si="529"/>
        <v>0</v>
      </c>
      <c r="CB244" s="113">
        <f t="shared" si="530"/>
        <v>318.00000000000006</v>
      </c>
      <c r="CC244" s="459">
        <f t="shared" si="531"/>
        <v>28.999999999999986</v>
      </c>
      <c r="CD244" s="461">
        <f t="shared" si="532"/>
        <v>339.99999999999989</v>
      </c>
      <c r="CE244" s="582">
        <f t="shared" si="533"/>
        <v>255.00000000000011</v>
      </c>
      <c r="CF244" s="113">
        <f t="shared" si="534"/>
        <v>95.000000000000014</v>
      </c>
      <c r="CG244" s="113">
        <f t="shared" si="535"/>
        <v>11.000000000000004</v>
      </c>
      <c r="CH244" s="113">
        <f t="shared" si="536"/>
        <v>149</v>
      </c>
      <c r="CI244" s="460">
        <f t="shared" si="537"/>
        <v>0</v>
      </c>
      <c r="CJ244" s="582">
        <f t="shared" si="538"/>
        <v>85</v>
      </c>
      <c r="CK244" s="113">
        <f t="shared" si="539"/>
        <v>25.999999999999996</v>
      </c>
      <c r="CL244" s="113">
        <f t="shared" si="540"/>
        <v>0</v>
      </c>
      <c r="CM244" s="113">
        <f t="shared" si="541"/>
        <v>53.999999999999986</v>
      </c>
      <c r="CN244" s="459">
        <f t="shared" si="542"/>
        <v>4.9999999999999991</v>
      </c>
      <c r="CO244" s="461">
        <f t="shared" si="543"/>
        <v>255.00000000000006</v>
      </c>
      <c r="CP244" s="582">
        <f t="shared" si="544"/>
        <v>187.00000000000009</v>
      </c>
      <c r="CQ244" s="113">
        <f t="shared" si="545"/>
        <v>83.000000000000043</v>
      </c>
      <c r="CR244" s="113">
        <f t="shared" si="546"/>
        <v>12</v>
      </c>
      <c r="CS244" s="113">
        <f t="shared" si="547"/>
        <v>90.999999999999972</v>
      </c>
      <c r="CT244" s="460">
        <f t="shared" si="548"/>
        <v>1</v>
      </c>
      <c r="CU244" s="582">
        <f t="shared" si="549"/>
        <v>68.000000000000043</v>
      </c>
      <c r="CV244" s="113">
        <f t="shared" si="550"/>
        <v>24.999999999999982</v>
      </c>
      <c r="CW244" s="113">
        <f t="shared" si="551"/>
        <v>0</v>
      </c>
      <c r="CX244" s="113">
        <f t="shared" si="552"/>
        <v>42.999999999999972</v>
      </c>
      <c r="CY244" s="459">
        <f t="shared" si="553"/>
        <v>0</v>
      </c>
      <c r="CZ244" s="461">
        <f t="shared" si="554"/>
        <v>76.999999999999957</v>
      </c>
      <c r="DA244" s="582">
        <f t="shared" si="555"/>
        <v>50.999999999999986</v>
      </c>
      <c r="DB244" s="113">
        <f t="shared" si="556"/>
        <v>15.000000000000002</v>
      </c>
      <c r="DC244" s="113">
        <f t="shared" si="557"/>
        <v>1</v>
      </c>
      <c r="DD244" s="113">
        <f t="shared" si="558"/>
        <v>34.999999999999993</v>
      </c>
      <c r="DE244" s="460">
        <f t="shared" si="559"/>
        <v>0</v>
      </c>
      <c r="DF244" s="582">
        <f t="shared" si="560"/>
        <v>26</v>
      </c>
      <c r="DG244" s="113">
        <f t="shared" si="561"/>
        <v>13.000000000000011</v>
      </c>
      <c r="DH244" s="113">
        <f t="shared" si="562"/>
        <v>0</v>
      </c>
      <c r="DI244" s="113">
        <f t="shared" si="563"/>
        <v>9.9999999999999947</v>
      </c>
      <c r="DJ244" s="459">
        <f t="shared" si="564"/>
        <v>3</v>
      </c>
      <c r="DK244" s="461">
        <f t="shared" si="565"/>
        <v>9</v>
      </c>
      <c r="DL244" s="582">
        <f t="shared" si="566"/>
        <v>6</v>
      </c>
      <c r="DM244" s="113">
        <f t="shared" si="567"/>
        <v>1</v>
      </c>
      <c r="DN244" s="113">
        <f t="shared" si="568"/>
        <v>3</v>
      </c>
      <c r="DO244" s="113">
        <f t="shared" si="569"/>
        <v>2</v>
      </c>
      <c r="DP244" s="460">
        <f t="shared" si="570"/>
        <v>0</v>
      </c>
      <c r="DQ244" s="582">
        <f t="shared" si="571"/>
        <v>4</v>
      </c>
      <c r="DR244" s="113">
        <f t="shared" si="572"/>
        <v>1</v>
      </c>
      <c r="DS244" s="113">
        <f t="shared" si="573"/>
        <v>0</v>
      </c>
      <c r="DT244" s="113">
        <f t="shared" si="574"/>
        <v>3</v>
      </c>
      <c r="DU244" s="459">
        <f t="shared" si="575"/>
        <v>0</v>
      </c>
      <c r="DW244" s="461">
        <f t="shared" si="596"/>
        <v>5620</v>
      </c>
      <c r="DX244" s="582">
        <f t="shared" si="596"/>
        <v>4240</v>
      </c>
      <c r="DY244" s="113">
        <f t="shared" si="596"/>
        <v>1677</v>
      </c>
      <c r="DZ244" s="113">
        <f t="shared" si="596"/>
        <v>85</v>
      </c>
      <c r="EA244" s="113">
        <f t="shared" si="596"/>
        <v>2475</v>
      </c>
      <c r="EB244" s="460">
        <f t="shared" si="453"/>
        <v>3</v>
      </c>
      <c r="EC244" s="582">
        <f t="shared" si="453"/>
        <v>1381.0000000000005</v>
      </c>
      <c r="ED244" s="113">
        <f t="shared" si="453"/>
        <v>431.99999999999977</v>
      </c>
      <c r="EE244" s="113">
        <f t="shared" si="453"/>
        <v>0</v>
      </c>
      <c r="EF244" s="113">
        <f t="shared" si="453"/>
        <v>862.00000000000023</v>
      </c>
      <c r="EG244" s="459">
        <f t="shared" si="453"/>
        <v>86.999999999999972</v>
      </c>
      <c r="EH244" s="461">
        <f t="shared" si="587"/>
        <v>1839.0000000000002</v>
      </c>
      <c r="EI244" s="582">
        <f t="shared" si="587"/>
        <v>1346.9999999999998</v>
      </c>
      <c r="EJ244" s="113">
        <f t="shared" si="587"/>
        <v>539.99999999999989</v>
      </c>
      <c r="EK244" s="113">
        <f t="shared" si="587"/>
        <v>40.999999999999993</v>
      </c>
      <c r="EL244" s="113">
        <f t="shared" si="587"/>
        <v>764.99999999999989</v>
      </c>
      <c r="EM244" s="460">
        <f t="shared" si="587"/>
        <v>1</v>
      </c>
      <c r="EN244" s="582">
        <f t="shared" si="587"/>
        <v>492.00000000000006</v>
      </c>
      <c r="EO244" s="113">
        <f t="shared" si="587"/>
        <v>113.99999999999991</v>
      </c>
      <c r="EP244" s="113">
        <f t="shared" si="587"/>
        <v>0</v>
      </c>
      <c r="EQ244" s="113">
        <f t="shared" si="587"/>
        <v>354.00000000000011</v>
      </c>
      <c r="ER244" s="459">
        <f t="shared" si="587"/>
        <v>23.999999999999989</v>
      </c>
    </row>
    <row r="245" spans="1:148">
      <c r="A245" s="665" t="s">
        <v>429</v>
      </c>
      <c r="B245" s="665">
        <v>45474</v>
      </c>
      <c r="C245" s="666">
        <v>2024</v>
      </c>
      <c r="D245" s="461">
        <f t="shared" ref="D245" si="601">D134/3+D244</f>
        <v>5309714.9999999991</v>
      </c>
      <c r="E245" s="461">
        <f t="shared" si="455"/>
        <v>184415.33333333337</v>
      </c>
      <c r="F245" s="582">
        <f t="shared" si="456"/>
        <v>135270.66666666666</v>
      </c>
      <c r="G245" s="113">
        <f t="shared" si="457"/>
        <v>54339.333333333321</v>
      </c>
      <c r="H245" s="113">
        <f t="shared" si="458"/>
        <v>4202.3333333333339</v>
      </c>
      <c r="I245" s="113">
        <f t="shared" si="459"/>
        <v>75924.666666666642</v>
      </c>
      <c r="J245" s="460">
        <f t="shared" si="460"/>
        <v>804.33333333333348</v>
      </c>
      <c r="K245" s="582">
        <f t="shared" si="461"/>
        <v>49144.666666666642</v>
      </c>
      <c r="L245" s="113">
        <f t="shared" si="462"/>
        <v>15426.000000000011</v>
      </c>
      <c r="M245" s="113">
        <f t="shared" si="463"/>
        <v>0</v>
      </c>
      <c r="N245" s="113">
        <f t="shared" si="464"/>
        <v>30438.000000000007</v>
      </c>
      <c r="O245" s="459">
        <f t="shared" si="465"/>
        <v>3280.6666666666642</v>
      </c>
      <c r="P245" s="461">
        <f t="shared" si="466"/>
        <v>317.33333333333343</v>
      </c>
      <c r="Q245" s="582">
        <f t="shared" si="467"/>
        <v>194.66666666666669</v>
      </c>
      <c r="R245" s="113">
        <f t="shared" si="468"/>
        <v>84.333333333333371</v>
      </c>
      <c r="S245" s="113">
        <f t="shared" si="469"/>
        <v>5</v>
      </c>
      <c r="T245" s="113">
        <f t="shared" si="470"/>
        <v>105.33333333333334</v>
      </c>
      <c r="U245" s="460">
        <f t="shared" si="471"/>
        <v>0</v>
      </c>
      <c r="V245" s="582">
        <f t="shared" si="472"/>
        <v>122.66666666666671</v>
      </c>
      <c r="W245" s="113">
        <f t="shared" si="473"/>
        <v>32.666666666666664</v>
      </c>
      <c r="X245" s="113">
        <f t="shared" si="474"/>
        <v>0</v>
      </c>
      <c r="Y245" s="113">
        <f t="shared" si="475"/>
        <v>83.000000000000028</v>
      </c>
      <c r="Z245" s="459">
        <f t="shared" si="476"/>
        <v>7</v>
      </c>
      <c r="AA245" s="461">
        <f t="shared" si="477"/>
        <v>169.33333333333346</v>
      </c>
      <c r="AB245" s="582">
        <f t="shared" si="478"/>
        <v>115.66666666666666</v>
      </c>
      <c r="AC245" s="113">
        <f t="shared" si="479"/>
        <v>41.666666666666664</v>
      </c>
      <c r="AD245" s="113">
        <f t="shared" si="480"/>
        <v>4.9999999999999991</v>
      </c>
      <c r="AE245" s="113">
        <f t="shared" si="481"/>
        <v>69</v>
      </c>
      <c r="AF245" s="460">
        <f t="shared" si="482"/>
        <v>0</v>
      </c>
      <c r="AG245" s="582">
        <f t="shared" si="483"/>
        <v>53.666666666666714</v>
      </c>
      <c r="AH245" s="113">
        <f t="shared" si="484"/>
        <v>32.999999999999979</v>
      </c>
      <c r="AI245" s="113">
        <f t="shared" si="485"/>
        <v>0</v>
      </c>
      <c r="AJ245" s="113">
        <f t="shared" si="486"/>
        <v>14.66666666666667</v>
      </c>
      <c r="AK245" s="459">
        <f t="shared" si="487"/>
        <v>5.9999999999999982</v>
      </c>
      <c r="AL245" s="461">
        <f t="shared" si="488"/>
        <v>1909.3333333333335</v>
      </c>
      <c r="AM245" s="582">
        <f t="shared" si="489"/>
        <v>1400.333333333333</v>
      </c>
      <c r="AN245" s="113">
        <f t="shared" si="490"/>
        <v>549.99999999999989</v>
      </c>
      <c r="AO245" s="113">
        <f t="shared" si="491"/>
        <v>48.333333333333329</v>
      </c>
      <c r="AP245" s="113">
        <f t="shared" si="492"/>
        <v>800.66666666666652</v>
      </c>
      <c r="AQ245" s="460">
        <f t="shared" si="493"/>
        <v>1.3333333333333333</v>
      </c>
      <c r="AR245" s="582">
        <f t="shared" si="494"/>
        <v>509.00000000000006</v>
      </c>
      <c r="AS245" s="113">
        <f t="shared" si="495"/>
        <v>114.99999999999991</v>
      </c>
      <c r="AT245" s="113">
        <f t="shared" si="496"/>
        <v>0</v>
      </c>
      <c r="AU245" s="113">
        <f t="shared" si="497"/>
        <v>370.00000000000011</v>
      </c>
      <c r="AV245" s="459">
        <f t="shared" si="498"/>
        <v>23.999999999999989</v>
      </c>
      <c r="AW245" s="461">
        <f t="shared" si="499"/>
        <v>1014.3333333333331</v>
      </c>
      <c r="AX245" s="582">
        <f t="shared" si="500"/>
        <v>751.00000000000011</v>
      </c>
      <c r="AY245" s="113">
        <f t="shared" si="501"/>
        <v>317.00000000000006</v>
      </c>
      <c r="AZ245" s="113">
        <f t="shared" si="502"/>
        <v>18.666666666666668</v>
      </c>
      <c r="BA245" s="113">
        <f t="shared" si="503"/>
        <v>415.33333333333331</v>
      </c>
      <c r="BB245" s="460">
        <f t="shared" si="504"/>
        <v>0</v>
      </c>
      <c r="BC245" s="582">
        <f t="shared" si="505"/>
        <v>263.33333333333343</v>
      </c>
      <c r="BD245" s="113">
        <f t="shared" si="506"/>
        <v>94.333333333333243</v>
      </c>
      <c r="BE245" s="113">
        <f t="shared" si="507"/>
        <v>0</v>
      </c>
      <c r="BF245" s="113">
        <f t="shared" si="508"/>
        <v>154.00000000000003</v>
      </c>
      <c r="BG245" s="459">
        <f t="shared" si="509"/>
        <v>15</v>
      </c>
      <c r="BH245" s="461">
        <f t="shared" si="510"/>
        <v>1422.3333333333337</v>
      </c>
      <c r="BI245" s="582">
        <f t="shared" si="511"/>
        <v>1122.6666666666663</v>
      </c>
      <c r="BJ245" s="113">
        <f t="shared" si="512"/>
        <v>444.6666666666668</v>
      </c>
      <c r="BK245" s="113">
        <f t="shared" si="513"/>
        <v>22.000000000000004</v>
      </c>
      <c r="BL245" s="113">
        <f t="shared" si="514"/>
        <v>654.33333333333326</v>
      </c>
      <c r="BM245" s="460">
        <f t="shared" si="515"/>
        <v>1.6666666666666665</v>
      </c>
      <c r="BN245" s="582">
        <f t="shared" si="516"/>
        <v>299.66666666666674</v>
      </c>
      <c r="BO245" s="113">
        <f t="shared" si="517"/>
        <v>77.333333333333343</v>
      </c>
      <c r="BP245" s="113">
        <f t="shared" si="518"/>
        <v>0</v>
      </c>
      <c r="BQ245" s="113">
        <f t="shared" si="519"/>
        <v>200.3333333333334</v>
      </c>
      <c r="BR245" s="459">
        <f t="shared" si="520"/>
        <v>21.999999999999993</v>
      </c>
      <c r="BS245" s="461">
        <f t="shared" si="521"/>
        <v>2163.6666666666665</v>
      </c>
      <c r="BT245" s="582">
        <f t="shared" si="522"/>
        <v>1670.666666666667</v>
      </c>
      <c r="BU245" s="113">
        <f t="shared" si="523"/>
        <v>618.33333333333326</v>
      </c>
      <c r="BV245" s="113">
        <f t="shared" si="524"/>
        <v>11.333333333333332</v>
      </c>
      <c r="BW245" s="113">
        <f t="shared" si="525"/>
        <v>1039.6666666666665</v>
      </c>
      <c r="BX245" s="460">
        <f t="shared" si="526"/>
        <v>1.3333333333333333</v>
      </c>
      <c r="BY245" s="582">
        <f t="shared" si="527"/>
        <v>493.00000000000017</v>
      </c>
      <c r="BZ245" s="113">
        <f t="shared" si="528"/>
        <v>133.66666666666654</v>
      </c>
      <c r="CA245" s="113">
        <f t="shared" si="529"/>
        <v>0</v>
      </c>
      <c r="CB245" s="113">
        <f t="shared" si="530"/>
        <v>330.00000000000006</v>
      </c>
      <c r="CC245" s="459">
        <f t="shared" si="531"/>
        <v>29.333333333333318</v>
      </c>
      <c r="CD245" s="461">
        <f t="shared" si="532"/>
        <v>346.3333333333332</v>
      </c>
      <c r="CE245" s="582">
        <f t="shared" si="533"/>
        <v>259.00000000000011</v>
      </c>
      <c r="CF245" s="113">
        <f t="shared" si="534"/>
        <v>95.000000000000014</v>
      </c>
      <c r="CG245" s="113">
        <f t="shared" si="535"/>
        <v>11.333333333333337</v>
      </c>
      <c r="CH245" s="113">
        <f t="shared" si="536"/>
        <v>152.66666666666666</v>
      </c>
      <c r="CI245" s="460">
        <f t="shared" si="537"/>
        <v>0</v>
      </c>
      <c r="CJ245" s="582">
        <f t="shared" si="538"/>
        <v>87.333333333333329</v>
      </c>
      <c r="CK245" s="113">
        <f t="shared" si="539"/>
        <v>25.999999999999996</v>
      </c>
      <c r="CL245" s="113">
        <f t="shared" si="540"/>
        <v>0</v>
      </c>
      <c r="CM245" s="113">
        <f t="shared" si="541"/>
        <v>56.333333333333321</v>
      </c>
      <c r="CN245" s="459">
        <f t="shared" si="542"/>
        <v>4.9999999999999991</v>
      </c>
      <c r="CO245" s="461">
        <f t="shared" si="543"/>
        <v>261.66666666666674</v>
      </c>
      <c r="CP245" s="582">
        <f t="shared" si="544"/>
        <v>191.00000000000009</v>
      </c>
      <c r="CQ245" s="113">
        <f t="shared" si="545"/>
        <v>83.333333333333371</v>
      </c>
      <c r="CR245" s="113">
        <f t="shared" si="546"/>
        <v>12.666666666666666</v>
      </c>
      <c r="CS245" s="113">
        <f t="shared" si="547"/>
        <v>93.999999999999972</v>
      </c>
      <c r="CT245" s="460">
        <f t="shared" si="548"/>
        <v>1</v>
      </c>
      <c r="CU245" s="582">
        <f t="shared" si="549"/>
        <v>70.666666666666714</v>
      </c>
      <c r="CV245" s="113">
        <f t="shared" si="550"/>
        <v>24.999999999999982</v>
      </c>
      <c r="CW245" s="113">
        <f t="shared" si="551"/>
        <v>0</v>
      </c>
      <c r="CX245" s="113">
        <f t="shared" si="552"/>
        <v>45.666666666666636</v>
      </c>
      <c r="CY245" s="459">
        <f t="shared" si="553"/>
        <v>0</v>
      </c>
      <c r="CZ245" s="461">
        <f t="shared" si="554"/>
        <v>78.999999999999957</v>
      </c>
      <c r="DA245" s="582">
        <f t="shared" si="555"/>
        <v>52.66666666666665</v>
      </c>
      <c r="DB245" s="113">
        <f t="shared" si="556"/>
        <v>15.333333333333336</v>
      </c>
      <c r="DC245" s="113">
        <f t="shared" si="557"/>
        <v>1.6666666666666665</v>
      </c>
      <c r="DD245" s="113">
        <f t="shared" si="558"/>
        <v>35.666666666666657</v>
      </c>
      <c r="DE245" s="460">
        <f t="shared" si="559"/>
        <v>0</v>
      </c>
      <c r="DF245" s="582">
        <f t="shared" si="560"/>
        <v>26.333333333333332</v>
      </c>
      <c r="DG245" s="113">
        <f t="shared" si="561"/>
        <v>13.000000000000011</v>
      </c>
      <c r="DH245" s="113">
        <f t="shared" si="562"/>
        <v>0</v>
      </c>
      <c r="DI245" s="113">
        <f t="shared" si="563"/>
        <v>10.333333333333329</v>
      </c>
      <c r="DJ245" s="459">
        <f t="shared" si="564"/>
        <v>3</v>
      </c>
      <c r="DK245" s="461">
        <f t="shared" si="565"/>
        <v>11</v>
      </c>
      <c r="DL245" s="582">
        <f t="shared" si="566"/>
        <v>7.333333333333333</v>
      </c>
      <c r="DM245" s="113">
        <f t="shared" si="567"/>
        <v>1.6666666666666665</v>
      </c>
      <c r="DN245" s="113">
        <f t="shared" si="568"/>
        <v>3</v>
      </c>
      <c r="DO245" s="113">
        <f t="shared" si="569"/>
        <v>2.6666666666666665</v>
      </c>
      <c r="DP245" s="460">
        <f t="shared" si="570"/>
        <v>0</v>
      </c>
      <c r="DQ245" s="582">
        <f t="shared" si="571"/>
        <v>4.666666666666667</v>
      </c>
      <c r="DR245" s="113">
        <f t="shared" si="572"/>
        <v>1</v>
      </c>
      <c r="DS245" s="113">
        <f t="shared" si="573"/>
        <v>0</v>
      </c>
      <c r="DT245" s="113">
        <f t="shared" si="574"/>
        <v>3.6666666666666665</v>
      </c>
      <c r="DU245" s="459">
        <f t="shared" si="575"/>
        <v>0</v>
      </c>
      <c r="DW245" s="461">
        <f t="shared" si="596"/>
        <v>5785</v>
      </c>
      <c r="DX245" s="582">
        <f t="shared" si="596"/>
        <v>4364.666666666667</v>
      </c>
      <c r="DY245" s="113">
        <f t="shared" si="596"/>
        <v>1701.3333333333335</v>
      </c>
      <c r="DZ245" s="113">
        <f t="shared" si="596"/>
        <v>90.666666666666686</v>
      </c>
      <c r="EA245" s="113">
        <f t="shared" si="596"/>
        <v>2568.6666666666661</v>
      </c>
      <c r="EB245" s="460">
        <f t="shared" si="453"/>
        <v>4</v>
      </c>
      <c r="EC245" s="582">
        <f t="shared" si="453"/>
        <v>1421.3333333333337</v>
      </c>
      <c r="ED245" s="113">
        <f t="shared" si="453"/>
        <v>435.99999999999977</v>
      </c>
      <c r="EE245" s="113">
        <f t="shared" si="453"/>
        <v>0</v>
      </c>
      <c r="EF245" s="113">
        <f t="shared" si="453"/>
        <v>898.00000000000023</v>
      </c>
      <c r="EG245" s="459">
        <f t="shared" si="453"/>
        <v>87.333333333333314</v>
      </c>
      <c r="EH245" s="461">
        <f t="shared" si="587"/>
        <v>1909.3333333333335</v>
      </c>
      <c r="EI245" s="582">
        <f t="shared" si="587"/>
        <v>1400.333333333333</v>
      </c>
      <c r="EJ245" s="113">
        <f t="shared" si="587"/>
        <v>549.99999999999989</v>
      </c>
      <c r="EK245" s="113">
        <f t="shared" si="587"/>
        <v>48.333333333333329</v>
      </c>
      <c r="EL245" s="113">
        <f t="shared" si="587"/>
        <v>800.66666666666652</v>
      </c>
      <c r="EM245" s="460">
        <f t="shared" si="587"/>
        <v>1.3333333333333333</v>
      </c>
      <c r="EN245" s="582">
        <f t="shared" si="587"/>
        <v>509.00000000000006</v>
      </c>
      <c r="EO245" s="113">
        <f t="shared" si="587"/>
        <v>114.99999999999991</v>
      </c>
      <c r="EP245" s="113">
        <f t="shared" si="587"/>
        <v>0</v>
      </c>
      <c r="EQ245" s="113">
        <f t="shared" si="587"/>
        <v>370.00000000000011</v>
      </c>
      <c r="ER245" s="459">
        <f t="shared" si="587"/>
        <v>23.999999999999989</v>
      </c>
    </row>
    <row r="246" spans="1:148">
      <c r="A246" s="665" t="s">
        <v>429</v>
      </c>
      <c r="B246" s="665">
        <v>45505</v>
      </c>
      <c r="C246" s="666">
        <v>2024</v>
      </c>
      <c r="D246" s="461">
        <f t="shared" ref="D246" si="602">D135/3+D245</f>
        <v>5370501.9999999991</v>
      </c>
      <c r="E246" s="461">
        <f t="shared" si="455"/>
        <v>189730.66666666672</v>
      </c>
      <c r="F246" s="582">
        <f t="shared" si="456"/>
        <v>139194.33333333331</v>
      </c>
      <c r="G246" s="113">
        <f t="shared" si="457"/>
        <v>55186.666666666657</v>
      </c>
      <c r="H246" s="113">
        <f t="shared" si="458"/>
        <v>4524.666666666667</v>
      </c>
      <c r="I246" s="113">
        <f t="shared" si="459"/>
        <v>78655.333333333314</v>
      </c>
      <c r="J246" s="460">
        <f t="shared" si="460"/>
        <v>827.66666666666686</v>
      </c>
      <c r="K246" s="582">
        <f t="shared" si="461"/>
        <v>50536.333333333307</v>
      </c>
      <c r="L246" s="113">
        <f t="shared" si="462"/>
        <v>15571.000000000011</v>
      </c>
      <c r="M246" s="113">
        <f t="shared" si="463"/>
        <v>0</v>
      </c>
      <c r="N246" s="113">
        <f t="shared" si="464"/>
        <v>31653.000000000007</v>
      </c>
      <c r="O246" s="459">
        <f t="shared" si="465"/>
        <v>3312.3333333333308</v>
      </c>
      <c r="P246" s="461">
        <f t="shared" si="466"/>
        <v>327.66666666666674</v>
      </c>
      <c r="Q246" s="582">
        <f t="shared" si="467"/>
        <v>201.33333333333334</v>
      </c>
      <c r="R246" s="113">
        <f t="shared" si="468"/>
        <v>85.6666666666667</v>
      </c>
      <c r="S246" s="113">
        <f t="shared" si="469"/>
        <v>6</v>
      </c>
      <c r="T246" s="113">
        <f t="shared" si="470"/>
        <v>109.66666666666667</v>
      </c>
      <c r="U246" s="460">
        <f t="shared" si="471"/>
        <v>0</v>
      </c>
      <c r="V246" s="582">
        <f t="shared" si="472"/>
        <v>126.33333333333339</v>
      </c>
      <c r="W246" s="113">
        <f t="shared" si="473"/>
        <v>33.333333333333329</v>
      </c>
      <c r="X246" s="113">
        <f t="shared" si="474"/>
        <v>0</v>
      </c>
      <c r="Y246" s="113">
        <f t="shared" si="475"/>
        <v>86.000000000000028</v>
      </c>
      <c r="Z246" s="459">
        <f t="shared" si="476"/>
        <v>7</v>
      </c>
      <c r="AA246" s="461">
        <f t="shared" si="477"/>
        <v>173.6666666666668</v>
      </c>
      <c r="AB246" s="582">
        <f t="shared" si="478"/>
        <v>119.33333333333333</v>
      </c>
      <c r="AC246" s="113">
        <f t="shared" si="479"/>
        <v>43.333333333333329</v>
      </c>
      <c r="AD246" s="113">
        <f t="shared" si="480"/>
        <v>4.9999999999999991</v>
      </c>
      <c r="AE246" s="113">
        <f t="shared" si="481"/>
        <v>71</v>
      </c>
      <c r="AF246" s="460">
        <f t="shared" si="482"/>
        <v>0</v>
      </c>
      <c r="AG246" s="582">
        <f t="shared" si="483"/>
        <v>54.333333333333378</v>
      </c>
      <c r="AH246" s="113">
        <f t="shared" si="484"/>
        <v>32.999999999999979</v>
      </c>
      <c r="AI246" s="113">
        <f t="shared" si="485"/>
        <v>0</v>
      </c>
      <c r="AJ246" s="113">
        <f t="shared" si="486"/>
        <v>15.333333333333336</v>
      </c>
      <c r="AK246" s="459">
        <f t="shared" si="487"/>
        <v>5.9999999999999982</v>
      </c>
      <c r="AL246" s="461">
        <f t="shared" si="488"/>
        <v>1979.6666666666667</v>
      </c>
      <c r="AM246" s="582">
        <f t="shared" si="489"/>
        <v>1453.6666666666663</v>
      </c>
      <c r="AN246" s="113">
        <f t="shared" si="490"/>
        <v>559.99999999999989</v>
      </c>
      <c r="AO246" s="113">
        <f t="shared" si="491"/>
        <v>55.666666666666664</v>
      </c>
      <c r="AP246" s="113">
        <f t="shared" si="492"/>
        <v>836.33333333333314</v>
      </c>
      <c r="AQ246" s="460">
        <f t="shared" si="493"/>
        <v>1.6666666666666665</v>
      </c>
      <c r="AR246" s="582">
        <f t="shared" si="494"/>
        <v>526</v>
      </c>
      <c r="AS246" s="113">
        <f t="shared" si="495"/>
        <v>115.99999999999991</v>
      </c>
      <c r="AT246" s="113">
        <f t="shared" si="496"/>
        <v>0</v>
      </c>
      <c r="AU246" s="113">
        <f t="shared" si="497"/>
        <v>386.00000000000011</v>
      </c>
      <c r="AV246" s="459">
        <f t="shared" si="498"/>
        <v>23.999999999999989</v>
      </c>
      <c r="AW246" s="461">
        <f t="shared" si="499"/>
        <v>1049.6666666666665</v>
      </c>
      <c r="AX246" s="582">
        <f t="shared" si="500"/>
        <v>779.00000000000011</v>
      </c>
      <c r="AY246" s="113">
        <f t="shared" si="501"/>
        <v>322.00000000000006</v>
      </c>
      <c r="AZ246" s="113">
        <f t="shared" si="502"/>
        <v>19.333333333333336</v>
      </c>
      <c r="BA246" s="113">
        <f t="shared" si="503"/>
        <v>437.66666666666663</v>
      </c>
      <c r="BB246" s="460">
        <f t="shared" si="504"/>
        <v>0</v>
      </c>
      <c r="BC246" s="582">
        <f t="shared" si="505"/>
        <v>270.66666666666674</v>
      </c>
      <c r="BD246" s="113">
        <f t="shared" si="506"/>
        <v>95.666666666666572</v>
      </c>
      <c r="BE246" s="113">
        <f t="shared" si="507"/>
        <v>0</v>
      </c>
      <c r="BF246" s="113">
        <f t="shared" si="508"/>
        <v>160.00000000000003</v>
      </c>
      <c r="BG246" s="459">
        <f t="shared" si="509"/>
        <v>15</v>
      </c>
      <c r="BH246" s="461">
        <f t="shared" si="510"/>
        <v>1457.666666666667</v>
      </c>
      <c r="BI246" s="582">
        <f t="shared" si="511"/>
        <v>1148.333333333333</v>
      </c>
      <c r="BJ246" s="113">
        <f t="shared" si="512"/>
        <v>449.33333333333348</v>
      </c>
      <c r="BK246" s="113">
        <f t="shared" si="513"/>
        <v>23.000000000000004</v>
      </c>
      <c r="BL246" s="113">
        <f t="shared" si="514"/>
        <v>673.66666666666663</v>
      </c>
      <c r="BM246" s="460">
        <f t="shared" si="515"/>
        <v>2.333333333333333</v>
      </c>
      <c r="BN246" s="582">
        <f t="shared" si="516"/>
        <v>309.33333333333343</v>
      </c>
      <c r="BO246" s="113">
        <f t="shared" si="517"/>
        <v>78.666666666666671</v>
      </c>
      <c r="BP246" s="113">
        <f t="shared" si="518"/>
        <v>0</v>
      </c>
      <c r="BQ246" s="113">
        <f t="shared" si="519"/>
        <v>208.66666666666674</v>
      </c>
      <c r="BR246" s="459">
        <f t="shared" si="520"/>
        <v>21.999999999999993</v>
      </c>
      <c r="BS246" s="461">
        <f t="shared" si="521"/>
        <v>2226.333333333333</v>
      </c>
      <c r="BT246" s="582">
        <f t="shared" si="522"/>
        <v>1720.3333333333337</v>
      </c>
      <c r="BU246" s="113">
        <f t="shared" si="523"/>
        <v>628.66666666666663</v>
      </c>
      <c r="BV246" s="113">
        <f t="shared" si="524"/>
        <v>12.666666666666666</v>
      </c>
      <c r="BW246" s="113">
        <f t="shared" si="525"/>
        <v>1077.3333333333333</v>
      </c>
      <c r="BX246" s="460">
        <f t="shared" si="526"/>
        <v>1.6666666666666665</v>
      </c>
      <c r="BY246" s="582">
        <f t="shared" si="527"/>
        <v>506.00000000000017</v>
      </c>
      <c r="BZ246" s="113">
        <f t="shared" si="528"/>
        <v>134.3333333333332</v>
      </c>
      <c r="CA246" s="113">
        <f t="shared" si="529"/>
        <v>0</v>
      </c>
      <c r="CB246" s="113">
        <f t="shared" si="530"/>
        <v>342.00000000000006</v>
      </c>
      <c r="CC246" s="459">
        <f t="shared" si="531"/>
        <v>29.66666666666665</v>
      </c>
      <c r="CD246" s="461">
        <f t="shared" si="532"/>
        <v>352.66666666666652</v>
      </c>
      <c r="CE246" s="582">
        <f t="shared" si="533"/>
        <v>263.00000000000011</v>
      </c>
      <c r="CF246" s="113">
        <f t="shared" si="534"/>
        <v>95.000000000000014</v>
      </c>
      <c r="CG246" s="113">
        <f t="shared" si="535"/>
        <v>11.666666666666671</v>
      </c>
      <c r="CH246" s="113">
        <f t="shared" si="536"/>
        <v>156.33333333333331</v>
      </c>
      <c r="CI246" s="460">
        <f t="shared" si="537"/>
        <v>0</v>
      </c>
      <c r="CJ246" s="582">
        <f t="shared" si="538"/>
        <v>89.666666666666657</v>
      </c>
      <c r="CK246" s="113">
        <f t="shared" si="539"/>
        <v>25.999999999999996</v>
      </c>
      <c r="CL246" s="113">
        <f t="shared" si="540"/>
        <v>0</v>
      </c>
      <c r="CM246" s="113">
        <f t="shared" si="541"/>
        <v>58.666666666666657</v>
      </c>
      <c r="CN246" s="459">
        <f t="shared" si="542"/>
        <v>4.9999999999999991</v>
      </c>
      <c r="CO246" s="461">
        <f t="shared" si="543"/>
        <v>268.33333333333343</v>
      </c>
      <c r="CP246" s="582">
        <f t="shared" si="544"/>
        <v>195.00000000000009</v>
      </c>
      <c r="CQ246" s="113">
        <f t="shared" si="545"/>
        <v>83.6666666666667</v>
      </c>
      <c r="CR246" s="113">
        <f t="shared" si="546"/>
        <v>13.333333333333332</v>
      </c>
      <c r="CS246" s="113">
        <f t="shared" si="547"/>
        <v>96.999999999999972</v>
      </c>
      <c r="CT246" s="460">
        <f t="shared" si="548"/>
        <v>1</v>
      </c>
      <c r="CU246" s="582">
        <f t="shared" si="549"/>
        <v>73.333333333333385</v>
      </c>
      <c r="CV246" s="113">
        <f t="shared" si="550"/>
        <v>24.999999999999982</v>
      </c>
      <c r="CW246" s="113">
        <f t="shared" si="551"/>
        <v>0</v>
      </c>
      <c r="CX246" s="113">
        <f t="shared" si="552"/>
        <v>48.3333333333333</v>
      </c>
      <c r="CY246" s="459">
        <f t="shared" si="553"/>
        <v>0</v>
      </c>
      <c r="CZ246" s="461">
        <f t="shared" si="554"/>
        <v>80.999999999999957</v>
      </c>
      <c r="DA246" s="582">
        <f t="shared" si="555"/>
        <v>54.333333333333314</v>
      </c>
      <c r="DB246" s="113">
        <f t="shared" si="556"/>
        <v>15.66666666666667</v>
      </c>
      <c r="DC246" s="113">
        <f t="shared" si="557"/>
        <v>2.333333333333333</v>
      </c>
      <c r="DD246" s="113">
        <f t="shared" si="558"/>
        <v>36.333333333333321</v>
      </c>
      <c r="DE246" s="460">
        <f t="shared" si="559"/>
        <v>0</v>
      </c>
      <c r="DF246" s="582">
        <f t="shared" si="560"/>
        <v>26.666666666666664</v>
      </c>
      <c r="DG246" s="113">
        <f t="shared" si="561"/>
        <v>13.000000000000011</v>
      </c>
      <c r="DH246" s="113">
        <f t="shared" si="562"/>
        <v>0</v>
      </c>
      <c r="DI246" s="113">
        <f t="shared" si="563"/>
        <v>10.666666666666663</v>
      </c>
      <c r="DJ246" s="459">
        <f t="shared" si="564"/>
        <v>3</v>
      </c>
      <c r="DK246" s="461">
        <f t="shared" si="565"/>
        <v>13</v>
      </c>
      <c r="DL246" s="582">
        <f t="shared" si="566"/>
        <v>8.6666666666666661</v>
      </c>
      <c r="DM246" s="113">
        <f t="shared" si="567"/>
        <v>2.333333333333333</v>
      </c>
      <c r="DN246" s="113">
        <f t="shared" si="568"/>
        <v>3</v>
      </c>
      <c r="DO246" s="113">
        <f t="shared" si="569"/>
        <v>3.333333333333333</v>
      </c>
      <c r="DP246" s="460">
        <f t="shared" si="570"/>
        <v>0</v>
      </c>
      <c r="DQ246" s="582">
        <f t="shared" si="571"/>
        <v>5.3333333333333339</v>
      </c>
      <c r="DR246" s="113">
        <f t="shared" si="572"/>
        <v>1</v>
      </c>
      <c r="DS246" s="113">
        <f t="shared" si="573"/>
        <v>0</v>
      </c>
      <c r="DT246" s="113">
        <f t="shared" si="574"/>
        <v>4.333333333333333</v>
      </c>
      <c r="DU246" s="459">
        <f t="shared" si="575"/>
        <v>0</v>
      </c>
      <c r="DW246" s="461">
        <f t="shared" si="596"/>
        <v>5949.9999999999991</v>
      </c>
      <c r="DX246" s="582">
        <f t="shared" si="596"/>
        <v>4489.3333333333339</v>
      </c>
      <c r="DY246" s="113">
        <f t="shared" si="596"/>
        <v>1725.666666666667</v>
      </c>
      <c r="DZ246" s="113">
        <f t="shared" si="596"/>
        <v>96.333333333333343</v>
      </c>
      <c r="EA246" s="113">
        <f t="shared" si="596"/>
        <v>2662.3333333333335</v>
      </c>
      <c r="EB246" s="460">
        <f t="shared" si="453"/>
        <v>5</v>
      </c>
      <c r="EC246" s="582">
        <f t="shared" si="453"/>
        <v>1461.6666666666674</v>
      </c>
      <c r="ED246" s="113">
        <f t="shared" si="453"/>
        <v>439.99999999999977</v>
      </c>
      <c r="EE246" s="113">
        <f t="shared" si="453"/>
        <v>0</v>
      </c>
      <c r="EF246" s="113">
        <f t="shared" si="453"/>
        <v>934.00000000000011</v>
      </c>
      <c r="EG246" s="459">
        <f t="shared" si="453"/>
        <v>87.666666666666643</v>
      </c>
      <c r="EH246" s="461">
        <f t="shared" si="587"/>
        <v>1979.6666666666667</v>
      </c>
      <c r="EI246" s="582">
        <f t="shared" si="587"/>
        <v>1453.6666666666663</v>
      </c>
      <c r="EJ246" s="113">
        <f t="shared" si="587"/>
        <v>559.99999999999989</v>
      </c>
      <c r="EK246" s="113">
        <f t="shared" si="587"/>
        <v>55.666666666666664</v>
      </c>
      <c r="EL246" s="113">
        <f t="shared" si="587"/>
        <v>836.33333333333314</v>
      </c>
      <c r="EM246" s="460">
        <f t="shared" si="587"/>
        <v>1.6666666666666665</v>
      </c>
      <c r="EN246" s="582">
        <f t="shared" si="587"/>
        <v>526</v>
      </c>
      <c r="EO246" s="113">
        <f t="shared" si="587"/>
        <v>115.99999999999991</v>
      </c>
      <c r="EP246" s="113">
        <f t="shared" si="587"/>
        <v>0</v>
      </c>
      <c r="EQ246" s="113">
        <f t="shared" si="587"/>
        <v>386.00000000000011</v>
      </c>
      <c r="ER246" s="459">
        <f t="shared" si="587"/>
        <v>23.999999999999989</v>
      </c>
    </row>
    <row r="247" spans="1:148">
      <c r="A247" s="665" t="s">
        <v>429</v>
      </c>
      <c r="B247" s="665">
        <v>45536</v>
      </c>
      <c r="C247" s="666">
        <v>2024</v>
      </c>
      <c r="D247" s="461">
        <f t="shared" ref="D247" si="603">D136/3+D246</f>
        <v>5431288.9999999991</v>
      </c>
      <c r="E247" s="461">
        <f t="shared" si="455"/>
        <v>195046.00000000006</v>
      </c>
      <c r="F247" s="582">
        <f t="shared" si="456"/>
        <v>143117.99999999997</v>
      </c>
      <c r="G247" s="113">
        <f t="shared" si="457"/>
        <v>56033.999999999993</v>
      </c>
      <c r="H247" s="113">
        <f t="shared" si="458"/>
        <v>4847</v>
      </c>
      <c r="I247" s="113">
        <f t="shared" si="459"/>
        <v>81385.999999999985</v>
      </c>
      <c r="J247" s="460">
        <f t="shared" si="460"/>
        <v>851.00000000000023</v>
      </c>
      <c r="K247" s="582">
        <f t="shared" si="461"/>
        <v>51927.999999999971</v>
      </c>
      <c r="L247" s="113">
        <f t="shared" si="462"/>
        <v>15716.000000000011</v>
      </c>
      <c r="M247" s="113">
        <f t="shared" si="463"/>
        <v>0</v>
      </c>
      <c r="N247" s="113">
        <f t="shared" si="464"/>
        <v>32868.000000000007</v>
      </c>
      <c r="O247" s="459">
        <f t="shared" si="465"/>
        <v>3343.9999999999973</v>
      </c>
      <c r="P247" s="461">
        <f t="shared" si="466"/>
        <v>338.00000000000006</v>
      </c>
      <c r="Q247" s="582">
        <f t="shared" si="467"/>
        <v>208</v>
      </c>
      <c r="R247" s="113">
        <f t="shared" si="468"/>
        <v>87.000000000000028</v>
      </c>
      <c r="S247" s="113">
        <f t="shared" si="469"/>
        <v>7</v>
      </c>
      <c r="T247" s="113">
        <f t="shared" si="470"/>
        <v>114</v>
      </c>
      <c r="U247" s="460">
        <f t="shared" si="471"/>
        <v>0</v>
      </c>
      <c r="V247" s="582">
        <f t="shared" si="472"/>
        <v>130.00000000000006</v>
      </c>
      <c r="W247" s="113">
        <f t="shared" si="473"/>
        <v>33.999999999999993</v>
      </c>
      <c r="X247" s="113">
        <f t="shared" si="474"/>
        <v>0</v>
      </c>
      <c r="Y247" s="113">
        <f t="shared" si="475"/>
        <v>89.000000000000028</v>
      </c>
      <c r="Z247" s="459">
        <f t="shared" si="476"/>
        <v>7</v>
      </c>
      <c r="AA247" s="461">
        <f t="shared" si="477"/>
        <v>178.00000000000014</v>
      </c>
      <c r="AB247" s="582">
        <f t="shared" si="478"/>
        <v>123</v>
      </c>
      <c r="AC247" s="113">
        <f t="shared" si="479"/>
        <v>44.999999999999993</v>
      </c>
      <c r="AD247" s="113">
        <f t="shared" si="480"/>
        <v>4.9999999999999991</v>
      </c>
      <c r="AE247" s="113">
        <f t="shared" si="481"/>
        <v>73</v>
      </c>
      <c r="AF247" s="460">
        <f t="shared" si="482"/>
        <v>0</v>
      </c>
      <c r="AG247" s="582">
        <f t="shared" si="483"/>
        <v>55.000000000000043</v>
      </c>
      <c r="AH247" s="113">
        <f t="shared" si="484"/>
        <v>32.999999999999979</v>
      </c>
      <c r="AI247" s="113">
        <f t="shared" si="485"/>
        <v>0</v>
      </c>
      <c r="AJ247" s="113">
        <f t="shared" si="486"/>
        <v>16.000000000000004</v>
      </c>
      <c r="AK247" s="459">
        <f t="shared" si="487"/>
        <v>5.9999999999999982</v>
      </c>
      <c r="AL247" s="461">
        <f t="shared" si="488"/>
        <v>2050</v>
      </c>
      <c r="AM247" s="582">
        <f t="shared" si="489"/>
        <v>1506.9999999999995</v>
      </c>
      <c r="AN247" s="113">
        <f t="shared" si="490"/>
        <v>569.99999999999989</v>
      </c>
      <c r="AO247" s="113">
        <f t="shared" si="491"/>
        <v>63</v>
      </c>
      <c r="AP247" s="113">
        <f t="shared" si="492"/>
        <v>871.99999999999977</v>
      </c>
      <c r="AQ247" s="460">
        <f t="shared" si="493"/>
        <v>1.9999999999999998</v>
      </c>
      <c r="AR247" s="582">
        <f t="shared" si="494"/>
        <v>543</v>
      </c>
      <c r="AS247" s="113">
        <f t="shared" si="495"/>
        <v>116.99999999999991</v>
      </c>
      <c r="AT247" s="113">
        <f t="shared" si="496"/>
        <v>0</v>
      </c>
      <c r="AU247" s="113">
        <f t="shared" si="497"/>
        <v>402.00000000000011</v>
      </c>
      <c r="AV247" s="459">
        <f t="shared" si="498"/>
        <v>23.999999999999989</v>
      </c>
      <c r="AW247" s="461">
        <f t="shared" si="499"/>
        <v>1084.9999999999998</v>
      </c>
      <c r="AX247" s="582">
        <f t="shared" si="500"/>
        <v>807.00000000000011</v>
      </c>
      <c r="AY247" s="113">
        <f t="shared" si="501"/>
        <v>327.00000000000006</v>
      </c>
      <c r="AZ247" s="113">
        <f t="shared" si="502"/>
        <v>20.000000000000004</v>
      </c>
      <c r="BA247" s="113">
        <f t="shared" si="503"/>
        <v>459.99999999999994</v>
      </c>
      <c r="BB247" s="460">
        <f t="shared" si="504"/>
        <v>0</v>
      </c>
      <c r="BC247" s="582">
        <f t="shared" si="505"/>
        <v>278.00000000000006</v>
      </c>
      <c r="BD247" s="113">
        <f t="shared" si="506"/>
        <v>96.999999999999901</v>
      </c>
      <c r="BE247" s="113">
        <f t="shared" si="507"/>
        <v>0</v>
      </c>
      <c r="BF247" s="113">
        <f t="shared" si="508"/>
        <v>166.00000000000003</v>
      </c>
      <c r="BG247" s="459">
        <f t="shared" si="509"/>
        <v>15</v>
      </c>
      <c r="BH247" s="461">
        <f t="shared" si="510"/>
        <v>1493.0000000000002</v>
      </c>
      <c r="BI247" s="582">
        <f t="shared" si="511"/>
        <v>1173.9999999999998</v>
      </c>
      <c r="BJ247" s="113">
        <f t="shared" si="512"/>
        <v>454.00000000000017</v>
      </c>
      <c r="BK247" s="113">
        <f t="shared" si="513"/>
        <v>24.000000000000004</v>
      </c>
      <c r="BL247" s="113">
        <f t="shared" si="514"/>
        <v>693</v>
      </c>
      <c r="BM247" s="460">
        <f t="shared" si="515"/>
        <v>2.9999999999999996</v>
      </c>
      <c r="BN247" s="582">
        <f t="shared" si="516"/>
        <v>319.00000000000011</v>
      </c>
      <c r="BO247" s="113">
        <f t="shared" si="517"/>
        <v>80</v>
      </c>
      <c r="BP247" s="113">
        <f t="shared" si="518"/>
        <v>0</v>
      </c>
      <c r="BQ247" s="113">
        <f t="shared" si="519"/>
        <v>217.00000000000009</v>
      </c>
      <c r="BR247" s="459">
        <f t="shared" si="520"/>
        <v>21.999999999999993</v>
      </c>
      <c r="BS247" s="461">
        <f t="shared" si="521"/>
        <v>2288.9999999999995</v>
      </c>
      <c r="BT247" s="582">
        <f t="shared" si="522"/>
        <v>1770.0000000000005</v>
      </c>
      <c r="BU247" s="113">
        <f t="shared" si="523"/>
        <v>639</v>
      </c>
      <c r="BV247" s="113">
        <f t="shared" si="524"/>
        <v>14</v>
      </c>
      <c r="BW247" s="113">
        <f t="shared" si="525"/>
        <v>1115</v>
      </c>
      <c r="BX247" s="460">
        <f t="shared" si="526"/>
        <v>1.9999999999999998</v>
      </c>
      <c r="BY247" s="582">
        <f t="shared" si="527"/>
        <v>519.00000000000023</v>
      </c>
      <c r="BZ247" s="113">
        <f t="shared" si="528"/>
        <v>134.99999999999986</v>
      </c>
      <c r="CA247" s="113">
        <f t="shared" si="529"/>
        <v>0</v>
      </c>
      <c r="CB247" s="113">
        <f t="shared" si="530"/>
        <v>354.00000000000006</v>
      </c>
      <c r="CC247" s="459">
        <f t="shared" si="531"/>
        <v>29.999999999999982</v>
      </c>
      <c r="CD247" s="461">
        <f t="shared" si="532"/>
        <v>358.99999999999983</v>
      </c>
      <c r="CE247" s="582">
        <f t="shared" si="533"/>
        <v>267.00000000000011</v>
      </c>
      <c r="CF247" s="113">
        <f t="shared" si="534"/>
        <v>95.000000000000014</v>
      </c>
      <c r="CG247" s="113">
        <f t="shared" si="535"/>
        <v>12.000000000000005</v>
      </c>
      <c r="CH247" s="113">
        <f t="shared" si="536"/>
        <v>159.99999999999997</v>
      </c>
      <c r="CI247" s="460">
        <f t="shared" si="537"/>
        <v>0</v>
      </c>
      <c r="CJ247" s="582">
        <f t="shared" si="538"/>
        <v>91.999999999999986</v>
      </c>
      <c r="CK247" s="113">
        <f t="shared" si="539"/>
        <v>25.999999999999996</v>
      </c>
      <c r="CL247" s="113">
        <f t="shared" si="540"/>
        <v>0</v>
      </c>
      <c r="CM247" s="113">
        <f t="shared" si="541"/>
        <v>60.999999999999993</v>
      </c>
      <c r="CN247" s="459">
        <f t="shared" si="542"/>
        <v>4.9999999999999991</v>
      </c>
      <c r="CO247" s="461">
        <f t="shared" si="543"/>
        <v>275.00000000000011</v>
      </c>
      <c r="CP247" s="582">
        <f t="shared" si="544"/>
        <v>199.00000000000009</v>
      </c>
      <c r="CQ247" s="113">
        <f t="shared" si="545"/>
        <v>84.000000000000028</v>
      </c>
      <c r="CR247" s="113">
        <f t="shared" si="546"/>
        <v>13.999999999999998</v>
      </c>
      <c r="CS247" s="113">
        <f t="shared" si="547"/>
        <v>99.999999999999972</v>
      </c>
      <c r="CT247" s="460">
        <f t="shared" si="548"/>
        <v>1</v>
      </c>
      <c r="CU247" s="582">
        <f t="shared" si="549"/>
        <v>76.000000000000057</v>
      </c>
      <c r="CV247" s="113">
        <f t="shared" si="550"/>
        <v>24.999999999999982</v>
      </c>
      <c r="CW247" s="113">
        <f t="shared" si="551"/>
        <v>0</v>
      </c>
      <c r="CX247" s="113">
        <f t="shared" si="552"/>
        <v>50.999999999999964</v>
      </c>
      <c r="CY247" s="459">
        <f t="shared" si="553"/>
        <v>0</v>
      </c>
      <c r="CZ247" s="461">
        <f t="shared" si="554"/>
        <v>82.999999999999957</v>
      </c>
      <c r="DA247" s="582">
        <f t="shared" si="555"/>
        <v>55.999999999999979</v>
      </c>
      <c r="DB247" s="113">
        <f t="shared" si="556"/>
        <v>16.000000000000004</v>
      </c>
      <c r="DC247" s="113">
        <f t="shared" si="557"/>
        <v>2.9999999999999996</v>
      </c>
      <c r="DD247" s="113">
        <f t="shared" si="558"/>
        <v>36.999999999999986</v>
      </c>
      <c r="DE247" s="460">
        <f t="shared" si="559"/>
        <v>0</v>
      </c>
      <c r="DF247" s="582">
        <f t="shared" si="560"/>
        <v>26.999999999999996</v>
      </c>
      <c r="DG247" s="113">
        <f t="shared" si="561"/>
        <v>13.000000000000011</v>
      </c>
      <c r="DH247" s="113">
        <f t="shared" si="562"/>
        <v>0</v>
      </c>
      <c r="DI247" s="113">
        <f t="shared" si="563"/>
        <v>10.999999999999996</v>
      </c>
      <c r="DJ247" s="459">
        <f t="shared" si="564"/>
        <v>3</v>
      </c>
      <c r="DK247" s="461">
        <f t="shared" si="565"/>
        <v>15</v>
      </c>
      <c r="DL247" s="582">
        <f t="shared" si="566"/>
        <v>10</v>
      </c>
      <c r="DM247" s="113">
        <f t="shared" si="567"/>
        <v>2.9999999999999996</v>
      </c>
      <c r="DN247" s="113">
        <f t="shared" si="568"/>
        <v>3</v>
      </c>
      <c r="DO247" s="113">
        <f t="shared" si="569"/>
        <v>3.9999999999999996</v>
      </c>
      <c r="DP247" s="460">
        <f t="shared" si="570"/>
        <v>0</v>
      </c>
      <c r="DQ247" s="582">
        <f t="shared" si="571"/>
        <v>6.0000000000000009</v>
      </c>
      <c r="DR247" s="113">
        <f t="shared" si="572"/>
        <v>1</v>
      </c>
      <c r="DS247" s="113">
        <f t="shared" si="573"/>
        <v>0</v>
      </c>
      <c r="DT247" s="113">
        <f t="shared" si="574"/>
        <v>5</v>
      </c>
      <c r="DU247" s="459">
        <f t="shared" si="575"/>
        <v>0</v>
      </c>
      <c r="DW247" s="461">
        <f t="shared" si="596"/>
        <v>6115</v>
      </c>
      <c r="DX247" s="582">
        <f t="shared" si="596"/>
        <v>4614.0000000000009</v>
      </c>
      <c r="DY247" s="113">
        <f t="shared" si="596"/>
        <v>1750.0000000000002</v>
      </c>
      <c r="DZ247" s="113">
        <f t="shared" si="596"/>
        <v>102</v>
      </c>
      <c r="EA247" s="113">
        <f t="shared" si="596"/>
        <v>2756</v>
      </c>
      <c r="EB247" s="460">
        <f t="shared" si="453"/>
        <v>5.9999999999999991</v>
      </c>
      <c r="EC247" s="582">
        <f t="shared" si="453"/>
        <v>1502.0000000000005</v>
      </c>
      <c r="ED247" s="113">
        <f t="shared" si="453"/>
        <v>443.99999999999977</v>
      </c>
      <c r="EE247" s="113">
        <f t="shared" si="453"/>
        <v>0</v>
      </c>
      <c r="EF247" s="113">
        <f t="shared" si="453"/>
        <v>970.00000000000023</v>
      </c>
      <c r="EG247" s="459">
        <f t="shared" si="453"/>
        <v>87.999999999999972</v>
      </c>
      <c r="EH247" s="461">
        <f t="shared" si="587"/>
        <v>2050</v>
      </c>
      <c r="EI247" s="582">
        <f t="shared" si="587"/>
        <v>1506.9999999999995</v>
      </c>
      <c r="EJ247" s="113">
        <f t="shared" si="587"/>
        <v>569.99999999999989</v>
      </c>
      <c r="EK247" s="113">
        <f t="shared" si="587"/>
        <v>63</v>
      </c>
      <c r="EL247" s="113">
        <f t="shared" si="587"/>
        <v>871.99999999999977</v>
      </c>
      <c r="EM247" s="460">
        <f t="shared" si="587"/>
        <v>1.9999999999999998</v>
      </c>
      <c r="EN247" s="582">
        <f t="shared" si="587"/>
        <v>543</v>
      </c>
      <c r="EO247" s="113">
        <f t="shared" si="587"/>
        <v>116.99999999999991</v>
      </c>
      <c r="EP247" s="113">
        <f t="shared" si="587"/>
        <v>0</v>
      </c>
      <c r="EQ247" s="113">
        <f t="shared" si="587"/>
        <v>402.00000000000011</v>
      </c>
      <c r="ER247" s="459">
        <f t="shared" si="587"/>
        <v>23.999999999999989</v>
      </c>
    </row>
    <row r="248" spans="1:148">
      <c r="A248" s="665" t="s">
        <v>430</v>
      </c>
      <c r="B248" s="665">
        <v>45566</v>
      </c>
      <c r="C248" s="666">
        <v>2024</v>
      </c>
      <c r="D248" s="461">
        <f t="shared" ref="D248" si="604">D137/3+D247</f>
        <v>5485737.3333333321</v>
      </c>
      <c r="E248" s="461">
        <f t="shared" si="455"/>
        <v>200129.66666666672</v>
      </c>
      <c r="F248" s="582">
        <f t="shared" si="456"/>
        <v>146878.66666666663</v>
      </c>
      <c r="G248" s="113">
        <f t="shared" si="457"/>
        <v>56639.333333333328</v>
      </c>
      <c r="H248" s="113">
        <f t="shared" si="458"/>
        <v>5485</v>
      </c>
      <c r="I248" s="113">
        <f t="shared" si="459"/>
        <v>83866.666666666657</v>
      </c>
      <c r="J248" s="460">
        <f t="shared" si="460"/>
        <v>887.66666666666686</v>
      </c>
      <c r="K248" s="582">
        <f t="shared" si="461"/>
        <v>53250.999999999971</v>
      </c>
      <c r="L248" s="113">
        <f t="shared" si="462"/>
        <v>15829.666666666677</v>
      </c>
      <c r="M248" s="113">
        <f t="shared" si="463"/>
        <v>0</v>
      </c>
      <c r="N248" s="113">
        <f t="shared" si="464"/>
        <v>34059.333333333343</v>
      </c>
      <c r="O248" s="459">
        <f t="shared" si="465"/>
        <v>3361.9999999999973</v>
      </c>
      <c r="P248" s="461">
        <f t="shared" si="466"/>
        <v>347.00000000000006</v>
      </c>
      <c r="Q248" s="582">
        <f t="shared" si="467"/>
        <v>213</v>
      </c>
      <c r="R248" s="113">
        <f t="shared" si="468"/>
        <v>88.000000000000028</v>
      </c>
      <c r="S248" s="113">
        <f t="shared" si="469"/>
        <v>7.333333333333333</v>
      </c>
      <c r="T248" s="113">
        <f t="shared" si="470"/>
        <v>117.33333333333333</v>
      </c>
      <c r="U248" s="460">
        <f t="shared" si="471"/>
        <v>0.33333333333333331</v>
      </c>
      <c r="V248" s="582">
        <f t="shared" si="472"/>
        <v>134.00000000000006</v>
      </c>
      <c r="W248" s="113">
        <f t="shared" si="473"/>
        <v>33.999999999999993</v>
      </c>
      <c r="X248" s="113">
        <f t="shared" si="474"/>
        <v>0</v>
      </c>
      <c r="Y248" s="113">
        <f t="shared" si="475"/>
        <v>93.000000000000028</v>
      </c>
      <c r="Z248" s="459">
        <f t="shared" si="476"/>
        <v>7</v>
      </c>
      <c r="AA248" s="461">
        <f t="shared" si="477"/>
        <v>186.00000000000014</v>
      </c>
      <c r="AB248" s="582">
        <f t="shared" si="478"/>
        <v>129</v>
      </c>
      <c r="AC248" s="113">
        <f t="shared" si="479"/>
        <v>45.999999999999993</v>
      </c>
      <c r="AD248" s="113">
        <f t="shared" si="480"/>
        <v>6.3333333333333321</v>
      </c>
      <c r="AE248" s="113">
        <f t="shared" si="481"/>
        <v>76.333333333333329</v>
      </c>
      <c r="AF248" s="460">
        <f t="shared" si="482"/>
        <v>0.33333333333333331</v>
      </c>
      <c r="AG248" s="582">
        <f t="shared" si="483"/>
        <v>57.000000000000043</v>
      </c>
      <c r="AH248" s="113">
        <f t="shared" si="484"/>
        <v>32.999999999999979</v>
      </c>
      <c r="AI248" s="113">
        <f t="shared" si="485"/>
        <v>0</v>
      </c>
      <c r="AJ248" s="113">
        <f t="shared" si="486"/>
        <v>18.000000000000004</v>
      </c>
      <c r="AK248" s="459">
        <f t="shared" si="487"/>
        <v>5.9999999999999982</v>
      </c>
      <c r="AL248" s="461">
        <f t="shared" si="488"/>
        <v>2117.3333333333335</v>
      </c>
      <c r="AM248" s="582">
        <f t="shared" si="489"/>
        <v>1555.9999999999995</v>
      </c>
      <c r="AN248" s="113">
        <f t="shared" si="490"/>
        <v>579.33333333333326</v>
      </c>
      <c r="AO248" s="113">
        <f t="shared" si="491"/>
        <v>73.666666666666671</v>
      </c>
      <c r="AP248" s="113">
        <f t="shared" si="492"/>
        <v>900.6666666666664</v>
      </c>
      <c r="AQ248" s="460">
        <f t="shared" si="493"/>
        <v>2.333333333333333</v>
      </c>
      <c r="AR248" s="582">
        <f t="shared" si="494"/>
        <v>561.33333333333337</v>
      </c>
      <c r="AS248" s="113">
        <f t="shared" si="495"/>
        <v>117.99999999999991</v>
      </c>
      <c r="AT248" s="113">
        <f t="shared" si="496"/>
        <v>0</v>
      </c>
      <c r="AU248" s="113">
        <f t="shared" si="497"/>
        <v>419.33333333333343</v>
      </c>
      <c r="AV248" s="459">
        <f t="shared" si="498"/>
        <v>23.999999999999989</v>
      </c>
      <c r="AW248" s="461">
        <f t="shared" si="499"/>
        <v>1124.6666666666665</v>
      </c>
      <c r="AX248" s="582">
        <f t="shared" si="500"/>
        <v>840.00000000000011</v>
      </c>
      <c r="AY248" s="113">
        <f t="shared" si="501"/>
        <v>331.66666666666674</v>
      </c>
      <c r="AZ248" s="113">
        <f t="shared" si="502"/>
        <v>24.333333333333336</v>
      </c>
      <c r="BA248" s="113">
        <f t="shared" si="503"/>
        <v>483.66666666666663</v>
      </c>
      <c r="BB248" s="460">
        <f t="shared" si="504"/>
        <v>0.33333333333333331</v>
      </c>
      <c r="BC248" s="582">
        <f t="shared" si="505"/>
        <v>284.66666666666674</v>
      </c>
      <c r="BD248" s="113">
        <f t="shared" si="506"/>
        <v>96.999999999999901</v>
      </c>
      <c r="BE248" s="113">
        <f t="shared" si="507"/>
        <v>0</v>
      </c>
      <c r="BF248" s="113">
        <f t="shared" si="508"/>
        <v>172.66666666666669</v>
      </c>
      <c r="BG248" s="459">
        <f t="shared" si="509"/>
        <v>15</v>
      </c>
      <c r="BH248" s="461">
        <f t="shared" si="510"/>
        <v>1536.0000000000002</v>
      </c>
      <c r="BI248" s="582">
        <f t="shared" si="511"/>
        <v>1207.333333333333</v>
      </c>
      <c r="BJ248" s="113">
        <f t="shared" si="512"/>
        <v>459.00000000000017</v>
      </c>
      <c r="BK248" s="113">
        <f t="shared" si="513"/>
        <v>29.333333333333336</v>
      </c>
      <c r="BL248" s="113">
        <f t="shared" si="514"/>
        <v>716</v>
      </c>
      <c r="BM248" s="460">
        <f t="shared" si="515"/>
        <v>2.9999999999999996</v>
      </c>
      <c r="BN248" s="582">
        <f t="shared" si="516"/>
        <v>328.6666666666668</v>
      </c>
      <c r="BO248" s="113">
        <f t="shared" si="517"/>
        <v>81.333333333333329</v>
      </c>
      <c r="BP248" s="113">
        <f t="shared" si="518"/>
        <v>0</v>
      </c>
      <c r="BQ248" s="113">
        <f t="shared" si="519"/>
        <v>225.33333333333343</v>
      </c>
      <c r="BR248" s="459">
        <f t="shared" si="520"/>
        <v>21.999999999999993</v>
      </c>
      <c r="BS248" s="461">
        <f t="shared" si="521"/>
        <v>2346.9999999999995</v>
      </c>
      <c r="BT248" s="582">
        <f t="shared" si="522"/>
        <v>1815.0000000000005</v>
      </c>
      <c r="BU248" s="113">
        <f t="shared" si="523"/>
        <v>645</v>
      </c>
      <c r="BV248" s="113">
        <f t="shared" si="524"/>
        <v>16.333333333333332</v>
      </c>
      <c r="BW248" s="113">
        <f t="shared" si="525"/>
        <v>1151.6666666666667</v>
      </c>
      <c r="BX248" s="460">
        <f t="shared" si="526"/>
        <v>1.9999999999999998</v>
      </c>
      <c r="BY248" s="582">
        <f t="shared" si="527"/>
        <v>532.00000000000023</v>
      </c>
      <c r="BZ248" s="113">
        <f t="shared" si="528"/>
        <v>135.66666666666652</v>
      </c>
      <c r="CA248" s="113">
        <f t="shared" si="529"/>
        <v>0</v>
      </c>
      <c r="CB248" s="113">
        <f t="shared" si="530"/>
        <v>366.00000000000006</v>
      </c>
      <c r="CC248" s="459">
        <f t="shared" si="531"/>
        <v>30.333333333333314</v>
      </c>
      <c r="CD248" s="461">
        <f t="shared" si="532"/>
        <v>366.99999999999983</v>
      </c>
      <c r="CE248" s="582">
        <f t="shared" si="533"/>
        <v>273.6666666666668</v>
      </c>
      <c r="CF248" s="113">
        <f t="shared" si="534"/>
        <v>95.666666666666686</v>
      </c>
      <c r="CG248" s="113">
        <f t="shared" si="535"/>
        <v>13.666666666666671</v>
      </c>
      <c r="CH248" s="113">
        <f t="shared" si="536"/>
        <v>164.33333333333331</v>
      </c>
      <c r="CI248" s="460">
        <f t="shared" si="537"/>
        <v>0</v>
      </c>
      <c r="CJ248" s="582">
        <f t="shared" si="538"/>
        <v>93.333333333333314</v>
      </c>
      <c r="CK248" s="113">
        <f t="shared" si="539"/>
        <v>25.999999999999996</v>
      </c>
      <c r="CL248" s="113">
        <f t="shared" si="540"/>
        <v>0</v>
      </c>
      <c r="CM248" s="113">
        <f t="shared" si="541"/>
        <v>62.333333333333329</v>
      </c>
      <c r="CN248" s="459">
        <f t="shared" si="542"/>
        <v>4.9999999999999991</v>
      </c>
      <c r="CO248" s="461">
        <f t="shared" si="543"/>
        <v>283.6666666666668</v>
      </c>
      <c r="CP248" s="582">
        <f t="shared" si="544"/>
        <v>204.33333333333343</v>
      </c>
      <c r="CQ248" s="113">
        <f t="shared" si="545"/>
        <v>85.333333333333357</v>
      </c>
      <c r="CR248" s="113">
        <f t="shared" si="546"/>
        <v>13.999999999999998</v>
      </c>
      <c r="CS248" s="113">
        <f t="shared" si="547"/>
        <v>103.99999999999997</v>
      </c>
      <c r="CT248" s="460">
        <f t="shared" si="548"/>
        <v>1</v>
      </c>
      <c r="CU248" s="582">
        <f t="shared" si="549"/>
        <v>79.333333333333385</v>
      </c>
      <c r="CV248" s="113">
        <f t="shared" si="550"/>
        <v>24.999999999999982</v>
      </c>
      <c r="CW248" s="113">
        <f t="shared" si="551"/>
        <v>0</v>
      </c>
      <c r="CX248" s="113">
        <f t="shared" si="552"/>
        <v>54.3333333333333</v>
      </c>
      <c r="CY248" s="459">
        <f t="shared" si="553"/>
        <v>0</v>
      </c>
      <c r="CZ248" s="461">
        <f t="shared" si="554"/>
        <v>84.999999999999957</v>
      </c>
      <c r="DA248" s="582">
        <f t="shared" si="555"/>
        <v>57.333333333333314</v>
      </c>
      <c r="DB248" s="113">
        <f t="shared" si="556"/>
        <v>16.000000000000004</v>
      </c>
      <c r="DC248" s="113">
        <f t="shared" si="557"/>
        <v>3.333333333333333</v>
      </c>
      <c r="DD248" s="113">
        <f t="shared" si="558"/>
        <v>37.999999999999986</v>
      </c>
      <c r="DE248" s="460">
        <f t="shared" si="559"/>
        <v>0</v>
      </c>
      <c r="DF248" s="582">
        <f t="shared" si="560"/>
        <v>27.666666666666664</v>
      </c>
      <c r="DG248" s="113">
        <f t="shared" si="561"/>
        <v>13.000000000000011</v>
      </c>
      <c r="DH248" s="113">
        <f t="shared" si="562"/>
        <v>0</v>
      </c>
      <c r="DI248" s="113">
        <f t="shared" si="563"/>
        <v>11.666666666666663</v>
      </c>
      <c r="DJ248" s="459">
        <f t="shared" si="564"/>
        <v>3</v>
      </c>
      <c r="DK248" s="461">
        <f t="shared" si="565"/>
        <v>16.333333333333332</v>
      </c>
      <c r="DL248" s="582">
        <f t="shared" si="566"/>
        <v>11</v>
      </c>
      <c r="DM248" s="113">
        <f t="shared" si="567"/>
        <v>2.9999999999999996</v>
      </c>
      <c r="DN248" s="113">
        <f t="shared" si="568"/>
        <v>3.3333333333333335</v>
      </c>
      <c r="DO248" s="113">
        <f t="shared" si="569"/>
        <v>4.6666666666666661</v>
      </c>
      <c r="DP248" s="460">
        <f t="shared" si="570"/>
        <v>0</v>
      </c>
      <c r="DQ248" s="582">
        <f t="shared" si="571"/>
        <v>6.3333333333333339</v>
      </c>
      <c r="DR248" s="113">
        <f t="shared" si="572"/>
        <v>1</v>
      </c>
      <c r="DS248" s="113">
        <f t="shared" si="573"/>
        <v>0</v>
      </c>
      <c r="DT248" s="113">
        <f t="shared" si="574"/>
        <v>5.333333333333333</v>
      </c>
      <c r="DU248" s="459">
        <f t="shared" si="575"/>
        <v>0</v>
      </c>
      <c r="DW248" s="461">
        <f t="shared" si="596"/>
        <v>6292.6666666666661</v>
      </c>
      <c r="DX248" s="582">
        <f t="shared" si="596"/>
        <v>4750.666666666667</v>
      </c>
      <c r="DY248" s="113">
        <f t="shared" si="596"/>
        <v>1769.666666666667</v>
      </c>
      <c r="DZ248" s="113">
        <f t="shared" si="596"/>
        <v>118</v>
      </c>
      <c r="EA248" s="113">
        <f t="shared" si="596"/>
        <v>2856</v>
      </c>
      <c r="EB248" s="460">
        <f t="shared" si="453"/>
        <v>6.9999999999999991</v>
      </c>
      <c r="EC248" s="582">
        <f t="shared" si="453"/>
        <v>1543.0000000000007</v>
      </c>
      <c r="ED248" s="113">
        <f t="shared" si="453"/>
        <v>445.99999999999972</v>
      </c>
      <c r="EE248" s="113">
        <f t="shared" ref="EE248:EG250" si="605">X248+AI248+BE248+BP248+CA248+CL248+CW248+DH248+DS248</f>
        <v>0</v>
      </c>
      <c r="EF248" s="113">
        <f t="shared" si="605"/>
        <v>1008.6666666666669</v>
      </c>
      <c r="EG248" s="459">
        <f t="shared" si="605"/>
        <v>88.333333333333314</v>
      </c>
      <c r="EH248" s="461">
        <f t="shared" si="587"/>
        <v>2117.3333333333335</v>
      </c>
      <c r="EI248" s="582">
        <f t="shared" si="587"/>
        <v>1555.9999999999995</v>
      </c>
      <c r="EJ248" s="113">
        <f t="shared" si="587"/>
        <v>579.33333333333326</v>
      </c>
      <c r="EK248" s="113">
        <f t="shared" si="587"/>
        <v>73.666666666666671</v>
      </c>
      <c r="EL248" s="113">
        <f t="shared" si="587"/>
        <v>900.6666666666664</v>
      </c>
      <c r="EM248" s="460">
        <f t="shared" si="587"/>
        <v>2.333333333333333</v>
      </c>
      <c r="EN248" s="582">
        <f t="shared" si="587"/>
        <v>561.33333333333337</v>
      </c>
      <c r="EO248" s="113">
        <f t="shared" si="587"/>
        <v>117.99999999999991</v>
      </c>
      <c r="EP248" s="113">
        <f t="shared" si="587"/>
        <v>0</v>
      </c>
      <c r="EQ248" s="113">
        <f t="shared" si="587"/>
        <v>419.33333333333343</v>
      </c>
      <c r="ER248" s="459">
        <f t="shared" si="587"/>
        <v>23.999999999999989</v>
      </c>
    </row>
    <row r="249" spans="1:148">
      <c r="A249" s="665" t="s">
        <v>430</v>
      </c>
      <c r="B249" s="665">
        <v>45597</v>
      </c>
      <c r="C249" s="666">
        <v>2024</v>
      </c>
      <c r="D249" s="461">
        <f t="shared" ref="D249" si="606">D138/3+D248</f>
        <v>5540185.6666666651</v>
      </c>
      <c r="E249" s="461">
        <f t="shared" si="455"/>
        <v>205213.33333333337</v>
      </c>
      <c r="F249" s="582">
        <f t="shared" si="456"/>
        <v>150639.33333333328</v>
      </c>
      <c r="G249" s="113">
        <f t="shared" si="457"/>
        <v>57244.666666666664</v>
      </c>
      <c r="H249" s="113">
        <f t="shared" si="458"/>
        <v>6123</v>
      </c>
      <c r="I249" s="113">
        <f t="shared" si="459"/>
        <v>86347.333333333328</v>
      </c>
      <c r="J249" s="460">
        <f t="shared" si="460"/>
        <v>924.33333333333348</v>
      </c>
      <c r="K249" s="582">
        <f t="shared" si="461"/>
        <v>54573.999999999971</v>
      </c>
      <c r="L249" s="113">
        <f t="shared" si="462"/>
        <v>15943.333333333343</v>
      </c>
      <c r="M249" s="113">
        <f t="shared" si="463"/>
        <v>0</v>
      </c>
      <c r="N249" s="113">
        <f t="shared" si="464"/>
        <v>35250.666666666679</v>
      </c>
      <c r="O249" s="459">
        <f t="shared" si="465"/>
        <v>3379.9999999999973</v>
      </c>
      <c r="P249" s="461">
        <f t="shared" si="466"/>
        <v>356.00000000000006</v>
      </c>
      <c r="Q249" s="582">
        <f t="shared" si="467"/>
        <v>218</v>
      </c>
      <c r="R249" s="113">
        <f t="shared" si="468"/>
        <v>89.000000000000028</v>
      </c>
      <c r="S249" s="113">
        <f t="shared" si="469"/>
        <v>7.6666666666666661</v>
      </c>
      <c r="T249" s="113">
        <f t="shared" si="470"/>
        <v>120.66666666666666</v>
      </c>
      <c r="U249" s="460">
        <f t="shared" si="471"/>
        <v>0.66666666666666663</v>
      </c>
      <c r="V249" s="582">
        <f t="shared" si="472"/>
        <v>138.00000000000006</v>
      </c>
      <c r="W249" s="113">
        <f t="shared" si="473"/>
        <v>33.999999999999993</v>
      </c>
      <c r="X249" s="113">
        <f t="shared" si="474"/>
        <v>0</v>
      </c>
      <c r="Y249" s="113">
        <f t="shared" si="475"/>
        <v>97.000000000000028</v>
      </c>
      <c r="Z249" s="459">
        <f t="shared" si="476"/>
        <v>7</v>
      </c>
      <c r="AA249" s="461">
        <f t="shared" si="477"/>
        <v>194.00000000000014</v>
      </c>
      <c r="AB249" s="582">
        <f t="shared" si="478"/>
        <v>135</v>
      </c>
      <c r="AC249" s="113">
        <f t="shared" si="479"/>
        <v>46.999999999999993</v>
      </c>
      <c r="AD249" s="113">
        <f t="shared" si="480"/>
        <v>7.6666666666666652</v>
      </c>
      <c r="AE249" s="113">
        <f t="shared" si="481"/>
        <v>79.666666666666657</v>
      </c>
      <c r="AF249" s="460">
        <f t="shared" si="482"/>
        <v>0.66666666666666663</v>
      </c>
      <c r="AG249" s="582">
        <f t="shared" si="483"/>
        <v>59.000000000000043</v>
      </c>
      <c r="AH249" s="113">
        <f t="shared" si="484"/>
        <v>32.999999999999979</v>
      </c>
      <c r="AI249" s="113">
        <f t="shared" si="485"/>
        <v>0</v>
      </c>
      <c r="AJ249" s="113">
        <f t="shared" si="486"/>
        <v>20.000000000000004</v>
      </c>
      <c r="AK249" s="459">
        <f t="shared" si="487"/>
        <v>5.9999999999999982</v>
      </c>
      <c r="AL249" s="461">
        <f t="shared" si="488"/>
        <v>2184.666666666667</v>
      </c>
      <c r="AM249" s="582">
        <f t="shared" si="489"/>
        <v>1604.9999999999995</v>
      </c>
      <c r="AN249" s="113">
        <f t="shared" si="490"/>
        <v>588.66666666666663</v>
      </c>
      <c r="AO249" s="113">
        <f t="shared" si="491"/>
        <v>84.333333333333343</v>
      </c>
      <c r="AP249" s="113">
        <f t="shared" si="492"/>
        <v>929.33333333333303</v>
      </c>
      <c r="AQ249" s="460">
        <f t="shared" si="493"/>
        <v>2.6666666666666665</v>
      </c>
      <c r="AR249" s="582">
        <f t="shared" si="494"/>
        <v>579.66666666666674</v>
      </c>
      <c r="AS249" s="113">
        <f t="shared" si="495"/>
        <v>118.99999999999991</v>
      </c>
      <c r="AT249" s="113">
        <f t="shared" si="496"/>
        <v>0</v>
      </c>
      <c r="AU249" s="113">
        <f t="shared" si="497"/>
        <v>436.66666666666674</v>
      </c>
      <c r="AV249" s="459">
        <f t="shared" si="498"/>
        <v>23.999999999999989</v>
      </c>
      <c r="AW249" s="461">
        <f t="shared" si="499"/>
        <v>1164.3333333333333</v>
      </c>
      <c r="AX249" s="582">
        <f t="shared" si="500"/>
        <v>873.00000000000011</v>
      </c>
      <c r="AY249" s="113">
        <f t="shared" si="501"/>
        <v>336.33333333333343</v>
      </c>
      <c r="AZ249" s="113">
        <f t="shared" si="502"/>
        <v>28.666666666666668</v>
      </c>
      <c r="BA249" s="113">
        <f t="shared" si="503"/>
        <v>507.33333333333331</v>
      </c>
      <c r="BB249" s="460">
        <f t="shared" si="504"/>
        <v>0.66666666666666663</v>
      </c>
      <c r="BC249" s="582">
        <f t="shared" si="505"/>
        <v>291.33333333333343</v>
      </c>
      <c r="BD249" s="113">
        <f t="shared" si="506"/>
        <v>96.999999999999901</v>
      </c>
      <c r="BE249" s="113">
        <f t="shared" si="507"/>
        <v>0</v>
      </c>
      <c r="BF249" s="113">
        <f t="shared" si="508"/>
        <v>179.33333333333334</v>
      </c>
      <c r="BG249" s="459">
        <f t="shared" si="509"/>
        <v>15</v>
      </c>
      <c r="BH249" s="461">
        <f t="shared" si="510"/>
        <v>1579.0000000000002</v>
      </c>
      <c r="BI249" s="582">
        <f t="shared" si="511"/>
        <v>1240.6666666666663</v>
      </c>
      <c r="BJ249" s="113">
        <f t="shared" si="512"/>
        <v>464.00000000000017</v>
      </c>
      <c r="BK249" s="113">
        <f t="shared" si="513"/>
        <v>34.666666666666671</v>
      </c>
      <c r="BL249" s="113">
        <f t="shared" si="514"/>
        <v>739</v>
      </c>
      <c r="BM249" s="460">
        <f t="shared" si="515"/>
        <v>2.9999999999999996</v>
      </c>
      <c r="BN249" s="582">
        <f t="shared" si="516"/>
        <v>338.33333333333348</v>
      </c>
      <c r="BO249" s="113">
        <f t="shared" si="517"/>
        <v>82.666666666666657</v>
      </c>
      <c r="BP249" s="113">
        <f t="shared" si="518"/>
        <v>0</v>
      </c>
      <c r="BQ249" s="113">
        <f t="shared" si="519"/>
        <v>233.66666666666677</v>
      </c>
      <c r="BR249" s="459">
        <f t="shared" si="520"/>
        <v>21.999999999999993</v>
      </c>
      <c r="BS249" s="461">
        <f t="shared" si="521"/>
        <v>2404.9999999999995</v>
      </c>
      <c r="BT249" s="582">
        <f t="shared" si="522"/>
        <v>1860.0000000000005</v>
      </c>
      <c r="BU249" s="113">
        <f t="shared" si="523"/>
        <v>651</v>
      </c>
      <c r="BV249" s="113">
        <f t="shared" si="524"/>
        <v>18.666666666666664</v>
      </c>
      <c r="BW249" s="113">
        <f t="shared" si="525"/>
        <v>1188.3333333333335</v>
      </c>
      <c r="BX249" s="460">
        <f t="shared" si="526"/>
        <v>1.9999999999999998</v>
      </c>
      <c r="BY249" s="582">
        <f t="shared" si="527"/>
        <v>545.00000000000023</v>
      </c>
      <c r="BZ249" s="113">
        <f t="shared" si="528"/>
        <v>136.33333333333317</v>
      </c>
      <c r="CA249" s="113">
        <f t="shared" si="529"/>
        <v>0</v>
      </c>
      <c r="CB249" s="113">
        <f t="shared" si="530"/>
        <v>378.00000000000006</v>
      </c>
      <c r="CC249" s="459">
        <f t="shared" si="531"/>
        <v>30.666666666666647</v>
      </c>
      <c r="CD249" s="461">
        <f t="shared" si="532"/>
        <v>374.99999999999983</v>
      </c>
      <c r="CE249" s="582">
        <f t="shared" si="533"/>
        <v>280.33333333333348</v>
      </c>
      <c r="CF249" s="113">
        <f t="shared" si="534"/>
        <v>96.333333333333357</v>
      </c>
      <c r="CG249" s="113">
        <f t="shared" si="535"/>
        <v>15.333333333333337</v>
      </c>
      <c r="CH249" s="113">
        <f t="shared" si="536"/>
        <v>168.66666666666666</v>
      </c>
      <c r="CI249" s="460">
        <f t="shared" si="537"/>
        <v>0</v>
      </c>
      <c r="CJ249" s="582">
        <f t="shared" si="538"/>
        <v>94.666666666666643</v>
      </c>
      <c r="CK249" s="113">
        <f t="shared" si="539"/>
        <v>25.999999999999996</v>
      </c>
      <c r="CL249" s="113">
        <f t="shared" si="540"/>
        <v>0</v>
      </c>
      <c r="CM249" s="113">
        <f t="shared" si="541"/>
        <v>63.666666666666664</v>
      </c>
      <c r="CN249" s="459">
        <f t="shared" si="542"/>
        <v>4.9999999999999991</v>
      </c>
      <c r="CO249" s="461">
        <f t="shared" si="543"/>
        <v>292.33333333333348</v>
      </c>
      <c r="CP249" s="582">
        <f t="shared" si="544"/>
        <v>209.66666666666677</v>
      </c>
      <c r="CQ249" s="113">
        <f t="shared" si="545"/>
        <v>86.666666666666686</v>
      </c>
      <c r="CR249" s="113">
        <f t="shared" si="546"/>
        <v>13.999999999999998</v>
      </c>
      <c r="CS249" s="113">
        <f t="shared" si="547"/>
        <v>107.99999999999997</v>
      </c>
      <c r="CT249" s="460">
        <f t="shared" si="548"/>
        <v>1</v>
      </c>
      <c r="CU249" s="582">
        <f t="shared" si="549"/>
        <v>82.666666666666714</v>
      </c>
      <c r="CV249" s="113">
        <f t="shared" si="550"/>
        <v>24.999999999999982</v>
      </c>
      <c r="CW249" s="113">
        <f t="shared" si="551"/>
        <v>0</v>
      </c>
      <c r="CX249" s="113">
        <f t="shared" si="552"/>
        <v>57.666666666666636</v>
      </c>
      <c r="CY249" s="459">
        <f t="shared" si="553"/>
        <v>0</v>
      </c>
      <c r="CZ249" s="461">
        <f t="shared" si="554"/>
        <v>86.999999999999957</v>
      </c>
      <c r="DA249" s="582">
        <f t="shared" si="555"/>
        <v>58.66666666666665</v>
      </c>
      <c r="DB249" s="113">
        <f t="shared" si="556"/>
        <v>16.000000000000004</v>
      </c>
      <c r="DC249" s="113">
        <f t="shared" si="557"/>
        <v>3.6666666666666665</v>
      </c>
      <c r="DD249" s="113">
        <f t="shared" si="558"/>
        <v>38.999999999999986</v>
      </c>
      <c r="DE249" s="460">
        <f t="shared" si="559"/>
        <v>0</v>
      </c>
      <c r="DF249" s="582">
        <f t="shared" si="560"/>
        <v>28.333333333333332</v>
      </c>
      <c r="DG249" s="113">
        <f t="shared" si="561"/>
        <v>13.000000000000011</v>
      </c>
      <c r="DH249" s="113">
        <f t="shared" si="562"/>
        <v>0</v>
      </c>
      <c r="DI249" s="113">
        <f t="shared" si="563"/>
        <v>12.333333333333329</v>
      </c>
      <c r="DJ249" s="459">
        <f t="shared" si="564"/>
        <v>3</v>
      </c>
      <c r="DK249" s="461">
        <f t="shared" si="565"/>
        <v>17.666666666666664</v>
      </c>
      <c r="DL249" s="582">
        <f t="shared" si="566"/>
        <v>12</v>
      </c>
      <c r="DM249" s="113">
        <f t="shared" si="567"/>
        <v>2.9999999999999996</v>
      </c>
      <c r="DN249" s="113">
        <f t="shared" si="568"/>
        <v>3.666666666666667</v>
      </c>
      <c r="DO249" s="113">
        <f t="shared" si="569"/>
        <v>5.333333333333333</v>
      </c>
      <c r="DP249" s="460">
        <f t="shared" si="570"/>
        <v>0</v>
      </c>
      <c r="DQ249" s="582">
        <f t="shared" si="571"/>
        <v>6.666666666666667</v>
      </c>
      <c r="DR249" s="113">
        <f t="shared" si="572"/>
        <v>1</v>
      </c>
      <c r="DS249" s="113">
        <f t="shared" si="573"/>
        <v>0</v>
      </c>
      <c r="DT249" s="113">
        <f t="shared" si="574"/>
        <v>5.6666666666666661</v>
      </c>
      <c r="DU249" s="459">
        <f t="shared" si="575"/>
        <v>0</v>
      </c>
      <c r="DW249" s="461">
        <f t="shared" si="596"/>
        <v>6470.3333333333348</v>
      </c>
      <c r="DX249" s="582">
        <f t="shared" si="596"/>
        <v>4887.3333333333339</v>
      </c>
      <c r="DY249" s="113">
        <f t="shared" si="596"/>
        <v>1789.3333333333337</v>
      </c>
      <c r="DZ249" s="113">
        <f t="shared" si="596"/>
        <v>134</v>
      </c>
      <c r="EA249" s="113">
        <f t="shared" si="596"/>
        <v>2956</v>
      </c>
      <c r="EB249" s="460">
        <f t="shared" si="596"/>
        <v>8</v>
      </c>
      <c r="EC249" s="582">
        <f t="shared" si="596"/>
        <v>1584.0000000000007</v>
      </c>
      <c r="ED249" s="113">
        <f t="shared" si="596"/>
        <v>447.99999999999972</v>
      </c>
      <c r="EE249" s="113">
        <f t="shared" si="605"/>
        <v>0</v>
      </c>
      <c r="EF249" s="113">
        <f t="shared" si="605"/>
        <v>1047.3333333333335</v>
      </c>
      <c r="EG249" s="459">
        <f t="shared" si="605"/>
        <v>88.666666666666643</v>
      </c>
      <c r="EH249" s="461">
        <f t="shared" si="587"/>
        <v>2184.666666666667</v>
      </c>
      <c r="EI249" s="582">
        <f t="shared" si="587"/>
        <v>1604.9999999999995</v>
      </c>
      <c r="EJ249" s="113">
        <f t="shared" si="587"/>
        <v>588.66666666666663</v>
      </c>
      <c r="EK249" s="113">
        <f t="shared" si="587"/>
        <v>84.333333333333343</v>
      </c>
      <c r="EL249" s="113">
        <f t="shared" si="587"/>
        <v>929.33333333333303</v>
      </c>
      <c r="EM249" s="460">
        <f t="shared" si="587"/>
        <v>2.6666666666666665</v>
      </c>
      <c r="EN249" s="582">
        <f t="shared" si="587"/>
        <v>579.66666666666674</v>
      </c>
      <c r="EO249" s="113">
        <f t="shared" si="587"/>
        <v>118.99999999999991</v>
      </c>
      <c r="EP249" s="113">
        <f t="shared" si="587"/>
        <v>0</v>
      </c>
      <c r="EQ249" s="113">
        <f t="shared" si="587"/>
        <v>436.66666666666674</v>
      </c>
      <c r="ER249" s="459">
        <f t="shared" si="587"/>
        <v>23.999999999999989</v>
      </c>
    </row>
    <row r="250" spans="1:148">
      <c r="A250" s="665" t="s">
        <v>430</v>
      </c>
      <c r="B250" s="665">
        <v>45627</v>
      </c>
      <c r="C250" s="666">
        <v>2024</v>
      </c>
      <c r="D250" s="461">
        <f t="shared" ref="D250:S262" si="607">D139/3+D249</f>
        <v>5594633.9999999981</v>
      </c>
      <c r="E250" s="461">
        <f t="shared" ref="E250:AI250" si="608">E139/3+E249</f>
        <v>210297.00000000003</v>
      </c>
      <c r="F250" s="582">
        <f t="shared" si="608"/>
        <v>154399.99999999994</v>
      </c>
      <c r="G250" s="113">
        <f t="shared" si="608"/>
        <v>57850</v>
      </c>
      <c r="H250" s="113">
        <f t="shared" si="608"/>
        <v>6761</v>
      </c>
      <c r="I250" s="113">
        <f t="shared" si="608"/>
        <v>88828</v>
      </c>
      <c r="J250" s="460">
        <f t="shared" si="608"/>
        <v>961.00000000000011</v>
      </c>
      <c r="K250" s="582">
        <f t="shared" si="608"/>
        <v>55896.999999999971</v>
      </c>
      <c r="L250" s="113">
        <f t="shared" si="608"/>
        <v>16057.000000000009</v>
      </c>
      <c r="M250" s="113">
        <f t="shared" si="608"/>
        <v>0</v>
      </c>
      <c r="N250" s="113">
        <f t="shared" si="608"/>
        <v>36442.000000000015</v>
      </c>
      <c r="O250" s="459">
        <f t="shared" si="608"/>
        <v>3397.9999999999973</v>
      </c>
      <c r="P250" s="461">
        <f t="shared" si="608"/>
        <v>365.00000000000006</v>
      </c>
      <c r="Q250" s="582">
        <f t="shared" si="608"/>
        <v>223</v>
      </c>
      <c r="R250" s="113">
        <f t="shared" si="608"/>
        <v>90.000000000000028</v>
      </c>
      <c r="S250" s="113">
        <f t="shared" si="608"/>
        <v>7.9999999999999991</v>
      </c>
      <c r="T250" s="113">
        <f t="shared" si="608"/>
        <v>123.99999999999999</v>
      </c>
      <c r="U250" s="460">
        <f t="shared" si="608"/>
        <v>1</v>
      </c>
      <c r="V250" s="582">
        <f t="shared" si="608"/>
        <v>142.00000000000006</v>
      </c>
      <c r="W250" s="113">
        <f t="shared" si="608"/>
        <v>33.999999999999993</v>
      </c>
      <c r="X250" s="113">
        <f t="shared" si="608"/>
        <v>0</v>
      </c>
      <c r="Y250" s="113">
        <f t="shared" si="608"/>
        <v>101.00000000000003</v>
      </c>
      <c r="Z250" s="459">
        <f t="shared" si="608"/>
        <v>7</v>
      </c>
      <c r="AA250" s="461">
        <f t="shared" si="608"/>
        <v>202.00000000000014</v>
      </c>
      <c r="AB250" s="582">
        <f t="shared" si="608"/>
        <v>141</v>
      </c>
      <c r="AC250" s="113">
        <f t="shared" si="608"/>
        <v>47.999999999999993</v>
      </c>
      <c r="AD250" s="113">
        <f t="shared" si="608"/>
        <v>8.9999999999999982</v>
      </c>
      <c r="AE250" s="113">
        <f t="shared" si="608"/>
        <v>82.999999999999986</v>
      </c>
      <c r="AF250" s="460">
        <f t="shared" si="608"/>
        <v>1</v>
      </c>
      <c r="AG250" s="582">
        <f t="shared" si="608"/>
        <v>61.000000000000043</v>
      </c>
      <c r="AH250" s="113">
        <f t="shared" si="608"/>
        <v>32.999999999999979</v>
      </c>
      <c r="AI250" s="113">
        <f t="shared" si="608"/>
        <v>0</v>
      </c>
      <c r="AJ250" s="113">
        <f t="shared" ref="AJ250:AY262" si="609">AJ139/3+AJ249</f>
        <v>22.000000000000004</v>
      </c>
      <c r="AK250" s="459">
        <f t="shared" ref="AK250:BP250" si="610">AK139/3+AK249</f>
        <v>5.9999999999999982</v>
      </c>
      <c r="AL250" s="461">
        <f t="shared" si="610"/>
        <v>2252.0000000000005</v>
      </c>
      <c r="AM250" s="582">
        <f t="shared" si="610"/>
        <v>1653.9999999999995</v>
      </c>
      <c r="AN250" s="113">
        <f t="shared" si="610"/>
        <v>598</v>
      </c>
      <c r="AO250" s="113">
        <f t="shared" si="610"/>
        <v>95.000000000000014</v>
      </c>
      <c r="AP250" s="113">
        <f t="shared" si="610"/>
        <v>957.99999999999966</v>
      </c>
      <c r="AQ250" s="460">
        <f t="shared" si="610"/>
        <v>3</v>
      </c>
      <c r="AR250" s="582">
        <f t="shared" si="610"/>
        <v>598.00000000000011</v>
      </c>
      <c r="AS250" s="113">
        <f t="shared" si="610"/>
        <v>119.99999999999991</v>
      </c>
      <c r="AT250" s="113">
        <f t="shared" si="610"/>
        <v>0</v>
      </c>
      <c r="AU250" s="113">
        <f t="shared" si="610"/>
        <v>454.00000000000006</v>
      </c>
      <c r="AV250" s="459">
        <f t="shared" si="610"/>
        <v>23.999999999999989</v>
      </c>
      <c r="AW250" s="461">
        <f t="shared" si="610"/>
        <v>1204</v>
      </c>
      <c r="AX250" s="582">
        <f t="shared" si="610"/>
        <v>906.00000000000011</v>
      </c>
      <c r="AY250" s="113">
        <f t="shared" si="610"/>
        <v>341.00000000000011</v>
      </c>
      <c r="AZ250" s="113">
        <f t="shared" si="610"/>
        <v>33</v>
      </c>
      <c r="BA250" s="113">
        <f t="shared" si="610"/>
        <v>531</v>
      </c>
      <c r="BB250" s="460">
        <f t="shared" si="610"/>
        <v>1</v>
      </c>
      <c r="BC250" s="582">
        <f t="shared" si="610"/>
        <v>298.00000000000011</v>
      </c>
      <c r="BD250" s="113">
        <f t="shared" si="610"/>
        <v>96.999999999999901</v>
      </c>
      <c r="BE250" s="113">
        <f t="shared" si="610"/>
        <v>0</v>
      </c>
      <c r="BF250" s="113">
        <f t="shared" si="610"/>
        <v>186</v>
      </c>
      <c r="BG250" s="459">
        <f t="shared" si="610"/>
        <v>15</v>
      </c>
      <c r="BH250" s="461">
        <f t="shared" si="610"/>
        <v>1622.0000000000002</v>
      </c>
      <c r="BI250" s="582">
        <f t="shared" si="610"/>
        <v>1273.9999999999995</v>
      </c>
      <c r="BJ250" s="113">
        <f t="shared" si="610"/>
        <v>469.00000000000017</v>
      </c>
      <c r="BK250" s="113">
        <f t="shared" si="610"/>
        <v>40.000000000000007</v>
      </c>
      <c r="BL250" s="113">
        <f t="shared" si="610"/>
        <v>762</v>
      </c>
      <c r="BM250" s="460">
        <f t="shared" si="610"/>
        <v>2.9999999999999996</v>
      </c>
      <c r="BN250" s="582">
        <f t="shared" si="610"/>
        <v>348.00000000000017</v>
      </c>
      <c r="BO250" s="113">
        <f t="shared" si="610"/>
        <v>83.999999999999986</v>
      </c>
      <c r="BP250" s="113">
        <f t="shared" si="610"/>
        <v>0</v>
      </c>
      <c r="BQ250" s="113">
        <f t="shared" si="519"/>
        <v>242.00000000000011</v>
      </c>
      <c r="BR250" s="459">
        <f t="shared" si="520"/>
        <v>21.999999999999993</v>
      </c>
      <c r="BS250" s="461">
        <f t="shared" si="521"/>
        <v>2462.9999999999995</v>
      </c>
      <c r="BT250" s="582">
        <f t="shared" si="522"/>
        <v>1905.0000000000005</v>
      </c>
      <c r="BU250" s="113">
        <f t="shared" si="523"/>
        <v>657</v>
      </c>
      <c r="BV250" s="113">
        <f t="shared" si="524"/>
        <v>20.999999999999996</v>
      </c>
      <c r="BW250" s="113">
        <f t="shared" si="525"/>
        <v>1225.0000000000002</v>
      </c>
      <c r="BX250" s="460">
        <f t="shared" si="526"/>
        <v>1.9999999999999998</v>
      </c>
      <c r="BY250" s="582">
        <f t="shared" si="527"/>
        <v>558.00000000000023</v>
      </c>
      <c r="BZ250" s="113">
        <f t="shared" si="528"/>
        <v>136.99999999999983</v>
      </c>
      <c r="CA250" s="113">
        <f t="shared" si="529"/>
        <v>0</v>
      </c>
      <c r="CB250" s="113">
        <f t="shared" si="530"/>
        <v>390.00000000000006</v>
      </c>
      <c r="CC250" s="459">
        <f t="shared" si="531"/>
        <v>30.999999999999979</v>
      </c>
      <c r="CD250" s="461">
        <f t="shared" si="532"/>
        <v>382.99999999999983</v>
      </c>
      <c r="CE250" s="582">
        <f t="shared" si="533"/>
        <v>287.00000000000017</v>
      </c>
      <c r="CF250" s="113">
        <f t="shared" si="534"/>
        <v>97.000000000000028</v>
      </c>
      <c r="CG250" s="113">
        <f t="shared" si="535"/>
        <v>17.000000000000004</v>
      </c>
      <c r="CH250" s="113">
        <f t="shared" si="536"/>
        <v>173</v>
      </c>
      <c r="CI250" s="460">
        <f t="shared" si="537"/>
        <v>0</v>
      </c>
      <c r="CJ250" s="582">
        <f t="shared" si="538"/>
        <v>95.999999999999972</v>
      </c>
      <c r="CK250" s="113">
        <f t="shared" si="539"/>
        <v>25.999999999999996</v>
      </c>
      <c r="CL250" s="113">
        <f t="shared" si="540"/>
        <v>0</v>
      </c>
      <c r="CM250" s="113">
        <f t="shared" si="541"/>
        <v>65</v>
      </c>
      <c r="CN250" s="459">
        <f t="shared" si="542"/>
        <v>4.9999999999999991</v>
      </c>
      <c r="CO250" s="461">
        <f t="shared" si="543"/>
        <v>301.00000000000017</v>
      </c>
      <c r="CP250" s="582">
        <f t="shared" si="544"/>
        <v>215.00000000000011</v>
      </c>
      <c r="CQ250" s="113">
        <f t="shared" si="545"/>
        <v>88.000000000000014</v>
      </c>
      <c r="CR250" s="113">
        <f t="shared" si="546"/>
        <v>13.999999999999998</v>
      </c>
      <c r="CS250" s="113">
        <f t="shared" si="547"/>
        <v>111.99999999999997</v>
      </c>
      <c r="CT250" s="460">
        <f t="shared" si="548"/>
        <v>1</v>
      </c>
      <c r="CU250" s="582">
        <f t="shared" si="549"/>
        <v>86.000000000000043</v>
      </c>
      <c r="CV250" s="113">
        <f t="shared" si="550"/>
        <v>24.999999999999982</v>
      </c>
      <c r="CW250" s="113">
        <f t="shared" si="551"/>
        <v>0</v>
      </c>
      <c r="CX250" s="113">
        <f t="shared" si="552"/>
        <v>60.999999999999972</v>
      </c>
      <c r="CY250" s="459">
        <f t="shared" si="553"/>
        <v>0</v>
      </c>
      <c r="CZ250" s="461">
        <f t="shared" si="554"/>
        <v>88.999999999999957</v>
      </c>
      <c r="DA250" s="582">
        <f t="shared" si="555"/>
        <v>59.999999999999986</v>
      </c>
      <c r="DB250" s="113">
        <f t="shared" si="556"/>
        <v>16.000000000000004</v>
      </c>
      <c r="DC250" s="113">
        <f t="shared" si="557"/>
        <v>4</v>
      </c>
      <c r="DD250" s="113">
        <f t="shared" si="558"/>
        <v>39.999999999999986</v>
      </c>
      <c r="DE250" s="460">
        <f t="shared" si="559"/>
        <v>0</v>
      </c>
      <c r="DF250" s="582">
        <f t="shared" si="560"/>
        <v>29</v>
      </c>
      <c r="DG250" s="113">
        <f t="shared" si="561"/>
        <v>13.000000000000011</v>
      </c>
      <c r="DH250" s="113">
        <f t="shared" si="562"/>
        <v>0</v>
      </c>
      <c r="DI250" s="113">
        <f t="shared" si="563"/>
        <v>12.999999999999995</v>
      </c>
      <c r="DJ250" s="459">
        <f t="shared" si="564"/>
        <v>3</v>
      </c>
      <c r="DK250" s="461">
        <f t="shared" si="565"/>
        <v>18.999999999999996</v>
      </c>
      <c r="DL250" s="582">
        <f t="shared" si="566"/>
        <v>13</v>
      </c>
      <c r="DM250" s="113">
        <f t="shared" si="567"/>
        <v>2.9999999999999996</v>
      </c>
      <c r="DN250" s="113">
        <f t="shared" si="568"/>
        <v>4</v>
      </c>
      <c r="DO250" s="113">
        <f t="shared" si="569"/>
        <v>6</v>
      </c>
      <c r="DP250" s="460">
        <f t="shared" si="570"/>
        <v>0</v>
      </c>
      <c r="DQ250" s="582">
        <f t="shared" si="571"/>
        <v>7</v>
      </c>
      <c r="DR250" s="113">
        <f t="shared" si="572"/>
        <v>1</v>
      </c>
      <c r="DS250" s="113">
        <f t="shared" si="573"/>
        <v>0</v>
      </c>
      <c r="DT250" s="113">
        <f t="shared" si="574"/>
        <v>5.9999999999999991</v>
      </c>
      <c r="DU250" s="459">
        <f t="shared" si="575"/>
        <v>0</v>
      </c>
      <c r="DW250" s="461">
        <f t="shared" si="596"/>
        <v>6648</v>
      </c>
      <c r="DX250" s="582">
        <f t="shared" si="596"/>
        <v>5024</v>
      </c>
      <c r="DY250" s="113">
        <f t="shared" si="596"/>
        <v>1809.0000000000002</v>
      </c>
      <c r="DZ250" s="113">
        <f t="shared" si="596"/>
        <v>150</v>
      </c>
      <c r="EA250" s="113">
        <f t="shared" si="596"/>
        <v>3056</v>
      </c>
      <c r="EB250" s="460">
        <f t="shared" si="596"/>
        <v>9</v>
      </c>
      <c r="EC250" s="582">
        <f t="shared" si="596"/>
        <v>1625.0000000000007</v>
      </c>
      <c r="ED250" s="113">
        <f t="shared" si="596"/>
        <v>449.99999999999972</v>
      </c>
      <c r="EE250" s="113">
        <f t="shared" si="605"/>
        <v>0</v>
      </c>
      <c r="EF250" s="113">
        <f t="shared" si="605"/>
        <v>1086.0000000000002</v>
      </c>
      <c r="EG250" s="459">
        <f t="shared" si="605"/>
        <v>88.999999999999972</v>
      </c>
      <c r="EH250" s="461">
        <f t="shared" si="587"/>
        <v>2252.0000000000005</v>
      </c>
      <c r="EI250" s="582">
        <f t="shared" si="587"/>
        <v>1653.9999999999995</v>
      </c>
      <c r="EJ250" s="113">
        <f t="shared" si="587"/>
        <v>598</v>
      </c>
      <c r="EK250" s="113">
        <f t="shared" si="587"/>
        <v>95.000000000000014</v>
      </c>
      <c r="EL250" s="113">
        <f t="shared" si="587"/>
        <v>957.99999999999966</v>
      </c>
      <c r="EM250" s="460">
        <f t="shared" si="587"/>
        <v>3</v>
      </c>
      <c r="EN250" s="582">
        <f t="shared" si="587"/>
        <v>598.00000000000011</v>
      </c>
      <c r="EO250" s="113">
        <f t="shared" si="587"/>
        <v>119.99999999999991</v>
      </c>
      <c r="EP250" s="113">
        <f t="shared" si="587"/>
        <v>0</v>
      </c>
      <c r="EQ250" s="113">
        <f t="shared" si="587"/>
        <v>454.00000000000006</v>
      </c>
      <c r="ER250" s="459">
        <f t="shared" si="587"/>
        <v>23.999999999999989</v>
      </c>
    </row>
    <row r="251" spans="1:148">
      <c r="A251" s="665" t="str">
        <f>A140</f>
        <v>Q1 2025</v>
      </c>
      <c r="B251" s="665">
        <f t="shared" ref="B251:C251" si="611">B140</f>
        <v>45658</v>
      </c>
      <c r="C251" s="666">
        <f t="shared" si="611"/>
        <v>2025</v>
      </c>
      <c r="D251" s="461">
        <f t="shared" si="607"/>
        <v>5652522.9999999981</v>
      </c>
      <c r="E251" s="461">
        <f t="shared" si="607"/>
        <v>214299.00000000003</v>
      </c>
      <c r="F251" s="582">
        <f t="shared" si="607"/>
        <v>157216.6666666666</v>
      </c>
      <c r="G251" s="113">
        <f t="shared" si="607"/>
        <v>58223.666666666664</v>
      </c>
      <c r="H251" s="113">
        <f t="shared" si="607"/>
        <v>7157</v>
      </c>
      <c r="I251" s="113">
        <f t="shared" si="607"/>
        <v>90825</v>
      </c>
      <c r="J251" s="460">
        <f t="shared" si="607"/>
        <v>1011.0000000000001</v>
      </c>
      <c r="K251" s="582">
        <f t="shared" si="607"/>
        <v>57082.333333333307</v>
      </c>
      <c r="L251" s="113">
        <f t="shared" si="607"/>
        <v>16191.666666666675</v>
      </c>
      <c r="M251" s="113">
        <f t="shared" si="607"/>
        <v>0</v>
      </c>
      <c r="N251" s="113">
        <f t="shared" si="607"/>
        <v>37462.33333333335</v>
      </c>
      <c r="O251" s="459">
        <f t="shared" si="607"/>
        <v>3428.3333333333308</v>
      </c>
      <c r="P251" s="461">
        <f t="shared" si="607"/>
        <v>376.66666666666674</v>
      </c>
      <c r="Q251" s="582">
        <f t="shared" si="607"/>
        <v>230.33333333333334</v>
      </c>
      <c r="R251" s="113">
        <f t="shared" si="607"/>
        <v>90.333333333333357</v>
      </c>
      <c r="S251" s="113">
        <f t="shared" si="607"/>
        <v>9.3333333333333321</v>
      </c>
      <c r="T251" s="113">
        <f t="shared" ref="T251:AI251" si="612">T140/3+T250</f>
        <v>129.33333333333331</v>
      </c>
      <c r="U251" s="460">
        <f t="shared" si="612"/>
        <v>1.3333333333333333</v>
      </c>
      <c r="V251" s="582">
        <f t="shared" si="612"/>
        <v>146.3333333333334</v>
      </c>
      <c r="W251" s="113">
        <f t="shared" si="612"/>
        <v>33.999999999999993</v>
      </c>
      <c r="X251" s="113">
        <f t="shared" si="612"/>
        <v>0</v>
      </c>
      <c r="Y251" s="113">
        <f t="shared" si="612"/>
        <v>105.00000000000003</v>
      </c>
      <c r="Z251" s="459">
        <f t="shared" si="612"/>
        <v>7.333333333333333</v>
      </c>
      <c r="AA251" s="461">
        <f t="shared" si="612"/>
        <v>205.6666666666668</v>
      </c>
      <c r="AB251" s="582">
        <f t="shared" si="612"/>
        <v>143.66666666666666</v>
      </c>
      <c r="AC251" s="113">
        <f t="shared" si="612"/>
        <v>48.333333333333329</v>
      </c>
      <c r="AD251" s="113">
        <f t="shared" si="612"/>
        <v>9.3333333333333321</v>
      </c>
      <c r="AE251" s="113">
        <f t="shared" si="612"/>
        <v>84.999999999999986</v>
      </c>
      <c r="AF251" s="460">
        <f t="shared" si="612"/>
        <v>1</v>
      </c>
      <c r="AG251" s="582">
        <f t="shared" si="612"/>
        <v>62.000000000000043</v>
      </c>
      <c r="AH251" s="113">
        <f t="shared" si="612"/>
        <v>32.999999999999979</v>
      </c>
      <c r="AI251" s="113">
        <f t="shared" si="612"/>
        <v>0</v>
      </c>
      <c r="AJ251" s="113">
        <f t="shared" si="609"/>
        <v>23.000000000000004</v>
      </c>
      <c r="AK251" s="459">
        <f t="shared" si="609"/>
        <v>5.9999999999999982</v>
      </c>
      <c r="AL251" s="461">
        <f t="shared" si="609"/>
        <v>2291.3333333333339</v>
      </c>
      <c r="AM251" s="582">
        <f t="shared" si="609"/>
        <v>1675.9999999999995</v>
      </c>
      <c r="AN251" s="113">
        <f t="shared" si="609"/>
        <v>601</v>
      </c>
      <c r="AO251" s="113">
        <f t="shared" si="609"/>
        <v>96.666666666666686</v>
      </c>
      <c r="AP251" s="113">
        <f t="shared" si="609"/>
        <v>975.33333333333303</v>
      </c>
      <c r="AQ251" s="460">
        <f t="shared" si="609"/>
        <v>3</v>
      </c>
      <c r="AR251" s="582">
        <f t="shared" si="609"/>
        <v>615.33333333333348</v>
      </c>
      <c r="AS251" s="113">
        <f t="shared" si="609"/>
        <v>122.33333333333324</v>
      </c>
      <c r="AT251" s="113">
        <f t="shared" si="609"/>
        <v>0</v>
      </c>
      <c r="AU251" s="113">
        <f t="shared" si="609"/>
        <v>469.00000000000006</v>
      </c>
      <c r="AV251" s="459">
        <f t="shared" si="609"/>
        <v>23.999999999999989</v>
      </c>
      <c r="AW251" s="461">
        <f t="shared" si="609"/>
        <v>1226.3333333333333</v>
      </c>
      <c r="AX251" s="582">
        <f t="shared" si="609"/>
        <v>924.00000000000011</v>
      </c>
      <c r="AY251" s="113">
        <f t="shared" si="609"/>
        <v>343.33333333333343</v>
      </c>
      <c r="AZ251" s="113">
        <f t="shared" ref="AZ251:DK251" si="613">AZ140/3+AZ250</f>
        <v>34.666666666666664</v>
      </c>
      <c r="BA251" s="113">
        <f t="shared" si="613"/>
        <v>545</v>
      </c>
      <c r="BB251" s="460">
        <f t="shared" si="613"/>
        <v>1</v>
      </c>
      <c r="BC251" s="582">
        <f t="shared" si="613"/>
        <v>302.33333333333343</v>
      </c>
      <c r="BD251" s="113">
        <f t="shared" si="613"/>
        <v>96.999999999999901</v>
      </c>
      <c r="BE251" s="113">
        <f t="shared" si="613"/>
        <v>0</v>
      </c>
      <c r="BF251" s="113">
        <f t="shared" si="613"/>
        <v>190.33333333333334</v>
      </c>
      <c r="BG251" s="459">
        <f t="shared" si="613"/>
        <v>15</v>
      </c>
      <c r="BH251" s="461">
        <f t="shared" si="613"/>
        <v>1650.3333333333335</v>
      </c>
      <c r="BI251" s="582">
        <f t="shared" si="613"/>
        <v>1294.3333333333328</v>
      </c>
      <c r="BJ251" s="113">
        <f t="shared" si="613"/>
        <v>471.66666666666686</v>
      </c>
      <c r="BK251" s="113">
        <f t="shared" si="613"/>
        <v>41.666666666666671</v>
      </c>
      <c r="BL251" s="113">
        <f t="shared" si="613"/>
        <v>778</v>
      </c>
      <c r="BM251" s="460">
        <f t="shared" si="613"/>
        <v>2.9999999999999996</v>
      </c>
      <c r="BN251" s="582">
        <f t="shared" si="613"/>
        <v>356.00000000000017</v>
      </c>
      <c r="BO251" s="113">
        <f t="shared" si="613"/>
        <v>84.666666666666657</v>
      </c>
      <c r="BP251" s="113">
        <f t="shared" si="613"/>
        <v>0</v>
      </c>
      <c r="BQ251" s="113">
        <f t="shared" si="613"/>
        <v>249.33333333333346</v>
      </c>
      <c r="BR251" s="459">
        <f t="shared" si="613"/>
        <v>21.999999999999993</v>
      </c>
      <c r="BS251" s="461">
        <f t="shared" si="613"/>
        <v>2512.9999999999995</v>
      </c>
      <c r="BT251" s="582">
        <f t="shared" si="613"/>
        <v>1945.6666666666672</v>
      </c>
      <c r="BU251" s="113">
        <f t="shared" si="613"/>
        <v>663.66666666666663</v>
      </c>
      <c r="BV251" s="113">
        <f t="shared" si="613"/>
        <v>24.333333333333329</v>
      </c>
      <c r="BW251" s="113">
        <f t="shared" si="613"/>
        <v>1255.0000000000002</v>
      </c>
      <c r="BX251" s="460">
        <f t="shared" si="613"/>
        <v>2.6666666666666665</v>
      </c>
      <c r="BY251" s="582">
        <f t="shared" si="613"/>
        <v>567.3333333333336</v>
      </c>
      <c r="BZ251" s="113">
        <f t="shared" si="613"/>
        <v>137.66666666666649</v>
      </c>
      <c r="CA251" s="113">
        <f t="shared" si="613"/>
        <v>0</v>
      </c>
      <c r="CB251" s="113">
        <f t="shared" si="613"/>
        <v>398.66666666666674</v>
      </c>
      <c r="CC251" s="459">
        <f t="shared" si="613"/>
        <v>30.999999999999979</v>
      </c>
      <c r="CD251" s="461">
        <f t="shared" si="613"/>
        <v>388.99999999999983</v>
      </c>
      <c r="CE251" s="582">
        <f t="shared" si="613"/>
        <v>291.33333333333348</v>
      </c>
      <c r="CF251" s="113">
        <f t="shared" si="613"/>
        <v>97.333333333333357</v>
      </c>
      <c r="CG251" s="113">
        <f t="shared" si="613"/>
        <v>17.666666666666671</v>
      </c>
      <c r="CH251" s="113">
        <f t="shared" si="613"/>
        <v>176.33333333333334</v>
      </c>
      <c r="CI251" s="460">
        <f t="shared" si="613"/>
        <v>0</v>
      </c>
      <c r="CJ251" s="582">
        <f t="shared" si="613"/>
        <v>97.666666666666643</v>
      </c>
      <c r="CK251" s="113">
        <f t="shared" si="613"/>
        <v>25.999999999999996</v>
      </c>
      <c r="CL251" s="113">
        <f t="shared" si="613"/>
        <v>0</v>
      </c>
      <c r="CM251" s="113">
        <f t="shared" si="613"/>
        <v>66.666666666666671</v>
      </c>
      <c r="CN251" s="459">
        <f t="shared" si="613"/>
        <v>4.9999999999999991</v>
      </c>
      <c r="CO251" s="461">
        <f t="shared" si="613"/>
        <v>310.33333333333348</v>
      </c>
      <c r="CP251" s="582">
        <f t="shared" si="613"/>
        <v>221.66666666666677</v>
      </c>
      <c r="CQ251" s="113">
        <f t="shared" si="613"/>
        <v>88.333333333333343</v>
      </c>
      <c r="CR251" s="113">
        <f t="shared" si="613"/>
        <v>17.666666666666664</v>
      </c>
      <c r="CS251" s="113">
        <f t="shared" si="613"/>
        <v>114.66666666666664</v>
      </c>
      <c r="CT251" s="460">
        <f t="shared" si="613"/>
        <v>1</v>
      </c>
      <c r="CU251" s="582">
        <f t="shared" si="613"/>
        <v>88.666666666666714</v>
      </c>
      <c r="CV251" s="113">
        <f t="shared" si="613"/>
        <v>25.333333333333314</v>
      </c>
      <c r="CW251" s="113">
        <f t="shared" si="613"/>
        <v>0</v>
      </c>
      <c r="CX251" s="113">
        <f t="shared" si="613"/>
        <v>63.333333333333307</v>
      </c>
      <c r="CY251" s="459">
        <f t="shared" si="613"/>
        <v>0</v>
      </c>
      <c r="CZ251" s="461">
        <f t="shared" si="613"/>
        <v>90.666666666666629</v>
      </c>
      <c r="DA251" s="582">
        <f t="shared" si="613"/>
        <v>61.333333333333321</v>
      </c>
      <c r="DB251" s="113">
        <f t="shared" si="613"/>
        <v>16.000000000000004</v>
      </c>
      <c r="DC251" s="113">
        <f t="shared" si="613"/>
        <v>4</v>
      </c>
      <c r="DD251" s="113">
        <f t="shared" si="613"/>
        <v>41.333333333333321</v>
      </c>
      <c r="DE251" s="460">
        <f t="shared" si="613"/>
        <v>0</v>
      </c>
      <c r="DF251" s="582">
        <f t="shared" si="613"/>
        <v>29.333333333333332</v>
      </c>
      <c r="DG251" s="113">
        <f t="shared" si="613"/>
        <v>13.000000000000011</v>
      </c>
      <c r="DH251" s="113">
        <f t="shared" si="613"/>
        <v>0</v>
      </c>
      <c r="DI251" s="113">
        <f t="shared" si="613"/>
        <v>13.333333333333329</v>
      </c>
      <c r="DJ251" s="459">
        <f t="shared" si="613"/>
        <v>3</v>
      </c>
      <c r="DK251" s="461">
        <f t="shared" si="613"/>
        <v>19.666666666666664</v>
      </c>
      <c r="DL251" s="582">
        <f t="shared" ref="DL251:DU251" si="614">DL140/3+DL250</f>
        <v>13.333333333333334</v>
      </c>
      <c r="DM251" s="113">
        <f t="shared" si="614"/>
        <v>3.333333333333333</v>
      </c>
      <c r="DN251" s="113">
        <f t="shared" si="614"/>
        <v>4</v>
      </c>
      <c r="DO251" s="113">
        <f t="shared" si="614"/>
        <v>6</v>
      </c>
      <c r="DP251" s="460">
        <f t="shared" si="614"/>
        <v>0</v>
      </c>
      <c r="DQ251" s="582">
        <f t="shared" si="614"/>
        <v>7.333333333333333</v>
      </c>
      <c r="DR251" s="113">
        <f t="shared" si="614"/>
        <v>1</v>
      </c>
      <c r="DS251" s="113">
        <f t="shared" si="614"/>
        <v>0</v>
      </c>
      <c r="DT251" s="113">
        <f t="shared" si="614"/>
        <v>6.3333333333333321</v>
      </c>
      <c r="DU251" s="459">
        <f t="shared" si="614"/>
        <v>0</v>
      </c>
      <c r="DW251" s="461">
        <f t="shared" ref="DW251:DW262" si="615">P251+AA251+AW251+BH251+BS251+CD251+CO251+CZ251+DK251</f>
        <v>6781.6666666666679</v>
      </c>
      <c r="DX251" s="582">
        <f t="shared" ref="DX251:DX262" si="616">Q251+AB251+AX251+BI251+BT251+CE251+CP251+DA251+DL251</f>
        <v>5125.666666666667</v>
      </c>
      <c r="DY251" s="113">
        <f t="shared" ref="DY251:DY262" si="617">R251+AC251+AY251+BJ251+BU251+CF251+CQ251+DB251+DM251</f>
        <v>1822.3333333333333</v>
      </c>
      <c r="DZ251" s="113">
        <f t="shared" ref="DZ251:DZ262" si="618">S251+AD251+AZ251+BK251+BV251+CG251+CR251+DC251+DN251</f>
        <v>162.66666666666666</v>
      </c>
      <c r="EA251" s="113">
        <f t="shared" ref="EA251:EA262" si="619">T251+AE251+BA251+BL251+BW251+CH251+CS251+DD251+DO251</f>
        <v>3130.666666666667</v>
      </c>
      <c r="EB251" s="460">
        <f t="shared" ref="EB251:EB262" si="620">U251+AF251+BB251+BM251+BX251+CI251+CT251+DE251+DP251</f>
        <v>9.9999999999999982</v>
      </c>
      <c r="EC251" s="582">
        <f t="shared" ref="EC251:EC262" si="621">V251+AG251+BC251+BN251+BY251+CJ251+CU251+DF251+DQ251</f>
        <v>1657.0000000000005</v>
      </c>
      <c r="ED251" s="113">
        <f t="shared" ref="ED251:ED262" si="622">W251+AH251+BD251+BO251+BZ251+CK251+CV251+DG251+DR251</f>
        <v>451.66666666666634</v>
      </c>
      <c r="EE251" s="113">
        <f t="shared" ref="EE251:EE262" si="623">X251+AI251+BE251+BP251+CA251+CL251+CW251+DH251+DS251</f>
        <v>0</v>
      </c>
      <c r="EF251" s="113">
        <f t="shared" ref="EF251:EF262" si="624">Y251+AJ251+BF251+BQ251+CB251+CM251+CX251+DI251+DT251</f>
        <v>1116</v>
      </c>
      <c r="EG251" s="459">
        <f t="shared" ref="EG251:EG262" si="625">Z251+AK251+BG251+BR251+CC251+CN251+CY251+DJ251+DU251</f>
        <v>89.333333333333314</v>
      </c>
      <c r="EH251" s="461">
        <f t="shared" ref="EH251:EH262" si="626">AL251</f>
        <v>2291.3333333333339</v>
      </c>
      <c r="EI251" s="582">
        <f t="shared" ref="EI251:EI262" si="627">AM251</f>
        <v>1675.9999999999995</v>
      </c>
      <c r="EJ251" s="113">
        <f t="shared" ref="EJ251:EJ262" si="628">AN251</f>
        <v>601</v>
      </c>
      <c r="EK251" s="113">
        <f t="shared" ref="EK251:EK262" si="629">AO251</f>
        <v>96.666666666666686</v>
      </c>
      <c r="EL251" s="113">
        <f t="shared" ref="EL251:EL262" si="630">AP251</f>
        <v>975.33333333333303</v>
      </c>
      <c r="EM251" s="460">
        <f t="shared" ref="EM251:EM262" si="631">AQ251</f>
        <v>3</v>
      </c>
      <c r="EN251" s="582">
        <f t="shared" ref="EN251:EN262" si="632">AR251</f>
        <v>615.33333333333348</v>
      </c>
      <c r="EO251" s="113">
        <f t="shared" ref="EO251:EO262" si="633">AS251</f>
        <v>122.33333333333324</v>
      </c>
      <c r="EP251" s="113">
        <f t="shared" ref="EP251:EP262" si="634">AT251</f>
        <v>0</v>
      </c>
      <c r="EQ251" s="113">
        <f t="shared" ref="EQ251:EQ262" si="635">AU251</f>
        <v>469.00000000000006</v>
      </c>
      <c r="ER251" s="459">
        <f t="shared" ref="ER251:ER262" si="636">AV251</f>
        <v>23.999999999999989</v>
      </c>
    </row>
    <row r="252" spans="1:148">
      <c r="A252" s="665" t="str">
        <f t="shared" ref="A252:C252" si="637">A141</f>
        <v>Q1 2025</v>
      </c>
      <c r="B252" s="665">
        <f t="shared" si="637"/>
        <v>45689</v>
      </c>
      <c r="C252" s="666">
        <f t="shared" si="637"/>
        <v>2025</v>
      </c>
      <c r="D252" s="461">
        <f t="shared" si="607"/>
        <v>5710411.9999999981</v>
      </c>
      <c r="E252" s="461">
        <f t="shared" si="607"/>
        <v>218301.00000000003</v>
      </c>
      <c r="F252" s="582">
        <f t="shared" si="607"/>
        <v>160033.33333333326</v>
      </c>
      <c r="G252" s="113">
        <f t="shared" si="607"/>
        <v>58597.333333333328</v>
      </c>
      <c r="H252" s="113">
        <f t="shared" si="607"/>
        <v>7553</v>
      </c>
      <c r="I252" s="113">
        <f t="shared" si="607"/>
        <v>92822</v>
      </c>
      <c r="J252" s="460">
        <f t="shared" si="607"/>
        <v>1061</v>
      </c>
      <c r="K252" s="582">
        <f t="shared" si="607"/>
        <v>58267.666666666642</v>
      </c>
      <c r="L252" s="113">
        <f t="shared" si="607"/>
        <v>16326.333333333341</v>
      </c>
      <c r="M252" s="113">
        <f t="shared" si="607"/>
        <v>0</v>
      </c>
      <c r="N252" s="113">
        <f t="shared" si="607"/>
        <v>38482.666666666686</v>
      </c>
      <c r="O252" s="459">
        <f t="shared" si="607"/>
        <v>3458.6666666666642</v>
      </c>
      <c r="P252" s="461">
        <f t="shared" si="607"/>
        <v>388.33333333333343</v>
      </c>
      <c r="Q252" s="582">
        <f t="shared" si="607"/>
        <v>237.66666666666669</v>
      </c>
      <c r="R252" s="113">
        <f t="shared" si="607"/>
        <v>90.666666666666686</v>
      </c>
      <c r="S252" s="113">
        <f t="shared" si="607"/>
        <v>10.666666666666666</v>
      </c>
      <c r="T252" s="113">
        <f t="shared" ref="T252:AI252" si="638">T141/3+T251</f>
        <v>134.66666666666666</v>
      </c>
      <c r="U252" s="460">
        <f t="shared" si="638"/>
        <v>1.6666666666666665</v>
      </c>
      <c r="V252" s="582">
        <f t="shared" si="638"/>
        <v>150.66666666666674</v>
      </c>
      <c r="W252" s="113">
        <f t="shared" si="638"/>
        <v>33.999999999999993</v>
      </c>
      <c r="X252" s="113">
        <f t="shared" si="638"/>
        <v>0</v>
      </c>
      <c r="Y252" s="113">
        <f t="shared" si="638"/>
        <v>109.00000000000003</v>
      </c>
      <c r="Z252" s="459">
        <f t="shared" si="638"/>
        <v>7.6666666666666661</v>
      </c>
      <c r="AA252" s="461">
        <f t="shared" si="638"/>
        <v>209.33333333333346</v>
      </c>
      <c r="AB252" s="582">
        <f t="shared" si="638"/>
        <v>146.33333333333331</v>
      </c>
      <c r="AC252" s="113">
        <f t="shared" si="638"/>
        <v>48.666666666666664</v>
      </c>
      <c r="AD252" s="113">
        <f t="shared" si="638"/>
        <v>9.6666666666666661</v>
      </c>
      <c r="AE252" s="113">
        <f t="shared" si="638"/>
        <v>86.999999999999986</v>
      </c>
      <c r="AF252" s="460">
        <f t="shared" si="638"/>
        <v>1</v>
      </c>
      <c r="AG252" s="582">
        <f t="shared" si="638"/>
        <v>63.000000000000043</v>
      </c>
      <c r="AH252" s="113">
        <f t="shared" si="638"/>
        <v>32.999999999999979</v>
      </c>
      <c r="AI252" s="113">
        <f t="shared" si="638"/>
        <v>0</v>
      </c>
      <c r="AJ252" s="113">
        <f t="shared" si="609"/>
        <v>24.000000000000004</v>
      </c>
      <c r="AK252" s="459">
        <f t="shared" si="609"/>
        <v>5.9999999999999982</v>
      </c>
      <c r="AL252" s="461">
        <f t="shared" si="609"/>
        <v>2330.6666666666674</v>
      </c>
      <c r="AM252" s="582">
        <f t="shared" si="609"/>
        <v>1697.9999999999995</v>
      </c>
      <c r="AN252" s="113">
        <f t="shared" si="609"/>
        <v>604</v>
      </c>
      <c r="AO252" s="113">
        <f t="shared" si="609"/>
        <v>98.333333333333357</v>
      </c>
      <c r="AP252" s="113">
        <f t="shared" si="609"/>
        <v>992.6666666666664</v>
      </c>
      <c r="AQ252" s="460">
        <f t="shared" si="609"/>
        <v>3</v>
      </c>
      <c r="AR252" s="582">
        <f t="shared" si="609"/>
        <v>632.66666666666686</v>
      </c>
      <c r="AS252" s="113">
        <f t="shared" si="609"/>
        <v>124.66666666666657</v>
      </c>
      <c r="AT252" s="113">
        <f t="shared" si="609"/>
        <v>0</v>
      </c>
      <c r="AU252" s="113">
        <f t="shared" si="609"/>
        <v>484.00000000000006</v>
      </c>
      <c r="AV252" s="459">
        <f t="shared" si="609"/>
        <v>23.999999999999989</v>
      </c>
      <c r="AW252" s="461">
        <f t="shared" si="609"/>
        <v>1248.6666666666665</v>
      </c>
      <c r="AX252" s="582">
        <f t="shared" si="609"/>
        <v>942.00000000000011</v>
      </c>
      <c r="AY252" s="113">
        <f t="shared" si="609"/>
        <v>345.66666666666674</v>
      </c>
      <c r="AZ252" s="113">
        <f t="shared" ref="AZ252:DK252" si="639">AZ141/3+AZ251</f>
        <v>36.333333333333329</v>
      </c>
      <c r="BA252" s="113">
        <f t="shared" si="639"/>
        <v>559</v>
      </c>
      <c r="BB252" s="460">
        <f t="shared" si="639"/>
        <v>1</v>
      </c>
      <c r="BC252" s="582">
        <f t="shared" si="639"/>
        <v>306.66666666666674</v>
      </c>
      <c r="BD252" s="113">
        <f t="shared" si="639"/>
        <v>96.999999999999901</v>
      </c>
      <c r="BE252" s="113">
        <f t="shared" si="639"/>
        <v>0</v>
      </c>
      <c r="BF252" s="113">
        <f t="shared" si="639"/>
        <v>194.66666666666669</v>
      </c>
      <c r="BG252" s="459">
        <f t="shared" si="639"/>
        <v>15</v>
      </c>
      <c r="BH252" s="461">
        <f t="shared" si="639"/>
        <v>1678.6666666666667</v>
      </c>
      <c r="BI252" s="582">
        <f t="shared" si="639"/>
        <v>1314.6666666666661</v>
      </c>
      <c r="BJ252" s="113">
        <f t="shared" si="639"/>
        <v>474.33333333333354</v>
      </c>
      <c r="BK252" s="113">
        <f t="shared" si="639"/>
        <v>43.333333333333336</v>
      </c>
      <c r="BL252" s="113">
        <f t="shared" si="639"/>
        <v>794</v>
      </c>
      <c r="BM252" s="460">
        <f t="shared" si="639"/>
        <v>2.9999999999999996</v>
      </c>
      <c r="BN252" s="582">
        <f t="shared" si="639"/>
        <v>364.00000000000017</v>
      </c>
      <c r="BO252" s="113">
        <f t="shared" si="639"/>
        <v>85.333333333333329</v>
      </c>
      <c r="BP252" s="113">
        <f t="shared" si="639"/>
        <v>0</v>
      </c>
      <c r="BQ252" s="113">
        <f t="shared" si="639"/>
        <v>256.6666666666668</v>
      </c>
      <c r="BR252" s="459">
        <f t="shared" si="639"/>
        <v>21.999999999999993</v>
      </c>
      <c r="BS252" s="461">
        <f t="shared" si="639"/>
        <v>2562.9999999999995</v>
      </c>
      <c r="BT252" s="582">
        <f t="shared" si="639"/>
        <v>1986.3333333333339</v>
      </c>
      <c r="BU252" s="113">
        <f t="shared" si="639"/>
        <v>670.33333333333326</v>
      </c>
      <c r="BV252" s="113">
        <f t="shared" si="639"/>
        <v>27.666666666666661</v>
      </c>
      <c r="BW252" s="113">
        <f t="shared" si="639"/>
        <v>1285.0000000000002</v>
      </c>
      <c r="BX252" s="460">
        <f t="shared" si="639"/>
        <v>3.333333333333333</v>
      </c>
      <c r="BY252" s="582">
        <f t="shared" si="639"/>
        <v>576.66666666666697</v>
      </c>
      <c r="BZ252" s="113">
        <f t="shared" si="639"/>
        <v>138.33333333333314</v>
      </c>
      <c r="CA252" s="113">
        <f t="shared" si="639"/>
        <v>0</v>
      </c>
      <c r="CB252" s="113">
        <f t="shared" si="639"/>
        <v>407.33333333333343</v>
      </c>
      <c r="CC252" s="459">
        <f t="shared" si="639"/>
        <v>30.999999999999979</v>
      </c>
      <c r="CD252" s="461">
        <f t="shared" si="639"/>
        <v>394.99999999999983</v>
      </c>
      <c r="CE252" s="582">
        <f t="shared" si="639"/>
        <v>295.6666666666668</v>
      </c>
      <c r="CF252" s="113">
        <f t="shared" si="639"/>
        <v>97.666666666666686</v>
      </c>
      <c r="CG252" s="113">
        <f t="shared" si="639"/>
        <v>18.333333333333339</v>
      </c>
      <c r="CH252" s="113">
        <f t="shared" si="639"/>
        <v>179.66666666666669</v>
      </c>
      <c r="CI252" s="460">
        <f t="shared" si="639"/>
        <v>0</v>
      </c>
      <c r="CJ252" s="582">
        <f t="shared" si="639"/>
        <v>99.333333333333314</v>
      </c>
      <c r="CK252" s="113">
        <f t="shared" si="639"/>
        <v>25.999999999999996</v>
      </c>
      <c r="CL252" s="113">
        <f t="shared" si="639"/>
        <v>0</v>
      </c>
      <c r="CM252" s="113">
        <f t="shared" si="639"/>
        <v>68.333333333333343</v>
      </c>
      <c r="CN252" s="459">
        <f t="shared" si="639"/>
        <v>4.9999999999999991</v>
      </c>
      <c r="CO252" s="461">
        <f t="shared" si="639"/>
        <v>319.6666666666668</v>
      </c>
      <c r="CP252" s="582">
        <f t="shared" si="639"/>
        <v>228.33333333333343</v>
      </c>
      <c r="CQ252" s="113">
        <f t="shared" si="639"/>
        <v>88.666666666666671</v>
      </c>
      <c r="CR252" s="113">
        <f t="shared" si="639"/>
        <v>21.333333333333332</v>
      </c>
      <c r="CS252" s="113">
        <f t="shared" si="639"/>
        <v>117.33333333333331</v>
      </c>
      <c r="CT252" s="460">
        <f t="shared" si="639"/>
        <v>1</v>
      </c>
      <c r="CU252" s="582">
        <f t="shared" si="639"/>
        <v>91.333333333333385</v>
      </c>
      <c r="CV252" s="113">
        <f t="shared" si="639"/>
        <v>25.666666666666647</v>
      </c>
      <c r="CW252" s="113">
        <f t="shared" si="639"/>
        <v>0</v>
      </c>
      <c r="CX252" s="113">
        <f t="shared" si="639"/>
        <v>65.666666666666643</v>
      </c>
      <c r="CY252" s="459">
        <f t="shared" si="639"/>
        <v>0</v>
      </c>
      <c r="CZ252" s="461">
        <f t="shared" si="639"/>
        <v>92.3333333333333</v>
      </c>
      <c r="DA252" s="582">
        <f t="shared" si="639"/>
        <v>62.666666666666657</v>
      </c>
      <c r="DB252" s="113">
        <f t="shared" si="639"/>
        <v>16.000000000000004</v>
      </c>
      <c r="DC252" s="113">
        <f t="shared" si="639"/>
        <v>4</v>
      </c>
      <c r="DD252" s="113">
        <f t="shared" si="639"/>
        <v>42.666666666666657</v>
      </c>
      <c r="DE252" s="460">
        <f t="shared" si="639"/>
        <v>0</v>
      </c>
      <c r="DF252" s="582">
        <f t="shared" si="639"/>
        <v>29.666666666666664</v>
      </c>
      <c r="DG252" s="113">
        <f t="shared" si="639"/>
        <v>13.000000000000011</v>
      </c>
      <c r="DH252" s="113">
        <f t="shared" si="639"/>
        <v>0</v>
      </c>
      <c r="DI252" s="113">
        <f t="shared" si="639"/>
        <v>13.666666666666663</v>
      </c>
      <c r="DJ252" s="459">
        <f t="shared" si="639"/>
        <v>3</v>
      </c>
      <c r="DK252" s="461">
        <f t="shared" si="639"/>
        <v>20.333333333333332</v>
      </c>
      <c r="DL252" s="582">
        <f t="shared" ref="DL252:DU252" si="640">DL141/3+DL251</f>
        <v>13.666666666666668</v>
      </c>
      <c r="DM252" s="113">
        <f t="shared" si="640"/>
        <v>3.6666666666666665</v>
      </c>
      <c r="DN252" s="113">
        <f t="shared" si="640"/>
        <v>4</v>
      </c>
      <c r="DO252" s="113">
        <f t="shared" si="640"/>
        <v>6</v>
      </c>
      <c r="DP252" s="460">
        <f t="shared" si="640"/>
        <v>0</v>
      </c>
      <c r="DQ252" s="582">
        <f t="shared" si="640"/>
        <v>7.6666666666666661</v>
      </c>
      <c r="DR252" s="113">
        <f t="shared" si="640"/>
        <v>1</v>
      </c>
      <c r="DS252" s="113">
        <f t="shared" si="640"/>
        <v>0</v>
      </c>
      <c r="DT252" s="113">
        <f t="shared" si="640"/>
        <v>6.6666666666666652</v>
      </c>
      <c r="DU252" s="459">
        <f t="shared" si="640"/>
        <v>0</v>
      </c>
      <c r="DW252" s="461">
        <f t="shared" si="615"/>
        <v>6915.333333333333</v>
      </c>
      <c r="DX252" s="582">
        <f t="shared" si="616"/>
        <v>5227.3333333333339</v>
      </c>
      <c r="DY252" s="113">
        <f t="shared" si="617"/>
        <v>1835.6666666666672</v>
      </c>
      <c r="DZ252" s="113">
        <f t="shared" si="618"/>
        <v>175.33333333333334</v>
      </c>
      <c r="EA252" s="113">
        <f t="shared" si="619"/>
        <v>3205.3333333333335</v>
      </c>
      <c r="EB252" s="460">
        <f t="shared" si="620"/>
        <v>11</v>
      </c>
      <c r="EC252" s="582">
        <f t="shared" si="621"/>
        <v>1689.0000000000009</v>
      </c>
      <c r="ED252" s="113">
        <f t="shared" si="622"/>
        <v>453.33333333333297</v>
      </c>
      <c r="EE252" s="113">
        <f t="shared" si="623"/>
        <v>0</v>
      </c>
      <c r="EF252" s="113">
        <f t="shared" si="624"/>
        <v>1146.0000000000005</v>
      </c>
      <c r="EG252" s="459">
        <f t="shared" si="625"/>
        <v>89.666666666666629</v>
      </c>
      <c r="EH252" s="461">
        <f t="shared" si="626"/>
        <v>2330.6666666666674</v>
      </c>
      <c r="EI252" s="582">
        <f t="shared" si="627"/>
        <v>1697.9999999999995</v>
      </c>
      <c r="EJ252" s="113">
        <f t="shared" si="628"/>
        <v>604</v>
      </c>
      <c r="EK252" s="113">
        <f t="shared" si="629"/>
        <v>98.333333333333357</v>
      </c>
      <c r="EL252" s="113">
        <f t="shared" si="630"/>
        <v>992.6666666666664</v>
      </c>
      <c r="EM252" s="460">
        <f t="shared" si="631"/>
        <v>3</v>
      </c>
      <c r="EN252" s="582">
        <f t="shared" si="632"/>
        <v>632.66666666666686</v>
      </c>
      <c r="EO252" s="113">
        <f t="shared" si="633"/>
        <v>124.66666666666657</v>
      </c>
      <c r="EP252" s="113">
        <f t="shared" si="634"/>
        <v>0</v>
      </c>
      <c r="EQ252" s="113">
        <f t="shared" si="635"/>
        <v>484.00000000000006</v>
      </c>
      <c r="ER252" s="459">
        <f t="shared" si="636"/>
        <v>23.999999999999989</v>
      </c>
    </row>
    <row r="253" spans="1:148">
      <c r="A253" s="665" t="str">
        <f t="shared" ref="A253:C253" si="641">A142</f>
        <v>Q1 2025</v>
      </c>
      <c r="B253" s="665">
        <f t="shared" si="641"/>
        <v>45717</v>
      </c>
      <c r="C253" s="666">
        <f t="shared" si="641"/>
        <v>2025</v>
      </c>
      <c r="D253" s="461">
        <f t="shared" si="607"/>
        <v>5768300.9999999981</v>
      </c>
      <c r="E253" s="461">
        <f t="shared" si="607"/>
        <v>222303.00000000003</v>
      </c>
      <c r="F253" s="582">
        <f t="shared" si="607"/>
        <v>162849.99999999991</v>
      </c>
      <c r="G253" s="113">
        <f t="shared" si="607"/>
        <v>58970.999999999993</v>
      </c>
      <c r="H253" s="113">
        <f t="shared" si="607"/>
        <v>7949</v>
      </c>
      <c r="I253" s="113">
        <f t="shared" si="607"/>
        <v>94819</v>
      </c>
      <c r="J253" s="460">
        <f t="shared" si="607"/>
        <v>1111</v>
      </c>
      <c r="K253" s="582">
        <f t="shared" si="607"/>
        <v>59452.999999999978</v>
      </c>
      <c r="L253" s="113">
        <f t="shared" si="607"/>
        <v>16461.000000000007</v>
      </c>
      <c r="M253" s="113">
        <f t="shared" si="607"/>
        <v>0</v>
      </c>
      <c r="N253" s="113">
        <f t="shared" si="607"/>
        <v>39503.000000000022</v>
      </c>
      <c r="O253" s="459">
        <f t="shared" si="607"/>
        <v>3488.9999999999977</v>
      </c>
      <c r="P253" s="461">
        <f t="shared" si="607"/>
        <v>400.00000000000011</v>
      </c>
      <c r="Q253" s="582">
        <f t="shared" si="607"/>
        <v>245.00000000000003</v>
      </c>
      <c r="R253" s="113">
        <f t="shared" si="607"/>
        <v>91.000000000000014</v>
      </c>
      <c r="S253" s="113">
        <f t="shared" si="607"/>
        <v>12</v>
      </c>
      <c r="T253" s="113">
        <f t="shared" ref="T253:AI253" si="642">T142/3+T252</f>
        <v>140</v>
      </c>
      <c r="U253" s="460">
        <f t="shared" si="642"/>
        <v>1.9999999999999998</v>
      </c>
      <c r="V253" s="582">
        <f t="shared" si="642"/>
        <v>155.00000000000009</v>
      </c>
      <c r="W253" s="113">
        <f t="shared" si="642"/>
        <v>33.999999999999993</v>
      </c>
      <c r="X253" s="113">
        <f t="shared" si="642"/>
        <v>0</v>
      </c>
      <c r="Y253" s="113">
        <f t="shared" si="642"/>
        <v>113.00000000000003</v>
      </c>
      <c r="Z253" s="459">
        <f t="shared" si="642"/>
        <v>7.9999999999999991</v>
      </c>
      <c r="AA253" s="461">
        <f t="shared" si="642"/>
        <v>213.00000000000011</v>
      </c>
      <c r="AB253" s="582">
        <f t="shared" si="642"/>
        <v>148.99999999999997</v>
      </c>
      <c r="AC253" s="113">
        <f t="shared" si="642"/>
        <v>49</v>
      </c>
      <c r="AD253" s="113">
        <f t="shared" si="642"/>
        <v>10</v>
      </c>
      <c r="AE253" s="113">
        <f t="shared" si="642"/>
        <v>88.999999999999986</v>
      </c>
      <c r="AF253" s="460">
        <f t="shared" si="642"/>
        <v>1</v>
      </c>
      <c r="AG253" s="582">
        <f t="shared" si="642"/>
        <v>64.000000000000043</v>
      </c>
      <c r="AH253" s="113">
        <f t="shared" si="642"/>
        <v>32.999999999999979</v>
      </c>
      <c r="AI253" s="113">
        <f t="shared" si="642"/>
        <v>0</v>
      </c>
      <c r="AJ253" s="113">
        <f t="shared" si="609"/>
        <v>25.000000000000004</v>
      </c>
      <c r="AK253" s="459">
        <f t="shared" si="609"/>
        <v>5.9999999999999982</v>
      </c>
      <c r="AL253" s="461">
        <f t="shared" si="609"/>
        <v>2370.0000000000009</v>
      </c>
      <c r="AM253" s="582">
        <f t="shared" si="609"/>
        <v>1719.9999999999995</v>
      </c>
      <c r="AN253" s="113">
        <f t="shared" si="609"/>
        <v>607</v>
      </c>
      <c r="AO253" s="113">
        <f t="shared" si="609"/>
        <v>100.00000000000003</v>
      </c>
      <c r="AP253" s="113">
        <f t="shared" si="609"/>
        <v>1009.9999999999998</v>
      </c>
      <c r="AQ253" s="460">
        <f t="shared" si="609"/>
        <v>3</v>
      </c>
      <c r="AR253" s="582">
        <f t="shared" si="609"/>
        <v>650.00000000000023</v>
      </c>
      <c r="AS253" s="113">
        <f t="shared" si="609"/>
        <v>126.9999999999999</v>
      </c>
      <c r="AT253" s="113">
        <f t="shared" si="609"/>
        <v>0</v>
      </c>
      <c r="AU253" s="113">
        <f t="shared" si="609"/>
        <v>499.00000000000006</v>
      </c>
      <c r="AV253" s="459">
        <f t="shared" si="609"/>
        <v>23.999999999999989</v>
      </c>
      <c r="AW253" s="461">
        <f t="shared" si="609"/>
        <v>1270.9999999999998</v>
      </c>
      <c r="AX253" s="582">
        <f t="shared" si="609"/>
        <v>960.00000000000011</v>
      </c>
      <c r="AY253" s="113">
        <f t="shared" si="609"/>
        <v>348.00000000000006</v>
      </c>
      <c r="AZ253" s="113">
        <f t="shared" ref="AZ253:DK253" si="643">AZ142/3+AZ252</f>
        <v>37.999999999999993</v>
      </c>
      <c r="BA253" s="113">
        <f t="shared" si="643"/>
        <v>573</v>
      </c>
      <c r="BB253" s="460">
        <f t="shared" si="643"/>
        <v>1</v>
      </c>
      <c r="BC253" s="582">
        <f t="shared" si="643"/>
        <v>311.00000000000006</v>
      </c>
      <c r="BD253" s="113">
        <f t="shared" si="643"/>
        <v>96.999999999999901</v>
      </c>
      <c r="BE253" s="113">
        <f t="shared" si="643"/>
        <v>0</v>
      </c>
      <c r="BF253" s="113">
        <f t="shared" si="643"/>
        <v>199.00000000000003</v>
      </c>
      <c r="BG253" s="459">
        <f t="shared" si="643"/>
        <v>15</v>
      </c>
      <c r="BH253" s="461">
        <f t="shared" si="643"/>
        <v>1707</v>
      </c>
      <c r="BI253" s="582">
        <f t="shared" si="643"/>
        <v>1334.9999999999993</v>
      </c>
      <c r="BJ253" s="113">
        <f t="shared" si="643"/>
        <v>477.00000000000023</v>
      </c>
      <c r="BK253" s="113">
        <f t="shared" si="643"/>
        <v>45</v>
      </c>
      <c r="BL253" s="113">
        <f t="shared" si="643"/>
        <v>810</v>
      </c>
      <c r="BM253" s="460">
        <f t="shared" si="643"/>
        <v>2.9999999999999996</v>
      </c>
      <c r="BN253" s="582">
        <f t="shared" si="643"/>
        <v>372.00000000000017</v>
      </c>
      <c r="BO253" s="113">
        <f t="shared" si="643"/>
        <v>86</v>
      </c>
      <c r="BP253" s="113">
        <f t="shared" si="643"/>
        <v>0</v>
      </c>
      <c r="BQ253" s="113">
        <f t="shared" si="643"/>
        <v>264.00000000000011</v>
      </c>
      <c r="BR253" s="459">
        <f t="shared" si="643"/>
        <v>21.999999999999993</v>
      </c>
      <c r="BS253" s="461">
        <f t="shared" si="643"/>
        <v>2612.9999999999995</v>
      </c>
      <c r="BT253" s="582">
        <f t="shared" si="643"/>
        <v>2027.0000000000007</v>
      </c>
      <c r="BU253" s="113">
        <f t="shared" si="643"/>
        <v>676.99999999999989</v>
      </c>
      <c r="BV253" s="113">
        <f t="shared" si="643"/>
        <v>30.999999999999993</v>
      </c>
      <c r="BW253" s="113">
        <f t="shared" si="643"/>
        <v>1315.0000000000002</v>
      </c>
      <c r="BX253" s="460">
        <f t="shared" si="643"/>
        <v>3.9999999999999996</v>
      </c>
      <c r="BY253" s="582">
        <f t="shared" si="643"/>
        <v>586.00000000000034</v>
      </c>
      <c r="BZ253" s="113">
        <f t="shared" si="643"/>
        <v>138.9999999999998</v>
      </c>
      <c r="CA253" s="113">
        <f t="shared" si="643"/>
        <v>0</v>
      </c>
      <c r="CB253" s="113">
        <f t="shared" si="643"/>
        <v>416.00000000000011</v>
      </c>
      <c r="CC253" s="459">
        <f t="shared" si="643"/>
        <v>30.999999999999979</v>
      </c>
      <c r="CD253" s="461">
        <f t="shared" si="643"/>
        <v>400.99999999999983</v>
      </c>
      <c r="CE253" s="582">
        <f t="shared" si="643"/>
        <v>300.00000000000011</v>
      </c>
      <c r="CF253" s="113">
        <f t="shared" si="643"/>
        <v>98.000000000000014</v>
      </c>
      <c r="CG253" s="113">
        <f t="shared" si="643"/>
        <v>19.000000000000007</v>
      </c>
      <c r="CH253" s="113">
        <f t="shared" si="643"/>
        <v>183.00000000000003</v>
      </c>
      <c r="CI253" s="460">
        <f t="shared" si="643"/>
        <v>0</v>
      </c>
      <c r="CJ253" s="582">
        <f t="shared" si="643"/>
        <v>100.99999999999999</v>
      </c>
      <c r="CK253" s="113">
        <f t="shared" si="643"/>
        <v>25.999999999999996</v>
      </c>
      <c r="CL253" s="113">
        <f t="shared" si="643"/>
        <v>0</v>
      </c>
      <c r="CM253" s="113">
        <f t="shared" si="643"/>
        <v>70.000000000000014</v>
      </c>
      <c r="CN253" s="459">
        <f t="shared" si="643"/>
        <v>4.9999999999999991</v>
      </c>
      <c r="CO253" s="461">
        <f t="shared" si="643"/>
        <v>329.00000000000011</v>
      </c>
      <c r="CP253" s="582">
        <f t="shared" si="643"/>
        <v>235.00000000000009</v>
      </c>
      <c r="CQ253" s="113">
        <f t="shared" si="643"/>
        <v>89</v>
      </c>
      <c r="CR253" s="113">
        <f t="shared" si="643"/>
        <v>25</v>
      </c>
      <c r="CS253" s="113">
        <f t="shared" si="643"/>
        <v>119.99999999999999</v>
      </c>
      <c r="CT253" s="460">
        <f t="shared" si="643"/>
        <v>1</v>
      </c>
      <c r="CU253" s="582">
        <f t="shared" si="643"/>
        <v>94.000000000000057</v>
      </c>
      <c r="CV253" s="113">
        <f t="shared" si="643"/>
        <v>25.999999999999979</v>
      </c>
      <c r="CW253" s="113">
        <f t="shared" si="643"/>
        <v>0</v>
      </c>
      <c r="CX253" s="113">
        <f t="shared" si="643"/>
        <v>67.999999999999972</v>
      </c>
      <c r="CY253" s="459">
        <f t="shared" si="643"/>
        <v>0</v>
      </c>
      <c r="CZ253" s="461">
        <f t="shared" si="643"/>
        <v>93.999999999999972</v>
      </c>
      <c r="DA253" s="582">
        <f t="shared" si="643"/>
        <v>63.999999999999993</v>
      </c>
      <c r="DB253" s="113">
        <f t="shared" si="643"/>
        <v>16.000000000000004</v>
      </c>
      <c r="DC253" s="113">
        <f t="shared" si="643"/>
        <v>4</v>
      </c>
      <c r="DD253" s="113">
        <f t="shared" si="643"/>
        <v>43.999999999999993</v>
      </c>
      <c r="DE253" s="460">
        <f t="shared" si="643"/>
        <v>0</v>
      </c>
      <c r="DF253" s="582">
        <f t="shared" si="643"/>
        <v>29.999999999999996</v>
      </c>
      <c r="DG253" s="113">
        <f t="shared" si="643"/>
        <v>13.000000000000011</v>
      </c>
      <c r="DH253" s="113">
        <f t="shared" si="643"/>
        <v>0</v>
      </c>
      <c r="DI253" s="113">
        <f t="shared" si="643"/>
        <v>13.999999999999996</v>
      </c>
      <c r="DJ253" s="459">
        <f t="shared" si="643"/>
        <v>3</v>
      </c>
      <c r="DK253" s="461">
        <f t="shared" si="643"/>
        <v>21</v>
      </c>
      <c r="DL253" s="582">
        <f t="shared" ref="DL253:DU253" si="644">DL142/3+DL252</f>
        <v>14.000000000000002</v>
      </c>
      <c r="DM253" s="113">
        <f t="shared" si="644"/>
        <v>4</v>
      </c>
      <c r="DN253" s="113">
        <f t="shared" si="644"/>
        <v>4</v>
      </c>
      <c r="DO253" s="113">
        <f t="shared" si="644"/>
        <v>6</v>
      </c>
      <c r="DP253" s="460">
        <f t="shared" si="644"/>
        <v>0</v>
      </c>
      <c r="DQ253" s="582">
        <f t="shared" si="644"/>
        <v>7.9999999999999991</v>
      </c>
      <c r="DR253" s="113">
        <f t="shared" si="644"/>
        <v>1</v>
      </c>
      <c r="DS253" s="113">
        <f t="shared" si="644"/>
        <v>0</v>
      </c>
      <c r="DT253" s="113">
        <f t="shared" si="644"/>
        <v>6.9999999999999982</v>
      </c>
      <c r="DU253" s="459">
        <f t="shared" si="644"/>
        <v>0</v>
      </c>
      <c r="DW253" s="461">
        <f t="shared" si="615"/>
        <v>7049</v>
      </c>
      <c r="DX253" s="582">
        <f t="shared" si="616"/>
        <v>5329</v>
      </c>
      <c r="DY253" s="113">
        <f t="shared" si="617"/>
        <v>1849</v>
      </c>
      <c r="DZ253" s="113">
        <f t="shared" si="618"/>
        <v>188</v>
      </c>
      <c r="EA253" s="113">
        <f t="shared" si="619"/>
        <v>3280</v>
      </c>
      <c r="EB253" s="460">
        <f t="shared" si="620"/>
        <v>12</v>
      </c>
      <c r="EC253" s="582">
        <f t="shared" si="621"/>
        <v>1721.0000000000009</v>
      </c>
      <c r="ED253" s="113">
        <f t="shared" si="622"/>
        <v>454.99999999999966</v>
      </c>
      <c r="EE253" s="113">
        <f t="shared" si="623"/>
        <v>0</v>
      </c>
      <c r="EF253" s="113">
        <f t="shared" si="624"/>
        <v>1176.0000000000005</v>
      </c>
      <c r="EG253" s="459">
        <f t="shared" si="625"/>
        <v>89.999999999999972</v>
      </c>
      <c r="EH253" s="461">
        <f t="shared" si="626"/>
        <v>2370.0000000000009</v>
      </c>
      <c r="EI253" s="582">
        <f t="shared" si="627"/>
        <v>1719.9999999999995</v>
      </c>
      <c r="EJ253" s="113">
        <f t="shared" si="628"/>
        <v>607</v>
      </c>
      <c r="EK253" s="113">
        <f t="shared" si="629"/>
        <v>100.00000000000003</v>
      </c>
      <c r="EL253" s="113">
        <f t="shared" si="630"/>
        <v>1009.9999999999998</v>
      </c>
      <c r="EM253" s="460">
        <f t="shared" si="631"/>
        <v>3</v>
      </c>
      <c r="EN253" s="582">
        <f t="shared" si="632"/>
        <v>650.00000000000023</v>
      </c>
      <c r="EO253" s="113">
        <f t="shared" si="633"/>
        <v>126.9999999999999</v>
      </c>
      <c r="EP253" s="113">
        <f t="shared" si="634"/>
        <v>0</v>
      </c>
      <c r="EQ253" s="113">
        <f t="shared" si="635"/>
        <v>499.00000000000006</v>
      </c>
      <c r="ER253" s="459">
        <f t="shared" si="636"/>
        <v>23.999999999999989</v>
      </c>
    </row>
    <row r="254" spans="1:148">
      <c r="A254" s="665" t="str">
        <f t="shared" ref="A254:C254" si="645">A143</f>
        <v>Q2 2025</v>
      </c>
      <c r="B254" s="665">
        <f t="shared" si="645"/>
        <v>45748</v>
      </c>
      <c r="C254" s="666">
        <f t="shared" si="645"/>
        <v>2025</v>
      </c>
      <c r="D254" s="461">
        <f t="shared" si="607"/>
        <v>5835702.3333333312</v>
      </c>
      <c r="E254" s="461">
        <f t="shared" si="607"/>
        <v>226201.00000000003</v>
      </c>
      <c r="F254" s="582">
        <f t="shared" si="607"/>
        <v>165359.99999999991</v>
      </c>
      <c r="G254" s="113">
        <f t="shared" si="607"/>
        <v>59335.333333333328</v>
      </c>
      <c r="H254" s="113">
        <f t="shared" si="607"/>
        <v>8309.6666666666661</v>
      </c>
      <c r="I254" s="113">
        <f t="shared" si="607"/>
        <v>96544.333333333328</v>
      </c>
      <c r="J254" s="460">
        <f t="shared" si="607"/>
        <v>1170.6666666666667</v>
      </c>
      <c r="K254" s="582">
        <f t="shared" si="607"/>
        <v>60840.999999999978</v>
      </c>
      <c r="L254" s="113">
        <f t="shared" si="607"/>
        <v>16697.000000000007</v>
      </c>
      <c r="M254" s="113">
        <f t="shared" si="607"/>
        <v>0</v>
      </c>
      <c r="N254" s="113">
        <f t="shared" si="607"/>
        <v>40632.666666666686</v>
      </c>
      <c r="O254" s="459">
        <f t="shared" si="607"/>
        <v>3511.3333333333312</v>
      </c>
      <c r="P254" s="461">
        <f t="shared" si="607"/>
        <v>410.33333333333343</v>
      </c>
      <c r="Q254" s="582">
        <f t="shared" si="607"/>
        <v>251.33333333333337</v>
      </c>
      <c r="R254" s="113">
        <f t="shared" si="607"/>
        <v>91.000000000000014</v>
      </c>
      <c r="S254" s="113">
        <f t="shared" si="607"/>
        <v>12.333333333333334</v>
      </c>
      <c r="T254" s="113">
        <f t="shared" ref="T254:AI254" si="646">T143/3+T253</f>
        <v>145.33333333333334</v>
      </c>
      <c r="U254" s="460">
        <f t="shared" si="646"/>
        <v>2.6666666666666665</v>
      </c>
      <c r="V254" s="582">
        <f t="shared" si="646"/>
        <v>159.00000000000009</v>
      </c>
      <c r="W254" s="113">
        <f t="shared" si="646"/>
        <v>34.333333333333329</v>
      </c>
      <c r="X254" s="113">
        <f t="shared" si="646"/>
        <v>0</v>
      </c>
      <c r="Y254" s="113">
        <f t="shared" si="646"/>
        <v>116.33333333333336</v>
      </c>
      <c r="Z254" s="459">
        <f t="shared" si="646"/>
        <v>8.3333333333333321</v>
      </c>
      <c r="AA254" s="461">
        <f t="shared" si="646"/>
        <v>217.00000000000011</v>
      </c>
      <c r="AB254" s="582">
        <f t="shared" si="646"/>
        <v>152.66666666666663</v>
      </c>
      <c r="AC254" s="113">
        <f t="shared" si="646"/>
        <v>50</v>
      </c>
      <c r="AD254" s="113">
        <f t="shared" si="646"/>
        <v>10</v>
      </c>
      <c r="AE254" s="113">
        <f t="shared" si="646"/>
        <v>91.666666666666657</v>
      </c>
      <c r="AF254" s="460">
        <f t="shared" si="646"/>
        <v>1</v>
      </c>
      <c r="AG254" s="582">
        <f t="shared" si="646"/>
        <v>64.333333333333371</v>
      </c>
      <c r="AH254" s="113">
        <f t="shared" si="646"/>
        <v>32.999999999999979</v>
      </c>
      <c r="AI254" s="113">
        <f t="shared" si="646"/>
        <v>0</v>
      </c>
      <c r="AJ254" s="113">
        <f t="shared" si="609"/>
        <v>25.000000000000004</v>
      </c>
      <c r="AK254" s="459">
        <f t="shared" si="609"/>
        <v>6.3333333333333313</v>
      </c>
      <c r="AL254" s="461">
        <f t="shared" si="609"/>
        <v>2408.6666666666674</v>
      </c>
      <c r="AM254" s="582">
        <f t="shared" si="609"/>
        <v>1745.3333333333328</v>
      </c>
      <c r="AN254" s="113">
        <f t="shared" si="609"/>
        <v>611</v>
      </c>
      <c r="AO254" s="113">
        <f t="shared" si="609"/>
        <v>103.33333333333336</v>
      </c>
      <c r="AP254" s="113">
        <f t="shared" si="609"/>
        <v>1027.6666666666665</v>
      </c>
      <c r="AQ254" s="460">
        <f t="shared" si="609"/>
        <v>3.3333333333333335</v>
      </c>
      <c r="AR254" s="582">
        <f t="shared" si="609"/>
        <v>663.3333333333336</v>
      </c>
      <c r="AS254" s="113">
        <f t="shared" si="609"/>
        <v>129.99999999999989</v>
      </c>
      <c r="AT254" s="113">
        <f t="shared" si="609"/>
        <v>0</v>
      </c>
      <c r="AU254" s="113">
        <f t="shared" si="609"/>
        <v>509.33333333333337</v>
      </c>
      <c r="AV254" s="459">
        <f t="shared" si="609"/>
        <v>23.999999999999989</v>
      </c>
      <c r="AW254" s="461">
        <f t="shared" si="609"/>
        <v>1293.333333333333</v>
      </c>
      <c r="AX254" s="582">
        <f t="shared" si="609"/>
        <v>976.00000000000011</v>
      </c>
      <c r="AY254" s="113">
        <f t="shared" si="609"/>
        <v>348.66666666666674</v>
      </c>
      <c r="AZ254" s="113">
        <f t="shared" ref="AZ254:DK254" si="647">AZ143/3+AZ253</f>
        <v>39.999999999999993</v>
      </c>
      <c r="BA254" s="113">
        <f t="shared" si="647"/>
        <v>586</v>
      </c>
      <c r="BB254" s="460">
        <f t="shared" si="647"/>
        <v>1.3333333333333333</v>
      </c>
      <c r="BC254" s="582">
        <f t="shared" si="647"/>
        <v>317.33333333333337</v>
      </c>
      <c r="BD254" s="113">
        <f t="shared" si="647"/>
        <v>97.333333333333229</v>
      </c>
      <c r="BE254" s="113">
        <f t="shared" si="647"/>
        <v>0</v>
      </c>
      <c r="BF254" s="113">
        <f t="shared" si="647"/>
        <v>205.00000000000003</v>
      </c>
      <c r="BG254" s="459">
        <f t="shared" si="647"/>
        <v>15</v>
      </c>
      <c r="BH254" s="461">
        <f t="shared" si="647"/>
        <v>1730.3333333333333</v>
      </c>
      <c r="BI254" s="582">
        <f t="shared" si="647"/>
        <v>1351.6666666666661</v>
      </c>
      <c r="BJ254" s="113">
        <f t="shared" si="647"/>
        <v>479.33333333333354</v>
      </c>
      <c r="BK254" s="113">
        <f t="shared" si="647"/>
        <v>47</v>
      </c>
      <c r="BL254" s="113">
        <f t="shared" si="647"/>
        <v>822.33333333333337</v>
      </c>
      <c r="BM254" s="460">
        <f t="shared" si="647"/>
        <v>2.9999999999999996</v>
      </c>
      <c r="BN254" s="582">
        <f t="shared" si="647"/>
        <v>378.66666666666686</v>
      </c>
      <c r="BO254" s="113">
        <f t="shared" si="647"/>
        <v>88.333333333333329</v>
      </c>
      <c r="BP254" s="113">
        <f t="shared" si="647"/>
        <v>0</v>
      </c>
      <c r="BQ254" s="113">
        <f t="shared" si="647"/>
        <v>268.33333333333343</v>
      </c>
      <c r="BR254" s="459">
        <f t="shared" si="647"/>
        <v>21.999999999999993</v>
      </c>
      <c r="BS254" s="461">
        <f t="shared" si="647"/>
        <v>2666.6666666666661</v>
      </c>
      <c r="BT254" s="582">
        <f t="shared" si="647"/>
        <v>2066.3333333333339</v>
      </c>
      <c r="BU254" s="113">
        <f t="shared" si="647"/>
        <v>685.33333333333326</v>
      </c>
      <c r="BV254" s="113">
        <f t="shared" si="647"/>
        <v>32.999999999999993</v>
      </c>
      <c r="BW254" s="113">
        <f t="shared" si="647"/>
        <v>1343.0000000000002</v>
      </c>
      <c r="BX254" s="460">
        <f t="shared" si="647"/>
        <v>5</v>
      </c>
      <c r="BY254" s="582">
        <f t="shared" si="647"/>
        <v>600.33333333333371</v>
      </c>
      <c r="BZ254" s="113">
        <f t="shared" si="647"/>
        <v>139.66666666666646</v>
      </c>
      <c r="CA254" s="113">
        <f t="shared" si="647"/>
        <v>0</v>
      </c>
      <c r="CB254" s="113">
        <f t="shared" si="647"/>
        <v>429.6666666666668</v>
      </c>
      <c r="CC254" s="459">
        <f t="shared" si="647"/>
        <v>30.999999999999979</v>
      </c>
      <c r="CD254" s="461">
        <f t="shared" si="647"/>
        <v>410.33333333333314</v>
      </c>
      <c r="CE254" s="582">
        <f t="shared" si="647"/>
        <v>306.33333333333343</v>
      </c>
      <c r="CF254" s="113">
        <f t="shared" si="647"/>
        <v>98.333333333333343</v>
      </c>
      <c r="CG254" s="113">
        <f t="shared" si="647"/>
        <v>20.333333333333339</v>
      </c>
      <c r="CH254" s="113">
        <f t="shared" si="647"/>
        <v>187.66666666666669</v>
      </c>
      <c r="CI254" s="460">
        <f t="shared" si="647"/>
        <v>0</v>
      </c>
      <c r="CJ254" s="582">
        <f t="shared" si="647"/>
        <v>103.99999999999999</v>
      </c>
      <c r="CK254" s="113">
        <f t="shared" si="647"/>
        <v>25.999999999999996</v>
      </c>
      <c r="CL254" s="113">
        <f t="shared" si="647"/>
        <v>0</v>
      </c>
      <c r="CM254" s="113">
        <f t="shared" si="647"/>
        <v>73.000000000000014</v>
      </c>
      <c r="CN254" s="459">
        <f t="shared" si="647"/>
        <v>4.9999999999999991</v>
      </c>
      <c r="CO254" s="461">
        <f t="shared" si="647"/>
        <v>334.33333333333343</v>
      </c>
      <c r="CP254" s="582">
        <f t="shared" si="647"/>
        <v>237.66666666666674</v>
      </c>
      <c r="CQ254" s="113">
        <f t="shared" si="647"/>
        <v>89.333333333333329</v>
      </c>
      <c r="CR254" s="113">
        <f t="shared" si="647"/>
        <v>25</v>
      </c>
      <c r="CS254" s="113">
        <f t="shared" si="647"/>
        <v>122.33333333333331</v>
      </c>
      <c r="CT254" s="460">
        <f t="shared" si="647"/>
        <v>1</v>
      </c>
      <c r="CU254" s="582">
        <f t="shared" si="647"/>
        <v>96.666666666666728</v>
      </c>
      <c r="CV254" s="113">
        <f t="shared" si="647"/>
        <v>26.333333333333311</v>
      </c>
      <c r="CW254" s="113">
        <f t="shared" si="647"/>
        <v>0</v>
      </c>
      <c r="CX254" s="113">
        <f t="shared" si="647"/>
        <v>70.3333333333333</v>
      </c>
      <c r="CY254" s="459">
        <f t="shared" si="647"/>
        <v>0</v>
      </c>
      <c r="CZ254" s="461">
        <f t="shared" si="647"/>
        <v>95.3333333333333</v>
      </c>
      <c r="DA254" s="582">
        <f t="shared" si="647"/>
        <v>65.333333333333329</v>
      </c>
      <c r="DB254" s="113">
        <f t="shared" si="647"/>
        <v>16.333333333333336</v>
      </c>
      <c r="DC254" s="113">
        <f t="shared" si="647"/>
        <v>4</v>
      </c>
      <c r="DD254" s="113">
        <f t="shared" si="647"/>
        <v>44.999999999999993</v>
      </c>
      <c r="DE254" s="460">
        <f t="shared" si="647"/>
        <v>0</v>
      </c>
      <c r="DF254" s="582">
        <f t="shared" si="647"/>
        <v>29.999999999999996</v>
      </c>
      <c r="DG254" s="113">
        <f t="shared" si="647"/>
        <v>13.000000000000011</v>
      </c>
      <c r="DH254" s="113">
        <f t="shared" si="647"/>
        <v>0</v>
      </c>
      <c r="DI254" s="113">
        <f t="shared" si="647"/>
        <v>13.999999999999996</v>
      </c>
      <c r="DJ254" s="459">
        <f t="shared" si="647"/>
        <v>3</v>
      </c>
      <c r="DK254" s="461">
        <f t="shared" si="647"/>
        <v>22.666666666666668</v>
      </c>
      <c r="DL254" s="582">
        <f t="shared" ref="DL254:DU254" si="648">DL143/3+DL253</f>
        <v>15.000000000000002</v>
      </c>
      <c r="DM254" s="113">
        <f t="shared" si="648"/>
        <v>4</v>
      </c>
      <c r="DN254" s="113">
        <f t="shared" si="648"/>
        <v>4.333333333333333</v>
      </c>
      <c r="DO254" s="113">
        <f t="shared" si="648"/>
        <v>6.666666666666667</v>
      </c>
      <c r="DP254" s="460">
        <f t="shared" si="648"/>
        <v>0</v>
      </c>
      <c r="DQ254" s="582">
        <f t="shared" si="648"/>
        <v>8.6666666666666661</v>
      </c>
      <c r="DR254" s="113">
        <f t="shared" si="648"/>
        <v>1</v>
      </c>
      <c r="DS254" s="113">
        <f t="shared" si="648"/>
        <v>0</v>
      </c>
      <c r="DT254" s="113">
        <f t="shared" si="648"/>
        <v>7.6666666666666652</v>
      </c>
      <c r="DU254" s="459">
        <f t="shared" si="648"/>
        <v>0</v>
      </c>
      <c r="DW254" s="461">
        <f t="shared" si="615"/>
        <v>7180.3333333333321</v>
      </c>
      <c r="DX254" s="582">
        <f t="shared" si="616"/>
        <v>5422.333333333333</v>
      </c>
      <c r="DY254" s="113">
        <f t="shared" si="617"/>
        <v>1862.3333333333333</v>
      </c>
      <c r="DZ254" s="113">
        <f t="shared" si="618"/>
        <v>196</v>
      </c>
      <c r="EA254" s="113">
        <f t="shared" si="619"/>
        <v>3350.0000000000005</v>
      </c>
      <c r="EB254" s="460">
        <f t="shared" si="620"/>
        <v>14</v>
      </c>
      <c r="EC254" s="582">
        <f t="shared" si="621"/>
        <v>1759.0000000000009</v>
      </c>
      <c r="ED254" s="113">
        <f t="shared" si="622"/>
        <v>458.99999999999966</v>
      </c>
      <c r="EE254" s="113">
        <f t="shared" si="623"/>
        <v>0</v>
      </c>
      <c r="EF254" s="113">
        <f t="shared" si="624"/>
        <v>1209.3333333333335</v>
      </c>
      <c r="EG254" s="459">
        <f t="shared" si="625"/>
        <v>90.666666666666629</v>
      </c>
      <c r="EH254" s="461">
        <f t="shared" si="626"/>
        <v>2408.6666666666674</v>
      </c>
      <c r="EI254" s="582">
        <f t="shared" si="627"/>
        <v>1745.3333333333328</v>
      </c>
      <c r="EJ254" s="113">
        <f t="shared" si="628"/>
        <v>611</v>
      </c>
      <c r="EK254" s="113">
        <f t="shared" si="629"/>
        <v>103.33333333333336</v>
      </c>
      <c r="EL254" s="113">
        <f t="shared" si="630"/>
        <v>1027.6666666666665</v>
      </c>
      <c r="EM254" s="460">
        <f t="shared" si="631"/>
        <v>3.3333333333333335</v>
      </c>
      <c r="EN254" s="582">
        <f t="shared" si="632"/>
        <v>663.3333333333336</v>
      </c>
      <c r="EO254" s="113">
        <f t="shared" si="633"/>
        <v>129.99999999999989</v>
      </c>
      <c r="EP254" s="113">
        <f t="shared" si="634"/>
        <v>0</v>
      </c>
      <c r="EQ254" s="113">
        <f t="shared" si="635"/>
        <v>509.33333333333337</v>
      </c>
      <c r="ER254" s="459">
        <f t="shared" si="636"/>
        <v>23.999999999999989</v>
      </c>
    </row>
    <row r="255" spans="1:148">
      <c r="A255" s="665" t="str">
        <f t="shared" ref="A255:C255" si="649">A144</f>
        <v>Q2 2025</v>
      </c>
      <c r="B255" s="665">
        <f t="shared" si="649"/>
        <v>45778</v>
      </c>
      <c r="C255" s="666">
        <f t="shared" si="649"/>
        <v>2025</v>
      </c>
      <c r="D255" s="461">
        <f t="shared" si="607"/>
        <v>5903103.6666666642</v>
      </c>
      <c r="E255" s="461">
        <f t="shared" si="607"/>
        <v>230099.00000000003</v>
      </c>
      <c r="F255" s="582">
        <f t="shared" si="607"/>
        <v>167869.99999999991</v>
      </c>
      <c r="G255" s="113">
        <f t="shared" si="607"/>
        <v>59699.666666666664</v>
      </c>
      <c r="H255" s="113">
        <f t="shared" si="607"/>
        <v>8670.3333333333321</v>
      </c>
      <c r="I255" s="113">
        <f t="shared" si="607"/>
        <v>98269.666666666657</v>
      </c>
      <c r="J255" s="460">
        <f t="shared" si="607"/>
        <v>1230.3333333333335</v>
      </c>
      <c r="K255" s="582">
        <f t="shared" si="607"/>
        <v>62228.999999999978</v>
      </c>
      <c r="L255" s="113">
        <f t="shared" si="607"/>
        <v>16933.000000000007</v>
      </c>
      <c r="M255" s="113">
        <f t="shared" si="607"/>
        <v>0</v>
      </c>
      <c r="N255" s="113">
        <f t="shared" si="607"/>
        <v>41762.33333333335</v>
      </c>
      <c r="O255" s="459">
        <f t="shared" si="607"/>
        <v>3533.6666666666647</v>
      </c>
      <c r="P255" s="461">
        <f t="shared" si="607"/>
        <v>420.66666666666674</v>
      </c>
      <c r="Q255" s="582">
        <f t="shared" si="607"/>
        <v>257.66666666666669</v>
      </c>
      <c r="R255" s="113">
        <f t="shared" si="607"/>
        <v>91.000000000000014</v>
      </c>
      <c r="S255" s="113">
        <f t="shared" si="607"/>
        <v>12.666666666666668</v>
      </c>
      <c r="T255" s="113">
        <f t="shared" ref="T255:AI255" si="650">T144/3+T254</f>
        <v>150.66666666666669</v>
      </c>
      <c r="U255" s="460">
        <f t="shared" si="650"/>
        <v>3.333333333333333</v>
      </c>
      <c r="V255" s="582">
        <f t="shared" si="650"/>
        <v>163.00000000000009</v>
      </c>
      <c r="W255" s="113">
        <f t="shared" si="650"/>
        <v>34.666666666666664</v>
      </c>
      <c r="X255" s="113">
        <f t="shared" si="650"/>
        <v>0</v>
      </c>
      <c r="Y255" s="113">
        <f t="shared" si="650"/>
        <v>119.66666666666669</v>
      </c>
      <c r="Z255" s="459">
        <f t="shared" si="650"/>
        <v>8.6666666666666661</v>
      </c>
      <c r="AA255" s="461">
        <f t="shared" si="650"/>
        <v>221.00000000000011</v>
      </c>
      <c r="AB255" s="582">
        <f t="shared" si="650"/>
        <v>156.33333333333329</v>
      </c>
      <c r="AC255" s="113">
        <f t="shared" si="650"/>
        <v>51</v>
      </c>
      <c r="AD255" s="113">
        <f t="shared" si="650"/>
        <v>10</v>
      </c>
      <c r="AE255" s="113">
        <f t="shared" si="650"/>
        <v>94.333333333333329</v>
      </c>
      <c r="AF255" s="460">
        <f t="shared" si="650"/>
        <v>1</v>
      </c>
      <c r="AG255" s="582">
        <f t="shared" si="650"/>
        <v>64.6666666666667</v>
      </c>
      <c r="AH255" s="113">
        <f t="shared" si="650"/>
        <v>32.999999999999979</v>
      </c>
      <c r="AI255" s="113">
        <f t="shared" si="650"/>
        <v>0</v>
      </c>
      <c r="AJ255" s="113">
        <f t="shared" si="609"/>
        <v>25.000000000000004</v>
      </c>
      <c r="AK255" s="459">
        <f t="shared" si="609"/>
        <v>6.6666666666666643</v>
      </c>
      <c r="AL255" s="461">
        <f t="shared" si="609"/>
        <v>2447.3333333333339</v>
      </c>
      <c r="AM255" s="582">
        <f t="shared" si="609"/>
        <v>1770.6666666666661</v>
      </c>
      <c r="AN255" s="113">
        <f t="shared" si="609"/>
        <v>615</v>
      </c>
      <c r="AO255" s="113">
        <f t="shared" si="609"/>
        <v>106.66666666666669</v>
      </c>
      <c r="AP255" s="113">
        <f t="shared" si="609"/>
        <v>1045.3333333333333</v>
      </c>
      <c r="AQ255" s="460">
        <f t="shared" si="609"/>
        <v>3.666666666666667</v>
      </c>
      <c r="AR255" s="582">
        <f t="shared" si="609"/>
        <v>676.66666666666697</v>
      </c>
      <c r="AS255" s="113">
        <f t="shared" si="609"/>
        <v>132.99999999999989</v>
      </c>
      <c r="AT255" s="113">
        <f t="shared" si="609"/>
        <v>0</v>
      </c>
      <c r="AU255" s="113">
        <f t="shared" si="609"/>
        <v>519.66666666666674</v>
      </c>
      <c r="AV255" s="459">
        <f t="shared" si="609"/>
        <v>23.999999999999989</v>
      </c>
      <c r="AW255" s="461">
        <f t="shared" si="609"/>
        <v>1315.6666666666663</v>
      </c>
      <c r="AX255" s="582">
        <f t="shared" si="609"/>
        <v>992.00000000000011</v>
      </c>
      <c r="AY255" s="113">
        <f t="shared" si="609"/>
        <v>349.33333333333343</v>
      </c>
      <c r="AZ255" s="113">
        <f t="shared" ref="AZ255:DK255" si="651">AZ144/3+AZ254</f>
        <v>41.999999999999993</v>
      </c>
      <c r="BA255" s="113">
        <f t="shared" si="651"/>
        <v>599</v>
      </c>
      <c r="BB255" s="460">
        <f t="shared" si="651"/>
        <v>1.6666666666666665</v>
      </c>
      <c r="BC255" s="582">
        <f t="shared" si="651"/>
        <v>323.66666666666669</v>
      </c>
      <c r="BD255" s="113">
        <f t="shared" si="651"/>
        <v>97.666666666666558</v>
      </c>
      <c r="BE255" s="113">
        <f t="shared" si="651"/>
        <v>0</v>
      </c>
      <c r="BF255" s="113">
        <f t="shared" si="651"/>
        <v>211.00000000000003</v>
      </c>
      <c r="BG255" s="459">
        <f t="shared" si="651"/>
        <v>15</v>
      </c>
      <c r="BH255" s="461">
        <f t="shared" si="651"/>
        <v>1753.6666666666665</v>
      </c>
      <c r="BI255" s="582">
        <f t="shared" si="651"/>
        <v>1368.3333333333328</v>
      </c>
      <c r="BJ255" s="113">
        <f t="shared" si="651"/>
        <v>481.66666666666686</v>
      </c>
      <c r="BK255" s="113">
        <f t="shared" si="651"/>
        <v>49</v>
      </c>
      <c r="BL255" s="113">
        <f t="shared" si="651"/>
        <v>834.66666666666674</v>
      </c>
      <c r="BM255" s="460">
        <f t="shared" si="651"/>
        <v>2.9999999999999996</v>
      </c>
      <c r="BN255" s="582">
        <f t="shared" si="651"/>
        <v>385.33333333333354</v>
      </c>
      <c r="BO255" s="113">
        <f t="shared" si="651"/>
        <v>90.666666666666657</v>
      </c>
      <c r="BP255" s="113">
        <f t="shared" si="651"/>
        <v>0</v>
      </c>
      <c r="BQ255" s="113">
        <f t="shared" si="651"/>
        <v>272.66666666666674</v>
      </c>
      <c r="BR255" s="459">
        <f t="shared" si="651"/>
        <v>21.999999999999993</v>
      </c>
      <c r="BS255" s="461">
        <f t="shared" si="651"/>
        <v>2720.3333333333326</v>
      </c>
      <c r="BT255" s="582">
        <f t="shared" si="651"/>
        <v>2105.6666666666674</v>
      </c>
      <c r="BU255" s="113">
        <f t="shared" si="651"/>
        <v>693.66666666666663</v>
      </c>
      <c r="BV255" s="113">
        <f t="shared" si="651"/>
        <v>34.999999999999993</v>
      </c>
      <c r="BW255" s="113">
        <f t="shared" si="651"/>
        <v>1371.0000000000002</v>
      </c>
      <c r="BX255" s="460">
        <f t="shared" si="651"/>
        <v>6</v>
      </c>
      <c r="BY255" s="582">
        <f t="shared" si="651"/>
        <v>614.66666666666708</v>
      </c>
      <c r="BZ255" s="113">
        <f t="shared" si="651"/>
        <v>140.33333333333312</v>
      </c>
      <c r="CA255" s="113">
        <f t="shared" si="651"/>
        <v>0</v>
      </c>
      <c r="CB255" s="113">
        <f t="shared" si="651"/>
        <v>443.33333333333348</v>
      </c>
      <c r="CC255" s="459">
        <f t="shared" si="651"/>
        <v>30.999999999999979</v>
      </c>
      <c r="CD255" s="461">
        <f t="shared" si="651"/>
        <v>419.66666666666646</v>
      </c>
      <c r="CE255" s="582">
        <f t="shared" si="651"/>
        <v>312.66666666666674</v>
      </c>
      <c r="CF255" s="113">
        <f t="shared" si="651"/>
        <v>98.666666666666671</v>
      </c>
      <c r="CG255" s="113">
        <f t="shared" si="651"/>
        <v>21.666666666666671</v>
      </c>
      <c r="CH255" s="113">
        <f t="shared" si="651"/>
        <v>192.33333333333334</v>
      </c>
      <c r="CI255" s="460">
        <f t="shared" si="651"/>
        <v>0</v>
      </c>
      <c r="CJ255" s="582">
        <f t="shared" si="651"/>
        <v>106.99999999999999</v>
      </c>
      <c r="CK255" s="113">
        <f t="shared" si="651"/>
        <v>25.999999999999996</v>
      </c>
      <c r="CL255" s="113">
        <f t="shared" si="651"/>
        <v>0</v>
      </c>
      <c r="CM255" s="113">
        <f t="shared" si="651"/>
        <v>76.000000000000014</v>
      </c>
      <c r="CN255" s="459">
        <f t="shared" si="651"/>
        <v>4.9999999999999991</v>
      </c>
      <c r="CO255" s="461">
        <f t="shared" si="651"/>
        <v>339.66666666666674</v>
      </c>
      <c r="CP255" s="582">
        <f t="shared" si="651"/>
        <v>240.3333333333334</v>
      </c>
      <c r="CQ255" s="113">
        <f t="shared" si="651"/>
        <v>89.666666666666657</v>
      </c>
      <c r="CR255" s="113">
        <f t="shared" si="651"/>
        <v>25</v>
      </c>
      <c r="CS255" s="113">
        <f t="shared" si="651"/>
        <v>124.66666666666664</v>
      </c>
      <c r="CT255" s="460">
        <f t="shared" si="651"/>
        <v>1</v>
      </c>
      <c r="CU255" s="582">
        <f t="shared" si="651"/>
        <v>99.3333333333334</v>
      </c>
      <c r="CV255" s="113">
        <f t="shared" si="651"/>
        <v>26.666666666666643</v>
      </c>
      <c r="CW255" s="113">
        <f t="shared" si="651"/>
        <v>0</v>
      </c>
      <c r="CX255" s="113">
        <f t="shared" si="651"/>
        <v>72.666666666666629</v>
      </c>
      <c r="CY255" s="459">
        <f t="shared" si="651"/>
        <v>0</v>
      </c>
      <c r="CZ255" s="461">
        <f t="shared" si="651"/>
        <v>96.666666666666629</v>
      </c>
      <c r="DA255" s="582">
        <f t="shared" si="651"/>
        <v>66.666666666666657</v>
      </c>
      <c r="DB255" s="113">
        <f t="shared" si="651"/>
        <v>16.666666666666668</v>
      </c>
      <c r="DC255" s="113">
        <f t="shared" si="651"/>
        <v>4</v>
      </c>
      <c r="DD255" s="113">
        <f t="shared" si="651"/>
        <v>45.999999999999993</v>
      </c>
      <c r="DE255" s="460">
        <f t="shared" si="651"/>
        <v>0</v>
      </c>
      <c r="DF255" s="582">
        <f t="shared" si="651"/>
        <v>29.999999999999996</v>
      </c>
      <c r="DG255" s="113">
        <f t="shared" si="651"/>
        <v>13.000000000000011</v>
      </c>
      <c r="DH255" s="113">
        <f t="shared" si="651"/>
        <v>0</v>
      </c>
      <c r="DI255" s="113">
        <f t="shared" si="651"/>
        <v>13.999999999999996</v>
      </c>
      <c r="DJ255" s="459">
        <f t="shared" si="651"/>
        <v>3</v>
      </c>
      <c r="DK255" s="461">
        <f t="shared" si="651"/>
        <v>24.333333333333336</v>
      </c>
      <c r="DL255" s="582">
        <f t="shared" ref="DL255:DU255" si="652">DL144/3+DL254</f>
        <v>16</v>
      </c>
      <c r="DM255" s="113">
        <f t="shared" si="652"/>
        <v>4</v>
      </c>
      <c r="DN255" s="113">
        <f t="shared" si="652"/>
        <v>4.6666666666666661</v>
      </c>
      <c r="DO255" s="113">
        <f t="shared" si="652"/>
        <v>7.3333333333333339</v>
      </c>
      <c r="DP255" s="460">
        <f t="shared" si="652"/>
        <v>0</v>
      </c>
      <c r="DQ255" s="582">
        <f t="shared" si="652"/>
        <v>9.3333333333333321</v>
      </c>
      <c r="DR255" s="113">
        <f t="shared" si="652"/>
        <v>1</v>
      </c>
      <c r="DS255" s="113">
        <f t="shared" si="652"/>
        <v>0</v>
      </c>
      <c r="DT255" s="113">
        <f t="shared" si="652"/>
        <v>8.3333333333333321</v>
      </c>
      <c r="DU255" s="459">
        <f t="shared" si="652"/>
        <v>0</v>
      </c>
      <c r="DW255" s="461">
        <f t="shared" si="615"/>
        <v>7311.6666666666652</v>
      </c>
      <c r="DX255" s="582">
        <f t="shared" si="616"/>
        <v>5515.666666666667</v>
      </c>
      <c r="DY255" s="113">
        <f t="shared" si="617"/>
        <v>1875.6666666666672</v>
      </c>
      <c r="DZ255" s="113">
        <f t="shared" si="618"/>
        <v>203.99999999999997</v>
      </c>
      <c r="EA255" s="113">
        <f t="shared" si="619"/>
        <v>3420.0000000000005</v>
      </c>
      <c r="EB255" s="460">
        <f t="shared" si="620"/>
        <v>16</v>
      </c>
      <c r="EC255" s="582">
        <f t="shared" si="621"/>
        <v>1797.0000000000007</v>
      </c>
      <c r="ED255" s="113">
        <f t="shared" si="622"/>
        <v>462.9999999999996</v>
      </c>
      <c r="EE255" s="113">
        <f t="shared" si="623"/>
        <v>0</v>
      </c>
      <c r="EF255" s="113">
        <f t="shared" si="624"/>
        <v>1242.6666666666667</v>
      </c>
      <c r="EG255" s="459">
        <f t="shared" si="625"/>
        <v>91.3333333333333</v>
      </c>
      <c r="EH255" s="461">
        <f t="shared" si="626"/>
        <v>2447.3333333333339</v>
      </c>
      <c r="EI255" s="582">
        <f t="shared" si="627"/>
        <v>1770.6666666666661</v>
      </c>
      <c r="EJ255" s="113">
        <f t="shared" si="628"/>
        <v>615</v>
      </c>
      <c r="EK255" s="113">
        <f t="shared" si="629"/>
        <v>106.66666666666669</v>
      </c>
      <c r="EL255" s="113">
        <f t="shared" si="630"/>
        <v>1045.3333333333333</v>
      </c>
      <c r="EM255" s="460">
        <f t="shared" si="631"/>
        <v>3.666666666666667</v>
      </c>
      <c r="EN255" s="582">
        <f t="shared" si="632"/>
        <v>676.66666666666697</v>
      </c>
      <c r="EO255" s="113">
        <f t="shared" si="633"/>
        <v>132.99999999999989</v>
      </c>
      <c r="EP255" s="113">
        <f t="shared" si="634"/>
        <v>0</v>
      </c>
      <c r="EQ255" s="113">
        <f t="shared" si="635"/>
        <v>519.66666666666674</v>
      </c>
      <c r="ER255" s="459">
        <f t="shared" si="636"/>
        <v>23.999999999999989</v>
      </c>
    </row>
    <row r="256" spans="1:148">
      <c r="A256" s="665" t="str">
        <f t="shared" ref="A256:C256" si="653">A145</f>
        <v>Q2 2025</v>
      </c>
      <c r="B256" s="665">
        <f t="shared" si="653"/>
        <v>45809</v>
      </c>
      <c r="C256" s="666">
        <f t="shared" si="653"/>
        <v>2025</v>
      </c>
      <c r="D256" s="461">
        <f t="shared" si="607"/>
        <v>5970504.9999999972</v>
      </c>
      <c r="E256" s="461">
        <f t="shared" si="607"/>
        <v>233997.00000000003</v>
      </c>
      <c r="F256" s="582">
        <f t="shared" si="607"/>
        <v>170379.99999999991</v>
      </c>
      <c r="G256" s="113">
        <f t="shared" si="607"/>
        <v>60064</v>
      </c>
      <c r="H256" s="113">
        <f t="shared" si="607"/>
        <v>9030.9999999999982</v>
      </c>
      <c r="I256" s="113">
        <f t="shared" si="607"/>
        <v>99994.999999999985</v>
      </c>
      <c r="J256" s="460">
        <f t="shared" si="607"/>
        <v>1290.0000000000002</v>
      </c>
      <c r="K256" s="582">
        <f t="shared" si="607"/>
        <v>63616.999999999978</v>
      </c>
      <c r="L256" s="113">
        <f t="shared" si="607"/>
        <v>17169.000000000007</v>
      </c>
      <c r="M256" s="113">
        <f t="shared" si="607"/>
        <v>0</v>
      </c>
      <c r="N256" s="113">
        <f t="shared" si="607"/>
        <v>42892.000000000015</v>
      </c>
      <c r="O256" s="459">
        <f t="shared" si="607"/>
        <v>3555.9999999999982</v>
      </c>
      <c r="P256" s="461">
        <f t="shared" si="607"/>
        <v>431.00000000000006</v>
      </c>
      <c r="Q256" s="582">
        <f t="shared" si="607"/>
        <v>264</v>
      </c>
      <c r="R256" s="113">
        <f t="shared" si="607"/>
        <v>91.000000000000014</v>
      </c>
      <c r="S256" s="113">
        <f t="shared" si="607"/>
        <v>13.000000000000002</v>
      </c>
      <c r="T256" s="113">
        <f t="shared" ref="T256:AI256" si="654">T145/3+T255</f>
        <v>156.00000000000003</v>
      </c>
      <c r="U256" s="460">
        <f t="shared" si="654"/>
        <v>3.9999999999999996</v>
      </c>
      <c r="V256" s="582">
        <f t="shared" si="654"/>
        <v>167.00000000000009</v>
      </c>
      <c r="W256" s="113">
        <f t="shared" si="654"/>
        <v>35</v>
      </c>
      <c r="X256" s="113">
        <f t="shared" si="654"/>
        <v>0</v>
      </c>
      <c r="Y256" s="113">
        <f t="shared" si="654"/>
        <v>123.00000000000001</v>
      </c>
      <c r="Z256" s="459">
        <f t="shared" si="654"/>
        <v>9</v>
      </c>
      <c r="AA256" s="461">
        <f t="shared" si="654"/>
        <v>225.00000000000011</v>
      </c>
      <c r="AB256" s="582">
        <f t="shared" si="654"/>
        <v>159.99999999999994</v>
      </c>
      <c r="AC256" s="113">
        <f t="shared" si="654"/>
        <v>52</v>
      </c>
      <c r="AD256" s="113">
        <f t="shared" si="654"/>
        <v>10</v>
      </c>
      <c r="AE256" s="113">
        <f t="shared" si="654"/>
        <v>97</v>
      </c>
      <c r="AF256" s="460">
        <f t="shared" si="654"/>
        <v>1</v>
      </c>
      <c r="AG256" s="582">
        <f t="shared" si="654"/>
        <v>65.000000000000028</v>
      </c>
      <c r="AH256" s="113">
        <f t="shared" si="654"/>
        <v>32.999999999999979</v>
      </c>
      <c r="AI256" s="113">
        <f t="shared" si="654"/>
        <v>0</v>
      </c>
      <c r="AJ256" s="113">
        <f t="shared" si="609"/>
        <v>25.000000000000004</v>
      </c>
      <c r="AK256" s="459">
        <f t="shared" si="609"/>
        <v>6.9999999999999973</v>
      </c>
      <c r="AL256" s="461">
        <f t="shared" si="609"/>
        <v>2486.0000000000005</v>
      </c>
      <c r="AM256" s="582">
        <f t="shared" si="609"/>
        <v>1795.9999999999993</v>
      </c>
      <c r="AN256" s="113">
        <f t="shared" si="609"/>
        <v>619</v>
      </c>
      <c r="AO256" s="113">
        <f t="shared" si="609"/>
        <v>110.00000000000001</v>
      </c>
      <c r="AP256" s="113">
        <f t="shared" si="609"/>
        <v>1063</v>
      </c>
      <c r="AQ256" s="460">
        <f t="shared" si="609"/>
        <v>4</v>
      </c>
      <c r="AR256" s="582">
        <f t="shared" si="609"/>
        <v>690.00000000000034</v>
      </c>
      <c r="AS256" s="113">
        <f t="shared" si="609"/>
        <v>135.99999999999989</v>
      </c>
      <c r="AT256" s="113">
        <f t="shared" si="609"/>
        <v>0</v>
      </c>
      <c r="AU256" s="113">
        <f t="shared" si="609"/>
        <v>530.00000000000011</v>
      </c>
      <c r="AV256" s="459">
        <f t="shared" si="609"/>
        <v>23.999999999999989</v>
      </c>
      <c r="AW256" s="461">
        <f t="shared" si="609"/>
        <v>1337.9999999999995</v>
      </c>
      <c r="AX256" s="582">
        <f t="shared" si="609"/>
        <v>1008.0000000000001</v>
      </c>
      <c r="AY256" s="113">
        <f t="shared" si="609"/>
        <v>350.00000000000011</v>
      </c>
      <c r="AZ256" s="113">
        <f t="shared" ref="AZ256:DK256" si="655">AZ145/3+AZ255</f>
        <v>43.999999999999993</v>
      </c>
      <c r="BA256" s="113">
        <f t="shared" si="655"/>
        <v>612</v>
      </c>
      <c r="BB256" s="460">
        <f t="shared" si="655"/>
        <v>1.9999999999999998</v>
      </c>
      <c r="BC256" s="582">
        <f t="shared" si="655"/>
        <v>330</v>
      </c>
      <c r="BD256" s="113">
        <f t="shared" si="655"/>
        <v>97.999999999999886</v>
      </c>
      <c r="BE256" s="113">
        <f t="shared" si="655"/>
        <v>0</v>
      </c>
      <c r="BF256" s="113">
        <f t="shared" si="655"/>
        <v>217.00000000000003</v>
      </c>
      <c r="BG256" s="459">
        <f t="shared" si="655"/>
        <v>15</v>
      </c>
      <c r="BH256" s="461">
        <f t="shared" si="655"/>
        <v>1776.9999999999998</v>
      </c>
      <c r="BI256" s="582">
        <f t="shared" si="655"/>
        <v>1384.9999999999995</v>
      </c>
      <c r="BJ256" s="113">
        <f t="shared" si="655"/>
        <v>484.00000000000017</v>
      </c>
      <c r="BK256" s="113">
        <f t="shared" si="655"/>
        <v>51</v>
      </c>
      <c r="BL256" s="113">
        <f t="shared" si="655"/>
        <v>847.00000000000011</v>
      </c>
      <c r="BM256" s="460">
        <f t="shared" si="655"/>
        <v>2.9999999999999996</v>
      </c>
      <c r="BN256" s="582">
        <f t="shared" si="655"/>
        <v>392.00000000000023</v>
      </c>
      <c r="BO256" s="113">
        <f t="shared" si="655"/>
        <v>92.999999999999986</v>
      </c>
      <c r="BP256" s="113">
        <f t="shared" si="655"/>
        <v>0</v>
      </c>
      <c r="BQ256" s="113">
        <f t="shared" si="655"/>
        <v>277.00000000000006</v>
      </c>
      <c r="BR256" s="459">
        <f t="shared" si="655"/>
        <v>21.999999999999993</v>
      </c>
      <c r="BS256" s="461">
        <f t="shared" si="655"/>
        <v>2773.9999999999991</v>
      </c>
      <c r="BT256" s="582">
        <f t="shared" si="655"/>
        <v>2145.0000000000009</v>
      </c>
      <c r="BU256" s="113">
        <f t="shared" si="655"/>
        <v>702</v>
      </c>
      <c r="BV256" s="113">
        <f t="shared" si="655"/>
        <v>36.999999999999993</v>
      </c>
      <c r="BW256" s="113">
        <f t="shared" si="655"/>
        <v>1399.0000000000002</v>
      </c>
      <c r="BX256" s="460">
        <f t="shared" si="655"/>
        <v>7</v>
      </c>
      <c r="BY256" s="582">
        <f t="shared" si="655"/>
        <v>629.00000000000045</v>
      </c>
      <c r="BZ256" s="113">
        <f t="shared" si="655"/>
        <v>140.99999999999977</v>
      </c>
      <c r="CA256" s="113">
        <f t="shared" si="655"/>
        <v>0</v>
      </c>
      <c r="CB256" s="113">
        <f t="shared" si="655"/>
        <v>457.00000000000017</v>
      </c>
      <c r="CC256" s="459">
        <f t="shared" si="655"/>
        <v>30.999999999999979</v>
      </c>
      <c r="CD256" s="461">
        <f t="shared" si="655"/>
        <v>428.99999999999977</v>
      </c>
      <c r="CE256" s="582">
        <f t="shared" si="655"/>
        <v>319.00000000000006</v>
      </c>
      <c r="CF256" s="113">
        <f t="shared" si="655"/>
        <v>99</v>
      </c>
      <c r="CG256" s="113">
        <f t="shared" si="655"/>
        <v>23.000000000000004</v>
      </c>
      <c r="CH256" s="113">
        <f t="shared" si="655"/>
        <v>197</v>
      </c>
      <c r="CI256" s="460">
        <f t="shared" si="655"/>
        <v>0</v>
      </c>
      <c r="CJ256" s="582">
        <f t="shared" si="655"/>
        <v>109.99999999999999</v>
      </c>
      <c r="CK256" s="113">
        <f t="shared" si="655"/>
        <v>25.999999999999996</v>
      </c>
      <c r="CL256" s="113">
        <f t="shared" si="655"/>
        <v>0</v>
      </c>
      <c r="CM256" s="113">
        <f t="shared" si="655"/>
        <v>79.000000000000014</v>
      </c>
      <c r="CN256" s="459">
        <f t="shared" si="655"/>
        <v>4.9999999999999991</v>
      </c>
      <c r="CO256" s="461">
        <f t="shared" si="655"/>
        <v>345.00000000000006</v>
      </c>
      <c r="CP256" s="582">
        <f t="shared" si="655"/>
        <v>243.00000000000006</v>
      </c>
      <c r="CQ256" s="113">
        <f t="shared" si="655"/>
        <v>89.999999999999986</v>
      </c>
      <c r="CR256" s="113">
        <f t="shared" si="655"/>
        <v>25</v>
      </c>
      <c r="CS256" s="113">
        <f t="shared" si="655"/>
        <v>126.99999999999997</v>
      </c>
      <c r="CT256" s="460">
        <f t="shared" si="655"/>
        <v>1</v>
      </c>
      <c r="CU256" s="582">
        <f t="shared" si="655"/>
        <v>102.00000000000007</v>
      </c>
      <c r="CV256" s="113">
        <f t="shared" si="655"/>
        <v>26.999999999999975</v>
      </c>
      <c r="CW256" s="113">
        <f t="shared" si="655"/>
        <v>0</v>
      </c>
      <c r="CX256" s="113">
        <f t="shared" si="655"/>
        <v>74.999999999999957</v>
      </c>
      <c r="CY256" s="459">
        <f t="shared" si="655"/>
        <v>0</v>
      </c>
      <c r="CZ256" s="461">
        <f t="shared" si="655"/>
        <v>97.999999999999957</v>
      </c>
      <c r="DA256" s="582">
        <f t="shared" si="655"/>
        <v>67.999999999999986</v>
      </c>
      <c r="DB256" s="113">
        <f t="shared" si="655"/>
        <v>17</v>
      </c>
      <c r="DC256" s="113">
        <f t="shared" si="655"/>
        <v>4</v>
      </c>
      <c r="DD256" s="113">
        <f t="shared" si="655"/>
        <v>46.999999999999993</v>
      </c>
      <c r="DE256" s="460">
        <f t="shared" si="655"/>
        <v>0</v>
      </c>
      <c r="DF256" s="582">
        <f t="shared" si="655"/>
        <v>29.999999999999996</v>
      </c>
      <c r="DG256" s="113">
        <f t="shared" si="655"/>
        <v>13.000000000000011</v>
      </c>
      <c r="DH256" s="113">
        <f t="shared" si="655"/>
        <v>0</v>
      </c>
      <c r="DI256" s="113">
        <f t="shared" si="655"/>
        <v>13.999999999999996</v>
      </c>
      <c r="DJ256" s="459">
        <f t="shared" si="655"/>
        <v>3</v>
      </c>
      <c r="DK256" s="461">
        <f t="shared" si="655"/>
        <v>26.000000000000004</v>
      </c>
      <c r="DL256" s="582">
        <f t="shared" ref="DL256:DU256" si="656">DL145/3+DL255</f>
        <v>17</v>
      </c>
      <c r="DM256" s="113">
        <f t="shared" si="656"/>
        <v>4</v>
      </c>
      <c r="DN256" s="113">
        <f t="shared" si="656"/>
        <v>4.9999999999999991</v>
      </c>
      <c r="DO256" s="113">
        <f t="shared" si="656"/>
        <v>8</v>
      </c>
      <c r="DP256" s="460">
        <f t="shared" si="656"/>
        <v>0</v>
      </c>
      <c r="DQ256" s="582">
        <f t="shared" si="656"/>
        <v>9.9999999999999982</v>
      </c>
      <c r="DR256" s="113">
        <f t="shared" si="656"/>
        <v>1</v>
      </c>
      <c r="DS256" s="113">
        <f t="shared" si="656"/>
        <v>0</v>
      </c>
      <c r="DT256" s="113">
        <f t="shared" si="656"/>
        <v>8.9999999999999982</v>
      </c>
      <c r="DU256" s="459">
        <f t="shared" si="656"/>
        <v>0</v>
      </c>
      <c r="DW256" s="461">
        <f t="shared" si="615"/>
        <v>7442.9999999999982</v>
      </c>
      <c r="DX256" s="582">
        <f t="shared" si="616"/>
        <v>5609</v>
      </c>
      <c r="DY256" s="113">
        <f t="shared" si="617"/>
        <v>1889.0000000000002</v>
      </c>
      <c r="DZ256" s="113">
        <f t="shared" si="618"/>
        <v>212</v>
      </c>
      <c r="EA256" s="113">
        <f t="shared" si="619"/>
        <v>3490</v>
      </c>
      <c r="EB256" s="460">
        <f t="shared" si="620"/>
        <v>18</v>
      </c>
      <c r="EC256" s="582">
        <f t="shared" si="621"/>
        <v>1835.0000000000009</v>
      </c>
      <c r="ED256" s="113">
        <f t="shared" si="622"/>
        <v>466.9999999999996</v>
      </c>
      <c r="EE256" s="113">
        <f t="shared" si="623"/>
        <v>0</v>
      </c>
      <c r="EF256" s="113">
        <f t="shared" si="624"/>
        <v>1276.0000000000002</v>
      </c>
      <c r="EG256" s="459">
        <f t="shared" si="625"/>
        <v>91.999999999999972</v>
      </c>
      <c r="EH256" s="461">
        <f t="shared" si="626"/>
        <v>2486.0000000000005</v>
      </c>
      <c r="EI256" s="582">
        <f t="shared" si="627"/>
        <v>1795.9999999999993</v>
      </c>
      <c r="EJ256" s="113">
        <f t="shared" si="628"/>
        <v>619</v>
      </c>
      <c r="EK256" s="113">
        <f t="shared" si="629"/>
        <v>110.00000000000001</v>
      </c>
      <c r="EL256" s="113">
        <f t="shared" si="630"/>
        <v>1063</v>
      </c>
      <c r="EM256" s="460">
        <f t="shared" si="631"/>
        <v>4</v>
      </c>
      <c r="EN256" s="582">
        <f t="shared" si="632"/>
        <v>690.00000000000034</v>
      </c>
      <c r="EO256" s="113">
        <f t="shared" si="633"/>
        <v>135.99999999999989</v>
      </c>
      <c r="EP256" s="113">
        <f t="shared" si="634"/>
        <v>0</v>
      </c>
      <c r="EQ256" s="113">
        <f t="shared" si="635"/>
        <v>530.00000000000011</v>
      </c>
      <c r="ER256" s="459">
        <f t="shared" si="636"/>
        <v>23.999999999999989</v>
      </c>
    </row>
    <row r="257" spans="1:148">
      <c r="A257" s="665" t="str">
        <f t="shared" ref="A257:C257" si="657">A146</f>
        <v>Q3 2025</v>
      </c>
      <c r="B257" s="665">
        <f t="shared" si="657"/>
        <v>45839</v>
      </c>
      <c r="C257" s="666">
        <f t="shared" si="657"/>
        <v>2025</v>
      </c>
      <c r="D257" s="461">
        <f t="shared" si="607"/>
        <v>6032104.6666666642</v>
      </c>
      <c r="E257" s="461">
        <f t="shared" si="607"/>
        <v>237960.33333333337</v>
      </c>
      <c r="F257" s="582">
        <f t="shared" si="607"/>
        <v>172855.33333333326</v>
      </c>
      <c r="G257" s="113">
        <f t="shared" si="607"/>
        <v>60450</v>
      </c>
      <c r="H257" s="113">
        <f t="shared" si="607"/>
        <v>9300.3333333333321</v>
      </c>
      <c r="I257" s="113">
        <f t="shared" si="607"/>
        <v>101697.66666666666</v>
      </c>
      <c r="J257" s="460">
        <f t="shared" si="607"/>
        <v>1407.3333333333335</v>
      </c>
      <c r="K257" s="582">
        <f t="shared" si="607"/>
        <v>65104.999999999978</v>
      </c>
      <c r="L257" s="113">
        <f t="shared" si="607"/>
        <v>17456.000000000007</v>
      </c>
      <c r="M257" s="113">
        <f t="shared" si="607"/>
        <v>0</v>
      </c>
      <c r="N257" s="113">
        <f t="shared" si="607"/>
        <v>44071.666666666679</v>
      </c>
      <c r="O257" s="459">
        <f t="shared" si="607"/>
        <v>3577.3333333333317</v>
      </c>
      <c r="P257" s="461">
        <f t="shared" si="607"/>
        <v>439.66666666666674</v>
      </c>
      <c r="Q257" s="582">
        <f t="shared" si="607"/>
        <v>269</v>
      </c>
      <c r="R257" s="113">
        <f t="shared" si="607"/>
        <v>91.333333333333343</v>
      </c>
      <c r="S257" s="113">
        <f t="shared" si="607"/>
        <v>13.333333333333336</v>
      </c>
      <c r="T257" s="113">
        <f t="shared" ref="T257:AI257" si="658">T146/3+T256</f>
        <v>160.33333333333337</v>
      </c>
      <c r="U257" s="460">
        <f t="shared" si="658"/>
        <v>3.9999999999999996</v>
      </c>
      <c r="V257" s="582">
        <f t="shared" si="658"/>
        <v>170.66666666666674</v>
      </c>
      <c r="W257" s="113">
        <f t="shared" si="658"/>
        <v>35.333333333333336</v>
      </c>
      <c r="X257" s="113">
        <f t="shared" si="658"/>
        <v>0</v>
      </c>
      <c r="Y257" s="113">
        <f t="shared" si="658"/>
        <v>126.33333333333334</v>
      </c>
      <c r="Z257" s="459">
        <f t="shared" si="658"/>
        <v>9</v>
      </c>
      <c r="AA257" s="461">
        <f t="shared" si="658"/>
        <v>228.66666666666677</v>
      </c>
      <c r="AB257" s="582">
        <f t="shared" si="658"/>
        <v>162.33333333333329</v>
      </c>
      <c r="AC257" s="113">
        <f t="shared" si="658"/>
        <v>52.333333333333336</v>
      </c>
      <c r="AD257" s="113">
        <f t="shared" si="658"/>
        <v>10</v>
      </c>
      <c r="AE257" s="113">
        <f t="shared" si="658"/>
        <v>99</v>
      </c>
      <c r="AF257" s="460">
        <f t="shared" si="658"/>
        <v>1</v>
      </c>
      <c r="AG257" s="582">
        <f t="shared" si="658"/>
        <v>66.333333333333357</v>
      </c>
      <c r="AH257" s="113">
        <f t="shared" si="658"/>
        <v>33.333333333333314</v>
      </c>
      <c r="AI257" s="113">
        <f t="shared" si="658"/>
        <v>0</v>
      </c>
      <c r="AJ257" s="113">
        <f t="shared" si="609"/>
        <v>26.000000000000004</v>
      </c>
      <c r="AK257" s="459">
        <f t="shared" si="609"/>
        <v>6.9999999999999973</v>
      </c>
      <c r="AL257" s="461">
        <f t="shared" si="609"/>
        <v>2536.3333333333339</v>
      </c>
      <c r="AM257" s="582">
        <f t="shared" si="609"/>
        <v>1826.9999999999993</v>
      </c>
      <c r="AN257" s="113">
        <f t="shared" si="609"/>
        <v>625</v>
      </c>
      <c r="AO257" s="113">
        <f t="shared" si="609"/>
        <v>111.33333333333334</v>
      </c>
      <c r="AP257" s="113">
        <f t="shared" si="609"/>
        <v>1086.3333333333333</v>
      </c>
      <c r="AQ257" s="460">
        <f t="shared" si="609"/>
        <v>4.333333333333333</v>
      </c>
      <c r="AR257" s="582">
        <f t="shared" si="609"/>
        <v>709.33333333333371</v>
      </c>
      <c r="AS257" s="113">
        <f t="shared" si="609"/>
        <v>138.33333333333323</v>
      </c>
      <c r="AT257" s="113">
        <f t="shared" si="609"/>
        <v>0</v>
      </c>
      <c r="AU257" s="113">
        <f t="shared" si="609"/>
        <v>547.00000000000011</v>
      </c>
      <c r="AV257" s="459">
        <f t="shared" si="609"/>
        <v>23.999999999999989</v>
      </c>
      <c r="AW257" s="461">
        <f t="shared" si="609"/>
        <v>1367.3333333333328</v>
      </c>
      <c r="AX257" s="582">
        <f t="shared" si="609"/>
        <v>1027.3333333333335</v>
      </c>
      <c r="AY257" s="113">
        <f t="shared" si="609"/>
        <v>354.00000000000011</v>
      </c>
      <c r="AZ257" s="113">
        <f t="shared" ref="AZ257:DK257" si="659">AZ146/3+AZ256</f>
        <v>44.999999999999993</v>
      </c>
      <c r="BA257" s="113">
        <f t="shared" si="659"/>
        <v>626</v>
      </c>
      <c r="BB257" s="460">
        <f t="shared" si="659"/>
        <v>2.333333333333333</v>
      </c>
      <c r="BC257" s="582">
        <f t="shared" si="659"/>
        <v>340</v>
      </c>
      <c r="BD257" s="113">
        <f t="shared" si="659"/>
        <v>98.999999999999886</v>
      </c>
      <c r="BE257" s="113">
        <f t="shared" si="659"/>
        <v>0</v>
      </c>
      <c r="BF257" s="113">
        <f t="shared" si="659"/>
        <v>226.00000000000003</v>
      </c>
      <c r="BG257" s="459">
        <f t="shared" si="659"/>
        <v>15</v>
      </c>
      <c r="BH257" s="461">
        <f t="shared" si="659"/>
        <v>1806.6666666666665</v>
      </c>
      <c r="BI257" s="582">
        <f t="shared" si="659"/>
        <v>1403.9999999999995</v>
      </c>
      <c r="BJ257" s="113">
        <f t="shared" si="659"/>
        <v>486.66666666666686</v>
      </c>
      <c r="BK257" s="113">
        <f t="shared" si="659"/>
        <v>52</v>
      </c>
      <c r="BL257" s="113">
        <f t="shared" si="659"/>
        <v>855.33333333333348</v>
      </c>
      <c r="BM257" s="460">
        <f t="shared" si="659"/>
        <v>10</v>
      </c>
      <c r="BN257" s="582">
        <f t="shared" si="659"/>
        <v>402.66666666666691</v>
      </c>
      <c r="BO257" s="113">
        <f t="shared" si="659"/>
        <v>94.333333333333314</v>
      </c>
      <c r="BP257" s="113">
        <f t="shared" si="659"/>
        <v>0</v>
      </c>
      <c r="BQ257" s="113">
        <f t="shared" si="659"/>
        <v>286.00000000000006</v>
      </c>
      <c r="BR257" s="459">
        <f t="shared" si="659"/>
        <v>22.333333333333325</v>
      </c>
      <c r="BS257" s="461">
        <f t="shared" si="659"/>
        <v>2828.3333333333326</v>
      </c>
      <c r="BT257" s="582">
        <f t="shared" si="659"/>
        <v>2184.6666666666674</v>
      </c>
      <c r="BU257" s="113">
        <f t="shared" si="659"/>
        <v>710.33333333333337</v>
      </c>
      <c r="BV257" s="113">
        <f t="shared" si="659"/>
        <v>42.999999999999993</v>
      </c>
      <c r="BW257" s="113">
        <f t="shared" si="659"/>
        <v>1421.0000000000002</v>
      </c>
      <c r="BX257" s="460">
        <f t="shared" si="659"/>
        <v>10.333333333333334</v>
      </c>
      <c r="BY257" s="582">
        <f t="shared" si="659"/>
        <v>643.66666666666708</v>
      </c>
      <c r="BZ257" s="113">
        <f t="shared" si="659"/>
        <v>142.66666666666643</v>
      </c>
      <c r="CA257" s="113">
        <f t="shared" si="659"/>
        <v>0</v>
      </c>
      <c r="CB257" s="113">
        <f t="shared" si="659"/>
        <v>469.33333333333348</v>
      </c>
      <c r="CC257" s="459">
        <f t="shared" si="659"/>
        <v>31.666666666666647</v>
      </c>
      <c r="CD257" s="461">
        <f t="shared" si="659"/>
        <v>434.33333333333309</v>
      </c>
      <c r="CE257" s="582">
        <f t="shared" si="659"/>
        <v>323.33333333333337</v>
      </c>
      <c r="CF257" s="113">
        <f t="shared" si="659"/>
        <v>99.333333333333329</v>
      </c>
      <c r="CG257" s="113">
        <f t="shared" si="659"/>
        <v>23.666666666666671</v>
      </c>
      <c r="CH257" s="113">
        <f t="shared" si="659"/>
        <v>200.33333333333334</v>
      </c>
      <c r="CI257" s="460">
        <f t="shared" si="659"/>
        <v>0</v>
      </c>
      <c r="CJ257" s="582">
        <f t="shared" si="659"/>
        <v>110.99999999999999</v>
      </c>
      <c r="CK257" s="113">
        <f t="shared" si="659"/>
        <v>26.333333333333329</v>
      </c>
      <c r="CL257" s="113">
        <f t="shared" si="659"/>
        <v>0</v>
      </c>
      <c r="CM257" s="113">
        <f t="shared" si="659"/>
        <v>79.666666666666686</v>
      </c>
      <c r="CN257" s="459">
        <f t="shared" si="659"/>
        <v>4.9999999999999991</v>
      </c>
      <c r="CO257" s="461">
        <f t="shared" si="659"/>
        <v>351.66666666666674</v>
      </c>
      <c r="CP257" s="582">
        <f t="shared" si="659"/>
        <v>247.3333333333334</v>
      </c>
      <c r="CQ257" s="113">
        <f t="shared" si="659"/>
        <v>90.666666666666657</v>
      </c>
      <c r="CR257" s="113">
        <f t="shared" si="659"/>
        <v>25.333333333333332</v>
      </c>
      <c r="CS257" s="113">
        <f t="shared" si="659"/>
        <v>130.33333333333331</v>
      </c>
      <c r="CT257" s="460">
        <f t="shared" si="659"/>
        <v>1</v>
      </c>
      <c r="CU257" s="582">
        <f t="shared" si="659"/>
        <v>104.3333333333334</v>
      </c>
      <c r="CV257" s="113">
        <f t="shared" si="659"/>
        <v>26.999999999999975</v>
      </c>
      <c r="CW257" s="113">
        <f t="shared" si="659"/>
        <v>0</v>
      </c>
      <c r="CX257" s="113">
        <f t="shared" si="659"/>
        <v>77.333333333333286</v>
      </c>
      <c r="CY257" s="459">
        <f t="shared" si="659"/>
        <v>0</v>
      </c>
      <c r="CZ257" s="461">
        <f t="shared" si="659"/>
        <v>99.999999999999957</v>
      </c>
      <c r="DA257" s="582">
        <f t="shared" si="659"/>
        <v>68.999999999999986</v>
      </c>
      <c r="DB257" s="113">
        <f t="shared" si="659"/>
        <v>17.333333333333332</v>
      </c>
      <c r="DC257" s="113">
        <f t="shared" si="659"/>
        <v>4</v>
      </c>
      <c r="DD257" s="113">
        <f t="shared" si="659"/>
        <v>47.333333333333329</v>
      </c>
      <c r="DE257" s="460">
        <f t="shared" si="659"/>
        <v>0.33333333333333331</v>
      </c>
      <c r="DF257" s="582">
        <f t="shared" si="659"/>
        <v>30.999999999999996</v>
      </c>
      <c r="DG257" s="113">
        <f t="shared" si="659"/>
        <v>13.000000000000011</v>
      </c>
      <c r="DH257" s="113">
        <f t="shared" si="659"/>
        <v>0</v>
      </c>
      <c r="DI257" s="113">
        <f t="shared" si="659"/>
        <v>14.999999999999996</v>
      </c>
      <c r="DJ257" s="459">
        <f t="shared" si="659"/>
        <v>3</v>
      </c>
      <c r="DK257" s="461">
        <f t="shared" si="659"/>
        <v>26.333333333333336</v>
      </c>
      <c r="DL257" s="582">
        <f t="shared" ref="DL257:DU257" si="660">DL146/3+DL256</f>
        <v>17</v>
      </c>
      <c r="DM257" s="113">
        <f t="shared" si="660"/>
        <v>4</v>
      </c>
      <c r="DN257" s="113">
        <f t="shared" si="660"/>
        <v>4.9999999999999991</v>
      </c>
      <c r="DO257" s="113">
        <f t="shared" si="660"/>
        <v>8</v>
      </c>
      <c r="DP257" s="460">
        <f t="shared" si="660"/>
        <v>0</v>
      </c>
      <c r="DQ257" s="582">
        <f t="shared" si="660"/>
        <v>10.333333333333332</v>
      </c>
      <c r="DR257" s="113">
        <f t="shared" si="660"/>
        <v>1</v>
      </c>
      <c r="DS257" s="113">
        <f t="shared" si="660"/>
        <v>0</v>
      </c>
      <c r="DT257" s="113">
        <f t="shared" si="660"/>
        <v>9.3333333333333321</v>
      </c>
      <c r="DU257" s="459">
        <f t="shared" si="660"/>
        <v>0</v>
      </c>
      <c r="DW257" s="461">
        <f t="shared" si="615"/>
        <v>7582.9999999999991</v>
      </c>
      <c r="DX257" s="582">
        <f t="shared" si="616"/>
        <v>5704</v>
      </c>
      <c r="DY257" s="113">
        <f t="shared" si="617"/>
        <v>1906.0000000000002</v>
      </c>
      <c r="DZ257" s="113">
        <f t="shared" si="618"/>
        <v>221.33333333333334</v>
      </c>
      <c r="EA257" s="113">
        <f t="shared" si="619"/>
        <v>3547.6666666666674</v>
      </c>
      <c r="EB257" s="460">
        <f t="shared" si="620"/>
        <v>28.999999999999996</v>
      </c>
      <c r="EC257" s="582">
        <f t="shared" si="621"/>
        <v>1880.0000000000007</v>
      </c>
      <c r="ED257" s="113">
        <f t="shared" si="622"/>
        <v>471.9999999999996</v>
      </c>
      <c r="EE257" s="113">
        <f t="shared" si="623"/>
        <v>0</v>
      </c>
      <c r="EF257" s="113">
        <f t="shared" si="624"/>
        <v>1315.0000000000002</v>
      </c>
      <c r="EG257" s="459">
        <f t="shared" si="625"/>
        <v>92.999999999999972</v>
      </c>
      <c r="EH257" s="461">
        <f t="shared" si="626"/>
        <v>2536.3333333333339</v>
      </c>
      <c r="EI257" s="582">
        <f t="shared" si="627"/>
        <v>1826.9999999999993</v>
      </c>
      <c r="EJ257" s="113">
        <f t="shared" si="628"/>
        <v>625</v>
      </c>
      <c r="EK257" s="113">
        <f t="shared" si="629"/>
        <v>111.33333333333334</v>
      </c>
      <c r="EL257" s="113">
        <f t="shared" si="630"/>
        <v>1086.3333333333333</v>
      </c>
      <c r="EM257" s="460">
        <f t="shared" si="631"/>
        <v>4.333333333333333</v>
      </c>
      <c r="EN257" s="582">
        <f t="shared" si="632"/>
        <v>709.33333333333371</v>
      </c>
      <c r="EO257" s="113">
        <f t="shared" si="633"/>
        <v>138.33333333333323</v>
      </c>
      <c r="EP257" s="113">
        <f t="shared" si="634"/>
        <v>0</v>
      </c>
      <c r="EQ257" s="113">
        <f t="shared" si="635"/>
        <v>547.00000000000011</v>
      </c>
      <c r="ER257" s="459">
        <f t="shared" si="636"/>
        <v>23.999999999999989</v>
      </c>
    </row>
    <row r="258" spans="1:148">
      <c r="A258" s="665" t="str">
        <f t="shared" ref="A258:C258" si="661">A147</f>
        <v>Q3 2025</v>
      </c>
      <c r="B258" s="665">
        <f t="shared" si="661"/>
        <v>45870</v>
      </c>
      <c r="C258" s="666">
        <f t="shared" si="661"/>
        <v>2025</v>
      </c>
      <c r="D258" s="461">
        <f t="shared" si="607"/>
        <v>6093704.3333333312</v>
      </c>
      <c r="E258" s="461">
        <f t="shared" si="607"/>
        <v>241923.66666666672</v>
      </c>
      <c r="F258" s="582">
        <f t="shared" si="607"/>
        <v>175330.6666666666</v>
      </c>
      <c r="G258" s="113">
        <f t="shared" si="607"/>
        <v>60836</v>
      </c>
      <c r="H258" s="113">
        <f t="shared" si="607"/>
        <v>9569.6666666666661</v>
      </c>
      <c r="I258" s="113">
        <f t="shared" si="607"/>
        <v>103400.33333333333</v>
      </c>
      <c r="J258" s="460">
        <f t="shared" si="607"/>
        <v>1524.6666666666667</v>
      </c>
      <c r="K258" s="582">
        <f t="shared" si="607"/>
        <v>66592.999999999971</v>
      </c>
      <c r="L258" s="113">
        <f t="shared" si="607"/>
        <v>17743.000000000007</v>
      </c>
      <c r="M258" s="113">
        <f t="shared" si="607"/>
        <v>0</v>
      </c>
      <c r="N258" s="113">
        <f t="shared" si="607"/>
        <v>45251.333333333343</v>
      </c>
      <c r="O258" s="459">
        <f t="shared" si="607"/>
        <v>3598.6666666666652</v>
      </c>
      <c r="P258" s="461">
        <f t="shared" si="607"/>
        <v>448.33333333333343</v>
      </c>
      <c r="Q258" s="582">
        <f t="shared" si="607"/>
        <v>274</v>
      </c>
      <c r="R258" s="113">
        <f t="shared" si="607"/>
        <v>91.666666666666671</v>
      </c>
      <c r="S258" s="113">
        <f t="shared" si="607"/>
        <v>13.66666666666667</v>
      </c>
      <c r="T258" s="113">
        <f t="shared" ref="T258:AI258" si="662">T147/3+T257</f>
        <v>164.66666666666671</v>
      </c>
      <c r="U258" s="460">
        <f t="shared" si="662"/>
        <v>3.9999999999999996</v>
      </c>
      <c r="V258" s="582">
        <f t="shared" si="662"/>
        <v>174.3333333333334</v>
      </c>
      <c r="W258" s="113">
        <f t="shared" si="662"/>
        <v>35.666666666666671</v>
      </c>
      <c r="X258" s="113">
        <f t="shared" si="662"/>
        <v>0</v>
      </c>
      <c r="Y258" s="113">
        <f t="shared" si="662"/>
        <v>129.66666666666669</v>
      </c>
      <c r="Z258" s="459">
        <f t="shared" si="662"/>
        <v>9</v>
      </c>
      <c r="AA258" s="461">
        <f t="shared" si="662"/>
        <v>232.33333333333343</v>
      </c>
      <c r="AB258" s="582">
        <f t="shared" si="662"/>
        <v>164.66666666666663</v>
      </c>
      <c r="AC258" s="113">
        <f t="shared" si="662"/>
        <v>52.666666666666671</v>
      </c>
      <c r="AD258" s="113">
        <f t="shared" si="662"/>
        <v>10</v>
      </c>
      <c r="AE258" s="113">
        <f t="shared" si="662"/>
        <v>101</v>
      </c>
      <c r="AF258" s="460">
        <f t="shared" si="662"/>
        <v>1</v>
      </c>
      <c r="AG258" s="582">
        <f t="shared" si="662"/>
        <v>67.666666666666686</v>
      </c>
      <c r="AH258" s="113">
        <f t="shared" si="662"/>
        <v>33.66666666666665</v>
      </c>
      <c r="AI258" s="113">
        <f t="shared" si="662"/>
        <v>0</v>
      </c>
      <c r="AJ258" s="113">
        <f t="shared" si="609"/>
        <v>27.000000000000004</v>
      </c>
      <c r="AK258" s="459">
        <f t="shared" si="609"/>
        <v>6.9999999999999973</v>
      </c>
      <c r="AL258" s="461">
        <f t="shared" si="609"/>
        <v>2586.6666666666674</v>
      </c>
      <c r="AM258" s="582">
        <f t="shared" si="609"/>
        <v>1857.9999999999993</v>
      </c>
      <c r="AN258" s="113">
        <f t="shared" si="609"/>
        <v>631</v>
      </c>
      <c r="AO258" s="113">
        <f t="shared" si="609"/>
        <v>112.66666666666667</v>
      </c>
      <c r="AP258" s="113">
        <f t="shared" si="609"/>
        <v>1109.6666666666665</v>
      </c>
      <c r="AQ258" s="460">
        <f t="shared" si="609"/>
        <v>4.6666666666666661</v>
      </c>
      <c r="AR258" s="582">
        <f t="shared" si="609"/>
        <v>728.66666666666708</v>
      </c>
      <c r="AS258" s="113">
        <f t="shared" si="609"/>
        <v>140.66666666666657</v>
      </c>
      <c r="AT258" s="113">
        <f t="shared" si="609"/>
        <v>0</v>
      </c>
      <c r="AU258" s="113">
        <f t="shared" si="609"/>
        <v>564.00000000000011</v>
      </c>
      <c r="AV258" s="459">
        <f t="shared" si="609"/>
        <v>23.999999999999989</v>
      </c>
      <c r="AW258" s="461">
        <f t="shared" si="609"/>
        <v>1396.6666666666661</v>
      </c>
      <c r="AX258" s="582">
        <f t="shared" si="609"/>
        <v>1046.6666666666667</v>
      </c>
      <c r="AY258" s="113">
        <f t="shared" si="609"/>
        <v>358.00000000000011</v>
      </c>
      <c r="AZ258" s="113">
        <f t="shared" ref="AZ258:DK258" si="663">AZ147/3+AZ257</f>
        <v>45.999999999999993</v>
      </c>
      <c r="BA258" s="113">
        <f t="shared" si="663"/>
        <v>640</v>
      </c>
      <c r="BB258" s="460">
        <f t="shared" si="663"/>
        <v>2.6666666666666665</v>
      </c>
      <c r="BC258" s="582">
        <f t="shared" si="663"/>
        <v>350</v>
      </c>
      <c r="BD258" s="113">
        <f t="shared" si="663"/>
        <v>99.999999999999886</v>
      </c>
      <c r="BE258" s="113">
        <f t="shared" si="663"/>
        <v>0</v>
      </c>
      <c r="BF258" s="113">
        <f t="shared" si="663"/>
        <v>235.00000000000003</v>
      </c>
      <c r="BG258" s="459">
        <f t="shared" si="663"/>
        <v>15</v>
      </c>
      <c r="BH258" s="461">
        <f t="shared" si="663"/>
        <v>1836.3333333333333</v>
      </c>
      <c r="BI258" s="582">
        <f t="shared" si="663"/>
        <v>1422.9999999999995</v>
      </c>
      <c r="BJ258" s="113">
        <f t="shared" si="663"/>
        <v>489.33333333333354</v>
      </c>
      <c r="BK258" s="113">
        <f t="shared" si="663"/>
        <v>53</v>
      </c>
      <c r="BL258" s="113">
        <f t="shared" si="663"/>
        <v>863.66666666666686</v>
      </c>
      <c r="BM258" s="460">
        <f t="shared" si="663"/>
        <v>17</v>
      </c>
      <c r="BN258" s="582">
        <f t="shared" si="663"/>
        <v>413.3333333333336</v>
      </c>
      <c r="BO258" s="113">
        <f t="shared" si="663"/>
        <v>95.666666666666643</v>
      </c>
      <c r="BP258" s="113">
        <f t="shared" si="663"/>
        <v>0</v>
      </c>
      <c r="BQ258" s="113">
        <f t="shared" si="663"/>
        <v>295.00000000000006</v>
      </c>
      <c r="BR258" s="459">
        <f t="shared" si="663"/>
        <v>22.666666666666657</v>
      </c>
      <c r="BS258" s="461">
        <f t="shared" si="663"/>
        <v>2882.6666666666661</v>
      </c>
      <c r="BT258" s="582">
        <f t="shared" si="663"/>
        <v>2224.3333333333339</v>
      </c>
      <c r="BU258" s="113">
        <f t="shared" si="663"/>
        <v>718.66666666666674</v>
      </c>
      <c r="BV258" s="113">
        <f t="shared" si="663"/>
        <v>48.999999999999993</v>
      </c>
      <c r="BW258" s="113">
        <f t="shared" si="663"/>
        <v>1443.0000000000002</v>
      </c>
      <c r="BX258" s="460">
        <f t="shared" si="663"/>
        <v>13.666666666666668</v>
      </c>
      <c r="BY258" s="582">
        <f t="shared" si="663"/>
        <v>658.33333333333371</v>
      </c>
      <c r="BZ258" s="113">
        <f t="shared" si="663"/>
        <v>144.33333333333309</v>
      </c>
      <c r="CA258" s="113">
        <f t="shared" si="663"/>
        <v>0</v>
      </c>
      <c r="CB258" s="113">
        <f t="shared" si="663"/>
        <v>481.6666666666668</v>
      </c>
      <c r="CC258" s="459">
        <f t="shared" si="663"/>
        <v>32.333333333333314</v>
      </c>
      <c r="CD258" s="461">
        <f t="shared" si="663"/>
        <v>439.6666666666664</v>
      </c>
      <c r="CE258" s="582">
        <f t="shared" si="663"/>
        <v>327.66666666666669</v>
      </c>
      <c r="CF258" s="113">
        <f t="shared" si="663"/>
        <v>99.666666666666657</v>
      </c>
      <c r="CG258" s="113">
        <f t="shared" si="663"/>
        <v>24.333333333333339</v>
      </c>
      <c r="CH258" s="113">
        <f t="shared" si="663"/>
        <v>203.66666666666669</v>
      </c>
      <c r="CI258" s="460">
        <f t="shared" si="663"/>
        <v>0</v>
      </c>
      <c r="CJ258" s="582">
        <f t="shared" si="663"/>
        <v>111.99999999999999</v>
      </c>
      <c r="CK258" s="113">
        <f t="shared" si="663"/>
        <v>26.666666666666661</v>
      </c>
      <c r="CL258" s="113">
        <f t="shared" si="663"/>
        <v>0</v>
      </c>
      <c r="CM258" s="113">
        <f t="shared" si="663"/>
        <v>80.333333333333357</v>
      </c>
      <c r="CN258" s="459">
        <f t="shared" si="663"/>
        <v>4.9999999999999991</v>
      </c>
      <c r="CO258" s="461">
        <f t="shared" si="663"/>
        <v>358.33333333333343</v>
      </c>
      <c r="CP258" s="582">
        <f t="shared" si="663"/>
        <v>251.66666666666674</v>
      </c>
      <c r="CQ258" s="113">
        <f t="shared" si="663"/>
        <v>91.333333333333329</v>
      </c>
      <c r="CR258" s="113">
        <f t="shared" si="663"/>
        <v>25.666666666666664</v>
      </c>
      <c r="CS258" s="113">
        <f t="shared" si="663"/>
        <v>133.66666666666666</v>
      </c>
      <c r="CT258" s="460">
        <f t="shared" si="663"/>
        <v>1</v>
      </c>
      <c r="CU258" s="582">
        <f t="shared" si="663"/>
        <v>106.66666666666673</v>
      </c>
      <c r="CV258" s="113">
        <f t="shared" si="663"/>
        <v>26.999999999999975</v>
      </c>
      <c r="CW258" s="113">
        <f t="shared" si="663"/>
        <v>0</v>
      </c>
      <c r="CX258" s="113">
        <f t="shared" si="663"/>
        <v>79.666666666666615</v>
      </c>
      <c r="CY258" s="459">
        <f t="shared" si="663"/>
        <v>0</v>
      </c>
      <c r="CZ258" s="461">
        <f t="shared" si="663"/>
        <v>101.99999999999996</v>
      </c>
      <c r="DA258" s="582">
        <f t="shared" si="663"/>
        <v>69.999999999999986</v>
      </c>
      <c r="DB258" s="113">
        <f t="shared" si="663"/>
        <v>17.666666666666664</v>
      </c>
      <c r="DC258" s="113">
        <f t="shared" si="663"/>
        <v>4</v>
      </c>
      <c r="DD258" s="113">
        <f t="shared" si="663"/>
        <v>47.666666666666664</v>
      </c>
      <c r="DE258" s="460">
        <f t="shared" si="663"/>
        <v>0.66666666666666663</v>
      </c>
      <c r="DF258" s="582">
        <f t="shared" si="663"/>
        <v>31.999999999999996</v>
      </c>
      <c r="DG258" s="113">
        <f t="shared" si="663"/>
        <v>13.000000000000011</v>
      </c>
      <c r="DH258" s="113">
        <f t="shared" si="663"/>
        <v>0</v>
      </c>
      <c r="DI258" s="113">
        <f t="shared" si="663"/>
        <v>15.999999999999996</v>
      </c>
      <c r="DJ258" s="459">
        <f t="shared" si="663"/>
        <v>3</v>
      </c>
      <c r="DK258" s="461">
        <f t="shared" si="663"/>
        <v>26.666666666666668</v>
      </c>
      <c r="DL258" s="582">
        <f t="shared" ref="DL258:DU258" si="664">DL147/3+DL257</f>
        <v>17</v>
      </c>
      <c r="DM258" s="113">
        <f t="shared" si="664"/>
        <v>4</v>
      </c>
      <c r="DN258" s="113">
        <f t="shared" si="664"/>
        <v>4.9999999999999991</v>
      </c>
      <c r="DO258" s="113">
        <f t="shared" si="664"/>
        <v>8</v>
      </c>
      <c r="DP258" s="460">
        <f t="shared" si="664"/>
        <v>0</v>
      </c>
      <c r="DQ258" s="582">
        <f t="shared" si="664"/>
        <v>10.666666666666666</v>
      </c>
      <c r="DR258" s="113">
        <f t="shared" si="664"/>
        <v>1</v>
      </c>
      <c r="DS258" s="113">
        <f t="shared" si="664"/>
        <v>0</v>
      </c>
      <c r="DT258" s="113">
        <f t="shared" si="664"/>
        <v>9.6666666666666661</v>
      </c>
      <c r="DU258" s="459">
        <f t="shared" si="664"/>
        <v>0</v>
      </c>
      <c r="DW258" s="461">
        <f t="shared" si="615"/>
        <v>7722.9999999999982</v>
      </c>
      <c r="DX258" s="582">
        <f t="shared" si="616"/>
        <v>5799.0000000000009</v>
      </c>
      <c r="DY258" s="113">
        <f t="shared" si="617"/>
        <v>1923.0000000000005</v>
      </c>
      <c r="DZ258" s="113">
        <f t="shared" si="618"/>
        <v>230.66666666666666</v>
      </c>
      <c r="EA258" s="113">
        <f t="shared" si="619"/>
        <v>3605.3333333333335</v>
      </c>
      <c r="EB258" s="460">
        <f t="shared" si="620"/>
        <v>39.999999999999993</v>
      </c>
      <c r="EC258" s="582">
        <f t="shared" si="621"/>
        <v>1925.0000000000009</v>
      </c>
      <c r="ED258" s="113">
        <f t="shared" si="622"/>
        <v>476.9999999999996</v>
      </c>
      <c r="EE258" s="113">
        <f t="shared" si="623"/>
        <v>0</v>
      </c>
      <c r="EF258" s="113">
        <f t="shared" si="624"/>
        <v>1354</v>
      </c>
      <c r="EG258" s="459">
        <f t="shared" si="625"/>
        <v>93.999999999999972</v>
      </c>
      <c r="EH258" s="461">
        <f t="shared" si="626"/>
        <v>2586.6666666666674</v>
      </c>
      <c r="EI258" s="582">
        <f t="shared" si="627"/>
        <v>1857.9999999999993</v>
      </c>
      <c r="EJ258" s="113">
        <f t="shared" si="628"/>
        <v>631</v>
      </c>
      <c r="EK258" s="113">
        <f t="shared" si="629"/>
        <v>112.66666666666667</v>
      </c>
      <c r="EL258" s="113">
        <f t="shared" si="630"/>
        <v>1109.6666666666665</v>
      </c>
      <c r="EM258" s="460">
        <f t="shared" si="631"/>
        <v>4.6666666666666661</v>
      </c>
      <c r="EN258" s="582">
        <f t="shared" si="632"/>
        <v>728.66666666666708</v>
      </c>
      <c r="EO258" s="113">
        <f t="shared" si="633"/>
        <v>140.66666666666657</v>
      </c>
      <c r="EP258" s="113">
        <f t="shared" si="634"/>
        <v>0</v>
      </c>
      <c r="EQ258" s="113">
        <f t="shared" si="635"/>
        <v>564.00000000000011</v>
      </c>
      <c r="ER258" s="459">
        <f t="shared" si="636"/>
        <v>23.999999999999989</v>
      </c>
    </row>
    <row r="259" spans="1:148">
      <c r="A259" s="665" t="str">
        <f t="shared" ref="A259:C259" si="665">A148</f>
        <v>Q3 2025</v>
      </c>
      <c r="B259" s="665">
        <f t="shared" si="665"/>
        <v>45901</v>
      </c>
      <c r="C259" s="666">
        <f t="shared" si="665"/>
        <v>2025</v>
      </c>
      <c r="D259" s="461">
        <f t="shared" si="607"/>
        <v>6155303.9999999981</v>
      </c>
      <c r="E259" s="461">
        <f t="shared" si="607"/>
        <v>245887.00000000006</v>
      </c>
      <c r="F259" s="582">
        <f t="shared" si="607"/>
        <v>177805.99999999994</v>
      </c>
      <c r="G259" s="113">
        <f t="shared" si="607"/>
        <v>61222</v>
      </c>
      <c r="H259" s="113">
        <f t="shared" si="607"/>
        <v>9839</v>
      </c>
      <c r="I259" s="113">
        <f t="shared" si="607"/>
        <v>105103</v>
      </c>
      <c r="J259" s="460">
        <f t="shared" si="607"/>
        <v>1642</v>
      </c>
      <c r="K259" s="582">
        <f t="shared" si="607"/>
        <v>68080.999999999971</v>
      </c>
      <c r="L259" s="113">
        <f t="shared" si="607"/>
        <v>18030.000000000007</v>
      </c>
      <c r="M259" s="113">
        <f t="shared" si="607"/>
        <v>0</v>
      </c>
      <c r="N259" s="113">
        <f t="shared" si="607"/>
        <v>46431.000000000007</v>
      </c>
      <c r="O259" s="459">
        <f t="shared" si="607"/>
        <v>3619.9999999999986</v>
      </c>
      <c r="P259" s="461">
        <f t="shared" si="607"/>
        <v>457.00000000000011</v>
      </c>
      <c r="Q259" s="582">
        <f t="shared" si="607"/>
        <v>279</v>
      </c>
      <c r="R259" s="113">
        <f t="shared" si="607"/>
        <v>92</v>
      </c>
      <c r="S259" s="113">
        <f t="shared" si="607"/>
        <v>14.000000000000004</v>
      </c>
      <c r="T259" s="113">
        <f t="shared" ref="T259:AI259" si="666">T148/3+T258</f>
        <v>169.00000000000006</v>
      </c>
      <c r="U259" s="460">
        <f t="shared" si="666"/>
        <v>3.9999999999999996</v>
      </c>
      <c r="V259" s="582">
        <f t="shared" si="666"/>
        <v>178.00000000000006</v>
      </c>
      <c r="W259" s="113">
        <f t="shared" si="666"/>
        <v>36.000000000000007</v>
      </c>
      <c r="X259" s="113">
        <f t="shared" si="666"/>
        <v>0</v>
      </c>
      <c r="Y259" s="113">
        <f t="shared" si="666"/>
        <v>133.00000000000003</v>
      </c>
      <c r="Z259" s="459">
        <f t="shared" si="666"/>
        <v>9</v>
      </c>
      <c r="AA259" s="461">
        <f t="shared" si="666"/>
        <v>236.00000000000009</v>
      </c>
      <c r="AB259" s="582">
        <f t="shared" si="666"/>
        <v>166.99999999999997</v>
      </c>
      <c r="AC259" s="113">
        <f t="shared" si="666"/>
        <v>53.000000000000007</v>
      </c>
      <c r="AD259" s="113">
        <f t="shared" si="666"/>
        <v>10</v>
      </c>
      <c r="AE259" s="113">
        <f t="shared" si="666"/>
        <v>103</v>
      </c>
      <c r="AF259" s="460">
        <f t="shared" si="666"/>
        <v>1</v>
      </c>
      <c r="AG259" s="582">
        <f t="shared" si="666"/>
        <v>69.000000000000014</v>
      </c>
      <c r="AH259" s="113">
        <f t="shared" si="666"/>
        <v>33.999999999999986</v>
      </c>
      <c r="AI259" s="113">
        <f t="shared" si="666"/>
        <v>0</v>
      </c>
      <c r="AJ259" s="113">
        <f t="shared" si="609"/>
        <v>28.000000000000004</v>
      </c>
      <c r="AK259" s="459">
        <f t="shared" si="609"/>
        <v>6.9999999999999973</v>
      </c>
      <c r="AL259" s="461">
        <f t="shared" si="609"/>
        <v>2637.0000000000009</v>
      </c>
      <c r="AM259" s="582">
        <f t="shared" si="609"/>
        <v>1888.9999999999993</v>
      </c>
      <c r="AN259" s="113">
        <f t="shared" si="609"/>
        <v>637</v>
      </c>
      <c r="AO259" s="113">
        <f t="shared" si="609"/>
        <v>114</v>
      </c>
      <c r="AP259" s="113">
        <f t="shared" si="609"/>
        <v>1132.9999999999998</v>
      </c>
      <c r="AQ259" s="460">
        <f t="shared" si="609"/>
        <v>4.9999999999999991</v>
      </c>
      <c r="AR259" s="582">
        <f t="shared" si="609"/>
        <v>748.00000000000045</v>
      </c>
      <c r="AS259" s="113">
        <f t="shared" si="609"/>
        <v>142.99999999999991</v>
      </c>
      <c r="AT259" s="113">
        <f t="shared" si="609"/>
        <v>0</v>
      </c>
      <c r="AU259" s="113">
        <f t="shared" si="609"/>
        <v>581.00000000000011</v>
      </c>
      <c r="AV259" s="459">
        <f t="shared" si="609"/>
        <v>23.999999999999989</v>
      </c>
      <c r="AW259" s="461">
        <f t="shared" si="609"/>
        <v>1425.9999999999993</v>
      </c>
      <c r="AX259" s="582">
        <f t="shared" si="609"/>
        <v>1066</v>
      </c>
      <c r="AY259" s="113">
        <f t="shared" si="609"/>
        <v>362.00000000000011</v>
      </c>
      <c r="AZ259" s="113">
        <f t="shared" ref="AZ259:DK259" si="667">AZ148/3+AZ258</f>
        <v>46.999999999999993</v>
      </c>
      <c r="BA259" s="113">
        <f t="shared" si="667"/>
        <v>654</v>
      </c>
      <c r="BB259" s="460">
        <f t="shared" si="667"/>
        <v>3</v>
      </c>
      <c r="BC259" s="582">
        <f t="shared" si="667"/>
        <v>360</v>
      </c>
      <c r="BD259" s="113">
        <f t="shared" si="667"/>
        <v>100.99999999999989</v>
      </c>
      <c r="BE259" s="113">
        <f t="shared" si="667"/>
        <v>0</v>
      </c>
      <c r="BF259" s="113">
        <f t="shared" si="667"/>
        <v>244.00000000000003</v>
      </c>
      <c r="BG259" s="459">
        <f t="shared" si="667"/>
        <v>15</v>
      </c>
      <c r="BH259" s="461">
        <f t="shared" si="667"/>
        <v>1866</v>
      </c>
      <c r="BI259" s="582">
        <f t="shared" si="667"/>
        <v>1441.9999999999995</v>
      </c>
      <c r="BJ259" s="113">
        <f t="shared" si="667"/>
        <v>492.00000000000023</v>
      </c>
      <c r="BK259" s="113">
        <f t="shared" si="667"/>
        <v>54</v>
      </c>
      <c r="BL259" s="113">
        <f t="shared" si="667"/>
        <v>872.00000000000023</v>
      </c>
      <c r="BM259" s="460">
        <f t="shared" si="667"/>
        <v>24</v>
      </c>
      <c r="BN259" s="582">
        <f t="shared" si="667"/>
        <v>424.00000000000028</v>
      </c>
      <c r="BO259" s="113">
        <f t="shared" si="667"/>
        <v>96.999999999999972</v>
      </c>
      <c r="BP259" s="113">
        <f t="shared" si="667"/>
        <v>0</v>
      </c>
      <c r="BQ259" s="113">
        <f t="shared" si="667"/>
        <v>304.00000000000006</v>
      </c>
      <c r="BR259" s="459">
        <f t="shared" si="667"/>
        <v>22.999999999999989</v>
      </c>
      <c r="BS259" s="461">
        <f t="shared" si="667"/>
        <v>2936.9999999999995</v>
      </c>
      <c r="BT259" s="582">
        <f t="shared" si="667"/>
        <v>2264.0000000000005</v>
      </c>
      <c r="BU259" s="113">
        <f t="shared" si="667"/>
        <v>727.00000000000011</v>
      </c>
      <c r="BV259" s="113">
        <f t="shared" si="667"/>
        <v>54.999999999999993</v>
      </c>
      <c r="BW259" s="113">
        <f t="shared" si="667"/>
        <v>1465.0000000000002</v>
      </c>
      <c r="BX259" s="460">
        <f t="shared" si="667"/>
        <v>17</v>
      </c>
      <c r="BY259" s="582">
        <f t="shared" si="667"/>
        <v>673.00000000000034</v>
      </c>
      <c r="BZ259" s="113">
        <f t="shared" si="667"/>
        <v>145.99999999999974</v>
      </c>
      <c r="CA259" s="113">
        <f t="shared" si="667"/>
        <v>0</v>
      </c>
      <c r="CB259" s="113">
        <f t="shared" si="667"/>
        <v>494.00000000000011</v>
      </c>
      <c r="CC259" s="459">
        <f t="shared" si="667"/>
        <v>32.999999999999979</v>
      </c>
      <c r="CD259" s="461">
        <f t="shared" si="667"/>
        <v>444.99999999999972</v>
      </c>
      <c r="CE259" s="582">
        <f t="shared" si="667"/>
        <v>332</v>
      </c>
      <c r="CF259" s="113">
        <f t="shared" si="667"/>
        <v>99.999999999999986</v>
      </c>
      <c r="CG259" s="113">
        <f t="shared" si="667"/>
        <v>25.000000000000007</v>
      </c>
      <c r="CH259" s="113">
        <f t="shared" si="667"/>
        <v>207.00000000000003</v>
      </c>
      <c r="CI259" s="460">
        <f t="shared" si="667"/>
        <v>0</v>
      </c>
      <c r="CJ259" s="582">
        <f t="shared" si="667"/>
        <v>112.99999999999999</v>
      </c>
      <c r="CK259" s="113">
        <f t="shared" si="667"/>
        <v>26.999999999999993</v>
      </c>
      <c r="CL259" s="113">
        <f t="shared" si="667"/>
        <v>0</v>
      </c>
      <c r="CM259" s="113">
        <f t="shared" si="667"/>
        <v>81.000000000000028</v>
      </c>
      <c r="CN259" s="459">
        <f t="shared" si="667"/>
        <v>4.9999999999999991</v>
      </c>
      <c r="CO259" s="461">
        <f t="shared" si="667"/>
        <v>365.00000000000011</v>
      </c>
      <c r="CP259" s="582">
        <f t="shared" si="667"/>
        <v>256.00000000000006</v>
      </c>
      <c r="CQ259" s="113">
        <f t="shared" si="667"/>
        <v>92</v>
      </c>
      <c r="CR259" s="113">
        <f t="shared" si="667"/>
        <v>25.999999999999996</v>
      </c>
      <c r="CS259" s="113">
        <f t="shared" si="667"/>
        <v>137</v>
      </c>
      <c r="CT259" s="460">
        <f t="shared" si="667"/>
        <v>1</v>
      </c>
      <c r="CU259" s="582">
        <f t="shared" si="667"/>
        <v>109.00000000000006</v>
      </c>
      <c r="CV259" s="113">
        <f t="shared" si="667"/>
        <v>26.999999999999975</v>
      </c>
      <c r="CW259" s="113">
        <f t="shared" si="667"/>
        <v>0</v>
      </c>
      <c r="CX259" s="113">
        <f t="shared" si="667"/>
        <v>81.999999999999943</v>
      </c>
      <c r="CY259" s="459">
        <f t="shared" si="667"/>
        <v>0</v>
      </c>
      <c r="CZ259" s="461">
        <f t="shared" si="667"/>
        <v>103.99999999999996</v>
      </c>
      <c r="DA259" s="582">
        <f t="shared" si="667"/>
        <v>70.999999999999986</v>
      </c>
      <c r="DB259" s="113">
        <f t="shared" si="667"/>
        <v>17.999999999999996</v>
      </c>
      <c r="DC259" s="113">
        <f t="shared" si="667"/>
        <v>4</v>
      </c>
      <c r="DD259" s="113">
        <f t="shared" si="667"/>
        <v>48</v>
      </c>
      <c r="DE259" s="460">
        <f t="shared" si="667"/>
        <v>1</v>
      </c>
      <c r="DF259" s="582">
        <f t="shared" si="667"/>
        <v>33</v>
      </c>
      <c r="DG259" s="113">
        <f t="shared" si="667"/>
        <v>13.000000000000011</v>
      </c>
      <c r="DH259" s="113">
        <f t="shared" si="667"/>
        <v>0</v>
      </c>
      <c r="DI259" s="113">
        <f t="shared" si="667"/>
        <v>16.999999999999996</v>
      </c>
      <c r="DJ259" s="459">
        <f t="shared" si="667"/>
        <v>3</v>
      </c>
      <c r="DK259" s="461">
        <f t="shared" si="667"/>
        <v>27</v>
      </c>
      <c r="DL259" s="582">
        <f t="shared" ref="DL259:DU259" si="668">DL148/3+DL258</f>
        <v>17</v>
      </c>
      <c r="DM259" s="113">
        <f t="shared" si="668"/>
        <v>4</v>
      </c>
      <c r="DN259" s="113">
        <f t="shared" si="668"/>
        <v>4.9999999999999991</v>
      </c>
      <c r="DO259" s="113">
        <f t="shared" si="668"/>
        <v>8</v>
      </c>
      <c r="DP259" s="460">
        <f t="shared" si="668"/>
        <v>0</v>
      </c>
      <c r="DQ259" s="582">
        <f t="shared" si="668"/>
        <v>11</v>
      </c>
      <c r="DR259" s="113">
        <f t="shared" si="668"/>
        <v>1</v>
      </c>
      <c r="DS259" s="113">
        <f t="shared" si="668"/>
        <v>0</v>
      </c>
      <c r="DT259" s="113">
        <f t="shared" si="668"/>
        <v>10</v>
      </c>
      <c r="DU259" s="459">
        <f t="shared" si="668"/>
        <v>0</v>
      </c>
      <c r="DW259" s="461">
        <f t="shared" si="615"/>
        <v>7862.9999999999991</v>
      </c>
      <c r="DX259" s="582">
        <f t="shared" si="616"/>
        <v>5894</v>
      </c>
      <c r="DY259" s="113">
        <f t="shared" si="617"/>
        <v>1940.0000000000005</v>
      </c>
      <c r="DZ259" s="113">
        <f t="shared" si="618"/>
        <v>240</v>
      </c>
      <c r="EA259" s="113">
        <f t="shared" si="619"/>
        <v>3663.0000000000005</v>
      </c>
      <c r="EB259" s="460">
        <f t="shared" si="620"/>
        <v>51</v>
      </c>
      <c r="EC259" s="582">
        <f t="shared" si="621"/>
        <v>1970.0000000000005</v>
      </c>
      <c r="ED259" s="113">
        <f t="shared" si="622"/>
        <v>481.99999999999966</v>
      </c>
      <c r="EE259" s="113">
        <f t="shared" si="623"/>
        <v>0</v>
      </c>
      <c r="EF259" s="113">
        <f t="shared" si="624"/>
        <v>1393.0000000000002</v>
      </c>
      <c r="EG259" s="459">
        <f t="shared" si="625"/>
        <v>94.999999999999972</v>
      </c>
      <c r="EH259" s="461">
        <f t="shared" si="626"/>
        <v>2637.0000000000009</v>
      </c>
      <c r="EI259" s="582">
        <f t="shared" si="627"/>
        <v>1888.9999999999993</v>
      </c>
      <c r="EJ259" s="113">
        <f t="shared" si="628"/>
        <v>637</v>
      </c>
      <c r="EK259" s="113">
        <f t="shared" si="629"/>
        <v>114</v>
      </c>
      <c r="EL259" s="113">
        <f t="shared" si="630"/>
        <v>1132.9999999999998</v>
      </c>
      <c r="EM259" s="460">
        <f t="shared" si="631"/>
        <v>4.9999999999999991</v>
      </c>
      <c r="EN259" s="582">
        <f t="shared" si="632"/>
        <v>748.00000000000045</v>
      </c>
      <c r="EO259" s="113">
        <f t="shared" si="633"/>
        <v>142.99999999999991</v>
      </c>
      <c r="EP259" s="113">
        <f t="shared" si="634"/>
        <v>0</v>
      </c>
      <c r="EQ259" s="113">
        <f t="shared" si="635"/>
        <v>581.00000000000011</v>
      </c>
      <c r="ER259" s="459">
        <f t="shared" si="636"/>
        <v>23.999999999999989</v>
      </c>
    </row>
    <row r="260" spans="1:148">
      <c r="A260" s="665" t="str">
        <f t="shared" ref="A260:C260" si="669">A149</f>
        <v>Q4 2025</v>
      </c>
      <c r="B260" s="665">
        <f t="shared" si="669"/>
        <v>45931</v>
      </c>
      <c r="C260" s="666">
        <f t="shared" si="669"/>
        <v>2025</v>
      </c>
      <c r="D260" s="461">
        <f t="shared" si="607"/>
        <v>6206700.6666666651</v>
      </c>
      <c r="E260" s="461">
        <f t="shared" si="607"/>
        <v>249640.66666666672</v>
      </c>
      <c r="F260" s="582">
        <f t="shared" si="607"/>
        <v>180301.99999999994</v>
      </c>
      <c r="G260" s="113">
        <f t="shared" si="607"/>
        <v>61468.666666666664</v>
      </c>
      <c r="H260" s="113">
        <f t="shared" si="607"/>
        <v>10048</v>
      </c>
      <c r="I260" s="113">
        <f t="shared" si="607"/>
        <v>107031</v>
      </c>
      <c r="J260" s="460">
        <f t="shared" si="607"/>
        <v>1754.3333333333333</v>
      </c>
      <c r="K260" s="582">
        <f t="shared" si="607"/>
        <v>69338.666666666642</v>
      </c>
      <c r="L260" s="113">
        <f t="shared" si="607"/>
        <v>18272.666666666675</v>
      </c>
      <c r="M260" s="113">
        <f t="shared" si="607"/>
        <v>0</v>
      </c>
      <c r="N260" s="113">
        <f t="shared" si="607"/>
        <v>47424.333333333343</v>
      </c>
      <c r="O260" s="459">
        <f t="shared" si="607"/>
        <v>3641.6666666666652</v>
      </c>
      <c r="P260" s="461">
        <f t="shared" si="607"/>
        <v>466.6666666666668</v>
      </c>
      <c r="Q260" s="582">
        <f t="shared" si="607"/>
        <v>286.33333333333331</v>
      </c>
      <c r="R260" s="113">
        <f t="shared" si="607"/>
        <v>93</v>
      </c>
      <c r="S260" s="113">
        <f t="shared" si="607"/>
        <v>14.333333333333337</v>
      </c>
      <c r="T260" s="113">
        <f t="shared" ref="T260:AI260" si="670">T149/3+T259</f>
        <v>175.00000000000006</v>
      </c>
      <c r="U260" s="460">
        <f t="shared" si="670"/>
        <v>3.9999999999999996</v>
      </c>
      <c r="V260" s="582">
        <f t="shared" si="670"/>
        <v>180.3333333333334</v>
      </c>
      <c r="W260" s="113">
        <f t="shared" si="670"/>
        <v>36.000000000000007</v>
      </c>
      <c r="X260" s="113">
        <f t="shared" si="670"/>
        <v>0</v>
      </c>
      <c r="Y260" s="113">
        <f t="shared" si="670"/>
        <v>135.33333333333337</v>
      </c>
      <c r="Z260" s="459">
        <f t="shared" si="670"/>
        <v>9</v>
      </c>
      <c r="AA260" s="461">
        <f t="shared" si="670"/>
        <v>239.33333333333343</v>
      </c>
      <c r="AB260" s="582">
        <f t="shared" si="670"/>
        <v>169.66666666666663</v>
      </c>
      <c r="AC260" s="113">
        <f t="shared" si="670"/>
        <v>53.666666666666671</v>
      </c>
      <c r="AD260" s="113">
        <f t="shared" si="670"/>
        <v>10</v>
      </c>
      <c r="AE260" s="113">
        <f t="shared" si="670"/>
        <v>105</v>
      </c>
      <c r="AF260" s="460">
        <f t="shared" si="670"/>
        <v>1</v>
      </c>
      <c r="AG260" s="582">
        <f t="shared" si="670"/>
        <v>69.666666666666686</v>
      </c>
      <c r="AH260" s="113">
        <f t="shared" si="670"/>
        <v>33.999999999999986</v>
      </c>
      <c r="AI260" s="113">
        <f t="shared" si="670"/>
        <v>0</v>
      </c>
      <c r="AJ260" s="113">
        <f t="shared" si="609"/>
        <v>28.666666666666671</v>
      </c>
      <c r="AK260" s="459">
        <f t="shared" si="609"/>
        <v>6.9999999999999973</v>
      </c>
      <c r="AL260" s="461">
        <f t="shared" si="609"/>
        <v>2679.0000000000009</v>
      </c>
      <c r="AM260" s="582">
        <f t="shared" si="609"/>
        <v>1916.9999999999993</v>
      </c>
      <c r="AN260" s="113">
        <f t="shared" si="609"/>
        <v>641</v>
      </c>
      <c r="AO260" s="113">
        <f t="shared" si="609"/>
        <v>114.66666666666667</v>
      </c>
      <c r="AP260" s="113">
        <f t="shared" si="609"/>
        <v>1154.9999999999998</v>
      </c>
      <c r="AQ260" s="460">
        <f t="shared" si="609"/>
        <v>6.3333333333333321</v>
      </c>
      <c r="AR260" s="582">
        <f t="shared" si="609"/>
        <v>762.00000000000045</v>
      </c>
      <c r="AS260" s="113">
        <f t="shared" si="609"/>
        <v>145.99999999999991</v>
      </c>
      <c r="AT260" s="113">
        <f t="shared" si="609"/>
        <v>0</v>
      </c>
      <c r="AU260" s="113">
        <f t="shared" si="609"/>
        <v>592.00000000000011</v>
      </c>
      <c r="AV260" s="459">
        <f t="shared" si="609"/>
        <v>23.999999999999989</v>
      </c>
      <c r="AW260" s="461">
        <f t="shared" si="609"/>
        <v>1447.6666666666661</v>
      </c>
      <c r="AX260" s="582">
        <f t="shared" si="609"/>
        <v>1082</v>
      </c>
      <c r="AY260" s="113">
        <f t="shared" si="609"/>
        <v>362.33333333333343</v>
      </c>
      <c r="AZ260" s="113">
        <f t="shared" ref="AZ260:DK260" si="671">AZ149/3+AZ259</f>
        <v>47.999999999999993</v>
      </c>
      <c r="BA260" s="113">
        <f t="shared" si="671"/>
        <v>668.33333333333337</v>
      </c>
      <c r="BB260" s="460">
        <f t="shared" si="671"/>
        <v>3.3333333333333335</v>
      </c>
      <c r="BC260" s="582">
        <f t="shared" si="671"/>
        <v>365.66666666666669</v>
      </c>
      <c r="BD260" s="113">
        <f t="shared" si="671"/>
        <v>101.99999999999989</v>
      </c>
      <c r="BE260" s="113">
        <f t="shared" si="671"/>
        <v>0</v>
      </c>
      <c r="BF260" s="113">
        <f t="shared" si="671"/>
        <v>248.66666666666669</v>
      </c>
      <c r="BG260" s="459">
        <f t="shared" si="671"/>
        <v>15</v>
      </c>
      <c r="BH260" s="461">
        <f t="shared" si="671"/>
        <v>1894.6666666666667</v>
      </c>
      <c r="BI260" s="582">
        <f t="shared" si="671"/>
        <v>1463.9999999999995</v>
      </c>
      <c r="BJ260" s="113">
        <f t="shared" si="671"/>
        <v>493.66666666666691</v>
      </c>
      <c r="BK260" s="113">
        <f t="shared" si="671"/>
        <v>54.333333333333336</v>
      </c>
      <c r="BL260" s="113">
        <f t="shared" si="671"/>
        <v>885.00000000000023</v>
      </c>
      <c r="BM260" s="460">
        <f t="shared" si="671"/>
        <v>31</v>
      </c>
      <c r="BN260" s="582">
        <f t="shared" si="671"/>
        <v>430.66666666666697</v>
      </c>
      <c r="BO260" s="113">
        <f t="shared" si="671"/>
        <v>98.666666666666643</v>
      </c>
      <c r="BP260" s="113">
        <f t="shared" si="671"/>
        <v>0</v>
      </c>
      <c r="BQ260" s="113">
        <f t="shared" si="671"/>
        <v>308.66666666666674</v>
      </c>
      <c r="BR260" s="459">
        <f t="shared" si="671"/>
        <v>23.333333333333321</v>
      </c>
      <c r="BS260" s="461">
        <f t="shared" si="671"/>
        <v>2985.333333333333</v>
      </c>
      <c r="BT260" s="582">
        <f t="shared" si="671"/>
        <v>2300.0000000000005</v>
      </c>
      <c r="BU260" s="113">
        <f t="shared" si="671"/>
        <v>731.00000000000011</v>
      </c>
      <c r="BV260" s="113">
        <f t="shared" si="671"/>
        <v>62.333333333333329</v>
      </c>
      <c r="BW260" s="113">
        <f t="shared" si="671"/>
        <v>1487.666666666667</v>
      </c>
      <c r="BX260" s="460">
        <f t="shared" si="671"/>
        <v>19</v>
      </c>
      <c r="BY260" s="582">
        <f t="shared" si="671"/>
        <v>685.33333333333371</v>
      </c>
      <c r="BZ260" s="113">
        <f t="shared" si="671"/>
        <v>147.33333333333309</v>
      </c>
      <c r="CA260" s="113">
        <f t="shared" si="671"/>
        <v>0</v>
      </c>
      <c r="CB260" s="113">
        <f t="shared" si="671"/>
        <v>505.00000000000011</v>
      </c>
      <c r="CC260" s="459">
        <f t="shared" si="671"/>
        <v>32.999999999999979</v>
      </c>
      <c r="CD260" s="461">
        <f t="shared" si="671"/>
        <v>448.99999999999972</v>
      </c>
      <c r="CE260" s="582">
        <f t="shared" si="671"/>
        <v>335.33333333333331</v>
      </c>
      <c r="CF260" s="113">
        <f t="shared" si="671"/>
        <v>100.33333333333331</v>
      </c>
      <c r="CG260" s="113">
        <f t="shared" si="671"/>
        <v>25.000000000000007</v>
      </c>
      <c r="CH260" s="113">
        <f t="shared" si="671"/>
        <v>210.00000000000003</v>
      </c>
      <c r="CI260" s="460">
        <f t="shared" si="671"/>
        <v>0</v>
      </c>
      <c r="CJ260" s="582">
        <f t="shared" si="671"/>
        <v>113.66666666666666</v>
      </c>
      <c r="CK260" s="113">
        <f t="shared" si="671"/>
        <v>26.999999999999993</v>
      </c>
      <c r="CL260" s="113">
        <f t="shared" si="671"/>
        <v>0</v>
      </c>
      <c r="CM260" s="113">
        <f t="shared" si="671"/>
        <v>81.6666666666667</v>
      </c>
      <c r="CN260" s="459">
        <f t="shared" si="671"/>
        <v>4.9999999999999991</v>
      </c>
      <c r="CO260" s="461">
        <f t="shared" si="671"/>
        <v>372.00000000000011</v>
      </c>
      <c r="CP260" s="582">
        <f t="shared" si="671"/>
        <v>262.00000000000006</v>
      </c>
      <c r="CQ260" s="113">
        <f t="shared" si="671"/>
        <v>92.333333333333329</v>
      </c>
      <c r="CR260" s="113">
        <f t="shared" si="671"/>
        <v>26.333333333333329</v>
      </c>
      <c r="CS260" s="113">
        <f t="shared" si="671"/>
        <v>142.33333333333334</v>
      </c>
      <c r="CT260" s="460">
        <f t="shared" si="671"/>
        <v>1</v>
      </c>
      <c r="CU260" s="582">
        <f t="shared" si="671"/>
        <v>110.00000000000006</v>
      </c>
      <c r="CV260" s="113">
        <f t="shared" si="671"/>
        <v>26.999999999999975</v>
      </c>
      <c r="CW260" s="113">
        <f t="shared" si="671"/>
        <v>0</v>
      </c>
      <c r="CX260" s="113">
        <f t="shared" si="671"/>
        <v>82.999999999999943</v>
      </c>
      <c r="CY260" s="459">
        <f t="shared" si="671"/>
        <v>0</v>
      </c>
      <c r="CZ260" s="461">
        <f t="shared" si="671"/>
        <v>105.33333333333329</v>
      </c>
      <c r="DA260" s="582">
        <f t="shared" si="671"/>
        <v>70.999999999999986</v>
      </c>
      <c r="DB260" s="113">
        <f t="shared" si="671"/>
        <v>17.999999999999996</v>
      </c>
      <c r="DC260" s="113">
        <f t="shared" si="671"/>
        <v>4</v>
      </c>
      <c r="DD260" s="113">
        <f t="shared" si="671"/>
        <v>48</v>
      </c>
      <c r="DE260" s="460">
        <f t="shared" si="671"/>
        <v>1</v>
      </c>
      <c r="DF260" s="582">
        <f t="shared" si="671"/>
        <v>34.333333333333336</v>
      </c>
      <c r="DG260" s="113">
        <f t="shared" si="671"/>
        <v>13.000000000000011</v>
      </c>
      <c r="DH260" s="113">
        <f t="shared" si="671"/>
        <v>0</v>
      </c>
      <c r="DI260" s="113">
        <f t="shared" si="671"/>
        <v>18.333333333333329</v>
      </c>
      <c r="DJ260" s="459">
        <f t="shared" si="671"/>
        <v>3</v>
      </c>
      <c r="DK260" s="461">
        <f t="shared" si="671"/>
        <v>29.333333333333332</v>
      </c>
      <c r="DL260" s="582">
        <f t="shared" ref="DL260:DU260" si="672">DL149/3+DL259</f>
        <v>18.333333333333332</v>
      </c>
      <c r="DM260" s="113">
        <f t="shared" si="672"/>
        <v>4</v>
      </c>
      <c r="DN260" s="113">
        <f t="shared" si="672"/>
        <v>5.3333333333333321</v>
      </c>
      <c r="DO260" s="113">
        <f t="shared" si="672"/>
        <v>9</v>
      </c>
      <c r="DP260" s="460">
        <f t="shared" si="672"/>
        <v>0</v>
      </c>
      <c r="DQ260" s="582">
        <f t="shared" si="672"/>
        <v>12</v>
      </c>
      <c r="DR260" s="113">
        <f t="shared" si="672"/>
        <v>1</v>
      </c>
      <c r="DS260" s="113">
        <f t="shared" si="672"/>
        <v>0</v>
      </c>
      <c r="DT260" s="113">
        <f t="shared" si="672"/>
        <v>11</v>
      </c>
      <c r="DU260" s="459">
        <f t="shared" si="672"/>
        <v>0</v>
      </c>
      <c r="DW260" s="461">
        <f t="shared" si="615"/>
        <v>7989.3333333333321</v>
      </c>
      <c r="DX260" s="582">
        <f t="shared" si="616"/>
        <v>5988.6666666666661</v>
      </c>
      <c r="DY260" s="113">
        <f t="shared" si="617"/>
        <v>1948.3333333333335</v>
      </c>
      <c r="DZ260" s="113">
        <f t="shared" si="618"/>
        <v>249.66666666666666</v>
      </c>
      <c r="EA260" s="113">
        <f t="shared" si="619"/>
        <v>3730.3333333333344</v>
      </c>
      <c r="EB260" s="460">
        <f t="shared" si="620"/>
        <v>60.333333333333336</v>
      </c>
      <c r="EC260" s="582">
        <f t="shared" si="621"/>
        <v>2001.6666666666674</v>
      </c>
      <c r="ED260" s="113">
        <f t="shared" si="622"/>
        <v>485.9999999999996</v>
      </c>
      <c r="EE260" s="113">
        <f t="shared" si="623"/>
        <v>0</v>
      </c>
      <c r="EF260" s="113">
        <f t="shared" si="624"/>
        <v>1420.3333333333335</v>
      </c>
      <c r="EG260" s="459">
        <f t="shared" si="625"/>
        <v>95.333333333333286</v>
      </c>
      <c r="EH260" s="461">
        <f t="shared" si="626"/>
        <v>2679.0000000000009</v>
      </c>
      <c r="EI260" s="582">
        <f t="shared" si="627"/>
        <v>1916.9999999999993</v>
      </c>
      <c r="EJ260" s="113">
        <f t="shared" si="628"/>
        <v>641</v>
      </c>
      <c r="EK260" s="113">
        <f t="shared" si="629"/>
        <v>114.66666666666667</v>
      </c>
      <c r="EL260" s="113">
        <f t="shared" si="630"/>
        <v>1154.9999999999998</v>
      </c>
      <c r="EM260" s="460">
        <f t="shared" si="631"/>
        <v>6.3333333333333321</v>
      </c>
      <c r="EN260" s="582">
        <f t="shared" si="632"/>
        <v>762.00000000000045</v>
      </c>
      <c r="EO260" s="113">
        <f t="shared" si="633"/>
        <v>145.99999999999991</v>
      </c>
      <c r="EP260" s="113">
        <f t="shared" si="634"/>
        <v>0</v>
      </c>
      <c r="EQ260" s="113">
        <f t="shared" si="635"/>
        <v>592.00000000000011</v>
      </c>
      <c r="ER260" s="459">
        <f t="shared" si="636"/>
        <v>23.999999999999989</v>
      </c>
    </row>
    <row r="261" spans="1:148">
      <c r="A261" s="665" t="str">
        <f t="shared" ref="A261:C262" si="673">A150</f>
        <v>Q4 2025</v>
      </c>
      <c r="B261" s="665">
        <f t="shared" si="673"/>
        <v>45962</v>
      </c>
      <c r="C261" s="666">
        <f t="shared" si="673"/>
        <v>2025</v>
      </c>
      <c r="D261" s="461">
        <f t="shared" si="607"/>
        <v>6258097.3333333321</v>
      </c>
      <c r="E261" s="461">
        <f t="shared" si="607"/>
        <v>253394.33333333337</v>
      </c>
      <c r="F261" s="582">
        <f t="shared" si="607"/>
        <v>182797.99999999994</v>
      </c>
      <c r="G261" s="113">
        <f t="shared" si="607"/>
        <v>61715.333333333328</v>
      </c>
      <c r="H261" s="113">
        <f t="shared" si="607"/>
        <v>10257</v>
      </c>
      <c r="I261" s="113">
        <f t="shared" si="607"/>
        <v>108959</v>
      </c>
      <c r="J261" s="460">
        <f t="shared" si="607"/>
        <v>1866.6666666666665</v>
      </c>
      <c r="K261" s="582">
        <f t="shared" si="607"/>
        <v>70596.333333333314</v>
      </c>
      <c r="L261" s="113">
        <f t="shared" si="607"/>
        <v>18515.333333333343</v>
      </c>
      <c r="M261" s="113">
        <f t="shared" si="607"/>
        <v>0</v>
      </c>
      <c r="N261" s="113">
        <f t="shared" si="607"/>
        <v>48417.666666666679</v>
      </c>
      <c r="O261" s="459">
        <f t="shared" si="607"/>
        <v>3663.3333333333317</v>
      </c>
      <c r="P261" s="461">
        <f t="shared" si="607"/>
        <v>476.33333333333348</v>
      </c>
      <c r="Q261" s="582">
        <f t="shared" si="607"/>
        <v>293.66666666666663</v>
      </c>
      <c r="R261" s="113">
        <f t="shared" si="607"/>
        <v>94</v>
      </c>
      <c r="S261" s="113">
        <f t="shared" si="607"/>
        <v>14.666666666666671</v>
      </c>
      <c r="T261" s="113">
        <f t="shared" ref="T261:AI261" si="674">T150/3+T260</f>
        <v>181.00000000000006</v>
      </c>
      <c r="U261" s="460">
        <f t="shared" si="674"/>
        <v>3.9999999999999996</v>
      </c>
      <c r="V261" s="582">
        <f t="shared" si="674"/>
        <v>182.66666666666674</v>
      </c>
      <c r="W261" s="113">
        <f t="shared" si="674"/>
        <v>36.000000000000007</v>
      </c>
      <c r="X261" s="113">
        <f t="shared" si="674"/>
        <v>0</v>
      </c>
      <c r="Y261" s="113">
        <f t="shared" si="674"/>
        <v>137.66666666666671</v>
      </c>
      <c r="Z261" s="459">
        <f t="shared" si="674"/>
        <v>9</v>
      </c>
      <c r="AA261" s="461">
        <f t="shared" si="674"/>
        <v>242.66666666666677</v>
      </c>
      <c r="AB261" s="582">
        <f t="shared" si="674"/>
        <v>172.33333333333329</v>
      </c>
      <c r="AC261" s="113">
        <f t="shared" si="674"/>
        <v>54.333333333333336</v>
      </c>
      <c r="AD261" s="113">
        <f t="shared" si="674"/>
        <v>10</v>
      </c>
      <c r="AE261" s="113">
        <f t="shared" si="674"/>
        <v>107</v>
      </c>
      <c r="AF261" s="460">
        <f t="shared" si="674"/>
        <v>1</v>
      </c>
      <c r="AG261" s="582">
        <f t="shared" si="674"/>
        <v>70.333333333333357</v>
      </c>
      <c r="AH261" s="113">
        <f t="shared" si="674"/>
        <v>33.999999999999986</v>
      </c>
      <c r="AI261" s="113">
        <f t="shared" si="674"/>
        <v>0</v>
      </c>
      <c r="AJ261" s="113">
        <f t="shared" si="609"/>
        <v>29.333333333333339</v>
      </c>
      <c r="AK261" s="459">
        <f t="shared" si="609"/>
        <v>6.9999999999999973</v>
      </c>
      <c r="AL261" s="461">
        <f t="shared" si="609"/>
        <v>2721.0000000000009</v>
      </c>
      <c r="AM261" s="582">
        <f t="shared" si="609"/>
        <v>1944.9999999999993</v>
      </c>
      <c r="AN261" s="113">
        <f t="shared" si="609"/>
        <v>645</v>
      </c>
      <c r="AO261" s="113">
        <f t="shared" si="609"/>
        <v>115.33333333333334</v>
      </c>
      <c r="AP261" s="113">
        <f t="shared" si="609"/>
        <v>1176.9999999999998</v>
      </c>
      <c r="AQ261" s="460">
        <f t="shared" si="609"/>
        <v>7.6666666666666652</v>
      </c>
      <c r="AR261" s="582">
        <f t="shared" si="609"/>
        <v>776.00000000000045</v>
      </c>
      <c r="AS261" s="113">
        <f t="shared" si="609"/>
        <v>148.99999999999991</v>
      </c>
      <c r="AT261" s="113">
        <f t="shared" si="609"/>
        <v>0</v>
      </c>
      <c r="AU261" s="113">
        <f t="shared" si="609"/>
        <v>603.00000000000011</v>
      </c>
      <c r="AV261" s="459">
        <f t="shared" si="609"/>
        <v>23.999999999999989</v>
      </c>
      <c r="AW261" s="461">
        <f t="shared" si="609"/>
        <v>1469.3333333333328</v>
      </c>
      <c r="AX261" s="582">
        <f t="shared" si="609"/>
        <v>1098</v>
      </c>
      <c r="AY261" s="113">
        <f t="shared" si="609"/>
        <v>362.66666666666674</v>
      </c>
      <c r="AZ261" s="113">
        <f t="shared" ref="AZ261:DK261" si="675">AZ150/3+AZ260</f>
        <v>48.999999999999993</v>
      </c>
      <c r="BA261" s="113">
        <f t="shared" si="675"/>
        <v>682.66666666666674</v>
      </c>
      <c r="BB261" s="460">
        <f t="shared" si="675"/>
        <v>3.666666666666667</v>
      </c>
      <c r="BC261" s="582">
        <f t="shared" si="675"/>
        <v>371.33333333333337</v>
      </c>
      <c r="BD261" s="113">
        <f t="shared" si="675"/>
        <v>102.99999999999989</v>
      </c>
      <c r="BE261" s="113">
        <f t="shared" si="675"/>
        <v>0</v>
      </c>
      <c r="BF261" s="113">
        <f t="shared" si="675"/>
        <v>253.33333333333334</v>
      </c>
      <c r="BG261" s="459">
        <f t="shared" si="675"/>
        <v>15</v>
      </c>
      <c r="BH261" s="461">
        <f t="shared" si="675"/>
        <v>1923.3333333333335</v>
      </c>
      <c r="BI261" s="582">
        <f t="shared" si="675"/>
        <v>1485.9999999999995</v>
      </c>
      <c r="BJ261" s="113">
        <f t="shared" si="675"/>
        <v>495.3333333333336</v>
      </c>
      <c r="BK261" s="113">
        <f t="shared" si="675"/>
        <v>54.666666666666671</v>
      </c>
      <c r="BL261" s="113">
        <f t="shared" si="675"/>
        <v>898.00000000000023</v>
      </c>
      <c r="BM261" s="460">
        <f t="shared" si="675"/>
        <v>38</v>
      </c>
      <c r="BN261" s="582">
        <f t="shared" si="675"/>
        <v>437.33333333333366</v>
      </c>
      <c r="BO261" s="113">
        <f t="shared" si="675"/>
        <v>100.33333333333331</v>
      </c>
      <c r="BP261" s="113">
        <f t="shared" si="675"/>
        <v>0</v>
      </c>
      <c r="BQ261" s="113">
        <f t="shared" si="675"/>
        <v>313.33333333333343</v>
      </c>
      <c r="BR261" s="459">
        <f t="shared" si="675"/>
        <v>23.666666666666654</v>
      </c>
      <c r="BS261" s="461">
        <f t="shared" si="675"/>
        <v>3033.6666666666665</v>
      </c>
      <c r="BT261" s="582">
        <f t="shared" si="675"/>
        <v>2336.0000000000005</v>
      </c>
      <c r="BU261" s="113">
        <f t="shared" si="675"/>
        <v>735.00000000000011</v>
      </c>
      <c r="BV261" s="113">
        <f t="shared" si="675"/>
        <v>69.666666666666657</v>
      </c>
      <c r="BW261" s="113">
        <f t="shared" si="675"/>
        <v>1510.3333333333337</v>
      </c>
      <c r="BX261" s="460">
        <f t="shared" si="675"/>
        <v>21</v>
      </c>
      <c r="BY261" s="582">
        <f t="shared" si="675"/>
        <v>697.66666666666708</v>
      </c>
      <c r="BZ261" s="113">
        <f t="shared" si="675"/>
        <v>148.66666666666643</v>
      </c>
      <c r="CA261" s="113">
        <f t="shared" si="675"/>
        <v>0</v>
      </c>
      <c r="CB261" s="113">
        <f t="shared" si="675"/>
        <v>516.00000000000011</v>
      </c>
      <c r="CC261" s="459">
        <f t="shared" si="675"/>
        <v>32.999999999999979</v>
      </c>
      <c r="CD261" s="461">
        <f t="shared" si="675"/>
        <v>452.99999999999972</v>
      </c>
      <c r="CE261" s="582">
        <f t="shared" si="675"/>
        <v>338.66666666666663</v>
      </c>
      <c r="CF261" s="113">
        <f t="shared" si="675"/>
        <v>100.66666666666664</v>
      </c>
      <c r="CG261" s="113">
        <f t="shared" si="675"/>
        <v>25.000000000000007</v>
      </c>
      <c r="CH261" s="113">
        <f t="shared" si="675"/>
        <v>213.00000000000003</v>
      </c>
      <c r="CI261" s="460">
        <f t="shared" si="675"/>
        <v>0</v>
      </c>
      <c r="CJ261" s="582">
        <f t="shared" si="675"/>
        <v>114.33333333333333</v>
      </c>
      <c r="CK261" s="113">
        <f t="shared" si="675"/>
        <v>26.999999999999993</v>
      </c>
      <c r="CL261" s="113">
        <f t="shared" si="675"/>
        <v>0</v>
      </c>
      <c r="CM261" s="113">
        <f t="shared" si="675"/>
        <v>82.333333333333371</v>
      </c>
      <c r="CN261" s="459">
        <f t="shared" si="675"/>
        <v>4.9999999999999991</v>
      </c>
      <c r="CO261" s="461">
        <f t="shared" si="675"/>
        <v>379.00000000000011</v>
      </c>
      <c r="CP261" s="582">
        <f t="shared" si="675"/>
        <v>268.00000000000006</v>
      </c>
      <c r="CQ261" s="113">
        <f t="shared" si="675"/>
        <v>92.666666666666657</v>
      </c>
      <c r="CR261" s="113">
        <f t="shared" si="675"/>
        <v>26.666666666666661</v>
      </c>
      <c r="CS261" s="113">
        <f t="shared" si="675"/>
        <v>147.66666666666669</v>
      </c>
      <c r="CT261" s="460">
        <f t="shared" si="675"/>
        <v>1</v>
      </c>
      <c r="CU261" s="582">
        <f t="shared" si="675"/>
        <v>111.00000000000006</v>
      </c>
      <c r="CV261" s="113">
        <f t="shared" si="675"/>
        <v>26.999999999999975</v>
      </c>
      <c r="CW261" s="113">
        <f t="shared" si="675"/>
        <v>0</v>
      </c>
      <c r="CX261" s="113">
        <f t="shared" si="675"/>
        <v>83.999999999999943</v>
      </c>
      <c r="CY261" s="459">
        <f t="shared" si="675"/>
        <v>0</v>
      </c>
      <c r="CZ261" s="461">
        <f t="shared" si="675"/>
        <v>106.66666666666661</v>
      </c>
      <c r="DA261" s="582">
        <f t="shared" si="675"/>
        <v>70.999999999999986</v>
      </c>
      <c r="DB261" s="113">
        <f t="shared" si="675"/>
        <v>17.999999999999996</v>
      </c>
      <c r="DC261" s="113">
        <f t="shared" si="675"/>
        <v>4</v>
      </c>
      <c r="DD261" s="113">
        <f t="shared" si="675"/>
        <v>48</v>
      </c>
      <c r="DE261" s="460">
        <f t="shared" si="675"/>
        <v>1</v>
      </c>
      <c r="DF261" s="582">
        <f t="shared" si="675"/>
        <v>35.666666666666671</v>
      </c>
      <c r="DG261" s="113">
        <f t="shared" si="675"/>
        <v>13.000000000000011</v>
      </c>
      <c r="DH261" s="113">
        <f t="shared" si="675"/>
        <v>0</v>
      </c>
      <c r="DI261" s="113">
        <f t="shared" si="675"/>
        <v>19.666666666666661</v>
      </c>
      <c r="DJ261" s="459">
        <f t="shared" si="675"/>
        <v>3</v>
      </c>
      <c r="DK261" s="461">
        <f t="shared" si="675"/>
        <v>31.666666666666664</v>
      </c>
      <c r="DL261" s="582">
        <f t="shared" ref="DL261:DU261" si="676">DL150/3+DL260</f>
        <v>19.666666666666664</v>
      </c>
      <c r="DM261" s="113">
        <f t="shared" si="676"/>
        <v>4</v>
      </c>
      <c r="DN261" s="113">
        <f t="shared" si="676"/>
        <v>5.6666666666666652</v>
      </c>
      <c r="DO261" s="113">
        <f t="shared" si="676"/>
        <v>10</v>
      </c>
      <c r="DP261" s="460">
        <f t="shared" si="676"/>
        <v>0</v>
      </c>
      <c r="DQ261" s="582">
        <f t="shared" si="676"/>
        <v>13</v>
      </c>
      <c r="DR261" s="113">
        <f t="shared" si="676"/>
        <v>1</v>
      </c>
      <c r="DS261" s="113">
        <f t="shared" si="676"/>
        <v>0</v>
      </c>
      <c r="DT261" s="113">
        <f t="shared" si="676"/>
        <v>12</v>
      </c>
      <c r="DU261" s="459">
        <f t="shared" si="676"/>
        <v>0</v>
      </c>
      <c r="DW261" s="461">
        <f t="shared" si="615"/>
        <v>8115.6666666666661</v>
      </c>
      <c r="DX261" s="582">
        <f t="shared" si="616"/>
        <v>6083.3333333333339</v>
      </c>
      <c r="DY261" s="113">
        <f t="shared" si="617"/>
        <v>1956.6666666666674</v>
      </c>
      <c r="DZ261" s="113">
        <f t="shared" si="618"/>
        <v>259.33333333333331</v>
      </c>
      <c r="EA261" s="113">
        <f t="shared" si="619"/>
        <v>3797.6666666666674</v>
      </c>
      <c r="EB261" s="460">
        <f t="shared" si="620"/>
        <v>69.666666666666671</v>
      </c>
      <c r="EC261" s="582">
        <f t="shared" si="621"/>
        <v>2033.3333333333344</v>
      </c>
      <c r="ED261" s="113">
        <f t="shared" si="622"/>
        <v>489.99999999999966</v>
      </c>
      <c r="EE261" s="113">
        <f t="shared" si="623"/>
        <v>0</v>
      </c>
      <c r="EF261" s="113">
        <f t="shared" si="624"/>
        <v>1447.6666666666672</v>
      </c>
      <c r="EG261" s="459">
        <f t="shared" si="625"/>
        <v>95.666666666666629</v>
      </c>
      <c r="EH261" s="461">
        <f t="shared" si="626"/>
        <v>2721.0000000000009</v>
      </c>
      <c r="EI261" s="582">
        <f t="shared" si="627"/>
        <v>1944.9999999999993</v>
      </c>
      <c r="EJ261" s="113">
        <f t="shared" si="628"/>
        <v>645</v>
      </c>
      <c r="EK261" s="113">
        <f t="shared" si="629"/>
        <v>115.33333333333334</v>
      </c>
      <c r="EL261" s="113">
        <f t="shared" si="630"/>
        <v>1176.9999999999998</v>
      </c>
      <c r="EM261" s="460">
        <f t="shared" si="631"/>
        <v>7.6666666666666652</v>
      </c>
      <c r="EN261" s="582">
        <f t="shared" si="632"/>
        <v>776.00000000000045</v>
      </c>
      <c r="EO261" s="113">
        <f t="shared" si="633"/>
        <v>148.99999999999991</v>
      </c>
      <c r="EP261" s="113">
        <f t="shared" si="634"/>
        <v>0</v>
      </c>
      <c r="EQ261" s="113">
        <f t="shared" si="635"/>
        <v>603.00000000000011</v>
      </c>
      <c r="ER261" s="459">
        <f t="shared" si="636"/>
        <v>23.999999999999989</v>
      </c>
    </row>
    <row r="262" spans="1:148" ht="14.5" thickBot="1">
      <c r="A262" s="665" t="str">
        <f t="shared" si="673"/>
        <v>Q4 2025</v>
      </c>
      <c r="B262" s="665">
        <f t="shared" si="673"/>
        <v>45992</v>
      </c>
      <c r="C262" s="666">
        <f t="shared" si="673"/>
        <v>2025</v>
      </c>
      <c r="D262" s="458">
        <f t="shared" si="607"/>
        <v>6309493.9999999991</v>
      </c>
      <c r="E262" s="458">
        <f t="shared" si="607"/>
        <v>257148.00000000003</v>
      </c>
      <c r="F262" s="457">
        <f t="shared" si="607"/>
        <v>185293.99999999994</v>
      </c>
      <c r="G262" s="643">
        <f t="shared" si="607"/>
        <v>61961.999999999993</v>
      </c>
      <c r="H262" s="643">
        <f t="shared" si="607"/>
        <v>10466</v>
      </c>
      <c r="I262" s="643">
        <f t="shared" si="607"/>
        <v>110887</v>
      </c>
      <c r="J262" s="465">
        <f t="shared" si="607"/>
        <v>1978.9999999999998</v>
      </c>
      <c r="K262" s="457">
        <f t="shared" si="607"/>
        <v>71853.999999999985</v>
      </c>
      <c r="L262" s="643">
        <f t="shared" si="607"/>
        <v>18758.000000000011</v>
      </c>
      <c r="M262" s="643">
        <f t="shared" si="607"/>
        <v>0</v>
      </c>
      <c r="N262" s="643">
        <f t="shared" si="607"/>
        <v>49411.000000000015</v>
      </c>
      <c r="O262" s="456">
        <f t="shared" si="607"/>
        <v>3684.9999999999982</v>
      </c>
      <c r="P262" s="458">
        <f t="shared" si="607"/>
        <v>486.00000000000017</v>
      </c>
      <c r="Q262" s="457">
        <f t="shared" si="607"/>
        <v>300.99999999999994</v>
      </c>
      <c r="R262" s="643">
        <f t="shared" si="607"/>
        <v>95</v>
      </c>
      <c r="S262" s="643">
        <f t="shared" si="607"/>
        <v>15.000000000000005</v>
      </c>
      <c r="T262" s="643">
        <f t="shared" ref="T262:AI262" si="677">T151/3+T261</f>
        <v>187.00000000000006</v>
      </c>
      <c r="U262" s="465">
        <f t="shared" si="677"/>
        <v>3.9999999999999996</v>
      </c>
      <c r="V262" s="457">
        <f t="shared" si="677"/>
        <v>185.00000000000009</v>
      </c>
      <c r="W262" s="643">
        <f t="shared" si="677"/>
        <v>36.000000000000007</v>
      </c>
      <c r="X262" s="643">
        <f t="shared" si="677"/>
        <v>0</v>
      </c>
      <c r="Y262" s="643">
        <f t="shared" si="677"/>
        <v>140.00000000000006</v>
      </c>
      <c r="Z262" s="456">
        <f t="shared" si="677"/>
        <v>9</v>
      </c>
      <c r="AA262" s="458">
        <f t="shared" si="677"/>
        <v>246.00000000000011</v>
      </c>
      <c r="AB262" s="457">
        <f t="shared" si="677"/>
        <v>174.99999999999994</v>
      </c>
      <c r="AC262" s="643">
        <f t="shared" si="677"/>
        <v>55</v>
      </c>
      <c r="AD262" s="643">
        <f t="shared" si="677"/>
        <v>10</v>
      </c>
      <c r="AE262" s="643">
        <f t="shared" si="677"/>
        <v>109</v>
      </c>
      <c r="AF262" s="465">
        <f t="shared" si="677"/>
        <v>1</v>
      </c>
      <c r="AG262" s="457">
        <f t="shared" si="677"/>
        <v>71.000000000000028</v>
      </c>
      <c r="AH262" s="643">
        <f t="shared" si="677"/>
        <v>33.999999999999986</v>
      </c>
      <c r="AI262" s="643">
        <f t="shared" si="677"/>
        <v>0</v>
      </c>
      <c r="AJ262" s="643">
        <f t="shared" si="609"/>
        <v>30.000000000000007</v>
      </c>
      <c r="AK262" s="456">
        <f t="shared" si="609"/>
        <v>6.9999999999999973</v>
      </c>
      <c r="AL262" s="458">
        <f t="shared" si="609"/>
        <v>2763.0000000000009</v>
      </c>
      <c r="AM262" s="457">
        <f t="shared" si="609"/>
        <v>1972.9999999999993</v>
      </c>
      <c r="AN262" s="643">
        <f t="shared" si="609"/>
        <v>649</v>
      </c>
      <c r="AO262" s="643">
        <f t="shared" si="609"/>
        <v>116.00000000000001</v>
      </c>
      <c r="AP262" s="643">
        <f t="shared" si="609"/>
        <v>1198.9999999999998</v>
      </c>
      <c r="AQ262" s="465">
        <f t="shared" si="609"/>
        <v>8.9999999999999982</v>
      </c>
      <c r="AR262" s="457">
        <f t="shared" si="609"/>
        <v>790.00000000000045</v>
      </c>
      <c r="AS262" s="643">
        <f t="shared" si="609"/>
        <v>151.99999999999991</v>
      </c>
      <c r="AT262" s="643">
        <f t="shared" si="609"/>
        <v>0</v>
      </c>
      <c r="AU262" s="643">
        <f t="shared" si="609"/>
        <v>614.00000000000011</v>
      </c>
      <c r="AV262" s="456">
        <f t="shared" si="609"/>
        <v>23.999999999999989</v>
      </c>
      <c r="AW262" s="458">
        <f t="shared" si="609"/>
        <v>1490.9999999999995</v>
      </c>
      <c r="AX262" s="457">
        <f t="shared" si="609"/>
        <v>1114</v>
      </c>
      <c r="AY262" s="643">
        <f t="shared" si="609"/>
        <v>363.00000000000006</v>
      </c>
      <c r="AZ262" s="643">
        <f t="shared" ref="AZ262:DK262" si="678">AZ151/3+AZ261</f>
        <v>49.999999999999993</v>
      </c>
      <c r="BA262" s="643">
        <f t="shared" si="678"/>
        <v>697.00000000000011</v>
      </c>
      <c r="BB262" s="465">
        <f t="shared" si="678"/>
        <v>4</v>
      </c>
      <c r="BC262" s="457">
        <f t="shared" si="678"/>
        <v>377.00000000000006</v>
      </c>
      <c r="BD262" s="643">
        <f t="shared" si="678"/>
        <v>103.99999999999989</v>
      </c>
      <c r="BE262" s="643">
        <f t="shared" si="678"/>
        <v>0</v>
      </c>
      <c r="BF262" s="643">
        <f t="shared" si="678"/>
        <v>258</v>
      </c>
      <c r="BG262" s="456">
        <f t="shared" si="678"/>
        <v>15</v>
      </c>
      <c r="BH262" s="458">
        <f t="shared" si="678"/>
        <v>1952.0000000000002</v>
      </c>
      <c r="BI262" s="457">
        <f t="shared" si="678"/>
        <v>1507.9999999999995</v>
      </c>
      <c r="BJ262" s="643">
        <f t="shared" si="678"/>
        <v>497.00000000000028</v>
      </c>
      <c r="BK262" s="643">
        <f t="shared" si="678"/>
        <v>55.000000000000007</v>
      </c>
      <c r="BL262" s="643">
        <f t="shared" si="678"/>
        <v>911.00000000000023</v>
      </c>
      <c r="BM262" s="465">
        <f t="shared" si="678"/>
        <v>45</v>
      </c>
      <c r="BN262" s="457">
        <f t="shared" si="678"/>
        <v>444.00000000000034</v>
      </c>
      <c r="BO262" s="643">
        <f t="shared" si="678"/>
        <v>101.99999999999999</v>
      </c>
      <c r="BP262" s="643">
        <f t="shared" si="678"/>
        <v>0</v>
      </c>
      <c r="BQ262" s="643">
        <f t="shared" si="678"/>
        <v>318.00000000000011</v>
      </c>
      <c r="BR262" s="456">
        <f t="shared" si="678"/>
        <v>23.999999999999986</v>
      </c>
      <c r="BS262" s="458">
        <f t="shared" si="678"/>
        <v>3082</v>
      </c>
      <c r="BT262" s="457">
        <f t="shared" si="678"/>
        <v>2372.0000000000005</v>
      </c>
      <c r="BU262" s="643">
        <f t="shared" si="678"/>
        <v>739.00000000000011</v>
      </c>
      <c r="BV262" s="643">
        <f t="shared" si="678"/>
        <v>76.999999999999986</v>
      </c>
      <c r="BW262" s="643">
        <f t="shared" si="678"/>
        <v>1533.0000000000005</v>
      </c>
      <c r="BX262" s="465">
        <f t="shared" si="678"/>
        <v>23</v>
      </c>
      <c r="BY262" s="457">
        <f t="shared" si="678"/>
        <v>710.00000000000045</v>
      </c>
      <c r="BZ262" s="643">
        <f t="shared" si="678"/>
        <v>149.99999999999977</v>
      </c>
      <c r="CA262" s="643">
        <f t="shared" si="678"/>
        <v>0</v>
      </c>
      <c r="CB262" s="643">
        <f t="shared" si="678"/>
        <v>527.00000000000011</v>
      </c>
      <c r="CC262" s="456">
        <f t="shared" si="678"/>
        <v>32.999999999999979</v>
      </c>
      <c r="CD262" s="458">
        <f t="shared" si="678"/>
        <v>456.99999999999972</v>
      </c>
      <c r="CE262" s="457">
        <f t="shared" si="678"/>
        <v>341.99999999999994</v>
      </c>
      <c r="CF262" s="643">
        <f t="shared" si="678"/>
        <v>100.99999999999997</v>
      </c>
      <c r="CG262" s="643">
        <f t="shared" si="678"/>
        <v>25.000000000000007</v>
      </c>
      <c r="CH262" s="643">
        <f t="shared" si="678"/>
        <v>216.00000000000003</v>
      </c>
      <c r="CI262" s="465">
        <f t="shared" si="678"/>
        <v>0</v>
      </c>
      <c r="CJ262" s="457">
        <f t="shared" si="678"/>
        <v>115</v>
      </c>
      <c r="CK262" s="643">
        <f t="shared" si="678"/>
        <v>26.999999999999993</v>
      </c>
      <c r="CL262" s="643">
        <f t="shared" si="678"/>
        <v>0</v>
      </c>
      <c r="CM262" s="643">
        <f t="shared" si="678"/>
        <v>83.000000000000043</v>
      </c>
      <c r="CN262" s="456">
        <f t="shared" si="678"/>
        <v>4.9999999999999991</v>
      </c>
      <c r="CO262" s="458">
        <f t="shared" si="678"/>
        <v>386.00000000000011</v>
      </c>
      <c r="CP262" s="457">
        <f t="shared" si="678"/>
        <v>274.00000000000006</v>
      </c>
      <c r="CQ262" s="643">
        <f t="shared" si="678"/>
        <v>92.999999999999986</v>
      </c>
      <c r="CR262" s="643">
        <f t="shared" si="678"/>
        <v>26.999999999999993</v>
      </c>
      <c r="CS262" s="643">
        <f t="shared" si="678"/>
        <v>153.00000000000003</v>
      </c>
      <c r="CT262" s="465">
        <f t="shared" si="678"/>
        <v>1</v>
      </c>
      <c r="CU262" s="457">
        <f t="shared" si="678"/>
        <v>112.00000000000006</v>
      </c>
      <c r="CV262" s="643">
        <f t="shared" si="678"/>
        <v>26.999999999999975</v>
      </c>
      <c r="CW262" s="643">
        <f t="shared" si="678"/>
        <v>0</v>
      </c>
      <c r="CX262" s="643">
        <f t="shared" si="678"/>
        <v>84.999999999999943</v>
      </c>
      <c r="CY262" s="456">
        <f t="shared" si="678"/>
        <v>0</v>
      </c>
      <c r="CZ262" s="458">
        <f t="shared" si="678"/>
        <v>107.99999999999994</v>
      </c>
      <c r="DA262" s="457">
        <f t="shared" si="678"/>
        <v>70.999999999999986</v>
      </c>
      <c r="DB262" s="643">
        <f t="shared" si="678"/>
        <v>17.999999999999996</v>
      </c>
      <c r="DC262" s="643">
        <f t="shared" si="678"/>
        <v>4</v>
      </c>
      <c r="DD262" s="643">
        <f t="shared" si="678"/>
        <v>48</v>
      </c>
      <c r="DE262" s="465">
        <f t="shared" si="678"/>
        <v>1</v>
      </c>
      <c r="DF262" s="457">
        <f t="shared" si="678"/>
        <v>37.000000000000007</v>
      </c>
      <c r="DG262" s="643">
        <f t="shared" si="678"/>
        <v>13.000000000000011</v>
      </c>
      <c r="DH262" s="643">
        <f t="shared" si="678"/>
        <v>0</v>
      </c>
      <c r="DI262" s="643">
        <f t="shared" si="678"/>
        <v>20.999999999999993</v>
      </c>
      <c r="DJ262" s="456">
        <f t="shared" si="678"/>
        <v>3</v>
      </c>
      <c r="DK262" s="458">
        <f t="shared" si="678"/>
        <v>34</v>
      </c>
      <c r="DL262" s="457">
        <f t="shared" ref="DL262:DU262" si="679">DL151/3+DL261</f>
        <v>20.999999999999996</v>
      </c>
      <c r="DM262" s="643">
        <f t="shared" si="679"/>
        <v>4</v>
      </c>
      <c r="DN262" s="643">
        <f t="shared" si="679"/>
        <v>5.9999999999999982</v>
      </c>
      <c r="DO262" s="643">
        <f t="shared" si="679"/>
        <v>11</v>
      </c>
      <c r="DP262" s="465">
        <f t="shared" si="679"/>
        <v>0</v>
      </c>
      <c r="DQ262" s="457">
        <f t="shared" si="679"/>
        <v>14</v>
      </c>
      <c r="DR262" s="643">
        <f t="shared" si="679"/>
        <v>1</v>
      </c>
      <c r="DS262" s="643">
        <f t="shared" si="679"/>
        <v>0</v>
      </c>
      <c r="DT262" s="643">
        <f t="shared" si="679"/>
        <v>13</v>
      </c>
      <c r="DU262" s="456">
        <f t="shared" si="679"/>
        <v>0</v>
      </c>
      <c r="DW262" s="458">
        <f t="shared" si="615"/>
        <v>8242</v>
      </c>
      <c r="DX262" s="457">
        <f t="shared" si="616"/>
        <v>6178</v>
      </c>
      <c r="DY262" s="643">
        <f t="shared" si="617"/>
        <v>1965.0000000000005</v>
      </c>
      <c r="DZ262" s="643">
        <f t="shared" si="618"/>
        <v>269</v>
      </c>
      <c r="EA262" s="643">
        <f t="shared" si="619"/>
        <v>3865.0000000000009</v>
      </c>
      <c r="EB262" s="465">
        <f t="shared" si="620"/>
        <v>79</v>
      </c>
      <c r="EC262" s="457">
        <f t="shared" si="621"/>
        <v>2065.0000000000009</v>
      </c>
      <c r="ED262" s="643">
        <f t="shared" si="622"/>
        <v>493.99999999999966</v>
      </c>
      <c r="EE262" s="643">
        <f t="shared" si="623"/>
        <v>0</v>
      </c>
      <c r="EF262" s="643">
        <f t="shared" si="624"/>
        <v>1475.0000000000005</v>
      </c>
      <c r="EG262" s="456">
        <f t="shared" si="625"/>
        <v>95.999999999999972</v>
      </c>
      <c r="EH262" s="458">
        <f t="shared" si="626"/>
        <v>2763.0000000000009</v>
      </c>
      <c r="EI262" s="457">
        <f t="shared" si="627"/>
        <v>1972.9999999999993</v>
      </c>
      <c r="EJ262" s="643">
        <f t="shared" si="628"/>
        <v>649</v>
      </c>
      <c r="EK262" s="643">
        <f t="shared" si="629"/>
        <v>116.00000000000001</v>
      </c>
      <c r="EL262" s="643">
        <f t="shared" si="630"/>
        <v>1198.9999999999998</v>
      </c>
      <c r="EM262" s="465">
        <f t="shared" si="631"/>
        <v>8.9999999999999982</v>
      </c>
      <c r="EN262" s="457">
        <f t="shared" si="632"/>
        <v>790.00000000000045</v>
      </c>
      <c r="EO262" s="643">
        <f t="shared" si="633"/>
        <v>151.99999999999991</v>
      </c>
      <c r="EP262" s="643">
        <f t="shared" si="634"/>
        <v>0</v>
      </c>
      <c r="EQ262" s="643">
        <f t="shared" si="635"/>
        <v>614.00000000000011</v>
      </c>
      <c r="ER262" s="456">
        <f t="shared" si="636"/>
        <v>23.999999999999989</v>
      </c>
    </row>
  </sheetData>
  <mergeCells count="55">
    <mergeCell ref="A42:DU42"/>
    <mergeCell ref="A153:DU153"/>
    <mergeCell ref="D3:D4"/>
    <mergeCell ref="D2:O2"/>
    <mergeCell ref="DW3:DW4"/>
    <mergeCell ref="CZ3:CZ4"/>
    <mergeCell ref="DA3:DE3"/>
    <mergeCell ref="DF3:DJ3"/>
    <mergeCell ref="DK3:DK4"/>
    <mergeCell ref="DL3:DP3"/>
    <mergeCell ref="DQ3:DU3"/>
    <mergeCell ref="CD3:CD4"/>
    <mergeCell ref="CE3:CI3"/>
    <mergeCell ref="CJ3:CN3"/>
    <mergeCell ref="CO3:CO4"/>
    <mergeCell ref="CP3:CT3"/>
    <mergeCell ref="DX3:EB3"/>
    <mergeCell ref="EC3:EG3"/>
    <mergeCell ref="EH3:EH4"/>
    <mergeCell ref="EI3:EM3"/>
    <mergeCell ref="EN3:ER3"/>
    <mergeCell ref="CU3:CY3"/>
    <mergeCell ref="BH3:BH4"/>
    <mergeCell ref="BI3:BM3"/>
    <mergeCell ref="BN3:BR3"/>
    <mergeCell ref="BS3:BS4"/>
    <mergeCell ref="BT3:BX3"/>
    <mergeCell ref="BY3:CC3"/>
    <mergeCell ref="AL3:AL4"/>
    <mergeCell ref="AM3:AQ3"/>
    <mergeCell ref="AR3:AV3"/>
    <mergeCell ref="AW3:AW4"/>
    <mergeCell ref="AX3:BB3"/>
    <mergeCell ref="BC3:BG3"/>
    <mergeCell ref="EH2:ER2"/>
    <mergeCell ref="E3:E4"/>
    <mergeCell ref="F3:J3"/>
    <mergeCell ref="K3:O3"/>
    <mergeCell ref="P3:P4"/>
    <mergeCell ref="Q3:U3"/>
    <mergeCell ref="V3:Z3"/>
    <mergeCell ref="AA3:AA4"/>
    <mergeCell ref="AB3:AF3"/>
    <mergeCell ref="AG3:AK3"/>
    <mergeCell ref="BS2:CC2"/>
    <mergeCell ref="CD2:CN2"/>
    <mergeCell ref="CO2:CY2"/>
    <mergeCell ref="CZ2:DJ2"/>
    <mergeCell ref="DK2:DU2"/>
    <mergeCell ref="DW2:EG2"/>
    <mergeCell ref="P2:Z2"/>
    <mergeCell ref="AA2:AK2"/>
    <mergeCell ref="AL2:AV2"/>
    <mergeCell ref="AW2:BG2"/>
    <mergeCell ref="BH2:BR2"/>
  </mergeCells>
  <phoneticPr fontId="191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B5A39-E428-45CC-9CCD-C6D2F104E95F}">
  <sheetPr codeName="Sheet21">
    <tabColor theme="3" tint="0.499984740745262"/>
  </sheetPr>
  <dimension ref="B1:AF200"/>
  <sheetViews>
    <sheetView topLeftCell="A177" zoomScaleNormal="100" workbookViewId="0">
      <selection activeCell="O67" sqref="O67"/>
    </sheetView>
  </sheetViews>
  <sheetFormatPr defaultColWidth="8.81640625" defaultRowHeight="14.5"/>
  <cols>
    <col min="1" max="1" width="2.81640625" style="165" customWidth="1"/>
    <col min="2" max="2" width="34.1796875" style="165" customWidth="1"/>
    <col min="3" max="3" width="12.453125" style="165" customWidth="1"/>
    <col min="4" max="4" width="15.81640625" style="165" customWidth="1"/>
    <col min="5" max="5" width="30.81640625" style="165" customWidth="1"/>
    <col min="6" max="7" width="17" style="165" bestFit="1" customWidth="1"/>
    <col min="8" max="8" width="17.1796875" style="165" bestFit="1" customWidth="1"/>
    <col min="9" max="9" width="16.453125" style="165" customWidth="1"/>
    <col min="10" max="10" width="13.54296875" style="165" customWidth="1"/>
    <col min="11" max="11" width="12.54296875" style="165" bestFit="1" customWidth="1"/>
    <col min="12" max="12" width="14.81640625" style="165" bestFit="1" customWidth="1"/>
    <col min="13" max="13" width="13.1796875" style="165" bestFit="1" customWidth="1"/>
    <col min="14" max="14" width="14" style="165" customWidth="1"/>
    <col min="15" max="15" width="13.81640625" style="165" bestFit="1" customWidth="1"/>
    <col min="16" max="17" width="11.1796875" style="165" bestFit="1" customWidth="1"/>
    <col min="18" max="18" width="11.54296875" style="165" bestFit="1" customWidth="1"/>
    <col min="19" max="19" width="13.1796875" style="165" bestFit="1" customWidth="1"/>
    <col min="20" max="20" width="12.81640625" style="165" bestFit="1" customWidth="1"/>
    <col min="21" max="21" width="11.54296875" style="165" bestFit="1" customWidth="1"/>
    <col min="22" max="23" width="12" style="165" bestFit="1" customWidth="1"/>
    <col min="24" max="24" width="13" style="165" customWidth="1"/>
    <col min="25" max="25" width="8.81640625" style="165"/>
    <col min="26" max="26" width="11.81640625" style="165" customWidth="1"/>
    <col min="27" max="27" width="11.1796875" style="165" bestFit="1" customWidth="1"/>
    <col min="28" max="28" width="8.81640625" style="165"/>
    <col min="29" max="29" width="10.81640625" style="165" customWidth="1"/>
    <col min="30" max="30" width="11.1796875" style="165" bestFit="1" customWidth="1"/>
    <col min="31" max="31" width="8.81640625" style="165"/>
    <col min="32" max="32" width="10.1796875" style="165" bestFit="1" customWidth="1"/>
    <col min="33" max="16384" width="8.81640625" style="165"/>
  </cols>
  <sheetData>
    <row r="1" spans="2:24">
      <c r="C1" s="165" t="s">
        <v>437</v>
      </c>
      <c r="D1" s="165" t="s">
        <v>438</v>
      </c>
    </row>
    <row r="2" spans="2:24">
      <c r="C2" s="165" t="s">
        <v>439</v>
      </c>
      <c r="D2" s="165" t="s">
        <v>440</v>
      </c>
      <c r="O2" s="143"/>
      <c r="P2" s="143"/>
      <c r="Q2" s="143"/>
      <c r="R2" s="143"/>
      <c r="S2" s="143"/>
      <c r="T2" s="143"/>
      <c r="U2" s="143"/>
      <c r="V2" s="143"/>
      <c r="W2" s="143"/>
    </row>
    <row r="3" spans="2:24">
      <c r="B3" s="165" t="s">
        <v>441</v>
      </c>
      <c r="C3" s="197">
        <f>46*365</f>
        <v>16790</v>
      </c>
      <c r="D3" s="165">
        <v>20</v>
      </c>
      <c r="E3" s="196">
        <f>C3*D3/100</f>
        <v>3358</v>
      </c>
      <c r="F3" s="37" t="s">
        <v>442</v>
      </c>
      <c r="O3" s="143"/>
      <c r="P3" s="143"/>
      <c r="Q3" s="143"/>
      <c r="R3" s="143"/>
      <c r="S3" s="143"/>
      <c r="T3" s="143"/>
      <c r="U3" s="143"/>
      <c r="V3" s="143"/>
      <c r="W3" s="143"/>
    </row>
    <row r="4" spans="2:24">
      <c r="B4" s="165" t="s">
        <v>443</v>
      </c>
      <c r="C4" s="197">
        <f>C3</f>
        <v>16790</v>
      </c>
      <c r="D4" s="165">
        <v>20</v>
      </c>
      <c r="E4" s="196">
        <f>C4*D4/100</f>
        <v>3358</v>
      </c>
      <c r="O4" s="143"/>
      <c r="P4" s="143"/>
      <c r="Q4" s="143"/>
      <c r="R4" s="143"/>
      <c r="S4" s="143"/>
      <c r="T4" s="143"/>
      <c r="U4" s="143"/>
      <c r="V4" s="143"/>
      <c r="W4" s="143"/>
      <c r="X4" s="195"/>
    </row>
    <row r="5" spans="2:24">
      <c r="B5" s="165" t="s">
        <v>444</v>
      </c>
      <c r="C5" s="197">
        <v>20000</v>
      </c>
      <c r="D5" s="165">
        <v>25</v>
      </c>
      <c r="E5" s="196">
        <f>C5*D5/100</f>
        <v>5000</v>
      </c>
      <c r="F5" s="197"/>
      <c r="G5" s="197"/>
      <c r="H5" s="197"/>
      <c r="I5" s="197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</row>
    <row r="6" spans="2:24">
      <c r="B6" s="165" t="s">
        <v>445</v>
      </c>
      <c r="C6" s="197">
        <v>20000</v>
      </c>
      <c r="D6" s="165">
        <v>30</v>
      </c>
      <c r="E6" s="196">
        <f>C6*D6/100</f>
        <v>6000</v>
      </c>
      <c r="L6" s="143"/>
      <c r="M6" s="143"/>
      <c r="N6" s="143"/>
      <c r="O6" s="143"/>
      <c r="P6" s="143"/>
      <c r="Q6" s="143"/>
      <c r="R6" s="143"/>
      <c r="S6" s="143"/>
      <c r="T6" s="143"/>
    </row>
    <row r="7" spans="2:24">
      <c r="C7" s="197"/>
      <c r="E7" s="196"/>
      <c r="L7" s="487"/>
      <c r="M7" s="487"/>
      <c r="N7" s="487"/>
      <c r="O7" s="487"/>
      <c r="P7" s="487"/>
      <c r="Q7" s="487"/>
      <c r="R7" s="487"/>
      <c r="S7" s="487"/>
      <c r="T7" s="487"/>
    </row>
    <row r="8" spans="2:24">
      <c r="C8" s="197"/>
      <c r="E8" s="196"/>
    </row>
    <row r="9" spans="2:24">
      <c r="B9" s="813" t="s">
        <v>392</v>
      </c>
      <c r="C9" s="667"/>
      <c r="D9" s="668"/>
      <c r="E9" s="669"/>
      <c r="F9" s="670">
        <v>2017</v>
      </c>
      <c r="G9" s="670">
        <v>2018</v>
      </c>
      <c r="H9" s="670">
        <v>2019</v>
      </c>
      <c r="I9" s="670">
        <v>2020</v>
      </c>
      <c r="J9" s="670">
        <v>2021</v>
      </c>
      <c r="K9" s="670">
        <v>2022</v>
      </c>
      <c r="L9" s="670">
        <v>2023</v>
      </c>
      <c r="M9" s="670">
        <v>2024</v>
      </c>
      <c r="N9" s="670">
        <v>2025</v>
      </c>
      <c r="O9" s="670">
        <v>2026</v>
      </c>
      <c r="P9" s="670">
        <v>2027</v>
      </c>
      <c r="Q9" s="670">
        <v>2028</v>
      </c>
      <c r="R9" s="670">
        <v>2029</v>
      </c>
      <c r="S9" s="670">
        <v>2030</v>
      </c>
      <c r="T9" s="670">
        <v>2031</v>
      </c>
      <c r="U9" s="670">
        <v>2032</v>
      </c>
      <c r="V9" s="670">
        <v>2033</v>
      </c>
      <c r="W9" s="670">
        <v>2034</v>
      </c>
      <c r="X9" s="670">
        <v>2035</v>
      </c>
    </row>
    <row r="10" spans="2:24">
      <c r="B10" s="814"/>
      <c r="C10" s="604"/>
      <c r="X10" s="182"/>
    </row>
    <row r="11" spans="2:24">
      <c r="B11" s="814"/>
      <c r="C11" s="816" t="s">
        <v>446</v>
      </c>
      <c r="D11" s="164" t="s">
        <v>1</v>
      </c>
      <c r="E11" s="165" t="s">
        <v>447</v>
      </c>
      <c r="F11" s="194">
        <f>SUMIFS('EV Data'!$DX$44:$DX$151,'EV Data'!$C$44:$C$151,'EV Forecast VRZ'!F$9)/3</f>
        <v>98</v>
      </c>
      <c r="G11" s="194">
        <f>SUMIFS('EV Data'!$DX$44:$DX$151,'EV Data'!$C$44:$C$151,'EV Forecast VRZ'!G$9)/3</f>
        <v>265</v>
      </c>
      <c r="H11" s="194">
        <f>SUMIFS('EV Data'!$DX$44:$DX$151,'EV Data'!$C$44:$C$151,'EV Forecast VRZ'!H$9)/3</f>
        <v>186</v>
      </c>
      <c r="I11" s="194">
        <f>SUMIFS('EV Data'!$DX$44:$DX$151,'EV Data'!$C$44:$C$151,'EV Forecast VRZ'!I$9)/3</f>
        <v>233</v>
      </c>
      <c r="J11" s="194">
        <f>SUMIFS('EV Data'!$DX$44:$DX$151,'EV Data'!$C$44:$C$151,'EV Forecast VRZ'!J$9)/3</f>
        <v>443</v>
      </c>
      <c r="K11" s="194">
        <f>SUMIFS('EV Data'!$DX$44:$DX$151,'EV Data'!$C$44:$C$151,'EV Forecast VRZ'!K$9)/3</f>
        <v>1066</v>
      </c>
      <c r="L11" s="194">
        <f>SUMIFS('EV Data'!$DX$44:$DX$151,'EV Data'!$C$44:$C$151,'EV Forecast VRZ'!L$9)/3</f>
        <v>1248</v>
      </c>
      <c r="M11" s="194">
        <f>SUMIFS('EV Data'!$DX$44:$DX$151,'EV Data'!$C$44:$C$151,'EV Forecast VRZ'!M$9)/3</f>
        <v>1485</v>
      </c>
      <c r="N11" s="194">
        <f>SUMIFS('EV Data'!$DX$44:$DX$151,'EV Data'!$C$44:$C$151,'EV Forecast VRZ'!N$9)/3</f>
        <v>1154</v>
      </c>
      <c r="O11" s="163">
        <f>O14+O19+O24</f>
        <v>1484.3079440616416</v>
      </c>
      <c r="P11" s="163">
        <f t="shared" ref="P11:X11" si="0">P14+P19+P24</f>
        <v>1899.7740899771327</v>
      </c>
      <c r="Q11" s="163">
        <f t="shared" si="0"/>
        <v>2331.2651585516192</v>
      </c>
      <c r="R11" s="163">
        <f t="shared" si="0"/>
        <v>2779.2559602330925</v>
      </c>
      <c r="S11" s="163">
        <f t="shared" si="0"/>
        <v>3244.2338879184053</v>
      </c>
      <c r="T11" s="163">
        <f t="shared" si="0"/>
        <v>3726.6992303270372</v>
      </c>
      <c r="U11" s="163">
        <f t="shared" si="0"/>
        <v>4371.4181971736143</v>
      </c>
      <c r="V11" s="163">
        <f t="shared" si="0"/>
        <v>6591.3383946948252</v>
      </c>
      <c r="W11" s="163">
        <f t="shared" si="0"/>
        <v>8502.8265291563239</v>
      </c>
      <c r="X11" s="162">
        <f t="shared" si="0"/>
        <v>12101.697292659697</v>
      </c>
    </row>
    <row r="12" spans="2:24">
      <c r="B12" s="814"/>
      <c r="C12" s="816"/>
      <c r="D12" s="164" t="s">
        <v>1</v>
      </c>
      <c r="E12" s="165" t="s">
        <v>436</v>
      </c>
      <c r="F12" s="194">
        <f>F11</f>
        <v>98</v>
      </c>
      <c r="G12" s="194">
        <f t="shared" ref="G12:S12" si="1">F12+G11</f>
        <v>363</v>
      </c>
      <c r="H12" s="194">
        <f t="shared" si="1"/>
        <v>549</v>
      </c>
      <c r="I12" s="194">
        <f t="shared" si="1"/>
        <v>782</v>
      </c>
      <c r="J12" s="194">
        <f t="shared" si="1"/>
        <v>1225</v>
      </c>
      <c r="K12" s="194">
        <f t="shared" si="1"/>
        <v>2291</v>
      </c>
      <c r="L12" s="194">
        <f t="shared" si="1"/>
        <v>3539</v>
      </c>
      <c r="M12" s="194">
        <f t="shared" si="1"/>
        <v>5024</v>
      </c>
      <c r="N12" s="194">
        <f t="shared" si="1"/>
        <v>6178</v>
      </c>
      <c r="O12" s="163">
        <f t="shared" si="1"/>
        <v>7662.307944061642</v>
      </c>
      <c r="P12" s="163">
        <f t="shared" si="1"/>
        <v>9562.0820340387745</v>
      </c>
      <c r="Q12" s="163">
        <f t="shared" si="1"/>
        <v>11893.347192590394</v>
      </c>
      <c r="R12" s="163">
        <f t="shared" si="1"/>
        <v>14672.603152823487</v>
      </c>
      <c r="S12" s="163">
        <f t="shared" si="1"/>
        <v>17916.837040741892</v>
      </c>
      <c r="T12" s="163">
        <f>S12+T11-F11</f>
        <v>21545.53627106893</v>
      </c>
      <c r="U12" s="163">
        <f>T12+U11-G11</f>
        <v>25651.954468242544</v>
      </c>
      <c r="V12" s="163">
        <f>U12+V11-H11</f>
        <v>32057.292862937371</v>
      </c>
      <c r="W12" s="163">
        <f>V12+W11-I11</f>
        <v>40327.119392093693</v>
      </c>
      <c r="X12" s="162">
        <f>W12+X11-J11</f>
        <v>51985.816684753387</v>
      </c>
    </row>
    <row r="13" spans="2:24">
      <c r="B13" s="814"/>
      <c r="C13" s="604"/>
      <c r="D13" s="164"/>
      <c r="G13" s="161"/>
      <c r="X13" s="182"/>
    </row>
    <row r="14" spans="2:24">
      <c r="B14" s="814"/>
      <c r="C14" s="817" t="s">
        <v>448</v>
      </c>
      <c r="D14" s="671" t="s">
        <v>1</v>
      </c>
      <c r="E14" s="668" t="s">
        <v>447</v>
      </c>
      <c r="F14" s="672">
        <f>SUMIFS('EV Data'!$DY$44:$DY$151,'EV Data'!$C$44:$C$151,'EV Forecast VRZ'!F$9)/3+SUMIFS('EV Data'!$EA$44:$EA$151,'EV Data'!$C$44:$C$151,'EV Forecast VRZ'!F$9)/3</f>
        <v>98</v>
      </c>
      <c r="G14" s="672">
        <f>SUMIFS('EV Data'!$DY$44:$DY$151,'EV Data'!$C$44:$C$151,'EV Forecast VRZ'!G$9)/3+SUMIFS('EV Data'!$EA$44:$EA$151,'EV Data'!$C$44:$C$151,'EV Forecast VRZ'!G$9)/3</f>
        <v>265</v>
      </c>
      <c r="H14" s="672">
        <f>SUMIFS('EV Data'!$DY$44:$DY$151,'EV Data'!$C$44:$C$151,'EV Forecast VRZ'!H$9)/3+SUMIFS('EV Data'!$EA$44:$EA$151,'EV Data'!$C$44:$C$151,'EV Forecast VRZ'!H$9)/3</f>
        <v>186</v>
      </c>
      <c r="I14" s="672">
        <f>SUMIFS('EV Data'!$DY$44:$DY$151,'EV Data'!$C$44:$C$151,'EV Forecast VRZ'!I$9)/3+SUMIFS('EV Data'!$EA$44:$EA$151,'EV Data'!$C$44:$C$151,'EV Forecast VRZ'!I$9)/3</f>
        <v>233</v>
      </c>
      <c r="J14" s="672">
        <f>SUMIFS('EV Data'!$DY$44:$DY$151,'EV Data'!$C$44:$C$151,'EV Forecast VRZ'!J$9)/3+SUMIFS('EV Data'!$EA$44:$EA$151,'EV Data'!$C$44:$C$151,'EV Forecast VRZ'!J$9)/3</f>
        <v>443</v>
      </c>
      <c r="K14" s="672">
        <f>SUMIFS('EV Data'!$DY$44:$DY$151,'EV Data'!$C$44:$C$151,'EV Forecast VRZ'!K$9)/3+SUMIFS('EV Data'!$EA$44:$EA$151,'EV Data'!$C$44:$C$151,'EV Forecast VRZ'!K$9)/3</f>
        <v>1050</v>
      </c>
      <c r="L14" s="672">
        <f>SUMIFS('EV Data'!$DY$44:$DY$151,'EV Data'!$C$44:$C$151,'EV Forecast VRZ'!L$9)/3+SUMIFS('EV Data'!$EA$44:$EA$151,'EV Data'!$C$44:$C$151,'EV Forecast VRZ'!L$9)/3</f>
        <v>1205</v>
      </c>
      <c r="M14" s="672">
        <f>SUMIFS('EV Data'!$DY$44:$DY$151,'EV Data'!$C$44:$C$151,'EV Forecast VRZ'!M$9)/3+SUMIFS('EV Data'!$EA$44:$EA$151,'EV Data'!$C$44:$C$151,'EV Forecast VRZ'!M$9)/3</f>
        <v>1385</v>
      </c>
      <c r="N14" s="672">
        <f>SUMIFS('EV Data'!$DY$44:$DY$151,'EV Data'!$C$44:$C$151,'EV Forecast VRZ'!N$9)/3+SUMIFS('EV Data'!$EA$44:$EA$151,'EV Data'!$C$44:$C$151,'EV Forecast VRZ'!N$9)/3</f>
        <v>965</v>
      </c>
      <c r="O14" s="673">
        <f t="shared" ref="O14:X14" si="2">O35*O$75*O37*O30</f>
        <v>1400.6984969050454</v>
      </c>
      <c r="P14" s="673">
        <f t="shared" si="2"/>
        <v>1792.7618880813666</v>
      </c>
      <c r="Q14" s="673">
        <f t="shared" si="2"/>
        <v>2199.947535505979</v>
      </c>
      <c r="R14" s="673">
        <f t="shared" si="2"/>
        <v>2622.7035040723422</v>
      </c>
      <c r="S14" s="673">
        <f t="shared" si="2"/>
        <v>3061.489732367158</v>
      </c>
      <c r="T14" s="673">
        <f t="shared" si="2"/>
        <v>3516.7783283921376</v>
      </c>
      <c r="U14" s="673">
        <f t="shared" si="2"/>
        <v>4125.1809792039776</v>
      </c>
      <c r="V14" s="673">
        <f t="shared" si="2"/>
        <v>6220.0554938606074</v>
      </c>
      <c r="W14" s="673">
        <f t="shared" si="2"/>
        <v>8023.8715870801834</v>
      </c>
      <c r="X14" s="673">
        <f t="shared" si="2"/>
        <v>11420.021886728073</v>
      </c>
    </row>
    <row r="15" spans="2:24">
      <c r="B15" s="814"/>
      <c r="C15" s="818"/>
      <c r="D15" s="164" t="s">
        <v>1</v>
      </c>
      <c r="E15" s="165" t="s">
        <v>436</v>
      </c>
      <c r="F15" s="194">
        <f>F14</f>
        <v>98</v>
      </c>
      <c r="G15" s="194">
        <f t="shared" ref="G15:O15" si="3">F15+G14</f>
        <v>363</v>
      </c>
      <c r="H15" s="194">
        <f t="shared" si="3"/>
        <v>549</v>
      </c>
      <c r="I15" s="194">
        <f t="shared" si="3"/>
        <v>782</v>
      </c>
      <c r="J15" s="194">
        <f t="shared" si="3"/>
        <v>1225</v>
      </c>
      <c r="K15" s="194">
        <f t="shared" si="3"/>
        <v>2275</v>
      </c>
      <c r="L15" s="194">
        <f t="shared" si="3"/>
        <v>3480</v>
      </c>
      <c r="M15" s="193">
        <f t="shared" si="3"/>
        <v>4865</v>
      </c>
      <c r="N15" s="193">
        <f t="shared" si="3"/>
        <v>5830</v>
      </c>
      <c r="O15" s="193">
        <f t="shared" si="3"/>
        <v>7230.6984969050454</v>
      </c>
      <c r="P15" s="193">
        <f>O15+P14-F14</f>
        <v>8925.4603849864125</v>
      </c>
      <c r="Q15" s="193">
        <f t="shared" ref="Q15:X15" si="4">P15+Q14-G14</f>
        <v>10860.407920492391</v>
      </c>
      <c r="R15" s="193">
        <f t="shared" si="4"/>
        <v>13297.111424564733</v>
      </c>
      <c r="S15" s="193">
        <f t="shared" si="4"/>
        <v>16125.601156931891</v>
      </c>
      <c r="T15" s="193">
        <f t="shared" si="4"/>
        <v>19199.379485324029</v>
      </c>
      <c r="U15" s="193">
        <f t="shared" si="4"/>
        <v>22274.560464528007</v>
      </c>
      <c r="V15" s="193">
        <f t="shared" si="4"/>
        <v>27289.615958388615</v>
      </c>
      <c r="W15" s="193">
        <f t="shared" si="4"/>
        <v>33928.487545468801</v>
      </c>
      <c r="X15" s="192">
        <f t="shared" si="4"/>
        <v>44383.509432196872</v>
      </c>
    </row>
    <row r="16" spans="2:24">
      <c r="B16" s="814"/>
      <c r="C16" s="818"/>
      <c r="D16" s="164" t="s">
        <v>1</v>
      </c>
      <c r="E16" s="165" t="s">
        <v>449</v>
      </c>
      <c r="F16" s="194">
        <f>E3</f>
        <v>3358</v>
      </c>
      <c r="G16" s="194">
        <f t="shared" ref="G16:X16" si="5">F16</f>
        <v>3358</v>
      </c>
      <c r="H16" s="194">
        <f t="shared" si="5"/>
        <v>3358</v>
      </c>
      <c r="I16" s="194">
        <f t="shared" si="5"/>
        <v>3358</v>
      </c>
      <c r="J16" s="194">
        <f t="shared" si="5"/>
        <v>3358</v>
      </c>
      <c r="K16" s="194">
        <f t="shared" si="5"/>
        <v>3358</v>
      </c>
      <c r="L16" s="194">
        <f t="shared" si="5"/>
        <v>3358</v>
      </c>
      <c r="M16" s="194">
        <f t="shared" si="5"/>
        <v>3358</v>
      </c>
      <c r="N16" s="194">
        <f t="shared" si="5"/>
        <v>3358</v>
      </c>
      <c r="O16" s="194">
        <f t="shared" si="5"/>
        <v>3358</v>
      </c>
      <c r="P16" s="194">
        <f t="shared" si="5"/>
        <v>3358</v>
      </c>
      <c r="Q16" s="194">
        <f t="shared" si="5"/>
        <v>3358</v>
      </c>
      <c r="R16" s="194">
        <f t="shared" si="5"/>
        <v>3358</v>
      </c>
      <c r="S16" s="194">
        <f t="shared" si="5"/>
        <v>3358</v>
      </c>
      <c r="T16" s="194">
        <f t="shared" si="5"/>
        <v>3358</v>
      </c>
      <c r="U16" s="194">
        <f t="shared" si="5"/>
        <v>3358</v>
      </c>
      <c r="V16" s="194">
        <f t="shared" si="5"/>
        <v>3358</v>
      </c>
      <c r="W16" s="194">
        <f t="shared" si="5"/>
        <v>3358</v>
      </c>
      <c r="X16" s="192">
        <f t="shared" si="5"/>
        <v>3358</v>
      </c>
    </row>
    <row r="17" spans="2:24">
      <c r="B17" s="814"/>
      <c r="C17" s="818"/>
      <c r="D17" s="164" t="s">
        <v>1</v>
      </c>
      <c r="E17" s="165" t="s">
        <v>450</v>
      </c>
      <c r="F17" s="194">
        <f t="shared" ref="F17:X17" si="6">F14*F16</f>
        <v>329084</v>
      </c>
      <c r="G17" s="194">
        <f t="shared" si="6"/>
        <v>889870</v>
      </c>
      <c r="H17" s="194">
        <f t="shared" si="6"/>
        <v>624588</v>
      </c>
      <c r="I17" s="194">
        <f t="shared" si="6"/>
        <v>782414</v>
      </c>
      <c r="J17" s="194">
        <f t="shared" si="6"/>
        <v>1487594</v>
      </c>
      <c r="K17" s="194">
        <f t="shared" si="6"/>
        <v>3525900</v>
      </c>
      <c r="L17" s="194">
        <f t="shared" si="6"/>
        <v>4046390</v>
      </c>
      <c r="M17" s="194">
        <f t="shared" si="6"/>
        <v>4650830</v>
      </c>
      <c r="N17" s="194">
        <f t="shared" ref="N17" si="7">N14*N16</f>
        <v>3240470</v>
      </c>
      <c r="O17" s="194">
        <f t="shared" si="6"/>
        <v>4703545.5526071424</v>
      </c>
      <c r="P17" s="194">
        <f t="shared" si="6"/>
        <v>6020094.4201772287</v>
      </c>
      <c r="Q17" s="194">
        <f t="shared" si="6"/>
        <v>7387423.8242290774</v>
      </c>
      <c r="R17" s="194">
        <f t="shared" si="6"/>
        <v>8807038.3666749243</v>
      </c>
      <c r="S17" s="194">
        <f t="shared" si="6"/>
        <v>10280482.521288916</v>
      </c>
      <c r="T17" s="194">
        <f t="shared" si="6"/>
        <v>11809341.626740798</v>
      </c>
      <c r="U17" s="194">
        <f t="shared" si="6"/>
        <v>13852357.728166956</v>
      </c>
      <c r="V17" s="194">
        <f t="shared" si="6"/>
        <v>20886946.348383918</v>
      </c>
      <c r="W17" s="194">
        <f t="shared" si="6"/>
        <v>26944160.789415255</v>
      </c>
      <c r="X17" s="192">
        <f t="shared" si="6"/>
        <v>38348433.495632872</v>
      </c>
    </row>
    <row r="18" spans="2:24">
      <c r="B18" s="814"/>
      <c r="C18" s="819"/>
      <c r="D18" s="191" t="s">
        <v>1</v>
      </c>
      <c r="E18" s="190" t="s">
        <v>451</v>
      </c>
      <c r="F18" s="189">
        <f t="shared" ref="F18:X18" si="8">F15*F16-F14*F16/2</f>
        <v>164542</v>
      </c>
      <c r="G18" s="189">
        <f>G15*G16-G14*G16/2</f>
        <v>774019</v>
      </c>
      <c r="H18" s="189">
        <f t="shared" si="8"/>
        <v>1531248</v>
      </c>
      <c r="I18" s="189">
        <f t="shared" si="8"/>
        <v>2234749</v>
      </c>
      <c r="J18" s="189">
        <f t="shared" si="8"/>
        <v>3369753</v>
      </c>
      <c r="K18" s="189">
        <f t="shared" si="8"/>
        <v>5876500</v>
      </c>
      <c r="L18" s="189">
        <f t="shared" si="8"/>
        <v>9662645</v>
      </c>
      <c r="M18" s="189">
        <f t="shared" si="8"/>
        <v>14011255</v>
      </c>
      <c r="N18" s="189">
        <f t="shared" ref="N18" si="9">N15*N16-N14*N16/2</f>
        <v>17956905</v>
      </c>
      <c r="O18" s="189">
        <f t="shared" si="8"/>
        <v>21928912.776303571</v>
      </c>
      <c r="P18" s="189">
        <f t="shared" si="8"/>
        <v>26961648.76269576</v>
      </c>
      <c r="Q18" s="189">
        <f t="shared" si="8"/>
        <v>32775537.884898908</v>
      </c>
      <c r="R18" s="189">
        <f t="shared" si="8"/>
        <v>40248180.980350912</v>
      </c>
      <c r="S18" s="189">
        <f t="shared" si="8"/>
        <v>49009527.424332827</v>
      </c>
      <c r="T18" s="189">
        <f t="shared" si="8"/>
        <v>58566845.498347692</v>
      </c>
      <c r="U18" s="189">
        <f t="shared" si="8"/>
        <v>67871795.17580156</v>
      </c>
      <c r="V18" s="189">
        <f t="shared" si="8"/>
        <v>81195057.214076996</v>
      </c>
      <c r="W18" s="189">
        <f t="shared" si="8"/>
        <v>100459780.7829766</v>
      </c>
      <c r="X18" s="273">
        <f t="shared" si="8"/>
        <v>129865607.92550066</v>
      </c>
    </row>
    <row r="19" spans="2:24">
      <c r="B19" s="814"/>
      <c r="C19" s="818" t="s">
        <v>452</v>
      </c>
      <c r="D19" s="671" t="s">
        <v>1</v>
      </c>
      <c r="E19" s="165" t="s">
        <v>447</v>
      </c>
      <c r="F19" s="160">
        <f>SUMIFS('EV Data'!$EB$44:$EB$151,'EV Data'!$C$44:$C$151,'EV Forecast VRZ'!F$9)/3</f>
        <v>0</v>
      </c>
      <c r="G19" s="160">
        <f>SUMIFS('EV Data'!$EB$44:$EB$151,'EV Data'!$C$44:$C$151,'EV Forecast VRZ'!G$9)/3</f>
        <v>0</v>
      </c>
      <c r="H19" s="160">
        <f>SUMIFS('EV Data'!$EB$44:$EB$151,'EV Data'!$C$44:$C$151,'EV Forecast VRZ'!H$9)/3</f>
        <v>0</v>
      </c>
      <c r="I19" s="160">
        <f>SUMIFS('EV Data'!$EB$44:$EB$151,'EV Data'!$C$44:$C$151,'EV Forecast VRZ'!I$9)/3</f>
        <v>0</v>
      </c>
      <c r="J19" s="160">
        <f>SUMIFS('EV Data'!$EB$44:$EB$151,'EV Data'!$C$44:$C$151,'EV Forecast VRZ'!J$9)/3</f>
        <v>0</v>
      </c>
      <c r="K19" s="160">
        <f>SUMIFS('EV Data'!$EB$44:$EB$151,'EV Data'!$C$44:$C$151,'EV Forecast VRZ'!K$9)/3</f>
        <v>2</v>
      </c>
      <c r="L19" s="160">
        <f>SUMIFS('EV Data'!$EB$44:$EB$151,'EV Data'!$C$44:$C$151,'EV Forecast VRZ'!L$9)/3</f>
        <v>1</v>
      </c>
      <c r="M19" s="160">
        <f>SUMIFS('EV Data'!$EB$44:$EB$151,'EV Data'!$C$44:$C$151,'EV Forecast VRZ'!M$9)/3</f>
        <v>6</v>
      </c>
      <c r="N19" s="160">
        <f>SUMIFS('EV Data'!$EB$44:$EB$151,'EV Data'!$C$44:$C$151,'EV Forecast VRZ'!N$9)/3</f>
        <v>70</v>
      </c>
      <c r="O19" s="673">
        <f t="shared" ref="O19:X19" si="10">O35*O$75*O38*O30</f>
        <v>18.980305532675576</v>
      </c>
      <c r="P19" s="673">
        <f t="shared" si="10"/>
        <v>24.292999855648024</v>
      </c>
      <c r="Q19" s="673">
        <f t="shared" si="10"/>
        <v>29.810609829326303</v>
      </c>
      <c r="R19" s="673">
        <f t="shared" si="10"/>
        <v>35.539207002009448</v>
      </c>
      <c r="S19" s="673">
        <f t="shared" si="10"/>
        <v>41.485023817668186</v>
      </c>
      <c r="T19" s="673">
        <f t="shared" si="10"/>
        <v>47.654457623152467</v>
      </c>
      <c r="U19" s="673">
        <f t="shared" si="10"/>
        <v>55.898678791957849</v>
      </c>
      <c r="V19" s="673">
        <f t="shared" si="10"/>
        <v>84.285486108917311</v>
      </c>
      <c r="W19" s="673">
        <f t="shared" si="10"/>
        <v>108.72827708050335</v>
      </c>
      <c r="X19" s="674">
        <f t="shared" si="10"/>
        <v>154.74815249597219</v>
      </c>
    </row>
    <row r="20" spans="2:24">
      <c r="B20" s="814"/>
      <c r="C20" s="818"/>
      <c r="D20" s="164" t="s">
        <v>1</v>
      </c>
      <c r="E20" s="165" t="s">
        <v>436</v>
      </c>
      <c r="F20" s="160">
        <f>F19</f>
        <v>0</v>
      </c>
      <c r="G20" s="160">
        <f t="shared" ref="G20:N20" si="11">F20+G19</f>
        <v>0</v>
      </c>
      <c r="H20" s="160">
        <f t="shared" si="11"/>
        <v>0</v>
      </c>
      <c r="I20" s="160">
        <f t="shared" si="11"/>
        <v>0</v>
      </c>
      <c r="J20" s="160">
        <f t="shared" si="11"/>
        <v>0</v>
      </c>
      <c r="K20" s="160">
        <f t="shared" si="11"/>
        <v>2</v>
      </c>
      <c r="L20" s="160">
        <f t="shared" si="11"/>
        <v>3</v>
      </c>
      <c r="M20" s="160">
        <f t="shared" si="11"/>
        <v>9</v>
      </c>
      <c r="N20" s="160">
        <f t="shared" si="11"/>
        <v>79</v>
      </c>
      <c r="O20" s="193">
        <f t="shared" ref="O20" si="12">N20+O19</f>
        <v>97.980305532675573</v>
      </c>
      <c r="P20" s="193">
        <f>O20+P19-F19</f>
        <v>122.27330538832359</v>
      </c>
      <c r="Q20" s="193">
        <f t="shared" ref="Q20" si="13">P20+Q19-G19</f>
        <v>152.08391521764989</v>
      </c>
      <c r="R20" s="193">
        <f t="shared" ref="R20" si="14">Q20+R19-H19</f>
        <v>187.62312221965934</v>
      </c>
      <c r="S20" s="193">
        <f t="shared" ref="S20" si="15">R20+S19-I19</f>
        <v>229.10814603732751</v>
      </c>
      <c r="T20" s="193">
        <f t="shared" ref="T20" si="16">S20+T19-J19</f>
        <v>276.76260366047995</v>
      </c>
      <c r="U20" s="193">
        <f t="shared" ref="U20" si="17">T20+U19-K19</f>
        <v>330.66128245243783</v>
      </c>
      <c r="V20" s="193">
        <f t="shared" ref="V20" si="18">U20+V19-L19</f>
        <v>413.94676856135516</v>
      </c>
      <c r="W20" s="193">
        <f t="shared" ref="W20" si="19">V20+W19-M19</f>
        <v>516.67504564185856</v>
      </c>
      <c r="X20" s="192">
        <f t="shared" ref="X20" si="20">W20+X19-N19</f>
        <v>601.4231981378307</v>
      </c>
    </row>
    <row r="21" spans="2:24">
      <c r="B21" s="814"/>
      <c r="C21" s="818"/>
      <c r="D21" s="164" t="s">
        <v>1</v>
      </c>
      <c r="E21" s="165" t="s">
        <v>449</v>
      </c>
      <c r="F21" s="194">
        <f>E5</f>
        <v>5000</v>
      </c>
      <c r="G21" s="194">
        <f t="shared" ref="G21:X21" si="21">F21</f>
        <v>5000</v>
      </c>
      <c r="H21" s="194">
        <f t="shared" si="21"/>
        <v>5000</v>
      </c>
      <c r="I21" s="194">
        <f t="shared" si="21"/>
        <v>5000</v>
      </c>
      <c r="J21" s="194">
        <f t="shared" si="21"/>
        <v>5000</v>
      </c>
      <c r="K21" s="194">
        <f t="shared" si="21"/>
        <v>5000</v>
      </c>
      <c r="L21" s="194">
        <f t="shared" si="21"/>
        <v>5000</v>
      </c>
      <c r="M21" s="194">
        <f t="shared" si="21"/>
        <v>5000</v>
      </c>
      <c r="N21" s="194">
        <f t="shared" si="21"/>
        <v>5000</v>
      </c>
      <c r="O21" s="194">
        <f t="shared" si="21"/>
        <v>5000</v>
      </c>
      <c r="P21" s="194">
        <f t="shared" si="21"/>
        <v>5000</v>
      </c>
      <c r="Q21" s="194">
        <f t="shared" si="21"/>
        <v>5000</v>
      </c>
      <c r="R21" s="194">
        <f t="shared" si="21"/>
        <v>5000</v>
      </c>
      <c r="S21" s="194">
        <f t="shared" si="21"/>
        <v>5000</v>
      </c>
      <c r="T21" s="194">
        <f t="shared" si="21"/>
        <v>5000</v>
      </c>
      <c r="U21" s="194">
        <f t="shared" si="21"/>
        <v>5000</v>
      </c>
      <c r="V21" s="194">
        <f t="shared" si="21"/>
        <v>5000</v>
      </c>
      <c r="W21" s="194">
        <f t="shared" si="21"/>
        <v>5000</v>
      </c>
      <c r="X21" s="192">
        <f t="shared" si="21"/>
        <v>5000</v>
      </c>
    </row>
    <row r="22" spans="2:24">
      <c r="B22" s="814"/>
      <c r="C22" s="818"/>
      <c r="D22" s="164" t="s">
        <v>1</v>
      </c>
      <c r="E22" s="165" t="s">
        <v>450</v>
      </c>
      <c r="F22" s="194">
        <f t="shared" ref="F22:X22" si="22">F19*F21</f>
        <v>0</v>
      </c>
      <c r="G22" s="194">
        <f t="shared" si="22"/>
        <v>0</v>
      </c>
      <c r="H22" s="194">
        <f t="shared" si="22"/>
        <v>0</v>
      </c>
      <c r="I22" s="194">
        <f t="shared" si="22"/>
        <v>0</v>
      </c>
      <c r="J22" s="194">
        <f t="shared" si="22"/>
        <v>0</v>
      </c>
      <c r="K22" s="194">
        <f t="shared" si="22"/>
        <v>10000</v>
      </c>
      <c r="L22" s="194">
        <f t="shared" si="22"/>
        <v>5000</v>
      </c>
      <c r="M22" s="194">
        <f t="shared" si="22"/>
        <v>30000</v>
      </c>
      <c r="N22" s="194">
        <f t="shared" ref="N22" si="23">N19*N21</f>
        <v>350000</v>
      </c>
      <c r="O22" s="194">
        <f t="shared" si="22"/>
        <v>94901.527663377885</v>
      </c>
      <c r="P22" s="194">
        <f t="shared" si="22"/>
        <v>121464.99927824012</v>
      </c>
      <c r="Q22" s="194">
        <f t="shared" si="22"/>
        <v>149053.04914663153</v>
      </c>
      <c r="R22" s="194">
        <f t="shared" si="22"/>
        <v>177696.03501004723</v>
      </c>
      <c r="S22" s="194">
        <f t="shared" si="22"/>
        <v>207425.11908834093</v>
      </c>
      <c r="T22" s="194">
        <f t="shared" si="22"/>
        <v>238272.28811576235</v>
      </c>
      <c r="U22" s="194">
        <f t="shared" si="22"/>
        <v>279493.39395978925</v>
      </c>
      <c r="V22" s="194">
        <f t="shared" si="22"/>
        <v>421427.43054458656</v>
      </c>
      <c r="W22" s="194">
        <f t="shared" si="22"/>
        <v>543641.38540251669</v>
      </c>
      <c r="X22" s="192">
        <f t="shared" si="22"/>
        <v>773740.76247986092</v>
      </c>
    </row>
    <row r="23" spans="2:24">
      <c r="B23" s="814"/>
      <c r="C23" s="818"/>
      <c r="D23" s="191" t="s">
        <v>1</v>
      </c>
      <c r="E23" s="165" t="s">
        <v>451</v>
      </c>
      <c r="F23" s="189">
        <f t="shared" ref="F23:M23" si="24">F20*F21-F19*F21/2</f>
        <v>0</v>
      </c>
      <c r="G23" s="189">
        <f t="shared" si="24"/>
        <v>0</v>
      </c>
      <c r="H23" s="189">
        <f t="shared" si="24"/>
        <v>0</v>
      </c>
      <c r="I23" s="189">
        <f t="shared" si="24"/>
        <v>0</v>
      </c>
      <c r="J23" s="189">
        <f t="shared" si="24"/>
        <v>0</v>
      </c>
      <c r="K23" s="189">
        <f t="shared" si="24"/>
        <v>5000</v>
      </c>
      <c r="L23" s="189">
        <f t="shared" si="24"/>
        <v>12500</v>
      </c>
      <c r="M23" s="189">
        <f t="shared" si="24"/>
        <v>30000</v>
      </c>
      <c r="N23" s="189">
        <f t="shared" ref="N23" si="25">N20*N21-N19*N21/2</f>
        <v>220000</v>
      </c>
      <c r="O23" s="189">
        <f t="shared" ref="O23:X23" si="26">O20*O21-O19*O21/2</f>
        <v>442450.76383168891</v>
      </c>
      <c r="P23" s="189">
        <f t="shared" si="26"/>
        <v>550634.02730249788</v>
      </c>
      <c r="Q23" s="189">
        <f t="shared" si="26"/>
        <v>685893.0515149337</v>
      </c>
      <c r="R23" s="189">
        <f t="shared" si="26"/>
        <v>849267.59359327308</v>
      </c>
      <c r="S23" s="189">
        <f t="shared" si="26"/>
        <v>1041828.170642467</v>
      </c>
      <c r="T23" s="189">
        <f t="shared" si="26"/>
        <v>1264676.8742445186</v>
      </c>
      <c r="U23" s="189">
        <f t="shared" si="26"/>
        <v>1513559.7152822947</v>
      </c>
      <c r="V23" s="189">
        <f t="shared" si="26"/>
        <v>1859020.1275344826</v>
      </c>
      <c r="W23" s="189">
        <f t="shared" si="26"/>
        <v>2311554.5355080348</v>
      </c>
      <c r="X23" s="273">
        <f t="shared" si="26"/>
        <v>2620245.6094492227</v>
      </c>
    </row>
    <row r="24" spans="2:24">
      <c r="B24" s="814"/>
      <c r="C24" s="817" t="s">
        <v>453</v>
      </c>
      <c r="D24" s="671" t="s">
        <v>1</v>
      </c>
      <c r="E24" s="668" t="s">
        <v>447</v>
      </c>
      <c r="F24" s="675">
        <f>SUMIFS('EV Data'!$DZ$44:$DZ$151,'EV Data'!$C$44:$C$151,'EV Forecast VRZ'!F$9)/3</f>
        <v>0</v>
      </c>
      <c r="G24" s="675">
        <f>SUMIFS('EV Data'!$DZ$44:$DZ$151,'EV Data'!$C$44:$C$151,'EV Forecast VRZ'!G$9)/3</f>
        <v>0</v>
      </c>
      <c r="H24" s="675">
        <f>SUMIFS('EV Data'!$DZ$44:$DZ$151,'EV Data'!$C$44:$C$151,'EV Forecast VRZ'!H$9)/3</f>
        <v>0</v>
      </c>
      <c r="I24" s="675">
        <f>SUMIFS('EV Data'!$DZ$44:$DZ$151,'EV Data'!$C$44:$C$151,'EV Forecast VRZ'!I$9)/3</f>
        <v>0</v>
      </c>
      <c r="J24" s="675">
        <f>SUMIFS('EV Data'!$DZ$44:$DZ$151,'EV Data'!$C$44:$C$151,'EV Forecast VRZ'!J$9)/3</f>
        <v>0</v>
      </c>
      <c r="K24" s="675">
        <f>SUMIFS('EV Data'!$DZ$44:$DZ$151,'EV Data'!$C$44:$C$151,'EV Forecast VRZ'!K$9)/3</f>
        <v>14</v>
      </c>
      <c r="L24" s="675">
        <f>SUMIFS('EV Data'!$DZ$44:$DZ$151,'EV Data'!$C$44:$C$151,'EV Forecast VRZ'!L$9)/3</f>
        <v>42</v>
      </c>
      <c r="M24" s="675">
        <f>SUMIFS('EV Data'!$DZ$44:$DZ$151,'EV Data'!$C$44:$C$151,'EV Forecast VRZ'!M$9)/3</f>
        <v>94</v>
      </c>
      <c r="N24" s="675">
        <f>SUMIFS('EV Data'!$DZ$44:$DZ$151,'EV Data'!$C$44:$C$151,'EV Forecast VRZ'!N$9)/3</f>
        <v>119</v>
      </c>
      <c r="O24" s="673">
        <f t="shared" ref="O24:X24" si="27">O35*O$75*O39*O30</f>
        <v>64.629141623920631</v>
      </c>
      <c r="P24" s="673">
        <f t="shared" si="27"/>
        <v>82.719202040117949</v>
      </c>
      <c r="Q24" s="673">
        <f t="shared" si="27"/>
        <v>101.50701321631361</v>
      </c>
      <c r="R24" s="673">
        <f t="shared" si="27"/>
        <v>121.01324915874102</v>
      </c>
      <c r="S24" s="673">
        <f t="shared" si="27"/>
        <v>141.25913173357901</v>
      </c>
      <c r="T24" s="673">
        <f t="shared" si="27"/>
        <v>162.26644431174702</v>
      </c>
      <c r="U24" s="673">
        <f t="shared" si="27"/>
        <v>190.33853917767928</v>
      </c>
      <c r="V24" s="673">
        <f t="shared" si="27"/>
        <v>286.99741472530076</v>
      </c>
      <c r="W24" s="673">
        <f t="shared" si="27"/>
        <v>370.22666499563798</v>
      </c>
      <c r="X24" s="674">
        <f t="shared" si="27"/>
        <v>526.92725343565212</v>
      </c>
    </row>
    <row r="25" spans="2:24">
      <c r="B25" s="814"/>
      <c r="C25" s="818"/>
      <c r="D25" s="164" t="s">
        <v>1</v>
      </c>
      <c r="E25" s="165" t="s">
        <v>436</v>
      </c>
      <c r="F25" s="160">
        <f>F24</f>
        <v>0</v>
      </c>
      <c r="G25" s="160">
        <f t="shared" ref="G25:O25" si="28">F25+G24</f>
        <v>0</v>
      </c>
      <c r="H25" s="160">
        <f t="shared" si="28"/>
        <v>0</v>
      </c>
      <c r="I25" s="160">
        <f t="shared" si="28"/>
        <v>0</v>
      </c>
      <c r="J25" s="160">
        <f t="shared" si="28"/>
        <v>0</v>
      </c>
      <c r="K25" s="160">
        <f t="shared" si="28"/>
        <v>14</v>
      </c>
      <c r="L25" s="160">
        <f t="shared" si="28"/>
        <v>56</v>
      </c>
      <c r="M25" s="160">
        <f t="shared" si="28"/>
        <v>150</v>
      </c>
      <c r="N25" s="160">
        <f t="shared" si="28"/>
        <v>269</v>
      </c>
      <c r="O25" s="160">
        <f t="shared" si="28"/>
        <v>333.62914162392065</v>
      </c>
      <c r="P25" s="193">
        <f>O25+P24-F24</f>
        <v>416.34834366403857</v>
      </c>
      <c r="Q25" s="193">
        <f t="shared" ref="Q25" si="29">P25+Q24-G24</f>
        <v>517.85535688035213</v>
      </c>
      <c r="R25" s="193">
        <f t="shared" ref="R25" si="30">Q25+R24-H24</f>
        <v>638.86860603909315</v>
      </c>
      <c r="S25" s="193">
        <f t="shared" ref="S25" si="31">R25+S24-I24</f>
        <v>780.12773777267216</v>
      </c>
      <c r="T25" s="193">
        <f t="shared" ref="T25" si="32">S25+T24-J24</f>
        <v>942.39418208441919</v>
      </c>
      <c r="U25" s="193">
        <f t="shared" ref="U25" si="33">T25+U24-K24</f>
        <v>1118.7327212620985</v>
      </c>
      <c r="V25" s="193">
        <f t="shared" ref="V25" si="34">U25+V24-L24</f>
        <v>1363.7301359873993</v>
      </c>
      <c r="W25" s="193">
        <f t="shared" ref="W25" si="35">V25+W24-M24</f>
        <v>1639.9568009830373</v>
      </c>
      <c r="X25" s="192">
        <f t="shared" ref="X25" si="36">W25+X24-N24</f>
        <v>2047.8840544186896</v>
      </c>
    </row>
    <row r="26" spans="2:24">
      <c r="B26" s="814"/>
      <c r="C26" s="818"/>
      <c r="D26" s="164" t="s">
        <v>1</v>
      </c>
      <c r="E26" s="165" t="s">
        <v>449</v>
      </c>
      <c r="F26" s="194"/>
      <c r="G26" s="194"/>
      <c r="H26" s="194"/>
      <c r="I26" s="194"/>
      <c r="J26" s="194"/>
      <c r="K26" s="194">
        <f>E6</f>
        <v>6000</v>
      </c>
      <c r="L26" s="194">
        <f t="shared" ref="L26:X26" si="37">K26</f>
        <v>6000</v>
      </c>
      <c r="M26" s="194">
        <f t="shared" si="37"/>
        <v>6000</v>
      </c>
      <c r="N26" s="194">
        <f t="shared" si="37"/>
        <v>6000</v>
      </c>
      <c r="O26" s="194">
        <f t="shared" si="37"/>
        <v>6000</v>
      </c>
      <c r="P26" s="194">
        <f t="shared" si="37"/>
        <v>6000</v>
      </c>
      <c r="Q26" s="194">
        <f t="shared" si="37"/>
        <v>6000</v>
      </c>
      <c r="R26" s="194">
        <f t="shared" si="37"/>
        <v>6000</v>
      </c>
      <c r="S26" s="194">
        <f t="shared" si="37"/>
        <v>6000</v>
      </c>
      <c r="T26" s="194">
        <f t="shared" si="37"/>
        <v>6000</v>
      </c>
      <c r="U26" s="194">
        <f t="shared" si="37"/>
        <v>6000</v>
      </c>
      <c r="V26" s="194">
        <f t="shared" si="37"/>
        <v>6000</v>
      </c>
      <c r="W26" s="194">
        <f t="shared" si="37"/>
        <v>6000</v>
      </c>
      <c r="X26" s="192">
        <f t="shared" si="37"/>
        <v>6000</v>
      </c>
    </row>
    <row r="27" spans="2:24">
      <c r="B27" s="814"/>
      <c r="C27" s="818"/>
      <c r="D27" s="164" t="s">
        <v>1</v>
      </c>
      <c r="E27" s="165" t="s">
        <v>450</v>
      </c>
      <c r="F27" s="194">
        <f t="shared" ref="F27:X27" si="38">F24*F26</f>
        <v>0</v>
      </c>
      <c r="G27" s="194">
        <f t="shared" si="38"/>
        <v>0</v>
      </c>
      <c r="H27" s="194">
        <f t="shared" si="38"/>
        <v>0</v>
      </c>
      <c r="I27" s="194">
        <f t="shared" si="38"/>
        <v>0</v>
      </c>
      <c r="J27" s="194">
        <f t="shared" si="38"/>
        <v>0</v>
      </c>
      <c r="K27" s="194">
        <f t="shared" si="38"/>
        <v>84000</v>
      </c>
      <c r="L27" s="194">
        <f t="shared" si="38"/>
        <v>252000</v>
      </c>
      <c r="M27" s="194">
        <f t="shared" si="38"/>
        <v>564000</v>
      </c>
      <c r="N27" s="194">
        <f t="shared" ref="N27" si="39">N24*N26</f>
        <v>714000</v>
      </c>
      <c r="O27" s="194">
        <f t="shared" si="38"/>
        <v>387774.84974352381</v>
      </c>
      <c r="P27" s="194">
        <f t="shared" si="38"/>
        <v>496315.21224070771</v>
      </c>
      <c r="Q27" s="194">
        <f t="shared" si="38"/>
        <v>609042.07929788169</v>
      </c>
      <c r="R27" s="194">
        <f t="shared" si="38"/>
        <v>726079.49495244608</v>
      </c>
      <c r="S27" s="194">
        <f t="shared" si="38"/>
        <v>847554.79040147411</v>
      </c>
      <c r="T27" s="194">
        <f t="shared" si="38"/>
        <v>973598.6658704821</v>
      </c>
      <c r="U27" s="194">
        <f t="shared" si="38"/>
        <v>1142031.2350660756</v>
      </c>
      <c r="V27" s="194">
        <f t="shared" si="38"/>
        <v>1721984.4883518044</v>
      </c>
      <c r="W27" s="194">
        <f t="shared" si="38"/>
        <v>2221359.9899738277</v>
      </c>
      <c r="X27" s="192">
        <f t="shared" si="38"/>
        <v>3161563.5206139125</v>
      </c>
    </row>
    <row r="28" spans="2:24">
      <c r="B28" s="814"/>
      <c r="C28" s="819"/>
      <c r="D28" s="191" t="s">
        <v>1</v>
      </c>
      <c r="E28" s="190" t="s">
        <v>451</v>
      </c>
      <c r="F28" s="189">
        <f t="shared" ref="F28:X28" si="40">F25*F26-F24*F26/2</f>
        <v>0</v>
      </c>
      <c r="G28" s="189">
        <f t="shared" si="40"/>
        <v>0</v>
      </c>
      <c r="H28" s="189">
        <f t="shared" si="40"/>
        <v>0</v>
      </c>
      <c r="I28" s="189">
        <f t="shared" si="40"/>
        <v>0</v>
      </c>
      <c r="J28" s="189">
        <f t="shared" si="40"/>
        <v>0</v>
      </c>
      <c r="K28" s="189">
        <f t="shared" si="40"/>
        <v>42000</v>
      </c>
      <c r="L28" s="189">
        <f t="shared" si="40"/>
        <v>210000</v>
      </c>
      <c r="M28" s="189">
        <f t="shared" si="40"/>
        <v>618000</v>
      </c>
      <c r="N28" s="189">
        <f t="shared" ref="N28" si="41">N25*N26-N24*N26/2</f>
        <v>1257000</v>
      </c>
      <c r="O28" s="189">
        <f t="shared" si="40"/>
        <v>1807887.4248717621</v>
      </c>
      <c r="P28" s="189">
        <f t="shared" si="40"/>
        <v>2249932.4558638772</v>
      </c>
      <c r="Q28" s="189">
        <f t="shared" si="40"/>
        <v>2802611.101633172</v>
      </c>
      <c r="R28" s="189">
        <f t="shared" si="40"/>
        <v>3470171.8887583362</v>
      </c>
      <c r="S28" s="189">
        <f t="shared" si="40"/>
        <v>4256989.0314352959</v>
      </c>
      <c r="T28" s="189">
        <f t="shared" si="40"/>
        <v>5167565.7595712738</v>
      </c>
      <c r="U28" s="189">
        <f t="shared" si="40"/>
        <v>6141380.7100395532</v>
      </c>
      <c r="V28" s="189">
        <f t="shared" si="40"/>
        <v>7321388.5717484932</v>
      </c>
      <c r="W28" s="189">
        <f t="shared" si="40"/>
        <v>8729060.810911309</v>
      </c>
      <c r="X28" s="273">
        <f t="shared" si="40"/>
        <v>10706522.566205181</v>
      </c>
    </row>
    <row r="29" spans="2:24">
      <c r="B29" s="814"/>
      <c r="C29" s="604"/>
      <c r="X29" s="182"/>
    </row>
    <row r="30" spans="2:24">
      <c r="B30" s="814"/>
      <c r="C30" s="604"/>
      <c r="E30" s="165" t="s">
        <v>454</v>
      </c>
      <c r="F30" s="274">
        <f t="shared" ref="F30:M30" si="42">F32/F33</f>
        <v>2.75049115913556E-2</v>
      </c>
      <c r="G30" s="274">
        <f t="shared" si="42"/>
        <v>3.2254138266796496E-2</v>
      </c>
      <c r="H30" s="274">
        <f t="shared" si="42"/>
        <v>2.8345016763181956E-2</v>
      </c>
      <c r="I30" s="274">
        <f t="shared" si="42"/>
        <v>2.8550422742310993E-2</v>
      </c>
      <c r="J30" s="274">
        <f t="shared" si="42"/>
        <v>2.9890020916267458E-2</v>
      </c>
      <c r="K30" s="274">
        <f t="shared" si="42"/>
        <v>3.2516853247109782E-2</v>
      </c>
      <c r="L30" s="274">
        <f t="shared" si="42"/>
        <v>3.2302316552348907E-2</v>
      </c>
      <c r="M30" s="274">
        <f t="shared" si="42"/>
        <v>3.5646558966849901E-2</v>
      </c>
      <c r="N30" s="274">
        <f t="shared" ref="N30" si="43">N32/N33</f>
        <v>3.7353531430051143E-2</v>
      </c>
      <c r="O30" s="152">
        <f>AVERAGE(L30:N30)</f>
        <v>3.510080231641665E-2</v>
      </c>
      <c r="P30" s="152">
        <f t="shared" ref="P30:X30" si="44">O30</f>
        <v>3.510080231641665E-2</v>
      </c>
      <c r="Q30" s="152">
        <f t="shared" si="44"/>
        <v>3.510080231641665E-2</v>
      </c>
      <c r="R30" s="152">
        <f t="shared" si="44"/>
        <v>3.510080231641665E-2</v>
      </c>
      <c r="S30" s="152">
        <f t="shared" si="44"/>
        <v>3.510080231641665E-2</v>
      </c>
      <c r="T30" s="152">
        <f t="shared" si="44"/>
        <v>3.510080231641665E-2</v>
      </c>
      <c r="U30" s="152">
        <f t="shared" si="44"/>
        <v>3.510080231641665E-2</v>
      </c>
      <c r="V30" s="152">
        <f t="shared" si="44"/>
        <v>3.510080231641665E-2</v>
      </c>
      <c r="W30" s="152">
        <f t="shared" si="44"/>
        <v>3.510080231641665E-2</v>
      </c>
      <c r="X30" s="152">
        <f t="shared" si="44"/>
        <v>3.510080231641665E-2</v>
      </c>
    </row>
    <row r="31" spans="2:24">
      <c r="B31" s="814"/>
      <c r="C31" s="604"/>
      <c r="X31" s="182"/>
    </row>
    <row r="32" spans="2:24">
      <c r="B32" s="814"/>
      <c r="C32" s="604"/>
      <c r="D32" s="164" t="s">
        <v>1</v>
      </c>
      <c r="E32" s="165" t="s">
        <v>455</v>
      </c>
      <c r="F32" s="143">
        <f t="shared" ref="F32:M32" si="45">F11</f>
        <v>98</v>
      </c>
      <c r="G32" s="143">
        <f t="shared" si="45"/>
        <v>265</v>
      </c>
      <c r="H32" s="143">
        <f t="shared" si="45"/>
        <v>186</v>
      </c>
      <c r="I32" s="143">
        <f t="shared" si="45"/>
        <v>233</v>
      </c>
      <c r="J32" s="143">
        <f t="shared" si="45"/>
        <v>443</v>
      </c>
      <c r="K32" s="143">
        <f t="shared" si="45"/>
        <v>1066</v>
      </c>
      <c r="L32" s="143">
        <f t="shared" si="45"/>
        <v>1248</v>
      </c>
      <c r="M32" s="143">
        <f t="shared" si="45"/>
        <v>1485</v>
      </c>
      <c r="N32" s="143">
        <f t="shared" ref="N32" si="46">N11</f>
        <v>1154</v>
      </c>
      <c r="X32" s="182"/>
    </row>
    <row r="33" spans="2:24">
      <c r="B33" s="814"/>
      <c r="C33" s="604"/>
      <c r="D33" s="159" t="s">
        <v>233</v>
      </c>
      <c r="E33" s="165" t="s">
        <v>455</v>
      </c>
      <c r="F33" s="194">
        <f>SUMIFS('EV Data'!$F$44:$F$151,'EV Data'!$C$44:$C$151,'EV Forecast VRZ'!F$9)/3</f>
        <v>3563</v>
      </c>
      <c r="G33" s="194">
        <f>SUMIFS('EV Data'!$F$44:$F$151,'EV Data'!$C$44:$C$151,'EV Forecast VRZ'!G$9)/3</f>
        <v>8216</v>
      </c>
      <c r="H33" s="194">
        <f>SUMIFS('EV Data'!$F$44:$F$151,'EV Data'!$C$44:$C$151,'EV Forecast VRZ'!H$9)/3</f>
        <v>6562</v>
      </c>
      <c r="I33" s="194">
        <f>SUMIFS('EV Data'!$F$44:$F$151,'EV Data'!$C$44:$C$151,'EV Forecast VRZ'!I$9)/3</f>
        <v>8161</v>
      </c>
      <c r="J33" s="194">
        <f>SUMIFS('EV Data'!$F$44:$F$151,'EV Data'!$C$44:$C$151,'EV Forecast VRZ'!J$9)/3</f>
        <v>14821</v>
      </c>
      <c r="K33" s="194">
        <f>SUMIFS('EV Data'!$F$44:$F$151,'EV Data'!$C$44:$C$151,'EV Forecast VRZ'!K$9)/3</f>
        <v>32783</v>
      </c>
      <c r="L33" s="194">
        <f>SUMIFS('EV Data'!$F$44:$F$151,'EV Data'!$C$44:$C$151,'EV Forecast VRZ'!L$9)/3</f>
        <v>38635</v>
      </c>
      <c r="M33" s="194">
        <f>SUMIFS('EV Data'!$F$44:$F$151,'EV Data'!$C$44:$C$151,'EV Forecast VRZ'!M$9)/3</f>
        <v>41659</v>
      </c>
      <c r="N33" s="194">
        <f>SUMIFS('EV Data'!$F$44:$F$151,'EV Data'!$C$44:$C$151,'EV Forecast VRZ'!N$9)/3</f>
        <v>30894</v>
      </c>
      <c r="O33" s="143"/>
      <c r="P33" s="143"/>
      <c r="Q33" s="143"/>
      <c r="R33" s="143"/>
      <c r="S33" s="143"/>
      <c r="T33" s="143"/>
      <c r="U33" s="143"/>
      <c r="V33" s="143"/>
      <c r="W33" s="143"/>
      <c r="X33" s="181"/>
    </row>
    <row r="34" spans="2:24">
      <c r="B34" s="814"/>
      <c r="C34" s="604"/>
      <c r="D34" s="159"/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2"/>
    </row>
    <row r="35" spans="2:24">
      <c r="B35" s="814"/>
      <c r="C35" s="667"/>
      <c r="D35" s="676" t="s">
        <v>456</v>
      </c>
      <c r="E35" s="668"/>
      <c r="F35" s="677">
        <f t="shared" ref="F35:N35" si="47">F33/F75</f>
        <v>4.4459972922216888E-3</v>
      </c>
      <c r="G35" s="677">
        <f t="shared" si="47"/>
        <v>1.0288351847608171E-2</v>
      </c>
      <c r="H35" s="677">
        <f t="shared" si="47"/>
        <v>8.2429108705428366E-3</v>
      </c>
      <c r="I35" s="677">
        <f t="shared" si="47"/>
        <v>1.3589051497193439E-2</v>
      </c>
      <c r="J35" s="677">
        <f t="shared" si="47"/>
        <v>2.3627859224446331E-2</v>
      </c>
      <c r="K35" s="677">
        <f t="shared" si="47"/>
        <v>5.5143911091524125E-2</v>
      </c>
      <c r="L35" s="677">
        <f t="shared" si="47"/>
        <v>5.7067862529006606E-2</v>
      </c>
      <c r="M35" s="677">
        <f t="shared" si="47"/>
        <v>5.9575581719610506E-2</v>
      </c>
      <c r="N35" s="677">
        <f t="shared" si="47"/>
        <v>4.3216853649665668E-2</v>
      </c>
      <c r="O35" s="678">
        <f>O74*($N$35/($N$35+$N$67))</f>
        <v>5.7994365298863891E-2</v>
      </c>
      <c r="P35" s="678">
        <f>P74*($N$35/($N$35+$N$67))</f>
        <v>7.2771876948062114E-2</v>
      </c>
      <c r="Q35" s="678">
        <f>Q74*($N$35/($N$35+$N$67))</f>
        <v>8.7549388597260344E-2</v>
      </c>
      <c r="R35" s="678">
        <f t="shared" ref="R35:X35" si="48">R74*($N$35/($N$35+$N$67))</f>
        <v>0.10232690024645855</v>
      </c>
      <c r="S35" s="678">
        <f t="shared" si="48"/>
        <v>0.11710441189565676</v>
      </c>
      <c r="T35" s="678">
        <f t="shared" si="48"/>
        <v>0.13188192354485498</v>
      </c>
      <c r="U35" s="678">
        <f t="shared" si="48"/>
        <v>0.15166421207658323</v>
      </c>
      <c r="V35" s="678">
        <f t="shared" si="48"/>
        <v>0.22419927002625348</v>
      </c>
      <c r="W35" s="678">
        <f t="shared" si="48"/>
        <v>0.28354613562143821</v>
      </c>
      <c r="X35" s="679">
        <f t="shared" si="48"/>
        <v>0.39564577063456491</v>
      </c>
    </row>
    <row r="36" spans="2:24">
      <c r="B36" s="814"/>
      <c r="C36" s="604"/>
      <c r="F36" s="267"/>
      <c r="G36" s="267"/>
      <c r="H36" s="267"/>
      <c r="I36" s="267"/>
      <c r="J36" s="267"/>
      <c r="K36" s="267"/>
      <c r="L36" s="26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6"/>
    </row>
    <row r="37" spans="2:24">
      <c r="B37" s="814"/>
      <c r="C37" s="604"/>
      <c r="D37" s="159" t="s">
        <v>233</v>
      </c>
      <c r="E37" s="165" t="s">
        <v>457</v>
      </c>
      <c r="F37" s="267">
        <f t="shared" ref="F37:M37" si="49">F15/F$12</f>
        <v>1</v>
      </c>
      <c r="G37" s="267">
        <f t="shared" si="49"/>
        <v>1</v>
      </c>
      <c r="H37" s="267">
        <f t="shared" si="49"/>
        <v>1</v>
      </c>
      <c r="I37" s="267">
        <f t="shared" si="49"/>
        <v>1</v>
      </c>
      <c r="J37" s="267">
        <f t="shared" si="49"/>
        <v>1</v>
      </c>
      <c r="K37" s="267">
        <f t="shared" si="49"/>
        <v>0.99301615015277167</v>
      </c>
      <c r="L37" s="267">
        <f t="shared" si="49"/>
        <v>0.98332862390505793</v>
      </c>
      <c r="M37" s="267">
        <f t="shared" si="49"/>
        <v>0.96835191082802552</v>
      </c>
      <c r="N37" s="267">
        <f>N15/N$12</f>
        <v>0.94367109096795077</v>
      </c>
      <c r="O37" s="157">
        <f t="shared" ref="O37:X37" si="50">N37</f>
        <v>0.94367109096795077</v>
      </c>
      <c r="P37" s="157">
        <f t="shared" si="50"/>
        <v>0.94367109096795077</v>
      </c>
      <c r="Q37" s="157">
        <f t="shared" si="50"/>
        <v>0.94367109096795077</v>
      </c>
      <c r="R37" s="157">
        <f t="shared" si="50"/>
        <v>0.94367109096795077</v>
      </c>
      <c r="S37" s="157">
        <f t="shared" si="50"/>
        <v>0.94367109096795077</v>
      </c>
      <c r="T37" s="157">
        <f t="shared" si="50"/>
        <v>0.94367109096795077</v>
      </c>
      <c r="U37" s="157">
        <f t="shared" si="50"/>
        <v>0.94367109096795077</v>
      </c>
      <c r="V37" s="157">
        <f t="shared" si="50"/>
        <v>0.94367109096795077</v>
      </c>
      <c r="W37" s="157">
        <f t="shared" si="50"/>
        <v>0.94367109096795077</v>
      </c>
      <c r="X37" s="156">
        <f t="shared" si="50"/>
        <v>0.94367109096795077</v>
      </c>
    </row>
    <row r="38" spans="2:24">
      <c r="B38" s="814"/>
      <c r="C38" s="604"/>
      <c r="D38" s="159" t="s">
        <v>233</v>
      </c>
      <c r="E38" s="165" t="s">
        <v>458</v>
      </c>
      <c r="F38" s="267">
        <f t="shared" ref="F38:M38" si="51">F20/F$12</f>
        <v>0</v>
      </c>
      <c r="G38" s="267">
        <f t="shared" si="51"/>
        <v>0</v>
      </c>
      <c r="H38" s="267">
        <f t="shared" si="51"/>
        <v>0</v>
      </c>
      <c r="I38" s="267">
        <f t="shared" si="51"/>
        <v>0</v>
      </c>
      <c r="J38" s="267">
        <f t="shared" si="51"/>
        <v>0</v>
      </c>
      <c r="K38" s="267">
        <f t="shared" si="51"/>
        <v>8.7298123090353555E-4</v>
      </c>
      <c r="L38" s="267">
        <f t="shared" si="51"/>
        <v>8.4769708957332577E-4</v>
      </c>
      <c r="M38" s="267">
        <f t="shared" si="51"/>
        <v>1.7914012738853504E-3</v>
      </c>
      <c r="N38" s="267">
        <f t="shared" ref="N38" si="52">N20/N$12</f>
        <v>1.2787309808999676E-2</v>
      </c>
      <c r="O38" s="157">
        <f t="shared" ref="O38:X38" si="53">N38</f>
        <v>1.2787309808999676E-2</v>
      </c>
      <c r="P38" s="157">
        <f t="shared" si="53"/>
        <v>1.2787309808999676E-2</v>
      </c>
      <c r="Q38" s="157">
        <f t="shared" si="53"/>
        <v>1.2787309808999676E-2</v>
      </c>
      <c r="R38" s="157">
        <f t="shared" si="53"/>
        <v>1.2787309808999676E-2</v>
      </c>
      <c r="S38" s="157">
        <f t="shared" si="53"/>
        <v>1.2787309808999676E-2</v>
      </c>
      <c r="T38" s="157">
        <f t="shared" si="53"/>
        <v>1.2787309808999676E-2</v>
      </c>
      <c r="U38" s="157">
        <f t="shared" si="53"/>
        <v>1.2787309808999676E-2</v>
      </c>
      <c r="V38" s="157">
        <f t="shared" si="53"/>
        <v>1.2787309808999676E-2</v>
      </c>
      <c r="W38" s="157">
        <f t="shared" si="53"/>
        <v>1.2787309808999676E-2</v>
      </c>
      <c r="X38" s="156">
        <f t="shared" si="53"/>
        <v>1.2787309808999676E-2</v>
      </c>
    </row>
    <row r="39" spans="2:24">
      <c r="B39" s="814"/>
      <c r="C39" s="604"/>
      <c r="D39" s="159" t="s">
        <v>233</v>
      </c>
      <c r="E39" s="165" t="s">
        <v>459</v>
      </c>
      <c r="F39" s="267">
        <f t="shared" ref="F39:M39" si="54">F25/F$12</f>
        <v>0</v>
      </c>
      <c r="G39" s="267">
        <f t="shared" si="54"/>
        <v>0</v>
      </c>
      <c r="H39" s="267">
        <f t="shared" si="54"/>
        <v>0</v>
      </c>
      <c r="I39" s="267">
        <f t="shared" si="54"/>
        <v>0</v>
      </c>
      <c r="J39" s="267">
        <f t="shared" si="54"/>
        <v>0</v>
      </c>
      <c r="K39" s="267">
        <f t="shared" si="54"/>
        <v>6.1108686163247493E-3</v>
      </c>
      <c r="L39" s="267">
        <f t="shared" si="54"/>
        <v>1.5823679005368747E-2</v>
      </c>
      <c r="M39" s="267">
        <f t="shared" si="54"/>
        <v>2.9856687898089172E-2</v>
      </c>
      <c r="N39" s="267">
        <f t="shared" ref="N39" si="55">N25/N$12</f>
        <v>4.3541599223049531E-2</v>
      </c>
      <c r="O39" s="157">
        <f t="shared" ref="O39:X39" si="56">N39</f>
        <v>4.3541599223049531E-2</v>
      </c>
      <c r="P39" s="157">
        <f t="shared" si="56"/>
        <v>4.3541599223049531E-2</v>
      </c>
      <c r="Q39" s="157">
        <f t="shared" si="56"/>
        <v>4.3541599223049531E-2</v>
      </c>
      <c r="R39" s="157">
        <f t="shared" si="56"/>
        <v>4.3541599223049531E-2</v>
      </c>
      <c r="S39" s="157">
        <f t="shared" si="56"/>
        <v>4.3541599223049531E-2</v>
      </c>
      <c r="T39" s="157">
        <f t="shared" si="56"/>
        <v>4.3541599223049531E-2</v>
      </c>
      <c r="U39" s="157">
        <f t="shared" si="56"/>
        <v>4.3541599223049531E-2</v>
      </c>
      <c r="V39" s="157">
        <f t="shared" si="56"/>
        <v>4.3541599223049531E-2</v>
      </c>
      <c r="W39" s="157">
        <f t="shared" si="56"/>
        <v>4.3541599223049531E-2</v>
      </c>
      <c r="X39" s="156">
        <f t="shared" si="56"/>
        <v>4.3541599223049531E-2</v>
      </c>
    </row>
    <row r="40" spans="2:24">
      <c r="B40" s="815"/>
      <c r="C40" s="604"/>
      <c r="D40" s="159"/>
      <c r="F40" s="189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273"/>
    </row>
    <row r="41" spans="2:24">
      <c r="B41" s="813" t="s">
        <v>393</v>
      </c>
      <c r="C41" s="667"/>
      <c r="D41" s="668"/>
      <c r="E41" s="669"/>
      <c r="F41" s="670">
        <v>2017</v>
      </c>
      <c r="G41" s="670">
        <v>2018</v>
      </c>
      <c r="H41" s="670">
        <v>2019</v>
      </c>
      <c r="I41" s="670">
        <v>2020</v>
      </c>
      <c r="J41" s="670">
        <v>2021</v>
      </c>
      <c r="K41" s="670">
        <v>2022</v>
      </c>
      <c r="L41" s="670">
        <v>2023</v>
      </c>
      <c r="M41" s="670">
        <v>2024</v>
      </c>
      <c r="N41" s="670">
        <v>2025</v>
      </c>
      <c r="O41" s="670">
        <v>2026</v>
      </c>
      <c r="P41" s="670">
        <v>2027</v>
      </c>
      <c r="Q41" s="670">
        <v>2028</v>
      </c>
      <c r="R41" s="670">
        <v>2029</v>
      </c>
      <c r="S41" s="670">
        <v>2030</v>
      </c>
      <c r="T41" s="670">
        <v>2031</v>
      </c>
      <c r="U41" s="670">
        <v>2032</v>
      </c>
      <c r="V41" s="670">
        <v>2033</v>
      </c>
      <c r="W41" s="670">
        <v>2034</v>
      </c>
      <c r="X41" s="670">
        <v>2035</v>
      </c>
    </row>
    <row r="42" spans="2:24">
      <c r="B42" s="814"/>
      <c r="C42" s="604"/>
      <c r="X42" s="182"/>
    </row>
    <row r="43" spans="2:24">
      <c r="B43" s="814"/>
      <c r="C43" s="816" t="s">
        <v>446</v>
      </c>
      <c r="D43" s="164" t="s">
        <v>1</v>
      </c>
      <c r="E43" s="165" t="s">
        <v>447</v>
      </c>
      <c r="F43" s="194">
        <f>SUMIFS('EV Data'!$EC$44:$EC$151,'EV Data'!$C$44:$C$151,'EV Forecast VRZ'!F$9)/3</f>
        <v>125</v>
      </c>
      <c r="G43" s="194">
        <f>SUMIFS('EV Data'!$EC$44:$EC$151,'EV Data'!$C$44:$C$151,'EV Forecast VRZ'!G$9)/3</f>
        <v>281</v>
      </c>
      <c r="H43" s="194">
        <f>SUMIFS('EV Data'!$EC$44:$EC$151,'EV Data'!$C$44:$C$151,'EV Forecast VRZ'!H$9)/3</f>
        <v>71</v>
      </c>
      <c r="I43" s="194">
        <f>SUMIFS('EV Data'!$EC$44:$EC$151,'EV Data'!$C$44:$C$151,'EV Forecast VRZ'!I$9)/3</f>
        <v>52</v>
      </c>
      <c r="J43" s="194">
        <f>SUMIFS('EV Data'!$EC$44:$EC$151,'EV Data'!$C$44:$C$151,'EV Forecast VRZ'!J$9)/3</f>
        <v>129</v>
      </c>
      <c r="K43" s="194">
        <f>SUMIFS('EV Data'!$EC$44:$EC$151,'EV Data'!$C$44:$C$151,'EV Forecast VRZ'!K$9)/3</f>
        <v>178</v>
      </c>
      <c r="L43" s="194">
        <f>SUMIFS('EV Data'!$EC$44:$EC$151,'EV Data'!$C$44:$C$151,'EV Forecast VRZ'!L$9)/3</f>
        <v>349</v>
      </c>
      <c r="M43" s="194">
        <f>SUMIFS('EV Data'!$EC$44:$EC$151,'EV Data'!$C$44:$C$151,'EV Forecast VRZ'!M$9)/3</f>
        <v>440</v>
      </c>
      <c r="N43" s="194">
        <f>SUMIFS('EV Data'!$EC$44:$EC$151,'EV Data'!$C$44:$C$151,'EV Forecast VRZ'!N$9)/3</f>
        <v>440</v>
      </c>
      <c r="O43" s="163">
        <f t="shared" ref="O43:X43" si="57">O46+O51+O56</f>
        <v>636.26579085764286</v>
      </c>
      <c r="P43" s="163">
        <f t="shared" si="57"/>
        <v>814.3601660599619</v>
      </c>
      <c r="Q43" s="163">
        <f t="shared" si="57"/>
        <v>999.32380995403059</v>
      </c>
      <c r="R43" s="163">
        <f t="shared" si="57"/>
        <v>1191.3602555374378</v>
      </c>
      <c r="S43" s="163">
        <f t="shared" si="57"/>
        <v>1390.6784294201998</v>
      </c>
      <c r="T43" s="163">
        <f t="shared" si="57"/>
        <v>1597.4927861560575</v>
      </c>
      <c r="U43" s="163">
        <f t="shared" si="57"/>
        <v>1873.859038161055</v>
      </c>
      <c r="V43" s="163">
        <f t="shared" si="57"/>
        <v>2825.4535410184953</v>
      </c>
      <c r="W43" s="163">
        <f t="shared" si="57"/>
        <v>3644.8350679138593</v>
      </c>
      <c r="X43" s="162">
        <f t="shared" si="57"/>
        <v>5187.5327013099568</v>
      </c>
    </row>
    <row r="44" spans="2:24">
      <c r="B44" s="814"/>
      <c r="C44" s="816"/>
      <c r="D44" s="164" t="s">
        <v>1</v>
      </c>
      <c r="E44" s="165" t="s">
        <v>436</v>
      </c>
      <c r="F44" s="194">
        <f>F43</f>
        <v>125</v>
      </c>
      <c r="G44" s="194">
        <f t="shared" ref="G44:S44" si="58">F44+G43</f>
        <v>406</v>
      </c>
      <c r="H44" s="194">
        <f t="shared" si="58"/>
        <v>477</v>
      </c>
      <c r="I44" s="194">
        <f t="shared" si="58"/>
        <v>529</v>
      </c>
      <c r="J44" s="194">
        <f t="shared" si="58"/>
        <v>658</v>
      </c>
      <c r="K44" s="194">
        <f t="shared" si="58"/>
        <v>836</v>
      </c>
      <c r="L44" s="194">
        <f t="shared" si="58"/>
        <v>1185</v>
      </c>
      <c r="M44" s="194">
        <f t="shared" si="58"/>
        <v>1625</v>
      </c>
      <c r="N44" s="194">
        <f t="shared" si="58"/>
        <v>2065</v>
      </c>
      <c r="O44" s="163">
        <f t="shared" si="58"/>
        <v>2701.265790857643</v>
      </c>
      <c r="P44" s="163">
        <f t="shared" si="58"/>
        <v>3515.625956917605</v>
      </c>
      <c r="Q44" s="163">
        <f t="shared" si="58"/>
        <v>4514.9497668716358</v>
      </c>
      <c r="R44" s="163">
        <f t="shared" si="58"/>
        <v>5706.310022409074</v>
      </c>
      <c r="S44" s="163">
        <f t="shared" si="58"/>
        <v>7096.9884518292738</v>
      </c>
      <c r="T44" s="163">
        <f>S44+T43-F43</f>
        <v>8569.481237985332</v>
      </c>
      <c r="U44" s="163">
        <f>T44+U43-G43</f>
        <v>10162.340276146388</v>
      </c>
      <c r="V44" s="163">
        <f>U44+V43-H43</f>
        <v>12916.793817164882</v>
      </c>
      <c r="W44" s="163">
        <f>V44+W43-I43</f>
        <v>16509.628885078742</v>
      </c>
      <c r="X44" s="162">
        <f>W44+X43-J43</f>
        <v>21568.161586388698</v>
      </c>
    </row>
    <row r="45" spans="2:24">
      <c r="B45" s="814"/>
      <c r="C45" s="604"/>
      <c r="D45" s="164"/>
      <c r="G45" s="161"/>
      <c r="X45" s="182"/>
    </row>
    <row r="46" spans="2:24">
      <c r="B46" s="814"/>
      <c r="C46" s="817" t="s">
        <v>448</v>
      </c>
      <c r="D46" s="671" t="s">
        <v>1</v>
      </c>
      <c r="E46" s="668" t="s">
        <v>447</v>
      </c>
      <c r="F46" s="672">
        <f>SUMIFS('EV Data'!$ED$44:$ED$151,'EV Data'!$C$44:$C$151,'EV Forecast VRZ'!F$9)/3+SUMIFS('EV Data'!$EF$44:$EF$151,'EV Data'!$C$44:$C$151,'EV Forecast VRZ'!F$9)/3</f>
        <v>114</v>
      </c>
      <c r="G46" s="672">
        <f>SUMIFS('EV Data'!$ED$44:$ED$151,'EV Data'!$C$44:$C$151,'EV Forecast VRZ'!G$9)/3+SUMIFS('EV Data'!$EF$44:$EF$151,'EV Data'!$C$44:$C$151,'EV Forecast VRZ'!G$9)/3</f>
        <v>253</v>
      </c>
      <c r="H46" s="672">
        <f>SUMIFS('EV Data'!$ED$44:$ED$151,'EV Data'!$C$44:$C$151,'EV Forecast VRZ'!H$9)/3+SUMIFS('EV Data'!$EF$44:$EF$151,'EV Data'!$C$44:$C$151,'EV Forecast VRZ'!H$9)/3</f>
        <v>70</v>
      </c>
      <c r="I46" s="672">
        <f>SUMIFS('EV Data'!$ED$44:$ED$151,'EV Data'!$C$44:$C$151,'EV Forecast VRZ'!I$9)/3+SUMIFS('EV Data'!$EF$44:$EF$151,'EV Data'!$C$44:$C$151,'EV Forecast VRZ'!I$9)/3</f>
        <v>50</v>
      </c>
      <c r="J46" s="672">
        <f>SUMIFS('EV Data'!$ED$44:$ED$151,'EV Data'!$C$44:$C$151,'EV Forecast VRZ'!J$9)/3+SUMIFS('EV Data'!$EF$44:$EF$151,'EV Data'!$C$44:$C$151,'EV Forecast VRZ'!J$9)/3</f>
        <v>121</v>
      </c>
      <c r="K46" s="672">
        <f>SUMIFS('EV Data'!$ED$44:$ED$151,'EV Data'!$C$44:$C$151,'EV Forecast VRZ'!K$9)/3+SUMIFS('EV Data'!$EF$44:$EF$151,'EV Data'!$C$44:$C$151,'EV Forecast VRZ'!K$9)/3</f>
        <v>167</v>
      </c>
      <c r="L46" s="672">
        <f>SUMIFS('EV Data'!$ED$44:$ED$151,'EV Data'!$C$44:$C$151,'EV Forecast VRZ'!L$9)/3+SUMIFS('EV Data'!$EF$44:$EF$151,'EV Data'!$C$44:$C$151,'EV Forecast VRZ'!L$9)/3</f>
        <v>328</v>
      </c>
      <c r="M46" s="672">
        <f>SUMIFS('EV Data'!$ED$44:$ED$151,'EV Data'!$C$44:$C$151,'EV Forecast VRZ'!M$9)/3+SUMIFS('EV Data'!$EF$44:$EF$151,'EV Data'!$C$44:$C$151,'EV Forecast VRZ'!M$9)/3</f>
        <v>433</v>
      </c>
      <c r="N46" s="672">
        <f>SUMIFS('EV Data'!$ED$44:$ED$151,'EV Data'!$C$44:$C$151,'EV Forecast VRZ'!N$9)/3+SUMIFS('EV Data'!$EF$44:$EF$151,'EV Data'!$C$44:$C$151,'EV Forecast VRZ'!N$9)/3</f>
        <v>433</v>
      </c>
      <c r="O46" s="673">
        <f t="shared" ref="O46:X46" si="59">O67*O$75*O69*O62</f>
        <v>606.68636426087107</v>
      </c>
      <c r="P46" s="673">
        <f t="shared" si="59"/>
        <v>776.50129151189583</v>
      </c>
      <c r="Q46" s="673">
        <f t="shared" si="59"/>
        <v>952.86614130725729</v>
      </c>
      <c r="R46" s="673">
        <f t="shared" si="59"/>
        <v>1135.9749845778281</v>
      </c>
      <c r="S46" s="673">
        <f t="shared" si="59"/>
        <v>1326.0270351226991</v>
      </c>
      <c r="T46" s="673">
        <f t="shared" si="59"/>
        <v>1523.2267776955337</v>
      </c>
      <c r="U46" s="673">
        <f t="shared" si="59"/>
        <v>1786.7450102368607</v>
      </c>
      <c r="V46" s="673">
        <f t="shared" si="59"/>
        <v>2694.1007371745363</v>
      </c>
      <c r="W46" s="673">
        <f t="shared" si="59"/>
        <v>3475.389950955152</v>
      </c>
      <c r="X46" s="673">
        <f t="shared" si="59"/>
        <v>4946.3689534524483</v>
      </c>
    </row>
    <row r="47" spans="2:24">
      <c r="B47" s="814"/>
      <c r="C47" s="818"/>
      <c r="D47" s="164" t="s">
        <v>1</v>
      </c>
      <c r="E47" s="165" t="s">
        <v>436</v>
      </c>
      <c r="F47" s="194">
        <f>F46</f>
        <v>114</v>
      </c>
      <c r="G47" s="194">
        <f t="shared" ref="G47:O47" si="60">F47+G46</f>
        <v>367</v>
      </c>
      <c r="H47" s="194">
        <f t="shared" si="60"/>
        <v>437</v>
      </c>
      <c r="I47" s="194">
        <f t="shared" si="60"/>
        <v>487</v>
      </c>
      <c r="J47" s="194">
        <f t="shared" si="60"/>
        <v>608</v>
      </c>
      <c r="K47" s="194">
        <f t="shared" si="60"/>
        <v>775</v>
      </c>
      <c r="L47" s="194">
        <f t="shared" si="60"/>
        <v>1103</v>
      </c>
      <c r="M47" s="193">
        <f t="shared" si="60"/>
        <v>1536</v>
      </c>
      <c r="N47" s="193">
        <f t="shared" si="60"/>
        <v>1969</v>
      </c>
      <c r="O47" s="193">
        <f t="shared" si="60"/>
        <v>2575.686364260871</v>
      </c>
      <c r="P47" s="193">
        <f>O47+P46-F46</f>
        <v>3238.1876557727669</v>
      </c>
      <c r="Q47" s="193">
        <f t="shared" ref="Q47" si="61">P47+Q46-G46</f>
        <v>3938.0537970800242</v>
      </c>
      <c r="R47" s="193">
        <f t="shared" ref="R47" si="62">Q47+R46-H46</f>
        <v>5004.0287816578521</v>
      </c>
      <c r="S47" s="193">
        <f t="shared" ref="S47" si="63">R47+S46-I46</f>
        <v>6280.0558167805511</v>
      </c>
      <c r="T47" s="193">
        <f t="shared" ref="T47" si="64">S47+T46-J46</f>
        <v>7682.2825944760843</v>
      </c>
      <c r="U47" s="193">
        <f t="shared" ref="U47" si="65">T47+U46-K46</f>
        <v>9302.0276047129446</v>
      </c>
      <c r="V47" s="193">
        <f t="shared" ref="V47" si="66">U47+V46-L46</f>
        <v>11668.128341887481</v>
      </c>
      <c r="W47" s="193">
        <f t="shared" ref="W47" si="67">V47+W46-M46</f>
        <v>14710.518292842633</v>
      </c>
      <c r="X47" s="192">
        <f t="shared" ref="X47" si="68">W47+X46-N46</f>
        <v>19223.887246295082</v>
      </c>
    </row>
    <row r="48" spans="2:24">
      <c r="B48" s="814"/>
      <c r="C48" s="818"/>
      <c r="D48" s="164" t="s">
        <v>1</v>
      </c>
      <c r="E48" s="165" t="s">
        <v>449</v>
      </c>
      <c r="F48" s="194">
        <f>E3*0.6</f>
        <v>2014.8</v>
      </c>
      <c r="G48" s="194">
        <f t="shared" ref="G48:X48" si="69">F48</f>
        <v>2014.8</v>
      </c>
      <c r="H48" s="194">
        <f t="shared" si="69"/>
        <v>2014.8</v>
      </c>
      <c r="I48" s="194">
        <f t="shared" si="69"/>
        <v>2014.8</v>
      </c>
      <c r="J48" s="194">
        <f t="shared" si="69"/>
        <v>2014.8</v>
      </c>
      <c r="K48" s="194">
        <f t="shared" si="69"/>
        <v>2014.8</v>
      </c>
      <c r="L48" s="194">
        <f t="shared" si="69"/>
        <v>2014.8</v>
      </c>
      <c r="M48" s="194">
        <f t="shared" si="69"/>
        <v>2014.8</v>
      </c>
      <c r="N48" s="194">
        <f t="shared" si="69"/>
        <v>2014.8</v>
      </c>
      <c r="O48" s="194">
        <f t="shared" si="69"/>
        <v>2014.8</v>
      </c>
      <c r="P48" s="194">
        <f t="shared" si="69"/>
        <v>2014.8</v>
      </c>
      <c r="Q48" s="194">
        <f t="shared" si="69"/>
        <v>2014.8</v>
      </c>
      <c r="R48" s="194">
        <f t="shared" si="69"/>
        <v>2014.8</v>
      </c>
      <c r="S48" s="194">
        <f t="shared" si="69"/>
        <v>2014.8</v>
      </c>
      <c r="T48" s="194">
        <f t="shared" si="69"/>
        <v>2014.8</v>
      </c>
      <c r="U48" s="194">
        <f t="shared" si="69"/>
        <v>2014.8</v>
      </c>
      <c r="V48" s="194">
        <f t="shared" si="69"/>
        <v>2014.8</v>
      </c>
      <c r="W48" s="194">
        <f t="shared" si="69"/>
        <v>2014.8</v>
      </c>
      <c r="X48" s="192">
        <f t="shared" si="69"/>
        <v>2014.8</v>
      </c>
    </row>
    <row r="49" spans="2:24">
      <c r="B49" s="814"/>
      <c r="C49" s="818"/>
      <c r="D49" s="164" t="s">
        <v>1</v>
      </c>
      <c r="E49" s="165" t="s">
        <v>450</v>
      </c>
      <c r="F49" s="194">
        <f t="shared" ref="F49:X49" si="70">F46*F48</f>
        <v>229687.19999999998</v>
      </c>
      <c r="G49" s="194">
        <f t="shared" si="70"/>
        <v>509744.39999999997</v>
      </c>
      <c r="H49" s="194">
        <f t="shared" si="70"/>
        <v>141036</v>
      </c>
      <c r="I49" s="194">
        <f t="shared" si="70"/>
        <v>100740</v>
      </c>
      <c r="J49" s="194">
        <f t="shared" si="70"/>
        <v>243790.8</v>
      </c>
      <c r="K49" s="194">
        <f t="shared" si="70"/>
        <v>336471.6</v>
      </c>
      <c r="L49" s="194">
        <f t="shared" si="70"/>
        <v>660854.4</v>
      </c>
      <c r="M49" s="194">
        <f t="shared" si="70"/>
        <v>872408.4</v>
      </c>
      <c r="N49" s="194">
        <f t="shared" ref="N49" si="71">N46*N48</f>
        <v>872408.4</v>
      </c>
      <c r="O49" s="194">
        <f t="shared" si="70"/>
        <v>1222351.6867128031</v>
      </c>
      <c r="P49" s="194">
        <f t="shared" si="70"/>
        <v>1564494.8021381677</v>
      </c>
      <c r="Q49" s="194">
        <f t="shared" si="70"/>
        <v>1919834.7015058619</v>
      </c>
      <c r="R49" s="194">
        <f t="shared" si="70"/>
        <v>2288762.3989274078</v>
      </c>
      <c r="S49" s="194">
        <f t="shared" si="70"/>
        <v>2671679.270365214</v>
      </c>
      <c r="T49" s="194">
        <f t="shared" si="70"/>
        <v>3068997.3117009611</v>
      </c>
      <c r="U49" s="194">
        <f t="shared" si="70"/>
        <v>3599933.846625227</v>
      </c>
      <c r="V49" s="194">
        <f t="shared" si="70"/>
        <v>5428074.165259256</v>
      </c>
      <c r="W49" s="194">
        <f t="shared" si="70"/>
        <v>7002215.6731844405</v>
      </c>
      <c r="X49" s="192">
        <f t="shared" si="70"/>
        <v>9965944.1674159933</v>
      </c>
    </row>
    <row r="50" spans="2:24">
      <c r="B50" s="814"/>
      <c r="C50" s="819"/>
      <c r="D50" s="191" t="s">
        <v>1</v>
      </c>
      <c r="E50" s="190" t="s">
        <v>451</v>
      </c>
      <c r="F50" s="189">
        <f t="shared" ref="F50:X50" si="72">F47*F48-F46*F48/2</f>
        <v>114843.59999999999</v>
      </c>
      <c r="G50" s="189">
        <f t="shared" si="72"/>
        <v>484559.4</v>
      </c>
      <c r="H50" s="189">
        <f t="shared" si="72"/>
        <v>809949.6</v>
      </c>
      <c r="I50" s="189">
        <f t="shared" si="72"/>
        <v>930837.6</v>
      </c>
      <c r="J50" s="189">
        <f t="shared" si="72"/>
        <v>1103103</v>
      </c>
      <c r="K50" s="189">
        <f t="shared" si="72"/>
        <v>1393234.2</v>
      </c>
      <c r="L50" s="189">
        <f t="shared" si="72"/>
        <v>1891897.2</v>
      </c>
      <c r="M50" s="189">
        <f t="shared" si="72"/>
        <v>2658528.5999999996</v>
      </c>
      <c r="N50" s="189">
        <f t="shared" ref="N50" si="73">N47*N48-N46*N48/2</f>
        <v>3530936.9999999995</v>
      </c>
      <c r="O50" s="189">
        <f t="shared" si="72"/>
        <v>4578317.0433564009</v>
      </c>
      <c r="P50" s="189">
        <f t="shared" si="72"/>
        <v>5742053.0877818866</v>
      </c>
      <c r="Q50" s="189">
        <f t="shared" si="72"/>
        <v>6974473.4396039015</v>
      </c>
      <c r="R50" s="189">
        <f t="shared" si="72"/>
        <v>8937735.9898205362</v>
      </c>
      <c r="S50" s="189">
        <f t="shared" si="72"/>
        <v>11317216.824466847</v>
      </c>
      <c r="T50" s="189">
        <f t="shared" si="72"/>
        <v>13943764.315499933</v>
      </c>
      <c r="U50" s="189">
        <f t="shared" si="72"/>
        <v>16941758.294663027</v>
      </c>
      <c r="V50" s="189">
        <f t="shared" si="72"/>
        <v>20794907.900605269</v>
      </c>
      <c r="W50" s="189">
        <f t="shared" si="72"/>
        <v>26137644.419827115</v>
      </c>
      <c r="X50" s="273">
        <f t="shared" si="72"/>
        <v>33749315.940127335</v>
      </c>
    </row>
    <row r="51" spans="2:24">
      <c r="B51" s="814"/>
      <c r="C51" s="818" t="s">
        <v>452</v>
      </c>
      <c r="D51" s="671" t="s">
        <v>1</v>
      </c>
      <c r="E51" s="165" t="s">
        <v>447</v>
      </c>
      <c r="F51" s="143">
        <f>SUMIFS('EV Data'!$EG$44:$EG$151,'EV Data'!$C$44:$C$151,'EV Forecast VRZ'!F$9)/3</f>
        <v>11</v>
      </c>
      <c r="G51" s="143">
        <f>SUMIFS('EV Data'!$EG$44:$EG$151,'EV Data'!$C$44:$C$151,'EV Forecast VRZ'!G$9)/3</f>
        <v>28</v>
      </c>
      <c r="H51" s="143">
        <f>SUMIFS('EV Data'!$EG$44:$EG$151,'EV Data'!$C$44:$C$151,'EV Forecast VRZ'!H$9)/3</f>
        <v>1</v>
      </c>
      <c r="I51" s="143">
        <f>SUMIFS('EV Data'!$EG$44:$EG$151,'EV Data'!$C$44:$C$151,'EV Forecast VRZ'!I$9)/3</f>
        <v>2</v>
      </c>
      <c r="J51" s="143">
        <f>SUMIFS('EV Data'!$EG$44:$EG$151,'EV Data'!$C$44:$C$151,'EV Forecast VRZ'!J$9)/3</f>
        <v>8</v>
      </c>
      <c r="K51" s="143">
        <f>SUMIFS('EV Data'!$EG$44:$EG$151,'EV Data'!$C$44:$C$151,'EV Forecast VRZ'!K$9)/3</f>
        <v>11</v>
      </c>
      <c r="L51" s="143">
        <f>SUMIFS('EV Data'!$EG$44:$EG$151,'EV Data'!$C$44:$C$151,'EV Forecast VRZ'!L$9)/3</f>
        <v>21</v>
      </c>
      <c r="M51" s="143">
        <f>SUMIFS('EV Data'!$EG$44:$EG$151,'EV Data'!$C$44:$C$151,'EV Forecast VRZ'!M$9)/3</f>
        <v>7</v>
      </c>
      <c r="N51" s="143">
        <f>SUMIFS('EV Data'!$EG$44:$EG$151,'EV Data'!$C$44:$C$151,'EV Forecast VRZ'!N$9)/3</f>
        <v>7</v>
      </c>
      <c r="O51" s="673">
        <f t="shared" ref="O51:X51" si="74">O67*O$75*O70*O62</f>
        <v>29.579426596771775</v>
      </c>
      <c r="P51" s="673">
        <f t="shared" si="74"/>
        <v>37.858874548066019</v>
      </c>
      <c r="Q51" s="673">
        <f>Q67*Q$75*Q70*Q62</f>
        <v>46.457668646773328</v>
      </c>
      <c r="R51" s="673">
        <f t="shared" si="74"/>
        <v>55.385270959609691</v>
      </c>
      <c r="S51" s="673">
        <f t="shared" si="74"/>
        <v>64.651394297500815</v>
      </c>
      <c r="T51" s="673">
        <f t="shared" si="74"/>
        <v>74.266008460523736</v>
      </c>
      <c r="U51" s="673">
        <f t="shared" si="74"/>
        <v>87.114027924194332</v>
      </c>
      <c r="V51" s="673">
        <f t="shared" si="74"/>
        <v>131.35280384395912</v>
      </c>
      <c r="W51" s="673">
        <f t="shared" si="74"/>
        <v>169.44511695870725</v>
      </c>
      <c r="X51" s="674">
        <f t="shared" si="74"/>
        <v>241.16374785750889</v>
      </c>
    </row>
    <row r="52" spans="2:24">
      <c r="B52" s="814"/>
      <c r="C52" s="818"/>
      <c r="D52" s="164" t="s">
        <v>1</v>
      </c>
      <c r="E52" s="165" t="s">
        <v>436</v>
      </c>
      <c r="F52" s="160">
        <f>F51</f>
        <v>11</v>
      </c>
      <c r="G52" s="160">
        <f t="shared" ref="G52:O52" si="75">F52+G51</f>
        <v>39</v>
      </c>
      <c r="H52" s="160">
        <f t="shared" si="75"/>
        <v>40</v>
      </c>
      <c r="I52" s="160">
        <f t="shared" si="75"/>
        <v>42</v>
      </c>
      <c r="J52" s="160">
        <f t="shared" si="75"/>
        <v>50</v>
      </c>
      <c r="K52" s="160">
        <f t="shared" si="75"/>
        <v>61</v>
      </c>
      <c r="L52" s="160">
        <f t="shared" si="75"/>
        <v>82</v>
      </c>
      <c r="M52" s="160">
        <f t="shared" si="75"/>
        <v>89</v>
      </c>
      <c r="N52" s="160">
        <f t="shared" si="75"/>
        <v>96</v>
      </c>
      <c r="O52" s="160">
        <f t="shared" si="75"/>
        <v>125.57942659677178</v>
      </c>
      <c r="P52" s="193">
        <f>O52+P51-F51</f>
        <v>152.43830114483779</v>
      </c>
      <c r="Q52" s="193">
        <f>P52+Q51-G51</f>
        <v>170.89596979161112</v>
      </c>
      <c r="R52" s="193">
        <f>Q52+R51-H51</f>
        <v>225.28124075122082</v>
      </c>
      <c r="S52" s="193">
        <f t="shared" ref="S52" si="76">R52+S51-I51</f>
        <v>287.93263504872164</v>
      </c>
      <c r="T52" s="193">
        <f t="shared" ref="T52" si="77">S52+T51-J51</f>
        <v>354.19864350924536</v>
      </c>
      <c r="U52" s="193">
        <f t="shared" ref="U52" si="78">T52+U51-K51</f>
        <v>430.31267143343968</v>
      </c>
      <c r="V52" s="193">
        <f t="shared" ref="V52" si="79">U52+V51-L51</f>
        <v>540.66547527739885</v>
      </c>
      <c r="W52" s="193">
        <f t="shared" ref="W52" si="80">V52+W51-M51</f>
        <v>703.11059223610607</v>
      </c>
      <c r="X52" s="192">
        <f t="shared" ref="X52" si="81">W52+X51-N51</f>
        <v>937.27434009361491</v>
      </c>
    </row>
    <row r="53" spans="2:24">
      <c r="B53" s="814"/>
      <c r="C53" s="818"/>
      <c r="D53" s="164" t="s">
        <v>1</v>
      </c>
      <c r="E53" s="165" t="s">
        <v>449</v>
      </c>
      <c r="F53" s="194">
        <f>E5*0.6</f>
        <v>3000</v>
      </c>
      <c r="G53" s="194">
        <f t="shared" ref="G53:X53" si="82">F53</f>
        <v>3000</v>
      </c>
      <c r="H53" s="194">
        <f t="shared" si="82"/>
        <v>3000</v>
      </c>
      <c r="I53" s="194">
        <f t="shared" si="82"/>
        <v>3000</v>
      </c>
      <c r="J53" s="194">
        <f t="shared" si="82"/>
        <v>3000</v>
      </c>
      <c r="K53" s="194">
        <f t="shared" si="82"/>
        <v>3000</v>
      </c>
      <c r="L53" s="194">
        <f t="shared" si="82"/>
        <v>3000</v>
      </c>
      <c r="M53" s="194">
        <f t="shared" si="82"/>
        <v>3000</v>
      </c>
      <c r="N53" s="194">
        <f t="shared" si="82"/>
        <v>3000</v>
      </c>
      <c r="O53" s="194">
        <f t="shared" si="82"/>
        <v>3000</v>
      </c>
      <c r="P53" s="194">
        <f t="shared" si="82"/>
        <v>3000</v>
      </c>
      <c r="Q53" s="194">
        <f t="shared" si="82"/>
        <v>3000</v>
      </c>
      <c r="R53" s="194">
        <f t="shared" ref="R53" si="83">Q53</f>
        <v>3000</v>
      </c>
      <c r="S53" s="194">
        <f t="shared" ref="S53" si="84">R53</f>
        <v>3000</v>
      </c>
      <c r="T53" s="194">
        <f t="shared" si="82"/>
        <v>3000</v>
      </c>
      <c r="U53" s="194">
        <f t="shared" si="82"/>
        <v>3000</v>
      </c>
      <c r="V53" s="194">
        <f t="shared" si="82"/>
        <v>3000</v>
      </c>
      <c r="W53" s="194">
        <f t="shared" si="82"/>
        <v>3000</v>
      </c>
      <c r="X53" s="192">
        <f t="shared" si="82"/>
        <v>3000</v>
      </c>
    </row>
    <row r="54" spans="2:24">
      <c r="B54" s="814"/>
      <c r="C54" s="818"/>
      <c r="D54" s="164" t="s">
        <v>1</v>
      </c>
      <c r="E54" s="165" t="s">
        <v>450</v>
      </c>
      <c r="F54" s="194">
        <f t="shared" ref="F54:X54" si="85">F51*F53</f>
        <v>33000</v>
      </c>
      <c r="G54" s="194">
        <f t="shared" si="85"/>
        <v>84000</v>
      </c>
      <c r="H54" s="194">
        <f t="shared" si="85"/>
        <v>3000</v>
      </c>
      <c r="I54" s="194">
        <f t="shared" si="85"/>
        <v>6000</v>
      </c>
      <c r="J54" s="194">
        <f t="shared" si="85"/>
        <v>24000</v>
      </c>
      <c r="K54" s="194">
        <f t="shared" si="85"/>
        <v>33000</v>
      </c>
      <c r="L54" s="194">
        <f t="shared" si="85"/>
        <v>63000</v>
      </c>
      <c r="M54" s="194">
        <f t="shared" si="85"/>
        <v>21000</v>
      </c>
      <c r="N54" s="194">
        <f t="shared" ref="N54" si="86">N51*N53</f>
        <v>21000</v>
      </c>
      <c r="O54" s="194">
        <f t="shared" si="85"/>
        <v>88738.279790315326</v>
      </c>
      <c r="P54" s="194">
        <f>P51*P53</f>
        <v>113576.62364419806</v>
      </c>
      <c r="Q54" s="194">
        <f>Q51*Q53</f>
        <v>139373.00594031997</v>
      </c>
      <c r="R54" s="194">
        <f t="shared" ref="R54:S54" si="87">R51*R53</f>
        <v>166155.81287882908</v>
      </c>
      <c r="S54" s="194">
        <f t="shared" si="87"/>
        <v>193954.18289250243</v>
      </c>
      <c r="T54" s="194">
        <f t="shared" si="85"/>
        <v>222798.02538157121</v>
      </c>
      <c r="U54" s="194">
        <f t="shared" si="85"/>
        <v>261342.08377258299</v>
      </c>
      <c r="V54" s="194">
        <f t="shared" si="85"/>
        <v>394058.41153187735</v>
      </c>
      <c r="W54" s="194">
        <f t="shared" si="85"/>
        <v>508335.35087612172</v>
      </c>
      <c r="X54" s="192">
        <f t="shared" si="85"/>
        <v>723491.24357252673</v>
      </c>
    </row>
    <row r="55" spans="2:24">
      <c r="B55" s="814"/>
      <c r="C55" s="818"/>
      <c r="D55" s="191" t="s">
        <v>1</v>
      </c>
      <c r="E55" s="165" t="s">
        <v>451</v>
      </c>
      <c r="F55" s="189">
        <f t="shared" ref="F55:X55" si="88">F52*F53-F51*F53/2</f>
        <v>16500</v>
      </c>
      <c r="G55" s="189">
        <f t="shared" si="88"/>
        <v>75000</v>
      </c>
      <c r="H55" s="189">
        <f t="shared" si="88"/>
        <v>118500</v>
      </c>
      <c r="I55" s="189">
        <f t="shared" si="88"/>
        <v>123000</v>
      </c>
      <c r="J55" s="189">
        <f t="shared" si="88"/>
        <v>138000</v>
      </c>
      <c r="K55" s="189">
        <f t="shared" si="88"/>
        <v>166500</v>
      </c>
      <c r="L55" s="189">
        <f t="shared" si="88"/>
        <v>214500</v>
      </c>
      <c r="M55" s="189">
        <f t="shared" si="88"/>
        <v>256500</v>
      </c>
      <c r="N55" s="189">
        <f t="shared" ref="N55" si="89">N52*N53-N51*N53/2</f>
        <v>277500</v>
      </c>
      <c r="O55" s="189">
        <f>O52*O53-O51*O53/2</f>
        <v>332369.13989515771</v>
      </c>
      <c r="P55" s="189">
        <f>P52*P53-P51*P53/2</f>
        <v>400526.59161241434</v>
      </c>
      <c r="Q55" s="189">
        <f>Q52*Q53-Q51*Q53/2</f>
        <v>443001.40640467335</v>
      </c>
      <c r="R55" s="189">
        <f t="shared" ref="R55:S55" si="90">R52*R53-R51*R53/2</f>
        <v>592765.81581424782</v>
      </c>
      <c r="S55" s="189">
        <f t="shared" si="90"/>
        <v>766820.81369991368</v>
      </c>
      <c r="T55" s="189">
        <f t="shared" si="88"/>
        <v>951196.91783695039</v>
      </c>
      <c r="U55" s="189">
        <f t="shared" si="88"/>
        <v>1160266.9724140277</v>
      </c>
      <c r="V55" s="189">
        <f t="shared" si="88"/>
        <v>1424967.220066258</v>
      </c>
      <c r="W55" s="189">
        <f t="shared" si="88"/>
        <v>1855164.1012702575</v>
      </c>
      <c r="X55" s="273">
        <f t="shared" si="88"/>
        <v>2450077.3984945812</v>
      </c>
    </row>
    <row r="56" spans="2:24">
      <c r="B56" s="814"/>
      <c r="C56" s="817" t="s">
        <v>453</v>
      </c>
      <c r="D56" s="671" t="s">
        <v>1</v>
      </c>
      <c r="E56" s="668" t="s">
        <v>447</v>
      </c>
      <c r="F56" s="680">
        <f>SUMIFS('EV Data'!$EE$44:$EE$151,'EV Data'!$C$44:$C$151,'EV Forecast VRZ'!F$9)/3</f>
        <v>0</v>
      </c>
      <c r="G56" s="680">
        <f>SUMIFS('EV Data'!$EE$44:$EE$151,'EV Data'!$C$44:$C$151,'EV Forecast VRZ'!G$9)/3</f>
        <v>0</v>
      </c>
      <c r="H56" s="680">
        <f>SUMIFS('EV Data'!$EE$44:$EE$151,'EV Data'!$C$44:$C$151,'EV Forecast VRZ'!H$9)/3</f>
        <v>0</v>
      </c>
      <c r="I56" s="680">
        <f>SUMIFS('EV Data'!$EE$44:$EE$151,'EV Data'!$C$44:$C$151,'EV Forecast VRZ'!I$9)/3</f>
        <v>0</v>
      </c>
      <c r="J56" s="680">
        <f>SUMIFS('EV Data'!$EE$44:$EE$151,'EV Data'!$C$44:$C$151,'EV Forecast VRZ'!J$9)/3</f>
        <v>0</v>
      </c>
      <c r="K56" s="680">
        <f>SUMIFS('EV Data'!$EE$44:$EE$151,'EV Data'!$C$44:$C$151,'EV Forecast VRZ'!K$9)/3</f>
        <v>0</v>
      </c>
      <c r="L56" s="680">
        <f>SUMIFS('EV Data'!$EE$44:$EE$151,'EV Data'!$C$44:$C$151,'EV Forecast VRZ'!L$9)/3</f>
        <v>0</v>
      </c>
      <c r="M56" s="680">
        <f>SUMIFS('EV Data'!$EE$44:$EE$151,'EV Data'!$C$44:$C$151,'EV Forecast VRZ'!M$9)/3</f>
        <v>0</v>
      </c>
      <c r="N56" s="680">
        <f>SUMIFS('EV Data'!$EE$44:$EE$151,'EV Data'!$C$44:$C$151,'EV Forecast VRZ'!N$9)/3</f>
        <v>0</v>
      </c>
      <c r="O56" s="673">
        <f t="shared" ref="O56:X56" si="91">O67*O$75*O71*O62</f>
        <v>0</v>
      </c>
      <c r="P56" s="673">
        <f t="shared" si="91"/>
        <v>0</v>
      </c>
      <c r="Q56" s="673">
        <f t="shared" si="91"/>
        <v>0</v>
      </c>
      <c r="R56" s="673">
        <f t="shared" si="91"/>
        <v>0</v>
      </c>
      <c r="S56" s="673">
        <f t="shared" si="91"/>
        <v>0</v>
      </c>
      <c r="T56" s="673">
        <f t="shared" si="91"/>
        <v>0</v>
      </c>
      <c r="U56" s="673">
        <f t="shared" si="91"/>
        <v>0</v>
      </c>
      <c r="V56" s="673">
        <f t="shared" si="91"/>
        <v>0</v>
      </c>
      <c r="W56" s="673">
        <f t="shared" si="91"/>
        <v>0</v>
      </c>
      <c r="X56" s="674">
        <f t="shared" si="91"/>
        <v>0</v>
      </c>
    </row>
    <row r="57" spans="2:24">
      <c r="B57" s="814"/>
      <c r="C57" s="818"/>
      <c r="D57" s="164" t="s">
        <v>1</v>
      </c>
      <c r="E57" s="165" t="s">
        <v>436</v>
      </c>
      <c r="F57" s="160">
        <f t="shared" ref="F57:M57" si="92">F56</f>
        <v>0</v>
      </c>
      <c r="G57" s="160">
        <f t="shared" si="92"/>
        <v>0</v>
      </c>
      <c r="H57" s="160">
        <f t="shared" si="92"/>
        <v>0</v>
      </c>
      <c r="I57" s="160">
        <f t="shared" si="92"/>
        <v>0</v>
      </c>
      <c r="J57" s="160">
        <f t="shared" si="92"/>
        <v>0</v>
      </c>
      <c r="K57" s="160">
        <f t="shared" si="92"/>
        <v>0</v>
      </c>
      <c r="L57" s="160">
        <f t="shared" si="92"/>
        <v>0</v>
      </c>
      <c r="M57" s="160">
        <f t="shared" si="92"/>
        <v>0</v>
      </c>
      <c r="N57" s="160">
        <f t="shared" ref="N57" si="93">N56</f>
        <v>0</v>
      </c>
      <c r="O57" s="160">
        <f t="shared" ref="O57" si="94">N57+O56</f>
        <v>0</v>
      </c>
      <c r="P57" s="193">
        <f>O57+P56-F56</f>
        <v>0</v>
      </c>
      <c r="Q57" s="193">
        <f t="shared" ref="Q57" si="95">P57+Q56-G56</f>
        <v>0</v>
      </c>
      <c r="R57" s="193">
        <f t="shared" ref="R57" si="96">Q57+R56-H56</f>
        <v>0</v>
      </c>
      <c r="S57" s="193">
        <f t="shared" ref="S57" si="97">R57+S56-I56</f>
        <v>0</v>
      </c>
      <c r="T57" s="193">
        <f t="shared" ref="T57" si="98">S57+T56-J56</f>
        <v>0</v>
      </c>
      <c r="U57" s="193">
        <f t="shared" ref="U57" si="99">T57+U56-K56</f>
        <v>0</v>
      </c>
      <c r="V57" s="193">
        <f t="shared" ref="V57" si="100">U57+V56-L56</f>
        <v>0</v>
      </c>
      <c r="W57" s="193">
        <f t="shared" ref="W57" si="101">V57+W56-M56</f>
        <v>0</v>
      </c>
      <c r="X57" s="192">
        <f t="shared" ref="X57" si="102">W57+X56-N56</f>
        <v>0</v>
      </c>
    </row>
    <row r="58" spans="2:24">
      <c r="B58" s="814"/>
      <c r="C58" s="818"/>
      <c r="D58" s="164" t="s">
        <v>1</v>
      </c>
      <c r="E58" s="165" t="s">
        <v>449</v>
      </c>
      <c r="F58" s="194"/>
      <c r="G58" s="194"/>
      <c r="H58" s="194"/>
      <c r="I58" s="194"/>
      <c r="J58" s="194"/>
      <c r="K58" s="194">
        <f>E6*0.6</f>
        <v>3600</v>
      </c>
      <c r="L58" s="194">
        <f t="shared" ref="L58:X58" si="103">K58</f>
        <v>3600</v>
      </c>
      <c r="M58" s="194">
        <f t="shared" si="103"/>
        <v>3600</v>
      </c>
      <c r="N58" s="194">
        <f t="shared" si="103"/>
        <v>3600</v>
      </c>
      <c r="O58" s="194">
        <f t="shared" si="103"/>
        <v>3600</v>
      </c>
      <c r="P58" s="194">
        <f t="shared" si="103"/>
        <v>3600</v>
      </c>
      <c r="Q58" s="194">
        <f t="shared" si="103"/>
        <v>3600</v>
      </c>
      <c r="R58" s="194">
        <f t="shared" si="103"/>
        <v>3600</v>
      </c>
      <c r="S58" s="194">
        <f t="shared" si="103"/>
        <v>3600</v>
      </c>
      <c r="T58" s="194">
        <f t="shared" si="103"/>
        <v>3600</v>
      </c>
      <c r="U58" s="194">
        <f t="shared" si="103"/>
        <v>3600</v>
      </c>
      <c r="V58" s="194">
        <f t="shared" si="103"/>
        <v>3600</v>
      </c>
      <c r="W58" s="194">
        <f t="shared" si="103"/>
        <v>3600</v>
      </c>
      <c r="X58" s="192">
        <f t="shared" si="103"/>
        <v>3600</v>
      </c>
    </row>
    <row r="59" spans="2:24">
      <c r="B59" s="814"/>
      <c r="C59" s="818"/>
      <c r="D59" s="164" t="s">
        <v>1</v>
      </c>
      <c r="E59" s="165" t="s">
        <v>450</v>
      </c>
      <c r="F59" s="194">
        <f t="shared" ref="F59:X59" si="104">F56*F58</f>
        <v>0</v>
      </c>
      <c r="G59" s="194">
        <f t="shared" si="104"/>
        <v>0</v>
      </c>
      <c r="H59" s="194">
        <f t="shared" si="104"/>
        <v>0</v>
      </c>
      <c r="I59" s="194">
        <f t="shared" si="104"/>
        <v>0</v>
      </c>
      <c r="J59" s="194">
        <f t="shared" si="104"/>
        <v>0</v>
      </c>
      <c r="K59" s="194">
        <f t="shared" si="104"/>
        <v>0</v>
      </c>
      <c r="L59" s="194">
        <f t="shared" si="104"/>
        <v>0</v>
      </c>
      <c r="M59" s="194">
        <f t="shared" si="104"/>
        <v>0</v>
      </c>
      <c r="N59" s="194">
        <f t="shared" ref="N59" si="105">N56*N58</f>
        <v>0</v>
      </c>
      <c r="O59" s="194">
        <f t="shared" si="104"/>
        <v>0</v>
      </c>
      <c r="P59" s="194">
        <f t="shared" si="104"/>
        <v>0</v>
      </c>
      <c r="Q59" s="194">
        <f t="shared" si="104"/>
        <v>0</v>
      </c>
      <c r="R59" s="194">
        <f t="shared" si="104"/>
        <v>0</v>
      </c>
      <c r="S59" s="194">
        <f t="shared" si="104"/>
        <v>0</v>
      </c>
      <c r="T59" s="194">
        <f t="shared" si="104"/>
        <v>0</v>
      </c>
      <c r="U59" s="194">
        <f t="shared" si="104"/>
        <v>0</v>
      </c>
      <c r="V59" s="194">
        <f t="shared" si="104"/>
        <v>0</v>
      </c>
      <c r="W59" s="194">
        <f t="shared" si="104"/>
        <v>0</v>
      </c>
      <c r="X59" s="192">
        <f t="shared" si="104"/>
        <v>0</v>
      </c>
    </row>
    <row r="60" spans="2:24">
      <c r="B60" s="814"/>
      <c r="C60" s="819"/>
      <c r="D60" s="191" t="s">
        <v>1</v>
      </c>
      <c r="E60" s="190" t="s">
        <v>451</v>
      </c>
      <c r="F60" s="189">
        <f t="shared" ref="F60:X60" si="106">F57*F58-F56*F58/2</f>
        <v>0</v>
      </c>
      <c r="G60" s="189">
        <f t="shared" si="106"/>
        <v>0</v>
      </c>
      <c r="H60" s="189">
        <f t="shared" si="106"/>
        <v>0</v>
      </c>
      <c r="I60" s="189">
        <f t="shared" si="106"/>
        <v>0</v>
      </c>
      <c r="J60" s="189">
        <f t="shared" si="106"/>
        <v>0</v>
      </c>
      <c r="K60" s="189">
        <f t="shared" si="106"/>
        <v>0</v>
      </c>
      <c r="L60" s="189">
        <f t="shared" si="106"/>
        <v>0</v>
      </c>
      <c r="M60" s="189">
        <f t="shared" si="106"/>
        <v>0</v>
      </c>
      <c r="N60" s="189">
        <f t="shared" ref="N60" si="107">N57*N58-N56*N58/2</f>
        <v>0</v>
      </c>
      <c r="O60" s="189">
        <f t="shared" si="106"/>
        <v>0</v>
      </c>
      <c r="P60" s="189">
        <f t="shared" si="106"/>
        <v>0</v>
      </c>
      <c r="Q60" s="189">
        <f t="shared" si="106"/>
        <v>0</v>
      </c>
      <c r="R60" s="189">
        <f t="shared" si="106"/>
        <v>0</v>
      </c>
      <c r="S60" s="189">
        <f t="shared" si="106"/>
        <v>0</v>
      </c>
      <c r="T60" s="189">
        <f t="shared" si="106"/>
        <v>0</v>
      </c>
      <c r="U60" s="189">
        <f t="shared" si="106"/>
        <v>0</v>
      </c>
      <c r="V60" s="189">
        <f t="shared" si="106"/>
        <v>0</v>
      </c>
      <c r="W60" s="189">
        <f t="shared" si="106"/>
        <v>0</v>
      </c>
      <c r="X60" s="273">
        <f t="shared" si="106"/>
        <v>0</v>
      </c>
    </row>
    <row r="61" spans="2:24">
      <c r="B61" s="814"/>
      <c r="C61" s="604"/>
      <c r="X61" s="182"/>
    </row>
    <row r="62" spans="2:24">
      <c r="B62" s="814"/>
      <c r="C62" s="604"/>
      <c r="E62" s="165" t="s">
        <v>454</v>
      </c>
      <c r="F62" s="274">
        <f t="shared" ref="F62:J62" si="108">F64/F65</f>
        <v>2.7085590465872156E-2</v>
      </c>
      <c r="G62" s="274">
        <f t="shared" si="108"/>
        <v>3.2888576779026214E-2</v>
      </c>
      <c r="H62" s="274">
        <f t="shared" si="108"/>
        <v>2.3029516704508597E-2</v>
      </c>
      <c r="I62" s="274">
        <f t="shared" si="108"/>
        <v>2.2071307300509338E-2</v>
      </c>
      <c r="J62" s="274">
        <f t="shared" si="108"/>
        <v>2.5856885147324114E-2</v>
      </c>
      <c r="K62" s="274">
        <f>K64/K65</f>
        <v>3.0277258037081135E-2</v>
      </c>
      <c r="L62" s="274">
        <f>L64/L65</f>
        <v>3.0355744976950511E-2</v>
      </c>
      <c r="M62" s="274">
        <f>M64/M65</f>
        <v>2.9462970403107004E-2</v>
      </c>
      <c r="N62" s="274">
        <f>N64/N65</f>
        <v>2.7574105408284765E-2</v>
      </c>
      <c r="O62" s="152">
        <f>AVERAGE(L62:N62)</f>
        <v>2.913094026278076E-2</v>
      </c>
      <c r="P62" s="152">
        <f t="shared" ref="P62:X62" si="109">O62</f>
        <v>2.913094026278076E-2</v>
      </c>
      <c r="Q62" s="152">
        <f t="shared" si="109"/>
        <v>2.913094026278076E-2</v>
      </c>
      <c r="R62" s="152">
        <f t="shared" si="109"/>
        <v>2.913094026278076E-2</v>
      </c>
      <c r="S62" s="152">
        <f t="shared" si="109"/>
        <v>2.913094026278076E-2</v>
      </c>
      <c r="T62" s="152">
        <f t="shared" si="109"/>
        <v>2.913094026278076E-2</v>
      </c>
      <c r="U62" s="152">
        <f t="shared" si="109"/>
        <v>2.913094026278076E-2</v>
      </c>
      <c r="V62" s="152">
        <f t="shared" si="109"/>
        <v>2.913094026278076E-2</v>
      </c>
      <c r="W62" s="152">
        <f t="shared" si="109"/>
        <v>2.913094026278076E-2</v>
      </c>
      <c r="X62" s="151">
        <f t="shared" si="109"/>
        <v>2.913094026278076E-2</v>
      </c>
    </row>
    <row r="63" spans="2:24">
      <c r="B63" s="814"/>
      <c r="C63" s="604"/>
      <c r="X63" s="182"/>
    </row>
    <row r="64" spans="2:24">
      <c r="B64" s="814"/>
      <c r="C64" s="604"/>
      <c r="D64" s="164" t="s">
        <v>1</v>
      </c>
      <c r="E64" s="165" t="s">
        <v>455</v>
      </c>
      <c r="F64" s="143">
        <f t="shared" ref="F64:L64" si="110">F43</f>
        <v>125</v>
      </c>
      <c r="G64" s="143">
        <f t="shared" si="110"/>
        <v>281</v>
      </c>
      <c r="H64" s="143">
        <f t="shared" si="110"/>
        <v>71</v>
      </c>
      <c r="I64" s="143">
        <f t="shared" si="110"/>
        <v>52</v>
      </c>
      <c r="J64" s="143">
        <f t="shared" si="110"/>
        <v>129</v>
      </c>
      <c r="K64" s="143">
        <f t="shared" si="110"/>
        <v>178</v>
      </c>
      <c r="L64" s="143">
        <f t="shared" si="110"/>
        <v>349</v>
      </c>
      <c r="M64" s="143">
        <f>M43</f>
        <v>440</v>
      </c>
      <c r="N64" s="143">
        <f>N43</f>
        <v>440</v>
      </c>
      <c r="X64" s="182"/>
    </row>
    <row r="65" spans="2:29">
      <c r="B65" s="814"/>
      <c r="C65" s="604"/>
      <c r="D65" s="159" t="s">
        <v>233</v>
      </c>
      <c r="E65" s="165" t="s">
        <v>455</v>
      </c>
      <c r="F65" s="194">
        <f>SUMIFS('EV Data'!$K$44:$K$151,'EV Data'!$C$44:$C$151,'EV Forecast VRZ'!F$9)/3</f>
        <v>4615</v>
      </c>
      <c r="G65" s="194">
        <f>SUMIFS('EV Data'!$K$44:$K$151,'EV Data'!$C$44:$C$151,'EV Forecast VRZ'!G$9)/3</f>
        <v>8544</v>
      </c>
      <c r="H65" s="194">
        <f>SUMIFS('EV Data'!$K$44:$K$151,'EV Data'!$C$44:$C$151,'EV Forecast VRZ'!H$9)/3</f>
        <v>3083</v>
      </c>
      <c r="I65" s="194">
        <f>SUMIFS('EV Data'!$K$44:$K$151,'EV Data'!$C$44:$C$151,'EV Forecast VRZ'!I$9)/3</f>
        <v>2356</v>
      </c>
      <c r="J65" s="194">
        <f>SUMIFS('EV Data'!$K$44:$K$151,'EV Data'!$C$44:$C$151,'EV Forecast VRZ'!J$9)/3</f>
        <v>4989</v>
      </c>
      <c r="K65" s="194">
        <f>SUMIFS('EV Data'!$K$44:$K$151,'EV Data'!$C$44:$C$151,'EV Forecast VRZ'!K$9)/3</f>
        <v>5879</v>
      </c>
      <c r="L65" s="194">
        <f>SUMIFS('EV Data'!$K$44:$K$151,'EV Data'!$C$44:$C$151,'EV Forecast VRZ'!L$9)/3</f>
        <v>11497</v>
      </c>
      <c r="M65" s="194">
        <f>SUMIFS('EV Data'!$K$44:$K$151,'EV Data'!$C$44:$C$151,'EV Forecast VRZ'!M$9)/3</f>
        <v>14934</v>
      </c>
      <c r="N65" s="194">
        <f>SUMIFS('EV Data'!$K$44:$K$151,'EV Data'!$C$44:$C$151,'EV Forecast VRZ'!N$9)/3</f>
        <v>15957</v>
      </c>
      <c r="O65" s="143"/>
      <c r="P65" s="143"/>
      <c r="Q65" s="143"/>
      <c r="R65" s="143"/>
      <c r="S65" s="143"/>
      <c r="T65" s="143"/>
      <c r="U65" s="143"/>
      <c r="V65" s="143"/>
      <c r="W65" s="143"/>
      <c r="X65" s="181"/>
    </row>
    <row r="66" spans="2:29">
      <c r="B66" s="814"/>
      <c r="C66" s="667"/>
      <c r="D66" s="676"/>
      <c r="E66" s="668"/>
      <c r="F66" s="672"/>
      <c r="G66" s="672"/>
      <c r="H66" s="672"/>
      <c r="I66" s="672"/>
      <c r="J66" s="672"/>
      <c r="K66" s="672"/>
      <c r="L66" s="672"/>
      <c r="M66" s="672"/>
      <c r="N66" s="672"/>
      <c r="O66" s="672"/>
      <c r="P66" s="672"/>
      <c r="Q66" s="672"/>
      <c r="R66" s="672"/>
      <c r="S66" s="672"/>
      <c r="T66" s="672"/>
      <c r="U66" s="672"/>
      <c r="V66" s="672"/>
      <c r="W66" s="672"/>
      <c r="X66" s="681"/>
    </row>
    <row r="67" spans="2:29">
      <c r="B67" s="814"/>
      <c r="C67" s="604"/>
      <c r="D67" s="159" t="s">
        <v>456</v>
      </c>
      <c r="F67" s="267">
        <f t="shared" ref="F67:M67" si="111">F65/F75</f>
        <v>5.7587082524847297E-3</v>
      </c>
      <c r="G67" s="267">
        <f t="shared" si="111"/>
        <v>1.0699084491962538E-2</v>
      </c>
      <c r="H67" s="267">
        <f t="shared" si="111"/>
        <v>3.872736088674728E-3</v>
      </c>
      <c r="I67" s="267">
        <f t="shared" si="111"/>
        <v>3.9230247919847744E-3</v>
      </c>
      <c r="J67" s="267">
        <f t="shared" si="111"/>
        <v>7.9535382005777432E-3</v>
      </c>
      <c r="K67" s="267">
        <f t="shared" si="111"/>
        <v>9.8889989722438561E-3</v>
      </c>
      <c r="L67" s="267">
        <f t="shared" si="111"/>
        <v>1.6982249656942901E-2</v>
      </c>
      <c r="M67" s="267">
        <f t="shared" si="111"/>
        <v>2.1356771343543132E-2</v>
      </c>
      <c r="N67" s="267">
        <f>N65/N75</f>
        <v>2.2321853230003078E-2</v>
      </c>
      <c r="O67" s="155">
        <f>O74*($N$67/($N$35+$N$67))</f>
        <v>2.9954557100860073E-2</v>
      </c>
      <c r="P67" s="155">
        <f t="shared" ref="P67:X67" si="112">P74*($N$67/($N$35+$N$67))</f>
        <v>3.7587260971717072E-2</v>
      </c>
      <c r="Q67" s="155">
        <f t="shared" si="112"/>
        <v>4.5219964842574067E-2</v>
      </c>
      <c r="R67" s="155">
        <f t="shared" si="112"/>
        <v>5.2852668713431056E-2</v>
      </c>
      <c r="S67" s="155">
        <f t="shared" si="112"/>
        <v>6.0485372584288051E-2</v>
      </c>
      <c r="T67" s="155">
        <f t="shared" si="112"/>
        <v>6.8118076455145046E-2</v>
      </c>
      <c r="U67" s="155">
        <f t="shared" si="112"/>
        <v>7.8335787923416791E-2</v>
      </c>
      <c r="V67" s="155">
        <f t="shared" si="112"/>
        <v>0.11580072997374657</v>
      </c>
      <c r="W67" s="155">
        <f t="shared" si="112"/>
        <v>0.14645386437856184</v>
      </c>
      <c r="X67" s="272">
        <f t="shared" si="112"/>
        <v>0.2043542293654351</v>
      </c>
    </row>
    <row r="68" spans="2:29">
      <c r="B68" s="814"/>
      <c r="C68" s="604"/>
      <c r="F68" s="267"/>
      <c r="G68" s="267"/>
      <c r="H68" s="267"/>
      <c r="I68" s="267"/>
      <c r="J68" s="267"/>
      <c r="K68" s="267"/>
      <c r="L68" s="267"/>
      <c r="M68" s="157"/>
      <c r="N68" s="157"/>
      <c r="O68" s="157"/>
      <c r="X68" s="182"/>
    </row>
    <row r="69" spans="2:29">
      <c r="B69" s="814"/>
      <c r="C69" s="604"/>
      <c r="D69" s="159" t="s">
        <v>1</v>
      </c>
      <c r="E69" s="165" t="s">
        <v>457</v>
      </c>
      <c r="F69" s="267">
        <f t="shared" ref="F69:M69" si="113">F47/F$44</f>
        <v>0.91200000000000003</v>
      </c>
      <c r="G69" s="267">
        <f t="shared" si="113"/>
        <v>0.90394088669950734</v>
      </c>
      <c r="H69" s="267">
        <f t="shared" si="113"/>
        <v>0.9161425576519916</v>
      </c>
      <c r="I69" s="267">
        <f t="shared" si="113"/>
        <v>0.92060491493383745</v>
      </c>
      <c r="J69" s="267">
        <f t="shared" si="113"/>
        <v>0.92401215805471126</v>
      </c>
      <c r="K69" s="267">
        <f t="shared" si="113"/>
        <v>0.92703349282296654</v>
      </c>
      <c r="L69" s="267">
        <f t="shared" si="113"/>
        <v>0.93080168776371308</v>
      </c>
      <c r="M69" s="267">
        <f t="shared" si="113"/>
        <v>0.94523076923076921</v>
      </c>
      <c r="N69" s="267">
        <f t="shared" ref="N69" si="114">N47/N$44</f>
        <v>0.95351089588377724</v>
      </c>
      <c r="O69" s="157">
        <f t="shared" ref="O69:X69" si="115">N69</f>
        <v>0.95351089588377724</v>
      </c>
      <c r="P69" s="157">
        <f t="shared" si="115"/>
        <v>0.95351089588377724</v>
      </c>
      <c r="Q69" s="157">
        <f t="shared" si="115"/>
        <v>0.95351089588377724</v>
      </c>
      <c r="R69" s="157">
        <f t="shared" si="115"/>
        <v>0.95351089588377724</v>
      </c>
      <c r="S69" s="157">
        <f t="shared" si="115"/>
        <v>0.95351089588377724</v>
      </c>
      <c r="T69" s="157">
        <f t="shared" si="115"/>
        <v>0.95351089588377724</v>
      </c>
      <c r="U69" s="157">
        <f t="shared" si="115"/>
        <v>0.95351089588377724</v>
      </c>
      <c r="V69" s="157">
        <f t="shared" si="115"/>
        <v>0.95351089588377724</v>
      </c>
      <c r="W69" s="157">
        <f t="shared" si="115"/>
        <v>0.95351089588377724</v>
      </c>
      <c r="X69" s="156">
        <f t="shared" si="115"/>
        <v>0.95351089588377724</v>
      </c>
    </row>
    <row r="70" spans="2:29">
      <c r="B70" s="814"/>
      <c r="C70" s="604"/>
      <c r="D70" s="159" t="s">
        <v>1</v>
      </c>
      <c r="E70" s="165" t="s">
        <v>458</v>
      </c>
      <c r="F70" s="267">
        <f t="shared" ref="F70:M70" si="116">F52/F$44</f>
        <v>8.7999999999999995E-2</v>
      </c>
      <c r="G70" s="267">
        <f t="shared" si="116"/>
        <v>9.6059113300492605E-2</v>
      </c>
      <c r="H70" s="267">
        <f t="shared" si="116"/>
        <v>8.385744234800839E-2</v>
      </c>
      <c r="I70" s="267">
        <f t="shared" si="116"/>
        <v>7.9395085066162566E-2</v>
      </c>
      <c r="J70" s="267">
        <f t="shared" si="116"/>
        <v>7.598784194528875E-2</v>
      </c>
      <c r="K70" s="267">
        <f t="shared" si="116"/>
        <v>7.2966507177033499E-2</v>
      </c>
      <c r="L70" s="267">
        <f t="shared" si="116"/>
        <v>6.9198312236286919E-2</v>
      </c>
      <c r="M70" s="267">
        <f t="shared" si="116"/>
        <v>5.4769230769230771E-2</v>
      </c>
      <c r="N70" s="267">
        <f t="shared" ref="N70" si="117">N52/N$44</f>
        <v>4.6489104116222757E-2</v>
      </c>
      <c r="O70" s="157">
        <f t="shared" ref="O70:X70" si="118">N70</f>
        <v>4.6489104116222757E-2</v>
      </c>
      <c r="P70" s="157">
        <f t="shared" si="118"/>
        <v>4.6489104116222757E-2</v>
      </c>
      <c r="Q70" s="157">
        <f t="shared" si="118"/>
        <v>4.6489104116222757E-2</v>
      </c>
      <c r="R70" s="157">
        <f t="shared" si="118"/>
        <v>4.6489104116222757E-2</v>
      </c>
      <c r="S70" s="157">
        <f t="shared" si="118"/>
        <v>4.6489104116222757E-2</v>
      </c>
      <c r="T70" s="157">
        <f t="shared" si="118"/>
        <v>4.6489104116222757E-2</v>
      </c>
      <c r="U70" s="157">
        <f t="shared" si="118"/>
        <v>4.6489104116222757E-2</v>
      </c>
      <c r="V70" s="157">
        <f t="shared" si="118"/>
        <v>4.6489104116222757E-2</v>
      </c>
      <c r="W70" s="157">
        <f t="shared" si="118"/>
        <v>4.6489104116222757E-2</v>
      </c>
      <c r="X70" s="156">
        <f t="shared" si="118"/>
        <v>4.6489104116222757E-2</v>
      </c>
    </row>
    <row r="71" spans="2:29">
      <c r="B71" s="814"/>
      <c r="C71" s="604"/>
      <c r="D71" s="159" t="s">
        <v>1</v>
      </c>
      <c r="E71" s="165" t="s">
        <v>459</v>
      </c>
      <c r="F71" s="267">
        <f t="shared" ref="F71:M71" si="119">F57/F$44</f>
        <v>0</v>
      </c>
      <c r="G71" s="267">
        <f t="shared" si="119"/>
        <v>0</v>
      </c>
      <c r="H71" s="267">
        <f t="shared" si="119"/>
        <v>0</v>
      </c>
      <c r="I71" s="267">
        <f t="shared" si="119"/>
        <v>0</v>
      </c>
      <c r="J71" s="267">
        <f t="shared" si="119"/>
        <v>0</v>
      </c>
      <c r="K71" s="267">
        <f t="shared" si="119"/>
        <v>0</v>
      </c>
      <c r="L71" s="267">
        <f t="shared" si="119"/>
        <v>0</v>
      </c>
      <c r="M71" s="267">
        <f t="shared" si="119"/>
        <v>0</v>
      </c>
      <c r="N71" s="267">
        <f t="shared" ref="N71" si="120">N57/N$44</f>
        <v>0</v>
      </c>
      <c r="O71" s="157">
        <f t="shared" ref="O71:X71" si="121">N71</f>
        <v>0</v>
      </c>
      <c r="P71" s="157">
        <f t="shared" si="121"/>
        <v>0</v>
      </c>
      <c r="Q71" s="157">
        <f t="shared" si="121"/>
        <v>0</v>
      </c>
      <c r="R71" s="157">
        <f t="shared" si="121"/>
        <v>0</v>
      </c>
      <c r="S71" s="157">
        <f t="shared" si="121"/>
        <v>0</v>
      </c>
      <c r="T71" s="157">
        <f t="shared" si="121"/>
        <v>0</v>
      </c>
      <c r="U71" s="157">
        <f t="shared" si="121"/>
        <v>0</v>
      </c>
      <c r="V71" s="157">
        <f t="shared" si="121"/>
        <v>0</v>
      </c>
      <c r="W71" s="157">
        <f t="shared" si="121"/>
        <v>0</v>
      </c>
      <c r="X71" s="156">
        <f t="shared" si="121"/>
        <v>0</v>
      </c>
    </row>
    <row r="72" spans="2:29">
      <c r="B72" s="815"/>
      <c r="C72" s="605"/>
      <c r="D72" s="158"/>
      <c r="E72" s="190"/>
      <c r="F72" s="266"/>
      <c r="G72" s="266"/>
      <c r="H72" s="266"/>
      <c r="I72" s="266"/>
      <c r="J72" s="266"/>
      <c r="K72" s="266"/>
      <c r="L72" s="266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271"/>
    </row>
    <row r="73" spans="2:29">
      <c r="B73" s="667"/>
      <c r="C73" s="667"/>
      <c r="D73" s="682"/>
      <c r="E73" s="668" t="s">
        <v>460</v>
      </c>
      <c r="F73" s="677"/>
      <c r="G73" s="677"/>
      <c r="H73" s="677"/>
      <c r="I73" s="677"/>
      <c r="J73" s="677"/>
      <c r="K73" s="677"/>
      <c r="L73" s="677"/>
      <c r="M73" s="683"/>
      <c r="N73" s="683"/>
      <c r="O73" s="683">
        <v>0.2</v>
      </c>
      <c r="P73" s="683">
        <v>0.23</v>
      </c>
      <c r="Q73" s="683">
        <v>0.34</v>
      </c>
      <c r="R73" s="683">
        <v>0.43</v>
      </c>
      <c r="S73" s="683">
        <v>0.6</v>
      </c>
      <c r="T73" s="683">
        <v>0.67999999999999994</v>
      </c>
      <c r="U73" s="683">
        <v>0.7599999999999999</v>
      </c>
      <c r="V73" s="683">
        <v>0.83999999999999986</v>
      </c>
      <c r="W73" s="683">
        <v>0.91999999999999982</v>
      </c>
      <c r="X73" s="684">
        <v>1</v>
      </c>
    </row>
    <row r="74" spans="2:29">
      <c r="B74" s="604"/>
      <c r="C74" s="604"/>
      <c r="D74" s="606"/>
      <c r="E74" s="165" t="s">
        <v>461</v>
      </c>
      <c r="F74" s="267">
        <f t="shared" ref="F74:L74" si="122">(F65+F33)/F75</f>
        <v>1.0204705544706419E-2</v>
      </c>
      <c r="G74" s="267">
        <f t="shared" si="122"/>
        <v>2.098743633957071E-2</v>
      </c>
      <c r="H74" s="267">
        <f t="shared" si="122"/>
        <v>1.2115646959217564E-2</v>
      </c>
      <c r="I74" s="267">
        <f t="shared" si="122"/>
        <v>1.7512076289178214E-2</v>
      </c>
      <c r="J74" s="267">
        <f t="shared" si="122"/>
        <v>3.1581397425024076E-2</v>
      </c>
      <c r="K74" s="267">
        <f t="shared" si="122"/>
        <v>6.5032910063767976E-2</v>
      </c>
      <c r="L74" s="267">
        <f t="shared" si="122"/>
        <v>7.4050112185949507E-2</v>
      </c>
      <c r="M74" s="267">
        <f>(M65+M33)/M75</f>
        <v>8.0932353063153634E-2</v>
      </c>
      <c r="N74" s="267">
        <f>(N65+N33)/N75</f>
        <v>6.5538706879668743E-2</v>
      </c>
      <c r="O74" s="157">
        <f>($T$74-$N$74)/6+N74</f>
        <v>8.7948922399723961E-2</v>
      </c>
      <c r="P74" s="157">
        <f t="shared" ref="P74:S74" si="123">($T$74-$N$74)/6+O74</f>
        <v>0.11035913791977918</v>
      </c>
      <c r="Q74" s="157">
        <f t="shared" si="123"/>
        <v>0.1327693534398344</v>
      </c>
      <c r="R74" s="157">
        <f t="shared" si="123"/>
        <v>0.1551795689598896</v>
      </c>
      <c r="S74" s="157">
        <f t="shared" si="123"/>
        <v>0.17758978447994481</v>
      </c>
      <c r="T74" s="157">
        <f>O73</f>
        <v>0.2</v>
      </c>
      <c r="U74" s="157">
        <f t="shared" ref="U74:X74" si="124">P73</f>
        <v>0.23</v>
      </c>
      <c r="V74" s="157">
        <f t="shared" si="124"/>
        <v>0.34</v>
      </c>
      <c r="W74" s="157">
        <f t="shared" si="124"/>
        <v>0.43</v>
      </c>
      <c r="X74" s="157">
        <f t="shared" si="124"/>
        <v>0.6</v>
      </c>
    </row>
    <row r="75" spans="2:29">
      <c r="B75" s="604"/>
      <c r="C75" s="604"/>
      <c r="D75" s="606" t="s">
        <v>233</v>
      </c>
      <c r="E75" s="165" t="s">
        <v>462</v>
      </c>
      <c r="F75" s="194">
        <f>SUMIFS('EV Data'!$D$5:$D$36,'EV Data'!$C$5:$C$36,'EV Forecast VRZ'!F$9)</f>
        <v>801395</v>
      </c>
      <c r="G75" s="194">
        <f>SUMIFS('EV Data'!$D$5:$D$36,'EV Data'!$C$5:$C$36,'EV Forecast VRZ'!G$9)</f>
        <v>798573</v>
      </c>
      <c r="H75" s="194">
        <f>SUMIFS('EV Data'!$D$5:$D$36,'EV Data'!$C$5:$C$36,'EV Forecast VRZ'!H$9)</f>
        <v>796078</v>
      </c>
      <c r="I75" s="194">
        <f>SUMIFS('EV Data'!$D$5:$D$36,'EV Data'!$C$5:$C$36,'EV Forecast VRZ'!I$9)</f>
        <v>600557</v>
      </c>
      <c r="J75" s="194">
        <f>SUMIFS('EV Data'!$D$5:$D$36,'EV Data'!$C$5:$C$36,'EV Forecast VRZ'!J$9)</f>
        <v>627268</v>
      </c>
      <c r="K75" s="194">
        <f>SUMIFS('EV Data'!$D$5:$D$36,'EV Data'!$C$5:$C$36,'EV Forecast VRZ'!K$9)</f>
        <v>594499</v>
      </c>
      <c r="L75" s="194">
        <f>SUMIFS('EV Data'!$D$5:$D$36,'EV Data'!$C$5:$C$36,'EV Forecast VRZ'!L$9)</f>
        <v>677001</v>
      </c>
      <c r="M75" s="194">
        <f>SUMIFS('EV Data'!$D$5:$D$40,'EV Data'!$C$5:$C$40,'EV Forecast VRZ'!M$9)</f>
        <v>699263</v>
      </c>
      <c r="N75" s="194">
        <f>SUMIFS('EV Data'!$D$5:$D$40,'EV Data'!$C$5:$C$40,'EV Forecast VRZ'!N$9)</f>
        <v>714860</v>
      </c>
      <c r="O75" s="143">
        <f t="shared" ref="O75:X75" si="125">N75*1.02</f>
        <v>729157.20000000007</v>
      </c>
      <c r="P75" s="143">
        <f t="shared" si="125"/>
        <v>743740.34400000004</v>
      </c>
      <c r="Q75" s="143">
        <f t="shared" si="125"/>
        <v>758615.15088000009</v>
      </c>
      <c r="R75" s="143">
        <f t="shared" si="125"/>
        <v>773787.45389760006</v>
      </c>
      <c r="S75" s="143">
        <f t="shared" si="125"/>
        <v>789263.20297555206</v>
      </c>
      <c r="T75" s="143">
        <f t="shared" si="125"/>
        <v>805048.46703506308</v>
      </c>
      <c r="U75" s="143">
        <f t="shared" si="125"/>
        <v>821149.43637576432</v>
      </c>
      <c r="V75" s="143">
        <f t="shared" si="125"/>
        <v>837572.42510327965</v>
      </c>
      <c r="W75" s="143">
        <f t="shared" si="125"/>
        <v>854323.87360534526</v>
      </c>
      <c r="X75" s="181">
        <f t="shared" si="125"/>
        <v>871410.35107745219</v>
      </c>
    </row>
    <row r="76" spans="2:29">
      <c r="B76" s="605"/>
      <c r="C76" s="605"/>
      <c r="D76" s="605"/>
      <c r="E76" s="190"/>
      <c r="F76" s="190"/>
      <c r="G76" s="190"/>
      <c r="H76" s="190"/>
      <c r="I76" s="190"/>
      <c r="J76" s="190"/>
      <c r="K76" s="190"/>
      <c r="L76" s="190"/>
      <c r="M76" s="190"/>
      <c r="N76" s="450"/>
      <c r="O76" s="190"/>
      <c r="P76" s="190"/>
      <c r="Q76" s="190"/>
      <c r="R76" s="190"/>
      <c r="S76" s="190"/>
      <c r="T76" s="190"/>
      <c r="U76" s="190"/>
      <c r="V76" s="190"/>
      <c r="W76" s="190"/>
      <c r="X76" s="265"/>
    </row>
    <row r="77" spans="2:29">
      <c r="K77" s="178"/>
      <c r="L77" s="178"/>
      <c r="M77" s="178"/>
      <c r="N77" s="178"/>
      <c r="O77" s="178"/>
      <c r="P77" s="178"/>
      <c r="Q77" s="178"/>
      <c r="R77" s="178"/>
      <c r="S77" s="178"/>
      <c r="T77" s="178"/>
    </row>
    <row r="79" spans="2:29">
      <c r="B79" s="822" t="str">
        <f>B9</f>
        <v>Battery electric</v>
      </c>
      <c r="C79" s="165" t="s">
        <v>463</v>
      </c>
      <c r="F79" s="165">
        <f t="shared" ref="F79:T79" si="126">F9</f>
        <v>2017</v>
      </c>
      <c r="G79" s="165">
        <f t="shared" si="126"/>
        <v>2018</v>
      </c>
      <c r="H79" s="165">
        <f t="shared" si="126"/>
        <v>2019</v>
      </c>
      <c r="I79" s="165">
        <f t="shared" si="126"/>
        <v>2020</v>
      </c>
      <c r="J79" s="165">
        <f t="shared" si="126"/>
        <v>2021</v>
      </c>
      <c r="K79" s="165">
        <f t="shared" si="126"/>
        <v>2022</v>
      </c>
      <c r="L79" s="165">
        <f t="shared" si="126"/>
        <v>2023</v>
      </c>
      <c r="M79" s="165">
        <f t="shared" si="126"/>
        <v>2024</v>
      </c>
      <c r="N79" s="165">
        <f t="shared" si="126"/>
        <v>2025</v>
      </c>
      <c r="O79" s="165">
        <f t="shared" si="126"/>
        <v>2026</v>
      </c>
      <c r="P79" s="165">
        <f t="shared" si="126"/>
        <v>2027</v>
      </c>
      <c r="Q79" s="165">
        <f t="shared" si="126"/>
        <v>2028</v>
      </c>
      <c r="R79" s="165">
        <f t="shared" si="126"/>
        <v>2029</v>
      </c>
      <c r="S79" s="165">
        <f t="shared" si="126"/>
        <v>2030</v>
      </c>
      <c r="T79" s="165">
        <f t="shared" si="126"/>
        <v>2031</v>
      </c>
      <c r="X79" s="270" t="s">
        <v>464</v>
      </c>
      <c r="Y79" s="186" t="s">
        <v>444</v>
      </c>
      <c r="Z79" s="186" t="s">
        <v>465</v>
      </c>
      <c r="AB79" s="165" t="s">
        <v>466</v>
      </c>
    </row>
    <row r="80" spans="2:29" ht="14.75" customHeight="1">
      <c r="B80" s="822"/>
      <c r="C80" s="821" t="s">
        <v>467</v>
      </c>
      <c r="D80" s="165" t="s">
        <v>12</v>
      </c>
      <c r="F80" s="143">
        <f>F$18*$X80+F$23*$Y80+F$28*$Z80</f>
        <v>137988.31698255113</v>
      </c>
      <c r="G80" s="143">
        <f>(G$18-F$18)*$X80+(G$23-F$23)*$Y80+(G$28-F$28)*$Z80</f>
        <v>511119.99045577616</v>
      </c>
      <c r="H80" s="143">
        <f t="shared" ref="H80:T80" si="127">(H$18-G$18)*$X80+(H$23-G$23)*$Y80+(H$28-G$28)*$Z80</f>
        <v>635027.86692990374</v>
      </c>
      <c r="I80" s="143">
        <f t="shared" si="127"/>
        <v>589970.45730294823</v>
      </c>
      <c r="J80" s="143">
        <f t="shared" si="127"/>
        <v>951837.77836943441</v>
      </c>
      <c r="K80" s="143">
        <f t="shared" si="127"/>
        <v>2130278.89396059</v>
      </c>
      <c r="L80" s="143">
        <f>(L$18-K$18)*$X80+(L$23-K$23)*$Y80+(L$28-K$28)*$Z80</f>
        <v>3279399.6121765943</v>
      </c>
      <c r="M80" s="143">
        <f>(M$18-L$18)*$X80+(M$23-L$23)*$Y80+(M$28-L$28)*$Z80</f>
        <v>3899579.5527226231</v>
      </c>
      <c r="N80" s="143">
        <f t="shared" si="127"/>
        <v>3809017.4033543919</v>
      </c>
      <c r="O80" s="143">
        <f t="shared" si="127"/>
        <v>3799772.4112336058</v>
      </c>
      <c r="P80" s="143">
        <f t="shared" si="127"/>
        <v>4551610.2836671257</v>
      </c>
      <c r="Q80" s="143">
        <f t="shared" si="127"/>
        <v>5289556.5648446828</v>
      </c>
      <c r="R80" s="143">
        <f t="shared" si="127"/>
        <v>6766658.8040359952</v>
      </c>
      <c r="S80" s="143">
        <f t="shared" si="127"/>
        <v>7936704.8656166308</v>
      </c>
      <c r="T80" s="143">
        <f t="shared" si="127"/>
        <v>8696908.4742406905</v>
      </c>
      <c r="V80" s="143"/>
      <c r="W80" s="186" t="str">
        <f t="shared" ref="W80:W85" si="128">D80</f>
        <v>Residential</v>
      </c>
      <c r="X80" s="269">
        <f>0.85-X81</f>
        <v>0.8386206377858002</v>
      </c>
      <c r="Y80" s="269">
        <f>0.65-Y81</f>
        <v>0.64129813477737663</v>
      </c>
      <c r="Z80" s="269">
        <f>0.6-Z81</f>
        <v>0.59196750902527073</v>
      </c>
      <c r="AB80" s="175">
        <f>'Customer Count'!C12</f>
        <v>117456.375</v>
      </c>
      <c r="AC80" s="393">
        <f>AB80/$AB$86</f>
        <v>0.90637262278193831</v>
      </c>
    </row>
    <row r="81" spans="2:29" ht="14.75" customHeight="1">
      <c r="B81" s="822"/>
      <c r="C81" s="821"/>
      <c r="D81" s="165" t="s">
        <v>13</v>
      </c>
      <c r="F81" s="143">
        <f t="shared" ref="F81:F84" si="129">F$18*$X81+F$23*$Y81+F$28*$Z81</f>
        <v>1872.383017448856</v>
      </c>
      <c r="G81" s="143">
        <f t="shared" ref="G81:T81" si="130">(G$18-F$18)*$X81+(G$23-F$23)*$Y81+(G$28-F$28)*$Z81</f>
        <v>6935.4595442238233</v>
      </c>
      <c r="H81" s="143">
        <f t="shared" si="130"/>
        <v>8616.7830700962659</v>
      </c>
      <c r="I81" s="143">
        <f t="shared" si="130"/>
        <v>8005.3926970517414</v>
      </c>
      <c r="J81" s="143">
        <f t="shared" si="130"/>
        <v>12915.621630565578</v>
      </c>
      <c r="K81" s="143">
        <f t="shared" si="130"/>
        <v>28906.056039410334</v>
      </c>
      <c r="L81" s="143">
        <f t="shared" si="130"/>
        <v>44498.637823405516</v>
      </c>
      <c r="M81" s="143">
        <f t="shared" si="130"/>
        <v>52913.947277376632</v>
      </c>
      <c r="N81" s="143">
        <f t="shared" si="130"/>
        <v>51685.096645607679</v>
      </c>
      <c r="O81" s="143">
        <f t="shared" si="130"/>
        <v>51559.650038083666</v>
      </c>
      <c r="P81" s="143">
        <f t="shared" si="130"/>
        <v>61761.444617529203</v>
      </c>
      <c r="Q81" s="143">
        <f t="shared" si="130"/>
        <v>71774.7422276531</v>
      </c>
      <c r="R81" s="143">
        <f t="shared" si="130"/>
        <v>91817.75172422675</v>
      </c>
      <c r="S81" s="143">
        <f t="shared" si="130"/>
        <v>107694.27245614878</v>
      </c>
      <c r="T81" s="143">
        <f t="shared" si="130"/>
        <v>118009.58289486523</v>
      </c>
      <c r="V81" s="143"/>
      <c r="W81" s="186" t="str">
        <f t="shared" si="128"/>
        <v>Residential Seasonal</v>
      </c>
      <c r="X81" s="269">
        <f>0.85*'EV Data'!$CZ$250/'EV Data'!$DW$250</f>
        <v>1.1379362214199754E-2</v>
      </c>
      <c r="Y81" s="269">
        <f>0.65*'EV Data'!$CZ$250/'EV Data'!$DW$250</f>
        <v>8.7018652226233412E-3</v>
      </c>
      <c r="Z81" s="269">
        <f>0.6*'EV Data'!$CZ$250/'EV Data'!$DW$250</f>
        <v>8.0324909747292381E-3</v>
      </c>
      <c r="AB81" s="175">
        <f>'Customer Count'!G12</f>
        <v>1561.8333333333339</v>
      </c>
      <c r="AC81" s="393">
        <f t="shared" ref="AC81:AC85" si="131">AB81/$AB$86</f>
        <v>1.2052159575685792E-2</v>
      </c>
    </row>
    <row r="82" spans="2:29">
      <c r="B82" s="822"/>
      <c r="C82" s="821"/>
      <c r="D82" s="165" t="s">
        <v>14</v>
      </c>
      <c r="F82" s="143">
        <f t="shared" si="129"/>
        <v>16454.2</v>
      </c>
      <c r="G82" s="143">
        <f t="shared" ref="G82:T82" si="132">(G$18-F$18)*$X82+(G$23-F$23)*$Y82+(G$28-F$28)*$Z82</f>
        <v>60947.700000000004</v>
      </c>
      <c r="H82" s="143">
        <f t="shared" si="132"/>
        <v>75722.900000000009</v>
      </c>
      <c r="I82" s="143">
        <f t="shared" si="132"/>
        <v>70350.100000000006</v>
      </c>
      <c r="J82" s="143">
        <f t="shared" si="132"/>
        <v>113500.40000000001</v>
      </c>
      <c r="K82" s="143">
        <f t="shared" si="132"/>
        <v>260074.7</v>
      </c>
      <c r="L82" s="143">
        <f t="shared" si="132"/>
        <v>413714.5</v>
      </c>
      <c r="M82" s="143">
        <f t="shared" si="132"/>
        <v>519961</v>
      </c>
      <c r="N82" s="143">
        <f t="shared" si="132"/>
        <v>560365</v>
      </c>
      <c r="O82" s="143">
        <f t="shared" si="132"/>
        <v>551868.41537104733</v>
      </c>
      <c r="P82" s="143">
        <f t="shared" si="132"/>
        <v>613319.2575318038</v>
      </c>
      <c r="Q82" s="143">
        <f t="shared" si="132"/>
        <v>718976.44621666113</v>
      </c>
      <c r="R82" s="143">
        <f t="shared" si="132"/>
        <v>913451.37538590096</v>
      </c>
      <c r="S82" s="143">
        <f t="shared" si="132"/>
        <v>1072010.1883434223</v>
      </c>
      <c r="T82" s="143">
        <f t="shared" si="132"/>
        <v>1182416.8937490925</v>
      </c>
      <c r="V82" s="143"/>
      <c r="W82" s="186" t="str">
        <f t="shared" si="128"/>
        <v>GS&lt;50</v>
      </c>
      <c r="X82" s="269">
        <v>0.1</v>
      </c>
      <c r="Y82" s="269">
        <v>0.2</v>
      </c>
      <c r="Z82" s="269">
        <v>0.2</v>
      </c>
      <c r="AB82" s="175">
        <f>'Customer Count'!K12</f>
        <v>9501.875</v>
      </c>
      <c r="AC82" s="393">
        <f t="shared" si="131"/>
        <v>7.3322877239282505E-2</v>
      </c>
    </row>
    <row r="83" spans="2:29">
      <c r="B83" s="822"/>
      <c r="C83" s="821"/>
      <c r="D83" s="165" t="s">
        <v>15</v>
      </c>
      <c r="F83" s="143">
        <f t="shared" si="129"/>
        <v>7404.3899999999994</v>
      </c>
      <c r="G83" s="143">
        <f t="shared" ref="G83:T83" si="133">(G$18-F$18)*$X83+(G$23-F$23)*$Y83+(G$28-F$28)*$Z83</f>
        <v>27426.465</v>
      </c>
      <c r="H83" s="143">
        <f t="shared" si="133"/>
        <v>34075.305</v>
      </c>
      <c r="I83" s="143">
        <f t="shared" si="133"/>
        <v>31657.544999999998</v>
      </c>
      <c r="J83" s="143">
        <f t="shared" si="133"/>
        <v>51075.18</v>
      </c>
      <c r="K83" s="143">
        <f t="shared" si="133"/>
        <v>119603.61499999999</v>
      </c>
      <c r="L83" s="143">
        <f t="shared" si="133"/>
        <v>196326.52499999999</v>
      </c>
      <c r="M83" s="143">
        <f t="shared" si="133"/>
        <v>258637.44999999998</v>
      </c>
      <c r="N83" s="143">
        <f t="shared" si="133"/>
        <v>292404.25</v>
      </c>
      <c r="O83" s="143">
        <f t="shared" si="133"/>
        <v>283618.54004759388</v>
      </c>
      <c r="P83" s="143">
        <f t="shared" si="133"/>
        <v>303598.20038354665</v>
      </c>
      <c r="Q83" s="143">
        <f t="shared" si="133"/>
        <v>358052.70978577953</v>
      </c>
      <c r="R83" s="143">
        <f t="shared" si="133"/>
        <v>452740.51157194871</v>
      </c>
      <c r="S83" s="143">
        <f t="shared" si="133"/>
        <v>531539.21908564947</v>
      </c>
      <c r="T83" s="143">
        <f t="shared" si="133"/>
        <v>588950.69291127077</v>
      </c>
      <c r="V83" s="143"/>
      <c r="W83" s="186" t="str">
        <f t="shared" si="128"/>
        <v>GS 50 - 2,999</v>
      </c>
      <c r="X83" s="269">
        <v>4.4999999999999998E-2</v>
      </c>
      <c r="Y83" s="269">
        <v>0.1</v>
      </c>
      <c r="Z83" s="269">
        <v>0.15</v>
      </c>
      <c r="AB83" s="175">
        <f>'Customer Count'!O12</f>
        <v>1059.4166666666663</v>
      </c>
      <c r="AC83" s="393">
        <f t="shared" si="131"/>
        <v>8.175173657330774E-3</v>
      </c>
    </row>
    <row r="84" spans="2:29">
      <c r="B84" s="822"/>
      <c r="C84" s="821"/>
      <c r="D84" s="165" t="s">
        <v>16</v>
      </c>
      <c r="F84" s="143">
        <f t="shared" si="129"/>
        <v>822.71</v>
      </c>
      <c r="G84" s="143">
        <f t="shared" ref="G84:T84" si="134">(G$18-F$18)*$X84+(G$23-F$23)*$Y84+(G$28-F$28)*$Z84</f>
        <v>3047.3850000000002</v>
      </c>
      <c r="H84" s="143">
        <f t="shared" si="134"/>
        <v>3786.145</v>
      </c>
      <c r="I84" s="143">
        <f t="shared" si="134"/>
        <v>3517.5050000000001</v>
      </c>
      <c r="J84" s="143">
        <f t="shared" si="134"/>
        <v>5675.02</v>
      </c>
      <c r="K84" s="143">
        <f t="shared" si="134"/>
        <v>13833.735000000001</v>
      </c>
      <c r="L84" s="143">
        <f t="shared" si="134"/>
        <v>23505.725000000002</v>
      </c>
      <c r="M84" s="143">
        <f t="shared" si="134"/>
        <v>32818.050000000003</v>
      </c>
      <c r="N84" s="143">
        <f t="shared" si="134"/>
        <v>45203.25</v>
      </c>
      <c r="O84" s="143">
        <f t="shared" si="134"/>
        <v>44754.762694896352</v>
      </c>
      <c r="P84" s="143">
        <f t="shared" si="134"/>
        <v>41623.968880304274</v>
      </c>
      <c r="Q84" s="143">
        <f t="shared" si="134"/>
        <v>49649.362965869906</v>
      </c>
      <c r="R84" s="143">
        <f t="shared" si="134"/>
        <v>62220.962259306092</v>
      </c>
      <c r="S84" s="143">
        <f t="shared" si="134"/>
        <v>73105.189639293269</v>
      </c>
      <c r="T84" s="143">
        <f t="shared" si="134"/>
        <v>81693.443753576343</v>
      </c>
      <c r="V84" s="143"/>
      <c r="W84" s="186" t="str">
        <f t="shared" si="128"/>
        <v>GS 3,000 - 4,999</v>
      </c>
      <c r="X84" s="269">
        <v>5.0000000000000001E-3</v>
      </c>
      <c r="Y84" s="269">
        <v>0.05</v>
      </c>
      <c r="Z84" s="269">
        <v>2.5000000000000001E-2</v>
      </c>
      <c r="AB84" s="175">
        <f>'Customer Count'!U12</f>
        <v>5</v>
      </c>
      <c r="AC84" s="393">
        <f t="shared" si="131"/>
        <v>3.8583372881290535E-5</v>
      </c>
    </row>
    <row r="85" spans="2:29">
      <c r="B85" s="822"/>
      <c r="C85" s="821"/>
      <c r="D85" s="165" t="s">
        <v>17</v>
      </c>
      <c r="F85" s="143">
        <f>F$18*$X85+F$23*$Y85+F$28*$Z85</f>
        <v>0</v>
      </c>
      <c r="G85" s="143">
        <f t="shared" ref="G85:T85" si="135">(G$18-F$18)*$X85+(G$23-F$23)*$Y85+(G$28-F$28)*$Z85</f>
        <v>0</v>
      </c>
      <c r="H85" s="143">
        <f t="shared" si="135"/>
        <v>0</v>
      </c>
      <c r="I85" s="143">
        <f t="shared" si="135"/>
        <v>0</v>
      </c>
      <c r="J85" s="143">
        <f t="shared" si="135"/>
        <v>0</v>
      </c>
      <c r="K85" s="143">
        <f t="shared" si="135"/>
        <v>1050</v>
      </c>
      <c r="L85" s="143">
        <f t="shared" si="135"/>
        <v>4200</v>
      </c>
      <c r="M85" s="143">
        <f t="shared" si="135"/>
        <v>10200</v>
      </c>
      <c r="N85" s="143">
        <f t="shared" si="135"/>
        <v>15975</v>
      </c>
      <c r="O85" s="143">
        <f t="shared" si="135"/>
        <v>13772.185621794051</v>
      </c>
      <c r="P85" s="143">
        <f t="shared" si="135"/>
        <v>11051.12577480288</v>
      </c>
      <c r="Q85" s="143">
        <f t="shared" si="135"/>
        <v>13816.96614423237</v>
      </c>
      <c r="R85" s="143">
        <f t="shared" si="135"/>
        <v>16689.019678129105</v>
      </c>
      <c r="S85" s="143">
        <f t="shared" si="135"/>
        <v>19670.428566923994</v>
      </c>
      <c r="T85" s="143">
        <f t="shared" si="135"/>
        <v>22764.418203399448</v>
      </c>
      <c r="V85" s="143"/>
      <c r="W85" s="186" t="str">
        <f t="shared" si="128"/>
        <v>Large Use</v>
      </c>
      <c r="X85" s="269">
        <v>0</v>
      </c>
      <c r="Y85" s="269">
        <v>0</v>
      </c>
      <c r="Z85" s="269">
        <v>2.5000000000000001E-2</v>
      </c>
      <c r="AB85" s="175">
        <f>'Customer Count'!AA12</f>
        <v>5</v>
      </c>
      <c r="AC85" s="393">
        <f t="shared" si="131"/>
        <v>3.8583372881290535E-5</v>
      </c>
    </row>
    <row r="86" spans="2:29">
      <c r="B86" s="822"/>
      <c r="X86" s="157">
        <f>SUM(X80:X85)</f>
        <v>1</v>
      </c>
      <c r="Y86" s="157">
        <f t="shared" ref="Y86:Z86" si="136">SUM(Y80:Y85)</f>
        <v>1</v>
      </c>
      <c r="Z86" s="157">
        <f t="shared" si="136"/>
        <v>1</v>
      </c>
      <c r="AB86" s="175">
        <f>SUM(AB80:AB85)</f>
        <v>129589.5</v>
      </c>
    </row>
    <row r="87" spans="2:29">
      <c r="B87" s="822"/>
      <c r="C87" s="165" t="s">
        <v>468</v>
      </c>
    </row>
    <row r="88" spans="2:29">
      <c r="B88" s="822"/>
      <c r="D88" s="165" t="s">
        <v>469</v>
      </c>
      <c r="F88" s="268">
        <v>0.1</v>
      </c>
      <c r="G88" s="268">
        <f t="shared" ref="G88:T88" si="137">F88</f>
        <v>0.1</v>
      </c>
      <c r="H88" s="268">
        <f t="shared" si="137"/>
        <v>0.1</v>
      </c>
      <c r="I88" s="268">
        <f t="shared" si="137"/>
        <v>0.1</v>
      </c>
      <c r="J88" s="268">
        <f t="shared" si="137"/>
        <v>0.1</v>
      </c>
      <c r="K88" s="268">
        <f t="shared" si="137"/>
        <v>0.1</v>
      </c>
      <c r="L88" s="268">
        <f t="shared" si="137"/>
        <v>0.1</v>
      </c>
      <c r="M88" s="268">
        <f t="shared" si="137"/>
        <v>0.1</v>
      </c>
      <c r="N88" s="268">
        <f t="shared" si="137"/>
        <v>0.1</v>
      </c>
      <c r="O88" s="268">
        <f t="shared" si="137"/>
        <v>0.1</v>
      </c>
      <c r="P88" s="268">
        <f t="shared" si="137"/>
        <v>0.1</v>
      </c>
      <c r="Q88" s="268">
        <f t="shared" si="137"/>
        <v>0.1</v>
      </c>
      <c r="R88" s="268">
        <f t="shared" si="137"/>
        <v>0.1</v>
      </c>
      <c r="S88" s="268">
        <f t="shared" si="137"/>
        <v>0.1</v>
      </c>
      <c r="T88" s="268">
        <f t="shared" si="137"/>
        <v>0.1</v>
      </c>
    </row>
    <row r="89" spans="2:29">
      <c r="B89" s="822"/>
      <c r="D89" s="165" t="str">
        <f>D83</f>
        <v>GS 50 - 2,999</v>
      </c>
      <c r="F89" s="183">
        <f t="shared" ref="F89:T89" si="138">((F83/$F$88)/8760)*12</f>
        <v>101.42999999999998</v>
      </c>
      <c r="G89" s="183">
        <f t="shared" si="138"/>
        <v>375.70499999999993</v>
      </c>
      <c r="H89" s="183">
        <f t="shared" si="138"/>
        <v>466.78499999999997</v>
      </c>
      <c r="I89" s="183">
        <f t="shared" si="138"/>
        <v>433.66499999999996</v>
      </c>
      <c r="J89" s="183">
        <f t="shared" si="138"/>
        <v>699.66</v>
      </c>
      <c r="K89" s="183">
        <f t="shared" si="138"/>
        <v>1638.4056849315068</v>
      </c>
      <c r="L89" s="183">
        <f t="shared" si="138"/>
        <v>2689.4044520547941</v>
      </c>
      <c r="M89" s="183">
        <f t="shared" si="138"/>
        <v>3542.9787671232871</v>
      </c>
      <c r="N89" s="183">
        <f t="shared" si="138"/>
        <v>4005.5376712328762</v>
      </c>
      <c r="O89" s="183">
        <f t="shared" si="138"/>
        <v>3885.1854801040258</v>
      </c>
      <c r="P89" s="183">
        <f t="shared" si="138"/>
        <v>4158.879457308858</v>
      </c>
      <c r="Q89" s="183">
        <f t="shared" si="138"/>
        <v>4904.8316409010895</v>
      </c>
      <c r="R89" s="183">
        <f t="shared" si="138"/>
        <v>6201.9248160540919</v>
      </c>
      <c r="S89" s="183">
        <f t="shared" si="138"/>
        <v>7281.3591655568407</v>
      </c>
      <c r="T89" s="183">
        <f t="shared" si="138"/>
        <v>8067.8177111132982</v>
      </c>
    </row>
    <row r="90" spans="2:29">
      <c r="B90" s="822"/>
      <c r="D90" s="165" t="str">
        <f>D84</f>
        <v>GS 3,000 - 4,999</v>
      </c>
      <c r="F90" s="183">
        <f t="shared" ref="F90:T90" si="139">((F84/$F$88)/8760)*12</f>
        <v>11.27</v>
      </c>
      <c r="G90" s="183">
        <f t="shared" si="139"/>
        <v>41.745000000000005</v>
      </c>
      <c r="H90" s="183">
        <f t="shared" si="139"/>
        <v>51.864999999999995</v>
      </c>
      <c r="I90" s="183">
        <f t="shared" si="139"/>
        <v>48.184999999999988</v>
      </c>
      <c r="J90" s="183">
        <f t="shared" si="139"/>
        <v>77.740000000000009</v>
      </c>
      <c r="K90" s="183">
        <f t="shared" si="139"/>
        <v>189.50321917808219</v>
      </c>
      <c r="L90" s="183">
        <f t="shared" si="139"/>
        <v>321.99623287671233</v>
      </c>
      <c r="M90" s="183">
        <f t="shared" si="139"/>
        <v>449.56232876712329</v>
      </c>
      <c r="N90" s="183">
        <f t="shared" si="139"/>
        <v>619.22260273972609</v>
      </c>
      <c r="O90" s="183">
        <f t="shared" si="139"/>
        <v>613.07894102597743</v>
      </c>
      <c r="P90" s="183">
        <f t="shared" si="139"/>
        <v>570.19135452471608</v>
      </c>
      <c r="Q90" s="183">
        <f t="shared" si="139"/>
        <v>680.12825980643709</v>
      </c>
      <c r="R90" s="183">
        <f t="shared" si="139"/>
        <v>852.3419487576175</v>
      </c>
      <c r="S90" s="183">
        <f t="shared" si="139"/>
        <v>1001.4409539629214</v>
      </c>
      <c r="T90" s="183">
        <f t="shared" si="139"/>
        <v>1119.0882705969361</v>
      </c>
    </row>
    <row r="91" spans="2:29">
      <c r="B91" s="822"/>
      <c r="D91" s="165" t="str">
        <f>D85</f>
        <v>Large Use</v>
      </c>
      <c r="F91" s="183">
        <f t="shared" ref="F91:T91" si="140">((F85/$F$88)/8760)*12</f>
        <v>0</v>
      </c>
      <c r="G91" s="183">
        <f t="shared" si="140"/>
        <v>0</v>
      </c>
      <c r="H91" s="183">
        <f t="shared" si="140"/>
        <v>0</v>
      </c>
      <c r="I91" s="183">
        <f t="shared" si="140"/>
        <v>0</v>
      </c>
      <c r="J91" s="183">
        <f t="shared" si="140"/>
        <v>0</v>
      </c>
      <c r="K91" s="183">
        <f t="shared" si="140"/>
        <v>14.383561643835616</v>
      </c>
      <c r="L91" s="183">
        <f t="shared" si="140"/>
        <v>57.534246575342465</v>
      </c>
      <c r="M91" s="183">
        <f t="shared" si="140"/>
        <v>139.72602739726028</v>
      </c>
      <c r="N91" s="183">
        <f t="shared" si="140"/>
        <v>218.83561643835617</v>
      </c>
      <c r="O91" s="183">
        <f t="shared" si="140"/>
        <v>188.66007701087742</v>
      </c>
      <c r="P91" s="183">
        <f t="shared" si="140"/>
        <v>151.38528458634082</v>
      </c>
      <c r="Q91" s="183">
        <f t="shared" si="140"/>
        <v>189.27350882510098</v>
      </c>
      <c r="R91" s="183">
        <f t="shared" si="140"/>
        <v>228.61670791957675</v>
      </c>
      <c r="S91" s="183">
        <f t="shared" si="140"/>
        <v>269.45792557430127</v>
      </c>
      <c r="T91" s="183">
        <f t="shared" si="140"/>
        <v>311.84134525204718</v>
      </c>
    </row>
    <row r="92" spans="2:29"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</row>
    <row r="93" spans="2:29">
      <c r="B93" s="822" t="str">
        <f>B41</f>
        <v>Plug-in hybrid electric</v>
      </c>
      <c r="C93" s="165" t="s">
        <v>463</v>
      </c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X93" s="270" t="s">
        <v>464</v>
      </c>
      <c r="Y93" s="186" t="s">
        <v>444</v>
      </c>
      <c r="Z93" s="186" t="s">
        <v>465</v>
      </c>
    </row>
    <row r="94" spans="2:29">
      <c r="B94" s="822"/>
      <c r="C94" s="821" t="s">
        <v>467</v>
      </c>
      <c r="D94" s="165" t="s">
        <v>12</v>
      </c>
      <c r="F94" s="143">
        <f>F$50*$X94+F$55*$Y94+F$60*$Z94</f>
        <v>106891.63230144403</v>
      </c>
      <c r="G94" s="143">
        <f t="shared" ref="G94:T94" si="141">(G$50-F$50)*$X94+(G$55-F$55)*$Y94+(G$60-F$60)*$Z94</f>
        <v>347567.24087996391</v>
      </c>
      <c r="H94" s="143">
        <f t="shared" si="141"/>
        <v>300775.40591606492</v>
      </c>
      <c r="I94" s="143">
        <f t="shared" si="141"/>
        <v>104265.01326714801</v>
      </c>
      <c r="J94" s="143">
        <f t="shared" si="141"/>
        <v>154084.79163808667</v>
      </c>
      <c r="K94" s="143">
        <f t="shared" si="141"/>
        <v>261587.00882671474</v>
      </c>
      <c r="L94" s="143">
        <f t="shared" si="141"/>
        <v>448971.3935694946</v>
      </c>
      <c r="M94" s="143">
        <f t="shared" si="141"/>
        <v>669847.43527527049</v>
      </c>
      <c r="N94" s="143">
        <f t="shared" si="141"/>
        <v>745086.94964801439</v>
      </c>
      <c r="O94" s="143">
        <f t="shared" si="141"/>
        <v>913541.997035268</v>
      </c>
      <c r="P94" s="143">
        <f t="shared" si="141"/>
        <v>1019642.3104478809</v>
      </c>
      <c r="Q94" s="143">
        <f t="shared" si="141"/>
        <v>1060772.1609664687</v>
      </c>
      <c r="R94" s="143">
        <f t="shared" si="141"/>
        <v>1742476.1284140465</v>
      </c>
      <c r="S94" s="143">
        <f t="shared" si="141"/>
        <v>2107102.8806429352</v>
      </c>
      <c r="T94" s="143">
        <f t="shared" si="141"/>
        <v>2320916.9837854616</v>
      </c>
      <c r="W94" s="186" t="str">
        <f t="shared" ref="W94:W99" si="142">D94</f>
        <v>Residential</v>
      </c>
      <c r="X94" s="269">
        <f t="shared" ref="X94:Z99" si="143">X80</f>
        <v>0.8386206377858002</v>
      </c>
      <c r="Y94" s="269">
        <f t="shared" si="143"/>
        <v>0.64129813477737663</v>
      </c>
      <c r="Z94" s="269">
        <f t="shared" si="143"/>
        <v>0.59196750902527073</v>
      </c>
    </row>
    <row r="95" spans="2:29">
      <c r="B95" s="822"/>
      <c r="C95" s="821"/>
      <c r="D95" s="165" t="s">
        <v>13</v>
      </c>
      <c r="F95" s="143">
        <f t="shared" ref="F95:F98" si="144">F$50*$X95+F$55*$Y95+F$60*$Z95</f>
        <v>1450.4276985559559</v>
      </c>
      <c r="G95" s="143">
        <f t="shared" ref="G95:T95" si="145">(G$50-F$50)*$X95+(G$55-F$55)*$Y95+(G$60-F$60)*$Z95</f>
        <v>4716.1891200360988</v>
      </c>
      <c r="H95" s="143">
        <f t="shared" si="145"/>
        <v>4081.2640839350156</v>
      </c>
      <c r="I95" s="143">
        <f t="shared" si="145"/>
        <v>1414.7867328519849</v>
      </c>
      <c r="J95" s="143">
        <f t="shared" si="145"/>
        <v>2090.7983619133565</v>
      </c>
      <c r="K95" s="143">
        <f t="shared" si="145"/>
        <v>3549.511173285196</v>
      </c>
      <c r="L95" s="143">
        <f t="shared" si="145"/>
        <v>6092.1564305054126</v>
      </c>
      <c r="M95" s="143">
        <f t="shared" si="145"/>
        <v>9089.2547247292332</v>
      </c>
      <c r="N95" s="143">
        <f t="shared" si="145"/>
        <v>10110.190351985555</v>
      </c>
      <c r="O95" s="143">
        <f t="shared" si="145"/>
        <v>12395.980749525663</v>
      </c>
      <c r="P95" s="143">
        <f t="shared" si="145"/>
        <v>13835.670929998683</v>
      </c>
      <c r="Q95" s="143">
        <f t="shared" si="145"/>
        <v>14393.767697212328</v>
      </c>
      <c r="R95" s="143">
        <f t="shared" si="145"/>
        <v>23643.905386316521</v>
      </c>
      <c r="S95" s="143">
        <f t="shared" si="145"/>
        <v>28591.577432111775</v>
      </c>
      <c r="T95" s="143">
        <f t="shared" si="145"/>
        <v>31492.851281735933</v>
      </c>
      <c r="W95" s="186" t="str">
        <f t="shared" si="142"/>
        <v>Residential Seasonal</v>
      </c>
      <c r="X95" s="269">
        <f t="shared" si="143"/>
        <v>1.1379362214199754E-2</v>
      </c>
      <c r="Y95" s="269">
        <f t="shared" si="143"/>
        <v>8.7018652226233412E-3</v>
      </c>
      <c r="Z95" s="269">
        <f t="shared" si="143"/>
        <v>8.0324909747292381E-3</v>
      </c>
    </row>
    <row r="96" spans="2:29">
      <c r="B96" s="822"/>
      <c r="C96" s="821"/>
      <c r="D96" s="165" t="s">
        <v>14</v>
      </c>
      <c r="F96" s="143">
        <f t="shared" si="144"/>
        <v>14784.36</v>
      </c>
      <c r="G96" s="143">
        <f t="shared" ref="G96:T96" si="146">(G$50-F$50)*$X96+(G$55-F$55)*$Y96+(G$60-F$60)*$Z96</f>
        <v>48671.580000000009</v>
      </c>
      <c r="H96" s="143">
        <f t="shared" si="146"/>
        <v>41239.019999999997</v>
      </c>
      <c r="I96" s="143">
        <f t="shared" si="146"/>
        <v>12988.800000000001</v>
      </c>
      <c r="J96" s="143">
        <f t="shared" si="146"/>
        <v>20226.540000000005</v>
      </c>
      <c r="K96" s="143">
        <f t="shared" si="146"/>
        <v>34713.119999999995</v>
      </c>
      <c r="L96" s="143">
        <f t="shared" si="146"/>
        <v>59466.3</v>
      </c>
      <c r="M96" s="143">
        <f t="shared" si="146"/>
        <v>85063.13999999997</v>
      </c>
      <c r="N96" s="143">
        <f t="shared" si="146"/>
        <v>91440.84</v>
      </c>
      <c r="O96" s="143">
        <f t="shared" si="146"/>
        <v>115711.83231467169</v>
      </c>
      <c r="P96" s="143">
        <f t="shared" si="146"/>
        <v>130005.0947859999</v>
      </c>
      <c r="Q96" s="143">
        <f t="shared" si="146"/>
        <v>131736.9981406533</v>
      </c>
      <c r="R96" s="143">
        <f t="shared" si="146"/>
        <v>226279.13690357839</v>
      </c>
      <c r="S96" s="143">
        <f t="shared" si="146"/>
        <v>272759.08304176427</v>
      </c>
      <c r="T96" s="143">
        <f t="shared" si="146"/>
        <v>299529.96993071598</v>
      </c>
      <c r="W96" s="186" t="str">
        <f t="shared" si="142"/>
        <v>GS&lt;50</v>
      </c>
      <c r="X96" s="269">
        <f t="shared" si="143"/>
        <v>0.1</v>
      </c>
      <c r="Y96" s="269">
        <f t="shared" si="143"/>
        <v>0.2</v>
      </c>
      <c r="Z96" s="269">
        <f t="shared" si="143"/>
        <v>0.2</v>
      </c>
    </row>
    <row r="97" spans="2:26">
      <c r="B97" s="822"/>
      <c r="C97" s="821"/>
      <c r="D97" s="165" t="s">
        <v>15</v>
      </c>
      <c r="F97" s="143">
        <f t="shared" si="144"/>
        <v>6817.9619999999995</v>
      </c>
      <c r="G97" s="143">
        <f t="shared" ref="G97:T97" si="147">(G$50-F$50)*$X97+(G$55-F$55)*$Y97+(G$60-F$60)*$Z97</f>
        <v>22487.211000000003</v>
      </c>
      <c r="H97" s="143">
        <f t="shared" si="147"/>
        <v>18992.558999999997</v>
      </c>
      <c r="I97" s="143">
        <f t="shared" si="147"/>
        <v>5889.96</v>
      </c>
      <c r="J97" s="143">
        <f t="shared" si="147"/>
        <v>9251.9430000000011</v>
      </c>
      <c r="K97" s="143">
        <f t="shared" si="147"/>
        <v>15905.903999999997</v>
      </c>
      <c r="L97" s="143">
        <f t="shared" si="147"/>
        <v>27239.834999999999</v>
      </c>
      <c r="M97" s="143">
        <f t="shared" si="147"/>
        <v>38698.412999999986</v>
      </c>
      <c r="N97" s="143">
        <f t="shared" si="147"/>
        <v>41358.377999999997</v>
      </c>
      <c r="O97" s="143">
        <f t="shared" si="147"/>
        <v>52619.015940553829</v>
      </c>
      <c r="P97" s="143">
        <f t="shared" si="147"/>
        <v>59183.867170872516</v>
      </c>
      <c r="Q97" s="143">
        <f t="shared" si="147"/>
        <v>59706.39731121657</v>
      </c>
      <c r="R97" s="143">
        <f t="shared" si="147"/>
        <v>103323.25570070601</v>
      </c>
      <c r="S97" s="143">
        <f t="shared" si="147"/>
        <v>124482.13734765057</v>
      </c>
      <c r="T97" s="143">
        <f t="shared" si="147"/>
        <v>136632.24751019257</v>
      </c>
      <c r="W97" s="186" t="str">
        <f t="shared" si="142"/>
        <v>GS 50 - 2,999</v>
      </c>
      <c r="X97" s="269">
        <f t="shared" si="143"/>
        <v>4.4999999999999998E-2</v>
      </c>
      <c r="Y97" s="269">
        <f t="shared" si="143"/>
        <v>0.1</v>
      </c>
      <c r="Z97" s="269">
        <f t="shared" si="143"/>
        <v>0.15</v>
      </c>
    </row>
    <row r="98" spans="2:26">
      <c r="B98" s="822"/>
      <c r="C98" s="821"/>
      <c r="D98" s="165" t="s">
        <v>16</v>
      </c>
      <c r="F98" s="143">
        <f t="shared" si="144"/>
        <v>1399.2179999999998</v>
      </c>
      <c r="G98" s="143">
        <f t="shared" ref="G98:T98" si="148">(G$50-F$50)*$X98+(G$55-F$55)*$Y98+(G$60-F$60)*$Z98</f>
        <v>4773.5789999999997</v>
      </c>
      <c r="H98" s="143">
        <f t="shared" si="148"/>
        <v>3801.951</v>
      </c>
      <c r="I98" s="143">
        <f t="shared" si="148"/>
        <v>829.44</v>
      </c>
      <c r="J98" s="143">
        <f t="shared" si="148"/>
        <v>1611.3270000000002</v>
      </c>
      <c r="K98" s="143">
        <f t="shared" si="148"/>
        <v>2875.6559999999999</v>
      </c>
      <c r="L98" s="143">
        <f t="shared" si="148"/>
        <v>4893.3150000000005</v>
      </c>
      <c r="M98" s="143">
        <f t="shared" si="148"/>
        <v>5933.1569999999983</v>
      </c>
      <c r="N98" s="143">
        <f t="shared" si="148"/>
        <v>5412.0419999999995</v>
      </c>
      <c r="O98" s="143">
        <f t="shared" si="148"/>
        <v>7980.3572115398929</v>
      </c>
      <c r="P98" s="143">
        <f t="shared" si="148"/>
        <v>9226.5528079902597</v>
      </c>
      <c r="Q98" s="143">
        <f t="shared" si="148"/>
        <v>8285.8424987230246</v>
      </c>
      <c r="R98" s="143">
        <f t="shared" si="148"/>
        <v>17304.533221561898</v>
      </c>
      <c r="S98" s="143">
        <f t="shared" si="148"/>
        <v>20600.154067514846</v>
      </c>
      <c r="T98" s="143">
        <f t="shared" si="148"/>
        <v>22351.542662017269</v>
      </c>
      <c r="W98" s="186" t="str">
        <f t="shared" si="142"/>
        <v>GS 3,000 - 4,999</v>
      </c>
      <c r="X98" s="269">
        <f t="shared" si="143"/>
        <v>5.0000000000000001E-3</v>
      </c>
      <c r="Y98" s="269">
        <f t="shared" si="143"/>
        <v>0.05</v>
      </c>
      <c r="Z98" s="269">
        <f t="shared" si="143"/>
        <v>2.5000000000000001E-2</v>
      </c>
    </row>
    <row r="99" spans="2:26">
      <c r="B99" s="822"/>
      <c r="C99" s="821"/>
      <c r="D99" s="165" t="s">
        <v>17</v>
      </c>
      <c r="F99" s="143">
        <f>F$50*$X99+F$55*$Y99+F$60*$Z99</f>
        <v>0</v>
      </c>
      <c r="G99" s="143">
        <f t="shared" ref="G99:T99" si="149">(G$50-F$50)*$X99+(G$55-F$55)*$Y99+(G$60-F$60)*$Z99</f>
        <v>0</v>
      </c>
      <c r="H99" s="143">
        <f t="shared" si="149"/>
        <v>0</v>
      </c>
      <c r="I99" s="143">
        <f t="shared" si="149"/>
        <v>0</v>
      </c>
      <c r="J99" s="143">
        <f t="shared" si="149"/>
        <v>0</v>
      </c>
      <c r="K99" s="143">
        <f>(K$50-J$50)*$X99+(K$55-J$55)*$Y99+(K$60-J$60)*$Z99</f>
        <v>0</v>
      </c>
      <c r="L99" s="143">
        <f t="shared" si="149"/>
        <v>0</v>
      </c>
      <c r="M99" s="143">
        <f t="shared" si="149"/>
        <v>0</v>
      </c>
      <c r="N99" s="143">
        <f t="shared" si="149"/>
        <v>0</v>
      </c>
      <c r="O99" s="143">
        <f t="shared" si="149"/>
        <v>0</v>
      </c>
      <c r="P99" s="143">
        <f t="shared" si="149"/>
        <v>0</v>
      </c>
      <c r="Q99" s="143">
        <f t="shared" si="149"/>
        <v>0</v>
      </c>
      <c r="R99" s="143">
        <f t="shared" si="149"/>
        <v>0</v>
      </c>
      <c r="S99" s="143">
        <f t="shared" si="149"/>
        <v>0</v>
      </c>
      <c r="T99" s="143">
        <f t="shared" si="149"/>
        <v>0</v>
      </c>
      <c r="W99" s="186" t="str">
        <f t="shared" si="142"/>
        <v>Large Use</v>
      </c>
      <c r="X99" s="269">
        <f t="shared" si="143"/>
        <v>0</v>
      </c>
      <c r="Y99" s="269">
        <f t="shared" si="143"/>
        <v>0</v>
      </c>
      <c r="Z99" s="269">
        <f t="shared" si="143"/>
        <v>2.5000000000000001E-2</v>
      </c>
    </row>
    <row r="100" spans="2:26">
      <c r="B100" s="822"/>
      <c r="F100" s="185">
        <f t="shared" ref="F100:T100" si="150">SUM(F94:F99)</f>
        <v>131343.59999999998</v>
      </c>
      <c r="G100" s="185">
        <f t="shared" si="150"/>
        <v>428215.80000000005</v>
      </c>
      <c r="H100" s="185">
        <f t="shared" si="150"/>
        <v>368890.19999999995</v>
      </c>
      <c r="I100" s="185">
        <f t="shared" si="150"/>
        <v>125388</v>
      </c>
      <c r="J100" s="185">
        <f t="shared" si="150"/>
        <v>187265.40000000002</v>
      </c>
      <c r="K100" s="185">
        <f t="shared" si="150"/>
        <v>318631.19999999995</v>
      </c>
      <c r="L100" s="185">
        <f t="shared" si="150"/>
        <v>546662.99999999988</v>
      </c>
      <c r="M100" s="185">
        <f t="shared" si="150"/>
        <v>808631.39999999967</v>
      </c>
      <c r="N100" s="185">
        <f t="shared" si="150"/>
        <v>893408.39999999991</v>
      </c>
      <c r="O100" s="185">
        <f t="shared" si="150"/>
        <v>1102249.1832515593</v>
      </c>
      <c r="P100" s="185">
        <f t="shared" si="150"/>
        <v>1231893.4961427425</v>
      </c>
      <c r="Q100" s="185">
        <f t="shared" si="150"/>
        <v>1274895.166614274</v>
      </c>
      <c r="R100" s="185">
        <f t="shared" si="150"/>
        <v>2113026.9596262095</v>
      </c>
      <c r="S100" s="185">
        <f t="shared" si="150"/>
        <v>2553535.832531977</v>
      </c>
      <c r="T100" s="185">
        <f t="shared" si="150"/>
        <v>2810923.595170123</v>
      </c>
      <c r="W100" s="186"/>
      <c r="X100" s="269">
        <f>SUM(X94:X99)</f>
        <v>1</v>
      </c>
      <c r="Y100" s="269">
        <f>SUM(Y94:Y99)</f>
        <v>1</v>
      </c>
      <c r="Z100" s="269">
        <f>SUM(Z94:Z99)</f>
        <v>1</v>
      </c>
    </row>
    <row r="101" spans="2:26">
      <c r="B101" s="822"/>
      <c r="C101" s="165" t="s">
        <v>468</v>
      </c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</row>
    <row r="102" spans="2:26">
      <c r="B102" s="822"/>
      <c r="D102" s="165" t="s">
        <v>469</v>
      </c>
      <c r="F102" s="268">
        <v>0.1</v>
      </c>
      <c r="G102" s="268">
        <f t="shared" ref="G102:T102" si="151">F102</f>
        <v>0.1</v>
      </c>
      <c r="H102" s="268">
        <f t="shared" si="151"/>
        <v>0.1</v>
      </c>
      <c r="I102" s="268">
        <f t="shared" si="151"/>
        <v>0.1</v>
      </c>
      <c r="J102" s="268">
        <f t="shared" si="151"/>
        <v>0.1</v>
      </c>
      <c r="K102" s="268">
        <f t="shared" si="151"/>
        <v>0.1</v>
      </c>
      <c r="L102" s="268">
        <f t="shared" si="151"/>
        <v>0.1</v>
      </c>
      <c r="M102" s="268">
        <f t="shared" si="151"/>
        <v>0.1</v>
      </c>
      <c r="N102" s="268">
        <f t="shared" si="151"/>
        <v>0.1</v>
      </c>
      <c r="O102" s="268">
        <f t="shared" si="151"/>
        <v>0.1</v>
      </c>
      <c r="P102" s="268">
        <f t="shared" si="151"/>
        <v>0.1</v>
      </c>
      <c r="Q102" s="268">
        <f t="shared" si="151"/>
        <v>0.1</v>
      </c>
      <c r="R102" s="268">
        <f t="shared" si="151"/>
        <v>0.1</v>
      </c>
      <c r="S102" s="268">
        <f t="shared" si="151"/>
        <v>0.1</v>
      </c>
      <c r="T102" s="268">
        <f t="shared" si="151"/>
        <v>0.1</v>
      </c>
    </row>
    <row r="103" spans="2:26">
      <c r="B103" s="822"/>
      <c r="D103" s="165" t="str">
        <f>D97</f>
        <v>GS 50 - 2,999</v>
      </c>
      <c r="F103" s="183">
        <f t="shared" ref="F103:S103" si="152">((F97/F$102)/8760)*12</f>
        <v>93.396739726027391</v>
      </c>
      <c r="G103" s="183">
        <f t="shared" si="152"/>
        <v>308.04398630136984</v>
      </c>
      <c r="H103" s="183">
        <f t="shared" si="152"/>
        <v>260.17204109589034</v>
      </c>
      <c r="I103" s="183">
        <f t="shared" si="152"/>
        <v>80.684383561643827</v>
      </c>
      <c r="J103" s="183">
        <f t="shared" si="152"/>
        <v>126.73894520547947</v>
      </c>
      <c r="K103" s="183">
        <f t="shared" si="152"/>
        <v>217.88909589041089</v>
      </c>
      <c r="L103" s="183">
        <f t="shared" si="152"/>
        <v>373.14842465753424</v>
      </c>
      <c r="M103" s="183">
        <f t="shared" si="152"/>
        <v>530.11524657534221</v>
      </c>
      <c r="N103" s="183">
        <f t="shared" si="152"/>
        <v>566.55312328767116</v>
      </c>
      <c r="O103" s="183">
        <f t="shared" si="152"/>
        <v>720.8084375418332</v>
      </c>
      <c r="P103" s="183">
        <f t="shared" si="152"/>
        <v>810.73790645030851</v>
      </c>
      <c r="Q103" s="183">
        <f t="shared" si="152"/>
        <v>817.89585357830924</v>
      </c>
      <c r="R103" s="183">
        <f t="shared" si="152"/>
        <v>1415.387064393233</v>
      </c>
      <c r="S103" s="183">
        <f t="shared" si="152"/>
        <v>1705.2347581869938</v>
      </c>
      <c r="T103" s="183">
        <f>((T97/T$102)/8760)*12</f>
        <v>1871.6746234272955</v>
      </c>
    </row>
    <row r="104" spans="2:26">
      <c r="B104" s="822"/>
      <c r="D104" s="165" t="str">
        <f>D98</f>
        <v>GS 3,000 - 4,999</v>
      </c>
      <c r="F104" s="183">
        <f t="shared" ref="F104:T104" si="153">((F98/F$102)/8760)*12</f>
        <v>19.167369863013697</v>
      </c>
      <c r="G104" s="183">
        <f t="shared" si="153"/>
        <v>65.391493150684923</v>
      </c>
      <c r="H104" s="183">
        <f t="shared" si="153"/>
        <v>52.081520547945196</v>
      </c>
      <c r="I104" s="183">
        <f t="shared" si="153"/>
        <v>11.362191780821917</v>
      </c>
      <c r="J104" s="183">
        <f t="shared" si="153"/>
        <v>22.072972602739728</v>
      </c>
      <c r="K104" s="183">
        <f t="shared" si="153"/>
        <v>39.392547945205479</v>
      </c>
      <c r="L104" s="183">
        <f t="shared" si="153"/>
        <v>67.031712328767128</v>
      </c>
      <c r="M104" s="183">
        <f t="shared" si="153"/>
        <v>81.276123287671197</v>
      </c>
      <c r="N104" s="183">
        <f t="shared" si="153"/>
        <v>74.137561643835596</v>
      </c>
      <c r="O104" s="183">
        <f t="shared" si="153"/>
        <v>109.31996180191635</v>
      </c>
      <c r="P104" s="183">
        <f t="shared" si="153"/>
        <v>126.39113435603093</v>
      </c>
      <c r="Q104" s="183">
        <f t="shared" si="153"/>
        <v>113.50469176332911</v>
      </c>
      <c r="R104" s="183">
        <f t="shared" si="153"/>
        <v>237.04840029536845</v>
      </c>
      <c r="S104" s="183">
        <f t="shared" si="153"/>
        <v>282.19389133581979</v>
      </c>
      <c r="T104" s="183">
        <f t="shared" si="153"/>
        <v>306.18551591804476</v>
      </c>
    </row>
    <row r="105" spans="2:26">
      <c r="B105" s="822"/>
      <c r="D105" s="165" t="str">
        <f>D99</f>
        <v>Large Use</v>
      </c>
      <c r="F105" s="183">
        <f>((F99/F$102)/8760)*12</f>
        <v>0</v>
      </c>
      <c r="G105" s="183">
        <f t="shared" ref="G105:T105" si="154">((G99/G$102)/8760)*12</f>
        <v>0</v>
      </c>
      <c r="H105" s="183">
        <f t="shared" si="154"/>
        <v>0</v>
      </c>
      <c r="I105" s="183">
        <f t="shared" si="154"/>
        <v>0</v>
      </c>
      <c r="J105" s="183">
        <f t="shared" si="154"/>
        <v>0</v>
      </c>
      <c r="K105" s="183">
        <f>((K99/K$102)/8760)*12</f>
        <v>0</v>
      </c>
      <c r="L105" s="183">
        <f t="shared" si="154"/>
        <v>0</v>
      </c>
      <c r="M105" s="183">
        <f t="shared" si="154"/>
        <v>0</v>
      </c>
      <c r="N105" s="183">
        <f t="shared" si="154"/>
        <v>0</v>
      </c>
      <c r="O105" s="183">
        <f t="shared" si="154"/>
        <v>0</v>
      </c>
      <c r="P105" s="183">
        <f t="shared" si="154"/>
        <v>0</v>
      </c>
      <c r="Q105" s="183">
        <f t="shared" si="154"/>
        <v>0</v>
      </c>
      <c r="R105" s="183">
        <f t="shared" si="154"/>
        <v>0</v>
      </c>
      <c r="S105" s="183">
        <f t="shared" si="154"/>
        <v>0</v>
      </c>
      <c r="T105" s="183">
        <f t="shared" si="154"/>
        <v>0</v>
      </c>
    </row>
    <row r="108" spans="2:26">
      <c r="B108" s="823" t="s">
        <v>290</v>
      </c>
      <c r="C108" s="165" t="s">
        <v>463</v>
      </c>
      <c r="F108" s="352">
        <f t="shared" ref="F108:T108" si="155">F79</f>
        <v>2017</v>
      </c>
      <c r="G108" s="352">
        <f t="shared" si="155"/>
        <v>2018</v>
      </c>
      <c r="H108" s="352">
        <f t="shared" si="155"/>
        <v>2019</v>
      </c>
      <c r="I108" s="352">
        <f t="shared" si="155"/>
        <v>2020</v>
      </c>
      <c r="J108" s="352">
        <f t="shared" si="155"/>
        <v>2021</v>
      </c>
      <c r="K108" s="352">
        <f t="shared" si="155"/>
        <v>2022</v>
      </c>
      <c r="L108" s="352">
        <f t="shared" si="155"/>
        <v>2023</v>
      </c>
      <c r="M108" s="352">
        <f t="shared" si="155"/>
        <v>2024</v>
      </c>
      <c r="N108" s="352">
        <f t="shared" si="155"/>
        <v>2025</v>
      </c>
      <c r="O108" s="352">
        <f t="shared" si="155"/>
        <v>2026</v>
      </c>
      <c r="P108" s="352">
        <f t="shared" si="155"/>
        <v>2027</v>
      </c>
      <c r="Q108" s="352">
        <f t="shared" si="155"/>
        <v>2028</v>
      </c>
      <c r="R108" s="352">
        <f t="shared" si="155"/>
        <v>2029</v>
      </c>
      <c r="S108" s="352">
        <f t="shared" si="155"/>
        <v>2030</v>
      </c>
      <c r="T108" s="352">
        <f t="shared" si="155"/>
        <v>2031</v>
      </c>
    </row>
    <row r="109" spans="2:26">
      <c r="B109" s="823"/>
      <c r="C109" s="821" t="s">
        <v>467</v>
      </c>
      <c r="D109" s="165" t="s">
        <v>12</v>
      </c>
      <c r="F109" s="143">
        <f>F80+F94</f>
        <v>244879.94928399514</v>
      </c>
      <c r="G109" s="143">
        <f>G80+G94</f>
        <v>858687.23133574007</v>
      </c>
      <c r="H109" s="143">
        <f t="shared" ref="H109:T109" si="156">H80+H94</f>
        <v>935803.2728459686</v>
      </c>
      <c r="I109" s="143">
        <f t="shared" si="156"/>
        <v>694235.47057009628</v>
      </c>
      <c r="J109" s="143">
        <f t="shared" si="156"/>
        <v>1105922.5700075212</v>
      </c>
      <c r="K109" s="143">
        <f t="shared" si="156"/>
        <v>2391865.9027873049</v>
      </c>
      <c r="L109" s="143">
        <f t="shared" si="156"/>
        <v>3728371.0057460889</v>
      </c>
      <c r="M109" s="143">
        <f t="shared" si="156"/>
        <v>4569426.9879978932</v>
      </c>
      <c r="N109" s="143">
        <f t="shared" si="156"/>
        <v>4554104.3530024067</v>
      </c>
      <c r="O109" s="143">
        <f t="shared" si="156"/>
        <v>4713314.4082688736</v>
      </c>
      <c r="P109" s="143">
        <f t="shared" si="156"/>
        <v>5571252.5941150067</v>
      </c>
      <c r="Q109" s="143">
        <f t="shared" si="156"/>
        <v>6350328.7258111518</v>
      </c>
      <c r="R109" s="143">
        <f t="shared" si="156"/>
        <v>8509134.9324500412</v>
      </c>
      <c r="S109" s="143">
        <f t="shared" si="156"/>
        <v>10043807.746259566</v>
      </c>
      <c r="T109" s="143">
        <f t="shared" si="156"/>
        <v>11017825.458026152</v>
      </c>
    </row>
    <row r="110" spans="2:26">
      <c r="B110" s="823"/>
      <c r="C110" s="821"/>
      <c r="D110" s="165" t="s">
        <v>13</v>
      </c>
      <c r="F110" s="143">
        <f t="shared" ref="F110:T114" si="157">F81+F95</f>
        <v>3322.8107160048121</v>
      </c>
      <c r="G110" s="143">
        <f t="shared" si="157"/>
        <v>11651.648664259923</v>
      </c>
      <c r="H110" s="143">
        <f t="shared" si="157"/>
        <v>12698.047154031281</v>
      </c>
      <c r="I110" s="143">
        <f t="shared" si="157"/>
        <v>9420.1794299037265</v>
      </c>
      <c r="J110" s="143">
        <f t="shared" si="157"/>
        <v>15006.419992478935</v>
      </c>
      <c r="K110" s="143">
        <f t="shared" si="157"/>
        <v>32455.567212695529</v>
      </c>
      <c r="L110" s="143">
        <f t="shared" si="157"/>
        <v>50590.794253910928</v>
      </c>
      <c r="M110" s="143">
        <f t="shared" si="157"/>
        <v>62003.202002105863</v>
      </c>
      <c r="N110" s="143">
        <f t="shared" si="157"/>
        <v>61795.286997593234</v>
      </c>
      <c r="O110" s="143">
        <f t="shared" si="157"/>
        <v>63955.630787609327</v>
      </c>
      <c r="P110" s="143">
        <f t="shared" si="157"/>
        <v>75597.115547527879</v>
      </c>
      <c r="Q110" s="143">
        <f t="shared" si="157"/>
        <v>86168.50992486543</v>
      </c>
      <c r="R110" s="143">
        <f t="shared" si="157"/>
        <v>115461.65711054327</v>
      </c>
      <c r="S110" s="143">
        <f t="shared" si="157"/>
        <v>136285.84988826056</v>
      </c>
      <c r="T110" s="143">
        <f t="shared" si="157"/>
        <v>149502.43417660118</v>
      </c>
    </row>
    <row r="111" spans="2:26">
      <c r="B111" s="823"/>
      <c r="C111" s="821"/>
      <c r="D111" s="165" t="s">
        <v>14</v>
      </c>
      <c r="F111" s="143">
        <f t="shared" si="157"/>
        <v>31238.560000000001</v>
      </c>
      <c r="G111" s="143">
        <f t="shared" si="157"/>
        <v>109619.28000000001</v>
      </c>
      <c r="H111" s="143">
        <f t="shared" si="157"/>
        <v>116961.92000000001</v>
      </c>
      <c r="I111" s="143">
        <f t="shared" si="157"/>
        <v>83338.900000000009</v>
      </c>
      <c r="J111" s="143">
        <f t="shared" si="157"/>
        <v>133726.94</v>
      </c>
      <c r="K111" s="143">
        <f t="shared" si="157"/>
        <v>294787.82</v>
      </c>
      <c r="L111" s="143">
        <f t="shared" si="157"/>
        <v>473180.8</v>
      </c>
      <c r="M111" s="143">
        <f t="shared" si="157"/>
        <v>605024.14</v>
      </c>
      <c r="N111" s="143">
        <f t="shared" si="157"/>
        <v>651805.84</v>
      </c>
      <c r="O111" s="143">
        <f t="shared" si="157"/>
        <v>667580.24768571905</v>
      </c>
      <c r="P111" s="143">
        <f t="shared" si="157"/>
        <v>743324.35231780366</v>
      </c>
      <c r="Q111" s="143">
        <f t="shared" si="157"/>
        <v>850713.44435731438</v>
      </c>
      <c r="R111" s="143">
        <f t="shared" si="157"/>
        <v>1139730.5122894794</v>
      </c>
      <c r="S111" s="143">
        <f t="shared" si="157"/>
        <v>1344769.2713851866</v>
      </c>
      <c r="T111" s="143">
        <f t="shared" si="157"/>
        <v>1481946.8636798086</v>
      </c>
    </row>
    <row r="112" spans="2:26">
      <c r="B112" s="823"/>
      <c r="C112" s="821"/>
      <c r="D112" s="165" t="s">
        <v>15</v>
      </c>
      <c r="F112" s="143">
        <f t="shared" si="157"/>
        <v>14222.351999999999</v>
      </c>
      <c r="G112" s="143">
        <f t="shared" si="157"/>
        <v>49913.676000000007</v>
      </c>
      <c r="H112" s="143">
        <f t="shared" si="157"/>
        <v>53067.864000000001</v>
      </c>
      <c r="I112" s="143">
        <f t="shared" si="157"/>
        <v>37547.504999999997</v>
      </c>
      <c r="J112" s="143">
        <f t="shared" si="157"/>
        <v>60327.123</v>
      </c>
      <c r="K112" s="143">
        <f t="shared" si="157"/>
        <v>135509.519</v>
      </c>
      <c r="L112" s="143">
        <f t="shared" si="157"/>
        <v>223566.36</v>
      </c>
      <c r="M112" s="143">
        <f t="shared" si="157"/>
        <v>297335.86299999995</v>
      </c>
      <c r="N112" s="143">
        <f t="shared" si="157"/>
        <v>333762.62800000003</v>
      </c>
      <c r="O112" s="143">
        <f t="shared" si="157"/>
        <v>336237.55598814774</v>
      </c>
      <c r="P112" s="143">
        <f t="shared" si="157"/>
        <v>362782.06755441916</v>
      </c>
      <c r="Q112" s="143">
        <f t="shared" si="157"/>
        <v>417759.1070969961</v>
      </c>
      <c r="R112" s="143">
        <f t="shared" si="157"/>
        <v>556063.76727265469</v>
      </c>
      <c r="S112" s="143">
        <f t="shared" si="157"/>
        <v>656021.35643330007</v>
      </c>
      <c r="T112" s="143">
        <f t="shared" si="157"/>
        <v>725582.94042146334</v>
      </c>
    </row>
    <row r="113" spans="2:28">
      <c r="B113" s="823"/>
      <c r="C113" s="821"/>
      <c r="D113" s="165" t="s">
        <v>16</v>
      </c>
      <c r="F113" s="143">
        <f t="shared" si="157"/>
        <v>2221.9279999999999</v>
      </c>
      <c r="G113" s="143">
        <f t="shared" si="157"/>
        <v>7820.9639999999999</v>
      </c>
      <c r="H113" s="143">
        <f t="shared" si="157"/>
        <v>7588.0959999999995</v>
      </c>
      <c r="I113" s="143">
        <f t="shared" si="157"/>
        <v>4346.9449999999997</v>
      </c>
      <c r="J113" s="143">
        <f t="shared" si="157"/>
        <v>7286.3470000000007</v>
      </c>
      <c r="K113" s="143">
        <f t="shared" si="157"/>
        <v>16709.391</v>
      </c>
      <c r="L113" s="143">
        <f t="shared" si="157"/>
        <v>28399.040000000001</v>
      </c>
      <c r="M113" s="143">
        <f t="shared" si="157"/>
        <v>38751.207000000002</v>
      </c>
      <c r="N113" s="143">
        <f t="shared" si="157"/>
        <v>50615.292000000001</v>
      </c>
      <c r="O113" s="143">
        <f t="shared" si="157"/>
        <v>52735.119906436244</v>
      </c>
      <c r="P113" s="143">
        <f t="shared" si="157"/>
        <v>50850.521688294531</v>
      </c>
      <c r="Q113" s="143">
        <f t="shared" si="157"/>
        <v>57935.205464592931</v>
      </c>
      <c r="R113" s="143">
        <f t="shared" si="157"/>
        <v>79525.49548086799</v>
      </c>
      <c r="S113" s="143">
        <f t="shared" si="157"/>
        <v>93705.343706808111</v>
      </c>
      <c r="T113" s="143">
        <f t="shared" si="157"/>
        <v>104044.98641559361</v>
      </c>
    </row>
    <row r="114" spans="2:28">
      <c r="B114" s="823"/>
      <c r="C114" s="821"/>
      <c r="D114" s="165" t="s">
        <v>17</v>
      </c>
      <c r="F114" s="143">
        <f t="shared" si="157"/>
        <v>0</v>
      </c>
      <c r="G114" s="143">
        <f t="shared" si="157"/>
        <v>0</v>
      </c>
      <c r="H114" s="143">
        <f t="shared" si="157"/>
        <v>0</v>
      </c>
      <c r="I114" s="143">
        <f t="shared" si="157"/>
        <v>0</v>
      </c>
      <c r="J114" s="143">
        <f t="shared" si="157"/>
        <v>0</v>
      </c>
      <c r="K114" s="143">
        <f t="shared" si="157"/>
        <v>1050</v>
      </c>
      <c r="L114" s="143">
        <f t="shared" si="157"/>
        <v>4200</v>
      </c>
      <c r="M114" s="143">
        <f t="shared" si="157"/>
        <v>10200</v>
      </c>
      <c r="N114" s="143">
        <f t="shared" si="157"/>
        <v>15975</v>
      </c>
      <c r="O114" s="143">
        <f t="shared" si="157"/>
        <v>13772.185621794051</v>
      </c>
      <c r="P114" s="143">
        <f t="shared" si="157"/>
        <v>11051.12577480288</v>
      </c>
      <c r="Q114" s="143">
        <f t="shared" si="157"/>
        <v>13816.96614423237</v>
      </c>
      <c r="R114" s="143">
        <f t="shared" si="157"/>
        <v>16689.019678129105</v>
      </c>
      <c r="S114" s="143">
        <f t="shared" si="157"/>
        <v>19670.428566923994</v>
      </c>
      <c r="T114" s="143">
        <f t="shared" si="157"/>
        <v>22764.418203399448</v>
      </c>
      <c r="V114" s="143"/>
    </row>
    <row r="115" spans="2:28">
      <c r="B115" s="823"/>
      <c r="V115" s="143"/>
    </row>
    <row r="116" spans="2:28">
      <c r="B116" s="823"/>
      <c r="C116" s="165" t="s">
        <v>436</v>
      </c>
      <c r="F116" s="352">
        <f t="shared" ref="F116:S116" si="158">F108</f>
        <v>2017</v>
      </c>
      <c r="G116" s="352">
        <f t="shared" si="158"/>
        <v>2018</v>
      </c>
      <c r="H116" s="352">
        <f t="shared" si="158"/>
        <v>2019</v>
      </c>
      <c r="I116" s="352">
        <f t="shared" si="158"/>
        <v>2020</v>
      </c>
      <c r="J116" s="352">
        <f t="shared" si="158"/>
        <v>2021</v>
      </c>
      <c r="K116" s="352">
        <f t="shared" si="158"/>
        <v>2022</v>
      </c>
      <c r="L116" s="352">
        <f t="shared" si="158"/>
        <v>2023</v>
      </c>
      <c r="M116" s="352">
        <f t="shared" si="158"/>
        <v>2024</v>
      </c>
      <c r="N116" s="352">
        <f t="shared" si="158"/>
        <v>2025</v>
      </c>
      <c r="O116" s="352">
        <f t="shared" si="158"/>
        <v>2026</v>
      </c>
      <c r="P116" s="352">
        <f t="shared" si="158"/>
        <v>2027</v>
      </c>
      <c r="Q116" s="352">
        <f t="shared" si="158"/>
        <v>2028</v>
      </c>
      <c r="R116" s="352">
        <f t="shared" si="158"/>
        <v>2029</v>
      </c>
      <c r="S116" s="352">
        <f t="shared" si="158"/>
        <v>2030</v>
      </c>
      <c r="T116" s="352">
        <f>T108</f>
        <v>2031</v>
      </c>
      <c r="V116" s="352"/>
      <c r="W116" s="352"/>
      <c r="X116" s="352"/>
      <c r="Y116" s="352"/>
      <c r="Z116" s="352"/>
      <c r="AA116" s="352"/>
      <c r="AB116" s="352"/>
    </row>
    <row r="117" spans="2:28">
      <c r="B117" s="823"/>
      <c r="C117" s="821" t="s">
        <v>470</v>
      </c>
      <c r="D117" s="165" t="s">
        <v>12</v>
      </c>
      <c r="F117" s="143">
        <f>SUM($F109:F109)</f>
        <v>244879.94928399514</v>
      </c>
      <c r="G117" s="143">
        <f>SUM($F109:G109)</f>
        <v>1103567.1806197353</v>
      </c>
      <c r="H117" s="143">
        <f>SUM($F109:H109)</f>
        <v>2039370.4534657039</v>
      </c>
      <c r="I117" s="143">
        <f>SUM($F109:I109)</f>
        <v>2733605.9240358002</v>
      </c>
      <c r="J117" s="143">
        <f>SUM($F109:J109)</f>
        <v>3839528.4940433213</v>
      </c>
      <c r="K117" s="143">
        <f>SUM($F109:K109)</f>
        <v>6231394.3968306258</v>
      </c>
      <c r="L117" s="143">
        <f>SUM($F109:L109)</f>
        <v>9959765.4025767148</v>
      </c>
      <c r="M117" s="143">
        <f>SUM($F109:M109)</f>
        <v>14529192.390574608</v>
      </c>
      <c r="N117" s="143">
        <f>SUM($F109:N109)</f>
        <v>19083296.743577015</v>
      </c>
      <c r="O117" s="143">
        <f>SUM($F109:O109)</f>
        <v>23796611.151845887</v>
      </c>
      <c r="P117" s="143">
        <f>SUM($F109:P109)</f>
        <v>29367863.745960895</v>
      </c>
      <c r="Q117" s="143">
        <f>SUM($F109:Q109)</f>
        <v>35718192.471772045</v>
      </c>
      <c r="R117" s="143">
        <f>SUM($F109:R109)</f>
        <v>44227327.404222086</v>
      </c>
      <c r="S117" s="143">
        <f>SUM($F109:S109)</f>
        <v>54271135.150481656</v>
      </c>
      <c r="T117" s="143">
        <f>SUM($F109:T109)</f>
        <v>65288960.608507812</v>
      </c>
      <c r="U117" s="143"/>
      <c r="V117" s="143"/>
      <c r="W117" s="143"/>
      <c r="X117" s="143"/>
      <c r="Y117" s="143"/>
      <c r="Z117" s="143"/>
      <c r="AA117" s="143"/>
      <c r="AB117" s="143"/>
    </row>
    <row r="118" spans="2:28">
      <c r="B118" s="823"/>
      <c r="C118" s="821"/>
      <c r="D118" s="165" t="s">
        <v>13</v>
      </c>
      <c r="F118" s="143">
        <f>SUM($F110:F110)</f>
        <v>3322.8107160048121</v>
      </c>
      <c r="G118" s="143">
        <f>SUM($F110:G110)</f>
        <v>14974.459380264736</v>
      </c>
      <c r="H118" s="143">
        <f>SUM($F110:H110)</f>
        <v>27672.506534296015</v>
      </c>
      <c r="I118" s="143">
        <f>SUM($F110:I110)</f>
        <v>37092.685964199743</v>
      </c>
      <c r="J118" s="143">
        <f>SUM($F110:J110)</f>
        <v>52099.105956678679</v>
      </c>
      <c r="K118" s="143">
        <f>SUM($F110:K110)</f>
        <v>84554.673169374204</v>
      </c>
      <c r="L118" s="143">
        <f>SUM($F110:L110)</f>
        <v>135145.46742328512</v>
      </c>
      <c r="M118" s="143">
        <f>SUM($F110:M110)</f>
        <v>197148.66942539098</v>
      </c>
      <c r="N118" s="143">
        <f>SUM($F110:N110)</f>
        <v>258943.95642298422</v>
      </c>
      <c r="O118" s="143">
        <f>SUM($F110:O110)</f>
        <v>322899.58721059357</v>
      </c>
      <c r="P118" s="143">
        <f>SUM($F110:P110)</f>
        <v>398496.70275812142</v>
      </c>
      <c r="Q118" s="143">
        <f>SUM($F110:Q110)</f>
        <v>484665.21268298686</v>
      </c>
      <c r="R118" s="143">
        <f>SUM($F110:R110)</f>
        <v>600126.86979353009</v>
      </c>
      <c r="S118" s="143">
        <f>SUM($F110:S110)</f>
        <v>736412.71968179068</v>
      </c>
      <c r="T118" s="143">
        <f>SUM($F110:T110)</f>
        <v>885915.1538583918</v>
      </c>
      <c r="V118" s="143"/>
      <c r="W118" s="143"/>
      <c r="X118" s="143"/>
      <c r="Y118" s="143"/>
      <c r="Z118" s="143"/>
      <c r="AA118" s="143"/>
      <c r="AB118" s="143"/>
    </row>
    <row r="119" spans="2:28">
      <c r="B119" s="823"/>
      <c r="C119" s="821"/>
      <c r="D119" s="165" t="s">
        <v>14</v>
      </c>
      <c r="F119" s="143">
        <f>SUM($F111:F111)</f>
        <v>31238.560000000001</v>
      </c>
      <c r="G119" s="143">
        <f>SUM($F111:G111)</f>
        <v>140857.84000000003</v>
      </c>
      <c r="H119" s="143">
        <f>SUM($F111:H111)</f>
        <v>257819.76000000004</v>
      </c>
      <c r="I119" s="143">
        <f>SUM($F111:I111)</f>
        <v>341158.66000000003</v>
      </c>
      <c r="J119" s="143">
        <f>SUM($F111:J111)</f>
        <v>474885.60000000003</v>
      </c>
      <c r="K119" s="143">
        <f>SUM($F111:K111)</f>
        <v>769673.42</v>
      </c>
      <c r="L119" s="143">
        <f>SUM($F111:L111)</f>
        <v>1242854.22</v>
      </c>
      <c r="M119" s="143">
        <f>SUM($F111:M111)</f>
        <v>1847878.3599999999</v>
      </c>
      <c r="N119" s="143">
        <f>SUM($F111:N111)</f>
        <v>2499684.1999999997</v>
      </c>
      <c r="O119" s="143">
        <f>SUM($F111:O111)</f>
        <v>3167264.4476857185</v>
      </c>
      <c r="P119" s="143">
        <f>SUM($F111:P111)</f>
        <v>3910588.8000035221</v>
      </c>
      <c r="Q119" s="143">
        <f>SUM($F111:Q111)</f>
        <v>4761302.2443608362</v>
      </c>
      <c r="R119" s="143">
        <f>SUM($F111:R111)</f>
        <v>5901032.7566503156</v>
      </c>
      <c r="S119" s="143">
        <f>SUM($F111:S111)</f>
        <v>7245802.0280355019</v>
      </c>
      <c r="T119" s="143">
        <f>SUM($F111:T111)</f>
        <v>8727748.8917153105</v>
      </c>
      <c r="V119" s="143"/>
      <c r="W119" s="143"/>
      <c r="X119" s="143"/>
      <c r="Y119" s="143"/>
      <c r="Z119" s="143"/>
      <c r="AA119" s="143"/>
      <c r="AB119" s="143"/>
    </row>
    <row r="120" spans="2:28">
      <c r="B120" s="823"/>
      <c r="C120" s="821"/>
      <c r="D120" s="165" t="s">
        <v>15</v>
      </c>
      <c r="F120" s="143">
        <f>SUM($F112:F112)</f>
        <v>14222.351999999999</v>
      </c>
      <c r="G120" s="143">
        <f>SUM($F112:G112)</f>
        <v>64136.028000000006</v>
      </c>
      <c r="H120" s="143">
        <f>SUM($F112:H112)</f>
        <v>117203.89200000001</v>
      </c>
      <c r="I120" s="143">
        <f>SUM($F112:I112)</f>
        <v>154751.397</v>
      </c>
      <c r="J120" s="143">
        <f>SUM($F112:J112)</f>
        <v>215078.52</v>
      </c>
      <c r="K120" s="143">
        <f>SUM($F112:K112)</f>
        <v>350588.03899999999</v>
      </c>
      <c r="L120" s="143">
        <f>SUM($F112:L112)</f>
        <v>574154.39899999998</v>
      </c>
      <c r="M120" s="143">
        <f>SUM($F112:M112)</f>
        <v>871490.26199999987</v>
      </c>
      <c r="N120" s="143">
        <f>SUM($F112:N112)</f>
        <v>1205252.8899999999</v>
      </c>
      <c r="O120" s="143">
        <f>SUM($F112:O112)</f>
        <v>1541490.4459881475</v>
      </c>
      <c r="P120" s="143">
        <f>SUM($F112:P112)</f>
        <v>1904272.5135425667</v>
      </c>
      <c r="Q120" s="143">
        <f>SUM($F112:Q112)</f>
        <v>2322031.6206395626</v>
      </c>
      <c r="R120" s="143">
        <f>SUM($F112:R112)</f>
        <v>2878095.3879122175</v>
      </c>
      <c r="S120" s="143">
        <f>SUM($F112:S112)</f>
        <v>3534116.7443455178</v>
      </c>
      <c r="T120" s="143">
        <f>SUM($F112:T112)</f>
        <v>4259699.6847669808</v>
      </c>
      <c r="V120" s="143"/>
      <c r="W120" s="143"/>
      <c r="X120" s="143"/>
      <c r="Y120" s="143"/>
      <c r="Z120" s="143"/>
      <c r="AA120" s="143"/>
      <c r="AB120" s="143"/>
    </row>
    <row r="121" spans="2:28">
      <c r="B121" s="823"/>
      <c r="C121" s="821"/>
      <c r="D121" s="165" t="s">
        <v>16</v>
      </c>
      <c r="F121" s="143">
        <f>SUM($F113:F113)</f>
        <v>2221.9279999999999</v>
      </c>
      <c r="G121" s="143">
        <f>SUM($F113:G113)</f>
        <v>10042.892</v>
      </c>
      <c r="H121" s="143">
        <f>SUM($F113:H113)</f>
        <v>17630.987999999998</v>
      </c>
      <c r="I121" s="143">
        <f>SUM($F113:I113)</f>
        <v>21977.932999999997</v>
      </c>
      <c r="J121" s="143">
        <f>SUM($F113:J113)</f>
        <v>29264.28</v>
      </c>
      <c r="K121" s="143">
        <f>SUM($F113:K113)</f>
        <v>45973.671000000002</v>
      </c>
      <c r="L121" s="143">
        <f>SUM($F113:L113)</f>
        <v>74372.71100000001</v>
      </c>
      <c r="M121" s="143">
        <f>SUM($F113:M113)</f>
        <v>113123.91800000001</v>
      </c>
      <c r="N121" s="143">
        <f>SUM($F113:N113)</f>
        <v>163739.21000000002</v>
      </c>
      <c r="O121" s="143">
        <f>SUM($F113:O113)</f>
        <v>216474.32990643627</v>
      </c>
      <c r="P121" s="143">
        <f>SUM($F113:P113)</f>
        <v>267324.8515947308</v>
      </c>
      <c r="Q121" s="143">
        <f>SUM($F113:Q113)</f>
        <v>325260.05705932376</v>
      </c>
      <c r="R121" s="143">
        <f>SUM($F113:R113)</f>
        <v>404785.55254019174</v>
      </c>
      <c r="S121" s="143">
        <f>SUM($F113:S113)</f>
        <v>498490.89624699985</v>
      </c>
      <c r="T121" s="143">
        <f>SUM($F113:T113)</f>
        <v>602535.8826625935</v>
      </c>
      <c r="V121" s="143"/>
      <c r="W121" s="143"/>
      <c r="X121" s="143"/>
      <c r="Y121" s="143"/>
      <c r="Z121" s="143"/>
      <c r="AA121" s="143"/>
      <c r="AB121" s="143"/>
    </row>
    <row r="122" spans="2:28">
      <c r="B122" s="823"/>
      <c r="C122" s="821"/>
      <c r="D122" s="165" t="s">
        <v>17</v>
      </c>
      <c r="F122" s="143">
        <f>SUM($F114:F114)</f>
        <v>0</v>
      </c>
      <c r="G122" s="143">
        <f>SUM($F114:G114)</f>
        <v>0</v>
      </c>
      <c r="H122" s="143">
        <f>SUM($F114:H114)</f>
        <v>0</v>
      </c>
      <c r="I122" s="143">
        <f>SUM($F114:I114)</f>
        <v>0</v>
      </c>
      <c r="J122" s="143">
        <f>SUM($F114:J114)</f>
        <v>0</v>
      </c>
      <c r="K122" s="143">
        <f>SUM($F114:K114)</f>
        <v>1050</v>
      </c>
      <c r="L122" s="143">
        <f>SUM($F114:L114)</f>
        <v>5250</v>
      </c>
      <c r="M122" s="143">
        <f>SUM($F114:M114)</f>
        <v>15450</v>
      </c>
      <c r="N122" s="143">
        <f>SUM($F114:N114)</f>
        <v>31425</v>
      </c>
      <c r="O122" s="143">
        <f>SUM($F114:O114)</f>
        <v>45197.185621794051</v>
      </c>
      <c r="P122" s="143">
        <f>SUM($F114:P114)</f>
        <v>56248.311396596931</v>
      </c>
      <c r="Q122" s="143">
        <f>SUM($F114:Q114)</f>
        <v>70065.277540829295</v>
      </c>
      <c r="R122" s="143">
        <f>SUM($F114:R114)</f>
        <v>86754.297218958396</v>
      </c>
      <c r="S122" s="143">
        <f>SUM($F114:S114)</f>
        <v>106424.72578588239</v>
      </c>
      <c r="T122" s="143">
        <f>SUM($F114:T114)</f>
        <v>129189.14398928183</v>
      </c>
      <c r="V122" s="143"/>
      <c r="W122" s="143"/>
      <c r="X122" s="143"/>
      <c r="Y122" s="143"/>
      <c r="Z122" s="143"/>
      <c r="AA122" s="143"/>
      <c r="AB122" s="143"/>
    </row>
    <row r="123" spans="2:28">
      <c r="B123" s="823"/>
      <c r="C123" s="302"/>
    </row>
    <row r="124" spans="2:28">
      <c r="B124" s="823"/>
      <c r="C124" s="165" t="s">
        <v>436</v>
      </c>
      <c r="F124" s="352">
        <f>F108</f>
        <v>2017</v>
      </c>
      <c r="G124" s="352">
        <f t="shared" ref="G124:T124" si="159">G108</f>
        <v>2018</v>
      </c>
      <c r="H124" s="352">
        <f t="shared" si="159"/>
        <v>2019</v>
      </c>
      <c r="I124" s="352">
        <f t="shared" si="159"/>
        <v>2020</v>
      </c>
      <c r="J124" s="352">
        <f t="shared" si="159"/>
        <v>2021</v>
      </c>
      <c r="K124" s="352">
        <f t="shared" si="159"/>
        <v>2022</v>
      </c>
      <c r="L124" s="352">
        <f t="shared" si="159"/>
        <v>2023</v>
      </c>
      <c r="M124" s="352">
        <f t="shared" si="159"/>
        <v>2024</v>
      </c>
      <c r="N124" s="352">
        <f t="shared" si="159"/>
        <v>2025</v>
      </c>
      <c r="O124" s="352">
        <f t="shared" si="159"/>
        <v>2026</v>
      </c>
      <c r="P124" s="352">
        <f t="shared" si="159"/>
        <v>2027</v>
      </c>
      <c r="Q124" s="352">
        <f t="shared" si="159"/>
        <v>2028</v>
      </c>
      <c r="R124" s="352">
        <f t="shared" si="159"/>
        <v>2029</v>
      </c>
      <c r="S124" s="352">
        <f t="shared" si="159"/>
        <v>2030</v>
      </c>
      <c r="T124" s="352">
        <f t="shared" si="159"/>
        <v>2031</v>
      </c>
      <c r="V124" s="143"/>
    </row>
    <row r="125" spans="2:28">
      <c r="B125" s="823"/>
      <c r="C125" s="821" t="s">
        <v>471</v>
      </c>
      <c r="D125" s="165" t="s">
        <v>12</v>
      </c>
      <c r="F125" s="143">
        <f t="shared" ref="F125:T125" si="160">(F$15*F$16)*$X80+(F$20*F$21)*$Y80+(F$25*F$26)*$Z80+(F$47*F$48)*$X94+(F$52*F$53)*$Y94+(F$57*F$58)*$Z94</f>
        <v>489759.89856799034</v>
      </c>
      <c r="G125" s="143">
        <f t="shared" si="160"/>
        <v>1717374.4626714801</v>
      </c>
      <c r="H125" s="143">
        <f t="shared" si="160"/>
        <v>2361366.4442599276</v>
      </c>
      <c r="I125" s="143">
        <f t="shared" si="160"/>
        <v>3105845.4038116727</v>
      </c>
      <c r="J125" s="143">
        <f t="shared" si="160"/>
        <v>4573211.58427497</v>
      </c>
      <c r="K125" s="143">
        <f t="shared" si="160"/>
        <v>7889577.2093862817</v>
      </c>
      <c r="L125" s="143">
        <f t="shared" si="160"/>
        <v>12029953.595767146</v>
      </c>
      <c r="M125" s="143">
        <f t="shared" si="160"/>
        <v>17028431.185382068</v>
      </c>
      <c r="N125" s="143">
        <f t="shared" si="160"/>
        <v>21138162.301771961</v>
      </c>
      <c r="O125" s="143">
        <f t="shared" si="160"/>
        <v>26455060.001919813</v>
      </c>
      <c r="P125" s="143">
        <f t="shared" si="160"/>
        <v>32770427.388569962</v>
      </c>
      <c r="Q125" s="143">
        <f t="shared" si="160"/>
        <v>39893572.11907763</v>
      </c>
      <c r="R125" s="143">
        <f t="shared" si="160"/>
        <v>49205074.670955002</v>
      </c>
      <c r="S125" s="143">
        <f t="shared" si="160"/>
        <v>60081674.589560069</v>
      </c>
      <c r="T125" s="143">
        <f t="shared" si="160"/>
        <v>71963612.807918847</v>
      </c>
      <c r="U125" s="143"/>
    </row>
    <row r="126" spans="2:28">
      <c r="B126" s="823"/>
      <c r="C126" s="821"/>
      <c r="D126" s="165" t="s">
        <v>13</v>
      </c>
      <c r="F126" s="143">
        <f t="shared" ref="F126:T126" si="161">(F$15*F$16)*$X81+(F$20*F$21)*$Y81+(F$25*F$26)*$Z81+(F$47*F$48)*$X95+(F$52*F$53)*$Y95+(F$57*F$58)*$Z95</f>
        <v>6645.6214320096242</v>
      </c>
      <c r="G126" s="143">
        <f t="shared" si="161"/>
        <v>23303.297328519846</v>
      </c>
      <c r="H126" s="143">
        <f t="shared" si="161"/>
        <v>32041.715740072188</v>
      </c>
      <c r="I126" s="143">
        <f t="shared" si="161"/>
        <v>42143.656188327295</v>
      </c>
      <c r="J126" s="143">
        <f t="shared" si="161"/>
        <v>62054.555725030055</v>
      </c>
      <c r="K126" s="143">
        <f t="shared" si="161"/>
        <v>107054.79061371837</v>
      </c>
      <c r="L126" s="143">
        <f t="shared" si="161"/>
        <v>163236.14423285192</v>
      </c>
      <c r="M126" s="143">
        <f t="shared" si="161"/>
        <v>231061.1946179301</v>
      </c>
      <c r="N126" s="143">
        <f t="shared" si="161"/>
        <v>286826.7182280384</v>
      </c>
      <c r="O126" s="143">
        <f t="shared" si="161"/>
        <v>358972.45619314874</v>
      </c>
      <c r="P126" s="143">
        <f t="shared" si="161"/>
        <v>444666.57075510372</v>
      </c>
      <c r="Q126" s="143">
        <f t="shared" si="161"/>
        <v>541321.53050738026</v>
      </c>
      <c r="R126" s="143">
        <f t="shared" si="161"/>
        <v>667670.62749123236</v>
      </c>
      <c r="S126" s="143">
        <f t="shared" si="161"/>
        <v>815256.75232060417</v>
      </c>
      <c r="T126" s="143">
        <f t="shared" si="161"/>
        <v>976484.45493288222</v>
      </c>
    </row>
    <row r="127" spans="2:28">
      <c r="B127" s="823"/>
      <c r="C127" s="821"/>
      <c r="D127" s="165" t="s">
        <v>14</v>
      </c>
      <c r="F127" s="143">
        <f t="shared" ref="F127:T127" si="162">(F$15*F$16)*$X82+(F$20*F$21)*$Y82+(F$25*F$26)*$Z82+(F$47*F$48)*$X96+(F$52*F$53)*$Y96+(F$57*F$58)*$Z96</f>
        <v>62477.120000000003</v>
      </c>
      <c r="G127" s="143">
        <f t="shared" si="162"/>
        <v>219238.56</v>
      </c>
      <c r="H127" s="143">
        <f t="shared" si="162"/>
        <v>296400.96000000002</v>
      </c>
      <c r="I127" s="143">
        <f t="shared" si="162"/>
        <v>385916.36000000004</v>
      </c>
      <c r="J127" s="143">
        <f t="shared" si="162"/>
        <v>563854.84</v>
      </c>
      <c r="K127" s="143">
        <f t="shared" si="162"/>
        <v>975492</v>
      </c>
      <c r="L127" s="143">
        <f t="shared" si="162"/>
        <v>1510216.44</v>
      </c>
      <c r="M127" s="143">
        <f t="shared" si="162"/>
        <v>2185540.2799999998</v>
      </c>
      <c r="N127" s="143">
        <f t="shared" si="162"/>
        <v>2813828.12</v>
      </c>
      <c r="O127" s="143">
        <f t="shared" si="162"/>
        <v>3520700.7753714379</v>
      </c>
      <c r="P127" s="143">
        <f t="shared" si="162"/>
        <v>4362953.9446356073</v>
      </c>
      <c r="Q127" s="143">
        <f t="shared" si="162"/>
        <v>5316411.9840860674</v>
      </c>
      <c r="R127" s="143">
        <f t="shared" si="162"/>
        <v>6562815.929214566</v>
      </c>
      <c r="S127" s="143">
        <f t="shared" si="162"/>
        <v>8018303.5268564411</v>
      </c>
      <c r="T127" s="143">
        <f t="shared" si="162"/>
        <v>9615132.7365741823</v>
      </c>
    </row>
    <row r="128" spans="2:28">
      <c r="B128" s="823"/>
      <c r="C128" s="821"/>
      <c r="D128" s="165" t="s">
        <v>15</v>
      </c>
      <c r="F128" s="143">
        <f t="shared" ref="F128:T128" si="163">(F$15*F$16)*$X83+(F$20*F$21)*$Y83+(F$25*F$26)*$Z83+(F$47*F$48)*$X97+(F$52*F$53)*$Y97+(F$57*F$58)*$Z97</f>
        <v>28444.703999999998</v>
      </c>
      <c r="G128" s="143">
        <f t="shared" si="163"/>
        <v>99827.351999999999</v>
      </c>
      <c r="H128" s="143">
        <f t="shared" si="163"/>
        <v>134580.432</v>
      </c>
      <c r="I128" s="143">
        <f t="shared" si="163"/>
        <v>174922.36199999999</v>
      </c>
      <c r="J128" s="143">
        <f t="shared" si="163"/>
        <v>255234.67799999999</v>
      </c>
      <c r="K128" s="143">
        <f t="shared" si="163"/>
        <v>445941.4</v>
      </c>
      <c r="L128" s="143">
        <f t="shared" si="163"/>
        <v>702367.39799999993</v>
      </c>
      <c r="M128" s="143">
        <f>(M$15*M$16)*$X83+(M$20*M$21)*$Y83+(M$25*M$26)*$Z83+(M$47*M$48)*$X97+(M$52*M$53)*$Y97+(M$57*M$58)*$Z97</f>
        <v>1040613.126</v>
      </c>
      <c r="N128" s="143">
        <f t="shared" si="163"/>
        <v>1369892.6539999999</v>
      </c>
      <c r="O128" s="143">
        <f t="shared" si="163"/>
        <v>1713088.2379762952</v>
      </c>
      <c r="P128" s="143">
        <f t="shared" si="163"/>
        <v>2123901.4931088383</v>
      </c>
      <c r="Q128" s="143">
        <f t="shared" si="163"/>
        <v>2591544.3961702874</v>
      </c>
      <c r="R128" s="143">
        <f t="shared" si="163"/>
        <v>3199399.4596541473</v>
      </c>
      <c r="S128" s="143">
        <f t="shared" si="163"/>
        <v>3909175.9590368881</v>
      </c>
      <c r="T128" s="143">
        <f t="shared" si="163"/>
        <v>4690535.7264970737</v>
      </c>
    </row>
    <row r="129" spans="2:20">
      <c r="B129" s="823"/>
      <c r="C129" s="821"/>
      <c r="D129" s="165" t="s">
        <v>16</v>
      </c>
      <c r="F129" s="143">
        <f t="shared" ref="F129:T129" si="164">(F$15*F$16)*$X84+(F$20*F$21)*$Y84+(F$25*F$26)*$Z84+(F$47*F$48)*$X98+(F$52*F$53)*$Y98+(F$57*F$58)*$Z98</f>
        <v>4443.8559999999998</v>
      </c>
      <c r="G129" s="143">
        <f t="shared" si="164"/>
        <v>15641.928</v>
      </c>
      <c r="H129" s="143">
        <f t="shared" si="164"/>
        <v>19620.048000000003</v>
      </c>
      <c r="I129" s="143">
        <f t="shared" si="164"/>
        <v>24335.817999999999</v>
      </c>
      <c r="J129" s="143">
        <f t="shared" si="164"/>
        <v>34192.741999999998</v>
      </c>
      <c r="K129" s="143">
        <f t="shared" si="164"/>
        <v>57754.6</v>
      </c>
      <c r="L129" s="143">
        <f t="shared" si="164"/>
        <v>90990.822000000015</v>
      </c>
      <c r="M129" s="143">
        <f t="shared" si="164"/>
        <v>135257.01400000002</v>
      </c>
      <c r="N129" s="143">
        <f t="shared" si="164"/>
        <v>192221.40600000002</v>
      </c>
      <c r="O129" s="143">
        <f t="shared" si="164"/>
        <v>240727.25381287251</v>
      </c>
      <c r="P129" s="143">
        <f t="shared" si="164"/>
        <v>298366.30537658912</v>
      </c>
      <c r="Q129" s="143">
        <f t="shared" si="164"/>
        <v>363351.88074205839</v>
      </c>
      <c r="R129" s="143">
        <f t="shared" si="164"/>
        <v>450197.34433832497</v>
      </c>
      <c r="S129" s="143">
        <f t="shared" si="164"/>
        <v>551500.21815567464</v>
      </c>
      <c r="T129" s="143">
        <f t="shared" si="164"/>
        <v>663428.47116951214</v>
      </c>
    </row>
    <row r="130" spans="2:20">
      <c r="B130" s="823"/>
      <c r="C130" s="821"/>
      <c r="D130" s="165" t="s">
        <v>17</v>
      </c>
      <c r="F130" s="143">
        <f t="shared" ref="F130:T130" si="165">(F$15*F$16)*$X85+(F$20*F$21)*$Y85+(F$25*F$26)*$Z85+(F$47*F$48)*$X99+(F$52*F$53)*$Y99+(F$57*F$58)*$Z99</f>
        <v>0</v>
      </c>
      <c r="G130" s="143">
        <f t="shared" si="165"/>
        <v>0</v>
      </c>
      <c r="H130" s="143">
        <f t="shared" si="165"/>
        <v>0</v>
      </c>
      <c r="I130" s="143">
        <f t="shared" si="165"/>
        <v>0</v>
      </c>
      <c r="J130" s="143">
        <f t="shared" si="165"/>
        <v>0</v>
      </c>
      <c r="K130" s="143">
        <f t="shared" si="165"/>
        <v>2100</v>
      </c>
      <c r="L130" s="143">
        <f t="shared" si="165"/>
        <v>8400</v>
      </c>
      <c r="M130" s="143">
        <f t="shared" si="165"/>
        <v>22500</v>
      </c>
      <c r="N130" s="143">
        <f t="shared" si="165"/>
        <v>40350</v>
      </c>
      <c r="O130" s="143">
        <f t="shared" si="165"/>
        <v>50044.371243588103</v>
      </c>
      <c r="P130" s="143">
        <f t="shared" si="165"/>
        <v>62452.251549605782</v>
      </c>
      <c r="Q130" s="143">
        <f t="shared" si="165"/>
        <v>77678.303532052829</v>
      </c>
      <c r="R130" s="143">
        <f t="shared" si="165"/>
        <v>95830.290905863978</v>
      </c>
      <c r="S130" s="143">
        <f t="shared" si="165"/>
        <v>117019.16066590082</v>
      </c>
      <c r="T130" s="143">
        <f t="shared" si="165"/>
        <v>141359.12731266287</v>
      </c>
    </row>
    <row r="131" spans="2:20">
      <c r="B131" s="823"/>
      <c r="C131" s="302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</row>
    <row r="132" spans="2:20">
      <c r="B132" s="823"/>
      <c r="C132" s="165" t="s">
        <v>468</v>
      </c>
      <c r="F132" s="352">
        <f>F124</f>
        <v>2017</v>
      </c>
      <c r="G132" s="352">
        <f t="shared" ref="G132:T132" si="166">G124</f>
        <v>2018</v>
      </c>
      <c r="H132" s="352">
        <f t="shared" si="166"/>
        <v>2019</v>
      </c>
      <c r="I132" s="352">
        <f t="shared" si="166"/>
        <v>2020</v>
      </c>
      <c r="J132" s="352">
        <f t="shared" si="166"/>
        <v>2021</v>
      </c>
      <c r="K132" s="352">
        <f t="shared" si="166"/>
        <v>2022</v>
      </c>
      <c r="L132" s="352">
        <f t="shared" si="166"/>
        <v>2023</v>
      </c>
      <c r="M132" s="352">
        <f t="shared" si="166"/>
        <v>2024</v>
      </c>
      <c r="N132" s="352">
        <f t="shared" si="166"/>
        <v>2025</v>
      </c>
      <c r="O132" s="352">
        <f t="shared" si="166"/>
        <v>2026</v>
      </c>
      <c r="P132" s="352">
        <f t="shared" si="166"/>
        <v>2027</v>
      </c>
      <c r="Q132" s="352">
        <f t="shared" si="166"/>
        <v>2028</v>
      </c>
      <c r="R132" s="352">
        <f t="shared" si="166"/>
        <v>2029</v>
      </c>
      <c r="S132" s="352">
        <f t="shared" si="166"/>
        <v>2030</v>
      </c>
      <c r="T132" s="352">
        <f t="shared" si="166"/>
        <v>2031</v>
      </c>
    </row>
    <row r="133" spans="2:20">
      <c r="B133" s="823"/>
      <c r="D133" s="165" t="str">
        <f>D128</f>
        <v>GS 50 - 2,999</v>
      </c>
      <c r="F133" s="143">
        <f>F89+F103</f>
        <v>194.82673972602737</v>
      </c>
      <c r="G133" s="143">
        <f t="shared" ref="G133:T133" si="167">G89+G103</f>
        <v>683.74898630136977</v>
      </c>
      <c r="H133" s="143">
        <f t="shared" si="167"/>
        <v>726.9570410958903</v>
      </c>
      <c r="I133" s="143">
        <f t="shared" si="167"/>
        <v>514.34938356164378</v>
      </c>
      <c r="J133" s="143">
        <f t="shared" si="167"/>
        <v>826.39894520547944</v>
      </c>
      <c r="K133" s="143">
        <f t="shared" si="167"/>
        <v>1856.2947808219178</v>
      </c>
      <c r="L133" s="143">
        <f t="shared" si="167"/>
        <v>3062.5528767123283</v>
      </c>
      <c r="M133" s="143">
        <f t="shared" si="167"/>
        <v>4073.0940136986292</v>
      </c>
      <c r="N133" s="143">
        <f t="shared" si="167"/>
        <v>4572.0907945205472</v>
      </c>
      <c r="O133" s="143">
        <f t="shared" si="167"/>
        <v>4605.9939176458593</v>
      </c>
      <c r="P133" s="143">
        <f t="shared" si="167"/>
        <v>4969.6173637591664</v>
      </c>
      <c r="Q133" s="143">
        <f t="shared" si="167"/>
        <v>5722.727494479399</v>
      </c>
      <c r="R133" s="143">
        <f t="shared" si="167"/>
        <v>7617.3118804473252</v>
      </c>
      <c r="S133" s="143">
        <f t="shared" si="167"/>
        <v>8986.5939237438342</v>
      </c>
      <c r="T133" s="143">
        <f t="shared" si="167"/>
        <v>9939.4923345405932</v>
      </c>
    </row>
    <row r="134" spans="2:20">
      <c r="B134" s="823"/>
      <c r="D134" s="165" t="str">
        <f>D129</f>
        <v>GS 3,000 - 4,999</v>
      </c>
      <c r="F134" s="143">
        <f>F90+F104</f>
        <v>30.437369863013696</v>
      </c>
      <c r="G134" s="143">
        <f t="shared" ref="G134:T134" si="168">G90+G104</f>
        <v>107.13649315068493</v>
      </c>
      <c r="H134" s="143">
        <f t="shared" si="168"/>
        <v>103.9465205479452</v>
      </c>
      <c r="I134" s="143">
        <f t="shared" si="168"/>
        <v>59.547191780821905</v>
      </c>
      <c r="J134" s="143">
        <f t="shared" si="168"/>
        <v>99.812972602739734</v>
      </c>
      <c r="K134" s="143">
        <f t="shared" si="168"/>
        <v>228.89576712328767</v>
      </c>
      <c r="L134" s="143">
        <f t="shared" si="168"/>
        <v>389.02794520547945</v>
      </c>
      <c r="M134" s="143">
        <f t="shared" si="168"/>
        <v>530.83845205479452</v>
      </c>
      <c r="N134" s="143">
        <f t="shared" si="168"/>
        <v>693.36016438356171</v>
      </c>
      <c r="O134" s="143">
        <f t="shared" si="168"/>
        <v>722.39890282789383</v>
      </c>
      <c r="P134" s="143">
        <f t="shared" si="168"/>
        <v>696.58248888074695</v>
      </c>
      <c r="Q134" s="143">
        <f t="shared" si="168"/>
        <v>793.63295156976619</v>
      </c>
      <c r="R134" s="143">
        <f t="shared" si="168"/>
        <v>1089.390349052986</v>
      </c>
      <c r="S134" s="143">
        <f t="shared" si="168"/>
        <v>1283.6348452987413</v>
      </c>
      <c r="T134" s="143">
        <f t="shared" si="168"/>
        <v>1425.2737865149809</v>
      </c>
    </row>
    <row r="135" spans="2:20">
      <c r="B135" s="823"/>
      <c r="D135" s="165" t="str">
        <f>D130</f>
        <v>Large Use</v>
      </c>
      <c r="F135" s="143">
        <f>F91+F105</f>
        <v>0</v>
      </c>
      <c r="G135" s="143">
        <f t="shared" ref="G135:T135" si="169">G91+G105</f>
        <v>0</v>
      </c>
      <c r="H135" s="143">
        <f t="shared" si="169"/>
        <v>0</v>
      </c>
      <c r="I135" s="143">
        <f t="shared" si="169"/>
        <v>0</v>
      </c>
      <c r="J135" s="143">
        <f t="shared" si="169"/>
        <v>0</v>
      </c>
      <c r="K135" s="143">
        <f t="shared" si="169"/>
        <v>14.383561643835616</v>
      </c>
      <c r="L135" s="143">
        <f t="shared" si="169"/>
        <v>57.534246575342465</v>
      </c>
      <c r="M135" s="143">
        <f t="shared" si="169"/>
        <v>139.72602739726028</v>
      </c>
      <c r="N135" s="143">
        <f t="shared" si="169"/>
        <v>218.83561643835617</v>
      </c>
      <c r="O135" s="143">
        <f t="shared" si="169"/>
        <v>188.66007701087742</v>
      </c>
      <c r="P135" s="143">
        <f t="shared" si="169"/>
        <v>151.38528458634082</v>
      </c>
      <c r="Q135" s="143">
        <f t="shared" si="169"/>
        <v>189.27350882510098</v>
      </c>
      <c r="R135" s="143">
        <f t="shared" si="169"/>
        <v>228.61670791957675</v>
      </c>
      <c r="S135" s="143">
        <f t="shared" si="169"/>
        <v>269.45792557430127</v>
      </c>
      <c r="T135" s="143">
        <f t="shared" si="169"/>
        <v>311.84134525204718</v>
      </c>
    </row>
    <row r="136" spans="2:20">
      <c r="B136" s="82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</row>
    <row r="137" spans="2:20">
      <c r="B137" s="823"/>
      <c r="C137" s="165" t="s">
        <v>472</v>
      </c>
      <c r="F137" s="352">
        <f>F132</f>
        <v>2017</v>
      </c>
      <c r="G137" s="352">
        <f t="shared" ref="G137:T137" si="170">G132</f>
        <v>2018</v>
      </c>
      <c r="H137" s="352">
        <f t="shared" si="170"/>
        <v>2019</v>
      </c>
      <c r="I137" s="352">
        <f t="shared" si="170"/>
        <v>2020</v>
      </c>
      <c r="J137" s="352">
        <f t="shared" si="170"/>
        <v>2021</v>
      </c>
      <c r="K137" s="352">
        <f t="shared" si="170"/>
        <v>2022</v>
      </c>
      <c r="L137" s="352">
        <f t="shared" si="170"/>
        <v>2023</v>
      </c>
      <c r="M137" s="352">
        <f t="shared" si="170"/>
        <v>2024</v>
      </c>
      <c r="N137" s="352">
        <f t="shared" si="170"/>
        <v>2025</v>
      </c>
      <c r="O137" s="352">
        <f t="shared" si="170"/>
        <v>2026</v>
      </c>
      <c r="P137" s="352">
        <f t="shared" si="170"/>
        <v>2027</v>
      </c>
      <c r="Q137" s="352">
        <f t="shared" si="170"/>
        <v>2028</v>
      </c>
      <c r="R137" s="352">
        <f t="shared" si="170"/>
        <v>2029</v>
      </c>
      <c r="S137" s="352">
        <f t="shared" si="170"/>
        <v>2030</v>
      </c>
      <c r="T137" s="352">
        <f t="shared" si="170"/>
        <v>2031</v>
      </c>
    </row>
    <row r="138" spans="2:20">
      <c r="B138" s="823"/>
      <c r="D138" s="165" t="str">
        <f>D133</f>
        <v>GS 50 - 2,999</v>
      </c>
      <c r="F138" s="143">
        <f>SUM($F133:F133)</f>
        <v>194.82673972602737</v>
      </c>
      <c r="G138" s="143">
        <f>SUM($F133:G133)</f>
        <v>878.5757260273972</v>
      </c>
      <c r="H138" s="143">
        <f>SUM($F133:H133)</f>
        <v>1605.5327671232876</v>
      </c>
      <c r="I138" s="143">
        <f>SUM($F133:I133)</f>
        <v>2119.8821506849313</v>
      </c>
      <c r="J138" s="143">
        <f>SUM($F133:J133)</f>
        <v>2946.2810958904106</v>
      </c>
      <c r="K138" s="143">
        <f>SUM($F133:K133)</f>
        <v>4802.575876712328</v>
      </c>
      <c r="L138" s="143">
        <f>SUM($F133:L133)</f>
        <v>7865.1287534246567</v>
      </c>
      <c r="M138" s="143">
        <f>SUM($F133:M133)</f>
        <v>11938.222767123287</v>
      </c>
      <c r="N138" s="143">
        <f>SUM($F133:N133)</f>
        <v>16510.313561643834</v>
      </c>
      <c r="O138" s="143">
        <f>SUM($F133:O133)</f>
        <v>21116.307479289695</v>
      </c>
      <c r="P138" s="143">
        <f>SUM($F133:P133)</f>
        <v>26085.924843048862</v>
      </c>
      <c r="Q138" s="143">
        <f>SUM($F133:Q133)</f>
        <v>31808.652337528263</v>
      </c>
      <c r="R138" s="143">
        <f>SUM($F133:R133)</f>
        <v>39425.96421797559</v>
      </c>
      <c r="S138" s="143">
        <f>SUM($F133:S133)</f>
        <v>48412.558141719426</v>
      </c>
      <c r="T138" s="143">
        <f>SUM($F133:T133)</f>
        <v>58352.050476260018</v>
      </c>
    </row>
    <row r="139" spans="2:20">
      <c r="B139" s="823"/>
      <c r="D139" s="165" t="str">
        <f>D134</f>
        <v>GS 3,000 - 4,999</v>
      </c>
      <c r="F139" s="143">
        <f>SUM($F134:F134)</f>
        <v>30.437369863013696</v>
      </c>
      <c r="G139" s="143">
        <f>SUM($F134:G134)</f>
        <v>137.57386301369863</v>
      </c>
      <c r="H139" s="143">
        <f>SUM($F134:H134)</f>
        <v>241.52038356164383</v>
      </c>
      <c r="I139" s="143">
        <f>SUM($F134:I134)</f>
        <v>301.06757534246572</v>
      </c>
      <c r="J139" s="143">
        <f>SUM($F134:J134)</f>
        <v>400.88054794520542</v>
      </c>
      <c r="K139" s="143">
        <f>SUM($F134:K134)</f>
        <v>629.77631506849309</v>
      </c>
      <c r="L139" s="143">
        <f>SUM($F134:L134)</f>
        <v>1018.8042602739725</v>
      </c>
      <c r="M139" s="143">
        <f>SUM($F134:M134)</f>
        <v>1549.6427123287672</v>
      </c>
      <c r="N139" s="143">
        <f>SUM($F134:N134)</f>
        <v>2243.002876712329</v>
      </c>
      <c r="O139" s="143">
        <f>SUM($F134:O134)</f>
        <v>2965.4017795402228</v>
      </c>
      <c r="P139" s="143">
        <f>SUM($F134:P134)</f>
        <v>3661.9842684209698</v>
      </c>
      <c r="Q139" s="143">
        <f>SUM($F134:Q134)</f>
        <v>4455.617219990736</v>
      </c>
      <c r="R139" s="143">
        <f>SUM($F134:R134)</f>
        <v>5545.0075690437225</v>
      </c>
      <c r="S139" s="143">
        <f>SUM($F134:S134)</f>
        <v>6828.6424143424638</v>
      </c>
      <c r="T139" s="143">
        <f>SUM($F134:T134)</f>
        <v>8253.916200857444</v>
      </c>
    </row>
    <row r="140" spans="2:20">
      <c r="B140" s="823"/>
      <c r="D140" s="165" t="str">
        <f>D135</f>
        <v>Large Use</v>
      </c>
      <c r="F140" s="143">
        <f>SUM($F135:F135)</f>
        <v>0</v>
      </c>
      <c r="G140" s="143">
        <f>SUM($F135:G135)</f>
        <v>0</v>
      </c>
      <c r="H140" s="143">
        <f>SUM($F135:H135)</f>
        <v>0</v>
      </c>
      <c r="I140" s="143">
        <f>SUM($F135:I135)</f>
        <v>0</v>
      </c>
      <c r="J140" s="143">
        <f>SUM($F135:J135)</f>
        <v>0</v>
      </c>
      <c r="K140" s="143">
        <f>SUM($F135:K135)</f>
        <v>14.383561643835616</v>
      </c>
      <c r="L140" s="143">
        <f>SUM($F135:L135)</f>
        <v>71.917808219178085</v>
      </c>
      <c r="M140" s="143">
        <f>SUM($F135:M135)</f>
        <v>211.64383561643837</v>
      </c>
      <c r="N140" s="143">
        <f>SUM($F135:N135)</f>
        <v>430.47945205479454</v>
      </c>
      <c r="O140" s="143">
        <f>SUM($F135:O135)</f>
        <v>619.13952906567192</v>
      </c>
      <c r="P140" s="143">
        <f>SUM($F135:P135)</f>
        <v>770.52481365201277</v>
      </c>
      <c r="Q140" s="143">
        <f>SUM($F135:Q135)</f>
        <v>959.79832247711374</v>
      </c>
      <c r="R140" s="143">
        <f>SUM($F135:R135)</f>
        <v>1188.4150303966906</v>
      </c>
      <c r="S140" s="143">
        <f>SUM($F135:S135)</f>
        <v>1457.8729559709918</v>
      </c>
      <c r="T140" s="143">
        <f>SUM($F135:T135)</f>
        <v>1769.714301223039</v>
      </c>
    </row>
    <row r="141" spans="2:20">
      <c r="T141" s="161"/>
    </row>
    <row r="142" spans="2:20">
      <c r="F142" s="195">
        <f t="shared" ref="F142:R144" si="171">G142</f>
        <v>0.56587717434900509</v>
      </c>
      <c r="G142" s="195">
        <f t="shared" si="171"/>
        <v>0.56587717434900509</v>
      </c>
      <c r="H142" s="195">
        <f t="shared" si="171"/>
        <v>0.56587717434900509</v>
      </c>
      <c r="I142" s="195">
        <f t="shared" si="171"/>
        <v>0.56587717434900509</v>
      </c>
      <c r="J142" s="195">
        <f t="shared" si="171"/>
        <v>0.56587717434900509</v>
      </c>
      <c r="K142" s="195">
        <f t="shared" si="171"/>
        <v>0.56587717434900509</v>
      </c>
      <c r="L142" s="195">
        <f t="shared" si="171"/>
        <v>0.56587717434900509</v>
      </c>
      <c r="M142" s="195">
        <f t="shared" si="171"/>
        <v>0.56587717434900509</v>
      </c>
      <c r="N142" s="195">
        <f t="shared" si="171"/>
        <v>0.56587717434900509</v>
      </c>
      <c r="O142" s="195">
        <f t="shared" si="171"/>
        <v>0.56587717434900509</v>
      </c>
      <c r="P142" s="195">
        <f t="shared" si="171"/>
        <v>0.56587717434900509</v>
      </c>
      <c r="Q142" s="195">
        <f t="shared" si="171"/>
        <v>0.56587717434900509</v>
      </c>
      <c r="R142" s="195">
        <f t="shared" si="171"/>
        <v>0.56587717434900509</v>
      </c>
      <c r="S142" s="195">
        <f>T142</f>
        <v>0.56587717434900509</v>
      </c>
      <c r="T142" s="486">
        <f>12/(8760*'kW Forecast'!E33)</f>
        <v>0.56587717434900509</v>
      </c>
    </row>
    <row r="143" spans="2:20">
      <c r="F143" s="195">
        <f t="shared" si="171"/>
        <v>0.60795181583667024</v>
      </c>
      <c r="G143" s="195">
        <f t="shared" si="171"/>
        <v>0.60795181583667024</v>
      </c>
      <c r="H143" s="195">
        <f t="shared" si="171"/>
        <v>0.60795181583667024</v>
      </c>
      <c r="I143" s="195">
        <f t="shared" si="171"/>
        <v>0.60795181583667024</v>
      </c>
      <c r="J143" s="195">
        <f t="shared" si="171"/>
        <v>0.60795181583667024</v>
      </c>
      <c r="K143" s="195">
        <f t="shared" si="171"/>
        <v>0.60795181583667024</v>
      </c>
      <c r="L143" s="195">
        <f t="shared" si="171"/>
        <v>0.60795181583667024</v>
      </c>
      <c r="M143" s="195">
        <f t="shared" si="171"/>
        <v>0.60795181583667024</v>
      </c>
      <c r="N143" s="195">
        <f t="shared" si="171"/>
        <v>0.60795181583667024</v>
      </c>
      <c r="O143" s="195">
        <f t="shared" si="171"/>
        <v>0.60795181583667024</v>
      </c>
      <c r="P143" s="195">
        <f t="shared" si="171"/>
        <v>0.60795181583667024</v>
      </c>
      <c r="Q143" s="195">
        <f t="shared" si="171"/>
        <v>0.60795181583667024</v>
      </c>
      <c r="R143" s="195">
        <f t="shared" si="171"/>
        <v>0.60795181583667024</v>
      </c>
      <c r="S143" s="195">
        <f t="shared" ref="S143:S144" si="172">T143</f>
        <v>0.60795181583667024</v>
      </c>
      <c r="T143" s="486">
        <f>12/(8760*'kW Forecast'!M33)</f>
        <v>0.60795181583667024</v>
      </c>
    </row>
    <row r="144" spans="2:20">
      <c r="F144" s="195">
        <f t="shared" si="171"/>
        <v>0.80791087786417715</v>
      </c>
      <c r="G144" s="195">
        <f t="shared" si="171"/>
        <v>0.80791087786417715</v>
      </c>
      <c r="H144" s="195">
        <f t="shared" si="171"/>
        <v>0.80791087786417715</v>
      </c>
      <c r="I144" s="195">
        <f t="shared" si="171"/>
        <v>0.80791087786417715</v>
      </c>
      <c r="J144" s="195">
        <f t="shared" si="171"/>
        <v>0.80791087786417715</v>
      </c>
      <c r="K144" s="195">
        <f t="shared" si="171"/>
        <v>0.80791087786417715</v>
      </c>
      <c r="L144" s="195">
        <f t="shared" si="171"/>
        <v>0.80791087786417715</v>
      </c>
      <c r="M144" s="195">
        <f t="shared" si="171"/>
        <v>0.80791087786417715</v>
      </c>
      <c r="N144" s="195">
        <f t="shared" si="171"/>
        <v>0.80791087786417715</v>
      </c>
      <c r="O144" s="195">
        <f t="shared" si="171"/>
        <v>0.80791087786417715</v>
      </c>
      <c r="P144" s="195">
        <f t="shared" si="171"/>
        <v>0.80791087786417715</v>
      </c>
      <c r="Q144" s="195">
        <f t="shared" si="171"/>
        <v>0.80791087786417715</v>
      </c>
      <c r="R144" s="195">
        <f t="shared" si="171"/>
        <v>0.80791087786417715</v>
      </c>
      <c r="S144" s="195">
        <f t="shared" si="172"/>
        <v>0.80791087786417715</v>
      </c>
      <c r="T144" s="486">
        <f>12/(8760*'kW Forecast'!U33)</f>
        <v>0.80791087786417715</v>
      </c>
    </row>
    <row r="145" spans="5:25">
      <c r="T145" s="161"/>
    </row>
    <row r="146" spans="5:25">
      <c r="F146" s="178">
        <f t="shared" ref="F146:S148" si="173">F128/F142/8760*12</f>
        <v>68.858313626153745</v>
      </c>
      <c r="G146" s="178">
        <f t="shared" si="173"/>
        <v>241.65985740208251</v>
      </c>
      <c r="H146" s="178">
        <f t="shared" si="173"/>
        <v>325.7893488573219</v>
      </c>
      <c r="I146" s="178">
        <f t="shared" si="173"/>
        <v>423.44820543126764</v>
      </c>
      <c r="J146" s="178">
        <f t="shared" si="173"/>
        <v>617.86649303836543</v>
      </c>
      <c r="K146" s="178">
        <f t="shared" si="173"/>
        <v>1079.5251298830913</v>
      </c>
      <c r="L146" s="178">
        <f t="shared" si="173"/>
        <v>1700.2755441670108</v>
      </c>
      <c r="M146" s="178">
        <f t="shared" si="173"/>
        <v>2519.0933607043426</v>
      </c>
      <c r="N146" s="178">
        <f t="shared" si="173"/>
        <v>3316.2059975486518</v>
      </c>
      <c r="O146" s="178">
        <f t="shared" si="173"/>
        <v>4147.0063165307274</v>
      </c>
      <c r="P146" s="178">
        <f t="shared" si="173"/>
        <v>5141.4940061793095</v>
      </c>
      <c r="Q146" s="178">
        <f t="shared" si="173"/>
        <v>6273.5536572148849</v>
      </c>
      <c r="R146" s="178">
        <f t="shared" si="173"/>
        <v>7745.0358213680865</v>
      </c>
      <c r="S146" s="178">
        <f t="shared" si="173"/>
        <v>9463.2471551534654</v>
      </c>
      <c r="T146" s="178">
        <f>T128/T142/8760*12</f>
        <v>11354.745689384372</v>
      </c>
    </row>
    <row r="147" spans="5:25">
      <c r="F147" s="178">
        <f t="shared" si="173"/>
        <v>10.013086257872407</v>
      </c>
      <c r="G147" s="178">
        <f t="shared" si="173"/>
        <v>35.245060664303622</v>
      </c>
      <c r="H147" s="178">
        <f t="shared" si="173"/>
        <v>44.208730662649067</v>
      </c>
      <c r="I147" s="178">
        <f t="shared" si="173"/>
        <v>54.834505166207904</v>
      </c>
      <c r="J147" s="178">
        <f t="shared" si="173"/>
        <v>77.0445475819146</v>
      </c>
      <c r="K147" s="178">
        <f t="shared" si="173"/>
        <v>130.13513299911557</v>
      </c>
      <c r="L147" s="178">
        <f t="shared" si="173"/>
        <v>205.02440883789092</v>
      </c>
      <c r="M147" s="178">
        <f t="shared" si="173"/>
        <v>304.76688447246181</v>
      </c>
      <c r="N147" s="178">
        <f t="shared" si="173"/>
        <v>433.12148703457382</v>
      </c>
      <c r="O147" s="178">
        <f t="shared" si="173"/>
        <v>542.41693633840453</v>
      </c>
      <c r="P147" s="178">
        <f t="shared" si="173"/>
        <v>672.29171066265121</v>
      </c>
      <c r="Q147" s="178">
        <f t="shared" si="173"/>
        <v>818.71998638803746</v>
      </c>
      <c r="R147" s="178">
        <f t="shared" si="173"/>
        <v>1014.4038965089629</v>
      </c>
      <c r="S147" s="178">
        <f t="shared" si="173"/>
        <v>1242.6638612115742</v>
      </c>
      <c r="T147" s="178">
        <f t="shared" ref="T147:T148" si="174">T129/T143/8760*12</f>
        <v>1494.8653844203643</v>
      </c>
    </row>
    <row r="148" spans="5:25">
      <c r="F148" s="178">
        <f t="shared" si="173"/>
        <v>0</v>
      </c>
      <c r="G148" s="178">
        <f t="shared" si="173"/>
        <v>0</v>
      </c>
      <c r="H148" s="178">
        <f t="shared" si="173"/>
        <v>0</v>
      </c>
      <c r="I148" s="178">
        <f t="shared" si="173"/>
        <v>0</v>
      </c>
      <c r="J148" s="178">
        <f t="shared" si="173"/>
        <v>0</v>
      </c>
      <c r="K148" s="178">
        <f t="shared" si="173"/>
        <v>3.5606802774733097</v>
      </c>
      <c r="L148" s="178">
        <f t="shared" si="173"/>
        <v>14.242721109893239</v>
      </c>
      <c r="M148" s="178">
        <f t="shared" si="173"/>
        <v>38.150145830071168</v>
      </c>
      <c r="N148" s="178">
        <f t="shared" si="173"/>
        <v>68.415928188594307</v>
      </c>
      <c r="O148" s="178">
        <f t="shared" si="173"/>
        <v>84.853336040760283</v>
      </c>
      <c r="P148" s="178">
        <f t="shared" si="173"/>
        <v>105.89166684594439</v>
      </c>
      <c r="Q148" s="178">
        <f t="shared" si="173"/>
        <v>131.70838255912659</v>
      </c>
      <c r="R148" s="178">
        <f t="shared" si="173"/>
        <v>162.48620324430462</v>
      </c>
      <c r="S148" s="178">
        <f t="shared" si="173"/>
        <v>198.41324641407309</v>
      </c>
      <c r="T148" s="178">
        <f t="shared" si="174"/>
        <v>239.68316983954156</v>
      </c>
    </row>
    <row r="149" spans="5:25">
      <c r="T149" s="161"/>
    </row>
    <row r="150" spans="5:25">
      <c r="M150" s="143">
        <f>M138-M146</f>
        <v>9419.1294064189442</v>
      </c>
      <c r="N150" s="143">
        <f>N138-N146-$M$150</f>
        <v>3774.978157676238</v>
      </c>
      <c r="O150" s="143">
        <f t="shared" ref="O150:T150" si="175">O138-O146-$M$150</f>
        <v>7550.1717563400216</v>
      </c>
      <c r="P150" s="143">
        <f t="shared" si="175"/>
        <v>11525.301430450609</v>
      </c>
      <c r="Q150" s="143">
        <f t="shared" si="175"/>
        <v>16115.969273894434</v>
      </c>
      <c r="R150" s="143">
        <f t="shared" si="175"/>
        <v>22261.798990188559</v>
      </c>
      <c r="S150" s="143">
        <f t="shared" si="175"/>
        <v>29530.181580147022</v>
      </c>
      <c r="T150" s="143">
        <f t="shared" si="175"/>
        <v>37578.175380456705</v>
      </c>
    </row>
    <row r="151" spans="5:25">
      <c r="M151" s="143">
        <f t="shared" ref="M151" si="176">M139-M147</f>
        <v>1244.8758278563055</v>
      </c>
      <c r="N151" s="143">
        <f>N139-N147-$M$151</f>
        <v>565.00556182144965</v>
      </c>
      <c r="O151" s="143">
        <f t="shared" ref="O151:T151" si="177">O139-O147-$M$151</f>
        <v>1178.1090153455129</v>
      </c>
      <c r="P151" s="143">
        <f t="shared" si="177"/>
        <v>1744.8167299020133</v>
      </c>
      <c r="Q151" s="143">
        <f t="shared" si="177"/>
        <v>2392.0214057463932</v>
      </c>
      <c r="R151" s="143">
        <f t="shared" si="177"/>
        <v>3285.7278446784539</v>
      </c>
      <c r="S151" s="143">
        <f t="shared" si="177"/>
        <v>4341.1027252745844</v>
      </c>
      <c r="T151" s="143">
        <f t="shared" si="177"/>
        <v>5514.174988580774</v>
      </c>
    </row>
    <row r="152" spans="5:25">
      <c r="M152" s="143">
        <f t="shared" ref="M152" si="178">M140-M148</f>
        <v>173.49368978636721</v>
      </c>
      <c r="N152" s="143">
        <f>N140-N148-$M$152</f>
        <v>188.56983407983302</v>
      </c>
      <c r="O152" s="143">
        <f t="shared" ref="O152:T152" si="179">O140-O148-$M$152</f>
        <v>360.79250323854444</v>
      </c>
      <c r="P152" s="143">
        <f t="shared" si="179"/>
        <v>491.13945701970113</v>
      </c>
      <c r="Q152" s="143">
        <f t="shared" si="179"/>
        <v>654.59625013161997</v>
      </c>
      <c r="R152" s="143">
        <f t="shared" si="179"/>
        <v>852.43513736601881</v>
      </c>
      <c r="S152" s="143">
        <f t="shared" si="179"/>
        <v>1085.9660197705516</v>
      </c>
      <c r="T152" s="143">
        <f t="shared" si="179"/>
        <v>1356.5374415971303</v>
      </c>
    </row>
    <row r="153" spans="5:25">
      <c r="T153" s="161"/>
    </row>
    <row r="154" spans="5:25">
      <c r="M154" s="487">
        <f>M138</f>
        <v>11938.222767123287</v>
      </c>
      <c r="N154" s="487">
        <f t="shared" ref="N154:T154" si="180">N138</f>
        <v>16510.313561643834</v>
      </c>
      <c r="O154" s="487">
        <f t="shared" si="180"/>
        <v>21116.307479289695</v>
      </c>
      <c r="P154" s="487">
        <f t="shared" si="180"/>
        <v>26085.924843048862</v>
      </c>
      <c r="Q154" s="487">
        <f t="shared" si="180"/>
        <v>31808.652337528263</v>
      </c>
      <c r="R154" s="487">
        <f t="shared" si="180"/>
        <v>39425.96421797559</v>
      </c>
      <c r="S154" s="487">
        <f t="shared" si="180"/>
        <v>48412.558141719426</v>
      </c>
      <c r="T154" s="487">
        <f t="shared" si="180"/>
        <v>58352.050476260018</v>
      </c>
    </row>
    <row r="155" spans="5:25">
      <c r="M155" s="487">
        <v>11916</v>
      </c>
      <c r="N155" s="487">
        <f>N154*0.9</f>
        <v>14859.282205479451</v>
      </c>
      <c r="O155" s="487">
        <f t="shared" ref="O155:T155" si="181">O154*0.9</f>
        <v>19004.676731360727</v>
      </c>
      <c r="P155" s="487">
        <f t="shared" si="181"/>
        <v>23477.332358743977</v>
      </c>
      <c r="Q155" s="487">
        <f t="shared" si="181"/>
        <v>28627.787103775438</v>
      </c>
      <c r="R155" s="487">
        <f t="shared" si="181"/>
        <v>35483.367796178034</v>
      </c>
      <c r="S155" s="487">
        <f t="shared" si="181"/>
        <v>43571.302327547484</v>
      </c>
      <c r="T155" s="487">
        <f t="shared" si="181"/>
        <v>52516.84542863402</v>
      </c>
    </row>
    <row r="156" spans="5:25">
      <c r="M156" s="161"/>
      <c r="N156" s="161"/>
      <c r="T156" s="161"/>
    </row>
    <row r="157" spans="5:25">
      <c r="T157" s="161"/>
    </row>
    <row r="159" spans="5:25">
      <c r="F159" s="165">
        <v>2023</v>
      </c>
      <c r="G159" s="165">
        <v>2024</v>
      </c>
      <c r="H159" s="165">
        <v>2025</v>
      </c>
      <c r="I159" s="165">
        <v>2026</v>
      </c>
      <c r="J159" s="165">
        <v>2027</v>
      </c>
      <c r="K159" s="165">
        <v>2028</v>
      </c>
      <c r="L159" s="165">
        <v>2029</v>
      </c>
      <c r="M159" s="165">
        <v>2030</v>
      </c>
      <c r="N159" s="165">
        <v>2031</v>
      </c>
    </row>
    <row r="160" spans="5:25">
      <c r="E160" s="165" t="s">
        <v>473</v>
      </c>
      <c r="F160" s="143">
        <f t="shared" ref="F160:N161" si="182">L14+L46</f>
        <v>1533</v>
      </c>
      <c r="G160" s="143">
        <f t="shared" si="182"/>
        <v>1818</v>
      </c>
      <c r="H160" s="143">
        <f t="shared" si="182"/>
        <v>1398</v>
      </c>
      <c r="I160" s="143">
        <f t="shared" si="182"/>
        <v>2007.3848611659164</v>
      </c>
      <c r="J160" s="143">
        <f t="shared" si="182"/>
        <v>2569.2631795932625</v>
      </c>
      <c r="K160" s="143">
        <f t="shared" si="182"/>
        <v>3152.8136768132363</v>
      </c>
      <c r="L160" s="143">
        <f t="shared" si="182"/>
        <v>3758.67848865017</v>
      </c>
      <c r="M160" s="143">
        <f t="shared" si="182"/>
        <v>4387.5167674898566</v>
      </c>
      <c r="N160" s="143">
        <f t="shared" si="182"/>
        <v>5040.0051060876713</v>
      </c>
      <c r="O160" s="165" t="s">
        <v>474</v>
      </c>
      <c r="Q160" s="143"/>
      <c r="R160" s="143"/>
      <c r="S160" s="143"/>
      <c r="T160" s="143"/>
      <c r="U160" s="143"/>
      <c r="V160" s="143"/>
      <c r="W160" s="143"/>
      <c r="X160" s="143"/>
      <c r="Y160" s="143"/>
    </row>
    <row r="161" spans="5:32">
      <c r="E161" s="165" t="s">
        <v>475</v>
      </c>
      <c r="F161" s="143">
        <f t="shared" si="182"/>
        <v>4583</v>
      </c>
      <c r="G161" s="143">
        <f t="shared" si="182"/>
        <v>6401</v>
      </c>
      <c r="H161" s="143">
        <f t="shared" si="182"/>
        <v>7799</v>
      </c>
      <c r="I161" s="143">
        <f t="shared" si="182"/>
        <v>9806.3848611659159</v>
      </c>
      <c r="J161" s="143">
        <f t="shared" si="182"/>
        <v>12163.648040759179</v>
      </c>
      <c r="K161" s="143">
        <f t="shared" si="182"/>
        <v>14798.461717572416</v>
      </c>
      <c r="L161" s="143">
        <f t="shared" si="182"/>
        <v>18301.140206222586</v>
      </c>
      <c r="M161" s="143">
        <f t="shared" si="182"/>
        <v>22405.656973712441</v>
      </c>
      <c r="N161" s="143">
        <f t="shared" si="182"/>
        <v>26881.662079800113</v>
      </c>
      <c r="O161" s="165" t="s">
        <v>476</v>
      </c>
      <c r="Q161" s="143"/>
      <c r="R161" s="143"/>
      <c r="S161" s="143"/>
      <c r="T161" s="143"/>
      <c r="U161" s="143"/>
      <c r="V161" s="143"/>
      <c r="W161" s="143"/>
      <c r="X161" s="143"/>
      <c r="Y161" s="143"/>
    </row>
    <row r="162" spans="5:32">
      <c r="E162" s="165" t="s">
        <v>477</v>
      </c>
      <c r="F162" s="143">
        <f t="shared" ref="F162:N162" si="183">L18+L50</f>
        <v>11554542.199999999</v>
      </c>
      <c r="G162" s="143">
        <f t="shared" si="183"/>
        <v>16669783.6</v>
      </c>
      <c r="H162" s="143">
        <f t="shared" si="183"/>
        <v>21487842</v>
      </c>
      <c r="I162" s="143">
        <f t="shared" si="183"/>
        <v>26507229.819659971</v>
      </c>
      <c r="J162" s="143">
        <f t="shared" si="183"/>
        <v>32703701.850477647</v>
      </c>
      <c r="K162" s="143">
        <f t="shared" si="183"/>
        <v>39750011.324502811</v>
      </c>
      <c r="L162" s="143">
        <f t="shared" si="183"/>
        <v>49185916.970171452</v>
      </c>
      <c r="M162" s="143">
        <f t="shared" si="183"/>
        <v>60326744.248799674</v>
      </c>
      <c r="N162" s="143">
        <f t="shared" si="183"/>
        <v>72510609.813847631</v>
      </c>
      <c r="O162" s="161" t="s">
        <v>478</v>
      </c>
      <c r="Q162" s="178"/>
      <c r="R162" s="178"/>
      <c r="S162" s="178"/>
      <c r="T162" s="178"/>
      <c r="U162" s="178"/>
      <c r="V162" s="178"/>
      <c r="W162" s="178"/>
      <c r="X162" s="178"/>
      <c r="Y162" s="178"/>
    </row>
    <row r="163" spans="5:32">
      <c r="E163" s="165" t="s">
        <v>479</v>
      </c>
      <c r="G163" s="143">
        <f>G162-F162</f>
        <v>5115241.4000000004</v>
      </c>
      <c r="H163" s="143">
        <f t="shared" ref="H163:N163" si="184">H162-G162</f>
        <v>4818058.4000000004</v>
      </c>
      <c r="I163" s="143">
        <f t="shared" si="184"/>
        <v>5019387.8196599707</v>
      </c>
      <c r="J163" s="143">
        <f t="shared" si="184"/>
        <v>6196472.0308176763</v>
      </c>
      <c r="K163" s="143">
        <f t="shared" si="184"/>
        <v>7046309.4740251638</v>
      </c>
      <c r="L163" s="143">
        <f t="shared" si="184"/>
        <v>9435905.6456686407</v>
      </c>
      <c r="M163" s="143">
        <f t="shared" si="184"/>
        <v>11140827.278628223</v>
      </c>
      <c r="N163" s="143">
        <f t="shared" si="184"/>
        <v>12183865.565047957</v>
      </c>
      <c r="O163" s="165" t="s">
        <v>480</v>
      </c>
      <c r="Q163" s="178"/>
      <c r="R163" s="178"/>
      <c r="S163" s="178"/>
      <c r="T163" s="178"/>
      <c r="U163" s="178"/>
      <c r="V163" s="178"/>
      <c r="W163" s="178"/>
      <c r="X163" s="178"/>
      <c r="Y163" s="178"/>
    </row>
    <row r="164" spans="5:32">
      <c r="E164" s="165" t="s">
        <v>452</v>
      </c>
      <c r="F164" s="143">
        <f>L19+L51</f>
        <v>22</v>
      </c>
      <c r="G164" s="143">
        <f t="shared" ref="G164:N164" si="185">M19+M51</f>
        <v>13</v>
      </c>
      <c r="H164" s="143">
        <f t="shared" si="185"/>
        <v>77</v>
      </c>
      <c r="I164" s="143">
        <f t="shared" si="185"/>
        <v>48.559732129447355</v>
      </c>
      <c r="J164" s="143">
        <f t="shared" si="185"/>
        <v>62.151874403714046</v>
      </c>
      <c r="K164" s="143">
        <f t="shared" si="185"/>
        <v>76.268278476099624</v>
      </c>
      <c r="L164" s="143">
        <f t="shared" si="185"/>
        <v>90.924477961619147</v>
      </c>
      <c r="M164" s="143">
        <f t="shared" si="185"/>
        <v>106.13641811516899</v>
      </c>
      <c r="N164" s="143">
        <f t="shared" si="185"/>
        <v>121.9204660836762</v>
      </c>
      <c r="O164" s="165" t="s">
        <v>481</v>
      </c>
      <c r="Q164" s="143"/>
      <c r="R164" s="143"/>
      <c r="S164" s="143"/>
      <c r="T164" s="143"/>
      <c r="U164" s="143"/>
      <c r="V164" s="143"/>
      <c r="W164" s="143"/>
      <c r="X164" s="143"/>
      <c r="Y164" s="143"/>
    </row>
    <row r="165" spans="5:32">
      <c r="E165" s="165" t="s">
        <v>475</v>
      </c>
      <c r="F165" s="160">
        <f>L20+L52</f>
        <v>85</v>
      </c>
      <c r="G165" s="160">
        <f t="shared" ref="G165:N165" si="186">M20+M52</f>
        <v>98</v>
      </c>
      <c r="H165" s="160">
        <f t="shared" si="186"/>
        <v>175</v>
      </c>
      <c r="I165" s="160">
        <f t="shared" si="186"/>
        <v>223.55973212944735</v>
      </c>
      <c r="J165" s="160">
        <f t="shared" si="186"/>
        <v>274.71160653316139</v>
      </c>
      <c r="K165" s="160">
        <f t="shared" si="186"/>
        <v>322.97988500926101</v>
      </c>
      <c r="L165" s="160">
        <f t="shared" si="186"/>
        <v>412.90436297088013</v>
      </c>
      <c r="M165" s="160">
        <f t="shared" si="186"/>
        <v>517.04078108604915</v>
      </c>
      <c r="N165" s="160">
        <f t="shared" si="186"/>
        <v>630.96124716972531</v>
      </c>
      <c r="O165" s="165" t="s">
        <v>482</v>
      </c>
      <c r="Q165" s="143"/>
      <c r="R165" s="143"/>
      <c r="S165" s="143"/>
      <c r="T165" s="143"/>
      <c r="U165" s="143"/>
      <c r="V165" s="143"/>
      <c r="W165" s="143"/>
      <c r="X165" s="143"/>
      <c r="Y165" s="143"/>
    </row>
    <row r="166" spans="5:32">
      <c r="E166" s="165" t="s">
        <v>477</v>
      </c>
      <c r="F166" s="143">
        <f t="shared" ref="F166:N166" si="187">L23+L55</f>
        <v>227000</v>
      </c>
      <c r="G166" s="143">
        <f t="shared" si="187"/>
        <v>286500</v>
      </c>
      <c r="H166" s="143">
        <f t="shared" si="187"/>
        <v>497500</v>
      </c>
      <c r="I166" s="143">
        <f t="shared" si="187"/>
        <v>774819.90372684668</v>
      </c>
      <c r="J166" s="143">
        <f t="shared" si="187"/>
        <v>951160.61891491222</v>
      </c>
      <c r="K166" s="143">
        <f t="shared" si="187"/>
        <v>1128894.4579196069</v>
      </c>
      <c r="L166" s="143">
        <f t="shared" si="187"/>
        <v>1442033.4094075209</v>
      </c>
      <c r="M166" s="143">
        <f t="shared" si="187"/>
        <v>1808648.9843423807</v>
      </c>
      <c r="N166" s="143">
        <f t="shared" si="187"/>
        <v>2215873.7920814687</v>
      </c>
      <c r="O166" s="161" t="s">
        <v>483</v>
      </c>
      <c r="Q166" s="178"/>
      <c r="R166" s="178"/>
      <c r="S166" s="178"/>
      <c r="T166" s="178"/>
      <c r="U166" s="178"/>
      <c r="V166" s="178"/>
      <c r="W166" s="178"/>
      <c r="X166" s="178"/>
      <c r="Y166" s="178"/>
    </row>
    <row r="167" spans="5:32">
      <c r="E167" s="165" t="s">
        <v>479</v>
      </c>
      <c r="F167" s="143"/>
      <c r="G167" s="143">
        <f t="shared" ref="G167:N167" si="188">G166-F166</f>
        <v>59500</v>
      </c>
      <c r="H167" s="143">
        <f t="shared" si="188"/>
        <v>211000</v>
      </c>
      <c r="I167" s="143">
        <f t="shared" si="188"/>
        <v>277319.90372684668</v>
      </c>
      <c r="J167" s="143">
        <f t="shared" si="188"/>
        <v>176340.71518806554</v>
      </c>
      <c r="K167" s="143">
        <f t="shared" si="188"/>
        <v>177733.83900469472</v>
      </c>
      <c r="L167" s="143">
        <f t="shared" si="188"/>
        <v>313138.95148791396</v>
      </c>
      <c r="M167" s="143">
        <f t="shared" si="188"/>
        <v>366615.57493485976</v>
      </c>
      <c r="N167" s="143">
        <f t="shared" si="188"/>
        <v>407224.80773908808</v>
      </c>
      <c r="O167" s="165" t="s">
        <v>484</v>
      </c>
      <c r="Q167" s="178"/>
      <c r="R167" s="178"/>
      <c r="S167" s="178"/>
      <c r="T167" s="178"/>
      <c r="U167" s="178"/>
      <c r="V167" s="178"/>
      <c r="W167" s="178"/>
      <c r="X167" s="178"/>
      <c r="Y167" s="178"/>
    </row>
    <row r="168" spans="5:32">
      <c r="E168" s="165" t="s">
        <v>485</v>
      </c>
      <c r="F168" s="143">
        <f>L24+L56</f>
        <v>42</v>
      </c>
      <c r="G168" s="143">
        <f t="shared" ref="G168:N168" si="189">M24+M56</f>
        <v>94</v>
      </c>
      <c r="H168" s="143">
        <f t="shared" si="189"/>
        <v>119</v>
      </c>
      <c r="I168" s="143">
        <f t="shared" si="189"/>
        <v>64.629141623920631</v>
      </c>
      <c r="J168" s="143">
        <f t="shared" si="189"/>
        <v>82.719202040117949</v>
      </c>
      <c r="K168" s="143">
        <f t="shared" si="189"/>
        <v>101.50701321631361</v>
      </c>
      <c r="L168" s="143">
        <f t="shared" si="189"/>
        <v>121.01324915874102</v>
      </c>
      <c r="M168" s="143">
        <f t="shared" si="189"/>
        <v>141.25913173357901</v>
      </c>
      <c r="N168" s="143">
        <f t="shared" si="189"/>
        <v>162.26644431174702</v>
      </c>
      <c r="O168" s="165" t="s">
        <v>486</v>
      </c>
      <c r="Q168" s="143"/>
      <c r="R168" s="143"/>
      <c r="S168" s="143"/>
      <c r="T168" s="143"/>
      <c r="U168" s="143"/>
      <c r="V168" s="143"/>
      <c r="W168" s="143"/>
      <c r="X168" s="143"/>
      <c r="Y168" s="143"/>
    </row>
    <row r="169" spans="5:32">
      <c r="E169" s="165" t="s">
        <v>475</v>
      </c>
      <c r="F169" s="143">
        <f>L25+L57</f>
        <v>56</v>
      </c>
      <c r="G169" s="143">
        <f t="shared" ref="G169:N169" si="190">M25+M57</f>
        <v>150</v>
      </c>
      <c r="H169" s="143">
        <f t="shared" si="190"/>
        <v>269</v>
      </c>
      <c r="I169" s="143">
        <f t="shared" si="190"/>
        <v>333.62914162392065</v>
      </c>
      <c r="J169" s="143">
        <f t="shared" si="190"/>
        <v>416.34834366403857</v>
      </c>
      <c r="K169" s="143">
        <f t="shared" si="190"/>
        <v>517.85535688035213</v>
      </c>
      <c r="L169" s="143">
        <f t="shared" si="190"/>
        <v>638.86860603909315</v>
      </c>
      <c r="M169" s="143">
        <f t="shared" si="190"/>
        <v>780.12773777267216</v>
      </c>
      <c r="N169" s="143">
        <f t="shared" si="190"/>
        <v>942.39418208441919</v>
      </c>
      <c r="O169" s="165" t="s">
        <v>487</v>
      </c>
      <c r="Q169" s="143"/>
      <c r="R169" s="143"/>
      <c r="S169" s="143"/>
      <c r="T169" s="143"/>
      <c r="U169" s="143"/>
      <c r="V169" s="143"/>
      <c r="W169" s="143"/>
      <c r="X169" s="143"/>
      <c r="Y169" s="143"/>
    </row>
    <row r="170" spans="5:32">
      <c r="E170" s="165" t="s">
        <v>477</v>
      </c>
      <c r="F170" s="143">
        <f t="shared" ref="F170:N170" si="191">L28+L60</f>
        <v>210000</v>
      </c>
      <c r="G170" s="143">
        <f t="shared" si="191"/>
        <v>618000</v>
      </c>
      <c r="H170" s="143">
        <f t="shared" si="191"/>
        <v>1257000</v>
      </c>
      <c r="I170" s="143">
        <f t="shared" si="191"/>
        <v>1807887.4248717621</v>
      </c>
      <c r="J170" s="143">
        <f t="shared" si="191"/>
        <v>2249932.4558638772</v>
      </c>
      <c r="K170" s="143">
        <f t="shared" si="191"/>
        <v>2802611.101633172</v>
      </c>
      <c r="L170" s="143">
        <f t="shared" si="191"/>
        <v>3470171.8887583362</v>
      </c>
      <c r="M170" s="143">
        <f t="shared" si="191"/>
        <v>4256989.0314352959</v>
      </c>
      <c r="N170" s="143">
        <f t="shared" si="191"/>
        <v>5167565.7595712738</v>
      </c>
      <c r="O170" s="165" t="s">
        <v>488</v>
      </c>
      <c r="Q170" s="178"/>
      <c r="R170" s="178"/>
      <c r="S170" s="178"/>
      <c r="T170" s="178"/>
      <c r="U170" s="178"/>
      <c r="V170" s="178"/>
      <c r="W170" s="178"/>
      <c r="X170" s="178"/>
      <c r="Y170" s="178"/>
    </row>
    <row r="171" spans="5:32">
      <c r="E171" s="165" t="s">
        <v>479</v>
      </c>
      <c r="G171" s="143">
        <f t="shared" ref="G171:N171" si="192">G170-F170</f>
        <v>408000</v>
      </c>
      <c r="H171" s="143">
        <f t="shared" si="192"/>
        <v>639000</v>
      </c>
      <c r="I171" s="143">
        <f t="shared" si="192"/>
        <v>550887.42487176205</v>
      </c>
      <c r="J171" s="143">
        <f t="shared" si="192"/>
        <v>442045.03099211515</v>
      </c>
      <c r="K171" s="143">
        <f t="shared" si="192"/>
        <v>552678.64576929482</v>
      </c>
      <c r="L171" s="143">
        <f t="shared" si="192"/>
        <v>667560.78712516418</v>
      </c>
      <c r="M171" s="143">
        <f t="shared" si="192"/>
        <v>786817.14267695975</v>
      </c>
      <c r="N171" s="143">
        <f t="shared" si="192"/>
        <v>910576.72813597787</v>
      </c>
      <c r="O171" s="165" t="s">
        <v>489</v>
      </c>
      <c r="Q171" s="178"/>
      <c r="R171" s="178"/>
      <c r="S171" s="178"/>
      <c r="T171" s="178"/>
      <c r="U171" s="178"/>
      <c r="V171" s="178"/>
      <c r="W171" s="178"/>
      <c r="X171" s="178"/>
      <c r="Y171" s="178"/>
    </row>
    <row r="172" spans="5:32">
      <c r="L172" s="197"/>
    </row>
    <row r="173" spans="5:32">
      <c r="I173" s="820">
        <v>2024</v>
      </c>
      <c r="J173" s="820"/>
      <c r="K173" s="820"/>
      <c r="L173" s="820">
        <v>2025</v>
      </c>
      <c r="M173" s="820"/>
      <c r="N173" s="820"/>
      <c r="O173" s="820">
        <v>2026</v>
      </c>
      <c r="P173" s="820"/>
      <c r="Q173" s="820"/>
      <c r="R173" s="820">
        <v>2027</v>
      </c>
      <c r="S173" s="820"/>
      <c r="T173" s="820"/>
      <c r="U173" s="820">
        <v>2028</v>
      </c>
      <c r="V173" s="820"/>
      <c r="W173" s="820"/>
      <c r="X173" s="820">
        <v>2029</v>
      </c>
      <c r="Y173" s="820"/>
      <c r="Z173" s="820"/>
      <c r="AA173" s="820">
        <v>2030</v>
      </c>
      <c r="AB173" s="820"/>
      <c r="AC173" s="820"/>
      <c r="AD173" s="820">
        <v>2031</v>
      </c>
      <c r="AE173" s="820"/>
      <c r="AF173" s="820"/>
    </row>
    <row r="174" spans="5:32">
      <c r="F174" s="186" t="str">
        <f t="shared" ref="F174:H180" si="193">X79</f>
        <v>Passenger/SUV</v>
      </c>
      <c r="G174" s="186" t="str">
        <f t="shared" si="193"/>
        <v>Van</v>
      </c>
      <c r="H174" s="186" t="str">
        <f t="shared" si="193"/>
        <v>Pick-up Truck</v>
      </c>
      <c r="I174" s="165" t="str">
        <f t="shared" ref="I174:AF174" si="194">F174</f>
        <v>Passenger/SUV</v>
      </c>
      <c r="J174" s="165" t="str">
        <f t="shared" si="194"/>
        <v>Van</v>
      </c>
      <c r="K174" s="165" t="str">
        <f t="shared" si="194"/>
        <v>Pick-up Truck</v>
      </c>
      <c r="L174" s="165" t="str">
        <f t="shared" si="194"/>
        <v>Passenger/SUV</v>
      </c>
      <c r="M174" s="165" t="str">
        <f t="shared" si="194"/>
        <v>Van</v>
      </c>
      <c r="N174" s="165" t="str">
        <f t="shared" si="194"/>
        <v>Pick-up Truck</v>
      </c>
      <c r="O174" s="165" t="str">
        <f t="shared" si="194"/>
        <v>Passenger/SUV</v>
      </c>
      <c r="P174" s="165" t="str">
        <f t="shared" si="194"/>
        <v>Van</v>
      </c>
      <c r="Q174" s="165" t="str">
        <f t="shared" si="194"/>
        <v>Pick-up Truck</v>
      </c>
      <c r="R174" s="165" t="str">
        <f t="shared" si="194"/>
        <v>Passenger/SUV</v>
      </c>
      <c r="S174" s="165" t="str">
        <f t="shared" si="194"/>
        <v>Van</v>
      </c>
      <c r="T174" s="165" t="str">
        <f t="shared" si="194"/>
        <v>Pick-up Truck</v>
      </c>
      <c r="U174" s="165" t="str">
        <f t="shared" si="194"/>
        <v>Passenger/SUV</v>
      </c>
      <c r="V174" s="165" t="str">
        <f t="shared" si="194"/>
        <v>Van</v>
      </c>
      <c r="W174" s="165" t="str">
        <f t="shared" si="194"/>
        <v>Pick-up Truck</v>
      </c>
      <c r="X174" s="165" t="str">
        <f t="shared" si="194"/>
        <v>Passenger/SUV</v>
      </c>
      <c r="Y174" s="165" t="str">
        <f t="shared" si="194"/>
        <v>Van</v>
      </c>
      <c r="Z174" s="165" t="str">
        <f t="shared" si="194"/>
        <v>Pick-up Truck</v>
      </c>
      <c r="AA174" s="165" t="str">
        <f t="shared" si="194"/>
        <v>Passenger/SUV</v>
      </c>
      <c r="AB174" s="165" t="str">
        <f t="shared" si="194"/>
        <v>Van</v>
      </c>
      <c r="AC174" s="165" t="str">
        <f t="shared" si="194"/>
        <v>Pick-up Truck</v>
      </c>
      <c r="AD174" s="165" t="str">
        <f t="shared" si="194"/>
        <v>Passenger/SUV</v>
      </c>
      <c r="AE174" s="165" t="str">
        <f t="shared" si="194"/>
        <v>Van</v>
      </c>
      <c r="AF174" s="165" t="str">
        <f t="shared" si="194"/>
        <v>Pick-up Truck</v>
      </c>
    </row>
    <row r="175" spans="5:32">
      <c r="E175" s="165" t="str">
        <f t="shared" ref="E175:E180" si="195">W80</f>
        <v>Residential</v>
      </c>
      <c r="F175" s="264">
        <f t="shared" si="193"/>
        <v>0.8386206377858002</v>
      </c>
      <c r="G175" s="264">
        <f t="shared" si="193"/>
        <v>0.64129813477737663</v>
      </c>
      <c r="H175" s="264">
        <f t="shared" si="193"/>
        <v>0.59196750902527073</v>
      </c>
      <c r="I175" s="178">
        <f t="shared" ref="I175:K180" si="196">F175*I$181</f>
        <v>4289747.00529633</v>
      </c>
      <c r="J175" s="178">
        <f t="shared" si="196"/>
        <v>38157.23901925391</v>
      </c>
      <c r="K175" s="178">
        <f t="shared" si="196"/>
        <v>241522.74368231045</v>
      </c>
      <c r="L175" s="178">
        <f t="shared" ref="L175:L180" si="197">$F175*L$181</f>
        <v>4040523.2082972322</v>
      </c>
      <c r="M175" s="178">
        <f t="shared" ref="M175:M180" si="198">$G175*M$181</f>
        <v>135313.90643802646</v>
      </c>
      <c r="N175" s="178">
        <f t="shared" ref="N175:N180" si="199">$H175*N$181</f>
        <v>378267.23826714797</v>
      </c>
      <c r="O175" s="178">
        <f t="shared" ref="O175:O180" si="200">$F175*O$181</f>
        <v>4209362.2146175215</v>
      </c>
      <c r="P175" s="178">
        <f t="shared" ref="P175:P180" si="201">$G175*P$181</f>
        <v>177844.73699666842</v>
      </c>
      <c r="Q175" s="178">
        <f t="shared" ref="Q175:Q180" si="202">$H175*Q$181</f>
        <v>326107.45665468293</v>
      </c>
      <c r="R175" s="178">
        <f t="shared" ref="R175:R180" si="203">$F175*R$181</f>
        <v>5196489.3265061928</v>
      </c>
      <c r="S175" s="178">
        <f t="shared" ref="S175:S180" si="204">$G175*S$181</f>
        <v>113086.97173541505</v>
      </c>
      <c r="T175" s="178">
        <f t="shared" ref="T175:T180" si="205">$H175*T$181</f>
        <v>261676.29587340102</v>
      </c>
      <c r="U175" s="178">
        <f t="shared" ref="U175:U180" si="206">$F175*U$181</f>
        <v>5909180.5451431088</v>
      </c>
      <c r="V175" s="178">
        <f t="shared" ref="V175:V180" si="207">$G175*V$181</f>
        <v>113980.37944053327</v>
      </c>
      <c r="W175" s="178">
        <f t="shared" ref="W175:W180" si="208">$H175*W$181</f>
        <v>327167.80122750945</v>
      </c>
      <c r="X175" s="178">
        <f t="shared" ref="X175:X180" si="209">$F175*X$181</f>
        <v>7913145.2106572688</v>
      </c>
      <c r="Y175" s="178">
        <f t="shared" ref="Y175:Y180" si="210">$G175*Y$181</f>
        <v>200815.42551534265</v>
      </c>
      <c r="Z175" s="178">
        <f t="shared" ref="Z175:Z180" si="211">$H175*Z$181</f>
        <v>395174.29627743247</v>
      </c>
      <c r="AA175" s="178">
        <f t="shared" ref="AA175:AA180" si="212">$F175*AA$181</f>
        <v>9342927.677864641</v>
      </c>
      <c r="AB175" s="178">
        <f t="shared" ref="AB175:AB180" si="213">$G175*AB$181</f>
        <v>235109.88438606111</v>
      </c>
      <c r="AC175" s="178">
        <f t="shared" ref="AC175:AC180" si="214">$H175*AC$181</f>
        <v>465770.1840088609</v>
      </c>
      <c r="AD175" s="178">
        <f t="shared" ref="AD175:AD180" si="215">$F175*AD$181</f>
        <v>10217641.110856967</v>
      </c>
      <c r="AE175" s="178">
        <f t="shared" ref="AE175:AE180" si="216">$G175*AE$181</f>
        <v>261152.50963815299</v>
      </c>
      <c r="AF175" s="178">
        <f t="shared" ref="AF175:AF180" si="217">$H175*AF$181</f>
        <v>539031.837531036</v>
      </c>
    </row>
    <row r="176" spans="5:32">
      <c r="E176" s="165" t="str">
        <f t="shared" si="195"/>
        <v>Residential Seasonal</v>
      </c>
      <c r="F176" s="264">
        <f t="shared" si="193"/>
        <v>1.1379362214199754E-2</v>
      </c>
      <c r="G176" s="264">
        <f t="shared" si="193"/>
        <v>8.7018652226233412E-3</v>
      </c>
      <c r="H176" s="264">
        <f t="shared" si="193"/>
        <v>8.0324909747292381E-3</v>
      </c>
      <c r="I176" s="178">
        <f t="shared" si="196"/>
        <v>58208.184703670253</v>
      </c>
      <c r="J176" s="178">
        <f t="shared" si="196"/>
        <v>517.76098074608876</v>
      </c>
      <c r="K176" s="178">
        <f t="shared" si="196"/>
        <v>3277.2563176895292</v>
      </c>
      <c r="L176" s="178">
        <f t="shared" si="197"/>
        <v>54826.431702767724</v>
      </c>
      <c r="M176" s="178">
        <f t="shared" si="198"/>
        <v>1836.0935619735251</v>
      </c>
      <c r="N176" s="178">
        <f t="shared" si="199"/>
        <v>5132.7617328519827</v>
      </c>
      <c r="O176" s="178">
        <f t="shared" si="200"/>
        <v>57117.432093453157</v>
      </c>
      <c r="P176" s="178">
        <f t="shared" si="201"/>
        <v>2413.2004257819003</v>
      </c>
      <c r="Q176" s="178">
        <f t="shared" si="202"/>
        <v>4424.9982683742601</v>
      </c>
      <c r="R176" s="178">
        <f t="shared" si="203"/>
        <v>70511.899688832273</v>
      </c>
      <c r="S176" s="178">
        <f t="shared" si="204"/>
        <v>1534.4931368275552</v>
      </c>
      <c r="T176" s="178">
        <f t="shared" si="205"/>
        <v>3550.7227218680714</v>
      </c>
      <c r="U176" s="178">
        <f t="shared" si="206"/>
        <v>80182.507778279687</v>
      </c>
      <c r="V176" s="178">
        <f t="shared" si="207"/>
        <v>1546.615912518289</v>
      </c>
      <c r="W176" s="178">
        <f t="shared" si="208"/>
        <v>4439.3862340674386</v>
      </c>
      <c r="X176" s="178">
        <f t="shared" si="209"/>
        <v>107374.58816107587</v>
      </c>
      <c r="Y176" s="178">
        <f t="shared" si="210"/>
        <v>2724.8929518014161</v>
      </c>
      <c r="Z176" s="178">
        <f t="shared" si="211"/>
        <v>5362.1759976660278</v>
      </c>
      <c r="AA176" s="178">
        <f t="shared" si="212"/>
        <v>126775.50896934787</v>
      </c>
      <c r="AB176" s="178">
        <f t="shared" si="213"/>
        <v>3190.2393215977177</v>
      </c>
      <c r="AC176" s="178">
        <f t="shared" si="214"/>
        <v>6320.101597314926</v>
      </c>
      <c r="AD176" s="178">
        <f t="shared" si="215"/>
        <v>138644.61943379627</v>
      </c>
      <c r="AE176" s="178">
        <f t="shared" si="216"/>
        <v>3543.6153922542471</v>
      </c>
      <c r="AF176" s="178">
        <f t="shared" si="217"/>
        <v>7314.1993505507216</v>
      </c>
    </row>
    <row r="177" spans="5:32">
      <c r="E177" s="165" t="str">
        <f t="shared" si="195"/>
        <v>GS&lt;50</v>
      </c>
      <c r="F177" s="264">
        <f t="shared" si="193"/>
        <v>0.1</v>
      </c>
      <c r="G177" s="264">
        <f t="shared" si="193"/>
        <v>0.2</v>
      </c>
      <c r="H177" s="264">
        <f t="shared" si="193"/>
        <v>0.2</v>
      </c>
      <c r="I177" s="178">
        <f t="shared" si="196"/>
        <v>511524.14000000007</v>
      </c>
      <c r="J177" s="178">
        <f t="shared" si="196"/>
        <v>11900</v>
      </c>
      <c r="K177" s="178">
        <f t="shared" si="196"/>
        <v>81600</v>
      </c>
      <c r="L177" s="178">
        <f t="shared" si="197"/>
        <v>481805.84000000008</v>
      </c>
      <c r="M177" s="178">
        <f t="shared" si="198"/>
        <v>42200</v>
      </c>
      <c r="N177" s="178">
        <f t="shared" si="199"/>
        <v>127800</v>
      </c>
      <c r="O177" s="178">
        <f t="shared" si="200"/>
        <v>501938.78196599707</v>
      </c>
      <c r="P177" s="178">
        <f t="shared" si="201"/>
        <v>55463.980745369336</v>
      </c>
      <c r="Q177" s="178">
        <f t="shared" si="202"/>
        <v>110177.48497435241</v>
      </c>
      <c r="R177" s="178">
        <f t="shared" si="203"/>
        <v>619647.20308176766</v>
      </c>
      <c r="S177" s="178">
        <f t="shared" si="204"/>
        <v>35268.14303761311</v>
      </c>
      <c r="T177" s="178">
        <f t="shared" si="205"/>
        <v>88409.006198423041</v>
      </c>
      <c r="U177" s="178">
        <f t="shared" si="206"/>
        <v>704630.94740251638</v>
      </c>
      <c r="V177" s="178">
        <f t="shared" si="207"/>
        <v>35546.767800938942</v>
      </c>
      <c r="W177" s="178">
        <f t="shared" si="208"/>
        <v>110535.72915385896</v>
      </c>
      <c r="X177" s="178">
        <f t="shared" si="209"/>
        <v>943590.56456686417</v>
      </c>
      <c r="Y177" s="178">
        <f t="shared" si="210"/>
        <v>62627.790297582796</v>
      </c>
      <c r="Z177" s="178">
        <f t="shared" si="211"/>
        <v>133512.15742503284</v>
      </c>
      <c r="AA177" s="178">
        <f t="shared" si="212"/>
        <v>1114082.7278628224</v>
      </c>
      <c r="AB177" s="178">
        <f t="shared" si="213"/>
        <v>73323.114986971952</v>
      </c>
      <c r="AC177" s="178">
        <f t="shared" si="214"/>
        <v>157363.42853539195</v>
      </c>
      <c r="AD177" s="178">
        <f t="shared" si="215"/>
        <v>1218386.5565047958</v>
      </c>
      <c r="AE177" s="178">
        <f t="shared" si="216"/>
        <v>81444.961547817627</v>
      </c>
      <c r="AF177" s="178">
        <f t="shared" si="217"/>
        <v>182115.34562719558</v>
      </c>
    </row>
    <row r="178" spans="5:32">
      <c r="E178" s="165" t="str">
        <f t="shared" si="195"/>
        <v>GS 50 - 2,999</v>
      </c>
      <c r="F178" s="264">
        <f t="shared" si="193"/>
        <v>4.4999999999999998E-2</v>
      </c>
      <c r="G178" s="264">
        <f t="shared" si="193"/>
        <v>0.1</v>
      </c>
      <c r="H178" s="264">
        <f t="shared" si="193"/>
        <v>0.15</v>
      </c>
      <c r="I178" s="178">
        <f t="shared" si="196"/>
        <v>230185.86300000001</v>
      </c>
      <c r="J178" s="178">
        <f t="shared" si="196"/>
        <v>5950</v>
      </c>
      <c r="K178" s="178">
        <f t="shared" si="196"/>
        <v>61200</v>
      </c>
      <c r="L178" s="178">
        <f t="shared" si="197"/>
        <v>216812.628</v>
      </c>
      <c r="M178" s="178">
        <f t="shared" si="198"/>
        <v>21100</v>
      </c>
      <c r="N178" s="178">
        <f t="shared" si="199"/>
        <v>95850</v>
      </c>
      <c r="O178" s="178">
        <f t="shared" si="200"/>
        <v>225872.45188469868</v>
      </c>
      <c r="P178" s="178">
        <f t="shared" si="201"/>
        <v>27731.990372684668</v>
      </c>
      <c r="Q178" s="178">
        <f t="shared" si="202"/>
        <v>82633.113730764308</v>
      </c>
      <c r="R178" s="178">
        <f t="shared" si="203"/>
        <v>278841.24138679542</v>
      </c>
      <c r="S178" s="178">
        <f t="shared" si="204"/>
        <v>17634.071518806555</v>
      </c>
      <c r="T178" s="178">
        <f t="shared" si="205"/>
        <v>66306.754648817267</v>
      </c>
      <c r="U178" s="178">
        <f t="shared" si="206"/>
        <v>317083.92633113236</v>
      </c>
      <c r="V178" s="178">
        <f t="shared" si="207"/>
        <v>17773.383900469471</v>
      </c>
      <c r="W178" s="178">
        <f t="shared" si="208"/>
        <v>82901.796865394223</v>
      </c>
      <c r="X178" s="178">
        <f t="shared" si="209"/>
        <v>424615.75405508879</v>
      </c>
      <c r="Y178" s="178">
        <f t="shared" si="210"/>
        <v>31313.895148791398</v>
      </c>
      <c r="Z178" s="178">
        <f t="shared" si="211"/>
        <v>100134.11806877462</v>
      </c>
      <c r="AA178" s="178">
        <f t="shared" si="212"/>
        <v>501337.22753827</v>
      </c>
      <c r="AB178" s="178">
        <f t="shared" si="213"/>
        <v>36661.557493485976</v>
      </c>
      <c r="AC178" s="178">
        <f t="shared" si="214"/>
        <v>118022.57140154396</v>
      </c>
      <c r="AD178" s="178">
        <f t="shared" si="215"/>
        <v>548273.95042715804</v>
      </c>
      <c r="AE178" s="178">
        <f t="shared" si="216"/>
        <v>40722.480773908814</v>
      </c>
      <c r="AF178" s="178">
        <f t="shared" si="217"/>
        <v>136586.50922039666</v>
      </c>
    </row>
    <row r="179" spans="5:32">
      <c r="E179" s="165" t="str">
        <f t="shared" si="195"/>
        <v>GS 3,000 - 4,999</v>
      </c>
      <c r="F179" s="264">
        <f t="shared" si="193"/>
        <v>5.0000000000000001E-3</v>
      </c>
      <c r="G179" s="264">
        <f t="shared" si="193"/>
        <v>0.05</v>
      </c>
      <c r="H179" s="264">
        <f t="shared" si="193"/>
        <v>2.5000000000000001E-2</v>
      </c>
      <c r="I179" s="178">
        <f t="shared" si="196"/>
        <v>25576.207000000002</v>
      </c>
      <c r="J179" s="178">
        <f t="shared" si="196"/>
        <v>2975</v>
      </c>
      <c r="K179" s="178">
        <f t="shared" si="196"/>
        <v>10200</v>
      </c>
      <c r="L179" s="178">
        <f t="shared" si="197"/>
        <v>24090.292000000001</v>
      </c>
      <c r="M179" s="178">
        <f t="shared" si="198"/>
        <v>10550</v>
      </c>
      <c r="N179" s="178">
        <f t="shared" si="199"/>
        <v>15975</v>
      </c>
      <c r="O179" s="178">
        <f t="shared" si="200"/>
        <v>25096.939098299856</v>
      </c>
      <c r="P179" s="178">
        <f t="shared" si="201"/>
        <v>13865.995186342334</v>
      </c>
      <c r="Q179" s="178">
        <f t="shared" si="202"/>
        <v>13772.185621794051</v>
      </c>
      <c r="R179" s="178">
        <f t="shared" si="203"/>
        <v>30982.360154088383</v>
      </c>
      <c r="S179" s="178">
        <f t="shared" si="204"/>
        <v>8817.0357594032776</v>
      </c>
      <c r="T179" s="178">
        <f t="shared" si="205"/>
        <v>11051.12577480288</v>
      </c>
      <c r="U179" s="178">
        <f t="shared" si="206"/>
        <v>35231.547370125823</v>
      </c>
      <c r="V179" s="178">
        <f t="shared" si="207"/>
        <v>8886.6919502347355</v>
      </c>
      <c r="W179" s="178">
        <f t="shared" si="208"/>
        <v>13816.96614423237</v>
      </c>
      <c r="X179" s="178">
        <f t="shared" si="209"/>
        <v>47179.528228343202</v>
      </c>
      <c r="Y179" s="178">
        <f t="shared" si="210"/>
        <v>15656.947574395699</v>
      </c>
      <c r="Z179" s="178">
        <f t="shared" si="211"/>
        <v>16689.019678129105</v>
      </c>
      <c r="AA179" s="178">
        <f t="shared" si="212"/>
        <v>55704.136393141118</v>
      </c>
      <c r="AB179" s="178">
        <f t="shared" si="213"/>
        <v>18330.778746742988</v>
      </c>
      <c r="AC179" s="178">
        <f t="shared" si="214"/>
        <v>19670.428566923994</v>
      </c>
      <c r="AD179" s="178">
        <f t="shared" si="215"/>
        <v>60919.327825239787</v>
      </c>
      <c r="AE179" s="178">
        <f t="shared" si="216"/>
        <v>20361.240386954407</v>
      </c>
      <c r="AF179" s="178">
        <f t="shared" si="217"/>
        <v>22764.418203399448</v>
      </c>
    </row>
    <row r="180" spans="5:32">
      <c r="E180" s="165" t="str">
        <f t="shared" si="195"/>
        <v>Large Use</v>
      </c>
      <c r="F180" s="264">
        <f t="shared" si="193"/>
        <v>0</v>
      </c>
      <c r="G180" s="264">
        <f t="shared" si="193"/>
        <v>0</v>
      </c>
      <c r="H180" s="264">
        <f t="shared" si="193"/>
        <v>2.5000000000000001E-2</v>
      </c>
      <c r="I180" s="178">
        <f t="shared" si="196"/>
        <v>0</v>
      </c>
      <c r="J180" s="178">
        <f t="shared" si="196"/>
        <v>0</v>
      </c>
      <c r="K180" s="178">
        <f t="shared" si="196"/>
        <v>10200</v>
      </c>
      <c r="L180" s="178">
        <f t="shared" si="197"/>
        <v>0</v>
      </c>
      <c r="M180" s="178">
        <f t="shared" si="198"/>
        <v>0</v>
      </c>
      <c r="N180" s="178">
        <f t="shared" si="199"/>
        <v>15975</v>
      </c>
      <c r="O180" s="178">
        <f t="shared" si="200"/>
        <v>0</v>
      </c>
      <c r="P180" s="178">
        <f t="shared" si="201"/>
        <v>0</v>
      </c>
      <c r="Q180" s="178">
        <f t="shared" si="202"/>
        <v>13772.185621794051</v>
      </c>
      <c r="R180" s="178">
        <f t="shared" si="203"/>
        <v>0</v>
      </c>
      <c r="S180" s="178">
        <f t="shared" si="204"/>
        <v>0</v>
      </c>
      <c r="T180" s="178">
        <f t="shared" si="205"/>
        <v>11051.12577480288</v>
      </c>
      <c r="U180" s="178">
        <f t="shared" si="206"/>
        <v>0</v>
      </c>
      <c r="V180" s="178">
        <f t="shared" si="207"/>
        <v>0</v>
      </c>
      <c r="W180" s="178">
        <f t="shared" si="208"/>
        <v>13816.96614423237</v>
      </c>
      <c r="X180" s="178">
        <f t="shared" si="209"/>
        <v>0</v>
      </c>
      <c r="Y180" s="178">
        <f t="shared" si="210"/>
        <v>0</v>
      </c>
      <c r="Z180" s="178">
        <f t="shared" si="211"/>
        <v>16689.019678129105</v>
      </c>
      <c r="AA180" s="178">
        <f t="shared" si="212"/>
        <v>0</v>
      </c>
      <c r="AB180" s="178">
        <f t="shared" si="213"/>
        <v>0</v>
      </c>
      <c r="AC180" s="178">
        <f t="shared" si="214"/>
        <v>19670.428566923994</v>
      </c>
      <c r="AD180" s="178">
        <f t="shared" si="215"/>
        <v>0</v>
      </c>
      <c r="AE180" s="178">
        <f t="shared" si="216"/>
        <v>0</v>
      </c>
      <c r="AF180" s="178">
        <f t="shared" si="217"/>
        <v>22764.418203399448</v>
      </c>
    </row>
    <row r="181" spans="5:32">
      <c r="I181" s="185">
        <f>G163</f>
        <v>5115241.4000000004</v>
      </c>
      <c r="J181" s="185">
        <f>G167</f>
        <v>59500</v>
      </c>
      <c r="K181" s="185">
        <f>G171</f>
        <v>408000</v>
      </c>
      <c r="L181" s="185">
        <f>H163</f>
        <v>4818058.4000000004</v>
      </c>
      <c r="M181" s="185">
        <f>H167</f>
        <v>211000</v>
      </c>
      <c r="N181" s="185">
        <f>H171</f>
        <v>639000</v>
      </c>
      <c r="O181" s="185">
        <f>I163</f>
        <v>5019387.8196599707</v>
      </c>
      <c r="P181" s="185">
        <f>I167</f>
        <v>277319.90372684668</v>
      </c>
      <c r="Q181" s="185">
        <f>I171</f>
        <v>550887.42487176205</v>
      </c>
      <c r="R181" s="185">
        <f>J163</f>
        <v>6196472.0308176763</v>
      </c>
      <c r="S181" s="185">
        <f>J167</f>
        <v>176340.71518806554</v>
      </c>
      <c r="T181" s="185">
        <f>J171</f>
        <v>442045.03099211515</v>
      </c>
      <c r="U181" s="185">
        <f>K163</f>
        <v>7046309.4740251638</v>
      </c>
      <c r="V181" s="185">
        <f>K167</f>
        <v>177733.83900469472</v>
      </c>
      <c r="W181" s="185">
        <f>K171</f>
        <v>552678.64576929482</v>
      </c>
      <c r="X181" s="185">
        <f>L163</f>
        <v>9435905.6456686407</v>
      </c>
      <c r="Y181" s="185">
        <f>L167</f>
        <v>313138.95148791396</v>
      </c>
      <c r="Z181" s="185">
        <f>L171</f>
        <v>667560.78712516418</v>
      </c>
      <c r="AA181" s="185">
        <f>M163</f>
        <v>11140827.278628223</v>
      </c>
      <c r="AB181" s="185">
        <f>M167</f>
        <v>366615.57493485976</v>
      </c>
      <c r="AC181" s="185">
        <f>M171</f>
        <v>786817.14267695975</v>
      </c>
      <c r="AD181" s="185">
        <f>N163</f>
        <v>12183865.565047957</v>
      </c>
      <c r="AE181" s="185">
        <f>N167</f>
        <v>407224.80773908808</v>
      </c>
      <c r="AF181" s="185">
        <f>N171</f>
        <v>910576.72813597787</v>
      </c>
    </row>
    <row r="184" spans="5:32">
      <c r="F184" s="165" t="s">
        <v>490</v>
      </c>
      <c r="G184" s="165" t="s">
        <v>491</v>
      </c>
      <c r="H184" s="165" t="s">
        <v>492</v>
      </c>
      <c r="I184" s="165" t="s">
        <v>493</v>
      </c>
      <c r="J184" s="165" t="s">
        <v>494</v>
      </c>
      <c r="K184" s="165" t="s">
        <v>495</v>
      </c>
      <c r="L184" s="165" t="s">
        <v>496</v>
      </c>
      <c r="M184" s="165" t="s">
        <v>497</v>
      </c>
    </row>
    <row r="185" spans="5:32">
      <c r="E185" s="165" t="str">
        <f t="shared" ref="E185:E190" si="218">E175</f>
        <v>Residential</v>
      </c>
      <c r="F185" s="178">
        <f t="shared" ref="F185:F190" si="219">SUM(I175:K175)</f>
        <v>4569426.9879978951</v>
      </c>
      <c r="G185" s="178">
        <f t="shared" ref="G185:G190" si="220">SUM(L175:N175)</f>
        <v>4554104.3530024067</v>
      </c>
      <c r="H185" s="178">
        <f t="shared" ref="H185:H190" si="221">SUM(O175:Q175)</f>
        <v>4713314.4082688726</v>
      </c>
      <c r="I185" s="178">
        <f t="shared" ref="I185:I190" si="222">SUM(R175:T175)</f>
        <v>5571252.5941150086</v>
      </c>
      <c r="J185" s="178">
        <f t="shared" ref="J185:J190" si="223">SUM(U175:W175)</f>
        <v>6350328.7258111509</v>
      </c>
      <c r="K185" s="178">
        <f t="shared" ref="K185:K190" si="224">SUM(X175:Z175)</f>
        <v>8509134.932450043</v>
      </c>
      <c r="L185" s="178">
        <f t="shared" ref="L185:L190" si="225">SUM(AA175:AC175)</f>
        <v>10043807.746259563</v>
      </c>
      <c r="M185" s="178">
        <f t="shared" ref="M185:M190" si="226">SUM(AD175:AF175)</f>
        <v>11017825.458026156</v>
      </c>
      <c r="N185" s="178"/>
      <c r="O185" s="178"/>
    </row>
    <row r="186" spans="5:32">
      <c r="E186" s="165" t="str">
        <f t="shared" si="218"/>
        <v>Residential Seasonal</v>
      </c>
      <c r="F186" s="178">
        <f>SUM(I176:K176)</f>
        <v>62003.202002105871</v>
      </c>
      <c r="G186" s="178">
        <f t="shared" si="220"/>
        <v>61795.286997593234</v>
      </c>
      <c r="H186" s="178">
        <f t="shared" si="221"/>
        <v>63955.63078760932</v>
      </c>
      <c r="I186" s="178">
        <f t="shared" si="222"/>
        <v>75597.115547527908</v>
      </c>
      <c r="J186" s="178">
        <f t="shared" si="223"/>
        <v>86168.509924865415</v>
      </c>
      <c r="K186" s="178">
        <f t="shared" si="224"/>
        <v>115461.65711054331</v>
      </c>
      <c r="L186" s="178">
        <f t="shared" si="225"/>
        <v>136285.84988826051</v>
      </c>
      <c r="M186" s="178">
        <f t="shared" si="226"/>
        <v>149502.43417660124</v>
      </c>
      <c r="N186" s="178"/>
      <c r="O186" s="178"/>
    </row>
    <row r="187" spans="5:32">
      <c r="E187" s="165" t="str">
        <f t="shared" si="218"/>
        <v>GS&lt;50</v>
      </c>
      <c r="F187" s="178">
        <f t="shared" si="219"/>
        <v>605024.14000000013</v>
      </c>
      <c r="G187" s="178">
        <f t="shared" si="220"/>
        <v>651805.84000000008</v>
      </c>
      <c r="H187" s="178">
        <f t="shared" si="221"/>
        <v>667580.24768571882</v>
      </c>
      <c r="I187" s="178">
        <f t="shared" si="222"/>
        <v>743324.35231780377</v>
      </c>
      <c r="J187" s="178">
        <f t="shared" si="223"/>
        <v>850713.44435731426</v>
      </c>
      <c r="K187" s="178">
        <f t="shared" si="224"/>
        <v>1139730.5122894798</v>
      </c>
      <c r="L187" s="178">
        <f t="shared" si="225"/>
        <v>1344769.2713851864</v>
      </c>
      <c r="M187" s="178">
        <f t="shared" si="226"/>
        <v>1481946.863679809</v>
      </c>
      <c r="N187" s="178"/>
      <c r="O187" s="178"/>
    </row>
    <row r="188" spans="5:32">
      <c r="E188" s="165" t="str">
        <f t="shared" si="218"/>
        <v>GS 50 - 2,999</v>
      </c>
      <c r="F188" s="178">
        <f t="shared" si="219"/>
        <v>297335.86300000001</v>
      </c>
      <c r="G188" s="178">
        <f t="shared" si="220"/>
        <v>333762.62800000003</v>
      </c>
      <c r="H188" s="178">
        <f t="shared" si="221"/>
        <v>336237.55598814762</v>
      </c>
      <c r="I188" s="178">
        <f t="shared" si="222"/>
        <v>362782.06755441928</v>
      </c>
      <c r="J188" s="178">
        <f t="shared" si="223"/>
        <v>417759.10709699604</v>
      </c>
      <c r="K188" s="178">
        <f t="shared" si="224"/>
        <v>556063.7672726548</v>
      </c>
      <c r="L188" s="178">
        <f t="shared" si="225"/>
        <v>656021.35643329984</v>
      </c>
      <c r="M188" s="178">
        <f t="shared" si="226"/>
        <v>725582.94042146346</v>
      </c>
      <c r="N188" s="178"/>
      <c r="O188" s="178"/>
    </row>
    <row r="189" spans="5:32">
      <c r="E189" s="165" t="str">
        <f t="shared" si="218"/>
        <v>GS 3,000 - 4,999</v>
      </c>
      <c r="F189" s="178">
        <f t="shared" si="219"/>
        <v>38751.207000000002</v>
      </c>
      <c r="G189" s="178">
        <f t="shared" si="220"/>
        <v>50615.292000000001</v>
      </c>
      <c r="H189" s="178">
        <f t="shared" si="221"/>
        <v>52735.119906436244</v>
      </c>
      <c r="I189" s="178">
        <f t="shared" si="222"/>
        <v>50850.521688294539</v>
      </c>
      <c r="J189" s="178">
        <f t="shared" si="223"/>
        <v>57935.205464592931</v>
      </c>
      <c r="K189" s="178">
        <f t="shared" si="224"/>
        <v>79525.495480868005</v>
      </c>
      <c r="L189" s="178">
        <f t="shared" si="225"/>
        <v>93705.343706808097</v>
      </c>
      <c r="M189" s="178">
        <f t="shared" si="226"/>
        <v>104044.98641559364</v>
      </c>
      <c r="N189" s="178"/>
      <c r="O189" s="178"/>
    </row>
    <row r="190" spans="5:32">
      <c r="E190" s="165" t="str">
        <f t="shared" si="218"/>
        <v>Large Use</v>
      </c>
      <c r="F190" s="178">
        <f t="shared" si="219"/>
        <v>10200</v>
      </c>
      <c r="G190" s="178">
        <f t="shared" si="220"/>
        <v>15975</v>
      </c>
      <c r="H190" s="178">
        <f t="shared" si="221"/>
        <v>13772.185621794051</v>
      </c>
      <c r="I190" s="178">
        <f t="shared" si="222"/>
        <v>11051.12577480288</v>
      </c>
      <c r="J190" s="178">
        <f t="shared" si="223"/>
        <v>13816.96614423237</v>
      </c>
      <c r="K190" s="178">
        <f t="shared" si="224"/>
        <v>16689.019678129105</v>
      </c>
      <c r="L190" s="178">
        <f t="shared" si="225"/>
        <v>19670.428566923994</v>
      </c>
      <c r="M190" s="178">
        <f t="shared" si="226"/>
        <v>22764.418203399448</v>
      </c>
      <c r="N190" s="178"/>
      <c r="O190" s="178"/>
    </row>
    <row r="191" spans="5:32">
      <c r="E191" s="165" t="s">
        <v>290</v>
      </c>
      <c r="F191" s="176">
        <f t="shared" ref="F191:M191" si="227">SUM(F185:F190)</f>
        <v>5582741.4000000022</v>
      </c>
      <c r="G191" s="176">
        <f t="shared" si="227"/>
        <v>5668058.3999999994</v>
      </c>
      <c r="H191" s="176">
        <f t="shared" si="227"/>
        <v>5847595.1482585799</v>
      </c>
      <c r="I191" s="176">
        <f t="shared" si="227"/>
        <v>6814857.7769978559</v>
      </c>
      <c r="J191" s="176">
        <f t="shared" si="227"/>
        <v>7776721.9587991517</v>
      </c>
      <c r="K191" s="176">
        <f t="shared" si="227"/>
        <v>10416605.384281717</v>
      </c>
      <c r="L191" s="176">
        <f t="shared" si="227"/>
        <v>12294259.996240042</v>
      </c>
      <c r="M191" s="176">
        <f t="shared" si="227"/>
        <v>13501667.100923022</v>
      </c>
      <c r="N191" s="176"/>
      <c r="O191" s="176"/>
    </row>
    <row r="193" spans="5:13">
      <c r="F193" s="165" t="s">
        <v>498</v>
      </c>
      <c r="G193" s="165" t="s">
        <v>499</v>
      </c>
      <c r="H193" s="165" t="s">
        <v>500</v>
      </c>
      <c r="I193" s="165" t="s">
        <v>501</v>
      </c>
      <c r="J193" s="165" t="s">
        <v>502</v>
      </c>
      <c r="K193" s="165" t="s">
        <v>503</v>
      </c>
      <c r="L193" s="165" t="s">
        <v>504</v>
      </c>
      <c r="M193" s="165" t="s">
        <v>505</v>
      </c>
    </row>
    <row r="194" spans="5:13">
      <c r="E194" s="165" t="str">
        <f t="shared" ref="E194:F200" si="228">E185</f>
        <v>Residential</v>
      </c>
      <c r="F194" s="178">
        <f>F185</f>
        <v>4569426.9879978951</v>
      </c>
      <c r="G194" s="178">
        <f>SUM($F185:F185)+G185</f>
        <v>9123531.3410003018</v>
      </c>
      <c r="H194" s="178">
        <f t="shared" ref="H194" si="229">H185</f>
        <v>4713314.4082688726</v>
      </c>
      <c r="I194" s="178">
        <f>SUM($F185:H185)+I185</f>
        <v>19408098.343384184</v>
      </c>
      <c r="J194" s="178">
        <f t="shared" ref="J194" si="230">J185</f>
        <v>6350328.7258111509</v>
      </c>
      <c r="K194" s="178">
        <f>SUM($F185:J185)+K185</f>
        <v>34267562.001645379</v>
      </c>
      <c r="L194" s="178">
        <f t="shared" ref="L194" si="231">L185</f>
        <v>10043807.746259563</v>
      </c>
      <c r="M194" s="178">
        <f>SUM($F185:L185)+M185</f>
        <v>55329195.205931097</v>
      </c>
    </row>
    <row r="195" spans="5:13">
      <c r="E195" s="165" t="str">
        <f t="shared" si="228"/>
        <v>Residential Seasonal</v>
      </c>
      <c r="F195" s="178">
        <f t="shared" si="228"/>
        <v>62003.202002105871</v>
      </c>
      <c r="G195" s="178">
        <f>SUM($F186:F186)+G186</f>
        <v>123798.4889996991</v>
      </c>
      <c r="H195" s="178">
        <f t="shared" ref="H195" si="232">H186</f>
        <v>63955.63078760932</v>
      </c>
      <c r="I195" s="178">
        <f>SUM($F186:H186)+I186</f>
        <v>263351.2353348363</v>
      </c>
      <c r="J195" s="178">
        <f t="shared" ref="J195" si="233">J186</f>
        <v>86168.509924865415</v>
      </c>
      <c r="K195" s="178">
        <f>SUM($F186:J186)+K186</f>
        <v>464981.40237024508</v>
      </c>
      <c r="L195" s="178">
        <f t="shared" ref="L195" si="234">L186</f>
        <v>136285.84988826051</v>
      </c>
      <c r="M195" s="178">
        <f>SUM($F186:L186)+M186</f>
        <v>750769.68643510679</v>
      </c>
    </row>
    <row r="196" spans="5:13">
      <c r="E196" s="165" t="str">
        <f t="shared" si="228"/>
        <v>GS&lt;50</v>
      </c>
      <c r="F196" s="178">
        <f t="shared" si="228"/>
        <v>605024.14000000013</v>
      </c>
      <c r="G196" s="178">
        <f>SUM($F187:F187)+G187</f>
        <v>1256829.9800000002</v>
      </c>
      <c r="H196" s="178">
        <f t="shared" ref="H196" si="235">H187</f>
        <v>667580.24768571882</v>
      </c>
      <c r="I196" s="178">
        <f>SUM($F187:H187)+I187</f>
        <v>2667734.5800035228</v>
      </c>
      <c r="J196" s="178">
        <f t="shared" ref="J196" si="236">J187</f>
        <v>850713.44435731426</v>
      </c>
      <c r="K196" s="178">
        <f>SUM($F187:J187)+K187</f>
        <v>4658178.5366503168</v>
      </c>
      <c r="L196" s="178">
        <f t="shared" ref="L196" si="237">L187</f>
        <v>1344769.2713851864</v>
      </c>
      <c r="M196" s="178">
        <f>SUM($F187:L187)+M187</f>
        <v>7484894.6717153117</v>
      </c>
    </row>
    <row r="197" spans="5:13">
      <c r="E197" s="165" t="str">
        <f t="shared" si="228"/>
        <v>GS 50 - 2,999</v>
      </c>
      <c r="F197" s="178">
        <f t="shared" si="228"/>
        <v>297335.86300000001</v>
      </c>
      <c r="G197" s="178">
        <f>SUM($F188:F188)+G188</f>
        <v>631098.49100000004</v>
      </c>
      <c r="H197" s="178">
        <f t="shared" ref="H197" si="238">H188</f>
        <v>336237.55598814762</v>
      </c>
      <c r="I197" s="178">
        <f>SUM($F188:H188)+I188</f>
        <v>1330118.1145425669</v>
      </c>
      <c r="J197" s="178">
        <f t="shared" ref="J197" si="239">J188</f>
        <v>417759.10709699604</v>
      </c>
      <c r="K197" s="178">
        <f>SUM($F188:J188)+K188</f>
        <v>2303940.9889122178</v>
      </c>
      <c r="L197" s="178">
        <f t="shared" ref="L197" si="240">L188</f>
        <v>656021.35643329984</v>
      </c>
      <c r="M197" s="178">
        <f>SUM($F188:L188)+M188</f>
        <v>3685545.2857669811</v>
      </c>
    </row>
    <row r="198" spans="5:13">
      <c r="E198" s="165" t="str">
        <f t="shared" si="228"/>
        <v>GS 3,000 - 4,999</v>
      </c>
      <c r="F198" s="178">
        <f t="shared" si="228"/>
        <v>38751.207000000002</v>
      </c>
      <c r="G198" s="178">
        <f>SUM($F189:F189)+G189</f>
        <v>89366.499000000011</v>
      </c>
      <c r="H198" s="178">
        <f t="shared" ref="H198" si="241">H189</f>
        <v>52735.119906436244</v>
      </c>
      <c r="I198" s="178">
        <f>SUM($F189:H189)+I189</f>
        <v>192952.14059473079</v>
      </c>
      <c r="J198" s="178">
        <f t="shared" ref="J198" si="242">J189</f>
        <v>57935.205464592931</v>
      </c>
      <c r="K198" s="178">
        <f>SUM($F189:J189)+K189</f>
        <v>330412.84154019173</v>
      </c>
      <c r="L198" s="178">
        <f t="shared" ref="L198" si="243">L189</f>
        <v>93705.343706808097</v>
      </c>
      <c r="M198" s="178">
        <f>SUM($F189:L189)+M189</f>
        <v>528163.17166259349</v>
      </c>
    </row>
    <row r="199" spans="5:13">
      <c r="E199" s="165" t="str">
        <f t="shared" si="228"/>
        <v>Large Use</v>
      </c>
      <c r="F199" s="178">
        <f t="shared" si="228"/>
        <v>10200</v>
      </c>
      <c r="G199" s="178">
        <f>SUM($F190:F190)+G190</f>
        <v>26175</v>
      </c>
      <c r="H199" s="178">
        <f t="shared" ref="H199" si="244">H190</f>
        <v>13772.185621794051</v>
      </c>
      <c r="I199" s="178">
        <f>SUM($F190:H190)+I190</f>
        <v>50998.311396596931</v>
      </c>
      <c r="J199" s="178">
        <f t="shared" ref="J199" si="245">J190</f>
        <v>13816.96614423237</v>
      </c>
      <c r="K199" s="178">
        <f>SUM($F190:J190)+K190</f>
        <v>81504.297218958411</v>
      </c>
      <c r="L199" s="178">
        <f t="shared" ref="L199" si="246">L190</f>
        <v>19670.428566923994</v>
      </c>
      <c r="M199" s="178">
        <f>SUM($F190:L190)+M190</f>
        <v>123939.14398928185</v>
      </c>
    </row>
    <row r="200" spans="5:13">
      <c r="E200" s="165" t="str">
        <f t="shared" si="228"/>
        <v>Total</v>
      </c>
      <c r="F200" s="176">
        <f t="shared" ref="F200:M200" si="247">SUM(F194:F199)</f>
        <v>5582741.4000000022</v>
      </c>
      <c r="G200" s="176">
        <f t="shared" si="247"/>
        <v>11250799.800000001</v>
      </c>
      <c r="H200" s="176">
        <f t="shared" si="247"/>
        <v>5847595.1482585799</v>
      </c>
      <c r="I200" s="176">
        <f t="shared" si="247"/>
        <v>23913252.725256436</v>
      </c>
      <c r="J200" s="176">
        <f t="shared" si="247"/>
        <v>7776721.9587991517</v>
      </c>
      <c r="K200" s="176">
        <f t="shared" si="247"/>
        <v>42106580.068337306</v>
      </c>
      <c r="L200" s="176">
        <f t="shared" si="247"/>
        <v>12294259.996240042</v>
      </c>
      <c r="M200" s="176">
        <f t="shared" si="247"/>
        <v>67902507.165500373</v>
      </c>
    </row>
  </sheetData>
  <mergeCells count="26">
    <mergeCell ref="B79:B91"/>
    <mergeCell ref="B93:B105"/>
    <mergeCell ref="B108:B140"/>
    <mergeCell ref="X173:Z173"/>
    <mergeCell ref="AA173:AC173"/>
    <mergeCell ref="AD173:AF173"/>
    <mergeCell ref="C80:C85"/>
    <mergeCell ref="C94:C99"/>
    <mergeCell ref="I173:K173"/>
    <mergeCell ref="L173:N173"/>
    <mergeCell ref="O173:Q173"/>
    <mergeCell ref="R173:T173"/>
    <mergeCell ref="U173:W173"/>
    <mergeCell ref="C117:C122"/>
    <mergeCell ref="C125:C130"/>
    <mergeCell ref="C109:C114"/>
    <mergeCell ref="B41:B72"/>
    <mergeCell ref="C43:C44"/>
    <mergeCell ref="C46:C50"/>
    <mergeCell ref="C51:C55"/>
    <mergeCell ref="C56:C60"/>
    <mergeCell ref="B9:B40"/>
    <mergeCell ref="C11:C12"/>
    <mergeCell ref="C14:C18"/>
    <mergeCell ref="C19:C23"/>
    <mergeCell ref="C24:C28"/>
  </mergeCells>
  <hyperlinks>
    <hyperlink ref="F3" r:id="rId1" display="https://council.cleanairpartnership.org/wp-content/uploads/2021/11/2-21-050-EV-Charging-Performance-Requirements-in-GTHA.pdf" xr:uid="{098DF240-8CC6-49E6-A3EB-5C353A837005}"/>
  </hyperlinks>
  <pageMargins left="0.7" right="0.7" top="0.75" bottom="0.75" header="0.3" footer="0.3"/>
  <ignoredErrors>
    <ignoredError sqref="G194:L199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25B9C-D500-42E8-9E39-4274F30C7A45}">
  <sheetPr codeName="Sheet22">
    <tabColor theme="3" tint="0.499984740745262"/>
  </sheetPr>
  <dimension ref="B1:AF194"/>
  <sheetViews>
    <sheetView topLeftCell="A171" zoomScaleNormal="100" workbookViewId="0">
      <selection activeCell="O82" sqref="O82"/>
    </sheetView>
  </sheetViews>
  <sheetFormatPr defaultColWidth="8.81640625" defaultRowHeight="14.5"/>
  <cols>
    <col min="1" max="1" width="2.81640625" style="165" customWidth="1"/>
    <col min="2" max="2" width="34.1796875" style="165" customWidth="1"/>
    <col min="3" max="3" width="12.453125" style="165" customWidth="1"/>
    <col min="4" max="4" width="15.81640625" style="165" customWidth="1"/>
    <col min="5" max="5" width="30.81640625" style="165" customWidth="1"/>
    <col min="6" max="7" width="17" style="165" bestFit="1" customWidth="1"/>
    <col min="8" max="8" width="17.1796875" style="165" bestFit="1" customWidth="1"/>
    <col min="9" max="9" width="16.453125" style="165" customWidth="1"/>
    <col min="10" max="10" width="13.54296875" style="165" customWidth="1"/>
    <col min="11" max="11" width="12.54296875" style="165" bestFit="1" customWidth="1"/>
    <col min="12" max="12" width="14.81640625" style="165" bestFit="1" customWidth="1"/>
    <col min="13" max="13" width="12" style="165" bestFit="1" customWidth="1"/>
    <col min="14" max="14" width="14" style="165" customWidth="1"/>
    <col min="15" max="15" width="13.81640625" style="165" bestFit="1" customWidth="1"/>
    <col min="16" max="17" width="11.1796875" style="165" bestFit="1" customWidth="1"/>
    <col min="18" max="21" width="11.54296875" style="165" bestFit="1" customWidth="1"/>
    <col min="22" max="23" width="12" style="165" bestFit="1" customWidth="1"/>
    <col min="24" max="24" width="13" style="165" customWidth="1"/>
    <col min="25" max="25" width="8.81640625" style="165"/>
    <col min="26" max="26" width="11.81640625" style="165" customWidth="1"/>
    <col min="27" max="27" width="11.1796875" style="165" bestFit="1" customWidth="1"/>
    <col min="28" max="28" width="8.81640625" style="165"/>
    <col min="29" max="29" width="10.81640625" style="165" customWidth="1"/>
    <col min="30" max="30" width="11.1796875" style="165" bestFit="1" customWidth="1"/>
    <col min="31" max="31" width="8.81640625" style="165"/>
    <col min="32" max="32" width="10.1796875" style="165" bestFit="1" customWidth="1"/>
    <col min="33" max="16384" width="8.81640625" style="165"/>
  </cols>
  <sheetData>
    <row r="1" spans="2:24">
      <c r="C1" s="165" t="s">
        <v>437</v>
      </c>
      <c r="D1" s="165" t="s">
        <v>438</v>
      </c>
    </row>
    <row r="2" spans="2:24">
      <c r="C2" s="165" t="s">
        <v>439</v>
      </c>
      <c r="D2" s="165" t="s">
        <v>440</v>
      </c>
    </row>
    <row r="3" spans="2:24">
      <c r="B3" s="165" t="s">
        <v>441</v>
      </c>
      <c r="C3" s="197">
        <f>46*365</f>
        <v>16790</v>
      </c>
      <c r="D3" s="165">
        <v>20</v>
      </c>
      <c r="E3" s="196">
        <f>C3*D3/100</f>
        <v>3358</v>
      </c>
      <c r="F3" s="37" t="s">
        <v>442</v>
      </c>
      <c r="Q3" s="195"/>
      <c r="R3" s="195"/>
      <c r="S3" s="195"/>
    </row>
    <row r="4" spans="2:24">
      <c r="B4" s="165" t="s">
        <v>443</v>
      </c>
      <c r="C4" s="197">
        <f>C3</f>
        <v>16790</v>
      </c>
      <c r="D4" s="165">
        <v>20</v>
      </c>
      <c r="E4" s="196">
        <f t="shared" ref="E4:E6" si="0">C4*D4/100</f>
        <v>3358</v>
      </c>
      <c r="O4" s="143"/>
      <c r="P4" s="195"/>
      <c r="Q4" s="195"/>
      <c r="R4" s="195"/>
      <c r="S4" s="195"/>
      <c r="T4" s="152"/>
      <c r="U4" s="152"/>
      <c r="V4" s="152"/>
      <c r="W4" s="152"/>
      <c r="X4" s="195"/>
    </row>
    <row r="5" spans="2:24">
      <c r="B5" s="165" t="s">
        <v>444</v>
      </c>
      <c r="C5" s="197">
        <v>20000</v>
      </c>
      <c r="D5" s="165">
        <v>25</v>
      </c>
      <c r="E5" s="196">
        <f t="shared" si="0"/>
        <v>5000</v>
      </c>
      <c r="F5" s="197"/>
      <c r="G5" s="197"/>
      <c r="H5" s="197"/>
      <c r="I5" s="197"/>
      <c r="L5" s="143"/>
      <c r="M5" s="143"/>
      <c r="N5" s="143"/>
      <c r="O5" s="143"/>
    </row>
    <row r="6" spans="2:24">
      <c r="B6" s="165" t="s">
        <v>445</v>
      </c>
      <c r="C6" s="197">
        <v>20000</v>
      </c>
      <c r="D6" s="165">
        <v>30</v>
      </c>
      <c r="E6" s="196">
        <f t="shared" si="0"/>
        <v>6000</v>
      </c>
    </row>
    <row r="7" spans="2:24">
      <c r="C7" s="197"/>
      <c r="E7" s="196"/>
    </row>
    <row r="8" spans="2:24">
      <c r="C8" s="197"/>
      <c r="E8" s="196"/>
    </row>
    <row r="9" spans="2:24">
      <c r="B9" s="813" t="s">
        <v>392</v>
      </c>
      <c r="C9" s="667"/>
      <c r="D9" s="668"/>
      <c r="E9" s="669"/>
      <c r="F9" s="670">
        <v>2017</v>
      </c>
      <c r="G9" s="670">
        <v>2018</v>
      </c>
      <c r="H9" s="670">
        <v>2019</v>
      </c>
      <c r="I9" s="670">
        <v>2020</v>
      </c>
      <c r="J9" s="670">
        <v>2021</v>
      </c>
      <c r="K9" s="670">
        <v>2022</v>
      </c>
      <c r="L9" s="670">
        <v>2023</v>
      </c>
      <c r="M9" s="670">
        <v>2024</v>
      </c>
      <c r="N9" s="670">
        <v>2025</v>
      </c>
      <c r="O9" s="670">
        <v>2026</v>
      </c>
      <c r="P9" s="670">
        <v>2027</v>
      </c>
      <c r="Q9" s="670">
        <v>2028</v>
      </c>
      <c r="R9" s="670">
        <v>2029</v>
      </c>
      <c r="S9" s="670">
        <v>2030</v>
      </c>
      <c r="T9" s="670">
        <v>2031</v>
      </c>
      <c r="U9" s="670">
        <v>2032</v>
      </c>
      <c r="V9" s="670">
        <v>2033</v>
      </c>
      <c r="W9" s="670">
        <v>2034</v>
      </c>
      <c r="X9" s="670">
        <v>2035</v>
      </c>
    </row>
    <row r="10" spans="2:24">
      <c r="B10" s="814"/>
      <c r="C10" s="604"/>
      <c r="X10" s="182"/>
    </row>
    <row r="11" spans="2:24">
      <c r="B11" s="814"/>
      <c r="C11" s="816" t="s">
        <v>446</v>
      </c>
      <c r="D11" s="164" t="s">
        <v>2</v>
      </c>
      <c r="E11" s="165" t="s">
        <v>447</v>
      </c>
      <c r="F11" s="194">
        <f>SUMIFS('EV Data'!$EI$44:$EI$151,'EV Data'!$C$44:$C$151,'EV Forecast WRZ'!F$9)/3</f>
        <v>30</v>
      </c>
      <c r="G11" s="194">
        <f>SUMIFS('EV Data'!$EI$44:$EI$151,'EV Data'!$C$44:$C$151,'EV Forecast WRZ'!G$9)/3</f>
        <v>74</v>
      </c>
      <c r="H11" s="194">
        <f>SUMIFS('EV Data'!$EI$44:$EI$151,'EV Data'!$C$44:$C$151,'EV Forecast WRZ'!H$9)/3</f>
        <v>70</v>
      </c>
      <c r="I11" s="194">
        <f>SUMIFS('EV Data'!$EI$44:$EI$151,'EV Data'!$C$44:$C$151,'EV Forecast WRZ'!I$9)/3</f>
        <v>80</v>
      </c>
      <c r="J11" s="194">
        <f>SUMIFS('EV Data'!$EI$44:$EI$151,'EV Data'!$C$44:$C$151,'EV Forecast WRZ'!J$9)/3</f>
        <v>155</v>
      </c>
      <c r="K11" s="194">
        <f>SUMIFS('EV Data'!$EI$44:$EI$151,'EV Data'!$C$44:$C$151,'EV Forecast WRZ'!K$9)/3</f>
        <v>298</v>
      </c>
      <c r="L11" s="194">
        <f>SUMIFS('EV Data'!$EI$44:$EI$151,'EV Data'!$C$44:$C$151,'EV Forecast WRZ'!L$9)/3</f>
        <v>408</v>
      </c>
      <c r="M11" s="194">
        <f>SUMIFS('EV Data'!$EI$44:$EI$151,'EV Data'!$C$44:$C$151,'EV Forecast WRZ'!M$9)/3</f>
        <v>539</v>
      </c>
      <c r="N11" s="194">
        <f>SUMIFS('EV Data'!$EI$44:$EI$151,'EV Data'!$C$44:$C$151,'EV Forecast WRZ'!N$9)/3</f>
        <v>319</v>
      </c>
      <c r="O11" s="163">
        <f t="shared" ref="O11:X11" si="1">O14+O19+O24</f>
        <v>532.23869220402094</v>
      </c>
      <c r="P11" s="163">
        <f t="shared" si="1"/>
        <v>681.21529712066376</v>
      </c>
      <c r="Q11" s="163">
        <f t="shared" si="1"/>
        <v>835.93807075709083</v>
      </c>
      <c r="R11" s="163">
        <f t="shared" si="1"/>
        <v>996.57726922012671</v>
      </c>
      <c r="S11" s="163">
        <f t="shared" si="1"/>
        <v>1163.3076603933814</v>
      </c>
      <c r="T11" s="163">
        <f t="shared" si="1"/>
        <v>1336.3086363058774</v>
      </c>
      <c r="U11" s="163">
        <f t="shared" si="1"/>
        <v>1567.4900303867944</v>
      </c>
      <c r="V11" s="163">
        <f t="shared" si="1"/>
        <v>2363.5023588614799</v>
      </c>
      <c r="W11" s="163">
        <f t="shared" si="1"/>
        <v>3048.9180429313083</v>
      </c>
      <c r="X11" s="162">
        <f t="shared" si="1"/>
        <v>4339.3903308696763</v>
      </c>
    </row>
    <row r="12" spans="2:24">
      <c r="B12" s="814"/>
      <c r="C12" s="816"/>
      <c r="D12" s="164" t="s">
        <v>2</v>
      </c>
      <c r="E12" s="165" t="s">
        <v>436</v>
      </c>
      <c r="F12" s="194">
        <f>F11</f>
        <v>30</v>
      </c>
      <c r="G12" s="194">
        <f>F12+G11</f>
        <v>104</v>
      </c>
      <c r="H12" s="194">
        <f t="shared" ref="H12:S12" si="2">G12+H11</f>
        <v>174</v>
      </c>
      <c r="I12" s="194">
        <f t="shared" si="2"/>
        <v>254</v>
      </c>
      <c r="J12" s="194">
        <f t="shared" si="2"/>
        <v>409</v>
      </c>
      <c r="K12" s="194">
        <f t="shared" si="2"/>
        <v>707</v>
      </c>
      <c r="L12" s="194">
        <f t="shared" si="2"/>
        <v>1115</v>
      </c>
      <c r="M12" s="194">
        <f t="shared" si="2"/>
        <v>1654</v>
      </c>
      <c r="N12" s="194">
        <f t="shared" si="2"/>
        <v>1973</v>
      </c>
      <c r="O12" s="163">
        <f t="shared" si="2"/>
        <v>2505.2386922040209</v>
      </c>
      <c r="P12" s="163">
        <f t="shared" si="2"/>
        <v>3186.4539893246847</v>
      </c>
      <c r="Q12" s="163">
        <f t="shared" si="2"/>
        <v>4022.3920600817755</v>
      </c>
      <c r="R12" s="163">
        <f t="shared" si="2"/>
        <v>5018.9693293019027</v>
      </c>
      <c r="S12" s="163">
        <f t="shared" si="2"/>
        <v>6182.2769896952841</v>
      </c>
      <c r="T12" s="163">
        <f>S12+T11-F11</f>
        <v>7488.5856260011615</v>
      </c>
      <c r="U12" s="163">
        <f t="shared" ref="U12:X12" si="3">T12+U11-G11</f>
        <v>8982.075656387955</v>
      </c>
      <c r="V12" s="163">
        <f t="shared" si="3"/>
        <v>11275.578015249435</v>
      </c>
      <c r="W12" s="163">
        <f t="shared" si="3"/>
        <v>14244.496058180743</v>
      </c>
      <c r="X12" s="162">
        <f t="shared" si="3"/>
        <v>18428.886389050418</v>
      </c>
    </row>
    <row r="13" spans="2:24">
      <c r="B13" s="814"/>
      <c r="C13" s="604"/>
      <c r="D13" s="164"/>
      <c r="G13" s="161"/>
      <c r="X13" s="182"/>
    </row>
    <row r="14" spans="2:24">
      <c r="B14" s="814"/>
      <c r="C14" s="817" t="s">
        <v>448</v>
      </c>
      <c r="D14" s="671" t="s">
        <v>2</v>
      </c>
      <c r="E14" s="668" t="s">
        <v>447</v>
      </c>
      <c r="F14" s="672">
        <f>SUMIFS('EV Data'!$EJ$44:$EJ$151,'EV Data'!$C$44:$C$151,'EV Forecast WRZ'!F$9)/3+SUMIFS('EV Data'!$EL$44:$EL$151,'EV Data'!$C$44:$C$151,'EV Forecast WRZ'!F$9)/3</f>
        <v>30</v>
      </c>
      <c r="G14" s="672">
        <f>SUMIFS('EV Data'!$EJ$44:$EJ$151,'EV Data'!$C$44:$C$151,'EV Forecast WRZ'!G$9)/3+SUMIFS('EV Data'!$EL$44:$EL$151,'EV Data'!$C$44:$C$151,'EV Forecast WRZ'!G$9)/3</f>
        <v>74</v>
      </c>
      <c r="H14" s="672">
        <f>SUMIFS('EV Data'!$EJ$44:$EJ$151,'EV Data'!$C$44:$C$151,'EV Forecast WRZ'!H$9)/3+SUMIFS('EV Data'!$EL$44:$EL$151,'EV Data'!$C$44:$C$151,'EV Forecast WRZ'!H$9)/3</f>
        <v>70</v>
      </c>
      <c r="I14" s="672">
        <f>SUMIFS('EV Data'!$EJ$44:$EJ$151,'EV Data'!$C$44:$C$151,'EV Forecast WRZ'!I$9)/3+SUMIFS('EV Data'!$EL$44:$EL$151,'EV Data'!$C$44:$C$151,'EV Forecast WRZ'!I$9)/3</f>
        <v>80</v>
      </c>
      <c r="J14" s="672">
        <f>SUMIFS('EV Data'!$EJ$44:$EJ$151,'EV Data'!$C$44:$C$151,'EV Forecast WRZ'!J$9)/3+SUMIFS('EV Data'!$EL$44:$EL$151,'EV Data'!$C$44:$C$151,'EV Forecast WRZ'!J$9)/3</f>
        <v>155</v>
      </c>
      <c r="K14" s="672">
        <f>SUMIFS('EV Data'!$EJ$44:$EJ$151,'EV Data'!$C$44:$C$151,'EV Forecast WRZ'!K$9)/3+SUMIFS('EV Data'!$EL$44:$EL$151,'EV Data'!$C$44:$C$151,'EV Forecast WRZ'!K$9)/3</f>
        <v>288</v>
      </c>
      <c r="L14" s="672">
        <f>SUMIFS('EV Data'!$EJ$44:$EJ$151,'EV Data'!$C$44:$C$151,'EV Forecast WRZ'!L$9)/3+SUMIFS('EV Data'!$EL$44:$EL$151,'EV Data'!$C$44:$C$151,'EV Forecast WRZ'!L$9)/3</f>
        <v>391</v>
      </c>
      <c r="M14" s="672">
        <f>SUMIFS('EV Data'!$EJ$44:$EJ$151,'EV Data'!$C$44:$C$151,'EV Forecast WRZ'!M$9)/3+SUMIFS('EV Data'!$EL$44:$EL$151,'EV Data'!$C$44:$C$151,'EV Forecast WRZ'!M$9)/3</f>
        <v>468</v>
      </c>
      <c r="N14" s="672">
        <f>SUMIFS('EV Data'!$EJ$44:$EJ$151,'EV Data'!$C$44:$C$151,'EV Forecast WRZ'!N$9)/3+SUMIFS('EV Data'!$EL$44:$EL$151,'EV Data'!$C$44:$C$151,'EV Forecast WRZ'!N$9)/3</f>
        <v>292</v>
      </c>
      <c r="O14" s="673">
        <f t="shared" ref="O14:X14" si="4">O35*O$75*O37*O30</f>
        <v>498.51855204917922</v>
      </c>
      <c r="P14" s="673">
        <f t="shared" si="4"/>
        <v>638.05669998934957</v>
      </c>
      <c r="Q14" s="673">
        <f t="shared" si="4"/>
        <v>782.97696642630717</v>
      </c>
      <c r="R14" s="673">
        <f t="shared" si="4"/>
        <v>933.4388208407471</v>
      </c>
      <c r="S14" s="673">
        <f t="shared" si="4"/>
        <v>1089.6059586451945</v>
      </c>
      <c r="T14" s="673">
        <f t="shared" si="4"/>
        <v>1251.6464064334828</v>
      </c>
      <c r="U14" s="673">
        <f t="shared" si="4"/>
        <v>1468.1812347464754</v>
      </c>
      <c r="V14" s="673">
        <f t="shared" si="4"/>
        <v>2213.7619661307726</v>
      </c>
      <c r="W14" s="673">
        <f t="shared" si="4"/>
        <v>2855.7529363086965</v>
      </c>
      <c r="X14" s="673">
        <f t="shared" si="4"/>
        <v>4064.4669698160988</v>
      </c>
    </row>
    <row r="15" spans="2:24">
      <c r="B15" s="814"/>
      <c r="C15" s="818"/>
      <c r="D15" s="164" t="s">
        <v>2</v>
      </c>
      <c r="E15" s="165" t="s">
        <v>436</v>
      </c>
      <c r="F15" s="194">
        <f>F14</f>
        <v>30</v>
      </c>
      <c r="G15" s="194">
        <f>F15+G14</f>
        <v>104</v>
      </c>
      <c r="H15" s="194">
        <f t="shared" ref="H15:K15" si="5">G15+H14</f>
        <v>174</v>
      </c>
      <c r="I15" s="194">
        <f t="shared" si="5"/>
        <v>254</v>
      </c>
      <c r="J15" s="194">
        <f t="shared" si="5"/>
        <v>409</v>
      </c>
      <c r="K15" s="194">
        <f t="shared" si="5"/>
        <v>697</v>
      </c>
      <c r="L15" s="194">
        <f>K15+L14</f>
        <v>1088</v>
      </c>
      <c r="M15" s="193">
        <f>L15+M14</f>
        <v>1556</v>
      </c>
      <c r="N15" s="193">
        <f>M15+N14</f>
        <v>1848</v>
      </c>
      <c r="O15" s="193">
        <f t="shared" ref="O15" si="6">N15+O14</f>
        <v>2346.5185520491791</v>
      </c>
      <c r="P15" s="193">
        <f>O15+P14-F14</f>
        <v>2954.5752520385286</v>
      </c>
      <c r="Q15" s="193">
        <f t="shared" ref="Q15:X15" si="7">P15+Q14-G14</f>
        <v>3663.5522184648357</v>
      </c>
      <c r="R15" s="193">
        <f t="shared" si="7"/>
        <v>4526.9910393055825</v>
      </c>
      <c r="S15" s="193">
        <f t="shared" si="7"/>
        <v>5536.5969979507772</v>
      </c>
      <c r="T15" s="193">
        <f t="shared" si="7"/>
        <v>6633.2434043842604</v>
      </c>
      <c r="U15" s="193">
        <f t="shared" si="7"/>
        <v>7813.4246391307361</v>
      </c>
      <c r="V15" s="193">
        <f t="shared" si="7"/>
        <v>9636.1866052615078</v>
      </c>
      <c r="W15" s="193">
        <f t="shared" si="7"/>
        <v>12023.939541570204</v>
      </c>
      <c r="X15" s="192">
        <f t="shared" si="7"/>
        <v>15796.406511386303</v>
      </c>
    </row>
    <row r="16" spans="2:24">
      <c r="B16" s="814"/>
      <c r="C16" s="818"/>
      <c r="D16" s="164" t="s">
        <v>2</v>
      </c>
      <c r="E16" s="165" t="s">
        <v>449</v>
      </c>
      <c r="F16" s="194">
        <f>E3</f>
        <v>3358</v>
      </c>
      <c r="G16" s="194">
        <f>F16</f>
        <v>3358</v>
      </c>
      <c r="H16" s="194">
        <f t="shared" ref="H16:X16" si="8">G16</f>
        <v>3358</v>
      </c>
      <c r="I16" s="194">
        <f t="shared" si="8"/>
        <v>3358</v>
      </c>
      <c r="J16" s="194">
        <f t="shared" si="8"/>
        <v>3358</v>
      </c>
      <c r="K16" s="194">
        <f t="shared" si="8"/>
        <v>3358</v>
      </c>
      <c r="L16" s="194">
        <f t="shared" si="8"/>
        <v>3358</v>
      </c>
      <c r="M16" s="194">
        <f t="shared" si="8"/>
        <v>3358</v>
      </c>
      <c r="N16" s="194">
        <f t="shared" si="8"/>
        <v>3358</v>
      </c>
      <c r="O16" s="194">
        <f t="shared" si="8"/>
        <v>3358</v>
      </c>
      <c r="P16" s="194">
        <f t="shared" si="8"/>
        <v>3358</v>
      </c>
      <c r="Q16" s="194">
        <f t="shared" si="8"/>
        <v>3358</v>
      </c>
      <c r="R16" s="194">
        <f t="shared" si="8"/>
        <v>3358</v>
      </c>
      <c r="S16" s="194">
        <f t="shared" si="8"/>
        <v>3358</v>
      </c>
      <c r="T16" s="194">
        <f t="shared" si="8"/>
        <v>3358</v>
      </c>
      <c r="U16" s="194">
        <f t="shared" si="8"/>
        <v>3358</v>
      </c>
      <c r="V16" s="194">
        <f t="shared" si="8"/>
        <v>3358</v>
      </c>
      <c r="W16" s="194">
        <f t="shared" si="8"/>
        <v>3358</v>
      </c>
      <c r="X16" s="192">
        <f t="shared" si="8"/>
        <v>3358</v>
      </c>
    </row>
    <row r="17" spans="2:24">
      <c r="B17" s="814"/>
      <c r="C17" s="818"/>
      <c r="D17" s="164" t="s">
        <v>2</v>
      </c>
      <c r="E17" s="165" t="s">
        <v>450</v>
      </c>
      <c r="F17" s="194">
        <f t="shared" ref="F17" si="9">F14*F16</f>
        <v>100740</v>
      </c>
      <c r="G17" s="194">
        <f t="shared" ref="G17:X17" si="10">G14*G16</f>
        <v>248492</v>
      </c>
      <c r="H17" s="194">
        <f t="shared" si="10"/>
        <v>235060</v>
      </c>
      <c r="I17" s="194">
        <f t="shared" si="10"/>
        <v>268640</v>
      </c>
      <c r="J17" s="194">
        <f t="shared" si="10"/>
        <v>520490</v>
      </c>
      <c r="K17" s="194">
        <f t="shared" si="10"/>
        <v>967104</v>
      </c>
      <c r="L17" s="194">
        <f t="shared" si="10"/>
        <v>1312978</v>
      </c>
      <c r="M17" s="194">
        <f t="shared" si="10"/>
        <v>1571544</v>
      </c>
      <c r="N17" s="194">
        <f t="shared" ref="N17" si="11">N14*N16</f>
        <v>980536</v>
      </c>
      <c r="O17" s="194">
        <f t="shared" si="10"/>
        <v>1674025.2977811438</v>
      </c>
      <c r="P17" s="194">
        <f t="shared" si="10"/>
        <v>2142594.3985642358</v>
      </c>
      <c r="Q17" s="194">
        <f t="shared" si="10"/>
        <v>2629236.6532595395</v>
      </c>
      <c r="R17" s="194">
        <f t="shared" si="10"/>
        <v>3134487.5603832286</v>
      </c>
      <c r="S17" s="194">
        <f t="shared" si="10"/>
        <v>3658896.8091305629</v>
      </c>
      <c r="T17" s="194">
        <f>T14*T16</f>
        <v>4203028.6328036347</v>
      </c>
      <c r="U17" s="194">
        <f t="shared" si="10"/>
        <v>4930152.5862786649</v>
      </c>
      <c r="V17" s="194">
        <f t="shared" si="10"/>
        <v>7433812.6822671341</v>
      </c>
      <c r="W17" s="194">
        <f t="shared" si="10"/>
        <v>9589618.3601246029</v>
      </c>
      <c r="X17" s="192">
        <f t="shared" si="10"/>
        <v>13648480.084642459</v>
      </c>
    </row>
    <row r="18" spans="2:24">
      <c r="B18" s="814"/>
      <c r="C18" s="819"/>
      <c r="D18" s="191" t="s">
        <v>2</v>
      </c>
      <c r="E18" s="190" t="s">
        <v>451</v>
      </c>
      <c r="F18" s="189">
        <f t="shared" ref="F18" si="12">F15*F16-F14*F16/2</f>
        <v>50370</v>
      </c>
      <c r="G18" s="189">
        <f>G15*G16-G14*G16/2</f>
        <v>224986</v>
      </c>
      <c r="H18" s="189">
        <f>H15*H16-H14*H16/2</f>
        <v>466762</v>
      </c>
      <c r="I18" s="189">
        <f>I15*I16-I14*I16/2</f>
        <v>718612</v>
      </c>
      <c r="J18" s="189">
        <f>J15*J16-J14*J16/2</f>
        <v>1113177</v>
      </c>
      <c r="K18" s="189">
        <f t="shared" ref="K18:X18" si="13">K15*K16-K14*K16/2</f>
        <v>1856974</v>
      </c>
      <c r="L18" s="189">
        <f t="shared" si="13"/>
        <v>2997015</v>
      </c>
      <c r="M18" s="189">
        <f t="shared" ref="M18:R18" si="14">M15*M16-M14*M16/2</f>
        <v>4439276</v>
      </c>
      <c r="N18" s="189">
        <f t="shared" ref="N18" si="15">N15*N16-N14*N16/2</f>
        <v>5715316</v>
      </c>
      <c r="O18" s="189">
        <f t="shared" si="14"/>
        <v>7042596.6488905717</v>
      </c>
      <c r="P18" s="189">
        <f t="shared" si="14"/>
        <v>8850166.4970632624</v>
      </c>
      <c r="Q18" s="189">
        <f t="shared" si="14"/>
        <v>10987590.022975149</v>
      </c>
      <c r="R18" s="189">
        <f t="shared" si="14"/>
        <v>13634392.129796531</v>
      </c>
      <c r="S18" s="189">
        <f>S15*S16-S14*S16/2</f>
        <v>16762444.314553428</v>
      </c>
      <c r="T18" s="189">
        <f t="shared" si="13"/>
        <v>20172917.035520531</v>
      </c>
      <c r="U18" s="189">
        <f t="shared" si="13"/>
        <v>23772403.645061679</v>
      </c>
      <c r="V18" s="189">
        <f t="shared" si="13"/>
        <v>28641408.279334575</v>
      </c>
      <c r="W18" s="189">
        <f t="shared" si="13"/>
        <v>35581579.800530441</v>
      </c>
      <c r="X18" s="273">
        <f t="shared" si="13"/>
        <v>46220093.022913978</v>
      </c>
    </row>
    <row r="19" spans="2:24">
      <c r="B19" s="814"/>
      <c r="C19" s="818" t="s">
        <v>452</v>
      </c>
      <c r="D19" s="671" t="s">
        <v>2</v>
      </c>
      <c r="E19" s="165" t="s">
        <v>447</v>
      </c>
      <c r="F19" s="160">
        <f>SUMIFS('EV Data'!$EM$44:$EM$151,'EV Data'!$C$44:$C$151,'EV Forecast WRZ'!F$9)/3</f>
        <v>0</v>
      </c>
      <c r="G19" s="160">
        <f>SUMIFS('EV Data'!$EM$44:$EM$151,'EV Data'!$C$44:$C$151,'EV Forecast WRZ'!G$9)/3</f>
        <v>0</v>
      </c>
      <c r="H19" s="160">
        <f>SUMIFS('EV Data'!$EM$44:$EM$151,'EV Data'!$C$44:$C$151,'EV Forecast WRZ'!H$9)/3</f>
        <v>0</v>
      </c>
      <c r="I19" s="160">
        <f>SUMIFS('EV Data'!$EM$44:$EM$151,'EV Data'!$C$44:$C$151,'EV Forecast WRZ'!I$9)/3</f>
        <v>0</v>
      </c>
      <c r="J19" s="160">
        <f>SUMIFS('EV Data'!$EM$44:$EM$151,'EV Data'!$C$44:$C$151,'EV Forecast WRZ'!J$9)/3</f>
        <v>0</v>
      </c>
      <c r="K19" s="160">
        <f>SUMIFS('EV Data'!$EM$44:$EM$151,'EV Data'!$C$44:$C$151,'EV Forecast WRZ'!K$9)/3</f>
        <v>1</v>
      </c>
      <c r="L19" s="160">
        <f>SUMIFS('EV Data'!$EM$44:$EM$151,'EV Data'!$C$44:$C$151,'EV Forecast WRZ'!L$9)/3</f>
        <v>0</v>
      </c>
      <c r="M19" s="160">
        <f>SUMIFS('EV Data'!$EM$44:$EM$151,'EV Data'!$C$44:$C$151,'EV Forecast WRZ'!M$9)/3</f>
        <v>2</v>
      </c>
      <c r="N19" s="160">
        <f>SUMIFS('EV Data'!$EM$44:$EM$151,'EV Data'!$C$44:$C$151,'EV Forecast WRZ'!N$9)/3</f>
        <v>6</v>
      </c>
      <c r="O19" s="673">
        <f t="shared" ref="O19:X19" si="16">O35*O$75*O38*O30</f>
        <v>2.4278500911486005</v>
      </c>
      <c r="P19" s="673">
        <f t="shared" si="16"/>
        <v>3.1074189934546244</v>
      </c>
      <c r="Q19" s="673">
        <f t="shared" si="16"/>
        <v>3.813199511816431</v>
      </c>
      <c r="R19" s="673">
        <f t="shared" si="16"/>
        <v>4.545968283315327</v>
      </c>
      <c r="S19" s="673">
        <f t="shared" si="16"/>
        <v>5.3065225258694531</v>
      </c>
      <c r="T19" s="673">
        <f t="shared" si="16"/>
        <v>6.0956805508124168</v>
      </c>
      <c r="U19" s="673">
        <f t="shared" si="16"/>
        <v>7.1502332861029645</v>
      </c>
      <c r="V19" s="673">
        <f t="shared" si="16"/>
        <v>10.781308276610906</v>
      </c>
      <c r="W19" s="673">
        <f t="shared" si="16"/>
        <v>13.907887676828068</v>
      </c>
      <c r="X19" s="674">
        <f t="shared" si="16"/>
        <v>19.794481995857627</v>
      </c>
    </row>
    <row r="20" spans="2:24">
      <c r="B20" s="814"/>
      <c r="C20" s="818"/>
      <c r="D20" s="164" t="s">
        <v>2</v>
      </c>
      <c r="E20" s="165" t="s">
        <v>436</v>
      </c>
      <c r="F20" s="160">
        <f>F19</f>
        <v>0</v>
      </c>
      <c r="G20" s="160">
        <f>F20+G19</f>
        <v>0</v>
      </c>
      <c r="H20" s="160">
        <f t="shared" ref="H20:K20" si="17">G20+H19</f>
        <v>0</v>
      </c>
      <c r="I20" s="160">
        <f t="shared" si="17"/>
        <v>0</v>
      </c>
      <c r="J20" s="160">
        <f t="shared" si="17"/>
        <v>0</v>
      </c>
      <c r="K20" s="160">
        <f t="shared" si="17"/>
        <v>1</v>
      </c>
      <c r="L20" s="160">
        <f>K20+L19</f>
        <v>1</v>
      </c>
      <c r="M20" s="160">
        <f>L20+M19</f>
        <v>3</v>
      </c>
      <c r="N20" s="160">
        <f>M20+N19</f>
        <v>9</v>
      </c>
      <c r="O20" s="160">
        <f t="shared" ref="O20" si="18">N20+O19</f>
        <v>11.427850091148601</v>
      </c>
      <c r="P20" s="193">
        <f>O20+P19-F19</f>
        <v>14.535269084603225</v>
      </c>
      <c r="Q20" s="193">
        <f t="shared" ref="Q20:X20" si="19">P20+Q19-G19</f>
        <v>18.348468596419657</v>
      </c>
      <c r="R20" s="193">
        <f t="shared" si="19"/>
        <v>22.894436879734982</v>
      </c>
      <c r="S20" s="193">
        <f t="shared" si="19"/>
        <v>28.200959405604436</v>
      </c>
      <c r="T20" s="193">
        <f t="shared" si="19"/>
        <v>34.296639956416854</v>
      </c>
      <c r="U20" s="193">
        <f t="shared" si="19"/>
        <v>40.446873242519821</v>
      </c>
      <c r="V20" s="193">
        <f t="shared" si="19"/>
        <v>51.228181519130729</v>
      </c>
      <c r="W20" s="193">
        <f t="shared" si="19"/>
        <v>63.136069195958797</v>
      </c>
      <c r="X20" s="192">
        <f t="shared" si="19"/>
        <v>76.93055119181642</v>
      </c>
    </row>
    <row r="21" spans="2:24">
      <c r="B21" s="814"/>
      <c r="C21" s="818"/>
      <c r="D21" s="164" t="s">
        <v>2</v>
      </c>
      <c r="E21" s="165" t="s">
        <v>449</v>
      </c>
      <c r="F21" s="194">
        <f>E5</f>
        <v>5000</v>
      </c>
      <c r="G21" s="194">
        <f t="shared" ref="G21:X21" si="20">F21</f>
        <v>5000</v>
      </c>
      <c r="H21" s="194">
        <f t="shared" si="20"/>
        <v>5000</v>
      </c>
      <c r="I21" s="194">
        <f t="shared" si="20"/>
        <v>5000</v>
      </c>
      <c r="J21" s="194">
        <f t="shared" si="20"/>
        <v>5000</v>
      </c>
      <c r="K21" s="194">
        <f t="shared" si="20"/>
        <v>5000</v>
      </c>
      <c r="L21" s="194">
        <f t="shared" si="20"/>
        <v>5000</v>
      </c>
      <c r="M21" s="194">
        <f t="shared" si="20"/>
        <v>5000</v>
      </c>
      <c r="N21" s="194">
        <f t="shared" si="20"/>
        <v>5000</v>
      </c>
      <c r="O21" s="194">
        <f t="shared" si="20"/>
        <v>5000</v>
      </c>
      <c r="P21" s="194">
        <f t="shared" si="20"/>
        <v>5000</v>
      </c>
      <c r="Q21" s="194">
        <f t="shared" si="20"/>
        <v>5000</v>
      </c>
      <c r="R21" s="194">
        <f t="shared" si="20"/>
        <v>5000</v>
      </c>
      <c r="S21" s="194">
        <f t="shared" si="20"/>
        <v>5000</v>
      </c>
      <c r="T21" s="194">
        <f t="shared" si="20"/>
        <v>5000</v>
      </c>
      <c r="U21" s="194">
        <f t="shared" si="20"/>
        <v>5000</v>
      </c>
      <c r="V21" s="194">
        <f t="shared" si="20"/>
        <v>5000</v>
      </c>
      <c r="W21" s="194">
        <f t="shared" si="20"/>
        <v>5000</v>
      </c>
      <c r="X21" s="192">
        <f t="shared" si="20"/>
        <v>5000</v>
      </c>
    </row>
    <row r="22" spans="2:24">
      <c r="B22" s="814"/>
      <c r="C22" s="818"/>
      <c r="D22" s="164" t="s">
        <v>2</v>
      </c>
      <c r="E22" s="165" t="s">
        <v>450</v>
      </c>
      <c r="F22" s="194">
        <f t="shared" ref="F22" si="21">F19*F21</f>
        <v>0</v>
      </c>
      <c r="G22" s="194">
        <f t="shared" ref="G22:X22" si="22">G19*G21</f>
        <v>0</v>
      </c>
      <c r="H22" s="194">
        <f t="shared" si="22"/>
        <v>0</v>
      </c>
      <c r="I22" s="194">
        <f t="shared" si="22"/>
        <v>0</v>
      </c>
      <c r="J22" s="194">
        <f t="shared" si="22"/>
        <v>0</v>
      </c>
      <c r="K22" s="194">
        <f t="shared" si="22"/>
        <v>5000</v>
      </c>
      <c r="L22" s="194">
        <f t="shared" si="22"/>
        <v>0</v>
      </c>
      <c r="M22" s="194">
        <f t="shared" si="22"/>
        <v>10000</v>
      </c>
      <c r="N22" s="194">
        <f t="shared" ref="N22" si="23">N19*N21</f>
        <v>30000</v>
      </c>
      <c r="O22" s="194">
        <f t="shared" si="22"/>
        <v>12139.250455743002</v>
      </c>
      <c r="P22" s="194">
        <f t="shared" si="22"/>
        <v>15537.094967273122</v>
      </c>
      <c r="Q22" s="194">
        <f t="shared" si="22"/>
        <v>19065.997559082156</v>
      </c>
      <c r="R22" s="194">
        <f t="shared" si="22"/>
        <v>22729.841416576633</v>
      </c>
      <c r="S22" s="194">
        <f t="shared" si="22"/>
        <v>26532.612629347266</v>
      </c>
      <c r="T22" s="194">
        <f t="shared" si="22"/>
        <v>30478.402754062085</v>
      </c>
      <c r="U22" s="194">
        <f t="shared" si="22"/>
        <v>35751.166430514822</v>
      </c>
      <c r="V22" s="194">
        <f t="shared" si="22"/>
        <v>53906.541383054529</v>
      </c>
      <c r="W22" s="194">
        <f t="shared" si="22"/>
        <v>69539.438384140347</v>
      </c>
      <c r="X22" s="192">
        <f t="shared" si="22"/>
        <v>98972.409979288132</v>
      </c>
    </row>
    <row r="23" spans="2:24">
      <c r="B23" s="814"/>
      <c r="C23" s="818"/>
      <c r="D23" s="191" t="s">
        <v>2</v>
      </c>
      <c r="E23" s="165" t="s">
        <v>451</v>
      </c>
      <c r="F23" s="189">
        <f t="shared" ref="F23" si="24">F20*F21-F19*F21/2</f>
        <v>0</v>
      </c>
      <c r="G23" s="189">
        <f>G20*G21-G19*G21/2</f>
        <v>0</v>
      </c>
      <c r="H23" s="189">
        <f>H20*H21-H19*H21/2</f>
        <v>0</v>
      </c>
      <c r="I23" s="189">
        <f>I20*I21-I19*I21/2</f>
        <v>0</v>
      </c>
      <c r="J23" s="189">
        <f>J20*J21-J19*J21/2</f>
        <v>0</v>
      </c>
      <c r="K23" s="189">
        <f t="shared" ref="K23:X23" si="25">K20*K21-K19*K21/2</f>
        <v>2500</v>
      </c>
      <c r="L23" s="189">
        <f t="shared" si="25"/>
        <v>5000</v>
      </c>
      <c r="M23" s="189">
        <f t="shared" si="25"/>
        <v>10000</v>
      </c>
      <c r="N23" s="189">
        <f t="shared" ref="N23" si="26">N20*N21-N19*N21/2</f>
        <v>30000</v>
      </c>
      <c r="O23" s="189">
        <f t="shared" si="25"/>
        <v>51069.625227871504</v>
      </c>
      <c r="P23" s="189">
        <f t="shared" si="25"/>
        <v>64907.797939379569</v>
      </c>
      <c r="Q23" s="189">
        <f t="shared" si="25"/>
        <v>82209.3442025572</v>
      </c>
      <c r="R23" s="189">
        <f t="shared" si="25"/>
        <v>103107.26369038659</v>
      </c>
      <c r="S23" s="189">
        <f t="shared" si="25"/>
        <v>127738.49071334854</v>
      </c>
      <c r="T23" s="189">
        <f t="shared" si="25"/>
        <v>156243.99840505322</v>
      </c>
      <c r="U23" s="189">
        <f t="shared" si="25"/>
        <v>184358.78299734168</v>
      </c>
      <c r="V23" s="189">
        <f t="shared" si="25"/>
        <v>229187.63690412638</v>
      </c>
      <c r="W23" s="189">
        <f t="shared" si="25"/>
        <v>280910.6267877238</v>
      </c>
      <c r="X23" s="273">
        <f t="shared" si="25"/>
        <v>335166.55096943805</v>
      </c>
    </row>
    <row r="24" spans="2:24">
      <c r="B24" s="814"/>
      <c r="C24" s="817" t="s">
        <v>453</v>
      </c>
      <c r="D24" s="671" t="s">
        <v>2</v>
      </c>
      <c r="E24" s="668" t="s">
        <v>447</v>
      </c>
      <c r="F24" s="675">
        <f>SUMIFS('EV Data'!$EK$44:$EK$151,'EV Data'!$C$44:$C$151,'EV Forecast WRZ'!F$9)/3</f>
        <v>0</v>
      </c>
      <c r="G24" s="675">
        <f>SUMIFS('EV Data'!$EK$44:$EK$151,'EV Data'!$C$44:$C$151,'EV Forecast WRZ'!G$9)/3</f>
        <v>0</v>
      </c>
      <c r="H24" s="675">
        <f>SUMIFS('EV Data'!$EK$44:$EK$151,'EV Data'!$C$44:$C$151,'EV Forecast WRZ'!H$9)/3</f>
        <v>0</v>
      </c>
      <c r="I24" s="675">
        <f>SUMIFS('EV Data'!$EK$44:$EK$151,'EV Data'!$C$44:$C$151,'EV Forecast WRZ'!I$9)/3</f>
        <v>0</v>
      </c>
      <c r="J24" s="675">
        <f>SUMIFS('EV Data'!$EK$44:$EK$151,'EV Data'!$C$44:$C$151,'EV Forecast WRZ'!J$9)/3</f>
        <v>0</v>
      </c>
      <c r="K24" s="675">
        <f>SUMIFS('EV Data'!$EK$44:$EK$151,'EV Data'!$C$44:$C$151,'EV Forecast WRZ'!K$9)/3</f>
        <v>9</v>
      </c>
      <c r="L24" s="675">
        <f>SUMIFS('EV Data'!$EK$44:$EK$151,'EV Data'!$C$44:$C$151,'EV Forecast WRZ'!L$9)/3</f>
        <v>17</v>
      </c>
      <c r="M24" s="675">
        <f>SUMIFS('EV Data'!$EK$44:$EK$151,'EV Data'!$C$44:$C$151,'EV Forecast WRZ'!M$9)/3</f>
        <v>69</v>
      </c>
      <c r="N24" s="675">
        <f>SUMIFS('EV Data'!$EK$44:$EK$151,'EV Data'!$C$44:$C$151,'EV Forecast WRZ'!N$9)/3</f>
        <v>21</v>
      </c>
      <c r="O24" s="673">
        <f>O35*O$75*O39*O30</f>
        <v>31.29229006369307</v>
      </c>
      <c r="P24" s="673">
        <f t="shared" ref="P24:X24" si="27">P35*P$75*P39*P30</f>
        <v>40.051178137859601</v>
      </c>
      <c r="Q24" s="673">
        <f t="shared" si="27"/>
        <v>49.147904818967326</v>
      </c>
      <c r="R24" s="673">
        <f t="shared" si="27"/>
        <v>58.592480096064207</v>
      </c>
      <c r="S24" s="673">
        <f t="shared" si="27"/>
        <v>68.395179222317395</v>
      </c>
      <c r="T24" s="673">
        <f t="shared" si="27"/>
        <v>78.566549321582258</v>
      </c>
      <c r="U24" s="673">
        <f t="shared" si="27"/>
        <v>92.158562354215988</v>
      </c>
      <c r="V24" s="673">
        <f t="shared" si="27"/>
        <v>138.95908445409611</v>
      </c>
      <c r="W24" s="673">
        <f t="shared" si="27"/>
        <v>179.25721894578396</v>
      </c>
      <c r="X24" s="674">
        <f t="shared" si="27"/>
        <v>255.12887905772047</v>
      </c>
    </row>
    <row r="25" spans="2:24">
      <c r="B25" s="814"/>
      <c r="C25" s="818"/>
      <c r="D25" s="164" t="s">
        <v>2</v>
      </c>
      <c r="E25" s="165" t="s">
        <v>436</v>
      </c>
      <c r="F25" s="160">
        <f>F24</f>
        <v>0</v>
      </c>
      <c r="G25" s="160">
        <f>F25+G24</f>
        <v>0</v>
      </c>
      <c r="H25" s="160">
        <f t="shared" ref="H25:K25" si="28">G25+H24</f>
        <v>0</v>
      </c>
      <c r="I25" s="160">
        <f t="shared" si="28"/>
        <v>0</v>
      </c>
      <c r="J25" s="160">
        <f t="shared" si="28"/>
        <v>0</v>
      </c>
      <c r="K25" s="160">
        <f t="shared" si="28"/>
        <v>9</v>
      </c>
      <c r="L25" s="160">
        <f>K25+L24</f>
        <v>26</v>
      </c>
      <c r="M25" s="160">
        <f t="shared" ref="M25:O25" si="29">L25+M24</f>
        <v>95</v>
      </c>
      <c r="N25" s="160">
        <f t="shared" si="29"/>
        <v>116</v>
      </c>
      <c r="O25" s="160">
        <f t="shared" si="29"/>
        <v>147.29229006369306</v>
      </c>
      <c r="P25" s="193">
        <f>O25+P24-F24</f>
        <v>187.34346820155267</v>
      </c>
      <c r="Q25" s="193">
        <f t="shared" ref="Q25:X25" si="30">P25+Q24-G24</f>
        <v>236.49137302052</v>
      </c>
      <c r="R25" s="193">
        <f t="shared" si="30"/>
        <v>295.08385311658424</v>
      </c>
      <c r="S25" s="193">
        <f t="shared" si="30"/>
        <v>363.47903233890162</v>
      </c>
      <c r="T25" s="193">
        <f t="shared" si="30"/>
        <v>442.04558166048389</v>
      </c>
      <c r="U25" s="193">
        <f t="shared" si="30"/>
        <v>525.20414401469986</v>
      </c>
      <c r="V25" s="193">
        <f t="shared" si="30"/>
        <v>647.16322846879598</v>
      </c>
      <c r="W25" s="193">
        <f t="shared" si="30"/>
        <v>757.42044741457994</v>
      </c>
      <c r="X25" s="192">
        <f t="shared" si="30"/>
        <v>991.54932647230044</v>
      </c>
    </row>
    <row r="26" spans="2:24">
      <c r="B26" s="814"/>
      <c r="C26" s="818"/>
      <c r="D26" s="164" t="s">
        <v>2</v>
      </c>
      <c r="E26" s="165" t="s">
        <v>449</v>
      </c>
      <c r="F26" s="194"/>
      <c r="G26" s="194"/>
      <c r="H26" s="194"/>
      <c r="I26" s="194"/>
      <c r="J26" s="194"/>
      <c r="K26" s="194">
        <f>E6</f>
        <v>6000</v>
      </c>
      <c r="L26" s="194">
        <f t="shared" ref="L26:X26" si="31">K26</f>
        <v>6000</v>
      </c>
      <c r="M26" s="194">
        <f t="shared" si="31"/>
        <v>6000</v>
      </c>
      <c r="N26" s="194">
        <f t="shared" si="31"/>
        <v>6000</v>
      </c>
      <c r="O26" s="194">
        <f t="shared" si="31"/>
        <v>6000</v>
      </c>
      <c r="P26" s="194">
        <f t="shared" si="31"/>
        <v>6000</v>
      </c>
      <c r="Q26" s="194">
        <f t="shared" si="31"/>
        <v>6000</v>
      </c>
      <c r="R26" s="194">
        <f t="shared" si="31"/>
        <v>6000</v>
      </c>
      <c r="S26" s="194">
        <f t="shared" si="31"/>
        <v>6000</v>
      </c>
      <c r="T26" s="194">
        <f t="shared" si="31"/>
        <v>6000</v>
      </c>
      <c r="U26" s="194">
        <f t="shared" si="31"/>
        <v>6000</v>
      </c>
      <c r="V26" s="194">
        <f t="shared" si="31"/>
        <v>6000</v>
      </c>
      <c r="W26" s="194">
        <f t="shared" si="31"/>
        <v>6000</v>
      </c>
      <c r="X26" s="192">
        <f t="shared" si="31"/>
        <v>6000</v>
      </c>
    </row>
    <row r="27" spans="2:24">
      <c r="B27" s="814"/>
      <c r="C27" s="818"/>
      <c r="D27" s="164" t="s">
        <v>2</v>
      </c>
      <c r="E27" s="165" t="s">
        <v>450</v>
      </c>
      <c r="F27" s="194">
        <f>F24*F26</f>
        <v>0</v>
      </c>
      <c r="G27" s="194">
        <f t="shared" ref="G27:X27" si="32">G24*G26</f>
        <v>0</v>
      </c>
      <c r="H27" s="194">
        <f t="shared" si="32"/>
        <v>0</v>
      </c>
      <c r="I27" s="194">
        <f t="shared" si="32"/>
        <v>0</v>
      </c>
      <c r="J27" s="194">
        <f t="shared" si="32"/>
        <v>0</v>
      </c>
      <c r="K27" s="194">
        <f t="shared" si="32"/>
        <v>54000</v>
      </c>
      <c r="L27" s="194">
        <f t="shared" si="32"/>
        <v>102000</v>
      </c>
      <c r="M27" s="194">
        <f t="shared" si="32"/>
        <v>414000</v>
      </c>
      <c r="N27" s="194">
        <f t="shared" ref="N27" si="33">N24*N26</f>
        <v>126000</v>
      </c>
      <c r="O27" s="194">
        <f t="shared" si="32"/>
        <v>187753.74038215843</v>
      </c>
      <c r="P27" s="194">
        <f t="shared" si="32"/>
        <v>240307.06882715761</v>
      </c>
      <c r="Q27" s="194">
        <f t="shared" si="32"/>
        <v>294887.42891380395</v>
      </c>
      <c r="R27" s="194">
        <f t="shared" si="32"/>
        <v>351554.88057638524</v>
      </c>
      <c r="S27" s="194">
        <f t="shared" si="32"/>
        <v>410371.07533390436</v>
      </c>
      <c r="T27" s="194">
        <f t="shared" si="32"/>
        <v>471399.29592949356</v>
      </c>
      <c r="U27" s="194">
        <f t="shared" si="32"/>
        <v>552951.3741252959</v>
      </c>
      <c r="V27" s="194">
        <f t="shared" si="32"/>
        <v>833754.5067245767</v>
      </c>
      <c r="W27" s="194">
        <f t="shared" si="32"/>
        <v>1075543.3136747037</v>
      </c>
      <c r="X27" s="192">
        <f t="shared" si="32"/>
        <v>1530773.2743463228</v>
      </c>
    </row>
    <row r="28" spans="2:24">
      <c r="B28" s="814"/>
      <c r="C28" s="819"/>
      <c r="D28" s="191" t="s">
        <v>2</v>
      </c>
      <c r="E28" s="190" t="s">
        <v>451</v>
      </c>
      <c r="F28" s="189">
        <f>F25*F26-F24*F26/2</f>
        <v>0</v>
      </c>
      <c r="G28" s="189">
        <f>G25*G26-G24*G26/2</f>
        <v>0</v>
      </c>
      <c r="H28" s="189">
        <f>H25*H26-H24*H26/2</f>
        <v>0</v>
      </c>
      <c r="I28" s="189">
        <f>I25*I26-I24*I26/2</f>
        <v>0</v>
      </c>
      <c r="J28" s="189">
        <f>J25*J26-J24*J26/2</f>
        <v>0</v>
      </c>
      <c r="K28" s="189">
        <f t="shared" ref="K28:X28" si="34">K25*K26-K24*K26/2</f>
        <v>27000</v>
      </c>
      <c r="L28" s="189">
        <f t="shared" si="34"/>
        <v>105000</v>
      </c>
      <c r="M28" s="189">
        <f t="shared" si="34"/>
        <v>363000</v>
      </c>
      <c r="N28" s="189">
        <f t="shared" ref="N28" si="35">N25*N26-N24*N26/2</f>
        <v>633000</v>
      </c>
      <c r="O28" s="189">
        <f t="shared" si="34"/>
        <v>789876.8701910791</v>
      </c>
      <c r="P28" s="189">
        <f t="shared" si="34"/>
        <v>1003907.2747957372</v>
      </c>
      <c r="Q28" s="189">
        <f t="shared" si="34"/>
        <v>1271504.5236662182</v>
      </c>
      <c r="R28" s="189">
        <f t="shared" si="34"/>
        <v>1594725.6784113129</v>
      </c>
      <c r="S28" s="189">
        <f t="shared" si="34"/>
        <v>1975688.6563664577</v>
      </c>
      <c r="T28" s="189">
        <f t="shared" si="34"/>
        <v>2416573.8419981566</v>
      </c>
      <c r="U28" s="189">
        <f t="shared" si="34"/>
        <v>2874749.177025551</v>
      </c>
      <c r="V28" s="189">
        <f t="shared" si="34"/>
        <v>3466102.1174504878</v>
      </c>
      <c r="W28" s="189">
        <f t="shared" si="34"/>
        <v>4006751.0276501281</v>
      </c>
      <c r="X28" s="273">
        <f t="shared" si="34"/>
        <v>5183909.3216606416</v>
      </c>
    </row>
    <row r="29" spans="2:24">
      <c r="B29" s="814"/>
      <c r="C29" s="604"/>
      <c r="X29" s="182"/>
    </row>
    <row r="30" spans="2:24">
      <c r="B30" s="814"/>
      <c r="C30" s="604"/>
      <c r="E30" s="165" t="s">
        <v>506</v>
      </c>
      <c r="F30" s="153">
        <f>F32/F33</f>
        <v>8.4198708953129378E-3</v>
      </c>
      <c r="G30" s="153">
        <f t="shared" ref="G30:M30" si="36">G32/G33</f>
        <v>9.0068159688412846E-3</v>
      </c>
      <c r="H30" s="153">
        <f t="shared" si="36"/>
        <v>1.0667479427003962E-2</v>
      </c>
      <c r="I30" s="153">
        <f t="shared" si="36"/>
        <v>9.8027202548707261E-3</v>
      </c>
      <c r="J30" s="153">
        <f t="shared" si="36"/>
        <v>1.0458133729168073E-2</v>
      </c>
      <c r="K30" s="153">
        <f t="shared" si="36"/>
        <v>9.090077174145136E-3</v>
      </c>
      <c r="L30" s="153">
        <f t="shared" si="36"/>
        <v>1.0560372719037142E-2</v>
      </c>
      <c r="M30" s="153">
        <f t="shared" si="36"/>
        <v>1.2938380662041817E-2</v>
      </c>
      <c r="N30" s="153">
        <f t="shared" ref="N30" si="37">N32/N33</f>
        <v>1.0325629572085195E-2</v>
      </c>
      <c r="O30" s="152">
        <f>AVERAGE(L30:N30)</f>
        <v>1.1274794317721383E-2</v>
      </c>
      <c r="P30" s="152">
        <f t="shared" ref="P30:X30" si="38">O30</f>
        <v>1.1274794317721383E-2</v>
      </c>
      <c r="Q30" s="152">
        <f t="shared" si="38"/>
        <v>1.1274794317721383E-2</v>
      </c>
      <c r="R30" s="152">
        <f t="shared" si="38"/>
        <v>1.1274794317721383E-2</v>
      </c>
      <c r="S30" s="152">
        <f t="shared" si="38"/>
        <v>1.1274794317721383E-2</v>
      </c>
      <c r="T30" s="152">
        <f t="shared" si="38"/>
        <v>1.1274794317721383E-2</v>
      </c>
      <c r="U30" s="152">
        <f t="shared" si="38"/>
        <v>1.1274794317721383E-2</v>
      </c>
      <c r="V30" s="152">
        <f t="shared" si="38"/>
        <v>1.1274794317721383E-2</v>
      </c>
      <c r="W30" s="152">
        <f t="shared" si="38"/>
        <v>1.1274794317721383E-2</v>
      </c>
      <c r="X30" s="152">
        <f t="shared" si="38"/>
        <v>1.1274794317721383E-2</v>
      </c>
    </row>
    <row r="31" spans="2:24">
      <c r="B31" s="814"/>
      <c r="C31" s="604"/>
      <c r="X31" s="182"/>
    </row>
    <row r="32" spans="2:24">
      <c r="B32" s="814"/>
      <c r="C32" s="604"/>
      <c r="D32" s="164" t="s">
        <v>2</v>
      </c>
      <c r="E32" s="165" t="s">
        <v>455</v>
      </c>
      <c r="F32" s="143">
        <f>F11</f>
        <v>30</v>
      </c>
      <c r="G32" s="143">
        <f t="shared" ref="G32:L32" si="39">G11</f>
        <v>74</v>
      </c>
      <c r="H32" s="143">
        <f t="shared" si="39"/>
        <v>70</v>
      </c>
      <c r="I32" s="143">
        <f t="shared" si="39"/>
        <v>80</v>
      </c>
      <c r="J32" s="143">
        <f t="shared" si="39"/>
        <v>155</v>
      </c>
      <c r="K32" s="143">
        <f t="shared" si="39"/>
        <v>298</v>
      </c>
      <c r="L32" s="143">
        <f t="shared" si="39"/>
        <v>408</v>
      </c>
      <c r="M32" s="143">
        <f t="shared" ref="M32" si="40">M11</f>
        <v>539</v>
      </c>
      <c r="N32" s="143">
        <f t="shared" ref="N32" si="41">N11</f>
        <v>319</v>
      </c>
      <c r="X32" s="182"/>
    </row>
    <row r="33" spans="2:24">
      <c r="B33" s="814"/>
      <c r="C33" s="604"/>
      <c r="D33" s="159" t="s">
        <v>233</v>
      </c>
      <c r="E33" s="165" t="s">
        <v>455</v>
      </c>
      <c r="F33" s="194">
        <f>SUMIFS('EV Data'!$F$44:$F$151,'EV Data'!$C$44:$C$151,'EV Forecast WRZ'!F$9)/3</f>
        <v>3563</v>
      </c>
      <c r="G33" s="194">
        <f>SUMIFS('EV Data'!$F$44:$F$151,'EV Data'!$C$44:$C$151,'EV Forecast WRZ'!G$9)/3</f>
        <v>8216</v>
      </c>
      <c r="H33" s="194">
        <f>SUMIFS('EV Data'!$F$44:$F$151,'EV Data'!$C$44:$C$151,'EV Forecast WRZ'!H$9)/3</f>
        <v>6562</v>
      </c>
      <c r="I33" s="194">
        <f>SUMIFS('EV Data'!$F$44:$F$151,'EV Data'!$C$44:$C$151,'EV Forecast WRZ'!I$9)/3</f>
        <v>8161</v>
      </c>
      <c r="J33" s="194">
        <f>SUMIFS('EV Data'!$F$44:$F$151,'EV Data'!$C$44:$C$151,'EV Forecast WRZ'!J$9)/3</f>
        <v>14821</v>
      </c>
      <c r="K33" s="194">
        <f>SUMIFS('EV Data'!$F$44:$F$151,'EV Data'!$C$44:$C$151,'EV Forecast WRZ'!K$9)/3</f>
        <v>32783</v>
      </c>
      <c r="L33" s="194">
        <f>SUMIFS('EV Data'!$F$44:$F$151,'EV Data'!$C$44:$C$151,'EV Forecast WRZ'!L$9)/3</f>
        <v>38635</v>
      </c>
      <c r="M33" s="194">
        <f>SUMIFS('EV Data'!$F$44:$F$151,'EV Data'!$C$44:$C$151,'EV Forecast WRZ'!M$9)/3</f>
        <v>41659</v>
      </c>
      <c r="N33" s="194">
        <f>SUMIFS('EV Data'!$F$44:$F$151,'EV Data'!$C$44:$C$151,'EV Forecast WRZ'!N$9)/3</f>
        <v>30894</v>
      </c>
      <c r="O33" s="143"/>
      <c r="P33" s="143"/>
      <c r="Q33" s="143"/>
      <c r="R33" s="143"/>
      <c r="S33" s="143"/>
      <c r="T33" s="143"/>
      <c r="U33" s="143"/>
      <c r="V33" s="143"/>
      <c r="W33" s="143"/>
      <c r="X33" s="181"/>
    </row>
    <row r="34" spans="2:24">
      <c r="B34" s="814"/>
      <c r="C34" s="605"/>
      <c r="D34" s="158"/>
      <c r="E34" s="190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273"/>
    </row>
    <row r="35" spans="2:24">
      <c r="B35" s="814"/>
      <c r="C35" s="667"/>
      <c r="D35" s="676" t="s">
        <v>456</v>
      </c>
      <c r="E35" s="668"/>
      <c r="F35" s="685">
        <f t="shared" ref="F35:M35" si="42">F33/F75</f>
        <v>4.4459972922216888E-3</v>
      </c>
      <c r="G35" s="685">
        <f t="shared" si="42"/>
        <v>1.0288351847608171E-2</v>
      </c>
      <c r="H35" s="685">
        <f t="shared" si="42"/>
        <v>8.2429108705428366E-3</v>
      </c>
      <c r="I35" s="685">
        <f t="shared" si="42"/>
        <v>1.3589051497193439E-2</v>
      </c>
      <c r="J35" s="685">
        <f t="shared" si="42"/>
        <v>2.3627859224446331E-2</v>
      </c>
      <c r="K35" s="685">
        <f t="shared" si="42"/>
        <v>5.5143911091524125E-2</v>
      </c>
      <c r="L35" s="685">
        <f t="shared" si="42"/>
        <v>5.7067862529006606E-2</v>
      </c>
      <c r="M35" s="685">
        <f t="shared" si="42"/>
        <v>5.9575581719610506E-2</v>
      </c>
      <c r="N35" s="685">
        <f t="shared" ref="N35" si="43">N33/N75</f>
        <v>4.3216853649665668E-2</v>
      </c>
      <c r="O35" s="686">
        <f t="shared" ref="O35:X35" si="44">O74*($M$35/($M$35+$M$67))</f>
        <v>6.4740589087874847E-2</v>
      </c>
      <c r="P35" s="686">
        <f t="shared" si="44"/>
        <v>8.1237102231726213E-2</v>
      </c>
      <c r="Q35" s="686">
        <f t="shared" si="44"/>
        <v>9.7733615375577579E-2</v>
      </c>
      <c r="R35" s="686">
        <f t="shared" si="44"/>
        <v>0.11423012851942893</v>
      </c>
      <c r="S35" s="686">
        <f t="shared" si="44"/>
        <v>0.1307266416632803</v>
      </c>
      <c r="T35" s="686">
        <f t="shared" si="44"/>
        <v>0.14722315480713163</v>
      </c>
      <c r="U35" s="686">
        <f t="shared" si="44"/>
        <v>0.1693066280282014</v>
      </c>
      <c r="V35" s="686">
        <f t="shared" si="44"/>
        <v>0.25027936317212379</v>
      </c>
      <c r="W35" s="686">
        <f t="shared" si="44"/>
        <v>0.31652978283533301</v>
      </c>
      <c r="X35" s="687">
        <f t="shared" si="44"/>
        <v>0.44166946442139493</v>
      </c>
    </row>
    <row r="36" spans="2:24">
      <c r="B36" s="814"/>
      <c r="C36" s="604"/>
      <c r="F36" s="180"/>
      <c r="G36" s="180"/>
      <c r="H36" s="180"/>
      <c r="I36" s="180"/>
      <c r="J36" s="180"/>
      <c r="K36" s="180"/>
      <c r="L36" s="180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6"/>
    </row>
    <row r="37" spans="2:24">
      <c r="B37" s="814"/>
      <c r="C37" s="604"/>
      <c r="D37" s="159" t="s">
        <v>233</v>
      </c>
      <c r="E37" s="165" t="s">
        <v>457</v>
      </c>
      <c r="F37" s="180">
        <f>F15/F$12</f>
        <v>1</v>
      </c>
      <c r="G37" s="180">
        <f t="shared" ref="G37:M37" si="45">G15/G$12</f>
        <v>1</v>
      </c>
      <c r="H37" s="180">
        <f t="shared" si="45"/>
        <v>1</v>
      </c>
      <c r="I37" s="180">
        <f t="shared" si="45"/>
        <v>1</v>
      </c>
      <c r="J37" s="180">
        <f t="shared" si="45"/>
        <v>1</v>
      </c>
      <c r="K37" s="180">
        <f t="shared" si="45"/>
        <v>0.98585572842998581</v>
      </c>
      <c r="L37" s="180">
        <f t="shared" si="45"/>
        <v>0.97578475336322867</v>
      </c>
      <c r="M37" s="180">
        <f t="shared" si="45"/>
        <v>0.94074969770253924</v>
      </c>
      <c r="N37" s="180">
        <f t="shared" ref="N37" si="46">N15/N$12</f>
        <v>0.93664470349721241</v>
      </c>
      <c r="O37" s="157">
        <f t="shared" ref="O37:X39" si="47">N37</f>
        <v>0.93664470349721241</v>
      </c>
      <c r="P37" s="157">
        <f t="shared" si="47"/>
        <v>0.93664470349721241</v>
      </c>
      <c r="Q37" s="157">
        <f t="shared" si="47"/>
        <v>0.93664470349721241</v>
      </c>
      <c r="R37" s="157">
        <f t="shared" si="47"/>
        <v>0.93664470349721241</v>
      </c>
      <c r="S37" s="157">
        <f t="shared" si="47"/>
        <v>0.93664470349721241</v>
      </c>
      <c r="T37" s="157">
        <f t="shared" si="47"/>
        <v>0.93664470349721241</v>
      </c>
      <c r="U37" s="157">
        <f t="shared" si="47"/>
        <v>0.93664470349721241</v>
      </c>
      <c r="V37" s="157">
        <f t="shared" si="47"/>
        <v>0.93664470349721241</v>
      </c>
      <c r="W37" s="157">
        <f t="shared" si="47"/>
        <v>0.93664470349721241</v>
      </c>
      <c r="X37" s="156">
        <f t="shared" si="47"/>
        <v>0.93664470349721241</v>
      </c>
    </row>
    <row r="38" spans="2:24">
      <c r="B38" s="814"/>
      <c r="C38" s="604"/>
      <c r="D38" s="159" t="s">
        <v>233</v>
      </c>
      <c r="E38" s="165" t="s">
        <v>458</v>
      </c>
      <c r="F38" s="180">
        <f>F20/F$12</f>
        <v>0</v>
      </c>
      <c r="G38" s="180">
        <f t="shared" ref="G38:M38" si="48">G20/G$12</f>
        <v>0</v>
      </c>
      <c r="H38" s="180">
        <f t="shared" si="48"/>
        <v>0</v>
      </c>
      <c r="I38" s="180">
        <f t="shared" si="48"/>
        <v>0</v>
      </c>
      <c r="J38" s="180">
        <f t="shared" si="48"/>
        <v>0</v>
      </c>
      <c r="K38" s="180">
        <f t="shared" si="48"/>
        <v>1.4144271570014145E-3</v>
      </c>
      <c r="L38" s="180">
        <f t="shared" si="48"/>
        <v>8.9686098654708521E-4</v>
      </c>
      <c r="M38" s="180">
        <f t="shared" si="48"/>
        <v>1.8137847642079807E-3</v>
      </c>
      <c r="N38" s="180">
        <f t="shared" ref="N38" si="49">N20/N$12</f>
        <v>4.5615813482007099E-3</v>
      </c>
      <c r="O38" s="157">
        <f t="shared" si="47"/>
        <v>4.5615813482007099E-3</v>
      </c>
      <c r="P38" s="157">
        <f t="shared" si="47"/>
        <v>4.5615813482007099E-3</v>
      </c>
      <c r="Q38" s="157">
        <f t="shared" si="47"/>
        <v>4.5615813482007099E-3</v>
      </c>
      <c r="R38" s="157">
        <f t="shared" si="47"/>
        <v>4.5615813482007099E-3</v>
      </c>
      <c r="S38" s="157">
        <f t="shared" si="47"/>
        <v>4.5615813482007099E-3</v>
      </c>
      <c r="T38" s="157">
        <f t="shared" si="47"/>
        <v>4.5615813482007099E-3</v>
      </c>
      <c r="U38" s="157">
        <f t="shared" si="47"/>
        <v>4.5615813482007099E-3</v>
      </c>
      <c r="V38" s="157">
        <f t="shared" si="47"/>
        <v>4.5615813482007099E-3</v>
      </c>
      <c r="W38" s="157">
        <f t="shared" si="47"/>
        <v>4.5615813482007099E-3</v>
      </c>
      <c r="X38" s="156">
        <f t="shared" si="47"/>
        <v>4.5615813482007099E-3</v>
      </c>
    </row>
    <row r="39" spans="2:24">
      <c r="B39" s="814"/>
      <c r="C39" s="604"/>
      <c r="D39" s="159" t="s">
        <v>233</v>
      </c>
      <c r="E39" s="165" t="s">
        <v>459</v>
      </c>
      <c r="F39" s="180">
        <f>F25/F$12</f>
        <v>0</v>
      </c>
      <c r="G39" s="180">
        <f t="shared" ref="G39:M39" si="50">G25/G$12</f>
        <v>0</v>
      </c>
      <c r="H39" s="180">
        <f t="shared" si="50"/>
        <v>0</v>
      </c>
      <c r="I39" s="180">
        <f t="shared" si="50"/>
        <v>0</v>
      </c>
      <c r="J39" s="180">
        <f t="shared" si="50"/>
        <v>0</v>
      </c>
      <c r="K39" s="180">
        <f t="shared" si="50"/>
        <v>1.272984441301273E-2</v>
      </c>
      <c r="L39" s="180">
        <f t="shared" si="50"/>
        <v>2.3318385650224215E-2</v>
      </c>
      <c r="M39" s="180">
        <f t="shared" si="50"/>
        <v>5.7436517533252719E-2</v>
      </c>
      <c r="N39" s="180">
        <f t="shared" ref="N39" si="51">N25/N$12</f>
        <v>5.8793715154586923E-2</v>
      </c>
      <c r="O39" s="157">
        <f t="shared" si="47"/>
        <v>5.8793715154586923E-2</v>
      </c>
      <c r="P39" s="157">
        <f t="shared" si="47"/>
        <v>5.8793715154586923E-2</v>
      </c>
      <c r="Q39" s="157">
        <f t="shared" si="47"/>
        <v>5.8793715154586923E-2</v>
      </c>
      <c r="R39" s="157">
        <f t="shared" si="47"/>
        <v>5.8793715154586923E-2</v>
      </c>
      <c r="S39" s="157">
        <f t="shared" si="47"/>
        <v>5.8793715154586923E-2</v>
      </c>
      <c r="T39" s="157">
        <f t="shared" si="47"/>
        <v>5.8793715154586923E-2</v>
      </c>
      <c r="U39" s="157">
        <f t="shared" si="47"/>
        <v>5.8793715154586923E-2</v>
      </c>
      <c r="V39" s="157">
        <f t="shared" si="47"/>
        <v>5.8793715154586923E-2</v>
      </c>
      <c r="W39" s="157">
        <f t="shared" si="47"/>
        <v>5.8793715154586923E-2</v>
      </c>
      <c r="X39" s="156">
        <f t="shared" si="47"/>
        <v>5.8793715154586923E-2</v>
      </c>
    </row>
    <row r="40" spans="2:24">
      <c r="B40" s="815"/>
      <c r="C40" s="604"/>
      <c r="D40" s="159"/>
      <c r="F40" s="189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273"/>
    </row>
    <row r="41" spans="2:24">
      <c r="B41" s="813" t="s">
        <v>393</v>
      </c>
      <c r="C41" s="667"/>
      <c r="D41" s="668"/>
      <c r="E41" s="669"/>
      <c r="F41" s="670">
        <v>2017</v>
      </c>
      <c r="G41" s="670">
        <v>2018</v>
      </c>
      <c r="H41" s="670">
        <v>2019</v>
      </c>
      <c r="I41" s="670">
        <v>2020</v>
      </c>
      <c r="J41" s="670">
        <v>2021</v>
      </c>
      <c r="K41" s="670">
        <v>2022</v>
      </c>
      <c r="L41" s="670">
        <v>2023</v>
      </c>
      <c r="M41" s="670">
        <v>2024</v>
      </c>
      <c r="N41" s="670">
        <v>2025</v>
      </c>
      <c r="O41" s="670">
        <v>2026</v>
      </c>
      <c r="P41" s="670">
        <v>2027</v>
      </c>
      <c r="Q41" s="670">
        <v>2028</v>
      </c>
      <c r="R41" s="670">
        <v>2029</v>
      </c>
      <c r="S41" s="670">
        <v>2030</v>
      </c>
      <c r="T41" s="670">
        <v>2031</v>
      </c>
      <c r="U41" s="670">
        <v>2032</v>
      </c>
      <c r="V41" s="670">
        <v>2033</v>
      </c>
      <c r="W41" s="670">
        <v>2034</v>
      </c>
      <c r="X41" s="670">
        <v>2035</v>
      </c>
    </row>
    <row r="42" spans="2:24">
      <c r="B42" s="814"/>
      <c r="C42" s="604"/>
      <c r="X42" s="182"/>
    </row>
    <row r="43" spans="2:24">
      <c r="B43" s="814"/>
      <c r="C43" s="816" t="s">
        <v>446</v>
      </c>
      <c r="D43" s="164" t="s">
        <v>2</v>
      </c>
      <c r="E43" s="165" t="s">
        <v>447</v>
      </c>
      <c r="F43" s="194">
        <f>SUMIFS('EV Data'!$EN$44:$EN$151,'EV Data'!$C$44:$C$151,'EV Forecast WRZ'!F$9)/3</f>
        <v>41</v>
      </c>
      <c r="G43" s="194">
        <f>SUMIFS('EV Data'!$EN$44:$EN$151,'EV Data'!$C$44:$C$151,'EV Forecast WRZ'!G$9)/3</f>
        <v>66</v>
      </c>
      <c r="H43" s="194">
        <f>SUMIFS('EV Data'!$EN$44:$EN$151,'EV Data'!$C$44:$C$151,'EV Forecast WRZ'!H$9)/3</f>
        <v>20</v>
      </c>
      <c r="I43" s="194">
        <f>SUMIFS('EV Data'!$EN$44:$EN$151,'EV Data'!$C$44:$C$151,'EV Forecast WRZ'!I$9)/3</f>
        <v>17</v>
      </c>
      <c r="J43" s="194">
        <f>SUMIFS('EV Data'!$EN$44:$EN$151,'EV Data'!$C$44:$C$151,'EV Forecast WRZ'!J$9)/3</f>
        <v>43</v>
      </c>
      <c r="K43" s="194">
        <f>SUMIFS('EV Data'!$EN$44:$EN$151,'EV Data'!$C$44:$C$151,'EV Forecast WRZ'!K$9)/3</f>
        <v>73</v>
      </c>
      <c r="L43" s="194">
        <f>SUMIFS('EV Data'!$EN$44:$EN$151,'EV Data'!$C$44:$C$151,'EV Forecast WRZ'!L$9)/3</f>
        <v>130</v>
      </c>
      <c r="M43" s="194">
        <f>SUMIFS('EV Data'!$EN$44:$EN$151,'EV Data'!$C$44:$C$151,'EV Forecast WRZ'!M$9)/3</f>
        <v>208</v>
      </c>
      <c r="N43" s="194">
        <f>SUMIFS('EV Data'!$EN$44:$EN$151,'EV Data'!$C$44:$C$151,'EV Forecast WRZ'!N$9)/3</f>
        <v>192</v>
      </c>
      <c r="O43" s="163">
        <f t="shared" ref="O43:X43" si="52">O46+O51+O56</f>
        <v>271.32765209919597</v>
      </c>
      <c r="P43" s="163">
        <f t="shared" si="52"/>
        <v>347.27378871387049</v>
      </c>
      <c r="Q43" s="163">
        <f t="shared" si="52"/>
        <v>426.14923973229241</v>
      </c>
      <c r="R43" s="163">
        <f t="shared" si="52"/>
        <v>508.04079927596541</v>
      </c>
      <c r="S43" s="163">
        <f t="shared" si="52"/>
        <v>593.03756150549248</v>
      </c>
      <c r="T43" s="163">
        <f>T46+T51+T56</f>
        <v>681.23097790449037</v>
      </c>
      <c r="U43" s="163">
        <f t="shared" si="52"/>
        <v>799.08393708196706</v>
      </c>
      <c r="V43" s="163">
        <f t="shared" si="52"/>
        <v>1204.8796060001141</v>
      </c>
      <c r="W43" s="163">
        <f t="shared" si="52"/>
        <v>1554.2946917401468</v>
      </c>
      <c r="X43" s="162">
        <f t="shared" si="52"/>
        <v>2212.1589566162093</v>
      </c>
    </row>
    <row r="44" spans="2:24">
      <c r="B44" s="814"/>
      <c r="C44" s="816"/>
      <c r="D44" s="164" t="s">
        <v>2</v>
      </c>
      <c r="E44" s="165" t="s">
        <v>436</v>
      </c>
      <c r="F44" s="194">
        <f>F43</f>
        <v>41</v>
      </c>
      <c r="G44" s="194">
        <f>F44+G43</f>
        <v>107</v>
      </c>
      <c r="H44" s="194">
        <f t="shared" ref="H44" si="53">G44+H43</f>
        <v>127</v>
      </c>
      <c r="I44" s="194">
        <f t="shared" ref="I44" si="54">H44+I43</f>
        <v>144</v>
      </c>
      <c r="J44" s="194">
        <f t="shared" ref="J44" si="55">I44+J43</f>
        <v>187</v>
      </c>
      <c r="K44" s="194">
        <f t="shared" ref="K44" si="56">J44+K43</f>
        <v>260</v>
      </c>
      <c r="L44" s="194">
        <f t="shared" ref="L44" si="57">K44+L43</f>
        <v>390</v>
      </c>
      <c r="M44" s="194">
        <f t="shared" ref="M44:N44" si="58">L44+M43</f>
        <v>598</v>
      </c>
      <c r="N44" s="194">
        <f t="shared" si="58"/>
        <v>790</v>
      </c>
      <c r="O44" s="163">
        <f t="shared" ref="O44" si="59">N44+O43</f>
        <v>1061.327652099196</v>
      </c>
      <c r="P44" s="163">
        <f t="shared" ref="P44" si="60">O44+P43</f>
        <v>1408.6014408130666</v>
      </c>
      <c r="Q44" s="163">
        <f t="shared" ref="Q44" si="61">P44+Q43</f>
        <v>1834.750680545359</v>
      </c>
      <c r="R44" s="163">
        <f t="shared" ref="R44" si="62">Q44+R43</f>
        <v>2342.7914798213246</v>
      </c>
      <c r="S44" s="163">
        <f t="shared" ref="S44" si="63">R44+S43</f>
        <v>2935.8290413268169</v>
      </c>
      <c r="T44" s="163">
        <f>S44+T43-F43</f>
        <v>3576.0600192313073</v>
      </c>
      <c r="U44" s="163">
        <f t="shared" ref="U44:V44" si="64">T44+U43-G43</f>
        <v>4309.1439563132744</v>
      </c>
      <c r="V44" s="163">
        <f t="shared" si="64"/>
        <v>5494.0235623133885</v>
      </c>
      <c r="W44" s="163">
        <f>V44+W43-I43</f>
        <v>7031.3182540535354</v>
      </c>
      <c r="X44" s="162">
        <f>W44+X43-J43</f>
        <v>9200.4772106697455</v>
      </c>
    </row>
    <row r="45" spans="2:24">
      <c r="B45" s="814"/>
      <c r="C45" s="604"/>
      <c r="D45" s="164"/>
      <c r="G45" s="161"/>
      <c r="X45" s="182"/>
    </row>
    <row r="46" spans="2:24">
      <c r="B46" s="814"/>
      <c r="C46" s="817" t="s">
        <v>448</v>
      </c>
      <c r="D46" s="671" t="s">
        <v>2</v>
      </c>
      <c r="E46" s="668" t="s">
        <v>447</v>
      </c>
      <c r="F46" s="672">
        <f>SUMIFS('EV Data'!$EO$44:$EO$151,'EV Data'!$C$44:$C$151,'EV Forecast WRZ'!F$9)/3+SUMIFS('EV Data'!$EQ$44:$EQ$151,'EV Data'!$C$44:$C$151,'EV Forecast WRZ'!F$9)/3</f>
        <v>32</v>
      </c>
      <c r="G46" s="672">
        <f>SUMIFS('EV Data'!$EO$44:$EO$151,'EV Data'!$C$44:$C$151,'EV Forecast WRZ'!G$9)/3+SUMIFS('EV Data'!$EQ$44:$EQ$151,'EV Data'!$C$44:$C$151,'EV Forecast WRZ'!G$9)/3</f>
        <v>63</v>
      </c>
      <c r="H46" s="672">
        <f>SUMIFS('EV Data'!$EO$44:$EO$151,'EV Data'!$C$44:$C$151,'EV Forecast WRZ'!H$9)/3+SUMIFS('EV Data'!$EQ$44:$EQ$151,'EV Data'!$C$44:$C$151,'EV Forecast WRZ'!H$9)/3</f>
        <v>20</v>
      </c>
      <c r="I46" s="672">
        <f>SUMIFS('EV Data'!$EO$44:$EO$151,'EV Data'!$C$44:$C$151,'EV Forecast WRZ'!I$9)/3+SUMIFS('EV Data'!$EQ$44:$EQ$151,'EV Data'!$C$44:$C$151,'EV Forecast WRZ'!I$9)/3</f>
        <v>14</v>
      </c>
      <c r="J46" s="672">
        <f>SUMIFS('EV Data'!$EO$44:$EO$151,'EV Data'!$C$44:$C$151,'EV Forecast WRZ'!J$9)/3+SUMIFS('EV Data'!$EQ$44:$EQ$151,'EV Data'!$C$44:$C$151,'EV Forecast WRZ'!J$9)/3</f>
        <v>43</v>
      </c>
      <c r="K46" s="672">
        <f>SUMIFS('EV Data'!$EO$44:$EO$151,'EV Data'!$C$44:$C$151,'EV Forecast WRZ'!K$9)/3+SUMIFS('EV Data'!$EQ$44:$EQ$151,'EV Data'!$C$44:$C$151,'EV Forecast WRZ'!K$9)/3</f>
        <v>69</v>
      </c>
      <c r="L46" s="672">
        <f>SUMIFS('EV Data'!$EO$44:$EO$151,'EV Data'!$C$44:$C$151,'EV Forecast WRZ'!L$9)/3+SUMIFS('EV Data'!$EQ$44:$EQ$151,'EV Data'!$C$44:$C$151,'EV Forecast WRZ'!L$9)/3</f>
        <v>127</v>
      </c>
      <c r="M46" s="672">
        <f>SUMIFS('EV Data'!$EO$44:$EO$151,'EV Data'!$C$44:$C$151,'EV Forecast WRZ'!M$9)/3+SUMIFS('EV Data'!$EQ$44:$EQ$151,'EV Data'!$C$44:$C$151,'EV Forecast WRZ'!M$9)/3</f>
        <v>206</v>
      </c>
      <c r="N46" s="672">
        <f>SUMIFS('EV Data'!$EO$44:$EO$151,'EV Data'!$C$44:$C$151,'EV Forecast WRZ'!N$9)/3+SUMIFS('EV Data'!$EQ$44:$EQ$151,'EV Data'!$C$44:$C$151,'EV Forecast WRZ'!N$9)/3</f>
        <v>192</v>
      </c>
      <c r="O46" s="673">
        <f t="shared" ref="O46:X46" si="65">O67*O$75*O69*O62</f>
        <v>263.08478671896722</v>
      </c>
      <c r="P46" s="673">
        <f t="shared" si="65"/>
        <v>336.72369893015798</v>
      </c>
      <c r="Q46" s="673">
        <f t="shared" si="65"/>
        <v>413.20293371510883</v>
      </c>
      <c r="R46" s="673">
        <f t="shared" si="65"/>
        <v>492.60664841188543</v>
      </c>
      <c r="S46" s="673">
        <f t="shared" si="65"/>
        <v>575.02123052304717</v>
      </c>
      <c r="T46" s="673">
        <f t="shared" si="65"/>
        <v>660.53535325929067</v>
      </c>
      <c r="U46" s="673">
        <f t="shared" si="65"/>
        <v>774.80796937314778</v>
      </c>
      <c r="V46" s="673">
        <f t="shared" si="65"/>
        <v>1168.2756686026423</v>
      </c>
      <c r="W46" s="673">
        <f t="shared" si="65"/>
        <v>1507.0756124974082</v>
      </c>
      <c r="X46" s="673">
        <f t="shared" si="65"/>
        <v>2144.9541275544511</v>
      </c>
    </row>
    <row r="47" spans="2:24">
      <c r="B47" s="814"/>
      <c r="C47" s="818"/>
      <c r="D47" s="164" t="s">
        <v>2</v>
      </c>
      <c r="E47" s="165" t="s">
        <v>436</v>
      </c>
      <c r="F47" s="194">
        <f>F46</f>
        <v>32</v>
      </c>
      <c r="G47" s="194">
        <f>F47+G46</f>
        <v>95</v>
      </c>
      <c r="H47" s="194">
        <f t="shared" ref="H47" si="66">G47+H46</f>
        <v>115</v>
      </c>
      <c r="I47" s="194">
        <f t="shared" ref="I47" si="67">H47+I46</f>
        <v>129</v>
      </c>
      <c r="J47" s="194">
        <f t="shared" ref="J47" si="68">I47+J46</f>
        <v>172</v>
      </c>
      <c r="K47" s="194">
        <f t="shared" ref="K47" si="69">J47+K46</f>
        <v>241</v>
      </c>
      <c r="L47" s="194">
        <f>K47+L46</f>
        <v>368</v>
      </c>
      <c r="M47" s="193">
        <f>L47+M46</f>
        <v>574</v>
      </c>
      <c r="N47" s="193">
        <f>M47+N46</f>
        <v>766</v>
      </c>
      <c r="O47" s="193">
        <f t="shared" ref="O47" si="70">N47+O46</f>
        <v>1029.0847867189673</v>
      </c>
      <c r="P47" s="193">
        <f>O47+P46-F46</f>
        <v>1333.8084856491253</v>
      </c>
      <c r="Q47" s="193">
        <f t="shared" ref="Q47:X47" si="71">P47+Q46-G46</f>
        <v>1684.0114193642341</v>
      </c>
      <c r="R47" s="193">
        <f t="shared" si="71"/>
        <v>2156.6180677761195</v>
      </c>
      <c r="S47" s="193">
        <f t="shared" si="71"/>
        <v>2717.6392982991665</v>
      </c>
      <c r="T47" s="193">
        <f t="shared" si="71"/>
        <v>3335.1746515584573</v>
      </c>
      <c r="U47" s="193">
        <f t="shared" si="71"/>
        <v>4040.9826209316052</v>
      </c>
      <c r="V47" s="193">
        <f t="shared" si="71"/>
        <v>5082.2582895342475</v>
      </c>
      <c r="W47" s="193">
        <f t="shared" si="71"/>
        <v>6383.3339020316562</v>
      </c>
      <c r="X47" s="192">
        <f t="shared" si="71"/>
        <v>8336.2880295861069</v>
      </c>
    </row>
    <row r="48" spans="2:24">
      <c r="B48" s="814"/>
      <c r="C48" s="818"/>
      <c r="D48" s="164" t="s">
        <v>2</v>
      </c>
      <c r="E48" s="165" t="s">
        <v>449</v>
      </c>
      <c r="F48" s="194">
        <f>E3*0.6</f>
        <v>2014.8</v>
      </c>
      <c r="G48" s="194">
        <f>F48</f>
        <v>2014.8</v>
      </c>
      <c r="H48" s="194">
        <f t="shared" ref="H48" si="72">G48</f>
        <v>2014.8</v>
      </c>
      <c r="I48" s="194">
        <f t="shared" ref="I48" si="73">H48</f>
        <v>2014.8</v>
      </c>
      <c r="J48" s="194">
        <f t="shared" ref="J48" si="74">I48</f>
        <v>2014.8</v>
      </c>
      <c r="K48" s="194">
        <f t="shared" ref="K48" si="75">J48</f>
        <v>2014.8</v>
      </c>
      <c r="L48" s="194">
        <f t="shared" ref="L48" si="76">K48</f>
        <v>2014.8</v>
      </c>
      <c r="M48" s="194">
        <f t="shared" ref="M48:N48" si="77">L48</f>
        <v>2014.8</v>
      </c>
      <c r="N48" s="194">
        <f t="shared" si="77"/>
        <v>2014.8</v>
      </c>
      <c r="O48" s="194">
        <f t="shared" ref="O48" si="78">N48</f>
        <v>2014.8</v>
      </c>
      <c r="P48" s="194">
        <f t="shared" ref="P48" si="79">O48</f>
        <v>2014.8</v>
      </c>
      <c r="Q48" s="194">
        <f t="shared" ref="Q48" si="80">P48</f>
        <v>2014.8</v>
      </c>
      <c r="R48" s="194">
        <f t="shared" ref="R48" si="81">Q48</f>
        <v>2014.8</v>
      </c>
      <c r="S48" s="194">
        <f t="shared" ref="S48" si="82">R48</f>
        <v>2014.8</v>
      </c>
      <c r="T48" s="194">
        <f t="shared" ref="T48" si="83">S48</f>
        <v>2014.8</v>
      </c>
      <c r="U48" s="194">
        <f t="shared" ref="U48" si="84">T48</f>
        <v>2014.8</v>
      </c>
      <c r="V48" s="194">
        <f t="shared" ref="V48" si="85">U48</f>
        <v>2014.8</v>
      </c>
      <c r="W48" s="194">
        <f t="shared" ref="W48" si="86">V48</f>
        <v>2014.8</v>
      </c>
      <c r="X48" s="192">
        <f t="shared" ref="X48" si="87">W48</f>
        <v>2014.8</v>
      </c>
    </row>
    <row r="49" spans="2:24">
      <c r="B49" s="814"/>
      <c r="C49" s="818"/>
      <c r="D49" s="164" t="s">
        <v>2</v>
      </c>
      <c r="E49" s="165" t="s">
        <v>450</v>
      </c>
      <c r="F49" s="194">
        <f t="shared" ref="F49" si="88">F46*F48</f>
        <v>64473.599999999999</v>
      </c>
      <c r="G49" s="194">
        <f t="shared" ref="G49:X49" si="89">G46*G48</f>
        <v>126932.4</v>
      </c>
      <c r="H49" s="194">
        <f t="shared" si="89"/>
        <v>40296</v>
      </c>
      <c r="I49" s="194">
        <f t="shared" si="89"/>
        <v>28207.200000000001</v>
      </c>
      <c r="J49" s="194">
        <f t="shared" si="89"/>
        <v>86636.4</v>
      </c>
      <c r="K49" s="194">
        <f t="shared" si="89"/>
        <v>139021.19999999998</v>
      </c>
      <c r="L49" s="194">
        <f t="shared" si="89"/>
        <v>255879.6</v>
      </c>
      <c r="M49" s="194">
        <f t="shared" si="89"/>
        <v>415048.8</v>
      </c>
      <c r="N49" s="194">
        <f t="shared" ref="N49" si="90">N46*N48</f>
        <v>386841.59999999998</v>
      </c>
      <c r="O49" s="194">
        <f t="shared" si="89"/>
        <v>530063.22828137514</v>
      </c>
      <c r="P49" s="194">
        <f t="shared" si="89"/>
        <v>678430.90860448231</v>
      </c>
      <c r="Q49" s="194">
        <f t="shared" si="89"/>
        <v>832521.27084920125</v>
      </c>
      <c r="R49" s="194">
        <f t="shared" si="89"/>
        <v>992503.87522026675</v>
      </c>
      <c r="S49" s="194">
        <f t="shared" si="89"/>
        <v>1158552.7752578354</v>
      </c>
      <c r="T49" s="194">
        <f t="shared" si="89"/>
        <v>1330846.6297468189</v>
      </c>
      <c r="U49" s="194">
        <f t="shared" si="89"/>
        <v>1561083.0966930182</v>
      </c>
      <c r="V49" s="194">
        <f t="shared" si="89"/>
        <v>2353841.8171006036</v>
      </c>
      <c r="W49" s="194">
        <f t="shared" si="89"/>
        <v>3036455.944059778</v>
      </c>
      <c r="X49" s="192">
        <f t="shared" si="89"/>
        <v>4321653.5761967078</v>
      </c>
    </row>
    <row r="50" spans="2:24">
      <c r="B50" s="814"/>
      <c r="C50" s="819"/>
      <c r="D50" s="191" t="s">
        <v>2</v>
      </c>
      <c r="E50" s="190" t="s">
        <v>451</v>
      </c>
      <c r="F50" s="189">
        <f t="shared" ref="F50" si="91">F47*F48-F46*F48/2</f>
        <v>32236.799999999999</v>
      </c>
      <c r="G50" s="189">
        <f>G47*G48-G46*G48/2</f>
        <v>127939.8</v>
      </c>
      <c r="H50" s="189">
        <f>H47*H48-H46*H48/2</f>
        <v>211554</v>
      </c>
      <c r="I50" s="189">
        <f>I47*I48-I46*I48/2</f>
        <v>245805.59999999998</v>
      </c>
      <c r="J50" s="189">
        <f>J47*J48-J46*J48/2</f>
        <v>303227.39999999997</v>
      </c>
      <c r="K50" s="189">
        <f t="shared" ref="K50:X50" si="92">K47*K48-K46*K48/2</f>
        <v>416056.2</v>
      </c>
      <c r="L50" s="189">
        <f t="shared" si="92"/>
        <v>613506.6</v>
      </c>
      <c r="M50" s="189">
        <f>M47*M48-M46*M48/2</f>
        <v>948970.79999999993</v>
      </c>
      <c r="N50" s="189">
        <f>N47*N48-N46*N48/2</f>
        <v>1349916</v>
      </c>
      <c r="O50" s="189">
        <f t="shared" si="92"/>
        <v>1808368.4141406878</v>
      </c>
      <c r="P50" s="189">
        <f t="shared" si="92"/>
        <v>2348141.8825836163</v>
      </c>
      <c r="Q50" s="189">
        <f t="shared" si="92"/>
        <v>2976685.5723104584</v>
      </c>
      <c r="R50" s="189">
        <f t="shared" si="92"/>
        <v>3848902.1453451915</v>
      </c>
      <c r="S50" s="189">
        <f t="shared" si="92"/>
        <v>4896223.2705842433</v>
      </c>
      <c r="T50" s="189">
        <f t="shared" si="92"/>
        <v>6054286.57308657</v>
      </c>
      <c r="U50" s="189">
        <f t="shared" si="92"/>
        <v>7361230.2363064885</v>
      </c>
      <c r="V50" s="189">
        <f t="shared" si="92"/>
        <v>9062813.0932033006</v>
      </c>
      <c r="W50" s="189">
        <f t="shared" si="92"/>
        <v>11342913.173783492</v>
      </c>
      <c r="X50" s="273">
        <f t="shared" si="92"/>
        <v>14635126.333911736</v>
      </c>
    </row>
    <row r="51" spans="2:24">
      <c r="B51" s="814"/>
      <c r="C51" s="818" t="s">
        <v>452</v>
      </c>
      <c r="D51" s="671" t="s">
        <v>2</v>
      </c>
      <c r="E51" s="165" t="s">
        <v>447</v>
      </c>
      <c r="F51" s="143">
        <f>SUMIFS('EV Data'!$ER$44:$ER$151,'EV Data'!$C$44:$C$151,'EV Forecast WRZ'!F$9)/3</f>
        <v>9</v>
      </c>
      <c r="G51" s="143">
        <f>SUMIFS('EV Data'!$ER$44:$ER$151,'EV Data'!$C$44:$C$151,'EV Forecast WRZ'!G$9)/3</f>
        <v>3</v>
      </c>
      <c r="H51" s="143">
        <f>SUMIFS('EV Data'!$ER$44:$ER$151,'EV Data'!$C$44:$C$151,'EV Forecast WRZ'!H$9)/3</f>
        <v>0</v>
      </c>
      <c r="I51" s="143">
        <f>SUMIFS('EV Data'!$ER$44:$ER$151,'EV Data'!$C$44:$C$151,'EV Forecast WRZ'!I$9)/3</f>
        <v>3</v>
      </c>
      <c r="J51" s="143">
        <f>SUMIFS('EV Data'!$ER$44:$ER$151,'EV Data'!$C$44:$C$151,'EV Forecast WRZ'!J$9)/3</f>
        <v>0</v>
      </c>
      <c r="K51" s="143">
        <f>SUMIFS('EV Data'!$ER$44:$ER$151,'EV Data'!$C$44:$C$151,'EV Forecast WRZ'!K$9)/3</f>
        <v>4</v>
      </c>
      <c r="L51" s="143">
        <f>SUMIFS('EV Data'!$ER$44:$ER$151,'EV Data'!$C$44:$C$151,'EV Forecast WRZ'!L$9)/3</f>
        <v>3</v>
      </c>
      <c r="M51" s="143">
        <f>SUMIFS('EV Data'!$ER$44:$ER$151,'EV Data'!$C$44:$C$151,'EV Forecast WRZ'!M$9)/3</f>
        <v>2</v>
      </c>
      <c r="N51" s="143">
        <f>SUMIFS('EV Data'!$ER$44:$ER$151,'EV Data'!$C$44:$C$151,'EV Forecast WRZ'!N$9)/3</f>
        <v>0</v>
      </c>
      <c r="O51" s="673">
        <f>O67*O$75*O70*O62</f>
        <v>8.2428653802287375</v>
      </c>
      <c r="P51" s="673">
        <f t="shared" ref="P51:X51" si="93">P67*P$75*P70*P62</f>
        <v>10.55008978371252</v>
      </c>
      <c r="Q51" s="673">
        <f t="shared" si="93"/>
        <v>12.946306017183565</v>
      </c>
      <c r="R51" s="673">
        <f t="shared" si="93"/>
        <v>15.434150864079959</v>
      </c>
      <c r="S51" s="673">
        <f>S67*S$75*S70*S62</f>
        <v>18.016330982445343</v>
      </c>
      <c r="T51" s="673">
        <f t="shared" si="93"/>
        <v>20.695624645199707</v>
      </c>
      <c r="U51" s="673">
        <f t="shared" si="93"/>
        <v>24.275967708819252</v>
      </c>
      <c r="V51" s="673">
        <f t="shared" si="93"/>
        <v>36.603937397471825</v>
      </c>
      <c r="W51" s="673">
        <f t="shared" si="93"/>
        <v>47.219079242738644</v>
      </c>
      <c r="X51" s="674">
        <f t="shared" si="93"/>
        <v>67.204829061758247</v>
      </c>
    </row>
    <row r="52" spans="2:24">
      <c r="B52" s="814"/>
      <c r="C52" s="818"/>
      <c r="D52" s="164" t="s">
        <v>2</v>
      </c>
      <c r="E52" s="165" t="s">
        <v>436</v>
      </c>
      <c r="F52" s="160">
        <f>F51</f>
        <v>9</v>
      </c>
      <c r="G52" s="160">
        <f>F52+G51</f>
        <v>12</v>
      </c>
      <c r="H52" s="160">
        <f t="shared" ref="H52" si="94">G52+H51</f>
        <v>12</v>
      </c>
      <c r="I52" s="160">
        <f t="shared" ref="I52" si="95">H52+I51</f>
        <v>15</v>
      </c>
      <c r="J52" s="160">
        <f t="shared" ref="J52" si="96">I52+J51</f>
        <v>15</v>
      </c>
      <c r="K52" s="160">
        <f t="shared" ref="K52" si="97">J52+K51</f>
        <v>19</v>
      </c>
      <c r="L52" s="160">
        <f>K52+L51</f>
        <v>22</v>
      </c>
      <c r="M52" s="160">
        <f>L52+M51</f>
        <v>24</v>
      </c>
      <c r="N52" s="160">
        <f>M52+N51</f>
        <v>24</v>
      </c>
      <c r="O52" s="160">
        <f>N52+O51</f>
        <v>32.242865380228736</v>
      </c>
      <c r="P52" s="193">
        <f>O52+P51-F51</f>
        <v>33.792955163941258</v>
      </c>
      <c r="Q52" s="193">
        <f>P52+Q51-G51</f>
        <v>43.739261181124824</v>
      </c>
      <c r="R52" s="193">
        <f>Q52+R51-H51</f>
        <v>59.173412045204785</v>
      </c>
      <c r="S52" s="193">
        <f t="shared" ref="S52:X52" si="98">R52+S51-I51</f>
        <v>74.189743027650124</v>
      </c>
      <c r="T52" s="193">
        <f t="shared" si="98"/>
        <v>94.885367672849839</v>
      </c>
      <c r="U52" s="193">
        <f t="shared" si="98"/>
        <v>115.16133538166909</v>
      </c>
      <c r="V52" s="193">
        <f t="shared" si="98"/>
        <v>148.7652727791409</v>
      </c>
      <c r="W52" s="193">
        <f t="shared" si="98"/>
        <v>193.98435202187954</v>
      </c>
      <c r="X52" s="192">
        <f t="shared" si="98"/>
        <v>261.18918108363778</v>
      </c>
    </row>
    <row r="53" spans="2:24">
      <c r="B53" s="814"/>
      <c r="C53" s="818"/>
      <c r="D53" s="164" t="s">
        <v>2</v>
      </c>
      <c r="E53" s="165" t="s">
        <v>449</v>
      </c>
      <c r="F53" s="194">
        <f>E5*0.6</f>
        <v>3000</v>
      </c>
      <c r="G53" s="194">
        <f t="shared" ref="G53" si="99">F53</f>
        <v>3000</v>
      </c>
      <c r="H53" s="194">
        <f t="shared" ref="H53" si="100">G53</f>
        <v>3000</v>
      </c>
      <c r="I53" s="194">
        <f t="shared" ref="I53" si="101">H53</f>
        <v>3000</v>
      </c>
      <c r="J53" s="194">
        <f t="shared" ref="J53" si="102">I53</f>
        <v>3000</v>
      </c>
      <c r="K53" s="194">
        <f>J53</f>
        <v>3000</v>
      </c>
      <c r="L53" s="194">
        <f t="shared" ref="L53" si="103">K53</f>
        <v>3000</v>
      </c>
      <c r="M53" s="194">
        <f t="shared" ref="M53:N53" si="104">L53</f>
        <v>3000</v>
      </c>
      <c r="N53" s="194">
        <f t="shared" si="104"/>
        <v>3000</v>
      </c>
      <c r="O53" s="194">
        <f t="shared" ref="O53" si="105">N53</f>
        <v>3000</v>
      </c>
      <c r="P53" s="194">
        <f t="shared" ref="P53" si="106">O53</f>
        <v>3000</v>
      </c>
      <c r="Q53" s="194">
        <f t="shared" ref="Q53" si="107">P53</f>
        <v>3000</v>
      </c>
      <c r="R53" s="194">
        <f t="shared" ref="R53" si="108">Q53</f>
        <v>3000</v>
      </c>
      <c r="S53" s="194">
        <f t="shared" ref="S53" si="109">R53</f>
        <v>3000</v>
      </c>
      <c r="T53" s="194">
        <f t="shared" ref="T53" si="110">S53</f>
        <v>3000</v>
      </c>
      <c r="U53" s="194">
        <f t="shared" ref="U53" si="111">T53</f>
        <v>3000</v>
      </c>
      <c r="V53" s="194">
        <f t="shared" ref="V53" si="112">U53</f>
        <v>3000</v>
      </c>
      <c r="W53" s="194">
        <f t="shared" ref="W53" si="113">V53</f>
        <v>3000</v>
      </c>
      <c r="X53" s="192">
        <f t="shared" ref="X53" si="114">W53</f>
        <v>3000</v>
      </c>
    </row>
    <row r="54" spans="2:24">
      <c r="B54" s="814"/>
      <c r="C54" s="818"/>
      <c r="D54" s="164" t="s">
        <v>2</v>
      </c>
      <c r="E54" s="165" t="s">
        <v>450</v>
      </c>
      <c r="F54" s="194">
        <f t="shared" ref="F54" si="115">F51*F53</f>
        <v>27000</v>
      </c>
      <c r="G54" s="194">
        <f t="shared" ref="G54:X54" si="116">G51*G53</f>
        <v>9000</v>
      </c>
      <c r="H54" s="194">
        <f t="shared" si="116"/>
        <v>0</v>
      </c>
      <c r="I54" s="194">
        <f t="shared" si="116"/>
        <v>9000</v>
      </c>
      <c r="J54" s="194">
        <f t="shared" si="116"/>
        <v>0</v>
      </c>
      <c r="K54" s="194">
        <f t="shared" si="116"/>
        <v>12000</v>
      </c>
      <c r="L54" s="194">
        <f t="shared" si="116"/>
        <v>9000</v>
      </c>
      <c r="M54" s="194">
        <f t="shared" si="116"/>
        <v>6000</v>
      </c>
      <c r="N54" s="194">
        <f t="shared" ref="N54" si="117">N51*N53</f>
        <v>0</v>
      </c>
      <c r="O54" s="194">
        <f t="shared" si="116"/>
        <v>24728.596140686212</v>
      </c>
      <c r="P54" s="194">
        <f t="shared" si="116"/>
        <v>31650.269351137562</v>
      </c>
      <c r="Q54" s="194">
        <f t="shared" si="116"/>
        <v>38838.918051550696</v>
      </c>
      <c r="R54" s="194">
        <f t="shared" si="116"/>
        <v>46302.452592239875</v>
      </c>
      <c r="S54" s="194">
        <f t="shared" si="116"/>
        <v>54048.992947336032</v>
      </c>
      <c r="T54" s="194">
        <f t="shared" si="116"/>
        <v>62086.87393559912</v>
      </c>
      <c r="U54" s="194">
        <f t="shared" si="116"/>
        <v>72827.90312645775</v>
      </c>
      <c r="V54" s="194">
        <f t="shared" si="116"/>
        <v>109811.81219241547</v>
      </c>
      <c r="W54" s="194">
        <f t="shared" si="116"/>
        <v>141657.23772821593</v>
      </c>
      <c r="X54" s="192">
        <f t="shared" si="116"/>
        <v>201614.48718527475</v>
      </c>
    </row>
    <row r="55" spans="2:24">
      <c r="B55" s="814"/>
      <c r="C55" s="818"/>
      <c r="D55" s="191" t="s">
        <v>2</v>
      </c>
      <c r="E55" s="165" t="s">
        <v>451</v>
      </c>
      <c r="F55" s="189">
        <f t="shared" ref="F55" si="118">F52*F53-F51*F53/2</f>
        <v>13500</v>
      </c>
      <c r="G55" s="189">
        <f>G52*G53-G51*G53/2</f>
        <v>31500</v>
      </c>
      <c r="H55" s="189">
        <f>H52*H53-H51*H53/2</f>
        <v>36000</v>
      </c>
      <c r="I55" s="189">
        <f>I52*I53-I51*I53/2</f>
        <v>40500</v>
      </c>
      <c r="J55" s="189">
        <f>J52*J53-J51*J53/2</f>
        <v>45000</v>
      </c>
      <c r="K55" s="189">
        <f t="shared" ref="K55:X55" si="119">K52*K53-K51*K53/2</f>
        <v>51000</v>
      </c>
      <c r="L55" s="189">
        <f t="shared" si="119"/>
        <v>61500</v>
      </c>
      <c r="M55" s="189">
        <f t="shared" si="119"/>
        <v>69000</v>
      </c>
      <c r="N55" s="189">
        <f t="shared" ref="N55" si="120">N52*N53-N51*N53/2</f>
        <v>72000</v>
      </c>
      <c r="O55" s="189">
        <f>O52*O53-O51*O53/2</f>
        <v>84364.298070343095</v>
      </c>
      <c r="P55" s="189">
        <f>P52*P53-P51*P53/2</f>
        <v>85553.730816254989</v>
      </c>
      <c r="Q55" s="189">
        <f t="shared" si="119"/>
        <v>111798.32451759913</v>
      </c>
      <c r="R55" s="189">
        <f t="shared" si="119"/>
        <v>154369.00983949442</v>
      </c>
      <c r="S55" s="189">
        <f t="shared" si="119"/>
        <v>195544.73260928234</v>
      </c>
      <c r="T55" s="189">
        <f t="shared" si="119"/>
        <v>253612.66605074995</v>
      </c>
      <c r="U55" s="189">
        <f t="shared" si="119"/>
        <v>309070.05458177842</v>
      </c>
      <c r="V55" s="189">
        <f t="shared" si="119"/>
        <v>391389.91224121494</v>
      </c>
      <c r="W55" s="189">
        <f t="shared" si="119"/>
        <v>511124.43720153067</v>
      </c>
      <c r="X55" s="273">
        <f t="shared" si="119"/>
        <v>682760.29965827602</v>
      </c>
    </row>
    <row r="56" spans="2:24">
      <c r="B56" s="814"/>
      <c r="C56" s="817" t="s">
        <v>453</v>
      </c>
      <c r="D56" s="671" t="s">
        <v>2</v>
      </c>
      <c r="E56" s="668" t="s">
        <v>447</v>
      </c>
      <c r="F56" s="680">
        <f>SUMIFS('EV Data'!$EP$44:$EP$151,'EV Data'!$C$44:$C$151,'EV Forecast WRZ'!F$9)/3</f>
        <v>0</v>
      </c>
      <c r="G56" s="680">
        <f>SUMIFS('EV Data'!$EP$44:$EP$151,'EV Data'!$C$44:$C$151,'EV Forecast WRZ'!G$9)/3</f>
        <v>0</v>
      </c>
      <c r="H56" s="680">
        <f>SUMIFS('EV Data'!$EP$44:$EP$151,'EV Data'!$C$44:$C$151,'EV Forecast WRZ'!H$9)/3</f>
        <v>0</v>
      </c>
      <c r="I56" s="680">
        <f>SUMIFS('EV Data'!$EP$44:$EP$151,'EV Data'!$C$44:$C$151,'EV Forecast WRZ'!I$9)/3</f>
        <v>0</v>
      </c>
      <c r="J56" s="680">
        <f>SUMIFS('EV Data'!$EP$44:$EP$151,'EV Data'!$C$44:$C$151,'EV Forecast WRZ'!J$9)/3</f>
        <v>0</v>
      </c>
      <c r="K56" s="680">
        <f>SUMIFS('EV Data'!$EP$44:$EP$151,'EV Data'!$C$44:$C$151,'EV Forecast WRZ'!K$9)/3</f>
        <v>0</v>
      </c>
      <c r="L56" s="680">
        <f>SUMIFS('EV Data'!$EP$44:$EP$151,'EV Data'!$C$44:$C$151,'EV Forecast WRZ'!L$9)/3</f>
        <v>0</v>
      </c>
      <c r="M56" s="680">
        <f>SUMIFS('EV Data'!$EP$44:$EP$151,'EV Data'!$C$44:$C$151,'EV Forecast WRZ'!M$9)/3</f>
        <v>0</v>
      </c>
      <c r="N56" s="680">
        <f>SUMIFS('EV Data'!$EP$44:$EP$151,'EV Data'!$C$44:$C$151,'EV Forecast WRZ'!N$9)/3</f>
        <v>0</v>
      </c>
      <c r="O56" s="673">
        <f t="shared" ref="O56:X56" si="121">O67*O$75*O71*O62</f>
        <v>0</v>
      </c>
      <c r="P56" s="673">
        <f t="shared" si="121"/>
        <v>0</v>
      </c>
      <c r="Q56" s="673">
        <f t="shared" si="121"/>
        <v>0</v>
      </c>
      <c r="R56" s="673">
        <f t="shared" si="121"/>
        <v>0</v>
      </c>
      <c r="S56" s="673">
        <f t="shared" si="121"/>
        <v>0</v>
      </c>
      <c r="T56" s="673">
        <f t="shared" si="121"/>
        <v>0</v>
      </c>
      <c r="U56" s="673">
        <f t="shared" si="121"/>
        <v>0</v>
      </c>
      <c r="V56" s="673">
        <f t="shared" si="121"/>
        <v>0</v>
      </c>
      <c r="W56" s="673">
        <f t="shared" si="121"/>
        <v>0</v>
      </c>
      <c r="X56" s="674">
        <f t="shared" si="121"/>
        <v>0</v>
      </c>
    </row>
    <row r="57" spans="2:24">
      <c r="B57" s="814"/>
      <c r="C57" s="818"/>
      <c r="D57" s="164" t="s">
        <v>2</v>
      </c>
      <c r="E57" s="165" t="s">
        <v>436</v>
      </c>
      <c r="F57" s="160">
        <f t="shared" ref="F57" si="122">F56</f>
        <v>0</v>
      </c>
      <c r="G57" s="160">
        <f t="shared" ref="G57:L57" si="123">G56</f>
        <v>0</v>
      </c>
      <c r="H57" s="160">
        <f t="shared" si="123"/>
        <v>0</v>
      </c>
      <c r="I57" s="160">
        <f t="shared" si="123"/>
        <v>0</v>
      </c>
      <c r="J57" s="160">
        <f t="shared" si="123"/>
        <v>0</v>
      </c>
      <c r="K57" s="160">
        <f t="shared" si="123"/>
        <v>0</v>
      </c>
      <c r="L57" s="160">
        <f t="shared" si="123"/>
        <v>0</v>
      </c>
      <c r="M57" s="160">
        <f>M56</f>
        <v>0</v>
      </c>
      <c r="N57" s="160">
        <f>N56</f>
        <v>0</v>
      </c>
      <c r="O57" s="160">
        <f t="shared" ref="O57" si="124">N57+O56</f>
        <v>0</v>
      </c>
      <c r="P57" s="193">
        <f>O57+P56-F56</f>
        <v>0</v>
      </c>
      <c r="Q57" s="193">
        <f t="shared" ref="Q57:X57" si="125">P57+Q56-G56</f>
        <v>0</v>
      </c>
      <c r="R57" s="193">
        <f t="shared" si="125"/>
        <v>0</v>
      </c>
      <c r="S57" s="193">
        <f t="shared" si="125"/>
        <v>0</v>
      </c>
      <c r="T57" s="193">
        <f t="shared" si="125"/>
        <v>0</v>
      </c>
      <c r="U57" s="193">
        <f t="shared" si="125"/>
        <v>0</v>
      </c>
      <c r="V57" s="193">
        <f t="shared" si="125"/>
        <v>0</v>
      </c>
      <c r="W57" s="193">
        <f t="shared" si="125"/>
        <v>0</v>
      </c>
      <c r="X57" s="192">
        <f t="shared" si="125"/>
        <v>0</v>
      </c>
    </row>
    <row r="58" spans="2:24">
      <c r="B58" s="814"/>
      <c r="C58" s="818"/>
      <c r="D58" s="164" t="s">
        <v>2</v>
      </c>
      <c r="E58" s="165" t="s">
        <v>449</v>
      </c>
      <c r="F58" s="194"/>
      <c r="G58" s="194"/>
      <c r="H58" s="194"/>
      <c r="I58" s="194"/>
      <c r="J58" s="194"/>
      <c r="K58" s="194">
        <f>E6*0.6</f>
        <v>3600</v>
      </c>
      <c r="L58" s="194">
        <f t="shared" ref="L58" si="126">K58</f>
        <v>3600</v>
      </c>
      <c r="M58" s="194">
        <f t="shared" ref="M58:N58" si="127">L58</f>
        <v>3600</v>
      </c>
      <c r="N58" s="194">
        <f t="shared" si="127"/>
        <v>3600</v>
      </c>
      <c r="O58" s="194">
        <f t="shared" ref="O58" si="128">N58</f>
        <v>3600</v>
      </c>
      <c r="P58" s="194">
        <f t="shared" ref="P58" si="129">O58</f>
        <v>3600</v>
      </c>
      <c r="Q58" s="194">
        <f t="shared" ref="Q58" si="130">P58</f>
        <v>3600</v>
      </c>
      <c r="R58" s="194">
        <f t="shared" ref="R58" si="131">Q58</f>
        <v>3600</v>
      </c>
      <c r="S58" s="194">
        <f t="shared" ref="S58" si="132">R58</f>
        <v>3600</v>
      </c>
      <c r="T58" s="194">
        <f t="shared" ref="T58" si="133">S58</f>
        <v>3600</v>
      </c>
      <c r="U58" s="194">
        <f t="shared" ref="U58" si="134">T58</f>
        <v>3600</v>
      </c>
      <c r="V58" s="194">
        <f t="shared" ref="V58" si="135">U58</f>
        <v>3600</v>
      </c>
      <c r="W58" s="194">
        <f t="shared" ref="W58" si="136">V58</f>
        <v>3600</v>
      </c>
      <c r="X58" s="192">
        <f t="shared" ref="X58" si="137">W58</f>
        <v>3600</v>
      </c>
    </row>
    <row r="59" spans="2:24">
      <c r="B59" s="814"/>
      <c r="C59" s="818"/>
      <c r="D59" s="164" t="s">
        <v>2</v>
      </c>
      <c r="E59" s="165" t="s">
        <v>450</v>
      </c>
      <c r="F59" s="194">
        <f>F56*F58</f>
        <v>0</v>
      </c>
      <c r="G59" s="194">
        <f t="shared" ref="G59:X59" si="138">G56*G58</f>
        <v>0</v>
      </c>
      <c r="H59" s="194">
        <f t="shared" si="138"/>
        <v>0</v>
      </c>
      <c r="I59" s="194">
        <f t="shared" si="138"/>
        <v>0</v>
      </c>
      <c r="J59" s="194">
        <f t="shared" si="138"/>
        <v>0</v>
      </c>
      <c r="K59" s="194">
        <f t="shared" si="138"/>
        <v>0</v>
      </c>
      <c r="L59" s="194">
        <f t="shared" si="138"/>
        <v>0</v>
      </c>
      <c r="M59" s="194">
        <f t="shared" si="138"/>
        <v>0</v>
      </c>
      <c r="N59" s="194">
        <f t="shared" ref="N59" si="139">N56*N58</f>
        <v>0</v>
      </c>
      <c r="O59" s="194">
        <f t="shared" si="138"/>
        <v>0</v>
      </c>
      <c r="P59" s="194">
        <f t="shared" si="138"/>
        <v>0</v>
      </c>
      <c r="Q59" s="194">
        <f t="shared" si="138"/>
        <v>0</v>
      </c>
      <c r="R59" s="194">
        <f t="shared" si="138"/>
        <v>0</v>
      </c>
      <c r="S59" s="194">
        <f t="shared" si="138"/>
        <v>0</v>
      </c>
      <c r="T59" s="194">
        <f t="shared" si="138"/>
        <v>0</v>
      </c>
      <c r="U59" s="194">
        <f t="shared" si="138"/>
        <v>0</v>
      </c>
      <c r="V59" s="194">
        <f t="shared" si="138"/>
        <v>0</v>
      </c>
      <c r="W59" s="194">
        <f t="shared" si="138"/>
        <v>0</v>
      </c>
      <c r="X59" s="192">
        <f t="shared" si="138"/>
        <v>0</v>
      </c>
    </row>
    <row r="60" spans="2:24">
      <c r="B60" s="814"/>
      <c r="C60" s="819"/>
      <c r="D60" s="191" t="s">
        <v>2</v>
      </c>
      <c r="E60" s="190" t="s">
        <v>451</v>
      </c>
      <c r="F60" s="189">
        <f>F57*F58-F56*F58/2</f>
        <v>0</v>
      </c>
      <c r="G60" s="189">
        <f>G57*G58-G56*G58/2</f>
        <v>0</v>
      </c>
      <c r="H60" s="189">
        <f>H57*H58-H56*H58/2</f>
        <v>0</v>
      </c>
      <c r="I60" s="189">
        <f>I57*I58-I56*I58/2</f>
        <v>0</v>
      </c>
      <c r="J60" s="189">
        <f>J57*J58-J56*J58/2</f>
        <v>0</v>
      </c>
      <c r="K60" s="189">
        <f t="shared" ref="K60:X60" si="140">K57*K58-K56*K58/2</f>
        <v>0</v>
      </c>
      <c r="L60" s="189">
        <f t="shared" si="140"/>
        <v>0</v>
      </c>
      <c r="M60" s="189">
        <f t="shared" si="140"/>
        <v>0</v>
      </c>
      <c r="N60" s="189">
        <f t="shared" ref="N60" si="141">N57*N58-N56*N58/2</f>
        <v>0</v>
      </c>
      <c r="O60" s="189">
        <f t="shared" si="140"/>
        <v>0</v>
      </c>
      <c r="P60" s="189">
        <f t="shared" si="140"/>
        <v>0</v>
      </c>
      <c r="Q60" s="189">
        <f t="shared" si="140"/>
        <v>0</v>
      </c>
      <c r="R60" s="189">
        <f t="shared" si="140"/>
        <v>0</v>
      </c>
      <c r="S60" s="189">
        <f t="shared" si="140"/>
        <v>0</v>
      </c>
      <c r="T60" s="189">
        <f t="shared" si="140"/>
        <v>0</v>
      </c>
      <c r="U60" s="189">
        <f t="shared" si="140"/>
        <v>0</v>
      </c>
      <c r="V60" s="189">
        <f t="shared" si="140"/>
        <v>0</v>
      </c>
      <c r="W60" s="189">
        <f t="shared" si="140"/>
        <v>0</v>
      </c>
      <c r="X60" s="273">
        <f t="shared" si="140"/>
        <v>0</v>
      </c>
    </row>
    <row r="61" spans="2:24">
      <c r="B61" s="814"/>
      <c r="C61" s="604"/>
      <c r="X61" s="182"/>
    </row>
    <row r="62" spans="2:24">
      <c r="B62" s="814"/>
      <c r="C62" s="604"/>
      <c r="E62" s="165" t="s">
        <v>506</v>
      </c>
      <c r="F62" s="153">
        <f>F64/F65</f>
        <v>8.8840736728060671E-3</v>
      </c>
      <c r="G62" s="153">
        <f t="shared" ref="G62:M62" si="142">G64/G65</f>
        <v>7.7247191011235953E-3</v>
      </c>
      <c r="H62" s="153">
        <f t="shared" si="142"/>
        <v>6.4871878040869283E-3</v>
      </c>
      <c r="I62" s="153">
        <f t="shared" si="142"/>
        <v>7.2156196943972831E-3</v>
      </c>
      <c r="J62" s="153">
        <f t="shared" si="142"/>
        <v>8.6189617157747048E-3</v>
      </c>
      <c r="K62" s="153">
        <f t="shared" si="142"/>
        <v>1.2417077734308555E-2</v>
      </c>
      <c r="L62" s="153">
        <f t="shared" si="142"/>
        <v>1.1307297555884143E-2</v>
      </c>
      <c r="M62" s="153">
        <f t="shared" si="142"/>
        <v>1.3927949645105129E-2</v>
      </c>
      <c r="N62" s="153">
        <f t="shared" ref="N62" si="143">N64/N65</f>
        <v>1.2032336905433353E-2</v>
      </c>
      <c r="O62" s="152">
        <f>AVERAGE(L62:N62)</f>
        <v>1.2422528035474209E-2</v>
      </c>
      <c r="P62" s="152">
        <f t="shared" ref="P62:X62" si="144">O62</f>
        <v>1.2422528035474209E-2</v>
      </c>
      <c r="Q62" s="152">
        <f t="shared" si="144"/>
        <v>1.2422528035474209E-2</v>
      </c>
      <c r="R62" s="152">
        <f t="shared" si="144"/>
        <v>1.2422528035474209E-2</v>
      </c>
      <c r="S62" s="152">
        <f t="shared" si="144"/>
        <v>1.2422528035474209E-2</v>
      </c>
      <c r="T62" s="152">
        <f t="shared" si="144"/>
        <v>1.2422528035474209E-2</v>
      </c>
      <c r="U62" s="152">
        <f t="shared" si="144"/>
        <v>1.2422528035474209E-2</v>
      </c>
      <c r="V62" s="152">
        <f t="shared" si="144"/>
        <v>1.2422528035474209E-2</v>
      </c>
      <c r="W62" s="152">
        <f t="shared" si="144"/>
        <v>1.2422528035474209E-2</v>
      </c>
      <c r="X62" s="152">
        <f t="shared" si="144"/>
        <v>1.2422528035474209E-2</v>
      </c>
    </row>
    <row r="63" spans="2:24">
      <c r="B63" s="814"/>
      <c r="C63" s="604"/>
      <c r="X63" s="182"/>
    </row>
    <row r="64" spans="2:24">
      <c r="B64" s="814"/>
      <c r="C64" s="604"/>
      <c r="D64" s="164" t="s">
        <v>2</v>
      </c>
      <c r="E64" s="165" t="s">
        <v>455</v>
      </c>
      <c r="F64" s="143">
        <f>F43</f>
        <v>41</v>
      </c>
      <c r="G64" s="143">
        <f t="shared" ref="G64:M64" si="145">G43</f>
        <v>66</v>
      </c>
      <c r="H64" s="143">
        <f t="shared" si="145"/>
        <v>20</v>
      </c>
      <c r="I64" s="143">
        <f t="shared" si="145"/>
        <v>17</v>
      </c>
      <c r="J64" s="143">
        <f t="shared" si="145"/>
        <v>43</v>
      </c>
      <c r="K64" s="143">
        <f t="shared" si="145"/>
        <v>73</v>
      </c>
      <c r="L64" s="143">
        <f t="shared" si="145"/>
        <v>130</v>
      </c>
      <c r="M64" s="143">
        <f t="shared" si="145"/>
        <v>208</v>
      </c>
      <c r="N64" s="143">
        <f t="shared" ref="N64" si="146">N43</f>
        <v>192</v>
      </c>
      <c r="X64" s="182"/>
    </row>
    <row r="65" spans="2:29">
      <c r="B65" s="814"/>
      <c r="C65" s="604"/>
      <c r="D65" s="159" t="s">
        <v>233</v>
      </c>
      <c r="E65" s="165" t="s">
        <v>455</v>
      </c>
      <c r="F65" s="194">
        <f>SUMIFS('EV Data'!$K$44:$K$151,'EV Data'!$C$44:$C$151,'EV Forecast WRZ'!F$9)/3</f>
        <v>4615</v>
      </c>
      <c r="G65" s="194">
        <f>SUMIFS('EV Data'!$K$44:$K$151,'EV Data'!$C$44:$C$151,'EV Forecast WRZ'!G$9)/3</f>
        <v>8544</v>
      </c>
      <c r="H65" s="194">
        <f>SUMIFS('EV Data'!$K$44:$K$151,'EV Data'!$C$44:$C$151,'EV Forecast WRZ'!H$9)/3</f>
        <v>3083</v>
      </c>
      <c r="I65" s="194">
        <f>SUMIFS('EV Data'!$K$44:$K$151,'EV Data'!$C$44:$C$151,'EV Forecast WRZ'!I$9)/3</f>
        <v>2356</v>
      </c>
      <c r="J65" s="194">
        <f>SUMIFS('EV Data'!$K$44:$K$151,'EV Data'!$C$44:$C$151,'EV Forecast WRZ'!J$9)/3</f>
        <v>4989</v>
      </c>
      <c r="K65" s="194">
        <f>SUMIFS('EV Data'!$K$44:$K$151,'EV Data'!$C$44:$C$151,'EV Forecast WRZ'!K$9)/3</f>
        <v>5879</v>
      </c>
      <c r="L65" s="194">
        <f>SUMIFS('EV Data'!$K$44:$K$151,'EV Data'!$C$44:$C$151,'EV Forecast WRZ'!L$9)/3</f>
        <v>11497</v>
      </c>
      <c r="M65" s="194">
        <f>SUMIFS('EV Data'!$K$44:$K$151,'EV Data'!$C$44:$C$151,'EV Forecast WRZ'!M$9)/3</f>
        <v>14934</v>
      </c>
      <c r="N65" s="194">
        <f>SUMIFS('EV Data'!$K$44:$K$151,'EV Data'!$C$44:$C$151,'EV Forecast WRZ'!N$9)/3</f>
        <v>15957</v>
      </c>
      <c r="O65" s="143"/>
      <c r="P65" s="143"/>
      <c r="Q65" s="143"/>
      <c r="R65" s="143"/>
      <c r="S65" s="143"/>
      <c r="T65" s="143"/>
      <c r="U65" s="143"/>
      <c r="V65" s="143"/>
      <c r="W65" s="143"/>
      <c r="X65" s="181"/>
    </row>
    <row r="66" spans="2:29">
      <c r="B66" s="814"/>
      <c r="C66" s="667"/>
      <c r="D66" s="676"/>
      <c r="E66" s="668"/>
      <c r="F66" s="672"/>
      <c r="G66" s="672"/>
      <c r="H66" s="672"/>
      <c r="I66" s="672"/>
      <c r="J66" s="672"/>
      <c r="K66" s="672"/>
      <c r="L66" s="672"/>
      <c r="M66" s="672"/>
      <c r="N66" s="672"/>
      <c r="O66" s="672"/>
      <c r="P66" s="672"/>
      <c r="Q66" s="672"/>
      <c r="R66" s="672"/>
      <c r="S66" s="672"/>
      <c r="T66" s="672"/>
      <c r="U66" s="672"/>
      <c r="V66" s="672"/>
      <c r="W66" s="672"/>
      <c r="X66" s="681"/>
    </row>
    <row r="67" spans="2:29">
      <c r="B67" s="814"/>
      <c r="C67" s="604"/>
      <c r="D67" s="159" t="s">
        <v>456</v>
      </c>
      <c r="F67" s="180">
        <f t="shared" ref="F67:N67" si="147">F65/F75</f>
        <v>5.7587082524847297E-3</v>
      </c>
      <c r="G67" s="180">
        <f t="shared" si="147"/>
        <v>1.0699084491962538E-2</v>
      </c>
      <c r="H67" s="180">
        <f t="shared" si="147"/>
        <v>3.872736088674728E-3</v>
      </c>
      <c r="I67" s="180">
        <f t="shared" si="147"/>
        <v>3.9230247919847744E-3</v>
      </c>
      <c r="J67" s="180">
        <f t="shared" si="147"/>
        <v>7.9535382005777432E-3</v>
      </c>
      <c r="K67" s="180">
        <f t="shared" si="147"/>
        <v>9.8889989722438561E-3</v>
      </c>
      <c r="L67" s="180">
        <f t="shared" si="147"/>
        <v>1.6982249656942901E-2</v>
      </c>
      <c r="M67" s="180">
        <f t="shared" si="147"/>
        <v>2.1356771343543132E-2</v>
      </c>
      <c r="N67" s="180">
        <f t="shared" si="147"/>
        <v>2.2321853230003078E-2</v>
      </c>
      <c r="O67" s="155">
        <f>O74*($N$67/($N$35+$N$67))</f>
        <v>2.9954557100860073E-2</v>
      </c>
      <c r="P67" s="155">
        <f t="shared" ref="P67:X67" si="148">P74*($N$67/($N$35+$N$67))</f>
        <v>3.7587260971717072E-2</v>
      </c>
      <c r="Q67" s="155">
        <f t="shared" si="148"/>
        <v>4.5219964842574067E-2</v>
      </c>
      <c r="R67" s="155">
        <f t="shared" si="148"/>
        <v>5.2852668713431056E-2</v>
      </c>
      <c r="S67" s="155">
        <f t="shared" si="148"/>
        <v>6.0485372584288051E-2</v>
      </c>
      <c r="T67" s="155">
        <f t="shared" si="148"/>
        <v>6.8118076455145046E-2</v>
      </c>
      <c r="U67" s="155">
        <f t="shared" si="148"/>
        <v>7.8335787923416791E-2</v>
      </c>
      <c r="V67" s="155">
        <f t="shared" si="148"/>
        <v>0.11580072997374657</v>
      </c>
      <c r="W67" s="155">
        <f t="shared" si="148"/>
        <v>0.14645386437856184</v>
      </c>
      <c r="X67" s="155">
        <f t="shared" si="148"/>
        <v>0.2043542293654351</v>
      </c>
    </row>
    <row r="68" spans="2:29">
      <c r="B68" s="814"/>
      <c r="C68" s="604"/>
      <c r="F68" s="180"/>
      <c r="G68" s="180"/>
      <c r="H68" s="180"/>
      <c r="I68" s="180"/>
      <c r="J68" s="180"/>
      <c r="K68" s="180"/>
      <c r="L68" s="180"/>
      <c r="M68" s="157"/>
      <c r="N68" s="157"/>
      <c r="O68" s="157"/>
      <c r="X68" s="182"/>
    </row>
    <row r="69" spans="2:29">
      <c r="B69" s="814"/>
      <c r="C69" s="604"/>
      <c r="D69" s="159" t="s">
        <v>233</v>
      </c>
      <c r="E69" s="165" t="s">
        <v>457</v>
      </c>
      <c r="F69" s="180">
        <f>F47/F44</f>
        <v>0.78048780487804881</v>
      </c>
      <c r="G69" s="180">
        <f t="shared" ref="G69:M69" si="149">G47/G44</f>
        <v>0.88785046728971961</v>
      </c>
      <c r="H69" s="180">
        <f t="shared" si="149"/>
        <v>0.90551181102362199</v>
      </c>
      <c r="I69" s="180">
        <f t="shared" si="149"/>
        <v>0.89583333333333337</v>
      </c>
      <c r="J69" s="180">
        <f t="shared" si="149"/>
        <v>0.9197860962566845</v>
      </c>
      <c r="K69" s="180">
        <f t="shared" si="149"/>
        <v>0.92692307692307696</v>
      </c>
      <c r="L69" s="180">
        <f t="shared" si="149"/>
        <v>0.94358974358974357</v>
      </c>
      <c r="M69" s="180">
        <f t="shared" si="149"/>
        <v>0.95986622073578598</v>
      </c>
      <c r="N69" s="180">
        <f t="shared" ref="N69" si="150">N47/N44</f>
        <v>0.96962025316455691</v>
      </c>
      <c r="O69" s="157">
        <f t="shared" ref="O69:O71" si="151">N69</f>
        <v>0.96962025316455691</v>
      </c>
      <c r="P69" s="157">
        <f t="shared" ref="P69:P71" si="152">O69</f>
        <v>0.96962025316455691</v>
      </c>
      <c r="Q69" s="157">
        <f t="shared" ref="Q69:Q71" si="153">P69</f>
        <v>0.96962025316455691</v>
      </c>
      <c r="R69" s="157">
        <f t="shared" ref="R69:R71" si="154">Q69</f>
        <v>0.96962025316455691</v>
      </c>
      <c r="S69" s="157">
        <f t="shared" ref="S69:S71" si="155">R69</f>
        <v>0.96962025316455691</v>
      </c>
      <c r="T69" s="157">
        <f t="shared" ref="T69:T71" si="156">S69</f>
        <v>0.96962025316455691</v>
      </c>
      <c r="U69" s="157">
        <f t="shared" ref="U69:U71" si="157">T69</f>
        <v>0.96962025316455691</v>
      </c>
      <c r="V69" s="157">
        <f t="shared" ref="V69:V71" si="158">U69</f>
        <v>0.96962025316455691</v>
      </c>
      <c r="W69" s="157">
        <f t="shared" ref="W69:W71" si="159">V69</f>
        <v>0.96962025316455691</v>
      </c>
      <c r="X69" s="156">
        <f t="shared" ref="X69:X71" si="160">W69</f>
        <v>0.96962025316455691</v>
      </c>
    </row>
    <row r="70" spans="2:29">
      <c r="B70" s="814"/>
      <c r="C70" s="604"/>
      <c r="D70" s="159" t="s">
        <v>233</v>
      </c>
      <c r="E70" s="165" t="s">
        <v>458</v>
      </c>
      <c r="F70" s="180">
        <f>F52/F44</f>
        <v>0.21951219512195122</v>
      </c>
      <c r="G70" s="180">
        <f t="shared" ref="G70:M70" si="161">G52/G44</f>
        <v>0.11214953271028037</v>
      </c>
      <c r="H70" s="180">
        <f t="shared" si="161"/>
        <v>9.4488188976377951E-2</v>
      </c>
      <c r="I70" s="180">
        <f t="shared" si="161"/>
        <v>0.10416666666666667</v>
      </c>
      <c r="J70" s="180">
        <f t="shared" si="161"/>
        <v>8.0213903743315509E-2</v>
      </c>
      <c r="K70" s="180">
        <f t="shared" si="161"/>
        <v>7.3076923076923081E-2</v>
      </c>
      <c r="L70" s="180">
        <f t="shared" si="161"/>
        <v>5.6410256410256411E-2</v>
      </c>
      <c r="M70" s="180">
        <f t="shared" si="161"/>
        <v>4.0133779264214048E-2</v>
      </c>
      <c r="N70" s="180">
        <f t="shared" ref="N70" si="162">N52/N44</f>
        <v>3.0379746835443037E-2</v>
      </c>
      <c r="O70" s="157">
        <f t="shared" si="151"/>
        <v>3.0379746835443037E-2</v>
      </c>
      <c r="P70" s="157">
        <f t="shared" si="152"/>
        <v>3.0379746835443037E-2</v>
      </c>
      <c r="Q70" s="157">
        <f t="shared" si="153"/>
        <v>3.0379746835443037E-2</v>
      </c>
      <c r="R70" s="157">
        <f t="shared" si="154"/>
        <v>3.0379746835443037E-2</v>
      </c>
      <c r="S70" s="157">
        <f t="shared" si="155"/>
        <v>3.0379746835443037E-2</v>
      </c>
      <c r="T70" s="157">
        <f t="shared" si="156"/>
        <v>3.0379746835443037E-2</v>
      </c>
      <c r="U70" s="157">
        <f t="shared" si="157"/>
        <v>3.0379746835443037E-2</v>
      </c>
      <c r="V70" s="157">
        <f t="shared" si="158"/>
        <v>3.0379746835443037E-2</v>
      </c>
      <c r="W70" s="157">
        <f t="shared" si="159"/>
        <v>3.0379746835443037E-2</v>
      </c>
      <c r="X70" s="156">
        <f t="shared" si="160"/>
        <v>3.0379746835443037E-2</v>
      </c>
    </row>
    <row r="71" spans="2:29">
      <c r="B71" s="814"/>
      <c r="C71" s="604"/>
      <c r="D71" s="159" t="s">
        <v>233</v>
      </c>
      <c r="E71" s="165" t="s">
        <v>459</v>
      </c>
      <c r="F71" s="180">
        <f>F57/F44</f>
        <v>0</v>
      </c>
      <c r="G71" s="180">
        <f t="shared" ref="G71:M71" si="163">G57/G44</f>
        <v>0</v>
      </c>
      <c r="H71" s="180">
        <f t="shared" si="163"/>
        <v>0</v>
      </c>
      <c r="I71" s="180">
        <f t="shared" si="163"/>
        <v>0</v>
      </c>
      <c r="J71" s="180">
        <f t="shared" si="163"/>
        <v>0</v>
      </c>
      <c r="K71" s="180">
        <f t="shared" si="163"/>
        <v>0</v>
      </c>
      <c r="L71" s="180">
        <f t="shared" si="163"/>
        <v>0</v>
      </c>
      <c r="M71" s="180">
        <f t="shared" si="163"/>
        <v>0</v>
      </c>
      <c r="N71" s="180">
        <f t="shared" ref="N71" si="164">N57/N44</f>
        <v>0</v>
      </c>
      <c r="O71" s="157">
        <f t="shared" si="151"/>
        <v>0</v>
      </c>
      <c r="P71" s="157">
        <f t="shared" si="152"/>
        <v>0</v>
      </c>
      <c r="Q71" s="157">
        <f t="shared" si="153"/>
        <v>0</v>
      </c>
      <c r="R71" s="157">
        <f t="shared" si="154"/>
        <v>0</v>
      </c>
      <c r="S71" s="157">
        <f t="shared" si="155"/>
        <v>0</v>
      </c>
      <c r="T71" s="157">
        <f t="shared" si="156"/>
        <v>0</v>
      </c>
      <c r="U71" s="157">
        <f t="shared" si="157"/>
        <v>0</v>
      </c>
      <c r="V71" s="157">
        <f t="shared" si="158"/>
        <v>0</v>
      </c>
      <c r="W71" s="157">
        <f t="shared" si="159"/>
        <v>0</v>
      </c>
      <c r="X71" s="156">
        <f t="shared" si="160"/>
        <v>0</v>
      </c>
    </row>
    <row r="72" spans="2:29">
      <c r="B72" s="815"/>
      <c r="C72" s="605"/>
      <c r="D72" s="158"/>
      <c r="E72" s="190"/>
      <c r="F72" s="179"/>
      <c r="G72" s="179"/>
      <c r="H72" s="179"/>
      <c r="I72" s="179"/>
      <c r="J72" s="179"/>
      <c r="K72" s="179"/>
      <c r="L72" s="179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271"/>
    </row>
    <row r="73" spans="2:29">
      <c r="B73" s="667"/>
      <c r="C73" s="667"/>
      <c r="D73" s="682"/>
      <c r="E73" s="668" t="s">
        <v>460</v>
      </c>
      <c r="F73" s="677"/>
      <c r="G73" s="677"/>
      <c r="H73" s="677"/>
      <c r="I73" s="677"/>
      <c r="J73" s="677"/>
      <c r="K73" s="677"/>
      <c r="L73" s="677"/>
      <c r="M73" s="683"/>
      <c r="N73" s="683"/>
      <c r="O73" s="683">
        <v>0.2</v>
      </c>
      <c r="P73" s="683">
        <v>0.23</v>
      </c>
      <c r="Q73" s="683">
        <v>0.34</v>
      </c>
      <c r="R73" s="683">
        <v>0.43</v>
      </c>
      <c r="S73" s="683">
        <v>0.6</v>
      </c>
      <c r="T73" s="683">
        <v>0.67999999999999994</v>
      </c>
      <c r="U73" s="683">
        <v>0.7599999999999999</v>
      </c>
      <c r="V73" s="683">
        <v>0.83999999999999986</v>
      </c>
      <c r="W73" s="683">
        <v>0.91999999999999982</v>
      </c>
      <c r="X73" s="684">
        <v>1</v>
      </c>
    </row>
    <row r="74" spans="2:29">
      <c r="B74" s="604"/>
      <c r="C74" s="604"/>
      <c r="D74" s="606"/>
      <c r="E74" s="165" t="s">
        <v>461</v>
      </c>
      <c r="F74" s="267">
        <f t="shared" ref="F74:N74" si="165">(F65+F33)/F75</f>
        <v>1.0204705544706419E-2</v>
      </c>
      <c r="G74" s="267">
        <f t="shared" si="165"/>
        <v>2.098743633957071E-2</v>
      </c>
      <c r="H74" s="267">
        <f t="shared" si="165"/>
        <v>1.2115646959217564E-2</v>
      </c>
      <c r="I74" s="267">
        <f t="shared" si="165"/>
        <v>1.7512076289178214E-2</v>
      </c>
      <c r="J74" s="267">
        <f t="shared" si="165"/>
        <v>3.1581397425024076E-2</v>
      </c>
      <c r="K74" s="267">
        <f t="shared" si="165"/>
        <v>6.5032910063767976E-2</v>
      </c>
      <c r="L74" s="267">
        <f t="shared" si="165"/>
        <v>7.4050112185949507E-2</v>
      </c>
      <c r="M74" s="267">
        <f t="shared" si="165"/>
        <v>8.0932353063153634E-2</v>
      </c>
      <c r="N74" s="267">
        <f t="shared" si="165"/>
        <v>6.5538706879668743E-2</v>
      </c>
      <c r="O74" s="157">
        <f>($T$74-$N$74)/6+N74</f>
        <v>8.7948922399723961E-2</v>
      </c>
      <c r="P74" s="157">
        <f t="shared" ref="P74:S74" si="166">($T$74-$N$74)/6+O74</f>
        <v>0.11035913791977918</v>
      </c>
      <c r="Q74" s="157">
        <f t="shared" si="166"/>
        <v>0.1327693534398344</v>
      </c>
      <c r="R74" s="157">
        <f t="shared" si="166"/>
        <v>0.1551795689598896</v>
      </c>
      <c r="S74" s="157">
        <f t="shared" si="166"/>
        <v>0.17758978447994481</v>
      </c>
      <c r="T74" s="157">
        <f>O73</f>
        <v>0.2</v>
      </c>
      <c r="U74" s="157">
        <f t="shared" ref="U74:X74" si="167">P73</f>
        <v>0.23</v>
      </c>
      <c r="V74" s="157">
        <f t="shared" si="167"/>
        <v>0.34</v>
      </c>
      <c r="W74" s="157">
        <f t="shared" si="167"/>
        <v>0.43</v>
      </c>
      <c r="X74" s="157">
        <f t="shared" si="167"/>
        <v>0.6</v>
      </c>
    </row>
    <row r="75" spans="2:29">
      <c r="B75" s="604"/>
      <c r="C75" s="604"/>
      <c r="D75" s="159" t="s">
        <v>233</v>
      </c>
      <c r="E75" s="165" t="s">
        <v>462</v>
      </c>
      <c r="F75" s="194">
        <f>SUMIFS('EV Data'!$D$5:$D$36,'EV Data'!$C$5:$C$36,'EV Forecast VRZ'!F$9)</f>
        <v>801395</v>
      </c>
      <c r="G75" s="194">
        <f>SUMIFS('EV Data'!$D$5:$D$36,'EV Data'!$C$5:$C$36,'EV Forecast VRZ'!G$9)</f>
        <v>798573</v>
      </c>
      <c r="H75" s="194">
        <f>SUMIFS('EV Data'!$D$5:$D$36,'EV Data'!$C$5:$C$36,'EV Forecast VRZ'!H$9)</f>
        <v>796078</v>
      </c>
      <c r="I75" s="194">
        <f>SUMIFS('EV Data'!$D$5:$D$36,'EV Data'!$C$5:$C$36,'EV Forecast VRZ'!I$9)</f>
        <v>600557</v>
      </c>
      <c r="J75" s="194">
        <f>SUMIFS('EV Data'!$D$5:$D$36,'EV Data'!$C$5:$C$36,'EV Forecast VRZ'!J$9)</f>
        <v>627268</v>
      </c>
      <c r="K75" s="194">
        <f>SUMIFS('EV Data'!$D$5:$D$36,'EV Data'!$C$5:$C$36,'EV Forecast VRZ'!K$9)</f>
        <v>594499</v>
      </c>
      <c r="L75" s="194">
        <f>SUMIFS('EV Data'!$D$5:$D$36,'EV Data'!$C$5:$C$36,'EV Forecast VRZ'!L$9)</f>
        <v>677001</v>
      </c>
      <c r="M75" s="194">
        <f>SUMIFS('EV Data'!$D$5:$D$36,'EV Data'!$C$5:$C$36,'EV Forecast VRZ'!M$9)</f>
        <v>699263</v>
      </c>
      <c r="N75" s="194">
        <f>SUMIFS('EV Data'!$D$5:$D$40,'EV Data'!$C$5:$C$40,'EV Forecast VRZ'!N$9)</f>
        <v>714860</v>
      </c>
      <c r="O75" s="143">
        <f t="shared" ref="O75:X75" si="168">N75*1.02</f>
        <v>729157.20000000007</v>
      </c>
      <c r="P75" s="143">
        <f t="shared" si="168"/>
        <v>743740.34400000004</v>
      </c>
      <c r="Q75" s="143">
        <f t="shared" si="168"/>
        <v>758615.15088000009</v>
      </c>
      <c r="R75" s="143">
        <f t="shared" si="168"/>
        <v>773787.45389760006</v>
      </c>
      <c r="S75" s="143">
        <f t="shared" si="168"/>
        <v>789263.20297555206</v>
      </c>
      <c r="T75" s="143">
        <f t="shared" si="168"/>
        <v>805048.46703506308</v>
      </c>
      <c r="U75" s="143">
        <f>T75*1.02</f>
        <v>821149.43637576432</v>
      </c>
      <c r="V75" s="143">
        <f t="shared" si="168"/>
        <v>837572.42510327965</v>
      </c>
      <c r="W75" s="143">
        <f t="shared" si="168"/>
        <v>854323.87360534526</v>
      </c>
      <c r="X75" s="181">
        <f t="shared" si="168"/>
        <v>871410.35107745219</v>
      </c>
    </row>
    <row r="76" spans="2:29">
      <c r="B76" s="605"/>
      <c r="C76" s="605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265"/>
    </row>
    <row r="77" spans="2:29">
      <c r="F77" s="143">
        <f>F17+F22+F27+F49+F54+F59</f>
        <v>192213.6</v>
      </c>
      <c r="G77" s="143">
        <f t="shared" ref="G77:X77" si="169">G17+G22+G27+G49+G54+G59</f>
        <v>384424.4</v>
      </c>
      <c r="H77" s="143">
        <f t="shared" si="169"/>
        <v>275356</v>
      </c>
      <c r="I77" s="143">
        <f t="shared" si="169"/>
        <v>305847.2</v>
      </c>
      <c r="J77" s="143">
        <f t="shared" si="169"/>
        <v>607126.4</v>
      </c>
      <c r="K77" s="143">
        <f t="shared" si="169"/>
        <v>1177125.2</v>
      </c>
      <c r="L77" s="143">
        <f t="shared" si="169"/>
        <v>1679857.6</v>
      </c>
      <c r="M77" s="143">
        <f t="shared" si="169"/>
        <v>2416592.7999999998</v>
      </c>
      <c r="N77" s="143">
        <f t="shared" si="169"/>
        <v>1523377.6</v>
      </c>
      <c r="O77" s="143">
        <f t="shared" si="169"/>
        <v>2428710.1130411066</v>
      </c>
      <c r="P77" s="143">
        <f t="shared" si="169"/>
        <v>3108519.7403142857</v>
      </c>
      <c r="Q77" s="143">
        <f t="shared" si="169"/>
        <v>3814550.2686331775</v>
      </c>
      <c r="R77" s="143">
        <f t="shared" si="169"/>
        <v>4547578.6101886965</v>
      </c>
      <c r="S77" s="143">
        <f t="shared" si="169"/>
        <v>5308402.2652989868</v>
      </c>
      <c r="T77" s="143">
        <f t="shared" si="169"/>
        <v>6097839.8351696078</v>
      </c>
      <c r="U77" s="143">
        <f t="shared" si="169"/>
        <v>7152766.1266539525</v>
      </c>
      <c r="V77" s="143">
        <f t="shared" si="169"/>
        <v>10785127.359667784</v>
      </c>
      <c r="W77" s="143">
        <f t="shared" si="169"/>
        <v>13912814.29397144</v>
      </c>
      <c r="X77" s="143">
        <f t="shared" si="169"/>
        <v>19801493.832350049</v>
      </c>
    </row>
    <row r="78" spans="2:29">
      <c r="F78" s="143">
        <f>F18+F23+F28+F50+F55+F60</f>
        <v>96106.8</v>
      </c>
      <c r="G78" s="143">
        <f t="shared" ref="G78:X78" si="170">G18+G23+G28+G50+G55+G60</f>
        <v>384425.8</v>
      </c>
      <c r="H78" s="143">
        <f t="shared" si="170"/>
        <v>714316</v>
      </c>
      <c r="I78" s="143">
        <f t="shared" si="170"/>
        <v>1004917.6</v>
      </c>
      <c r="J78" s="143">
        <f t="shared" si="170"/>
        <v>1461404.4</v>
      </c>
      <c r="K78" s="143">
        <f t="shared" si="170"/>
        <v>2353530.2000000002</v>
      </c>
      <c r="L78" s="143">
        <f t="shared" si="170"/>
        <v>3782021.6</v>
      </c>
      <c r="M78" s="143">
        <f t="shared" si="170"/>
        <v>5830246.7999999998</v>
      </c>
      <c r="N78" s="143">
        <f t="shared" si="170"/>
        <v>7800232</v>
      </c>
      <c r="O78" s="143">
        <f t="shared" si="170"/>
        <v>9776275.8565205541</v>
      </c>
      <c r="P78" s="143">
        <f t="shared" si="170"/>
        <v>12352677.183198249</v>
      </c>
      <c r="Q78" s="143">
        <f t="shared" si="170"/>
        <v>15429787.787671981</v>
      </c>
      <c r="R78" s="143">
        <f t="shared" si="170"/>
        <v>19335496.227082916</v>
      </c>
      <c r="S78" s="143">
        <f t="shared" si="170"/>
        <v>23957639.464826759</v>
      </c>
      <c r="T78" s="143">
        <f t="shared" si="170"/>
        <v>29053634.115061063</v>
      </c>
      <c r="U78" s="143">
        <f t="shared" si="170"/>
        <v>34501811.895972833</v>
      </c>
      <c r="V78" s="143">
        <f t="shared" si="170"/>
        <v>41790901.039133705</v>
      </c>
      <c r="W78" s="143">
        <f t="shared" si="170"/>
        <v>51723279.065953314</v>
      </c>
      <c r="X78" s="143">
        <f t="shared" si="170"/>
        <v>67057055.52911406</v>
      </c>
    </row>
    <row r="79" spans="2:29">
      <c r="B79" s="822" t="str">
        <f>B9</f>
        <v>Battery electric</v>
      </c>
      <c r="C79" s="165" t="s">
        <v>463</v>
      </c>
      <c r="F79" s="165">
        <f t="shared" ref="F79:T79" si="171">F9</f>
        <v>2017</v>
      </c>
      <c r="G79" s="165">
        <f t="shared" si="171"/>
        <v>2018</v>
      </c>
      <c r="H79" s="165">
        <f t="shared" si="171"/>
        <v>2019</v>
      </c>
      <c r="I79" s="165">
        <f t="shared" si="171"/>
        <v>2020</v>
      </c>
      <c r="J79" s="165">
        <f t="shared" si="171"/>
        <v>2021</v>
      </c>
      <c r="K79" s="165">
        <f t="shared" si="171"/>
        <v>2022</v>
      </c>
      <c r="L79" s="165">
        <f t="shared" si="171"/>
        <v>2023</v>
      </c>
      <c r="M79" s="165">
        <f t="shared" si="171"/>
        <v>2024</v>
      </c>
      <c r="N79" s="165">
        <f t="shared" si="171"/>
        <v>2025</v>
      </c>
      <c r="O79" s="165">
        <f t="shared" si="171"/>
        <v>2026</v>
      </c>
      <c r="P79" s="165">
        <f t="shared" si="171"/>
        <v>2027</v>
      </c>
      <c r="Q79" s="165">
        <f t="shared" si="171"/>
        <v>2028</v>
      </c>
      <c r="R79" s="165">
        <f t="shared" si="171"/>
        <v>2029</v>
      </c>
      <c r="S79" s="165">
        <f t="shared" si="171"/>
        <v>2030</v>
      </c>
      <c r="T79" s="165">
        <f t="shared" si="171"/>
        <v>2031</v>
      </c>
      <c r="X79" s="187" t="s">
        <v>464</v>
      </c>
      <c r="Y79" s="186" t="s">
        <v>444</v>
      </c>
      <c r="Z79" s="186" t="s">
        <v>465</v>
      </c>
      <c r="AB79" s="165" t="s">
        <v>466</v>
      </c>
    </row>
    <row r="80" spans="2:29" ht="14.75" customHeight="1">
      <c r="B80" s="822"/>
      <c r="C80" s="821" t="s">
        <v>467</v>
      </c>
      <c r="D80" s="165" t="s">
        <v>12</v>
      </c>
      <c r="F80" s="143">
        <f>F$18*$X80+F$23*$Y80+F$28*$Z80</f>
        <v>42814.5</v>
      </c>
      <c r="G80" s="143">
        <f>(G$18-F$18)*$X80+(G$23-F$23)*$Y80+(G$28-F$28)*$Z80</f>
        <v>148423.6</v>
      </c>
      <c r="H80" s="143">
        <f t="shared" ref="H80:S80" si="172">(H$18-G$18)*$X80+(H$23-G$23)*$Y80+(H$28-G$28)*$Z80</f>
        <v>205509.6</v>
      </c>
      <c r="I80" s="143">
        <f t="shared" si="172"/>
        <v>214072.5</v>
      </c>
      <c r="J80" s="143">
        <f t="shared" si="172"/>
        <v>335380.25</v>
      </c>
      <c r="K80" s="143">
        <f t="shared" si="172"/>
        <v>650052.44999999995</v>
      </c>
      <c r="L80" s="143">
        <f t="shared" si="172"/>
        <v>1017459.85</v>
      </c>
      <c r="M80" s="143">
        <f t="shared" si="172"/>
        <v>1383971.8499999999</v>
      </c>
      <c r="N80" s="143">
        <f t="shared" si="172"/>
        <v>1259634</v>
      </c>
      <c r="O80" s="143">
        <f t="shared" si="172"/>
        <v>1236009.9300697497</v>
      </c>
      <c r="P80" s="143">
        <f t="shared" si="172"/>
        <v>1673847.4259720622</v>
      </c>
      <c r="Q80" s="143">
        <f t="shared" si="172"/>
        <v>1988614.3514184572</v>
      </c>
      <c r="R80" s="143">
        <f t="shared" si="172"/>
        <v>2457298.1313123209</v>
      </c>
      <c r="S80" s="143">
        <f t="shared" si="172"/>
        <v>2903432.4413813748</v>
      </c>
      <c r="T80" s="143">
        <f>(T$18-S$18)*$X80+(T$23-S$23)*$Y80+(T$28-S$28)*$Z80</f>
        <v>3181961.5042006648</v>
      </c>
      <c r="V80" s="143"/>
      <c r="W80" s="186" t="str">
        <f>D80</f>
        <v>Residential</v>
      </c>
      <c r="X80" s="188">
        <v>0.85</v>
      </c>
      <c r="Y80" s="188">
        <v>0.65</v>
      </c>
      <c r="Z80" s="188">
        <v>0.6</v>
      </c>
      <c r="AB80" s="175">
        <f>'Customer Count'!AT12</f>
        <v>45520.625</v>
      </c>
      <c r="AC80" s="393">
        <f>AB80/$AB$85</f>
        <v>0.94095592947061624</v>
      </c>
    </row>
    <row r="81" spans="2:29">
      <c r="B81" s="822"/>
      <c r="C81" s="821"/>
      <c r="D81" s="165" t="s">
        <v>14</v>
      </c>
      <c r="F81" s="143">
        <f>F$18*$X81+F$23*$Y81+F$28*$Z81</f>
        <v>5037</v>
      </c>
      <c r="G81" s="143">
        <f t="shared" ref="G81:T83" si="173">(G$18-F$18)*$X81+(G$23-F$23)*$Y81+(G$28-F$28)*$Z81</f>
        <v>17461.600000000002</v>
      </c>
      <c r="H81" s="143">
        <f t="shared" si="173"/>
        <v>24177.600000000002</v>
      </c>
      <c r="I81" s="143">
        <f t="shared" si="173"/>
        <v>25185</v>
      </c>
      <c r="J81" s="143">
        <f t="shared" si="173"/>
        <v>39456.5</v>
      </c>
      <c r="K81" s="143">
        <f t="shared" si="173"/>
        <v>81629.7</v>
      </c>
      <c r="L81" s="143">
        <f t="shared" si="173"/>
        <v>134004.1</v>
      </c>
      <c r="M81" s="143">
        <f t="shared" si="173"/>
        <v>209726.1</v>
      </c>
      <c r="N81" s="143">
        <f t="shared" si="173"/>
        <v>199104</v>
      </c>
      <c r="O81" s="143">
        <f t="shared" si="173"/>
        <v>176161.20748240122</v>
      </c>
      <c r="P81" s="143">
        <f t="shared" si="173"/>
        <v>237032.22051073523</v>
      </c>
      <c r="Q81" s="143">
        <f t="shared" si="173"/>
        <v>284101.9740614444</v>
      </c>
      <c r="R81" s="143">
        <f t="shared" si="173"/>
        <v>349665.08326597785</v>
      </c>
      <c r="S81" s="143">
        <f t="shared" si="173"/>
        <v>412972.20836906834</v>
      </c>
      <c r="T81" s="143">
        <f t="shared" si="173"/>
        <v>456969.67004297592</v>
      </c>
      <c r="V81" s="143"/>
      <c r="W81" s="186" t="str">
        <f t="shared" ref="W81:W83" si="174">D81</f>
        <v>GS&lt;50</v>
      </c>
      <c r="X81" s="188">
        <v>0.1</v>
      </c>
      <c r="Y81" s="188">
        <v>0.2</v>
      </c>
      <c r="Z81" s="188">
        <v>0.25</v>
      </c>
      <c r="AB81" s="175">
        <f>'Customer Count'!AX12</f>
        <v>2464.75</v>
      </c>
      <c r="AC81" s="393">
        <f t="shared" ref="AC81:AC83" si="175">AB81/$AB$85</f>
        <v>5.0948797982512353E-2</v>
      </c>
    </row>
    <row r="82" spans="2:29">
      <c r="B82" s="822"/>
      <c r="C82" s="821"/>
      <c r="D82" s="165" t="s">
        <v>15</v>
      </c>
      <c r="F82" s="143">
        <f>F$18*$X82+F$23*$Y82+F$28*$Z82</f>
        <v>2266.65</v>
      </c>
      <c r="G82" s="143">
        <f t="shared" si="173"/>
        <v>7857.7199999999993</v>
      </c>
      <c r="H82" s="143">
        <f t="shared" si="173"/>
        <v>10879.92</v>
      </c>
      <c r="I82" s="143">
        <f t="shared" si="173"/>
        <v>11333.25</v>
      </c>
      <c r="J82" s="143">
        <f t="shared" si="173"/>
        <v>17755.424999999999</v>
      </c>
      <c r="K82" s="143">
        <f t="shared" si="173"/>
        <v>36420.864999999998</v>
      </c>
      <c r="L82" s="143">
        <f t="shared" si="173"/>
        <v>59351.845000000001</v>
      </c>
      <c r="M82" s="143">
        <f t="shared" si="173"/>
        <v>91201.744999999995</v>
      </c>
      <c r="N82" s="143">
        <f t="shared" si="173"/>
        <v>86421.799999999988</v>
      </c>
      <c r="O82" s="143">
        <f t="shared" si="173"/>
        <v>77522.278741970789</v>
      </c>
      <c r="P82" s="143">
        <f t="shared" si="173"/>
        <v>104127.5008993877</v>
      </c>
      <c r="Q82" s="143">
        <f t="shared" si="173"/>
        <v>124673.93817940073</v>
      </c>
      <c r="R82" s="143">
        <f t="shared" si="173"/>
        <v>153518.00223025461</v>
      </c>
      <c r="S82" s="143">
        <f t="shared" si="173"/>
        <v>181321.76881187104</v>
      </c>
      <c r="T82" s="143">
        <f t="shared" si="173"/>
        <v>200410.34177585997</v>
      </c>
      <c r="V82" s="143"/>
      <c r="W82" s="186" t="str">
        <f t="shared" si="174"/>
        <v>GS 50 - 2,999</v>
      </c>
      <c r="X82" s="188">
        <v>4.4999999999999998E-2</v>
      </c>
      <c r="Y82" s="188">
        <v>0.1</v>
      </c>
      <c r="Z82" s="188">
        <v>0.1</v>
      </c>
      <c r="AB82" s="175">
        <f>'Customer Count'!BB12</f>
        <v>388.625</v>
      </c>
      <c r="AC82" s="393">
        <f t="shared" si="175"/>
        <v>8.033259606837961E-3</v>
      </c>
    </row>
    <row r="83" spans="2:29">
      <c r="B83" s="822"/>
      <c r="C83" s="821"/>
      <c r="D83" s="165" t="s">
        <v>16</v>
      </c>
      <c r="F83" s="143">
        <f>F$18*$X83+F$23*$Y83+F$28*$Z83</f>
        <v>251.85</v>
      </c>
      <c r="G83" s="143">
        <f t="shared" si="173"/>
        <v>873.08</v>
      </c>
      <c r="H83" s="143">
        <f t="shared" si="173"/>
        <v>1208.8800000000001</v>
      </c>
      <c r="I83" s="143">
        <f t="shared" si="173"/>
        <v>1259.25</v>
      </c>
      <c r="J83" s="143">
        <f t="shared" si="173"/>
        <v>1972.825</v>
      </c>
      <c r="K83" s="143">
        <f t="shared" si="173"/>
        <v>5193.9850000000006</v>
      </c>
      <c r="L83" s="143">
        <f t="shared" si="173"/>
        <v>9725.2049999999999</v>
      </c>
      <c r="M83" s="143">
        <f t="shared" si="173"/>
        <v>20361.305</v>
      </c>
      <c r="N83" s="143">
        <f t="shared" si="173"/>
        <v>20880.2</v>
      </c>
      <c r="O83" s="143">
        <f t="shared" si="173"/>
        <v>15533.728015400389</v>
      </c>
      <c r="P83" s="143">
        <f t="shared" si="173"/>
        <v>20431.278106671765</v>
      </c>
      <c r="Q83" s="143">
        <f t="shared" si="173"/>
        <v>24932.057386242363</v>
      </c>
      <c r="R83" s="143">
        <f t="shared" si="173"/>
        <v>30439.964245753115</v>
      </c>
      <c r="S83" s="143">
        <f t="shared" si="173"/>
        <v>35919.971172689824</v>
      </c>
      <c r="T83" s="143">
        <f t="shared" si="173"/>
        <v>40521.898271005703</v>
      </c>
      <c r="V83" s="143"/>
      <c r="W83" s="186" t="str">
        <f t="shared" si="174"/>
        <v>GS 3,000 - 4,999</v>
      </c>
      <c r="X83" s="188">
        <v>5.0000000000000001E-3</v>
      </c>
      <c r="Y83" s="188">
        <v>0.05</v>
      </c>
      <c r="Z83" s="188">
        <v>0.05</v>
      </c>
      <c r="AB83" s="175">
        <f>'Customer Count'!BH12</f>
        <v>3</v>
      </c>
      <c r="AC83" s="393">
        <f t="shared" si="175"/>
        <v>6.2012940033486993E-5</v>
      </c>
    </row>
    <row r="84" spans="2:29">
      <c r="B84" s="822"/>
      <c r="C84" s="821"/>
      <c r="D84" s="165" t="s">
        <v>17</v>
      </c>
      <c r="F84" s="143">
        <f>F$18*$X84+F$23*$Y84+F$28*$Z84</f>
        <v>0</v>
      </c>
      <c r="G84" s="143"/>
      <c r="H84" s="143">
        <f t="shared" ref="H84:T84" si="176">(H$18-G$18+H$50-G$50)*$X84+(H$23-G$23+H$55-G$55)*$Y84+(H$28-G$28+H$60-G$60)*$Z84</f>
        <v>0</v>
      </c>
      <c r="I84" s="143">
        <f t="shared" si="176"/>
        <v>0</v>
      </c>
      <c r="J84" s="143">
        <f t="shared" si="176"/>
        <v>0</v>
      </c>
      <c r="K84" s="143">
        <f t="shared" si="176"/>
        <v>0</v>
      </c>
      <c r="L84" s="143">
        <f t="shared" si="176"/>
        <v>0</v>
      </c>
      <c r="M84" s="143">
        <f t="shared" si="176"/>
        <v>0</v>
      </c>
      <c r="N84" s="143">
        <f t="shared" si="176"/>
        <v>0</v>
      </c>
      <c r="O84" s="143">
        <f t="shared" si="176"/>
        <v>0</v>
      </c>
      <c r="P84" s="143">
        <f t="shared" si="176"/>
        <v>0</v>
      </c>
      <c r="Q84" s="143">
        <f t="shared" si="176"/>
        <v>0</v>
      </c>
      <c r="R84" s="143">
        <f t="shared" si="176"/>
        <v>0</v>
      </c>
      <c r="S84" s="143">
        <f t="shared" si="176"/>
        <v>0</v>
      </c>
      <c r="T84" s="143">
        <f t="shared" si="176"/>
        <v>0</v>
      </c>
      <c r="V84" s="143"/>
      <c r="W84" s="186"/>
      <c r="X84" s="188"/>
      <c r="Y84" s="188"/>
      <c r="Z84" s="188"/>
    </row>
    <row r="85" spans="2:29">
      <c r="B85" s="822"/>
      <c r="F85" s="185">
        <f t="shared" ref="F85:S85" si="177">SUM(F80:F84)</f>
        <v>50370</v>
      </c>
      <c r="G85" s="185">
        <f t="shared" si="177"/>
        <v>174616</v>
      </c>
      <c r="H85" s="185">
        <f t="shared" si="177"/>
        <v>241776.00000000003</v>
      </c>
      <c r="I85" s="185">
        <f t="shared" si="177"/>
        <v>251850</v>
      </c>
      <c r="J85" s="185">
        <f t="shared" si="177"/>
        <v>394565</v>
      </c>
      <c r="K85" s="185">
        <f t="shared" si="177"/>
        <v>773296.99999999988</v>
      </c>
      <c r="L85" s="185">
        <f t="shared" si="177"/>
        <v>1220541</v>
      </c>
      <c r="M85" s="185">
        <f t="shared" si="177"/>
        <v>1705260.9999999998</v>
      </c>
      <c r="N85" s="185">
        <f t="shared" si="177"/>
        <v>1566040</v>
      </c>
      <c r="O85" s="185">
        <f t="shared" si="177"/>
        <v>1505227.1443095224</v>
      </c>
      <c r="P85" s="185">
        <f t="shared" si="177"/>
        <v>2035438.4254888569</v>
      </c>
      <c r="Q85" s="185">
        <f t="shared" si="177"/>
        <v>2422322.3210455445</v>
      </c>
      <c r="R85" s="185">
        <f t="shared" si="177"/>
        <v>2990921.1810543062</v>
      </c>
      <c r="S85" s="185">
        <f t="shared" si="177"/>
        <v>3533646.3897350039</v>
      </c>
      <c r="T85" s="185">
        <f>SUM(T80:T84)</f>
        <v>3879863.4142905064</v>
      </c>
      <c r="W85" s="186"/>
      <c r="X85" s="188">
        <f>SUM(X80:X84)</f>
        <v>1</v>
      </c>
      <c r="Y85" s="188">
        <f t="shared" ref="Y85:Z85" si="178">SUM(Y80:Y84)</f>
        <v>1</v>
      </c>
      <c r="Z85" s="188">
        <f t="shared" si="178"/>
        <v>1</v>
      </c>
      <c r="AB85" s="175">
        <f>SUM(AB80:AB83)</f>
        <v>48377</v>
      </c>
    </row>
    <row r="86" spans="2:29">
      <c r="B86" s="822"/>
    </row>
    <row r="87" spans="2:29">
      <c r="B87" s="822"/>
      <c r="C87" s="165" t="s">
        <v>468</v>
      </c>
    </row>
    <row r="88" spans="2:29">
      <c r="B88" s="822"/>
      <c r="D88" s="165" t="s">
        <v>469</v>
      </c>
      <c r="F88" s="184">
        <v>0.1</v>
      </c>
      <c r="G88" s="184">
        <f>F88</f>
        <v>0.1</v>
      </c>
      <c r="H88" s="184">
        <f t="shared" ref="H88:O88" si="179">G88</f>
        <v>0.1</v>
      </c>
      <c r="I88" s="184">
        <f t="shared" si="179"/>
        <v>0.1</v>
      </c>
      <c r="J88" s="184">
        <f t="shared" si="179"/>
        <v>0.1</v>
      </c>
      <c r="K88" s="184">
        <f t="shared" si="179"/>
        <v>0.1</v>
      </c>
      <c r="L88" s="184">
        <f t="shared" si="179"/>
        <v>0.1</v>
      </c>
      <c r="M88" s="184">
        <f t="shared" si="179"/>
        <v>0.1</v>
      </c>
      <c r="N88" s="184">
        <f t="shared" si="179"/>
        <v>0.1</v>
      </c>
      <c r="O88" s="184">
        <f t="shared" si="179"/>
        <v>0.1</v>
      </c>
      <c r="P88" s="184">
        <f t="shared" ref="P88" si="180">O88</f>
        <v>0.1</v>
      </c>
      <c r="Q88" s="184">
        <f t="shared" ref="Q88" si="181">P88</f>
        <v>0.1</v>
      </c>
      <c r="R88" s="184">
        <f t="shared" ref="R88" si="182">Q88</f>
        <v>0.1</v>
      </c>
      <c r="S88" s="184">
        <f t="shared" ref="S88" si="183">R88</f>
        <v>0.1</v>
      </c>
      <c r="T88" s="184">
        <f t="shared" ref="T88" si="184">S88</f>
        <v>0.1</v>
      </c>
    </row>
    <row r="89" spans="2:29">
      <c r="B89" s="822"/>
      <c r="D89" s="165" t="str">
        <f>D82</f>
        <v>GS 50 - 2,999</v>
      </c>
      <c r="F89" s="183">
        <f>((F82/$F$88)/8760)*12</f>
        <v>31.049999999999997</v>
      </c>
      <c r="G89" s="183">
        <f t="shared" ref="G89:T89" si="185">((G82/$F$88)/8760)*12</f>
        <v>107.63999999999999</v>
      </c>
      <c r="H89" s="183">
        <f t="shared" si="185"/>
        <v>149.04</v>
      </c>
      <c r="I89" s="183">
        <f t="shared" si="185"/>
        <v>155.25</v>
      </c>
      <c r="J89" s="183">
        <f t="shared" si="185"/>
        <v>243.22499999999997</v>
      </c>
      <c r="K89" s="183">
        <f t="shared" si="185"/>
        <v>498.91595890410952</v>
      </c>
      <c r="L89" s="183">
        <f t="shared" si="185"/>
        <v>813.0389726027397</v>
      </c>
      <c r="M89" s="183">
        <f t="shared" si="185"/>
        <v>1249.3389726027397</v>
      </c>
      <c r="N89" s="183">
        <f t="shared" si="185"/>
        <v>1183.8602739726025</v>
      </c>
      <c r="O89" s="183">
        <f t="shared" si="185"/>
        <v>1061.9490238626136</v>
      </c>
      <c r="P89" s="183">
        <f t="shared" si="185"/>
        <v>1426.4041219094206</v>
      </c>
      <c r="Q89" s="183">
        <f t="shared" si="185"/>
        <v>1707.862166841106</v>
      </c>
      <c r="R89" s="183">
        <f t="shared" si="185"/>
        <v>2102.9863319212959</v>
      </c>
      <c r="S89" s="183">
        <f t="shared" si="185"/>
        <v>2483.8598467379593</v>
      </c>
      <c r="T89" s="183">
        <f t="shared" si="185"/>
        <v>2745.3471476145201</v>
      </c>
    </row>
    <row r="90" spans="2:29">
      <c r="B90" s="822"/>
      <c r="D90" s="165" t="str">
        <f t="shared" ref="D90:D91" si="186">D83</f>
        <v>GS 3,000 - 4,999</v>
      </c>
      <c r="F90" s="183">
        <f>((F83/$F$88)/8760)*12</f>
        <v>3.4499999999999997</v>
      </c>
      <c r="G90" s="183">
        <f t="shared" ref="G90:T90" si="187">((G83/$F$88)/8760)*12</f>
        <v>11.959999999999999</v>
      </c>
      <c r="H90" s="183">
        <f t="shared" si="187"/>
        <v>16.560000000000002</v>
      </c>
      <c r="I90" s="183">
        <f t="shared" si="187"/>
        <v>17.25</v>
      </c>
      <c r="J90" s="183">
        <f t="shared" si="187"/>
        <v>27.024999999999999</v>
      </c>
      <c r="K90" s="183">
        <f t="shared" si="187"/>
        <v>71.150479452054796</v>
      </c>
      <c r="L90" s="183">
        <f t="shared" si="187"/>
        <v>133.22198630136984</v>
      </c>
      <c r="M90" s="183">
        <f t="shared" si="187"/>
        <v>278.92198630136988</v>
      </c>
      <c r="N90" s="183">
        <f t="shared" si="187"/>
        <v>286.03013698630139</v>
      </c>
      <c r="O90" s="183">
        <f t="shared" si="187"/>
        <v>212.79079473151216</v>
      </c>
      <c r="P90" s="183">
        <f t="shared" si="187"/>
        <v>279.88052200920225</v>
      </c>
      <c r="Q90" s="183">
        <f t="shared" si="187"/>
        <v>341.53503268825153</v>
      </c>
      <c r="R90" s="183">
        <f t="shared" si="187"/>
        <v>416.98581158565906</v>
      </c>
      <c r="S90" s="183">
        <f t="shared" si="187"/>
        <v>492.05439962588792</v>
      </c>
      <c r="T90" s="183">
        <f t="shared" si="187"/>
        <v>555.09449686309176</v>
      </c>
    </row>
    <row r="91" spans="2:29">
      <c r="B91" s="822"/>
      <c r="D91" s="165" t="str">
        <f t="shared" si="186"/>
        <v>Large Use</v>
      </c>
      <c r="F91" s="183">
        <f>((F84/$F$88)/8760)*12</f>
        <v>0</v>
      </c>
      <c r="G91" s="183">
        <f t="shared" ref="G91:T91" si="188">((G84/$F$88)/8760)*12</f>
        <v>0</v>
      </c>
      <c r="H91" s="183">
        <f t="shared" si="188"/>
        <v>0</v>
      </c>
      <c r="I91" s="183">
        <f t="shared" si="188"/>
        <v>0</v>
      </c>
      <c r="J91" s="183">
        <f t="shared" si="188"/>
        <v>0</v>
      </c>
      <c r="K91" s="183">
        <f t="shared" si="188"/>
        <v>0</v>
      </c>
      <c r="L91" s="183">
        <f t="shared" si="188"/>
        <v>0</v>
      </c>
      <c r="M91" s="183">
        <f t="shared" si="188"/>
        <v>0</v>
      </c>
      <c r="N91" s="183">
        <f t="shared" si="188"/>
        <v>0</v>
      </c>
      <c r="O91" s="183">
        <f t="shared" si="188"/>
        <v>0</v>
      </c>
      <c r="P91" s="183">
        <f t="shared" si="188"/>
        <v>0</v>
      </c>
      <c r="Q91" s="183">
        <f t="shared" si="188"/>
        <v>0</v>
      </c>
      <c r="R91" s="183">
        <f t="shared" si="188"/>
        <v>0</v>
      </c>
      <c r="S91" s="183">
        <f t="shared" si="188"/>
        <v>0</v>
      </c>
      <c r="T91" s="183">
        <f t="shared" si="188"/>
        <v>0</v>
      </c>
    </row>
    <row r="92" spans="2:29"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</row>
    <row r="93" spans="2:29">
      <c r="B93" s="822" t="str">
        <f>B41</f>
        <v>Plug-in hybrid electric</v>
      </c>
      <c r="C93" s="165" t="s">
        <v>463</v>
      </c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X93" s="187" t="s">
        <v>464</v>
      </c>
      <c r="Y93" s="186" t="s">
        <v>444</v>
      </c>
      <c r="Z93" s="186" t="s">
        <v>465</v>
      </c>
    </row>
    <row r="94" spans="2:29">
      <c r="B94" s="822"/>
      <c r="C94" s="821" t="s">
        <v>467</v>
      </c>
      <c r="D94" s="165" t="s">
        <v>12</v>
      </c>
      <c r="F94" s="143">
        <f>F$50*$X94+F$55*$Y94+F$60*$Z94</f>
        <v>36176.28</v>
      </c>
      <c r="G94" s="143">
        <f>(G$50-F$50)*$X94+(G$55-F$55)*$Y94+(G$60-F$60)*$Z94</f>
        <v>93047.55</v>
      </c>
      <c r="H94" s="143">
        <f t="shared" ref="H94:T94" si="189">(H$50-G$50)*$X94+(H$55-G$55)*$Y94+(H$60-G$60)*$Z94</f>
        <v>73997.069999999992</v>
      </c>
      <c r="I94" s="143">
        <f t="shared" si="189"/>
        <v>32038.859999999979</v>
      </c>
      <c r="J94" s="143">
        <f t="shared" si="189"/>
        <v>51733.529999999992</v>
      </c>
      <c r="K94" s="143">
        <f t="shared" si="189"/>
        <v>99804.48000000004</v>
      </c>
      <c r="L94" s="143">
        <f t="shared" si="189"/>
        <v>174657.83999999997</v>
      </c>
      <c r="M94" s="143">
        <f t="shared" si="189"/>
        <v>290019.56999999995</v>
      </c>
      <c r="N94" s="143">
        <f t="shared" si="189"/>
        <v>342753.42000000004</v>
      </c>
      <c r="O94" s="143">
        <f t="shared" si="189"/>
        <v>397721.34576530766</v>
      </c>
      <c r="P94" s="143">
        <f t="shared" si="189"/>
        <v>459580.57946133194</v>
      </c>
      <c r="Q94" s="143">
        <f t="shared" si="189"/>
        <v>551321.12217368942</v>
      </c>
      <c r="R94" s="143">
        <f t="shared" si="189"/>
        <v>769055.0325387551</v>
      </c>
      <c r="S94" s="143">
        <f t="shared" si="189"/>
        <v>916987.17625355616</v>
      </c>
      <c r="T94" s="143">
        <f t="shared" si="189"/>
        <v>1022097.9638639316</v>
      </c>
      <c r="W94" s="186" t="str">
        <f>D94</f>
        <v>Residential</v>
      </c>
      <c r="X94" s="188">
        <f>X80</f>
        <v>0.85</v>
      </c>
      <c r="Y94" s="188">
        <f t="shared" ref="Y94:Z94" si="190">Y80</f>
        <v>0.65</v>
      </c>
      <c r="Z94" s="188">
        <f t="shared" si="190"/>
        <v>0.6</v>
      </c>
    </row>
    <row r="95" spans="2:29">
      <c r="B95" s="822"/>
      <c r="C95" s="821"/>
      <c r="D95" s="165" t="s">
        <v>14</v>
      </c>
      <c r="F95" s="143">
        <f t="shared" ref="F95:F97" si="191">F$50*$X95+F$55*$Y95+F$60*$Z95</f>
        <v>5923.68</v>
      </c>
      <c r="G95" s="143">
        <f t="shared" ref="G95:T98" si="192">(G$50-F$50)*$X95+(G$55-F$55)*$Y95+(G$60-F$60)*$Z95</f>
        <v>13170.300000000001</v>
      </c>
      <c r="H95" s="143">
        <f t="shared" si="192"/>
        <v>9261.42</v>
      </c>
      <c r="I95" s="143">
        <f t="shared" si="192"/>
        <v>4325.159999999998</v>
      </c>
      <c r="J95" s="143">
        <f t="shared" si="192"/>
        <v>6642.1799999999994</v>
      </c>
      <c r="K95" s="143">
        <f t="shared" si="192"/>
        <v>12482.880000000005</v>
      </c>
      <c r="L95" s="143">
        <f t="shared" si="192"/>
        <v>21845.039999999997</v>
      </c>
      <c r="M95" s="143">
        <f t="shared" si="192"/>
        <v>35046.42</v>
      </c>
      <c r="N95" s="143">
        <f t="shared" si="192"/>
        <v>40694.520000000011</v>
      </c>
      <c r="O95" s="143">
        <f t="shared" si="192"/>
        <v>48318.101028137404</v>
      </c>
      <c r="P95" s="143">
        <f t="shared" si="192"/>
        <v>54215.233393475239</v>
      </c>
      <c r="Q95" s="143">
        <f t="shared" si="192"/>
        <v>68103.287712953039</v>
      </c>
      <c r="R95" s="143">
        <f t="shared" si="192"/>
        <v>95735.794367852373</v>
      </c>
      <c r="S95" s="143">
        <f t="shared" si="192"/>
        <v>112967.25707786277</v>
      </c>
      <c r="T95" s="143">
        <f t="shared" si="192"/>
        <v>127419.91693852619</v>
      </c>
      <c r="W95" s="186" t="str">
        <f t="shared" ref="W95:W97" si="193">D95</f>
        <v>GS&lt;50</v>
      </c>
      <c r="X95" s="188">
        <f t="shared" ref="X95:Z97" si="194">X81</f>
        <v>0.1</v>
      </c>
      <c r="Y95" s="188">
        <f t="shared" si="194"/>
        <v>0.2</v>
      </c>
      <c r="Z95" s="188">
        <f t="shared" si="194"/>
        <v>0.25</v>
      </c>
    </row>
    <row r="96" spans="2:29">
      <c r="B96" s="822"/>
      <c r="C96" s="821"/>
      <c r="D96" s="165" t="s">
        <v>15</v>
      </c>
      <c r="F96" s="143">
        <f t="shared" si="191"/>
        <v>2800.6559999999999</v>
      </c>
      <c r="G96" s="143">
        <f t="shared" si="192"/>
        <v>6106.6350000000002</v>
      </c>
      <c r="H96" s="143">
        <f t="shared" si="192"/>
        <v>4212.6389999999992</v>
      </c>
      <c r="I96" s="143">
        <f t="shared" si="192"/>
        <v>1991.321999999999</v>
      </c>
      <c r="J96" s="143">
        <f t="shared" si="192"/>
        <v>3033.9809999999993</v>
      </c>
      <c r="K96" s="143">
        <f t="shared" si="192"/>
        <v>5677.2960000000021</v>
      </c>
      <c r="L96" s="143">
        <f t="shared" si="192"/>
        <v>9935.2679999999982</v>
      </c>
      <c r="M96" s="143">
        <f t="shared" si="192"/>
        <v>15845.888999999997</v>
      </c>
      <c r="N96" s="143">
        <f t="shared" si="192"/>
        <v>18342.534000000003</v>
      </c>
      <c r="O96" s="143">
        <f t="shared" si="192"/>
        <v>21866.788443365262</v>
      </c>
      <c r="P96" s="143">
        <f t="shared" si="192"/>
        <v>24408.749354522974</v>
      </c>
      <c r="Q96" s="143">
        <f t="shared" si="192"/>
        <v>30908.925407842311</v>
      </c>
      <c r="R96" s="143">
        <f t="shared" si="192"/>
        <v>43506.814318752513</v>
      </c>
      <c r="S96" s="143">
        <f t="shared" si="192"/>
        <v>51247.022912736124</v>
      </c>
      <c r="T96" s="143">
        <f t="shared" si="192"/>
        <v>57919.64195675146</v>
      </c>
      <c r="W96" s="186" t="str">
        <f t="shared" si="193"/>
        <v>GS 50 - 2,999</v>
      </c>
      <c r="X96" s="188">
        <f t="shared" si="194"/>
        <v>4.4999999999999998E-2</v>
      </c>
      <c r="Y96" s="188">
        <f t="shared" si="194"/>
        <v>0.1</v>
      </c>
      <c r="Z96" s="188">
        <f t="shared" si="194"/>
        <v>0.1</v>
      </c>
    </row>
    <row r="97" spans="2:26">
      <c r="B97" s="822"/>
      <c r="C97" s="821"/>
      <c r="D97" s="165" t="s">
        <v>16</v>
      </c>
      <c r="F97" s="143">
        <f t="shared" si="191"/>
        <v>836.18399999999997</v>
      </c>
      <c r="G97" s="143">
        <f t="shared" si="192"/>
        <v>1378.5149999999999</v>
      </c>
      <c r="H97" s="143">
        <f t="shared" si="192"/>
        <v>643.07099999999991</v>
      </c>
      <c r="I97" s="143">
        <f t="shared" si="192"/>
        <v>396.25799999999992</v>
      </c>
      <c r="J97" s="143">
        <f t="shared" si="192"/>
        <v>512.10899999999992</v>
      </c>
      <c r="K97" s="143">
        <f t="shared" si="192"/>
        <v>864.14400000000023</v>
      </c>
      <c r="L97" s="143">
        <f t="shared" si="192"/>
        <v>1512.252</v>
      </c>
      <c r="M97" s="143">
        <f t="shared" si="192"/>
        <v>2052.3209999999999</v>
      </c>
      <c r="N97" s="143">
        <f t="shared" si="192"/>
        <v>2154.7260000000006</v>
      </c>
      <c r="O97" s="143">
        <f t="shared" si="192"/>
        <v>2910.4769742205935</v>
      </c>
      <c r="P97" s="143">
        <f t="shared" si="192"/>
        <v>2758.3389795102371</v>
      </c>
      <c r="Q97" s="143">
        <f t="shared" si="192"/>
        <v>4454.9481337014186</v>
      </c>
      <c r="R97" s="143">
        <f t="shared" si="192"/>
        <v>6489.6171312684301</v>
      </c>
      <c r="S97" s="143">
        <f t="shared" si="192"/>
        <v>7295.3917646846558</v>
      </c>
      <c r="T97" s="143">
        <f t="shared" si="192"/>
        <v>8693.7131845850145</v>
      </c>
      <c r="W97" s="186" t="str">
        <f t="shared" si="193"/>
        <v>GS 3,000 - 4,999</v>
      </c>
      <c r="X97" s="188">
        <f t="shared" si="194"/>
        <v>5.0000000000000001E-3</v>
      </c>
      <c r="Y97" s="188">
        <f t="shared" si="194"/>
        <v>0.05</v>
      </c>
      <c r="Z97" s="188">
        <f t="shared" si="194"/>
        <v>0.05</v>
      </c>
    </row>
    <row r="98" spans="2:26">
      <c r="B98" s="822"/>
      <c r="C98" s="821"/>
      <c r="D98" s="165" t="s">
        <v>17</v>
      </c>
      <c r="F98" s="143">
        <f>F$50*$X98+F$55*$Y98+F$60*$Z98</f>
        <v>0</v>
      </c>
      <c r="G98" s="143">
        <f t="shared" si="192"/>
        <v>0</v>
      </c>
      <c r="H98" s="143">
        <f t="shared" si="192"/>
        <v>0</v>
      </c>
      <c r="I98" s="143">
        <f t="shared" si="192"/>
        <v>0</v>
      </c>
      <c r="J98" s="143">
        <f t="shared" si="192"/>
        <v>0</v>
      </c>
      <c r="K98" s="143">
        <f t="shared" si="192"/>
        <v>0</v>
      </c>
      <c r="L98" s="143">
        <f t="shared" si="192"/>
        <v>0</v>
      </c>
      <c r="M98" s="143">
        <f t="shared" si="192"/>
        <v>0</v>
      </c>
      <c r="N98" s="143">
        <f t="shared" si="192"/>
        <v>0</v>
      </c>
      <c r="O98" s="143">
        <f t="shared" si="192"/>
        <v>0</v>
      </c>
      <c r="P98" s="143">
        <f t="shared" si="192"/>
        <v>0</v>
      </c>
      <c r="Q98" s="143">
        <f t="shared" si="192"/>
        <v>0</v>
      </c>
      <c r="R98" s="143">
        <f t="shared" si="192"/>
        <v>0</v>
      </c>
      <c r="S98" s="143">
        <f t="shared" si="192"/>
        <v>0</v>
      </c>
      <c r="T98" s="143">
        <f>(T$50-S$50)*$X98+(T$55-S$55)*$Y98+(T$60-S$60)*$Z98</f>
        <v>0</v>
      </c>
      <c r="W98" s="186"/>
      <c r="X98" s="188"/>
      <c r="Y98" s="188"/>
      <c r="Z98" s="188"/>
    </row>
    <row r="99" spans="2:26">
      <c r="B99" s="822"/>
      <c r="F99" s="185">
        <f t="shared" ref="F99" si="195">SUM(F94:F98)</f>
        <v>45736.800000000003</v>
      </c>
      <c r="G99" s="185">
        <f t="shared" ref="G99" si="196">SUM(G94:G98)</f>
        <v>113703</v>
      </c>
      <c r="H99" s="185">
        <f t="shared" ref="H99" si="197">SUM(H94:H98)</f>
        <v>88114.199999999983</v>
      </c>
      <c r="I99" s="185">
        <f t="shared" ref="I99" si="198">SUM(I94:I98)</f>
        <v>38751.599999999977</v>
      </c>
      <c r="J99" s="185">
        <f t="shared" ref="J99" si="199">SUM(J94:J98)</f>
        <v>61921.799999999988</v>
      </c>
      <c r="K99" s="185">
        <f t="shared" ref="K99" si="200">SUM(K94:K98)</f>
        <v>118828.80000000005</v>
      </c>
      <c r="L99" s="185">
        <f t="shared" ref="L99" si="201">SUM(L94:L98)</f>
        <v>207950.4</v>
      </c>
      <c r="M99" s="185">
        <f t="shared" ref="M99" si="202">SUM(M94:M98)</f>
        <v>342964.19999999995</v>
      </c>
      <c r="N99" s="185">
        <f t="shared" ref="N99" si="203">SUM(N94:N98)</f>
        <v>403945.20000000007</v>
      </c>
      <c r="O99" s="185">
        <f t="shared" ref="O99" si="204">SUM(O94:O98)</f>
        <v>470816.71221103088</v>
      </c>
      <c r="P99" s="185">
        <f t="shared" ref="P99" si="205">SUM(P94:P98)</f>
        <v>540962.90118884039</v>
      </c>
      <c r="Q99" s="185">
        <f t="shared" ref="Q99" si="206">SUM(Q94:Q98)</f>
        <v>654788.2834281862</v>
      </c>
      <c r="R99" s="185">
        <f t="shared" ref="R99" si="207">SUM(R94:R98)</f>
        <v>914787.25835662836</v>
      </c>
      <c r="S99" s="185">
        <f t="shared" ref="S99" si="208">SUM(S94:S98)</f>
        <v>1088496.8480088396</v>
      </c>
      <c r="T99" s="185">
        <f>SUM(T94:T98)</f>
        <v>1216131.2359437943</v>
      </c>
      <c r="W99" s="186"/>
      <c r="X99" s="188">
        <f>SUM(X94:X98)</f>
        <v>1</v>
      </c>
      <c r="Y99" s="188">
        <f t="shared" ref="Y99" si="209">SUM(Y94:Y98)</f>
        <v>1</v>
      </c>
      <c r="Z99" s="188">
        <f t="shared" ref="Z99" si="210">SUM(Z94:Z98)</f>
        <v>1</v>
      </c>
    </row>
    <row r="100" spans="2:26">
      <c r="B100" s="822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</row>
    <row r="101" spans="2:26">
      <c r="B101" s="822"/>
      <c r="C101" s="165" t="s">
        <v>468</v>
      </c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</row>
    <row r="102" spans="2:26">
      <c r="B102" s="822"/>
      <c r="D102" s="165" t="s">
        <v>469</v>
      </c>
      <c r="F102" s="184">
        <v>0.1</v>
      </c>
      <c r="G102" s="184">
        <f>F102</f>
        <v>0.1</v>
      </c>
      <c r="H102" s="184">
        <f t="shared" ref="H102" si="211">G102</f>
        <v>0.1</v>
      </c>
      <c r="I102" s="184">
        <f t="shared" ref="I102" si="212">H102</f>
        <v>0.1</v>
      </c>
      <c r="J102" s="184">
        <f t="shared" ref="J102" si="213">I102</f>
        <v>0.1</v>
      </c>
      <c r="K102" s="184">
        <f t="shared" ref="K102" si="214">J102</f>
        <v>0.1</v>
      </c>
      <c r="L102" s="184">
        <f t="shared" ref="L102" si="215">K102</f>
        <v>0.1</v>
      </c>
      <c r="M102" s="184">
        <f t="shared" ref="M102" si="216">L102</f>
        <v>0.1</v>
      </c>
      <c r="N102" s="184">
        <f t="shared" ref="N102" si="217">M102</f>
        <v>0.1</v>
      </c>
      <c r="O102" s="184">
        <f t="shared" ref="O102" si="218">N102</f>
        <v>0.1</v>
      </c>
      <c r="P102" s="184">
        <f t="shared" ref="P102" si="219">O102</f>
        <v>0.1</v>
      </c>
      <c r="Q102" s="184">
        <f t="shared" ref="Q102" si="220">P102</f>
        <v>0.1</v>
      </c>
      <c r="R102" s="184">
        <f t="shared" ref="R102" si="221">Q102</f>
        <v>0.1</v>
      </c>
      <c r="S102" s="184">
        <f t="shared" ref="S102" si="222">R102</f>
        <v>0.1</v>
      </c>
      <c r="T102" s="184">
        <f t="shared" ref="T102" si="223">S102</f>
        <v>0.1</v>
      </c>
    </row>
    <row r="103" spans="2:26">
      <c r="B103" s="822"/>
      <c r="D103" s="165" t="str">
        <f>D96</f>
        <v>GS 50 - 2,999</v>
      </c>
      <c r="F103" s="183">
        <f>((F96/F$102)/8760)*12</f>
        <v>38.365150684931507</v>
      </c>
      <c r="G103" s="183">
        <f t="shared" ref="G103:T103" si="224">((G96/G$102)/8760)*12</f>
        <v>83.652534246575343</v>
      </c>
      <c r="H103" s="183">
        <f t="shared" si="224"/>
        <v>57.707383561643823</v>
      </c>
      <c r="I103" s="183">
        <f t="shared" si="224"/>
        <v>27.278383561643821</v>
      </c>
      <c r="J103" s="183">
        <f t="shared" si="224"/>
        <v>41.561383561643822</v>
      </c>
      <c r="K103" s="183">
        <f t="shared" si="224"/>
        <v>77.77117808219181</v>
      </c>
      <c r="L103" s="183">
        <f t="shared" si="224"/>
        <v>136.09956164383559</v>
      </c>
      <c r="M103" s="183">
        <f t="shared" si="224"/>
        <v>217.06697260273967</v>
      </c>
      <c r="N103" s="183">
        <f t="shared" si="224"/>
        <v>251.26758904109593</v>
      </c>
      <c r="O103" s="183">
        <f t="shared" si="224"/>
        <v>299.54504716938709</v>
      </c>
      <c r="P103" s="183">
        <f t="shared" si="224"/>
        <v>334.36642951401336</v>
      </c>
      <c r="Q103" s="183">
        <f t="shared" si="224"/>
        <v>423.40993709373021</v>
      </c>
      <c r="R103" s="183">
        <f t="shared" si="224"/>
        <v>595.9837577911303</v>
      </c>
      <c r="S103" s="183">
        <f t="shared" si="224"/>
        <v>702.01401250323454</v>
      </c>
      <c r="T103" s="183">
        <f t="shared" si="224"/>
        <v>793.41975283221177</v>
      </c>
    </row>
    <row r="104" spans="2:26">
      <c r="B104" s="822"/>
      <c r="D104" s="165" t="str">
        <f t="shared" ref="D104:D105" si="225">D97</f>
        <v>GS 3,000 - 4,999</v>
      </c>
      <c r="F104" s="183">
        <f>((F97/F$102)/8760)*12</f>
        <v>11.454575342465752</v>
      </c>
      <c r="G104" s="183">
        <f t="shared" ref="G104:T104" si="226">((G97/G$102)/8760)*12</f>
        <v>18.883767123287669</v>
      </c>
      <c r="H104" s="183">
        <f t="shared" si="226"/>
        <v>8.8091917808219158</v>
      </c>
      <c r="I104" s="183">
        <f t="shared" si="226"/>
        <v>5.4281917808219164</v>
      </c>
      <c r="J104" s="183">
        <f t="shared" si="226"/>
        <v>7.0151917808219171</v>
      </c>
      <c r="K104" s="183">
        <f t="shared" si="226"/>
        <v>11.837589041095894</v>
      </c>
      <c r="L104" s="183">
        <f t="shared" si="226"/>
        <v>20.715780821917807</v>
      </c>
      <c r="M104" s="183">
        <f t="shared" si="226"/>
        <v>28.113986301369863</v>
      </c>
      <c r="N104" s="183">
        <f t="shared" si="226"/>
        <v>29.51679452054795</v>
      </c>
      <c r="O104" s="183">
        <f t="shared" si="226"/>
        <v>39.869547592062929</v>
      </c>
      <c r="P104" s="183">
        <f t="shared" si="226"/>
        <v>37.78546547274297</v>
      </c>
      <c r="Q104" s="183">
        <f t="shared" si="226"/>
        <v>61.026686763033126</v>
      </c>
      <c r="R104" s="183">
        <f t="shared" si="226"/>
        <v>88.898864811896303</v>
      </c>
      <c r="S104" s="183">
        <f t="shared" si="226"/>
        <v>99.936873488830912</v>
      </c>
      <c r="T104" s="183">
        <f t="shared" si="226"/>
        <v>119.09196143267143</v>
      </c>
    </row>
    <row r="105" spans="2:26">
      <c r="B105" s="822"/>
      <c r="D105" s="165" t="str">
        <f t="shared" si="225"/>
        <v>Large Use</v>
      </c>
      <c r="F105" s="183">
        <f>((F98/F$102)/8760)*12</f>
        <v>0</v>
      </c>
      <c r="G105" s="183">
        <f t="shared" ref="G105:T105" si="227">((G98/G$102)/8760)*12</f>
        <v>0</v>
      </c>
      <c r="H105" s="183">
        <f t="shared" si="227"/>
        <v>0</v>
      </c>
      <c r="I105" s="183">
        <f t="shared" si="227"/>
        <v>0</v>
      </c>
      <c r="J105" s="183">
        <f t="shared" si="227"/>
        <v>0</v>
      </c>
      <c r="K105" s="183">
        <f t="shared" si="227"/>
        <v>0</v>
      </c>
      <c r="L105" s="183">
        <f t="shared" si="227"/>
        <v>0</v>
      </c>
      <c r="M105" s="183">
        <f t="shared" si="227"/>
        <v>0</v>
      </c>
      <c r="N105" s="183">
        <f t="shared" si="227"/>
        <v>0</v>
      </c>
      <c r="O105" s="183">
        <f t="shared" si="227"/>
        <v>0</v>
      </c>
      <c r="P105" s="183">
        <f t="shared" si="227"/>
        <v>0</v>
      </c>
      <c r="Q105" s="183">
        <f t="shared" si="227"/>
        <v>0</v>
      </c>
      <c r="R105" s="183">
        <f t="shared" si="227"/>
        <v>0</v>
      </c>
      <c r="S105" s="183">
        <f t="shared" si="227"/>
        <v>0</v>
      </c>
      <c r="T105" s="183">
        <f t="shared" si="227"/>
        <v>0</v>
      </c>
    </row>
    <row r="108" spans="2:26">
      <c r="B108" s="823" t="s">
        <v>290</v>
      </c>
      <c r="C108" s="165" t="s">
        <v>463</v>
      </c>
      <c r="F108" s="352">
        <f t="shared" ref="F108:T108" si="228">F79</f>
        <v>2017</v>
      </c>
      <c r="G108" s="352">
        <f t="shared" si="228"/>
        <v>2018</v>
      </c>
      <c r="H108" s="352">
        <f t="shared" si="228"/>
        <v>2019</v>
      </c>
      <c r="I108" s="352">
        <f t="shared" si="228"/>
        <v>2020</v>
      </c>
      <c r="J108" s="352">
        <f t="shared" si="228"/>
        <v>2021</v>
      </c>
      <c r="K108" s="352">
        <f t="shared" si="228"/>
        <v>2022</v>
      </c>
      <c r="L108" s="352">
        <f t="shared" si="228"/>
        <v>2023</v>
      </c>
      <c r="M108" s="352">
        <f t="shared" si="228"/>
        <v>2024</v>
      </c>
      <c r="N108" s="352">
        <f t="shared" si="228"/>
        <v>2025</v>
      </c>
      <c r="O108" s="352">
        <f t="shared" si="228"/>
        <v>2026</v>
      </c>
      <c r="P108" s="352">
        <f t="shared" si="228"/>
        <v>2027</v>
      </c>
      <c r="Q108" s="352">
        <f t="shared" si="228"/>
        <v>2028</v>
      </c>
      <c r="R108" s="352">
        <f t="shared" si="228"/>
        <v>2029</v>
      </c>
      <c r="S108" s="352">
        <f t="shared" si="228"/>
        <v>2030</v>
      </c>
      <c r="T108" s="352">
        <f t="shared" si="228"/>
        <v>2031</v>
      </c>
    </row>
    <row r="109" spans="2:26">
      <c r="B109" s="823"/>
      <c r="C109" s="821" t="s">
        <v>467</v>
      </c>
      <c r="D109" s="165" t="s">
        <v>12</v>
      </c>
      <c r="F109" s="143">
        <f>F80+F94</f>
        <v>78990.78</v>
      </c>
      <c r="G109" s="143">
        <f>G80+G94</f>
        <v>241471.15000000002</v>
      </c>
      <c r="H109" s="143">
        <f t="shared" ref="H109:S109" si="229">H80+H94</f>
        <v>279506.67</v>
      </c>
      <c r="I109" s="143">
        <f t="shared" si="229"/>
        <v>246111.35999999999</v>
      </c>
      <c r="J109" s="143">
        <f t="shared" si="229"/>
        <v>387113.77999999997</v>
      </c>
      <c r="K109" s="143">
        <f t="shared" si="229"/>
        <v>749856.92999999993</v>
      </c>
      <c r="L109" s="143">
        <f t="shared" si="229"/>
        <v>1192117.69</v>
      </c>
      <c r="M109" s="143">
        <f t="shared" si="229"/>
        <v>1673991.42</v>
      </c>
      <c r="N109" s="143">
        <f>N80+N94</f>
        <v>1602387.42</v>
      </c>
      <c r="O109" s="143">
        <f t="shared" si="229"/>
        <v>1633731.2758350573</v>
      </c>
      <c r="P109" s="143">
        <f t="shared" si="229"/>
        <v>2133428.0054333941</v>
      </c>
      <c r="Q109" s="143">
        <f t="shared" si="229"/>
        <v>2539935.4735921468</v>
      </c>
      <c r="R109" s="143">
        <f t="shared" si="229"/>
        <v>3226353.1638510758</v>
      </c>
      <c r="S109" s="143">
        <f t="shared" si="229"/>
        <v>3820419.6176349311</v>
      </c>
      <c r="T109" s="143">
        <f>T80+T94</f>
        <v>4204059.4680645969</v>
      </c>
    </row>
    <row r="110" spans="2:26">
      <c r="B110" s="823"/>
      <c r="C110" s="821"/>
      <c r="D110" s="165" t="s">
        <v>14</v>
      </c>
      <c r="F110" s="143">
        <f t="shared" ref="F110:T112" si="230">F81+F95</f>
        <v>10960.68</v>
      </c>
      <c r="G110" s="143">
        <f t="shared" si="230"/>
        <v>30631.9</v>
      </c>
      <c r="H110" s="143">
        <f t="shared" si="230"/>
        <v>33439.020000000004</v>
      </c>
      <c r="I110" s="143">
        <f t="shared" si="230"/>
        <v>29510.159999999996</v>
      </c>
      <c r="J110" s="143">
        <f t="shared" si="230"/>
        <v>46098.68</v>
      </c>
      <c r="K110" s="143">
        <f t="shared" si="230"/>
        <v>94112.58</v>
      </c>
      <c r="L110" s="143">
        <f t="shared" si="230"/>
        <v>155849.14000000001</v>
      </c>
      <c r="M110" s="143">
        <f t="shared" si="230"/>
        <v>244772.52000000002</v>
      </c>
      <c r="N110" s="143">
        <f t="shared" si="230"/>
        <v>239798.52000000002</v>
      </c>
      <c r="O110" s="143">
        <f t="shared" si="230"/>
        <v>224479.30851053863</v>
      </c>
      <c r="P110" s="143">
        <f t="shared" si="230"/>
        <v>291247.45390421047</v>
      </c>
      <c r="Q110" s="143">
        <f t="shared" si="230"/>
        <v>352205.26177439746</v>
      </c>
      <c r="R110" s="143">
        <f t="shared" si="230"/>
        <v>445400.87763383024</v>
      </c>
      <c r="S110" s="143">
        <f t="shared" si="230"/>
        <v>525939.46544693108</v>
      </c>
      <c r="T110" s="143">
        <f t="shared" si="230"/>
        <v>584389.58698150213</v>
      </c>
    </row>
    <row r="111" spans="2:26">
      <c r="B111" s="823"/>
      <c r="C111" s="821"/>
      <c r="D111" s="165" t="s">
        <v>15</v>
      </c>
      <c r="F111" s="143">
        <f t="shared" si="230"/>
        <v>5067.3060000000005</v>
      </c>
      <c r="G111" s="143">
        <f t="shared" si="230"/>
        <v>13964.355</v>
      </c>
      <c r="H111" s="143">
        <f t="shared" si="230"/>
        <v>15092.558999999999</v>
      </c>
      <c r="I111" s="143">
        <f t="shared" si="230"/>
        <v>13324.571999999998</v>
      </c>
      <c r="J111" s="143">
        <f t="shared" si="230"/>
        <v>20789.405999999999</v>
      </c>
      <c r="K111" s="143">
        <f t="shared" si="230"/>
        <v>42098.161</v>
      </c>
      <c r="L111" s="143">
        <f t="shared" si="230"/>
        <v>69287.112999999998</v>
      </c>
      <c r="M111" s="143">
        <f t="shared" si="230"/>
        <v>107047.63399999999</v>
      </c>
      <c r="N111" s="143">
        <f t="shared" si="230"/>
        <v>104764.33399999999</v>
      </c>
      <c r="O111" s="143">
        <f t="shared" si="230"/>
        <v>99389.067185336055</v>
      </c>
      <c r="P111" s="143">
        <f t="shared" si="230"/>
        <v>128536.25025391066</v>
      </c>
      <c r="Q111" s="143">
        <f t="shared" si="230"/>
        <v>155582.86358724305</v>
      </c>
      <c r="R111" s="143">
        <f t="shared" si="230"/>
        <v>197024.81654900714</v>
      </c>
      <c r="S111" s="143">
        <f t="shared" si="230"/>
        <v>232568.79172460717</v>
      </c>
      <c r="T111" s="143">
        <f t="shared" si="230"/>
        <v>258329.98373261144</v>
      </c>
    </row>
    <row r="112" spans="2:26">
      <c r="B112" s="823"/>
      <c r="C112" s="821"/>
      <c r="D112" s="165" t="s">
        <v>16</v>
      </c>
      <c r="F112" s="143">
        <f t="shared" si="230"/>
        <v>1088.0339999999999</v>
      </c>
      <c r="G112" s="143">
        <f t="shared" si="230"/>
        <v>2251.5949999999998</v>
      </c>
      <c r="H112" s="143">
        <f t="shared" si="230"/>
        <v>1851.951</v>
      </c>
      <c r="I112" s="143">
        <f t="shared" si="230"/>
        <v>1655.5079999999998</v>
      </c>
      <c r="J112" s="143">
        <f t="shared" si="230"/>
        <v>2484.9340000000002</v>
      </c>
      <c r="K112" s="143">
        <f t="shared" si="230"/>
        <v>6058.1290000000008</v>
      </c>
      <c r="L112" s="143">
        <f t="shared" si="230"/>
        <v>11237.457</v>
      </c>
      <c r="M112" s="143">
        <f t="shared" si="230"/>
        <v>22413.626</v>
      </c>
      <c r="N112" s="143">
        <f t="shared" si="230"/>
        <v>23034.925999999999</v>
      </c>
      <c r="O112" s="143">
        <f t="shared" si="230"/>
        <v>18444.204989620983</v>
      </c>
      <c r="P112" s="143">
        <f t="shared" si="230"/>
        <v>23189.617086182003</v>
      </c>
      <c r="Q112" s="143">
        <f t="shared" si="230"/>
        <v>29387.005519943781</v>
      </c>
      <c r="R112" s="143">
        <f t="shared" si="230"/>
        <v>36929.581377021546</v>
      </c>
      <c r="S112" s="143">
        <f t="shared" si="230"/>
        <v>43215.362937374477</v>
      </c>
      <c r="T112" s="143">
        <f t="shared" si="230"/>
        <v>49215.611455590719</v>
      </c>
    </row>
    <row r="113" spans="2:28">
      <c r="B113" s="823"/>
      <c r="C113" s="821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</row>
    <row r="114" spans="2:28">
      <c r="B114" s="823"/>
      <c r="C114" s="821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</row>
    <row r="115" spans="2:28">
      <c r="B115" s="823"/>
    </row>
    <row r="116" spans="2:28">
      <c r="B116" s="823"/>
      <c r="C116" s="165" t="s">
        <v>436</v>
      </c>
      <c r="F116" s="352">
        <f t="shared" ref="F116:S116" si="231">F108</f>
        <v>2017</v>
      </c>
      <c r="G116" s="352">
        <f t="shared" si="231"/>
        <v>2018</v>
      </c>
      <c r="H116" s="352">
        <f t="shared" si="231"/>
        <v>2019</v>
      </c>
      <c r="I116" s="352">
        <f t="shared" si="231"/>
        <v>2020</v>
      </c>
      <c r="J116" s="352">
        <f t="shared" si="231"/>
        <v>2021</v>
      </c>
      <c r="K116" s="352">
        <f t="shared" si="231"/>
        <v>2022</v>
      </c>
      <c r="L116" s="352">
        <f t="shared" si="231"/>
        <v>2023</v>
      </c>
      <c r="M116" s="352">
        <f t="shared" si="231"/>
        <v>2024</v>
      </c>
      <c r="N116" s="352">
        <f t="shared" si="231"/>
        <v>2025</v>
      </c>
      <c r="O116" s="352">
        <f t="shared" si="231"/>
        <v>2026</v>
      </c>
      <c r="P116" s="352">
        <f t="shared" si="231"/>
        <v>2027</v>
      </c>
      <c r="Q116" s="352">
        <f t="shared" si="231"/>
        <v>2028</v>
      </c>
      <c r="R116" s="352">
        <f t="shared" si="231"/>
        <v>2029</v>
      </c>
      <c r="S116" s="352">
        <f t="shared" si="231"/>
        <v>2030</v>
      </c>
      <c r="T116" s="352">
        <f>T108</f>
        <v>2031</v>
      </c>
      <c r="V116" s="352"/>
      <c r="W116" s="352"/>
      <c r="X116" s="352"/>
      <c r="Y116" s="352"/>
      <c r="Z116" s="352"/>
      <c r="AA116" s="352"/>
      <c r="AB116" s="352"/>
    </row>
    <row r="117" spans="2:28">
      <c r="B117" s="823"/>
      <c r="C117" s="821" t="s">
        <v>470</v>
      </c>
      <c r="D117" s="165" t="s">
        <v>12</v>
      </c>
      <c r="F117" s="143">
        <f>SUM($F109:F109)</f>
        <v>78990.78</v>
      </c>
      <c r="G117" s="143">
        <f>SUM($F109:G109)</f>
        <v>320461.93000000005</v>
      </c>
      <c r="H117" s="143">
        <f>SUM($F109:H109)</f>
        <v>599968.60000000009</v>
      </c>
      <c r="I117" s="143">
        <f>SUM($F109:I109)</f>
        <v>846079.96000000008</v>
      </c>
      <c r="J117" s="143">
        <f>SUM($F109:J109)</f>
        <v>1233193.74</v>
      </c>
      <c r="K117" s="143">
        <f>SUM($F109:K109)</f>
        <v>1983050.67</v>
      </c>
      <c r="L117" s="143">
        <f>SUM($F109:L109)</f>
        <v>3175168.36</v>
      </c>
      <c r="M117" s="143">
        <f>SUM($F109:M109)</f>
        <v>4849159.7799999993</v>
      </c>
      <c r="N117" s="143">
        <f>SUM($F109:N109)</f>
        <v>6451547.1999999993</v>
      </c>
      <c r="O117" s="143">
        <f>SUM($F109:O109)</f>
        <v>8085278.475835057</v>
      </c>
      <c r="P117" s="143">
        <f>SUM($F109:P109)</f>
        <v>10218706.481268451</v>
      </c>
      <c r="Q117" s="143">
        <f>SUM($F109:Q109)</f>
        <v>12758641.954860598</v>
      </c>
      <c r="R117" s="143">
        <f>SUM($F109:R109)</f>
        <v>15984995.118711673</v>
      </c>
      <c r="S117" s="143">
        <f>SUM($F109:S109)</f>
        <v>19805414.736346602</v>
      </c>
      <c r="T117" s="143">
        <f>SUM($F109:T109)</f>
        <v>24009474.204411201</v>
      </c>
      <c r="U117" s="143"/>
      <c r="V117" s="143"/>
      <c r="W117" s="143"/>
      <c r="X117" s="143"/>
      <c r="Y117" s="143"/>
      <c r="Z117" s="143"/>
      <c r="AA117" s="143"/>
      <c r="AB117" s="143"/>
    </row>
    <row r="118" spans="2:28">
      <c r="B118" s="823"/>
      <c r="C118" s="821"/>
      <c r="D118" s="165" t="s">
        <v>14</v>
      </c>
      <c r="F118" s="143">
        <f>SUM($F110:F110)</f>
        <v>10960.68</v>
      </c>
      <c r="G118" s="143">
        <f>SUM($F110:G110)</f>
        <v>41592.58</v>
      </c>
      <c r="H118" s="143">
        <f>SUM($F110:H110)</f>
        <v>75031.600000000006</v>
      </c>
      <c r="I118" s="143">
        <f>SUM($F110:I110)</f>
        <v>104541.76000000001</v>
      </c>
      <c r="J118" s="143">
        <f>SUM($F110:J110)</f>
        <v>150640.44</v>
      </c>
      <c r="K118" s="143">
        <f>SUM($F110:K110)</f>
        <v>244753.02000000002</v>
      </c>
      <c r="L118" s="143">
        <f>SUM($F110:L110)</f>
        <v>400602.16000000003</v>
      </c>
      <c r="M118" s="143">
        <f>SUM($F110:M110)</f>
        <v>645374.68000000005</v>
      </c>
      <c r="N118" s="143">
        <f>SUM($F110:N110)</f>
        <v>885173.20000000007</v>
      </c>
      <c r="O118" s="143">
        <f>SUM($F110:O110)</f>
        <v>1109652.5085105386</v>
      </c>
      <c r="P118" s="143">
        <f>SUM($F110:P110)</f>
        <v>1400899.962414749</v>
      </c>
      <c r="Q118" s="143">
        <f>SUM($F110:Q110)</f>
        <v>1753105.2241891464</v>
      </c>
      <c r="R118" s="143">
        <f>SUM($F110:R110)</f>
        <v>2198506.1018229765</v>
      </c>
      <c r="S118" s="143">
        <f>SUM($F110:S110)</f>
        <v>2724445.5672699073</v>
      </c>
      <c r="T118" s="143">
        <f>SUM($F110:T110)</f>
        <v>3308835.1542514097</v>
      </c>
      <c r="V118" s="143"/>
      <c r="W118" s="143"/>
      <c r="X118" s="143"/>
      <c r="Y118" s="143"/>
      <c r="Z118" s="143"/>
      <c r="AA118" s="143"/>
      <c r="AB118" s="143"/>
    </row>
    <row r="119" spans="2:28">
      <c r="B119" s="823"/>
      <c r="C119" s="821"/>
      <c r="D119" s="165" t="s">
        <v>15</v>
      </c>
      <c r="F119" s="143">
        <f>SUM($F111:F111)</f>
        <v>5067.3060000000005</v>
      </c>
      <c r="G119" s="143">
        <f>SUM($F111:G111)</f>
        <v>19031.661</v>
      </c>
      <c r="H119" s="143">
        <f>SUM($F111:H111)</f>
        <v>34124.22</v>
      </c>
      <c r="I119" s="143">
        <f>SUM($F111:I111)</f>
        <v>47448.792000000001</v>
      </c>
      <c r="J119" s="143">
        <f>SUM($F111:J111)</f>
        <v>68238.198000000004</v>
      </c>
      <c r="K119" s="143">
        <f>SUM($F111:K111)</f>
        <v>110336.359</v>
      </c>
      <c r="L119" s="143">
        <f>SUM($F111:L111)</f>
        <v>179623.47200000001</v>
      </c>
      <c r="M119" s="143">
        <f>SUM($F111:M111)</f>
        <v>286671.10600000003</v>
      </c>
      <c r="N119" s="143">
        <f>SUM($F111:N111)</f>
        <v>391435.44</v>
      </c>
      <c r="O119" s="143">
        <f>SUM($F111:O111)</f>
        <v>490824.50718533609</v>
      </c>
      <c r="P119" s="143">
        <f>SUM($F111:P111)</f>
        <v>619360.75743924675</v>
      </c>
      <c r="Q119" s="143">
        <f>SUM($F111:Q111)</f>
        <v>774943.62102648977</v>
      </c>
      <c r="R119" s="143">
        <f>SUM($F111:R111)</f>
        <v>971968.43757549697</v>
      </c>
      <c r="S119" s="143">
        <f>SUM($F111:S111)</f>
        <v>1204537.2293001041</v>
      </c>
      <c r="T119" s="143">
        <f>SUM($F111:T111)</f>
        <v>1462867.2130327155</v>
      </c>
      <c r="V119" s="143"/>
      <c r="W119" s="143"/>
      <c r="X119" s="143"/>
      <c r="Y119" s="143"/>
      <c r="Z119" s="143"/>
      <c r="AA119" s="143"/>
      <c r="AB119" s="143"/>
    </row>
    <row r="120" spans="2:28">
      <c r="B120" s="823"/>
      <c r="C120" s="821"/>
      <c r="D120" s="165" t="s">
        <v>16</v>
      </c>
      <c r="F120" s="143">
        <f>SUM($F112:F112)</f>
        <v>1088.0339999999999</v>
      </c>
      <c r="G120" s="143">
        <f>SUM($F112:G112)</f>
        <v>3339.6289999999999</v>
      </c>
      <c r="H120" s="143">
        <f>SUM($F112:H112)</f>
        <v>5191.58</v>
      </c>
      <c r="I120" s="143">
        <f>SUM($F112:I112)</f>
        <v>6847.0879999999997</v>
      </c>
      <c r="J120" s="143">
        <f>SUM($F112:J112)</f>
        <v>9332.0220000000008</v>
      </c>
      <c r="K120" s="143">
        <f>SUM($F112:K112)</f>
        <v>15390.151000000002</v>
      </c>
      <c r="L120" s="143">
        <f>SUM($F112:L112)</f>
        <v>26627.608</v>
      </c>
      <c r="M120" s="143">
        <f>SUM($F112:M112)</f>
        <v>49041.233999999997</v>
      </c>
      <c r="N120" s="143">
        <f>SUM($F112:N112)</f>
        <v>72076.160000000003</v>
      </c>
      <c r="O120" s="143">
        <f>SUM($F112:O112)</f>
        <v>90520.364989620983</v>
      </c>
      <c r="P120" s="143">
        <f>SUM($F112:P112)</f>
        <v>113709.98207580298</v>
      </c>
      <c r="Q120" s="143">
        <f>SUM($F112:Q112)</f>
        <v>143096.98759574676</v>
      </c>
      <c r="R120" s="143">
        <f>SUM($F112:R112)</f>
        <v>180026.56897276832</v>
      </c>
      <c r="S120" s="143">
        <f>SUM($F112:S112)</f>
        <v>223241.9319101428</v>
      </c>
      <c r="T120" s="143">
        <f>SUM($F112:T112)</f>
        <v>272457.54336573352</v>
      </c>
      <c r="V120" s="143"/>
      <c r="W120" s="143"/>
      <c r="X120" s="143"/>
      <c r="Y120" s="143"/>
      <c r="Z120" s="143"/>
      <c r="AA120" s="143"/>
      <c r="AB120" s="143"/>
    </row>
    <row r="121" spans="2:28">
      <c r="B121" s="823"/>
      <c r="C121" s="821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V121" s="143"/>
      <c r="W121" s="143"/>
      <c r="X121" s="143"/>
      <c r="Y121" s="143"/>
      <c r="Z121" s="143"/>
      <c r="AA121" s="143"/>
      <c r="AB121" s="143"/>
    </row>
    <row r="122" spans="2:28">
      <c r="B122" s="823"/>
      <c r="C122" s="821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V122" s="143"/>
      <c r="W122" s="143"/>
      <c r="X122" s="143"/>
      <c r="Y122" s="143"/>
      <c r="Z122" s="143"/>
      <c r="AA122" s="143"/>
      <c r="AB122" s="143"/>
    </row>
    <row r="123" spans="2:28">
      <c r="B123" s="823"/>
      <c r="C123" s="302"/>
    </row>
    <row r="124" spans="2:28">
      <c r="B124" s="823"/>
      <c r="C124" s="165" t="s">
        <v>436</v>
      </c>
      <c r="F124" s="352">
        <f>F108</f>
        <v>2017</v>
      </c>
      <c r="G124" s="352">
        <f t="shared" ref="G124:T124" si="232">G108</f>
        <v>2018</v>
      </c>
      <c r="H124" s="352">
        <f t="shared" si="232"/>
        <v>2019</v>
      </c>
      <c r="I124" s="352">
        <f t="shared" si="232"/>
        <v>2020</v>
      </c>
      <c r="J124" s="352">
        <f t="shared" si="232"/>
        <v>2021</v>
      </c>
      <c r="K124" s="352">
        <f t="shared" si="232"/>
        <v>2022</v>
      </c>
      <c r="L124" s="352">
        <f t="shared" si="232"/>
        <v>2023</v>
      </c>
      <c r="M124" s="352">
        <f t="shared" si="232"/>
        <v>2024</v>
      </c>
      <c r="N124" s="352">
        <f t="shared" si="232"/>
        <v>2025</v>
      </c>
      <c r="O124" s="352">
        <f t="shared" si="232"/>
        <v>2026</v>
      </c>
      <c r="P124" s="352">
        <f t="shared" si="232"/>
        <v>2027</v>
      </c>
      <c r="Q124" s="352">
        <f t="shared" si="232"/>
        <v>2028</v>
      </c>
      <c r="R124" s="352">
        <f t="shared" si="232"/>
        <v>2029</v>
      </c>
      <c r="S124" s="352">
        <f t="shared" si="232"/>
        <v>2030</v>
      </c>
      <c r="T124" s="352">
        <f t="shared" si="232"/>
        <v>2031</v>
      </c>
    </row>
    <row r="125" spans="2:28">
      <c r="B125" s="823"/>
      <c r="C125" s="821" t="s">
        <v>471</v>
      </c>
      <c r="D125" s="165" t="s">
        <v>12</v>
      </c>
      <c r="F125" s="143">
        <f t="shared" ref="F125:T125" si="233">(F$15*F$16)*$X80+(F$20*F$21)*$Y80+(F$25*F$26)*$Z80+(F$47*F$48)*$X94+(F$52*F$53)*$Y94+(F$57*F$58)*$Z94</f>
        <v>157981.56</v>
      </c>
      <c r="G125" s="143">
        <f t="shared" si="233"/>
        <v>482942.30000000005</v>
      </c>
      <c r="H125" s="143">
        <f t="shared" si="233"/>
        <v>716994.9</v>
      </c>
      <c r="I125" s="143">
        <f t="shared" si="233"/>
        <v>975165.0199999999</v>
      </c>
      <c r="J125" s="143">
        <f t="shared" si="233"/>
        <v>1491222.46</v>
      </c>
      <c r="K125" s="143">
        <f t="shared" si="233"/>
        <v>2474878.88</v>
      </c>
      <c r="L125" s="143">
        <f t="shared" si="233"/>
        <v>3875457.84</v>
      </c>
      <c r="M125" s="143">
        <f t="shared" si="233"/>
        <v>5822861.7199999997</v>
      </c>
      <c r="N125" s="143">
        <f t="shared" si="233"/>
        <v>7080232.6799999997</v>
      </c>
      <c r="O125" s="143">
        <f t="shared" si="233"/>
        <v>9090324.2716701142</v>
      </c>
      <c r="P125" s="143">
        <f t="shared" si="233"/>
        <v>11505070.250866786</v>
      </c>
      <c r="Q125" s="143">
        <f t="shared" si="233"/>
        <v>14337174.39885441</v>
      </c>
      <c r="R125" s="143">
        <f t="shared" si="233"/>
        <v>17866868.438568942</v>
      </c>
      <c r="S125" s="143">
        <f t="shared" si="233"/>
        <v>22002131.154124271</v>
      </c>
      <c r="T125" s="143">
        <f t="shared" si="233"/>
        <v>26532874.694698133</v>
      </c>
      <c r="U125" s="143"/>
    </row>
    <row r="126" spans="2:28">
      <c r="B126" s="823"/>
      <c r="C126" s="821"/>
      <c r="D126" s="165" t="s">
        <v>14</v>
      </c>
      <c r="F126" s="143">
        <f t="shared" ref="F126:T126" si="234">(F$15*F$16)*$X81+(F$20*F$21)*$Y81+(F$25*F$26)*$Z81+(F$47*F$48)*$X95+(F$52*F$53)*$Y95+(F$57*F$58)*$Z95</f>
        <v>21921.360000000001</v>
      </c>
      <c r="G126" s="143">
        <f t="shared" si="234"/>
        <v>61263.8</v>
      </c>
      <c r="H126" s="143">
        <f t="shared" si="234"/>
        <v>88799.400000000009</v>
      </c>
      <c r="I126" s="143">
        <f t="shared" si="234"/>
        <v>120284.12000000001</v>
      </c>
      <c r="J126" s="143">
        <f t="shared" si="234"/>
        <v>180996.76</v>
      </c>
      <c r="K126" s="143">
        <f t="shared" si="234"/>
        <v>308509.28000000003</v>
      </c>
      <c r="L126" s="143">
        <f t="shared" si="234"/>
        <v>492695.04000000004</v>
      </c>
      <c r="M126" s="143">
        <f t="shared" si="234"/>
        <v>798054.32000000007</v>
      </c>
      <c r="N126" s="143">
        <f t="shared" si="234"/>
        <v>972292.08000000007</v>
      </c>
      <c r="O126" s="143">
        <f t="shared" si="234"/>
        <v>1247012.9370210774</v>
      </c>
      <c r="P126" s="143">
        <f t="shared" si="234"/>
        <v>1576708.3478084207</v>
      </c>
      <c r="Q126" s="143">
        <f t="shared" si="234"/>
        <v>1968844.5405698721</v>
      </c>
      <c r="R126" s="143">
        <f t="shared" si="234"/>
        <v>2455703.2630760814</v>
      </c>
      <c r="S126" s="143">
        <f t="shared" si="234"/>
        <v>3024672.5914637339</v>
      </c>
      <c r="T126" s="143">
        <f t="shared" si="234"/>
        <v>3653710.3570390861</v>
      </c>
    </row>
    <row r="127" spans="2:28">
      <c r="B127" s="823"/>
      <c r="C127" s="821"/>
      <c r="D127" s="165" t="s">
        <v>15</v>
      </c>
      <c r="F127" s="143">
        <f t="shared" ref="F127:T127" si="235">(F$15*F$16)*$X82+(F$20*F$21)*$Y82+(F$25*F$26)*$Z82+(F$47*F$48)*$X96+(F$52*F$53)*$Y96+(F$57*F$58)*$Z96</f>
        <v>10134.612000000001</v>
      </c>
      <c r="G127" s="143">
        <f t="shared" si="235"/>
        <v>27928.71</v>
      </c>
      <c r="H127" s="143">
        <f t="shared" si="235"/>
        <v>40319.729999999996</v>
      </c>
      <c r="I127" s="143">
        <f t="shared" si="235"/>
        <v>54577.853999999992</v>
      </c>
      <c r="J127" s="143">
        <f t="shared" si="235"/>
        <v>81898.542000000001</v>
      </c>
      <c r="K127" s="143">
        <f t="shared" si="235"/>
        <v>138774.17600000001</v>
      </c>
      <c r="L127" s="143">
        <f t="shared" si="235"/>
        <v>220472.76799999998</v>
      </c>
      <c r="M127" s="143">
        <f t="shared" si="235"/>
        <v>352869.44400000002</v>
      </c>
      <c r="N127" s="143">
        <f t="shared" si="235"/>
        <v>430001.43599999999</v>
      </c>
      <c r="O127" s="143">
        <f t="shared" si="235"/>
        <v>551647.57837067207</v>
      </c>
      <c r="P127" s="143">
        <f t="shared" si="235"/>
        <v>697208.54850782116</v>
      </c>
      <c r="Q127" s="143">
        <f t="shared" si="235"/>
        <v>870472.79154515814</v>
      </c>
      <c r="R127" s="143">
        <f t="shared" si="235"/>
        <v>1085855.1036058357</v>
      </c>
      <c r="S127" s="143">
        <f t="shared" si="235"/>
        <v>1337477.4789943725</v>
      </c>
      <c r="T127" s="143">
        <f t="shared" si="235"/>
        <v>1615577.6350710585</v>
      </c>
    </row>
    <row r="128" spans="2:28">
      <c r="B128" s="823"/>
      <c r="C128" s="821"/>
      <c r="D128" s="165" t="s">
        <v>16</v>
      </c>
      <c r="F128" s="143">
        <f t="shared" ref="F128:T128" si="236">(F$15*F$16)*$X83+(F$20*F$21)*$Y83+(F$25*F$26)*$Z83+(F$47*F$48)*$X97+(F$52*F$53)*$Y97+(F$57*F$58)*$Z97</f>
        <v>2176.0680000000002</v>
      </c>
      <c r="G128" s="143">
        <f t="shared" si="236"/>
        <v>4503.1900000000005</v>
      </c>
      <c r="H128" s="143">
        <f t="shared" si="236"/>
        <v>5879.97</v>
      </c>
      <c r="I128" s="143">
        <f t="shared" si="236"/>
        <v>7814.2060000000001</v>
      </c>
      <c r="J128" s="143">
        <f t="shared" si="236"/>
        <v>10849.838</v>
      </c>
      <c r="K128" s="143">
        <f t="shared" si="236"/>
        <v>19930.464</v>
      </c>
      <c r="L128" s="143">
        <f t="shared" si="236"/>
        <v>33324.752</v>
      </c>
      <c r="M128" s="143">
        <f t="shared" si="236"/>
        <v>64757.716000000008</v>
      </c>
      <c r="N128" s="143">
        <f t="shared" si="236"/>
        <v>79394.603999999992</v>
      </c>
      <c r="O128" s="143">
        <f t="shared" si="236"/>
        <v>101646.12597924197</v>
      </c>
      <c r="P128" s="143">
        <f t="shared" si="236"/>
        <v>127949.90617236399</v>
      </c>
      <c r="Q128" s="143">
        <f t="shared" si="236"/>
        <v>160571.19101912953</v>
      </c>
      <c r="R128" s="143">
        <f t="shared" si="236"/>
        <v>200858.72692640708</v>
      </c>
      <c r="S128" s="143">
        <f t="shared" si="236"/>
        <v>247559.37289387849</v>
      </c>
      <c r="T128" s="143">
        <f t="shared" si="236"/>
        <v>300391.34583758848</v>
      </c>
    </row>
    <row r="129" spans="2:20">
      <c r="B129" s="823"/>
      <c r="C129" s="821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</row>
    <row r="130" spans="2:20">
      <c r="B130" s="823"/>
      <c r="C130" s="821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</row>
    <row r="131" spans="2:20">
      <c r="B131" s="823"/>
      <c r="C131" s="302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</row>
    <row r="132" spans="2:20">
      <c r="B132" s="823"/>
      <c r="C132" s="165" t="s">
        <v>468</v>
      </c>
      <c r="F132" s="352">
        <f>F124</f>
        <v>2017</v>
      </c>
      <c r="G132" s="352">
        <f t="shared" ref="G132:T132" si="237">G124</f>
        <v>2018</v>
      </c>
      <c r="H132" s="352">
        <f t="shared" si="237"/>
        <v>2019</v>
      </c>
      <c r="I132" s="352">
        <f t="shared" si="237"/>
        <v>2020</v>
      </c>
      <c r="J132" s="352">
        <f t="shared" si="237"/>
        <v>2021</v>
      </c>
      <c r="K132" s="352">
        <f t="shared" si="237"/>
        <v>2022</v>
      </c>
      <c r="L132" s="352">
        <f t="shared" si="237"/>
        <v>2023</v>
      </c>
      <c r="M132" s="352">
        <f t="shared" si="237"/>
        <v>2024</v>
      </c>
      <c r="N132" s="352">
        <f t="shared" si="237"/>
        <v>2025</v>
      </c>
      <c r="O132" s="352">
        <f t="shared" si="237"/>
        <v>2026</v>
      </c>
      <c r="P132" s="352">
        <f t="shared" si="237"/>
        <v>2027</v>
      </c>
      <c r="Q132" s="352">
        <f t="shared" si="237"/>
        <v>2028</v>
      </c>
      <c r="R132" s="352">
        <f t="shared" si="237"/>
        <v>2029</v>
      </c>
      <c r="S132" s="352">
        <f t="shared" si="237"/>
        <v>2030</v>
      </c>
      <c r="T132" s="352">
        <f t="shared" si="237"/>
        <v>2031</v>
      </c>
    </row>
    <row r="133" spans="2:20">
      <c r="B133" s="823"/>
      <c r="D133" s="165" t="str">
        <f>D127</f>
        <v>GS 50 - 2,999</v>
      </c>
      <c r="F133" s="143">
        <f>F89+F103</f>
        <v>69.415150684931504</v>
      </c>
      <c r="G133" s="143">
        <f t="shared" ref="G133:T135" si="238">G89+G103</f>
        <v>191.29253424657531</v>
      </c>
      <c r="H133" s="143">
        <f t="shared" si="238"/>
        <v>206.7473835616438</v>
      </c>
      <c r="I133" s="143">
        <f t="shared" si="238"/>
        <v>182.52838356164381</v>
      </c>
      <c r="J133" s="143">
        <f t="shared" si="238"/>
        <v>284.78638356164379</v>
      </c>
      <c r="K133" s="143">
        <f t="shared" si="238"/>
        <v>576.68713698630131</v>
      </c>
      <c r="L133" s="143">
        <f t="shared" si="238"/>
        <v>949.13853424657532</v>
      </c>
      <c r="M133" s="143">
        <f t="shared" si="238"/>
        <v>1466.4059452054794</v>
      </c>
      <c r="N133" s="143">
        <f t="shared" si="238"/>
        <v>1435.1278630136985</v>
      </c>
      <c r="O133" s="143">
        <f t="shared" si="238"/>
        <v>1361.4940710320006</v>
      </c>
      <c r="P133" s="143">
        <f t="shared" si="238"/>
        <v>1760.770551423434</v>
      </c>
      <c r="Q133" s="143">
        <f t="shared" si="238"/>
        <v>2131.2721039348362</v>
      </c>
      <c r="R133" s="143">
        <f t="shared" si="238"/>
        <v>2698.9700897124262</v>
      </c>
      <c r="S133" s="143">
        <f t="shared" si="238"/>
        <v>3185.8738592411937</v>
      </c>
      <c r="T133" s="143">
        <f t="shared" si="238"/>
        <v>3538.7669004467316</v>
      </c>
    </row>
    <row r="134" spans="2:20">
      <c r="B134" s="823"/>
      <c r="D134" s="165" t="str">
        <f>D128</f>
        <v>GS 3,000 - 4,999</v>
      </c>
      <c r="F134" s="143">
        <f>F90+F104</f>
        <v>14.904575342465751</v>
      </c>
      <c r="G134" s="143">
        <f t="shared" si="238"/>
        <v>30.84376712328767</v>
      </c>
      <c r="H134" s="143">
        <f t="shared" si="238"/>
        <v>25.369191780821918</v>
      </c>
      <c r="I134" s="143">
        <f t="shared" si="238"/>
        <v>22.678191780821916</v>
      </c>
      <c r="J134" s="143">
        <f t="shared" si="238"/>
        <v>34.040191780821914</v>
      </c>
      <c r="K134" s="143">
        <f t="shared" si="238"/>
        <v>82.988068493150692</v>
      </c>
      <c r="L134" s="143">
        <f t="shared" si="238"/>
        <v>153.93776712328764</v>
      </c>
      <c r="M134" s="143">
        <f t="shared" si="238"/>
        <v>307.03597260273978</v>
      </c>
      <c r="N134" s="143">
        <f t="shared" si="238"/>
        <v>315.54693150684932</v>
      </c>
      <c r="O134" s="143">
        <f t="shared" si="238"/>
        <v>252.66034232357509</v>
      </c>
      <c r="P134" s="143">
        <f t="shared" si="238"/>
        <v>317.66598748194519</v>
      </c>
      <c r="Q134" s="143">
        <f t="shared" si="238"/>
        <v>402.56171945128466</v>
      </c>
      <c r="R134" s="143">
        <f t="shared" si="238"/>
        <v>505.88467639755538</v>
      </c>
      <c r="S134" s="143">
        <f t="shared" si="238"/>
        <v>591.99127311471887</v>
      </c>
      <c r="T134" s="143">
        <f t="shared" si="238"/>
        <v>674.18645829576315</v>
      </c>
    </row>
    <row r="135" spans="2:20">
      <c r="B135" s="823"/>
      <c r="F135" s="143">
        <f>F91+F105</f>
        <v>0</v>
      </c>
      <c r="G135" s="143">
        <f t="shared" si="238"/>
        <v>0</v>
      </c>
      <c r="H135" s="143">
        <f t="shared" si="238"/>
        <v>0</v>
      </c>
      <c r="I135" s="143">
        <f t="shared" si="238"/>
        <v>0</v>
      </c>
      <c r="J135" s="143">
        <f t="shared" si="238"/>
        <v>0</v>
      </c>
      <c r="K135" s="143">
        <f t="shared" si="238"/>
        <v>0</v>
      </c>
      <c r="L135" s="143">
        <f t="shared" si="238"/>
        <v>0</v>
      </c>
      <c r="M135" s="143">
        <f t="shared" si="238"/>
        <v>0</v>
      </c>
      <c r="N135" s="143">
        <f t="shared" si="238"/>
        <v>0</v>
      </c>
      <c r="O135" s="143">
        <f t="shared" si="238"/>
        <v>0</v>
      </c>
      <c r="P135" s="143">
        <f t="shared" si="238"/>
        <v>0</v>
      </c>
      <c r="Q135" s="143">
        <f t="shared" si="238"/>
        <v>0</v>
      </c>
      <c r="R135" s="143">
        <f t="shared" si="238"/>
        <v>0</v>
      </c>
      <c r="S135" s="143">
        <f t="shared" si="238"/>
        <v>0</v>
      </c>
      <c r="T135" s="143">
        <f t="shared" si="238"/>
        <v>0</v>
      </c>
    </row>
    <row r="136" spans="2:20">
      <c r="B136" s="82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</row>
    <row r="137" spans="2:20">
      <c r="B137" s="823"/>
      <c r="C137" s="165" t="s">
        <v>472</v>
      </c>
      <c r="F137" s="352">
        <f>F132</f>
        <v>2017</v>
      </c>
      <c r="G137" s="352">
        <f t="shared" ref="G137:T137" si="239">G132</f>
        <v>2018</v>
      </c>
      <c r="H137" s="352">
        <f t="shared" si="239"/>
        <v>2019</v>
      </c>
      <c r="I137" s="352">
        <f t="shared" si="239"/>
        <v>2020</v>
      </c>
      <c r="J137" s="352">
        <f t="shared" si="239"/>
        <v>2021</v>
      </c>
      <c r="K137" s="352">
        <f t="shared" si="239"/>
        <v>2022</v>
      </c>
      <c r="L137" s="352">
        <f t="shared" si="239"/>
        <v>2023</v>
      </c>
      <c r="M137" s="352">
        <f t="shared" si="239"/>
        <v>2024</v>
      </c>
      <c r="N137" s="352">
        <f t="shared" si="239"/>
        <v>2025</v>
      </c>
      <c r="O137" s="352">
        <f t="shared" si="239"/>
        <v>2026</v>
      </c>
      <c r="P137" s="352">
        <f t="shared" si="239"/>
        <v>2027</v>
      </c>
      <c r="Q137" s="352">
        <f t="shared" si="239"/>
        <v>2028</v>
      </c>
      <c r="R137" s="352">
        <f t="shared" si="239"/>
        <v>2029</v>
      </c>
      <c r="S137" s="352">
        <f t="shared" si="239"/>
        <v>2030</v>
      </c>
      <c r="T137" s="352">
        <f t="shared" si="239"/>
        <v>2031</v>
      </c>
    </row>
    <row r="138" spans="2:20">
      <c r="B138" s="823"/>
      <c r="D138" s="165" t="str">
        <f>D133</f>
        <v>GS 50 - 2,999</v>
      </c>
      <c r="F138" s="143">
        <f>SUM($F133:F133)</f>
        <v>69.415150684931504</v>
      </c>
      <c r="G138" s="143">
        <f>SUM($F133:G133)</f>
        <v>260.70768493150683</v>
      </c>
      <c r="H138" s="143">
        <f>SUM($F133:H133)</f>
        <v>467.45506849315063</v>
      </c>
      <c r="I138" s="143">
        <f>SUM($F133:I133)</f>
        <v>649.9834520547945</v>
      </c>
      <c r="J138" s="143">
        <f>SUM($F133:J133)</f>
        <v>934.76983561643829</v>
      </c>
      <c r="K138" s="143">
        <f>SUM($F133:K133)</f>
        <v>1511.4569726027396</v>
      </c>
      <c r="L138" s="143">
        <f>SUM($F133:L133)</f>
        <v>2460.5955068493149</v>
      </c>
      <c r="M138" s="143">
        <f>SUM($F133:M133)</f>
        <v>3927.0014520547943</v>
      </c>
      <c r="N138" s="143">
        <f>SUM($F133:N133)</f>
        <v>5362.1293150684924</v>
      </c>
      <c r="O138" s="143">
        <f>SUM($F133:O133)</f>
        <v>6723.623386100493</v>
      </c>
      <c r="P138" s="143">
        <f>SUM($F133:P133)</f>
        <v>8484.3939375239279</v>
      </c>
      <c r="Q138" s="143">
        <f>SUM($F133:Q133)</f>
        <v>10615.666041458764</v>
      </c>
      <c r="R138" s="143">
        <f>SUM($F133:R133)</f>
        <v>13314.63613117119</v>
      </c>
      <c r="S138" s="143">
        <f>SUM($F133:S133)</f>
        <v>16500.509990412385</v>
      </c>
      <c r="T138" s="143">
        <f>SUM($F133:T133)</f>
        <v>20039.276890859117</v>
      </c>
    </row>
    <row r="139" spans="2:20">
      <c r="B139" s="823"/>
      <c r="D139" s="165" t="str">
        <f>D134</f>
        <v>GS 3,000 - 4,999</v>
      </c>
      <c r="F139" s="143">
        <f>SUM($F134:F134)</f>
        <v>14.904575342465751</v>
      </c>
      <c r="G139" s="143">
        <f>SUM($F134:G134)</f>
        <v>45.748342465753424</v>
      </c>
      <c r="H139" s="143">
        <f>SUM($F134:H134)</f>
        <v>71.117534246575346</v>
      </c>
      <c r="I139" s="143">
        <f>SUM($F134:I134)</f>
        <v>93.795726027397265</v>
      </c>
      <c r="J139" s="143">
        <f>SUM($F134:J134)</f>
        <v>127.83591780821918</v>
      </c>
      <c r="K139" s="143">
        <f>SUM($F134:K134)</f>
        <v>210.82398630136987</v>
      </c>
      <c r="L139" s="143">
        <f>SUM($F134:L134)</f>
        <v>364.76175342465751</v>
      </c>
      <c r="M139" s="143">
        <f>SUM($F134:M134)</f>
        <v>671.79772602739729</v>
      </c>
      <c r="N139" s="143">
        <f>SUM($F134:N134)</f>
        <v>987.34465753424661</v>
      </c>
      <c r="O139" s="143">
        <f>SUM($F134:O134)</f>
        <v>1240.0049998578218</v>
      </c>
      <c r="P139" s="143">
        <f>SUM($F134:P134)</f>
        <v>1557.670987339767</v>
      </c>
      <c r="Q139" s="143">
        <f>SUM($F134:Q134)</f>
        <v>1960.2327067910517</v>
      </c>
      <c r="R139" s="143">
        <f>SUM($F134:R134)</f>
        <v>2466.1173831886072</v>
      </c>
      <c r="S139" s="143">
        <f>SUM($F134:S134)</f>
        <v>3058.1086563033259</v>
      </c>
      <c r="T139" s="143">
        <f>SUM($F134:T134)</f>
        <v>3732.2951145990892</v>
      </c>
    </row>
    <row r="140" spans="2:20">
      <c r="B140" s="823"/>
      <c r="F140" s="143">
        <f>SUM($F135:F135)</f>
        <v>0</v>
      </c>
      <c r="G140" s="143">
        <f>SUM($F135:G135)</f>
        <v>0</v>
      </c>
      <c r="H140" s="143">
        <f>SUM($F135:H135)</f>
        <v>0</v>
      </c>
      <c r="I140" s="143">
        <f>SUM($F135:I135)</f>
        <v>0</v>
      </c>
      <c r="J140" s="143">
        <f>SUM($F135:J135)</f>
        <v>0</v>
      </c>
      <c r="K140" s="143">
        <f>SUM($F135:K135)</f>
        <v>0</v>
      </c>
      <c r="L140" s="143">
        <f>SUM($F135:L135)</f>
        <v>0</v>
      </c>
      <c r="M140" s="143">
        <f>SUM($F135:M135)</f>
        <v>0</v>
      </c>
      <c r="N140" s="143">
        <f>SUM($F135:N135)</f>
        <v>0</v>
      </c>
      <c r="O140" s="143">
        <f>SUM($F135:O135)</f>
        <v>0</v>
      </c>
      <c r="P140" s="143">
        <f>SUM($F135:P135)</f>
        <v>0</v>
      </c>
      <c r="Q140" s="143">
        <f>SUM($F135:Q135)</f>
        <v>0</v>
      </c>
      <c r="R140" s="143">
        <f>SUM($F135:R135)</f>
        <v>0</v>
      </c>
      <c r="S140" s="143">
        <f>SUM($F135:S135)</f>
        <v>0</v>
      </c>
      <c r="T140" s="143">
        <f>SUM($F135:T135)</f>
        <v>0</v>
      </c>
    </row>
    <row r="141" spans="2:20">
      <c r="B141" s="48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</row>
    <row r="142" spans="2:20">
      <c r="B142" s="483"/>
      <c r="F142" s="195">
        <f t="shared" ref="F142:S143" si="240">G142</f>
        <v>0.55702439345813581</v>
      </c>
      <c r="G142" s="195">
        <f t="shared" si="240"/>
        <v>0.55702439345813581</v>
      </c>
      <c r="H142" s="195">
        <f t="shared" si="240"/>
        <v>0.55702439345813581</v>
      </c>
      <c r="I142" s="195">
        <f t="shared" si="240"/>
        <v>0.55702439345813581</v>
      </c>
      <c r="J142" s="195">
        <f t="shared" si="240"/>
        <v>0.55702439345813581</v>
      </c>
      <c r="K142" s="195">
        <f t="shared" si="240"/>
        <v>0.55702439345813581</v>
      </c>
      <c r="L142" s="195">
        <f t="shared" si="240"/>
        <v>0.55702439345813581</v>
      </c>
      <c r="M142" s="195">
        <f t="shared" si="240"/>
        <v>0.55702439345813581</v>
      </c>
      <c r="N142" s="195">
        <f t="shared" si="240"/>
        <v>0.55702439345813581</v>
      </c>
      <c r="O142" s="195">
        <f t="shared" si="240"/>
        <v>0.55702439345813581</v>
      </c>
      <c r="P142" s="195">
        <f t="shared" si="240"/>
        <v>0.55702439345813581</v>
      </c>
      <c r="Q142" s="195">
        <f t="shared" si="240"/>
        <v>0.55702439345813581</v>
      </c>
      <c r="R142" s="195">
        <f t="shared" si="240"/>
        <v>0.55702439345813581</v>
      </c>
      <c r="S142" s="195">
        <f>T142</f>
        <v>0.55702439345813581</v>
      </c>
      <c r="T142" s="486">
        <f>12/(8760*'kW Forecast'!AS33)</f>
        <v>0.55702439345813581</v>
      </c>
    </row>
    <row r="143" spans="2:20">
      <c r="B143" s="483"/>
      <c r="F143" s="195">
        <f t="shared" si="240"/>
        <v>0.71791790292602142</v>
      </c>
      <c r="G143" s="195">
        <f t="shared" si="240"/>
        <v>0.71791790292602142</v>
      </c>
      <c r="H143" s="195">
        <f t="shared" si="240"/>
        <v>0.71791790292602142</v>
      </c>
      <c r="I143" s="195">
        <f t="shared" si="240"/>
        <v>0.71791790292602142</v>
      </c>
      <c r="J143" s="195">
        <f t="shared" si="240"/>
        <v>0.71791790292602142</v>
      </c>
      <c r="K143" s="195">
        <f t="shared" si="240"/>
        <v>0.71791790292602142</v>
      </c>
      <c r="L143" s="195">
        <f t="shared" si="240"/>
        <v>0.71791790292602142</v>
      </c>
      <c r="M143" s="195">
        <f t="shared" si="240"/>
        <v>0.71791790292602142</v>
      </c>
      <c r="N143" s="195">
        <f t="shared" si="240"/>
        <v>0.71791790292602142</v>
      </c>
      <c r="O143" s="195">
        <f t="shared" si="240"/>
        <v>0.71791790292602142</v>
      </c>
      <c r="P143" s="195">
        <f t="shared" si="240"/>
        <v>0.71791790292602142</v>
      </c>
      <c r="Q143" s="195">
        <f t="shared" si="240"/>
        <v>0.71791790292602142</v>
      </c>
      <c r="R143" s="195">
        <f t="shared" si="240"/>
        <v>0.71791790292602142</v>
      </c>
      <c r="S143" s="195">
        <f t="shared" si="240"/>
        <v>0.71791790292602142</v>
      </c>
      <c r="T143" s="486">
        <f>12/(8760*'kW Forecast'!BA33)</f>
        <v>0.71791790292602142</v>
      </c>
    </row>
    <row r="144" spans="2:20">
      <c r="B144" s="483"/>
      <c r="F144" s="195"/>
      <c r="G144" s="195"/>
      <c r="H144" s="195"/>
      <c r="I144" s="195"/>
      <c r="J144" s="195"/>
      <c r="K144" s="195"/>
      <c r="L144" s="195"/>
      <c r="M144" s="195"/>
      <c r="N144" s="195"/>
      <c r="O144" s="195"/>
      <c r="P144" s="195"/>
      <c r="Q144" s="195"/>
      <c r="R144" s="195"/>
      <c r="S144" s="195"/>
      <c r="T144" s="486"/>
    </row>
    <row r="145" spans="2:25">
      <c r="B145" s="483"/>
      <c r="T145" s="161"/>
    </row>
    <row r="146" spans="2:25">
      <c r="B146" s="483"/>
      <c r="F146" s="178">
        <f t="shared" ref="F146:T147" si="241">F128/F142/8760*12</f>
        <v>5.3514982530422825</v>
      </c>
      <c r="G146" s="178">
        <f t="shared" si="241"/>
        <v>11.074476265501573</v>
      </c>
      <c r="H146" s="178">
        <f t="shared" si="241"/>
        <v>14.460324393787801</v>
      </c>
      <c r="I146" s="178">
        <f t="shared" si="241"/>
        <v>19.217096964760533</v>
      </c>
      <c r="J146" s="178">
        <f t="shared" si="241"/>
        <v>26.68247917932333</v>
      </c>
      <c r="K146" s="178">
        <f t="shared" si="241"/>
        <v>49.014021289004802</v>
      </c>
      <c r="L146" s="178">
        <f t="shared" si="241"/>
        <v>81.95394266680421</v>
      </c>
      <c r="M146" s="178">
        <f t="shared" si="241"/>
        <v>159.25550306562494</v>
      </c>
      <c r="N146" s="178">
        <f t="shared" si="241"/>
        <v>195.25129022024299</v>
      </c>
      <c r="O146" s="178">
        <f t="shared" si="241"/>
        <v>249.97337657023087</v>
      </c>
      <c r="P146" s="178">
        <f t="shared" si="241"/>
        <v>314.66098456405302</v>
      </c>
      <c r="Q146" s="178">
        <f t="shared" si="241"/>
        <v>394.88492465666991</v>
      </c>
      <c r="R146" s="178">
        <f t="shared" si="241"/>
        <v>493.96210332350108</v>
      </c>
      <c r="S146" s="178">
        <f t="shared" si="241"/>
        <v>608.81073181804686</v>
      </c>
      <c r="T146" s="178">
        <f>T128/T142/8760*12</f>
        <v>738.73783469950149</v>
      </c>
    </row>
    <row r="147" spans="2:25">
      <c r="B147" s="483"/>
      <c r="F147" s="178">
        <f t="shared" si="241"/>
        <v>0</v>
      </c>
      <c r="G147" s="178">
        <f t="shared" si="241"/>
        <v>0</v>
      </c>
      <c r="H147" s="178">
        <f t="shared" si="241"/>
        <v>0</v>
      </c>
      <c r="I147" s="178">
        <f t="shared" si="241"/>
        <v>0</v>
      </c>
      <c r="J147" s="178">
        <f t="shared" si="241"/>
        <v>0</v>
      </c>
      <c r="K147" s="178">
        <f t="shared" si="241"/>
        <v>0</v>
      </c>
      <c r="L147" s="178">
        <f t="shared" si="241"/>
        <v>0</v>
      </c>
      <c r="M147" s="178">
        <f t="shared" si="241"/>
        <v>0</v>
      </c>
      <c r="N147" s="178">
        <f t="shared" si="241"/>
        <v>0</v>
      </c>
      <c r="O147" s="178">
        <f t="shared" si="241"/>
        <v>0</v>
      </c>
      <c r="P147" s="178">
        <f t="shared" si="241"/>
        <v>0</v>
      </c>
      <c r="Q147" s="178">
        <f t="shared" si="241"/>
        <v>0</v>
      </c>
      <c r="R147" s="178">
        <f t="shared" si="241"/>
        <v>0</v>
      </c>
      <c r="S147" s="178">
        <f t="shared" si="241"/>
        <v>0</v>
      </c>
      <c r="T147" s="178">
        <f t="shared" si="241"/>
        <v>0</v>
      </c>
    </row>
    <row r="148" spans="2:25">
      <c r="B148" s="483"/>
      <c r="F148" s="178"/>
      <c r="G148" s="178"/>
      <c r="H148" s="178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</row>
    <row r="149" spans="2:25">
      <c r="B149" s="483"/>
      <c r="T149" s="161"/>
    </row>
    <row r="150" spans="2:25">
      <c r="B150" s="483"/>
      <c r="M150" s="143">
        <f>M138-M146</f>
        <v>3767.7459489891694</v>
      </c>
      <c r="N150" s="143">
        <f>N138-N146-$M150</f>
        <v>1399.1320758590796</v>
      </c>
      <c r="O150" s="143">
        <f t="shared" ref="O150:S150" si="242">O138-O146</f>
        <v>6473.6500095302617</v>
      </c>
      <c r="P150" s="143">
        <f t="shared" si="242"/>
        <v>8169.7329529598746</v>
      </c>
      <c r="Q150" s="143">
        <f t="shared" si="242"/>
        <v>10220.781116802094</v>
      </c>
      <c r="R150" s="143">
        <f t="shared" si="242"/>
        <v>12820.674027847688</v>
      </c>
      <c r="S150" s="143">
        <f t="shared" si="242"/>
        <v>15891.699258594339</v>
      </c>
      <c r="T150" s="143">
        <f>T138-T146</f>
        <v>19300.539056159614</v>
      </c>
    </row>
    <row r="151" spans="2:25">
      <c r="B151" s="483"/>
      <c r="M151" s="143">
        <f t="shared" ref="M151" si="243">M139-M147</f>
        <v>671.79772602739729</v>
      </c>
      <c r="N151" s="143">
        <f>N139-N147-$M151</f>
        <v>315.54693150684932</v>
      </c>
      <c r="O151" s="143">
        <f t="shared" ref="O151:T151" si="244">O139-O147-$M151</f>
        <v>568.20727383042447</v>
      </c>
      <c r="P151" s="143">
        <f t="shared" si="244"/>
        <v>885.87326131236966</v>
      </c>
      <c r="Q151" s="143">
        <f t="shared" si="244"/>
        <v>1288.4349807636545</v>
      </c>
      <c r="R151" s="143">
        <f t="shared" si="244"/>
        <v>1794.3196571612098</v>
      </c>
      <c r="S151" s="143">
        <f t="shared" si="244"/>
        <v>2386.3109302759285</v>
      </c>
      <c r="T151" s="143">
        <f t="shared" si="244"/>
        <v>3060.4973885716918</v>
      </c>
    </row>
    <row r="152" spans="2:25">
      <c r="B152" s="483"/>
      <c r="N152" s="143"/>
      <c r="O152" s="143"/>
      <c r="P152" s="143"/>
      <c r="Q152" s="143"/>
      <c r="R152" s="143"/>
      <c r="S152" s="143"/>
      <c r="T152" s="143"/>
    </row>
    <row r="153" spans="2:25">
      <c r="B153" s="48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</row>
    <row r="154" spans="2:25">
      <c r="B154" s="483"/>
      <c r="F154" s="143"/>
      <c r="G154" s="143"/>
      <c r="H154" s="143"/>
      <c r="I154" s="143"/>
      <c r="J154" s="143"/>
      <c r="K154" s="143"/>
      <c r="L154" s="143"/>
      <c r="M154" s="487"/>
      <c r="N154" s="487"/>
      <c r="O154" s="487"/>
      <c r="P154" s="487"/>
      <c r="Q154" s="487"/>
      <c r="R154" s="487"/>
      <c r="S154" s="487"/>
      <c r="T154" s="487"/>
    </row>
    <row r="156" spans="2:25">
      <c r="F156" s="165">
        <v>2023</v>
      </c>
      <c r="G156" s="165">
        <v>2024</v>
      </c>
      <c r="H156" s="165">
        <v>2025</v>
      </c>
      <c r="I156" s="165">
        <v>2026</v>
      </c>
      <c r="J156" s="165">
        <v>2027</v>
      </c>
      <c r="K156" s="165">
        <v>2028</v>
      </c>
      <c r="L156" s="165">
        <v>2029</v>
      </c>
      <c r="M156" s="165">
        <v>2030</v>
      </c>
      <c r="N156" s="165">
        <v>2031</v>
      </c>
    </row>
    <row r="157" spans="2:25">
      <c r="E157" s="165" t="s">
        <v>473</v>
      </c>
      <c r="F157" s="143">
        <f t="shared" ref="F157:N158" si="245">L14+L46</f>
        <v>518</v>
      </c>
      <c r="G157" s="143">
        <f t="shared" si="245"/>
        <v>674</v>
      </c>
      <c r="H157" s="143">
        <f t="shared" si="245"/>
        <v>484</v>
      </c>
      <c r="I157" s="143">
        <f t="shared" si="245"/>
        <v>761.60333876814639</v>
      </c>
      <c r="J157" s="143">
        <f t="shared" si="245"/>
        <v>974.78039891950755</v>
      </c>
      <c r="K157" s="143">
        <f t="shared" si="245"/>
        <v>1196.1799001414161</v>
      </c>
      <c r="L157" s="143">
        <f t="shared" si="245"/>
        <v>1426.0454692526325</v>
      </c>
      <c r="M157" s="143">
        <f t="shared" si="245"/>
        <v>1664.6271891682418</v>
      </c>
      <c r="N157" s="143">
        <f t="shared" si="245"/>
        <v>1912.1817596927735</v>
      </c>
      <c r="O157" s="165" t="s">
        <v>474</v>
      </c>
      <c r="Q157" s="143"/>
      <c r="R157" s="143"/>
      <c r="S157" s="143"/>
      <c r="T157" s="143"/>
      <c r="U157" s="143"/>
      <c r="V157" s="143"/>
      <c r="W157" s="143"/>
      <c r="X157" s="143"/>
      <c r="Y157" s="143"/>
    </row>
    <row r="158" spans="2:25">
      <c r="E158" s="165" t="s">
        <v>475</v>
      </c>
      <c r="F158" s="143">
        <f t="shared" si="245"/>
        <v>1456</v>
      </c>
      <c r="G158" s="143">
        <f t="shared" si="245"/>
        <v>2130</v>
      </c>
      <c r="H158" s="143">
        <f t="shared" si="245"/>
        <v>2614</v>
      </c>
      <c r="I158" s="143">
        <f t="shared" si="245"/>
        <v>3375.6033387681464</v>
      </c>
      <c r="J158" s="143">
        <f t="shared" si="245"/>
        <v>4288.3837376876536</v>
      </c>
      <c r="K158" s="143">
        <f t="shared" si="245"/>
        <v>5347.5636378290701</v>
      </c>
      <c r="L158" s="143">
        <f t="shared" si="245"/>
        <v>6683.6091070817019</v>
      </c>
      <c r="M158" s="143">
        <f t="shared" si="245"/>
        <v>8254.2362962499428</v>
      </c>
      <c r="N158" s="143">
        <f t="shared" si="245"/>
        <v>9968.4180559427186</v>
      </c>
      <c r="O158" s="165" t="s">
        <v>476</v>
      </c>
      <c r="Q158" s="143"/>
      <c r="R158" s="143"/>
      <c r="S158" s="143"/>
      <c r="T158" s="143"/>
      <c r="U158" s="143"/>
      <c r="V158" s="143"/>
      <c r="W158" s="143"/>
      <c r="X158" s="143"/>
      <c r="Y158" s="143"/>
    </row>
    <row r="159" spans="2:25">
      <c r="E159" s="165" t="s">
        <v>477</v>
      </c>
      <c r="F159" s="143">
        <f t="shared" ref="F159:N159" si="246">L18+L50</f>
        <v>3610521.6000000001</v>
      </c>
      <c r="G159" s="143">
        <f t="shared" si="246"/>
        <v>5388246.7999999998</v>
      </c>
      <c r="H159" s="143">
        <f t="shared" si="246"/>
        <v>7065232</v>
      </c>
      <c r="I159" s="143">
        <f t="shared" si="246"/>
        <v>8850965.0630312599</v>
      </c>
      <c r="J159" s="143">
        <f t="shared" si="246"/>
        <v>11198308.379646879</v>
      </c>
      <c r="K159" s="143">
        <f t="shared" si="246"/>
        <v>13964275.595285608</v>
      </c>
      <c r="L159" s="143">
        <f t="shared" si="246"/>
        <v>17483294.275141723</v>
      </c>
      <c r="M159" s="143">
        <f t="shared" si="246"/>
        <v>21658667.585137673</v>
      </c>
      <c r="N159" s="143">
        <f t="shared" si="246"/>
        <v>26227203.608607102</v>
      </c>
      <c r="O159" s="161" t="s">
        <v>478</v>
      </c>
      <c r="Q159" s="178"/>
      <c r="R159" s="178"/>
      <c r="S159" s="178"/>
      <c r="T159" s="178"/>
      <c r="U159" s="178"/>
      <c r="V159" s="178"/>
      <c r="W159" s="178"/>
      <c r="X159" s="178"/>
      <c r="Y159" s="178"/>
    </row>
    <row r="160" spans="2:25">
      <c r="E160" s="165" t="s">
        <v>479</v>
      </c>
      <c r="G160" s="143">
        <f>G159-F159</f>
        <v>1777725.1999999997</v>
      </c>
      <c r="H160" s="143">
        <f>H159-G159</f>
        <v>1676985.2000000002</v>
      </c>
      <c r="I160" s="143">
        <f>I159-H159</f>
        <v>1785733.0630312599</v>
      </c>
      <c r="J160" s="143">
        <f t="shared" ref="J160:M160" si="247">J159-I159</f>
        <v>2347343.3166156188</v>
      </c>
      <c r="K160" s="143">
        <f t="shared" si="247"/>
        <v>2765967.2156387288</v>
      </c>
      <c r="L160" s="143">
        <f t="shared" si="247"/>
        <v>3519018.679856116</v>
      </c>
      <c r="M160" s="143">
        <f t="shared" si="247"/>
        <v>4175373.3099959493</v>
      </c>
      <c r="N160" s="143">
        <f>N159-M159</f>
        <v>4568536.0234694295</v>
      </c>
      <c r="O160" s="165" t="s">
        <v>480</v>
      </c>
      <c r="Q160" s="178"/>
      <c r="R160" s="178"/>
      <c r="S160" s="178"/>
      <c r="T160" s="178"/>
      <c r="U160" s="178"/>
      <c r="V160" s="178"/>
      <c r="W160" s="178"/>
      <c r="X160" s="178"/>
      <c r="Y160" s="178"/>
    </row>
    <row r="161" spans="5:32">
      <c r="E161" s="165" t="s">
        <v>452</v>
      </c>
      <c r="F161" s="143">
        <f>L19+L51</f>
        <v>3</v>
      </c>
      <c r="G161" s="143">
        <f t="shared" ref="G161:N161" si="248">M19+M51</f>
        <v>4</v>
      </c>
      <c r="H161" s="143">
        <f t="shared" si="248"/>
        <v>6</v>
      </c>
      <c r="I161" s="143">
        <f t="shared" si="248"/>
        <v>10.670715471377338</v>
      </c>
      <c r="J161" s="143">
        <f t="shared" si="248"/>
        <v>13.657508777167145</v>
      </c>
      <c r="K161" s="143">
        <f t="shared" si="248"/>
        <v>16.759505528999995</v>
      </c>
      <c r="L161" s="143">
        <f t="shared" si="248"/>
        <v>19.980119147395285</v>
      </c>
      <c r="M161" s="143">
        <f t="shared" si="248"/>
        <v>23.322853508314797</v>
      </c>
      <c r="N161" s="143">
        <f t="shared" si="248"/>
        <v>26.791305196012125</v>
      </c>
      <c r="O161" s="165" t="s">
        <v>481</v>
      </c>
      <c r="Q161" s="143"/>
      <c r="R161" s="143"/>
      <c r="S161" s="143"/>
      <c r="T161" s="143"/>
      <c r="U161" s="143"/>
      <c r="V161" s="143"/>
      <c r="W161" s="143"/>
      <c r="X161" s="143"/>
      <c r="Y161" s="143"/>
    </row>
    <row r="162" spans="5:32">
      <c r="E162" s="165" t="s">
        <v>475</v>
      </c>
      <c r="F162" s="143">
        <f>L20+L52</f>
        <v>23</v>
      </c>
      <c r="G162" s="143">
        <f t="shared" ref="G162:N162" si="249">M20+M52</f>
        <v>27</v>
      </c>
      <c r="H162" s="143">
        <f t="shared" si="249"/>
        <v>33</v>
      </c>
      <c r="I162" s="143">
        <f t="shared" si="249"/>
        <v>43.670715471377335</v>
      </c>
      <c r="J162" s="143">
        <f t="shared" si="249"/>
        <v>48.328224248544487</v>
      </c>
      <c r="K162" s="143">
        <f t="shared" si="249"/>
        <v>62.087729777544482</v>
      </c>
      <c r="L162" s="143">
        <f t="shared" si="249"/>
        <v>82.067848924939767</v>
      </c>
      <c r="M162" s="143">
        <f t="shared" si="249"/>
        <v>102.39070243325456</v>
      </c>
      <c r="N162" s="160">
        <f t="shared" si="249"/>
        <v>129.18200762926671</v>
      </c>
      <c r="O162" s="165" t="s">
        <v>482</v>
      </c>
      <c r="Q162" s="143"/>
      <c r="R162" s="143"/>
      <c r="S162" s="143"/>
      <c r="T162" s="143"/>
      <c r="U162" s="143"/>
      <c r="V162" s="143"/>
      <c r="W162" s="143"/>
      <c r="X162" s="143"/>
      <c r="Y162" s="143"/>
    </row>
    <row r="163" spans="5:32">
      <c r="E163" s="165" t="s">
        <v>477</v>
      </c>
      <c r="F163" s="143">
        <f t="shared" ref="F163:N163" si="250">L23+L55</f>
        <v>66500</v>
      </c>
      <c r="G163" s="143">
        <f t="shared" si="250"/>
        <v>79000</v>
      </c>
      <c r="H163" s="143">
        <f t="shared" si="250"/>
        <v>102000</v>
      </c>
      <c r="I163" s="143">
        <f t="shared" si="250"/>
        <v>135433.92329821459</v>
      </c>
      <c r="J163" s="143">
        <f t="shared" si="250"/>
        <v>150461.52875563456</v>
      </c>
      <c r="K163" s="143">
        <f t="shared" si="250"/>
        <v>194007.66872015633</v>
      </c>
      <c r="L163" s="143">
        <f t="shared" si="250"/>
        <v>257476.27352988103</v>
      </c>
      <c r="M163" s="143">
        <f t="shared" si="250"/>
        <v>323283.22332263086</v>
      </c>
      <c r="N163" s="143">
        <f t="shared" si="250"/>
        <v>409856.66445580317</v>
      </c>
      <c r="O163" s="161" t="s">
        <v>483</v>
      </c>
      <c r="Q163" s="178"/>
      <c r="R163" s="178"/>
      <c r="S163" s="178"/>
      <c r="T163" s="178"/>
      <c r="U163" s="178"/>
      <c r="V163" s="178"/>
      <c r="W163" s="178"/>
      <c r="X163" s="178"/>
      <c r="Y163" s="178"/>
    </row>
    <row r="164" spans="5:32">
      <c r="E164" s="165" t="s">
        <v>479</v>
      </c>
      <c r="F164" s="143"/>
      <c r="G164" s="143">
        <f>G163-F163</f>
        <v>12500</v>
      </c>
      <c r="H164" s="143">
        <f t="shared" ref="H164:N164" si="251">H163-G163</f>
        <v>23000</v>
      </c>
      <c r="I164" s="143">
        <f t="shared" si="251"/>
        <v>33433.923298214591</v>
      </c>
      <c r="J164" s="143">
        <f t="shared" si="251"/>
        <v>15027.605457419966</v>
      </c>
      <c r="K164" s="143">
        <f t="shared" si="251"/>
        <v>43546.139964521775</v>
      </c>
      <c r="L164" s="143">
        <f t="shared" si="251"/>
        <v>63468.604809724697</v>
      </c>
      <c r="M164" s="143">
        <f t="shared" si="251"/>
        <v>65806.949792749831</v>
      </c>
      <c r="N164" s="143">
        <f t="shared" si="251"/>
        <v>86573.441133172309</v>
      </c>
      <c r="O164" s="165" t="s">
        <v>484</v>
      </c>
      <c r="Q164" s="178"/>
      <c r="R164" s="178"/>
      <c r="S164" s="178"/>
      <c r="T164" s="178"/>
      <c r="U164" s="178"/>
      <c r="V164" s="178"/>
      <c r="W164" s="178"/>
      <c r="X164" s="178"/>
      <c r="Y164" s="178"/>
    </row>
    <row r="165" spans="5:32">
      <c r="E165" s="165" t="s">
        <v>485</v>
      </c>
      <c r="F165" s="143">
        <f>L24+L56</f>
        <v>17</v>
      </c>
      <c r="G165" s="143">
        <f t="shared" ref="G165:N165" si="252">M24+M56</f>
        <v>69</v>
      </c>
      <c r="H165" s="143">
        <f t="shared" si="252"/>
        <v>21</v>
      </c>
      <c r="I165" s="143">
        <f t="shared" si="252"/>
        <v>31.29229006369307</v>
      </c>
      <c r="J165" s="143">
        <f t="shared" si="252"/>
        <v>40.051178137859601</v>
      </c>
      <c r="K165" s="143">
        <f t="shared" si="252"/>
        <v>49.147904818967326</v>
      </c>
      <c r="L165" s="143">
        <f t="shared" si="252"/>
        <v>58.592480096064207</v>
      </c>
      <c r="M165" s="143">
        <f t="shared" si="252"/>
        <v>68.395179222317395</v>
      </c>
      <c r="N165" s="143">
        <f t="shared" si="252"/>
        <v>78.566549321582258</v>
      </c>
      <c r="O165" s="165" t="s">
        <v>486</v>
      </c>
      <c r="Q165" s="143"/>
      <c r="R165" s="143"/>
      <c r="S165" s="143"/>
      <c r="T165" s="143"/>
      <c r="U165" s="143"/>
      <c r="V165" s="143"/>
      <c r="W165" s="143"/>
      <c r="X165" s="143"/>
      <c r="Y165" s="143"/>
    </row>
    <row r="166" spans="5:32">
      <c r="E166" s="165" t="s">
        <v>475</v>
      </c>
      <c r="F166" s="143">
        <f>L25+L57</f>
        <v>26</v>
      </c>
      <c r="G166" s="143">
        <f t="shared" ref="G166:N166" si="253">M25+M57</f>
        <v>95</v>
      </c>
      <c r="H166" s="143">
        <f t="shared" si="253"/>
        <v>116</v>
      </c>
      <c r="I166" s="143">
        <f t="shared" si="253"/>
        <v>147.29229006369306</v>
      </c>
      <c r="J166" s="143">
        <f t="shared" si="253"/>
        <v>187.34346820155267</v>
      </c>
      <c r="K166" s="143">
        <f t="shared" si="253"/>
        <v>236.49137302052</v>
      </c>
      <c r="L166" s="143">
        <f t="shared" si="253"/>
        <v>295.08385311658424</v>
      </c>
      <c r="M166" s="143">
        <f t="shared" si="253"/>
        <v>363.47903233890162</v>
      </c>
      <c r="N166" s="143">
        <f t="shared" si="253"/>
        <v>442.04558166048389</v>
      </c>
      <c r="O166" s="165" t="s">
        <v>487</v>
      </c>
      <c r="Q166" s="143"/>
      <c r="R166" s="143"/>
      <c r="S166" s="143"/>
      <c r="T166" s="143"/>
      <c r="U166" s="143"/>
      <c r="V166" s="143"/>
      <c r="W166" s="143"/>
      <c r="X166" s="143"/>
      <c r="Y166" s="143"/>
    </row>
    <row r="167" spans="5:32">
      <c r="E167" s="165" t="s">
        <v>477</v>
      </c>
      <c r="F167" s="143">
        <f t="shared" ref="F167:N167" si="254">L28+L60</f>
        <v>105000</v>
      </c>
      <c r="G167" s="143">
        <f t="shared" si="254"/>
        <v>363000</v>
      </c>
      <c r="H167" s="143">
        <f t="shared" si="254"/>
        <v>633000</v>
      </c>
      <c r="I167" s="143">
        <f t="shared" si="254"/>
        <v>789876.8701910791</v>
      </c>
      <c r="J167" s="143">
        <f t="shared" si="254"/>
        <v>1003907.2747957372</v>
      </c>
      <c r="K167" s="143">
        <f t="shared" si="254"/>
        <v>1271504.5236662182</v>
      </c>
      <c r="L167" s="143">
        <f t="shared" si="254"/>
        <v>1594725.6784113129</v>
      </c>
      <c r="M167" s="143">
        <f t="shared" si="254"/>
        <v>1975688.6563664577</v>
      </c>
      <c r="N167" s="143">
        <f t="shared" si="254"/>
        <v>2416573.8419981566</v>
      </c>
      <c r="O167" s="165" t="s">
        <v>488</v>
      </c>
      <c r="Q167" s="178"/>
      <c r="R167" s="178"/>
      <c r="S167" s="178"/>
      <c r="T167" s="178"/>
      <c r="U167" s="178"/>
      <c r="V167" s="178"/>
      <c r="W167" s="178"/>
      <c r="X167" s="178"/>
      <c r="Y167" s="178"/>
    </row>
    <row r="168" spans="5:32">
      <c r="E168" s="165" t="s">
        <v>479</v>
      </c>
      <c r="G168" s="143">
        <f>G167-F167</f>
        <v>258000</v>
      </c>
      <c r="H168" s="143">
        <f t="shared" ref="H168:I168" si="255">H167-G167</f>
        <v>270000</v>
      </c>
      <c r="I168" s="143">
        <f t="shared" si="255"/>
        <v>156876.8701910791</v>
      </c>
      <c r="J168" s="143">
        <f t="shared" ref="J168" si="256">J167-I167</f>
        <v>214030.40460465814</v>
      </c>
      <c r="K168" s="143">
        <f t="shared" ref="K168:N168" si="257">K167-J167</f>
        <v>267597.24887048092</v>
      </c>
      <c r="L168" s="143">
        <f t="shared" ref="L168" si="258">L167-K167</f>
        <v>323221.15474509471</v>
      </c>
      <c r="M168" s="143">
        <f t="shared" si="257"/>
        <v>380962.97795514483</v>
      </c>
      <c r="N168" s="143">
        <f t="shared" si="257"/>
        <v>440885.18563169893</v>
      </c>
      <c r="O168" s="165" t="s">
        <v>489</v>
      </c>
      <c r="Q168" s="178"/>
      <c r="R168" s="178"/>
      <c r="S168" s="178"/>
      <c r="T168" s="178"/>
      <c r="U168" s="178"/>
      <c r="V168" s="178"/>
      <c r="W168" s="178"/>
      <c r="X168" s="178"/>
      <c r="Y168" s="178"/>
    </row>
    <row r="169" spans="5:32">
      <c r="L169" s="197"/>
    </row>
    <row r="170" spans="5:32">
      <c r="I170" s="820">
        <v>2024</v>
      </c>
      <c r="J170" s="820"/>
      <c r="K170" s="820"/>
      <c r="L170" s="820">
        <v>2025</v>
      </c>
      <c r="M170" s="820"/>
      <c r="N170" s="820"/>
      <c r="O170" s="820">
        <v>2026</v>
      </c>
      <c r="P170" s="820"/>
      <c r="Q170" s="820"/>
      <c r="R170" s="820">
        <v>2027</v>
      </c>
      <c r="S170" s="820"/>
      <c r="T170" s="820"/>
      <c r="U170" s="820">
        <v>2028</v>
      </c>
      <c r="V170" s="820"/>
      <c r="W170" s="820"/>
      <c r="X170" s="820">
        <v>2029</v>
      </c>
      <c r="Y170" s="820"/>
      <c r="Z170" s="820"/>
      <c r="AA170" s="820">
        <v>2030</v>
      </c>
      <c r="AB170" s="820"/>
      <c r="AC170" s="820"/>
      <c r="AD170" s="820">
        <v>2031</v>
      </c>
      <c r="AE170" s="820"/>
      <c r="AF170" s="820"/>
    </row>
    <row r="171" spans="5:32">
      <c r="F171" s="186" t="str">
        <f t="shared" ref="F171:H175" si="259">X79</f>
        <v>Passenger/SUV</v>
      </c>
      <c r="G171" s="186" t="str">
        <f t="shared" si="259"/>
        <v>Van</v>
      </c>
      <c r="H171" s="186" t="str">
        <f t="shared" si="259"/>
        <v>Pick-up Truck</v>
      </c>
      <c r="I171" s="165" t="str">
        <f>F171</f>
        <v>Passenger/SUV</v>
      </c>
      <c r="J171" s="165" t="str">
        <f t="shared" ref="J171:Q171" si="260">G171</f>
        <v>Van</v>
      </c>
      <c r="K171" s="165" t="str">
        <f t="shared" si="260"/>
        <v>Pick-up Truck</v>
      </c>
      <c r="L171" s="165" t="str">
        <f t="shared" si="260"/>
        <v>Passenger/SUV</v>
      </c>
      <c r="M171" s="165" t="str">
        <f t="shared" si="260"/>
        <v>Van</v>
      </c>
      <c r="N171" s="165" t="str">
        <f t="shared" si="260"/>
        <v>Pick-up Truck</v>
      </c>
      <c r="O171" s="165" t="str">
        <f t="shared" si="260"/>
        <v>Passenger/SUV</v>
      </c>
      <c r="P171" s="165" t="str">
        <f t="shared" si="260"/>
        <v>Van</v>
      </c>
      <c r="Q171" s="165" t="str">
        <f t="shared" si="260"/>
        <v>Pick-up Truck</v>
      </c>
      <c r="R171" s="165" t="str">
        <f t="shared" ref="R171" si="261">O171</f>
        <v>Passenger/SUV</v>
      </c>
      <c r="S171" s="165" t="str">
        <f t="shared" ref="S171" si="262">P171</f>
        <v>Van</v>
      </c>
      <c r="T171" s="165" t="str">
        <f t="shared" ref="T171" si="263">Q171</f>
        <v>Pick-up Truck</v>
      </c>
      <c r="U171" s="165" t="str">
        <f t="shared" ref="U171" si="264">R171</f>
        <v>Passenger/SUV</v>
      </c>
      <c r="V171" s="165" t="str">
        <f t="shared" ref="V171" si="265">S171</f>
        <v>Van</v>
      </c>
      <c r="W171" s="165" t="str">
        <f t="shared" ref="W171" si="266">T171</f>
        <v>Pick-up Truck</v>
      </c>
      <c r="X171" s="165" t="str">
        <f t="shared" ref="X171" si="267">U171</f>
        <v>Passenger/SUV</v>
      </c>
      <c r="Y171" s="165" t="str">
        <f t="shared" ref="Y171" si="268">V171</f>
        <v>Van</v>
      </c>
      <c r="Z171" s="165" t="str">
        <f t="shared" ref="Z171" si="269">W171</f>
        <v>Pick-up Truck</v>
      </c>
      <c r="AA171" s="165" t="str">
        <f t="shared" ref="AA171" si="270">X171</f>
        <v>Passenger/SUV</v>
      </c>
      <c r="AB171" s="165" t="str">
        <f t="shared" ref="AB171" si="271">Y171</f>
        <v>Van</v>
      </c>
      <c r="AC171" s="165" t="str">
        <f t="shared" ref="AC171" si="272">Z171</f>
        <v>Pick-up Truck</v>
      </c>
      <c r="AD171" s="165" t="str">
        <f t="shared" ref="AD171" si="273">AA171</f>
        <v>Passenger/SUV</v>
      </c>
      <c r="AE171" s="165" t="str">
        <f t="shared" ref="AE171" si="274">AB171</f>
        <v>Van</v>
      </c>
      <c r="AF171" s="165" t="str">
        <f t="shared" ref="AF171" si="275">AC171</f>
        <v>Pick-up Truck</v>
      </c>
    </row>
    <row r="172" spans="5:32">
      <c r="E172" s="165" t="str">
        <f>W80</f>
        <v>Residential</v>
      </c>
      <c r="F172" s="177">
        <f t="shared" si="259"/>
        <v>0.85</v>
      </c>
      <c r="G172" s="177">
        <f t="shared" si="259"/>
        <v>0.65</v>
      </c>
      <c r="H172" s="177">
        <f t="shared" si="259"/>
        <v>0.6</v>
      </c>
      <c r="I172" s="178">
        <f t="shared" ref="I172:K175" si="276">F172*I$177</f>
        <v>1511066.4199999997</v>
      </c>
      <c r="J172" s="178">
        <f t="shared" si="276"/>
        <v>8125</v>
      </c>
      <c r="K172" s="178">
        <f t="shared" si="276"/>
        <v>154800</v>
      </c>
      <c r="L172" s="178">
        <f>$F172*L$177</f>
        <v>1425437.4200000002</v>
      </c>
      <c r="M172" s="178">
        <f>$G172*M$177</f>
        <v>14950</v>
      </c>
      <c r="N172" s="178">
        <f>$H172*N$177</f>
        <v>162000</v>
      </c>
      <c r="O172" s="178">
        <f>$F172*O$177</f>
        <v>1517873.103576571</v>
      </c>
      <c r="P172" s="178">
        <f>$G172*P$177</f>
        <v>21732.050143839486</v>
      </c>
      <c r="Q172" s="178">
        <f>$H172*Q$177</f>
        <v>94126.122114647456</v>
      </c>
      <c r="R172" s="178">
        <f>$F172*R$177</f>
        <v>1995241.8191232758</v>
      </c>
      <c r="S172" s="178">
        <f>$G172*S$177</f>
        <v>9767.9435473229787</v>
      </c>
      <c r="T172" s="178">
        <f>$H172*T$177</f>
        <v>128418.24276279488</v>
      </c>
      <c r="U172" s="178">
        <f>$F172*U$177</f>
        <v>2351072.1332929195</v>
      </c>
      <c r="V172" s="178">
        <f>$G172*V$177</f>
        <v>28304.990976939156</v>
      </c>
      <c r="W172" s="178">
        <f>$H172*W$177</f>
        <v>160558.34932228856</v>
      </c>
      <c r="X172" s="178">
        <f>$F172*X$177</f>
        <v>2991165.8778776983</v>
      </c>
      <c r="Y172" s="178">
        <f>$G172*Y$177</f>
        <v>41254.593126321051</v>
      </c>
      <c r="Z172" s="178">
        <f>$H172*Z$177</f>
        <v>193932.69284705681</v>
      </c>
      <c r="AA172" s="178">
        <f>$F172*AA$177</f>
        <v>3549067.3134965566</v>
      </c>
      <c r="AB172" s="178">
        <f>$G172*AB$177</f>
        <v>42774.517365287393</v>
      </c>
      <c r="AC172" s="178">
        <f>$H172*AC$177</f>
        <v>228577.7867730869</v>
      </c>
      <c r="AD172" s="178">
        <f>$F172*AD$177</f>
        <v>3883255.6199490149</v>
      </c>
      <c r="AE172" s="178">
        <f>$G172*AE$177</f>
        <v>56272.736736562001</v>
      </c>
      <c r="AF172" s="178">
        <f>$H172*AF$177</f>
        <v>264531.11137901933</v>
      </c>
    </row>
    <row r="173" spans="5:32">
      <c r="E173" s="165" t="str">
        <f>W81</f>
        <v>GS&lt;50</v>
      </c>
      <c r="F173" s="177">
        <f t="shared" si="259"/>
        <v>0.1</v>
      </c>
      <c r="G173" s="177">
        <f t="shared" si="259"/>
        <v>0.2</v>
      </c>
      <c r="H173" s="177">
        <f t="shared" si="259"/>
        <v>0.25</v>
      </c>
      <c r="I173" s="178">
        <f t="shared" si="276"/>
        <v>177772.52</v>
      </c>
      <c r="J173" s="178">
        <f t="shared" si="276"/>
        <v>2500</v>
      </c>
      <c r="K173" s="178">
        <f t="shared" si="276"/>
        <v>64500</v>
      </c>
      <c r="L173" s="178">
        <f>$F173*L$177</f>
        <v>167698.52000000002</v>
      </c>
      <c r="M173" s="178">
        <f>$G173*M$177</f>
        <v>4600</v>
      </c>
      <c r="N173" s="178">
        <f>$H173*N$177</f>
        <v>67500</v>
      </c>
      <c r="O173" s="178">
        <f>$F173*O$177</f>
        <v>178573.30630312601</v>
      </c>
      <c r="P173" s="178">
        <f>$G173*P$177</f>
        <v>6686.784659642919</v>
      </c>
      <c r="Q173" s="178">
        <f>$H173*Q$177</f>
        <v>39219.217547769775</v>
      </c>
      <c r="R173" s="178">
        <f>$F173*R$177</f>
        <v>234734.33166156188</v>
      </c>
      <c r="S173" s="178">
        <f>$G173*S$177</f>
        <v>3005.5210914839936</v>
      </c>
      <c r="T173" s="178">
        <f>$H173*T$177</f>
        <v>53507.601151164534</v>
      </c>
      <c r="U173" s="178">
        <f>$F173*U$177</f>
        <v>276596.72156387288</v>
      </c>
      <c r="V173" s="178">
        <f>$G173*V$177</f>
        <v>8709.2279929043561</v>
      </c>
      <c r="W173" s="178">
        <f>$H173*W$177</f>
        <v>66899.312217620231</v>
      </c>
      <c r="X173" s="178">
        <f>$F173*X$177</f>
        <v>351901.86798561161</v>
      </c>
      <c r="Y173" s="178">
        <f>$G173*Y$177</f>
        <v>12693.72096194494</v>
      </c>
      <c r="Z173" s="178">
        <f>$H173*Z$177</f>
        <v>80805.288686273678</v>
      </c>
      <c r="AA173" s="178">
        <f>$F173*AA$177</f>
        <v>417537.33099959494</v>
      </c>
      <c r="AB173" s="178">
        <f>$G173*AB$177</f>
        <v>13161.389958549968</v>
      </c>
      <c r="AC173" s="178">
        <f>$H173*AC$177</f>
        <v>95240.744488786208</v>
      </c>
      <c r="AD173" s="178">
        <f>$F173*AD$177</f>
        <v>456853.60234694299</v>
      </c>
      <c r="AE173" s="178">
        <f>$G173*AE$177</f>
        <v>17314.688226634462</v>
      </c>
      <c r="AF173" s="178">
        <f>$H173*AF$177</f>
        <v>110221.29640792473</v>
      </c>
    </row>
    <row r="174" spans="5:32">
      <c r="E174" s="165" t="str">
        <f>W82</f>
        <v>GS 50 - 2,999</v>
      </c>
      <c r="F174" s="177">
        <f t="shared" si="259"/>
        <v>4.4999999999999998E-2</v>
      </c>
      <c r="G174" s="177">
        <f t="shared" si="259"/>
        <v>0.1</v>
      </c>
      <c r="H174" s="177">
        <f t="shared" si="259"/>
        <v>0.1</v>
      </c>
      <c r="I174" s="178">
        <f t="shared" si="276"/>
        <v>79997.633999999991</v>
      </c>
      <c r="J174" s="178">
        <f t="shared" si="276"/>
        <v>1250</v>
      </c>
      <c r="K174" s="178">
        <f t="shared" si="276"/>
        <v>25800</v>
      </c>
      <c r="L174" s="178">
        <f>$F174*L$177</f>
        <v>75464.334000000003</v>
      </c>
      <c r="M174" s="178">
        <f>$G174*M$177</f>
        <v>2300</v>
      </c>
      <c r="N174" s="178">
        <f>$H174*N$177</f>
        <v>27000</v>
      </c>
      <c r="O174" s="178">
        <f>$F174*O$177</f>
        <v>80357.987836406697</v>
      </c>
      <c r="P174" s="178">
        <f>$G174*P$177</f>
        <v>3343.3923298214595</v>
      </c>
      <c r="Q174" s="178">
        <f>$H174*Q$177</f>
        <v>15687.687019107911</v>
      </c>
      <c r="R174" s="178">
        <f>$F174*R$177</f>
        <v>105630.44924770284</v>
      </c>
      <c r="S174" s="178">
        <f>$G174*S$177</f>
        <v>1502.7605457419968</v>
      </c>
      <c r="T174" s="178">
        <f>$H174*T$177</f>
        <v>21403.040460465814</v>
      </c>
      <c r="U174" s="178">
        <f>$F174*U$177</f>
        <v>124468.52470374279</v>
      </c>
      <c r="V174" s="178">
        <f>$G174*V$177</f>
        <v>4354.6139964521781</v>
      </c>
      <c r="W174" s="178">
        <f>$H174*W$177</f>
        <v>26759.724887048094</v>
      </c>
      <c r="X174" s="178">
        <f>$F174*X$177</f>
        <v>158355.84059352521</v>
      </c>
      <c r="Y174" s="178">
        <f>$G174*Y$177</f>
        <v>6346.8604809724702</v>
      </c>
      <c r="Z174" s="178">
        <f>$H174*Z$177</f>
        <v>32322.115474509472</v>
      </c>
      <c r="AA174" s="178">
        <f>$F174*AA$177</f>
        <v>187891.79894981772</v>
      </c>
      <c r="AB174" s="178">
        <f>$G174*AB$177</f>
        <v>6580.6949792749838</v>
      </c>
      <c r="AC174" s="178">
        <f>$H174*AC$177</f>
        <v>38096.297795514482</v>
      </c>
      <c r="AD174" s="178">
        <f>$F174*AD$177</f>
        <v>205584.12105612431</v>
      </c>
      <c r="AE174" s="178">
        <f>$G174*AE$177</f>
        <v>8657.3441133172309</v>
      </c>
      <c r="AF174" s="178">
        <f>$H174*AF$177</f>
        <v>44088.518563169899</v>
      </c>
    </row>
    <row r="175" spans="5:32">
      <c r="E175" s="165" t="str">
        <f>W83</f>
        <v>GS 3,000 - 4,999</v>
      </c>
      <c r="F175" s="177">
        <f t="shared" si="259"/>
        <v>5.0000000000000001E-3</v>
      </c>
      <c r="G175" s="177">
        <f t="shared" si="259"/>
        <v>0.05</v>
      </c>
      <c r="H175" s="177">
        <f t="shared" si="259"/>
        <v>0.05</v>
      </c>
      <c r="I175" s="178">
        <f t="shared" si="276"/>
        <v>8888.6259999999984</v>
      </c>
      <c r="J175" s="178">
        <f t="shared" si="276"/>
        <v>625</v>
      </c>
      <c r="K175" s="178">
        <f t="shared" si="276"/>
        <v>12900</v>
      </c>
      <c r="L175" s="178">
        <f>$F175*L$177</f>
        <v>8384.9260000000013</v>
      </c>
      <c r="M175" s="178">
        <f>$G175*M$177</f>
        <v>1150</v>
      </c>
      <c r="N175" s="178">
        <f>$H175*N$177</f>
        <v>13500</v>
      </c>
      <c r="O175" s="178">
        <f>$F175*O$177</f>
        <v>8928.6653151563005</v>
      </c>
      <c r="P175" s="178">
        <f>$G175*P$177</f>
        <v>1671.6961649107297</v>
      </c>
      <c r="Q175" s="178">
        <f>$H175*Q$177</f>
        <v>7843.8435095539553</v>
      </c>
      <c r="R175" s="178">
        <f>$F175*R$177</f>
        <v>11736.716583078094</v>
      </c>
      <c r="S175" s="178">
        <f>$G175*S$177</f>
        <v>751.3802728709984</v>
      </c>
      <c r="T175" s="178">
        <f>$H175*T$177</f>
        <v>10701.520230232907</v>
      </c>
      <c r="U175" s="178">
        <f>$F175*U$177</f>
        <v>13829.836078193644</v>
      </c>
      <c r="V175" s="178">
        <f>$G175*V$177</f>
        <v>2177.306998226089</v>
      </c>
      <c r="W175" s="178">
        <f>$H175*W$177</f>
        <v>13379.862443524047</v>
      </c>
      <c r="X175" s="178">
        <f>$F175*X$177</f>
        <v>17595.09339928058</v>
      </c>
      <c r="Y175" s="178">
        <f>$G175*Y$177</f>
        <v>3173.4302404862351</v>
      </c>
      <c r="Z175" s="178">
        <f>$H175*Z$177</f>
        <v>16161.057737254736</v>
      </c>
      <c r="AA175" s="178">
        <f>$F175*AA$177</f>
        <v>20876.866549979746</v>
      </c>
      <c r="AB175" s="178">
        <f>$G175*AB$177</f>
        <v>3290.3474896374919</v>
      </c>
      <c r="AC175" s="178">
        <f>$H175*AC$177</f>
        <v>19048.148897757241</v>
      </c>
      <c r="AD175" s="178">
        <f>$F175*AD$177</f>
        <v>22842.680117347147</v>
      </c>
      <c r="AE175" s="178">
        <f>$G175*AE$177</f>
        <v>4328.6720566586155</v>
      </c>
      <c r="AF175" s="178">
        <f>$H175*AF$177</f>
        <v>22044.259281584949</v>
      </c>
    </row>
    <row r="176" spans="5:32">
      <c r="F176" s="177"/>
      <c r="G176" s="177"/>
      <c r="H176" s="177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</row>
    <row r="177" spans="5:32">
      <c r="I177" s="185">
        <f>G160</f>
        <v>1777725.1999999997</v>
      </c>
      <c r="J177" s="185">
        <f>G164</f>
        <v>12500</v>
      </c>
      <c r="K177" s="185">
        <f>G168</f>
        <v>258000</v>
      </c>
      <c r="L177" s="185">
        <f>H160</f>
        <v>1676985.2000000002</v>
      </c>
      <c r="M177" s="185">
        <f>H164</f>
        <v>23000</v>
      </c>
      <c r="N177" s="185">
        <f>H168</f>
        <v>270000</v>
      </c>
      <c r="O177" s="185">
        <f>I160</f>
        <v>1785733.0630312599</v>
      </c>
      <c r="P177" s="185">
        <f>I164</f>
        <v>33433.923298214591</v>
      </c>
      <c r="Q177" s="185">
        <f>I168</f>
        <v>156876.8701910791</v>
      </c>
      <c r="R177" s="185">
        <f>J160</f>
        <v>2347343.3166156188</v>
      </c>
      <c r="S177" s="185">
        <f>J164</f>
        <v>15027.605457419966</v>
      </c>
      <c r="T177" s="185">
        <f>J168</f>
        <v>214030.40460465814</v>
      </c>
      <c r="U177" s="185">
        <f>K160</f>
        <v>2765967.2156387288</v>
      </c>
      <c r="V177" s="185">
        <f>K164</f>
        <v>43546.139964521775</v>
      </c>
      <c r="W177" s="185">
        <f>K168</f>
        <v>267597.24887048092</v>
      </c>
      <c r="X177" s="185">
        <f>L160</f>
        <v>3519018.679856116</v>
      </c>
      <c r="Y177" s="185">
        <f>L164</f>
        <v>63468.604809724697</v>
      </c>
      <c r="Z177" s="185">
        <f>L168</f>
        <v>323221.15474509471</v>
      </c>
      <c r="AA177" s="185">
        <f>M160</f>
        <v>4175373.3099959493</v>
      </c>
      <c r="AB177" s="185">
        <f>M164</f>
        <v>65806.949792749831</v>
      </c>
      <c r="AC177" s="185">
        <f>M168</f>
        <v>380962.97795514483</v>
      </c>
      <c r="AD177" s="185">
        <f>N160</f>
        <v>4568536.0234694295</v>
      </c>
      <c r="AE177" s="185">
        <f>N164</f>
        <v>86573.441133172309</v>
      </c>
      <c r="AF177" s="185">
        <f>N168</f>
        <v>440885.18563169893</v>
      </c>
    </row>
    <row r="180" spans="5:32">
      <c r="F180" s="165" t="s">
        <v>490</v>
      </c>
      <c r="G180" s="165" t="s">
        <v>491</v>
      </c>
      <c r="H180" s="165" t="s">
        <v>492</v>
      </c>
      <c r="I180" s="165" t="s">
        <v>493</v>
      </c>
      <c r="J180" s="165" t="s">
        <v>494</v>
      </c>
      <c r="K180" s="165" t="s">
        <v>495</v>
      </c>
      <c r="L180" s="165" t="s">
        <v>496</v>
      </c>
      <c r="M180" s="165" t="s">
        <v>497</v>
      </c>
    </row>
    <row r="181" spans="5:32">
      <c r="E181" s="165" t="str">
        <f>E172</f>
        <v>Residential</v>
      </c>
      <c r="F181" s="178">
        <f>SUM(I172:K172)</f>
        <v>1673991.4199999997</v>
      </c>
      <c r="G181" s="178">
        <f>SUM(L172:N172)</f>
        <v>1602387.4200000002</v>
      </c>
      <c r="H181" s="178">
        <f>SUM(O172:Q172)</f>
        <v>1633731.275835058</v>
      </c>
      <c r="I181" s="178">
        <f>SUM(R172:T172)</f>
        <v>2133428.0054333936</v>
      </c>
      <c r="J181" s="178">
        <f>SUM(U172:W172)</f>
        <v>2539935.4735921472</v>
      </c>
      <c r="K181" s="178">
        <f>SUM(X172:Z172)</f>
        <v>3226353.1638510763</v>
      </c>
      <c r="L181" s="178">
        <f>SUM(AA172:AC172)</f>
        <v>3820419.6176349311</v>
      </c>
      <c r="M181" s="178">
        <f>SUM(AD172:AF172)</f>
        <v>4204059.4680645959</v>
      </c>
      <c r="N181" s="178"/>
      <c r="O181" s="178"/>
    </row>
    <row r="182" spans="5:32">
      <c r="E182" s="165" t="str">
        <f>E173</f>
        <v>GS&lt;50</v>
      </c>
      <c r="F182" s="178">
        <f>SUM(I173:K173)</f>
        <v>244772.52</v>
      </c>
      <c r="G182" s="178">
        <f>SUM(L173:N173)</f>
        <v>239798.52000000002</v>
      </c>
      <c r="H182" s="178">
        <f t="shared" ref="H182:H184" si="277">SUM(O173:Q173)</f>
        <v>224479.30851053871</v>
      </c>
      <c r="I182" s="178">
        <f t="shared" ref="I182:I184" si="278">SUM(R173:T173)</f>
        <v>291247.45390421042</v>
      </c>
      <c r="J182" s="178">
        <f t="shared" ref="J182:J184" si="279">SUM(U173:W173)</f>
        <v>352205.26177439746</v>
      </c>
      <c r="K182" s="178">
        <f t="shared" ref="K182:K184" si="280">SUM(X173:Z173)</f>
        <v>445400.87763383024</v>
      </c>
      <c r="L182" s="178">
        <f t="shared" ref="L182:L184" si="281">SUM(AA173:AC173)</f>
        <v>525939.46544693108</v>
      </c>
      <c r="M182" s="178">
        <f t="shared" ref="M182:M184" si="282">SUM(AD173:AF173)</f>
        <v>584389.58698150213</v>
      </c>
      <c r="N182" s="178"/>
      <c r="O182" s="178"/>
    </row>
    <row r="183" spans="5:32">
      <c r="E183" s="165" t="str">
        <f>E174</f>
        <v>GS 50 - 2,999</v>
      </c>
      <c r="F183" s="178">
        <f t="shared" ref="F183" si="283">SUM(I174:K174)</f>
        <v>107047.63399999999</v>
      </c>
      <c r="G183" s="178">
        <f>SUM(L174:N174)</f>
        <v>104764.334</v>
      </c>
      <c r="H183" s="178">
        <f t="shared" si="277"/>
        <v>99389.067185336069</v>
      </c>
      <c r="I183" s="178">
        <f t="shared" si="278"/>
        <v>128536.25025391065</v>
      </c>
      <c r="J183" s="178">
        <f t="shared" si="279"/>
        <v>155582.86358724305</v>
      </c>
      <c r="K183" s="178">
        <f t="shared" si="280"/>
        <v>197024.81654900717</v>
      </c>
      <c r="L183" s="178">
        <f t="shared" si="281"/>
        <v>232568.7917246072</v>
      </c>
      <c r="M183" s="178">
        <f t="shared" si="282"/>
        <v>258329.98373261144</v>
      </c>
      <c r="N183" s="178"/>
      <c r="O183" s="178"/>
    </row>
    <row r="184" spans="5:32">
      <c r="E184" s="165" t="str">
        <f t="shared" ref="E184" si="284">E175</f>
        <v>GS 3,000 - 4,999</v>
      </c>
      <c r="F184" s="178">
        <f t="shared" ref="F184" si="285">SUM(I175:K175)</f>
        <v>22413.625999999997</v>
      </c>
      <c r="G184" s="178">
        <f t="shared" ref="G184" si="286">SUM(L175:N175)</f>
        <v>23034.925999999999</v>
      </c>
      <c r="H184" s="178">
        <f t="shared" si="277"/>
        <v>18444.204989620986</v>
      </c>
      <c r="I184" s="178">
        <f t="shared" si="278"/>
        <v>23189.617086181999</v>
      </c>
      <c r="J184" s="178">
        <f t="shared" si="279"/>
        <v>29387.005519943781</v>
      </c>
      <c r="K184" s="178">
        <f t="shared" si="280"/>
        <v>36929.581377021554</v>
      </c>
      <c r="L184" s="178">
        <f t="shared" si="281"/>
        <v>43215.362937374477</v>
      </c>
      <c r="M184" s="178">
        <f t="shared" si="282"/>
        <v>49215.611455590712</v>
      </c>
      <c r="N184" s="178"/>
      <c r="O184" s="178"/>
    </row>
    <row r="185" spans="5:32"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</row>
    <row r="186" spans="5:32">
      <c r="E186" s="165" t="s">
        <v>290</v>
      </c>
      <c r="F186" s="176">
        <f>SUM(F181:F185)</f>
        <v>2048225.1999999997</v>
      </c>
      <c r="G186" s="176">
        <f t="shared" ref="G186:M186" si="287">SUM(G181:G185)</f>
        <v>1969985.2000000002</v>
      </c>
      <c r="H186" s="176">
        <f t="shared" si="287"/>
        <v>1976043.8565205536</v>
      </c>
      <c r="I186" s="176">
        <f t="shared" si="287"/>
        <v>2576401.3266776968</v>
      </c>
      <c r="J186" s="176">
        <f t="shared" si="287"/>
        <v>3077110.6044737315</v>
      </c>
      <c r="K186" s="176">
        <f t="shared" si="287"/>
        <v>3905708.4394109352</v>
      </c>
      <c r="L186" s="176">
        <f t="shared" si="287"/>
        <v>4622143.2377438433</v>
      </c>
      <c r="M186" s="176">
        <f t="shared" si="287"/>
        <v>5095994.6502343006</v>
      </c>
      <c r="N186" s="176"/>
      <c r="O186" s="176"/>
    </row>
    <row r="188" spans="5:32">
      <c r="F188" s="165" t="s">
        <v>498</v>
      </c>
      <c r="G188" s="165" t="s">
        <v>499</v>
      </c>
      <c r="H188" s="165" t="s">
        <v>500</v>
      </c>
      <c r="I188" s="165" t="s">
        <v>501</v>
      </c>
      <c r="J188" s="165" t="s">
        <v>502</v>
      </c>
      <c r="K188" s="165" t="s">
        <v>503</v>
      </c>
      <c r="L188" s="165" t="s">
        <v>504</v>
      </c>
      <c r="M188" s="165" t="s">
        <v>505</v>
      </c>
    </row>
    <row r="189" spans="5:32">
      <c r="E189" s="165" t="str">
        <f>E181</f>
        <v>Residential</v>
      </c>
      <c r="F189" s="178">
        <f>SUM(F181:$F181)</f>
        <v>1673991.4199999997</v>
      </c>
      <c r="G189" s="178">
        <f>SUM($F181:G181)</f>
        <v>3276378.84</v>
      </c>
      <c r="H189" s="178">
        <f>SUM($F181:H181)</f>
        <v>4910110.1158350576</v>
      </c>
      <c r="I189" s="178">
        <f>SUM($F181:I181)</f>
        <v>7043538.1212684512</v>
      </c>
      <c r="J189" s="178">
        <f>SUM($F181:J181)</f>
        <v>9583473.5948605984</v>
      </c>
      <c r="K189" s="178">
        <f>SUM($F181:K181)</f>
        <v>12809826.758711675</v>
      </c>
      <c r="L189" s="178">
        <f>SUM($F181:L181)</f>
        <v>16630246.376346607</v>
      </c>
      <c r="M189" s="178">
        <f>SUM($F181:M181)</f>
        <v>20834305.844411202</v>
      </c>
    </row>
    <row r="190" spans="5:32">
      <c r="E190" s="165" t="str">
        <f>E182</f>
        <v>GS&lt;50</v>
      </c>
      <c r="F190" s="178">
        <f>SUM(F182:$F182)</f>
        <v>244772.52</v>
      </c>
      <c r="G190" s="178">
        <f>SUM($F182:G182)</f>
        <v>484571.04000000004</v>
      </c>
      <c r="H190" s="178">
        <f>SUM($F182:H182)</f>
        <v>709050.34851053869</v>
      </c>
      <c r="I190" s="178">
        <f>SUM($F182:I182)</f>
        <v>1000297.8024147491</v>
      </c>
      <c r="J190" s="178">
        <f>SUM($F182:J182)</f>
        <v>1352503.0641891465</v>
      </c>
      <c r="K190" s="178">
        <f>SUM($F182:K182)</f>
        <v>1797903.9418229768</v>
      </c>
      <c r="L190" s="178">
        <f>SUM($F182:L182)</f>
        <v>2323843.4072699081</v>
      </c>
      <c r="M190" s="178">
        <f>SUM($F182:M182)</f>
        <v>2908232.9942514105</v>
      </c>
    </row>
    <row r="191" spans="5:32">
      <c r="E191" s="165" t="str">
        <f>E183</f>
        <v>GS 50 - 2,999</v>
      </c>
      <c r="F191" s="178">
        <f>SUM(F183:$F183)</f>
        <v>107047.63399999999</v>
      </c>
      <c r="G191" s="178">
        <f>SUM($F183:G183)</f>
        <v>211811.96799999999</v>
      </c>
      <c r="H191" s="178">
        <f>SUM($F183:H183)</f>
        <v>311201.03518533608</v>
      </c>
      <c r="I191" s="178">
        <f>SUM($F183:I183)</f>
        <v>439737.28543924674</v>
      </c>
      <c r="J191" s="178">
        <f>SUM($F183:J183)</f>
        <v>595320.14902648982</v>
      </c>
      <c r="K191" s="178">
        <f>SUM($F183:K183)</f>
        <v>792344.96557549702</v>
      </c>
      <c r="L191" s="178">
        <f>SUM($F183:L183)</f>
        <v>1024913.7573001042</v>
      </c>
      <c r="M191" s="178">
        <f>SUM($F183:M183)</f>
        <v>1283243.7410327157</v>
      </c>
    </row>
    <row r="192" spans="5:32">
      <c r="E192" s="165" t="str">
        <f>E184</f>
        <v>GS 3,000 - 4,999</v>
      </c>
      <c r="F192" s="178">
        <f>SUM(F184:$F184)</f>
        <v>22413.625999999997</v>
      </c>
      <c r="G192" s="178">
        <f>SUM($F184:G184)</f>
        <v>45448.551999999996</v>
      </c>
      <c r="H192" s="178">
        <f>SUM($F184:H184)</f>
        <v>63892.756989620982</v>
      </c>
      <c r="I192" s="178">
        <f>SUM($F184:I184)</f>
        <v>87082.374075802974</v>
      </c>
      <c r="J192" s="178">
        <f>SUM($F184:J184)</f>
        <v>116469.37959574675</v>
      </c>
      <c r="K192" s="178">
        <f>SUM($F184:K184)</f>
        <v>153398.96097276831</v>
      </c>
      <c r="L192" s="178">
        <f>SUM($F184:L184)</f>
        <v>196614.32391014279</v>
      </c>
      <c r="M192" s="178">
        <f>SUM($F184:M184)</f>
        <v>245829.93536573352</v>
      </c>
    </row>
    <row r="193" spans="5:13">
      <c r="F193" s="178"/>
      <c r="G193" s="178"/>
      <c r="H193" s="178"/>
      <c r="I193" s="178"/>
      <c r="J193" s="178"/>
      <c r="K193" s="178"/>
      <c r="L193" s="178"/>
      <c r="M193" s="178"/>
    </row>
    <row r="194" spans="5:13">
      <c r="E194" s="165" t="str">
        <f t="shared" ref="E194" si="288">E186</f>
        <v>Total</v>
      </c>
      <c r="F194" s="176">
        <f>SUM(F189:F193)</f>
        <v>2048225.1999999997</v>
      </c>
      <c r="G194" s="176">
        <f t="shared" ref="G194" si="289">SUM(G189:G193)</f>
        <v>4018210.4</v>
      </c>
      <c r="H194" s="176">
        <f t="shared" ref="H194" si="290">SUM(H189:H193)</f>
        <v>5994254.2565205535</v>
      </c>
      <c r="I194" s="176">
        <f t="shared" ref="I194" si="291">SUM(I189:I193)</f>
        <v>8570655.5831982493</v>
      </c>
      <c r="J194" s="176">
        <f t="shared" ref="J194" si="292">SUM(J189:J193)</f>
        <v>11647766.187671984</v>
      </c>
      <c r="K194" s="176">
        <f t="shared" ref="K194" si="293">SUM(K189:K193)</f>
        <v>15553474.62708292</v>
      </c>
      <c r="L194" s="176">
        <f t="shared" ref="L194" si="294">SUM(L189:L193)</f>
        <v>20175617.864826761</v>
      </c>
      <c r="M194" s="176">
        <f t="shared" ref="M194" si="295">SUM(M189:M193)</f>
        <v>25271612.515061062</v>
      </c>
    </row>
  </sheetData>
  <mergeCells count="26">
    <mergeCell ref="B93:B105"/>
    <mergeCell ref="B108:B140"/>
    <mergeCell ref="C109:C114"/>
    <mergeCell ref="C117:C122"/>
    <mergeCell ref="C125:C130"/>
    <mergeCell ref="X170:Z170"/>
    <mergeCell ref="AA170:AC170"/>
    <mergeCell ref="AD170:AF170"/>
    <mergeCell ref="C94:C98"/>
    <mergeCell ref="B9:B40"/>
    <mergeCell ref="B41:B72"/>
    <mergeCell ref="C80:C84"/>
    <mergeCell ref="R170:T170"/>
    <mergeCell ref="U170:W170"/>
    <mergeCell ref="I170:K170"/>
    <mergeCell ref="L170:N170"/>
    <mergeCell ref="O170:Q170"/>
    <mergeCell ref="C43:C44"/>
    <mergeCell ref="C46:C50"/>
    <mergeCell ref="C51:C55"/>
    <mergeCell ref="B79:B91"/>
    <mergeCell ref="C56:C60"/>
    <mergeCell ref="C11:C12"/>
    <mergeCell ref="C14:C18"/>
    <mergeCell ref="C19:C23"/>
    <mergeCell ref="C24:C28"/>
  </mergeCells>
  <phoneticPr fontId="191" type="noConversion"/>
  <hyperlinks>
    <hyperlink ref="F3" r:id="rId1" display="https://council.cleanairpartnership.org/wp-content/uploads/2021/11/2-21-050-EV-Charging-Performance-Requirements-in-GTHA.pdf" xr:uid="{D86E6268-425F-4494-8D92-6786A96A78E7}"/>
  </hyperlinks>
  <pageMargins left="0.7" right="0.7" top="0.75" bottom="0.75" header="0.3" footer="0.3"/>
  <ignoredErrors>
    <ignoredError sqref="N1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3EDAC-3ADF-435A-BCF6-6D491331482D}">
  <sheetPr codeName="Sheet1">
    <tabColor theme="4" tint="-0.499984740745262"/>
  </sheetPr>
  <dimension ref="A1:GD133"/>
  <sheetViews>
    <sheetView workbookViewId="0">
      <pane xSplit="1" ySplit="1" topLeftCell="B101" activePane="bottomRight" state="frozen"/>
      <selection pane="topRight" activeCell="I15" sqref="I15"/>
      <selection pane="bottomLeft" activeCell="I15" sqref="I15"/>
      <selection pane="bottomRight" activeCell="D112" sqref="D112"/>
    </sheetView>
  </sheetViews>
  <sheetFormatPr defaultColWidth="14.1796875" defaultRowHeight="14.5"/>
  <cols>
    <col min="1" max="1" width="9.1796875" customWidth="1"/>
    <col min="2" max="2" width="8.81640625" bestFit="1" customWidth="1"/>
    <col min="3" max="3" width="6.1796875" bestFit="1" customWidth="1"/>
    <col min="4" max="9" width="13.81640625" style="551" customWidth="1"/>
    <col min="10" max="15" width="12.54296875" style="551" customWidth="1"/>
    <col min="16" max="16" width="14.1796875" style="551" bestFit="1" customWidth="1"/>
    <col min="17" max="21" width="13.81640625" style="551" customWidth="1"/>
    <col min="22" max="22" width="14.1796875" style="551" bestFit="1" customWidth="1"/>
    <col min="23" max="27" width="13.1796875" style="551" customWidth="1"/>
    <col min="28" max="28" width="13.453125" style="551" bestFit="1" customWidth="1"/>
    <col min="29" max="32" width="13.1796875" style="551" customWidth="1"/>
    <col min="33" max="33" width="14.1796875" style="551" bestFit="1" customWidth="1"/>
    <col min="34" max="37" width="13.453125" style="551" customWidth="1"/>
    <col min="38" max="38" width="13.453125" style="551" bestFit="1" customWidth="1"/>
    <col min="39" max="39" width="14" style="551" bestFit="1" customWidth="1"/>
    <col min="40" max="40" width="11.81640625" style="551" bestFit="1" customWidth="1"/>
    <col min="41" max="41" width="11.453125" bestFit="1" customWidth="1"/>
    <col min="42" max="42" width="11.81640625" bestFit="1" customWidth="1"/>
    <col min="43" max="43" width="13.54296875" bestFit="1" customWidth="1"/>
    <col min="44" max="44" width="13.453125" bestFit="1" customWidth="1"/>
    <col min="45" max="45" width="14" bestFit="1" customWidth="1"/>
    <col min="46" max="46" width="13.81640625" style="558" customWidth="1"/>
    <col min="47" max="47" width="13.453125" style="558" bestFit="1" customWidth="1"/>
    <col min="48" max="48" width="14.1796875" style="558" bestFit="1" customWidth="1"/>
    <col min="49" max="50" width="14" style="558" bestFit="1" customWidth="1"/>
    <col min="51" max="52" width="13.81640625" style="558" bestFit="1" customWidth="1"/>
    <col min="53" max="53" width="14" style="558" bestFit="1" customWidth="1"/>
    <col min="54" max="54" width="13.453125" style="558" bestFit="1" customWidth="1"/>
    <col min="55" max="55" width="14.1796875" style="561" bestFit="1" customWidth="1"/>
    <col min="56" max="60" width="14" style="561" customWidth="1"/>
    <col min="61" max="66" width="17.81640625" style="561" customWidth="1"/>
    <col min="67" max="67" width="14.1796875" style="561" bestFit="1" customWidth="1"/>
    <col min="68" max="72" width="13.1796875" style="561" customWidth="1"/>
    <col min="73" max="73" width="13.1796875" style="561" bestFit="1" customWidth="1"/>
    <col min="74" max="77" width="12.1796875" style="561" customWidth="1"/>
    <col min="78" max="80" width="13.81640625" style="561" bestFit="1" customWidth="1"/>
    <col min="81" max="81" width="10.453125" bestFit="1" customWidth="1"/>
    <col min="82" max="82" width="12.453125" bestFit="1" customWidth="1"/>
    <col min="83" max="84" width="13.81640625" bestFit="1" customWidth="1"/>
    <col min="85" max="85" width="13.81640625" style="566" customWidth="1"/>
    <col min="86" max="86" width="14.1796875" style="566" bestFit="1" customWidth="1"/>
    <col min="87" max="88" width="14" style="566" bestFit="1" customWidth="1"/>
    <col min="89" max="89" width="14.1796875" style="566" bestFit="1" customWidth="1"/>
    <col min="90" max="90" width="13.81640625" style="566" bestFit="1" customWidth="1"/>
    <col min="91" max="91" width="14" style="566" bestFit="1" customWidth="1"/>
    <col min="92" max="105" width="11.1796875" customWidth="1"/>
    <col min="106" max="120" width="11.1796875" style="244" customWidth="1"/>
    <col min="121" max="121" width="11.1796875" customWidth="1"/>
    <col min="122" max="122" width="9.54296875" bestFit="1" customWidth="1"/>
    <col min="123" max="124" width="3.81640625" bestFit="1" customWidth="1"/>
    <col min="125" max="125" width="4.1796875" bestFit="1" customWidth="1"/>
    <col min="126" max="126" width="3.81640625" bestFit="1" customWidth="1"/>
    <col min="127" max="127" width="4.1796875" bestFit="1" customWidth="1"/>
    <col min="128" max="128" width="3.81640625" bestFit="1" customWidth="1"/>
    <col min="129" max="129" width="3.1796875" bestFit="1" customWidth="1"/>
    <col min="130" max="130" width="4.1796875" bestFit="1" customWidth="1"/>
    <col min="131" max="131" width="4.453125" bestFit="1" customWidth="1"/>
    <col min="132" max="132" width="3.81640625" bestFit="1" customWidth="1"/>
    <col min="133" max="134" width="4.1796875" bestFit="1" customWidth="1"/>
    <col min="135" max="135" width="6.1796875" bestFit="1" customWidth="1"/>
    <col min="136" max="136" width="4.1796875" bestFit="1" customWidth="1"/>
    <col min="137" max="137" width="8.453125" bestFit="1" customWidth="1"/>
    <col min="138" max="138" width="5.81640625" bestFit="1" customWidth="1"/>
    <col min="139" max="139" width="6.1796875" bestFit="1" customWidth="1"/>
    <col min="140" max="140" width="9.81640625" bestFit="1" customWidth="1"/>
    <col min="141" max="141" width="11" bestFit="1" customWidth="1"/>
    <col min="142" max="142" width="10.1796875" bestFit="1" customWidth="1"/>
    <col min="143" max="154" width="11" bestFit="1" customWidth="1"/>
    <col min="155" max="156" width="10" bestFit="1" customWidth="1"/>
    <col min="157" max="168" width="13.1796875" bestFit="1" customWidth="1"/>
    <col min="169" max="170" width="12.1796875" bestFit="1" customWidth="1"/>
    <col min="171" max="171" width="14" style="547" bestFit="1" customWidth="1"/>
    <col min="172" max="172" width="13.54296875" style="547" bestFit="1" customWidth="1"/>
    <col min="173" max="173" width="14" style="547" bestFit="1" customWidth="1"/>
    <col min="174" max="174" width="13.81640625" style="547" bestFit="1" customWidth="1"/>
    <col min="175" max="175" width="14.1796875" style="547" bestFit="1" customWidth="1"/>
    <col min="176" max="176" width="13.81640625" style="547" bestFit="1" customWidth="1"/>
    <col min="177" max="177" width="14" style="547" bestFit="1" customWidth="1"/>
    <col min="178" max="178" width="13.1796875" style="547" bestFit="1" customWidth="1"/>
    <col min="179" max="179" width="12.81640625" style="547" bestFit="1" customWidth="1"/>
    <col min="180" max="181" width="13.54296875" style="547" bestFit="1" customWidth="1"/>
    <col min="182" max="182" width="14.1796875" style="547"/>
    <col min="183" max="185" width="13.81640625" style="547" bestFit="1" customWidth="1"/>
    <col min="186" max="186" width="13.1796875" style="547" bestFit="1" customWidth="1"/>
  </cols>
  <sheetData>
    <row r="1" spans="1:186" s="1" customFormat="1" ht="43.5">
      <c r="A1" s="4" t="s">
        <v>26</v>
      </c>
      <c r="B1" s="1" t="s">
        <v>27</v>
      </c>
      <c r="C1" s="4" t="s">
        <v>28</v>
      </c>
      <c r="D1" s="549" t="s">
        <v>29</v>
      </c>
      <c r="E1" s="549" t="s">
        <v>30</v>
      </c>
      <c r="F1" s="550" t="s">
        <v>31</v>
      </c>
      <c r="G1" s="549" t="s">
        <v>32</v>
      </c>
      <c r="H1" s="549" t="s">
        <v>33</v>
      </c>
      <c r="I1" s="549" t="s">
        <v>34</v>
      </c>
      <c r="J1" s="549" t="s">
        <v>35</v>
      </c>
      <c r="K1" s="549" t="s">
        <v>36</v>
      </c>
      <c r="L1" s="549" t="s">
        <v>37</v>
      </c>
      <c r="M1" s="549" t="s">
        <v>38</v>
      </c>
      <c r="N1" s="549" t="s">
        <v>39</v>
      </c>
      <c r="O1" s="549" t="s">
        <v>40</v>
      </c>
      <c r="P1" s="549" t="s">
        <v>41</v>
      </c>
      <c r="Q1" s="549" t="s">
        <v>42</v>
      </c>
      <c r="R1" s="549" t="s">
        <v>43</v>
      </c>
      <c r="S1" s="549" t="s">
        <v>44</v>
      </c>
      <c r="T1" s="549" t="s">
        <v>45</v>
      </c>
      <c r="U1" s="549" t="s">
        <v>46</v>
      </c>
      <c r="V1" s="549" t="s">
        <v>47</v>
      </c>
      <c r="W1" s="549" t="s">
        <v>48</v>
      </c>
      <c r="X1" s="549" t="s">
        <v>49</v>
      </c>
      <c r="Y1" s="549" t="s">
        <v>50</v>
      </c>
      <c r="Z1" s="549" t="s">
        <v>51</v>
      </c>
      <c r="AA1" s="549" t="s">
        <v>52</v>
      </c>
      <c r="AB1" s="549" t="s">
        <v>53</v>
      </c>
      <c r="AC1" s="549" t="s">
        <v>54</v>
      </c>
      <c r="AD1" s="549" t="s">
        <v>55</v>
      </c>
      <c r="AE1" s="549" t="s">
        <v>56</v>
      </c>
      <c r="AF1" s="549" t="s">
        <v>57</v>
      </c>
      <c r="AG1" s="549" t="s">
        <v>58</v>
      </c>
      <c r="AH1" s="549" t="s">
        <v>59</v>
      </c>
      <c r="AI1" s="549" t="s">
        <v>60</v>
      </c>
      <c r="AJ1" s="549" t="s">
        <v>61</v>
      </c>
      <c r="AK1" s="549" t="s">
        <v>62</v>
      </c>
      <c r="AL1" s="549" t="s">
        <v>63</v>
      </c>
      <c r="AM1" s="549" t="s">
        <v>64</v>
      </c>
      <c r="AN1" s="549" t="s">
        <v>65</v>
      </c>
      <c r="AO1" s="4" t="s">
        <v>66</v>
      </c>
      <c r="AP1" s="4" t="s">
        <v>67</v>
      </c>
      <c r="AQ1" s="4" t="s">
        <v>68</v>
      </c>
      <c r="AR1" s="4" t="s">
        <v>69</v>
      </c>
      <c r="AS1" s="4" t="s">
        <v>70</v>
      </c>
      <c r="AT1" s="556" t="s">
        <v>71</v>
      </c>
      <c r="AU1" s="556" t="s">
        <v>72</v>
      </c>
      <c r="AV1" s="556" t="s">
        <v>73</v>
      </c>
      <c r="AW1" s="556" t="s">
        <v>74</v>
      </c>
      <c r="AX1" s="556" t="s">
        <v>75</v>
      </c>
      <c r="AY1" s="556" t="s">
        <v>76</v>
      </c>
      <c r="AZ1" s="556" t="s">
        <v>77</v>
      </c>
      <c r="BA1" s="556" t="s">
        <v>78</v>
      </c>
      <c r="BB1" s="556" t="s">
        <v>79</v>
      </c>
      <c r="BC1" s="559" t="s">
        <v>80</v>
      </c>
      <c r="BD1" s="559" t="s">
        <v>81</v>
      </c>
      <c r="BE1" s="559" t="s">
        <v>82</v>
      </c>
      <c r="BF1" s="559" t="s">
        <v>83</v>
      </c>
      <c r="BG1" s="559" t="s">
        <v>84</v>
      </c>
      <c r="BH1" s="559" t="s">
        <v>85</v>
      </c>
      <c r="BI1" s="559" t="s">
        <v>86</v>
      </c>
      <c r="BJ1" s="559" t="s">
        <v>87</v>
      </c>
      <c r="BK1" s="559" t="s">
        <v>88</v>
      </c>
      <c r="BL1" s="559" t="s">
        <v>89</v>
      </c>
      <c r="BM1" s="559" t="s">
        <v>90</v>
      </c>
      <c r="BN1" s="559" t="s">
        <v>91</v>
      </c>
      <c r="BO1" s="559" t="s">
        <v>92</v>
      </c>
      <c r="BP1" s="559" t="s">
        <v>93</v>
      </c>
      <c r="BQ1" s="559" t="s">
        <v>94</v>
      </c>
      <c r="BR1" s="559" t="s">
        <v>95</v>
      </c>
      <c r="BS1" s="559" t="s">
        <v>96</v>
      </c>
      <c r="BT1" s="559" t="s">
        <v>97</v>
      </c>
      <c r="BU1" s="559" t="s">
        <v>98</v>
      </c>
      <c r="BV1" s="559" t="s">
        <v>99</v>
      </c>
      <c r="BW1" s="559" t="s">
        <v>100</v>
      </c>
      <c r="BX1" s="559" t="s">
        <v>95</v>
      </c>
      <c r="BY1" s="559" t="s">
        <v>101</v>
      </c>
      <c r="BZ1" s="559" t="s">
        <v>102</v>
      </c>
      <c r="CA1" s="559" t="s">
        <v>103</v>
      </c>
      <c r="CB1" s="559" t="s">
        <v>104</v>
      </c>
      <c r="CC1" s="4" t="s">
        <v>105</v>
      </c>
      <c r="CD1" s="4" t="s">
        <v>106</v>
      </c>
      <c r="CE1" s="4" t="s">
        <v>107</v>
      </c>
      <c r="CF1" s="4" t="s">
        <v>108</v>
      </c>
      <c r="CG1" s="564" t="s">
        <v>109</v>
      </c>
      <c r="CH1" s="564" t="s">
        <v>110</v>
      </c>
      <c r="CI1" s="564" t="s">
        <v>111</v>
      </c>
      <c r="CJ1" s="564" t="s">
        <v>112</v>
      </c>
      <c r="CK1" s="564" t="s">
        <v>113</v>
      </c>
      <c r="CL1" s="564" t="s">
        <v>114</v>
      </c>
      <c r="CM1" s="564" t="s">
        <v>115</v>
      </c>
      <c r="CN1" s="45" t="s">
        <v>116</v>
      </c>
      <c r="CO1" s="45" t="s">
        <v>117</v>
      </c>
      <c r="CP1" s="45" t="s">
        <v>118</v>
      </c>
      <c r="CQ1" s="45" t="s">
        <v>119</v>
      </c>
      <c r="CR1" s="45" t="s">
        <v>120</v>
      </c>
      <c r="CS1" s="45" t="s">
        <v>121</v>
      </c>
      <c r="CT1" s="45" t="s">
        <v>122</v>
      </c>
      <c r="CU1" s="45" t="s">
        <v>123</v>
      </c>
      <c r="CV1" s="45" t="s">
        <v>124</v>
      </c>
      <c r="CW1" s="45" t="s">
        <v>125</v>
      </c>
      <c r="CX1" s="45" t="s">
        <v>126</v>
      </c>
      <c r="CY1" s="45" t="s">
        <v>127</v>
      </c>
      <c r="CZ1" s="45" t="s">
        <v>128</v>
      </c>
      <c r="DA1" s="45" t="s">
        <v>129</v>
      </c>
      <c r="DB1" s="242" t="s">
        <v>130</v>
      </c>
      <c r="DC1" s="242" t="s">
        <v>131</v>
      </c>
      <c r="DD1" s="242" t="s">
        <v>132</v>
      </c>
      <c r="DE1" s="242" t="s">
        <v>133</v>
      </c>
      <c r="DF1" s="242" t="s">
        <v>134</v>
      </c>
      <c r="DG1" s="242" t="s">
        <v>135</v>
      </c>
      <c r="DH1" s="242" t="s">
        <v>136</v>
      </c>
      <c r="DI1" s="242" t="s">
        <v>137</v>
      </c>
      <c r="DJ1" s="242" t="s">
        <v>138</v>
      </c>
      <c r="DK1" s="242" t="s">
        <v>139</v>
      </c>
      <c r="DL1" s="242" t="s">
        <v>140</v>
      </c>
      <c r="DM1" s="242" t="s">
        <v>141</v>
      </c>
      <c r="DN1" s="242" t="s">
        <v>142</v>
      </c>
      <c r="DO1" s="242" t="s">
        <v>143</v>
      </c>
      <c r="DP1" s="242" t="s">
        <v>144</v>
      </c>
      <c r="DQ1" s="4" t="s">
        <v>145</v>
      </c>
      <c r="DR1" s="4" t="s">
        <v>146</v>
      </c>
      <c r="DS1" s="4" t="s">
        <v>147</v>
      </c>
      <c r="DT1" s="4" t="s">
        <v>148</v>
      </c>
      <c r="DU1" s="1" t="s">
        <v>149</v>
      </c>
      <c r="DV1" s="1" t="s">
        <v>150</v>
      </c>
      <c r="DW1" s="1" t="s">
        <v>151</v>
      </c>
      <c r="DX1" s="1" t="s">
        <v>152</v>
      </c>
      <c r="DY1" s="1" t="s">
        <v>153</v>
      </c>
      <c r="DZ1" s="1" t="s">
        <v>154</v>
      </c>
      <c r="EA1" s="1" t="s">
        <v>155</v>
      </c>
      <c r="EB1" s="1" t="s">
        <v>156</v>
      </c>
      <c r="EC1" s="1" t="s">
        <v>157</v>
      </c>
      <c r="ED1" s="1" t="s">
        <v>158</v>
      </c>
      <c r="EE1" s="1" t="s">
        <v>159</v>
      </c>
      <c r="EF1" s="1" t="s">
        <v>160</v>
      </c>
      <c r="EG1" s="1" t="s">
        <v>161</v>
      </c>
      <c r="EH1" s="1" t="s">
        <v>162</v>
      </c>
      <c r="EI1" s="1" t="s">
        <v>163</v>
      </c>
      <c r="EJ1" s="1" t="s">
        <v>164</v>
      </c>
      <c r="EK1" s="1" t="s">
        <v>165</v>
      </c>
      <c r="EL1" s="1" t="s">
        <v>166</v>
      </c>
      <c r="EM1" s="199" t="s">
        <v>167</v>
      </c>
      <c r="EN1" s="199" t="s">
        <v>168</v>
      </c>
      <c r="EO1" s="199" t="s">
        <v>169</v>
      </c>
      <c r="EP1" s="199" t="s">
        <v>170</v>
      </c>
      <c r="EQ1" s="199" t="s">
        <v>171</v>
      </c>
      <c r="ER1" s="199" t="s">
        <v>172</v>
      </c>
      <c r="ES1" s="199" t="s">
        <v>173</v>
      </c>
      <c r="ET1" s="199" t="s">
        <v>174</v>
      </c>
      <c r="EU1" s="199" t="s">
        <v>175</v>
      </c>
      <c r="EV1" s="199" t="s">
        <v>176</v>
      </c>
      <c r="EW1" s="199" t="s">
        <v>177</v>
      </c>
      <c r="EX1" s="199" t="s">
        <v>178</v>
      </c>
      <c r="EY1" s="199" t="s">
        <v>179</v>
      </c>
      <c r="EZ1" s="199" t="s">
        <v>180</v>
      </c>
      <c r="FA1" s="199" t="s">
        <v>181</v>
      </c>
      <c r="FB1" s="199" t="s">
        <v>182</v>
      </c>
      <c r="FC1" s="199" t="s">
        <v>183</v>
      </c>
      <c r="FD1" s="199" t="s">
        <v>184</v>
      </c>
      <c r="FE1" s="199" t="s">
        <v>185</v>
      </c>
      <c r="FF1" s="199" t="s">
        <v>186</v>
      </c>
      <c r="FG1" s="199" t="s">
        <v>187</v>
      </c>
      <c r="FH1" s="199" t="s">
        <v>188</v>
      </c>
      <c r="FI1" s="199" t="s">
        <v>189</v>
      </c>
      <c r="FJ1" s="199" t="s">
        <v>190</v>
      </c>
      <c r="FK1" s="199" t="s">
        <v>191</v>
      </c>
      <c r="FL1" s="199" t="s">
        <v>192</v>
      </c>
      <c r="FM1" s="199" t="s">
        <v>193</v>
      </c>
      <c r="FN1" s="199" t="s">
        <v>194</v>
      </c>
      <c r="FO1" s="545" t="s">
        <v>195</v>
      </c>
      <c r="FP1" s="545" t="s">
        <v>196</v>
      </c>
      <c r="FQ1" s="545" t="s">
        <v>197</v>
      </c>
      <c r="FR1" s="545" t="s">
        <v>198</v>
      </c>
      <c r="FS1" s="545" t="s">
        <v>199</v>
      </c>
      <c r="FT1" s="545" t="s">
        <v>200</v>
      </c>
      <c r="FU1" s="545" t="s">
        <v>201</v>
      </c>
      <c r="FV1" s="545" t="s">
        <v>202</v>
      </c>
      <c r="FW1" s="545" t="s">
        <v>203</v>
      </c>
      <c r="FX1" s="545" t="s">
        <v>204</v>
      </c>
      <c r="FY1" s="545" t="s">
        <v>205</v>
      </c>
      <c r="FZ1" s="545" t="s">
        <v>206</v>
      </c>
      <c r="GA1" s="545" t="s">
        <v>207</v>
      </c>
      <c r="GB1" s="545" t="s">
        <v>208</v>
      </c>
      <c r="GC1" s="545" t="s">
        <v>209</v>
      </c>
      <c r="GD1" s="545" t="s">
        <v>210</v>
      </c>
    </row>
    <row r="2" spans="1:186">
      <c r="A2" s="4">
        <v>42370</v>
      </c>
      <c r="B2" s="6">
        <v>2016</v>
      </c>
      <c r="C2" s="5">
        <v>1</v>
      </c>
      <c r="D2" s="7">
        <v>84351404.803892285</v>
      </c>
      <c r="E2" s="7">
        <f>IFERROR(VLOOKUP($B2-1,CDM!$V$4:$AJ$17,2,FALSE)/12,0)+IFERROR(VLOOKUP($B2,CDM!$V$41:$AJ$54,2,FALSE)/24,0)+IFERROR(VLOOKUP($B2,CDM!$V$41:$AJ$54,2,FALSE)/2*$C2/78,0)</f>
        <v>1025010.2383999364</v>
      </c>
      <c r="F2" s="7">
        <f t="shared" ref="F2:F42" si="0">D2+E2</f>
        <v>85376415.042292222</v>
      </c>
      <c r="G2" s="7"/>
      <c r="H2" s="7"/>
      <c r="I2" s="7">
        <f t="shared" ref="I2:I42" si="1">F2-G2-H2</f>
        <v>85376415.042292222</v>
      </c>
      <c r="J2" s="7">
        <v>924771.20503720664</v>
      </c>
      <c r="K2" s="7">
        <f>IFERROR(VLOOKUP($B2-1,CDM!$V$4:$AJ$17,3,FALSE)/12,0)+IFERROR(VLOOKUP($B2,CDM!$V$41:$AJ$54,3,FALSE)/24,0)+IFERROR(VLOOKUP($B2,CDM!$V$41:$AJ$54,3,FALSE)/2*$C2/78,0)</f>
        <v>11740.265936467431</v>
      </c>
      <c r="L2" s="7">
        <f t="shared" ref="L2:L42" si="2">J2+K2</f>
        <v>936511.47097367409</v>
      </c>
      <c r="M2" s="7"/>
      <c r="N2" s="7"/>
      <c r="O2" s="7">
        <f t="shared" ref="O2:O42" si="3">L2-M2-N2</f>
        <v>936511.47097367409</v>
      </c>
      <c r="P2" s="7">
        <v>25156953.226493035</v>
      </c>
      <c r="Q2" s="7">
        <f>IFERROR(VLOOKUP($B2-1,CDM!$V$4:$AJ$17,4,FALSE)/12,0)+IFERROR(VLOOKUP($B2,CDM!$V$41:$AJ$54,4,FALSE)/24,0)+IFERROR(VLOOKUP($B2,CDM!$V$41:$AJ$54,4,FALSE)/2*$C2/78,0)</f>
        <v>437433.77473371039</v>
      </c>
      <c r="R2" s="7">
        <f t="shared" ref="R2:R42" si="4">P2+Q2</f>
        <v>25594387.001226746</v>
      </c>
      <c r="S2" s="7"/>
      <c r="T2" s="7"/>
      <c r="U2" s="7">
        <f t="shared" ref="U2:U42" si="5">R2-S2-T2</f>
        <v>25594387.001226746</v>
      </c>
      <c r="V2" s="7">
        <v>80445928.487482429</v>
      </c>
      <c r="W2" s="7">
        <f>IFERROR(VLOOKUP($B2-1,CDM!$V$4:$AJ$17,5,FALSE)/12,0)+IFERROR(VLOOKUP($B2,CDM!$V$41:$AJ$54,5,FALSE)/24,0)+IFERROR(VLOOKUP($B2,CDM!$V$41:$AJ$54,5,FALSE)/2*$C2/78,0)</f>
        <v>1573667.4370354868</v>
      </c>
      <c r="X2" s="7">
        <f t="shared" ref="X2:X42" si="6">V2+W2</f>
        <v>82019595.924517915</v>
      </c>
      <c r="Y2" s="7"/>
      <c r="Z2" s="7"/>
      <c r="AA2" s="7">
        <f t="shared" ref="AA2:AA42" si="7">X2-Y2-Z2</f>
        <v>82019595.924517915</v>
      </c>
      <c r="AB2" s="7">
        <v>6800270.7104014782</v>
      </c>
      <c r="AC2" s="7">
        <f>IFERROR(VLOOKUP($B2-1,CDM!$V$4:$AJ$17,6,FALSE)/12,0)+IFERROR(VLOOKUP($B2,CDM!$V$41:$AJ$54,6,FALSE)/24,0)+IFERROR(VLOOKUP($B2,CDM!$V$41:$AJ$54,6,FALSE)/2*$C2/78,0)</f>
        <v>29157.494087681102</v>
      </c>
      <c r="AD2" s="7">
        <f t="shared" ref="AD2:AD42" si="8">AB2+AC2</f>
        <v>6829428.2044891594</v>
      </c>
      <c r="AE2" s="7"/>
      <c r="AF2" s="7">
        <f t="shared" ref="AF2:AF42" si="9">AD2-AE2</f>
        <v>6829428.2044891594</v>
      </c>
      <c r="AG2" s="7">
        <v>17368267.928497635</v>
      </c>
      <c r="AH2" s="7">
        <f>IFERROR(VLOOKUP($B2-1,CDM!$V$4:$AJ$17,7,FALSE)/12,0)+IFERROR(VLOOKUP($B2,CDM!$V$41:$AJ$54,7,FALSE)/24,0)+IFERROR(VLOOKUP($B2,CDM!$V$41:$AJ$54,7,FALSE)/2*$C2/78,0)</f>
        <v>495784.56211607228</v>
      </c>
      <c r="AI2" s="7">
        <f t="shared" ref="AI2:AI42" si="10">AG2+AH2</f>
        <v>17864052.490613706</v>
      </c>
      <c r="AJ2" s="7"/>
      <c r="AK2" s="7">
        <f t="shared" ref="AK2:AK42" si="11">AI2-AJ2</f>
        <v>17864052.490613706</v>
      </c>
      <c r="AL2" s="7">
        <v>2187975.6916618966</v>
      </c>
      <c r="AM2" s="7">
        <v>9713.1115245182227</v>
      </c>
      <c r="AN2" s="7">
        <v>397628.99255867203</v>
      </c>
      <c r="AO2" s="5">
        <v>189499.47</v>
      </c>
      <c r="AP2" s="5">
        <v>16493.79</v>
      </c>
      <c r="AQ2" s="5">
        <v>28865</v>
      </c>
      <c r="AR2" s="5">
        <v>4812.34</v>
      </c>
      <c r="AS2" s="548">
        <f>1014/12</f>
        <v>84.5</v>
      </c>
      <c r="AT2" s="557">
        <v>106995.25</v>
      </c>
      <c r="AU2" s="557">
        <v>1588.5</v>
      </c>
      <c r="AV2" s="557">
        <v>8915.8333333333339</v>
      </c>
      <c r="AW2" s="557">
        <v>1061.0833333333333</v>
      </c>
      <c r="AX2" s="557">
        <v>5</v>
      </c>
      <c r="AY2" s="557">
        <v>3</v>
      </c>
      <c r="AZ2" s="557">
        <v>29945.5</v>
      </c>
      <c r="BA2" s="557">
        <v>439</v>
      </c>
      <c r="BB2" s="557">
        <v>843.83333333333337</v>
      </c>
      <c r="BC2" s="560">
        <v>29474749.559862249</v>
      </c>
      <c r="BD2" s="560">
        <f>IFERROR(VLOOKUP($B2-1,CDM!$V$4:$AJ$17,11,FALSE)/12,0)+IFERROR(VLOOKUP($B2,CDM!$V$41:$AJ$54,11,FALSE)/24,0)+IFERROR(VLOOKUP($B2,CDM!$V$41:$AJ$54,11,FALSE)/2*$C2/78,0)</f>
        <v>486162.3848033672</v>
      </c>
      <c r="BE2" s="560">
        <f t="shared" ref="BE2:BE9" si="12">BC2+BD2</f>
        <v>29960911.944665615</v>
      </c>
      <c r="BF2" s="560"/>
      <c r="BG2" s="560"/>
      <c r="BH2" s="560">
        <f t="shared" ref="BH2:BH42" si="13">BE2-BF2-BG2</f>
        <v>29960911.944665615</v>
      </c>
      <c r="BI2" s="560">
        <v>7573140.8147790404</v>
      </c>
      <c r="BJ2" s="560">
        <f>IFERROR(VLOOKUP($B2-1,CDM!$V$4:$AJ$17,12,FALSE)/12,0)+IFERROR(VLOOKUP($B2,CDM!$V$41:$AJ$54,12,FALSE)/24,0)+IFERROR(VLOOKUP($B2,CDM!$V$41:$AJ$54,12,FALSE)/2*$C2/78,0)</f>
        <v>105476.43860960972</v>
      </c>
      <c r="BK2" s="560">
        <f t="shared" ref="BK2:BK42" si="14">BI2+BJ2</f>
        <v>7678617.2533886498</v>
      </c>
      <c r="BL2" s="560"/>
      <c r="BM2" s="560"/>
      <c r="BN2" s="560">
        <f t="shared" ref="BN2:BN42" si="15">BK2-BL2-BM2</f>
        <v>7678617.2533886498</v>
      </c>
      <c r="BO2" s="560">
        <v>30479657.856499549</v>
      </c>
      <c r="BP2" s="560">
        <f>IFERROR(VLOOKUP($B2-1,CDM!$V$4:$AJ$17,13,FALSE)/12,0)+IFERROR(VLOOKUP($B2,CDM!$V$41:$AJ$54,13,FALSE)/24,0)+IFERROR(VLOOKUP($B2,CDM!$V$41:$AJ$54,13,FALSE)/2*$C2/78,0)</f>
        <v>364194.7593114911</v>
      </c>
      <c r="BQ2" s="560">
        <f t="shared" ref="BQ2:BQ42" si="16">BO2+BP2</f>
        <v>30843852.615811039</v>
      </c>
      <c r="BR2" s="560"/>
      <c r="BS2" s="560"/>
      <c r="BT2" s="560">
        <f t="shared" ref="BT2:BT42" si="17">BQ2-BR2-BS2</f>
        <v>30843852.615811039</v>
      </c>
      <c r="BU2" s="560">
        <v>5059810.2410800382</v>
      </c>
      <c r="BV2" s="560">
        <f>IFERROR(VLOOKUP($B2-1,CDM!$V$4:$AJ$17,14,FALSE)/12,0)+IFERROR(VLOOKUP($B2,CDM!$V$41:$AJ$54,14,FALSE)/24,0)+IFERROR(VLOOKUP($B2,CDM!$V$41:$AJ$54,14,FALSE)/2*$C2/78,0)</f>
        <v>81879.050984637623</v>
      </c>
      <c r="BW2" s="560">
        <f t="shared" ref="BW2:BW42" si="18">BU2+BV2</f>
        <v>5141689.2920646761</v>
      </c>
      <c r="BX2" s="560"/>
      <c r="BY2" s="560">
        <f t="shared" ref="BY2:BY9" si="19">BW2-BX2</f>
        <v>5141689.2920646761</v>
      </c>
      <c r="BZ2" s="560">
        <v>796706.82035584457</v>
      </c>
      <c r="CA2" s="560">
        <v>2527.6775501688417</v>
      </c>
      <c r="CB2" s="560">
        <v>47575.932657356032</v>
      </c>
      <c r="CC2" s="5">
        <v>69577.539999999994</v>
      </c>
      <c r="CD2" s="5">
        <v>8272.2800000000007</v>
      </c>
      <c r="CE2" s="5">
        <v>1694.47</v>
      </c>
      <c r="CF2" s="544">
        <f>92/12</f>
        <v>7.666666666666667</v>
      </c>
      <c r="CG2" s="565">
        <v>39279.083333333336</v>
      </c>
      <c r="CH2" s="565">
        <v>2182.4166666666665</v>
      </c>
      <c r="CI2" s="565">
        <v>366.16666666666669</v>
      </c>
      <c r="CJ2" s="565">
        <v>2</v>
      </c>
      <c r="CK2" s="565">
        <v>11836.75</v>
      </c>
      <c r="CL2" s="565">
        <v>39</v>
      </c>
      <c r="CM2" s="565">
        <v>375.41666666666669</v>
      </c>
      <c r="CN2" s="46">
        <f>Weather!C26</f>
        <v>737.87916666666683</v>
      </c>
      <c r="CO2" s="46">
        <f>Weather!D26</f>
        <v>0</v>
      </c>
      <c r="CP2" s="46">
        <f>Weather!E26</f>
        <v>675.87916666666683</v>
      </c>
      <c r="CQ2" s="46">
        <f>Weather!F26</f>
        <v>0</v>
      </c>
      <c r="CR2" s="46">
        <f>Weather!G26</f>
        <v>613.87916666666683</v>
      </c>
      <c r="CS2" s="46">
        <f>Weather!H26</f>
        <v>0</v>
      </c>
      <c r="CT2" s="46">
        <f>Weather!I26</f>
        <v>551.87916666666672</v>
      </c>
      <c r="CU2" s="46">
        <f>Weather!J26</f>
        <v>0</v>
      </c>
      <c r="CV2" s="46">
        <f>Weather!K26</f>
        <v>489.87916666666672</v>
      </c>
      <c r="CW2" s="46">
        <f>Weather!L26</f>
        <v>0</v>
      </c>
      <c r="CX2" s="46">
        <f>Weather!M26</f>
        <v>427.87916666666672</v>
      </c>
      <c r="CY2" s="46">
        <f>Weather!N26</f>
        <v>0</v>
      </c>
      <c r="CZ2" s="46">
        <f>Weather!O26</f>
        <v>365.87916666666672</v>
      </c>
      <c r="DA2" s="46">
        <f>Weather!P26</f>
        <v>0</v>
      </c>
      <c r="DB2" s="243">
        <f>'Economic Data'!D28</f>
        <v>6882.9</v>
      </c>
      <c r="DC2" s="243">
        <f>'Economic Data'!E28</f>
        <v>6848.3</v>
      </c>
      <c r="DD2" s="243">
        <f>'Economic Data'!F28</f>
        <v>203.1</v>
      </c>
      <c r="DE2" s="243">
        <f>'Economic Data'!G28</f>
        <v>203.1</v>
      </c>
      <c r="DF2" s="243">
        <f>'Economic Data'!H28</f>
        <v>30.6</v>
      </c>
      <c r="DG2" s="243">
        <f>'Economic Data'!I28</f>
        <v>30.6</v>
      </c>
      <c r="DH2" s="243">
        <f>'Economic Data'!J28</f>
        <v>743976.2</v>
      </c>
      <c r="DI2" s="243">
        <f>'Economic Data'!K28</f>
        <v>571846.40000000002</v>
      </c>
      <c r="DJ2" s="243">
        <f>'Economic Data'!L28</f>
        <v>91511.8</v>
      </c>
      <c r="DK2" s="243">
        <f>'Economic Data'!M28</f>
        <v>29814.5</v>
      </c>
      <c r="DL2" s="243">
        <f>'Economic Data'!N28</f>
        <v>743835</v>
      </c>
      <c r="DM2" s="243">
        <f>'Economic Data'!O28</f>
        <v>92481</v>
      </c>
      <c r="DN2" s="243">
        <f>'Economic Data'!P28</f>
        <v>21209</v>
      </c>
      <c r="DO2" s="243">
        <f>'Economic Data'!Q28</f>
        <v>569491</v>
      </c>
      <c r="DP2" s="243">
        <f>'Economic Data'!R28</f>
        <v>29721</v>
      </c>
      <c r="DQ2">
        <v>31</v>
      </c>
      <c r="DR2">
        <v>20</v>
      </c>
      <c r="DS2">
        <v>1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1</v>
      </c>
      <c r="EI2">
        <v>0</v>
      </c>
      <c r="EJ2">
        <v>0</v>
      </c>
      <c r="EK2">
        <v>0</v>
      </c>
      <c r="EL2">
        <v>0</v>
      </c>
      <c r="EM2" s="47">
        <f t="shared" ref="EM2:EM9" si="20">$EJ2*CN2</f>
        <v>0</v>
      </c>
      <c r="EN2" s="47">
        <f t="shared" ref="EN2:EN9" si="21">$EJ2*CO2</f>
        <v>0</v>
      </c>
      <c r="EO2" s="47">
        <f t="shared" ref="EO2:EO9" si="22">$EJ2*CP2</f>
        <v>0</v>
      </c>
      <c r="EP2" s="47">
        <f t="shared" ref="EP2:EP9" si="23">$EJ2*CQ2</f>
        <v>0</v>
      </c>
      <c r="EQ2" s="47">
        <f t="shared" ref="EQ2:EQ9" si="24">$EJ2*CR2</f>
        <v>0</v>
      </c>
      <c r="ER2" s="47">
        <f t="shared" ref="ER2:ER9" si="25">$EJ2*CS2</f>
        <v>0</v>
      </c>
      <c r="ES2" s="47">
        <f t="shared" ref="ES2:ES9" si="26">$EJ2*CT2</f>
        <v>0</v>
      </c>
      <c r="ET2" s="47">
        <f t="shared" ref="ET2:ET9" si="27">$EJ2*CU2</f>
        <v>0</v>
      </c>
      <c r="EU2" s="47">
        <f t="shared" ref="EU2:EU9" si="28">$EJ2*CV2</f>
        <v>0</v>
      </c>
      <c r="EV2" s="47">
        <f t="shared" ref="EV2:EV9" si="29">$EJ2*CW2</f>
        <v>0</v>
      </c>
      <c r="EW2" s="47">
        <f t="shared" ref="EW2:EW9" si="30">$EJ2*CX2</f>
        <v>0</v>
      </c>
      <c r="EX2" s="47">
        <f t="shared" ref="EX2:EX9" si="31">$EJ2*CY2</f>
        <v>0</v>
      </c>
      <c r="EY2" s="47">
        <f t="shared" ref="EY2:EY9" si="32">$EJ2*CZ2</f>
        <v>0</v>
      </c>
      <c r="EZ2" s="47">
        <f t="shared" ref="EZ2:EZ9" si="33">$EJ2*DA2</f>
        <v>0</v>
      </c>
      <c r="FA2" s="47">
        <f t="shared" ref="FA2:FA9" si="34">$EK2*CN2</f>
        <v>0</v>
      </c>
      <c r="FB2" s="47">
        <f t="shared" ref="FB2:FB9" si="35">$EK2*CO2</f>
        <v>0</v>
      </c>
      <c r="FC2" s="47">
        <f t="shared" ref="FC2:FC9" si="36">$EK2*CP2</f>
        <v>0</v>
      </c>
      <c r="FD2" s="47">
        <f t="shared" ref="FD2:FD9" si="37">$EK2*CQ2</f>
        <v>0</v>
      </c>
      <c r="FE2" s="47">
        <f t="shared" ref="FE2:FE9" si="38">$EK2*CR2</f>
        <v>0</v>
      </c>
      <c r="FF2" s="47">
        <f t="shared" ref="FF2:FF9" si="39">$EK2*CS2</f>
        <v>0</v>
      </c>
      <c r="FG2" s="47">
        <f t="shared" ref="FG2:FG9" si="40">$EK2*CT2</f>
        <v>0</v>
      </c>
      <c r="FH2" s="47">
        <f t="shared" ref="FH2:FH9" si="41">$EK2*CU2</f>
        <v>0</v>
      </c>
      <c r="FI2" s="47">
        <f t="shared" ref="FI2:FI9" si="42">$EK2*CV2</f>
        <v>0</v>
      </c>
      <c r="FJ2" s="47">
        <f t="shared" ref="FJ2:FJ9" si="43">$EK2*CW2</f>
        <v>0</v>
      </c>
      <c r="FK2" s="47">
        <f t="shared" ref="FK2:FK9" si="44">$EK2*CX2</f>
        <v>0</v>
      </c>
      <c r="FL2" s="47">
        <f t="shared" ref="FL2:FL9" si="45">$EK2*CY2</f>
        <v>0</v>
      </c>
      <c r="FM2" s="47">
        <f t="shared" ref="FM2:FM9" si="46">$EK2*CZ2</f>
        <v>0</v>
      </c>
      <c r="FN2" s="47">
        <f t="shared" ref="FN2:FN9" si="47">$EK2*DA2</f>
        <v>0</v>
      </c>
      <c r="FO2" s="546">
        <f t="shared" ref="FO2:FO9" si="48">I2/AT2</f>
        <v>797.94584378551588</v>
      </c>
      <c r="FP2" s="546">
        <f t="shared" ref="FP2:FP9" si="49">L2/AU2</f>
        <v>589.5571110945383</v>
      </c>
      <c r="FQ2" s="546">
        <f t="shared" ref="FQ2:FQ9" si="50">R2/AV2</f>
        <v>2870.6668288131686</v>
      </c>
      <c r="FR2" s="546">
        <f t="shared" ref="FR2:FR9" si="51">X2/AW2</f>
        <v>77297.977781686568</v>
      </c>
      <c r="FS2" s="546">
        <f t="shared" ref="FS2:FS9" si="52">AD2/AX2</f>
        <v>1365885.6408978319</v>
      </c>
      <c r="FT2" s="546">
        <f t="shared" ref="FT2:FT9" si="53">AI2/AY2</f>
        <v>5954684.1635379018</v>
      </c>
      <c r="FU2" s="546">
        <f t="shared" ref="FU2:FU9" si="54">AL2/AZ2</f>
        <v>73.065258274595408</v>
      </c>
      <c r="FV2" s="546">
        <f t="shared" ref="FV2:FV9" si="55">AM2/BA2</f>
        <v>22.125538780223742</v>
      </c>
      <c r="FW2" s="546">
        <f t="shared" ref="FW2:FW9" si="56">AN2/BB2</f>
        <v>471.21745118546949</v>
      </c>
      <c r="FX2" s="546">
        <f t="shared" ref="FX2:FX9" si="57">BE2/CG2</f>
        <v>762.77014130927898</v>
      </c>
      <c r="FY2" s="546">
        <f t="shared" ref="FY2:FY9" si="58">BK2/CH2</f>
        <v>3518.4011241614344</v>
      </c>
      <c r="FZ2" s="546">
        <f t="shared" ref="FZ2:FZ9" si="59">BQ2/CI2</f>
        <v>84234.463220239515</v>
      </c>
      <c r="GA2" s="546">
        <f t="shared" ref="GA2:GA9" si="60">BZ2/CJ2</f>
        <v>398353.41017792228</v>
      </c>
      <c r="GB2" s="546">
        <f t="shared" ref="GB2:GB9" si="61">BZ2/CK2</f>
        <v>67.307902959498563</v>
      </c>
      <c r="GC2" s="546">
        <f t="shared" ref="GC2:GC9" si="62">CA2/CL2</f>
        <v>64.81224487612414</v>
      </c>
      <c r="GD2" s="546">
        <f t="shared" ref="GD2:GD9" si="63">CB2/CM2</f>
        <v>126.72834448130352</v>
      </c>
    </row>
    <row r="3" spans="1:186">
      <c r="A3" s="4">
        <v>42401</v>
      </c>
      <c r="B3" s="6">
        <v>2016</v>
      </c>
      <c r="C3" s="5">
        <v>2</v>
      </c>
      <c r="D3" s="7">
        <v>76305256.827142537</v>
      </c>
      <c r="E3" s="7">
        <f>IFERROR(VLOOKUP($B3-1,CDM!$V$4:$AJ$17,2,FALSE)/12,0)+IFERROR(VLOOKUP($B3,CDM!$V$41:$AJ$54,2,FALSE)/24,0)+IFERROR(VLOOKUP($B3,CDM!$V$41:$AJ$54,2,FALSE)/2*$C3/78,0)</f>
        <v>1076045.4626737572</v>
      </c>
      <c r="F3" s="7">
        <f t="shared" si="0"/>
        <v>77381302.28981629</v>
      </c>
      <c r="G3" s="7"/>
      <c r="H3" s="7"/>
      <c r="I3" s="7">
        <f t="shared" si="1"/>
        <v>77381302.28981629</v>
      </c>
      <c r="J3" s="7">
        <v>884883.73710169818</v>
      </c>
      <c r="K3" s="7">
        <f>IFERROR(VLOOKUP($B3-1,CDM!$V$4:$AJ$17,3,FALSE)/12,0)+IFERROR(VLOOKUP($B3,CDM!$V$41:$AJ$54,3,FALSE)/24,0)+IFERROR(VLOOKUP($B3,CDM!$V$41:$AJ$54,3,FALSE)/2*$C3/78,0)</f>
        <v>12324.813370878648</v>
      </c>
      <c r="L3" s="7">
        <f t="shared" si="2"/>
        <v>897208.55047257687</v>
      </c>
      <c r="M3" s="7"/>
      <c r="N3" s="7"/>
      <c r="O3" s="7">
        <f t="shared" si="3"/>
        <v>897208.55047257687</v>
      </c>
      <c r="P3" s="7">
        <v>23393877.938437324</v>
      </c>
      <c r="Q3" s="7">
        <f>IFERROR(VLOOKUP($B3-1,CDM!$V$4:$AJ$17,4,FALSE)/12,0)+IFERROR(VLOOKUP($B3,CDM!$V$41:$AJ$54,4,FALSE)/24,0)+IFERROR(VLOOKUP($B3,CDM!$V$41:$AJ$54,4,FALSE)/2*$C3/78,0)</f>
        <v>452839.81085648166</v>
      </c>
      <c r="R3" s="7">
        <f t="shared" si="4"/>
        <v>23846717.749293804</v>
      </c>
      <c r="S3" s="7"/>
      <c r="T3" s="7"/>
      <c r="U3" s="7">
        <f t="shared" si="5"/>
        <v>23846717.749293804</v>
      </c>
      <c r="V3" s="7">
        <v>76333258.280687109</v>
      </c>
      <c r="W3" s="7">
        <f>IFERROR(VLOOKUP($B3-1,CDM!$V$4:$AJ$17,5,FALSE)/12,0)+IFERROR(VLOOKUP($B3,CDM!$V$41:$AJ$54,5,FALSE)/24,0)+IFERROR(VLOOKUP($B3,CDM!$V$41:$AJ$54,5,FALSE)/2*$C3/78,0)</f>
        <v>1623100.927385808</v>
      </c>
      <c r="X3" s="7">
        <f t="shared" si="6"/>
        <v>77956359.208072916</v>
      </c>
      <c r="Y3" s="7"/>
      <c r="Z3" s="7"/>
      <c r="AA3" s="7">
        <f t="shared" si="7"/>
        <v>77956359.208072916</v>
      </c>
      <c r="AB3" s="7">
        <v>6179829.3320220588</v>
      </c>
      <c r="AC3" s="7">
        <f>IFERROR(VLOOKUP($B3-1,CDM!$V$4:$AJ$17,6,FALSE)/12,0)+IFERROR(VLOOKUP($B3,CDM!$V$41:$AJ$54,6,FALSE)/24,0)+IFERROR(VLOOKUP($B3,CDM!$V$41:$AJ$54,6,FALSE)/2*$C3/78,0)</f>
        <v>31409.91429097806</v>
      </c>
      <c r="AD3" s="7">
        <f t="shared" si="8"/>
        <v>6211239.2463130364</v>
      </c>
      <c r="AE3" s="7"/>
      <c r="AF3" s="7">
        <f t="shared" si="9"/>
        <v>6211239.2463130364</v>
      </c>
      <c r="AG3" s="7">
        <v>18389541.442927673</v>
      </c>
      <c r="AH3" s="7">
        <f>IFERROR(VLOOKUP($B3-1,CDM!$V$4:$AJ$17,7,FALSE)/12,0)+IFERROR(VLOOKUP($B3,CDM!$V$41:$AJ$54,7,FALSE)/24,0)+IFERROR(VLOOKUP($B3,CDM!$V$41:$AJ$54,7,FALSE)/2*$C3/78,0)</f>
        <v>513654.29563838831</v>
      </c>
      <c r="AI3" s="7">
        <f t="shared" si="10"/>
        <v>18903195.738566063</v>
      </c>
      <c r="AJ3" s="7"/>
      <c r="AK3" s="7">
        <f t="shared" si="11"/>
        <v>18903195.738566063</v>
      </c>
      <c r="AL3" s="7">
        <v>1885168.2789543979</v>
      </c>
      <c r="AM3" s="7">
        <v>9086.4591680976901</v>
      </c>
      <c r="AN3" s="7">
        <v>397170.98836099979</v>
      </c>
      <c r="AO3" s="5">
        <v>191034.62</v>
      </c>
      <c r="AP3" s="5">
        <v>16479.18</v>
      </c>
      <c r="AQ3" s="5">
        <v>30920</v>
      </c>
      <c r="AR3" s="5">
        <v>4815.3</v>
      </c>
      <c r="AS3" s="544">
        <f t="shared" ref="AS3:AS13" si="64">1014/12</f>
        <v>84.5</v>
      </c>
      <c r="AT3" s="557">
        <v>107077.5</v>
      </c>
      <c r="AU3" s="557">
        <v>1588</v>
      </c>
      <c r="AV3" s="557">
        <v>8922.6666666666679</v>
      </c>
      <c r="AW3" s="557">
        <v>1060.1666666666665</v>
      </c>
      <c r="AX3" s="557">
        <v>5</v>
      </c>
      <c r="AY3" s="557">
        <v>3</v>
      </c>
      <c r="AZ3" s="557">
        <v>29961</v>
      </c>
      <c r="BA3" s="557">
        <v>439</v>
      </c>
      <c r="BB3" s="557">
        <v>842.66666666666674</v>
      </c>
      <c r="BC3" s="560">
        <v>26393046.563640803</v>
      </c>
      <c r="BD3" s="560">
        <f>IFERROR(VLOOKUP($B3-1,CDM!$V$4:$AJ$17,11,FALSE)/12,0)+IFERROR(VLOOKUP($B3,CDM!$V$41:$AJ$54,11,FALSE)/24,0)+IFERROR(VLOOKUP($B3,CDM!$V$41:$AJ$54,11,FALSE)/2*$C3/78,0)</f>
        <v>516364.56700061075</v>
      </c>
      <c r="BE3" s="560">
        <f t="shared" si="12"/>
        <v>26909411.130641416</v>
      </c>
      <c r="BF3" s="560"/>
      <c r="BG3" s="560"/>
      <c r="BH3" s="560">
        <f t="shared" si="13"/>
        <v>26909411.130641416</v>
      </c>
      <c r="BI3" s="560">
        <v>7092291.0563994637</v>
      </c>
      <c r="BJ3" s="560">
        <f>IFERROR(VLOOKUP($B3-1,CDM!$V$4:$AJ$17,12,FALSE)/12,0)+IFERROR(VLOOKUP($B3,CDM!$V$41:$AJ$54,12,FALSE)/24,0)+IFERROR(VLOOKUP($B3,CDM!$V$41:$AJ$54,12,FALSE)/2*$C3/78,0)</f>
        <v>107293.18269351324</v>
      </c>
      <c r="BK3" s="560">
        <f t="shared" si="14"/>
        <v>7199584.2390929768</v>
      </c>
      <c r="BL3" s="560"/>
      <c r="BM3" s="560"/>
      <c r="BN3" s="560">
        <f t="shared" si="15"/>
        <v>7199584.2390929768</v>
      </c>
      <c r="BO3" s="560">
        <v>29860209.647553287</v>
      </c>
      <c r="BP3" s="560">
        <f>IFERROR(VLOOKUP($B3-1,CDM!$V$4:$AJ$17,13,FALSE)/12,0)+IFERROR(VLOOKUP($B3,CDM!$V$41:$AJ$54,13,FALSE)/24,0)+IFERROR(VLOOKUP($B3,CDM!$V$41:$AJ$54,13,FALSE)/2*$C3/78,0)</f>
        <v>375183.85452833335</v>
      </c>
      <c r="BQ3" s="560">
        <f t="shared" si="16"/>
        <v>30235393.502081621</v>
      </c>
      <c r="BR3" s="560"/>
      <c r="BS3" s="560"/>
      <c r="BT3" s="560">
        <f t="shared" si="17"/>
        <v>30235393.502081621</v>
      </c>
      <c r="BU3" s="560">
        <v>4725349.5467695286</v>
      </c>
      <c r="BV3" s="560">
        <f>IFERROR(VLOOKUP($B3-1,CDM!$V$4:$AJ$17,14,FALSE)/12,0)+IFERROR(VLOOKUP($B3,CDM!$V$41:$AJ$54,14,FALSE)/24,0)+IFERROR(VLOOKUP($B3,CDM!$V$41:$AJ$54,14,FALSE)/2*$C3/78,0)</f>
        <v>84349.643063545853</v>
      </c>
      <c r="BW3" s="560">
        <f t="shared" si="18"/>
        <v>4809699.1898330748</v>
      </c>
      <c r="BX3" s="560"/>
      <c r="BY3" s="560">
        <f t="shared" si="19"/>
        <v>4809699.1898330748</v>
      </c>
      <c r="BZ3" s="560">
        <v>663636.2923282953</v>
      </c>
      <c r="CA3" s="560">
        <v>2527.6775501688417</v>
      </c>
      <c r="CB3" s="560">
        <v>47575.999617371337</v>
      </c>
      <c r="CC3" s="5">
        <v>71207.7</v>
      </c>
      <c r="CD3" s="5">
        <v>8485.17</v>
      </c>
      <c r="CE3" s="5">
        <v>1644.34</v>
      </c>
      <c r="CF3" s="544">
        <f t="shared" ref="CF3:CF13" si="65">92/12</f>
        <v>7.666666666666667</v>
      </c>
      <c r="CG3" s="565">
        <v>39307.166666666672</v>
      </c>
      <c r="CH3" s="565">
        <v>2185.833333333333</v>
      </c>
      <c r="CI3" s="565">
        <v>366.33333333333337</v>
      </c>
      <c r="CJ3" s="565">
        <v>2</v>
      </c>
      <c r="CK3" s="565">
        <v>11840.5</v>
      </c>
      <c r="CL3" s="565">
        <v>39</v>
      </c>
      <c r="CM3" s="565">
        <v>374.83333333333337</v>
      </c>
      <c r="CN3" s="46">
        <f>Weather!C27</f>
        <v>661.70833333333326</v>
      </c>
      <c r="CO3" s="46">
        <f>Weather!D27</f>
        <v>0</v>
      </c>
      <c r="CP3" s="46">
        <f>Weather!E27</f>
        <v>603.70833333333337</v>
      </c>
      <c r="CQ3" s="46">
        <f>Weather!F27</f>
        <v>0</v>
      </c>
      <c r="CR3" s="46">
        <f>Weather!G27</f>
        <v>545.70833333333337</v>
      </c>
      <c r="CS3" s="46">
        <f>Weather!H27</f>
        <v>0</v>
      </c>
      <c r="CT3" s="46">
        <f>Weather!I27</f>
        <v>487.70833333333337</v>
      </c>
      <c r="CU3" s="46">
        <f>Weather!J27</f>
        <v>0</v>
      </c>
      <c r="CV3" s="46">
        <f>Weather!K27</f>
        <v>429.70833333333337</v>
      </c>
      <c r="CW3" s="46">
        <f>Weather!L27</f>
        <v>0</v>
      </c>
      <c r="CX3" s="46">
        <f>Weather!M27</f>
        <v>371.70833333333337</v>
      </c>
      <c r="CY3" s="46">
        <f>Weather!N27</f>
        <v>0</v>
      </c>
      <c r="CZ3" s="46">
        <f>Weather!O27</f>
        <v>313.70833333333326</v>
      </c>
      <c r="DA3" s="46">
        <f>Weather!P27</f>
        <v>0</v>
      </c>
      <c r="DB3" s="243">
        <f>'Economic Data'!D29</f>
        <v>6899.5</v>
      </c>
      <c r="DC3" s="243">
        <f>'Economic Data'!E29</f>
        <v>6829.1</v>
      </c>
      <c r="DD3" s="243">
        <f>'Economic Data'!F29</f>
        <v>204.7</v>
      </c>
      <c r="DE3" s="243">
        <f>'Economic Data'!G29</f>
        <v>203.6</v>
      </c>
      <c r="DF3" s="243">
        <f>'Economic Data'!H29</f>
        <v>33.4</v>
      </c>
      <c r="DG3" s="243">
        <f>'Economic Data'!I29</f>
        <v>33.4</v>
      </c>
      <c r="DH3" s="243">
        <f>'Economic Data'!J29</f>
        <v>743976.2</v>
      </c>
      <c r="DI3" s="243">
        <f>'Economic Data'!K29</f>
        <v>571846.40000000002</v>
      </c>
      <c r="DJ3" s="243">
        <f>'Economic Data'!L29</f>
        <v>91511.8</v>
      </c>
      <c r="DK3" s="243">
        <f>'Economic Data'!M29</f>
        <v>29814.5</v>
      </c>
      <c r="DL3" s="243">
        <f>'Economic Data'!N29</f>
        <v>743835</v>
      </c>
      <c r="DM3" s="243">
        <f>'Economic Data'!O29</f>
        <v>92481</v>
      </c>
      <c r="DN3" s="243">
        <f>'Economic Data'!P29</f>
        <v>21209</v>
      </c>
      <c r="DO3" s="243">
        <f>'Economic Data'!Q29</f>
        <v>569491</v>
      </c>
      <c r="DP3" s="243">
        <f>'Economic Data'!R29</f>
        <v>29721</v>
      </c>
      <c r="DQ3">
        <v>29</v>
      </c>
      <c r="DR3">
        <v>20</v>
      </c>
      <c r="DS3">
        <v>0</v>
      </c>
      <c r="DT3">
        <v>1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f t="shared" ref="EH3:EH55" si="66">EH2+1</f>
        <v>2</v>
      </c>
      <c r="EI3">
        <v>0</v>
      </c>
      <c r="EJ3">
        <v>0</v>
      </c>
      <c r="EK3">
        <v>0</v>
      </c>
      <c r="EL3">
        <v>0</v>
      </c>
      <c r="EM3" s="47">
        <f t="shared" si="20"/>
        <v>0</v>
      </c>
      <c r="EN3" s="47">
        <f t="shared" si="21"/>
        <v>0</v>
      </c>
      <c r="EO3" s="47">
        <f t="shared" si="22"/>
        <v>0</v>
      </c>
      <c r="EP3" s="47">
        <f t="shared" si="23"/>
        <v>0</v>
      </c>
      <c r="EQ3" s="47">
        <f t="shared" si="24"/>
        <v>0</v>
      </c>
      <c r="ER3" s="47">
        <f t="shared" si="25"/>
        <v>0</v>
      </c>
      <c r="ES3" s="47">
        <f t="shared" si="26"/>
        <v>0</v>
      </c>
      <c r="ET3" s="47">
        <f t="shared" si="27"/>
        <v>0</v>
      </c>
      <c r="EU3" s="47">
        <f t="shared" si="28"/>
        <v>0</v>
      </c>
      <c r="EV3" s="47">
        <f t="shared" si="29"/>
        <v>0</v>
      </c>
      <c r="EW3" s="47">
        <f t="shared" si="30"/>
        <v>0</v>
      </c>
      <c r="EX3" s="47">
        <f t="shared" si="31"/>
        <v>0</v>
      </c>
      <c r="EY3" s="47">
        <f t="shared" si="32"/>
        <v>0</v>
      </c>
      <c r="EZ3" s="47">
        <f t="shared" si="33"/>
        <v>0</v>
      </c>
      <c r="FA3" s="47">
        <f t="shared" si="34"/>
        <v>0</v>
      </c>
      <c r="FB3" s="47">
        <f t="shared" si="35"/>
        <v>0</v>
      </c>
      <c r="FC3" s="47">
        <f t="shared" si="36"/>
        <v>0</v>
      </c>
      <c r="FD3" s="47">
        <f t="shared" si="37"/>
        <v>0</v>
      </c>
      <c r="FE3" s="47">
        <f t="shared" si="38"/>
        <v>0</v>
      </c>
      <c r="FF3" s="47">
        <f t="shared" si="39"/>
        <v>0</v>
      </c>
      <c r="FG3" s="47">
        <f t="shared" si="40"/>
        <v>0</v>
      </c>
      <c r="FH3" s="47">
        <f t="shared" si="41"/>
        <v>0</v>
      </c>
      <c r="FI3" s="47">
        <f t="shared" si="42"/>
        <v>0</v>
      </c>
      <c r="FJ3" s="47">
        <f t="shared" si="43"/>
        <v>0</v>
      </c>
      <c r="FK3" s="47">
        <f t="shared" si="44"/>
        <v>0</v>
      </c>
      <c r="FL3" s="47">
        <f t="shared" si="45"/>
        <v>0</v>
      </c>
      <c r="FM3" s="47">
        <f t="shared" si="46"/>
        <v>0</v>
      </c>
      <c r="FN3" s="47">
        <f t="shared" si="47"/>
        <v>0</v>
      </c>
      <c r="FO3" s="546">
        <f t="shared" si="48"/>
        <v>722.66631449012436</v>
      </c>
      <c r="FP3" s="546">
        <f t="shared" si="49"/>
        <v>564.99278997013653</v>
      </c>
      <c r="FQ3" s="546">
        <f t="shared" si="50"/>
        <v>2672.5998672998135</v>
      </c>
      <c r="FR3" s="546">
        <f t="shared" si="51"/>
        <v>73532.173439465114</v>
      </c>
      <c r="FS3" s="546">
        <f t="shared" si="52"/>
        <v>1242247.8492626073</v>
      </c>
      <c r="FT3" s="546">
        <f t="shared" si="53"/>
        <v>6301065.2461886881</v>
      </c>
      <c r="FU3" s="546">
        <f t="shared" si="54"/>
        <v>62.92073959328453</v>
      </c>
      <c r="FV3" s="546">
        <f t="shared" si="55"/>
        <v>20.698084665370594</v>
      </c>
      <c r="FW3" s="546">
        <f t="shared" si="56"/>
        <v>471.32633112460417</v>
      </c>
      <c r="FX3" s="546">
        <f t="shared" si="57"/>
        <v>684.59299951174501</v>
      </c>
      <c r="FY3" s="546">
        <f t="shared" si="58"/>
        <v>3293.7480316094448</v>
      </c>
      <c r="FZ3" s="546">
        <f t="shared" si="59"/>
        <v>82535.19609303445</v>
      </c>
      <c r="GA3" s="546">
        <f t="shared" si="60"/>
        <v>331818.14616414765</v>
      </c>
      <c r="GB3" s="546">
        <f t="shared" si="61"/>
        <v>56.04799563602004</v>
      </c>
      <c r="GC3" s="546">
        <f t="shared" si="62"/>
        <v>64.81224487612414</v>
      </c>
      <c r="GD3" s="546">
        <f t="shared" si="63"/>
        <v>126.92574375465895</v>
      </c>
    </row>
    <row r="4" spans="1:186">
      <c r="A4" s="4">
        <v>42430</v>
      </c>
      <c r="B4" s="6">
        <v>2016</v>
      </c>
      <c r="C4" s="5">
        <v>3</v>
      </c>
      <c r="D4" s="7">
        <v>72844786.655513629</v>
      </c>
      <c r="E4" s="7">
        <f>IFERROR(VLOOKUP($B4-1,CDM!$V$4:$AJ$17,2,FALSE)/12,0)+IFERROR(VLOOKUP($B4,CDM!$V$41:$AJ$54,2,FALSE)/24,0)+IFERROR(VLOOKUP($B4,CDM!$V$41:$AJ$54,2,FALSE)/2*$C4/78,0)</f>
        <v>1127080.6869475781</v>
      </c>
      <c r="F4" s="7">
        <f t="shared" si="0"/>
        <v>73971867.342461213</v>
      </c>
      <c r="G4" s="7"/>
      <c r="H4" s="7"/>
      <c r="I4" s="7">
        <f t="shared" si="1"/>
        <v>73971867.342461213</v>
      </c>
      <c r="J4" s="7">
        <v>771186.06976722099</v>
      </c>
      <c r="K4" s="7">
        <f>IFERROR(VLOOKUP($B4-1,CDM!$V$4:$AJ$17,3,FALSE)/12,0)+IFERROR(VLOOKUP($B4,CDM!$V$41:$AJ$54,3,FALSE)/24,0)+IFERROR(VLOOKUP($B4,CDM!$V$41:$AJ$54,3,FALSE)/2*$C4/78,0)</f>
        <v>12909.360805289867</v>
      </c>
      <c r="L4" s="7">
        <f t="shared" si="2"/>
        <v>784095.43057251081</v>
      </c>
      <c r="M4" s="7"/>
      <c r="N4" s="7"/>
      <c r="O4" s="7">
        <f t="shared" si="3"/>
        <v>784095.43057251081</v>
      </c>
      <c r="P4" s="7">
        <v>23034725.464434173</v>
      </c>
      <c r="Q4" s="7">
        <f>IFERROR(VLOOKUP($B4-1,CDM!$V$4:$AJ$17,4,FALSE)/12,0)+IFERROR(VLOOKUP($B4,CDM!$V$41:$AJ$54,4,FALSE)/24,0)+IFERROR(VLOOKUP($B4,CDM!$V$41:$AJ$54,4,FALSE)/2*$C4/78,0)</f>
        <v>468245.84697925288</v>
      </c>
      <c r="R4" s="7">
        <f t="shared" si="4"/>
        <v>23502971.311413426</v>
      </c>
      <c r="S4" s="7"/>
      <c r="T4" s="7"/>
      <c r="U4" s="7">
        <f t="shared" si="5"/>
        <v>23502971.311413426</v>
      </c>
      <c r="V4" s="7">
        <v>78356213.261571378</v>
      </c>
      <c r="W4" s="7">
        <f>IFERROR(VLOOKUP($B4-1,CDM!$V$4:$AJ$17,5,FALSE)/12,0)+IFERROR(VLOOKUP($B4,CDM!$V$41:$AJ$54,5,FALSE)/24,0)+IFERROR(VLOOKUP($B4,CDM!$V$41:$AJ$54,5,FALSE)/2*$C4/78,0)</f>
        <v>1672534.4177361291</v>
      </c>
      <c r="X4" s="7">
        <f t="shared" si="6"/>
        <v>80028747.679307505</v>
      </c>
      <c r="Y4" s="7"/>
      <c r="Z4" s="7"/>
      <c r="AA4" s="7">
        <f t="shared" si="7"/>
        <v>80028747.679307505</v>
      </c>
      <c r="AB4" s="7">
        <v>6292273.9018087834</v>
      </c>
      <c r="AC4" s="7">
        <f>IFERROR(VLOOKUP($B4-1,CDM!$V$4:$AJ$17,6,FALSE)/12,0)+IFERROR(VLOOKUP($B4,CDM!$V$41:$AJ$54,6,FALSE)/24,0)+IFERROR(VLOOKUP($B4,CDM!$V$41:$AJ$54,6,FALSE)/2*$C4/78,0)</f>
        <v>33662.334494275019</v>
      </c>
      <c r="AD4" s="7">
        <f t="shared" si="8"/>
        <v>6325936.2363030585</v>
      </c>
      <c r="AE4" s="7"/>
      <c r="AF4" s="7">
        <f t="shared" si="9"/>
        <v>6325936.2363030585</v>
      </c>
      <c r="AG4" s="7">
        <v>18966216.533645697</v>
      </c>
      <c r="AH4" s="7">
        <f>IFERROR(VLOOKUP($B4-1,CDM!$V$4:$AJ$17,7,FALSE)/12,0)+IFERROR(VLOOKUP($B4,CDM!$V$41:$AJ$54,7,FALSE)/24,0)+IFERROR(VLOOKUP($B4,CDM!$V$41:$AJ$54,7,FALSE)/2*$C4/78,0)</f>
        <v>531524.02916070435</v>
      </c>
      <c r="AI4" s="7">
        <f t="shared" si="10"/>
        <v>19497740.562806401</v>
      </c>
      <c r="AJ4" s="7"/>
      <c r="AK4" s="7">
        <f t="shared" si="11"/>
        <v>19497740.562806401</v>
      </c>
      <c r="AL4" s="7">
        <v>1803709.5020034346</v>
      </c>
      <c r="AM4" s="7">
        <v>9676.0277571856204</v>
      </c>
      <c r="AN4" s="7">
        <v>397109.98855180311</v>
      </c>
      <c r="AO4" s="5">
        <v>188446.02</v>
      </c>
      <c r="AP4" s="5">
        <v>15863</v>
      </c>
      <c r="AQ4" s="5">
        <v>30102</v>
      </c>
      <c r="AR4" s="5">
        <v>4815.3</v>
      </c>
      <c r="AS4" s="544">
        <f t="shared" si="64"/>
        <v>84.5</v>
      </c>
      <c r="AT4" s="557">
        <v>107159.75</v>
      </c>
      <c r="AU4" s="557">
        <v>1587.5</v>
      </c>
      <c r="AV4" s="557">
        <v>8929.5000000000018</v>
      </c>
      <c r="AW4" s="557">
        <v>1059.2499999999998</v>
      </c>
      <c r="AX4" s="557">
        <v>5</v>
      </c>
      <c r="AY4" s="557">
        <v>3</v>
      </c>
      <c r="AZ4" s="557">
        <v>29976.5</v>
      </c>
      <c r="BA4" s="557">
        <v>439</v>
      </c>
      <c r="BB4" s="557">
        <v>841.50000000000011</v>
      </c>
      <c r="BC4" s="560">
        <v>25767519.902783524</v>
      </c>
      <c r="BD4" s="560">
        <f>IFERROR(VLOOKUP($B4-1,CDM!$V$4:$AJ$17,11,FALSE)/12,0)+IFERROR(VLOOKUP($B4,CDM!$V$41:$AJ$54,11,FALSE)/24,0)+IFERROR(VLOOKUP($B4,CDM!$V$41:$AJ$54,11,FALSE)/2*$C4/78,0)</f>
        <v>546566.74919785443</v>
      </c>
      <c r="BE4" s="560">
        <f t="shared" si="12"/>
        <v>26314086.65198138</v>
      </c>
      <c r="BF4" s="560"/>
      <c r="BG4" s="560"/>
      <c r="BH4" s="560">
        <f t="shared" si="13"/>
        <v>26314086.65198138</v>
      </c>
      <c r="BI4" s="560">
        <v>7005032.8680409407</v>
      </c>
      <c r="BJ4" s="560">
        <f>IFERROR(VLOOKUP($B4-1,CDM!$V$4:$AJ$17,12,FALSE)/12,0)+IFERROR(VLOOKUP($B4,CDM!$V$41:$AJ$54,12,FALSE)/24,0)+IFERROR(VLOOKUP($B4,CDM!$V$41:$AJ$54,12,FALSE)/2*$C4/78,0)</f>
        <v>109109.92677741675</v>
      </c>
      <c r="BK4" s="560">
        <f t="shared" si="14"/>
        <v>7114142.7948183576</v>
      </c>
      <c r="BL4" s="560"/>
      <c r="BM4" s="560"/>
      <c r="BN4" s="560">
        <f t="shared" si="15"/>
        <v>7114142.7948183576</v>
      </c>
      <c r="BO4" s="560">
        <v>28965707.460822575</v>
      </c>
      <c r="BP4" s="560">
        <f>IFERROR(VLOOKUP($B4-1,CDM!$V$4:$AJ$17,13,FALSE)/12,0)+IFERROR(VLOOKUP($B4,CDM!$V$41:$AJ$54,13,FALSE)/24,0)+IFERROR(VLOOKUP($B4,CDM!$V$41:$AJ$54,13,FALSE)/2*$C4/78,0)</f>
        <v>386172.94974517555</v>
      </c>
      <c r="BQ4" s="560">
        <f t="shared" si="16"/>
        <v>29351880.410567749</v>
      </c>
      <c r="BR4" s="560"/>
      <c r="BS4" s="560"/>
      <c r="BT4" s="560">
        <f t="shared" si="17"/>
        <v>29351880.410567749</v>
      </c>
      <c r="BU4" s="560">
        <v>5043583.8862102227</v>
      </c>
      <c r="BV4" s="560">
        <f>IFERROR(VLOOKUP($B4-1,CDM!$V$4:$AJ$17,14,FALSE)/12,0)+IFERROR(VLOOKUP($B4,CDM!$V$41:$AJ$54,14,FALSE)/24,0)+IFERROR(VLOOKUP($B4,CDM!$V$41:$AJ$54,14,FALSE)/2*$C4/78,0)</f>
        <v>86820.235142454098</v>
      </c>
      <c r="BW4" s="560">
        <f t="shared" si="18"/>
        <v>5130404.1213526772</v>
      </c>
      <c r="BX4" s="560"/>
      <c r="BY4" s="560">
        <f t="shared" si="19"/>
        <v>5130404.1213526772</v>
      </c>
      <c r="BZ4" s="560">
        <v>600715.83126076136</v>
      </c>
      <c r="CA4" s="560">
        <v>2527.6775501688417</v>
      </c>
      <c r="CB4" s="560">
        <v>47575.999617371337</v>
      </c>
      <c r="CC4" s="5">
        <v>70185.119999999995</v>
      </c>
      <c r="CD4" s="5">
        <v>7451.14</v>
      </c>
      <c r="CE4" s="5">
        <v>1626.14</v>
      </c>
      <c r="CF4" s="544">
        <f t="shared" si="65"/>
        <v>7.666666666666667</v>
      </c>
      <c r="CG4" s="565">
        <v>39335.250000000007</v>
      </c>
      <c r="CH4" s="565">
        <v>2189.2499999999995</v>
      </c>
      <c r="CI4" s="565">
        <v>366.50000000000006</v>
      </c>
      <c r="CJ4" s="565">
        <v>2</v>
      </c>
      <c r="CK4" s="565">
        <v>11844.25</v>
      </c>
      <c r="CL4" s="565">
        <v>39</v>
      </c>
      <c r="CM4" s="565">
        <v>374.25000000000006</v>
      </c>
      <c r="CN4" s="46">
        <f>Weather!C28</f>
        <v>577.07934782608709</v>
      </c>
      <c r="CO4" s="46">
        <f>Weather!D28</f>
        <v>0</v>
      </c>
      <c r="CP4" s="46">
        <f>Weather!E28</f>
        <v>515.07934782608686</v>
      </c>
      <c r="CQ4" s="46">
        <f>Weather!F28</f>
        <v>0</v>
      </c>
      <c r="CR4" s="46">
        <f>Weather!G28</f>
        <v>453.07934782608692</v>
      </c>
      <c r="CS4" s="46">
        <f>Weather!H28</f>
        <v>0</v>
      </c>
      <c r="CT4" s="46">
        <f>Weather!I28</f>
        <v>391.07934782608697</v>
      </c>
      <c r="CU4" s="46">
        <f>Weather!J28</f>
        <v>0</v>
      </c>
      <c r="CV4" s="46">
        <f>Weather!K28</f>
        <v>329.07934782608692</v>
      </c>
      <c r="CW4" s="46">
        <f>Weather!L28</f>
        <v>0</v>
      </c>
      <c r="CX4" s="46">
        <f>Weather!M28</f>
        <v>267.07934782608692</v>
      </c>
      <c r="CY4" s="46">
        <f>Weather!N28</f>
        <v>0</v>
      </c>
      <c r="CZ4" s="46">
        <f>Weather!O28</f>
        <v>207.6751811594203</v>
      </c>
      <c r="DA4" s="46">
        <f>Weather!P28</f>
        <v>2.595833333333335</v>
      </c>
      <c r="DB4" s="243">
        <f>'Economic Data'!D30</f>
        <v>6908.6</v>
      </c>
      <c r="DC4" s="243">
        <f>'Economic Data'!E30</f>
        <v>6808.7</v>
      </c>
      <c r="DD4" s="243">
        <f>'Economic Data'!F30</f>
        <v>205.8</v>
      </c>
      <c r="DE4" s="243">
        <f>'Economic Data'!G30</f>
        <v>203.7</v>
      </c>
      <c r="DF4" s="243">
        <f>'Economic Data'!H30</f>
        <v>34.700000000000003</v>
      </c>
      <c r="DG4" s="243">
        <f>'Economic Data'!I30</f>
        <v>34.700000000000003</v>
      </c>
      <c r="DH4" s="243">
        <f>'Economic Data'!J30</f>
        <v>743976.2</v>
      </c>
      <c r="DI4" s="243">
        <f>'Economic Data'!K30</f>
        <v>571846.40000000002</v>
      </c>
      <c r="DJ4" s="243">
        <f>'Economic Data'!L30</f>
        <v>91511.8</v>
      </c>
      <c r="DK4" s="243">
        <f>'Economic Data'!M30</f>
        <v>29814.5</v>
      </c>
      <c r="DL4" s="243">
        <f>'Economic Data'!N30</f>
        <v>743835</v>
      </c>
      <c r="DM4" s="243">
        <f>'Economic Data'!O30</f>
        <v>92481</v>
      </c>
      <c r="DN4" s="243">
        <f>'Economic Data'!P30</f>
        <v>21209</v>
      </c>
      <c r="DO4" s="243">
        <f>'Economic Data'!Q30</f>
        <v>569491</v>
      </c>
      <c r="DP4" s="243">
        <f>'Economic Data'!R30</f>
        <v>29721</v>
      </c>
      <c r="DQ4">
        <v>31</v>
      </c>
      <c r="DR4">
        <v>21</v>
      </c>
      <c r="DS4">
        <v>0</v>
      </c>
      <c r="DT4">
        <v>0</v>
      </c>
      <c r="DU4">
        <v>1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1</v>
      </c>
      <c r="EF4">
        <v>0</v>
      </c>
      <c r="EG4">
        <v>1</v>
      </c>
      <c r="EH4">
        <f t="shared" si="66"/>
        <v>3</v>
      </c>
      <c r="EI4">
        <v>0</v>
      </c>
      <c r="EJ4">
        <v>0</v>
      </c>
      <c r="EK4">
        <v>0</v>
      </c>
      <c r="EL4">
        <v>0</v>
      </c>
      <c r="EM4" s="47">
        <f t="shared" si="20"/>
        <v>0</v>
      </c>
      <c r="EN4" s="47">
        <f t="shared" si="21"/>
        <v>0</v>
      </c>
      <c r="EO4" s="47">
        <f t="shared" si="22"/>
        <v>0</v>
      </c>
      <c r="EP4" s="47">
        <f t="shared" si="23"/>
        <v>0</v>
      </c>
      <c r="EQ4" s="47">
        <f t="shared" si="24"/>
        <v>0</v>
      </c>
      <c r="ER4" s="47">
        <f t="shared" si="25"/>
        <v>0</v>
      </c>
      <c r="ES4" s="47">
        <f t="shared" si="26"/>
        <v>0</v>
      </c>
      <c r="ET4" s="47">
        <f t="shared" si="27"/>
        <v>0</v>
      </c>
      <c r="EU4" s="47">
        <f t="shared" si="28"/>
        <v>0</v>
      </c>
      <c r="EV4" s="47">
        <f t="shared" si="29"/>
        <v>0</v>
      </c>
      <c r="EW4" s="47">
        <f t="shared" si="30"/>
        <v>0</v>
      </c>
      <c r="EX4" s="47">
        <f t="shared" si="31"/>
        <v>0</v>
      </c>
      <c r="EY4" s="47">
        <f t="shared" si="32"/>
        <v>0</v>
      </c>
      <c r="EZ4" s="47">
        <f t="shared" si="33"/>
        <v>0</v>
      </c>
      <c r="FA4" s="47">
        <f t="shared" si="34"/>
        <v>0</v>
      </c>
      <c r="FB4" s="47">
        <f t="shared" si="35"/>
        <v>0</v>
      </c>
      <c r="FC4" s="47">
        <f t="shared" si="36"/>
        <v>0</v>
      </c>
      <c r="FD4" s="47">
        <f t="shared" si="37"/>
        <v>0</v>
      </c>
      <c r="FE4" s="47">
        <f t="shared" si="38"/>
        <v>0</v>
      </c>
      <c r="FF4" s="47">
        <f t="shared" si="39"/>
        <v>0</v>
      </c>
      <c r="FG4" s="47">
        <f t="shared" si="40"/>
        <v>0</v>
      </c>
      <c r="FH4" s="47">
        <f t="shared" si="41"/>
        <v>0</v>
      </c>
      <c r="FI4" s="47">
        <f t="shared" si="42"/>
        <v>0</v>
      </c>
      <c r="FJ4" s="47">
        <f t="shared" si="43"/>
        <v>0</v>
      </c>
      <c r="FK4" s="47">
        <f t="shared" si="44"/>
        <v>0</v>
      </c>
      <c r="FL4" s="47">
        <f t="shared" si="45"/>
        <v>0</v>
      </c>
      <c r="FM4" s="47">
        <f t="shared" si="46"/>
        <v>0</v>
      </c>
      <c r="FN4" s="47">
        <f t="shared" si="47"/>
        <v>0</v>
      </c>
      <c r="FO4" s="546">
        <f t="shared" si="48"/>
        <v>690.29525864385846</v>
      </c>
      <c r="FP4" s="546">
        <f t="shared" si="49"/>
        <v>493.91838146299892</v>
      </c>
      <c r="FQ4" s="546">
        <f t="shared" si="50"/>
        <v>2632.0590527368186</v>
      </c>
      <c r="FR4" s="546">
        <f t="shared" si="51"/>
        <v>75552.275363991052</v>
      </c>
      <c r="FS4" s="546">
        <f t="shared" si="52"/>
        <v>1265187.2472606117</v>
      </c>
      <c r="FT4" s="546">
        <f t="shared" si="53"/>
        <v>6499246.8542688005</v>
      </c>
      <c r="FU4" s="546">
        <f t="shared" si="54"/>
        <v>60.170783847461664</v>
      </c>
      <c r="FV4" s="546">
        <f t="shared" si="55"/>
        <v>22.041065506117587</v>
      </c>
      <c r="FW4" s="546">
        <f t="shared" si="56"/>
        <v>471.90729477338448</v>
      </c>
      <c r="FX4" s="546">
        <f t="shared" si="57"/>
        <v>668.96960492132052</v>
      </c>
      <c r="FY4" s="546">
        <f t="shared" si="58"/>
        <v>3249.5798994259949</v>
      </c>
      <c r="FZ4" s="546">
        <f t="shared" si="59"/>
        <v>80086.986113418126</v>
      </c>
      <c r="GA4" s="546">
        <f t="shared" si="60"/>
        <v>300357.91563038068</v>
      </c>
      <c r="GB4" s="546">
        <f t="shared" si="61"/>
        <v>50.717929059312439</v>
      </c>
      <c r="GC4" s="546">
        <f t="shared" si="62"/>
        <v>64.81224487612414</v>
      </c>
      <c r="GD4" s="546">
        <f t="shared" si="63"/>
        <v>127.12357947193408</v>
      </c>
    </row>
    <row r="5" spans="1:186">
      <c r="A5" s="4">
        <v>42461</v>
      </c>
      <c r="B5" s="6">
        <v>2016</v>
      </c>
      <c r="C5" s="5">
        <v>4</v>
      </c>
      <c r="D5" s="7">
        <v>64239807.943303466</v>
      </c>
      <c r="E5" s="7">
        <f>IFERROR(VLOOKUP($B5-1,CDM!$V$4:$AJ$17,2,FALSE)/12,0)+IFERROR(VLOOKUP($B5,CDM!$V$41:$AJ$54,2,FALSE)/24,0)+IFERROR(VLOOKUP($B5,CDM!$V$41:$AJ$54,2,FALSE)/2*$C5/78,0)</f>
        <v>1178115.9112213987</v>
      </c>
      <c r="F5" s="7">
        <f t="shared" si="0"/>
        <v>65417923.854524866</v>
      </c>
      <c r="G5" s="7"/>
      <c r="H5" s="7"/>
      <c r="I5" s="7">
        <f t="shared" si="1"/>
        <v>65417923.854524866</v>
      </c>
      <c r="J5" s="7">
        <v>644320.35460789921</v>
      </c>
      <c r="K5" s="7">
        <f>IFERROR(VLOOKUP($B5-1,CDM!$V$4:$AJ$17,3,FALSE)/12,0)+IFERROR(VLOOKUP($B5,CDM!$V$41:$AJ$54,3,FALSE)/24,0)+IFERROR(VLOOKUP($B5,CDM!$V$41:$AJ$54,3,FALSE)/2*$C5/78,0)</f>
        <v>13493.908239701086</v>
      </c>
      <c r="L5" s="7">
        <f t="shared" si="2"/>
        <v>657814.26284760027</v>
      </c>
      <c r="M5" s="7"/>
      <c r="N5" s="7"/>
      <c r="O5" s="7">
        <f t="shared" si="3"/>
        <v>657814.26284760027</v>
      </c>
      <c r="P5" s="7">
        <v>21056387.070368249</v>
      </c>
      <c r="Q5" s="7">
        <f>IFERROR(VLOOKUP($B5-1,CDM!$V$4:$AJ$17,4,FALSE)/12,0)+IFERROR(VLOOKUP($B5,CDM!$V$41:$AJ$54,4,FALSE)/24,0)+IFERROR(VLOOKUP($B5,CDM!$V$41:$AJ$54,4,FALSE)/2*$C5/78,0)</f>
        <v>483651.88310202415</v>
      </c>
      <c r="R5" s="7">
        <f t="shared" si="4"/>
        <v>21540038.953470275</v>
      </c>
      <c r="S5" s="7"/>
      <c r="T5" s="7"/>
      <c r="U5" s="7">
        <f t="shared" si="5"/>
        <v>21540038.953470275</v>
      </c>
      <c r="V5" s="7">
        <v>74223294.75648424</v>
      </c>
      <c r="W5" s="7">
        <f>IFERROR(VLOOKUP($B5-1,CDM!$V$4:$AJ$17,5,FALSE)/12,0)+IFERROR(VLOOKUP($B5,CDM!$V$41:$AJ$54,5,FALSE)/24,0)+IFERROR(VLOOKUP($B5,CDM!$V$41:$AJ$54,5,FALSE)/2*$C5/78,0)</f>
        <v>1721967.9080864503</v>
      </c>
      <c r="X5" s="7">
        <f t="shared" si="6"/>
        <v>75945262.664570689</v>
      </c>
      <c r="Y5" s="7"/>
      <c r="Z5" s="7"/>
      <c r="AA5" s="7">
        <f t="shared" si="7"/>
        <v>75945262.664570689</v>
      </c>
      <c r="AB5" s="7">
        <v>6451256.1706969012</v>
      </c>
      <c r="AC5" s="7">
        <f>IFERROR(VLOOKUP($B5-1,CDM!$V$4:$AJ$17,6,FALSE)/12,0)+IFERROR(VLOOKUP($B5,CDM!$V$41:$AJ$54,6,FALSE)/24,0)+IFERROR(VLOOKUP($B5,CDM!$V$41:$AJ$54,6,FALSE)/2*$C5/78,0)</f>
        <v>35914.754697571974</v>
      </c>
      <c r="AD5" s="7">
        <f t="shared" si="8"/>
        <v>6487170.9253944736</v>
      </c>
      <c r="AE5" s="7"/>
      <c r="AF5" s="7">
        <f t="shared" si="9"/>
        <v>6487170.9253944736</v>
      </c>
      <c r="AG5" s="7">
        <v>18890287.626626015</v>
      </c>
      <c r="AH5" s="7">
        <f>IFERROR(VLOOKUP($B5-1,CDM!$V$4:$AJ$17,7,FALSE)/12,0)+IFERROR(VLOOKUP($B5,CDM!$V$41:$AJ$54,7,FALSE)/24,0)+IFERROR(VLOOKUP($B5,CDM!$V$41:$AJ$54,7,FALSE)/2*$C5/78,0)</f>
        <v>549393.76268302032</v>
      </c>
      <c r="AI5" s="7">
        <f t="shared" si="10"/>
        <v>19439681.389309034</v>
      </c>
      <c r="AJ5" s="7"/>
      <c r="AK5" s="7">
        <f t="shared" si="11"/>
        <v>19439681.389309034</v>
      </c>
      <c r="AL5" s="7">
        <v>1516778.1053234115</v>
      </c>
      <c r="AM5" s="7">
        <v>9363.8978295344732</v>
      </c>
      <c r="AN5" s="7">
        <v>397109.98855180311</v>
      </c>
      <c r="AO5" s="5">
        <v>189291.33</v>
      </c>
      <c r="AP5" s="5">
        <v>16570.57</v>
      </c>
      <c r="AQ5" s="5">
        <v>30101</v>
      </c>
      <c r="AR5" s="5">
        <v>4815.2299999999996</v>
      </c>
      <c r="AS5" s="544">
        <f t="shared" si="64"/>
        <v>84.5</v>
      </c>
      <c r="AT5" s="557">
        <v>107242</v>
      </c>
      <c r="AU5" s="557">
        <v>1587</v>
      </c>
      <c r="AV5" s="557">
        <v>8936.3333333333358</v>
      </c>
      <c r="AW5" s="557">
        <v>1058.333333333333</v>
      </c>
      <c r="AX5" s="557">
        <v>5</v>
      </c>
      <c r="AY5" s="557">
        <v>3</v>
      </c>
      <c r="AZ5" s="557">
        <v>29992</v>
      </c>
      <c r="BA5" s="557">
        <v>439</v>
      </c>
      <c r="BB5" s="557">
        <v>840.33333333333348</v>
      </c>
      <c r="BC5" s="560">
        <v>23310126.27999799</v>
      </c>
      <c r="BD5" s="560">
        <f>IFERROR(VLOOKUP($B5-1,CDM!$V$4:$AJ$17,11,FALSE)/12,0)+IFERROR(VLOOKUP($B5,CDM!$V$41:$AJ$54,11,FALSE)/24,0)+IFERROR(VLOOKUP($B5,CDM!$V$41:$AJ$54,11,FALSE)/2*$C5/78,0)</f>
        <v>576768.93139509798</v>
      </c>
      <c r="BE5" s="560">
        <f t="shared" si="12"/>
        <v>23886895.211393088</v>
      </c>
      <c r="BF5" s="560"/>
      <c r="BG5" s="560"/>
      <c r="BH5" s="560">
        <f t="shared" si="13"/>
        <v>23886895.211393088</v>
      </c>
      <c r="BI5" s="560">
        <v>6516276.3955519414</v>
      </c>
      <c r="BJ5" s="560">
        <f>IFERROR(VLOOKUP($B5-1,CDM!$V$4:$AJ$17,12,FALSE)/12,0)+IFERROR(VLOOKUP($B5,CDM!$V$41:$AJ$54,12,FALSE)/24,0)+IFERROR(VLOOKUP($B5,CDM!$V$41:$AJ$54,12,FALSE)/2*$C5/78,0)</f>
        <v>110926.67086132028</v>
      </c>
      <c r="BK5" s="560">
        <f t="shared" si="14"/>
        <v>6627203.0664132619</v>
      </c>
      <c r="BL5" s="560"/>
      <c r="BM5" s="560"/>
      <c r="BN5" s="560">
        <f t="shared" si="15"/>
        <v>6627203.0664132619</v>
      </c>
      <c r="BO5" s="560">
        <v>27734037.547883518</v>
      </c>
      <c r="BP5" s="560">
        <f>IFERROR(VLOOKUP($B5-1,CDM!$V$4:$AJ$17,13,FALSE)/12,0)+IFERROR(VLOOKUP($B5,CDM!$V$41:$AJ$54,13,FALSE)/24,0)+IFERROR(VLOOKUP($B5,CDM!$V$41:$AJ$54,13,FALSE)/2*$C5/78,0)</f>
        <v>397162.0449620178</v>
      </c>
      <c r="BQ5" s="560">
        <f t="shared" si="16"/>
        <v>28131199.592845537</v>
      </c>
      <c r="BR5" s="560"/>
      <c r="BS5" s="560"/>
      <c r="BT5" s="560">
        <f t="shared" si="17"/>
        <v>28131199.592845537</v>
      </c>
      <c r="BU5" s="560">
        <v>4946593.6451301835</v>
      </c>
      <c r="BV5" s="560">
        <f>IFERROR(VLOOKUP($B5-1,CDM!$V$4:$AJ$17,14,FALSE)/12,0)+IFERROR(VLOOKUP($B5,CDM!$V$41:$AJ$54,14,FALSE)/24,0)+IFERROR(VLOOKUP($B5,CDM!$V$41:$AJ$54,14,FALSE)/2*$C5/78,0)</f>
        <v>89290.827221362342</v>
      </c>
      <c r="BW5" s="560">
        <f t="shared" si="18"/>
        <v>5035884.4723515455</v>
      </c>
      <c r="BX5" s="560"/>
      <c r="BY5" s="560">
        <f t="shared" si="19"/>
        <v>5035884.4723515455</v>
      </c>
      <c r="BZ5" s="560">
        <v>520027.19533193036</v>
      </c>
      <c r="CA5" s="560">
        <v>2527.6775501688417</v>
      </c>
      <c r="CB5" s="560">
        <v>47564.999043428346</v>
      </c>
      <c r="CC5" s="5">
        <v>69008.89</v>
      </c>
      <c r="CD5" s="5">
        <v>7937.74</v>
      </c>
      <c r="CE5" s="5">
        <v>1552.34</v>
      </c>
      <c r="CF5" s="544">
        <f t="shared" si="65"/>
        <v>7.666666666666667</v>
      </c>
      <c r="CG5" s="565">
        <v>39363.333333333343</v>
      </c>
      <c r="CH5" s="565">
        <v>2192.6666666666661</v>
      </c>
      <c r="CI5" s="565">
        <v>366.66666666666674</v>
      </c>
      <c r="CJ5" s="565">
        <v>2</v>
      </c>
      <c r="CK5" s="565">
        <v>11848</v>
      </c>
      <c r="CL5" s="565">
        <v>39</v>
      </c>
      <c r="CM5" s="565">
        <v>373.66666666666674</v>
      </c>
      <c r="CN5" s="46">
        <f>Weather!C29</f>
        <v>465.98333333333341</v>
      </c>
      <c r="CO5" s="46">
        <f>Weather!D29</f>
        <v>0</v>
      </c>
      <c r="CP5" s="46">
        <f>Weather!E29</f>
        <v>405.98333333333341</v>
      </c>
      <c r="CQ5" s="46">
        <f>Weather!F29</f>
        <v>0</v>
      </c>
      <c r="CR5" s="46">
        <f>Weather!G29</f>
        <v>345.98333333333335</v>
      </c>
      <c r="CS5" s="46">
        <f>Weather!H29</f>
        <v>0</v>
      </c>
      <c r="CT5" s="46">
        <f>Weather!I29</f>
        <v>286.81666666666661</v>
      </c>
      <c r="CU5" s="46">
        <f>Weather!J29</f>
        <v>0.83333333333333393</v>
      </c>
      <c r="CV5" s="46">
        <f>Weather!K29</f>
        <v>229.20416666666662</v>
      </c>
      <c r="CW5" s="46">
        <f>Weather!L29</f>
        <v>3.2208333333333368</v>
      </c>
      <c r="CX5" s="46">
        <f>Weather!M29</f>
        <v>175.33749999999998</v>
      </c>
      <c r="CY5" s="46">
        <f>Weather!N29</f>
        <v>9.3541666666666732</v>
      </c>
      <c r="CZ5" s="46">
        <f>Weather!O29</f>
        <v>127.94999999999997</v>
      </c>
      <c r="DA5" s="46">
        <f>Weather!P29</f>
        <v>21.966666666666676</v>
      </c>
      <c r="DB5" s="243">
        <f>'Economic Data'!D31</f>
        <v>6909</v>
      </c>
      <c r="DC5" s="243">
        <f>'Economic Data'!E31</f>
        <v>6823.1</v>
      </c>
      <c r="DD5" s="243">
        <f>'Economic Data'!F31</f>
        <v>205.3</v>
      </c>
      <c r="DE5" s="243">
        <f>'Economic Data'!G31</f>
        <v>203.4</v>
      </c>
      <c r="DF5" s="243">
        <f>'Economic Data'!H31</f>
        <v>33</v>
      </c>
      <c r="DG5" s="243">
        <f>'Economic Data'!I31</f>
        <v>33</v>
      </c>
      <c r="DH5" s="243">
        <f>'Economic Data'!J31</f>
        <v>743976.2</v>
      </c>
      <c r="DI5" s="243">
        <f>'Economic Data'!K31</f>
        <v>571846.40000000002</v>
      </c>
      <c r="DJ5" s="243">
        <f>'Economic Data'!L31</f>
        <v>91511.8</v>
      </c>
      <c r="DK5" s="243">
        <f>'Economic Data'!M31</f>
        <v>29814.5</v>
      </c>
      <c r="DL5" s="243">
        <f>'Economic Data'!N31</f>
        <v>740829</v>
      </c>
      <c r="DM5" s="243">
        <f>'Economic Data'!O31</f>
        <v>90172</v>
      </c>
      <c r="DN5" s="243">
        <f>'Economic Data'!P31</f>
        <v>20809</v>
      </c>
      <c r="DO5" s="243">
        <f>'Economic Data'!Q31</f>
        <v>570144</v>
      </c>
      <c r="DP5" s="243">
        <f>'Economic Data'!R31</f>
        <v>29588</v>
      </c>
      <c r="DQ5">
        <v>30</v>
      </c>
      <c r="DR5">
        <v>21</v>
      </c>
      <c r="DS5">
        <v>0</v>
      </c>
      <c r="DT5">
        <v>0</v>
      </c>
      <c r="DU5">
        <v>0</v>
      </c>
      <c r="DV5">
        <v>1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1</v>
      </c>
      <c r="EF5">
        <v>0</v>
      </c>
      <c r="EG5">
        <v>1</v>
      </c>
      <c r="EH5">
        <f t="shared" si="66"/>
        <v>4</v>
      </c>
      <c r="EI5">
        <v>0</v>
      </c>
      <c r="EJ5">
        <v>0</v>
      </c>
      <c r="EK5">
        <v>0</v>
      </c>
      <c r="EL5">
        <v>0</v>
      </c>
      <c r="EM5" s="47">
        <f t="shared" si="20"/>
        <v>0</v>
      </c>
      <c r="EN5" s="47">
        <f t="shared" si="21"/>
        <v>0</v>
      </c>
      <c r="EO5" s="47">
        <f t="shared" si="22"/>
        <v>0</v>
      </c>
      <c r="EP5" s="47">
        <f t="shared" si="23"/>
        <v>0</v>
      </c>
      <c r="EQ5" s="47">
        <f t="shared" si="24"/>
        <v>0</v>
      </c>
      <c r="ER5" s="47">
        <f t="shared" si="25"/>
        <v>0</v>
      </c>
      <c r="ES5" s="47">
        <f t="shared" si="26"/>
        <v>0</v>
      </c>
      <c r="ET5" s="47">
        <f t="shared" si="27"/>
        <v>0</v>
      </c>
      <c r="EU5" s="47">
        <f t="shared" si="28"/>
        <v>0</v>
      </c>
      <c r="EV5" s="47">
        <f t="shared" si="29"/>
        <v>0</v>
      </c>
      <c r="EW5" s="47">
        <f t="shared" si="30"/>
        <v>0</v>
      </c>
      <c r="EX5" s="47">
        <f t="shared" si="31"/>
        <v>0</v>
      </c>
      <c r="EY5" s="47">
        <f t="shared" si="32"/>
        <v>0</v>
      </c>
      <c r="EZ5" s="47">
        <f t="shared" si="33"/>
        <v>0</v>
      </c>
      <c r="FA5" s="47">
        <f t="shared" si="34"/>
        <v>0</v>
      </c>
      <c r="FB5" s="47">
        <f t="shared" si="35"/>
        <v>0</v>
      </c>
      <c r="FC5" s="47">
        <f t="shared" si="36"/>
        <v>0</v>
      </c>
      <c r="FD5" s="47">
        <f t="shared" si="37"/>
        <v>0</v>
      </c>
      <c r="FE5" s="47">
        <f t="shared" si="38"/>
        <v>0</v>
      </c>
      <c r="FF5" s="47">
        <f t="shared" si="39"/>
        <v>0</v>
      </c>
      <c r="FG5" s="47">
        <f t="shared" si="40"/>
        <v>0</v>
      </c>
      <c r="FH5" s="47">
        <f t="shared" si="41"/>
        <v>0</v>
      </c>
      <c r="FI5" s="47">
        <f t="shared" si="42"/>
        <v>0</v>
      </c>
      <c r="FJ5" s="47">
        <f t="shared" si="43"/>
        <v>0</v>
      </c>
      <c r="FK5" s="47">
        <f t="shared" si="44"/>
        <v>0</v>
      </c>
      <c r="FL5" s="47">
        <f t="shared" si="45"/>
        <v>0</v>
      </c>
      <c r="FM5" s="47">
        <f t="shared" si="46"/>
        <v>0</v>
      </c>
      <c r="FN5" s="47">
        <f t="shared" si="47"/>
        <v>0</v>
      </c>
      <c r="FO5" s="546">
        <f t="shared" si="48"/>
        <v>610.00283335376878</v>
      </c>
      <c r="FP5" s="546">
        <f t="shared" si="49"/>
        <v>414.50174092476385</v>
      </c>
      <c r="FQ5" s="546">
        <f t="shared" si="50"/>
        <v>2410.3889313443547</v>
      </c>
      <c r="FR5" s="546">
        <f t="shared" si="51"/>
        <v>71759.303305106179</v>
      </c>
      <c r="FS5" s="546">
        <f t="shared" si="52"/>
        <v>1297434.1850788947</v>
      </c>
      <c r="FT5" s="546">
        <f t="shared" si="53"/>
        <v>6479893.7964363443</v>
      </c>
      <c r="FU5" s="546">
        <f t="shared" si="54"/>
        <v>50.57275624577926</v>
      </c>
      <c r="FV5" s="546">
        <f t="shared" si="55"/>
        <v>21.330063393017024</v>
      </c>
      <c r="FW5" s="546">
        <f t="shared" si="56"/>
        <v>472.56246158485089</v>
      </c>
      <c r="FX5" s="546">
        <f t="shared" si="57"/>
        <v>606.8311087660195</v>
      </c>
      <c r="FY5" s="546">
        <f t="shared" si="58"/>
        <v>3022.4398296199133</v>
      </c>
      <c r="FZ5" s="546">
        <f t="shared" si="59"/>
        <v>76721.453435033269</v>
      </c>
      <c r="GA5" s="546">
        <f t="shared" si="60"/>
        <v>260013.59766596518</v>
      </c>
      <c r="GB5" s="546">
        <f t="shared" si="61"/>
        <v>43.891559362924575</v>
      </c>
      <c r="GC5" s="546">
        <f t="shared" si="62"/>
        <v>64.81224487612414</v>
      </c>
      <c r="GD5" s="546">
        <f t="shared" si="63"/>
        <v>127.29259333656111</v>
      </c>
    </row>
    <row r="6" spans="1:186">
      <c r="A6" s="4">
        <v>42491</v>
      </c>
      <c r="B6" s="6">
        <v>2016</v>
      </c>
      <c r="C6" s="5">
        <v>5</v>
      </c>
      <c r="D6" s="7">
        <v>63958037.171408132</v>
      </c>
      <c r="E6" s="7">
        <f>IFERROR(VLOOKUP($B6-1,CDM!$V$4:$AJ$17,2,FALSE)/12,0)+IFERROR(VLOOKUP($B6,CDM!$V$41:$AJ$54,2,FALSE)/24,0)+IFERROR(VLOOKUP($B6,CDM!$V$41:$AJ$54,2,FALSE)/2*$C6/78,0)</f>
        <v>1229151.1354952196</v>
      </c>
      <c r="F6" s="7">
        <f t="shared" si="0"/>
        <v>65187188.306903355</v>
      </c>
      <c r="G6" s="7"/>
      <c r="H6" s="7"/>
      <c r="I6" s="7">
        <f t="shared" si="1"/>
        <v>65187188.306903355</v>
      </c>
      <c r="J6" s="7">
        <v>628366.47031100933</v>
      </c>
      <c r="K6" s="7">
        <f>IFERROR(VLOOKUP($B6-1,CDM!$V$4:$AJ$17,3,FALSE)/12,0)+IFERROR(VLOOKUP($B6,CDM!$V$41:$AJ$54,3,FALSE)/24,0)+IFERROR(VLOOKUP($B6,CDM!$V$41:$AJ$54,3,FALSE)/2*$C6/78,0)</f>
        <v>14078.455674112305</v>
      </c>
      <c r="L6" s="7">
        <f t="shared" si="2"/>
        <v>642444.92598512163</v>
      </c>
      <c r="M6" s="7"/>
      <c r="N6" s="7"/>
      <c r="O6" s="7">
        <f t="shared" si="3"/>
        <v>642444.92598512163</v>
      </c>
      <c r="P6" s="7">
        <v>20712117.338446863</v>
      </c>
      <c r="Q6" s="7">
        <f>IFERROR(VLOOKUP($B6-1,CDM!$V$4:$AJ$17,4,FALSE)/12,0)+IFERROR(VLOOKUP($B6,CDM!$V$41:$AJ$54,4,FALSE)/24,0)+IFERROR(VLOOKUP($B6,CDM!$V$41:$AJ$54,4,FALSE)/2*$C6/78,0)</f>
        <v>499057.91922479536</v>
      </c>
      <c r="R6" s="7">
        <f t="shared" si="4"/>
        <v>21211175.257671658</v>
      </c>
      <c r="S6" s="7"/>
      <c r="T6" s="7"/>
      <c r="U6" s="7">
        <f t="shared" si="5"/>
        <v>21211175.257671658</v>
      </c>
      <c r="V6" s="7">
        <v>75508795.924534813</v>
      </c>
      <c r="W6" s="7">
        <f>IFERROR(VLOOKUP($B6-1,CDM!$V$4:$AJ$17,5,FALSE)/12,0)+IFERROR(VLOOKUP($B6,CDM!$V$41:$AJ$54,5,FALSE)/24,0)+IFERROR(VLOOKUP($B6,CDM!$V$41:$AJ$54,5,FALSE)/2*$C6/78,0)</f>
        <v>1771401.3984367712</v>
      </c>
      <c r="X6" s="7">
        <f t="shared" si="6"/>
        <v>77280197.322971582</v>
      </c>
      <c r="Y6" s="7"/>
      <c r="Z6" s="7"/>
      <c r="AA6" s="7">
        <f t="shared" si="7"/>
        <v>77280197.322971582</v>
      </c>
      <c r="AB6" s="7">
        <v>5672283.3217632752</v>
      </c>
      <c r="AC6" s="7">
        <f>IFERROR(VLOOKUP($B6-1,CDM!$V$4:$AJ$17,6,FALSE)/12,0)+IFERROR(VLOOKUP($B6,CDM!$V$41:$AJ$54,6,FALSE)/24,0)+IFERROR(VLOOKUP($B6,CDM!$V$41:$AJ$54,6,FALSE)/2*$C6/78,0)</f>
        <v>38167.174900868937</v>
      </c>
      <c r="AD6" s="7">
        <f t="shared" si="8"/>
        <v>5710450.4966641441</v>
      </c>
      <c r="AE6" s="7"/>
      <c r="AF6" s="7">
        <f t="shared" si="9"/>
        <v>5710450.4966641441</v>
      </c>
      <c r="AG6" s="7">
        <v>17847735.834621124</v>
      </c>
      <c r="AH6" s="7">
        <f>IFERROR(VLOOKUP($B6-1,CDM!$V$4:$AJ$17,7,FALSE)/12,0)+IFERROR(VLOOKUP($B6,CDM!$V$41:$AJ$54,7,FALSE)/24,0)+IFERROR(VLOOKUP($B6,CDM!$V$41:$AJ$54,7,FALSE)/2*$C6/78,0)</f>
        <v>567263.4962053363</v>
      </c>
      <c r="AI6" s="7">
        <f t="shared" si="10"/>
        <v>18414999.330826461</v>
      </c>
      <c r="AJ6" s="7"/>
      <c r="AK6" s="7">
        <f t="shared" si="11"/>
        <v>18414999.330826461</v>
      </c>
      <c r="AL6" s="7">
        <v>1378932.0167906887</v>
      </c>
      <c r="AM6" s="7">
        <v>9575.7847175955012</v>
      </c>
      <c r="AN6" s="7">
        <v>396504.47910704062</v>
      </c>
      <c r="AO6" s="5">
        <v>199979.31</v>
      </c>
      <c r="AP6" s="5">
        <v>28826.84</v>
      </c>
      <c r="AQ6" s="5">
        <v>59082</v>
      </c>
      <c r="AR6" s="5">
        <v>4808.8999999999996</v>
      </c>
      <c r="AS6" s="544">
        <f t="shared" si="64"/>
        <v>84.5</v>
      </c>
      <c r="AT6" s="557">
        <v>107324.25</v>
      </c>
      <c r="AU6" s="557">
        <v>1586.5</v>
      </c>
      <c r="AV6" s="557">
        <v>8943.1666666666697</v>
      </c>
      <c r="AW6" s="557">
        <v>1057.4166666666663</v>
      </c>
      <c r="AX6" s="557">
        <v>5</v>
      </c>
      <c r="AY6" s="557">
        <v>3</v>
      </c>
      <c r="AZ6" s="557">
        <v>30007.5</v>
      </c>
      <c r="BA6" s="557">
        <v>439</v>
      </c>
      <c r="BB6" s="557">
        <v>839.16666666666686</v>
      </c>
      <c r="BC6" s="560">
        <v>25746095.995293856</v>
      </c>
      <c r="BD6" s="560">
        <f>IFERROR(VLOOKUP($B6-1,CDM!$V$4:$AJ$17,11,FALSE)/12,0)+IFERROR(VLOOKUP($B6,CDM!$V$41:$AJ$54,11,FALSE)/24,0)+IFERROR(VLOOKUP($B6,CDM!$V$41:$AJ$54,11,FALSE)/2*$C6/78,0)</f>
        <v>606971.11359234154</v>
      </c>
      <c r="BE6" s="560">
        <f t="shared" si="12"/>
        <v>26353067.108886197</v>
      </c>
      <c r="BF6" s="560"/>
      <c r="BG6" s="560"/>
      <c r="BH6" s="560">
        <f t="shared" si="13"/>
        <v>26353067.108886197</v>
      </c>
      <c r="BI6" s="560">
        <v>6531592.6086187009</v>
      </c>
      <c r="BJ6" s="560">
        <f>IFERROR(VLOOKUP($B6-1,CDM!$V$4:$AJ$17,12,FALSE)/12,0)+IFERROR(VLOOKUP($B6,CDM!$V$41:$AJ$54,12,FALSE)/24,0)+IFERROR(VLOOKUP($B6,CDM!$V$41:$AJ$54,12,FALSE)/2*$C6/78,0)</f>
        <v>112743.41494522379</v>
      </c>
      <c r="BK6" s="560">
        <f t="shared" si="14"/>
        <v>6644336.0235639242</v>
      </c>
      <c r="BL6" s="560"/>
      <c r="BM6" s="560"/>
      <c r="BN6" s="560">
        <f t="shared" si="15"/>
        <v>6644336.0235639242</v>
      </c>
      <c r="BO6" s="560">
        <v>27479675.090963673</v>
      </c>
      <c r="BP6" s="560">
        <f>IFERROR(VLOOKUP($B6-1,CDM!$V$4:$AJ$17,13,FALSE)/12,0)+IFERROR(VLOOKUP($B6,CDM!$V$41:$AJ$54,13,FALSE)/24,0)+IFERROR(VLOOKUP($B6,CDM!$V$41:$AJ$54,13,FALSE)/2*$C6/78,0)</f>
        <v>408151.14017886005</v>
      </c>
      <c r="BQ6" s="560">
        <f t="shared" si="16"/>
        <v>27887826.231142532</v>
      </c>
      <c r="BR6" s="560"/>
      <c r="BS6" s="560"/>
      <c r="BT6" s="560">
        <f t="shared" si="17"/>
        <v>27887826.231142532</v>
      </c>
      <c r="BU6" s="560">
        <v>5092232.2854387658</v>
      </c>
      <c r="BV6" s="560">
        <f>IFERROR(VLOOKUP($B6-1,CDM!$V$4:$AJ$17,14,FALSE)/12,0)+IFERROR(VLOOKUP($B6,CDM!$V$41:$AJ$54,14,FALSE)/24,0)+IFERROR(VLOOKUP($B6,CDM!$V$41:$AJ$54,14,FALSE)/2*$C6/78,0)</f>
        <v>91761.419300270587</v>
      </c>
      <c r="BW6" s="560">
        <f t="shared" si="18"/>
        <v>5183993.704739036</v>
      </c>
      <c r="BX6" s="560"/>
      <c r="BY6" s="560">
        <f t="shared" si="19"/>
        <v>5183993.704739036</v>
      </c>
      <c r="BZ6" s="560">
        <v>421542.02219246217</v>
      </c>
      <c r="CA6" s="560">
        <v>2527.6775501688417</v>
      </c>
      <c r="CB6" s="560">
        <v>47616.079969389699</v>
      </c>
      <c r="CC6" s="5">
        <v>71253.149999999994</v>
      </c>
      <c r="CD6" s="5">
        <v>7451.13</v>
      </c>
      <c r="CE6" s="5">
        <v>1371.2</v>
      </c>
      <c r="CF6" s="544">
        <f t="shared" si="65"/>
        <v>7.666666666666667</v>
      </c>
      <c r="CG6" s="565">
        <v>39391.416666666679</v>
      </c>
      <c r="CH6" s="565">
        <v>2196.0833333333326</v>
      </c>
      <c r="CI6" s="565">
        <v>366.83333333333343</v>
      </c>
      <c r="CJ6" s="565">
        <v>2</v>
      </c>
      <c r="CK6" s="565">
        <v>11851.75</v>
      </c>
      <c r="CL6" s="565">
        <v>39</v>
      </c>
      <c r="CM6" s="565">
        <v>373.08333333333343</v>
      </c>
      <c r="CN6" s="46">
        <f>Weather!C30</f>
        <v>203.72361111111115</v>
      </c>
      <c r="CO6" s="46">
        <f>Weather!D30</f>
        <v>8.9833333333333307</v>
      </c>
      <c r="CP6" s="46">
        <f>Weather!E30</f>
        <v>154.58611111111114</v>
      </c>
      <c r="CQ6" s="46">
        <f>Weather!F30</f>
        <v>21.845833333333335</v>
      </c>
      <c r="CR6" s="46">
        <f>Weather!G30</f>
        <v>111.69444444444443</v>
      </c>
      <c r="CS6" s="46">
        <f>Weather!H30</f>
        <v>40.95416666666668</v>
      </c>
      <c r="CT6" s="46">
        <f>Weather!I30</f>
        <v>75.344444444444463</v>
      </c>
      <c r="CU6" s="46">
        <f>Weather!J30</f>
        <v>66.604166666666671</v>
      </c>
      <c r="CV6" s="46">
        <f>Weather!K30</f>
        <v>45.036111111111126</v>
      </c>
      <c r="CW6" s="46">
        <f>Weather!L30</f>
        <v>98.295833333333348</v>
      </c>
      <c r="CX6" s="46">
        <f>Weather!M30</f>
        <v>18.829166666666676</v>
      </c>
      <c r="CY6" s="46">
        <f>Weather!N30</f>
        <v>134.0888888888889</v>
      </c>
      <c r="CZ6" s="46">
        <f>Weather!O30</f>
        <v>4.2083333333333348</v>
      </c>
      <c r="DA6" s="46">
        <f>Weather!P30</f>
        <v>181.46805555555554</v>
      </c>
      <c r="DB6" s="243">
        <f>'Economic Data'!D32</f>
        <v>6919.1</v>
      </c>
      <c r="DC6" s="243">
        <f>'Economic Data'!E32</f>
        <v>6889.6</v>
      </c>
      <c r="DD6" s="243">
        <f>'Economic Data'!F32</f>
        <v>204.8</v>
      </c>
      <c r="DE6" s="243">
        <f>'Economic Data'!G32</f>
        <v>205.4</v>
      </c>
      <c r="DF6" s="243">
        <f>'Economic Data'!H32</f>
        <v>32</v>
      </c>
      <c r="DG6" s="243">
        <f>'Economic Data'!I32</f>
        <v>32</v>
      </c>
      <c r="DH6" s="243">
        <f>'Economic Data'!J32</f>
        <v>743976.2</v>
      </c>
      <c r="DI6" s="243">
        <f>'Economic Data'!K32</f>
        <v>571846.40000000002</v>
      </c>
      <c r="DJ6" s="243">
        <f>'Economic Data'!L32</f>
        <v>91511.8</v>
      </c>
      <c r="DK6" s="243">
        <f>'Economic Data'!M32</f>
        <v>29814.5</v>
      </c>
      <c r="DL6" s="243">
        <f>'Economic Data'!N32</f>
        <v>740829</v>
      </c>
      <c r="DM6" s="243">
        <f>'Economic Data'!O32</f>
        <v>90172</v>
      </c>
      <c r="DN6" s="243">
        <f>'Economic Data'!P32</f>
        <v>20809</v>
      </c>
      <c r="DO6" s="243">
        <f>'Economic Data'!Q32</f>
        <v>570144</v>
      </c>
      <c r="DP6" s="243">
        <f>'Economic Data'!R32</f>
        <v>29588</v>
      </c>
      <c r="DQ6">
        <v>31</v>
      </c>
      <c r="DR6">
        <v>21</v>
      </c>
      <c r="DS6">
        <v>0</v>
      </c>
      <c r="DT6">
        <v>0</v>
      </c>
      <c r="DU6">
        <v>0</v>
      </c>
      <c r="DV6">
        <v>0</v>
      </c>
      <c r="DW6">
        <v>1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1</v>
      </c>
      <c r="EF6">
        <v>0</v>
      </c>
      <c r="EG6">
        <v>1</v>
      </c>
      <c r="EH6">
        <f t="shared" si="66"/>
        <v>5</v>
      </c>
      <c r="EI6">
        <v>0</v>
      </c>
      <c r="EJ6">
        <v>0</v>
      </c>
      <c r="EK6">
        <v>0</v>
      </c>
      <c r="EL6">
        <v>0</v>
      </c>
      <c r="EM6" s="47">
        <f t="shared" si="20"/>
        <v>0</v>
      </c>
      <c r="EN6" s="47">
        <f t="shared" si="21"/>
        <v>0</v>
      </c>
      <c r="EO6" s="47">
        <f t="shared" si="22"/>
        <v>0</v>
      </c>
      <c r="EP6" s="47">
        <f t="shared" si="23"/>
        <v>0</v>
      </c>
      <c r="EQ6" s="47">
        <f t="shared" si="24"/>
        <v>0</v>
      </c>
      <c r="ER6" s="47">
        <f t="shared" si="25"/>
        <v>0</v>
      </c>
      <c r="ES6" s="47">
        <f t="shared" si="26"/>
        <v>0</v>
      </c>
      <c r="ET6" s="47">
        <f t="shared" si="27"/>
        <v>0</v>
      </c>
      <c r="EU6" s="47">
        <f t="shared" si="28"/>
        <v>0</v>
      </c>
      <c r="EV6" s="47">
        <f t="shared" si="29"/>
        <v>0</v>
      </c>
      <c r="EW6" s="47">
        <f t="shared" si="30"/>
        <v>0</v>
      </c>
      <c r="EX6" s="47">
        <f t="shared" si="31"/>
        <v>0</v>
      </c>
      <c r="EY6" s="47">
        <f t="shared" si="32"/>
        <v>0</v>
      </c>
      <c r="EZ6" s="47">
        <f t="shared" si="33"/>
        <v>0</v>
      </c>
      <c r="FA6" s="47">
        <f t="shared" si="34"/>
        <v>0</v>
      </c>
      <c r="FB6" s="47">
        <f t="shared" si="35"/>
        <v>0</v>
      </c>
      <c r="FC6" s="47">
        <f t="shared" si="36"/>
        <v>0</v>
      </c>
      <c r="FD6" s="47">
        <f t="shared" si="37"/>
        <v>0</v>
      </c>
      <c r="FE6" s="47">
        <f t="shared" si="38"/>
        <v>0</v>
      </c>
      <c r="FF6" s="47">
        <f t="shared" si="39"/>
        <v>0</v>
      </c>
      <c r="FG6" s="47">
        <f t="shared" si="40"/>
        <v>0</v>
      </c>
      <c r="FH6" s="47">
        <f t="shared" si="41"/>
        <v>0</v>
      </c>
      <c r="FI6" s="47">
        <f t="shared" si="42"/>
        <v>0</v>
      </c>
      <c r="FJ6" s="47">
        <f t="shared" si="43"/>
        <v>0</v>
      </c>
      <c r="FK6" s="47">
        <f t="shared" si="44"/>
        <v>0</v>
      </c>
      <c r="FL6" s="47">
        <f t="shared" si="45"/>
        <v>0</v>
      </c>
      <c r="FM6" s="47">
        <f t="shared" si="46"/>
        <v>0</v>
      </c>
      <c r="FN6" s="47">
        <f t="shared" si="47"/>
        <v>0</v>
      </c>
      <c r="FO6" s="546">
        <f t="shared" si="48"/>
        <v>607.38545395754784</v>
      </c>
      <c r="FP6" s="546">
        <f t="shared" si="49"/>
        <v>404.94480049487652</v>
      </c>
      <c r="FQ6" s="546">
        <f t="shared" si="50"/>
        <v>2371.7745680320154</v>
      </c>
      <c r="FR6" s="546">
        <f t="shared" si="51"/>
        <v>73083.959955525206</v>
      </c>
      <c r="FS6" s="546">
        <f t="shared" si="52"/>
        <v>1142090.0993328288</v>
      </c>
      <c r="FT6" s="546">
        <f t="shared" si="53"/>
        <v>6138333.1102754874</v>
      </c>
      <c r="FU6" s="546">
        <f t="shared" si="54"/>
        <v>45.952912331606726</v>
      </c>
      <c r="FV6" s="546">
        <f t="shared" si="55"/>
        <v>21.812721452381552</v>
      </c>
      <c r="FW6" s="546">
        <f t="shared" si="56"/>
        <v>472.49788970054482</v>
      </c>
      <c r="FX6" s="546">
        <f t="shared" si="57"/>
        <v>669.00531483515715</v>
      </c>
      <c r="FY6" s="546">
        <f t="shared" si="58"/>
        <v>3025.5391144373361</v>
      </c>
      <c r="FZ6" s="546">
        <f t="shared" si="59"/>
        <v>76023.151924968261</v>
      </c>
      <c r="GA6" s="546">
        <f t="shared" si="60"/>
        <v>210771.01109623109</v>
      </c>
      <c r="GB6" s="546">
        <f t="shared" si="61"/>
        <v>35.567913784248077</v>
      </c>
      <c r="GC6" s="546">
        <f t="shared" si="62"/>
        <v>64.81224487612414</v>
      </c>
      <c r="GD6" s="546">
        <f t="shared" si="63"/>
        <v>127.62853688467193</v>
      </c>
    </row>
    <row r="7" spans="1:186">
      <c r="A7" s="4">
        <v>42522</v>
      </c>
      <c r="B7" s="6">
        <v>2016</v>
      </c>
      <c r="C7" s="5">
        <v>6</v>
      </c>
      <c r="D7" s="7">
        <v>73391084.5386471</v>
      </c>
      <c r="E7" s="7">
        <f>IFERROR(VLOOKUP($B7-1,CDM!$V$4:$AJ$17,2,FALSE)/12,0)+IFERROR(VLOOKUP($B7,CDM!$V$41:$AJ$54,2,FALSE)/24,0)+IFERROR(VLOOKUP($B7,CDM!$V$41:$AJ$54,2,FALSE)/2*$C7/78,0)</f>
        <v>1280186.3597690403</v>
      </c>
      <c r="F7" s="7">
        <f t="shared" si="0"/>
        <v>74671270.898416147</v>
      </c>
      <c r="G7" s="7"/>
      <c r="H7" s="7"/>
      <c r="I7" s="7">
        <f t="shared" si="1"/>
        <v>74671270.898416147</v>
      </c>
      <c r="J7" s="7">
        <v>611305.16543598648</v>
      </c>
      <c r="K7" s="7">
        <f>IFERROR(VLOOKUP($B7-1,CDM!$V$4:$AJ$17,3,FALSE)/12,0)+IFERROR(VLOOKUP($B7,CDM!$V$41:$AJ$54,3,FALSE)/24,0)+IFERROR(VLOOKUP($B7,CDM!$V$41:$AJ$54,3,FALSE)/2*$C7/78,0)</f>
        <v>14663.003108523522</v>
      </c>
      <c r="L7" s="7">
        <f t="shared" si="2"/>
        <v>625968.16854451003</v>
      </c>
      <c r="M7" s="7"/>
      <c r="N7" s="7"/>
      <c r="O7" s="7">
        <f t="shared" si="3"/>
        <v>625968.16854451003</v>
      </c>
      <c r="P7" s="7">
        <v>21725500.608920053</v>
      </c>
      <c r="Q7" s="7">
        <f>IFERROR(VLOOKUP($B7-1,CDM!$V$4:$AJ$17,4,FALSE)/12,0)+IFERROR(VLOOKUP($B7,CDM!$V$41:$AJ$54,4,FALSE)/24,0)+IFERROR(VLOOKUP($B7,CDM!$V$41:$AJ$54,4,FALSE)/2*$C7/78,0)</f>
        <v>514463.95534756663</v>
      </c>
      <c r="R7" s="7">
        <f t="shared" si="4"/>
        <v>22239964.56426762</v>
      </c>
      <c r="S7" s="7"/>
      <c r="T7" s="7"/>
      <c r="U7" s="7">
        <f t="shared" si="5"/>
        <v>22239964.56426762</v>
      </c>
      <c r="V7" s="7">
        <v>78236837.379537284</v>
      </c>
      <c r="W7" s="7">
        <f>IFERROR(VLOOKUP($B7-1,CDM!$V$4:$AJ$17,5,FALSE)/12,0)+IFERROR(VLOOKUP($B7,CDM!$V$41:$AJ$54,5,FALSE)/24,0)+IFERROR(VLOOKUP($B7,CDM!$V$41:$AJ$54,5,FALSE)/2*$C7/78,0)</f>
        <v>1820834.8887870926</v>
      </c>
      <c r="X7" s="7">
        <f t="shared" si="6"/>
        <v>80057672.268324375</v>
      </c>
      <c r="Y7" s="7"/>
      <c r="Z7" s="7"/>
      <c r="AA7" s="7">
        <f t="shared" si="7"/>
        <v>80057672.268324375</v>
      </c>
      <c r="AB7" s="7">
        <v>6314354.2703150893</v>
      </c>
      <c r="AC7" s="7">
        <f>IFERROR(VLOOKUP($B7-1,CDM!$V$4:$AJ$17,6,FALSE)/12,0)+IFERROR(VLOOKUP($B7,CDM!$V$41:$AJ$54,6,FALSE)/24,0)+IFERROR(VLOOKUP($B7,CDM!$V$41:$AJ$54,6,FALSE)/2*$C7/78,0)</f>
        <v>40419.595104165899</v>
      </c>
      <c r="AD7" s="7">
        <f t="shared" si="8"/>
        <v>6354773.8654192556</v>
      </c>
      <c r="AE7" s="7"/>
      <c r="AF7" s="7">
        <f t="shared" si="9"/>
        <v>6354773.8654192556</v>
      </c>
      <c r="AG7" s="7">
        <v>15731096.223037537</v>
      </c>
      <c r="AH7" s="7">
        <f>IFERROR(VLOOKUP($B7-1,CDM!$V$4:$AJ$17,7,FALSE)/12,0)+IFERROR(VLOOKUP($B7,CDM!$V$41:$AJ$54,7,FALSE)/24,0)+IFERROR(VLOOKUP($B7,CDM!$V$41:$AJ$54,7,FALSE)/2*$C7/78,0)</f>
        <v>585133.22972765227</v>
      </c>
      <c r="AI7" s="7">
        <f t="shared" si="10"/>
        <v>16316229.452765189</v>
      </c>
      <c r="AJ7" s="7"/>
      <c r="AK7" s="7">
        <f t="shared" si="11"/>
        <v>16316229.452765189</v>
      </c>
      <c r="AL7" s="7">
        <v>1250295.8404884564</v>
      </c>
      <c r="AM7" s="7">
        <v>9266.8884363827437</v>
      </c>
      <c r="AN7" s="7">
        <v>395693.48883800796</v>
      </c>
      <c r="AO7" s="5">
        <v>204891.58</v>
      </c>
      <c r="AP7" s="5">
        <v>30994.2</v>
      </c>
      <c r="AQ7" s="5">
        <v>60878</v>
      </c>
      <c r="AR7" s="5">
        <v>4808.8999999999996</v>
      </c>
      <c r="AS7" s="544">
        <f t="shared" si="64"/>
        <v>84.5</v>
      </c>
      <c r="AT7" s="557">
        <v>107406.5</v>
      </c>
      <c r="AU7" s="557">
        <v>1586</v>
      </c>
      <c r="AV7" s="557">
        <v>8950.0000000000036</v>
      </c>
      <c r="AW7" s="557">
        <v>1056.4999999999995</v>
      </c>
      <c r="AX7" s="557">
        <v>5</v>
      </c>
      <c r="AY7" s="557">
        <v>3</v>
      </c>
      <c r="AZ7" s="557">
        <v>30023</v>
      </c>
      <c r="BA7" s="557">
        <v>439</v>
      </c>
      <c r="BB7" s="557">
        <v>838.00000000000023</v>
      </c>
      <c r="BC7" s="560">
        <v>31465507.591429017</v>
      </c>
      <c r="BD7" s="560">
        <f>IFERROR(VLOOKUP($B7-1,CDM!$V$4:$AJ$17,11,FALSE)/12,0)+IFERROR(VLOOKUP($B7,CDM!$V$41:$AJ$54,11,FALSE)/24,0)+IFERROR(VLOOKUP($B7,CDM!$V$41:$AJ$54,11,FALSE)/2*$C7/78,0)</f>
        <v>637173.29578958522</v>
      </c>
      <c r="BE7" s="560">
        <f t="shared" si="12"/>
        <v>32102680.887218602</v>
      </c>
      <c r="BF7" s="560"/>
      <c r="BG7" s="560"/>
      <c r="BH7" s="560">
        <f t="shared" si="13"/>
        <v>32102680.887218602</v>
      </c>
      <c r="BI7" s="560">
        <v>7051957.149378228</v>
      </c>
      <c r="BJ7" s="560">
        <f>IFERROR(VLOOKUP($B7-1,CDM!$V$4:$AJ$17,12,FALSE)/12,0)+IFERROR(VLOOKUP($B7,CDM!$V$41:$AJ$54,12,FALSE)/24,0)+IFERROR(VLOOKUP($B7,CDM!$V$41:$AJ$54,12,FALSE)/2*$C7/78,0)</f>
        <v>114560.15902912732</v>
      </c>
      <c r="BK7" s="560">
        <f t="shared" si="14"/>
        <v>7166517.3084073551</v>
      </c>
      <c r="BL7" s="560"/>
      <c r="BM7" s="560"/>
      <c r="BN7" s="560">
        <f t="shared" si="15"/>
        <v>7166517.3084073551</v>
      </c>
      <c r="BO7" s="560">
        <v>28479494.513359349</v>
      </c>
      <c r="BP7" s="560">
        <f>IFERROR(VLOOKUP($B7-1,CDM!$V$4:$AJ$17,13,FALSE)/12,0)+IFERROR(VLOOKUP($B7,CDM!$V$41:$AJ$54,13,FALSE)/24,0)+IFERROR(VLOOKUP($B7,CDM!$V$41:$AJ$54,13,FALSE)/2*$C7/78,0)</f>
        <v>419140.2353957023</v>
      </c>
      <c r="BQ7" s="560">
        <f t="shared" si="16"/>
        <v>28898634.748755053</v>
      </c>
      <c r="BR7" s="560"/>
      <c r="BS7" s="560"/>
      <c r="BT7" s="560">
        <f t="shared" si="17"/>
        <v>28898634.748755053</v>
      </c>
      <c r="BU7" s="560">
        <v>4944554.8119575698</v>
      </c>
      <c r="BV7" s="560">
        <f>IFERROR(VLOOKUP($B7-1,CDM!$V$4:$AJ$17,14,FALSE)/12,0)+IFERROR(VLOOKUP($B7,CDM!$V$41:$AJ$54,14,FALSE)/24,0)+IFERROR(VLOOKUP($B7,CDM!$V$41:$AJ$54,14,FALSE)/2*$C7/78,0)</f>
        <v>94232.011379178817</v>
      </c>
      <c r="BW7" s="560">
        <f t="shared" si="18"/>
        <v>5038786.8233367484</v>
      </c>
      <c r="BX7" s="560"/>
      <c r="BY7" s="560">
        <f t="shared" si="19"/>
        <v>5038786.8233367484</v>
      </c>
      <c r="BZ7" s="560">
        <v>341946.00153051456</v>
      </c>
      <c r="CA7" s="560">
        <v>2527.6775501688417</v>
      </c>
      <c r="CB7" s="560">
        <v>47781.997321599389</v>
      </c>
      <c r="CC7" s="5">
        <v>73372.13</v>
      </c>
      <c r="CD7" s="5">
        <v>7698.42</v>
      </c>
      <c r="CE7" s="5">
        <v>1243.42</v>
      </c>
      <c r="CF7" s="544">
        <f t="shared" si="65"/>
        <v>7.666666666666667</v>
      </c>
      <c r="CG7" s="565">
        <v>39419.500000000015</v>
      </c>
      <c r="CH7" s="565">
        <v>2199.4999999999991</v>
      </c>
      <c r="CI7" s="565">
        <v>367.00000000000011</v>
      </c>
      <c r="CJ7" s="565">
        <v>2</v>
      </c>
      <c r="CK7" s="565">
        <v>11855.5</v>
      </c>
      <c r="CL7" s="565">
        <v>39</v>
      </c>
      <c r="CM7" s="565">
        <v>372.50000000000011</v>
      </c>
      <c r="CN7" s="46">
        <f>Weather!C31</f>
        <v>56.883333333333326</v>
      </c>
      <c r="CO7" s="46">
        <f>Weather!D31</f>
        <v>20.087500000000002</v>
      </c>
      <c r="CP7" s="46">
        <f>Weather!E31</f>
        <v>30.204166666666669</v>
      </c>
      <c r="CQ7" s="46">
        <f>Weather!F31</f>
        <v>53.40833333333336</v>
      </c>
      <c r="CR7" s="46">
        <f>Weather!G31</f>
        <v>14.133333333333335</v>
      </c>
      <c r="CS7" s="46">
        <f>Weather!H31</f>
        <v>97.33750000000002</v>
      </c>
      <c r="CT7" s="46">
        <f>Weather!I31</f>
        <v>3.9749999999999996</v>
      </c>
      <c r="CU7" s="46">
        <f>Weather!J31</f>
        <v>147.17916666666667</v>
      </c>
      <c r="CV7" s="46">
        <f>Weather!K31</f>
        <v>0.65000000000000036</v>
      </c>
      <c r="CW7" s="46">
        <f>Weather!L31</f>
        <v>203.85416666666669</v>
      </c>
      <c r="CX7" s="46">
        <f>Weather!M31</f>
        <v>0</v>
      </c>
      <c r="CY7" s="46">
        <f>Weather!N31</f>
        <v>263.20416666666671</v>
      </c>
      <c r="CZ7" s="46">
        <f>Weather!O31</f>
        <v>0</v>
      </c>
      <c r="DA7" s="46">
        <f>Weather!P31</f>
        <v>323.20416666666671</v>
      </c>
      <c r="DB7" s="243">
        <f>'Economic Data'!D33</f>
        <v>6930</v>
      </c>
      <c r="DC7" s="243">
        <f>'Economic Data'!E33</f>
        <v>6973</v>
      </c>
      <c r="DD7" s="243">
        <f>'Economic Data'!F33</f>
        <v>203.4</v>
      </c>
      <c r="DE7" s="243">
        <f>'Economic Data'!G33</f>
        <v>206</v>
      </c>
      <c r="DF7" s="243">
        <f>'Economic Data'!H33</f>
        <v>29.3</v>
      </c>
      <c r="DG7" s="243">
        <f>'Economic Data'!I33</f>
        <v>29.3</v>
      </c>
      <c r="DH7" s="243">
        <f>'Economic Data'!J33</f>
        <v>743976.2</v>
      </c>
      <c r="DI7" s="243">
        <f>'Economic Data'!K33</f>
        <v>571846.40000000002</v>
      </c>
      <c r="DJ7" s="243">
        <f>'Economic Data'!L33</f>
        <v>91511.8</v>
      </c>
      <c r="DK7" s="243">
        <f>'Economic Data'!M33</f>
        <v>29814.5</v>
      </c>
      <c r="DL7" s="243">
        <f>'Economic Data'!N33</f>
        <v>740829</v>
      </c>
      <c r="DM7" s="243">
        <f>'Economic Data'!O33</f>
        <v>90172</v>
      </c>
      <c r="DN7" s="243">
        <f>'Economic Data'!P33</f>
        <v>20809</v>
      </c>
      <c r="DO7" s="243">
        <f>'Economic Data'!Q33</f>
        <v>570144</v>
      </c>
      <c r="DP7" s="243">
        <f>'Economic Data'!R33</f>
        <v>29588</v>
      </c>
      <c r="DQ7">
        <v>30</v>
      </c>
      <c r="DR7">
        <v>22</v>
      </c>
      <c r="DS7">
        <v>0</v>
      </c>
      <c r="DT7">
        <v>0</v>
      </c>
      <c r="DU7">
        <v>0</v>
      </c>
      <c r="DV7">
        <v>0</v>
      </c>
      <c r="DW7">
        <v>0</v>
      </c>
      <c r="DX7">
        <v>1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f t="shared" si="66"/>
        <v>6</v>
      </c>
      <c r="EI7">
        <v>0</v>
      </c>
      <c r="EJ7">
        <v>0</v>
      </c>
      <c r="EK7">
        <v>0</v>
      </c>
      <c r="EL7">
        <v>0</v>
      </c>
      <c r="EM7" s="47">
        <f t="shared" si="20"/>
        <v>0</v>
      </c>
      <c r="EN7" s="47">
        <f t="shared" si="21"/>
        <v>0</v>
      </c>
      <c r="EO7" s="47">
        <f t="shared" si="22"/>
        <v>0</v>
      </c>
      <c r="EP7" s="47">
        <f t="shared" si="23"/>
        <v>0</v>
      </c>
      <c r="EQ7" s="47">
        <f t="shared" si="24"/>
        <v>0</v>
      </c>
      <c r="ER7" s="47">
        <f t="shared" si="25"/>
        <v>0</v>
      </c>
      <c r="ES7" s="47">
        <f t="shared" si="26"/>
        <v>0</v>
      </c>
      <c r="ET7" s="47">
        <f t="shared" si="27"/>
        <v>0</v>
      </c>
      <c r="EU7" s="47">
        <f t="shared" si="28"/>
        <v>0</v>
      </c>
      <c r="EV7" s="47">
        <f t="shared" si="29"/>
        <v>0</v>
      </c>
      <c r="EW7" s="47">
        <f t="shared" si="30"/>
        <v>0</v>
      </c>
      <c r="EX7" s="47">
        <f t="shared" si="31"/>
        <v>0</v>
      </c>
      <c r="EY7" s="47">
        <f t="shared" si="32"/>
        <v>0</v>
      </c>
      <c r="EZ7" s="47">
        <f t="shared" si="33"/>
        <v>0</v>
      </c>
      <c r="FA7" s="47">
        <f t="shared" si="34"/>
        <v>0</v>
      </c>
      <c r="FB7" s="47">
        <f t="shared" si="35"/>
        <v>0</v>
      </c>
      <c r="FC7" s="47">
        <f t="shared" si="36"/>
        <v>0</v>
      </c>
      <c r="FD7" s="47">
        <f t="shared" si="37"/>
        <v>0</v>
      </c>
      <c r="FE7" s="47">
        <f t="shared" si="38"/>
        <v>0</v>
      </c>
      <c r="FF7" s="47">
        <f t="shared" si="39"/>
        <v>0</v>
      </c>
      <c r="FG7" s="47">
        <f t="shared" si="40"/>
        <v>0</v>
      </c>
      <c r="FH7" s="47">
        <f t="shared" si="41"/>
        <v>0</v>
      </c>
      <c r="FI7" s="47">
        <f t="shared" si="42"/>
        <v>0</v>
      </c>
      <c r="FJ7" s="47">
        <f t="shared" si="43"/>
        <v>0</v>
      </c>
      <c r="FK7" s="47">
        <f t="shared" si="44"/>
        <v>0</v>
      </c>
      <c r="FL7" s="47">
        <f t="shared" si="45"/>
        <v>0</v>
      </c>
      <c r="FM7" s="47">
        <f t="shared" si="46"/>
        <v>0</v>
      </c>
      <c r="FN7" s="47">
        <f t="shared" si="47"/>
        <v>0</v>
      </c>
      <c r="FO7" s="546">
        <f t="shared" si="48"/>
        <v>695.22115419845306</v>
      </c>
      <c r="FP7" s="546">
        <f t="shared" si="49"/>
        <v>394.68358672415513</v>
      </c>
      <c r="FQ7" s="546">
        <f t="shared" si="50"/>
        <v>2484.9122418176103</v>
      </c>
      <c r="FR7" s="546">
        <f t="shared" si="51"/>
        <v>75776.310713037776</v>
      </c>
      <c r="FS7" s="546">
        <f t="shared" si="52"/>
        <v>1270954.7730838512</v>
      </c>
      <c r="FT7" s="546">
        <f t="shared" si="53"/>
        <v>5438743.1509217294</v>
      </c>
      <c r="FU7" s="546">
        <f t="shared" si="54"/>
        <v>41.644600489240133</v>
      </c>
      <c r="FV7" s="546">
        <f t="shared" si="55"/>
        <v>21.109085276498277</v>
      </c>
      <c r="FW7" s="546">
        <f t="shared" si="56"/>
        <v>472.1879341742337</v>
      </c>
      <c r="FX7" s="546">
        <f t="shared" si="57"/>
        <v>814.38579604557617</v>
      </c>
      <c r="FY7" s="546">
        <f t="shared" si="58"/>
        <v>3258.2483784529932</v>
      </c>
      <c r="FZ7" s="546">
        <f t="shared" si="59"/>
        <v>78742.873974809379</v>
      </c>
      <c r="GA7" s="546">
        <f t="shared" si="60"/>
        <v>170973.00076525728</v>
      </c>
      <c r="GB7" s="546">
        <f t="shared" si="61"/>
        <v>28.842815699929531</v>
      </c>
      <c r="GC7" s="546">
        <f t="shared" si="62"/>
        <v>64.81224487612414</v>
      </c>
      <c r="GD7" s="546">
        <f t="shared" si="63"/>
        <v>128.27381831301847</v>
      </c>
    </row>
    <row r="8" spans="1:186">
      <c r="A8" s="4">
        <v>42552</v>
      </c>
      <c r="B8" s="6">
        <v>2016</v>
      </c>
      <c r="C8" s="5">
        <v>7</v>
      </c>
      <c r="D8" s="7">
        <v>96583630.139895052</v>
      </c>
      <c r="E8" s="7">
        <f>IFERROR(VLOOKUP($B8-1,CDM!$V$4:$AJ$17,2,FALSE)/12,0)+IFERROR(VLOOKUP($B8,CDM!$V$41:$AJ$54,2,FALSE)/24,0)+IFERROR(VLOOKUP($B8,CDM!$V$41:$AJ$54,2,FALSE)/2*$C8/78,0)</f>
        <v>1331221.5840428611</v>
      </c>
      <c r="F8" s="7">
        <f t="shared" si="0"/>
        <v>97914851.723937914</v>
      </c>
      <c r="G8" s="7"/>
      <c r="H8" s="7"/>
      <c r="I8" s="7">
        <f t="shared" si="1"/>
        <v>97914851.723937914</v>
      </c>
      <c r="J8" s="7">
        <v>937897.66052280192</v>
      </c>
      <c r="K8" s="7">
        <f>IFERROR(VLOOKUP($B8-1,CDM!$V$4:$AJ$17,3,FALSE)/12,0)+IFERROR(VLOOKUP($B8,CDM!$V$41:$AJ$54,3,FALSE)/24,0)+IFERROR(VLOOKUP($B8,CDM!$V$41:$AJ$54,3,FALSE)/2*$C8/78,0)</f>
        <v>15247.550542934741</v>
      </c>
      <c r="L8" s="7">
        <f t="shared" si="2"/>
        <v>953145.21106573672</v>
      </c>
      <c r="M8" s="7"/>
      <c r="N8" s="7"/>
      <c r="O8" s="7">
        <f t="shared" si="3"/>
        <v>953145.21106573672</v>
      </c>
      <c r="P8" s="7">
        <v>24156395.982446101</v>
      </c>
      <c r="Q8" s="7">
        <f>IFERROR(VLOOKUP($B8-1,CDM!$V$4:$AJ$17,4,FALSE)/12,0)+IFERROR(VLOOKUP($B8,CDM!$V$41:$AJ$54,4,FALSE)/24,0)+IFERROR(VLOOKUP($B8,CDM!$V$41:$AJ$54,4,FALSE)/2*$C8/78,0)</f>
        <v>529869.99147033785</v>
      </c>
      <c r="R8" s="7">
        <f t="shared" si="4"/>
        <v>24686265.973916437</v>
      </c>
      <c r="S8" s="7"/>
      <c r="T8" s="7"/>
      <c r="U8" s="7">
        <f t="shared" si="5"/>
        <v>24686265.973916437</v>
      </c>
      <c r="V8" s="7">
        <v>80426261.077292815</v>
      </c>
      <c r="W8" s="7">
        <f>IFERROR(VLOOKUP($B8-1,CDM!$V$4:$AJ$17,5,FALSE)/12,0)+IFERROR(VLOOKUP($B8,CDM!$V$41:$AJ$54,5,FALSE)/24,0)+IFERROR(VLOOKUP($B8,CDM!$V$41:$AJ$54,5,FALSE)/2*$C8/78,0)</f>
        <v>1870268.3791374136</v>
      </c>
      <c r="X8" s="7">
        <f t="shared" si="6"/>
        <v>82296529.456430227</v>
      </c>
      <c r="Y8" s="7"/>
      <c r="Z8" s="7"/>
      <c r="AA8" s="7">
        <f t="shared" si="7"/>
        <v>82296529.456430227</v>
      </c>
      <c r="AB8" s="7">
        <v>6225442.535385089</v>
      </c>
      <c r="AC8" s="7">
        <f>IFERROR(VLOOKUP($B8-1,CDM!$V$4:$AJ$17,6,FALSE)/12,0)+IFERROR(VLOOKUP($B8,CDM!$V$41:$AJ$54,6,FALSE)/24,0)+IFERROR(VLOOKUP($B8,CDM!$V$41:$AJ$54,6,FALSE)/2*$C8/78,0)</f>
        <v>42672.015307462854</v>
      </c>
      <c r="AD8" s="7">
        <f t="shared" si="8"/>
        <v>6268114.5506925518</v>
      </c>
      <c r="AE8" s="7"/>
      <c r="AF8" s="7">
        <f t="shared" si="9"/>
        <v>6268114.5506925518</v>
      </c>
      <c r="AG8" s="7">
        <v>17531536.250830062</v>
      </c>
      <c r="AH8" s="7">
        <f>IFERROR(VLOOKUP($B8-1,CDM!$V$4:$AJ$17,7,FALSE)/12,0)+IFERROR(VLOOKUP($B8,CDM!$V$41:$AJ$54,7,FALSE)/24,0)+IFERROR(VLOOKUP($B8,CDM!$V$41:$AJ$54,7,FALSE)/2*$C8/78,0)</f>
        <v>603002.96324996825</v>
      </c>
      <c r="AI8" s="7">
        <f t="shared" si="10"/>
        <v>18134539.214080028</v>
      </c>
      <c r="AJ8" s="7"/>
      <c r="AK8" s="7">
        <f t="shared" si="11"/>
        <v>18134539.214080028</v>
      </c>
      <c r="AL8" s="7">
        <v>1342835.384468613</v>
      </c>
      <c r="AM8" s="7">
        <v>9609.2014882656003</v>
      </c>
      <c r="AN8" s="7">
        <v>395119.98664377024</v>
      </c>
      <c r="AO8" s="5">
        <v>206668.03</v>
      </c>
      <c r="AP8" s="5">
        <v>16619.310000000001</v>
      </c>
      <c r="AQ8" s="5">
        <v>28722</v>
      </c>
      <c r="AR8" s="5">
        <v>4813.1000000000004</v>
      </c>
      <c r="AS8" s="544">
        <f t="shared" si="64"/>
        <v>84.5</v>
      </c>
      <c r="AT8" s="557">
        <v>107488.75</v>
      </c>
      <c r="AU8" s="557">
        <v>1585.5</v>
      </c>
      <c r="AV8" s="557">
        <v>8956.8333333333376</v>
      </c>
      <c r="AW8" s="557">
        <v>1055.5833333333328</v>
      </c>
      <c r="AX8" s="557">
        <v>5</v>
      </c>
      <c r="AY8" s="557">
        <v>3</v>
      </c>
      <c r="AZ8" s="557">
        <v>30038.5</v>
      </c>
      <c r="BA8" s="557">
        <v>439</v>
      </c>
      <c r="BB8" s="557">
        <v>836.8333333333336</v>
      </c>
      <c r="BC8" s="560">
        <v>41146282.504744686</v>
      </c>
      <c r="BD8" s="560">
        <f>IFERROR(VLOOKUP($B8-1,CDM!$V$4:$AJ$17,11,FALSE)/12,0)+IFERROR(VLOOKUP($B8,CDM!$V$41:$AJ$54,11,FALSE)/24,0)+IFERROR(VLOOKUP($B8,CDM!$V$41:$AJ$54,11,FALSE)/2*$C8/78,0)</f>
        <v>667375.47798682877</v>
      </c>
      <c r="BE8" s="560">
        <f t="shared" si="12"/>
        <v>41813657.982731514</v>
      </c>
      <c r="BF8" s="560"/>
      <c r="BG8" s="560"/>
      <c r="BH8" s="560">
        <f t="shared" si="13"/>
        <v>41813657.982731514</v>
      </c>
      <c r="BI8" s="560">
        <v>7799625.6606944604</v>
      </c>
      <c r="BJ8" s="560">
        <f>IFERROR(VLOOKUP($B8-1,CDM!$V$4:$AJ$17,12,FALSE)/12,0)+IFERROR(VLOOKUP($B8,CDM!$V$41:$AJ$54,12,FALSE)/24,0)+IFERROR(VLOOKUP($B8,CDM!$V$41:$AJ$54,12,FALSE)/2*$C8/78,0)</f>
        <v>116376.90311303083</v>
      </c>
      <c r="BK8" s="560">
        <f t="shared" si="14"/>
        <v>7916002.5638074912</v>
      </c>
      <c r="BL8" s="560"/>
      <c r="BM8" s="560"/>
      <c r="BN8" s="560">
        <f t="shared" si="15"/>
        <v>7916002.5638074912</v>
      </c>
      <c r="BO8" s="560">
        <v>29062275.881116781</v>
      </c>
      <c r="BP8" s="560">
        <f>IFERROR(VLOOKUP($B8-1,CDM!$V$4:$AJ$17,13,FALSE)/12,0)+IFERROR(VLOOKUP($B8,CDM!$V$41:$AJ$54,13,FALSE)/24,0)+IFERROR(VLOOKUP($B8,CDM!$V$41:$AJ$54,13,FALSE)/2*$C8/78,0)</f>
        <v>430129.33061254455</v>
      </c>
      <c r="BQ8" s="560">
        <f t="shared" si="16"/>
        <v>29492405.211729325</v>
      </c>
      <c r="BR8" s="560"/>
      <c r="BS8" s="560"/>
      <c r="BT8" s="560">
        <f t="shared" si="17"/>
        <v>29492405.211729325</v>
      </c>
      <c r="BU8" s="560">
        <v>5237434.0405014465</v>
      </c>
      <c r="BV8" s="560">
        <f>IFERROR(VLOOKUP($B8-1,CDM!$V$4:$AJ$17,14,FALSE)/12,0)+IFERROR(VLOOKUP($B8,CDM!$V$41:$AJ$54,14,FALSE)/24,0)+IFERROR(VLOOKUP($B8,CDM!$V$41:$AJ$54,14,FALSE)/2*$C8/78,0)</f>
        <v>96702.603458087062</v>
      </c>
      <c r="BW8" s="560">
        <f t="shared" si="18"/>
        <v>5334136.6439595334</v>
      </c>
      <c r="BX8" s="560"/>
      <c r="BY8" s="560">
        <f t="shared" si="19"/>
        <v>5334136.6439595334</v>
      </c>
      <c r="BZ8" s="560">
        <v>344730.22766405198</v>
      </c>
      <c r="CA8" s="560">
        <v>2527.6775501688417</v>
      </c>
      <c r="CB8" s="560">
        <v>48061.995408456089</v>
      </c>
      <c r="CC8" s="5">
        <v>71008.56</v>
      </c>
      <c r="CD8" s="5">
        <v>7732.43</v>
      </c>
      <c r="CE8" s="5">
        <v>1180.8800000000001</v>
      </c>
      <c r="CF8" s="544">
        <f t="shared" si="65"/>
        <v>7.666666666666667</v>
      </c>
      <c r="CG8" s="565">
        <v>39447.58333333335</v>
      </c>
      <c r="CH8" s="565">
        <v>2202.9166666666656</v>
      </c>
      <c r="CI8" s="565">
        <v>367.1666666666668</v>
      </c>
      <c r="CJ8" s="565">
        <v>2</v>
      </c>
      <c r="CK8" s="565">
        <v>11859.25</v>
      </c>
      <c r="CL8" s="565">
        <v>39</v>
      </c>
      <c r="CM8" s="565">
        <v>371.9166666666668</v>
      </c>
      <c r="CN8" s="46">
        <f>Weather!C32</f>
        <v>8.75416666666667</v>
      </c>
      <c r="CO8" s="46">
        <f>Weather!D32</f>
        <v>73.983333333333334</v>
      </c>
      <c r="CP8" s="46">
        <f>Weather!E32</f>
        <v>1.6583333333333314</v>
      </c>
      <c r="CQ8" s="46">
        <f>Weather!F32</f>
        <v>128.88749999999999</v>
      </c>
      <c r="CR8" s="46">
        <f>Weather!G32</f>
        <v>0</v>
      </c>
      <c r="CS8" s="46">
        <f>Weather!H32</f>
        <v>189.22916666666666</v>
      </c>
      <c r="CT8" s="46">
        <f>Weather!I32</f>
        <v>0</v>
      </c>
      <c r="CU8" s="46">
        <f>Weather!J32</f>
        <v>251.2291666666666</v>
      </c>
      <c r="CV8" s="46">
        <f>Weather!K32</f>
        <v>0</v>
      </c>
      <c r="CW8" s="46">
        <f>Weather!L32</f>
        <v>313.22916666666657</v>
      </c>
      <c r="CX8" s="46">
        <f>Weather!M32</f>
        <v>0</v>
      </c>
      <c r="CY8" s="46">
        <f>Weather!N32</f>
        <v>375.22916666666669</v>
      </c>
      <c r="CZ8" s="46">
        <f>Weather!O32</f>
        <v>0</v>
      </c>
      <c r="DA8" s="46">
        <f>Weather!P32</f>
        <v>437.22916666666669</v>
      </c>
      <c r="DB8" s="243">
        <f>'Economic Data'!D34</f>
        <v>6933.8</v>
      </c>
      <c r="DC8" s="243">
        <f>'Economic Data'!E34</f>
        <v>7021.7</v>
      </c>
      <c r="DD8" s="243">
        <f>'Economic Data'!F34</f>
        <v>205.8</v>
      </c>
      <c r="DE8" s="243">
        <f>'Economic Data'!G34</f>
        <v>208.5</v>
      </c>
      <c r="DF8" s="243">
        <f>'Economic Data'!H34</f>
        <v>28.4</v>
      </c>
      <c r="DG8" s="243">
        <f>'Economic Data'!I34</f>
        <v>28.4</v>
      </c>
      <c r="DH8" s="243">
        <f>'Economic Data'!J34</f>
        <v>743976.2</v>
      </c>
      <c r="DI8" s="243">
        <f>'Economic Data'!K34</f>
        <v>571846.40000000002</v>
      </c>
      <c r="DJ8" s="243">
        <f>'Economic Data'!L34</f>
        <v>91511.8</v>
      </c>
      <c r="DK8" s="243">
        <f>'Economic Data'!M34</f>
        <v>29814.5</v>
      </c>
      <c r="DL8" s="243">
        <f>'Economic Data'!N34</f>
        <v>746710</v>
      </c>
      <c r="DM8" s="243">
        <f>'Economic Data'!O34</f>
        <v>91399</v>
      </c>
      <c r="DN8" s="243">
        <f>'Economic Data'!P34</f>
        <v>20894</v>
      </c>
      <c r="DO8" s="243">
        <f>'Economic Data'!Q34</f>
        <v>574188</v>
      </c>
      <c r="DP8" s="243">
        <f>'Economic Data'!R34</f>
        <v>30105</v>
      </c>
      <c r="DQ8">
        <v>31</v>
      </c>
      <c r="DR8">
        <v>20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1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f t="shared" si="66"/>
        <v>7</v>
      </c>
      <c r="EI8">
        <v>0</v>
      </c>
      <c r="EJ8">
        <v>0</v>
      </c>
      <c r="EK8">
        <v>0</v>
      </c>
      <c r="EL8">
        <v>0</v>
      </c>
      <c r="EM8" s="47">
        <f t="shared" si="20"/>
        <v>0</v>
      </c>
      <c r="EN8" s="47">
        <f t="shared" si="21"/>
        <v>0</v>
      </c>
      <c r="EO8" s="47">
        <f t="shared" si="22"/>
        <v>0</v>
      </c>
      <c r="EP8" s="47">
        <f t="shared" si="23"/>
        <v>0</v>
      </c>
      <c r="EQ8" s="47">
        <f t="shared" si="24"/>
        <v>0</v>
      </c>
      <c r="ER8" s="47">
        <f t="shared" si="25"/>
        <v>0</v>
      </c>
      <c r="ES8" s="47">
        <f t="shared" si="26"/>
        <v>0</v>
      </c>
      <c r="ET8" s="47">
        <f t="shared" si="27"/>
        <v>0</v>
      </c>
      <c r="EU8" s="47">
        <f t="shared" si="28"/>
        <v>0</v>
      </c>
      <c r="EV8" s="47">
        <f t="shared" si="29"/>
        <v>0</v>
      </c>
      <c r="EW8" s="47">
        <f t="shared" si="30"/>
        <v>0</v>
      </c>
      <c r="EX8" s="47">
        <f t="shared" si="31"/>
        <v>0</v>
      </c>
      <c r="EY8" s="47">
        <f t="shared" si="32"/>
        <v>0</v>
      </c>
      <c r="EZ8" s="47">
        <f t="shared" si="33"/>
        <v>0</v>
      </c>
      <c r="FA8" s="47">
        <f t="shared" si="34"/>
        <v>0</v>
      </c>
      <c r="FB8" s="47">
        <f t="shared" si="35"/>
        <v>0</v>
      </c>
      <c r="FC8" s="47">
        <f t="shared" si="36"/>
        <v>0</v>
      </c>
      <c r="FD8" s="47">
        <f t="shared" si="37"/>
        <v>0</v>
      </c>
      <c r="FE8" s="47">
        <f t="shared" si="38"/>
        <v>0</v>
      </c>
      <c r="FF8" s="47">
        <f t="shared" si="39"/>
        <v>0</v>
      </c>
      <c r="FG8" s="47">
        <f t="shared" si="40"/>
        <v>0</v>
      </c>
      <c r="FH8" s="47">
        <f t="shared" si="41"/>
        <v>0</v>
      </c>
      <c r="FI8" s="47">
        <f t="shared" si="42"/>
        <v>0</v>
      </c>
      <c r="FJ8" s="47">
        <f t="shared" si="43"/>
        <v>0</v>
      </c>
      <c r="FK8" s="47">
        <f t="shared" si="44"/>
        <v>0</v>
      </c>
      <c r="FL8" s="47">
        <f t="shared" si="45"/>
        <v>0</v>
      </c>
      <c r="FM8" s="47">
        <f t="shared" si="46"/>
        <v>0</v>
      </c>
      <c r="FN8" s="47">
        <f t="shared" si="47"/>
        <v>0</v>
      </c>
      <c r="FO8" s="546">
        <f t="shared" si="48"/>
        <v>910.93115999523593</v>
      </c>
      <c r="FP8" s="546">
        <f t="shared" si="49"/>
        <v>601.16380388882794</v>
      </c>
      <c r="FQ8" s="546">
        <f t="shared" si="50"/>
        <v>2756.1376945627835</v>
      </c>
      <c r="FR8" s="546">
        <f t="shared" si="51"/>
        <v>77963.081509210009</v>
      </c>
      <c r="FS8" s="546">
        <f t="shared" si="52"/>
        <v>1253622.9101385104</v>
      </c>
      <c r="FT8" s="546">
        <f t="shared" si="53"/>
        <v>6044846.4046933427</v>
      </c>
      <c r="FU8" s="546">
        <f t="shared" si="54"/>
        <v>44.703809593309018</v>
      </c>
      <c r="FV8" s="546">
        <f t="shared" si="55"/>
        <v>21.888841658919365</v>
      </c>
      <c r="FW8" s="546">
        <f t="shared" si="56"/>
        <v>472.16090815825947</v>
      </c>
      <c r="FX8" s="546">
        <f t="shared" si="57"/>
        <v>1059.9802180378138</v>
      </c>
      <c r="FY8" s="546">
        <f t="shared" si="58"/>
        <v>3593.4189811117812</v>
      </c>
      <c r="FZ8" s="546">
        <f t="shared" si="59"/>
        <v>80324.299260270491</v>
      </c>
      <c r="GA8" s="546">
        <f t="shared" si="60"/>
        <v>172365.11383202599</v>
      </c>
      <c r="GB8" s="546">
        <f t="shared" si="61"/>
        <v>29.06846787647212</v>
      </c>
      <c r="GC8" s="546">
        <f t="shared" si="62"/>
        <v>64.81224487612414</v>
      </c>
      <c r="GD8" s="546">
        <f t="shared" si="63"/>
        <v>129.22786128197913</v>
      </c>
    </row>
    <row r="9" spans="1:186">
      <c r="A9" s="4">
        <v>42583</v>
      </c>
      <c r="B9" s="6">
        <v>2016</v>
      </c>
      <c r="C9" s="5">
        <v>8</v>
      </c>
      <c r="D9" s="7">
        <v>102725683.51117057</v>
      </c>
      <c r="E9" s="7">
        <f>IFERROR(VLOOKUP($B9-1,CDM!$V$4:$AJ$17,2,FALSE)/12,0)+IFERROR(VLOOKUP($B9,CDM!$V$41:$AJ$54,2,FALSE)/24,0)+IFERROR(VLOOKUP($B9,CDM!$V$41:$AJ$54,2,FALSE)/2*$C9/78,0)</f>
        <v>1382256.808316682</v>
      </c>
      <c r="F9" s="7">
        <f t="shared" si="0"/>
        <v>104107940.31948724</v>
      </c>
      <c r="G9" s="7"/>
      <c r="H9" s="7"/>
      <c r="I9" s="7">
        <f t="shared" si="1"/>
        <v>104107940.31948724</v>
      </c>
      <c r="J9" s="7">
        <v>923727.44066017843</v>
      </c>
      <c r="K9" s="7">
        <f>IFERROR(VLOOKUP($B9-1,CDM!$V$4:$AJ$17,3,FALSE)/12,0)+IFERROR(VLOOKUP($B9,CDM!$V$41:$AJ$54,3,FALSE)/24,0)+IFERROR(VLOOKUP($B9,CDM!$V$41:$AJ$54,3,FALSE)/2*$C9/78,0)</f>
        <v>15832.097977345958</v>
      </c>
      <c r="L9" s="7">
        <f t="shared" si="2"/>
        <v>939559.53863752435</v>
      </c>
      <c r="M9" s="7"/>
      <c r="N9" s="7"/>
      <c r="O9" s="7">
        <f t="shared" si="3"/>
        <v>939559.53863752435</v>
      </c>
      <c r="P9" s="7">
        <v>25266141.456735358</v>
      </c>
      <c r="Q9" s="7">
        <f>IFERROR(VLOOKUP($B9-1,CDM!$V$4:$AJ$17,4,FALSE)/12,0)+IFERROR(VLOOKUP($B9,CDM!$V$41:$AJ$54,4,FALSE)/24,0)+IFERROR(VLOOKUP($B9,CDM!$V$41:$AJ$54,4,FALSE)/2*$C9/78,0)</f>
        <v>545276.02759310906</v>
      </c>
      <c r="R9" s="7">
        <f t="shared" si="4"/>
        <v>25811417.484328467</v>
      </c>
      <c r="S9" s="7"/>
      <c r="T9" s="7"/>
      <c r="U9" s="7">
        <f t="shared" si="5"/>
        <v>25811417.484328467</v>
      </c>
      <c r="V9" s="7">
        <v>84270895.748487771</v>
      </c>
      <c r="W9" s="7">
        <f>IFERROR(VLOOKUP($B9-1,CDM!$V$4:$AJ$17,5,FALSE)/12,0)+IFERROR(VLOOKUP($B9,CDM!$V$41:$AJ$54,5,FALSE)/24,0)+IFERROR(VLOOKUP($B9,CDM!$V$41:$AJ$54,5,FALSE)/2*$C9/78,0)</f>
        <v>1919701.869487735</v>
      </c>
      <c r="X9" s="7">
        <f t="shared" si="6"/>
        <v>86190597.617975503</v>
      </c>
      <c r="Y9" s="7"/>
      <c r="Z9" s="7"/>
      <c r="AA9" s="7">
        <f t="shared" si="7"/>
        <v>86190597.617975503</v>
      </c>
      <c r="AB9" s="7">
        <v>7283063.1628678292</v>
      </c>
      <c r="AC9" s="7">
        <f>IFERROR(VLOOKUP($B9-1,CDM!$V$4:$AJ$17,6,FALSE)/12,0)+IFERROR(VLOOKUP($B9,CDM!$V$41:$AJ$54,6,FALSE)/24,0)+IFERROR(VLOOKUP($B9,CDM!$V$41:$AJ$54,6,FALSE)/2*$C9/78,0)</f>
        <v>44924.435510759809</v>
      </c>
      <c r="AD9" s="7">
        <f t="shared" si="8"/>
        <v>7327987.5983785894</v>
      </c>
      <c r="AE9" s="7"/>
      <c r="AF9" s="7">
        <f t="shared" si="9"/>
        <v>7327987.5983785894</v>
      </c>
      <c r="AG9" s="7">
        <v>18870668.100201037</v>
      </c>
      <c r="AH9" s="7">
        <f>IFERROR(VLOOKUP($B9-1,CDM!$V$4:$AJ$17,7,FALSE)/12,0)+IFERROR(VLOOKUP($B9,CDM!$V$41:$AJ$54,7,FALSE)/24,0)+IFERROR(VLOOKUP($B9,CDM!$V$41:$AJ$54,7,FALSE)/2*$C9/78,0)</f>
        <v>620872.69677228434</v>
      </c>
      <c r="AI9" s="7">
        <f t="shared" si="10"/>
        <v>19491540.796973322</v>
      </c>
      <c r="AJ9" s="7"/>
      <c r="AK9" s="7">
        <f t="shared" si="11"/>
        <v>19491540.796973322</v>
      </c>
      <c r="AL9" s="7">
        <v>1504472.9345544744</v>
      </c>
      <c r="AM9" s="7">
        <v>9609.2014882656003</v>
      </c>
      <c r="AN9" s="7">
        <v>394851.98435413087</v>
      </c>
      <c r="AO9" s="5">
        <v>205587.47</v>
      </c>
      <c r="AP9" s="5">
        <v>17173.5</v>
      </c>
      <c r="AQ9" s="5">
        <v>30574</v>
      </c>
      <c r="AR9" s="5">
        <v>4813.1000000000004</v>
      </c>
      <c r="AS9" s="544">
        <f t="shared" si="64"/>
        <v>84.5</v>
      </c>
      <c r="AT9" s="557">
        <v>107571</v>
      </c>
      <c r="AU9" s="557">
        <v>1585</v>
      </c>
      <c r="AV9" s="557">
        <v>8963.6666666666715</v>
      </c>
      <c r="AW9" s="557">
        <v>1054.6666666666661</v>
      </c>
      <c r="AX9" s="557">
        <v>5</v>
      </c>
      <c r="AY9" s="557">
        <v>3</v>
      </c>
      <c r="AZ9" s="557">
        <v>30054</v>
      </c>
      <c r="BA9" s="557">
        <v>439</v>
      </c>
      <c r="BB9" s="557">
        <v>835.66666666666697</v>
      </c>
      <c r="BC9" s="560">
        <v>43606608.474373631</v>
      </c>
      <c r="BD9" s="560">
        <f>IFERROR(VLOOKUP($B9-1,CDM!$V$4:$AJ$17,11,FALSE)/12,0)+IFERROR(VLOOKUP($B9,CDM!$V$41:$AJ$54,11,FALSE)/24,0)+IFERROR(VLOOKUP($B9,CDM!$V$41:$AJ$54,11,FALSE)/2*$C9/78,0)</f>
        <v>697577.66018407233</v>
      </c>
      <c r="BE9" s="560">
        <f t="shared" si="12"/>
        <v>44304186.134557702</v>
      </c>
      <c r="BF9" s="560"/>
      <c r="BG9" s="560"/>
      <c r="BH9" s="560">
        <f t="shared" si="13"/>
        <v>44304186.134557702</v>
      </c>
      <c r="BI9" s="560">
        <v>8138705.7718672082</v>
      </c>
      <c r="BJ9" s="560">
        <f>IFERROR(VLOOKUP($B9-1,CDM!$V$4:$AJ$17,12,FALSE)/12,0)+IFERROR(VLOOKUP($B9,CDM!$V$41:$AJ$54,12,FALSE)/24,0)+IFERROR(VLOOKUP($B9,CDM!$V$41:$AJ$54,12,FALSE)/2*$C9/78,0)</f>
        <v>118193.64719693435</v>
      </c>
      <c r="BK9" s="560">
        <f t="shared" si="14"/>
        <v>8256899.4190641427</v>
      </c>
      <c r="BL9" s="560"/>
      <c r="BM9" s="560"/>
      <c r="BN9" s="560">
        <f t="shared" si="15"/>
        <v>8256899.4190641427</v>
      </c>
      <c r="BO9" s="560">
        <v>31049623.776643649</v>
      </c>
      <c r="BP9" s="560">
        <f>IFERROR(VLOOKUP($B9-1,CDM!$V$4:$AJ$17,13,FALSE)/12,0)+IFERROR(VLOOKUP($B9,CDM!$V$41:$AJ$54,13,FALSE)/24,0)+IFERROR(VLOOKUP($B9,CDM!$V$41:$AJ$54,13,FALSE)/2*$C9/78,0)</f>
        <v>441118.4258293868</v>
      </c>
      <c r="BQ9" s="560">
        <f t="shared" si="16"/>
        <v>31490742.202473037</v>
      </c>
      <c r="BR9" s="560"/>
      <c r="BS9" s="560"/>
      <c r="BT9" s="560">
        <f t="shared" si="17"/>
        <v>31490742.202473037</v>
      </c>
      <c r="BU9" s="560">
        <v>5373284.7444551596</v>
      </c>
      <c r="BV9" s="560">
        <f>IFERROR(VLOOKUP($B9-1,CDM!$V$4:$AJ$17,14,FALSE)/12,0)+IFERROR(VLOOKUP($B9,CDM!$V$41:$AJ$54,14,FALSE)/24,0)+IFERROR(VLOOKUP($B9,CDM!$V$41:$AJ$54,14,FALSE)/2*$C9/78,0)</f>
        <v>99173.195536995307</v>
      </c>
      <c r="BW9" s="560">
        <f t="shared" si="18"/>
        <v>5472457.9399921549</v>
      </c>
      <c r="BX9" s="560"/>
      <c r="BY9" s="560">
        <f t="shared" si="19"/>
        <v>5472457.9399921549</v>
      </c>
      <c r="BZ9" s="560">
        <v>389975.04304572404</v>
      </c>
      <c r="CA9" s="560">
        <v>2527.6775501688417</v>
      </c>
      <c r="CB9" s="560">
        <v>47998.995599770416</v>
      </c>
      <c r="CC9" s="5">
        <v>74505.850000000006</v>
      </c>
      <c r="CD9" s="5">
        <v>7959.48</v>
      </c>
      <c r="CE9" s="5">
        <v>1179.4100000000001</v>
      </c>
      <c r="CF9" s="544">
        <f t="shared" si="65"/>
        <v>7.666666666666667</v>
      </c>
      <c r="CG9" s="565">
        <v>39475.666666666686</v>
      </c>
      <c r="CH9" s="565">
        <v>2206.3333333333321</v>
      </c>
      <c r="CI9" s="565">
        <v>367.33333333333348</v>
      </c>
      <c r="CJ9" s="565">
        <v>2</v>
      </c>
      <c r="CK9" s="565">
        <v>11863</v>
      </c>
      <c r="CL9" s="565">
        <v>39</v>
      </c>
      <c r="CM9" s="565">
        <v>371.33333333333348</v>
      </c>
      <c r="CN9" s="46">
        <f>Weather!C33</f>
        <v>4.029166666666665</v>
      </c>
      <c r="CO9" s="46">
        <f>Weather!D33</f>
        <v>84.054166666666674</v>
      </c>
      <c r="CP9" s="46">
        <f>Weather!E33</f>
        <v>1.1291666666666664</v>
      </c>
      <c r="CQ9" s="46">
        <f>Weather!F33</f>
        <v>143.1541666666667</v>
      </c>
      <c r="CR9" s="46">
        <f>Weather!G33</f>
        <v>0</v>
      </c>
      <c r="CS9" s="46">
        <f>Weather!H33</f>
        <v>204.02500000000006</v>
      </c>
      <c r="CT9" s="46">
        <f>Weather!I33</f>
        <v>0</v>
      </c>
      <c r="CU9" s="46">
        <f>Weather!J33</f>
        <v>266.02500000000003</v>
      </c>
      <c r="CV9" s="46">
        <f>Weather!K33</f>
        <v>0</v>
      </c>
      <c r="CW9" s="46">
        <f>Weather!L33</f>
        <v>328.02499999999998</v>
      </c>
      <c r="CX9" s="46">
        <f>Weather!M33</f>
        <v>0</v>
      </c>
      <c r="CY9" s="46">
        <f>Weather!N33</f>
        <v>390.02499999999998</v>
      </c>
      <c r="CZ9" s="46">
        <f>Weather!O33</f>
        <v>0</v>
      </c>
      <c r="DA9" s="46">
        <f>Weather!P33</f>
        <v>452.02499999999998</v>
      </c>
      <c r="DB9" s="243">
        <f>'Economic Data'!D35</f>
        <v>6931.2</v>
      </c>
      <c r="DC9" s="243">
        <f>'Economic Data'!E35</f>
        <v>7018.7</v>
      </c>
      <c r="DD9" s="243">
        <f>'Economic Data'!F35</f>
        <v>208.7</v>
      </c>
      <c r="DE9" s="243">
        <f>'Economic Data'!G35</f>
        <v>210.5</v>
      </c>
      <c r="DF9" s="243">
        <f>'Economic Data'!H35</f>
        <v>28.2</v>
      </c>
      <c r="DG9" s="243">
        <f>'Economic Data'!I35</f>
        <v>28.2</v>
      </c>
      <c r="DH9" s="243">
        <f>'Economic Data'!J35</f>
        <v>743976.2</v>
      </c>
      <c r="DI9" s="243">
        <f>'Economic Data'!K35</f>
        <v>571846.40000000002</v>
      </c>
      <c r="DJ9" s="243">
        <f>'Economic Data'!L35</f>
        <v>91511.8</v>
      </c>
      <c r="DK9" s="243">
        <f>'Economic Data'!M35</f>
        <v>29814.5</v>
      </c>
      <c r="DL9" s="243">
        <f>'Economic Data'!N35</f>
        <v>746710</v>
      </c>
      <c r="DM9" s="243">
        <f>'Economic Data'!O35</f>
        <v>91399</v>
      </c>
      <c r="DN9" s="243">
        <f>'Economic Data'!P35</f>
        <v>20894</v>
      </c>
      <c r="DO9" s="243">
        <f>'Economic Data'!Q35</f>
        <v>574188</v>
      </c>
      <c r="DP9" s="243">
        <f>'Economic Data'!R35</f>
        <v>30105</v>
      </c>
      <c r="DQ9">
        <v>31</v>
      </c>
      <c r="DR9">
        <v>22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1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f t="shared" si="66"/>
        <v>8</v>
      </c>
      <c r="EI9">
        <v>0</v>
      </c>
      <c r="EJ9">
        <v>0</v>
      </c>
      <c r="EK9">
        <v>0</v>
      </c>
      <c r="EL9">
        <v>0</v>
      </c>
      <c r="EM9" s="47">
        <f t="shared" si="20"/>
        <v>0</v>
      </c>
      <c r="EN9" s="47">
        <f t="shared" si="21"/>
        <v>0</v>
      </c>
      <c r="EO9" s="47">
        <f t="shared" si="22"/>
        <v>0</v>
      </c>
      <c r="EP9" s="47">
        <f t="shared" si="23"/>
        <v>0</v>
      </c>
      <c r="EQ9" s="47">
        <f t="shared" si="24"/>
        <v>0</v>
      </c>
      <c r="ER9" s="47">
        <f t="shared" si="25"/>
        <v>0</v>
      </c>
      <c r="ES9" s="47">
        <f t="shared" si="26"/>
        <v>0</v>
      </c>
      <c r="ET9" s="47">
        <f t="shared" si="27"/>
        <v>0</v>
      </c>
      <c r="EU9" s="47">
        <f t="shared" si="28"/>
        <v>0</v>
      </c>
      <c r="EV9" s="47">
        <f t="shared" si="29"/>
        <v>0</v>
      </c>
      <c r="EW9" s="47">
        <f t="shared" si="30"/>
        <v>0</v>
      </c>
      <c r="EX9" s="47">
        <f t="shared" si="31"/>
        <v>0</v>
      </c>
      <c r="EY9" s="47">
        <f t="shared" si="32"/>
        <v>0</v>
      </c>
      <c r="EZ9" s="47">
        <f t="shared" si="33"/>
        <v>0</v>
      </c>
      <c r="FA9" s="47">
        <f t="shared" si="34"/>
        <v>0</v>
      </c>
      <c r="FB9" s="47">
        <f t="shared" si="35"/>
        <v>0</v>
      </c>
      <c r="FC9" s="47">
        <f t="shared" si="36"/>
        <v>0</v>
      </c>
      <c r="FD9" s="47">
        <f t="shared" si="37"/>
        <v>0</v>
      </c>
      <c r="FE9" s="47">
        <f t="shared" si="38"/>
        <v>0</v>
      </c>
      <c r="FF9" s="47">
        <f t="shared" si="39"/>
        <v>0</v>
      </c>
      <c r="FG9" s="47">
        <f t="shared" si="40"/>
        <v>0</v>
      </c>
      <c r="FH9" s="47">
        <f t="shared" si="41"/>
        <v>0</v>
      </c>
      <c r="FI9" s="47">
        <f t="shared" si="42"/>
        <v>0</v>
      </c>
      <c r="FJ9" s="47">
        <f t="shared" si="43"/>
        <v>0</v>
      </c>
      <c r="FK9" s="47">
        <f t="shared" si="44"/>
        <v>0</v>
      </c>
      <c r="FL9" s="47">
        <f t="shared" si="45"/>
        <v>0</v>
      </c>
      <c r="FM9" s="47">
        <f t="shared" si="46"/>
        <v>0</v>
      </c>
      <c r="FN9" s="47">
        <f t="shared" si="47"/>
        <v>0</v>
      </c>
      <c r="FO9" s="546">
        <f t="shared" si="48"/>
        <v>967.80675386012251</v>
      </c>
      <c r="FP9" s="546">
        <f t="shared" si="49"/>
        <v>592.7820433044318</v>
      </c>
      <c r="FQ9" s="546">
        <f t="shared" si="50"/>
        <v>2879.5601670813789</v>
      </c>
      <c r="FR9" s="546">
        <f t="shared" si="51"/>
        <v>81723.069802126003</v>
      </c>
      <c r="FS9" s="546">
        <f t="shared" si="52"/>
        <v>1465597.5196757179</v>
      </c>
      <c r="FT9" s="546">
        <f t="shared" si="53"/>
        <v>6497180.2656577742</v>
      </c>
      <c r="FU9" s="546">
        <f t="shared" si="54"/>
        <v>50.058991633542107</v>
      </c>
      <c r="FV9" s="546">
        <f t="shared" si="55"/>
        <v>21.888841658919365</v>
      </c>
      <c r="FW9" s="546">
        <f t="shared" si="56"/>
        <v>472.49938295268936</v>
      </c>
      <c r="FX9" s="546">
        <f t="shared" si="57"/>
        <v>1122.3163501876518</v>
      </c>
      <c r="FY9" s="546">
        <f t="shared" si="58"/>
        <v>3742.3626313933287</v>
      </c>
      <c r="FZ9" s="546">
        <f t="shared" si="59"/>
        <v>85727.973327966494</v>
      </c>
      <c r="GA9" s="546">
        <f t="shared" si="60"/>
        <v>194987.52152286202</v>
      </c>
      <c r="GB9" s="546">
        <f t="shared" si="61"/>
        <v>32.873222881709857</v>
      </c>
      <c r="GC9" s="546">
        <f t="shared" si="62"/>
        <v>64.81224487612414</v>
      </c>
      <c r="GD9" s="546">
        <f t="shared" si="63"/>
        <v>129.26120897604235</v>
      </c>
    </row>
    <row r="10" spans="1:186">
      <c r="A10" s="4">
        <v>42614</v>
      </c>
      <c r="B10" s="6">
        <v>2016</v>
      </c>
      <c r="C10" s="5">
        <v>9</v>
      </c>
      <c r="D10" s="7">
        <v>71436986.026025772</v>
      </c>
      <c r="E10" s="7">
        <f>IFERROR(VLOOKUP($B10-1,CDM!$V$4:$AJ$17,2,FALSE)/12,0)+IFERROR(VLOOKUP($B10,CDM!$V$41:$AJ$54,2,FALSE)/24,0)+IFERROR(VLOOKUP($B10,CDM!$V$41:$AJ$54,2,FALSE)/2*$C10/78,0)</f>
        <v>1433292.0325905029</v>
      </c>
      <c r="F10" s="7">
        <f t="shared" si="0"/>
        <v>72870278.058616281</v>
      </c>
      <c r="G10" s="7"/>
      <c r="H10" s="7"/>
      <c r="I10" s="7">
        <f t="shared" si="1"/>
        <v>72870278.058616281</v>
      </c>
      <c r="J10" s="7">
        <v>623418.73019462032</v>
      </c>
      <c r="K10" s="7">
        <f>IFERROR(VLOOKUP($B10-1,CDM!$V$4:$AJ$17,3,FALSE)/12,0)+IFERROR(VLOOKUP($B10,CDM!$V$41:$AJ$54,3,FALSE)/24,0)+IFERROR(VLOOKUP($B10,CDM!$V$41:$AJ$54,3,FALSE)/2*$C10/78,0)</f>
        <v>16416.645411757177</v>
      </c>
      <c r="L10" s="7">
        <f t="shared" si="2"/>
        <v>639835.37560637749</v>
      </c>
      <c r="M10" s="7"/>
      <c r="N10" s="7"/>
      <c r="O10" s="7">
        <f t="shared" si="3"/>
        <v>639835.37560637749</v>
      </c>
      <c r="P10" s="7">
        <v>21326121.855075274</v>
      </c>
      <c r="Q10" s="7">
        <f>IFERROR(VLOOKUP($B10-1,CDM!$V$4:$AJ$17,4,FALSE)/12,0)+IFERROR(VLOOKUP($B10,CDM!$V$41:$AJ$54,4,FALSE)/24,0)+IFERROR(VLOOKUP($B10,CDM!$V$41:$AJ$54,4,FALSE)/2*$C10/78,0)</f>
        <v>560682.06371588027</v>
      </c>
      <c r="R10" s="7">
        <f t="shared" si="4"/>
        <v>21886803.918791153</v>
      </c>
      <c r="S10" s="7"/>
      <c r="T10" s="7"/>
      <c r="U10" s="7">
        <f t="shared" si="5"/>
        <v>21886803.918791153</v>
      </c>
      <c r="V10" s="7">
        <v>76514957.839849949</v>
      </c>
      <c r="W10" s="7">
        <f>IFERROR(VLOOKUP($B10-1,CDM!$V$4:$AJ$17,5,FALSE)/12,0)+IFERROR(VLOOKUP($B10,CDM!$V$41:$AJ$54,5,FALSE)/24,0)+IFERROR(VLOOKUP($B10,CDM!$V$41:$AJ$54,5,FALSE)/2*$C10/78,0)</f>
        <v>1969135.3598380559</v>
      </c>
      <c r="X10" s="7">
        <f t="shared" si="6"/>
        <v>78484093.199688002</v>
      </c>
      <c r="Y10" s="7"/>
      <c r="Z10" s="7"/>
      <c r="AA10" s="7">
        <f t="shared" si="7"/>
        <v>78484093.199688002</v>
      </c>
      <c r="AB10" s="7">
        <v>6766131.8311543036</v>
      </c>
      <c r="AC10" s="7">
        <f>IFERROR(VLOOKUP($B10-1,CDM!$V$4:$AJ$17,6,FALSE)/12,0)+IFERROR(VLOOKUP($B10,CDM!$V$41:$AJ$54,6,FALSE)/24,0)+IFERROR(VLOOKUP($B10,CDM!$V$41:$AJ$54,6,FALSE)/2*$C10/78,0)</f>
        <v>47176.855714056772</v>
      </c>
      <c r="AD10" s="7">
        <f t="shared" si="8"/>
        <v>6813308.6868683603</v>
      </c>
      <c r="AE10" s="7"/>
      <c r="AF10" s="7">
        <f t="shared" si="9"/>
        <v>6813308.6868683603</v>
      </c>
      <c r="AG10" s="7">
        <v>17355357.037589509</v>
      </c>
      <c r="AH10" s="7">
        <f>IFERROR(VLOOKUP($B10-1,CDM!$V$4:$AJ$17,7,FALSE)/12,0)+IFERROR(VLOOKUP($B10,CDM!$V$41:$AJ$54,7,FALSE)/24,0)+IFERROR(VLOOKUP($B10,CDM!$V$41:$AJ$54,7,FALSE)/2*$C10/78,0)</f>
        <v>638742.43029460032</v>
      </c>
      <c r="AI10" s="7">
        <f t="shared" si="10"/>
        <v>17994099.467884108</v>
      </c>
      <c r="AJ10" s="7"/>
      <c r="AK10" s="7">
        <f t="shared" si="11"/>
        <v>17994099.467884108</v>
      </c>
      <c r="AL10" s="7">
        <v>1657690.0019080327</v>
      </c>
      <c r="AM10" s="7">
        <v>9118.2354762731411</v>
      </c>
      <c r="AN10" s="7">
        <v>394310.98549895058</v>
      </c>
      <c r="AO10" s="5">
        <v>204567.16</v>
      </c>
      <c r="AP10" s="5">
        <v>17376.189999999999</v>
      </c>
      <c r="AQ10" s="5">
        <v>29068</v>
      </c>
      <c r="AR10" s="5">
        <v>4804.96</v>
      </c>
      <c r="AS10" s="544">
        <f t="shared" si="64"/>
        <v>84.5</v>
      </c>
      <c r="AT10" s="557">
        <v>107653.25</v>
      </c>
      <c r="AU10" s="557">
        <v>1584.5</v>
      </c>
      <c r="AV10" s="557">
        <v>8970.5000000000055</v>
      </c>
      <c r="AW10" s="557">
        <v>1053.7499999999993</v>
      </c>
      <c r="AX10" s="557">
        <v>5</v>
      </c>
      <c r="AY10" s="557">
        <v>3</v>
      </c>
      <c r="AZ10" s="557">
        <v>30069.5</v>
      </c>
      <c r="BA10" s="557">
        <v>439</v>
      </c>
      <c r="BB10" s="557">
        <v>834.50000000000034</v>
      </c>
      <c r="BC10" s="560">
        <v>30169775.615706906</v>
      </c>
      <c r="BD10" s="560">
        <f>IFERROR(VLOOKUP($B10-1,CDM!$V$4:$AJ$17,11,FALSE)/12,0)+IFERROR(VLOOKUP($B10,CDM!$V$41:$AJ$54,11,FALSE)/24,0)+IFERROR(VLOOKUP($B10,CDM!$V$41:$AJ$54,11,FALSE)/2*$C10/78,0)</f>
        <v>727779.842381316</v>
      </c>
      <c r="BE10" s="560">
        <f t="shared" ref="BE10:BE41" si="67">BC10+BD10</f>
        <v>30897555.458088223</v>
      </c>
      <c r="BF10" s="560"/>
      <c r="BG10" s="560"/>
      <c r="BH10" s="560">
        <f t="shared" si="13"/>
        <v>30897555.458088223</v>
      </c>
      <c r="BI10" s="560">
        <v>7015180.0928257024</v>
      </c>
      <c r="BJ10" s="560">
        <f>IFERROR(VLOOKUP($B10-1,CDM!$V$4:$AJ$17,12,FALSE)/12,0)+IFERROR(VLOOKUP($B10,CDM!$V$41:$AJ$54,12,FALSE)/24,0)+IFERROR(VLOOKUP($B10,CDM!$V$41:$AJ$54,12,FALSE)/2*$C10/78,0)</f>
        <v>120010.39128083787</v>
      </c>
      <c r="BK10" s="560">
        <f t="shared" si="14"/>
        <v>7135190.4841065407</v>
      </c>
      <c r="BL10" s="560"/>
      <c r="BM10" s="560"/>
      <c r="BN10" s="560">
        <f t="shared" si="15"/>
        <v>7135190.4841065407</v>
      </c>
      <c r="BO10" s="560">
        <v>29046642.300810564</v>
      </c>
      <c r="BP10" s="560">
        <f>IFERROR(VLOOKUP($B10-1,CDM!$V$4:$AJ$17,13,FALSE)/12,0)+IFERROR(VLOOKUP($B10,CDM!$V$41:$AJ$54,13,FALSE)/24,0)+IFERROR(VLOOKUP($B10,CDM!$V$41:$AJ$54,13,FALSE)/2*$C10/78,0)</f>
        <v>452107.52104622906</v>
      </c>
      <c r="BQ10" s="560">
        <f t="shared" si="16"/>
        <v>29498749.821856793</v>
      </c>
      <c r="BR10" s="560"/>
      <c r="BS10" s="560"/>
      <c r="BT10" s="560">
        <f t="shared" si="17"/>
        <v>29498749.821856793</v>
      </c>
      <c r="BU10" s="560">
        <v>5137017.6567020249</v>
      </c>
      <c r="BV10" s="560">
        <f>IFERROR(VLOOKUP($B10-1,CDM!$V$4:$AJ$17,14,FALSE)/12,0)+IFERROR(VLOOKUP($B10,CDM!$V$41:$AJ$54,14,FALSE)/24,0)+IFERROR(VLOOKUP($B10,CDM!$V$41:$AJ$54,14,FALSE)/2*$C10/78,0)</f>
        <v>101643.78761590354</v>
      </c>
      <c r="BW10" s="560">
        <f t="shared" si="18"/>
        <v>5238661.4443179285</v>
      </c>
      <c r="BX10" s="560"/>
      <c r="BY10" s="560">
        <f t="shared" ref="BY10:BY41" si="68">BW10-BX10</f>
        <v>5238661.4443179285</v>
      </c>
      <c r="BZ10" s="560">
        <v>419990.9986607997</v>
      </c>
      <c r="CA10" s="560">
        <v>2527.6775501688417</v>
      </c>
      <c r="CB10" s="560">
        <v>47927.979720681076</v>
      </c>
      <c r="CC10" s="5">
        <v>74223.58</v>
      </c>
      <c r="CD10" s="5">
        <v>7837.16</v>
      </c>
      <c r="CE10" s="5">
        <v>1174.77</v>
      </c>
      <c r="CF10" s="544">
        <f t="shared" si="65"/>
        <v>7.666666666666667</v>
      </c>
      <c r="CG10" s="565">
        <v>39503.750000000022</v>
      </c>
      <c r="CH10" s="565">
        <v>2209.7499999999986</v>
      </c>
      <c r="CI10" s="565">
        <v>367.50000000000017</v>
      </c>
      <c r="CJ10" s="565">
        <v>2</v>
      </c>
      <c r="CK10" s="565">
        <v>11866.75</v>
      </c>
      <c r="CL10" s="565">
        <v>39</v>
      </c>
      <c r="CM10" s="565">
        <v>370.75000000000017</v>
      </c>
      <c r="CN10" s="46">
        <f>Weather!C34</f>
        <v>80.145833333333343</v>
      </c>
      <c r="CO10" s="46">
        <f>Weather!D34</f>
        <v>15.887500000000006</v>
      </c>
      <c r="CP10" s="46">
        <f>Weather!E34</f>
        <v>40.929166666666667</v>
      </c>
      <c r="CQ10" s="46">
        <f>Weather!F34</f>
        <v>36.670833333333334</v>
      </c>
      <c r="CR10" s="46">
        <f>Weather!G34</f>
        <v>15.7875</v>
      </c>
      <c r="CS10" s="46">
        <f>Weather!H34</f>
        <v>71.529166666666654</v>
      </c>
      <c r="CT10" s="46">
        <f>Weather!I34</f>
        <v>4.9124999999999979</v>
      </c>
      <c r="CU10" s="46">
        <f>Weather!J34</f>
        <v>120.65416666666664</v>
      </c>
      <c r="CV10" s="46">
        <f>Weather!K34</f>
        <v>0.8125</v>
      </c>
      <c r="CW10" s="46">
        <f>Weather!L34</f>
        <v>176.5541666666667</v>
      </c>
      <c r="CX10" s="46">
        <f>Weather!M34</f>
        <v>0</v>
      </c>
      <c r="CY10" s="46">
        <f>Weather!N34</f>
        <v>235.7416666666667</v>
      </c>
      <c r="CZ10" s="46">
        <f>Weather!O34</f>
        <v>0</v>
      </c>
      <c r="DA10" s="46">
        <f>Weather!P34</f>
        <v>295.74166666666667</v>
      </c>
      <c r="DB10" s="243">
        <f>'Economic Data'!D36</f>
        <v>6929.7</v>
      </c>
      <c r="DC10" s="243">
        <f>'Economic Data'!E36</f>
        <v>6973.4</v>
      </c>
      <c r="DD10" s="243">
        <f>'Economic Data'!F36</f>
        <v>213</v>
      </c>
      <c r="DE10" s="243">
        <f>'Economic Data'!G36</f>
        <v>212.7</v>
      </c>
      <c r="DF10" s="243">
        <f>'Economic Data'!H36</f>
        <v>31.1</v>
      </c>
      <c r="DG10" s="243">
        <f>'Economic Data'!I36</f>
        <v>31.1</v>
      </c>
      <c r="DH10" s="243">
        <f>'Economic Data'!J36</f>
        <v>743976.2</v>
      </c>
      <c r="DI10" s="243">
        <f>'Economic Data'!K36</f>
        <v>571846.40000000002</v>
      </c>
      <c r="DJ10" s="243">
        <f>'Economic Data'!L36</f>
        <v>91511.8</v>
      </c>
      <c r="DK10" s="243">
        <f>'Economic Data'!M36</f>
        <v>29814.5</v>
      </c>
      <c r="DL10" s="243">
        <f>'Economic Data'!N36</f>
        <v>746710</v>
      </c>
      <c r="DM10" s="243">
        <f>'Economic Data'!O36</f>
        <v>91399</v>
      </c>
      <c r="DN10" s="243">
        <f>'Economic Data'!P36</f>
        <v>20894</v>
      </c>
      <c r="DO10" s="243">
        <f>'Economic Data'!Q36</f>
        <v>574188</v>
      </c>
      <c r="DP10" s="243">
        <f>'Economic Data'!R36</f>
        <v>30105</v>
      </c>
      <c r="DQ10">
        <v>30</v>
      </c>
      <c r="DR10">
        <v>21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1</v>
      </c>
      <c r="EB10">
        <v>0</v>
      </c>
      <c r="EC10">
        <v>0</v>
      </c>
      <c r="ED10">
        <v>0</v>
      </c>
      <c r="EE10">
        <v>0</v>
      </c>
      <c r="EF10">
        <v>1</v>
      </c>
      <c r="EG10">
        <v>1</v>
      </c>
      <c r="EH10">
        <f t="shared" si="66"/>
        <v>9</v>
      </c>
      <c r="EI10">
        <v>0</v>
      </c>
      <c r="EJ10">
        <v>0</v>
      </c>
      <c r="EK10">
        <v>0</v>
      </c>
      <c r="EL10">
        <v>0</v>
      </c>
      <c r="EM10" s="47">
        <f t="shared" ref="EM10:EM41" si="69">$EJ10*CN10</f>
        <v>0</v>
      </c>
      <c r="EN10" s="47">
        <f t="shared" ref="EN10:EN41" si="70">$EJ10*CO10</f>
        <v>0</v>
      </c>
      <c r="EO10" s="47">
        <f t="shared" ref="EO10:EO41" si="71">$EJ10*CP10</f>
        <v>0</v>
      </c>
      <c r="EP10" s="47">
        <f t="shared" ref="EP10:EP41" si="72">$EJ10*CQ10</f>
        <v>0</v>
      </c>
      <c r="EQ10" s="47">
        <f t="shared" ref="EQ10:EQ41" si="73">$EJ10*CR10</f>
        <v>0</v>
      </c>
      <c r="ER10" s="47">
        <f t="shared" ref="ER10:ER41" si="74">$EJ10*CS10</f>
        <v>0</v>
      </c>
      <c r="ES10" s="47">
        <f t="shared" ref="ES10:ES41" si="75">$EJ10*CT10</f>
        <v>0</v>
      </c>
      <c r="ET10" s="47">
        <f t="shared" ref="ET10:ET41" si="76">$EJ10*CU10</f>
        <v>0</v>
      </c>
      <c r="EU10" s="47">
        <f t="shared" ref="EU10:EU41" si="77">$EJ10*CV10</f>
        <v>0</v>
      </c>
      <c r="EV10" s="47">
        <f t="shared" ref="EV10:EV41" si="78">$EJ10*CW10</f>
        <v>0</v>
      </c>
      <c r="EW10" s="47">
        <f t="shared" ref="EW10:EW41" si="79">$EJ10*CX10</f>
        <v>0</v>
      </c>
      <c r="EX10" s="47">
        <f t="shared" ref="EX10:EX41" si="80">$EJ10*CY10</f>
        <v>0</v>
      </c>
      <c r="EY10" s="47">
        <f t="shared" ref="EY10:EY41" si="81">$EJ10*CZ10</f>
        <v>0</v>
      </c>
      <c r="EZ10" s="47">
        <f t="shared" ref="EZ10:EZ41" si="82">$EJ10*DA10</f>
        <v>0</v>
      </c>
      <c r="FA10" s="47">
        <f t="shared" ref="FA10:FA41" si="83">$EK10*CN10</f>
        <v>0</v>
      </c>
      <c r="FB10" s="47">
        <f t="shared" ref="FB10:FB41" si="84">$EK10*CO10</f>
        <v>0</v>
      </c>
      <c r="FC10" s="47">
        <f t="shared" ref="FC10:FC41" si="85">$EK10*CP10</f>
        <v>0</v>
      </c>
      <c r="FD10" s="47">
        <f t="shared" ref="FD10:FD41" si="86">$EK10*CQ10</f>
        <v>0</v>
      </c>
      <c r="FE10" s="47">
        <f t="shared" ref="FE10:FE41" si="87">$EK10*CR10</f>
        <v>0</v>
      </c>
      <c r="FF10" s="47">
        <f t="shared" ref="FF10:FF41" si="88">$EK10*CS10</f>
        <v>0</v>
      </c>
      <c r="FG10" s="47">
        <f t="shared" ref="FG10:FG41" si="89">$EK10*CT10</f>
        <v>0</v>
      </c>
      <c r="FH10" s="47">
        <f t="shared" ref="FH10:FH41" si="90">$EK10*CU10</f>
        <v>0</v>
      </c>
      <c r="FI10" s="47">
        <f t="shared" ref="FI10:FI41" si="91">$EK10*CV10</f>
        <v>0</v>
      </c>
      <c r="FJ10" s="47">
        <f t="shared" ref="FJ10:FJ41" si="92">$EK10*CW10</f>
        <v>0</v>
      </c>
      <c r="FK10" s="47">
        <f t="shared" ref="FK10:FK41" si="93">$EK10*CX10</f>
        <v>0</v>
      </c>
      <c r="FL10" s="47">
        <f t="shared" ref="FL10:FL41" si="94">$EK10*CY10</f>
        <v>0</v>
      </c>
      <c r="FM10" s="47">
        <f t="shared" ref="FM10:FM41" si="95">$EK10*CZ10</f>
        <v>0</v>
      </c>
      <c r="FN10" s="47">
        <f t="shared" ref="FN10:FN41" si="96">$EK10*DA10</f>
        <v>0</v>
      </c>
      <c r="FO10" s="546">
        <f t="shared" ref="FO10:FO41" si="97">I10/AT10</f>
        <v>676.89807840094261</v>
      </c>
      <c r="FP10" s="546">
        <f t="shared" ref="FP10:FP41" si="98">L10/AU10</f>
        <v>403.80900953384509</v>
      </c>
      <c r="FQ10" s="546">
        <f t="shared" ref="FQ10:FQ41" si="99">R10/AV10</f>
        <v>2439.864435515427</v>
      </c>
      <c r="FR10" s="546">
        <f t="shared" ref="FR10:FR41" si="100">X10/AW10</f>
        <v>74480.752739917487</v>
      </c>
      <c r="FS10" s="546">
        <f t="shared" ref="FS10:FS41" si="101">AD10/AX10</f>
        <v>1362661.737373672</v>
      </c>
      <c r="FT10" s="546">
        <f t="shared" ref="FT10:FT41" si="102">AI10/AY10</f>
        <v>5998033.1559613692</v>
      </c>
      <c r="FU10" s="546">
        <f t="shared" ref="FU10:FU41" si="103">AL10/AZ10</f>
        <v>55.128618763465724</v>
      </c>
      <c r="FV10" s="546">
        <f t="shared" ref="FV10:FV41" si="104">AM10/BA10</f>
        <v>20.770468055291893</v>
      </c>
      <c r="FW10" s="546">
        <f t="shared" ref="FW10:FW41" si="105">AN10/BB10</f>
        <v>472.51166626596813</v>
      </c>
      <c r="FX10" s="546">
        <f t="shared" ref="FX10:FX41" si="106">BE10/CG10</f>
        <v>782.14233985604415</v>
      </c>
      <c r="FY10" s="546">
        <f t="shared" ref="FY10:FY41" si="107">BK10/CH10</f>
        <v>3228.9582460036409</v>
      </c>
      <c r="FZ10" s="546">
        <f t="shared" ref="FZ10:FZ41" si="108">BQ10/CI10</f>
        <v>80268.706998249734</v>
      </c>
      <c r="GA10" s="546">
        <f t="shared" ref="GA10:GA41" si="109">BZ10/CJ10</f>
        <v>209995.49933039985</v>
      </c>
      <c r="GB10" s="546">
        <f t="shared" ref="GB10:GB41" si="110">BZ10/CK10</f>
        <v>35.392251346055126</v>
      </c>
      <c r="GC10" s="546">
        <f t="shared" ref="GC10:GC41" si="111">CA10/CL10</f>
        <v>64.81224487612414</v>
      </c>
      <c r="GD10" s="546">
        <f t="shared" ref="GD10:GD41" si="112">CB10/CM10</f>
        <v>129.27304037944992</v>
      </c>
    </row>
    <row r="11" spans="1:186">
      <c r="A11" s="4">
        <v>42644</v>
      </c>
      <c r="B11" s="6">
        <v>2016</v>
      </c>
      <c r="C11" s="5">
        <v>10</v>
      </c>
      <c r="D11" s="7">
        <v>61935878.390775234</v>
      </c>
      <c r="E11" s="7">
        <f>IFERROR(VLOOKUP($B11-1,CDM!$V$4:$AJ$17,2,FALSE)/12,0)+IFERROR(VLOOKUP($B11,CDM!$V$41:$AJ$54,2,FALSE)/24,0)+IFERROR(VLOOKUP($B11,CDM!$V$41:$AJ$54,2,FALSE)/2*$C11/78,0)</f>
        <v>1484327.2568643237</v>
      </c>
      <c r="F11" s="7">
        <f t="shared" si="0"/>
        <v>63420205.647639558</v>
      </c>
      <c r="G11" s="7"/>
      <c r="H11" s="7"/>
      <c r="I11" s="7">
        <f t="shared" si="1"/>
        <v>63420205.647639558</v>
      </c>
      <c r="J11" s="7">
        <v>695768.63185460784</v>
      </c>
      <c r="K11" s="7">
        <f>IFERROR(VLOOKUP($B11-1,CDM!$V$4:$AJ$17,3,FALSE)/12,0)+IFERROR(VLOOKUP($B11,CDM!$V$41:$AJ$54,3,FALSE)/24,0)+IFERROR(VLOOKUP($B11,CDM!$V$41:$AJ$54,3,FALSE)/2*$C11/78,0)</f>
        <v>17001.192846168396</v>
      </c>
      <c r="L11" s="7">
        <f t="shared" si="2"/>
        <v>712769.82470077625</v>
      </c>
      <c r="M11" s="7"/>
      <c r="N11" s="7"/>
      <c r="O11" s="7">
        <f t="shared" si="3"/>
        <v>712769.82470077625</v>
      </c>
      <c r="P11" s="7">
        <v>20149312.582388859</v>
      </c>
      <c r="Q11" s="7">
        <f>IFERROR(VLOOKUP($B11-1,CDM!$V$4:$AJ$17,4,FALSE)/12,0)+IFERROR(VLOOKUP($B11,CDM!$V$41:$AJ$54,4,FALSE)/24,0)+IFERROR(VLOOKUP($B11,CDM!$V$41:$AJ$54,4,FALSE)/2*$C11/78,0)</f>
        <v>576088.0998386516</v>
      </c>
      <c r="R11" s="7">
        <f t="shared" si="4"/>
        <v>20725400.682227511</v>
      </c>
      <c r="S11" s="7"/>
      <c r="T11" s="7"/>
      <c r="U11" s="7">
        <f t="shared" si="5"/>
        <v>20725400.682227511</v>
      </c>
      <c r="V11" s="7">
        <v>74081415.120858461</v>
      </c>
      <c r="W11" s="7">
        <f>IFERROR(VLOOKUP($B11-1,CDM!$V$4:$AJ$17,5,FALSE)/12,0)+IFERROR(VLOOKUP($B11,CDM!$V$41:$AJ$54,5,FALSE)/24,0)+IFERROR(VLOOKUP($B11,CDM!$V$41:$AJ$54,5,FALSE)/2*$C11/78,0)</f>
        <v>2018568.8501883771</v>
      </c>
      <c r="X11" s="7">
        <f t="shared" si="6"/>
        <v>76099983.971046835</v>
      </c>
      <c r="Y11" s="7"/>
      <c r="Z11" s="7"/>
      <c r="AA11" s="7">
        <f t="shared" si="7"/>
        <v>76099983.971046835</v>
      </c>
      <c r="AB11" s="7">
        <v>6529319.2660727352</v>
      </c>
      <c r="AC11" s="7">
        <f>IFERROR(VLOOKUP($B11-1,CDM!$V$4:$AJ$17,6,FALSE)/12,0)+IFERROR(VLOOKUP($B11,CDM!$V$41:$AJ$54,6,FALSE)/24,0)+IFERROR(VLOOKUP($B11,CDM!$V$41:$AJ$54,6,FALSE)/2*$C11/78,0)</f>
        <v>49429.275917353734</v>
      </c>
      <c r="AD11" s="7">
        <f t="shared" si="8"/>
        <v>6578748.5419900892</v>
      </c>
      <c r="AE11" s="7"/>
      <c r="AF11" s="7">
        <f t="shared" si="9"/>
        <v>6578748.5419900892</v>
      </c>
      <c r="AG11" s="7">
        <v>17467110.767072275</v>
      </c>
      <c r="AH11" s="7">
        <f>IFERROR(VLOOKUP($B11-1,CDM!$V$4:$AJ$17,7,FALSE)/12,0)+IFERROR(VLOOKUP($B11,CDM!$V$41:$AJ$54,7,FALSE)/24,0)+IFERROR(VLOOKUP($B11,CDM!$V$41:$AJ$54,7,FALSE)/2*$C11/78,0)</f>
        <v>656612.16381691629</v>
      </c>
      <c r="AI11" s="7">
        <f t="shared" si="10"/>
        <v>18123722.930889193</v>
      </c>
      <c r="AJ11" s="7"/>
      <c r="AK11" s="7">
        <f t="shared" si="11"/>
        <v>18123722.930889193</v>
      </c>
      <c r="AL11" s="7">
        <v>1914357.985117344</v>
      </c>
      <c r="AM11" s="7">
        <v>9422.1766588155806</v>
      </c>
      <c r="AN11" s="7">
        <v>394089.98759778665</v>
      </c>
      <c r="AO11" s="5">
        <v>193817.60000000001</v>
      </c>
      <c r="AP11" s="5">
        <v>16163.04</v>
      </c>
      <c r="AQ11" s="5">
        <v>28355</v>
      </c>
      <c r="AR11" s="5">
        <v>4750.34</v>
      </c>
      <c r="AS11" s="544">
        <f t="shared" si="64"/>
        <v>84.5</v>
      </c>
      <c r="AT11" s="557">
        <v>107735.5</v>
      </c>
      <c r="AU11" s="557">
        <v>1584</v>
      </c>
      <c r="AV11" s="557">
        <v>8977.3333333333394</v>
      </c>
      <c r="AW11" s="557">
        <v>1052.8333333333326</v>
      </c>
      <c r="AX11" s="557">
        <v>5</v>
      </c>
      <c r="AY11" s="557">
        <v>3</v>
      </c>
      <c r="AZ11" s="557">
        <v>30085</v>
      </c>
      <c r="BA11" s="557">
        <v>439</v>
      </c>
      <c r="BB11" s="557">
        <v>833.33333333333371</v>
      </c>
      <c r="BC11" s="560">
        <v>24014557.459508415</v>
      </c>
      <c r="BD11" s="560">
        <f>IFERROR(VLOOKUP($B11-1,CDM!$V$4:$AJ$17,11,FALSE)/12,0)+IFERROR(VLOOKUP($B11,CDM!$V$41:$AJ$54,11,FALSE)/24,0)+IFERROR(VLOOKUP($B11,CDM!$V$41:$AJ$54,11,FALSE)/2*$C11/78,0)</f>
        <v>757982.02457855956</v>
      </c>
      <c r="BE11" s="560">
        <f t="shared" si="67"/>
        <v>24772539.484086975</v>
      </c>
      <c r="BF11" s="560"/>
      <c r="BG11" s="560"/>
      <c r="BH11" s="560">
        <f t="shared" si="13"/>
        <v>24772539.484086975</v>
      </c>
      <c r="BI11" s="560">
        <v>6463146.9084752146</v>
      </c>
      <c r="BJ11" s="560">
        <f>IFERROR(VLOOKUP($B11-1,CDM!$V$4:$AJ$17,12,FALSE)/12,0)+IFERROR(VLOOKUP($B11,CDM!$V$41:$AJ$54,12,FALSE)/24,0)+IFERROR(VLOOKUP($B11,CDM!$V$41:$AJ$54,12,FALSE)/2*$C11/78,0)</f>
        <v>121827.13536474138</v>
      </c>
      <c r="BK11" s="560">
        <f t="shared" si="14"/>
        <v>6584974.0438399557</v>
      </c>
      <c r="BL11" s="560"/>
      <c r="BM11" s="560"/>
      <c r="BN11" s="560">
        <f t="shared" si="15"/>
        <v>6584974.0438399557</v>
      </c>
      <c r="BO11" s="560">
        <v>27914943.481236864</v>
      </c>
      <c r="BP11" s="560">
        <f>IFERROR(VLOOKUP($B11-1,CDM!$V$4:$AJ$17,13,FALSE)/12,0)+IFERROR(VLOOKUP($B11,CDM!$V$41:$AJ$54,13,FALSE)/24,0)+IFERROR(VLOOKUP($B11,CDM!$V$41:$AJ$54,13,FALSE)/2*$C11/78,0)</f>
        <v>463096.61626307131</v>
      </c>
      <c r="BQ11" s="560">
        <f t="shared" si="16"/>
        <v>28378040.097499937</v>
      </c>
      <c r="BR11" s="560"/>
      <c r="BS11" s="560"/>
      <c r="BT11" s="560">
        <f t="shared" si="17"/>
        <v>28378040.097499937</v>
      </c>
      <c r="BU11" s="560">
        <v>5156148.9585342333</v>
      </c>
      <c r="BV11" s="560">
        <f>IFERROR(VLOOKUP($B11-1,CDM!$V$4:$AJ$17,14,FALSE)/12,0)+IFERROR(VLOOKUP($B11,CDM!$V$41:$AJ$54,14,FALSE)/24,0)+IFERROR(VLOOKUP($B11,CDM!$V$41:$AJ$54,14,FALSE)/2*$C11/78,0)</f>
        <v>104114.37969481178</v>
      </c>
      <c r="BW11" s="560">
        <f t="shared" si="18"/>
        <v>5260263.3382290453</v>
      </c>
      <c r="BX11" s="560"/>
      <c r="BY11" s="560">
        <f t="shared" si="68"/>
        <v>5260263.3382290453</v>
      </c>
      <c r="BZ11" s="560">
        <v>504839.64989477705</v>
      </c>
      <c r="CA11" s="560">
        <v>2527.6775501688417</v>
      </c>
      <c r="CB11" s="560">
        <v>47621.972450736561</v>
      </c>
      <c r="CC11" s="5">
        <v>70002.94</v>
      </c>
      <c r="CD11" s="5">
        <v>7861.16</v>
      </c>
      <c r="CE11" s="5">
        <v>1213.83</v>
      </c>
      <c r="CF11" s="544">
        <f t="shared" si="65"/>
        <v>7.666666666666667</v>
      </c>
      <c r="CG11" s="565">
        <v>39531.833333333358</v>
      </c>
      <c r="CH11" s="565">
        <v>2213.1666666666652</v>
      </c>
      <c r="CI11" s="565">
        <v>367.66666666666686</v>
      </c>
      <c r="CJ11" s="565">
        <v>2</v>
      </c>
      <c r="CK11" s="565">
        <v>11870.5</v>
      </c>
      <c r="CL11" s="565">
        <v>39</v>
      </c>
      <c r="CM11" s="565">
        <v>370.16666666666686</v>
      </c>
      <c r="CN11" s="46">
        <f>Weather!C35</f>
        <v>283.19583333333327</v>
      </c>
      <c r="CO11" s="46">
        <f>Weather!D35</f>
        <v>0</v>
      </c>
      <c r="CP11" s="46">
        <f>Weather!E35</f>
        <v>222.13333333333333</v>
      </c>
      <c r="CQ11" s="46">
        <f>Weather!F35</f>
        <v>0.93750000000000355</v>
      </c>
      <c r="CR11" s="46">
        <f>Weather!G35</f>
        <v>166.45</v>
      </c>
      <c r="CS11" s="46">
        <f>Weather!H35</f>
        <v>7.2541666666666735</v>
      </c>
      <c r="CT11" s="46">
        <f>Weather!I35</f>
        <v>121.96666666666667</v>
      </c>
      <c r="CU11" s="46">
        <f>Weather!J35</f>
        <v>24.770833333333336</v>
      </c>
      <c r="CV11" s="46">
        <f>Weather!K35</f>
        <v>87.579166666666666</v>
      </c>
      <c r="CW11" s="46">
        <f>Weather!L35</f>
        <v>52.383333333333333</v>
      </c>
      <c r="CX11" s="46">
        <f>Weather!M35</f>
        <v>58.995833333333337</v>
      </c>
      <c r="CY11" s="46">
        <f>Weather!N35</f>
        <v>85.800000000000011</v>
      </c>
      <c r="CZ11" s="46">
        <f>Weather!O35</f>
        <v>33.25</v>
      </c>
      <c r="DA11" s="46">
        <f>Weather!P35</f>
        <v>122.05416666666669</v>
      </c>
      <c r="DB11" s="243">
        <f>'Economic Data'!D37</f>
        <v>6942</v>
      </c>
      <c r="DC11" s="243">
        <f>'Economic Data'!E37</f>
        <v>6966.9</v>
      </c>
      <c r="DD11" s="243">
        <f>'Economic Data'!F37</f>
        <v>213.6</v>
      </c>
      <c r="DE11" s="243">
        <f>'Economic Data'!G37</f>
        <v>212.8</v>
      </c>
      <c r="DF11" s="243">
        <f>'Economic Data'!H37</f>
        <v>34.299999999999997</v>
      </c>
      <c r="DG11" s="243">
        <f>'Economic Data'!I37</f>
        <v>34.299999999999997</v>
      </c>
      <c r="DH11" s="243">
        <f>'Economic Data'!J37</f>
        <v>743976.2</v>
      </c>
      <c r="DI11" s="243">
        <f>'Economic Data'!K37</f>
        <v>571846.40000000002</v>
      </c>
      <c r="DJ11" s="243">
        <f>'Economic Data'!L37</f>
        <v>91511.8</v>
      </c>
      <c r="DK11" s="243">
        <f>'Economic Data'!M37</f>
        <v>29814.5</v>
      </c>
      <c r="DL11" s="243">
        <f>'Economic Data'!N37</f>
        <v>745246</v>
      </c>
      <c r="DM11" s="243">
        <f>'Economic Data'!O37</f>
        <v>91065</v>
      </c>
      <c r="DN11" s="243">
        <f>'Economic Data'!P37</f>
        <v>20728</v>
      </c>
      <c r="DO11" s="243">
        <f>'Economic Data'!Q37</f>
        <v>574592</v>
      </c>
      <c r="DP11" s="243">
        <f>'Economic Data'!R37</f>
        <v>30237</v>
      </c>
      <c r="DQ11">
        <v>31</v>
      </c>
      <c r="DR11">
        <v>20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1</v>
      </c>
      <c r="EC11">
        <v>0</v>
      </c>
      <c r="ED11">
        <v>0</v>
      </c>
      <c r="EE11">
        <v>0</v>
      </c>
      <c r="EF11">
        <v>1</v>
      </c>
      <c r="EG11">
        <v>1</v>
      </c>
      <c r="EH11">
        <f t="shared" si="66"/>
        <v>10</v>
      </c>
      <c r="EI11">
        <v>0</v>
      </c>
      <c r="EJ11">
        <v>0</v>
      </c>
      <c r="EK11">
        <v>0</v>
      </c>
      <c r="EL11">
        <v>0</v>
      </c>
      <c r="EM11" s="47">
        <f t="shared" si="69"/>
        <v>0</v>
      </c>
      <c r="EN11" s="47">
        <f t="shared" si="70"/>
        <v>0</v>
      </c>
      <c r="EO11" s="47">
        <f t="shared" si="71"/>
        <v>0</v>
      </c>
      <c r="EP11" s="47">
        <f t="shared" si="72"/>
        <v>0</v>
      </c>
      <c r="EQ11" s="47">
        <f t="shared" si="73"/>
        <v>0</v>
      </c>
      <c r="ER11" s="47">
        <f t="shared" si="74"/>
        <v>0</v>
      </c>
      <c r="ES11" s="47">
        <f t="shared" si="75"/>
        <v>0</v>
      </c>
      <c r="ET11" s="47">
        <f t="shared" si="76"/>
        <v>0</v>
      </c>
      <c r="EU11" s="47">
        <f t="shared" si="77"/>
        <v>0</v>
      </c>
      <c r="EV11" s="47">
        <f t="shared" si="78"/>
        <v>0</v>
      </c>
      <c r="EW11" s="47">
        <f t="shared" si="79"/>
        <v>0</v>
      </c>
      <c r="EX11" s="47">
        <f t="shared" si="80"/>
        <v>0</v>
      </c>
      <c r="EY11" s="47">
        <f t="shared" si="81"/>
        <v>0</v>
      </c>
      <c r="EZ11" s="47">
        <f t="shared" si="82"/>
        <v>0</v>
      </c>
      <c r="FA11" s="47">
        <f t="shared" si="83"/>
        <v>0</v>
      </c>
      <c r="FB11" s="47">
        <f t="shared" si="84"/>
        <v>0</v>
      </c>
      <c r="FC11" s="47">
        <f t="shared" si="85"/>
        <v>0</v>
      </c>
      <c r="FD11" s="47">
        <f t="shared" si="86"/>
        <v>0</v>
      </c>
      <c r="FE11" s="47">
        <f t="shared" si="87"/>
        <v>0</v>
      </c>
      <c r="FF11" s="47">
        <f t="shared" si="88"/>
        <v>0</v>
      </c>
      <c r="FG11" s="47">
        <f t="shared" si="89"/>
        <v>0</v>
      </c>
      <c r="FH11" s="47">
        <f t="shared" si="90"/>
        <v>0</v>
      </c>
      <c r="FI11" s="47">
        <f t="shared" si="91"/>
        <v>0</v>
      </c>
      <c r="FJ11" s="47">
        <f t="shared" si="92"/>
        <v>0</v>
      </c>
      <c r="FK11" s="47">
        <f t="shared" si="93"/>
        <v>0</v>
      </c>
      <c r="FL11" s="47">
        <f t="shared" si="94"/>
        <v>0</v>
      </c>
      <c r="FM11" s="47">
        <f t="shared" si="95"/>
        <v>0</v>
      </c>
      <c r="FN11" s="47">
        <f t="shared" si="96"/>
        <v>0</v>
      </c>
      <c r="FO11" s="546">
        <f t="shared" si="97"/>
        <v>588.66581254683513</v>
      </c>
      <c r="FP11" s="546">
        <f t="shared" si="98"/>
        <v>449.98094993735873</v>
      </c>
      <c r="FQ11" s="546">
        <f t="shared" si="99"/>
        <v>2308.6366421610905</v>
      </c>
      <c r="FR11" s="546">
        <f t="shared" si="100"/>
        <v>72281.130889074135</v>
      </c>
      <c r="FS11" s="546">
        <f t="shared" si="101"/>
        <v>1315749.7083980178</v>
      </c>
      <c r="FT11" s="546">
        <f t="shared" si="102"/>
        <v>6041240.9769630646</v>
      </c>
      <c r="FU11" s="546">
        <f t="shared" si="103"/>
        <v>63.631643181563703</v>
      </c>
      <c r="FV11" s="546">
        <f t="shared" si="104"/>
        <v>21.462816990468294</v>
      </c>
      <c r="FW11" s="546">
        <f t="shared" si="105"/>
        <v>472.90798511734374</v>
      </c>
      <c r="FX11" s="546">
        <f t="shared" si="106"/>
        <v>626.64787831124181</v>
      </c>
      <c r="FY11" s="546">
        <f t="shared" si="107"/>
        <v>2975.3629236418224</v>
      </c>
      <c r="FZ11" s="546">
        <f t="shared" si="108"/>
        <v>77184.152577062341</v>
      </c>
      <c r="GA11" s="546">
        <f t="shared" si="109"/>
        <v>252419.82494738852</v>
      </c>
      <c r="GB11" s="546">
        <f t="shared" si="110"/>
        <v>42.528928848386933</v>
      </c>
      <c r="GC11" s="546">
        <f t="shared" si="111"/>
        <v>64.81224487612414</v>
      </c>
      <c r="GD11" s="546">
        <f t="shared" si="112"/>
        <v>128.65008316272815</v>
      </c>
    </row>
    <row r="12" spans="1:186">
      <c r="A12" s="4">
        <v>42675</v>
      </c>
      <c r="B12" s="6">
        <v>2016</v>
      </c>
      <c r="C12" s="5">
        <v>11</v>
      </c>
      <c r="D12" s="7">
        <v>64742977.349493615</v>
      </c>
      <c r="E12" s="7">
        <f>IFERROR(VLOOKUP($B12-1,CDM!$V$4:$AJ$17,2,FALSE)/12,0)+IFERROR(VLOOKUP($B12,CDM!$V$41:$AJ$54,2,FALSE)/24,0)+IFERROR(VLOOKUP($B12,CDM!$V$41:$AJ$54,2,FALSE)/2*$C12/78,0)</f>
        <v>1535362.4811381446</v>
      </c>
      <c r="F12" s="7">
        <f t="shared" si="0"/>
        <v>66278339.830631763</v>
      </c>
      <c r="G12" s="7"/>
      <c r="H12" s="7"/>
      <c r="I12" s="7">
        <f t="shared" si="1"/>
        <v>66278339.830631763</v>
      </c>
      <c r="J12" s="7">
        <v>568227.3082808624</v>
      </c>
      <c r="K12" s="7">
        <f>IFERROR(VLOOKUP($B12-1,CDM!$V$4:$AJ$17,3,FALSE)/12,0)+IFERROR(VLOOKUP($B12,CDM!$V$41:$AJ$54,3,FALSE)/24,0)+IFERROR(VLOOKUP($B12,CDM!$V$41:$AJ$54,3,FALSE)/2*$C12/78,0)</f>
        <v>17585.740280579616</v>
      </c>
      <c r="L12" s="7">
        <f t="shared" si="2"/>
        <v>585813.04856144206</v>
      </c>
      <c r="M12" s="7"/>
      <c r="N12" s="7"/>
      <c r="O12" s="7">
        <f t="shared" si="3"/>
        <v>585813.04856144206</v>
      </c>
      <c r="P12" s="7">
        <v>21005476.845153596</v>
      </c>
      <c r="Q12" s="7">
        <f>IFERROR(VLOOKUP($B12-1,CDM!$V$4:$AJ$17,4,FALSE)/12,0)+IFERROR(VLOOKUP($B12,CDM!$V$41:$AJ$54,4,FALSE)/24,0)+IFERROR(VLOOKUP($B12,CDM!$V$41:$AJ$54,4,FALSE)/2*$C12/78,0)</f>
        <v>591494.13596142281</v>
      </c>
      <c r="R12" s="7">
        <f t="shared" si="4"/>
        <v>21596970.981115021</v>
      </c>
      <c r="S12" s="7"/>
      <c r="T12" s="7"/>
      <c r="U12" s="7">
        <f t="shared" si="5"/>
        <v>21596970.981115021</v>
      </c>
      <c r="V12" s="7">
        <v>74139683.096125528</v>
      </c>
      <c r="W12" s="7">
        <f>IFERROR(VLOOKUP($B12-1,CDM!$V$4:$AJ$17,5,FALSE)/12,0)+IFERROR(VLOOKUP($B12,CDM!$V$41:$AJ$54,5,FALSE)/24,0)+IFERROR(VLOOKUP($B12,CDM!$V$41:$AJ$54,5,FALSE)/2*$C12/78,0)</f>
        <v>2068002.3405386982</v>
      </c>
      <c r="X12" s="7">
        <f t="shared" si="6"/>
        <v>76207685.436664224</v>
      </c>
      <c r="Y12" s="7"/>
      <c r="Z12" s="7"/>
      <c r="AA12" s="7">
        <f t="shared" si="7"/>
        <v>76207685.436664224</v>
      </c>
      <c r="AB12" s="7">
        <v>7155310.1932199439</v>
      </c>
      <c r="AC12" s="7">
        <f>IFERROR(VLOOKUP($B12-1,CDM!$V$4:$AJ$17,6,FALSE)/12,0)+IFERROR(VLOOKUP($B12,CDM!$V$41:$AJ$54,6,FALSE)/24,0)+IFERROR(VLOOKUP($B12,CDM!$V$41:$AJ$54,6,FALSE)/2*$C12/78,0)</f>
        <v>51681.696120650689</v>
      </c>
      <c r="AD12" s="7">
        <f t="shared" si="8"/>
        <v>7206991.8893405944</v>
      </c>
      <c r="AE12" s="7"/>
      <c r="AF12" s="7">
        <f t="shared" si="9"/>
        <v>7206991.8893405944</v>
      </c>
      <c r="AG12" s="7">
        <v>17791998.228138022</v>
      </c>
      <c r="AH12" s="7">
        <f>IFERROR(VLOOKUP($B12-1,CDM!$V$4:$AJ$17,7,FALSE)/12,0)+IFERROR(VLOOKUP($B12,CDM!$V$41:$AJ$54,7,FALSE)/24,0)+IFERROR(VLOOKUP($B12,CDM!$V$41:$AJ$54,7,FALSE)/2*$C12/78,0)</f>
        <v>674481.89733923227</v>
      </c>
      <c r="AI12" s="7">
        <f t="shared" si="10"/>
        <v>18466480.125477254</v>
      </c>
      <c r="AJ12" s="7"/>
      <c r="AK12" s="7">
        <f t="shared" si="11"/>
        <v>18466480.125477254</v>
      </c>
      <c r="AL12" s="7">
        <v>2043677.1799274946</v>
      </c>
      <c r="AM12" s="7">
        <v>34616.580805189849</v>
      </c>
      <c r="AN12" s="7">
        <v>393819.97710360616</v>
      </c>
      <c r="AO12" s="5">
        <v>184845.07</v>
      </c>
      <c r="AP12" s="5">
        <v>15535.55</v>
      </c>
      <c r="AQ12" s="5">
        <v>32319</v>
      </c>
      <c r="AR12" s="5">
        <v>4752.84</v>
      </c>
      <c r="AS12" s="544">
        <f t="shared" si="64"/>
        <v>84.5</v>
      </c>
      <c r="AT12" s="557">
        <v>107817.75</v>
      </c>
      <c r="AU12" s="557">
        <v>1583.5</v>
      </c>
      <c r="AV12" s="557">
        <v>8984.1666666666733</v>
      </c>
      <c r="AW12" s="557">
        <v>1051.9166666666658</v>
      </c>
      <c r="AX12" s="557">
        <v>5</v>
      </c>
      <c r="AY12" s="557">
        <v>3</v>
      </c>
      <c r="AZ12" s="557">
        <v>30100.5</v>
      </c>
      <c r="BA12" s="557">
        <v>439</v>
      </c>
      <c r="BB12" s="557">
        <v>832.16666666666708</v>
      </c>
      <c r="BC12" s="560">
        <v>23774002.988262866</v>
      </c>
      <c r="BD12" s="560">
        <f>IFERROR(VLOOKUP($B12-1,CDM!$V$4:$AJ$17,11,FALSE)/12,0)+IFERROR(VLOOKUP($B12,CDM!$V$41:$AJ$54,11,FALSE)/24,0)+IFERROR(VLOOKUP($B12,CDM!$V$41:$AJ$54,11,FALSE)/2*$C12/78,0)</f>
        <v>788184.20677580312</v>
      </c>
      <c r="BE12" s="560">
        <f t="shared" si="67"/>
        <v>24562187.195038669</v>
      </c>
      <c r="BF12" s="560"/>
      <c r="BG12" s="560"/>
      <c r="BH12" s="560">
        <f t="shared" si="13"/>
        <v>24562187.195038669</v>
      </c>
      <c r="BI12" s="560">
        <v>6627638.8134493968</v>
      </c>
      <c r="BJ12" s="560">
        <f>IFERROR(VLOOKUP($B12-1,CDM!$V$4:$AJ$17,12,FALSE)/12,0)+IFERROR(VLOOKUP($B12,CDM!$V$41:$AJ$54,12,FALSE)/24,0)+IFERROR(VLOOKUP($B12,CDM!$V$41:$AJ$54,12,FALSE)/2*$C12/78,0)</f>
        <v>123643.8794486449</v>
      </c>
      <c r="BK12" s="560">
        <f t="shared" si="14"/>
        <v>6751282.6928980416</v>
      </c>
      <c r="BL12" s="560"/>
      <c r="BM12" s="560"/>
      <c r="BN12" s="560">
        <f t="shared" si="15"/>
        <v>6751282.6928980416</v>
      </c>
      <c r="BO12" s="560">
        <v>27090703.668567996</v>
      </c>
      <c r="BP12" s="560">
        <f>IFERROR(VLOOKUP($B12-1,CDM!$V$4:$AJ$17,13,FALSE)/12,0)+IFERROR(VLOOKUP($B12,CDM!$V$41:$AJ$54,13,FALSE)/24,0)+IFERROR(VLOOKUP($B12,CDM!$V$41:$AJ$54,13,FALSE)/2*$C12/78,0)</f>
        <v>474085.7114799135</v>
      </c>
      <c r="BQ12" s="560">
        <f t="shared" si="16"/>
        <v>27564789.38004791</v>
      </c>
      <c r="BR12" s="560"/>
      <c r="BS12" s="560"/>
      <c r="BT12" s="560">
        <f t="shared" si="17"/>
        <v>27564789.38004791</v>
      </c>
      <c r="BU12" s="560">
        <v>4886018.8331726138</v>
      </c>
      <c r="BV12" s="560">
        <f>IFERROR(VLOOKUP($B12-1,CDM!$V$4:$AJ$17,14,FALSE)/12,0)+IFERROR(VLOOKUP($B12,CDM!$V$41:$AJ$54,14,FALSE)/24,0)+IFERROR(VLOOKUP($B12,CDM!$V$41:$AJ$54,14,FALSE)/2*$C12/78,0)</f>
        <v>106584.97177372003</v>
      </c>
      <c r="BW12" s="560">
        <f t="shared" si="18"/>
        <v>4992603.8049463341</v>
      </c>
      <c r="BX12" s="560"/>
      <c r="BY12" s="560">
        <f t="shared" si="68"/>
        <v>4992603.8049463341</v>
      </c>
      <c r="BZ12" s="560">
        <v>514588.79854601104</v>
      </c>
      <c r="CA12" s="560">
        <v>2527.6775501688417</v>
      </c>
      <c r="CB12" s="560">
        <v>47622.029845035388</v>
      </c>
      <c r="CC12" s="5">
        <v>66510.09</v>
      </c>
      <c r="CD12" s="5">
        <v>7481.55</v>
      </c>
      <c r="CE12" s="5">
        <v>1169.55</v>
      </c>
      <c r="CF12" s="544">
        <f t="shared" si="65"/>
        <v>7.666666666666667</v>
      </c>
      <c r="CG12" s="565">
        <v>39559.916666666693</v>
      </c>
      <c r="CH12" s="565">
        <v>2216.5833333333317</v>
      </c>
      <c r="CI12" s="565">
        <v>367.83333333333354</v>
      </c>
      <c r="CJ12" s="565">
        <v>2</v>
      </c>
      <c r="CK12" s="565">
        <v>11874.25</v>
      </c>
      <c r="CL12" s="565">
        <v>39</v>
      </c>
      <c r="CM12" s="565">
        <v>369.58333333333354</v>
      </c>
      <c r="CN12" s="46">
        <f>Weather!C36</f>
        <v>437.33511904761912</v>
      </c>
      <c r="CO12" s="46">
        <f>Weather!D36</f>
        <v>0</v>
      </c>
      <c r="CP12" s="46">
        <f>Weather!E36</f>
        <v>377.33511904761912</v>
      </c>
      <c r="CQ12" s="46">
        <f>Weather!F36</f>
        <v>0</v>
      </c>
      <c r="CR12" s="46">
        <f>Weather!G36</f>
        <v>317.335119047619</v>
      </c>
      <c r="CS12" s="46">
        <f>Weather!H36</f>
        <v>0</v>
      </c>
      <c r="CT12" s="46">
        <f>Weather!I36</f>
        <v>257.33511904761906</v>
      </c>
      <c r="CU12" s="46">
        <f>Weather!J36</f>
        <v>0</v>
      </c>
      <c r="CV12" s="46">
        <f>Weather!K36</f>
        <v>198.66428571428571</v>
      </c>
      <c r="CW12" s="46">
        <f>Weather!L36</f>
        <v>1.3291666666666675</v>
      </c>
      <c r="CX12" s="46">
        <f>Weather!M36</f>
        <v>141.00178571428572</v>
      </c>
      <c r="CY12" s="46">
        <f>Weather!N36</f>
        <v>3.6666666666666679</v>
      </c>
      <c r="CZ12" s="46">
        <f>Weather!O36</f>
        <v>89.230952380952388</v>
      </c>
      <c r="DA12" s="46">
        <f>Weather!P36</f>
        <v>11.895833333333334</v>
      </c>
      <c r="DB12" s="243">
        <f>'Economic Data'!D38</f>
        <v>6959</v>
      </c>
      <c r="DC12" s="243">
        <f>'Economic Data'!E38</f>
        <v>6964.3</v>
      </c>
      <c r="DD12" s="243">
        <f>'Economic Data'!F38</f>
        <v>214.7</v>
      </c>
      <c r="DE12" s="243">
        <f>'Economic Data'!G38</f>
        <v>213.5</v>
      </c>
      <c r="DF12" s="243">
        <f>'Economic Data'!H38</f>
        <v>37.1</v>
      </c>
      <c r="DG12" s="243">
        <f>'Economic Data'!I38</f>
        <v>37.1</v>
      </c>
      <c r="DH12" s="243">
        <f>'Economic Data'!J38</f>
        <v>743976.2</v>
      </c>
      <c r="DI12" s="243">
        <f>'Economic Data'!K38</f>
        <v>571846.40000000002</v>
      </c>
      <c r="DJ12" s="243">
        <f>'Economic Data'!L38</f>
        <v>91511.8</v>
      </c>
      <c r="DK12" s="243">
        <f>'Economic Data'!M38</f>
        <v>29814.5</v>
      </c>
      <c r="DL12" s="243">
        <f>'Economic Data'!N38</f>
        <v>745246</v>
      </c>
      <c r="DM12" s="243">
        <f>'Economic Data'!O38</f>
        <v>91065</v>
      </c>
      <c r="DN12" s="243">
        <f>'Economic Data'!P38</f>
        <v>20728</v>
      </c>
      <c r="DO12" s="243">
        <f>'Economic Data'!Q38</f>
        <v>574592</v>
      </c>
      <c r="DP12" s="243">
        <f>'Economic Data'!R38</f>
        <v>30237</v>
      </c>
      <c r="DQ12">
        <v>30</v>
      </c>
      <c r="DR12">
        <v>22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</v>
      </c>
      <c r="ED12">
        <v>0</v>
      </c>
      <c r="EE12">
        <v>0</v>
      </c>
      <c r="EF12">
        <v>1</v>
      </c>
      <c r="EG12">
        <v>1</v>
      </c>
      <c r="EH12">
        <f t="shared" si="66"/>
        <v>11</v>
      </c>
      <c r="EI12">
        <v>0</v>
      </c>
      <c r="EJ12">
        <v>0</v>
      </c>
      <c r="EK12">
        <v>0</v>
      </c>
      <c r="EL12">
        <v>0</v>
      </c>
      <c r="EM12" s="47">
        <f t="shared" si="69"/>
        <v>0</v>
      </c>
      <c r="EN12" s="47">
        <f t="shared" si="70"/>
        <v>0</v>
      </c>
      <c r="EO12" s="47">
        <f t="shared" si="71"/>
        <v>0</v>
      </c>
      <c r="EP12" s="47">
        <f t="shared" si="72"/>
        <v>0</v>
      </c>
      <c r="EQ12" s="47">
        <f t="shared" si="73"/>
        <v>0</v>
      </c>
      <c r="ER12" s="47">
        <f t="shared" si="74"/>
        <v>0</v>
      </c>
      <c r="ES12" s="47">
        <f t="shared" si="75"/>
        <v>0</v>
      </c>
      <c r="ET12" s="47">
        <f t="shared" si="76"/>
        <v>0</v>
      </c>
      <c r="EU12" s="47">
        <f t="shared" si="77"/>
        <v>0</v>
      </c>
      <c r="EV12" s="47">
        <f t="shared" si="78"/>
        <v>0</v>
      </c>
      <c r="EW12" s="47">
        <f t="shared" si="79"/>
        <v>0</v>
      </c>
      <c r="EX12" s="47">
        <f t="shared" si="80"/>
        <v>0</v>
      </c>
      <c r="EY12" s="47">
        <f t="shared" si="81"/>
        <v>0</v>
      </c>
      <c r="EZ12" s="47">
        <f t="shared" si="82"/>
        <v>0</v>
      </c>
      <c r="FA12" s="47">
        <f t="shared" si="83"/>
        <v>0</v>
      </c>
      <c r="FB12" s="47">
        <f t="shared" si="84"/>
        <v>0</v>
      </c>
      <c r="FC12" s="47">
        <f t="shared" si="85"/>
        <v>0</v>
      </c>
      <c r="FD12" s="47">
        <f t="shared" si="86"/>
        <v>0</v>
      </c>
      <c r="FE12" s="47">
        <f t="shared" si="87"/>
        <v>0</v>
      </c>
      <c r="FF12" s="47">
        <f t="shared" si="88"/>
        <v>0</v>
      </c>
      <c r="FG12" s="47">
        <f t="shared" si="89"/>
        <v>0</v>
      </c>
      <c r="FH12" s="47">
        <f t="shared" si="90"/>
        <v>0</v>
      </c>
      <c r="FI12" s="47">
        <f t="shared" si="91"/>
        <v>0</v>
      </c>
      <c r="FJ12" s="47">
        <f t="shared" si="92"/>
        <v>0</v>
      </c>
      <c r="FK12" s="47">
        <f t="shared" si="93"/>
        <v>0</v>
      </c>
      <c r="FL12" s="47">
        <f t="shared" si="94"/>
        <v>0</v>
      </c>
      <c r="FM12" s="47">
        <f t="shared" si="95"/>
        <v>0</v>
      </c>
      <c r="FN12" s="47">
        <f t="shared" si="96"/>
        <v>0</v>
      </c>
      <c r="FO12" s="546">
        <f t="shared" si="97"/>
        <v>614.72568135239112</v>
      </c>
      <c r="FP12" s="546">
        <f t="shared" si="98"/>
        <v>369.94824664442189</v>
      </c>
      <c r="FQ12" s="546">
        <f t="shared" si="99"/>
        <v>2403.8925125070036</v>
      </c>
      <c r="FR12" s="546">
        <f t="shared" si="100"/>
        <v>72446.504415746764</v>
      </c>
      <c r="FS12" s="546">
        <f t="shared" si="101"/>
        <v>1441398.3778681189</v>
      </c>
      <c r="FT12" s="546">
        <f t="shared" si="102"/>
        <v>6155493.3751590848</v>
      </c>
      <c r="FU12" s="546">
        <f t="shared" si="103"/>
        <v>67.895123998853663</v>
      </c>
      <c r="FV12" s="546">
        <f t="shared" si="104"/>
        <v>78.853259237334512</v>
      </c>
      <c r="FW12" s="546">
        <f t="shared" si="105"/>
        <v>473.24651764903581</v>
      </c>
      <c r="FX12" s="546">
        <f t="shared" si="106"/>
        <v>620.88571626681005</v>
      </c>
      <c r="FY12" s="546">
        <f t="shared" si="107"/>
        <v>3045.8059443880056</v>
      </c>
      <c r="FZ12" s="546">
        <f t="shared" si="108"/>
        <v>74938.25839614289</v>
      </c>
      <c r="GA12" s="546">
        <f t="shared" si="109"/>
        <v>257294.39927300552</v>
      </c>
      <c r="GB12" s="546">
        <f t="shared" si="110"/>
        <v>43.33653060580761</v>
      </c>
      <c r="GC12" s="546">
        <f t="shared" si="111"/>
        <v>64.81224487612414</v>
      </c>
      <c r="GD12" s="546">
        <f t="shared" si="112"/>
        <v>128.85329383098633</v>
      </c>
    </row>
    <row r="13" spans="1:186">
      <c r="A13" s="4">
        <v>42705</v>
      </c>
      <c r="B13" s="6">
        <v>2016</v>
      </c>
      <c r="C13" s="5">
        <v>12</v>
      </c>
      <c r="D13" s="7">
        <v>82597411.819910794</v>
      </c>
      <c r="E13" s="7">
        <f>IFERROR(VLOOKUP($B13-1,CDM!$V$4:$AJ$17,2,FALSE)/12,0)+IFERROR(VLOOKUP($B13,CDM!$V$41:$AJ$54,2,FALSE)/24,0)+IFERROR(VLOOKUP($B13,CDM!$V$41:$AJ$54,2,FALSE)/2*$C13/78,0)</f>
        <v>1586397.705411965</v>
      </c>
      <c r="F13" s="7">
        <f t="shared" si="0"/>
        <v>84183809.525322765</v>
      </c>
      <c r="G13" s="7"/>
      <c r="H13" s="7"/>
      <c r="I13" s="7">
        <f t="shared" si="1"/>
        <v>84183809.525322765</v>
      </c>
      <c r="J13" s="7">
        <v>837700.0414901746</v>
      </c>
      <c r="K13" s="7">
        <f>IFERROR(VLOOKUP($B13-1,CDM!$V$4:$AJ$17,3,FALSE)/12,0)+IFERROR(VLOOKUP($B13,CDM!$V$41:$AJ$54,3,FALSE)/24,0)+IFERROR(VLOOKUP($B13,CDM!$V$41:$AJ$54,3,FALSE)/2*$C13/78,0)</f>
        <v>18170.287714990835</v>
      </c>
      <c r="L13" s="7">
        <f t="shared" si="2"/>
        <v>855870.32920516538</v>
      </c>
      <c r="M13" s="7"/>
      <c r="N13" s="7"/>
      <c r="O13" s="7">
        <f t="shared" si="3"/>
        <v>855870.32920516538</v>
      </c>
      <c r="P13" s="7">
        <v>24055048.727322936</v>
      </c>
      <c r="Q13" s="7">
        <f>IFERROR(VLOOKUP($B13-1,CDM!$V$4:$AJ$17,4,FALSE)/12,0)+IFERROR(VLOOKUP($B13,CDM!$V$41:$AJ$54,4,FALSE)/24,0)+IFERROR(VLOOKUP($B13,CDM!$V$41:$AJ$54,4,FALSE)/2*$C13/78,0)</f>
        <v>606900.17208419403</v>
      </c>
      <c r="R13" s="7">
        <f t="shared" si="4"/>
        <v>24661948.89940713</v>
      </c>
      <c r="S13" s="7"/>
      <c r="T13" s="7"/>
      <c r="U13" s="7">
        <f t="shared" si="5"/>
        <v>24661948.89940713</v>
      </c>
      <c r="V13" s="7">
        <v>74916545.093468025</v>
      </c>
      <c r="W13" s="7">
        <f>IFERROR(VLOOKUP($B13-1,CDM!$V$4:$AJ$17,5,FALSE)/12,0)+IFERROR(VLOOKUP($B13,CDM!$V$41:$AJ$54,5,FALSE)/24,0)+IFERROR(VLOOKUP($B13,CDM!$V$41:$AJ$54,5,FALSE)/2*$C13/78,0)</f>
        <v>2117435.8308890192</v>
      </c>
      <c r="X13" s="7">
        <f t="shared" si="6"/>
        <v>77033980.924357042</v>
      </c>
      <c r="Y13" s="7"/>
      <c r="Z13" s="7"/>
      <c r="AA13" s="7">
        <f t="shared" si="7"/>
        <v>77033980.924357042</v>
      </c>
      <c r="AB13" s="7">
        <v>6696685.3426665105</v>
      </c>
      <c r="AC13" s="7">
        <f>IFERROR(VLOOKUP($B13-1,CDM!$V$4:$AJ$17,6,FALSE)/12,0)+IFERROR(VLOOKUP($B13,CDM!$V$41:$AJ$54,6,FALSE)/24,0)+IFERROR(VLOOKUP($B13,CDM!$V$41:$AJ$54,6,FALSE)/2*$C13/78,0)</f>
        <v>53934.116323947645</v>
      </c>
      <c r="AD13" s="7">
        <f t="shared" si="8"/>
        <v>6750619.4589904584</v>
      </c>
      <c r="AE13" s="7"/>
      <c r="AF13" s="7">
        <f t="shared" si="9"/>
        <v>6750619.4589904584</v>
      </c>
      <c r="AG13" s="7">
        <v>18080004.513808846</v>
      </c>
      <c r="AH13" s="7">
        <f>IFERROR(VLOOKUP($B13-1,CDM!$V$4:$AJ$17,7,FALSE)/12,0)+IFERROR(VLOOKUP($B13,CDM!$V$41:$AJ$54,7,FALSE)/24,0)+IFERROR(VLOOKUP($B13,CDM!$V$41:$AJ$54,7,FALSE)/2*$C13/78,0)</f>
        <v>692351.63086154824</v>
      </c>
      <c r="AI13" s="7">
        <f t="shared" si="10"/>
        <v>18772356.144670393</v>
      </c>
      <c r="AJ13" s="7"/>
      <c r="AK13" s="7">
        <f t="shared" si="11"/>
        <v>18772356.144670393</v>
      </c>
      <c r="AL13" s="7">
        <v>2210801.1543598548</v>
      </c>
      <c r="AM13" s="7">
        <v>20018.603319977105</v>
      </c>
      <c r="AN13" s="7">
        <v>393529.98473573744</v>
      </c>
      <c r="AO13" s="5">
        <v>184342.3</v>
      </c>
      <c r="AP13" s="5">
        <v>15521.18</v>
      </c>
      <c r="AQ13" s="5">
        <v>32772</v>
      </c>
      <c r="AR13" s="5">
        <v>4754.5</v>
      </c>
      <c r="AS13" s="544">
        <f t="shared" si="64"/>
        <v>84.5</v>
      </c>
      <c r="AT13" s="557">
        <v>107900</v>
      </c>
      <c r="AU13" s="557">
        <v>1583</v>
      </c>
      <c r="AV13" s="557">
        <v>8991</v>
      </c>
      <c r="AW13" s="557">
        <v>1051</v>
      </c>
      <c r="AX13" s="557">
        <v>5</v>
      </c>
      <c r="AY13" s="557">
        <v>3</v>
      </c>
      <c r="AZ13" s="557">
        <v>30116</v>
      </c>
      <c r="BA13" s="557">
        <v>439</v>
      </c>
      <c r="BB13" s="557">
        <v>831</v>
      </c>
      <c r="BC13" s="560">
        <v>29394224.101253107</v>
      </c>
      <c r="BD13" s="560">
        <f>IFERROR(VLOOKUP($B13-1,CDM!$V$4:$AJ$17,11,FALSE)/12,0)+IFERROR(VLOOKUP($B13,CDM!$V$41:$AJ$54,11,FALSE)/24,0)+IFERROR(VLOOKUP($B13,CDM!$V$41:$AJ$54,11,FALSE)/2*$C13/78,0)</f>
        <v>818386.38897304679</v>
      </c>
      <c r="BE13" s="560">
        <f t="shared" si="67"/>
        <v>30212610.490226153</v>
      </c>
      <c r="BF13" s="560"/>
      <c r="BG13" s="560"/>
      <c r="BH13" s="560">
        <f t="shared" si="13"/>
        <v>30212610.490226153</v>
      </c>
      <c r="BI13" s="560">
        <v>7529984.8022383861</v>
      </c>
      <c r="BJ13" s="560">
        <f>IFERROR(VLOOKUP($B13-1,CDM!$V$4:$AJ$17,12,FALSE)/12,0)+IFERROR(VLOOKUP($B13,CDM!$V$41:$AJ$54,12,FALSE)/24,0)+IFERROR(VLOOKUP($B13,CDM!$V$41:$AJ$54,12,FALSE)/2*$C13/78,0)</f>
        <v>125460.62353254842</v>
      </c>
      <c r="BK13" s="560">
        <f t="shared" si="14"/>
        <v>7655445.4257709347</v>
      </c>
      <c r="BL13" s="560"/>
      <c r="BM13" s="560"/>
      <c r="BN13" s="560">
        <f t="shared" si="15"/>
        <v>7655445.4257709347</v>
      </c>
      <c r="BO13" s="560">
        <v>27501318.570999697</v>
      </c>
      <c r="BP13" s="560">
        <f>IFERROR(VLOOKUP($B13-1,CDM!$V$4:$AJ$17,13,FALSE)/12,0)+IFERROR(VLOOKUP($B13,CDM!$V$41:$AJ$54,13,FALSE)/24,0)+IFERROR(VLOOKUP($B13,CDM!$V$41:$AJ$54,13,FALSE)/2*$C13/78,0)</f>
        <v>485074.80669675575</v>
      </c>
      <c r="BQ13" s="560">
        <f t="shared" si="16"/>
        <v>27986393.377696451</v>
      </c>
      <c r="BR13" s="560"/>
      <c r="BS13" s="560"/>
      <c r="BT13" s="560">
        <f t="shared" si="17"/>
        <v>27986393.377696451</v>
      </c>
      <c r="BU13" s="560">
        <v>4789925.37126326</v>
      </c>
      <c r="BV13" s="560">
        <f>IFERROR(VLOOKUP($B13-1,CDM!$V$4:$AJ$17,14,FALSE)/12,0)+IFERROR(VLOOKUP($B13,CDM!$V$41:$AJ$54,14,FALSE)/24,0)+IFERROR(VLOOKUP($B13,CDM!$V$41:$AJ$54,14,FALSE)/2*$C13/78,0)</f>
        <v>109055.56385262826</v>
      </c>
      <c r="BW13" s="560">
        <f t="shared" si="18"/>
        <v>4898980.9351158887</v>
      </c>
      <c r="BX13" s="560"/>
      <c r="BY13" s="560">
        <f t="shared" si="68"/>
        <v>4898980.9351158887</v>
      </c>
      <c r="BZ13" s="560">
        <v>521712.95198010321</v>
      </c>
      <c r="CA13" s="560">
        <v>2527.6775501688417</v>
      </c>
      <c r="CB13" s="560">
        <v>47621.972450736561</v>
      </c>
      <c r="CC13" s="5">
        <v>66950.23</v>
      </c>
      <c r="CD13" s="5">
        <v>7709.09</v>
      </c>
      <c r="CE13" s="5">
        <v>1091.72</v>
      </c>
      <c r="CF13" s="544">
        <f t="shared" si="65"/>
        <v>7.666666666666667</v>
      </c>
      <c r="CG13" s="565">
        <v>39588</v>
      </c>
      <c r="CH13" s="565">
        <v>2220</v>
      </c>
      <c r="CI13" s="565">
        <v>368</v>
      </c>
      <c r="CJ13" s="565">
        <v>2</v>
      </c>
      <c r="CK13" s="565">
        <v>11878</v>
      </c>
      <c r="CL13" s="565">
        <v>39</v>
      </c>
      <c r="CM13" s="565">
        <v>369</v>
      </c>
      <c r="CN13" s="46">
        <f>Weather!C37</f>
        <v>678.67083333333323</v>
      </c>
      <c r="CO13" s="46">
        <f>Weather!D37</f>
        <v>0</v>
      </c>
      <c r="CP13" s="46">
        <f>Weather!E37</f>
        <v>616.67083333333335</v>
      </c>
      <c r="CQ13" s="46">
        <f>Weather!F37</f>
        <v>0</v>
      </c>
      <c r="CR13" s="46">
        <f>Weather!G37</f>
        <v>554.67083333333346</v>
      </c>
      <c r="CS13" s="46">
        <f>Weather!H37</f>
        <v>0</v>
      </c>
      <c r="CT13" s="46">
        <f>Weather!I37</f>
        <v>492.67083333333335</v>
      </c>
      <c r="CU13" s="46">
        <f>Weather!J37</f>
        <v>0</v>
      </c>
      <c r="CV13" s="46">
        <f>Weather!K37</f>
        <v>430.67083333333341</v>
      </c>
      <c r="CW13" s="46">
        <f>Weather!L37</f>
        <v>0</v>
      </c>
      <c r="CX13" s="46">
        <f>Weather!M37</f>
        <v>368.67083333333341</v>
      </c>
      <c r="CY13" s="46">
        <f>Weather!N37</f>
        <v>0</v>
      </c>
      <c r="CZ13" s="46">
        <f>Weather!O37</f>
        <v>306.67083333333341</v>
      </c>
      <c r="DA13" s="46">
        <f>Weather!P37</f>
        <v>0</v>
      </c>
      <c r="DB13" s="243">
        <f>'Economic Data'!D39</f>
        <v>6974.4</v>
      </c>
      <c r="DC13" s="243">
        <f>'Economic Data'!E39</f>
        <v>6983</v>
      </c>
      <c r="DD13" s="243">
        <f>'Economic Data'!F39</f>
        <v>215.4</v>
      </c>
      <c r="DE13" s="243">
        <f>'Economic Data'!G39</f>
        <v>214.8</v>
      </c>
      <c r="DF13" s="243">
        <f>'Economic Data'!H39</f>
        <v>38</v>
      </c>
      <c r="DG13" s="243">
        <f>'Economic Data'!I39</f>
        <v>38</v>
      </c>
      <c r="DH13" s="243">
        <f>'Economic Data'!J39</f>
        <v>743976.2</v>
      </c>
      <c r="DI13" s="243">
        <f>'Economic Data'!K39</f>
        <v>571846.40000000002</v>
      </c>
      <c r="DJ13" s="243">
        <f>'Economic Data'!L39</f>
        <v>91511.8</v>
      </c>
      <c r="DK13" s="243">
        <f>'Economic Data'!M39</f>
        <v>29814.5</v>
      </c>
      <c r="DL13" s="243">
        <f>'Economic Data'!N39</f>
        <v>745246</v>
      </c>
      <c r="DM13" s="243">
        <f>'Economic Data'!O39</f>
        <v>91065</v>
      </c>
      <c r="DN13" s="243">
        <f>'Economic Data'!P39</f>
        <v>20728</v>
      </c>
      <c r="DO13" s="243">
        <f>'Economic Data'!Q39</f>
        <v>574592</v>
      </c>
      <c r="DP13" s="243">
        <f>'Economic Data'!R39</f>
        <v>30237</v>
      </c>
      <c r="DQ13">
        <v>31</v>
      </c>
      <c r="DR13">
        <v>20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1</v>
      </c>
      <c r="EE13">
        <v>0</v>
      </c>
      <c r="EF13">
        <v>0</v>
      </c>
      <c r="EG13">
        <v>0</v>
      </c>
      <c r="EH13">
        <f t="shared" si="66"/>
        <v>12</v>
      </c>
      <c r="EI13">
        <v>0</v>
      </c>
      <c r="EJ13">
        <v>0</v>
      </c>
      <c r="EK13">
        <v>0</v>
      </c>
      <c r="EL13">
        <v>0</v>
      </c>
      <c r="EM13" s="47">
        <f t="shared" si="69"/>
        <v>0</v>
      </c>
      <c r="EN13" s="47">
        <f t="shared" si="70"/>
        <v>0</v>
      </c>
      <c r="EO13" s="47">
        <f t="shared" si="71"/>
        <v>0</v>
      </c>
      <c r="EP13" s="47">
        <f t="shared" si="72"/>
        <v>0</v>
      </c>
      <c r="EQ13" s="47">
        <f t="shared" si="73"/>
        <v>0</v>
      </c>
      <c r="ER13" s="47">
        <f t="shared" si="74"/>
        <v>0</v>
      </c>
      <c r="ES13" s="47">
        <f t="shared" si="75"/>
        <v>0</v>
      </c>
      <c r="ET13" s="47">
        <f t="shared" si="76"/>
        <v>0</v>
      </c>
      <c r="EU13" s="47">
        <f t="shared" si="77"/>
        <v>0</v>
      </c>
      <c r="EV13" s="47">
        <f t="shared" si="78"/>
        <v>0</v>
      </c>
      <c r="EW13" s="47">
        <f t="shared" si="79"/>
        <v>0</v>
      </c>
      <c r="EX13" s="47">
        <f t="shared" si="80"/>
        <v>0</v>
      </c>
      <c r="EY13" s="47">
        <f t="shared" si="81"/>
        <v>0</v>
      </c>
      <c r="EZ13" s="47">
        <f t="shared" si="82"/>
        <v>0</v>
      </c>
      <c r="FA13" s="47">
        <f t="shared" si="83"/>
        <v>0</v>
      </c>
      <c r="FB13" s="47">
        <f t="shared" si="84"/>
        <v>0</v>
      </c>
      <c r="FC13" s="47">
        <f t="shared" si="85"/>
        <v>0</v>
      </c>
      <c r="FD13" s="47">
        <f t="shared" si="86"/>
        <v>0</v>
      </c>
      <c r="FE13" s="47">
        <f t="shared" si="87"/>
        <v>0</v>
      </c>
      <c r="FF13" s="47">
        <f t="shared" si="88"/>
        <v>0</v>
      </c>
      <c r="FG13" s="47">
        <f t="shared" si="89"/>
        <v>0</v>
      </c>
      <c r="FH13" s="47">
        <f t="shared" si="90"/>
        <v>0</v>
      </c>
      <c r="FI13" s="47">
        <f t="shared" si="91"/>
        <v>0</v>
      </c>
      <c r="FJ13" s="47">
        <f t="shared" si="92"/>
        <v>0</v>
      </c>
      <c r="FK13" s="47">
        <f t="shared" si="93"/>
        <v>0</v>
      </c>
      <c r="FL13" s="47">
        <f t="shared" si="94"/>
        <v>0</v>
      </c>
      <c r="FM13" s="47">
        <f t="shared" si="95"/>
        <v>0</v>
      </c>
      <c r="FN13" s="47">
        <f t="shared" si="96"/>
        <v>0</v>
      </c>
      <c r="FO13" s="546">
        <f t="shared" si="97"/>
        <v>780.20212720410348</v>
      </c>
      <c r="FP13" s="546">
        <f t="shared" si="98"/>
        <v>540.66350549915694</v>
      </c>
      <c r="FQ13" s="546">
        <f t="shared" si="99"/>
        <v>2742.9595038824523</v>
      </c>
      <c r="FR13" s="546">
        <f t="shared" si="100"/>
        <v>73295.890508427256</v>
      </c>
      <c r="FS13" s="546">
        <f t="shared" si="101"/>
        <v>1350123.8917980916</v>
      </c>
      <c r="FT13" s="546">
        <f t="shared" si="102"/>
        <v>6257452.0482234647</v>
      </c>
      <c r="FU13" s="546">
        <f t="shared" si="103"/>
        <v>73.409521661570423</v>
      </c>
      <c r="FV13" s="546">
        <f t="shared" si="104"/>
        <v>45.600463143455819</v>
      </c>
      <c r="FW13" s="546">
        <f t="shared" si="105"/>
        <v>473.56195515732543</v>
      </c>
      <c r="FX13" s="546">
        <f t="shared" si="106"/>
        <v>763.1759747960532</v>
      </c>
      <c r="FY13" s="546">
        <f t="shared" si="107"/>
        <v>3448.3988404373581</v>
      </c>
      <c r="FZ13" s="546">
        <f t="shared" si="108"/>
        <v>76049.982004609919</v>
      </c>
      <c r="GA13" s="546">
        <f t="shared" si="109"/>
        <v>260856.47599005161</v>
      </c>
      <c r="GB13" s="546">
        <f t="shared" si="110"/>
        <v>43.922626029643311</v>
      </c>
      <c r="GC13" s="546">
        <f t="shared" si="111"/>
        <v>64.81224487612414</v>
      </c>
      <c r="GD13" s="546">
        <f t="shared" si="112"/>
        <v>129.05683590985518</v>
      </c>
    </row>
    <row r="14" spans="1:186">
      <c r="A14" s="4">
        <v>42736</v>
      </c>
      <c r="B14" s="6">
        <v>2017</v>
      </c>
      <c r="C14" s="5">
        <v>1</v>
      </c>
      <c r="D14" s="7">
        <v>80431611.130882367</v>
      </c>
      <c r="E14" s="7">
        <f>IFERROR(VLOOKUP($B14-1,CDM!$V$4:$AJ$17,2,FALSE)/12,0)+IFERROR(VLOOKUP($B14,CDM!$V$41:$AJ$54,2,FALSE)/24,0)+IFERROR(VLOOKUP($B14,CDM!$V$41:$AJ$54,2,FALSE)/2*$C14/78,0)</f>
        <v>2140851.9313901626</v>
      </c>
      <c r="F14" s="7">
        <f t="shared" si="0"/>
        <v>82572463.062272534</v>
      </c>
      <c r="G14" s="7">
        <f>IFERROR(HLOOKUP(B14,'EV Forecast VRZ'!$F$116:$T$122,2,FALSE)*C14/78,0)</f>
        <v>3139.4865292819891</v>
      </c>
      <c r="H14" s="7"/>
      <c r="I14" s="7">
        <f t="shared" si="1"/>
        <v>82569323.575743258</v>
      </c>
      <c r="J14" s="7">
        <v>878051.2710742224</v>
      </c>
      <c r="K14" s="7">
        <f>IFERROR(VLOOKUP($B14-1,CDM!$V$4:$AJ$17,3,FALSE)/12,0)+IFERROR(VLOOKUP($B14,CDM!$V$41:$AJ$54,3,FALSE)/24,0)+IFERROR(VLOOKUP($B14,CDM!$V$41:$AJ$54,3,FALSE)/2*$C14/78,0)</f>
        <v>24520.897512551124</v>
      </c>
      <c r="L14" s="7">
        <f t="shared" si="2"/>
        <v>902572.16858677357</v>
      </c>
      <c r="M14" s="7">
        <f>IFERROR(HLOOKUP(B14,'EV Forecast VRZ'!$F$116:$T$122,3,FALSE)*C14/78,0)</f>
        <v>42.600137384677076</v>
      </c>
      <c r="N14" s="7"/>
      <c r="O14" s="7">
        <f t="shared" si="3"/>
        <v>902529.56844938884</v>
      </c>
      <c r="P14" s="7">
        <v>24474875.015311867</v>
      </c>
      <c r="Q14" s="7">
        <f>IFERROR(VLOOKUP($B14-1,CDM!$V$4:$AJ$17,4,FALSE)/12,0)+IFERROR(VLOOKUP($B14,CDM!$V$41:$AJ$54,4,FALSE)/24,0)+IFERROR(VLOOKUP($B14,CDM!$V$41:$AJ$54,4,FALSE)/2*$C14/78,0)</f>
        <v>624543.80877046671</v>
      </c>
      <c r="R14" s="7">
        <f t="shared" si="4"/>
        <v>25099418.824082334</v>
      </c>
      <c r="S14" s="7">
        <f>IFERROR(HLOOKUP(B14,'EV Forecast VRZ'!$F$116:$T$122,4,FALSE)*C14/78,0)</f>
        <v>400.49435897435899</v>
      </c>
      <c r="T14" s="7"/>
      <c r="U14" s="7">
        <f t="shared" si="5"/>
        <v>25099018.329723358</v>
      </c>
      <c r="V14" s="7">
        <v>78740461.694177017</v>
      </c>
      <c r="W14" s="7">
        <f>IFERROR(VLOOKUP($B14-1,CDM!$V$4:$AJ$17,5,FALSE)/12,0)+IFERROR(VLOOKUP($B14,CDM!$V$41:$AJ$54,5,FALSE)/24,0)+IFERROR(VLOOKUP($B14,CDM!$V$41:$AJ$54,5,FALSE)/2*$C14/78,0)</f>
        <v>2271655.189790715</v>
      </c>
      <c r="X14" s="7">
        <f t="shared" si="6"/>
        <v>81012116.883967727</v>
      </c>
      <c r="Y14" s="7">
        <f>IFERROR(HLOOKUP(B14,'EV Forecast VRZ'!$F$116:$T$122,5,FALSE)*C14/78,0)</f>
        <v>182.33784615384613</v>
      </c>
      <c r="Z14" s="7"/>
      <c r="AA14" s="7">
        <f t="shared" si="7"/>
        <v>81011934.546121567</v>
      </c>
      <c r="AB14" s="7">
        <v>6974132.3614485692</v>
      </c>
      <c r="AC14" s="7">
        <f>IFERROR(VLOOKUP($B14-1,CDM!$V$4:$AJ$17,6,FALSE)/12,0)+IFERROR(VLOOKUP($B14,CDM!$V$41:$AJ$54,6,FALSE)/24,0)+IFERROR(VLOOKUP($B14,CDM!$V$41:$AJ$54,6,FALSE)/2*$C14/78,0)</f>
        <v>73608.447499349699</v>
      </c>
      <c r="AD14" s="7">
        <f t="shared" si="8"/>
        <v>7047740.8089479189</v>
      </c>
      <c r="AE14" s="7">
        <f>IFERROR(HLOOKUP(B14,'EV Forecast VRZ'!$F$116:$T$122,6,FALSE)*C14/78,0)</f>
        <v>28.486256410256409</v>
      </c>
      <c r="AF14" s="7">
        <f t="shared" si="9"/>
        <v>7047712.3226915086</v>
      </c>
      <c r="AG14" s="7">
        <v>18142660.631230786</v>
      </c>
      <c r="AH14" s="7">
        <f>IFERROR(VLOOKUP($B14-1,CDM!$V$4:$AJ$17,7,FALSE)/12,0)+IFERROR(VLOOKUP($B14,CDM!$V$41:$AJ$54,7,FALSE)/24,0)+IFERROR(VLOOKUP($B14,CDM!$V$41:$AJ$54,7,FALSE)/2*$C14/78,0)</f>
        <v>725174.56737118564</v>
      </c>
      <c r="AI14" s="7">
        <f t="shared" si="10"/>
        <v>18867835.198601972</v>
      </c>
      <c r="AJ14" s="7">
        <f>IFERROR(HLOOKUP(B14,'EV Forecast VRZ'!$F$116:$T$122,7,FALSE)*C14/78,0)</f>
        <v>0</v>
      </c>
      <c r="AK14" s="7">
        <f t="shared" si="11"/>
        <v>18867835.198601972</v>
      </c>
      <c r="AL14" s="7">
        <v>2149481.1867964128</v>
      </c>
      <c r="AM14" s="7">
        <v>35753.043312344962</v>
      </c>
      <c r="AN14" s="7">
        <v>393122.9822552948</v>
      </c>
      <c r="AO14" s="5">
        <v>185118.53</v>
      </c>
      <c r="AP14" s="5">
        <v>16277.86</v>
      </c>
      <c r="AQ14" s="5">
        <v>30820</v>
      </c>
      <c r="AR14" s="5">
        <v>4727.7</v>
      </c>
      <c r="AS14" s="544">
        <f>967/12</f>
        <v>80.583333333333329</v>
      </c>
      <c r="AT14" s="557">
        <v>107971.5</v>
      </c>
      <c r="AU14" s="557">
        <v>1582.0833333333333</v>
      </c>
      <c r="AV14" s="557">
        <v>8994.75</v>
      </c>
      <c r="AW14" s="557">
        <v>1053.6666666666667</v>
      </c>
      <c r="AX14" s="557">
        <v>5</v>
      </c>
      <c r="AY14" s="557">
        <v>3</v>
      </c>
      <c r="AZ14" s="557">
        <v>30161.5</v>
      </c>
      <c r="BA14" s="557">
        <v>439</v>
      </c>
      <c r="BB14" s="557">
        <v>830.16666666666663</v>
      </c>
      <c r="BC14" s="560">
        <v>28109661.463612199</v>
      </c>
      <c r="BD14" s="560">
        <f>IFERROR(VLOOKUP($B14-1,CDM!$V$4:$AJ$17,11,FALSE)/12,0)+IFERROR(VLOOKUP($B14,CDM!$V$41:$AJ$54,11,FALSE)/24,0)+IFERROR(VLOOKUP($B14,CDM!$V$41:$AJ$54,11,FALSE)/2*$C14/78,0)</f>
        <v>1099616.7123549602</v>
      </c>
      <c r="BE14" s="560">
        <f t="shared" si="67"/>
        <v>29209278.175967161</v>
      </c>
      <c r="BF14" s="560">
        <f>IFERROR(HLOOKUP(B14,'EV Forecast WRZ'!$F$116:$T$122,2,FALSE)*C14/78,0)</f>
        <v>1012.7023076923077</v>
      </c>
      <c r="BG14" s="560"/>
      <c r="BH14" s="560">
        <f t="shared" si="13"/>
        <v>29208265.473659467</v>
      </c>
      <c r="BI14" s="560">
        <v>7668144.9489286384</v>
      </c>
      <c r="BJ14" s="560">
        <f>IFERROR(VLOOKUP($B14-1,CDM!$V$4:$AJ$17,12,FALSE)/12,0)+IFERROR(VLOOKUP($B14,CDM!$V$41:$AJ$54,12,FALSE)/24,0)+IFERROR(VLOOKUP($B14,CDM!$V$41:$AJ$54,12,FALSE)/2*$C14/78,0)</f>
        <v>128391.12790586968</v>
      </c>
      <c r="BK14" s="560">
        <f t="shared" si="14"/>
        <v>7796536.0768345082</v>
      </c>
      <c r="BL14" s="560">
        <f>IFERROR(HLOOKUP(B14,'EV Forecast WRZ'!$F$116:$T$122,3,FALSE)*C14/78,0)</f>
        <v>140.52153846153846</v>
      </c>
      <c r="BM14" s="560"/>
      <c r="BN14" s="560">
        <f t="shared" si="15"/>
        <v>7796395.5552960467</v>
      </c>
      <c r="BO14" s="560">
        <v>29289183.327529266</v>
      </c>
      <c r="BP14" s="560">
        <f>IFERROR(VLOOKUP($B14-1,CDM!$V$4:$AJ$17,13,FALSE)/12,0)+IFERROR(VLOOKUP($B14,CDM!$V$41:$AJ$54,13,FALSE)/24,0)+IFERROR(VLOOKUP($B14,CDM!$V$41:$AJ$54,13,FALSE)/2*$C14/78,0)</f>
        <v>593636.08201605687</v>
      </c>
      <c r="BQ14" s="560">
        <f t="shared" si="16"/>
        <v>29882819.409545325</v>
      </c>
      <c r="BR14" s="560">
        <f>IFERROR(HLOOKUP(B14,'EV Forecast WRZ'!$F$116:$T$122,4,FALSE)*C14/78,0)</f>
        <v>64.96546153846154</v>
      </c>
      <c r="BS14" s="560"/>
      <c r="BT14" s="560">
        <f t="shared" si="17"/>
        <v>29882754.444083788</v>
      </c>
      <c r="BU14" s="560">
        <v>4986534.8601735784</v>
      </c>
      <c r="BV14" s="560">
        <f>IFERROR(VLOOKUP($B14-1,CDM!$V$4:$AJ$17,14,FALSE)/12,0)+IFERROR(VLOOKUP($B14,CDM!$V$41:$AJ$54,14,FALSE)/24,0)+IFERROR(VLOOKUP($B14,CDM!$V$41:$AJ$54,14,FALSE)/2*$C14/78,0)</f>
        <v>133462.54382573598</v>
      </c>
      <c r="BW14" s="560">
        <f t="shared" si="18"/>
        <v>5119997.4039993146</v>
      </c>
      <c r="BX14" s="560">
        <f>IFERROR(HLOOKUP(B14,'EV Forecast WRZ'!$F$116:$T$122,5,FALSE)*C14/78,0)</f>
        <v>13.949153846153845</v>
      </c>
      <c r="BY14" s="560">
        <f t="shared" si="68"/>
        <v>5119983.4548454685</v>
      </c>
      <c r="BZ14" s="560">
        <v>504620.48019896686</v>
      </c>
      <c r="CA14" s="560">
        <v>2417.7785262484567</v>
      </c>
      <c r="CB14" s="560">
        <v>47622.039410751859</v>
      </c>
      <c r="CC14" s="5">
        <v>65591.240000000005</v>
      </c>
      <c r="CD14" s="5">
        <v>7238.24</v>
      </c>
      <c r="CE14" s="5">
        <v>1073.3699999999999</v>
      </c>
      <c r="CF14" s="544">
        <f>88/12</f>
        <v>7.333333333333333</v>
      </c>
      <c r="CG14" s="565">
        <v>39613.166666666664</v>
      </c>
      <c r="CH14" s="565">
        <v>2221.5</v>
      </c>
      <c r="CI14" s="565">
        <v>368</v>
      </c>
      <c r="CJ14" s="565">
        <v>2</v>
      </c>
      <c r="CK14" s="565">
        <v>11880</v>
      </c>
      <c r="CL14" s="565">
        <v>38.916666666666664</v>
      </c>
      <c r="CM14" s="565">
        <v>369.25</v>
      </c>
      <c r="CN14" s="46">
        <f>Weather!C38</f>
        <v>682.2166666666667</v>
      </c>
      <c r="CO14" s="46">
        <f>Weather!D38</f>
        <v>0</v>
      </c>
      <c r="CP14" s="46">
        <f>Weather!E38</f>
        <v>620.2166666666667</v>
      </c>
      <c r="CQ14" s="46">
        <f>Weather!F38</f>
        <v>0</v>
      </c>
      <c r="CR14" s="46">
        <f>Weather!G38</f>
        <v>558.21666666666658</v>
      </c>
      <c r="CS14" s="46">
        <f>Weather!H38</f>
        <v>0</v>
      </c>
      <c r="CT14" s="46">
        <f>Weather!I38</f>
        <v>496.21666666666664</v>
      </c>
      <c r="CU14" s="46">
        <f>Weather!J38</f>
        <v>0</v>
      </c>
      <c r="CV14" s="46">
        <f>Weather!K38</f>
        <v>434.21666666666664</v>
      </c>
      <c r="CW14" s="46">
        <f>Weather!L38</f>
        <v>0</v>
      </c>
      <c r="CX14" s="46">
        <f>Weather!M38</f>
        <v>372.2166666666667</v>
      </c>
      <c r="CY14" s="46">
        <f>Weather!N38</f>
        <v>0</v>
      </c>
      <c r="CZ14" s="46">
        <f>Weather!O38</f>
        <v>310.2166666666667</v>
      </c>
      <c r="DA14" s="46">
        <f>Weather!P38</f>
        <v>0</v>
      </c>
      <c r="DB14" s="243">
        <f>'Economic Data'!D40</f>
        <v>6998.9</v>
      </c>
      <c r="DC14" s="243">
        <f>'Economic Data'!E40</f>
        <v>6968.1</v>
      </c>
      <c r="DD14" s="243">
        <f>'Economic Data'!F40</f>
        <v>215.3</v>
      </c>
      <c r="DE14" s="243">
        <f>'Economic Data'!G40</f>
        <v>213.8</v>
      </c>
      <c r="DF14" s="243">
        <f>'Economic Data'!H40</f>
        <v>39.5</v>
      </c>
      <c r="DG14" s="243">
        <f>'Economic Data'!I40</f>
        <v>39.5</v>
      </c>
      <c r="DH14" s="243">
        <f>'Economic Data'!J40</f>
        <v>764464.8</v>
      </c>
      <c r="DI14" s="243">
        <f>'Economic Data'!K40</f>
        <v>590729.4</v>
      </c>
      <c r="DJ14" s="243">
        <f>'Economic Data'!L40</f>
        <v>91847.6</v>
      </c>
      <c r="DK14" s="243">
        <f>'Economic Data'!M40</f>
        <v>31122.7</v>
      </c>
      <c r="DL14" s="243">
        <f>'Economic Data'!N40</f>
        <v>756670</v>
      </c>
      <c r="DM14" s="243">
        <f>'Economic Data'!O40</f>
        <v>92615</v>
      </c>
      <c r="DN14" s="243">
        <f>'Economic Data'!P40</f>
        <v>20600</v>
      </c>
      <c r="DO14" s="243">
        <f>'Economic Data'!Q40</f>
        <v>583062</v>
      </c>
      <c r="DP14" s="243">
        <f>'Economic Data'!R40</f>
        <v>30675</v>
      </c>
      <c r="DQ14">
        <v>31</v>
      </c>
      <c r="DR14">
        <v>22</v>
      </c>
      <c r="DS14">
        <v>1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f t="shared" si="66"/>
        <v>13</v>
      </c>
      <c r="EI14">
        <v>0</v>
      </c>
      <c r="EJ14">
        <v>0</v>
      </c>
      <c r="EK14">
        <v>0</v>
      </c>
      <c r="EL14">
        <v>0</v>
      </c>
      <c r="EM14" s="47">
        <f t="shared" si="69"/>
        <v>0</v>
      </c>
      <c r="EN14" s="47">
        <f t="shared" si="70"/>
        <v>0</v>
      </c>
      <c r="EO14" s="47">
        <f t="shared" si="71"/>
        <v>0</v>
      </c>
      <c r="EP14" s="47">
        <f t="shared" si="72"/>
        <v>0</v>
      </c>
      <c r="EQ14" s="47">
        <f t="shared" si="73"/>
        <v>0</v>
      </c>
      <c r="ER14" s="47">
        <f t="shared" si="74"/>
        <v>0</v>
      </c>
      <c r="ES14" s="47">
        <f t="shared" si="75"/>
        <v>0</v>
      </c>
      <c r="ET14" s="47">
        <f t="shared" si="76"/>
        <v>0</v>
      </c>
      <c r="EU14" s="47">
        <f t="shared" si="77"/>
        <v>0</v>
      </c>
      <c r="EV14" s="47">
        <f t="shared" si="78"/>
        <v>0</v>
      </c>
      <c r="EW14" s="47">
        <f t="shared" si="79"/>
        <v>0</v>
      </c>
      <c r="EX14" s="47">
        <f t="shared" si="80"/>
        <v>0</v>
      </c>
      <c r="EY14" s="47">
        <f t="shared" si="81"/>
        <v>0</v>
      </c>
      <c r="EZ14" s="47">
        <f t="shared" si="82"/>
        <v>0</v>
      </c>
      <c r="FA14" s="47">
        <f t="shared" si="83"/>
        <v>0</v>
      </c>
      <c r="FB14" s="47">
        <f t="shared" si="84"/>
        <v>0</v>
      </c>
      <c r="FC14" s="47">
        <f t="shared" si="85"/>
        <v>0</v>
      </c>
      <c r="FD14" s="47">
        <f t="shared" si="86"/>
        <v>0</v>
      </c>
      <c r="FE14" s="47">
        <f t="shared" si="87"/>
        <v>0</v>
      </c>
      <c r="FF14" s="47">
        <f t="shared" si="88"/>
        <v>0</v>
      </c>
      <c r="FG14" s="47">
        <f t="shared" si="89"/>
        <v>0</v>
      </c>
      <c r="FH14" s="47">
        <f t="shared" si="90"/>
        <v>0</v>
      </c>
      <c r="FI14" s="47">
        <f t="shared" si="91"/>
        <v>0</v>
      </c>
      <c r="FJ14" s="47">
        <f t="shared" si="92"/>
        <v>0</v>
      </c>
      <c r="FK14" s="47">
        <f t="shared" si="93"/>
        <v>0</v>
      </c>
      <c r="FL14" s="47">
        <f t="shared" si="94"/>
        <v>0</v>
      </c>
      <c r="FM14" s="47">
        <f t="shared" si="95"/>
        <v>0</v>
      </c>
      <c r="FN14" s="47">
        <f t="shared" si="96"/>
        <v>0</v>
      </c>
      <c r="FO14" s="546">
        <f t="shared" si="97"/>
        <v>764.73257827985401</v>
      </c>
      <c r="FP14" s="546">
        <f t="shared" si="98"/>
        <v>570.49597171668597</v>
      </c>
      <c r="FQ14" s="546">
        <f t="shared" si="99"/>
        <v>2790.4520774988005</v>
      </c>
      <c r="FR14" s="546">
        <f t="shared" si="100"/>
        <v>76885.90656498044</v>
      </c>
      <c r="FS14" s="546">
        <f t="shared" si="101"/>
        <v>1409548.1617895837</v>
      </c>
      <c r="FT14" s="546">
        <f t="shared" si="102"/>
        <v>6289278.3995339908</v>
      </c>
      <c r="FU14" s="546">
        <f t="shared" si="103"/>
        <v>71.265725736333167</v>
      </c>
      <c r="FV14" s="546">
        <f t="shared" si="104"/>
        <v>81.442012101013574</v>
      </c>
      <c r="FW14" s="546">
        <f t="shared" si="105"/>
        <v>473.54705752494857</v>
      </c>
      <c r="FX14" s="546">
        <f t="shared" si="106"/>
        <v>737.36286779986017</v>
      </c>
      <c r="FY14" s="546">
        <f t="shared" si="107"/>
        <v>3509.5818486763487</v>
      </c>
      <c r="FZ14" s="546">
        <f t="shared" si="108"/>
        <v>81203.313612894897</v>
      </c>
      <c r="GA14" s="546">
        <f t="shared" si="109"/>
        <v>252310.24009948343</v>
      </c>
      <c r="GB14" s="546">
        <f t="shared" si="110"/>
        <v>42.476471397219434</v>
      </c>
      <c r="GC14" s="546">
        <f t="shared" si="111"/>
        <v>62.127071338290115</v>
      </c>
      <c r="GD14" s="546">
        <f t="shared" si="112"/>
        <v>128.96963956872543</v>
      </c>
    </row>
    <row r="15" spans="1:186">
      <c r="A15" s="4">
        <v>42767</v>
      </c>
      <c r="B15" s="6">
        <v>2017</v>
      </c>
      <c r="C15" s="5">
        <v>2</v>
      </c>
      <c r="D15" s="7">
        <v>69353400.333466798</v>
      </c>
      <c r="E15" s="7">
        <f>IFERROR(VLOOKUP($B15-1,CDM!$V$4:$AJ$17,2,FALSE)/12,0)+IFERROR(VLOOKUP($B15,CDM!$V$41:$AJ$54,2,FALSE)/24,0)+IFERROR(VLOOKUP($B15,CDM!$V$41:$AJ$54,2,FALSE)/2*$C15/78,0)</f>
        <v>2252204.992654724</v>
      </c>
      <c r="F15" s="7">
        <f t="shared" si="0"/>
        <v>71605605.326121524</v>
      </c>
      <c r="G15" s="7">
        <f>IFERROR(HLOOKUP(B15,'EV Forecast VRZ'!$F$116:$T$122,2,FALSE)*C15/78,0)</f>
        <v>6278.9730585639782</v>
      </c>
      <c r="H15" s="7"/>
      <c r="I15" s="7">
        <f t="shared" si="1"/>
        <v>71599326.353062958</v>
      </c>
      <c r="J15" s="7">
        <v>798355.14911276568</v>
      </c>
      <c r="K15" s="7">
        <f>IFERROR(VLOOKUP($B15-1,CDM!$V$4:$AJ$17,3,FALSE)/12,0)+IFERROR(VLOOKUP($B15,CDM!$V$41:$AJ$54,3,FALSE)/24,0)+IFERROR(VLOOKUP($B15,CDM!$V$41:$AJ$54,3,FALSE)/2*$C15/78,0)</f>
        <v>25796.31360412739</v>
      </c>
      <c r="L15" s="7">
        <f t="shared" si="2"/>
        <v>824151.46271689306</v>
      </c>
      <c r="M15" s="7">
        <f>IFERROR(HLOOKUP(B15,'EV Forecast VRZ'!$F$116:$T$122,3,FALSE)*C15/78,0)</f>
        <v>85.200274769354152</v>
      </c>
      <c r="N15" s="7"/>
      <c r="O15" s="7">
        <f t="shared" si="3"/>
        <v>824066.26244212373</v>
      </c>
      <c r="P15" s="7">
        <v>21820121.617983211</v>
      </c>
      <c r="Q15" s="7">
        <f>IFERROR(VLOOKUP($B15-1,CDM!$V$4:$AJ$17,4,FALSE)/12,0)+IFERROR(VLOOKUP($B15,CDM!$V$41:$AJ$54,4,FALSE)/24,0)+IFERROR(VLOOKUP($B15,CDM!$V$41:$AJ$54,4,FALSE)/2*$C15/78,0)</f>
        <v>638194.05348533532</v>
      </c>
      <c r="R15" s="7">
        <f t="shared" si="4"/>
        <v>22458315.671468545</v>
      </c>
      <c r="S15" s="7">
        <f>IFERROR(HLOOKUP(B15,'EV Forecast VRZ'!$F$116:$T$122,4,FALSE)*C15/78,0)</f>
        <v>800.98871794871798</v>
      </c>
      <c r="T15" s="7"/>
      <c r="U15" s="7">
        <f t="shared" si="5"/>
        <v>22457514.682750598</v>
      </c>
      <c r="V15" s="7">
        <v>71116753.126394108</v>
      </c>
      <c r="W15" s="7">
        <f>IFERROR(VLOOKUP($B15-1,CDM!$V$4:$AJ$17,5,FALSE)/12,0)+IFERROR(VLOOKUP($B15,CDM!$V$41:$AJ$54,5,FALSE)/24,0)+IFERROR(VLOOKUP($B15,CDM!$V$41:$AJ$54,5,FALSE)/2*$C15/78,0)</f>
        <v>2328468.9972345103</v>
      </c>
      <c r="X15" s="7">
        <f t="shared" si="6"/>
        <v>73445222.123628616</v>
      </c>
      <c r="Y15" s="7">
        <f>IFERROR(HLOOKUP(B15,'EV Forecast VRZ'!$F$116:$T$122,5,FALSE)*C15/78,0)</f>
        <v>364.67569230769226</v>
      </c>
      <c r="Z15" s="7"/>
      <c r="AA15" s="7">
        <f t="shared" si="7"/>
        <v>73444857.447936311</v>
      </c>
      <c r="AB15" s="7">
        <v>6691548.0543021308</v>
      </c>
      <c r="AC15" s="7">
        <f>IFERROR(VLOOKUP($B15-1,CDM!$V$4:$AJ$17,6,FALSE)/12,0)+IFERROR(VLOOKUP($B15,CDM!$V$41:$AJ$54,6,FALSE)/24,0)+IFERROR(VLOOKUP($B15,CDM!$V$41:$AJ$54,6,FALSE)/2*$C15/78,0)</f>
        <v>77883.466471821084</v>
      </c>
      <c r="AD15" s="7">
        <f t="shared" si="8"/>
        <v>6769431.5207739519</v>
      </c>
      <c r="AE15" s="7">
        <f>IFERROR(HLOOKUP(B15,'EV Forecast VRZ'!$F$116:$T$122,6,FALSE)*C15/78,0)</f>
        <v>56.972512820512819</v>
      </c>
      <c r="AF15" s="7">
        <f t="shared" si="9"/>
        <v>6769374.5482611312</v>
      </c>
      <c r="AG15" s="7">
        <v>16556008.081246514</v>
      </c>
      <c r="AH15" s="7">
        <f>IFERROR(VLOOKUP($B15-1,CDM!$V$4:$AJ$17,7,FALSE)/12,0)+IFERROR(VLOOKUP($B15,CDM!$V$41:$AJ$54,7,FALSE)/24,0)+IFERROR(VLOOKUP($B15,CDM!$V$41:$AJ$54,7,FALSE)/2*$C15/78,0)</f>
        <v>742655.43015550228</v>
      </c>
      <c r="AI15" s="7">
        <f t="shared" si="10"/>
        <v>17298663.511402015</v>
      </c>
      <c r="AJ15" s="7">
        <f>IFERROR(HLOOKUP(B15,'EV Forecast VRZ'!$F$116:$T$122,7,FALSE)*C15/78,0)</f>
        <v>0</v>
      </c>
      <c r="AK15" s="7">
        <f t="shared" si="11"/>
        <v>17298663.511402015</v>
      </c>
      <c r="AL15" s="7">
        <v>1869193.903835146</v>
      </c>
      <c r="AM15" s="7">
        <v>16408.853272276283</v>
      </c>
      <c r="AN15" s="7">
        <v>392813.97634039301</v>
      </c>
      <c r="AO15" s="5">
        <v>183905</v>
      </c>
      <c r="AP15" s="5">
        <v>16270.59</v>
      </c>
      <c r="AQ15" s="5">
        <v>30649</v>
      </c>
      <c r="AR15" s="5">
        <v>4945.03</v>
      </c>
      <c r="AS15" s="544">
        <f t="shared" ref="AS15:AS25" si="113">967/12</f>
        <v>80.583333333333329</v>
      </c>
      <c r="AT15" s="557">
        <v>108043</v>
      </c>
      <c r="AU15" s="557">
        <v>1581.1666666666665</v>
      </c>
      <c r="AV15" s="557">
        <v>8998.5</v>
      </c>
      <c r="AW15" s="557">
        <v>1056.3333333333335</v>
      </c>
      <c r="AX15" s="557">
        <v>5</v>
      </c>
      <c r="AY15" s="557">
        <v>3</v>
      </c>
      <c r="AZ15" s="557">
        <v>30207</v>
      </c>
      <c r="BA15" s="557">
        <v>439</v>
      </c>
      <c r="BB15" s="557">
        <v>829.33333333333326</v>
      </c>
      <c r="BC15" s="560">
        <v>24136788.428477325</v>
      </c>
      <c r="BD15" s="560">
        <f>IFERROR(VLOOKUP($B15-1,CDM!$V$4:$AJ$17,11,FALSE)/12,0)+IFERROR(VLOOKUP($B15,CDM!$V$41:$AJ$54,11,FALSE)/24,0)+IFERROR(VLOOKUP($B15,CDM!$V$41:$AJ$54,11,FALSE)/2*$C15/78,0)</f>
        <v>1159262.3557505272</v>
      </c>
      <c r="BE15" s="560">
        <f t="shared" si="67"/>
        <v>25296050.784227852</v>
      </c>
      <c r="BF15" s="560">
        <f>IFERROR(HLOOKUP(B15,'EV Forecast WRZ'!$F$116:$T$122,2,FALSE)*C15/78,0)</f>
        <v>2025.4046153846155</v>
      </c>
      <c r="BG15" s="560"/>
      <c r="BH15" s="560">
        <f t="shared" si="13"/>
        <v>25294025.379612468</v>
      </c>
      <c r="BI15" s="560">
        <v>6853330.5177252814</v>
      </c>
      <c r="BJ15" s="560">
        <f>IFERROR(VLOOKUP($B15-1,CDM!$V$4:$AJ$17,12,FALSE)/12,0)+IFERROR(VLOOKUP($B15,CDM!$V$41:$AJ$54,12,FALSE)/24,0)+IFERROR(VLOOKUP($B15,CDM!$V$41:$AJ$54,12,FALSE)/2*$C15/78,0)</f>
        <v>130114.1408171751</v>
      </c>
      <c r="BK15" s="560">
        <f t="shared" si="14"/>
        <v>6983444.6585424561</v>
      </c>
      <c r="BL15" s="560">
        <f>IFERROR(HLOOKUP(B15,'EV Forecast WRZ'!$F$116:$T$122,3,FALSE)*C15/78,0)</f>
        <v>281.04307692307691</v>
      </c>
      <c r="BM15" s="560"/>
      <c r="BN15" s="560">
        <f t="shared" si="15"/>
        <v>6983163.615465533</v>
      </c>
      <c r="BO15" s="560">
        <v>26667171.679375559</v>
      </c>
      <c r="BP15" s="560">
        <f>IFERROR(VLOOKUP($B15-1,CDM!$V$4:$AJ$17,13,FALSE)/12,0)+IFERROR(VLOOKUP($B15,CDM!$V$41:$AJ$54,13,FALSE)/24,0)+IFERROR(VLOOKUP($B15,CDM!$V$41:$AJ$54,13,FALSE)/2*$C15/78,0)</f>
        <v>616169.58855098125</v>
      </c>
      <c r="BQ15" s="560">
        <f t="shared" si="16"/>
        <v>27283341.26792654</v>
      </c>
      <c r="BR15" s="560">
        <f>IFERROR(HLOOKUP(B15,'EV Forecast WRZ'!$F$116:$T$122,4,FALSE)*C15/78,0)</f>
        <v>129.93092307692308</v>
      </c>
      <c r="BS15" s="560"/>
      <c r="BT15" s="560">
        <f t="shared" si="17"/>
        <v>27283211.337003462</v>
      </c>
      <c r="BU15" s="560">
        <v>4463091.1475409837</v>
      </c>
      <c r="BV15" s="560">
        <f>IFERROR(VLOOKUP($B15-1,CDM!$V$4:$AJ$17,14,FALSE)/12,0)+IFERROR(VLOOKUP($B15,CDM!$V$41:$AJ$54,14,FALSE)/24,0)+IFERROR(VLOOKUP($B15,CDM!$V$41:$AJ$54,14,FALSE)/2*$C15/78,0)</f>
        <v>138528.57534668304</v>
      </c>
      <c r="BW15" s="560">
        <f t="shared" si="18"/>
        <v>4601619.7228876669</v>
      </c>
      <c r="BX15" s="560">
        <f>IFERROR(HLOOKUP(B15,'EV Forecast WRZ'!$F$116:$T$122,5,FALSE)*C15/78,0)</f>
        <v>27.898307692307689</v>
      </c>
      <c r="BY15" s="560">
        <f t="shared" si="68"/>
        <v>4601591.8245799746</v>
      </c>
      <c r="BZ15" s="560">
        <v>418408.4752247943</v>
      </c>
      <c r="CA15" s="560">
        <v>2417.7785262484567</v>
      </c>
      <c r="CB15" s="560">
        <v>47740.979529366741</v>
      </c>
      <c r="CC15" s="5">
        <v>65148.19</v>
      </c>
      <c r="CD15" s="5">
        <v>7390.31</v>
      </c>
      <c r="CE15" s="5">
        <v>1073.8</v>
      </c>
      <c r="CF15" s="544">
        <f t="shared" ref="CF15:CF25" si="114">88/12</f>
        <v>7.333333333333333</v>
      </c>
      <c r="CG15" s="565">
        <v>39638.333333333328</v>
      </c>
      <c r="CH15" s="565">
        <v>2223</v>
      </c>
      <c r="CI15" s="565">
        <v>368</v>
      </c>
      <c r="CJ15" s="565">
        <v>2</v>
      </c>
      <c r="CK15" s="565">
        <v>11882</v>
      </c>
      <c r="CL15" s="565">
        <v>38.833333333333329</v>
      </c>
      <c r="CM15" s="565">
        <v>369.5</v>
      </c>
      <c r="CN15" s="46">
        <f>Weather!C39</f>
        <v>586.08333333333337</v>
      </c>
      <c r="CO15" s="46">
        <f>Weather!D39</f>
        <v>0</v>
      </c>
      <c r="CP15" s="46">
        <f>Weather!E39</f>
        <v>530.08333333333337</v>
      </c>
      <c r="CQ15" s="46">
        <f>Weather!F39</f>
        <v>0</v>
      </c>
      <c r="CR15" s="46">
        <f>Weather!G39</f>
        <v>474.08333333333337</v>
      </c>
      <c r="CS15" s="46">
        <f>Weather!H39</f>
        <v>0</v>
      </c>
      <c r="CT15" s="46">
        <f>Weather!I39</f>
        <v>418.08333333333331</v>
      </c>
      <c r="CU15" s="46">
        <f>Weather!J39</f>
        <v>0</v>
      </c>
      <c r="CV15" s="46">
        <f>Weather!K39</f>
        <v>362.08333333333331</v>
      </c>
      <c r="CW15" s="46">
        <f>Weather!L39</f>
        <v>0</v>
      </c>
      <c r="CX15" s="46">
        <f>Weather!M39</f>
        <v>306.08333333333326</v>
      </c>
      <c r="CY15" s="46">
        <f>Weather!N39</f>
        <v>0</v>
      </c>
      <c r="CZ15" s="46">
        <f>Weather!O39</f>
        <v>251.42499999999998</v>
      </c>
      <c r="DA15" s="46">
        <f>Weather!P39</f>
        <v>1.3416666666666668</v>
      </c>
      <c r="DB15" s="243">
        <f>'Economic Data'!D41</f>
        <v>7017.3</v>
      </c>
      <c r="DC15" s="243">
        <f>'Economic Data'!E41</f>
        <v>6948.4</v>
      </c>
      <c r="DD15" s="243">
        <f>'Economic Data'!F41</f>
        <v>209.7</v>
      </c>
      <c r="DE15" s="243">
        <f>'Economic Data'!G41</f>
        <v>207.4</v>
      </c>
      <c r="DF15" s="243">
        <f>'Economic Data'!H41</f>
        <v>35.799999999999997</v>
      </c>
      <c r="DG15" s="243">
        <f>'Economic Data'!I41</f>
        <v>35.799999999999997</v>
      </c>
      <c r="DH15" s="243">
        <f>'Economic Data'!J41</f>
        <v>764464.8</v>
      </c>
      <c r="DI15" s="243">
        <f>'Economic Data'!K41</f>
        <v>590729.4</v>
      </c>
      <c r="DJ15" s="243">
        <f>'Economic Data'!L41</f>
        <v>91847.6</v>
      </c>
      <c r="DK15" s="243">
        <f>'Economic Data'!M41</f>
        <v>31122.7</v>
      </c>
      <c r="DL15" s="243">
        <f>'Economic Data'!N41</f>
        <v>756670</v>
      </c>
      <c r="DM15" s="243">
        <f>'Economic Data'!O41</f>
        <v>92615</v>
      </c>
      <c r="DN15" s="243">
        <f>'Economic Data'!P41</f>
        <v>20600</v>
      </c>
      <c r="DO15" s="243">
        <f>'Economic Data'!Q41</f>
        <v>583062</v>
      </c>
      <c r="DP15" s="243">
        <f>'Economic Data'!R41</f>
        <v>30675</v>
      </c>
      <c r="DQ15">
        <v>28</v>
      </c>
      <c r="DR15">
        <v>19</v>
      </c>
      <c r="DS15">
        <v>0</v>
      </c>
      <c r="DT15">
        <v>1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f t="shared" si="66"/>
        <v>14</v>
      </c>
      <c r="EI15">
        <v>0</v>
      </c>
      <c r="EJ15">
        <v>0</v>
      </c>
      <c r="EK15">
        <v>0</v>
      </c>
      <c r="EL15">
        <v>0</v>
      </c>
      <c r="EM15" s="47">
        <f t="shared" si="69"/>
        <v>0</v>
      </c>
      <c r="EN15" s="47">
        <f t="shared" si="70"/>
        <v>0</v>
      </c>
      <c r="EO15" s="47">
        <f t="shared" si="71"/>
        <v>0</v>
      </c>
      <c r="EP15" s="47">
        <f t="shared" si="72"/>
        <v>0</v>
      </c>
      <c r="EQ15" s="47">
        <f t="shared" si="73"/>
        <v>0</v>
      </c>
      <c r="ER15" s="47">
        <f t="shared" si="74"/>
        <v>0</v>
      </c>
      <c r="ES15" s="47">
        <f t="shared" si="75"/>
        <v>0</v>
      </c>
      <c r="ET15" s="47">
        <f t="shared" si="76"/>
        <v>0</v>
      </c>
      <c r="EU15" s="47">
        <f t="shared" si="77"/>
        <v>0</v>
      </c>
      <c r="EV15" s="47">
        <f t="shared" si="78"/>
        <v>0</v>
      </c>
      <c r="EW15" s="47">
        <f t="shared" si="79"/>
        <v>0</v>
      </c>
      <c r="EX15" s="47">
        <f t="shared" si="80"/>
        <v>0</v>
      </c>
      <c r="EY15" s="47">
        <f t="shared" si="81"/>
        <v>0</v>
      </c>
      <c r="EZ15" s="47">
        <f t="shared" si="82"/>
        <v>0</v>
      </c>
      <c r="FA15" s="47">
        <f t="shared" si="83"/>
        <v>0</v>
      </c>
      <c r="FB15" s="47">
        <f t="shared" si="84"/>
        <v>0</v>
      </c>
      <c r="FC15" s="47">
        <f t="shared" si="85"/>
        <v>0</v>
      </c>
      <c r="FD15" s="47">
        <f t="shared" si="86"/>
        <v>0</v>
      </c>
      <c r="FE15" s="47">
        <f t="shared" si="87"/>
        <v>0</v>
      </c>
      <c r="FF15" s="47">
        <f t="shared" si="88"/>
        <v>0</v>
      </c>
      <c r="FG15" s="47">
        <f t="shared" si="89"/>
        <v>0</v>
      </c>
      <c r="FH15" s="47">
        <f t="shared" si="90"/>
        <v>0</v>
      </c>
      <c r="FI15" s="47">
        <f t="shared" si="91"/>
        <v>0</v>
      </c>
      <c r="FJ15" s="47">
        <f t="shared" si="92"/>
        <v>0</v>
      </c>
      <c r="FK15" s="47">
        <f t="shared" si="93"/>
        <v>0</v>
      </c>
      <c r="FL15" s="47">
        <f t="shared" si="94"/>
        <v>0</v>
      </c>
      <c r="FM15" s="47">
        <f t="shared" si="95"/>
        <v>0</v>
      </c>
      <c r="FN15" s="47">
        <f t="shared" si="96"/>
        <v>0</v>
      </c>
      <c r="FO15" s="546">
        <f t="shared" si="97"/>
        <v>662.69287555013238</v>
      </c>
      <c r="FP15" s="546">
        <f t="shared" si="98"/>
        <v>521.22997536643391</v>
      </c>
      <c r="FQ15" s="546">
        <f t="shared" si="99"/>
        <v>2495.78437200295</v>
      </c>
      <c r="FR15" s="546">
        <f t="shared" si="100"/>
        <v>69528.452625713413</v>
      </c>
      <c r="FS15" s="546">
        <f t="shared" si="101"/>
        <v>1353886.3041547905</v>
      </c>
      <c r="FT15" s="546">
        <f t="shared" si="102"/>
        <v>5766221.1704673385</v>
      </c>
      <c r="FU15" s="546">
        <f t="shared" si="103"/>
        <v>61.879494946043827</v>
      </c>
      <c r="FV15" s="546">
        <f t="shared" si="104"/>
        <v>37.377797886734129</v>
      </c>
      <c r="FW15" s="546">
        <f t="shared" si="105"/>
        <v>473.65029301494337</v>
      </c>
      <c r="FX15" s="546">
        <f t="shared" si="106"/>
        <v>638.17140270515551</v>
      </c>
      <c r="FY15" s="546">
        <f t="shared" si="107"/>
        <v>3141.4505886380821</v>
      </c>
      <c r="FZ15" s="546">
        <f t="shared" si="108"/>
        <v>74139.514315017776</v>
      </c>
      <c r="GA15" s="546">
        <f t="shared" si="109"/>
        <v>209204.23761239715</v>
      </c>
      <c r="GB15" s="546">
        <f t="shared" si="110"/>
        <v>35.213640399326231</v>
      </c>
      <c r="GC15" s="546">
        <f t="shared" si="111"/>
        <v>62.260391233865846</v>
      </c>
      <c r="GD15" s="546">
        <f t="shared" si="112"/>
        <v>129.20427477501147</v>
      </c>
    </row>
    <row r="16" spans="1:186">
      <c r="A16" s="4">
        <v>42795</v>
      </c>
      <c r="B16" s="6">
        <v>2017</v>
      </c>
      <c r="C16" s="5">
        <v>3</v>
      </c>
      <c r="D16" s="7">
        <v>75699751.055361286</v>
      </c>
      <c r="E16" s="7">
        <f>IFERROR(VLOOKUP($B16-1,CDM!$V$4:$AJ$17,2,FALSE)/12,0)+IFERROR(VLOOKUP($B16,CDM!$V$41:$AJ$54,2,FALSE)/24,0)+IFERROR(VLOOKUP($B16,CDM!$V$41:$AJ$54,2,FALSE)/2*$C16/78,0)</f>
        <v>2363558.0539192855</v>
      </c>
      <c r="F16" s="7">
        <f t="shared" si="0"/>
        <v>78063309.109280571</v>
      </c>
      <c r="G16" s="7">
        <f>IFERROR(HLOOKUP(B16,'EV Forecast VRZ'!$F$116:$T$122,2,FALSE)*C16/78,0)</f>
        <v>9418.4595878459659</v>
      </c>
      <c r="H16" s="7"/>
      <c r="I16" s="7">
        <f t="shared" si="1"/>
        <v>78053890.649692729</v>
      </c>
      <c r="J16" s="7">
        <v>878726.28685365384</v>
      </c>
      <c r="K16" s="7">
        <f>IFERROR(VLOOKUP($B16-1,CDM!$V$4:$AJ$17,3,FALSE)/12,0)+IFERROR(VLOOKUP($B16,CDM!$V$41:$AJ$54,3,FALSE)/24,0)+IFERROR(VLOOKUP($B16,CDM!$V$41:$AJ$54,3,FALSE)/2*$C16/78,0)</f>
        <v>27071.729695703656</v>
      </c>
      <c r="L16" s="7">
        <f t="shared" si="2"/>
        <v>905798.01654935745</v>
      </c>
      <c r="M16" s="7">
        <f>IFERROR(HLOOKUP(B16,'EV Forecast VRZ'!$F$116:$T$122,3,FALSE)*C16/78,0)</f>
        <v>127.80041215403122</v>
      </c>
      <c r="N16" s="7"/>
      <c r="O16" s="7">
        <f t="shared" si="3"/>
        <v>905670.21613720339</v>
      </c>
      <c r="P16" s="7">
        <v>24111572.313776091</v>
      </c>
      <c r="Q16" s="7">
        <f>IFERROR(VLOOKUP($B16-1,CDM!$V$4:$AJ$17,4,FALSE)/12,0)+IFERROR(VLOOKUP($B16,CDM!$V$41:$AJ$54,4,FALSE)/24,0)+IFERROR(VLOOKUP($B16,CDM!$V$41:$AJ$54,4,FALSE)/2*$C16/78,0)</f>
        <v>651844.29820020392</v>
      </c>
      <c r="R16" s="7">
        <f t="shared" si="4"/>
        <v>24763416.611976296</v>
      </c>
      <c r="S16" s="7">
        <f>IFERROR(HLOOKUP(B16,'EV Forecast VRZ'!$F$116:$T$122,4,FALSE)*C16/78,0)</f>
        <v>1201.4830769230771</v>
      </c>
      <c r="T16" s="7"/>
      <c r="U16" s="7">
        <f t="shared" si="5"/>
        <v>24762215.128899373</v>
      </c>
      <c r="V16" s="7">
        <v>79264887.699252158</v>
      </c>
      <c r="W16" s="7">
        <f>IFERROR(VLOOKUP($B16-1,CDM!$V$4:$AJ$17,5,FALSE)/12,0)+IFERROR(VLOOKUP($B16,CDM!$V$41:$AJ$54,5,FALSE)/24,0)+IFERROR(VLOOKUP($B16,CDM!$V$41:$AJ$54,5,FALSE)/2*$C16/78,0)</f>
        <v>2385282.8046783051</v>
      </c>
      <c r="X16" s="7">
        <f t="shared" si="6"/>
        <v>81650170.503930464</v>
      </c>
      <c r="Y16" s="7">
        <f>IFERROR(HLOOKUP(B16,'EV Forecast VRZ'!$F$116:$T$122,5,FALSE)*C16/78,0)</f>
        <v>547.01353846153847</v>
      </c>
      <c r="Z16" s="7"/>
      <c r="AA16" s="7">
        <f t="shared" si="7"/>
        <v>81649623.490391999</v>
      </c>
      <c r="AB16" s="7">
        <v>8031274.6635041824</v>
      </c>
      <c r="AC16" s="7">
        <f>IFERROR(VLOOKUP($B16-1,CDM!$V$4:$AJ$17,6,FALSE)/12,0)+IFERROR(VLOOKUP($B16,CDM!$V$41:$AJ$54,6,FALSE)/24,0)+IFERROR(VLOOKUP($B16,CDM!$V$41:$AJ$54,6,FALSE)/2*$C16/78,0)</f>
        <v>82158.485444292455</v>
      </c>
      <c r="AD16" s="7">
        <f t="shared" si="8"/>
        <v>8113433.1489484748</v>
      </c>
      <c r="AE16" s="7">
        <f>IFERROR(HLOOKUP(B16,'EV Forecast VRZ'!$F$116:$T$122,6,FALSE)*C16/78,0)</f>
        <v>85.458769230769221</v>
      </c>
      <c r="AF16" s="7">
        <f t="shared" si="9"/>
        <v>8113347.6901792437</v>
      </c>
      <c r="AG16" s="7">
        <v>19711056.129626252</v>
      </c>
      <c r="AH16" s="7">
        <f>IFERROR(VLOOKUP($B16-1,CDM!$V$4:$AJ$17,7,FALSE)/12,0)+IFERROR(VLOOKUP($B16,CDM!$V$41:$AJ$54,7,FALSE)/24,0)+IFERROR(VLOOKUP($B16,CDM!$V$41:$AJ$54,7,FALSE)/2*$C16/78,0)</f>
        <v>760136.29293981893</v>
      </c>
      <c r="AI16" s="7">
        <f t="shared" si="10"/>
        <v>20471192.422566071</v>
      </c>
      <c r="AJ16" s="7">
        <f>IFERROR(HLOOKUP(B16,'EV Forecast VRZ'!$F$116:$T$122,7,FALSE)*C16/78,0)</f>
        <v>0</v>
      </c>
      <c r="AK16" s="7">
        <f t="shared" si="11"/>
        <v>20471192.422566071</v>
      </c>
      <c r="AL16" s="7">
        <v>1783042.8448769317</v>
      </c>
      <c r="AM16" s="7">
        <v>37885.947338294223</v>
      </c>
      <c r="AN16" s="7">
        <v>392504.98950581945</v>
      </c>
      <c r="AO16" s="5">
        <v>185176.73</v>
      </c>
      <c r="AP16" s="5">
        <v>17014.37</v>
      </c>
      <c r="AQ16" s="5">
        <v>31522</v>
      </c>
      <c r="AR16" s="5">
        <v>4760.17</v>
      </c>
      <c r="AS16" s="544">
        <f t="shared" si="113"/>
        <v>80.583333333333329</v>
      </c>
      <c r="AT16" s="557">
        <v>108114.5</v>
      </c>
      <c r="AU16" s="557">
        <v>1580.2499999999998</v>
      </c>
      <c r="AV16" s="557">
        <v>9002.25</v>
      </c>
      <c r="AW16" s="557">
        <v>1059.0000000000002</v>
      </c>
      <c r="AX16" s="557">
        <v>5</v>
      </c>
      <c r="AY16" s="557">
        <v>3</v>
      </c>
      <c r="AZ16" s="557">
        <v>30252.5</v>
      </c>
      <c r="BA16" s="557">
        <v>439</v>
      </c>
      <c r="BB16" s="557">
        <v>828.49999999999989</v>
      </c>
      <c r="BC16" s="560">
        <v>26179931.265620716</v>
      </c>
      <c r="BD16" s="560">
        <f>IFERROR(VLOOKUP($B16-1,CDM!$V$4:$AJ$17,11,FALSE)/12,0)+IFERROR(VLOOKUP($B16,CDM!$V$41:$AJ$54,11,FALSE)/24,0)+IFERROR(VLOOKUP($B16,CDM!$V$41:$AJ$54,11,FALSE)/2*$C16/78,0)</f>
        <v>1218907.9991460943</v>
      </c>
      <c r="BE16" s="560">
        <f t="shared" si="67"/>
        <v>27398839.264766809</v>
      </c>
      <c r="BF16" s="560">
        <f>IFERROR(HLOOKUP(B16,'EV Forecast WRZ'!$F$116:$T$122,2,FALSE)*C16/78,0)</f>
        <v>3038.1069230769231</v>
      </c>
      <c r="BG16" s="560"/>
      <c r="BH16" s="560">
        <f t="shared" si="13"/>
        <v>27395801.157843731</v>
      </c>
      <c r="BI16" s="560">
        <v>7489940.1332121668</v>
      </c>
      <c r="BJ16" s="560">
        <f>IFERROR(VLOOKUP($B16-1,CDM!$V$4:$AJ$17,12,FALSE)/12,0)+IFERROR(VLOOKUP($B16,CDM!$V$41:$AJ$54,12,FALSE)/24,0)+IFERROR(VLOOKUP($B16,CDM!$V$41:$AJ$54,12,FALSE)/2*$C16/78,0)</f>
        <v>131837.15372848051</v>
      </c>
      <c r="BK16" s="560">
        <f t="shared" si="14"/>
        <v>7621777.2869406473</v>
      </c>
      <c r="BL16" s="560">
        <f>IFERROR(HLOOKUP(B16,'EV Forecast WRZ'!$F$116:$T$122,3,FALSE)*C16/78,0)</f>
        <v>421.56461538461542</v>
      </c>
      <c r="BM16" s="560"/>
      <c r="BN16" s="560">
        <f t="shared" si="15"/>
        <v>7621355.7223252626</v>
      </c>
      <c r="BO16" s="560">
        <v>27829498.235965174</v>
      </c>
      <c r="BP16" s="560">
        <f>IFERROR(VLOOKUP($B16-1,CDM!$V$4:$AJ$17,13,FALSE)/12,0)+IFERROR(VLOOKUP($B16,CDM!$V$41:$AJ$54,13,FALSE)/24,0)+IFERROR(VLOOKUP($B16,CDM!$V$41:$AJ$54,13,FALSE)/2*$C16/78,0)</f>
        <v>638703.09508590575</v>
      </c>
      <c r="BQ16" s="560">
        <f t="shared" si="16"/>
        <v>28468201.331051078</v>
      </c>
      <c r="BR16" s="560">
        <f>IFERROR(HLOOKUP(B16,'EV Forecast WRZ'!$F$116:$T$122,4,FALSE)*C16/78,0)</f>
        <v>194.89638461538465</v>
      </c>
      <c r="BS16" s="560"/>
      <c r="BT16" s="560">
        <f t="shared" si="17"/>
        <v>28468006.434666462</v>
      </c>
      <c r="BU16" s="560">
        <v>5115686.5380906472</v>
      </c>
      <c r="BV16" s="560">
        <f>IFERROR(VLOOKUP($B16-1,CDM!$V$4:$AJ$17,14,FALSE)/12,0)+IFERROR(VLOOKUP($B16,CDM!$V$41:$AJ$54,14,FALSE)/24,0)+IFERROR(VLOOKUP($B16,CDM!$V$41:$AJ$54,14,FALSE)/2*$C16/78,0)</f>
        <v>143594.60686763012</v>
      </c>
      <c r="BW16" s="560">
        <f t="shared" si="18"/>
        <v>5259281.1449582772</v>
      </c>
      <c r="BX16" s="560">
        <f>IFERROR(HLOOKUP(B16,'EV Forecast WRZ'!$F$116:$T$122,5,FALSE)*C16/78,0)</f>
        <v>41.847461538461538</v>
      </c>
      <c r="BY16" s="560">
        <f t="shared" si="68"/>
        <v>5259239.2974967388</v>
      </c>
      <c r="BZ16" s="560">
        <v>397063.81289458578</v>
      </c>
      <c r="CA16" s="560">
        <v>2417.7785262484567</v>
      </c>
      <c r="CB16" s="560">
        <v>47740.979529366741</v>
      </c>
      <c r="CC16" s="5">
        <v>65873.61</v>
      </c>
      <c r="CD16" s="5">
        <v>7633.62</v>
      </c>
      <c r="CE16" s="5">
        <v>1074.81</v>
      </c>
      <c r="CF16" s="544">
        <f t="shared" si="114"/>
        <v>7.333333333333333</v>
      </c>
      <c r="CG16" s="565">
        <v>39663.499999999993</v>
      </c>
      <c r="CH16" s="565">
        <v>2224.5</v>
      </c>
      <c r="CI16" s="565">
        <v>368</v>
      </c>
      <c r="CJ16" s="565">
        <v>2</v>
      </c>
      <c r="CK16" s="565">
        <v>11884</v>
      </c>
      <c r="CL16" s="565">
        <v>38.749999999999993</v>
      </c>
      <c r="CM16" s="565">
        <v>369.75</v>
      </c>
      <c r="CN16" s="46">
        <f>Weather!C40</f>
        <v>661.67916666666667</v>
      </c>
      <c r="CO16" s="46">
        <f>Weather!D40</f>
        <v>0</v>
      </c>
      <c r="CP16" s="46">
        <f>Weather!E40</f>
        <v>599.67916666666667</v>
      </c>
      <c r="CQ16" s="46">
        <f>Weather!F40</f>
        <v>0</v>
      </c>
      <c r="CR16" s="46">
        <f>Weather!G40</f>
        <v>537.67916666666656</v>
      </c>
      <c r="CS16" s="46">
        <f>Weather!H40</f>
        <v>0</v>
      </c>
      <c r="CT16" s="46">
        <f>Weather!I40</f>
        <v>475.67916666666662</v>
      </c>
      <c r="CU16" s="46">
        <f>Weather!J40</f>
        <v>0</v>
      </c>
      <c r="CV16" s="46">
        <f>Weather!K40</f>
        <v>413.67916666666662</v>
      </c>
      <c r="CW16" s="46">
        <f>Weather!L40</f>
        <v>0</v>
      </c>
      <c r="CX16" s="46">
        <f>Weather!M40</f>
        <v>351.67916666666656</v>
      </c>
      <c r="CY16" s="46">
        <f>Weather!N40</f>
        <v>0</v>
      </c>
      <c r="CZ16" s="46">
        <f>Weather!O40</f>
        <v>290.67916666666662</v>
      </c>
      <c r="DA16" s="46">
        <f>Weather!P40</f>
        <v>0.99999999999999645</v>
      </c>
      <c r="DB16" s="243">
        <f>'Economic Data'!D42</f>
        <v>7035.4</v>
      </c>
      <c r="DC16" s="243">
        <f>'Economic Data'!E42</f>
        <v>6933.2</v>
      </c>
      <c r="DD16" s="243">
        <f>'Economic Data'!F42</f>
        <v>202.9</v>
      </c>
      <c r="DE16" s="243">
        <f>'Economic Data'!G42</f>
        <v>200.2</v>
      </c>
      <c r="DF16" s="243">
        <f>'Economic Data'!H42</f>
        <v>35.1</v>
      </c>
      <c r="DG16" s="243">
        <f>'Economic Data'!I42</f>
        <v>35.1</v>
      </c>
      <c r="DH16" s="243">
        <f>'Economic Data'!J42</f>
        <v>764464.8</v>
      </c>
      <c r="DI16" s="243">
        <f>'Economic Data'!K42</f>
        <v>590729.4</v>
      </c>
      <c r="DJ16" s="243">
        <f>'Economic Data'!L42</f>
        <v>91847.6</v>
      </c>
      <c r="DK16" s="243">
        <f>'Economic Data'!M42</f>
        <v>31122.7</v>
      </c>
      <c r="DL16" s="243">
        <f>'Economic Data'!N42</f>
        <v>756670</v>
      </c>
      <c r="DM16" s="243">
        <f>'Economic Data'!O42</f>
        <v>92615</v>
      </c>
      <c r="DN16" s="243">
        <f>'Economic Data'!P42</f>
        <v>20600</v>
      </c>
      <c r="DO16" s="243">
        <f>'Economic Data'!Q42</f>
        <v>583062</v>
      </c>
      <c r="DP16" s="243">
        <f>'Economic Data'!R42</f>
        <v>30675</v>
      </c>
      <c r="DQ16">
        <v>31</v>
      </c>
      <c r="DR16">
        <v>23</v>
      </c>
      <c r="DS16">
        <v>0</v>
      </c>
      <c r="DT16">
        <v>0</v>
      </c>
      <c r="DU16">
        <v>1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1</v>
      </c>
      <c r="EF16">
        <v>0</v>
      </c>
      <c r="EG16">
        <v>1</v>
      </c>
      <c r="EH16">
        <f t="shared" si="66"/>
        <v>15</v>
      </c>
      <c r="EI16">
        <v>0</v>
      </c>
      <c r="EJ16">
        <v>0</v>
      </c>
      <c r="EK16">
        <v>0</v>
      </c>
      <c r="EL16">
        <v>0</v>
      </c>
      <c r="EM16" s="47">
        <f t="shared" si="69"/>
        <v>0</v>
      </c>
      <c r="EN16" s="47">
        <f t="shared" si="70"/>
        <v>0</v>
      </c>
      <c r="EO16" s="47">
        <f t="shared" si="71"/>
        <v>0</v>
      </c>
      <c r="EP16" s="47">
        <f t="shared" si="72"/>
        <v>0</v>
      </c>
      <c r="EQ16" s="47">
        <f t="shared" si="73"/>
        <v>0</v>
      </c>
      <c r="ER16" s="47">
        <f t="shared" si="74"/>
        <v>0</v>
      </c>
      <c r="ES16" s="47">
        <f t="shared" si="75"/>
        <v>0</v>
      </c>
      <c r="ET16" s="47">
        <f t="shared" si="76"/>
        <v>0</v>
      </c>
      <c r="EU16" s="47">
        <f t="shared" si="77"/>
        <v>0</v>
      </c>
      <c r="EV16" s="47">
        <f t="shared" si="78"/>
        <v>0</v>
      </c>
      <c r="EW16" s="47">
        <f t="shared" si="79"/>
        <v>0</v>
      </c>
      <c r="EX16" s="47">
        <f t="shared" si="80"/>
        <v>0</v>
      </c>
      <c r="EY16" s="47">
        <f t="shared" si="81"/>
        <v>0</v>
      </c>
      <c r="EZ16" s="47">
        <f t="shared" si="82"/>
        <v>0</v>
      </c>
      <c r="FA16" s="47">
        <f t="shared" si="83"/>
        <v>0</v>
      </c>
      <c r="FB16" s="47">
        <f t="shared" si="84"/>
        <v>0</v>
      </c>
      <c r="FC16" s="47">
        <f t="shared" si="85"/>
        <v>0</v>
      </c>
      <c r="FD16" s="47">
        <f t="shared" si="86"/>
        <v>0</v>
      </c>
      <c r="FE16" s="47">
        <f t="shared" si="87"/>
        <v>0</v>
      </c>
      <c r="FF16" s="47">
        <f t="shared" si="88"/>
        <v>0</v>
      </c>
      <c r="FG16" s="47">
        <f t="shared" si="89"/>
        <v>0</v>
      </c>
      <c r="FH16" s="47">
        <f t="shared" si="90"/>
        <v>0</v>
      </c>
      <c r="FI16" s="47">
        <f t="shared" si="91"/>
        <v>0</v>
      </c>
      <c r="FJ16" s="47">
        <f t="shared" si="92"/>
        <v>0</v>
      </c>
      <c r="FK16" s="47">
        <f t="shared" si="93"/>
        <v>0</v>
      </c>
      <c r="FL16" s="47">
        <f t="shared" si="94"/>
        <v>0</v>
      </c>
      <c r="FM16" s="47">
        <f t="shared" si="95"/>
        <v>0</v>
      </c>
      <c r="FN16" s="47">
        <f t="shared" si="96"/>
        <v>0</v>
      </c>
      <c r="FO16" s="546">
        <f t="shared" si="97"/>
        <v>721.95580287281291</v>
      </c>
      <c r="FP16" s="546">
        <f t="shared" si="98"/>
        <v>573.19918781797662</v>
      </c>
      <c r="FQ16" s="546">
        <f t="shared" si="99"/>
        <v>2750.8030339055563</v>
      </c>
      <c r="FR16" s="546">
        <f t="shared" si="100"/>
        <v>77101.199720425357</v>
      </c>
      <c r="FS16" s="546">
        <f t="shared" si="101"/>
        <v>1622686.6297896949</v>
      </c>
      <c r="FT16" s="546">
        <f t="shared" si="102"/>
        <v>6823730.807522024</v>
      </c>
      <c r="FU16" s="546">
        <f t="shared" si="103"/>
        <v>58.938694153439606</v>
      </c>
      <c r="FV16" s="546">
        <f t="shared" si="104"/>
        <v>86.300563412970902</v>
      </c>
      <c r="FW16" s="546">
        <f t="shared" si="105"/>
        <v>473.75375921040376</v>
      </c>
      <c r="FX16" s="546">
        <f t="shared" si="106"/>
        <v>690.78218676533368</v>
      </c>
      <c r="FY16" s="546">
        <f t="shared" si="107"/>
        <v>3426.2878340933457</v>
      </c>
      <c r="FZ16" s="546">
        <f t="shared" si="108"/>
        <v>77359.242747421406</v>
      </c>
      <c r="GA16" s="546">
        <f t="shared" si="109"/>
        <v>198531.90644729289</v>
      </c>
      <c r="GB16" s="546">
        <f t="shared" si="110"/>
        <v>33.411630166154978</v>
      </c>
      <c r="GC16" s="546">
        <f t="shared" si="111"/>
        <v>62.394284548347279</v>
      </c>
      <c r="GD16" s="546">
        <f t="shared" si="112"/>
        <v>129.116915562858</v>
      </c>
    </row>
    <row r="17" spans="1:186">
      <c r="A17" s="4">
        <v>42826</v>
      </c>
      <c r="B17" s="6">
        <v>2017</v>
      </c>
      <c r="C17" s="5">
        <v>4</v>
      </c>
      <c r="D17" s="7">
        <v>60663563.421417959</v>
      </c>
      <c r="E17" s="7">
        <f>IFERROR(VLOOKUP($B17-1,CDM!$V$4:$AJ$17,2,FALSE)/12,0)+IFERROR(VLOOKUP($B17,CDM!$V$41:$AJ$54,2,FALSE)/24,0)+IFERROR(VLOOKUP($B17,CDM!$V$41:$AJ$54,2,FALSE)/2*$C17/78,0)</f>
        <v>2474911.115183847</v>
      </c>
      <c r="F17" s="7">
        <f t="shared" si="0"/>
        <v>63138474.536601804</v>
      </c>
      <c r="G17" s="7">
        <f>IFERROR(HLOOKUP(B17,'EV Forecast VRZ'!$F$116:$T$122,2,FALSE)*C17/78,0)</f>
        <v>12557.946117127956</v>
      </c>
      <c r="H17" s="7"/>
      <c r="I17" s="7">
        <f t="shared" si="1"/>
        <v>63125916.590484679</v>
      </c>
      <c r="J17" s="7">
        <v>594145.12858233065</v>
      </c>
      <c r="K17" s="7">
        <f>IFERROR(VLOOKUP($B17-1,CDM!$V$4:$AJ$17,3,FALSE)/12,0)+IFERROR(VLOOKUP($B17,CDM!$V$41:$AJ$54,3,FALSE)/24,0)+IFERROR(VLOOKUP($B17,CDM!$V$41:$AJ$54,3,FALSE)/2*$C17/78,0)</f>
        <v>28347.145787279922</v>
      </c>
      <c r="L17" s="7">
        <f t="shared" si="2"/>
        <v>622492.27436961059</v>
      </c>
      <c r="M17" s="7">
        <f>IFERROR(HLOOKUP(B17,'EV Forecast VRZ'!$F$116:$T$122,3,FALSE)*C17/78,0)</f>
        <v>170.4005495387083</v>
      </c>
      <c r="N17" s="7"/>
      <c r="O17" s="7">
        <f t="shared" si="3"/>
        <v>622321.87382007192</v>
      </c>
      <c r="P17" s="7">
        <v>19763187.335718375</v>
      </c>
      <c r="Q17" s="7">
        <f>IFERROR(VLOOKUP($B17-1,CDM!$V$4:$AJ$17,4,FALSE)/12,0)+IFERROR(VLOOKUP($B17,CDM!$V$41:$AJ$54,4,FALSE)/24,0)+IFERROR(VLOOKUP($B17,CDM!$V$41:$AJ$54,4,FALSE)/2*$C17/78,0)</f>
        <v>665494.54291507252</v>
      </c>
      <c r="R17" s="7">
        <f t="shared" si="4"/>
        <v>20428681.878633447</v>
      </c>
      <c r="S17" s="7">
        <f>IFERROR(HLOOKUP(B17,'EV Forecast VRZ'!$F$116:$T$122,4,FALSE)*C17/78,0)</f>
        <v>1601.977435897436</v>
      </c>
      <c r="T17" s="7"/>
      <c r="U17" s="7">
        <f t="shared" si="5"/>
        <v>20427079.901197549</v>
      </c>
      <c r="V17" s="7">
        <v>70340485.947416142</v>
      </c>
      <c r="W17" s="7">
        <f>IFERROR(VLOOKUP($B17-1,CDM!$V$4:$AJ$17,5,FALSE)/12,0)+IFERROR(VLOOKUP($B17,CDM!$V$41:$AJ$54,5,FALSE)/24,0)+IFERROR(VLOOKUP($B17,CDM!$V$41:$AJ$54,5,FALSE)/2*$C17/78,0)</f>
        <v>2442096.6121220998</v>
      </c>
      <c r="X17" s="7">
        <f t="shared" si="6"/>
        <v>72782582.559538245</v>
      </c>
      <c r="Y17" s="7">
        <f>IFERROR(HLOOKUP(B17,'EV Forecast VRZ'!$F$116:$T$122,5,FALSE)*C17/78,0)</f>
        <v>729.35138461538452</v>
      </c>
      <c r="Z17" s="7"/>
      <c r="AA17" s="7">
        <f t="shared" si="7"/>
        <v>72781853.208153635</v>
      </c>
      <c r="AB17" s="7">
        <v>7262223.880597013</v>
      </c>
      <c r="AC17" s="7">
        <f>IFERROR(VLOOKUP($B17-1,CDM!$V$4:$AJ$17,6,FALSE)/12,0)+IFERROR(VLOOKUP($B17,CDM!$V$41:$AJ$54,6,FALSE)/24,0)+IFERROR(VLOOKUP($B17,CDM!$V$41:$AJ$54,6,FALSE)/2*$C17/78,0)</f>
        <v>86433.504416763841</v>
      </c>
      <c r="AD17" s="7">
        <f t="shared" si="8"/>
        <v>7348657.3850137768</v>
      </c>
      <c r="AE17" s="7">
        <f>IFERROR(HLOOKUP(B17,'EV Forecast VRZ'!$F$116:$T$122,6,FALSE)*C17/78,0)</f>
        <v>113.94502564102564</v>
      </c>
      <c r="AF17" s="7">
        <f t="shared" si="9"/>
        <v>7348543.4399881354</v>
      </c>
      <c r="AG17" s="7">
        <v>16804176.575052723</v>
      </c>
      <c r="AH17" s="7">
        <f>IFERROR(VLOOKUP($B17-1,CDM!$V$4:$AJ$17,7,FALSE)/12,0)+IFERROR(VLOOKUP($B17,CDM!$V$41:$AJ$54,7,FALSE)/24,0)+IFERROR(VLOOKUP($B17,CDM!$V$41:$AJ$54,7,FALSE)/2*$C17/78,0)</f>
        <v>777617.15572413569</v>
      </c>
      <c r="AI17" s="7">
        <f t="shared" si="10"/>
        <v>17581793.730776858</v>
      </c>
      <c r="AJ17" s="7">
        <f>IFERROR(HLOOKUP(B17,'EV Forecast VRZ'!$F$116:$T$122,7,FALSE)*C17/78,0)</f>
        <v>0</v>
      </c>
      <c r="AK17" s="7">
        <f t="shared" si="11"/>
        <v>17581793.730776858</v>
      </c>
      <c r="AL17" s="7">
        <v>1500869.633657699</v>
      </c>
      <c r="AM17" s="7">
        <v>26871.589391337533</v>
      </c>
      <c r="AN17" s="7">
        <v>392083.98206449149</v>
      </c>
      <c r="AO17" s="5">
        <v>183520.91</v>
      </c>
      <c r="AP17" s="5">
        <v>17580.34</v>
      </c>
      <c r="AQ17" s="5">
        <v>28147</v>
      </c>
      <c r="AR17" s="5">
        <v>4764.76</v>
      </c>
      <c r="AS17" s="544">
        <f t="shared" si="113"/>
        <v>80.583333333333329</v>
      </c>
      <c r="AT17" s="557">
        <v>108186</v>
      </c>
      <c r="AU17" s="557">
        <v>1579.333333333333</v>
      </c>
      <c r="AV17" s="557">
        <v>9006</v>
      </c>
      <c r="AW17" s="557">
        <v>1061.666666666667</v>
      </c>
      <c r="AX17" s="557">
        <v>5</v>
      </c>
      <c r="AY17" s="557">
        <v>3</v>
      </c>
      <c r="AZ17" s="557">
        <v>30298</v>
      </c>
      <c r="BA17" s="557">
        <v>439</v>
      </c>
      <c r="BB17" s="557">
        <v>827.66666666666652</v>
      </c>
      <c r="BC17" s="560">
        <v>22284050.018021807</v>
      </c>
      <c r="BD17" s="560">
        <f>IFERROR(VLOOKUP($B17-1,CDM!$V$4:$AJ$17,11,FALSE)/12,0)+IFERROR(VLOOKUP($B17,CDM!$V$41:$AJ$54,11,FALSE)/24,0)+IFERROR(VLOOKUP($B17,CDM!$V$41:$AJ$54,11,FALSE)/2*$C17/78,0)</f>
        <v>1278553.6425416614</v>
      </c>
      <c r="BE17" s="560">
        <f t="shared" si="67"/>
        <v>23562603.660563469</v>
      </c>
      <c r="BF17" s="560">
        <f>IFERROR(HLOOKUP(B17,'EV Forecast WRZ'!$F$116:$T$122,2,FALSE)*C17/78,0)</f>
        <v>4050.8092307692309</v>
      </c>
      <c r="BG17" s="560"/>
      <c r="BH17" s="560">
        <f t="shared" si="13"/>
        <v>23558552.851332698</v>
      </c>
      <c r="BI17" s="560">
        <v>6199555.6943944888</v>
      </c>
      <c r="BJ17" s="560">
        <f>IFERROR(VLOOKUP($B17-1,CDM!$V$4:$AJ$17,12,FALSE)/12,0)+IFERROR(VLOOKUP($B17,CDM!$V$41:$AJ$54,12,FALSE)/24,0)+IFERROR(VLOOKUP($B17,CDM!$V$41:$AJ$54,12,FALSE)/2*$C17/78,0)</f>
        <v>133560.16663978592</v>
      </c>
      <c r="BK17" s="560">
        <f t="shared" si="14"/>
        <v>6333115.861034275</v>
      </c>
      <c r="BL17" s="560">
        <f>IFERROR(HLOOKUP(B17,'EV Forecast WRZ'!$F$116:$T$122,3,FALSE)*C17/78,0)</f>
        <v>562.08615384615382</v>
      </c>
      <c r="BM17" s="560"/>
      <c r="BN17" s="560">
        <f t="shared" si="15"/>
        <v>6332553.7748804288</v>
      </c>
      <c r="BO17" s="560">
        <v>26261545.779645748</v>
      </c>
      <c r="BP17" s="560">
        <f>IFERROR(VLOOKUP($B17-1,CDM!$V$4:$AJ$17,13,FALSE)/12,0)+IFERROR(VLOOKUP($B17,CDM!$V$41:$AJ$54,13,FALSE)/24,0)+IFERROR(VLOOKUP($B17,CDM!$V$41:$AJ$54,13,FALSE)/2*$C17/78,0)</f>
        <v>661236.60162083025</v>
      </c>
      <c r="BQ17" s="560">
        <f t="shared" si="16"/>
        <v>26922782.381266579</v>
      </c>
      <c r="BR17" s="560">
        <f>IFERROR(HLOOKUP(B17,'EV Forecast WRZ'!$F$116:$T$122,4,FALSE)*C17/78,0)</f>
        <v>259.86184615384616</v>
      </c>
      <c r="BS17" s="560"/>
      <c r="BT17" s="560">
        <f t="shared" si="17"/>
        <v>26922522.519420426</v>
      </c>
      <c r="BU17" s="560">
        <v>4936023.2690453231</v>
      </c>
      <c r="BV17" s="560">
        <f>IFERROR(VLOOKUP($B17-1,CDM!$V$4:$AJ$17,14,FALSE)/12,0)+IFERROR(VLOOKUP($B17,CDM!$V$41:$AJ$54,14,FALSE)/24,0)+IFERROR(VLOOKUP($B17,CDM!$V$41:$AJ$54,14,FALSE)/2*$C17/78,0)</f>
        <v>148660.63838857718</v>
      </c>
      <c r="BW17" s="560">
        <f t="shared" si="18"/>
        <v>5084683.9074339001</v>
      </c>
      <c r="BX17" s="560">
        <f>IFERROR(HLOOKUP(B17,'EV Forecast WRZ'!$F$116:$T$122,5,FALSE)*C17/78,0)</f>
        <v>55.796615384615379</v>
      </c>
      <c r="BY17" s="560">
        <f t="shared" si="68"/>
        <v>5084628.1108185155</v>
      </c>
      <c r="BZ17" s="560">
        <v>359830.19896690256</v>
      </c>
      <c r="CA17" s="560">
        <v>2417.7785262484567</v>
      </c>
      <c r="CB17" s="560">
        <v>47740.979529366741</v>
      </c>
      <c r="CC17" s="5">
        <v>66414.880000000005</v>
      </c>
      <c r="CD17" s="5">
        <v>7527.17</v>
      </c>
      <c r="CE17" s="5">
        <v>1074.17</v>
      </c>
      <c r="CF17" s="544">
        <f t="shared" si="114"/>
        <v>7.333333333333333</v>
      </c>
      <c r="CG17" s="565">
        <v>39688.666666666657</v>
      </c>
      <c r="CH17" s="565">
        <v>2226</v>
      </c>
      <c r="CI17" s="565">
        <v>368</v>
      </c>
      <c r="CJ17" s="565">
        <v>2</v>
      </c>
      <c r="CK17" s="565">
        <v>11886</v>
      </c>
      <c r="CL17" s="565">
        <v>38.666666666666657</v>
      </c>
      <c r="CM17" s="565">
        <v>370</v>
      </c>
      <c r="CN17" s="46">
        <f>Weather!C41</f>
        <v>348.38749999999999</v>
      </c>
      <c r="CO17" s="46">
        <f>Weather!D41</f>
        <v>0</v>
      </c>
      <c r="CP17" s="46">
        <f>Weather!E41</f>
        <v>288.73333333333335</v>
      </c>
      <c r="CQ17" s="46">
        <f>Weather!F41</f>
        <v>0.34583333333333854</v>
      </c>
      <c r="CR17" s="46">
        <f>Weather!G41</f>
        <v>230.73333333333338</v>
      </c>
      <c r="CS17" s="46">
        <f>Weather!H41</f>
        <v>2.3458333333333385</v>
      </c>
      <c r="CT17" s="46">
        <f>Weather!I41</f>
        <v>174.03750000000005</v>
      </c>
      <c r="CU17" s="46">
        <f>Weather!J41</f>
        <v>5.6500000000000057</v>
      </c>
      <c r="CV17" s="46">
        <f>Weather!K41</f>
        <v>120.79999999999997</v>
      </c>
      <c r="CW17" s="46">
        <f>Weather!L41</f>
        <v>12.412500000000001</v>
      </c>
      <c r="CX17" s="46">
        <f>Weather!M41</f>
        <v>73.1458333333333</v>
      </c>
      <c r="CY17" s="46">
        <f>Weather!N41</f>
        <v>24.758333333333333</v>
      </c>
      <c r="CZ17" s="46">
        <f>Weather!O41</f>
        <v>34.695833333333326</v>
      </c>
      <c r="DA17" s="46">
        <f>Weather!P41</f>
        <v>46.308333333333337</v>
      </c>
      <c r="DB17" s="243">
        <f>'Economic Data'!D43</f>
        <v>7041.8</v>
      </c>
      <c r="DC17" s="243">
        <f>'Economic Data'!E43</f>
        <v>6951.9</v>
      </c>
      <c r="DD17" s="243">
        <f>'Economic Data'!F43</f>
        <v>199</v>
      </c>
      <c r="DE17" s="243">
        <f>'Economic Data'!G43</f>
        <v>198.3</v>
      </c>
      <c r="DF17" s="243">
        <f>'Economic Data'!H43</f>
        <v>33.9</v>
      </c>
      <c r="DG17" s="243">
        <f>'Economic Data'!I43</f>
        <v>33.9</v>
      </c>
      <c r="DH17" s="243">
        <f>'Economic Data'!J43</f>
        <v>764464.8</v>
      </c>
      <c r="DI17" s="243">
        <f>'Economic Data'!K43</f>
        <v>590729.4</v>
      </c>
      <c r="DJ17" s="243">
        <f>'Economic Data'!L43</f>
        <v>91847.6</v>
      </c>
      <c r="DK17" s="243">
        <f>'Economic Data'!M43</f>
        <v>31122.7</v>
      </c>
      <c r="DL17" s="243">
        <f>'Economic Data'!N43</f>
        <v>764676</v>
      </c>
      <c r="DM17" s="243">
        <f>'Economic Data'!O43</f>
        <v>92541</v>
      </c>
      <c r="DN17" s="243">
        <f>'Economic Data'!P43</f>
        <v>20379</v>
      </c>
      <c r="DO17" s="243">
        <f>'Economic Data'!Q43</f>
        <v>590485</v>
      </c>
      <c r="DP17" s="243">
        <f>'Economic Data'!R43</f>
        <v>31145</v>
      </c>
      <c r="DQ17">
        <v>30</v>
      </c>
      <c r="DR17">
        <v>19</v>
      </c>
      <c r="DS17">
        <v>0</v>
      </c>
      <c r="DT17">
        <v>0</v>
      </c>
      <c r="DU17">
        <v>0</v>
      </c>
      <c r="DV17">
        <v>1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1</v>
      </c>
      <c r="EF17">
        <v>0</v>
      </c>
      <c r="EG17">
        <v>1</v>
      </c>
      <c r="EH17">
        <f t="shared" si="66"/>
        <v>16</v>
      </c>
      <c r="EI17">
        <v>0</v>
      </c>
      <c r="EJ17">
        <v>0</v>
      </c>
      <c r="EK17">
        <v>0</v>
      </c>
      <c r="EL17">
        <v>0</v>
      </c>
      <c r="EM17" s="47">
        <f t="shared" si="69"/>
        <v>0</v>
      </c>
      <c r="EN17" s="47">
        <f t="shared" si="70"/>
        <v>0</v>
      </c>
      <c r="EO17" s="47">
        <f t="shared" si="71"/>
        <v>0</v>
      </c>
      <c r="EP17" s="47">
        <f t="shared" si="72"/>
        <v>0</v>
      </c>
      <c r="EQ17" s="47">
        <f t="shared" si="73"/>
        <v>0</v>
      </c>
      <c r="ER17" s="47">
        <f t="shared" si="74"/>
        <v>0</v>
      </c>
      <c r="ES17" s="47">
        <f t="shared" si="75"/>
        <v>0</v>
      </c>
      <c r="ET17" s="47">
        <f t="shared" si="76"/>
        <v>0</v>
      </c>
      <c r="EU17" s="47">
        <f t="shared" si="77"/>
        <v>0</v>
      </c>
      <c r="EV17" s="47">
        <f t="shared" si="78"/>
        <v>0</v>
      </c>
      <c r="EW17" s="47">
        <f t="shared" si="79"/>
        <v>0</v>
      </c>
      <c r="EX17" s="47">
        <f t="shared" si="80"/>
        <v>0</v>
      </c>
      <c r="EY17" s="47">
        <f t="shared" si="81"/>
        <v>0</v>
      </c>
      <c r="EZ17" s="47">
        <f t="shared" si="82"/>
        <v>0</v>
      </c>
      <c r="FA17" s="47">
        <f t="shared" si="83"/>
        <v>0</v>
      </c>
      <c r="FB17" s="47">
        <f t="shared" si="84"/>
        <v>0</v>
      </c>
      <c r="FC17" s="47">
        <f t="shared" si="85"/>
        <v>0</v>
      </c>
      <c r="FD17" s="47">
        <f t="shared" si="86"/>
        <v>0</v>
      </c>
      <c r="FE17" s="47">
        <f t="shared" si="87"/>
        <v>0</v>
      </c>
      <c r="FF17" s="47">
        <f t="shared" si="88"/>
        <v>0</v>
      </c>
      <c r="FG17" s="47">
        <f t="shared" si="89"/>
        <v>0</v>
      </c>
      <c r="FH17" s="47">
        <f t="shared" si="90"/>
        <v>0</v>
      </c>
      <c r="FI17" s="47">
        <f t="shared" si="91"/>
        <v>0</v>
      </c>
      <c r="FJ17" s="47">
        <f t="shared" si="92"/>
        <v>0</v>
      </c>
      <c r="FK17" s="47">
        <f t="shared" si="93"/>
        <v>0</v>
      </c>
      <c r="FL17" s="47">
        <f t="shared" si="94"/>
        <v>0</v>
      </c>
      <c r="FM17" s="47">
        <f t="shared" si="95"/>
        <v>0</v>
      </c>
      <c r="FN17" s="47">
        <f t="shared" si="96"/>
        <v>0</v>
      </c>
      <c r="FO17" s="546">
        <f t="shared" si="97"/>
        <v>583.49432080384406</v>
      </c>
      <c r="FP17" s="546">
        <f t="shared" si="98"/>
        <v>394.14875962617816</v>
      </c>
      <c r="FQ17" s="546">
        <f t="shared" si="99"/>
        <v>2268.3413145273648</v>
      </c>
      <c r="FR17" s="546">
        <f t="shared" si="100"/>
        <v>68555.022819031292</v>
      </c>
      <c r="FS17" s="546">
        <f t="shared" si="101"/>
        <v>1469731.4770027553</v>
      </c>
      <c r="FT17" s="546">
        <f t="shared" si="102"/>
        <v>5860597.9102589525</v>
      </c>
      <c r="FU17" s="546">
        <f t="shared" si="103"/>
        <v>49.536921039596642</v>
      </c>
      <c r="FV17" s="546">
        <f t="shared" si="104"/>
        <v>61.21090977525634</v>
      </c>
      <c r="FW17" s="546">
        <f t="shared" si="105"/>
        <v>473.72208868041673</v>
      </c>
      <c r="FX17" s="546">
        <f t="shared" si="106"/>
        <v>593.68594713596178</v>
      </c>
      <c r="FY17" s="546">
        <f t="shared" si="107"/>
        <v>2845.0655260711028</v>
      </c>
      <c r="FZ17" s="546">
        <f t="shared" si="108"/>
        <v>73159.734731702658</v>
      </c>
      <c r="GA17" s="546">
        <f t="shared" si="109"/>
        <v>179915.09948345128</v>
      </c>
      <c r="GB17" s="546">
        <f t="shared" si="110"/>
        <v>30.273447666742602</v>
      </c>
      <c r="GC17" s="546">
        <f t="shared" si="111"/>
        <v>62.528754989184243</v>
      </c>
      <c r="GD17" s="546">
        <f t="shared" si="112"/>
        <v>129.02967440369389</v>
      </c>
    </row>
    <row r="18" spans="1:186">
      <c r="A18" s="4">
        <v>42856</v>
      </c>
      <c r="B18" s="6">
        <v>2017</v>
      </c>
      <c r="C18" s="5">
        <v>5</v>
      </c>
      <c r="D18" s="7">
        <v>59935314.111009158</v>
      </c>
      <c r="E18" s="7">
        <f>IFERROR(VLOOKUP($B18-1,CDM!$V$4:$AJ$17,2,FALSE)/12,0)+IFERROR(VLOOKUP($B18,CDM!$V$41:$AJ$54,2,FALSE)/24,0)+IFERROR(VLOOKUP($B18,CDM!$V$41:$AJ$54,2,FALSE)/2*$C18/78,0)</f>
        <v>2586264.1764484085</v>
      </c>
      <c r="F18" s="7">
        <f t="shared" si="0"/>
        <v>62521578.28745757</v>
      </c>
      <c r="G18" s="7">
        <f>IFERROR(HLOOKUP(B18,'EV Forecast VRZ'!$F$116:$T$122,2,FALSE)*C18/78,0)</f>
        <v>15697.432646409945</v>
      </c>
      <c r="H18" s="7"/>
      <c r="I18" s="7">
        <f t="shared" si="1"/>
        <v>62505880.854811162</v>
      </c>
      <c r="J18" s="7">
        <v>685175.75076321315</v>
      </c>
      <c r="K18" s="7">
        <f>IFERROR(VLOOKUP($B18-1,CDM!$V$4:$AJ$17,3,FALSE)/12,0)+IFERROR(VLOOKUP($B18,CDM!$V$41:$AJ$54,3,FALSE)/24,0)+IFERROR(VLOOKUP($B18,CDM!$V$41:$AJ$54,3,FALSE)/2*$C18/78,0)</f>
        <v>29622.561878856184</v>
      </c>
      <c r="L18" s="7">
        <f t="shared" si="2"/>
        <v>714798.3126420693</v>
      </c>
      <c r="M18" s="7">
        <f>IFERROR(HLOOKUP(B18,'EV Forecast VRZ'!$F$116:$T$122,3,FALSE)*C18/78,0)</f>
        <v>213.00068692338542</v>
      </c>
      <c r="N18" s="7"/>
      <c r="O18" s="7">
        <f t="shared" si="3"/>
        <v>714585.31195514591</v>
      </c>
      <c r="P18" s="7">
        <v>20040808.994056478</v>
      </c>
      <c r="Q18" s="7">
        <f>IFERROR(VLOOKUP($B18-1,CDM!$V$4:$AJ$17,4,FALSE)/12,0)+IFERROR(VLOOKUP($B18,CDM!$V$41:$AJ$54,4,FALSE)/24,0)+IFERROR(VLOOKUP($B18,CDM!$V$41:$AJ$54,4,FALSE)/2*$C18/78,0)</f>
        <v>679144.78762994113</v>
      </c>
      <c r="R18" s="7">
        <f t="shared" si="4"/>
        <v>20719953.781686418</v>
      </c>
      <c r="S18" s="7">
        <f>IFERROR(HLOOKUP(B18,'EV Forecast VRZ'!$F$116:$T$122,4,FALSE)*C18/78,0)</f>
        <v>2002.4717948717951</v>
      </c>
      <c r="T18" s="7"/>
      <c r="U18" s="7">
        <f t="shared" si="5"/>
        <v>20717951.309891544</v>
      </c>
      <c r="V18" s="7">
        <v>73891874.733171195</v>
      </c>
      <c r="W18" s="7">
        <f>IFERROR(VLOOKUP($B18-1,CDM!$V$4:$AJ$17,5,FALSE)/12,0)+IFERROR(VLOOKUP($B18,CDM!$V$41:$AJ$54,5,FALSE)/24,0)+IFERROR(VLOOKUP($B18,CDM!$V$41:$AJ$54,5,FALSE)/2*$C18/78,0)</f>
        <v>2498910.4195658946</v>
      </c>
      <c r="X18" s="7">
        <f t="shared" si="6"/>
        <v>76390785.152737096</v>
      </c>
      <c r="Y18" s="7">
        <f>IFERROR(HLOOKUP(B18,'EV Forecast VRZ'!$F$116:$T$122,5,FALSE)*C18/78,0)</f>
        <v>911.68923076923068</v>
      </c>
      <c r="Z18" s="7"/>
      <c r="AA18" s="7">
        <f t="shared" si="7"/>
        <v>76389873.463506326</v>
      </c>
      <c r="AB18" s="7">
        <v>7335987.2440124936</v>
      </c>
      <c r="AC18" s="7">
        <f>IFERROR(VLOOKUP($B18-1,CDM!$V$4:$AJ$17,6,FALSE)/12,0)+IFERROR(VLOOKUP($B18,CDM!$V$41:$AJ$54,6,FALSE)/24,0)+IFERROR(VLOOKUP($B18,CDM!$V$41:$AJ$54,6,FALSE)/2*$C18/78,0)</f>
        <v>90708.523389235212</v>
      </c>
      <c r="AD18" s="7">
        <f t="shared" si="8"/>
        <v>7426695.7674017288</v>
      </c>
      <c r="AE18" s="7">
        <f>IFERROR(HLOOKUP(B18,'EV Forecast VRZ'!$F$116:$T$122,6,FALSE)*C18/78,0)</f>
        <v>142.43128205128204</v>
      </c>
      <c r="AF18" s="7">
        <f t="shared" si="9"/>
        <v>7426553.3361196779</v>
      </c>
      <c r="AG18" s="7">
        <v>21044563.808229759</v>
      </c>
      <c r="AH18" s="7">
        <f>IFERROR(VLOOKUP($B18-1,CDM!$V$4:$AJ$17,7,FALSE)/12,0)+IFERROR(VLOOKUP($B18,CDM!$V$41:$AJ$54,7,FALSE)/24,0)+IFERROR(VLOOKUP($B18,CDM!$V$41:$AJ$54,7,FALSE)/2*$C18/78,0)</f>
        <v>795098.01850845234</v>
      </c>
      <c r="AI18" s="7">
        <f t="shared" si="10"/>
        <v>21839661.826738212</v>
      </c>
      <c r="AJ18" s="7">
        <f>IFERROR(HLOOKUP(B18,'EV Forecast VRZ'!$F$116:$T$122,7,FALSE)*C18/78,0)</f>
        <v>0</v>
      </c>
      <c r="AK18" s="7">
        <f t="shared" si="11"/>
        <v>21839661.826738212</v>
      </c>
      <c r="AL18" s="7">
        <v>1366132.0167906887</v>
      </c>
      <c r="AM18" s="7">
        <v>28120.549513451631</v>
      </c>
      <c r="AN18" s="7">
        <v>392116.9910322458</v>
      </c>
      <c r="AO18" s="5">
        <v>196533.96</v>
      </c>
      <c r="AP18" s="5">
        <v>16040.42</v>
      </c>
      <c r="AQ18" s="5">
        <v>35069</v>
      </c>
      <c r="AR18" s="5">
        <v>4764.3</v>
      </c>
      <c r="AS18" s="544">
        <f t="shared" si="113"/>
        <v>80.583333333333329</v>
      </c>
      <c r="AT18" s="557">
        <v>108257.5</v>
      </c>
      <c r="AU18" s="557">
        <v>1578.4166666666663</v>
      </c>
      <c r="AV18" s="557">
        <v>9009.75</v>
      </c>
      <c r="AW18" s="557">
        <v>1064.3333333333337</v>
      </c>
      <c r="AX18" s="557">
        <v>5</v>
      </c>
      <c r="AY18" s="557">
        <v>3</v>
      </c>
      <c r="AZ18" s="557">
        <v>30343.5</v>
      </c>
      <c r="BA18" s="557">
        <v>439</v>
      </c>
      <c r="BB18" s="557">
        <v>826.83333333333314</v>
      </c>
      <c r="BC18" s="560">
        <v>23164685.985412475</v>
      </c>
      <c r="BD18" s="560">
        <f>IFERROR(VLOOKUP($B18-1,CDM!$V$4:$AJ$17,11,FALSE)/12,0)+IFERROR(VLOOKUP($B18,CDM!$V$41:$AJ$54,11,FALSE)/24,0)+IFERROR(VLOOKUP($B18,CDM!$V$41:$AJ$54,11,FALSE)/2*$C18/78,0)</f>
        <v>1338199.2859372285</v>
      </c>
      <c r="BE18" s="560">
        <f t="shared" si="67"/>
        <v>24502885.271349702</v>
      </c>
      <c r="BF18" s="560">
        <f>IFERROR(HLOOKUP(B18,'EV Forecast WRZ'!$F$116:$T$122,2,FALSE)*C18/78,0)</f>
        <v>5063.5115384615392</v>
      </c>
      <c r="BG18" s="560"/>
      <c r="BH18" s="560">
        <f t="shared" si="13"/>
        <v>24497821.759811241</v>
      </c>
      <c r="BI18" s="560">
        <v>6375052.2866175622</v>
      </c>
      <c r="BJ18" s="560">
        <f>IFERROR(VLOOKUP($B18-1,CDM!$V$4:$AJ$17,12,FALSE)/12,0)+IFERROR(VLOOKUP($B18,CDM!$V$41:$AJ$54,12,FALSE)/24,0)+IFERROR(VLOOKUP($B18,CDM!$V$41:$AJ$54,12,FALSE)/2*$C18/78,0)</f>
        <v>135283.17955109134</v>
      </c>
      <c r="BK18" s="560">
        <f t="shared" si="14"/>
        <v>6510335.4661686532</v>
      </c>
      <c r="BL18" s="560">
        <f>IFERROR(HLOOKUP(B18,'EV Forecast WRZ'!$F$116:$T$122,3,FALSE)*C18/78,0)</f>
        <v>702.60769230769233</v>
      </c>
      <c r="BM18" s="560"/>
      <c r="BN18" s="560">
        <f t="shared" si="15"/>
        <v>6509632.8584763454</v>
      </c>
      <c r="BO18" s="560">
        <v>26113958.215550885</v>
      </c>
      <c r="BP18" s="560">
        <f>IFERROR(VLOOKUP($B18-1,CDM!$V$4:$AJ$17,13,FALSE)/12,0)+IFERROR(VLOOKUP($B18,CDM!$V$41:$AJ$54,13,FALSE)/24,0)+IFERROR(VLOOKUP($B18,CDM!$V$41:$AJ$54,13,FALSE)/2*$C18/78,0)</f>
        <v>683770.10815575463</v>
      </c>
      <c r="BQ18" s="560">
        <f t="shared" si="16"/>
        <v>26797728.323706638</v>
      </c>
      <c r="BR18" s="560">
        <f>IFERROR(HLOOKUP(B18,'EV Forecast WRZ'!$F$116:$T$122,4,FALSE)*C18/78,0)</f>
        <v>324.82730769230773</v>
      </c>
      <c r="BS18" s="560"/>
      <c r="BT18" s="560">
        <f t="shared" si="17"/>
        <v>26797403.496398944</v>
      </c>
      <c r="BU18" s="560">
        <v>5089756.8852459015</v>
      </c>
      <c r="BV18" s="560">
        <f>IFERROR(VLOOKUP($B18-1,CDM!$V$4:$AJ$17,14,FALSE)/12,0)+IFERROR(VLOOKUP($B18,CDM!$V$41:$AJ$54,14,FALSE)/24,0)+IFERROR(VLOOKUP($B18,CDM!$V$41:$AJ$54,14,FALSE)/2*$C18/78,0)</f>
        <v>153726.66990952427</v>
      </c>
      <c r="BW18" s="560">
        <f t="shared" si="18"/>
        <v>5243483.5551554263</v>
      </c>
      <c r="BX18" s="560">
        <f>IFERROR(HLOOKUP(B18,'EV Forecast WRZ'!$F$116:$T$122,5,FALSE)*C18/78,0)</f>
        <v>69.745769230769227</v>
      </c>
      <c r="BY18" s="560">
        <f t="shared" si="68"/>
        <v>5243413.8093861956</v>
      </c>
      <c r="BZ18" s="560">
        <v>330386.84713985072</v>
      </c>
      <c r="CA18" s="560">
        <v>2417.7785262484567</v>
      </c>
      <c r="CB18" s="560">
        <v>47741.046489382046</v>
      </c>
      <c r="CC18" s="5">
        <v>66157.460000000006</v>
      </c>
      <c r="CD18" s="5">
        <v>7518.3</v>
      </c>
      <c r="CE18" s="5">
        <v>1074.6600000000001</v>
      </c>
      <c r="CF18" s="544">
        <f t="shared" si="114"/>
        <v>7.333333333333333</v>
      </c>
      <c r="CG18" s="565">
        <v>39713.833333333321</v>
      </c>
      <c r="CH18" s="565">
        <v>2227.5</v>
      </c>
      <c r="CI18" s="565">
        <v>368</v>
      </c>
      <c r="CJ18" s="565">
        <v>2</v>
      </c>
      <c r="CK18" s="565">
        <v>11888</v>
      </c>
      <c r="CL18" s="565">
        <v>38.583333333333321</v>
      </c>
      <c r="CM18" s="565">
        <v>370.25</v>
      </c>
      <c r="CN18" s="46">
        <f>Weather!C42</f>
        <v>247.16666666666663</v>
      </c>
      <c r="CO18" s="46">
        <f>Weather!D42</f>
        <v>1.4083333333333314</v>
      </c>
      <c r="CP18" s="46">
        <f>Weather!E42</f>
        <v>188.63749999999999</v>
      </c>
      <c r="CQ18" s="46">
        <f>Weather!F42</f>
        <v>4.8791666666666664</v>
      </c>
      <c r="CR18" s="46">
        <f>Weather!G42</f>
        <v>134.83333333333331</v>
      </c>
      <c r="CS18" s="46">
        <f>Weather!H42</f>
        <v>13.075000000000003</v>
      </c>
      <c r="CT18" s="46">
        <f>Weather!I42</f>
        <v>88.129166666666677</v>
      </c>
      <c r="CU18" s="46">
        <f>Weather!J42</f>
        <v>28.370833333333344</v>
      </c>
      <c r="CV18" s="46">
        <f>Weather!K42</f>
        <v>52.287499999999987</v>
      </c>
      <c r="CW18" s="46">
        <f>Weather!L42</f>
        <v>54.529166666666683</v>
      </c>
      <c r="CX18" s="46">
        <f>Weather!M42</f>
        <v>26.741666666666656</v>
      </c>
      <c r="CY18" s="46">
        <f>Weather!N42</f>
        <v>90.983333333333348</v>
      </c>
      <c r="CZ18" s="46">
        <f>Weather!O42</f>
        <v>10.045833333333327</v>
      </c>
      <c r="DA18" s="46">
        <f>Weather!P42</f>
        <v>136.28750000000002</v>
      </c>
      <c r="DB18" s="243">
        <f>'Economic Data'!D44</f>
        <v>7055.9</v>
      </c>
      <c r="DC18" s="243">
        <f>'Economic Data'!E44</f>
        <v>7023.7</v>
      </c>
      <c r="DD18" s="243">
        <f>'Economic Data'!F44</f>
        <v>201.8</v>
      </c>
      <c r="DE18" s="243">
        <f>'Economic Data'!G44</f>
        <v>203.3</v>
      </c>
      <c r="DF18" s="243">
        <f>'Economic Data'!H44</f>
        <v>37.799999999999997</v>
      </c>
      <c r="DG18" s="243">
        <f>'Economic Data'!I44</f>
        <v>37.799999999999997</v>
      </c>
      <c r="DH18" s="243">
        <f>'Economic Data'!J44</f>
        <v>764464.8</v>
      </c>
      <c r="DI18" s="243">
        <f>'Economic Data'!K44</f>
        <v>590729.4</v>
      </c>
      <c r="DJ18" s="243">
        <f>'Economic Data'!L44</f>
        <v>91847.6</v>
      </c>
      <c r="DK18" s="243">
        <f>'Economic Data'!M44</f>
        <v>31122.7</v>
      </c>
      <c r="DL18" s="243">
        <f>'Economic Data'!N44</f>
        <v>764676</v>
      </c>
      <c r="DM18" s="243">
        <f>'Economic Data'!O44</f>
        <v>92541</v>
      </c>
      <c r="DN18" s="243">
        <f>'Economic Data'!P44</f>
        <v>20379</v>
      </c>
      <c r="DO18" s="243">
        <f>'Economic Data'!Q44</f>
        <v>590485</v>
      </c>
      <c r="DP18" s="243">
        <f>'Economic Data'!R44</f>
        <v>31145</v>
      </c>
      <c r="DQ18">
        <v>31</v>
      </c>
      <c r="DR18">
        <v>22</v>
      </c>
      <c r="DS18">
        <v>0</v>
      </c>
      <c r="DT18">
        <v>0</v>
      </c>
      <c r="DU18">
        <v>0</v>
      </c>
      <c r="DV18">
        <v>0</v>
      </c>
      <c r="DW18">
        <v>1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1</v>
      </c>
      <c r="EF18">
        <v>0</v>
      </c>
      <c r="EG18">
        <v>1</v>
      </c>
      <c r="EH18">
        <f t="shared" si="66"/>
        <v>17</v>
      </c>
      <c r="EI18">
        <v>0</v>
      </c>
      <c r="EJ18">
        <v>0</v>
      </c>
      <c r="EK18">
        <v>0</v>
      </c>
      <c r="EL18">
        <v>0</v>
      </c>
      <c r="EM18" s="47">
        <f t="shared" si="69"/>
        <v>0</v>
      </c>
      <c r="EN18" s="47">
        <f t="shared" si="70"/>
        <v>0</v>
      </c>
      <c r="EO18" s="47">
        <f t="shared" si="71"/>
        <v>0</v>
      </c>
      <c r="EP18" s="47">
        <f t="shared" si="72"/>
        <v>0</v>
      </c>
      <c r="EQ18" s="47">
        <f t="shared" si="73"/>
        <v>0</v>
      </c>
      <c r="ER18" s="47">
        <f t="shared" si="74"/>
        <v>0</v>
      </c>
      <c r="ES18" s="47">
        <f t="shared" si="75"/>
        <v>0</v>
      </c>
      <c r="ET18" s="47">
        <f t="shared" si="76"/>
        <v>0</v>
      </c>
      <c r="EU18" s="47">
        <f t="shared" si="77"/>
        <v>0</v>
      </c>
      <c r="EV18" s="47">
        <f t="shared" si="78"/>
        <v>0</v>
      </c>
      <c r="EW18" s="47">
        <f t="shared" si="79"/>
        <v>0</v>
      </c>
      <c r="EX18" s="47">
        <f t="shared" si="80"/>
        <v>0</v>
      </c>
      <c r="EY18" s="47">
        <f t="shared" si="81"/>
        <v>0</v>
      </c>
      <c r="EZ18" s="47">
        <f t="shared" si="82"/>
        <v>0</v>
      </c>
      <c r="FA18" s="47">
        <f t="shared" si="83"/>
        <v>0</v>
      </c>
      <c r="FB18" s="47">
        <f t="shared" si="84"/>
        <v>0</v>
      </c>
      <c r="FC18" s="47">
        <f t="shared" si="85"/>
        <v>0</v>
      </c>
      <c r="FD18" s="47">
        <f t="shared" si="86"/>
        <v>0</v>
      </c>
      <c r="FE18" s="47">
        <f t="shared" si="87"/>
        <v>0</v>
      </c>
      <c r="FF18" s="47">
        <f t="shared" si="88"/>
        <v>0</v>
      </c>
      <c r="FG18" s="47">
        <f t="shared" si="89"/>
        <v>0</v>
      </c>
      <c r="FH18" s="47">
        <f t="shared" si="90"/>
        <v>0</v>
      </c>
      <c r="FI18" s="47">
        <f t="shared" si="91"/>
        <v>0</v>
      </c>
      <c r="FJ18" s="47">
        <f t="shared" si="92"/>
        <v>0</v>
      </c>
      <c r="FK18" s="47">
        <f t="shared" si="93"/>
        <v>0</v>
      </c>
      <c r="FL18" s="47">
        <f t="shared" si="94"/>
        <v>0</v>
      </c>
      <c r="FM18" s="47">
        <f t="shared" si="95"/>
        <v>0</v>
      </c>
      <c r="FN18" s="47">
        <f t="shared" si="96"/>
        <v>0</v>
      </c>
      <c r="FO18" s="546">
        <f t="shared" si="97"/>
        <v>577.38152880688324</v>
      </c>
      <c r="FP18" s="546">
        <f t="shared" si="98"/>
        <v>452.85780854785037</v>
      </c>
      <c r="FQ18" s="546">
        <f t="shared" si="99"/>
        <v>2299.7257173269422</v>
      </c>
      <c r="FR18" s="546">
        <f t="shared" si="100"/>
        <v>71773.365317322648</v>
      </c>
      <c r="FS18" s="546">
        <f t="shared" si="101"/>
        <v>1485339.1534803458</v>
      </c>
      <c r="FT18" s="546">
        <f t="shared" si="102"/>
        <v>7279887.2755794041</v>
      </c>
      <c r="FU18" s="546">
        <f t="shared" si="103"/>
        <v>45.022229366773402</v>
      </c>
      <c r="FV18" s="546">
        <f t="shared" si="104"/>
        <v>64.055921442942207</v>
      </c>
      <c r="FW18" s="546">
        <f t="shared" si="105"/>
        <v>474.23945700332098</v>
      </c>
      <c r="FX18" s="546">
        <f t="shared" si="106"/>
        <v>616.98615355731738</v>
      </c>
      <c r="FY18" s="546">
        <f t="shared" si="107"/>
        <v>2922.7095246548388</v>
      </c>
      <c r="FZ18" s="546">
        <f t="shared" si="108"/>
        <v>72819.913923115862</v>
      </c>
      <c r="GA18" s="546">
        <f t="shared" si="109"/>
        <v>165193.42356992536</v>
      </c>
      <c r="GB18" s="546">
        <f t="shared" si="110"/>
        <v>27.791625768829974</v>
      </c>
      <c r="GC18" s="546">
        <f t="shared" si="111"/>
        <v>62.663806295856347</v>
      </c>
      <c r="GD18" s="546">
        <f t="shared" si="112"/>
        <v>128.94273190920202</v>
      </c>
    </row>
    <row r="19" spans="1:186">
      <c r="A19" s="4">
        <v>42887</v>
      </c>
      <c r="B19" s="6">
        <v>2017</v>
      </c>
      <c r="C19" s="5">
        <v>6</v>
      </c>
      <c r="D19" s="7">
        <v>66835340.77071131</v>
      </c>
      <c r="E19" s="7">
        <f>IFERROR(VLOOKUP($B19-1,CDM!$V$4:$AJ$17,2,FALSE)/12,0)+IFERROR(VLOOKUP($B19,CDM!$V$41:$AJ$54,2,FALSE)/24,0)+IFERROR(VLOOKUP($B19,CDM!$V$41:$AJ$54,2,FALSE)/2*$C19/78,0)</f>
        <v>2697617.23771297</v>
      </c>
      <c r="F19" s="7">
        <f t="shared" si="0"/>
        <v>69532958.008424282</v>
      </c>
      <c r="G19" s="7">
        <f>IFERROR(HLOOKUP(B19,'EV Forecast VRZ'!$F$116:$T$122,2,FALSE)*C19/78,0)</f>
        <v>18836.919175691932</v>
      </c>
      <c r="H19" s="7"/>
      <c r="I19" s="7">
        <f t="shared" si="1"/>
        <v>69514121.089248583</v>
      </c>
      <c r="J19" s="7">
        <v>623119.48953443998</v>
      </c>
      <c r="K19" s="7">
        <f>IFERROR(VLOOKUP($B19-1,CDM!$V$4:$AJ$17,3,FALSE)/12,0)+IFERROR(VLOOKUP($B19,CDM!$V$41:$AJ$54,3,FALSE)/24,0)+IFERROR(VLOOKUP($B19,CDM!$V$41:$AJ$54,3,FALSE)/2*$C19/78,0)</f>
        <v>30897.977970432454</v>
      </c>
      <c r="L19" s="7">
        <f t="shared" si="2"/>
        <v>654017.46750487247</v>
      </c>
      <c r="M19" s="7">
        <f>IFERROR(HLOOKUP(B19,'EV Forecast VRZ'!$F$116:$T$122,3,FALSE)*C19/78,0)</f>
        <v>255.60082430806244</v>
      </c>
      <c r="N19" s="7"/>
      <c r="O19" s="7">
        <f t="shared" si="3"/>
        <v>653761.86668056436</v>
      </c>
      <c r="P19" s="7">
        <v>20516245.702165615</v>
      </c>
      <c r="Q19" s="7">
        <f>IFERROR(VLOOKUP($B19-1,CDM!$V$4:$AJ$17,4,FALSE)/12,0)+IFERROR(VLOOKUP($B19,CDM!$V$41:$AJ$54,4,FALSE)/24,0)+IFERROR(VLOOKUP($B19,CDM!$V$41:$AJ$54,4,FALSE)/2*$C19/78,0)</f>
        <v>692795.03234480973</v>
      </c>
      <c r="R19" s="7">
        <f t="shared" si="4"/>
        <v>21209040.734510425</v>
      </c>
      <c r="S19" s="7">
        <f>IFERROR(HLOOKUP(B19,'EV Forecast VRZ'!$F$116:$T$122,4,FALSE)*C19/78,0)</f>
        <v>2402.9661538461542</v>
      </c>
      <c r="T19" s="7"/>
      <c r="U19" s="7">
        <f t="shared" si="5"/>
        <v>21206637.76835658</v>
      </c>
      <c r="V19" s="7">
        <v>74526309.814023316</v>
      </c>
      <c r="W19" s="7">
        <f>IFERROR(VLOOKUP($B19-1,CDM!$V$4:$AJ$17,5,FALSE)/12,0)+IFERROR(VLOOKUP($B19,CDM!$V$41:$AJ$54,5,FALSE)/24,0)+IFERROR(VLOOKUP($B19,CDM!$V$41:$AJ$54,5,FALSE)/2*$C19/78,0)</f>
        <v>2555724.2270096894</v>
      </c>
      <c r="X19" s="7">
        <f t="shared" si="6"/>
        <v>77082034.041033</v>
      </c>
      <c r="Y19" s="7">
        <f>IFERROR(HLOOKUP(B19,'EV Forecast VRZ'!$F$116:$T$122,5,FALSE)*C19/78,0)</f>
        <v>1094.0270769230769</v>
      </c>
      <c r="Z19" s="7"/>
      <c r="AA19" s="7">
        <f t="shared" si="7"/>
        <v>77080940.01395607</v>
      </c>
      <c r="AB19" s="7">
        <v>7222720.6409811387</v>
      </c>
      <c r="AC19" s="7">
        <f>IFERROR(VLOOKUP($B19-1,CDM!$V$4:$AJ$17,6,FALSE)/12,0)+IFERROR(VLOOKUP($B19,CDM!$V$41:$AJ$54,6,FALSE)/24,0)+IFERROR(VLOOKUP($B19,CDM!$V$41:$AJ$54,6,FALSE)/2*$C19/78,0)</f>
        <v>94983.542361706583</v>
      </c>
      <c r="AD19" s="7">
        <f t="shared" si="8"/>
        <v>7317704.1833428452</v>
      </c>
      <c r="AE19" s="7">
        <f>IFERROR(HLOOKUP(B19,'EV Forecast VRZ'!$F$116:$T$122,6,FALSE)*C19/78,0)</f>
        <v>170.91753846153844</v>
      </c>
      <c r="AF19" s="7">
        <f t="shared" si="9"/>
        <v>7317533.2658043839</v>
      </c>
      <c r="AG19" s="7">
        <v>19163814.81690371</v>
      </c>
      <c r="AH19" s="7">
        <f>IFERROR(VLOOKUP($B19-1,CDM!$V$4:$AJ$17,7,FALSE)/12,0)+IFERROR(VLOOKUP($B19,CDM!$V$41:$AJ$54,7,FALSE)/24,0)+IFERROR(VLOOKUP($B19,CDM!$V$41:$AJ$54,7,FALSE)/2*$C19/78,0)</f>
        <v>812578.8812927691</v>
      </c>
      <c r="AI19" s="7">
        <f t="shared" si="10"/>
        <v>19976393.698196478</v>
      </c>
      <c r="AJ19" s="7">
        <f>IFERROR(HLOOKUP(B19,'EV Forecast VRZ'!$F$116:$T$122,7,FALSE)*C19/78,0)</f>
        <v>0</v>
      </c>
      <c r="AK19" s="7">
        <f t="shared" si="11"/>
        <v>19976393.698196478</v>
      </c>
      <c r="AL19" s="7">
        <v>1238974.2606372831</v>
      </c>
      <c r="AM19" s="7">
        <v>20427.914520129747</v>
      </c>
      <c r="AN19" s="7">
        <v>391279.98473573744</v>
      </c>
      <c r="AO19" s="5">
        <v>202521</v>
      </c>
      <c r="AP19" s="5">
        <v>16490.66</v>
      </c>
      <c r="AQ19" s="5">
        <v>37192</v>
      </c>
      <c r="AR19" s="5">
        <v>4765.38</v>
      </c>
      <c r="AS19" s="544">
        <f t="shared" si="113"/>
        <v>80.583333333333329</v>
      </c>
      <c r="AT19" s="557">
        <v>108329</v>
      </c>
      <c r="AU19" s="557">
        <v>1577.4999999999995</v>
      </c>
      <c r="AV19" s="557">
        <v>9013.5</v>
      </c>
      <c r="AW19" s="557">
        <v>1067.0000000000005</v>
      </c>
      <c r="AX19" s="557">
        <v>5</v>
      </c>
      <c r="AY19" s="557">
        <v>3</v>
      </c>
      <c r="AZ19" s="557">
        <v>30389</v>
      </c>
      <c r="BA19" s="557">
        <v>439</v>
      </c>
      <c r="BB19" s="557">
        <v>825.99999999999977</v>
      </c>
      <c r="BC19" s="560">
        <v>27922666.180007745</v>
      </c>
      <c r="BD19" s="560">
        <f>IFERROR(VLOOKUP($B19-1,CDM!$V$4:$AJ$17,11,FALSE)/12,0)+IFERROR(VLOOKUP($B19,CDM!$V$41:$AJ$54,11,FALSE)/24,0)+IFERROR(VLOOKUP($B19,CDM!$V$41:$AJ$54,11,FALSE)/2*$C19/78,0)</f>
        <v>1397844.9293327956</v>
      </c>
      <c r="BE19" s="560">
        <f t="shared" si="67"/>
        <v>29320511.109340541</v>
      </c>
      <c r="BF19" s="560">
        <f>IFERROR(HLOOKUP(B19,'EV Forecast WRZ'!$F$116:$T$122,2,FALSE)*C19/78,0)</f>
        <v>6076.2138461538461</v>
      </c>
      <c r="BG19" s="560"/>
      <c r="BH19" s="560">
        <f t="shared" si="13"/>
        <v>29314434.895494387</v>
      </c>
      <c r="BI19" s="560">
        <v>6638000.9862253685</v>
      </c>
      <c r="BJ19" s="560">
        <f>IFERROR(VLOOKUP($B19-1,CDM!$V$4:$AJ$17,12,FALSE)/12,0)+IFERROR(VLOOKUP($B19,CDM!$V$41:$AJ$54,12,FALSE)/24,0)+IFERROR(VLOOKUP($B19,CDM!$V$41:$AJ$54,12,FALSE)/2*$C19/78,0)</f>
        <v>137006.19246239675</v>
      </c>
      <c r="BK19" s="560">
        <f t="shared" si="14"/>
        <v>6775007.1786877653</v>
      </c>
      <c r="BL19" s="560">
        <f>IFERROR(HLOOKUP(B19,'EV Forecast WRZ'!$F$116:$T$122,3,FALSE)*C19/78,0)</f>
        <v>843.12923076923084</v>
      </c>
      <c r="BM19" s="560"/>
      <c r="BN19" s="560">
        <f t="shared" si="15"/>
        <v>6774164.0494569959</v>
      </c>
      <c r="BO19" s="560">
        <v>27520202.202341639</v>
      </c>
      <c r="BP19" s="560">
        <f>IFERROR(VLOOKUP($B19-1,CDM!$V$4:$AJ$17,13,FALSE)/12,0)+IFERROR(VLOOKUP($B19,CDM!$V$41:$AJ$54,13,FALSE)/24,0)+IFERROR(VLOOKUP($B19,CDM!$V$41:$AJ$54,13,FALSE)/2*$C19/78,0)</f>
        <v>706303.61469067913</v>
      </c>
      <c r="BQ19" s="560">
        <f t="shared" si="16"/>
        <v>28226505.817032319</v>
      </c>
      <c r="BR19" s="560">
        <f>IFERROR(HLOOKUP(B19,'EV Forecast WRZ'!$F$116:$T$122,4,FALSE)*C19/78,0)</f>
        <v>389.7927692307693</v>
      </c>
      <c r="BS19" s="560"/>
      <c r="BT19" s="560">
        <f t="shared" si="17"/>
        <v>28226116.024263088</v>
      </c>
      <c r="BU19" s="560">
        <v>4888029.8746383805</v>
      </c>
      <c r="BV19" s="560">
        <f>IFERROR(VLOOKUP($B19-1,CDM!$V$4:$AJ$17,14,FALSE)/12,0)+IFERROR(VLOOKUP($B19,CDM!$V$41:$AJ$54,14,FALSE)/24,0)+IFERROR(VLOOKUP($B19,CDM!$V$41:$AJ$54,14,FALSE)/2*$C19/78,0)</f>
        <v>158792.70143047132</v>
      </c>
      <c r="BW19" s="560">
        <f t="shared" si="18"/>
        <v>5046822.5760688521</v>
      </c>
      <c r="BX19" s="560">
        <f>IFERROR(HLOOKUP(B19,'EV Forecast WRZ'!$F$116:$T$122,5,FALSE)*C19/78,0)</f>
        <v>83.694923076923075</v>
      </c>
      <c r="BY19" s="560">
        <f t="shared" si="68"/>
        <v>5046738.8811457753</v>
      </c>
      <c r="BZ19" s="560">
        <v>295548.00076525728</v>
      </c>
      <c r="CA19" s="560">
        <v>2417.7785262484567</v>
      </c>
      <c r="CB19" s="560">
        <v>47298.976468337474</v>
      </c>
      <c r="CC19" s="5">
        <v>69963.89</v>
      </c>
      <c r="CD19" s="5">
        <v>7433.4</v>
      </c>
      <c r="CE19" s="5">
        <v>1074.6600000000001</v>
      </c>
      <c r="CF19" s="544">
        <f t="shared" si="114"/>
        <v>7.333333333333333</v>
      </c>
      <c r="CG19" s="565">
        <v>39738.999999999985</v>
      </c>
      <c r="CH19" s="565">
        <v>2229</v>
      </c>
      <c r="CI19" s="565">
        <v>368</v>
      </c>
      <c r="CJ19" s="565">
        <v>2</v>
      </c>
      <c r="CK19" s="565">
        <v>11890</v>
      </c>
      <c r="CL19" s="565">
        <v>38.499999999999986</v>
      </c>
      <c r="CM19" s="565">
        <v>370.5</v>
      </c>
      <c r="CN19" s="46">
        <f>Weather!C43</f>
        <v>85.453333333333319</v>
      </c>
      <c r="CO19" s="46">
        <f>Weather!D43</f>
        <v>14.074999999999999</v>
      </c>
      <c r="CP19" s="46">
        <f>Weather!E43</f>
        <v>47.73249999999998</v>
      </c>
      <c r="CQ19" s="46">
        <f>Weather!F43</f>
        <v>36.354166666666671</v>
      </c>
      <c r="CR19" s="46">
        <f>Weather!G43</f>
        <v>20.287499999999987</v>
      </c>
      <c r="CS19" s="46">
        <f>Weather!H43</f>
        <v>68.909166666666678</v>
      </c>
      <c r="CT19" s="46">
        <f>Weather!I43</f>
        <v>4.091666666666665</v>
      </c>
      <c r="CU19" s="46">
        <f>Weather!J43</f>
        <v>112.71333333333334</v>
      </c>
      <c r="CV19" s="46">
        <f>Weather!K43</f>
        <v>0</v>
      </c>
      <c r="CW19" s="46">
        <f>Weather!L43</f>
        <v>168.62166666666667</v>
      </c>
      <c r="CX19" s="46">
        <f>Weather!M43</f>
        <v>0</v>
      </c>
      <c r="CY19" s="46">
        <f>Weather!N43</f>
        <v>228.62166666666667</v>
      </c>
      <c r="CZ19" s="46">
        <f>Weather!O43</f>
        <v>0</v>
      </c>
      <c r="DA19" s="46">
        <f>Weather!P43</f>
        <v>288.62166666666667</v>
      </c>
      <c r="DB19" s="243">
        <f>'Economic Data'!D45</f>
        <v>7071</v>
      </c>
      <c r="DC19" s="243">
        <f>'Economic Data'!E45</f>
        <v>7112.9</v>
      </c>
      <c r="DD19" s="243">
        <f>'Economic Data'!F45</f>
        <v>205.5</v>
      </c>
      <c r="DE19" s="243">
        <f>'Economic Data'!G45</f>
        <v>209</v>
      </c>
      <c r="DF19" s="243">
        <f>'Economic Data'!H45</f>
        <v>42.4</v>
      </c>
      <c r="DG19" s="243">
        <f>'Economic Data'!I45</f>
        <v>42.4</v>
      </c>
      <c r="DH19" s="243">
        <f>'Economic Data'!J45</f>
        <v>764464.8</v>
      </c>
      <c r="DI19" s="243">
        <f>'Economic Data'!K45</f>
        <v>590729.4</v>
      </c>
      <c r="DJ19" s="243">
        <f>'Economic Data'!L45</f>
        <v>91847.6</v>
      </c>
      <c r="DK19" s="243">
        <f>'Economic Data'!M45</f>
        <v>31122.7</v>
      </c>
      <c r="DL19" s="243">
        <f>'Economic Data'!N45</f>
        <v>764676</v>
      </c>
      <c r="DM19" s="243">
        <f>'Economic Data'!O45</f>
        <v>92541</v>
      </c>
      <c r="DN19" s="243">
        <f>'Economic Data'!P45</f>
        <v>20379</v>
      </c>
      <c r="DO19" s="243">
        <f>'Economic Data'!Q45</f>
        <v>590485</v>
      </c>
      <c r="DP19" s="243">
        <f>'Economic Data'!R45</f>
        <v>31145</v>
      </c>
      <c r="DQ19">
        <v>30</v>
      </c>
      <c r="DR19">
        <v>22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1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f t="shared" si="66"/>
        <v>18</v>
      </c>
      <c r="EI19">
        <v>0</v>
      </c>
      <c r="EJ19">
        <v>0</v>
      </c>
      <c r="EK19">
        <v>0</v>
      </c>
      <c r="EL19">
        <v>0</v>
      </c>
      <c r="EM19" s="47">
        <f t="shared" si="69"/>
        <v>0</v>
      </c>
      <c r="EN19" s="47">
        <f t="shared" si="70"/>
        <v>0</v>
      </c>
      <c r="EO19" s="47">
        <f t="shared" si="71"/>
        <v>0</v>
      </c>
      <c r="EP19" s="47">
        <f t="shared" si="72"/>
        <v>0</v>
      </c>
      <c r="EQ19" s="47">
        <f t="shared" si="73"/>
        <v>0</v>
      </c>
      <c r="ER19" s="47">
        <f t="shared" si="74"/>
        <v>0</v>
      </c>
      <c r="ES19" s="47">
        <f t="shared" si="75"/>
        <v>0</v>
      </c>
      <c r="ET19" s="47">
        <f t="shared" si="76"/>
        <v>0</v>
      </c>
      <c r="EU19" s="47">
        <f t="shared" si="77"/>
        <v>0</v>
      </c>
      <c r="EV19" s="47">
        <f t="shared" si="78"/>
        <v>0</v>
      </c>
      <c r="EW19" s="47">
        <f t="shared" si="79"/>
        <v>0</v>
      </c>
      <c r="EX19" s="47">
        <f t="shared" si="80"/>
        <v>0</v>
      </c>
      <c r="EY19" s="47">
        <f t="shared" si="81"/>
        <v>0</v>
      </c>
      <c r="EZ19" s="47">
        <f t="shared" si="82"/>
        <v>0</v>
      </c>
      <c r="FA19" s="47">
        <f t="shared" si="83"/>
        <v>0</v>
      </c>
      <c r="FB19" s="47">
        <f t="shared" si="84"/>
        <v>0</v>
      </c>
      <c r="FC19" s="47">
        <f t="shared" si="85"/>
        <v>0</v>
      </c>
      <c r="FD19" s="47">
        <f t="shared" si="86"/>
        <v>0</v>
      </c>
      <c r="FE19" s="47">
        <f t="shared" si="87"/>
        <v>0</v>
      </c>
      <c r="FF19" s="47">
        <f t="shared" si="88"/>
        <v>0</v>
      </c>
      <c r="FG19" s="47">
        <f t="shared" si="89"/>
        <v>0</v>
      </c>
      <c r="FH19" s="47">
        <f t="shared" si="90"/>
        <v>0</v>
      </c>
      <c r="FI19" s="47">
        <f t="shared" si="91"/>
        <v>0</v>
      </c>
      <c r="FJ19" s="47">
        <f t="shared" si="92"/>
        <v>0</v>
      </c>
      <c r="FK19" s="47">
        <f t="shared" si="93"/>
        <v>0</v>
      </c>
      <c r="FL19" s="47">
        <f t="shared" si="94"/>
        <v>0</v>
      </c>
      <c r="FM19" s="47">
        <f t="shared" si="95"/>
        <v>0</v>
      </c>
      <c r="FN19" s="47">
        <f t="shared" si="96"/>
        <v>0</v>
      </c>
      <c r="FO19" s="546">
        <f t="shared" si="97"/>
        <v>641.69447783371561</v>
      </c>
      <c r="FP19" s="546">
        <f t="shared" si="98"/>
        <v>414.5911045989684</v>
      </c>
      <c r="FQ19" s="546">
        <f t="shared" si="99"/>
        <v>2353.0305358085566</v>
      </c>
      <c r="FR19" s="546">
        <f t="shared" si="100"/>
        <v>72241.831341174286</v>
      </c>
      <c r="FS19" s="546">
        <f t="shared" si="101"/>
        <v>1463540.8366685691</v>
      </c>
      <c r="FT19" s="546">
        <f t="shared" si="102"/>
        <v>6658797.8993988261</v>
      </c>
      <c r="FU19" s="546">
        <f t="shared" si="103"/>
        <v>40.770484735834778</v>
      </c>
      <c r="FV19" s="546">
        <f t="shared" si="104"/>
        <v>46.532834897789854</v>
      </c>
      <c r="FW19" s="546">
        <f t="shared" si="105"/>
        <v>473.70458200452487</v>
      </c>
      <c r="FX19" s="546">
        <f t="shared" si="106"/>
        <v>737.82709955813061</v>
      </c>
      <c r="FY19" s="546">
        <f t="shared" si="107"/>
        <v>3039.4828078455653</v>
      </c>
      <c r="FZ19" s="546">
        <f t="shared" si="108"/>
        <v>76702.461459326951</v>
      </c>
      <c r="GA19" s="546">
        <f t="shared" si="109"/>
        <v>147774.00038262864</v>
      </c>
      <c r="GB19" s="546">
        <f t="shared" si="110"/>
        <v>24.8568545639409</v>
      </c>
      <c r="GC19" s="546">
        <f t="shared" si="111"/>
        <v>62.799442240219676</v>
      </c>
      <c r="GD19" s="546">
        <f t="shared" si="112"/>
        <v>127.66255457041153</v>
      </c>
    </row>
    <row r="20" spans="1:186">
      <c r="A20" s="4">
        <v>42917</v>
      </c>
      <c r="B20" s="6">
        <v>2017</v>
      </c>
      <c r="C20" s="5">
        <v>7</v>
      </c>
      <c r="D20" s="7">
        <v>83114868.687091783</v>
      </c>
      <c r="E20" s="7">
        <f>IFERROR(VLOOKUP($B20-1,CDM!$V$4:$AJ$17,2,FALSE)/12,0)+IFERROR(VLOOKUP($B20,CDM!$V$41:$AJ$54,2,FALSE)/24,0)+IFERROR(VLOOKUP($B20,CDM!$V$41:$AJ$54,2,FALSE)/2*$C20/78,0)</f>
        <v>2808970.298977532</v>
      </c>
      <c r="F20" s="7">
        <f t="shared" si="0"/>
        <v>85923838.986069322</v>
      </c>
      <c r="G20" s="7">
        <f>IFERROR(HLOOKUP(B20,'EV Forecast VRZ'!$F$116:$T$122,2,FALSE)*C20/78,0)</f>
        <v>21976.405704973924</v>
      </c>
      <c r="H20" s="7"/>
      <c r="I20" s="7">
        <f t="shared" si="1"/>
        <v>85901862.580364347</v>
      </c>
      <c r="J20" s="7">
        <v>945558.65553329419</v>
      </c>
      <c r="K20" s="7">
        <f>IFERROR(VLOOKUP($B20-1,CDM!$V$4:$AJ$17,3,FALSE)/12,0)+IFERROR(VLOOKUP($B20,CDM!$V$41:$AJ$54,3,FALSE)/24,0)+IFERROR(VLOOKUP($B20,CDM!$V$41:$AJ$54,3,FALSE)/2*$C20/78,0)</f>
        <v>32173.394062008716</v>
      </c>
      <c r="L20" s="7">
        <f t="shared" si="2"/>
        <v>977732.0495953029</v>
      </c>
      <c r="M20" s="7">
        <f>IFERROR(HLOOKUP(B20,'EV Forecast VRZ'!$F$116:$T$122,3,FALSE)*C20/78,0)</f>
        <v>298.20096169273955</v>
      </c>
      <c r="N20" s="7"/>
      <c r="O20" s="7">
        <f t="shared" si="3"/>
        <v>977433.84863361018</v>
      </c>
      <c r="P20" s="7">
        <v>22374809.6364149</v>
      </c>
      <c r="Q20" s="7">
        <f>IFERROR(VLOOKUP($B20-1,CDM!$V$4:$AJ$17,4,FALSE)/12,0)+IFERROR(VLOOKUP($B20,CDM!$V$41:$AJ$54,4,FALSE)/24,0)+IFERROR(VLOOKUP($B20,CDM!$V$41:$AJ$54,4,FALSE)/2*$C20/78,0)</f>
        <v>706445.27705967845</v>
      </c>
      <c r="R20" s="7">
        <f t="shared" si="4"/>
        <v>23081254.913474578</v>
      </c>
      <c r="S20" s="7">
        <f>IFERROR(HLOOKUP(B20,'EV Forecast VRZ'!$F$116:$T$122,4,FALSE)*C20/78,0)</f>
        <v>2803.460512820513</v>
      </c>
      <c r="T20" s="7"/>
      <c r="U20" s="7">
        <f t="shared" si="5"/>
        <v>23078451.452961758</v>
      </c>
      <c r="V20" s="7">
        <v>76421197.148709387</v>
      </c>
      <c r="W20" s="7">
        <f>IFERROR(VLOOKUP($B20-1,CDM!$V$4:$AJ$17,5,FALSE)/12,0)+IFERROR(VLOOKUP($B20,CDM!$V$41:$AJ$54,5,FALSE)/24,0)+IFERROR(VLOOKUP($B20,CDM!$V$41:$AJ$54,5,FALSE)/2*$C20/78,0)</f>
        <v>2612538.0344534847</v>
      </c>
      <c r="X20" s="7">
        <f t="shared" si="6"/>
        <v>79033735.183162868</v>
      </c>
      <c r="Y20" s="7">
        <f>IFERROR(HLOOKUP(B20,'EV Forecast VRZ'!$F$116:$T$122,5,FALSE)*C20/78,0)</f>
        <v>1276.3649230769229</v>
      </c>
      <c r="Z20" s="7"/>
      <c r="AA20" s="7">
        <f t="shared" si="7"/>
        <v>79032458.818239793</v>
      </c>
      <c r="AB20" s="7">
        <v>6814882.602491417</v>
      </c>
      <c r="AC20" s="7">
        <f>IFERROR(VLOOKUP($B20-1,CDM!$V$4:$AJ$17,6,FALSE)/12,0)+IFERROR(VLOOKUP($B20,CDM!$V$41:$AJ$54,6,FALSE)/24,0)+IFERROR(VLOOKUP($B20,CDM!$V$41:$AJ$54,6,FALSE)/2*$C20/78,0)</f>
        <v>99258.561334177968</v>
      </c>
      <c r="AD20" s="7">
        <f t="shared" si="8"/>
        <v>6914141.1638255948</v>
      </c>
      <c r="AE20" s="7">
        <f>IFERROR(HLOOKUP(B20,'EV Forecast VRZ'!$F$116:$T$122,6,FALSE)*C20/78,0)</f>
        <v>199.40379487179487</v>
      </c>
      <c r="AF20" s="7">
        <f t="shared" si="9"/>
        <v>6913941.7600307232</v>
      </c>
      <c r="AG20" s="7">
        <v>17756376.394644976</v>
      </c>
      <c r="AH20" s="7">
        <f>IFERROR(VLOOKUP($B20-1,CDM!$V$4:$AJ$17,7,FALSE)/12,0)+IFERROR(VLOOKUP($B20,CDM!$V$41:$AJ$54,7,FALSE)/24,0)+IFERROR(VLOOKUP($B20,CDM!$V$41:$AJ$54,7,FALSE)/2*$C20/78,0)</f>
        <v>830059.74407708575</v>
      </c>
      <c r="AI20" s="7">
        <f t="shared" si="10"/>
        <v>18586436.138722062</v>
      </c>
      <c r="AJ20" s="7">
        <f>IFERROR(HLOOKUP(B20,'EV Forecast VRZ'!$F$116:$T$122,7,FALSE)*C20/78,0)</f>
        <v>0</v>
      </c>
      <c r="AK20" s="7">
        <f t="shared" si="11"/>
        <v>18586436.138722062</v>
      </c>
      <c r="AL20" s="7">
        <v>1312123.6405266169</v>
      </c>
      <c r="AM20" s="7">
        <v>19619.395153596637</v>
      </c>
      <c r="AN20" s="7">
        <v>390929.99427590152</v>
      </c>
      <c r="AO20" s="5">
        <v>192443.1</v>
      </c>
      <c r="AP20" s="5">
        <v>16771.400000000001</v>
      </c>
      <c r="AQ20" s="5">
        <v>29609</v>
      </c>
      <c r="AR20" s="5">
        <v>4703.0600000000004</v>
      </c>
      <c r="AS20" s="544">
        <f t="shared" si="113"/>
        <v>80.583333333333329</v>
      </c>
      <c r="AT20" s="557">
        <v>108400.5</v>
      </c>
      <c r="AU20" s="557">
        <v>1576.5833333333328</v>
      </c>
      <c r="AV20" s="557">
        <v>9017.25</v>
      </c>
      <c r="AW20" s="557">
        <v>1069.6666666666672</v>
      </c>
      <c r="AX20" s="557">
        <v>5</v>
      </c>
      <c r="AY20" s="557">
        <v>3</v>
      </c>
      <c r="AZ20" s="557">
        <v>30434.5</v>
      </c>
      <c r="BA20" s="557">
        <v>439</v>
      </c>
      <c r="BB20" s="557">
        <v>825.1666666666664</v>
      </c>
      <c r="BC20" s="560">
        <v>34948587.693629228</v>
      </c>
      <c r="BD20" s="560">
        <f>IFERROR(VLOOKUP($B20-1,CDM!$V$4:$AJ$17,11,FALSE)/12,0)+IFERROR(VLOOKUP($B20,CDM!$V$41:$AJ$54,11,FALSE)/24,0)+IFERROR(VLOOKUP($B20,CDM!$V$41:$AJ$54,11,FALSE)/2*$C20/78,0)</f>
        <v>1457490.5727283629</v>
      </c>
      <c r="BE20" s="560">
        <f t="shared" si="67"/>
        <v>36406078.266357593</v>
      </c>
      <c r="BF20" s="560">
        <f>IFERROR(HLOOKUP(B20,'EV Forecast WRZ'!$F$116:$T$122,2,FALSE)*C20/78,0)</f>
        <v>7088.9161538461531</v>
      </c>
      <c r="BG20" s="560"/>
      <c r="BH20" s="560">
        <f t="shared" si="13"/>
        <v>36398989.350203745</v>
      </c>
      <c r="BI20" s="560">
        <v>7218224.2818634007</v>
      </c>
      <c r="BJ20" s="560">
        <f>IFERROR(VLOOKUP($B20-1,CDM!$V$4:$AJ$17,12,FALSE)/12,0)+IFERROR(VLOOKUP($B20,CDM!$V$41:$AJ$54,12,FALSE)/24,0)+IFERROR(VLOOKUP($B20,CDM!$V$41:$AJ$54,12,FALSE)/2*$C20/78,0)</f>
        <v>138729.20537370216</v>
      </c>
      <c r="BK20" s="560">
        <f t="shared" si="14"/>
        <v>7356953.4872371033</v>
      </c>
      <c r="BL20" s="560">
        <f>IFERROR(HLOOKUP(B20,'EV Forecast WRZ'!$F$116:$T$122,3,FALSE)*C20/78,0)</f>
        <v>983.65076923076936</v>
      </c>
      <c r="BM20" s="560"/>
      <c r="BN20" s="560">
        <f t="shared" si="15"/>
        <v>7355969.8364678724</v>
      </c>
      <c r="BO20" s="560">
        <v>26946433.969378561</v>
      </c>
      <c r="BP20" s="560">
        <f>IFERROR(VLOOKUP($B20-1,CDM!$V$4:$AJ$17,13,FALSE)/12,0)+IFERROR(VLOOKUP($B20,CDM!$V$41:$AJ$54,13,FALSE)/24,0)+IFERROR(VLOOKUP($B20,CDM!$V$41:$AJ$54,13,FALSE)/2*$C20/78,0)</f>
        <v>728837.12122560362</v>
      </c>
      <c r="BQ20" s="560">
        <f t="shared" si="16"/>
        <v>27675271.090604164</v>
      </c>
      <c r="BR20" s="560">
        <f>IFERROR(HLOOKUP(B20,'EV Forecast WRZ'!$F$116:$T$122,4,FALSE)*C20/78,0)</f>
        <v>454.75823076923086</v>
      </c>
      <c r="BS20" s="560"/>
      <c r="BT20" s="560">
        <f t="shared" si="17"/>
        <v>27674816.332373396</v>
      </c>
      <c r="BU20" s="560">
        <v>4954209.5756991329</v>
      </c>
      <c r="BV20" s="560">
        <f>IFERROR(VLOOKUP($B20-1,CDM!$V$4:$AJ$17,14,FALSE)/12,0)+IFERROR(VLOOKUP($B20,CDM!$V$41:$AJ$54,14,FALSE)/24,0)+IFERROR(VLOOKUP($B20,CDM!$V$41:$AJ$54,14,FALSE)/2*$C20/78,0)</f>
        <v>163858.73295141841</v>
      </c>
      <c r="BW20" s="560">
        <f t="shared" si="18"/>
        <v>5118068.3086505514</v>
      </c>
      <c r="BX20" s="560">
        <f>IFERROR(HLOOKUP(B20,'EV Forecast WRZ'!$F$116:$T$122,5,FALSE)*C20/78,0)</f>
        <v>97.644076923076909</v>
      </c>
      <c r="BY20" s="560">
        <f t="shared" si="68"/>
        <v>5117970.6645736285</v>
      </c>
      <c r="BZ20" s="560">
        <v>313798.73732542567</v>
      </c>
      <c r="CA20" s="560">
        <v>2417.7785262484567</v>
      </c>
      <c r="CB20" s="560">
        <v>47298.966902620996</v>
      </c>
      <c r="CC20" s="5">
        <v>69658.33</v>
      </c>
      <c r="CD20" s="5">
        <v>7453.67</v>
      </c>
      <c r="CE20" s="5">
        <v>1074.9100000000001</v>
      </c>
      <c r="CF20" s="544">
        <f t="shared" si="114"/>
        <v>7.333333333333333</v>
      </c>
      <c r="CG20" s="565">
        <v>39764.16666666665</v>
      </c>
      <c r="CH20" s="565">
        <v>2230.5</v>
      </c>
      <c r="CI20" s="565">
        <v>368</v>
      </c>
      <c r="CJ20" s="565">
        <v>2</v>
      </c>
      <c r="CK20" s="565">
        <v>11892</v>
      </c>
      <c r="CL20" s="565">
        <v>38.41666666666665</v>
      </c>
      <c r="CM20" s="565">
        <v>370.75</v>
      </c>
      <c r="CN20" s="46">
        <f>Weather!C44</f>
        <v>14.412500000000009</v>
      </c>
      <c r="CO20" s="46">
        <f>Weather!D44</f>
        <v>26.579166666666627</v>
      </c>
      <c r="CP20" s="46">
        <f>Weather!E44</f>
        <v>1.8041666666666707</v>
      </c>
      <c r="CQ20" s="46">
        <f>Weather!F44</f>
        <v>75.970833333333289</v>
      </c>
      <c r="CR20" s="46">
        <f>Weather!G44</f>
        <v>0</v>
      </c>
      <c r="CS20" s="46">
        <f>Weather!H44</f>
        <v>136.16666666666663</v>
      </c>
      <c r="CT20" s="46">
        <f>Weather!I44</f>
        <v>0</v>
      </c>
      <c r="CU20" s="46">
        <f>Weather!J44</f>
        <v>198.16666666666666</v>
      </c>
      <c r="CV20" s="46">
        <f>Weather!K44</f>
        <v>0</v>
      </c>
      <c r="CW20" s="46">
        <f>Weather!L44</f>
        <v>260.16666666666657</v>
      </c>
      <c r="CX20" s="46">
        <f>Weather!M44</f>
        <v>0</v>
      </c>
      <c r="CY20" s="46">
        <f>Weather!N44</f>
        <v>322.16666666666657</v>
      </c>
      <c r="CZ20" s="46">
        <f>Weather!O44</f>
        <v>0</v>
      </c>
      <c r="DA20" s="46">
        <f>Weather!P44</f>
        <v>384.16666666666657</v>
      </c>
      <c r="DB20" s="243">
        <f>'Economic Data'!D46</f>
        <v>7099.1</v>
      </c>
      <c r="DC20" s="243">
        <f>'Economic Data'!E46</f>
        <v>7186.7</v>
      </c>
      <c r="DD20" s="243">
        <f>'Economic Data'!F46</f>
        <v>206.4</v>
      </c>
      <c r="DE20" s="243">
        <f>'Economic Data'!G46</f>
        <v>209.1</v>
      </c>
      <c r="DF20" s="243">
        <f>'Economic Data'!H46</f>
        <v>47.3</v>
      </c>
      <c r="DG20" s="243">
        <f>'Economic Data'!I46</f>
        <v>47.3</v>
      </c>
      <c r="DH20" s="243">
        <f>'Economic Data'!J46</f>
        <v>764464.8</v>
      </c>
      <c r="DI20" s="243">
        <f>'Economic Data'!K46</f>
        <v>590729.4</v>
      </c>
      <c r="DJ20" s="243">
        <f>'Economic Data'!L46</f>
        <v>91847.6</v>
      </c>
      <c r="DK20" s="243">
        <f>'Economic Data'!M46</f>
        <v>31122.7</v>
      </c>
      <c r="DL20" s="243">
        <f>'Economic Data'!N46</f>
        <v>765009</v>
      </c>
      <c r="DM20" s="243">
        <f>'Economic Data'!O46</f>
        <v>90558</v>
      </c>
      <c r="DN20" s="243">
        <f>'Economic Data'!P46</f>
        <v>18652</v>
      </c>
      <c r="DO20" s="243">
        <f>'Economic Data'!Q46</f>
        <v>592463</v>
      </c>
      <c r="DP20" s="243">
        <f>'Economic Data'!R46</f>
        <v>31148</v>
      </c>
      <c r="DQ20">
        <v>31</v>
      </c>
      <c r="DR20">
        <v>20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1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f t="shared" si="66"/>
        <v>19</v>
      </c>
      <c r="EI20">
        <v>0</v>
      </c>
      <c r="EJ20">
        <v>0</v>
      </c>
      <c r="EK20">
        <v>0</v>
      </c>
      <c r="EL20">
        <v>0</v>
      </c>
      <c r="EM20" s="47">
        <f t="shared" si="69"/>
        <v>0</v>
      </c>
      <c r="EN20" s="47">
        <f t="shared" si="70"/>
        <v>0</v>
      </c>
      <c r="EO20" s="47">
        <f t="shared" si="71"/>
        <v>0</v>
      </c>
      <c r="EP20" s="47">
        <f t="shared" si="72"/>
        <v>0</v>
      </c>
      <c r="EQ20" s="47">
        <f t="shared" si="73"/>
        <v>0</v>
      </c>
      <c r="ER20" s="47">
        <f t="shared" si="74"/>
        <v>0</v>
      </c>
      <c r="ES20" s="47">
        <f t="shared" si="75"/>
        <v>0</v>
      </c>
      <c r="ET20" s="47">
        <f t="shared" si="76"/>
        <v>0</v>
      </c>
      <c r="EU20" s="47">
        <f t="shared" si="77"/>
        <v>0</v>
      </c>
      <c r="EV20" s="47">
        <f t="shared" si="78"/>
        <v>0</v>
      </c>
      <c r="EW20" s="47">
        <f t="shared" si="79"/>
        <v>0</v>
      </c>
      <c r="EX20" s="47">
        <f t="shared" si="80"/>
        <v>0</v>
      </c>
      <c r="EY20" s="47">
        <f t="shared" si="81"/>
        <v>0</v>
      </c>
      <c r="EZ20" s="47">
        <f t="shared" si="82"/>
        <v>0</v>
      </c>
      <c r="FA20" s="47">
        <f t="shared" si="83"/>
        <v>0</v>
      </c>
      <c r="FB20" s="47">
        <f t="shared" si="84"/>
        <v>0</v>
      </c>
      <c r="FC20" s="47">
        <f t="shared" si="85"/>
        <v>0</v>
      </c>
      <c r="FD20" s="47">
        <f t="shared" si="86"/>
        <v>0</v>
      </c>
      <c r="FE20" s="47">
        <f t="shared" si="87"/>
        <v>0</v>
      </c>
      <c r="FF20" s="47">
        <f t="shared" si="88"/>
        <v>0</v>
      </c>
      <c r="FG20" s="47">
        <f t="shared" si="89"/>
        <v>0</v>
      </c>
      <c r="FH20" s="47">
        <f t="shared" si="90"/>
        <v>0</v>
      </c>
      <c r="FI20" s="47">
        <f t="shared" si="91"/>
        <v>0</v>
      </c>
      <c r="FJ20" s="47">
        <f t="shared" si="92"/>
        <v>0</v>
      </c>
      <c r="FK20" s="47">
        <f t="shared" si="93"/>
        <v>0</v>
      </c>
      <c r="FL20" s="47">
        <f t="shared" si="94"/>
        <v>0</v>
      </c>
      <c r="FM20" s="47">
        <f t="shared" si="95"/>
        <v>0</v>
      </c>
      <c r="FN20" s="47">
        <f t="shared" si="96"/>
        <v>0</v>
      </c>
      <c r="FO20" s="546">
        <f t="shared" si="97"/>
        <v>792.44895162258797</v>
      </c>
      <c r="FP20" s="546">
        <f t="shared" si="98"/>
        <v>620.15881363410529</v>
      </c>
      <c r="FQ20" s="546">
        <f t="shared" si="99"/>
        <v>2559.6778301005938</v>
      </c>
      <c r="FR20" s="546">
        <f t="shared" si="100"/>
        <v>73886.321455122627</v>
      </c>
      <c r="FS20" s="546">
        <f t="shared" si="101"/>
        <v>1382828.2327651191</v>
      </c>
      <c r="FT20" s="546">
        <f t="shared" si="102"/>
        <v>6195478.7129073543</v>
      </c>
      <c r="FU20" s="546">
        <f t="shared" si="103"/>
        <v>43.113034238335338</v>
      </c>
      <c r="FV20" s="546">
        <f t="shared" si="104"/>
        <v>44.691105133477535</v>
      </c>
      <c r="FW20" s="546">
        <f t="shared" si="105"/>
        <v>473.75882966176732</v>
      </c>
      <c r="FX20" s="546">
        <f t="shared" si="106"/>
        <v>915.54988619630592</v>
      </c>
      <c r="FY20" s="546">
        <f t="shared" si="107"/>
        <v>3298.3427425407322</v>
      </c>
      <c r="FZ20" s="546">
        <f t="shared" si="108"/>
        <v>75204.541007076536</v>
      </c>
      <c r="GA20" s="546">
        <f t="shared" si="109"/>
        <v>156899.36866271283</v>
      </c>
      <c r="GB20" s="546">
        <f t="shared" si="110"/>
        <v>26.387381207990721</v>
      </c>
      <c r="GC20" s="546">
        <f t="shared" si="111"/>
        <v>62.935666626857902</v>
      </c>
      <c r="GD20" s="546">
        <f t="shared" si="112"/>
        <v>127.57644478117598</v>
      </c>
    </row>
    <row r="21" spans="1:186">
      <c r="A21" s="4">
        <v>42948</v>
      </c>
      <c r="B21" s="6">
        <v>2017</v>
      </c>
      <c r="C21" s="5">
        <v>8</v>
      </c>
      <c r="D21" s="7">
        <v>77096964.269862339</v>
      </c>
      <c r="E21" s="7">
        <f>IFERROR(VLOOKUP($B21-1,CDM!$V$4:$AJ$17,2,FALSE)/12,0)+IFERROR(VLOOKUP($B21,CDM!$V$41:$AJ$54,2,FALSE)/24,0)+IFERROR(VLOOKUP($B21,CDM!$V$41:$AJ$54,2,FALSE)/2*$C21/78,0)</f>
        <v>2920323.3602420934</v>
      </c>
      <c r="F21" s="7">
        <f t="shared" si="0"/>
        <v>80017287.630104437</v>
      </c>
      <c r="G21" s="7">
        <f>IFERROR(HLOOKUP(B21,'EV Forecast VRZ'!$F$116:$T$122,2,FALSE)*C21/78,0)</f>
        <v>25115.892234255913</v>
      </c>
      <c r="H21" s="7"/>
      <c r="I21" s="7">
        <f t="shared" si="1"/>
        <v>79992171.737870187</v>
      </c>
      <c r="J21" s="7">
        <v>962190.88470711792</v>
      </c>
      <c r="K21" s="7">
        <f>IFERROR(VLOOKUP($B21-1,CDM!$V$4:$AJ$17,3,FALSE)/12,0)+IFERROR(VLOOKUP($B21,CDM!$V$41:$AJ$54,3,FALSE)/24,0)+IFERROR(VLOOKUP($B21,CDM!$V$41:$AJ$54,3,FALSE)/2*$C21/78,0)</f>
        <v>33448.810153584986</v>
      </c>
      <c r="L21" s="7">
        <f t="shared" si="2"/>
        <v>995639.69486070285</v>
      </c>
      <c r="M21" s="7">
        <f>IFERROR(HLOOKUP(B21,'EV Forecast VRZ'!$F$116:$T$122,3,FALSE)*C21/78,0)</f>
        <v>340.80109907741661</v>
      </c>
      <c r="N21" s="7"/>
      <c r="O21" s="7">
        <f t="shared" si="3"/>
        <v>995298.8937616254</v>
      </c>
      <c r="P21" s="7">
        <v>22115011.819499996</v>
      </c>
      <c r="Q21" s="7">
        <f>IFERROR(VLOOKUP($B21-1,CDM!$V$4:$AJ$17,4,FALSE)/12,0)+IFERROR(VLOOKUP($B21,CDM!$V$41:$AJ$54,4,FALSE)/24,0)+IFERROR(VLOOKUP($B21,CDM!$V$41:$AJ$54,4,FALSE)/2*$C21/78,0)</f>
        <v>720095.52177454706</v>
      </c>
      <c r="R21" s="7">
        <f t="shared" si="4"/>
        <v>22835107.341274541</v>
      </c>
      <c r="S21" s="7">
        <f>IFERROR(HLOOKUP(B21,'EV Forecast VRZ'!$F$116:$T$122,4,FALSE)*C21/78,0)</f>
        <v>3203.9548717948719</v>
      </c>
      <c r="T21" s="7"/>
      <c r="U21" s="7">
        <f t="shared" si="5"/>
        <v>22831903.386402745</v>
      </c>
      <c r="V21" s="7">
        <v>79283324.823593184</v>
      </c>
      <c r="W21" s="7">
        <f>IFERROR(VLOOKUP($B21-1,CDM!$V$4:$AJ$17,5,FALSE)/12,0)+IFERROR(VLOOKUP($B21,CDM!$V$41:$AJ$54,5,FALSE)/24,0)+IFERROR(VLOOKUP($B21,CDM!$V$41:$AJ$54,5,FALSE)/2*$C21/78,0)</f>
        <v>2669351.8418972795</v>
      </c>
      <c r="X21" s="7">
        <f t="shared" si="6"/>
        <v>81952676.665490463</v>
      </c>
      <c r="Y21" s="7">
        <f>IFERROR(HLOOKUP(B21,'EV Forecast VRZ'!$F$116:$T$122,5,FALSE)*C21/78,0)</f>
        <v>1458.702769230769</v>
      </c>
      <c r="Z21" s="7"/>
      <c r="AA21" s="7">
        <f t="shared" si="7"/>
        <v>81951217.962721229</v>
      </c>
      <c r="AB21" s="7">
        <v>7567637.0087546743</v>
      </c>
      <c r="AC21" s="7">
        <f>IFERROR(VLOOKUP($B21-1,CDM!$V$4:$AJ$17,6,FALSE)/12,0)+IFERROR(VLOOKUP($B21,CDM!$V$41:$AJ$54,6,FALSE)/24,0)+IFERROR(VLOOKUP($B21,CDM!$V$41:$AJ$54,6,FALSE)/2*$C21/78,0)</f>
        <v>103533.58030664935</v>
      </c>
      <c r="AD21" s="7">
        <f t="shared" si="8"/>
        <v>7671170.5890613236</v>
      </c>
      <c r="AE21" s="7">
        <f>IFERROR(HLOOKUP(B21,'EV Forecast VRZ'!$F$116:$T$122,6,FALSE)*C21/78,0)</f>
        <v>227.89005128205127</v>
      </c>
      <c r="AF21" s="7">
        <f t="shared" si="9"/>
        <v>7670942.6990100415</v>
      </c>
      <c r="AG21" s="7">
        <v>18007883.035211779</v>
      </c>
      <c r="AH21" s="7">
        <f>IFERROR(VLOOKUP($B21-1,CDM!$V$4:$AJ$17,7,FALSE)/12,0)+IFERROR(VLOOKUP($B21,CDM!$V$41:$AJ$54,7,FALSE)/24,0)+IFERROR(VLOOKUP($B21,CDM!$V$41:$AJ$54,7,FALSE)/2*$C21/78,0)</f>
        <v>847540.60686140251</v>
      </c>
      <c r="AI21" s="7">
        <f t="shared" si="10"/>
        <v>18855423.642073181</v>
      </c>
      <c r="AJ21" s="7">
        <f>IFERROR(HLOOKUP(B21,'EV Forecast VRZ'!$F$116:$T$122,7,FALSE)*C21/78,0)</f>
        <v>0</v>
      </c>
      <c r="AK21" s="7">
        <f t="shared" si="11"/>
        <v>18855423.642073181</v>
      </c>
      <c r="AL21" s="7">
        <v>1462914.9112764739</v>
      </c>
      <c r="AM21" s="7">
        <v>9082.3793169242526</v>
      </c>
      <c r="AN21" s="7">
        <v>389732.98988742603</v>
      </c>
      <c r="AO21" s="5">
        <v>203208.92</v>
      </c>
      <c r="AP21" s="5">
        <v>16768.07</v>
      </c>
      <c r="AQ21" s="5">
        <v>29981</v>
      </c>
      <c r="AR21" s="5">
        <v>4680.17</v>
      </c>
      <c r="AS21" s="544">
        <f t="shared" si="113"/>
        <v>80.583333333333329</v>
      </c>
      <c r="AT21" s="557">
        <v>108472</v>
      </c>
      <c r="AU21" s="557">
        <v>1575.6666666666661</v>
      </c>
      <c r="AV21" s="557">
        <v>9021</v>
      </c>
      <c r="AW21" s="557">
        <v>1072.3333333333339</v>
      </c>
      <c r="AX21" s="557">
        <v>5</v>
      </c>
      <c r="AY21" s="557">
        <v>3</v>
      </c>
      <c r="AZ21" s="557">
        <v>30480</v>
      </c>
      <c r="BA21" s="557">
        <v>439</v>
      </c>
      <c r="BB21" s="557">
        <v>824.33333333333303</v>
      </c>
      <c r="BC21" s="560">
        <v>32178395.126726512</v>
      </c>
      <c r="BD21" s="560">
        <f>IFERROR(VLOOKUP($B21-1,CDM!$V$4:$AJ$17,11,FALSE)/12,0)+IFERROR(VLOOKUP($B21,CDM!$V$41:$AJ$54,11,FALSE)/24,0)+IFERROR(VLOOKUP($B21,CDM!$V$41:$AJ$54,11,FALSE)/2*$C21/78,0)</f>
        <v>1517136.2161239297</v>
      </c>
      <c r="BE21" s="560">
        <f t="shared" si="67"/>
        <v>33695531.342850439</v>
      </c>
      <c r="BF21" s="560">
        <f>IFERROR(HLOOKUP(B21,'EV Forecast WRZ'!$F$116:$T$122,2,FALSE)*C21/78,0)</f>
        <v>8101.6184615384618</v>
      </c>
      <c r="BG21" s="560"/>
      <c r="BH21" s="560">
        <f t="shared" si="13"/>
        <v>33687429.724388897</v>
      </c>
      <c r="BI21" s="560">
        <v>7140459.6759039592</v>
      </c>
      <c r="BJ21" s="560">
        <f>IFERROR(VLOOKUP($B21-1,CDM!$V$4:$AJ$17,12,FALSE)/12,0)+IFERROR(VLOOKUP($B21,CDM!$V$41:$AJ$54,12,FALSE)/24,0)+IFERROR(VLOOKUP($B21,CDM!$V$41:$AJ$54,12,FALSE)/2*$C21/78,0)</f>
        <v>140452.21828500758</v>
      </c>
      <c r="BK21" s="560">
        <f t="shared" si="14"/>
        <v>7280911.8941889666</v>
      </c>
      <c r="BL21" s="560">
        <f>IFERROR(HLOOKUP(B21,'EV Forecast WRZ'!$F$116:$T$122,3,FALSE)*C21/78,0)</f>
        <v>1124.1723076923076</v>
      </c>
      <c r="BM21" s="560"/>
      <c r="BN21" s="560">
        <f t="shared" si="15"/>
        <v>7279787.7218812741</v>
      </c>
      <c r="BO21" s="560">
        <v>27848042.528970275</v>
      </c>
      <c r="BP21" s="560">
        <f>IFERROR(VLOOKUP($B21-1,CDM!$V$4:$AJ$17,13,FALSE)/12,0)+IFERROR(VLOOKUP($B21,CDM!$V$41:$AJ$54,13,FALSE)/24,0)+IFERROR(VLOOKUP($B21,CDM!$V$41:$AJ$54,13,FALSE)/2*$C21/78,0)</f>
        <v>751370.627760528</v>
      </c>
      <c r="BQ21" s="560">
        <f t="shared" si="16"/>
        <v>28599413.156730805</v>
      </c>
      <c r="BR21" s="560">
        <f>IFERROR(HLOOKUP(B21,'EV Forecast WRZ'!$F$116:$T$122,4,FALSE)*C21/78,0)</f>
        <v>519.72369230769232</v>
      </c>
      <c r="BS21" s="560"/>
      <c r="BT21" s="560">
        <f t="shared" si="17"/>
        <v>28598893.433038495</v>
      </c>
      <c r="BU21" s="560">
        <v>5042444.696239152</v>
      </c>
      <c r="BV21" s="560">
        <f>IFERROR(VLOOKUP($B21-1,CDM!$V$4:$AJ$17,14,FALSE)/12,0)+IFERROR(VLOOKUP($B21,CDM!$V$41:$AJ$54,14,FALSE)/24,0)+IFERROR(VLOOKUP($B21,CDM!$V$41:$AJ$54,14,FALSE)/2*$C21/78,0)</f>
        <v>168924.76447236547</v>
      </c>
      <c r="BW21" s="560">
        <f t="shared" si="18"/>
        <v>5211369.4607115174</v>
      </c>
      <c r="BX21" s="560">
        <f>IFERROR(HLOOKUP(B21,'EV Forecast WRZ'!$F$116:$T$122,5,FALSE)*C21/78,0)</f>
        <v>111.59323076923076</v>
      </c>
      <c r="BY21" s="560">
        <f t="shared" si="68"/>
        <v>5211257.8674807483</v>
      </c>
      <c r="BZ21" s="560">
        <v>355572.47943370952</v>
      </c>
      <c r="CA21" s="560">
        <v>2417.7785262484567</v>
      </c>
      <c r="CB21" s="560">
        <v>47298.976468337474</v>
      </c>
      <c r="CC21" s="5">
        <v>70664.08</v>
      </c>
      <c r="CD21" s="5">
        <v>7530.97</v>
      </c>
      <c r="CE21" s="5">
        <v>1075.29</v>
      </c>
      <c r="CF21" s="544">
        <f t="shared" si="114"/>
        <v>7.333333333333333</v>
      </c>
      <c r="CG21" s="565">
        <v>39789.333333333314</v>
      </c>
      <c r="CH21" s="565">
        <v>2232</v>
      </c>
      <c r="CI21" s="565">
        <v>368</v>
      </c>
      <c r="CJ21" s="565">
        <v>2</v>
      </c>
      <c r="CK21" s="565">
        <v>11894</v>
      </c>
      <c r="CL21" s="565">
        <v>38.333333333333314</v>
      </c>
      <c r="CM21" s="565">
        <v>371</v>
      </c>
      <c r="CN21" s="46">
        <f>Weather!C45</f>
        <v>46.587500000000006</v>
      </c>
      <c r="CO21" s="46">
        <f>Weather!D45</f>
        <v>16.01159420289855</v>
      </c>
      <c r="CP21" s="46">
        <f>Weather!E45</f>
        <v>17.950000000000006</v>
      </c>
      <c r="CQ21" s="46">
        <f>Weather!F45</f>
        <v>49.374094202898547</v>
      </c>
      <c r="CR21" s="46">
        <f>Weather!G45</f>
        <v>3.6416666666666693</v>
      </c>
      <c r="CS21" s="46">
        <f>Weather!H45</f>
        <v>97.06576086956521</v>
      </c>
      <c r="CT21" s="46">
        <f>Weather!I45</f>
        <v>0</v>
      </c>
      <c r="CU21" s="46">
        <f>Weather!J45</f>
        <v>155.42409420289857</v>
      </c>
      <c r="CV21" s="46">
        <f>Weather!K45</f>
        <v>0</v>
      </c>
      <c r="CW21" s="46">
        <f>Weather!L45</f>
        <v>217.42409420289852</v>
      </c>
      <c r="CX21" s="46">
        <f>Weather!M45</f>
        <v>0</v>
      </c>
      <c r="CY21" s="46">
        <f>Weather!N45</f>
        <v>279.42409420289852</v>
      </c>
      <c r="CZ21" s="46">
        <f>Weather!O45</f>
        <v>0</v>
      </c>
      <c r="DA21" s="46">
        <f>Weather!P45</f>
        <v>341.42409420289852</v>
      </c>
      <c r="DB21" s="243">
        <f>'Economic Data'!D47</f>
        <v>7118</v>
      </c>
      <c r="DC21" s="243">
        <f>'Economic Data'!E47</f>
        <v>7207.6</v>
      </c>
      <c r="DD21" s="243">
        <f>'Economic Data'!F47</f>
        <v>207.5</v>
      </c>
      <c r="DE21" s="243">
        <f>'Economic Data'!G47</f>
        <v>209</v>
      </c>
      <c r="DF21" s="243">
        <f>'Economic Data'!H47</f>
        <v>49.6</v>
      </c>
      <c r="DG21" s="243">
        <f>'Economic Data'!I47</f>
        <v>49.6</v>
      </c>
      <c r="DH21" s="243">
        <f>'Economic Data'!J47</f>
        <v>764464.8</v>
      </c>
      <c r="DI21" s="243">
        <f>'Economic Data'!K47</f>
        <v>590729.4</v>
      </c>
      <c r="DJ21" s="243">
        <f>'Economic Data'!L47</f>
        <v>91847.6</v>
      </c>
      <c r="DK21" s="243">
        <f>'Economic Data'!M47</f>
        <v>31122.7</v>
      </c>
      <c r="DL21" s="243">
        <f>'Economic Data'!N47</f>
        <v>765009</v>
      </c>
      <c r="DM21" s="243">
        <f>'Economic Data'!O47</f>
        <v>90558</v>
      </c>
      <c r="DN21" s="243">
        <f>'Economic Data'!P47</f>
        <v>18652</v>
      </c>
      <c r="DO21" s="243">
        <f>'Economic Data'!Q47</f>
        <v>592463</v>
      </c>
      <c r="DP21" s="243">
        <f>'Economic Data'!R47</f>
        <v>31148</v>
      </c>
      <c r="DQ21">
        <v>31</v>
      </c>
      <c r="DR21">
        <v>22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1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f t="shared" si="66"/>
        <v>20</v>
      </c>
      <c r="EI21">
        <v>0</v>
      </c>
      <c r="EJ21">
        <v>0</v>
      </c>
      <c r="EK21">
        <v>0</v>
      </c>
      <c r="EL21">
        <v>0</v>
      </c>
      <c r="EM21" s="47">
        <f t="shared" si="69"/>
        <v>0</v>
      </c>
      <c r="EN21" s="47">
        <f t="shared" si="70"/>
        <v>0</v>
      </c>
      <c r="EO21" s="47">
        <f t="shared" si="71"/>
        <v>0</v>
      </c>
      <c r="EP21" s="47">
        <f t="shared" si="72"/>
        <v>0</v>
      </c>
      <c r="EQ21" s="47">
        <f t="shared" si="73"/>
        <v>0</v>
      </c>
      <c r="ER21" s="47">
        <f t="shared" si="74"/>
        <v>0</v>
      </c>
      <c r="ES21" s="47">
        <f t="shared" si="75"/>
        <v>0</v>
      </c>
      <c r="ET21" s="47">
        <f t="shared" si="76"/>
        <v>0</v>
      </c>
      <c r="EU21" s="47">
        <f t="shared" si="77"/>
        <v>0</v>
      </c>
      <c r="EV21" s="47">
        <f t="shared" si="78"/>
        <v>0</v>
      </c>
      <c r="EW21" s="47">
        <f t="shared" si="79"/>
        <v>0</v>
      </c>
      <c r="EX21" s="47">
        <f t="shared" si="80"/>
        <v>0</v>
      </c>
      <c r="EY21" s="47">
        <f t="shared" si="81"/>
        <v>0</v>
      </c>
      <c r="EZ21" s="47">
        <f t="shared" si="82"/>
        <v>0</v>
      </c>
      <c r="FA21" s="47">
        <f t="shared" si="83"/>
        <v>0</v>
      </c>
      <c r="FB21" s="47">
        <f t="shared" si="84"/>
        <v>0</v>
      </c>
      <c r="FC21" s="47">
        <f t="shared" si="85"/>
        <v>0</v>
      </c>
      <c r="FD21" s="47">
        <f t="shared" si="86"/>
        <v>0</v>
      </c>
      <c r="FE21" s="47">
        <f t="shared" si="87"/>
        <v>0</v>
      </c>
      <c r="FF21" s="47">
        <f t="shared" si="88"/>
        <v>0</v>
      </c>
      <c r="FG21" s="47">
        <f t="shared" si="89"/>
        <v>0</v>
      </c>
      <c r="FH21" s="47">
        <f t="shared" si="90"/>
        <v>0</v>
      </c>
      <c r="FI21" s="47">
        <f t="shared" si="91"/>
        <v>0</v>
      </c>
      <c r="FJ21" s="47">
        <f t="shared" si="92"/>
        <v>0</v>
      </c>
      <c r="FK21" s="47">
        <f t="shared" si="93"/>
        <v>0</v>
      </c>
      <c r="FL21" s="47">
        <f t="shared" si="94"/>
        <v>0</v>
      </c>
      <c r="FM21" s="47">
        <f t="shared" si="95"/>
        <v>0</v>
      </c>
      <c r="FN21" s="47">
        <f t="shared" si="96"/>
        <v>0</v>
      </c>
      <c r="FO21" s="546">
        <f t="shared" si="97"/>
        <v>737.44534753549476</v>
      </c>
      <c r="FP21" s="546">
        <f t="shared" si="98"/>
        <v>631.88472278022209</v>
      </c>
      <c r="FQ21" s="546">
        <f t="shared" si="99"/>
        <v>2531.3277176892298</v>
      </c>
      <c r="FR21" s="546">
        <f t="shared" si="100"/>
        <v>76424.628534806106</v>
      </c>
      <c r="FS21" s="546">
        <f t="shared" si="101"/>
        <v>1534234.1178122647</v>
      </c>
      <c r="FT21" s="546">
        <f t="shared" si="102"/>
        <v>6285141.2140243938</v>
      </c>
      <c r="FU21" s="546">
        <f t="shared" si="103"/>
        <v>47.99589603925439</v>
      </c>
      <c r="FV21" s="546">
        <f t="shared" si="104"/>
        <v>20.688791154724949</v>
      </c>
      <c r="FW21" s="546">
        <f t="shared" si="105"/>
        <v>472.78567313476691</v>
      </c>
      <c r="FX21" s="546">
        <f t="shared" si="106"/>
        <v>846.84835155612359</v>
      </c>
      <c r="FY21" s="546">
        <f t="shared" si="107"/>
        <v>3262.0573002638739</v>
      </c>
      <c r="FZ21" s="546">
        <f t="shared" si="108"/>
        <v>77715.796621551097</v>
      </c>
      <c r="GA21" s="546">
        <f t="shared" si="109"/>
        <v>177786.23971685476</v>
      </c>
      <c r="GB21" s="546">
        <f t="shared" si="110"/>
        <v>29.895113454994917</v>
      </c>
      <c r="GC21" s="546">
        <f t="shared" si="111"/>
        <v>63.072483293438033</v>
      </c>
      <c r="GD21" s="546">
        <f t="shared" si="112"/>
        <v>127.49050261007406</v>
      </c>
    </row>
    <row r="22" spans="1:186">
      <c r="A22" s="4">
        <v>42979</v>
      </c>
      <c r="B22" s="6">
        <v>2017</v>
      </c>
      <c r="C22" s="5">
        <v>9</v>
      </c>
      <c r="D22" s="7">
        <v>70602414.11987263</v>
      </c>
      <c r="E22" s="7">
        <f>IFERROR(VLOOKUP($B22-1,CDM!$V$4:$AJ$17,2,FALSE)/12,0)+IFERROR(VLOOKUP($B22,CDM!$V$41:$AJ$54,2,FALSE)/24,0)+IFERROR(VLOOKUP($B22,CDM!$V$41:$AJ$54,2,FALSE)/2*$C22/78,0)</f>
        <v>3031676.4215066549</v>
      </c>
      <c r="F22" s="7">
        <f t="shared" si="0"/>
        <v>73634090.541379288</v>
      </c>
      <c r="G22" s="7">
        <f>IFERROR(HLOOKUP(B22,'EV Forecast VRZ'!$F$116:$T$122,2,FALSE)*C22/78,0)</f>
        <v>28255.378763537901</v>
      </c>
      <c r="H22" s="7"/>
      <c r="I22" s="7">
        <f t="shared" si="1"/>
        <v>73605835.162615746</v>
      </c>
      <c r="J22" s="7">
        <v>695787.52546269796</v>
      </c>
      <c r="K22" s="7">
        <f>IFERROR(VLOOKUP($B22-1,CDM!$V$4:$AJ$17,3,FALSE)/12,0)+IFERROR(VLOOKUP($B22,CDM!$V$41:$AJ$54,3,FALSE)/24,0)+IFERROR(VLOOKUP($B22,CDM!$V$41:$AJ$54,3,FALSE)/2*$C22/78,0)</f>
        <v>34724.226245161248</v>
      </c>
      <c r="L22" s="7">
        <f t="shared" si="2"/>
        <v>730511.75170785922</v>
      </c>
      <c r="M22" s="7">
        <f>IFERROR(HLOOKUP(B22,'EV Forecast VRZ'!$F$116:$T$122,3,FALSE)*C22/78,0)</f>
        <v>383.40123646209372</v>
      </c>
      <c r="N22" s="7"/>
      <c r="O22" s="7">
        <f t="shared" si="3"/>
        <v>730128.35047139716</v>
      </c>
      <c r="P22" s="7">
        <v>20683479.45913003</v>
      </c>
      <c r="Q22" s="7">
        <f>IFERROR(VLOOKUP($B22-1,CDM!$V$4:$AJ$17,4,FALSE)/12,0)+IFERROR(VLOOKUP($B22,CDM!$V$41:$AJ$54,4,FALSE)/24,0)+IFERROR(VLOOKUP($B22,CDM!$V$41:$AJ$54,4,FALSE)/2*$C22/78,0)</f>
        <v>733745.76648941566</v>
      </c>
      <c r="R22" s="7">
        <f t="shared" si="4"/>
        <v>21417225.225619446</v>
      </c>
      <c r="S22" s="7">
        <f>IFERROR(HLOOKUP(B22,'EV Forecast VRZ'!$F$116:$T$122,4,FALSE)*C22/78,0)</f>
        <v>3604.4492307692312</v>
      </c>
      <c r="T22" s="7"/>
      <c r="U22" s="7">
        <f t="shared" si="5"/>
        <v>21413620.776388679</v>
      </c>
      <c r="V22" s="7">
        <v>76220334.671674654</v>
      </c>
      <c r="W22" s="7">
        <f>IFERROR(VLOOKUP($B22-1,CDM!$V$4:$AJ$17,5,FALSE)/12,0)+IFERROR(VLOOKUP($B22,CDM!$V$41:$AJ$54,5,FALSE)/24,0)+IFERROR(VLOOKUP($B22,CDM!$V$41:$AJ$54,5,FALSE)/2*$C22/78,0)</f>
        <v>2726165.6493410743</v>
      </c>
      <c r="X22" s="7">
        <f t="shared" si="6"/>
        <v>78946500.321015731</v>
      </c>
      <c r="Y22" s="7">
        <f>IFERROR(HLOOKUP(B22,'EV Forecast VRZ'!$F$116:$T$122,5,FALSE)*C22/78,0)</f>
        <v>1641.0406153846152</v>
      </c>
      <c r="Z22" s="7"/>
      <c r="AA22" s="7">
        <f t="shared" si="7"/>
        <v>78944859.280400351</v>
      </c>
      <c r="AB22" s="7">
        <v>7148177.8317713737</v>
      </c>
      <c r="AC22" s="7">
        <f>IFERROR(VLOOKUP($B22-1,CDM!$V$4:$AJ$17,6,FALSE)/12,0)+IFERROR(VLOOKUP($B22,CDM!$V$41:$AJ$54,6,FALSE)/24,0)+IFERROR(VLOOKUP($B22,CDM!$V$41:$AJ$54,6,FALSE)/2*$C22/78,0)</f>
        <v>107808.59927912072</v>
      </c>
      <c r="AD22" s="7">
        <f t="shared" si="8"/>
        <v>7255986.4310504943</v>
      </c>
      <c r="AE22" s="7">
        <f>IFERROR(HLOOKUP(B22,'EV Forecast VRZ'!$F$116:$T$122,6,FALSE)*C22/78,0)</f>
        <v>256.37630769230771</v>
      </c>
      <c r="AF22" s="7">
        <f t="shared" si="9"/>
        <v>7255730.0547428019</v>
      </c>
      <c r="AG22" s="7">
        <v>17030380.276073333</v>
      </c>
      <c r="AH22" s="7">
        <f>IFERROR(VLOOKUP($B22-1,CDM!$V$4:$AJ$17,7,FALSE)/12,0)+IFERROR(VLOOKUP($B22,CDM!$V$41:$AJ$54,7,FALSE)/24,0)+IFERROR(VLOOKUP($B22,CDM!$V$41:$AJ$54,7,FALSE)/2*$C22/78,0)</f>
        <v>865021.46964571928</v>
      </c>
      <c r="AI22" s="7">
        <f t="shared" si="10"/>
        <v>17895401.745719053</v>
      </c>
      <c r="AJ22" s="7">
        <f>IFERROR(HLOOKUP(B22,'EV Forecast VRZ'!$F$116:$T$122,7,FALSE)*C22/78,0)</f>
        <v>0</v>
      </c>
      <c r="AK22" s="7">
        <f t="shared" si="11"/>
        <v>17895401.745719053</v>
      </c>
      <c r="AL22" s="7">
        <v>1539428.7254340774</v>
      </c>
      <c r="AM22" s="7">
        <v>38414.653692043503</v>
      </c>
      <c r="AN22" s="7">
        <v>389776.97958404879</v>
      </c>
      <c r="AO22" s="5">
        <v>204071.61</v>
      </c>
      <c r="AP22" s="5">
        <v>16122.23</v>
      </c>
      <c r="AQ22" s="5">
        <v>29396</v>
      </c>
      <c r="AR22" s="5">
        <v>4462.2</v>
      </c>
      <c r="AS22" s="544">
        <f t="shared" si="113"/>
        <v>80.583333333333329</v>
      </c>
      <c r="AT22" s="557">
        <v>108543.5</v>
      </c>
      <c r="AU22" s="557">
        <v>1574.7499999999993</v>
      </c>
      <c r="AV22" s="557">
        <v>9024.75</v>
      </c>
      <c r="AW22" s="557">
        <v>1075.0000000000007</v>
      </c>
      <c r="AX22" s="557">
        <v>5</v>
      </c>
      <c r="AY22" s="557">
        <v>3</v>
      </c>
      <c r="AZ22" s="557">
        <v>30525.5</v>
      </c>
      <c r="BA22" s="557">
        <v>439</v>
      </c>
      <c r="BB22" s="557">
        <v>823.49999999999966</v>
      </c>
      <c r="BC22" s="560">
        <v>29656980.814740859</v>
      </c>
      <c r="BD22" s="560">
        <f>IFERROR(VLOOKUP($B22-1,CDM!$V$4:$AJ$17,11,FALSE)/12,0)+IFERROR(VLOOKUP($B22,CDM!$V$41:$AJ$54,11,FALSE)/24,0)+IFERROR(VLOOKUP($B22,CDM!$V$41:$AJ$54,11,FALSE)/2*$C22/78,0)</f>
        <v>1576781.859519497</v>
      </c>
      <c r="BE22" s="560">
        <f t="shared" si="67"/>
        <v>31233762.674260356</v>
      </c>
      <c r="BF22" s="560">
        <f>IFERROR(HLOOKUP(B22,'EV Forecast WRZ'!$F$116:$T$122,2,FALSE)*C22/78,0)</f>
        <v>9114.3207692307697</v>
      </c>
      <c r="BG22" s="560"/>
      <c r="BH22" s="560">
        <f t="shared" si="13"/>
        <v>31224648.353491124</v>
      </c>
      <c r="BI22" s="560">
        <v>6804017.4160225745</v>
      </c>
      <c r="BJ22" s="560">
        <f>IFERROR(VLOOKUP($B22-1,CDM!$V$4:$AJ$17,12,FALSE)/12,0)+IFERROR(VLOOKUP($B22,CDM!$V$41:$AJ$54,12,FALSE)/24,0)+IFERROR(VLOOKUP($B22,CDM!$V$41:$AJ$54,12,FALSE)/2*$C22/78,0)</f>
        <v>142175.23119631299</v>
      </c>
      <c r="BK22" s="560">
        <f t="shared" si="14"/>
        <v>6946192.6472188877</v>
      </c>
      <c r="BL22" s="560">
        <f>IFERROR(HLOOKUP(B22,'EV Forecast WRZ'!$F$116:$T$122,3,FALSE)*C22/78,0)</f>
        <v>1264.6938461538462</v>
      </c>
      <c r="BM22" s="560"/>
      <c r="BN22" s="560">
        <f t="shared" si="15"/>
        <v>6944927.9533727337</v>
      </c>
      <c r="BO22" s="560">
        <v>28438429.156409487</v>
      </c>
      <c r="BP22" s="560">
        <f>IFERROR(VLOOKUP($B22-1,CDM!$V$4:$AJ$17,13,FALSE)/12,0)+IFERROR(VLOOKUP($B22,CDM!$V$41:$AJ$54,13,FALSE)/24,0)+IFERROR(VLOOKUP($B22,CDM!$V$41:$AJ$54,13,FALSE)/2*$C22/78,0)</f>
        <v>773904.1342954525</v>
      </c>
      <c r="BQ22" s="560">
        <f t="shared" si="16"/>
        <v>29212333.29070494</v>
      </c>
      <c r="BR22" s="560">
        <f>IFERROR(HLOOKUP(B22,'EV Forecast WRZ'!$F$116:$T$122,4,FALSE)*C22/78,0)</f>
        <v>584.68915384615389</v>
      </c>
      <c r="BS22" s="560"/>
      <c r="BT22" s="560">
        <f t="shared" si="17"/>
        <v>29211748.601551093</v>
      </c>
      <c r="BU22" s="560">
        <v>4925611.9382835105</v>
      </c>
      <c r="BV22" s="560">
        <f>IFERROR(VLOOKUP($B22-1,CDM!$V$4:$AJ$17,14,FALSE)/12,0)+IFERROR(VLOOKUP($B22,CDM!$V$41:$AJ$54,14,FALSE)/24,0)+IFERROR(VLOOKUP($B22,CDM!$V$41:$AJ$54,14,FALSE)/2*$C22/78,0)</f>
        <v>173990.79599331255</v>
      </c>
      <c r="BW22" s="560">
        <f t="shared" si="18"/>
        <v>5099602.7342768228</v>
      </c>
      <c r="BX22" s="560">
        <f>IFERROR(HLOOKUP(B22,'EV Forecast WRZ'!$F$116:$T$122,5,FALSE)*C22/78,0)</f>
        <v>125.54238461538459</v>
      </c>
      <c r="BY22" s="560">
        <f t="shared" si="68"/>
        <v>5099477.1918922076</v>
      </c>
      <c r="BZ22" s="560">
        <v>384426.89879471972</v>
      </c>
      <c r="CA22" s="560">
        <v>2417.7785262484567</v>
      </c>
      <c r="CB22" s="560">
        <v>47678.974555194174</v>
      </c>
      <c r="CC22" s="5">
        <v>72657.2</v>
      </c>
      <c r="CD22" s="5">
        <v>7803.41</v>
      </c>
      <c r="CE22" s="5">
        <v>1075.3</v>
      </c>
      <c r="CF22" s="544">
        <f t="shared" si="114"/>
        <v>7.333333333333333</v>
      </c>
      <c r="CG22" s="565">
        <v>39814.499999999978</v>
      </c>
      <c r="CH22" s="565">
        <v>2233.5</v>
      </c>
      <c r="CI22" s="565">
        <v>368</v>
      </c>
      <c r="CJ22" s="565">
        <v>2</v>
      </c>
      <c r="CK22" s="565">
        <v>11896</v>
      </c>
      <c r="CL22" s="565">
        <v>38.249999999999979</v>
      </c>
      <c r="CM22" s="565">
        <v>371.25</v>
      </c>
      <c r="CN22" s="46">
        <f>Weather!C46</f>
        <v>100.06666666666666</v>
      </c>
      <c r="CO22" s="46">
        <f>Weather!D46</f>
        <v>15.912499999999994</v>
      </c>
      <c r="CP22" s="46">
        <f>Weather!E46</f>
        <v>65.699999999999989</v>
      </c>
      <c r="CQ22" s="46">
        <f>Weather!F46</f>
        <v>41.54583333333332</v>
      </c>
      <c r="CR22" s="46">
        <f>Weather!G46</f>
        <v>37.391666666666666</v>
      </c>
      <c r="CS22" s="46">
        <f>Weather!H46</f>
        <v>73.237499999999983</v>
      </c>
      <c r="CT22" s="46">
        <f>Weather!I46</f>
        <v>16.833333333333329</v>
      </c>
      <c r="CU22" s="46">
        <f>Weather!J46</f>
        <v>112.67916666666666</v>
      </c>
      <c r="CV22" s="46">
        <f>Weather!K46</f>
        <v>5.466666666666665</v>
      </c>
      <c r="CW22" s="46">
        <f>Weather!L46</f>
        <v>161.3125</v>
      </c>
      <c r="CX22" s="46">
        <f>Weather!M46</f>
        <v>1.3833333333333311</v>
      </c>
      <c r="CY22" s="46">
        <f>Weather!N46</f>
        <v>217.22916666666663</v>
      </c>
      <c r="CZ22" s="46">
        <f>Weather!O46</f>
        <v>0</v>
      </c>
      <c r="DA22" s="46">
        <f>Weather!P46</f>
        <v>275.8458333333333</v>
      </c>
      <c r="DB22" s="243">
        <f>'Economic Data'!D48</f>
        <v>7143.3</v>
      </c>
      <c r="DC22" s="243">
        <f>'Economic Data'!E48</f>
        <v>7185.7</v>
      </c>
      <c r="DD22" s="243">
        <f>'Economic Data'!F48</f>
        <v>207.7</v>
      </c>
      <c r="DE22" s="243">
        <f>'Economic Data'!G48</f>
        <v>206.8</v>
      </c>
      <c r="DF22" s="243">
        <f>'Economic Data'!H48</f>
        <v>47.3</v>
      </c>
      <c r="DG22" s="243">
        <f>'Economic Data'!I48</f>
        <v>47.3</v>
      </c>
      <c r="DH22" s="243">
        <f>'Economic Data'!J48</f>
        <v>764464.8</v>
      </c>
      <c r="DI22" s="243">
        <f>'Economic Data'!K48</f>
        <v>590729.4</v>
      </c>
      <c r="DJ22" s="243">
        <f>'Economic Data'!L48</f>
        <v>91847.6</v>
      </c>
      <c r="DK22" s="243">
        <f>'Economic Data'!M48</f>
        <v>31122.7</v>
      </c>
      <c r="DL22" s="243">
        <f>'Economic Data'!N48</f>
        <v>765009</v>
      </c>
      <c r="DM22" s="243">
        <f>'Economic Data'!O48</f>
        <v>90558</v>
      </c>
      <c r="DN22" s="243">
        <f>'Economic Data'!P48</f>
        <v>18652</v>
      </c>
      <c r="DO22" s="243">
        <f>'Economic Data'!Q48</f>
        <v>592463</v>
      </c>
      <c r="DP22" s="243">
        <f>'Economic Data'!R48</f>
        <v>31148</v>
      </c>
      <c r="DQ22">
        <v>30</v>
      </c>
      <c r="DR22">
        <v>20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1</v>
      </c>
      <c r="EB22">
        <v>0</v>
      </c>
      <c r="EC22">
        <v>0</v>
      </c>
      <c r="ED22">
        <v>0</v>
      </c>
      <c r="EE22">
        <v>0</v>
      </c>
      <c r="EF22">
        <v>1</v>
      </c>
      <c r="EG22">
        <v>1</v>
      </c>
      <c r="EH22">
        <f t="shared" si="66"/>
        <v>21</v>
      </c>
      <c r="EI22">
        <v>0</v>
      </c>
      <c r="EJ22">
        <v>0</v>
      </c>
      <c r="EK22">
        <v>0</v>
      </c>
      <c r="EL22">
        <v>0</v>
      </c>
      <c r="EM22" s="47">
        <f t="shared" si="69"/>
        <v>0</v>
      </c>
      <c r="EN22" s="47">
        <f t="shared" si="70"/>
        <v>0</v>
      </c>
      <c r="EO22" s="47">
        <f t="shared" si="71"/>
        <v>0</v>
      </c>
      <c r="EP22" s="47">
        <f t="shared" si="72"/>
        <v>0</v>
      </c>
      <c r="EQ22" s="47">
        <f t="shared" si="73"/>
        <v>0</v>
      </c>
      <c r="ER22" s="47">
        <f t="shared" si="74"/>
        <v>0</v>
      </c>
      <c r="ES22" s="47">
        <f t="shared" si="75"/>
        <v>0</v>
      </c>
      <c r="ET22" s="47">
        <f t="shared" si="76"/>
        <v>0</v>
      </c>
      <c r="EU22" s="47">
        <f t="shared" si="77"/>
        <v>0</v>
      </c>
      <c r="EV22" s="47">
        <f t="shared" si="78"/>
        <v>0</v>
      </c>
      <c r="EW22" s="47">
        <f t="shared" si="79"/>
        <v>0</v>
      </c>
      <c r="EX22" s="47">
        <f t="shared" si="80"/>
        <v>0</v>
      </c>
      <c r="EY22" s="47">
        <f t="shared" si="81"/>
        <v>0</v>
      </c>
      <c r="EZ22" s="47">
        <f t="shared" si="82"/>
        <v>0</v>
      </c>
      <c r="FA22" s="47">
        <f t="shared" si="83"/>
        <v>0</v>
      </c>
      <c r="FB22" s="47">
        <f t="shared" si="84"/>
        <v>0</v>
      </c>
      <c r="FC22" s="47">
        <f t="shared" si="85"/>
        <v>0</v>
      </c>
      <c r="FD22" s="47">
        <f t="shared" si="86"/>
        <v>0</v>
      </c>
      <c r="FE22" s="47">
        <f t="shared" si="87"/>
        <v>0</v>
      </c>
      <c r="FF22" s="47">
        <f t="shared" si="88"/>
        <v>0</v>
      </c>
      <c r="FG22" s="47">
        <f t="shared" si="89"/>
        <v>0</v>
      </c>
      <c r="FH22" s="47">
        <f t="shared" si="90"/>
        <v>0</v>
      </c>
      <c r="FI22" s="47">
        <f t="shared" si="91"/>
        <v>0</v>
      </c>
      <c r="FJ22" s="47">
        <f t="shared" si="92"/>
        <v>0</v>
      </c>
      <c r="FK22" s="47">
        <f t="shared" si="93"/>
        <v>0</v>
      </c>
      <c r="FL22" s="47">
        <f t="shared" si="94"/>
        <v>0</v>
      </c>
      <c r="FM22" s="47">
        <f t="shared" si="95"/>
        <v>0</v>
      </c>
      <c r="FN22" s="47">
        <f t="shared" si="96"/>
        <v>0</v>
      </c>
      <c r="FO22" s="546">
        <f t="shared" si="97"/>
        <v>678.12291995942405</v>
      </c>
      <c r="FP22" s="546">
        <f t="shared" si="98"/>
        <v>463.89061864286998</v>
      </c>
      <c r="FQ22" s="546">
        <f t="shared" si="99"/>
        <v>2373.165486647214</v>
      </c>
      <c r="FR22" s="546">
        <f t="shared" si="100"/>
        <v>73438.604949782035</v>
      </c>
      <c r="FS22" s="546">
        <f t="shared" si="101"/>
        <v>1451197.2862100988</v>
      </c>
      <c r="FT22" s="546">
        <f t="shared" si="102"/>
        <v>5965133.9152396843</v>
      </c>
      <c r="FU22" s="546">
        <f t="shared" si="103"/>
        <v>50.430909417833533</v>
      </c>
      <c r="FV22" s="546">
        <f t="shared" si="104"/>
        <v>87.504905904427119</v>
      </c>
      <c r="FW22" s="546">
        <f t="shared" si="105"/>
        <v>473.31752226356883</v>
      </c>
      <c r="FX22" s="546">
        <f t="shared" si="106"/>
        <v>784.48210260735095</v>
      </c>
      <c r="FY22" s="546">
        <f t="shared" si="107"/>
        <v>3110.0034238723474</v>
      </c>
      <c r="FZ22" s="546">
        <f t="shared" si="108"/>
        <v>79381.340463872111</v>
      </c>
      <c r="GA22" s="546">
        <f t="shared" si="109"/>
        <v>192213.44939735986</v>
      </c>
      <c r="GB22" s="546">
        <f t="shared" si="110"/>
        <v>32.315643812602531</v>
      </c>
      <c r="GC22" s="546">
        <f t="shared" si="111"/>
        <v>63.209896111070798</v>
      </c>
      <c r="GD22" s="546">
        <f t="shared" si="112"/>
        <v>128.42821429008532</v>
      </c>
    </row>
    <row r="23" spans="1:186">
      <c r="A23" s="4">
        <v>43009</v>
      </c>
      <c r="B23" s="6">
        <v>2017</v>
      </c>
      <c r="C23" s="5">
        <v>10</v>
      </c>
      <c r="D23" s="7">
        <v>60761893.54912287</v>
      </c>
      <c r="E23" s="7">
        <f>IFERROR(VLOOKUP($B23-1,CDM!$V$4:$AJ$17,2,FALSE)/12,0)+IFERROR(VLOOKUP($B23,CDM!$V$41:$AJ$54,2,FALSE)/24,0)+IFERROR(VLOOKUP($B23,CDM!$V$41:$AJ$54,2,FALSE)/2*$C23/78,0)</f>
        <v>3143029.4827712164</v>
      </c>
      <c r="F23" s="7">
        <f t="shared" si="0"/>
        <v>63904923.031894088</v>
      </c>
      <c r="G23" s="7">
        <f>IFERROR(HLOOKUP(B23,'EV Forecast VRZ'!$F$116:$T$122,2,FALSE)*C23/78,0)</f>
        <v>31394.86529281989</v>
      </c>
      <c r="H23" s="7"/>
      <c r="I23" s="7">
        <f t="shared" si="1"/>
        <v>63873528.16660127</v>
      </c>
      <c r="J23" s="7">
        <v>626632.5452108368</v>
      </c>
      <c r="K23" s="7">
        <f>IFERROR(VLOOKUP($B23-1,CDM!$V$4:$AJ$17,3,FALSE)/12,0)+IFERROR(VLOOKUP($B23,CDM!$V$41:$AJ$54,3,FALSE)/24,0)+IFERROR(VLOOKUP($B23,CDM!$V$41:$AJ$54,3,FALSE)/2*$C23/78,0)</f>
        <v>35999.64233673751</v>
      </c>
      <c r="L23" s="7">
        <f t="shared" si="2"/>
        <v>662632.18754757429</v>
      </c>
      <c r="M23" s="7">
        <f>IFERROR(HLOOKUP(B23,'EV Forecast VRZ'!$F$116:$T$122,3,FALSE)*C23/78,0)</f>
        <v>426.00137384677083</v>
      </c>
      <c r="N23" s="7"/>
      <c r="O23" s="7">
        <f t="shared" si="3"/>
        <v>662206.1861737275</v>
      </c>
      <c r="P23" s="7">
        <v>19632186.614300705</v>
      </c>
      <c r="Q23" s="7">
        <f>IFERROR(VLOOKUP($B23-1,CDM!$V$4:$AJ$17,4,FALSE)/12,0)+IFERROR(VLOOKUP($B23,CDM!$V$41:$AJ$54,4,FALSE)/24,0)+IFERROR(VLOOKUP($B23,CDM!$V$41:$AJ$54,4,FALSE)/2*$C23/78,0)</f>
        <v>747396.01120428427</v>
      </c>
      <c r="R23" s="7">
        <f t="shared" si="4"/>
        <v>20379582.625504989</v>
      </c>
      <c r="S23" s="7">
        <f>IFERROR(HLOOKUP(B23,'EV Forecast VRZ'!$F$116:$T$122,4,FALSE)*C23/78,0)</f>
        <v>4004.9435897435901</v>
      </c>
      <c r="T23" s="7"/>
      <c r="U23" s="7">
        <f t="shared" si="5"/>
        <v>20375577.681915246</v>
      </c>
      <c r="V23" s="7">
        <v>74161631.749869287</v>
      </c>
      <c r="W23" s="7">
        <f>IFERROR(VLOOKUP($B23-1,CDM!$V$4:$AJ$17,5,FALSE)/12,0)+IFERROR(VLOOKUP($B23,CDM!$V$41:$AJ$54,5,FALSE)/24,0)+IFERROR(VLOOKUP($B23,CDM!$V$41:$AJ$54,5,FALSE)/2*$C23/78,0)</f>
        <v>2782979.4567848695</v>
      </c>
      <c r="X23" s="7">
        <f t="shared" si="6"/>
        <v>76944611.206654161</v>
      </c>
      <c r="Y23" s="7">
        <f>IFERROR(HLOOKUP(B23,'EV Forecast VRZ'!$F$116:$T$122,5,FALSE)*C23/78,0)</f>
        <v>1823.3784615384614</v>
      </c>
      <c r="Z23" s="7"/>
      <c r="AA23" s="7">
        <f t="shared" si="7"/>
        <v>76942787.828192621</v>
      </c>
      <c r="AB23" s="7">
        <v>7665789.0489413375</v>
      </c>
      <c r="AC23" s="7">
        <f>IFERROR(VLOOKUP($B23-1,CDM!$V$4:$AJ$17,6,FALSE)/12,0)+IFERROR(VLOOKUP($B23,CDM!$V$41:$AJ$54,6,FALSE)/24,0)+IFERROR(VLOOKUP($B23,CDM!$V$41:$AJ$54,6,FALSE)/2*$C23/78,0)</f>
        <v>112083.6182515921</v>
      </c>
      <c r="AD23" s="7">
        <f t="shared" si="8"/>
        <v>7777872.6671929294</v>
      </c>
      <c r="AE23" s="7">
        <f>IFERROR(HLOOKUP(B23,'EV Forecast VRZ'!$F$116:$T$122,6,FALSE)*C23/78,0)</f>
        <v>284.86256410256408</v>
      </c>
      <c r="AF23" s="7">
        <f t="shared" si="9"/>
        <v>7777587.8046288267</v>
      </c>
      <c r="AG23" s="7">
        <v>18236031.12867067</v>
      </c>
      <c r="AH23" s="7">
        <f>IFERROR(VLOOKUP($B23-1,CDM!$V$4:$AJ$17,7,FALSE)/12,0)+IFERROR(VLOOKUP($B23,CDM!$V$41:$AJ$54,7,FALSE)/24,0)+IFERROR(VLOOKUP($B23,CDM!$V$41:$AJ$54,7,FALSE)/2*$C23/78,0)</f>
        <v>882502.33243003592</v>
      </c>
      <c r="AI23" s="7">
        <f t="shared" si="10"/>
        <v>19118533.461100705</v>
      </c>
      <c r="AJ23" s="7">
        <f>IFERROR(HLOOKUP(B23,'EV Forecast VRZ'!$F$116:$T$122,7,FALSE)*C23/78,0)</f>
        <v>0</v>
      </c>
      <c r="AK23" s="7">
        <f t="shared" si="11"/>
        <v>19118533.461100705</v>
      </c>
      <c r="AL23" s="7">
        <v>1691544.6956687653</v>
      </c>
      <c r="AM23" s="7">
        <v>24689.35317687464</v>
      </c>
      <c r="AN23" s="7">
        <v>389688.99065063917</v>
      </c>
      <c r="AO23" s="5">
        <v>188346.19</v>
      </c>
      <c r="AP23" s="5">
        <v>17059.22</v>
      </c>
      <c r="AQ23" s="5">
        <v>33355</v>
      </c>
      <c r="AR23" s="5">
        <v>4197.46</v>
      </c>
      <c r="AS23" s="544">
        <f t="shared" si="113"/>
        <v>80.583333333333329</v>
      </c>
      <c r="AT23" s="557">
        <v>108615</v>
      </c>
      <c r="AU23" s="557">
        <v>1573.8333333333326</v>
      </c>
      <c r="AV23" s="557">
        <v>9028.5</v>
      </c>
      <c r="AW23" s="557">
        <v>1077.6666666666674</v>
      </c>
      <c r="AX23" s="557">
        <v>5</v>
      </c>
      <c r="AY23" s="557">
        <v>3</v>
      </c>
      <c r="AZ23" s="557">
        <v>30571</v>
      </c>
      <c r="BA23" s="557">
        <v>439</v>
      </c>
      <c r="BB23" s="557">
        <v>822.66666666666629</v>
      </c>
      <c r="BC23" s="560">
        <v>23753454.971475031</v>
      </c>
      <c r="BD23" s="560">
        <f>IFERROR(VLOOKUP($B23-1,CDM!$V$4:$AJ$17,11,FALSE)/12,0)+IFERROR(VLOOKUP($B23,CDM!$V$41:$AJ$54,11,FALSE)/24,0)+IFERROR(VLOOKUP($B23,CDM!$V$41:$AJ$54,11,FALSE)/2*$C23/78,0)</f>
        <v>1636427.5029150639</v>
      </c>
      <c r="BE23" s="560">
        <f t="shared" si="67"/>
        <v>25389882.474390097</v>
      </c>
      <c r="BF23" s="560">
        <f>IFERROR(HLOOKUP(B23,'EV Forecast WRZ'!$F$116:$T$122,2,FALSE)*C23/78,0)</f>
        <v>10127.023076923078</v>
      </c>
      <c r="BG23" s="560"/>
      <c r="BH23" s="560">
        <f t="shared" si="13"/>
        <v>25379755.451313175</v>
      </c>
      <c r="BI23" s="560">
        <v>6356344.5662425766</v>
      </c>
      <c r="BJ23" s="560">
        <f>IFERROR(VLOOKUP($B23-1,CDM!$V$4:$AJ$17,12,FALSE)/12,0)+IFERROR(VLOOKUP($B23,CDM!$V$41:$AJ$54,12,FALSE)/24,0)+IFERROR(VLOOKUP($B23,CDM!$V$41:$AJ$54,12,FALSE)/2*$C23/78,0)</f>
        <v>143898.2441076184</v>
      </c>
      <c r="BK23" s="560">
        <f t="shared" si="14"/>
        <v>6500242.8103501946</v>
      </c>
      <c r="BL23" s="560">
        <f>IFERROR(HLOOKUP(B23,'EV Forecast WRZ'!$F$116:$T$122,3,FALSE)*C23/78,0)</f>
        <v>1405.2153846153847</v>
      </c>
      <c r="BM23" s="560"/>
      <c r="BN23" s="560">
        <f t="shared" si="15"/>
        <v>6498837.594965579</v>
      </c>
      <c r="BO23" s="560">
        <v>26419075.977184027</v>
      </c>
      <c r="BP23" s="560">
        <f>IFERROR(VLOOKUP($B23-1,CDM!$V$4:$AJ$17,13,FALSE)/12,0)+IFERROR(VLOOKUP($B23,CDM!$V$41:$AJ$54,13,FALSE)/24,0)+IFERROR(VLOOKUP($B23,CDM!$V$41:$AJ$54,13,FALSE)/2*$C23/78,0)</f>
        <v>796437.64083037688</v>
      </c>
      <c r="BQ23" s="560">
        <f t="shared" si="16"/>
        <v>27215513.618014403</v>
      </c>
      <c r="BR23" s="560">
        <f>IFERROR(HLOOKUP(B23,'EV Forecast WRZ'!$F$116:$T$122,4,FALSE)*C23/78,0)</f>
        <v>649.65461538461545</v>
      </c>
      <c r="BS23" s="560"/>
      <c r="BT23" s="560">
        <f t="shared" si="17"/>
        <v>27214863.963399019</v>
      </c>
      <c r="BU23" s="560">
        <v>5056612.4204435879</v>
      </c>
      <c r="BV23" s="560">
        <f>IFERROR(VLOOKUP($B23-1,CDM!$V$4:$AJ$17,14,FALSE)/12,0)+IFERROR(VLOOKUP($B23,CDM!$V$41:$AJ$54,14,FALSE)/24,0)+IFERROR(VLOOKUP($B23,CDM!$V$41:$AJ$54,14,FALSE)/2*$C23/78,0)</f>
        <v>179056.82751425961</v>
      </c>
      <c r="BW23" s="560">
        <f t="shared" si="18"/>
        <v>5235669.247957848</v>
      </c>
      <c r="BX23" s="560">
        <f>IFERROR(HLOOKUP(B23,'EV Forecast WRZ'!$F$116:$T$122,5,FALSE)*C23/78,0)</f>
        <v>139.49153846153845</v>
      </c>
      <c r="BY23" s="560">
        <f t="shared" si="68"/>
        <v>5235529.7564193867</v>
      </c>
      <c r="BZ23" s="560">
        <v>447243.51444423181</v>
      </c>
      <c r="CA23" s="560">
        <v>2417.7785262484567</v>
      </c>
      <c r="CB23" s="560">
        <v>47717.983546967662</v>
      </c>
      <c r="CC23" s="5">
        <v>69454.039999999994</v>
      </c>
      <c r="CD23" s="5">
        <v>7509.42</v>
      </c>
      <c r="CE23" s="5">
        <v>1075.3</v>
      </c>
      <c r="CF23" s="544">
        <f t="shared" si="114"/>
        <v>7.333333333333333</v>
      </c>
      <c r="CG23" s="565">
        <v>39839.666666666642</v>
      </c>
      <c r="CH23" s="565">
        <v>2235</v>
      </c>
      <c r="CI23" s="565">
        <v>368</v>
      </c>
      <c r="CJ23" s="565">
        <v>2</v>
      </c>
      <c r="CK23" s="565">
        <v>11898</v>
      </c>
      <c r="CL23" s="565">
        <v>38.166666666666643</v>
      </c>
      <c r="CM23" s="565">
        <v>371.5</v>
      </c>
      <c r="CN23" s="46">
        <f>Weather!C47</f>
        <v>238.48333333333335</v>
      </c>
      <c r="CO23" s="46">
        <f>Weather!D47</f>
        <v>0</v>
      </c>
      <c r="CP23" s="46">
        <f>Weather!E47</f>
        <v>179.70833333333334</v>
      </c>
      <c r="CQ23" s="46">
        <f>Weather!F47</f>
        <v>3.2250000000000014</v>
      </c>
      <c r="CR23" s="46">
        <f>Weather!G47</f>
        <v>124.7625</v>
      </c>
      <c r="CS23" s="46">
        <f>Weather!H47</f>
        <v>10.279166666666672</v>
      </c>
      <c r="CT23" s="46">
        <f>Weather!I47</f>
        <v>82.137500000000017</v>
      </c>
      <c r="CU23" s="46">
        <f>Weather!J47</f>
        <v>29.654166666666669</v>
      </c>
      <c r="CV23" s="46">
        <f>Weather!K47</f>
        <v>49.88333333333334</v>
      </c>
      <c r="CW23" s="46">
        <f>Weather!L47</f>
        <v>59.400000000000006</v>
      </c>
      <c r="CX23" s="46">
        <f>Weather!M47</f>
        <v>26.758333333333336</v>
      </c>
      <c r="CY23" s="46">
        <f>Weather!N47</f>
        <v>98.274999999999977</v>
      </c>
      <c r="CZ23" s="46">
        <f>Weather!O47</f>
        <v>11.620833333333334</v>
      </c>
      <c r="DA23" s="46">
        <f>Weather!P47</f>
        <v>145.13749999999999</v>
      </c>
      <c r="DB23" s="243">
        <f>'Economic Data'!D49</f>
        <v>7158.3</v>
      </c>
      <c r="DC23" s="243">
        <f>'Economic Data'!E49</f>
        <v>7179.8</v>
      </c>
      <c r="DD23" s="243">
        <f>'Economic Data'!F49</f>
        <v>209.3</v>
      </c>
      <c r="DE23" s="243">
        <f>'Economic Data'!G49</f>
        <v>208</v>
      </c>
      <c r="DF23" s="243">
        <f>'Economic Data'!H49</f>
        <v>43.8</v>
      </c>
      <c r="DG23" s="243">
        <f>'Economic Data'!I49</f>
        <v>43.8</v>
      </c>
      <c r="DH23" s="243">
        <f>'Economic Data'!J49</f>
        <v>764464.8</v>
      </c>
      <c r="DI23" s="243">
        <f>'Economic Data'!K49</f>
        <v>590729.4</v>
      </c>
      <c r="DJ23" s="243">
        <f>'Economic Data'!L49</f>
        <v>91847.6</v>
      </c>
      <c r="DK23" s="243">
        <f>'Economic Data'!M49</f>
        <v>31122.7</v>
      </c>
      <c r="DL23" s="243">
        <f>'Economic Data'!N49</f>
        <v>771506</v>
      </c>
      <c r="DM23" s="243">
        <f>'Economic Data'!O49</f>
        <v>91677</v>
      </c>
      <c r="DN23" s="243">
        <f>'Economic Data'!P49</f>
        <v>19121</v>
      </c>
      <c r="DO23" s="243">
        <f>'Economic Data'!Q49</f>
        <v>596909</v>
      </c>
      <c r="DP23" s="243">
        <f>'Economic Data'!R49</f>
        <v>31523</v>
      </c>
      <c r="DQ23">
        <v>31</v>
      </c>
      <c r="DR23">
        <v>21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1</v>
      </c>
      <c r="EC23">
        <v>0</v>
      </c>
      <c r="ED23">
        <v>0</v>
      </c>
      <c r="EE23">
        <v>0</v>
      </c>
      <c r="EF23">
        <v>1</v>
      </c>
      <c r="EG23">
        <v>1</v>
      </c>
      <c r="EH23">
        <f t="shared" si="66"/>
        <v>22</v>
      </c>
      <c r="EI23">
        <v>0</v>
      </c>
      <c r="EJ23">
        <v>0</v>
      </c>
      <c r="EK23">
        <v>0</v>
      </c>
      <c r="EL23">
        <v>0</v>
      </c>
      <c r="EM23" s="47">
        <f t="shared" si="69"/>
        <v>0</v>
      </c>
      <c r="EN23" s="47">
        <f t="shared" si="70"/>
        <v>0</v>
      </c>
      <c r="EO23" s="47">
        <f t="shared" si="71"/>
        <v>0</v>
      </c>
      <c r="EP23" s="47">
        <f t="shared" si="72"/>
        <v>0</v>
      </c>
      <c r="EQ23" s="47">
        <f t="shared" si="73"/>
        <v>0</v>
      </c>
      <c r="ER23" s="47">
        <f t="shared" si="74"/>
        <v>0</v>
      </c>
      <c r="ES23" s="47">
        <f t="shared" si="75"/>
        <v>0</v>
      </c>
      <c r="ET23" s="47">
        <f t="shared" si="76"/>
        <v>0</v>
      </c>
      <c r="EU23" s="47">
        <f t="shared" si="77"/>
        <v>0</v>
      </c>
      <c r="EV23" s="47">
        <f t="shared" si="78"/>
        <v>0</v>
      </c>
      <c r="EW23" s="47">
        <f t="shared" si="79"/>
        <v>0</v>
      </c>
      <c r="EX23" s="47">
        <f t="shared" si="80"/>
        <v>0</v>
      </c>
      <c r="EY23" s="47">
        <f t="shared" si="81"/>
        <v>0</v>
      </c>
      <c r="EZ23" s="47">
        <f t="shared" si="82"/>
        <v>0</v>
      </c>
      <c r="FA23" s="47">
        <f t="shared" si="83"/>
        <v>0</v>
      </c>
      <c r="FB23" s="47">
        <f t="shared" si="84"/>
        <v>0</v>
      </c>
      <c r="FC23" s="47">
        <f t="shared" si="85"/>
        <v>0</v>
      </c>
      <c r="FD23" s="47">
        <f t="shared" si="86"/>
        <v>0</v>
      </c>
      <c r="FE23" s="47">
        <f t="shared" si="87"/>
        <v>0</v>
      </c>
      <c r="FF23" s="47">
        <f t="shared" si="88"/>
        <v>0</v>
      </c>
      <c r="FG23" s="47">
        <f t="shared" si="89"/>
        <v>0</v>
      </c>
      <c r="FH23" s="47">
        <f t="shared" si="90"/>
        <v>0</v>
      </c>
      <c r="FI23" s="47">
        <f t="shared" si="91"/>
        <v>0</v>
      </c>
      <c r="FJ23" s="47">
        <f t="shared" si="92"/>
        <v>0</v>
      </c>
      <c r="FK23" s="47">
        <f t="shared" si="93"/>
        <v>0</v>
      </c>
      <c r="FL23" s="47">
        <f t="shared" si="94"/>
        <v>0</v>
      </c>
      <c r="FM23" s="47">
        <f t="shared" si="95"/>
        <v>0</v>
      </c>
      <c r="FN23" s="47">
        <f t="shared" si="96"/>
        <v>0</v>
      </c>
      <c r="FO23" s="546">
        <f t="shared" si="97"/>
        <v>588.07280915712624</v>
      </c>
      <c r="FP23" s="546">
        <f t="shared" si="98"/>
        <v>421.03072384681218</v>
      </c>
      <c r="FQ23" s="546">
        <f t="shared" si="99"/>
        <v>2257.2501108163028</v>
      </c>
      <c r="FR23" s="546">
        <f t="shared" si="100"/>
        <v>71399.268054426953</v>
      </c>
      <c r="FS23" s="546">
        <f t="shared" si="101"/>
        <v>1555574.5334385859</v>
      </c>
      <c r="FT23" s="546">
        <f t="shared" si="102"/>
        <v>6372844.4870335683</v>
      </c>
      <c r="FU23" s="546">
        <f t="shared" si="103"/>
        <v>55.331676937907339</v>
      </c>
      <c r="FV23" s="546">
        <f t="shared" si="104"/>
        <v>56.239984457573215</v>
      </c>
      <c r="FW23" s="546">
        <f t="shared" si="105"/>
        <v>473.69002105020991</v>
      </c>
      <c r="FX23" s="546">
        <f t="shared" si="106"/>
        <v>637.30157902233395</v>
      </c>
      <c r="FY23" s="546">
        <f t="shared" si="107"/>
        <v>2908.386044899416</v>
      </c>
      <c r="FZ23" s="546">
        <f t="shared" si="108"/>
        <v>73955.200048952174</v>
      </c>
      <c r="GA23" s="546">
        <f t="shared" si="109"/>
        <v>223621.75722211591</v>
      </c>
      <c r="GB23" s="546">
        <f t="shared" si="110"/>
        <v>37.589806223250278</v>
      </c>
      <c r="GC23" s="546">
        <f t="shared" si="111"/>
        <v>63.347908984675762</v>
      </c>
      <c r="GD23" s="546">
        <f t="shared" si="112"/>
        <v>128.44679285859397</v>
      </c>
    </row>
    <row r="24" spans="1:186">
      <c r="A24" s="4">
        <v>43040</v>
      </c>
      <c r="B24" s="6">
        <v>2017</v>
      </c>
      <c r="C24" s="5">
        <v>11</v>
      </c>
      <c r="D24" s="7">
        <v>68569104.110036552</v>
      </c>
      <c r="E24" s="7">
        <f>IFERROR(VLOOKUP($B24-1,CDM!$V$4:$AJ$17,2,FALSE)/12,0)+IFERROR(VLOOKUP($B24,CDM!$V$41:$AJ$54,2,FALSE)/24,0)+IFERROR(VLOOKUP($B24,CDM!$V$41:$AJ$54,2,FALSE)/2*$C24/78,0)</f>
        <v>3254382.5440357779</v>
      </c>
      <c r="F24" s="7">
        <f t="shared" si="0"/>
        <v>71823486.654072329</v>
      </c>
      <c r="G24" s="7">
        <f>IFERROR(HLOOKUP(B24,'EV Forecast VRZ'!$F$116:$T$122,2,FALSE)*C24/78,0)</f>
        <v>34534.351822101882</v>
      </c>
      <c r="H24" s="7"/>
      <c r="I24" s="7">
        <f t="shared" si="1"/>
        <v>71788952.302250221</v>
      </c>
      <c r="J24" s="7">
        <v>713353.19553520321</v>
      </c>
      <c r="K24" s="7">
        <f>IFERROR(VLOOKUP($B24-1,CDM!$V$4:$AJ$17,3,FALSE)/12,0)+IFERROR(VLOOKUP($B24,CDM!$V$41:$AJ$54,3,FALSE)/24,0)+IFERROR(VLOOKUP($B24,CDM!$V$41:$AJ$54,3,FALSE)/2*$C24/78,0)</f>
        <v>37275.05842831378</v>
      </c>
      <c r="L24" s="7">
        <f t="shared" si="2"/>
        <v>750628.25396351703</v>
      </c>
      <c r="M24" s="7">
        <f>IFERROR(HLOOKUP(B24,'EV Forecast VRZ'!$F$116:$T$122,3,FALSE)*C24/78,0)</f>
        <v>468.60151123144783</v>
      </c>
      <c r="N24" s="7"/>
      <c r="O24" s="7">
        <f t="shared" si="3"/>
        <v>750159.65245228563</v>
      </c>
      <c r="P24" s="7">
        <v>21379874.800209884</v>
      </c>
      <c r="Q24" s="7">
        <f>IFERROR(VLOOKUP($B24-1,CDM!$V$4:$AJ$17,4,FALSE)/12,0)+IFERROR(VLOOKUP($B24,CDM!$V$41:$AJ$54,4,FALSE)/24,0)+IFERROR(VLOOKUP($B24,CDM!$V$41:$AJ$54,4,FALSE)/2*$C24/78,0)</f>
        <v>761046.25591915287</v>
      </c>
      <c r="R24" s="7">
        <f t="shared" si="4"/>
        <v>22140921.056129038</v>
      </c>
      <c r="S24" s="7">
        <f>IFERROR(HLOOKUP(B24,'EV Forecast VRZ'!$F$116:$T$122,4,FALSE)*C24/78,0)</f>
        <v>4405.4379487179494</v>
      </c>
      <c r="T24" s="7"/>
      <c r="U24" s="7">
        <f t="shared" si="5"/>
        <v>22136515.61818032</v>
      </c>
      <c r="V24" s="7">
        <v>75304172.602858007</v>
      </c>
      <c r="W24" s="7">
        <f>IFERROR(VLOOKUP($B24-1,CDM!$V$4:$AJ$17,5,FALSE)/12,0)+IFERROR(VLOOKUP($B24,CDM!$V$41:$AJ$54,5,FALSE)/24,0)+IFERROR(VLOOKUP($B24,CDM!$V$41:$AJ$54,5,FALSE)/2*$C24/78,0)</f>
        <v>2839793.2642286643</v>
      </c>
      <c r="X24" s="7">
        <f t="shared" si="6"/>
        <v>78143965.867086679</v>
      </c>
      <c r="Y24" s="7">
        <f>IFERROR(HLOOKUP(B24,'EV Forecast VRZ'!$F$116:$T$122,5,FALSE)*C24/78,0)</f>
        <v>2005.7163076923073</v>
      </c>
      <c r="Z24" s="7"/>
      <c r="AA24" s="7">
        <f t="shared" si="7"/>
        <v>78141960.150778979</v>
      </c>
      <c r="AB24" s="7">
        <v>7801970.6795479944</v>
      </c>
      <c r="AC24" s="7">
        <f>IFERROR(VLOOKUP($B24-1,CDM!$V$4:$AJ$17,6,FALSE)/12,0)+IFERROR(VLOOKUP($B24,CDM!$V$41:$AJ$54,6,FALSE)/24,0)+IFERROR(VLOOKUP($B24,CDM!$V$41:$AJ$54,6,FALSE)/2*$C24/78,0)</f>
        <v>116358.63722406348</v>
      </c>
      <c r="AD24" s="7">
        <f t="shared" si="8"/>
        <v>7918329.3167720577</v>
      </c>
      <c r="AE24" s="7">
        <f>IFERROR(HLOOKUP(B24,'EV Forecast VRZ'!$F$116:$T$122,6,FALSE)*C24/78,0)</f>
        <v>313.34882051282051</v>
      </c>
      <c r="AF24" s="7">
        <f t="shared" si="9"/>
        <v>7918015.9679515446</v>
      </c>
      <c r="AG24" s="7">
        <v>20482245.892418895</v>
      </c>
      <c r="AH24" s="7">
        <f>IFERROR(VLOOKUP($B24-1,CDM!$V$4:$AJ$17,7,FALSE)/12,0)+IFERROR(VLOOKUP($B24,CDM!$V$41:$AJ$54,7,FALSE)/24,0)+IFERROR(VLOOKUP($B24,CDM!$V$41:$AJ$54,7,FALSE)/2*$C24/78,0)</f>
        <v>899983.19521435257</v>
      </c>
      <c r="AI24" s="7">
        <f t="shared" si="10"/>
        <v>21382229.087633248</v>
      </c>
      <c r="AJ24" s="7">
        <f>IFERROR(HLOOKUP(B24,'EV Forecast VRZ'!$F$116:$T$122,7,FALSE)*C24/78,0)</f>
        <v>0</v>
      </c>
      <c r="AK24" s="7">
        <f t="shared" si="11"/>
        <v>21382229.087633248</v>
      </c>
      <c r="AL24" s="7">
        <v>1754041.7572982255</v>
      </c>
      <c r="AM24" s="7">
        <v>20507.479488647208</v>
      </c>
      <c r="AN24" s="7">
        <v>389655.98168288497</v>
      </c>
      <c r="AO24" s="5">
        <v>181841.36</v>
      </c>
      <c r="AP24" s="5">
        <v>17050.91</v>
      </c>
      <c r="AQ24" s="5">
        <v>34147</v>
      </c>
      <c r="AR24" s="5">
        <v>4079.23</v>
      </c>
      <c r="AS24" s="544">
        <f t="shared" si="113"/>
        <v>80.583333333333329</v>
      </c>
      <c r="AT24" s="557">
        <v>108686.5</v>
      </c>
      <c r="AU24" s="557">
        <v>1572.9166666666658</v>
      </c>
      <c r="AV24" s="557">
        <v>9032.25</v>
      </c>
      <c r="AW24" s="557">
        <v>1080.3333333333342</v>
      </c>
      <c r="AX24" s="557">
        <v>5</v>
      </c>
      <c r="AY24" s="557">
        <v>3</v>
      </c>
      <c r="AZ24" s="557">
        <v>30616.5</v>
      </c>
      <c r="BA24" s="557">
        <v>439</v>
      </c>
      <c r="BB24" s="557">
        <v>821.83333333333292</v>
      </c>
      <c r="BC24" s="560">
        <v>24730968.903510712</v>
      </c>
      <c r="BD24" s="560">
        <f>IFERROR(VLOOKUP($B24-1,CDM!$V$4:$AJ$17,11,FALSE)/12,0)+IFERROR(VLOOKUP($B24,CDM!$V$41:$AJ$54,11,FALSE)/24,0)+IFERROR(VLOOKUP($B24,CDM!$V$41:$AJ$54,11,FALSE)/2*$C24/78,0)</f>
        <v>1696073.1463106312</v>
      </c>
      <c r="BE24" s="560">
        <f t="shared" si="67"/>
        <v>26427042.049821343</v>
      </c>
      <c r="BF24" s="560">
        <f>IFERROR(HLOOKUP(B24,'EV Forecast WRZ'!$F$116:$T$122,2,FALSE)*C24/78,0)</f>
        <v>11139.725384615384</v>
      </c>
      <c r="BG24" s="560"/>
      <c r="BH24" s="560">
        <f t="shared" si="13"/>
        <v>26415902.324436728</v>
      </c>
      <c r="BI24" s="560">
        <v>6793306.6769657535</v>
      </c>
      <c r="BJ24" s="560">
        <f>IFERROR(VLOOKUP($B24-1,CDM!$V$4:$AJ$17,12,FALSE)/12,0)+IFERROR(VLOOKUP($B24,CDM!$V$41:$AJ$54,12,FALSE)/24,0)+IFERROR(VLOOKUP($B24,CDM!$V$41:$AJ$54,12,FALSE)/2*$C24/78,0)</f>
        <v>145621.25701892382</v>
      </c>
      <c r="BK24" s="560">
        <f t="shared" si="14"/>
        <v>6938927.9339846773</v>
      </c>
      <c r="BL24" s="560">
        <f>IFERROR(HLOOKUP(B24,'EV Forecast WRZ'!$F$116:$T$122,3,FALSE)*C24/78,0)</f>
        <v>1545.7369230769232</v>
      </c>
      <c r="BM24" s="560"/>
      <c r="BN24" s="560">
        <f t="shared" si="15"/>
        <v>6937382.1970616002</v>
      </c>
      <c r="BO24" s="560">
        <v>28029100.623236265</v>
      </c>
      <c r="BP24" s="560">
        <f>IFERROR(VLOOKUP($B24-1,CDM!$V$4:$AJ$17,13,FALSE)/12,0)+IFERROR(VLOOKUP($B24,CDM!$V$41:$AJ$54,13,FALSE)/24,0)+IFERROR(VLOOKUP($B24,CDM!$V$41:$AJ$54,13,FALSE)/2*$C24/78,0)</f>
        <v>818971.14736530138</v>
      </c>
      <c r="BQ24" s="560">
        <f t="shared" si="16"/>
        <v>28848071.770601567</v>
      </c>
      <c r="BR24" s="560">
        <f>IFERROR(HLOOKUP(B24,'EV Forecast WRZ'!$F$116:$T$122,4,FALSE)*C24/78,0)</f>
        <v>714.62007692307702</v>
      </c>
      <c r="BS24" s="560"/>
      <c r="BT24" s="560">
        <f t="shared" si="17"/>
        <v>28847357.150524642</v>
      </c>
      <c r="BU24" s="560">
        <v>4904841.6297010602</v>
      </c>
      <c r="BV24" s="560">
        <f>IFERROR(VLOOKUP($B24-1,CDM!$V$4:$AJ$17,14,FALSE)/12,0)+IFERROR(VLOOKUP($B24,CDM!$V$41:$AJ$54,14,FALSE)/24,0)+IFERROR(VLOOKUP($B24,CDM!$V$41:$AJ$54,14,FALSE)/2*$C24/78,0)</f>
        <v>184122.85903520667</v>
      </c>
      <c r="BW24" s="560">
        <f t="shared" si="18"/>
        <v>5088964.4887362672</v>
      </c>
      <c r="BX24" s="560">
        <f>IFERROR(HLOOKUP(B24,'EV Forecast WRZ'!$F$116:$T$122,5,FALSE)*C24/78,0)</f>
        <v>153.44069230769227</v>
      </c>
      <c r="BY24" s="560">
        <f t="shared" si="68"/>
        <v>5088811.0480439598</v>
      </c>
      <c r="BZ24" s="560">
        <v>474883.20260187483</v>
      </c>
      <c r="CA24" s="560">
        <v>2417.7785262484567</v>
      </c>
      <c r="CB24" s="560">
        <v>47740.051654868941</v>
      </c>
      <c r="CC24" s="5">
        <v>66462.02</v>
      </c>
      <c r="CD24" s="5">
        <v>7607</v>
      </c>
      <c r="CE24" s="5">
        <v>1025.54</v>
      </c>
      <c r="CF24" s="544">
        <f t="shared" si="114"/>
        <v>7.333333333333333</v>
      </c>
      <c r="CG24" s="565">
        <v>39864.833333333307</v>
      </c>
      <c r="CH24" s="565">
        <v>2236.5</v>
      </c>
      <c r="CI24" s="565">
        <v>368</v>
      </c>
      <c r="CJ24" s="565">
        <v>2</v>
      </c>
      <c r="CK24" s="565">
        <v>11900</v>
      </c>
      <c r="CL24" s="565">
        <v>38.083333333333307</v>
      </c>
      <c r="CM24" s="565">
        <v>371.75</v>
      </c>
      <c r="CN24" s="46">
        <f>Weather!C48</f>
        <v>502.61174242424244</v>
      </c>
      <c r="CO24" s="46">
        <f>Weather!D48</f>
        <v>0</v>
      </c>
      <c r="CP24" s="46">
        <f>Weather!E48</f>
        <v>442.61174242424244</v>
      </c>
      <c r="CQ24" s="46">
        <f>Weather!F48</f>
        <v>0</v>
      </c>
      <c r="CR24" s="46">
        <f>Weather!G48</f>
        <v>382.61174242424244</v>
      </c>
      <c r="CS24" s="46">
        <f>Weather!H48</f>
        <v>0</v>
      </c>
      <c r="CT24" s="46">
        <f>Weather!I48</f>
        <v>322.61174242424249</v>
      </c>
      <c r="CU24" s="46">
        <f>Weather!J48</f>
        <v>0</v>
      </c>
      <c r="CV24" s="46">
        <f>Weather!K48</f>
        <v>262.61174242424244</v>
      </c>
      <c r="CW24" s="46">
        <f>Weather!L48</f>
        <v>0</v>
      </c>
      <c r="CX24" s="46">
        <f>Weather!M48</f>
        <v>203.9075757575757</v>
      </c>
      <c r="CY24" s="46">
        <f>Weather!N48</f>
        <v>1.2958333333333325</v>
      </c>
      <c r="CZ24" s="46">
        <f>Weather!O48</f>
        <v>148.02424242424243</v>
      </c>
      <c r="DA24" s="46">
        <f>Weather!P48</f>
        <v>5.4124999999999979</v>
      </c>
      <c r="DB24" s="243">
        <f>'Economic Data'!D50</f>
        <v>7182.2</v>
      </c>
      <c r="DC24" s="243">
        <f>'Economic Data'!E50</f>
        <v>7182.5</v>
      </c>
      <c r="DD24" s="243">
        <f>'Economic Data'!F50</f>
        <v>208.6</v>
      </c>
      <c r="DE24" s="243">
        <f>'Economic Data'!G50</f>
        <v>206.8</v>
      </c>
      <c r="DF24" s="243">
        <f>'Economic Data'!H50</f>
        <v>41.1</v>
      </c>
      <c r="DG24" s="243">
        <f>'Economic Data'!I50</f>
        <v>41.1</v>
      </c>
      <c r="DH24" s="243">
        <f>'Economic Data'!J50</f>
        <v>764464.8</v>
      </c>
      <c r="DI24" s="243">
        <f>'Economic Data'!K50</f>
        <v>590729.4</v>
      </c>
      <c r="DJ24" s="243">
        <f>'Economic Data'!L50</f>
        <v>91847.6</v>
      </c>
      <c r="DK24" s="243">
        <f>'Economic Data'!M50</f>
        <v>31122.7</v>
      </c>
      <c r="DL24" s="243">
        <f>'Economic Data'!N50</f>
        <v>771506</v>
      </c>
      <c r="DM24" s="243">
        <f>'Economic Data'!O50</f>
        <v>91677</v>
      </c>
      <c r="DN24" s="243">
        <f>'Economic Data'!P50</f>
        <v>19121</v>
      </c>
      <c r="DO24" s="243">
        <f>'Economic Data'!Q50</f>
        <v>596909</v>
      </c>
      <c r="DP24" s="243">
        <f>'Economic Data'!R50</f>
        <v>31523</v>
      </c>
      <c r="DQ24">
        <v>30</v>
      </c>
      <c r="DR24">
        <v>22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1</v>
      </c>
      <c r="ED24">
        <v>0</v>
      </c>
      <c r="EE24">
        <v>0</v>
      </c>
      <c r="EF24">
        <v>1</v>
      </c>
      <c r="EG24">
        <v>1</v>
      </c>
      <c r="EH24">
        <f t="shared" si="66"/>
        <v>23</v>
      </c>
      <c r="EI24">
        <v>0</v>
      </c>
      <c r="EJ24">
        <v>0</v>
      </c>
      <c r="EK24">
        <v>0</v>
      </c>
      <c r="EL24">
        <v>0</v>
      </c>
      <c r="EM24" s="47">
        <f t="shared" si="69"/>
        <v>0</v>
      </c>
      <c r="EN24" s="47">
        <f t="shared" si="70"/>
        <v>0</v>
      </c>
      <c r="EO24" s="47">
        <f t="shared" si="71"/>
        <v>0</v>
      </c>
      <c r="EP24" s="47">
        <f t="shared" si="72"/>
        <v>0</v>
      </c>
      <c r="EQ24" s="47">
        <f t="shared" si="73"/>
        <v>0</v>
      </c>
      <c r="ER24" s="47">
        <f t="shared" si="74"/>
        <v>0</v>
      </c>
      <c r="ES24" s="47">
        <f t="shared" si="75"/>
        <v>0</v>
      </c>
      <c r="ET24" s="47">
        <f t="shared" si="76"/>
        <v>0</v>
      </c>
      <c r="EU24" s="47">
        <f t="shared" si="77"/>
        <v>0</v>
      </c>
      <c r="EV24" s="47">
        <f t="shared" si="78"/>
        <v>0</v>
      </c>
      <c r="EW24" s="47">
        <f t="shared" si="79"/>
        <v>0</v>
      </c>
      <c r="EX24" s="47">
        <f t="shared" si="80"/>
        <v>0</v>
      </c>
      <c r="EY24" s="47">
        <f t="shared" si="81"/>
        <v>0</v>
      </c>
      <c r="EZ24" s="47">
        <f t="shared" si="82"/>
        <v>0</v>
      </c>
      <c r="FA24" s="47">
        <f t="shared" si="83"/>
        <v>0</v>
      </c>
      <c r="FB24" s="47">
        <f t="shared" si="84"/>
        <v>0</v>
      </c>
      <c r="FC24" s="47">
        <f t="shared" si="85"/>
        <v>0</v>
      </c>
      <c r="FD24" s="47">
        <f t="shared" si="86"/>
        <v>0</v>
      </c>
      <c r="FE24" s="47">
        <f t="shared" si="87"/>
        <v>0</v>
      </c>
      <c r="FF24" s="47">
        <f t="shared" si="88"/>
        <v>0</v>
      </c>
      <c r="FG24" s="47">
        <f t="shared" si="89"/>
        <v>0</v>
      </c>
      <c r="FH24" s="47">
        <f t="shared" si="90"/>
        <v>0</v>
      </c>
      <c r="FI24" s="47">
        <f t="shared" si="91"/>
        <v>0</v>
      </c>
      <c r="FJ24" s="47">
        <f t="shared" si="92"/>
        <v>0</v>
      </c>
      <c r="FK24" s="47">
        <f t="shared" si="93"/>
        <v>0</v>
      </c>
      <c r="FL24" s="47">
        <f t="shared" si="94"/>
        <v>0</v>
      </c>
      <c r="FM24" s="47">
        <f t="shared" si="95"/>
        <v>0</v>
      </c>
      <c r="FN24" s="47">
        <f t="shared" si="96"/>
        <v>0</v>
      </c>
      <c r="FO24" s="546">
        <f t="shared" si="97"/>
        <v>660.51397645751979</v>
      </c>
      <c r="FP24" s="546">
        <f t="shared" si="98"/>
        <v>477.22061179137529</v>
      </c>
      <c r="FQ24" s="546">
        <f t="shared" si="99"/>
        <v>2451.318448462901</v>
      </c>
      <c r="FR24" s="546">
        <f t="shared" si="100"/>
        <v>72333.198889620442</v>
      </c>
      <c r="FS24" s="546">
        <f t="shared" si="101"/>
        <v>1583665.8633544114</v>
      </c>
      <c r="FT24" s="546">
        <f t="shared" si="102"/>
        <v>7127409.6958777495</v>
      </c>
      <c r="FU24" s="546">
        <f t="shared" si="103"/>
        <v>57.290733993050331</v>
      </c>
      <c r="FV24" s="546">
        <f t="shared" si="104"/>
        <v>46.714076283934418</v>
      </c>
      <c r="FW24" s="546">
        <f t="shared" si="105"/>
        <v>474.13017442654859</v>
      </c>
      <c r="FX24" s="546">
        <f t="shared" si="106"/>
        <v>662.91615542072657</v>
      </c>
      <c r="FY24" s="546">
        <f t="shared" si="107"/>
        <v>3102.5834714887892</v>
      </c>
      <c r="FZ24" s="546">
        <f t="shared" si="108"/>
        <v>78391.499376634689</v>
      </c>
      <c r="GA24" s="546">
        <f t="shared" si="109"/>
        <v>237441.60130093741</v>
      </c>
      <c r="GB24" s="546">
        <f t="shared" si="110"/>
        <v>39.906151479149145</v>
      </c>
      <c r="GC24" s="546">
        <f t="shared" si="111"/>
        <v>63.486525853351203</v>
      </c>
      <c r="GD24" s="546">
        <f t="shared" si="112"/>
        <v>128.41977580327892</v>
      </c>
    </row>
    <row r="25" spans="1:186">
      <c r="A25" s="4">
        <v>43070</v>
      </c>
      <c r="B25" s="6">
        <v>2017</v>
      </c>
      <c r="C25" s="5">
        <v>12</v>
      </c>
      <c r="D25" s="7">
        <v>87431618.858394295</v>
      </c>
      <c r="E25" s="7">
        <f>IFERROR(VLOOKUP($B25-1,CDM!$V$4:$AJ$17,2,FALSE)/12,0)+IFERROR(VLOOKUP($B25,CDM!$V$41:$AJ$54,2,FALSE)/24,0)+IFERROR(VLOOKUP($B25,CDM!$V$41:$AJ$54,2,FALSE)/2*$C25/78,0)</f>
        <v>3365735.6053003399</v>
      </c>
      <c r="F25" s="7">
        <f t="shared" si="0"/>
        <v>90797354.463694632</v>
      </c>
      <c r="G25" s="7">
        <f>IFERROR(HLOOKUP(B25,'EV Forecast VRZ'!$F$116:$T$122,2,FALSE)*C25/78,0)</f>
        <v>37673.838351383863</v>
      </c>
      <c r="H25" s="7"/>
      <c r="I25" s="7">
        <f t="shared" si="1"/>
        <v>90759680.625343248</v>
      </c>
      <c r="J25" s="7">
        <v>1055766.9901450106</v>
      </c>
      <c r="K25" s="7">
        <f>IFERROR(VLOOKUP($B25-1,CDM!$V$4:$AJ$17,3,FALSE)/12,0)+IFERROR(VLOOKUP($B25,CDM!$V$41:$AJ$54,3,FALSE)/24,0)+IFERROR(VLOOKUP($B25,CDM!$V$41:$AJ$54,3,FALSE)/2*$C25/78,0)</f>
        <v>38550.474519890049</v>
      </c>
      <c r="L25" s="7">
        <f t="shared" si="2"/>
        <v>1094317.4646649007</v>
      </c>
      <c r="M25" s="7">
        <f>IFERROR(HLOOKUP(B25,'EV Forecast VRZ'!$F$116:$T$122,3,FALSE)*C25/78,0)</f>
        <v>511.20164861612488</v>
      </c>
      <c r="N25" s="7"/>
      <c r="O25" s="7">
        <f t="shared" si="3"/>
        <v>1093806.2630162844</v>
      </c>
      <c r="P25" s="7">
        <v>24453816.475529481</v>
      </c>
      <c r="Q25" s="7">
        <f>IFERROR(VLOOKUP($B25-1,CDM!$V$4:$AJ$17,4,FALSE)/12,0)+IFERROR(VLOOKUP($B25,CDM!$V$41:$AJ$54,4,FALSE)/24,0)+IFERROR(VLOOKUP($B25,CDM!$V$41:$AJ$54,4,FALSE)/2*$C25/78,0)</f>
        <v>774696.50063402147</v>
      </c>
      <c r="R25" s="7">
        <f t="shared" si="4"/>
        <v>25228512.976163503</v>
      </c>
      <c r="S25" s="7">
        <f>IFERROR(HLOOKUP(B25,'EV Forecast VRZ'!$F$116:$T$122,4,FALSE)*C25/78,0)</f>
        <v>4805.9323076923083</v>
      </c>
      <c r="T25" s="7"/>
      <c r="U25" s="7">
        <f t="shared" si="5"/>
        <v>25223707.043855809</v>
      </c>
      <c r="V25" s="7">
        <v>77012309.075297296</v>
      </c>
      <c r="W25" s="7">
        <f>IFERROR(VLOOKUP($B25-1,CDM!$V$4:$AJ$17,5,FALSE)/12,0)+IFERROR(VLOOKUP($B25,CDM!$V$41:$AJ$54,5,FALSE)/24,0)+IFERROR(VLOOKUP($B25,CDM!$V$41:$AJ$54,5,FALSE)/2*$C25/78,0)</f>
        <v>2896607.0716724591</v>
      </c>
      <c r="X25" s="7">
        <f t="shared" si="6"/>
        <v>79908916.146969751</v>
      </c>
      <c r="Y25" s="7">
        <f>IFERROR(HLOOKUP(B25,'EV Forecast VRZ'!$F$116:$T$122,5,FALSE)*C25/78,0)</f>
        <v>2188.0541538461539</v>
      </c>
      <c r="Z25" s="7"/>
      <c r="AA25" s="7">
        <f t="shared" si="7"/>
        <v>79906728.092815906</v>
      </c>
      <c r="AB25" s="7">
        <v>6990745.9408384413</v>
      </c>
      <c r="AC25" s="7">
        <f>IFERROR(VLOOKUP($B25-1,CDM!$V$4:$AJ$17,6,FALSE)/12,0)+IFERROR(VLOOKUP($B25,CDM!$V$41:$AJ$54,6,FALSE)/24,0)+IFERROR(VLOOKUP($B25,CDM!$V$41:$AJ$54,6,FALSE)/2*$C25/78,0)</f>
        <v>120633.65619653485</v>
      </c>
      <c r="AD25" s="7">
        <f t="shared" si="8"/>
        <v>7111379.5970349759</v>
      </c>
      <c r="AE25" s="7">
        <f>IFERROR(HLOOKUP(B25,'EV Forecast VRZ'!$F$116:$T$122,6,FALSE)*C25/78,0)</f>
        <v>341.83507692307688</v>
      </c>
      <c r="AF25" s="7">
        <f t="shared" si="9"/>
        <v>7111037.7619580524</v>
      </c>
      <c r="AG25" s="7">
        <v>19357298.566765208</v>
      </c>
      <c r="AH25" s="7">
        <f>IFERROR(VLOOKUP($B25-1,CDM!$V$4:$AJ$17,7,FALSE)/12,0)+IFERROR(VLOOKUP($B25,CDM!$V$41:$AJ$54,7,FALSE)/24,0)+IFERROR(VLOOKUP($B25,CDM!$V$41:$AJ$54,7,FALSE)/2*$C25/78,0)</f>
        <v>917464.05799866933</v>
      </c>
      <c r="AI25" s="7">
        <f t="shared" si="10"/>
        <v>20274762.624763876</v>
      </c>
      <c r="AJ25" s="7">
        <f>IFERROR(HLOOKUP(B25,'EV Forecast VRZ'!$F$116:$T$122,7,FALSE)*C25/78,0)</f>
        <v>0</v>
      </c>
      <c r="AK25" s="7">
        <f t="shared" si="11"/>
        <v>20274762.624763876</v>
      </c>
      <c r="AL25" s="7">
        <v>1852088.0843350505</v>
      </c>
      <c r="AM25" s="7">
        <v>19347.281053234117</v>
      </c>
      <c r="AN25" s="7">
        <v>389740.99408509827</v>
      </c>
      <c r="AO25" s="5">
        <v>188496.53</v>
      </c>
      <c r="AP25" s="5">
        <v>16743.63</v>
      </c>
      <c r="AQ25" s="5">
        <v>32979</v>
      </c>
      <c r="AR25" s="5">
        <v>3983.05</v>
      </c>
      <c r="AS25" s="544">
        <f t="shared" si="113"/>
        <v>80.583333333333329</v>
      </c>
      <c r="AT25" s="557">
        <v>108758</v>
      </c>
      <c r="AU25" s="557">
        <v>1572</v>
      </c>
      <c r="AV25" s="557">
        <v>9036</v>
      </c>
      <c r="AW25" s="557">
        <v>1083</v>
      </c>
      <c r="AX25" s="557">
        <v>5</v>
      </c>
      <c r="AY25" s="557">
        <v>3</v>
      </c>
      <c r="AZ25" s="557">
        <v>30662</v>
      </c>
      <c r="BA25" s="557">
        <v>439</v>
      </c>
      <c r="BB25" s="557">
        <v>821</v>
      </c>
      <c r="BC25" s="560">
        <v>30460020.905452266</v>
      </c>
      <c r="BD25" s="560">
        <f>IFERROR(VLOOKUP($B25-1,CDM!$V$4:$AJ$17,11,FALSE)/12,0)+IFERROR(VLOOKUP($B25,CDM!$V$41:$AJ$54,11,FALSE)/24,0)+IFERROR(VLOOKUP($B25,CDM!$V$41:$AJ$54,11,FALSE)/2*$C25/78,0)</f>
        <v>1755718.7897061983</v>
      </c>
      <c r="BE25" s="560">
        <f t="shared" si="67"/>
        <v>32215739.695158463</v>
      </c>
      <c r="BF25" s="560">
        <f>IFERROR(HLOOKUP(B25,'EV Forecast WRZ'!$F$116:$T$122,2,FALSE)*C25/78,0)</f>
        <v>12152.427692307692</v>
      </c>
      <c r="BG25" s="560"/>
      <c r="BH25" s="560">
        <f t="shared" si="13"/>
        <v>32203587.267466154</v>
      </c>
      <c r="BI25" s="560">
        <v>7712997.8109527342</v>
      </c>
      <c r="BJ25" s="560">
        <f>IFERROR(VLOOKUP($B25-1,CDM!$V$4:$AJ$17,12,FALSE)/12,0)+IFERROR(VLOOKUP($B25,CDM!$V$41:$AJ$54,12,FALSE)/24,0)+IFERROR(VLOOKUP($B25,CDM!$V$41:$AJ$54,12,FALSE)/2*$C25/78,0)</f>
        <v>147344.26993022923</v>
      </c>
      <c r="BK25" s="560">
        <f t="shared" si="14"/>
        <v>7860342.0808829637</v>
      </c>
      <c r="BL25" s="560">
        <f>IFERROR(HLOOKUP(B25,'EV Forecast WRZ'!$F$116:$T$122,3,FALSE)*C25/78,0)</f>
        <v>1686.2584615384617</v>
      </c>
      <c r="BM25" s="560"/>
      <c r="BN25" s="560">
        <f t="shared" si="15"/>
        <v>7858655.822421425</v>
      </c>
      <c r="BO25" s="560">
        <v>28554675.299909934</v>
      </c>
      <c r="BP25" s="560">
        <f>IFERROR(VLOOKUP($B25-1,CDM!$V$4:$AJ$17,13,FALSE)/12,0)+IFERROR(VLOOKUP($B25,CDM!$V$41:$AJ$54,13,FALSE)/24,0)+IFERROR(VLOOKUP($B25,CDM!$V$41:$AJ$54,13,FALSE)/2*$C25/78,0)</f>
        <v>841504.65390022588</v>
      </c>
      <c r="BQ25" s="560">
        <f t="shared" si="16"/>
        <v>29396179.953810159</v>
      </c>
      <c r="BR25" s="560">
        <f>IFERROR(HLOOKUP(B25,'EV Forecast WRZ'!$F$116:$T$122,4,FALSE)*C25/78,0)</f>
        <v>779.58553846153859</v>
      </c>
      <c r="BS25" s="560"/>
      <c r="BT25" s="560">
        <f t="shared" si="17"/>
        <v>29395400.368271697</v>
      </c>
      <c r="BU25" s="560">
        <v>4598970.2796528451</v>
      </c>
      <c r="BV25" s="560">
        <f>IFERROR(VLOOKUP($B25-1,CDM!$V$4:$AJ$17,14,FALSE)/12,0)+IFERROR(VLOOKUP($B25,CDM!$V$41:$AJ$54,14,FALSE)/24,0)+IFERROR(VLOOKUP($B25,CDM!$V$41:$AJ$54,14,FALSE)/2*$C25/78,0)</f>
        <v>189188.89055615375</v>
      </c>
      <c r="BW25" s="560">
        <f t="shared" si="18"/>
        <v>4788159.170208999</v>
      </c>
      <c r="BX25" s="560">
        <f>IFERROR(HLOOKUP(B25,'EV Forecast WRZ'!$F$116:$T$122,5,FALSE)*C25/78,0)</f>
        <v>167.38984615384615</v>
      </c>
      <c r="BY25" s="560">
        <f t="shared" si="68"/>
        <v>4787991.7803628454</v>
      </c>
      <c r="BZ25" s="560">
        <v>490629.25196097186</v>
      </c>
      <c r="CA25" s="560">
        <v>2417.7785262484567</v>
      </c>
      <c r="CB25" s="560">
        <v>47739.984694853636</v>
      </c>
      <c r="CC25" s="5">
        <v>68148.509999999995</v>
      </c>
      <c r="CD25" s="5">
        <v>7691.82</v>
      </c>
      <c r="CE25" s="5">
        <v>1025.54</v>
      </c>
      <c r="CF25" s="544">
        <f t="shared" si="114"/>
        <v>7.333333333333333</v>
      </c>
      <c r="CG25" s="565">
        <v>39890</v>
      </c>
      <c r="CH25" s="565">
        <v>2238</v>
      </c>
      <c r="CI25" s="565">
        <v>368</v>
      </c>
      <c r="CJ25" s="565">
        <v>2</v>
      </c>
      <c r="CK25" s="565">
        <v>11902</v>
      </c>
      <c r="CL25" s="565">
        <v>38</v>
      </c>
      <c r="CM25" s="565">
        <v>372</v>
      </c>
      <c r="CN25" s="46">
        <f>Weather!C49</f>
        <v>798.31250000000011</v>
      </c>
      <c r="CO25" s="46">
        <f>Weather!D49</f>
        <v>0</v>
      </c>
      <c r="CP25" s="46">
        <f>Weather!E49</f>
        <v>736.31250000000011</v>
      </c>
      <c r="CQ25" s="46">
        <f>Weather!F49</f>
        <v>0</v>
      </c>
      <c r="CR25" s="46">
        <f>Weather!G49</f>
        <v>674.31250000000011</v>
      </c>
      <c r="CS25" s="46">
        <f>Weather!H49</f>
        <v>0</v>
      </c>
      <c r="CT25" s="46">
        <f>Weather!I49</f>
        <v>612.31250000000011</v>
      </c>
      <c r="CU25" s="46">
        <f>Weather!J49</f>
        <v>0</v>
      </c>
      <c r="CV25" s="46">
        <f>Weather!K49</f>
        <v>550.3125</v>
      </c>
      <c r="CW25" s="46">
        <f>Weather!L49</f>
        <v>0</v>
      </c>
      <c r="CX25" s="46">
        <f>Weather!M49</f>
        <v>488.31250000000011</v>
      </c>
      <c r="CY25" s="46">
        <f>Weather!N49</f>
        <v>0</v>
      </c>
      <c r="CZ25" s="46">
        <f>Weather!O49</f>
        <v>426.3125</v>
      </c>
      <c r="DA25" s="46">
        <f>Weather!P49</f>
        <v>0</v>
      </c>
      <c r="DB25" s="243">
        <f>'Economic Data'!D51</f>
        <v>7196.8</v>
      </c>
      <c r="DC25" s="243">
        <f>'Economic Data'!E51</f>
        <v>7205</v>
      </c>
      <c r="DD25" s="243">
        <f>'Economic Data'!F51</f>
        <v>207.8</v>
      </c>
      <c r="DE25" s="243">
        <f>'Economic Data'!G51</f>
        <v>206.3</v>
      </c>
      <c r="DF25" s="243">
        <f>'Economic Data'!H51</f>
        <v>39</v>
      </c>
      <c r="DG25" s="243">
        <f>'Economic Data'!I51</f>
        <v>39</v>
      </c>
      <c r="DH25" s="243">
        <f>'Economic Data'!J51</f>
        <v>764464.8</v>
      </c>
      <c r="DI25" s="243">
        <f>'Economic Data'!K51</f>
        <v>590729.4</v>
      </c>
      <c r="DJ25" s="243">
        <f>'Economic Data'!L51</f>
        <v>91847.6</v>
      </c>
      <c r="DK25" s="243">
        <f>'Economic Data'!M51</f>
        <v>31122.7</v>
      </c>
      <c r="DL25" s="243">
        <f>'Economic Data'!N51</f>
        <v>771506</v>
      </c>
      <c r="DM25" s="243">
        <f>'Economic Data'!O51</f>
        <v>91677</v>
      </c>
      <c r="DN25" s="243">
        <f>'Economic Data'!P51</f>
        <v>19121</v>
      </c>
      <c r="DO25" s="243">
        <f>'Economic Data'!Q51</f>
        <v>596909</v>
      </c>
      <c r="DP25" s="243">
        <f>'Economic Data'!R51</f>
        <v>31523</v>
      </c>
      <c r="DQ25">
        <v>31</v>
      </c>
      <c r="DR25">
        <v>19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1</v>
      </c>
      <c r="EE25">
        <v>0</v>
      </c>
      <c r="EF25">
        <v>0</v>
      </c>
      <c r="EG25">
        <v>0</v>
      </c>
      <c r="EH25">
        <f t="shared" si="66"/>
        <v>24</v>
      </c>
      <c r="EI25">
        <v>0</v>
      </c>
      <c r="EJ25">
        <v>0</v>
      </c>
      <c r="EK25">
        <v>0</v>
      </c>
      <c r="EL25">
        <v>0</v>
      </c>
      <c r="EM25" s="47">
        <f t="shared" si="69"/>
        <v>0</v>
      </c>
      <c r="EN25" s="47">
        <f t="shared" si="70"/>
        <v>0</v>
      </c>
      <c r="EO25" s="47">
        <f t="shared" si="71"/>
        <v>0</v>
      </c>
      <c r="EP25" s="47">
        <f t="shared" si="72"/>
        <v>0</v>
      </c>
      <c r="EQ25" s="47">
        <f t="shared" si="73"/>
        <v>0</v>
      </c>
      <c r="ER25" s="47">
        <f t="shared" si="74"/>
        <v>0</v>
      </c>
      <c r="ES25" s="47">
        <f t="shared" si="75"/>
        <v>0</v>
      </c>
      <c r="ET25" s="47">
        <f t="shared" si="76"/>
        <v>0</v>
      </c>
      <c r="EU25" s="47">
        <f t="shared" si="77"/>
        <v>0</v>
      </c>
      <c r="EV25" s="47">
        <f t="shared" si="78"/>
        <v>0</v>
      </c>
      <c r="EW25" s="47">
        <f t="shared" si="79"/>
        <v>0</v>
      </c>
      <c r="EX25" s="47">
        <f t="shared" si="80"/>
        <v>0</v>
      </c>
      <c r="EY25" s="47">
        <f t="shared" si="81"/>
        <v>0</v>
      </c>
      <c r="EZ25" s="47">
        <f t="shared" si="82"/>
        <v>0</v>
      </c>
      <c r="FA25" s="47">
        <f t="shared" si="83"/>
        <v>0</v>
      </c>
      <c r="FB25" s="47">
        <f t="shared" si="84"/>
        <v>0</v>
      </c>
      <c r="FC25" s="47">
        <f t="shared" si="85"/>
        <v>0</v>
      </c>
      <c r="FD25" s="47">
        <f t="shared" si="86"/>
        <v>0</v>
      </c>
      <c r="FE25" s="47">
        <f t="shared" si="87"/>
        <v>0</v>
      </c>
      <c r="FF25" s="47">
        <f t="shared" si="88"/>
        <v>0</v>
      </c>
      <c r="FG25" s="47">
        <f t="shared" si="89"/>
        <v>0</v>
      </c>
      <c r="FH25" s="47">
        <f t="shared" si="90"/>
        <v>0</v>
      </c>
      <c r="FI25" s="47">
        <f t="shared" si="91"/>
        <v>0</v>
      </c>
      <c r="FJ25" s="47">
        <f t="shared" si="92"/>
        <v>0</v>
      </c>
      <c r="FK25" s="47">
        <f t="shared" si="93"/>
        <v>0</v>
      </c>
      <c r="FL25" s="47">
        <f t="shared" si="94"/>
        <v>0</v>
      </c>
      <c r="FM25" s="47">
        <f t="shared" si="95"/>
        <v>0</v>
      </c>
      <c r="FN25" s="47">
        <f t="shared" si="96"/>
        <v>0</v>
      </c>
      <c r="FO25" s="546">
        <f t="shared" si="97"/>
        <v>834.51038659540677</v>
      </c>
      <c r="FP25" s="546">
        <f t="shared" si="98"/>
        <v>696.13070271304116</v>
      </c>
      <c r="FQ25" s="546">
        <f t="shared" si="99"/>
        <v>2792.0001080304896</v>
      </c>
      <c r="FR25" s="546">
        <f t="shared" si="100"/>
        <v>73784.779452418981</v>
      </c>
      <c r="FS25" s="546">
        <f t="shared" si="101"/>
        <v>1422275.9194069952</v>
      </c>
      <c r="FT25" s="546">
        <f t="shared" si="102"/>
        <v>6758254.2082546251</v>
      </c>
      <c r="FU25" s="546">
        <f t="shared" si="103"/>
        <v>60.40336848004209</v>
      </c>
      <c r="FV25" s="546">
        <f t="shared" si="104"/>
        <v>44.071255246546961</v>
      </c>
      <c r="FW25" s="546">
        <f t="shared" si="105"/>
        <v>474.71497452508925</v>
      </c>
      <c r="FX25" s="546">
        <f t="shared" si="106"/>
        <v>807.61443206714625</v>
      </c>
      <c r="FY25" s="546">
        <f t="shared" si="107"/>
        <v>3512.2171943176781</v>
      </c>
      <c r="FZ25" s="546">
        <f t="shared" si="108"/>
        <v>79880.923787527601</v>
      </c>
      <c r="GA25" s="546">
        <f t="shared" si="109"/>
        <v>245314.62598048593</v>
      </c>
      <c r="GB25" s="546">
        <f t="shared" si="110"/>
        <v>41.222420766339425</v>
      </c>
      <c r="GC25" s="546">
        <f t="shared" si="111"/>
        <v>63.625750690748859</v>
      </c>
      <c r="GD25" s="546">
        <f t="shared" si="112"/>
        <v>128.33329219046675</v>
      </c>
    </row>
    <row r="26" spans="1:186">
      <c r="A26" s="4">
        <v>43101</v>
      </c>
      <c r="B26" s="6">
        <v>2018</v>
      </c>
      <c r="C26" s="5">
        <v>1</v>
      </c>
      <c r="D26" s="7">
        <v>88386960.733181074</v>
      </c>
      <c r="E26" s="7">
        <f>IFERROR(VLOOKUP($B26-1,CDM!$V$4:$AJ$17,2,FALSE)/12,0)+IFERROR(VLOOKUP($B26,CDM!$V$41:$AJ$54,2,FALSE)/24,0)+IFERROR(VLOOKUP($B26,CDM!$V$41:$AJ$54,2,FALSE)/2*$C26/78,0)</f>
        <v>3222853.5866997642</v>
      </c>
      <c r="F26" s="7">
        <f t="shared" si="0"/>
        <v>91609814.319880843</v>
      </c>
      <c r="G26" s="7">
        <f>IFERROR(HLOOKUP(B26-1,'EV Forecast VRZ'!$F$124:$T$130,2,FALSE)/12,0)+IFERROR(((HLOOKUP(B26,'EV Forecast VRZ'!$F$116:$T$122,2,FALSE)-HLOOKUP(B26-1,'EV Forecast VRZ'!$F$124:$T$130,2,FALSE)))*C26/78,0)</f>
        <v>48682.649009534383</v>
      </c>
      <c r="H26" s="7"/>
      <c r="I26" s="7">
        <f t="shared" si="1"/>
        <v>91561131.670871302</v>
      </c>
      <c r="J26" s="7">
        <v>1114965.4943140622</v>
      </c>
      <c r="K26" s="7">
        <f>IFERROR(VLOOKUP($B26-1,CDM!$V$4:$AJ$17,3,FALSE)/12,0)+IFERROR(VLOOKUP($B26,CDM!$V$41:$AJ$54,3,FALSE)/24,0)+IFERROR(VLOOKUP($B26,CDM!$V$41:$AJ$54,3,FALSE)/2*$C26/78,0)</f>
        <v>36913.931943955766</v>
      </c>
      <c r="L26" s="7">
        <f t="shared" si="2"/>
        <v>1151879.426258018</v>
      </c>
      <c r="M26" s="7">
        <f>IFERROR(HLOOKUP(B26-1,'EV Forecast VRZ'!$F$124:$T$130,3,FALSE)/12,0)+IFERROR(((HLOOKUP(B26,'EV Forecast VRZ'!$F$116:$T$122,3,FALSE)-HLOOKUP(B26-1,'EV Forecast VRZ'!$F$124:$T$130,3,FALSE)))*C26/78,0)</f>
        <v>660.58175969638046</v>
      </c>
      <c r="N26" s="7"/>
      <c r="O26" s="7">
        <f t="shared" si="3"/>
        <v>1151218.8444983216</v>
      </c>
      <c r="P26" s="7">
        <v>26209048.012411751</v>
      </c>
      <c r="Q26" s="7">
        <f>IFERROR(VLOOKUP($B26-1,CDM!$V$4:$AJ$17,4,FALSE)/12,0)+IFERROR(VLOOKUP($B26,CDM!$V$41:$AJ$54,4,FALSE)/24,0)+IFERROR(VLOOKUP($B26,CDM!$V$41:$AJ$54,4,FALSE)/2*$C26/78,0)</f>
        <v>874618.20921600063</v>
      </c>
      <c r="R26" s="7">
        <f t="shared" si="4"/>
        <v>27083666.221627753</v>
      </c>
      <c r="S26" s="7">
        <f>IFERROR(HLOOKUP(B26-1,'EV Forecast VRZ'!$F$124:$T$130,4,FALSE)/12,0)+IFERROR(((HLOOKUP(B26,'EV Forecast VRZ'!$F$116:$T$122,4,FALSE)-HLOOKUP(B26-1,'EV Forecast VRZ'!$F$124:$T$130,4,FALSE)))*C26/78,0)</f>
        <v>6211.3076923076933</v>
      </c>
      <c r="T26" s="7"/>
      <c r="U26" s="7">
        <f t="shared" si="5"/>
        <v>27077454.913935445</v>
      </c>
      <c r="V26" s="7">
        <v>82599665.251574591</v>
      </c>
      <c r="W26" s="7">
        <f>IFERROR(VLOOKUP($B26-1,CDM!$V$4:$AJ$17,5,FALSE)/12,0)+IFERROR(VLOOKUP($B26,CDM!$V$41:$AJ$54,5,FALSE)/24,0)+IFERROR(VLOOKUP($B26,CDM!$V$41:$AJ$54,5,FALSE)/2*$C26/78,0)</f>
        <v>3122876.3427788606</v>
      </c>
      <c r="X26" s="7">
        <f t="shared" si="6"/>
        <v>85722541.594353452</v>
      </c>
      <c r="Y26" s="7">
        <f>IFERROR(HLOOKUP(B26-1,'EV Forecast VRZ'!$F$124:$T$130,5,FALSE)/12,0)+IFERROR(((HLOOKUP(B26,'EV Forecast VRZ'!$F$116:$T$122,5,FALSE)-HLOOKUP(B26-1,'EV Forecast VRZ'!$F$124:$T$130,5,FALSE)))*C26/78,0)</f>
        <v>2827.9730769230769</v>
      </c>
      <c r="Z26" s="7"/>
      <c r="AA26" s="7">
        <f t="shared" si="7"/>
        <v>85719713.621276528</v>
      </c>
      <c r="AB26" s="7">
        <v>7334786.4456785824</v>
      </c>
      <c r="AC26" s="7">
        <f>IFERROR(VLOOKUP($B26-1,CDM!$V$4:$AJ$17,6,FALSE)/12,0)+IFERROR(VLOOKUP($B26,CDM!$V$41:$AJ$54,6,FALSE)/24,0)+IFERROR(VLOOKUP($B26,CDM!$V$41:$AJ$54,6,FALSE)/2*$C26/78,0)</f>
        <v>136639.23917597608</v>
      </c>
      <c r="AD26" s="7">
        <f t="shared" si="8"/>
        <v>7471425.6848545587</v>
      </c>
      <c r="AE26" s="7">
        <f>IFERROR(HLOOKUP(B26-1,'EV Forecast VRZ'!$F$124:$T$130,6,FALSE)/12,0)+IFERROR(((HLOOKUP(B26,'EV Forecast VRZ'!$F$116:$T$122,6,FALSE)-HLOOKUP(B26-1,'EV Forecast VRZ'!$F$124:$T$130,6,FALSE)))*C26/78,0)</f>
        <v>442.10384615384612</v>
      </c>
      <c r="AF26" s="7">
        <f t="shared" si="9"/>
        <v>7470983.5810084045</v>
      </c>
      <c r="AG26" s="7">
        <v>21421028.460837428</v>
      </c>
      <c r="AH26" s="7">
        <f>IFERROR(VLOOKUP($B26-1,CDM!$V$4:$AJ$17,7,FALSE)/12,0)+IFERROR(VLOOKUP($B26,CDM!$V$41:$AJ$54,7,FALSE)/24,0)+IFERROR(VLOOKUP($B26,CDM!$V$41:$AJ$54,7,FALSE)/2*$C26/78,0)</f>
        <v>1128516.2957271473</v>
      </c>
      <c r="AI26" s="7">
        <f t="shared" si="10"/>
        <v>22549544.756564576</v>
      </c>
      <c r="AJ26" s="7">
        <f>IFERROR(HLOOKUP(B26-1,'EV Forecast VRZ'!$F$124:$T$130,7,FALSE)/12,0)+IFERROR(((HLOOKUP(B26,'EV Forecast VRZ'!$F$116:$T$122,7,FALSE)-HLOOKUP(B26-1,'EV Forecast VRZ'!$F$124:$T$130,7,FALSE)))*C26/78,0)</f>
        <v>0</v>
      </c>
      <c r="AK26" s="7">
        <f t="shared" si="11"/>
        <v>22549544.756564576</v>
      </c>
      <c r="AL26" s="7">
        <v>1647579.1833619538</v>
      </c>
      <c r="AM26" s="7">
        <v>21187.435603892383</v>
      </c>
      <c r="AN26" s="7">
        <v>389525.99694714753</v>
      </c>
      <c r="AO26" s="5">
        <v>194994.1</v>
      </c>
      <c r="AP26" s="5">
        <v>16594.04</v>
      </c>
      <c r="AQ26" s="5">
        <v>34347</v>
      </c>
      <c r="AR26" s="5">
        <v>3623.78</v>
      </c>
      <c r="AS26" s="544">
        <f>720/12</f>
        <v>60</v>
      </c>
      <c r="AT26" s="557">
        <v>108867.5</v>
      </c>
      <c r="AU26" s="557">
        <v>1571.8333333333333</v>
      </c>
      <c r="AV26" s="557">
        <v>9044.25</v>
      </c>
      <c r="AW26" s="557">
        <v>1079.5</v>
      </c>
      <c r="AX26" s="557">
        <v>4.916666666666667</v>
      </c>
      <c r="AY26" s="557">
        <v>3.0833333333333335</v>
      </c>
      <c r="AZ26" s="557">
        <v>30698.25</v>
      </c>
      <c r="BA26" s="557">
        <v>439</v>
      </c>
      <c r="BB26" s="557">
        <v>820.5</v>
      </c>
      <c r="BC26" s="560">
        <v>29626164.073780365</v>
      </c>
      <c r="BD26" s="560">
        <f>IFERROR(VLOOKUP($B26-1,CDM!$V$4:$AJ$17,11,FALSE)/12,0)+IFERROR(VLOOKUP($B26,CDM!$V$41:$AJ$54,11,FALSE)/24,0)+IFERROR(VLOOKUP($B26,CDM!$V$41:$AJ$54,11,FALSE)/2*$C26/78,0)</f>
        <v>1649696.7015657341</v>
      </c>
      <c r="BE26" s="560">
        <f t="shared" si="67"/>
        <v>31275860.7753461</v>
      </c>
      <c r="BF26" s="560">
        <f>IFERROR(HLOOKUP(B26-1,'EV Forecast WRZ'!$F$124:$T$130,2,FALSE)/12,0)+IFERROR(((HLOOKUP(B26,'EV Forecast WRZ'!$F$116:$T$122,2,FALSE)-HLOOKUP(B26-1,'EV Forecast WRZ'!$F$124:$T$130,2,FALSE)))*C26/78,0)</f>
        <v>15248.211666666666</v>
      </c>
      <c r="BG26" s="560"/>
      <c r="BH26" s="560">
        <f t="shared" si="13"/>
        <v>31260612.563679434</v>
      </c>
      <c r="BI26" s="560">
        <v>8247087.0773196947</v>
      </c>
      <c r="BJ26" s="560">
        <f>IFERROR(VLOOKUP($B26-1,CDM!$V$4:$AJ$17,12,FALSE)/12,0)+IFERROR(VLOOKUP($B26,CDM!$V$41:$AJ$54,12,FALSE)/24,0)+IFERROR(VLOOKUP($B26,CDM!$V$41:$AJ$54,12,FALSE)/2*$C26/78,0)</f>
        <v>163081.780639979</v>
      </c>
      <c r="BK26" s="560">
        <f t="shared" si="14"/>
        <v>8410168.8579596728</v>
      </c>
      <c r="BL26" s="560">
        <f>IFERROR(HLOOKUP(B26-1,'EV Forecast WRZ'!$F$124:$T$130,3,FALSE)/12,0)+IFERROR(((HLOOKUP(B26,'EV Forecast WRZ'!$F$116:$T$122,3,FALSE)-HLOOKUP(B26-1,'EV Forecast WRZ'!$F$124:$T$130,3,FALSE)))*C26/78,0)</f>
        <v>2078.9751282051284</v>
      </c>
      <c r="BM26" s="560"/>
      <c r="BN26" s="560">
        <f t="shared" si="15"/>
        <v>8408089.8828314673</v>
      </c>
      <c r="BO26" s="560">
        <v>31903706.716301411</v>
      </c>
      <c r="BP26" s="560">
        <f>IFERROR(VLOOKUP($B26-1,CDM!$V$4:$AJ$17,13,FALSE)/12,0)+IFERROR(VLOOKUP($B26,CDM!$V$41:$AJ$54,13,FALSE)/24,0)+IFERROR(VLOOKUP($B26,CDM!$V$41:$AJ$54,13,FALSE)/2*$C26/78,0)</f>
        <v>907901.58928904578</v>
      </c>
      <c r="BQ26" s="560">
        <f t="shared" si="16"/>
        <v>32811608.305590458</v>
      </c>
      <c r="BR26" s="560">
        <f>IFERROR(HLOOKUP(B26-1,'EV Forecast WRZ'!$F$124:$T$130,4,FALSE)/12,0)+IFERROR(((HLOOKUP(B26,'EV Forecast WRZ'!$F$116:$T$122,4,FALSE)-HLOOKUP(B26-1,'EV Forecast WRZ'!$F$124:$T$130,4,FALSE)))*C26/78,0)</f>
        <v>958.61573076923082</v>
      </c>
      <c r="BS26" s="560"/>
      <c r="BT26" s="560">
        <f t="shared" si="17"/>
        <v>32810649.689859688</v>
      </c>
      <c r="BU26" s="560">
        <v>4973802.0540019292</v>
      </c>
      <c r="BV26" s="560">
        <f>IFERROR(VLOOKUP($B26-1,CDM!$V$4:$AJ$17,14,FALSE)/12,0)+IFERROR(VLOOKUP($B26,CDM!$V$41:$AJ$54,14,FALSE)/24,0)+IFERROR(VLOOKUP($B26,CDM!$V$41:$AJ$54,14,FALSE)/2*$C26/78,0)</f>
        <v>204116.392720662</v>
      </c>
      <c r="BW26" s="560">
        <f t="shared" si="18"/>
        <v>5177918.4467225913</v>
      </c>
      <c r="BX26" s="560">
        <f>IFERROR(HLOOKUP(B26-1,'EV Forecast WRZ'!$F$124:$T$130,5,FALSE)/12,0)+IFERROR(((HLOOKUP(B26,'EV Forecast WRZ'!$F$116:$T$122,5,FALSE)-HLOOKUP(B26-1,'EV Forecast WRZ'!$F$124:$T$130,5,FALSE)))*C26/78,0)</f>
        <v>196.25644871794873</v>
      </c>
      <c r="BY26" s="560">
        <f t="shared" si="68"/>
        <v>5177722.1902738735</v>
      </c>
      <c r="BZ26" s="560">
        <v>446789.97512913711</v>
      </c>
      <c r="CA26" s="560">
        <v>2390.3037702683605</v>
      </c>
      <c r="CB26" s="560">
        <v>48011.105796824173</v>
      </c>
      <c r="CC26" s="5">
        <v>71093.429999999993</v>
      </c>
      <c r="CD26" s="5">
        <v>7345.96</v>
      </c>
      <c r="CE26" s="5">
        <v>950.33</v>
      </c>
      <c r="CF26" s="544">
        <f>87/12</f>
        <v>7.25</v>
      </c>
      <c r="CG26" s="565">
        <v>39921.833333333336</v>
      </c>
      <c r="CH26" s="565">
        <v>2239.3333333333335</v>
      </c>
      <c r="CI26" s="565">
        <v>368.75</v>
      </c>
      <c r="CJ26" s="565">
        <v>2.0833333333333335</v>
      </c>
      <c r="CK26" s="565">
        <v>11925.333333333334</v>
      </c>
      <c r="CL26" s="565">
        <v>37.916666666666664</v>
      </c>
      <c r="CM26" s="565">
        <v>372.75</v>
      </c>
      <c r="CN26" s="46">
        <f>Weather!C50</f>
        <v>812.53750000000002</v>
      </c>
      <c r="CO26" s="46">
        <f>Weather!D50</f>
        <v>0</v>
      </c>
      <c r="CP26" s="46">
        <f>Weather!E50</f>
        <v>750.53750000000002</v>
      </c>
      <c r="CQ26" s="46">
        <f>Weather!F50</f>
        <v>0</v>
      </c>
      <c r="CR26" s="46">
        <f>Weather!G50</f>
        <v>688.53749999999991</v>
      </c>
      <c r="CS26" s="46">
        <f>Weather!H50</f>
        <v>0</v>
      </c>
      <c r="CT26" s="46">
        <f>Weather!I50</f>
        <v>626.53750000000002</v>
      </c>
      <c r="CU26" s="46">
        <f>Weather!J50</f>
        <v>0</v>
      </c>
      <c r="CV26" s="46">
        <f>Weather!K50</f>
        <v>564.53750000000002</v>
      </c>
      <c r="CW26" s="46">
        <f>Weather!L50</f>
        <v>0</v>
      </c>
      <c r="CX26" s="46">
        <f>Weather!M50</f>
        <v>502.53750000000002</v>
      </c>
      <c r="CY26" s="46">
        <f>Weather!N50</f>
        <v>0</v>
      </c>
      <c r="CZ26" s="46">
        <f>Weather!O50</f>
        <v>440.53750000000002</v>
      </c>
      <c r="DA26" s="46">
        <f>Weather!P50</f>
        <v>0</v>
      </c>
      <c r="DB26" s="243">
        <f>'Economic Data'!D52</f>
        <v>7195</v>
      </c>
      <c r="DC26" s="243">
        <f>'Economic Data'!E52</f>
        <v>7165</v>
      </c>
      <c r="DD26" s="243">
        <f>'Economic Data'!F52</f>
        <v>206.5</v>
      </c>
      <c r="DE26" s="243">
        <f>'Economic Data'!G52</f>
        <v>204.6</v>
      </c>
      <c r="DF26" s="243">
        <f>'Economic Data'!H52</f>
        <v>39</v>
      </c>
      <c r="DG26" s="243">
        <f>'Economic Data'!I52</f>
        <v>39</v>
      </c>
      <c r="DH26" s="243">
        <f>'Economic Data'!J52</f>
        <v>789531.6</v>
      </c>
      <c r="DI26" s="243">
        <f>'Economic Data'!K52</f>
        <v>608429.30000000005</v>
      </c>
      <c r="DJ26" s="243">
        <f>'Economic Data'!L52</f>
        <v>95137.5</v>
      </c>
      <c r="DK26" s="243">
        <f>'Economic Data'!M52</f>
        <v>31658.2</v>
      </c>
      <c r="DL26" s="243">
        <f>'Economic Data'!N52</f>
        <v>779694</v>
      </c>
      <c r="DM26" s="243">
        <f>'Economic Data'!O52</f>
        <v>94103</v>
      </c>
      <c r="DN26" s="243">
        <f>'Economic Data'!P52</f>
        <v>20113</v>
      </c>
      <c r="DO26" s="243">
        <f>'Economic Data'!Q52</f>
        <v>600388</v>
      </c>
      <c r="DP26" s="243">
        <f>'Economic Data'!R52</f>
        <v>31743</v>
      </c>
      <c r="DQ26">
        <v>31</v>
      </c>
      <c r="DR26">
        <v>22</v>
      </c>
      <c r="DS26">
        <v>1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f t="shared" si="66"/>
        <v>25</v>
      </c>
      <c r="EI26">
        <v>0</v>
      </c>
      <c r="EJ26">
        <v>0</v>
      </c>
      <c r="EK26">
        <v>0</v>
      </c>
      <c r="EL26">
        <v>0</v>
      </c>
      <c r="EM26" s="47">
        <f t="shared" si="69"/>
        <v>0</v>
      </c>
      <c r="EN26" s="47">
        <f t="shared" si="70"/>
        <v>0</v>
      </c>
      <c r="EO26" s="47">
        <f t="shared" si="71"/>
        <v>0</v>
      </c>
      <c r="EP26" s="47">
        <f t="shared" si="72"/>
        <v>0</v>
      </c>
      <c r="EQ26" s="47">
        <f t="shared" si="73"/>
        <v>0</v>
      </c>
      <c r="ER26" s="47">
        <f t="shared" si="74"/>
        <v>0</v>
      </c>
      <c r="ES26" s="47">
        <f t="shared" si="75"/>
        <v>0</v>
      </c>
      <c r="ET26" s="47">
        <f t="shared" si="76"/>
        <v>0</v>
      </c>
      <c r="EU26" s="47">
        <f t="shared" si="77"/>
        <v>0</v>
      </c>
      <c r="EV26" s="47">
        <f t="shared" si="78"/>
        <v>0</v>
      </c>
      <c r="EW26" s="47">
        <f t="shared" si="79"/>
        <v>0</v>
      </c>
      <c r="EX26" s="47">
        <f t="shared" si="80"/>
        <v>0</v>
      </c>
      <c r="EY26" s="47">
        <f t="shared" si="81"/>
        <v>0</v>
      </c>
      <c r="EZ26" s="47">
        <f t="shared" si="82"/>
        <v>0</v>
      </c>
      <c r="FA26" s="47">
        <f t="shared" si="83"/>
        <v>0</v>
      </c>
      <c r="FB26" s="47">
        <f t="shared" si="84"/>
        <v>0</v>
      </c>
      <c r="FC26" s="47">
        <f t="shared" si="85"/>
        <v>0</v>
      </c>
      <c r="FD26" s="47">
        <f t="shared" si="86"/>
        <v>0</v>
      </c>
      <c r="FE26" s="47">
        <f t="shared" si="87"/>
        <v>0</v>
      </c>
      <c r="FF26" s="47">
        <f t="shared" si="88"/>
        <v>0</v>
      </c>
      <c r="FG26" s="47">
        <f t="shared" si="89"/>
        <v>0</v>
      </c>
      <c r="FH26" s="47">
        <f t="shared" si="90"/>
        <v>0</v>
      </c>
      <c r="FI26" s="47">
        <f t="shared" si="91"/>
        <v>0</v>
      </c>
      <c r="FJ26" s="47">
        <f t="shared" si="92"/>
        <v>0</v>
      </c>
      <c r="FK26" s="47">
        <f t="shared" si="93"/>
        <v>0</v>
      </c>
      <c r="FL26" s="47">
        <f t="shared" si="94"/>
        <v>0</v>
      </c>
      <c r="FM26" s="47">
        <f t="shared" si="95"/>
        <v>0</v>
      </c>
      <c r="FN26" s="47">
        <f t="shared" si="96"/>
        <v>0</v>
      </c>
      <c r="FO26" s="546">
        <f t="shared" si="97"/>
        <v>841.03273861227001</v>
      </c>
      <c r="FP26" s="546">
        <f t="shared" si="98"/>
        <v>732.82542228269631</v>
      </c>
      <c r="FQ26" s="546">
        <f t="shared" si="99"/>
        <v>2994.57292994198</v>
      </c>
      <c r="FR26" s="546">
        <f t="shared" si="100"/>
        <v>79409.487350026364</v>
      </c>
      <c r="FS26" s="546">
        <f t="shared" si="101"/>
        <v>1519612.0036992321</v>
      </c>
      <c r="FT26" s="546">
        <f t="shared" si="102"/>
        <v>7313365.8669939162</v>
      </c>
      <c r="FU26" s="546">
        <f t="shared" si="103"/>
        <v>53.67013374905585</v>
      </c>
      <c r="FV26" s="546">
        <f t="shared" si="104"/>
        <v>48.262951261713859</v>
      </c>
      <c r="FW26" s="546">
        <f t="shared" si="105"/>
        <v>474.74222662662709</v>
      </c>
      <c r="FX26" s="546">
        <f t="shared" si="106"/>
        <v>783.42746722585628</v>
      </c>
      <c r="FY26" s="546">
        <f t="shared" si="107"/>
        <v>3755.6574239176862</v>
      </c>
      <c r="FZ26" s="546">
        <f t="shared" si="108"/>
        <v>88980.632693126667</v>
      </c>
      <c r="GA26" s="546">
        <f t="shared" si="109"/>
        <v>214459.1880619858</v>
      </c>
      <c r="GB26" s="546">
        <f t="shared" si="110"/>
        <v>37.465617324111449</v>
      </c>
      <c r="GC26" s="546">
        <f t="shared" si="111"/>
        <v>63.040978556528195</v>
      </c>
      <c r="GD26" s="546">
        <f t="shared" si="112"/>
        <v>128.80243003842835</v>
      </c>
    </row>
    <row r="27" spans="1:186">
      <c r="A27" s="4">
        <v>43132</v>
      </c>
      <c r="B27" s="6">
        <v>2018</v>
      </c>
      <c r="C27" s="5">
        <v>2</v>
      </c>
      <c r="D27" s="7">
        <v>72303102.74749133</v>
      </c>
      <c r="E27" s="7">
        <f>IFERROR(VLOOKUP($B27-1,CDM!$V$4:$AJ$17,2,FALSE)/12,0)+IFERROR(VLOOKUP($B27,CDM!$V$41:$AJ$54,2,FALSE)/24,0)+IFERROR(VLOOKUP($B27,CDM!$V$41:$AJ$54,2,FALSE)/2*$C27/78,0)</f>
        <v>3285461.5624803663</v>
      </c>
      <c r="F27" s="7">
        <f t="shared" si="0"/>
        <v>75588564.30997169</v>
      </c>
      <c r="G27" s="7">
        <f>IFERROR(HLOOKUP(B27-1,'EV Forecast VRZ'!$F$124:$T$130,2,FALSE)/12,0)+IFERROR(((HLOOKUP(B27,'EV Forecast VRZ'!$F$116:$T$122,2,FALSE)-HLOOKUP(B27-1,'EV Forecast VRZ'!$F$124:$T$130,2,FALSE)))*C27/78,0)</f>
        <v>56551.973138402907</v>
      </c>
      <c r="H27" s="7"/>
      <c r="I27" s="7">
        <f t="shared" si="1"/>
        <v>75532012.336833283</v>
      </c>
      <c r="J27" s="7">
        <v>900637.66719137563</v>
      </c>
      <c r="K27" s="7">
        <f>IFERROR(VLOOKUP($B27-1,CDM!$V$4:$AJ$17,3,FALSE)/12,0)+IFERROR(VLOOKUP($B27,CDM!$V$41:$AJ$54,3,FALSE)/24,0)+IFERROR(VLOOKUP($B27,CDM!$V$41:$AJ$54,3,FALSE)/2*$C27/78,0)</f>
        <v>37631.031400987129</v>
      </c>
      <c r="L27" s="7">
        <f t="shared" si="2"/>
        <v>938268.69859236281</v>
      </c>
      <c r="M27" s="7">
        <f>IFERROR(HLOOKUP(B27-1,'EV Forecast VRZ'!$F$124:$T$130,3,FALSE)/12,0)+IFERROR(((HLOOKUP(B27,'EV Forecast VRZ'!$F$116:$T$122,3,FALSE)-HLOOKUP(B27-1,'EV Forecast VRZ'!$F$124:$T$130,3,FALSE)))*C27/78,0)</f>
        <v>767.36173339195875</v>
      </c>
      <c r="N27" s="7"/>
      <c r="O27" s="7">
        <f t="shared" si="3"/>
        <v>937501.33685897081</v>
      </c>
      <c r="P27" s="7">
        <v>22264620.847481303</v>
      </c>
      <c r="Q27" s="7">
        <f>IFERROR(VLOOKUP($B27-1,CDM!$V$4:$AJ$17,4,FALSE)/12,0)+IFERROR(VLOOKUP($B27,CDM!$V$41:$AJ$54,4,FALSE)/24,0)+IFERROR(VLOOKUP($B27,CDM!$V$41:$AJ$54,4,FALSE)/2*$C27/78,0)</f>
        <v>897951.28315116814</v>
      </c>
      <c r="R27" s="7">
        <f t="shared" si="4"/>
        <v>23162572.130632471</v>
      </c>
      <c r="S27" s="7">
        <f>IFERROR(HLOOKUP(B27-1,'EV Forecast VRZ'!$F$124:$T$130,4,FALSE)/12,0)+IFERROR(((HLOOKUP(B27,'EV Forecast VRZ'!$F$116:$T$122,4,FALSE)-HLOOKUP(B27-1,'EV Forecast VRZ'!$F$124:$T$130,4,FALSE)))*C27/78,0)</f>
        <v>7216.1887179487194</v>
      </c>
      <c r="T27" s="7"/>
      <c r="U27" s="7">
        <f t="shared" si="5"/>
        <v>23155355.941914521</v>
      </c>
      <c r="V27" s="7">
        <v>72928537.495143116</v>
      </c>
      <c r="W27" s="7">
        <f>IFERROR(VLOOKUP($B27-1,CDM!$V$4:$AJ$17,5,FALSE)/12,0)+IFERROR(VLOOKUP($B27,CDM!$V$41:$AJ$54,5,FALSE)/24,0)+IFERROR(VLOOKUP($B27,CDM!$V$41:$AJ$54,5,FALSE)/2*$C27/78,0)</f>
        <v>3194709.0377184968</v>
      </c>
      <c r="X27" s="7">
        <f t="shared" si="6"/>
        <v>76123246.532861605</v>
      </c>
      <c r="Y27" s="7">
        <f>IFERROR(HLOOKUP(B27-1,'EV Forecast VRZ'!$F$124:$T$130,5,FALSE)/12,0)+IFERROR(((HLOOKUP(B27,'EV Forecast VRZ'!$F$116:$T$122,5,FALSE)-HLOOKUP(B27-1,'EV Forecast VRZ'!$F$124:$T$130,5,FALSE)))*C27/78,0)</f>
        <v>3285.5541538461539</v>
      </c>
      <c r="Z27" s="7"/>
      <c r="AA27" s="7">
        <f t="shared" si="7"/>
        <v>76119960.978707761</v>
      </c>
      <c r="AB27" s="7">
        <v>6857702.8905858286</v>
      </c>
      <c r="AC27" s="7">
        <f>IFERROR(VLOOKUP($B27-1,CDM!$V$4:$AJ$17,6,FALSE)/12,0)+IFERROR(VLOOKUP($B27,CDM!$V$41:$AJ$54,6,FALSE)/24,0)+IFERROR(VLOOKUP($B27,CDM!$V$41:$AJ$54,6,FALSE)/2*$C27/78,0)</f>
        <v>141908.33081971394</v>
      </c>
      <c r="AD27" s="7">
        <f t="shared" si="8"/>
        <v>6999611.2214055425</v>
      </c>
      <c r="AE27" s="7">
        <f>IFERROR(HLOOKUP(B27-1,'EV Forecast VRZ'!$F$124:$T$130,6,FALSE)/12,0)+IFERROR(((HLOOKUP(B27,'EV Forecast VRZ'!$F$116:$T$122,6,FALSE)-HLOOKUP(B27-1,'EV Forecast VRZ'!$F$124:$T$130,6,FALSE)))*C27/78,0)</f>
        <v>513.88635897435893</v>
      </c>
      <c r="AF27" s="7">
        <f t="shared" si="9"/>
        <v>6999097.335046568</v>
      </c>
      <c r="AG27" s="7">
        <v>19587364.251604259</v>
      </c>
      <c r="AH27" s="7">
        <f>IFERROR(VLOOKUP($B27-1,CDM!$V$4:$AJ$17,7,FALSE)/12,0)+IFERROR(VLOOKUP($B27,CDM!$V$41:$AJ$54,7,FALSE)/24,0)+IFERROR(VLOOKUP($B27,CDM!$V$41:$AJ$54,7,FALSE)/2*$C27/78,0)</f>
        <v>1169475.8934661099</v>
      </c>
      <c r="AI27" s="7">
        <f t="shared" si="10"/>
        <v>20756840.14507037</v>
      </c>
      <c r="AJ27" s="7">
        <f>IFERROR(HLOOKUP(B27-1,'EV Forecast VRZ'!$F$124:$T$130,7,FALSE)/12,0)+IFERROR(((HLOOKUP(B27,'EV Forecast VRZ'!$F$116:$T$122,7,FALSE)-HLOOKUP(B27-1,'EV Forecast VRZ'!$F$124:$T$130,7,FALSE)))*C27/78,0)</f>
        <v>0</v>
      </c>
      <c r="AK27" s="7">
        <f t="shared" si="11"/>
        <v>20756840.14507037</v>
      </c>
      <c r="AL27" s="7">
        <v>1437166.8670101126</v>
      </c>
      <c r="AM27" s="7">
        <v>19484.630795649689</v>
      </c>
      <c r="AN27" s="7">
        <v>389916.99103224574</v>
      </c>
      <c r="AO27" s="5">
        <v>184797.75</v>
      </c>
      <c r="AP27" s="5">
        <v>16353.8</v>
      </c>
      <c r="AQ27" s="5">
        <v>36199</v>
      </c>
      <c r="AR27" s="5">
        <v>3802.1</v>
      </c>
      <c r="AS27" s="544">
        <f t="shared" ref="AS27:AS37" si="115">720/12</f>
        <v>60</v>
      </c>
      <c r="AT27" s="557">
        <v>108977</v>
      </c>
      <c r="AU27" s="557">
        <v>1571.6666666666665</v>
      </c>
      <c r="AV27" s="557">
        <v>9052.5</v>
      </c>
      <c r="AW27" s="557">
        <v>1076</v>
      </c>
      <c r="AX27" s="557">
        <v>4.8333333333333339</v>
      </c>
      <c r="AY27" s="557">
        <v>3.166666666666667</v>
      </c>
      <c r="AZ27" s="557">
        <v>30734.5</v>
      </c>
      <c r="BA27" s="557">
        <v>439</v>
      </c>
      <c r="BB27" s="557">
        <v>820</v>
      </c>
      <c r="BC27" s="560">
        <v>24750064.131002389</v>
      </c>
      <c r="BD27" s="560">
        <f>IFERROR(VLOOKUP($B27-1,CDM!$V$4:$AJ$17,11,FALSE)/12,0)+IFERROR(VLOOKUP($B27,CDM!$V$41:$AJ$54,11,FALSE)/24,0)+IFERROR(VLOOKUP($B27,CDM!$V$41:$AJ$54,11,FALSE)/2*$C27/78,0)</f>
        <v>1679300.561637088</v>
      </c>
      <c r="BE27" s="560">
        <f t="shared" si="67"/>
        <v>26429364.692639478</v>
      </c>
      <c r="BF27" s="560">
        <f>IFERROR(HLOOKUP(B27-1,'EV Forecast WRZ'!$F$124:$T$130,2,FALSE)/12,0)+IFERROR(((HLOOKUP(B27,'EV Forecast WRZ'!$F$116:$T$122,2,FALSE)-HLOOKUP(B27-1,'EV Forecast WRZ'!$F$124:$T$130,2,FALSE)))*C27/78,0)</f>
        <v>17331.293333333335</v>
      </c>
      <c r="BG27" s="560"/>
      <c r="BH27" s="560">
        <f t="shared" si="13"/>
        <v>26412033.399306145</v>
      </c>
      <c r="BI27" s="560">
        <v>7011920.8255978469</v>
      </c>
      <c r="BJ27" s="560">
        <f>IFERROR(VLOOKUP($B27-1,CDM!$V$4:$AJ$17,12,FALSE)/12,0)+IFERROR(VLOOKUP($B27,CDM!$V$41:$AJ$54,12,FALSE)/24,0)+IFERROR(VLOOKUP($B27,CDM!$V$41:$AJ$54,12,FALSE)/2*$C27/78,0)</f>
        <v>166443.65820290294</v>
      </c>
      <c r="BK27" s="560">
        <f t="shared" si="14"/>
        <v>7178364.4838007502</v>
      </c>
      <c r="BL27" s="560">
        <f>IFERROR(HLOOKUP(B27-1,'EV Forecast WRZ'!$F$124:$T$130,3,FALSE)/12,0)+IFERROR(((HLOOKUP(B27,'EV Forecast WRZ'!$F$116:$T$122,3,FALSE)-HLOOKUP(B27-1,'EV Forecast WRZ'!$F$124:$T$130,3,FALSE)))*C27/78,0)</f>
        <v>2331.1702564102566</v>
      </c>
      <c r="BM27" s="560"/>
      <c r="BN27" s="560">
        <f t="shared" si="15"/>
        <v>7176033.3135443404</v>
      </c>
      <c r="BO27" s="560">
        <v>27515243.364755329</v>
      </c>
      <c r="BP27" s="560">
        <f>IFERROR(VLOOKUP($B27-1,CDM!$V$4:$AJ$17,13,FALSE)/12,0)+IFERROR(VLOOKUP($B27,CDM!$V$41:$AJ$54,13,FALSE)/24,0)+IFERROR(VLOOKUP($B27,CDM!$V$41:$AJ$54,13,FALSE)/2*$C27/78,0)</f>
        <v>933279.08546649979</v>
      </c>
      <c r="BQ27" s="560">
        <f t="shared" si="16"/>
        <v>28448522.450221829</v>
      </c>
      <c r="BR27" s="560">
        <f>IFERROR(HLOOKUP(B27-1,'EV Forecast WRZ'!$F$124:$T$130,4,FALSE)/12,0)+IFERROR(((HLOOKUP(B27,'EV Forecast WRZ'!$F$116:$T$122,4,FALSE)-HLOOKUP(B27-1,'EV Forecast WRZ'!$F$124:$T$130,4,FALSE)))*C27/78,0)</f>
        <v>1072.6804615384615</v>
      </c>
      <c r="BS27" s="560"/>
      <c r="BT27" s="560">
        <f t="shared" si="17"/>
        <v>28447449.769760292</v>
      </c>
      <c r="BU27" s="560">
        <v>4533346.5959498556</v>
      </c>
      <c r="BV27" s="560">
        <f>IFERROR(VLOOKUP($B27-1,CDM!$V$4:$AJ$17,14,FALSE)/12,0)+IFERROR(VLOOKUP($B27,CDM!$V$41:$AJ$54,14,FALSE)/24,0)+IFERROR(VLOOKUP($B27,CDM!$V$41:$AJ$54,14,FALSE)/2*$C27/78,0)</f>
        <v>209821.81612462428</v>
      </c>
      <c r="BW27" s="560">
        <f t="shared" si="18"/>
        <v>4743168.4120744802</v>
      </c>
      <c r="BX27" s="560">
        <f>IFERROR(HLOOKUP(B27-1,'EV Forecast WRZ'!$F$124:$T$130,5,FALSE)/12,0)+IFERROR(((HLOOKUP(B27,'EV Forecast WRZ'!$F$116:$T$122,5,FALSE)-HLOOKUP(B27-1,'EV Forecast WRZ'!$F$124:$T$130,5,FALSE)))*C27/78,0)</f>
        <v>211.17389743589746</v>
      </c>
      <c r="BY27" s="560">
        <f t="shared" si="68"/>
        <v>4742957.2381770443</v>
      </c>
      <c r="BZ27" s="560">
        <v>352523.63688540272</v>
      </c>
      <c r="CA27" s="560">
        <v>2390.3037702683605</v>
      </c>
      <c r="CB27" s="560">
        <v>48010.981442510041</v>
      </c>
      <c r="CC27" s="5">
        <v>68590.789999999994</v>
      </c>
      <c r="CD27" s="5">
        <v>7306.68</v>
      </c>
      <c r="CE27" s="5">
        <v>904.7</v>
      </c>
      <c r="CF27" s="544">
        <f t="shared" ref="CF27:CF37" si="116">87/12</f>
        <v>7.25</v>
      </c>
      <c r="CG27" s="565">
        <v>39953.666666666672</v>
      </c>
      <c r="CH27" s="565">
        <v>2240.666666666667</v>
      </c>
      <c r="CI27" s="565">
        <v>369.5</v>
      </c>
      <c r="CJ27" s="565">
        <v>2.166666666666667</v>
      </c>
      <c r="CK27" s="565">
        <v>11948.666666666668</v>
      </c>
      <c r="CL27" s="565">
        <v>37.833333333333329</v>
      </c>
      <c r="CM27" s="565">
        <v>373.5</v>
      </c>
      <c r="CN27" s="46">
        <f>Weather!C51</f>
        <v>632.49583333333328</v>
      </c>
      <c r="CO27" s="46">
        <f>Weather!D51</f>
        <v>0</v>
      </c>
      <c r="CP27" s="46">
        <f>Weather!E51</f>
        <v>576.49583333333317</v>
      </c>
      <c r="CQ27" s="46">
        <f>Weather!F51</f>
        <v>0</v>
      </c>
      <c r="CR27" s="46">
        <f>Weather!G51</f>
        <v>520.49583333333328</v>
      </c>
      <c r="CS27" s="46">
        <f>Weather!H51</f>
        <v>0</v>
      </c>
      <c r="CT27" s="46">
        <f>Weather!I51</f>
        <v>464.49583333333334</v>
      </c>
      <c r="CU27" s="46">
        <f>Weather!J51</f>
        <v>0</v>
      </c>
      <c r="CV27" s="46">
        <f>Weather!K51</f>
        <v>408.49583333333334</v>
      </c>
      <c r="CW27" s="46">
        <f>Weather!L51</f>
        <v>0</v>
      </c>
      <c r="CX27" s="46">
        <f>Weather!M51</f>
        <v>352.49583333333334</v>
      </c>
      <c r="CY27" s="46">
        <f>Weather!N51</f>
        <v>0</v>
      </c>
      <c r="CZ27" s="46">
        <f>Weather!O51</f>
        <v>296.49583333333334</v>
      </c>
      <c r="DA27" s="46">
        <f>Weather!P51</f>
        <v>0</v>
      </c>
      <c r="DB27" s="243">
        <f>'Economic Data'!D53</f>
        <v>7183.9</v>
      </c>
      <c r="DC27" s="243">
        <f>'Economic Data'!E53</f>
        <v>7116</v>
      </c>
      <c r="DD27" s="243">
        <f>'Economic Data'!F53</f>
        <v>206.7</v>
      </c>
      <c r="DE27" s="243">
        <f>'Economic Data'!G53</f>
        <v>204.6</v>
      </c>
      <c r="DF27" s="243">
        <f>'Economic Data'!H53</f>
        <v>39.5</v>
      </c>
      <c r="DG27" s="243">
        <f>'Economic Data'!I53</f>
        <v>39.5</v>
      </c>
      <c r="DH27" s="243">
        <f>'Economic Data'!J53</f>
        <v>789531.6</v>
      </c>
      <c r="DI27" s="243">
        <f>'Economic Data'!K53</f>
        <v>608429.30000000005</v>
      </c>
      <c r="DJ27" s="243">
        <f>'Economic Data'!L53</f>
        <v>95137.5</v>
      </c>
      <c r="DK27" s="243">
        <f>'Economic Data'!M53</f>
        <v>31658.2</v>
      </c>
      <c r="DL27" s="243">
        <f>'Economic Data'!N53</f>
        <v>779694</v>
      </c>
      <c r="DM27" s="243">
        <f>'Economic Data'!O53</f>
        <v>94103</v>
      </c>
      <c r="DN27" s="243">
        <f>'Economic Data'!P53</f>
        <v>20113</v>
      </c>
      <c r="DO27" s="243">
        <f>'Economic Data'!Q53</f>
        <v>600388</v>
      </c>
      <c r="DP27" s="243">
        <f>'Economic Data'!R53</f>
        <v>31743</v>
      </c>
      <c r="DQ27">
        <v>28</v>
      </c>
      <c r="DR27">
        <v>19</v>
      </c>
      <c r="DS27">
        <v>0</v>
      </c>
      <c r="DT27">
        <v>1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f t="shared" si="66"/>
        <v>26</v>
      </c>
      <c r="EI27">
        <v>0</v>
      </c>
      <c r="EJ27">
        <v>0</v>
      </c>
      <c r="EK27">
        <v>0</v>
      </c>
      <c r="EL27">
        <v>0</v>
      </c>
      <c r="EM27" s="47">
        <f t="shared" si="69"/>
        <v>0</v>
      </c>
      <c r="EN27" s="47">
        <f t="shared" si="70"/>
        <v>0</v>
      </c>
      <c r="EO27" s="47">
        <f t="shared" si="71"/>
        <v>0</v>
      </c>
      <c r="EP27" s="47">
        <f t="shared" si="72"/>
        <v>0</v>
      </c>
      <c r="EQ27" s="47">
        <f t="shared" si="73"/>
        <v>0</v>
      </c>
      <c r="ER27" s="47">
        <f t="shared" si="74"/>
        <v>0</v>
      </c>
      <c r="ES27" s="47">
        <f t="shared" si="75"/>
        <v>0</v>
      </c>
      <c r="ET27" s="47">
        <f t="shared" si="76"/>
        <v>0</v>
      </c>
      <c r="EU27" s="47">
        <f t="shared" si="77"/>
        <v>0</v>
      </c>
      <c r="EV27" s="47">
        <f t="shared" si="78"/>
        <v>0</v>
      </c>
      <c r="EW27" s="47">
        <f t="shared" si="79"/>
        <v>0</v>
      </c>
      <c r="EX27" s="47">
        <f t="shared" si="80"/>
        <v>0</v>
      </c>
      <c r="EY27" s="47">
        <f t="shared" si="81"/>
        <v>0</v>
      </c>
      <c r="EZ27" s="47">
        <f t="shared" si="82"/>
        <v>0</v>
      </c>
      <c r="FA27" s="47">
        <f t="shared" si="83"/>
        <v>0</v>
      </c>
      <c r="FB27" s="47">
        <f t="shared" si="84"/>
        <v>0</v>
      </c>
      <c r="FC27" s="47">
        <f t="shared" si="85"/>
        <v>0</v>
      </c>
      <c r="FD27" s="47">
        <f t="shared" si="86"/>
        <v>0</v>
      </c>
      <c r="FE27" s="47">
        <f t="shared" si="87"/>
        <v>0</v>
      </c>
      <c r="FF27" s="47">
        <f t="shared" si="88"/>
        <v>0</v>
      </c>
      <c r="FG27" s="47">
        <f t="shared" si="89"/>
        <v>0</v>
      </c>
      <c r="FH27" s="47">
        <f t="shared" si="90"/>
        <v>0</v>
      </c>
      <c r="FI27" s="47">
        <f t="shared" si="91"/>
        <v>0</v>
      </c>
      <c r="FJ27" s="47">
        <f t="shared" si="92"/>
        <v>0</v>
      </c>
      <c r="FK27" s="47">
        <f t="shared" si="93"/>
        <v>0</v>
      </c>
      <c r="FL27" s="47">
        <f t="shared" si="94"/>
        <v>0</v>
      </c>
      <c r="FM27" s="47">
        <f t="shared" si="95"/>
        <v>0</v>
      </c>
      <c r="FN27" s="47">
        <f t="shared" si="96"/>
        <v>0</v>
      </c>
      <c r="FO27" s="546">
        <f t="shared" si="97"/>
        <v>693.10049218489485</v>
      </c>
      <c r="FP27" s="546">
        <f t="shared" si="98"/>
        <v>596.98962794848114</v>
      </c>
      <c r="FQ27" s="546">
        <f t="shared" si="99"/>
        <v>2558.6934140439075</v>
      </c>
      <c r="FR27" s="546">
        <f t="shared" si="100"/>
        <v>70746.511647640902</v>
      </c>
      <c r="FS27" s="546">
        <f t="shared" si="101"/>
        <v>1448195.4251183879</v>
      </c>
      <c r="FT27" s="546">
        <f t="shared" si="102"/>
        <v>6554791.6247590641</v>
      </c>
      <c r="FU27" s="546">
        <f t="shared" si="103"/>
        <v>46.760704322833057</v>
      </c>
      <c r="FV27" s="546">
        <f t="shared" si="104"/>
        <v>44.384124819247582</v>
      </c>
      <c r="FW27" s="546">
        <f t="shared" si="105"/>
        <v>475.50852564908018</v>
      </c>
      <c r="FX27" s="546">
        <f t="shared" si="106"/>
        <v>661.50035522745861</v>
      </c>
      <c r="FY27" s="546">
        <f t="shared" si="107"/>
        <v>3203.6735274326461</v>
      </c>
      <c r="FZ27" s="546">
        <f t="shared" si="108"/>
        <v>76991.941678543517</v>
      </c>
      <c r="GA27" s="546">
        <f t="shared" si="109"/>
        <v>162703.217024032</v>
      </c>
      <c r="GB27" s="546">
        <f t="shared" si="110"/>
        <v>29.503177778725885</v>
      </c>
      <c r="GC27" s="546">
        <f t="shared" si="111"/>
        <v>63.179835337489713</v>
      </c>
      <c r="GD27" s="546">
        <f t="shared" si="112"/>
        <v>128.54345767740307</v>
      </c>
    </row>
    <row r="28" spans="1:186">
      <c r="A28" s="4">
        <v>43160</v>
      </c>
      <c r="B28" s="6">
        <v>2018</v>
      </c>
      <c r="C28" s="5">
        <v>3</v>
      </c>
      <c r="D28" s="7">
        <v>74007193.097547501</v>
      </c>
      <c r="E28" s="7">
        <f>IFERROR(VLOOKUP($B28-1,CDM!$V$4:$AJ$17,2,FALSE)/12,0)+IFERROR(VLOOKUP($B28,CDM!$V$41:$AJ$54,2,FALSE)/24,0)+IFERROR(VLOOKUP($B28,CDM!$V$41:$AJ$54,2,FALSE)/2*$C28/78,0)</f>
        <v>3348069.5382609679</v>
      </c>
      <c r="F28" s="7">
        <f t="shared" si="0"/>
        <v>77355262.635808468</v>
      </c>
      <c r="G28" s="7">
        <f>IFERROR(HLOOKUP(B28-1,'EV Forecast VRZ'!$F$124:$T$130,2,FALSE)/12,0)+IFERROR(((HLOOKUP(B28,'EV Forecast VRZ'!$F$116:$T$122,2,FALSE)-HLOOKUP(B28-1,'EV Forecast VRZ'!$F$124:$T$130,2,FALSE)))*C28/78,0)</f>
        <v>64421.297267271431</v>
      </c>
      <c r="H28" s="7"/>
      <c r="I28" s="7">
        <f t="shared" si="1"/>
        <v>77290841.338541195</v>
      </c>
      <c r="J28" s="7">
        <v>867100.11301278486</v>
      </c>
      <c r="K28" s="7">
        <f>IFERROR(VLOOKUP($B28-1,CDM!$V$4:$AJ$17,3,FALSE)/12,0)+IFERROR(VLOOKUP($B28,CDM!$V$41:$AJ$54,3,FALSE)/24,0)+IFERROR(VLOOKUP($B28,CDM!$V$41:$AJ$54,3,FALSE)/2*$C28/78,0)</f>
        <v>38348.130858018485</v>
      </c>
      <c r="L28" s="7">
        <f t="shared" si="2"/>
        <v>905448.24387080339</v>
      </c>
      <c r="M28" s="7">
        <f>IFERROR(HLOOKUP(B28-1,'EV Forecast VRZ'!$F$124:$T$130,3,FALSE)/12,0)+IFERROR(((HLOOKUP(B28,'EV Forecast VRZ'!$F$116:$T$122,3,FALSE)-HLOOKUP(B28-1,'EV Forecast VRZ'!$F$124:$T$130,3,FALSE)))*C28/78,0)</f>
        <v>874.14170708753716</v>
      </c>
      <c r="N28" s="7"/>
      <c r="O28" s="7">
        <f t="shared" si="3"/>
        <v>904574.10216371587</v>
      </c>
      <c r="P28" s="7">
        <v>23149724.903787542</v>
      </c>
      <c r="Q28" s="7">
        <f>IFERROR(VLOOKUP($B28-1,CDM!$V$4:$AJ$17,4,FALSE)/12,0)+IFERROR(VLOOKUP($B28,CDM!$V$41:$AJ$54,4,FALSE)/24,0)+IFERROR(VLOOKUP($B28,CDM!$V$41:$AJ$54,4,FALSE)/2*$C28/78,0)</f>
        <v>921284.35708633566</v>
      </c>
      <c r="R28" s="7">
        <f t="shared" si="4"/>
        <v>24071009.260873877</v>
      </c>
      <c r="S28" s="7">
        <f>IFERROR(HLOOKUP(B28-1,'EV Forecast VRZ'!$F$124:$T$130,4,FALSE)/12,0)+IFERROR(((HLOOKUP(B28,'EV Forecast VRZ'!$F$116:$T$122,4,FALSE)-HLOOKUP(B28-1,'EV Forecast VRZ'!$F$124:$T$130,4,FALSE)))*C28/78,0)</f>
        <v>8221.0697435897455</v>
      </c>
      <c r="T28" s="7"/>
      <c r="U28" s="7">
        <f t="shared" si="5"/>
        <v>24062788.191130288</v>
      </c>
      <c r="V28" s="7">
        <v>77848162.855511904</v>
      </c>
      <c r="W28" s="7">
        <f>IFERROR(VLOOKUP($B28-1,CDM!$V$4:$AJ$17,5,FALSE)/12,0)+IFERROR(VLOOKUP($B28,CDM!$V$41:$AJ$54,5,FALSE)/24,0)+IFERROR(VLOOKUP($B28,CDM!$V$41:$AJ$54,5,FALSE)/2*$C28/78,0)</f>
        <v>3266541.7326581334</v>
      </c>
      <c r="X28" s="7">
        <f t="shared" si="6"/>
        <v>81114704.588170037</v>
      </c>
      <c r="Y28" s="7">
        <f>IFERROR(HLOOKUP(B28-1,'EV Forecast VRZ'!$F$124:$T$130,5,FALSE)/12,0)+IFERROR(((HLOOKUP(B28,'EV Forecast VRZ'!$F$116:$T$122,5,FALSE)-HLOOKUP(B28-1,'EV Forecast VRZ'!$F$124:$T$130,5,FALSE)))*C28/78,0)</f>
        <v>3743.1352307692309</v>
      </c>
      <c r="Z28" s="7"/>
      <c r="AA28" s="7">
        <f t="shared" si="7"/>
        <v>81110961.452939272</v>
      </c>
      <c r="AB28" s="7">
        <v>7093164.9118747329</v>
      </c>
      <c r="AC28" s="7">
        <f>IFERROR(VLOOKUP($B28-1,CDM!$V$4:$AJ$17,6,FALSE)/12,0)+IFERROR(VLOOKUP($B28,CDM!$V$41:$AJ$54,6,FALSE)/24,0)+IFERROR(VLOOKUP($B28,CDM!$V$41:$AJ$54,6,FALSE)/2*$C28/78,0)</f>
        <v>147177.42246345177</v>
      </c>
      <c r="AD28" s="7">
        <f t="shared" si="8"/>
        <v>7240342.3343381844</v>
      </c>
      <c r="AE28" s="7">
        <f>IFERROR(HLOOKUP(B28-1,'EV Forecast VRZ'!$F$124:$T$130,6,FALSE)/12,0)+IFERROR(((HLOOKUP(B28,'EV Forecast VRZ'!$F$116:$T$122,6,FALSE)-HLOOKUP(B28-1,'EV Forecast VRZ'!$F$124:$T$130,6,FALSE)))*C28/78,0)</f>
        <v>585.66887179487185</v>
      </c>
      <c r="AF28" s="7">
        <f t="shared" si="9"/>
        <v>7239756.6654663896</v>
      </c>
      <c r="AG28" s="7">
        <v>22576628.292706475</v>
      </c>
      <c r="AH28" s="7">
        <f>IFERROR(VLOOKUP($B28-1,CDM!$V$4:$AJ$17,7,FALSE)/12,0)+IFERROR(VLOOKUP($B28,CDM!$V$41:$AJ$54,7,FALSE)/24,0)+IFERROR(VLOOKUP($B28,CDM!$V$41:$AJ$54,7,FALSE)/2*$C28/78,0)</f>
        <v>1210435.4912050725</v>
      </c>
      <c r="AI28" s="7">
        <f t="shared" si="10"/>
        <v>23787063.783911549</v>
      </c>
      <c r="AJ28" s="7">
        <f>IFERROR(HLOOKUP(B28-1,'EV Forecast VRZ'!$F$124:$T$130,7,FALSE)/12,0)+IFERROR(((HLOOKUP(B28,'EV Forecast VRZ'!$F$116:$T$122,7,FALSE)-HLOOKUP(B28-1,'EV Forecast VRZ'!$F$124:$T$130,7,FALSE)))*C28/78,0)</f>
        <v>0</v>
      </c>
      <c r="AK28" s="7">
        <f t="shared" si="11"/>
        <v>23787063.783911549</v>
      </c>
      <c r="AL28" s="7">
        <v>1349300.4770082044</v>
      </c>
      <c r="AM28" s="7">
        <v>19222.199961839342</v>
      </c>
      <c r="AN28" s="7">
        <v>389517.00057240983</v>
      </c>
      <c r="AO28" s="5">
        <v>180251.41</v>
      </c>
      <c r="AP28" s="5">
        <v>16021.07</v>
      </c>
      <c r="AQ28" s="5">
        <v>35757</v>
      </c>
      <c r="AR28" s="5">
        <v>3602.23</v>
      </c>
      <c r="AS28" s="544">
        <f t="shared" si="115"/>
        <v>60</v>
      </c>
      <c r="AT28" s="557">
        <v>109086.5</v>
      </c>
      <c r="AU28" s="557">
        <v>1571.4999999999998</v>
      </c>
      <c r="AV28" s="557">
        <v>9060.75</v>
      </c>
      <c r="AW28" s="557">
        <v>1072.5</v>
      </c>
      <c r="AX28" s="557">
        <v>4.7500000000000009</v>
      </c>
      <c r="AY28" s="557">
        <v>3.2500000000000004</v>
      </c>
      <c r="AZ28" s="557">
        <v>30770.75</v>
      </c>
      <c r="BA28" s="557">
        <v>439</v>
      </c>
      <c r="BB28" s="557">
        <v>819.5</v>
      </c>
      <c r="BC28" s="560">
        <v>25695491.716988713</v>
      </c>
      <c r="BD28" s="560">
        <f>IFERROR(VLOOKUP($B28-1,CDM!$V$4:$AJ$17,11,FALSE)/12,0)+IFERROR(VLOOKUP($B28,CDM!$V$41:$AJ$54,11,FALSE)/24,0)+IFERROR(VLOOKUP($B28,CDM!$V$41:$AJ$54,11,FALSE)/2*$C28/78,0)</f>
        <v>1708904.421708442</v>
      </c>
      <c r="BE28" s="560">
        <f t="shared" si="67"/>
        <v>27404396.138697155</v>
      </c>
      <c r="BF28" s="560">
        <f>IFERROR(HLOOKUP(B28-1,'EV Forecast WRZ'!$F$124:$T$130,2,FALSE)/12,0)+IFERROR(((HLOOKUP(B28,'EV Forecast WRZ'!$F$116:$T$122,2,FALSE)-HLOOKUP(B28-1,'EV Forecast WRZ'!$F$124:$T$130,2,FALSE)))*C28/78,0)</f>
        <v>19414.375</v>
      </c>
      <c r="BG28" s="560"/>
      <c r="BH28" s="560">
        <f t="shared" si="13"/>
        <v>27384981.763697155</v>
      </c>
      <c r="BI28" s="560">
        <v>7360051.9802755015</v>
      </c>
      <c r="BJ28" s="560">
        <f>IFERROR(VLOOKUP($B28-1,CDM!$V$4:$AJ$17,12,FALSE)/12,0)+IFERROR(VLOOKUP($B28,CDM!$V$41:$AJ$54,12,FALSE)/24,0)+IFERROR(VLOOKUP($B28,CDM!$V$41:$AJ$54,12,FALSE)/2*$C28/78,0)</f>
        <v>169805.53576582688</v>
      </c>
      <c r="BK28" s="560">
        <f t="shared" si="14"/>
        <v>7529857.5160413282</v>
      </c>
      <c r="BL28" s="560">
        <f>IFERROR(HLOOKUP(B28-1,'EV Forecast WRZ'!$F$124:$T$130,3,FALSE)/12,0)+IFERROR(((HLOOKUP(B28,'EV Forecast WRZ'!$F$116:$T$122,3,FALSE)-HLOOKUP(B28-1,'EV Forecast WRZ'!$F$124:$T$130,3,FALSE)))*C28/78,0)</f>
        <v>2583.3653846153848</v>
      </c>
      <c r="BM28" s="560"/>
      <c r="BN28" s="560">
        <f t="shared" si="15"/>
        <v>7527274.1506567132</v>
      </c>
      <c r="BO28" s="560">
        <v>27734501.7544281</v>
      </c>
      <c r="BP28" s="560">
        <f>IFERROR(VLOOKUP($B28-1,CDM!$V$4:$AJ$17,13,FALSE)/12,0)+IFERROR(VLOOKUP($B28,CDM!$V$41:$AJ$54,13,FALSE)/24,0)+IFERROR(VLOOKUP($B28,CDM!$V$41:$AJ$54,13,FALSE)/2*$C28/78,0)</f>
        <v>958656.58164395369</v>
      </c>
      <c r="BQ28" s="560">
        <f t="shared" si="16"/>
        <v>28693158.336072054</v>
      </c>
      <c r="BR28" s="560">
        <f>IFERROR(HLOOKUP(B28-1,'EV Forecast WRZ'!$F$124:$T$130,4,FALSE)/12,0)+IFERROR(((HLOOKUP(B28,'EV Forecast WRZ'!$F$116:$T$122,4,FALSE)-HLOOKUP(B28-1,'EV Forecast WRZ'!$F$124:$T$130,4,FALSE)))*C28/78,0)</f>
        <v>1186.7451923076924</v>
      </c>
      <c r="BS28" s="560"/>
      <c r="BT28" s="560">
        <f t="shared" si="17"/>
        <v>28691971.590879746</v>
      </c>
      <c r="BU28" s="560">
        <v>4710344.127290261</v>
      </c>
      <c r="BV28" s="560">
        <f>IFERROR(VLOOKUP($B28-1,CDM!$V$4:$AJ$17,14,FALSE)/12,0)+IFERROR(VLOOKUP($B28,CDM!$V$41:$AJ$54,14,FALSE)/24,0)+IFERROR(VLOOKUP($B28,CDM!$V$41:$AJ$54,14,FALSE)/2*$C28/78,0)</f>
        <v>215527.23952858659</v>
      </c>
      <c r="BW28" s="560">
        <f t="shared" si="18"/>
        <v>4925871.3668188471</v>
      </c>
      <c r="BX28" s="560">
        <f>IFERROR(HLOOKUP(B28-1,'EV Forecast WRZ'!$F$124:$T$130,5,FALSE)/12,0)+IFERROR(((HLOOKUP(B28,'EV Forecast WRZ'!$F$116:$T$122,5,FALSE)-HLOOKUP(B28-1,'EV Forecast WRZ'!$F$124:$T$130,5,FALSE)))*C28/78,0)</f>
        <v>226.09134615384616</v>
      </c>
      <c r="BY28" s="560">
        <f t="shared" si="68"/>
        <v>4925645.2754726931</v>
      </c>
      <c r="BZ28" s="560">
        <v>310221.34111344937</v>
      </c>
      <c r="CA28" s="560">
        <v>2390.3037702683605</v>
      </c>
      <c r="CB28" s="560">
        <v>48010.981442510041</v>
      </c>
      <c r="CC28" s="5">
        <v>65607.78</v>
      </c>
      <c r="CD28" s="5">
        <v>7385.24</v>
      </c>
      <c r="CE28" s="5">
        <v>839.8</v>
      </c>
      <c r="CF28" s="544">
        <f t="shared" si="116"/>
        <v>7.25</v>
      </c>
      <c r="CG28" s="565">
        <v>39985.500000000007</v>
      </c>
      <c r="CH28" s="565">
        <v>2242.0000000000005</v>
      </c>
      <c r="CI28" s="565">
        <v>370.25</v>
      </c>
      <c r="CJ28" s="565">
        <v>2.2500000000000004</v>
      </c>
      <c r="CK28" s="565">
        <v>11972.000000000002</v>
      </c>
      <c r="CL28" s="565">
        <v>37.749999999999993</v>
      </c>
      <c r="CM28" s="565">
        <v>374.25</v>
      </c>
      <c r="CN28" s="46">
        <f>Weather!C52</f>
        <v>629.27916666666681</v>
      </c>
      <c r="CO28" s="46">
        <f>Weather!D52</f>
        <v>0</v>
      </c>
      <c r="CP28" s="46">
        <f>Weather!E52</f>
        <v>567.2791666666667</v>
      </c>
      <c r="CQ28" s="46">
        <f>Weather!F52</f>
        <v>0</v>
      </c>
      <c r="CR28" s="46">
        <f>Weather!G52</f>
        <v>505.2791666666667</v>
      </c>
      <c r="CS28" s="46">
        <f>Weather!H52</f>
        <v>0</v>
      </c>
      <c r="CT28" s="46">
        <f>Weather!I52</f>
        <v>443.2791666666667</v>
      </c>
      <c r="CU28" s="46">
        <f>Weather!J52</f>
        <v>0</v>
      </c>
      <c r="CV28" s="46">
        <f>Weather!K52</f>
        <v>381.27916666666664</v>
      </c>
      <c r="CW28" s="46">
        <f>Weather!L52</f>
        <v>0</v>
      </c>
      <c r="CX28" s="46">
        <f>Weather!M52</f>
        <v>319.2791666666667</v>
      </c>
      <c r="CY28" s="46">
        <f>Weather!N52</f>
        <v>0</v>
      </c>
      <c r="CZ28" s="46">
        <f>Weather!O52</f>
        <v>257.2791666666667</v>
      </c>
      <c r="DA28" s="46">
        <f>Weather!P52</f>
        <v>0</v>
      </c>
      <c r="DB28" s="243">
        <f>'Economic Data'!D54</f>
        <v>7183.7</v>
      </c>
      <c r="DC28" s="243">
        <f>'Economic Data'!E54</f>
        <v>7080.1</v>
      </c>
      <c r="DD28" s="243">
        <f>'Economic Data'!F54</f>
        <v>209.4</v>
      </c>
      <c r="DE28" s="243">
        <f>'Economic Data'!G54</f>
        <v>207.3</v>
      </c>
      <c r="DF28" s="243">
        <f>'Economic Data'!H54</f>
        <v>40.9</v>
      </c>
      <c r="DG28" s="243">
        <f>'Economic Data'!I54</f>
        <v>40.9</v>
      </c>
      <c r="DH28" s="243">
        <f>'Economic Data'!J54</f>
        <v>789531.6</v>
      </c>
      <c r="DI28" s="243">
        <f>'Economic Data'!K54</f>
        <v>608429.30000000005</v>
      </c>
      <c r="DJ28" s="243">
        <f>'Economic Data'!L54</f>
        <v>95137.5</v>
      </c>
      <c r="DK28" s="243">
        <f>'Economic Data'!M54</f>
        <v>31658.2</v>
      </c>
      <c r="DL28" s="243">
        <f>'Economic Data'!N54</f>
        <v>779694</v>
      </c>
      <c r="DM28" s="243">
        <f>'Economic Data'!O54</f>
        <v>94103</v>
      </c>
      <c r="DN28" s="243">
        <f>'Economic Data'!P54</f>
        <v>20113</v>
      </c>
      <c r="DO28" s="243">
        <f>'Economic Data'!Q54</f>
        <v>600388</v>
      </c>
      <c r="DP28" s="243">
        <f>'Economic Data'!R54</f>
        <v>31743</v>
      </c>
      <c r="DQ28">
        <v>31</v>
      </c>
      <c r="DR28">
        <v>21</v>
      </c>
      <c r="DS28">
        <v>0</v>
      </c>
      <c r="DT28">
        <v>0</v>
      </c>
      <c r="DU28">
        <v>1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1</v>
      </c>
      <c r="EF28">
        <v>0</v>
      </c>
      <c r="EG28">
        <v>1</v>
      </c>
      <c r="EH28">
        <f t="shared" si="66"/>
        <v>27</v>
      </c>
      <c r="EI28">
        <v>0</v>
      </c>
      <c r="EJ28">
        <v>0</v>
      </c>
      <c r="EK28">
        <v>0</v>
      </c>
      <c r="EL28">
        <v>0</v>
      </c>
      <c r="EM28" s="47">
        <f t="shared" si="69"/>
        <v>0</v>
      </c>
      <c r="EN28" s="47">
        <f t="shared" si="70"/>
        <v>0</v>
      </c>
      <c r="EO28" s="47">
        <f t="shared" si="71"/>
        <v>0</v>
      </c>
      <c r="EP28" s="47">
        <f t="shared" si="72"/>
        <v>0</v>
      </c>
      <c r="EQ28" s="47">
        <f t="shared" si="73"/>
        <v>0</v>
      </c>
      <c r="ER28" s="47">
        <f t="shared" si="74"/>
        <v>0</v>
      </c>
      <c r="ES28" s="47">
        <f t="shared" si="75"/>
        <v>0</v>
      </c>
      <c r="ET28" s="47">
        <f t="shared" si="76"/>
        <v>0</v>
      </c>
      <c r="EU28" s="47">
        <f t="shared" si="77"/>
        <v>0</v>
      </c>
      <c r="EV28" s="47">
        <f t="shared" si="78"/>
        <v>0</v>
      </c>
      <c r="EW28" s="47">
        <f t="shared" si="79"/>
        <v>0</v>
      </c>
      <c r="EX28" s="47">
        <f t="shared" si="80"/>
        <v>0</v>
      </c>
      <c r="EY28" s="47">
        <f t="shared" si="81"/>
        <v>0</v>
      </c>
      <c r="EZ28" s="47">
        <f t="shared" si="82"/>
        <v>0</v>
      </c>
      <c r="FA28" s="47">
        <f t="shared" si="83"/>
        <v>0</v>
      </c>
      <c r="FB28" s="47">
        <f t="shared" si="84"/>
        <v>0</v>
      </c>
      <c r="FC28" s="47">
        <f t="shared" si="85"/>
        <v>0</v>
      </c>
      <c r="FD28" s="47">
        <f t="shared" si="86"/>
        <v>0</v>
      </c>
      <c r="FE28" s="47">
        <f t="shared" si="87"/>
        <v>0</v>
      </c>
      <c r="FF28" s="47">
        <f t="shared" si="88"/>
        <v>0</v>
      </c>
      <c r="FG28" s="47">
        <f t="shared" si="89"/>
        <v>0</v>
      </c>
      <c r="FH28" s="47">
        <f t="shared" si="90"/>
        <v>0</v>
      </c>
      <c r="FI28" s="47">
        <f t="shared" si="91"/>
        <v>0</v>
      </c>
      <c r="FJ28" s="47">
        <f t="shared" si="92"/>
        <v>0</v>
      </c>
      <c r="FK28" s="47">
        <f t="shared" si="93"/>
        <v>0</v>
      </c>
      <c r="FL28" s="47">
        <f t="shared" si="94"/>
        <v>0</v>
      </c>
      <c r="FM28" s="47">
        <f t="shared" si="95"/>
        <v>0</v>
      </c>
      <c r="FN28" s="47">
        <f t="shared" si="96"/>
        <v>0</v>
      </c>
      <c r="FO28" s="546">
        <f t="shared" si="97"/>
        <v>708.52801527724512</v>
      </c>
      <c r="FP28" s="546">
        <f t="shared" si="98"/>
        <v>576.16814754744098</v>
      </c>
      <c r="FQ28" s="546">
        <f t="shared" si="99"/>
        <v>2656.6243700437467</v>
      </c>
      <c r="FR28" s="546">
        <f t="shared" si="100"/>
        <v>75631.426189435937</v>
      </c>
      <c r="FS28" s="546">
        <f t="shared" si="101"/>
        <v>1524282.5967027755</v>
      </c>
      <c r="FT28" s="546">
        <f t="shared" si="102"/>
        <v>7319096.5488958601</v>
      </c>
      <c r="FU28" s="546">
        <f t="shared" si="103"/>
        <v>43.850100404059191</v>
      </c>
      <c r="FV28" s="546">
        <f t="shared" si="104"/>
        <v>43.786332487105561</v>
      </c>
      <c r="FW28" s="546">
        <f t="shared" si="105"/>
        <v>475.31055591508215</v>
      </c>
      <c r="FX28" s="546">
        <f t="shared" si="106"/>
        <v>685.35834586780584</v>
      </c>
      <c r="FY28" s="546">
        <f t="shared" si="107"/>
        <v>3358.5448332030896</v>
      </c>
      <c r="FZ28" s="546">
        <f t="shared" si="108"/>
        <v>77496.713939424852</v>
      </c>
      <c r="GA28" s="546">
        <f t="shared" si="109"/>
        <v>137876.15160597747</v>
      </c>
      <c r="GB28" s="546">
        <f t="shared" si="110"/>
        <v>25.912240320201246</v>
      </c>
      <c r="GC28" s="546">
        <f t="shared" si="111"/>
        <v>63.319305172671811</v>
      </c>
      <c r="GD28" s="546">
        <f t="shared" si="112"/>
        <v>128.28585555780907</v>
      </c>
    </row>
    <row r="29" spans="1:186">
      <c r="A29" s="4">
        <v>43191</v>
      </c>
      <c r="B29" s="6">
        <v>2018</v>
      </c>
      <c r="C29" s="5">
        <v>4</v>
      </c>
      <c r="D29" s="7">
        <v>68167462.877580613</v>
      </c>
      <c r="E29" s="7">
        <f>IFERROR(VLOOKUP($B29-1,CDM!$V$4:$AJ$17,2,FALSE)/12,0)+IFERROR(VLOOKUP($B29,CDM!$V$41:$AJ$54,2,FALSE)/24,0)+IFERROR(VLOOKUP($B29,CDM!$V$41:$AJ$54,2,FALSE)/2*$C29/78,0)</f>
        <v>3410677.5140415695</v>
      </c>
      <c r="F29" s="7">
        <f t="shared" si="0"/>
        <v>71578140.391622186</v>
      </c>
      <c r="G29" s="7">
        <f>IFERROR(HLOOKUP(B29-1,'EV Forecast VRZ'!$F$124:$T$130,2,FALSE)/12,0)+IFERROR(((HLOOKUP(B29,'EV Forecast VRZ'!$F$116:$T$122,2,FALSE)-HLOOKUP(B29-1,'EV Forecast VRZ'!$F$124:$T$130,2,FALSE)))*C29/78,0)</f>
        <v>72290.621396139963</v>
      </c>
      <c r="H29" s="7"/>
      <c r="I29" s="7">
        <f t="shared" si="1"/>
        <v>71505849.770226046</v>
      </c>
      <c r="J29" s="7">
        <v>750415.51834573643</v>
      </c>
      <c r="K29" s="7">
        <f>IFERROR(VLOOKUP($B29-1,CDM!$V$4:$AJ$17,3,FALSE)/12,0)+IFERROR(VLOOKUP($B29,CDM!$V$41:$AJ$54,3,FALSE)/24,0)+IFERROR(VLOOKUP($B29,CDM!$V$41:$AJ$54,3,FALSE)/2*$C29/78,0)</f>
        <v>39065.230315049841</v>
      </c>
      <c r="L29" s="7">
        <f t="shared" si="2"/>
        <v>789480.74866078631</v>
      </c>
      <c r="M29" s="7">
        <f>IFERROR(HLOOKUP(B29-1,'EV Forecast VRZ'!$F$124:$T$130,3,FALSE)/12,0)+IFERROR(((HLOOKUP(B29,'EV Forecast VRZ'!$F$116:$T$122,3,FALSE)-HLOOKUP(B29-1,'EV Forecast VRZ'!$F$124:$T$130,3,FALSE)))*C29/78,0)</f>
        <v>980.92168078311556</v>
      </c>
      <c r="N29" s="7"/>
      <c r="O29" s="7">
        <f t="shared" si="3"/>
        <v>788499.82698000316</v>
      </c>
      <c r="P29" s="7">
        <v>21213773.761419673</v>
      </c>
      <c r="Q29" s="7">
        <f>IFERROR(VLOOKUP($B29-1,CDM!$V$4:$AJ$17,4,FALSE)/12,0)+IFERROR(VLOOKUP($B29,CDM!$V$41:$AJ$54,4,FALSE)/24,0)+IFERROR(VLOOKUP($B29,CDM!$V$41:$AJ$54,4,FALSE)/2*$C29/78,0)</f>
        <v>944617.43102150317</v>
      </c>
      <c r="R29" s="7">
        <f t="shared" si="4"/>
        <v>22158391.192441177</v>
      </c>
      <c r="S29" s="7">
        <f>IFERROR(HLOOKUP(B29-1,'EV Forecast VRZ'!$F$124:$T$130,4,FALSE)/12,0)+IFERROR(((HLOOKUP(B29,'EV Forecast VRZ'!$F$116:$T$122,4,FALSE)-HLOOKUP(B29-1,'EV Forecast VRZ'!$F$124:$T$130,4,FALSE)))*C29/78,0)</f>
        <v>9225.9507692307707</v>
      </c>
      <c r="T29" s="7"/>
      <c r="U29" s="7">
        <f t="shared" si="5"/>
        <v>22149165.241671946</v>
      </c>
      <c r="V29" s="7">
        <v>73929052.598252967</v>
      </c>
      <c r="W29" s="7">
        <f>IFERROR(VLOOKUP($B29-1,CDM!$V$4:$AJ$17,5,FALSE)/12,0)+IFERROR(VLOOKUP($B29,CDM!$V$41:$AJ$54,5,FALSE)/24,0)+IFERROR(VLOOKUP($B29,CDM!$V$41:$AJ$54,5,FALSE)/2*$C29/78,0)</f>
        <v>3338374.42759777</v>
      </c>
      <c r="X29" s="7">
        <f t="shared" si="6"/>
        <v>77267427.025850743</v>
      </c>
      <c r="Y29" s="7">
        <f>IFERROR(HLOOKUP(B29-1,'EV Forecast VRZ'!$F$124:$T$130,5,FALSE)/12,0)+IFERROR(((HLOOKUP(B29,'EV Forecast VRZ'!$F$116:$T$122,5,FALSE)-HLOOKUP(B29-1,'EV Forecast VRZ'!$F$124:$T$130,5,FALSE)))*C29/78,0)</f>
        <v>4200.716307692308</v>
      </c>
      <c r="Z29" s="7"/>
      <c r="AA29" s="7">
        <f t="shared" si="7"/>
        <v>77263226.309543043</v>
      </c>
      <c r="AB29" s="7">
        <v>6905581.1446642736</v>
      </c>
      <c r="AC29" s="7">
        <f>IFERROR(VLOOKUP($B29-1,CDM!$V$4:$AJ$17,6,FALSE)/12,0)+IFERROR(VLOOKUP($B29,CDM!$V$41:$AJ$54,6,FALSE)/24,0)+IFERROR(VLOOKUP($B29,CDM!$V$41:$AJ$54,6,FALSE)/2*$C29/78,0)</f>
        <v>152446.51410718961</v>
      </c>
      <c r="AD29" s="7">
        <f t="shared" si="8"/>
        <v>7058027.6587714627</v>
      </c>
      <c r="AE29" s="7">
        <f>IFERROR(HLOOKUP(B29-1,'EV Forecast VRZ'!$F$124:$T$130,6,FALSE)/12,0)+IFERROR(((HLOOKUP(B29,'EV Forecast VRZ'!$F$116:$T$122,6,FALSE)-HLOOKUP(B29-1,'EV Forecast VRZ'!$F$124:$T$130,6,FALSE)))*C29/78,0)</f>
        <v>657.45138461538454</v>
      </c>
      <c r="AF29" s="7">
        <f t="shared" si="9"/>
        <v>7057370.2073868476</v>
      </c>
      <c r="AG29" s="7">
        <v>21647895.128084224</v>
      </c>
      <c r="AH29" s="7">
        <f>IFERROR(VLOOKUP($B29-1,CDM!$V$4:$AJ$17,7,FALSE)/12,0)+IFERROR(VLOOKUP($B29,CDM!$V$41:$AJ$54,7,FALSE)/24,0)+IFERROR(VLOOKUP($B29,CDM!$V$41:$AJ$54,7,FALSE)/2*$C29/78,0)</f>
        <v>1251395.0889440353</v>
      </c>
      <c r="AI29" s="7">
        <f t="shared" si="10"/>
        <v>22899290.21702826</v>
      </c>
      <c r="AJ29" s="7">
        <f>IFERROR(HLOOKUP(B29-1,'EV Forecast VRZ'!$F$124:$T$130,7,FALSE)/12,0)+IFERROR(((HLOOKUP(B29,'EV Forecast VRZ'!$F$116:$T$122,7,FALSE)-HLOOKUP(B29-1,'EV Forecast VRZ'!$F$124:$T$130,7,FALSE)))*C29/78,0)</f>
        <v>0</v>
      </c>
      <c r="AK29" s="7">
        <f t="shared" si="11"/>
        <v>22899290.21702826</v>
      </c>
      <c r="AL29" s="7">
        <v>1142904.4170959739</v>
      </c>
      <c r="AM29" s="7">
        <v>20242.453730204157</v>
      </c>
      <c r="AN29" s="7">
        <v>389938.99065063917</v>
      </c>
      <c r="AO29" s="5">
        <v>183307.67</v>
      </c>
      <c r="AP29" s="5">
        <v>16090.48</v>
      </c>
      <c r="AQ29" s="5">
        <v>36662</v>
      </c>
      <c r="AR29" s="5">
        <v>3628.36</v>
      </c>
      <c r="AS29" s="544">
        <f t="shared" si="115"/>
        <v>60</v>
      </c>
      <c r="AT29" s="557">
        <v>109196</v>
      </c>
      <c r="AU29" s="557">
        <v>1571.333333333333</v>
      </c>
      <c r="AV29" s="557">
        <v>9069</v>
      </c>
      <c r="AW29" s="557">
        <v>1069</v>
      </c>
      <c r="AX29" s="557">
        <v>4.6666666666666679</v>
      </c>
      <c r="AY29" s="557">
        <v>3.3333333333333339</v>
      </c>
      <c r="AZ29" s="557">
        <v>30807</v>
      </c>
      <c r="BA29" s="557">
        <v>439</v>
      </c>
      <c r="BB29" s="557">
        <v>819</v>
      </c>
      <c r="BC29" s="560">
        <v>24135629.067199349</v>
      </c>
      <c r="BD29" s="560">
        <f>IFERROR(VLOOKUP($B29-1,CDM!$V$4:$AJ$17,11,FALSE)/12,0)+IFERROR(VLOOKUP($B29,CDM!$V$41:$AJ$54,11,FALSE)/24,0)+IFERROR(VLOOKUP($B29,CDM!$V$41:$AJ$54,11,FALSE)/2*$C29/78,0)</f>
        <v>1738508.2817797959</v>
      </c>
      <c r="BE29" s="560">
        <f t="shared" si="67"/>
        <v>25874137.348979145</v>
      </c>
      <c r="BF29" s="560">
        <f>IFERROR(HLOOKUP(B29-1,'EV Forecast WRZ'!$F$124:$T$130,2,FALSE)/12,0)+IFERROR(((HLOOKUP(B29,'EV Forecast WRZ'!$F$116:$T$122,2,FALSE)-HLOOKUP(B29-1,'EV Forecast WRZ'!$F$124:$T$130,2,FALSE)))*C29/78,0)</f>
        <v>21497.456666666669</v>
      </c>
      <c r="BG29" s="560"/>
      <c r="BH29" s="560">
        <f t="shared" si="13"/>
        <v>25852639.892312478</v>
      </c>
      <c r="BI29" s="560">
        <v>6696666.3979433803</v>
      </c>
      <c r="BJ29" s="560">
        <f>IFERROR(VLOOKUP($B29-1,CDM!$V$4:$AJ$17,12,FALSE)/12,0)+IFERROR(VLOOKUP($B29,CDM!$V$41:$AJ$54,12,FALSE)/24,0)+IFERROR(VLOOKUP($B29,CDM!$V$41:$AJ$54,12,FALSE)/2*$C29/78,0)</f>
        <v>173167.41332875082</v>
      </c>
      <c r="BK29" s="560">
        <f t="shared" si="14"/>
        <v>6869833.8112721313</v>
      </c>
      <c r="BL29" s="560">
        <f>IFERROR(HLOOKUP(B29-1,'EV Forecast WRZ'!$F$124:$T$130,3,FALSE)/12,0)+IFERROR(((HLOOKUP(B29,'EV Forecast WRZ'!$F$116:$T$122,3,FALSE)-HLOOKUP(B29-1,'EV Forecast WRZ'!$F$124:$T$130,3,FALSE)))*C29/78,0)</f>
        <v>2835.5605128205129</v>
      </c>
      <c r="BM29" s="560"/>
      <c r="BN29" s="560">
        <f t="shared" si="15"/>
        <v>6866998.250759311</v>
      </c>
      <c r="BO29" s="560">
        <v>26606366.799159411</v>
      </c>
      <c r="BP29" s="560">
        <f>IFERROR(VLOOKUP($B29-1,CDM!$V$4:$AJ$17,13,FALSE)/12,0)+IFERROR(VLOOKUP($B29,CDM!$V$41:$AJ$54,13,FALSE)/24,0)+IFERROR(VLOOKUP($B29,CDM!$V$41:$AJ$54,13,FALSE)/2*$C29/78,0)</f>
        <v>984034.07782140758</v>
      </c>
      <c r="BQ29" s="560">
        <f t="shared" si="16"/>
        <v>27590400.876980819</v>
      </c>
      <c r="BR29" s="560">
        <f>IFERROR(HLOOKUP(B29-1,'EV Forecast WRZ'!$F$124:$T$130,4,FALSE)/12,0)+IFERROR(((HLOOKUP(B29,'EV Forecast WRZ'!$F$116:$T$122,4,FALSE)-HLOOKUP(B29-1,'EV Forecast WRZ'!$F$124:$T$130,4,FALSE)))*C29/78,0)</f>
        <v>1300.809923076923</v>
      </c>
      <c r="BS29" s="560"/>
      <c r="BT29" s="560">
        <f t="shared" si="17"/>
        <v>27589100.067057744</v>
      </c>
      <c r="BU29" s="560">
        <v>6205058.360655738</v>
      </c>
      <c r="BV29" s="560">
        <f>IFERROR(VLOOKUP($B29-1,CDM!$V$4:$AJ$17,14,FALSE)/12,0)+IFERROR(VLOOKUP($B29,CDM!$V$41:$AJ$54,14,FALSE)/24,0)+IFERROR(VLOOKUP($B29,CDM!$V$41:$AJ$54,14,FALSE)/2*$C29/78,0)</f>
        <v>221232.66293254888</v>
      </c>
      <c r="BW29" s="560">
        <f t="shared" si="18"/>
        <v>6426291.0235882867</v>
      </c>
      <c r="BX29" s="560">
        <f>IFERROR(HLOOKUP(B29-1,'EV Forecast WRZ'!$F$124:$T$130,5,FALSE)/12,0)+IFERROR(((HLOOKUP(B29,'EV Forecast WRZ'!$F$116:$T$122,5,FALSE)-HLOOKUP(B29-1,'EV Forecast WRZ'!$F$124:$T$130,5,FALSE)))*C29/78,0)</f>
        <v>241.00879487179489</v>
      </c>
      <c r="BY29" s="560">
        <f t="shared" si="68"/>
        <v>6426050.0147934146</v>
      </c>
      <c r="BZ29" s="560">
        <v>271068.59575282183</v>
      </c>
      <c r="CA29" s="560">
        <v>2390.3037702683605</v>
      </c>
      <c r="CB29" s="560">
        <v>48010.981442510041</v>
      </c>
      <c r="CC29" s="5">
        <v>65290.11</v>
      </c>
      <c r="CD29" s="5">
        <v>8926.08</v>
      </c>
      <c r="CE29" s="5">
        <v>809.11</v>
      </c>
      <c r="CF29" s="544">
        <f t="shared" si="116"/>
        <v>7.25</v>
      </c>
      <c r="CG29" s="565">
        <v>40017.333333333343</v>
      </c>
      <c r="CH29" s="565">
        <v>2243.3333333333339</v>
      </c>
      <c r="CI29" s="565">
        <v>371</v>
      </c>
      <c r="CJ29" s="565">
        <v>2.3333333333333339</v>
      </c>
      <c r="CK29" s="565">
        <v>11995.333333333336</v>
      </c>
      <c r="CL29" s="565">
        <v>37.666666666666657</v>
      </c>
      <c r="CM29" s="565">
        <v>375</v>
      </c>
      <c r="CN29" s="46">
        <f>Weather!C53</f>
        <v>512.51666666666677</v>
      </c>
      <c r="CO29" s="46">
        <f>Weather!D53</f>
        <v>0</v>
      </c>
      <c r="CP29" s="46">
        <f>Weather!E53</f>
        <v>452.51666666666677</v>
      </c>
      <c r="CQ29" s="46">
        <f>Weather!F53</f>
        <v>0</v>
      </c>
      <c r="CR29" s="46">
        <f>Weather!G53</f>
        <v>392.51666666666677</v>
      </c>
      <c r="CS29" s="46">
        <f>Weather!H53</f>
        <v>0</v>
      </c>
      <c r="CT29" s="46">
        <f>Weather!I53</f>
        <v>332.51666666666671</v>
      </c>
      <c r="CU29" s="46">
        <f>Weather!J53</f>
        <v>0</v>
      </c>
      <c r="CV29" s="46">
        <f>Weather!K53</f>
        <v>272.51666666666665</v>
      </c>
      <c r="CW29" s="46">
        <f>Weather!L53</f>
        <v>0</v>
      </c>
      <c r="CX29" s="46">
        <f>Weather!M53</f>
        <v>212.57916666666659</v>
      </c>
      <c r="CY29" s="46">
        <f>Weather!N53</f>
        <v>6.2499999999998224E-2</v>
      </c>
      <c r="CZ29" s="46">
        <f>Weather!O53</f>
        <v>158.6666666666666</v>
      </c>
      <c r="DA29" s="46">
        <f>Weather!P53</f>
        <v>6.15</v>
      </c>
      <c r="DB29" s="243">
        <f>'Economic Data'!D55</f>
        <v>7196</v>
      </c>
      <c r="DC29" s="243">
        <f>'Economic Data'!E55</f>
        <v>7107.1</v>
      </c>
      <c r="DD29" s="243">
        <f>'Economic Data'!F55</f>
        <v>213.7</v>
      </c>
      <c r="DE29" s="243">
        <f>'Economic Data'!G55</f>
        <v>212.2</v>
      </c>
      <c r="DF29" s="243">
        <f>'Economic Data'!H55</f>
        <v>41</v>
      </c>
      <c r="DG29" s="243">
        <f>'Economic Data'!I55</f>
        <v>41</v>
      </c>
      <c r="DH29" s="243">
        <f>'Economic Data'!J55</f>
        <v>789531.6</v>
      </c>
      <c r="DI29" s="243">
        <f>'Economic Data'!K55</f>
        <v>608429.30000000005</v>
      </c>
      <c r="DJ29" s="243">
        <f>'Economic Data'!L55</f>
        <v>95137.5</v>
      </c>
      <c r="DK29" s="243">
        <f>'Economic Data'!M55</f>
        <v>31658.2</v>
      </c>
      <c r="DL29" s="243">
        <f>'Economic Data'!N55</f>
        <v>785185</v>
      </c>
      <c r="DM29" s="243">
        <f>'Economic Data'!O55</f>
        <v>94344</v>
      </c>
      <c r="DN29" s="243">
        <f>'Economic Data'!P55</f>
        <v>19822</v>
      </c>
      <c r="DO29" s="243">
        <f>'Economic Data'!Q55</f>
        <v>604698</v>
      </c>
      <c r="DP29" s="243">
        <f>'Economic Data'!R55</f>
        <v>31618</v>
      </c>
      <c r="DQ29">
        <v>30</v>
      </c>
      <c r="DR29">
        <v>21</v>
      </c>
      <c r="DS29">
        <v>0</v>
      </c>
      <c r="DT29">
        <v>0</v>
      </c>
      <c r="DU29">
        <v>0</v>
      </c>
      <c r="DV29">
        <v>1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1</v>
      </c>
      <c r="EF29">
        <v>0</v>
      </c>
      <c r="EG29">
        <v>1</v>
      </c>
      <c r="EH29">
        <f t="shared" si="66"/>
        <v>28</v>
      </c>
      <c r="EI29">
        <v>0</v>
      </c>
      <c r="EJ29">
        <v>0</v>
      </c>
      <c r="EK29">
        <v>0</v>
      </c>
      <c r="EL29">
        <v>0</v>
      </c>
      <c r="EM29" s="47">
        <f t="shared" si="69"/>
        <v>0</v>
      </c>
      <c r="EN29" s="47">
        <f t="shared" si="70"/>
        <v>0</v>
      </c>
      <c r="EO29" s="47">
        <f t="shared" si="71"/>
        <v>0</v>
      </c>
      <c r="EP29" s="47">
        <f t="shared" si="72"/>
        <v>0</v>
      </c>
      <c r="EQ29" s="47">
        <f t="shared" si="73"/>
        <v>0</v>
      </c>
      <c r="ER29" s="47">
        <f t="shared" si="74"/>
        <v>0</v>
      </c>
      <c r="ES29" s="47">
        <f t="shared" si="75"/>
        <v>0</v>
      </c>
      <c r="ET29" s="47">
        <f t="shared" si="76"/>
        <v>0</v>
      </c>
      <c r="EU29" s="47">
        <f t="shared" si="77"/>
        <v>0</v>
      </c>
      <c r="EV29" s="47">
        <f t="shared" si="78"/>
        <v>0</v>
      </c>
      <c r="EW29" s="47">
        <f t="shared" si="79"/>
        <v>0</v>
      </c>
      <c r="EX29" s="47">
        <f t="shared" si="80"/>
        <v>0</v>
      </c>
      <c r="EY29" s="47">
        <f t="shared" si="81"/>
        <v>0</v>
      </c>
      <c r="EZ29" s="47">
        <f t="shared" si="82"/>
        <v>0</v>
      </c>
      <c r="FA29" s="47">
        <f t="shared" si="83"/>
        <v>0</v>
      </c>
      <c r="FB29" s="47">
        <f t="shared" si="84"/>
        <v>0</v>
      </c>
      <c r="FC29" s="47">
        <f t="shared" si="85"/>
        <v>0</v>
      </c>
      <c r="FD29" s="47">
        <f t="shared" si="86"/>
        <v>0</v>
      </c>
      <c r="FE29" s="47">
        <f t="shared" si="87"/>
        <v>0</v>
      </c>
      <c r="FF29" s="47">
        <f t="shared" si="88"/>
        <v>0</v>
      </c>
      <c r="FG29" s="47">
        <f t="shared" si="89"/>
        <v>0</v>
      </c>
      <c r="FH29" s="47">
        <f t="shared" si="90"/>
        <v>0</v>
      </c>
      <c r="FI29" s="47">
        <f t="shared" si="91"/>
        <v>0</v>
      </c>
      <c r="FJ29" s="47">
        <f t="shared" si="92"/>
        <v>0</v>
      </c>
      <c r="FK29" s="47">
        <f t="shared" si="93"/>
        <v>0</v>
      </c>
      <c r="FL29" s="47">
        <f t="shared" si="94"/>
        <v>0</v>
      </c>
      <c r="FM29" s="47">
        <f t="shared" si="95"/>
        <v>0</v>
      </c>
      <c r="FN29" s="47">
        <f t="shared" si="96"/>
        <v>0</v>
      </c>
      <c r="FO29" s="546">
        <f t="shared" si="97"/>
        <v>654.83946087975789</v>
      </c>
      <c r="FP29" s="546">
        <f t="shared" si="98"/>
        <v>502.42729019566383</v>
      </c>
      <c r="FQ29" s="546">
        <f t="shared" si="99"/>
        <v>2443.3114116706556</v>
      </c>
      <c r="FR29" s="546">
        <f t="shared" si="100"/>
        <v>72280.100117727547</v>
      </c>
      <c r="FS29" s="546">
        <f t="shared" si="101"/>
        <v>1512434.4983081701</v>
      </c>
      <c r="FT29" s="546">
        <f t="shared" si="102"/>
        <v>6869787.0651084771</v>
      </c>
      <c r="FU29" s="546">
        <f t="shared" si="103"/>
        <v>37.098854711460831</v>
      </c>
      <c r="FV29" s="546">
        <f t="shared" si="104"/>
        <v>46.11037296174068</v>
      </c>
      <c r="FW29" s="546">
        <f t="shared" si="105"/>
        <v>476.11598370041412</v>
      </c>
      <c r="FX29" s="546">
        <f t="shared" si="106"/>
        <v>646.57325198195292</v>
      </c>
      <c r="FY29" s="546">
        <f t="shared" si="107"/>
        <v>3062.3330510871306</v>
      </c>
      <c r="FZ29" s="546">
        <f t="shared" si="108"/>
        <v>74367.657350352616</v>
      </c>
      <c r="GA29" s="546">
        <f t="shared" si="109"/>
        <v>116172.2553226379</v>
      </c>
      <c r="GB29" s="546">
        <f t="shared" si="110"/>
        <v>22.597837694060615</v>
      </c>
      <c r="GC29" s="546">
        <f t="shared" si="111"/>
        <v>63.459392131018433</v>
      </c>
      <c r="GD29" s="546">
        <f t="shared" si="112"/>
        <v>128.02928384669343</v>
      </c>
    </row>
    <row r="30" spans="1:186">
      <c r="A30" s="4">
        <v>43221</v>
      </c>
      <c r="B30" s="6">
        <v>2018</v>
      </c>
      <c r="C30" s="5">
        <v>5</v>
      </c>
      <c r="D30" s="7">
        <v>62617818.816704452</v>
      </c>
      <c r="E30" s="7">
        <f>IFERROR(VLOOKUP($B30-1,CDM!$V$4:$AJ$17,2,FALSE)/12,0)+IFERROR(VLOOKUP($B30,CDM!$V$41:$AJ$54,2,FALSE)/24,0)+IFERROR(VLOOKUP($B30,CDM!$V$41:$AJ$54,2,FALSE)/2*$C30/78,0)</f>
        <v>3473285.4898221716</v>
      </c>
      <c r="F30" s="7">
        <f t="shared" si="0"/>
        <v>66091104.306526624</v>
      </c>
      <c r="G30" s="7">
        <f>IFERROR(HLOOKUP(B30-1,'EV Forecast VRZ'!$F$124:$T$130,2,FALSE)/12,0)+IFERROR(((HLOOKUP(B30,'EV Forecast VRZ'!$F$116:$T$122,2,FALSE)-HLOOKUP(B30-1,'EV Forecast VRZ'!$F$124:$T$130,2,FALSE)))*C30/78,0)</f>
        <v>80159.945525008487</v>
      </c>
      <c r="H30" s="7"/>
      <c r="I30" s="7">
        <f t="shared" si="1"/>
        <v>66010944.361001618</v>
      </c>
      <c r="J30" s="7">
        <v>613334.78465941607</v>
      </c>
      <c r="K30" s="7">
        <f>IFERROR(VLOOKUP($B30-1,CDM!$V$4:$AJ$17,3,FALSE)/12,0)+IFERROR(VLOOKUP($B30,CDM!$V$41:$AJ$54,3,FALSE)/24,0)+IFERROR(VLOOKUP($B30,CDM!$V$41:$AJ$54,3,FALSE)/2*$C30/78,0)</f>
        <v>39782.329772081197</v>
      </c>
      <c r="L30" s="7">
        <f t="shared" si="2"/>
        <v>653117.11443149729</v>
      </c>
      <c r="M30" s="7">
        <f>IFERROR(HLOOKUP(B30-1,'EV Forecast VRZ'!$F$124:$T$130,3,FALSE)/12,0)+IFERROR(((HLOOKUP(B30,'EV Forecast VRZ'!$F$116:$T$122,3,FALSE)-HLOOKUP(B30-1,'EV Forecast VRZ'!$F$124:$T$130,3,FALSE)))*C30/78,0)</f>
        <v>1087.7016544786939</v>
      </c>
      <c r="N30" s="7"/>
      <c r="O30" s="7">
        <f t="shared" si="3"/>
        <v>652029.41277701862</v>
      </c>
      <c r="P30" s="7">
        <v>20364446.795248903</v>
      </c>
      <c r="Q30" s="7">
        <f>IFERROR(VLOOKUP($B30-1,CDM!$V$4:$AJ$17,4,FALSE)/12,0)+IFERROR(VLOOKUP($B30,CDM!$V$41:$AJ$54,4,FALSE)/24,0)+IFERROR(VLOOKUP($B30,CDM!$V$41:$AJ$54,4,FALSE)/2*$C30/78,0)</f>
        <v>967950.50495667069</v>
      </c>
      <c r="R30" s="7">
        <f t="shared" si="4"/>
        <v>21332397.300205573</v>
      </c>
      <c r="S30" s="7">
        <f>IFERROR(HLOOKUP(B30-1,'EV Forecast VRZ'!$F$124:$T$130,4,FALSE)/12,0)+IFERROR(((HLOOKUP(B30,'EV Forecast VRZ'!$F$116:$T$122,4,FALSE)-HLOOKUP(B30-1,'EV Forecast VRZ'!$F$124:$T$130,4,FALSE)))*C30/78,0)</f>
        <v>10230.831794871798</v>
      </c>
      <c r="T30" s="7"/>
      <c r="U30" s="7">
        <f t="shared" si="5"/>
        <v>21322166.468410701</v>
      </c>
      <c r="V30" s="7">
        <v>75260784.335170552</v>
      </c>
      <c r="W30" s="7">
        <f>IFERROR(VLOOKUP($B30-1,CDM!$V$4:$AJ$17,5,FALSE)/12,0)+IFERROR(VLOOKUP($B30,CDM!$V$41:$AJ$54,5,FALSE)/24,0)+IFERROR(VLOOKUP($B30,CDM!$V$41:$AJ$54,5,FALSE)/2*$C30/78,0)</f>
        <v>3410207.1225374062</v>
      </c>
      <c r="X30" s="7">
        <f t="shared" si="6"/>
        <v>78670991.457707956</v>
      </c>
      <c r="Y30" s="7">
        <f>IFERROR(HLOOKUP(B30-1,'EV Forecast VRZ'!$F$124:$T$130,5,FALSE)/12,0)+IFERROR(((HLOOKUP(B30,'EV Forecast VRZ'!$F$116:$T$122,5,FALSE)-HLOOKUP(B30-1,'EV Forecast VRZ'!$F$124:$T$130,5,FALSE)))*C30/78,0)</f>
        <v>4658.2973846153855</v>
      </c>
      <c r="Z30" s="7"/>
      <c r="AA30" s="7">
        <f t="shared" si="7"/>
        <v>78666333.160323337</v>
      </c>
      <c r="AB30" s="7">
        <v>6752852.1925257407</v>
      </c>
      <c r="AC30" s="7">
        <f>IFERROR(VLOOKUP($B30-1,CDM!$V$4:$AJ$17,6,FALSE)/12,0)+IFERROR(VLOOKUP($B30,CDM!$V$41:$AJ$54,6,FALSE)/24,0)+IFERROR(VLOOKUP($B30,CDM!$V$41:$AJ$54,6,FALSE)/2*$C30/78,0)</f>
        <v>157715.60575092747</v>
      </c>
      <c r="AD30" s="7">
        <f t="shared" si="8"/>
        <v>6910567.7982766684</v>
      </c>
      <c r="AE30" s="7">
        <f>IFERROR(HLOOKUP(B30-1,'EV Forecast VRZ'!$F$124:$T$130,6,FALSE)/12,0)+IFERROR(((HLOOKUP(B30,'EV Forecast VRZ'!$F$116:$T$122,6,FALSE)-HLOOKUP(B30-1,'EV Forecast VRZ'!$F$124:$T$130,6,FALSE)))*C30/78,0)</f>
        <v>729.23389743589746</v>
      </c>
      <c r="AF30" s="7">
        <f t="shared" si="9"/>
        <v>6909838.5643792329</v>
      </c>
      <c r="AG30" s="7">
        <v>21165905.862023152</v>
      </c>
      <c r="AH30" s="7">
        <f>IFERROR(VLOOKUP($B30-1,CDM!$V$4:$AJ$17,7,FALSE)/12,0)+IFERROR(VLOOKUP($B30,CDM!$V$41:$AJ$54,7,FALSE)/24,0)+IFERROR(VLOOKUP($B30,CDM!$V$41:$AJ$54,7,FALSE)/2*$C30/78,0)</f>
        <v>1292354.686682998</v>
      </c>
      <c r="AI30" s="7">
        <f t="shared" si="10"/>
        <v>22458260.548706152</v>
      </c>
      <c r="AJ30" s="7">
        <f>IFERROR(HLOOKUP(B30-1,'EV Forecast VRZ'!$F$124:$T$130,7,FALSE)/12,0)+IFERROR(((HLOOKUP(B30,'EV Forecast VRZ'!$F$116:$T$122,7,FALSE)-HLOOKUP(B30-1,'EV Forecast VRZ'!$F$124:$T$130,7,FALSE)))*C30/78,0)</f>
        <v>0</v>
      </c>
      <c r="AK30" s="7">
        <f t="shared" si="11"/>
        <v>22458260.548706152</v>
      </c>
      <c r="AL30" s="7">
        <v>1040398.1873688226</v>
      </c>
      <c r="AM30" s="7">
        <v>19735.260446479682</v>
      </c>
      <c r="AN30" s="7">
        <v>389689.00019080326</v>
      </c>
      <c r="AO30" s="5">
        <v>202481.13</v>
      </c>
      <c r="AP30" s="5">
        <v>14917</v>
      </c>
      <c r="AQ30" s="5">
        <v>37398</v>
      </c>
      <c r="AR30" s="5">
        <v>3628.32</v>
      </c>
      <c r="AS30" s="544">
        <f t="shared" si="115"/>
        <v>60</v>
      </c>
      <c r="AT30" s="557">
        <v>109305.5</v>
      </c>
      <c r="AU30" s="557">
        <v>1571.1666666666663</v>
      </c>
      <c r="AV30" s="557">
        <v>9077.25</v>
      </c>
      <c r="AW30" s="557">
        <v>1065.5</v>
      </c>
      <c r="AX30" s="557">
        <v>4.5833333333333348</v>
      </c>
      <c r="AY30" s="557">
        <v>3.4166666666666674</v>
      </c>
      <c r="AZ30" s="557">
        <v>30843.25</v>
      </c>
      <c r="BA30" s="557">
        <v>439</v>
      </c>
      <c r="BB30" s="557">
        <v>818.5</v>
      </c>
      <c r="BC30" s="560">
        <v>25133747.708580349</v>
      </c>
      <c r="BD30" s="560">
        <f>IFERROR(VLOOKUP($B30-1,CDM!$V$4:$AJ$17,11,FALSE)/12,0)+IFERROR(VLOOKUP($B30,CDM!$V$41:$AJ$54,11,FALSE)/24,0)+IFERROR(VLOOKUP($B30,CDM!$V$41:$AJ$54,11,FALSE)/2*$C30/78,0)</f>
        <v>1768112.14185115</v>
      </c>
      <c r="BE30" s="560">
        <f t="shared" si="67"/>
        <v>26901859.850431498</v>
      </c>
      <c r="BF30" s="560">
        <f>IFERROR(HLOOKUP(B30-1,'EV Forecast WRZ'!$F$124:$T$130,2,FALSE)/12,0)+IFERROR(((HLOOKUP(B30,'EV Forecast WRZ'!$F$116:$T$122,2,FALSE)-HLOOKUP(B30-1,'EV Forecast WRZ'!$F$124:$T$130,2,FALSE)))*C30/78,0)</f>
        <v>23580.538333333338</v>
      </c>
      <c r="BG30" s="560"/>
      <c r="BH30" s="560">
        <f t="shared" si="13"/>
        <v>26878279.312098164</v>
      </c>
      <c r="BI30" s="560">
        <v>6593580.7971781138</v>
      </c>
      <c r="BJ30" s="560">
        <f>IFERROR(VLOOKUP($B30-1,CDM!$V$4:$AJ$17,12,FALSE)/12,0)+IFERROR(VLOOKUP($B30,CDM!$V$41:$AJ$54,12,FALSE)/24,0)+IFERROR(VLOOKUP($B30,CDM!$V$41:$AJ$54,12,FALSE)/2*$C30/78,0)</f>
        <v>176529.29089167475</v>
      </c>
      <c r="BK30" s="560">
        <f t="shared" si="14"/>
        <v>6770110.0880697882</v>
      </c>
      <c r="BL30" s="560">
        <f>IFERROR(HLOOKUP(B30-1,'EV Forecast WRZ'!$F$124:$T$130,3,FALSE)/12,0)+IFERROR(((HLOOKUP(B30,'EV Forecast WRZ'!$F$116:$T$122,3,FALSE)-HLOOKUP(B30-1,'EV Forecast WRZ'!$F$124:$T$130,3,FALSE)))*C30/78,0)</f>
        <v>3087.7556410256411</v>
      </c>
      <c r="BM30" s="560"/>
      <c r="BN30" s="560">
        <f t="shared" si="15"/>
        <v>6767022.3324287627</v>
      </c>
      <c r="BO30" s="560">
        <v>26507399.233863704</v>
      </c>
      <c r="BP30" s="560">
        <f>IFERROR(VLOOKUP($B30-1,CDM!$V$4:$AJ$17,13,FALSE)/12,0)+IFERROR(VLOOKUP($B30,CDM!$V$41:$AJ$54,13,FALSE)/24,0)+IFERROR(VLOOKUP($B30,CDM!$V$41:$AJ$54,13,FALSE)/2*$C30/78,0)</f>
        <v>1009411.5739988615</v>
      </c>
      <c r="BQ30" s="560">
        <f t="shared" si="16"/>
        <v>27516810.807862565</v>
      </c>
      <c r="BR30" s="560">
        <f>IFERROR(HLOOKUP(B30-1,'EV Forecast WRZ'!$F$124:$T$130,4,FALSE)/12,0)+IFERROR(((HLOOKUP(B30,'EV Forecast WRZ'!$F$116:$T$122,4,FALSE)-HLOOKUP(B30-1,'EV Forecast WRZ'!$F$124:$T$130,4,FALSE)))*C30/78,0)</f>
        <v>1414.8746538461537</v>
      </c>
      <c r="BS30" s="560"/>
      <c r="BT30" s="560">
        <f t="shared" si="17"/>
        <v>27515395.933208719</v>
      </c>
      <c r="BU30" s="560">
        <v>5714625.2362584388</v>
      </c>
      <c r="BV30" s="560">
        <f>IFERROR(VLOOKUP($B30-1,CDM!$V$4:$AJ$17,14,FALSE)/12,0)+IFERROR(VLOOKUP($B30,CDM!$V$41:$AJ$54,14,FALSE)/24,0)+IFERROR(VLOOKUP($B30,CDM!$V$41:$AJ$54,14,FALSE)/2*$C30/78,0)</f>
        <v>226938.08633651116</v>
      </c>
      <c r="BW30" s="560">
        <f t="shared" si="18"/>
        <v>5941563.32259495</v>
      </c>
      <c r="BX30" s="560">
        <f>IFERROR(HLOOKUP(B30-1,'EV Forecast WRZ'!$F$124:$T$130,5,FALSE)/12,0)+IFERROR(((HLOOKUP(B30,'EV Forecast WRZ'!$F$116:$T$122,5,FALSE)-HLOOKUP(B30-1,'EV Forecast WRZ'!$F$124:$T$130,5,FALSE)))*C30/78,0)</f>
        <v>255.92624358974359</v>
      </c>
      <c r="BY30" s="560">
        <f t="shared" si="68"/>
        <v>5941307.3963513598</v>
      </c>
      <c r="BZ30" s="560">
        <v>244654.47675530895</v>
      </c>
      <c r="CA30" s="560">
        <v>2390.3037702683605</v>
      </c>
      <c r="CB30" s="560">
        <v>48394.01186148842</v>
      </c>
      <c r="CC30" s="5">
        <v>68660.2</v>
      </c>
      <c r="CD30" s="5">
        <v>9226.81</v>
      </c>
      <c r="CE30" s="5">
        <v>795.86</v>
      </c>
      <c r="CF30" s="544">
        <f t="shared" si="116"/>
        <v>7.25</v>
      </c>
      <c r="CG30" s="565">
        <v>40049.166666666679</v>
      </c>
      <c r="CH30" s="565">
        <v>2244.6666666666674</v>
      </c>
      <c r="CI30" s="565">
        <v>371.75</v>
      </c>
      <c r="CJ30" s="565">
        <v>2.4166666666666674</v>
      </c>
      <c r="CK30" s="565">
        <v>12018.66666666667</v>
      </c>
      <c r="CL30" s="565">
        <v>37.583333333333321</v>
      </c>
      <c r="CM30" s="565">
        <v>375.75</v>
      </c>
      <c r="CN30" s="46">
        <f>Weather!C54</f>
        <v>140.84469696969697</v>
      </c>
      <c r="CO30" s="46">
        <f>Weather!D54</f>
        <v>13.3827380952381</v>
      </c>
      <c r="CP30" s="46">
        <f>Weather!E54</f>
        <v>95.407196969696969</v>
      </c>
      <c r="CQ30" s="46">
        <f>Weather!F54</f>
        <v>29.9452380952381</v>
      </c>
      <c r="CR30" s="46">
        <f>Weather!G54</f>
        <v>53.462500000000013</v>
      </c>
      <c r="CS30" s="46">
        <f>Weather!H54</f>
        <v>50.000541125541133</v>
      </c>
      <c r="CT30" s="46">
        <f>Weather!I54</f>
        <v>22.062500000000014</v>
      </c>
      <c r="CU30" s="46">
        <f>Weather!J54</f>
        <v>80.600541125541127</v>
      </c>
      <c r="CV30" s="46">
        <f>Weather!K54</f>
        <v>6.9291666666666698</v>
      </c>
      <c r="CW30" s="46">
        <f>Weather!L54</f>
        <v>127.46720779220779</v>
      </c>
      <c r="CX30" s="46">
        <f>Weather!M54</f>
        <v>2.7874999999999988</v>
      </c>
      <c r="CY30" s="46">
        <f>Weather!N54</f>
        <v>185.32554112554109</v>
      </c>
      <c r="CZ30" s="46">
        <f>Weather!O54</f>
        <v>0.50416666666666554</v>
      </c>
      <c r="DA30" s="46">
        <f>Weather!P54</f>
        <v>245.04220779220779</v>
      </c>
      <c r="DB30" s="243">
        <f>'Economic Data'!D56</f>
        <v>7205</v>
      </c>
      <c r="DC30" s="243">
        <f>'Economic Data'!E56</f>
        <v>7172.4</v>
      </c>
      <c r="DD30" s="243">
        <f>'Economic Data'!F56</f>
        <v>217.6</v>
      </c>
      <c r="DE30" s="243">
        <f>'Economic Data'!G56</f>
        <v>218.1</v>
      </c>
      <c r="DF30" s="243">
        <f>'Economic Data'!H56</f>
        <v>39.299999999999997</v>
      </c>
      <c r="DG30" s="243">
        <f>'Economic Data'!I56</f>
        <v>39.299999999999997</v>
      </c>
      <c r="DH30" s="243">
        <f>'Economic Data'!J56</f>
        <v>789531.6</v>
      </c>
      <c r="DI30" s="243">
        <f>'Economic Data'!K56</f>
        <v>608429.30000000005</v>
      </c>
      <c r="DJ30" s="243">
        <f>'Economic Data'!L56</f>
        <v>95137.5</v>
      </c>
      <c r="DK30" s="243">
        <f>'Economic Data'!M56</f>
        <v>31658.2</v>
      </c>
      <c r="DL30" s="243">
        <f>'Economic Data'!N56</f>
        <v>785185</v>
      </c>
      <c r="DM30" s="243">
        <f>'Economic Data'!O56</f>
        <v>94344</v>
      </c>
      <c r="DN30" s="243">
        <f>'Economic Data'!P56</f>
        <v>19822</v>
      </c>
      <c r="DO30" s="243">
        <f>'Economic Data'!Q56</f>
        <v>604698</v>
      </c>
      <c r="DP30" s="243">
        <f>'Economic Data'!R56</f>
        <v>31618</v>
      </c>
      <c r="DQ30">
        <v>31</v>
      </c>
      <c r="DR30">
        <v>22</v>
      </c>
      <c r="DS30">
        <v>0</v>
      </c>
      <c r="DT30">
        <v>0</v>
      </c>
      <c r="DU30">
        <v>0</v>
      </c>
      <c r="DV30">
        <v>0</v>
      </c>
      <c r="DW30">
        <v>1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1</v>
      </c>
      <c r="EF30">
        <v>0</v>
      </c>
      <c r="EG30">
        <v>1</v>
      </c>
      <c r="EH30">
        <f t="shared" si="66"/>
        <v>29</v>
      </c>
      <c r="EI30">
        <v>0</v>
      </c>
      <c r="EJ30">
        <v>0</v>
      </c>
      <c r="EK30">
        <v>0</v>
      </c>
      <c r="EL30">
        <v>0</v>
      </c>
      <c r="EM30" s="47">
        <f t="shared" si="69"/>
        <v>0</v>
      </c>
      <c r="EN30" s="47">
        <f t="shared" si="70"/>
        <v>0</v>
      </c>
      <c r="EO30" s="47">
        <f t="shared" si="71"/>
        <v>0</v>
      </c>
      <c r="EP30" s="47">
        <f t="shared" si="72"/>
        <v>0</v>
      </c>
      <c r="EQ30" s="47">
        <f t="shared" si="73"/>
        <v>0</v>
      </c>
      <c r="ER30" s="47">
        <f t="shared" si="74"/>
        <v>0</v>
      </c>
      <c r="ES30" s="47">
        <f t="shared" si="75"/>
        <v>0</v>
      </c>
      <c r="ET30" s="47">
        <f t="shared" si="76"/>
        <v>0</v>
      </c>
      <c r="EU30" s="47">
        <f t="shared" si="77"/>
        <v>0</v>
      </c>
      <c r="EV30" s="47">
        <f t="shared" si="78"/>
        <v>0</v>
      </c>
      <c r="EW30" s="47">
        <f t="shared" si="79"/>
        <v>0</v>
      </c>
      <c r="EX30" s="47">
        <f t="shared" si="80"/>
        <v>0</v>
      </c>
      <c r="EY30" s="47">
        <f t="shared" si="81"/>
        <v>0</v>
      </c>
      <c r="EZ30" s="47">
        <f t="shared" si="82"/>
        <v>0</v>
      </c>
      <c r="FA30" s="47">
        <f t="shared" si="83"/>
        <v>0</v>
      </c>
      <c r="FB30" s="47">
        <f t="shared" si="84"/>
        <v>0</v>
      </c>
      <c r="FC30" s="47">
        <f t="shared" si="85"/>
        <v>0</v>
      </c>
      <c r="FD30" s="47">
        <f t="shared" si="86"/>
        <v>0</v>
      </c>
      <c r="FE30" s="47">
        <f t="shared" si="87"/>
        <v>0</v>
      </c>
      <c r="FF30" s="47">
        <f t="shared" si="88"/>
        <v>0</v>
      </c>
      <c r="FG30" s="47">
        <f t="shared" si="89"/>
        <v>0</v>
      </c>
      <c r="FH30" s="47">
        <f t="shared" si="90"/>
        <v>0</v>
      </c>
      <c r="FI30" s="47">
        <f t="shared" si="91"/>
        <v>0</v>
      </c>
      <c r="FJ30" s="47">
        <f t="shared" si="92"/>
        <v>0</v>
      </c>
      <c r="FK30" s="47">
        <f t="shared" si="93"/>
        <v>0</v>
      </c>
      <c r="FL30" s="47">
        <f t="shared" si="94"/>
        <v>0</v>
      </c>
      <c r="FM30" s="47">
        <f t="shared" si="95"/>
        <v>0</v>
      </c>
      <c r="FN30" s="47">
        <f t="shared" si="96"/>
        <v>0</v>
      </c>
      <c r="FO30" s="546">
        <f t="shared" si="97"/>
        <v>603.91237733692833</v>
      </c>
      <c r="FP30" s="546">
        <f t="shared" si="98"/>
        <v>415.68926345486204</v>
      </c>
      <c r="FQ30" s="546">
        <f t="shared" si="99"/>
        <v>2350.0947203399237</v>
      </c>
      <c r="FR30" s="546">
        <f t="shared" si="100"/>
        <v>73834.811316478605</v>
      </c>
      <c r="FS30" s="546">
        <f t="shared" si="101"/>
        <v>1507760.2468967272</v>
      </c>
      <c r="FT30" s="546">
        <f t="shared" si="102"/>
        <v>6573149.4288896043</v>
      </c>
      <c r="FU30" s="546">
        <f t="shared" si="103"/>
        <v>33.731795040043529</v>
      </c>
      <c r="FV30" s="546">
        <f t="shared" si="104"/>
        <v>44.955035185602924</v>
      </c>
      <c r="FW30" s="546">
        <f t="shared" si="105"/>
        <v>476.10140524227643</v>
      </c>
      <c r="FX30" s="546">
        <f t="shared" si="106"/>
        <v>671.72083939569666</v>
      </c>
      <c r="FY30" s="546">
        <f t="shared" si="107"/>
        <v>3016.0870603221501</v>
      </c>
      <c r="FZ30" s="546">
        <f t="shared" si="108"/>
        <v>74019.665925655863</v>
      </c>
      <c r="GA30" s="546">
        <f t="shared" si="109"/>
        <v>101236.33520909333</v>
      </c>
      <c r="GB30" s="546">
        <f t="shared" si="110"/>
        <v>20.356207850730161</v>
      </c>
      <c r="GC30" s="546">
        <f t="shared" si="111"/>
        <v>63.600100317561719</v>
      </c>
      <c r="GD30" s="546">
        <f t="shared" si="112"/>
        <v>128.79311207315615</v>
      </c>
    </row>
    <row r="31" spans="1:186">
      <c r="A31" s="4">
        <v>43252</v>
      </c>
      <c r="B31" s="6">
        <v>2018</v>
      </c>
      <c r="C31" s="5">
        <v>6</v>
      </c>
      <c r="D31" s="7">
        <v>71839856.426635936</v>
      </c>
      <c r="E31" s="7">
        <f>IFERROR(VLOOKUP($B31-1,CDM!$V$4:$AJ$17,2,FALSE)/12,0)+IFERROR(VLOOKUP($B31,CDM!$V$41:$AJ$54,2,FALSE)/24,0)+IFERROR(VLOOKUP($B31,CDM!$V$41:$AJ$54,2,FALSE)/2*$C31/78,0)</f>
        <v>3535893.4656027732</v>
      </c>
      <c r="F31" s="7">
        <f t="shared" si="0"/>
        <v>75375749.892238706</v>
      </c>
      <c r="G31" s="7">
        <f>IFERROR(HLOOKUP(B31-1,'EV Forecast VRZ'!$F$124:$T$130,2,FALSE)/12,0)+IFERROR(((HLOOKUP(B31,'EV Forecast VRZ'!$F$116:$T$122,2,FALSE)-HLOOKUP(B31-1,'EV Forecast VRZ'!$F$124:$T$130,2,FALSE)))*C31/78,0)</f>
        <v>88029.269653877011</v>
      </c>
      <c r="H31" s="7"/>
      <c r="I31" s="7">
        <f t="shared" si="1"/>
        <v>75287720.622584835</v>
      </c>
      <c r="J31" s="7">
        <v>646738.79149971472</v>
      </c>
      <c r="K31" s="7">
        <f>IFERROR(VLOOKUP($B31-1,CDM!$V$4:$AJ$17,3,FALSE)/12,0)+IFERROR(VLOOKUP($B31,CDM!$V$41:$AJ$54,3,FALSE)/24,0)+IFERROR(VLOOKUP($B31,CDM!$V$41:$AJ$54,3,FALSE)/2*$C31/78,0)</f>
        <v>40499.42922911256</v>
      </c>
      <c r="L31" s="7">
        <f t="shared" si="2"/>
        <v>687238.22072882729</v>
      </c>
      <c r="M31" s="7">
        <f>IFERROR(HLOOKUP(B31-1,'EV Forecast VRZ'!$F$124:$T$130,3,FALSE)/12,0)+IFERROR(((HLOOKUP(B31,'EV Forecast VRZ'!$F$116:$T$122,3,FALSE)-HLOOKUP(B31-1,'EV Forecast VRZ'!$F$124:$T$130,3,FALSE)))*C31/78,0)</f>
        <v>1194.4816281742724</v>
      </c>
      <c r="N31" s="7"/>
      <c r="O31" s="7">
        <f t="shared" si="3"/>
        <v>686043.73910065298</v>
      </c>
      <c r="P31" s="7">
        <v>20807660.659444761</v>
      </c>
      <c r="Q31" s="7">
        <f>IFERROR(VLOOKUP($B31-1,CDM!$V$4:$AJ$17,4,FALSE)/12,0)+IFERROR(VLOOKUP($B31,CDM!$V$41:$AJ$54,4,FALSE)/24,0)+IFERROR(VLOOKUP($B31,CDM!$V$41:$AJ$54,4,FALSE)/2*$C31/78,0)</f>
        <v>991283.5788918382</v>
      </c>
      <c r="R31" s="7">
        <f t="shared" si="4"/>
        <v>21798944.2383366</v>
      </c>
      <c r="S31" s="7">
        <f>IFERROR(HLOOKUP(B31-1,'EV Forecast VRZ'!$F$124:$T$130,4,FALSE)/12,0)+IFERROR(((HLOOKUP(B31,'EV Forecast VRZ'!$F$116:$T$122,4,FALSE)-HLOOKUP(B31-1,'EV Forecast VRZ'!$F$124:$T$130,4,FALSE)))*C31/78,0)</f>
        <v>11235.712820512825</v>
      </c>
      <c r="T31" s="7"/>
      <c r="U31" s="7">
        <f t="shared" si="5"/>
        <v>21787708.525516089</v>
      </c>
      <c r="V31" s="7">
        <v>76315520.509241268</v>
      </c>
      <c r="W31" s="7">
        <f>IFERROR(VLOOKUP($B31-1,CDM!$V$4:$AJ$17,5,FALSE)/12,0)+IFERROR(VLOOKUP($B31,CDM!$V$41:$AJ$54,5,FALSE)/24,0)+IFERROR(VLOOKUP($B31,CDM!$V$41:$AJ$54,5,FALSE)/2*$C31/78,0)</f>
        <v>3482039.8174770428</v>
      </c>
      <c r="X31" s="7">
        <f t="shared" si="6"/>
        <v>79797560.326718315</v>
      </c>
      <c r="Y31" s="7">
        <f>IFERROR(HLOOKUP(B31-1,'EV Forecast VRZ'!$F$124:$T$130,5,FALSE)/12,0)+IFERROR(((HLOOKUP(B31,'EV Forecast VRZ'!$F$116:$T$122,5,FALSE)-HLOOKUP(B31-1,'EV Forecast VRZ'!$F$124:$T$130,5,FALSE)))*C31/78,0)</f>
        <v>5115.878461538462</v>
      </c>
      <c r="Z31" s="7"/>
      <c r="AA31" s="7">
        <f t="shared" si="7"/>
        <v>79792444.448256776</v>
      </c>
      <c r="AB31" s="7">
        <v>6859058.7662462853</v>
      </c>
      <c r="AC31" s="7">
        <f>IFERROR(VLOOKUP($B31-1,CDM!$V$4:$AJ$17,6,FALSE)/12,0)+IFERROR(VLOOKUP($B31,CDM!$V$41:$AJ$54,6,FALSE)/24,0)+IFERROR(VLOOKUP($B31,CDM!$V$41:$AJ$54,6,FALSE)/2*$C31/78,0)</f>
        <v>162984.6973946653</v>
      </c>
      <c r="AD31" s="7">
        <f t="shared" si="8"/>
        <v>7022043.4636409506</v>
      </c>
      <c r="AE31" s="7">
        <f>IFERROR(HLOOKUP(B31-1,'EV Forecast VRZ'!$F$124:$T$130,6,FALSE)/12,0)+IFERROR(((HLOOKUP(B31,'EV Forecast VRZ'!$F$116:$T$122,6,FALSE)-HLOOKUP(B31-1,'EV Forecast VRZ'!$F$124:$T$130,6,FALSE)))*C31/78,0)</f>
        <v>801.01641025641027</v>
      </c>
      <c r="AF31" s="7">
        <f t="shared" si="9"/>
        <v>7021242.4472306939</v>
      </c>
      <c r="AG31" s="7">
        <v>18586639.879997209</v>
      </c>
      <c r="AH31" s="7">
        <f>IFERROR(VLOOKUP($B31-1,CDM!$V$4:$AJ$17,7,FALSE)/12,0)+IFERROR(VLOOKUP($B31,CDM!$V$41:$AJ$54,7,FALSE)/24,0)+IFERROR(VLOOKUP($B31,CDM!$V$41:$AJ$54,7,FALSE)/2*$C31/78,0)</f>
        <v>1333314.2844219606</v>
      </c>
      <c r="AI31" s="7">
        <f t="shared" si="10"/>
        <v>19919954.16441917</v>
      </c>
      <c r="AJ31" s="7">
        <f>IFERROR(HLOOKUP(B31-1,'EV Forecast VRZ'!$F$124:$T$130,7,FALSE)/12,0)+IFERROR(((HLOOKUP(B31,'EV Forecast VRZ'!$F$116:$T$122,7,FALSE)-HLOOKUP(B31-1,'EV Forecast VRZ'!$F$124:$T$130,7,FALSE)))*C31/78,0)</f>
        <v>0</v>
      </c>
      <c r="AK31" s="7">
        <f t="shared" si="11"/>
        <v>19919954.16441917</v>
      </c>
      <c r="AL31" s="7">
        <v>945295.75462697959</v>
      </c>
      <c r="AM31" s="7">
        <v>19893.627170387328</v>
      </c>
      <c r="AN31" s="7">
        <v>389387.98893340962</v>
      </c>
      <c r="AO31" s="5">
        <v>200282.32</v>
      </c>
      <c r="AP31" s="5">
        <v>15253.53</v>
      </c>
      <c r="AQ31" s="5">
        <v>31669</v>
      </c>
      <c r="AR31" s="5">
        <v>3635.83</v>
      </c>
      <c r="AS31" s="544">
        <f t="shared" si="115"/>
        <v>60</v>
      </c>
      <c r="AT31" s="557">
        <v>109415</v>
      </c>
      <c r="AU31" s="557">
        <v>1570.9999999999995</v>
      </c>
      <c r="AV31" s="557">
        <v>9085.5</v>
      </c>
      <c r="AW31" s="557">
        <v>1062</v>
      </c>
      <c r="AX31" s="557">
        <v>4.5000000000000018</v>
      </c>
      <c r="AY31" s="557">
        <v>3.5000000000000009</v>
      </c>
      <c r="AZ31" s="557">
        <v>30879.5</v>
      </c>
      <c r="BA31" s="557">
        <v>439</v>
      </c>
      <c r="BB31" s="557">
        <v>818</v>
      </c>
      <c r="BC31" s="560">
        <v>30153452.757604837</v>
      </c>
      <c r="BD31" s="560">
        <f>IFERROR(VLOOKUP($B31-1,CDM!$V$4:$AJ$17,11,FALSE)/12,0)+IFERROR(VLOOKUP($B31,CDM!$V$41:$AJ$54,11,FALSE)/24,0)+IFERROR(VLOOKUP($B31,CDM!$V$41:$AJ$54,11,FALSE)/2*$C31/78,0)</f>
        <v>1797716.0019225038</v>
      </c>
      <c r="BE31" s="560">
        <f t="shared" si="67"/>
        <v>31951168.759527341</v>
      </c>
      <c r="BF31" s="560">
        <f>IFERROR(HLOOKUP(B31-1,'EV Forecast WRZ'!$F$124:$T$130,2,FALSE)/12,0)+IFERROR(((HLOOKUP(B31,'EV Forecast WRZ'!$F$116:$T$122,2,FALSE)-HLOOKUP(B31-1,'EV Forecast WRZ'!$F$124:$T$130,2,FALSE)))*C31/78,0)</f>
        <v>25663.620000000003</v>
      </c>
      <c r="BG31" s="560"/>
      <c r="BH31" s="560">
        <f t="shared" si="13"/>
        <v>31925505.139527339</v>
      </c>
      <c r="BI31" s="560">
        <v>6805710.3719915822</v>
      </c>
      <c r="BJ31" s="560">
        <f>IFERROR(VLOOKUP($B31-1,CDM!$V$4:$AJ$17,12,FALSE)/12,0)+IFERROR(VLOOKUP($B31,CDM!$V$41:$AJ$54,12,FALSE)/24,0)+IFERROR(VLOOKUP($B31,CDM!$V$41:$AJ$54,12,FALSE)/2*$C31/78,0)</f>
        <v>179891.16845459869</v>
      </c>
      <c r="BK31" s="560">
        <f t="shared" si="14"/>
        <v>6985601.5404461809</v>
      </c>
      <c r="BL31" s="560">
        <f>IFERROR(HLOOKUP(B31-1,'EV Forecast WRZ'!$F$124:$T$130,3,FALSE)/12,0)+IFERROR(((HLOOKUP(B31,'EV Forecast WRZ'!$F$116:$T$122,3,FALSE)-HLOOKUP(B31-1,'EV Forecast WRZ'!$F$124:$T$130,3,FALSE)))*C31/78,0)</f>
        <v>3339.9507692307693</v>
      </c>
      <c r="BM31" s="560"/>
      <c r="BN31" s="560">
        <f t="shared" si="15"/>
        <v>6982261.5896769501</v>
      </c>
      <c r="BO31" s="560">
        <v>27090917.965776045</v>
      </c>
      <c r="BP31" s="560">
        <f>IFERROR(VLOOKUP($B31-1,CDM!$V$4:$AJ$17,13,FALSE)/12,0)+IFERROR(VLOOKUP($B31,CDM!$V$41:$AJ$54,13,FALSE)/24,0)+IFERROR(VLOOKUP($B31,CDM!$V$41:$AJ$54,13,FALSE)/2*$C31/78,0)</f>
        <v>1034789.0701763155</v>
      </c>
      <c r="BQ31" s="560">
        <f t="shared" si="16"/>
        <v>28125707.035952359</v>
      </c>
      <c r="BR31" s="560">
        <f>IFERROR(HLOOKUP(B31-1,'EV Forecast WRZ'!$F$124:$T$130,4,FALSE)/12,0)+IFERROR(((HLOOKUP(B31,'EV Forecast WRZ'!$F$116:$T$122,4,FALSE)-HLOOKUP(B31-1,'EV Forecast WRZ'!$F$124:$T$130,4,FALSE)))*C31/78,0)</f>
        <v>1528.9393846153846</v>
      </c>
      <c r="BS31" s="560"/>
      <c r="BT31" s="560">
        <f t="shared" si="17"/>
        <v>28124178.096567743</v>
      </c>
      <c r="BU31" s="560">
        <v>5987468.7367405985</v>
      </c>
      <c r="BV31" s="560">
        <f>IFERROR(VLOOKUP($B31-1,CDM!$V$4:$AJ$17,14,FALSE)/12,0)+IFERROR(VLOOKUP($B31,CDM!$V$41:$AJ$54,14,FALSE)/24,0)+IFERROR(VLOOKUP($B31,CDM!$V$41:$AJ$54,14,FALSE)/2*$C31/78,0)</f>
        <v>232643.50974047344</v>
      </c>
      <c r="BW31" s="560">
        <f t="shared" si="18"/>
        <v>6220112.2464810722</v>
      </c>
      <c r="BX31" s="560">
        <f>IFERROR(HLOOKUP(B31-1,'EV Forecast WRZ'!$F$124:$T$130,5,FALSE)/12,0)+IFERROR(((HLOOKUP(B31,'EV Forecast WRZ'!$F$116:$T$122,5,FALSE)-HLOOKUP(B31-1,'EV Forecast WRZ'!$F$124:$T$130,5,FALSE)))*C31/78,0)</f>
        <v>270.84369230769232</v>
      </c>
      <c r="BY31" s="560">
        <f t="shared" si="68"/>
        <v>6219841.4027887648</v>
      </c>
      <c r="BZ31" s="560">
        <v>218855.99770422801</v>
      </c>
      <c r="CA31" s="560">
        <v>2390.3037702683605</v>
      </c>
      <c r="CB31" s="560">
        <v>48554.98373828199</v>
      </c>
      <c r="CC31" s="5">
        <v>71474.7</v>
      </c>
      <c r="CD31" s="5">
        <v>9293.5300000000007</v>
      </c>
      <c r="CE31" s="5">
        <v>795.86</v>
      </c>
      <c r="CF31" s="544">
        <f t="shared" si="116"/>
        <v>7.25</v>
      </c>
      <c r="CG31" s="565">
        <v>40081.000000000015</v>
      </c>
      <c r="CH31" s="565">
        <v>2246.0000000000009</v>
      </c>
      <c r="CI31" s="565">
        <v>372.5</v>
      </c>
      <c r="CJ31" s="565">
        <v>2.5000000000000009</v>
      </c>
      <c r="CK31" s="565">
        <v>12042.000000000004</v>
      </c>
      <c r="CL31" s="565">
        <v>37.499999999999986</v>
      </c>
      <c r="CM31" s="565">
        <v>376.5</v>
      </c>
      <c r="CN31" s="46">
        <f>Weather!C55</f>
        <v>63.468560606060585</v>
      </c>
      <c r="CO31" s="46">
        <f>Weather!D55</f>
        <v>21.662499999999998</v>
      </c>
      <c r="CP31" s="46">
        <f>Weather!E55</f>
        <v>23.060227272727261</v>
      </c>
      <c r="CQ31" s="46">
        <f>Weather!F55</f>
        <v>41.254166666666663</v>
      </c>
      <c r="CR31" s="46">
        <f>Weather!G55</f>
        <v>7.645833333333325</v>
      </c>
      <c r="CS31" s="46">
        <f>Weather!H55</f>
        <v>85.839772727272717</v>
      </c>
      <c r="CT31" s="46">
        <f>Weather!I55</f>
        <v>3.3208333333333275</v>
      </c>
      <c r="CU31" s="46">
        <f>Weather!J55</f>
        <v>141.51477272727271</v>
      </c>
      <c r="CV31" s="46">
        <f>Weather!K55</f>
        <v>0</v>
      </c>
      <c r="CW31" s="46">
        <f>Weather!L55</f>
        <v>198.19393939393944</v>
      </c>
      <c r="CX31" s="46">
        <f>Weather!M55</f>
        <v>0</v>
      </c>
      <c r="CY31" s="46">
        <f>Weather!N55</f>
        <v>258.19393939393944</v>
      </c>
      <c r="CZ31" s="46">
        <f>Weather!O55</f>
        <v>0</v>
      </c>
      <c r="DA31" s="46">
        <f>Weather!P55</f>
        <v>318.19393939393939</v>
      </c>
      <c r="DB31" s="243">
        <f>'Economic Data'!D57</f>
        <v>7216.7</v>
      </c>
      <c r="DC31" s="243">
        <f>'Economic Data'!E57</f>
        <v>7258</v>
      </c>
      <c r="DD31" s="243">
        <f>'Economic Data'!F57</f>
        <v>219.5</v>
      </c>
      <c r="DE31" s="243">
        <f>'Economic Data'!G57</f>
        <v>222.3</v>
      </c>
      <c r="DF31" s="243">
        <f>'Economic Data'!H57</f>
        <v>38</v>
      </c>
      <c r="DG31" s="243">
        <f>'Economic Data'!I57</f>
        <v>38</v>
      </c>
      <c r="DH31" s="243">
        <f>'Economic Data'!J57</f>
        <v>789531.6</v>
      </c>
      <c r="DI31" s="243">
        <f>'Economic Data'!K57</f>
        <v>608429.30000000005</v>
      </c>
      <c r="DJ31" s="243">
        <f>'Economic Data'!L57</f>
        <v>95137.5</v>
      </c>
      <c r="DK31" s="243">
        <f>'Economic Data'!M57</f>
        <v>31658.2</v>
      </c>
      <c r="DL31" s="243">
        <f>'Economic Data'!N57</f>
        <v>785185</v>
      </c>
      <c r="DM31" s="243">
        <f>'Economic Data'!O57</f>
        <v>94344</v>
      </c>
      <c r="DN31" s="243">
        <f>'Economic Data'!P57</f>
        <v>19822</v>
      </c>
      <c r="DO31" s="243">
        <f>'Economic Data'!Q57</f>
        <v>604698</v>
      </c>
      <c r="DP31" s="243">
        <f>'Economic Data'!R57</f>
        <v>31618</v>
      </c>
      <c r="DQ31">
        <v>30</v>
      </c>
      <c r="DR31">
        <v>21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1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f t="shared" si="66"/>
        <v>30</v>
      </c>
      <c r="EI31">
        <v>0</v>
      </c>
      <c r="EJ31">
        <v>0</v>
      </c>
      <c r="EK31">
        <v>0</v>
      </c>
      <c r="EL31">
        <v>0</v>
      </c>
      <c r="EM31" s="47">
        <f t="shared" si="69"/>
        <v>0</v>
      </c>
      <c r="EN31" s="47">
        <f t="shared" si="70"/>
        <v>0</v>
      </c>
      <c r="EO31" s="47">
        <f t="shared" si="71"/>
        <v>0</v>
      </c>
      <c r="EP31" s="47">
        <f t="shared" si="72"/>
        <v>0</v>
      </c>
      <c r="EQ31" s="47">
        <f t="shared" si="73"/>
        <v>0</v>
      </c>
      <c r="ER31" s="47">
        <f t="shared" si="74"/>
        <v>0</v>
      </c>
      <c r="ES31" s="47">
        <f t="shared" si="75"/>
        <v>0</v>
      </c>
      <c r="ET31" s="47">
        <f t="shared" si="76"/>
        <v>0</v>
      </c>
      <c r="EU31" s="47">
        <f t="shared" si="77"/>
        <v>0</v>
      </c>
      <c r="EV31" s="47">
        <f t="shared" si="78"/>
        <v>0</v>
      </c>
      <c r="EW31" s="47">
        <f t="shared" si="79"/>
        <v>0</v>
      </c>
      <c r="EX31" s="47">
        <f t="shared" si="80"/>
        <v>0</v>
      </c>
      <c r="EY31" s="47">
        <f t="shared" si="81"/>
        <v>0</v>
      </c>
      <c r="EZ31" s="47">
        <f t="shared" si="82"/>
        <v>0</v>
      </c>
      <c r="FA31" s="47">
        <f t="shared" si="83"/>
        <v>0</v>
      </c>
      <c r="FB31" s="47">
        <f t="shared" si="84"/>
        <v>0</v>
      </c>
      <c r="FC31" s="47">
        <f t="shared" si="85"/>
        <v>0</v>
      </c>
      <c r="FD31" s="47">
        <f t="shared" si="86"/>
        <v>0</v>
      </c>
      <c r="FE31" s="47">
        <f t="shared" si="87"/>
        <v>0</v>
      </c>
      <c r="FF31" s="47">
        <f t="shared" si="88"/>
        <v>0</v>
      </c>
      <c r="FG31" s="47">
        <f t="shared" si="89"/>
        <v>0</v>
      </c>
      <c r="FH31" s="47">
        <f t="shared" si="90"/>
        <v>0</v>
      </c>
      <c r="FI31" s="47">
        <f t="shared" si="91"/>
        <v>0</v>
      </c>
      <c r="FJ31" s="47">
        <f t="shared" si="92"/>
        <v>0</v>
      </c>
      <c r="FK31" s="47">
        <f t="shared" si="93"/>
        <v>0</v>
      </c>
      <c r="FL31" s="47">
        <f t="shared" si="94"/>
        <v>0</v>
      </c>
      <c r="FM31" s="47">
        <f t="shared" si="95"/>
        <v>0</v>
      </c>
      <c r="FN31" s="47">
        <f t="shared" si="96"/>
        <v>0</v>
      </c>
      <c r="FO31" s="546">
        <f t="shared" si="97"/>
        <v>688.09322873997928</v>
      </c>
      <c r="FP31" s="546">
        <f t="shared" si="98"/>
        <v>437.45271847792964</v>
      </c>
      <c r="FQ31" s="546">
        <f t="shared" si="99"/>
        <v>2399.3114565336637</v>
      </c>
      <c r="FR31" s="546">
        <f t="shared" si="100"/>
        <v>75138.945693708389</v>
      </c>
      <c r="FS31" s="546">
        <f t="shared" si="101"/>
        <v>1560454.1030313217</v>
      </c>
      <c r="FT31" s="546">
        <f t="shared" si="102"/>
        <v>5691415.4755483326</v>
      </c>
      <c r="FU31" s="546">
        <f t="shared" si="103"/>
        <v>30.612404819604578</v>
      </c>
      <c r="FV31" s="546">
        <f t="shared" si="104"/>
        <v>45.315779431406213</v>
      </c>
      <c r="FW31" s="546">
        <f t="shared" si="105"/>
        <v>476.02443634891154</v>
      </c>
      <c r="FX31" s="546">
        <f t="shared" si="106"/>
        <v>797.16495994429602</v>
      </c>
      <c r="FY31" s="546">
        <f t="shared" si="107"/>
        <v>3110.2411132885923</v>
      </c>
      <c r="FZ31" s="546">
        <f t="shared" si="108"/>
        <v>75505.253787791575</v>
      </c>
      <c r="GA31" s="546">
        <f t="shared" si="109"/>
        <v>87542.399081691168</v>
      </c>
      <c r="GB31" s="546">
        <f t="shared" si="110"/>
        <v>18.17438944562597</v>
      </c>
      <c r="GC31" s="546">
        <f t="shared" si="111"/>
        <v>63.74143387382297</v>
      </c>
      <c r="GD31" s="546">
        <f t="shared" si="112"/>
        <v>128.96410023448072</v>
      </c>
    </row>
    <row r="32" spans="1:186">
      <c r="A32" s="4">
        <v>43282</v>
      </c>
      <c r="B32" s="6">
        <v>2018</v>
      </c>
      <c r="C32" s="5">
        <v>7</v>
      </c>
      <c r="D32" s="7">
        <v>100738340.34786299</v>
      </c>
      <c r="E32" s="7">
        <f>IFERROR(VLOOKUP($B32-1,CDM!$V$4:$AJ$17,2,FALSE)/12,0)+IFERROR(VLOOKUP($B32,CDM!$V$41:$AJ$54,2,FALSE)/24,0)+IFERROR(VLOOKUP($B32,CDM!$V$41:$AJ$54,2,FALSE)/2*$C32/78,0)</f>
        <v>3598501.4413833749</v>
      </c>
      <c r="F32" s="7">
        <f t="shared" si="0"/>
        <v>104336841.78924637</v>
      </c>
      <c r="G32" s="7">
        <f>IFERROR(HLOOKUP(B32-1,'EV Forecast VRZ'!$F$124:$T$130,2,FALSE)/12,0)+IFERROR(((HLOOKUP(B32,'EV Forecast VRZ'!$F$116:$T$122,2,FALSE)-HLOOKUP(B32-1,'EV Forecast VRZ'!$F$124:$T$130,2,FALSE)))*C32/78,0)</f>
        <v>95898.593782745535</v>
      </c>
      <c r="H32" s="7"/>
      <c r="I32" s="7">
        <f t="shared" si="1"/>
        <v>104240943.19546361</v>
      </c>
      <c r="J32" s="7">
        <v>961128.55411181075</v>
      </c>
      <c r="K32" s="7">
        <f>IFERROR(VLOOKUP($B32-1,CDM!$V$4:$AJ$17,3,FALSE)/12,0)+IFERROR(VLOOKUP($B32,CDM!$V$41:$AJ$54,3,FALSE)/24,0)+IFERROR(VLOOKUP($B32,CDM!$V$41:$AJ$54,3,FALSE)/2*$C32/78,0)</f>
        <v>41216.528686143916</v>
      </c>
      <c r="L32" s="7">
        <f t="shared" si="2"/>
        <v>1002345.0827979547</v>
      </c>
      <c r="M32" s="7">
        <f>IFERROR(HLOOKUP(B32-1,'EV Forecast VRZ'!$F$124:$T$130,3,FALSE)/12,0)+IFERROR(((HLOOKUP(B32,'EV Forecast VRZ'!$F$116:$T$122,3,FALSE)-HLOOKUP(B32-1,'EV Forecast VRZ'!$F$124:$T$130,3,FALSE)))*C32/78,0)</f>
        <v>1301.2616018698504</v>
      </c>
      <c r="N32" s="7"/>
      <c r="O32" s="7">
        <f t="shared" si="3"/>
        <v>1001043.8211960848</v>
      </c>
      <c r="P32" s="7">
        <v>24142415.593045317</v>
      </c>
      <c r="Q32" s="7">
        <f>IFERROR(VLOOKUP($B32-1,CDM!$V$4:$AJ$17,4,FALSE)/12,0)+IFERROR(VLOOKUP($B32,CDM!$V$41:$AJ$54,4,FALSE)/24,0)+IFERROR(VLOOKUP($B32,CDM!$V$41:$AJ$54,4,FALSE)/2*$C32/78,0)</f>
        <v>1014616.6528270057</v>
      </c>
      <c r="R32" s="7">
        <f t="shared" si="4"/>
        <v>25157032.245872322</v>
      </c>
      <c r="S32" s="7">
        <f>IFERROR(HLOOKUP(B32-1,'EV Forecast VRZ'!$F$124:$T$130,4,FALSE)/12,0)+IFERROR(((HLOOKUP(B32,'EV Forecast VRZ'!$F$116:$T$122,4,FALSE)-HLOOKUP(B32-1,'EV Forecast VRZ'!$F$124:$T$130,4,FALSE)))*C32/78,0)</f>
        <v>12240.59384615385</v>
      </c>
      <c r="T32" s="7"/>
      <c r="U32" s="7">
        <f t="shared" si="5"/>
        <v>25144791.652026169</v>
      </c>
      <c r="V32" s="7">
        <v>81703900.080108598</v>
      </c>
      <c r="W32" s="7">
        <f>IFERROR(VLOOKUP($B32-1,CDM!$V$4:$AJ$17,5,FALSE)/12,0)+IFERROR(VLOOKUP($B32,CDM!$V$41:$AJ$54,5,FALSE)/24,0)+IFERROR(VLOOKUP($B32,CDM!$V$41:$AJ$54,5,FALSE)/2*$C32/78,0)</f>
        <v>3553872.5124166794</v>
      </c>
      <c r="X32" s="7">
        <f t="shared" si="6"/>
        <v>85257772.592525274</v>
      </c>
      <c r="Y32" s="7">
        <f>IFERROR(HLOOKUP(B32-1,'EV Forecast VRZ'!$F$124:$T$130,5,FALSE)/12,0)+IFERROR(((HLOOKUP(B32,'EV Forecast VRZ'!$F$116:$T$122,5,FALSE)-HLOOKUP(B32-1,'EV Forecast VRZ'!$F$124:$T$130,5,FALSE)))*C32/78,0)</f>
        <v>5573.4595384615386</v>
      </c>
      <c r="Z32" s="7"/>
      <c r="AA32" s="7">
        <f t="shared" si="7"/>
        <v>85252199.132986814</v>
      </c>
      <c r="AB32" s="7">
        <v>6085122.4111998128</v>
      </c>
      <c r="AC32" s="7">
        <f>IFERROR(VLOOKUP($B32-1,CDM!$V$4:$AJ$17,6,FALSE)/12,0)+IFERROR(VLOOKUP($B32,CDM!$V$41:$AJ$54,6,FALSE)/24,0)+IFERROR(VLOOKUP($B32,CDM!$V$41:$AJ$54,6,FALSE)/2*$C32/78,0)</f>
        <v>168253.78903840313</v>
      </c>
      <c r="AD32" s="7">
        <f t="shared" si="8"/>
        <v>6253376.2002382157</v>
      </c>
      <c r="AE32" s="7">
        <f>IFERROR(HLOOKUP(B32-1,'EV Forecast VRZ'!$F$124:$T$130,6,FALSE)/12,0)+IFERROR(((HLOOKUP(B32,'EV Forecast VRZ'!$F$116:$T$122,6,FALSE)-HLOOKUP(B32-1,'EV Forecast VRZ'!$F$124:$T$130,6,FALSE)))*C32/78,0)</f>
        <v>872.79892307692307</v>
      </c>
      <c r="AF32" s="7">
        <f t="shared" si="9"/>
        <v>6252503.4013151387</v>
      </c>
      <c r="AG32" s="7">
        <v>19522591.565550342</v>
      </c>
      <c r="AH32" s="7">
        <f>IFERROR(VLOOKUP($B32-1,CDM!$V$4:$AJ$17,7,FALSE)/12,0)+IFERROR(VLOOKUP($B32,CDM!$V$41:$AJ$54,7,FALSE)/24,0)+IFERROR(VLOOKUP($B32,CDM!$V$41:$AJ$54,7,FALSE)/2*$C32/78,0)</f>
        <v>1374273.8821609232</v>
      </c>
      <c r="AI32" s="7">
        <f t="shared" si="10"/>
        <v>20896865.447711267</v>
      </c>
      <c r="AJ32" s="7">
        <f>IFERROR(HLOOKUP(B32-1,'EV Forecast VRZ'!$F$124:$T$130,7,FALSE)/12,0)+IFERROR(((HLOOKUP(B32,'EV Forecast VRZ'!$F$116:$T$122,7,FALSE)-HLOOKUP(B32-1,'EV Forecast VRZ'!$F$124:$T$130,7,FALSE)))*C32/78,0)</f>
        <v>0</v>
      </c>
      <c r="AK32" s="7">
        <f t="shared" si="11"/>
        <v>20896865.447711267</v>
      </c>
      <c r="AL32" s="7">
        <v>1014468.4506773517</v>
      </c>
      <c r="AM32" s="7">
        <v>20091.528334287344</v>
      </c>
      <c r="AN32" s="7">
        <v>388313.00324365578</v>
      </c>
      <c r="AO32" s="5">
        <v>201737.76</v>
      </c>
      <c r="AP32" s="5">
        <v>15661.56</v>
      </c>
      <c r="AQ32" s="5">
        <v>32304</v>
      </c>
      <c r="AR32" s="5">
        <v>3636.17</v>
      </c>
      <c r="AS32" s="544">
        <f t="shared" si="115"/>
        <v>60</v>
      </c>
      <c r="AT32" s="557">
        <v>109524.5</v>
      </c>
      <c r="AU32" s="557">
        <v>1570.8333333333328</v>
      </c>
      <c r="AV32" s="557">
        <v>9093.75</v>
      </c>
      <c r="AW32" s="557">
        <v>1058.5</v>
      </c>
      <c r="AX32" s="557">
        <v>4.4166666666666687</v>
      </c>
      <c r="AY32" s="557">
        <v>3.5833333333333344</v>
      </c>
      <c r="AZ32" s="557">
        <v>30915.75</v>
      </c>
      <c r="BA32" s="557">
        <v>439</v>
      </c>
      <c r="BB32" s="557">
        <v>817.5</v>
      </c>
      <c r="BC32" s="560">
        <v>41659739.647656202</v>
      </c>
      <c r="BD32" s="560">
        <f>IFERROR(VLOOKUP($B32-1,CDM!$V$4:$AJ$17,11,FALSE)/12,0)+IFERROR(VLOOKUP($B32,CDM!$V$41:$AJ$54,11,FALSE)/24,0)+IFERROR(VLOOKUP($B32,CDM!$V$41:$AJ$54,11,FALSE)/2*$C32/78,0)</f>
        <v>1827319.8619938579</v>
      </c>
      <c r="BE32" s="560">
        <f t="shared" si="67"/>
        <v>43487059.509650059</v>
      </c>
      <c r="BF32" s="560">
        <f>IFERROR(HLOOKUP(B32-1,'EV Forecast WRZ'!$F$124:$T$130,2,FALSE)/12,0)+IFERROR(((HLOOKUP(B32,'EV Forecast WRZ'!$F$116:$T$122,2,FALSE)-HLOOKUP(B32-1,'EV Forecast WRZ'!$F$124:$T$130,2,FALSE)))*C32/78,0)</f>
        <v>27746.701666666668</v>
      </c>
      <c r="BG32" s="560"/>
      <c r="BH32" s="560">
        <f t="shared" si="13"/>
        <v>43459312.807983391</v>
      </c>
      <c r="BI32" s="560">
        <v>7810699.477855375</v>
      </c>
      <c r="BJ32" s="560">
        <f>IFERROR(VLOOKUP($B32-1,CDM!$V$4:$AJ$17,12,FALSE)/12,0)+IFERROR(VLOOKUP($B32,CDM!$V$41:$AJ$54,12,FALSE)/24,0)+IFERROR(VLOOKUP($B32,CDM!$V$41:$AJ$54,12,FALSE)/2*$C32/78,0)</f>
        <v>183253.04601752263</v>
      </c>
      <c r="BK32" s="560">
        <f t="shared" si="14"/>
        <v>7993952.523872898</v>
      </c>
      <c r="BL32" s="560">
        <f>IFERROR(HLOOKUP(B32-1,'EV Forecast WRZ'!$F$124:$T$130,3,FALSE)/12,0)+IFERROR(((HLOOKUP(B32,'EV Forecast WRZ'!$F$116:$T$122,3,FALSE)-HLOOKUP(B32-1,'EV Forecast WRZ'!$F$124:$T$130,3,FALSE)))*C32/78,0)</f>
        <v>3592.1458974358975</v>
      </c>
      <c r="BM32" s="560"/>
      <c r="BN32" s="560">
        <f t="shared" si="15"/>
        <v>7990360.377975462</v>
      </c>
      <c r="BO32" s="560">
        <v>28570245.456619631</v>
      </c>
      <c r="BP32" s="560">
        <f>IFERROR(VLOOKUP($B32-1,CDM!$V$4:$AJ$17,13,FALSE)/12,0)+IFERROR(VLOOKUP($B32,CDM!$V$41:$AJ$54,13,FALSE)/24,0)+IFERROR(VLOOKUP($B32,CDM!$V$41:$AJ$54,13,FALSE)/2*$C32/78,0)</f>
        <v>1060166.5663537695</v>
      </c>
      <c r="BQ32" s="560">
        <f t="shared" si="16"/>
        <v>29630412.0229734</v>
      </c>
      <c r="BR32" s="560">
        <f>IFERROR(HLOOKUP(B32-1,'EV Forecast WRZ'!$F$124:$T$130,4,FALSE)/12,0)+IFERROR(((HLOOKUP(B32,'EV Forecast WRZ'!$F$116:$T$122,4,FALSE)-HLOOKUP(B32-1,'EV Forecast WRZ'!$F$124:$T$130,4,FALSE)))*C32/78,0)</f>
        <v>1643.0041153846155</v>
      </c>
      <c r="BS32" s="560"/>
      <c r="BT32" s="560">
        <f t="shared" si="17"/>
        <v>29628769.018858016</v>
      </c>
      <c r="BU32" s="560">
        <v>6154325.1108968183</v>
      </c>
      <c r="BV32" s="560">
        <f>IFERROR(VLOOKUP($B32-1,CDM!$V$4:$AJ$17,14,FALSE)/12,0)+IFERROR(VLOOKUP($B32,CDM!$V$41:$AJ$54,14,FALSE)/24,0)+IFERROR(VLOOKUP($B32,CDM!$V$41:$AJ$54,14,FALSE)/2*$C32/78,0)</f>
        <v>238348.93314443575</v>
      </c>
      <c r="BW32" s="560">
        <f t="shared" si="18"/>
        <v>6392674.0440412536</v>
      </c>
      <c r="BX32" s="560">
        <f>IFERROR(HLOOKUP(B32-1,'EV Forecast WRZ'!$F$124:$T$130,5,FALSE)/12,0)+IFERROR(((HLOOKUP(B32,'EV Forecast WRZ'!$F$116:$T$122,5,FALSE)-HLOOKUP(B32-1,'EV Forecast WRZ'!$F$124:$T$130,5,FALSE)))*C32/78,0)</f>
        <v>285.761141025641</v>
      </c>
      <c r="BY32" s="560">
        <f t="shared" si="68"/>
        <v>6392388.2829002282</v>
      </c>
      <c r="BZ32" s="560">
        <v>232318.9592500478</v>
      </c>
      <c r="CA32" s="560">
        <v>2390.3037702683605</v>
      </c>
      <c r="CB32" s="560">
        <v>48555.978572795095</v>
      </c>
      <c r="CC32" s="5">
        <v>74089.5</v>
      </c>
      <c r="CD32" s="5">
        <v>9480.67</v>
      </c>
      <c r="CE32" s="5">
        <v>795.86</v>
      </c>
      <c r="CF32" s="544">
        <f t="shared" si="116"/>
        <v>7.25</v>
      </c>
      <c r="CG32" s="565">
        <v>40112.83333333335</v>
      </c>
      <c r="CH32" s="565">
        <v>2247.3333333333344</v>
      </c>
      <c r="CI32" s="565">
        <v>373.25</v>
      </c>
      <c r="CJ32" s="565">
        <v>2.5833333333333344</v>
      </c>
      <c r="CK32" s="565">
        <v>12065.333333333338</v>
      </c>
      <c r="CL32" s="565">
        <v>37.41666666666665</v>
      </c>
      <c r="CM32" s="565">
        <v>377.25</v>
      </c>
      <c r="CN32" s="46">
        <f>Weather!C56</f>
        <v>4.9668995859213254</v>
      </c>
      <c r="CO32" s="46">
        <f>Weather!D56</f>
        <v>75.365513833992097</v>
      </c>
      <c r="CP32" s="46">
        <f>Weather!E56</f>
        <v>0.19999999999999574</v>
      </c>
      <c r="CQ32" s="46">
        <f>Weather!F56</f>
        <v>132.59861424807079</v>
      </c>
      <c r="CR32" s="46">
        <f>Weather!G56</f>
        <v>0</v>
      </c>
      <c r="CS32" s="46">
        <f>Weather!H56</f>
        <v>194.39861424807077</v>
      </c>
      <c r="CT32" s="46">
        <f>Weather!I56</f>
        <v>0</v>
      </c>
      <c r="CU32" s="46">
        <f>Weather!J56</f>
        <v>256.39861424807077</v>
      </c>
      <c r="CV32" s="46">
        <f>Weather!K56</f>
        <v>0</v>
      </c>
      <c r="CW32" s="46">
        <f>Weather!L56</f>
        <v>318.39861424807077</v>
      </c>
      <c r="CX32" s="46">
        <f>Weather!M56</f>
        <v>0</v>
      </c>
      <c r="CY32" s="46">
        <f>Weather!N56</f>
        <v>380.39861424807083</v>
      </c>
      <c r="CZ32" s="46">
        <f>Weather!O56</f>
        <v>0</v>
      </c>
      <c r="DA32" s="46">
        <f>Weather!P56</f>
        <v>442.39861424807088</v>
      </c>
      <c r="DB32" s="243">
        <f>'Economic Data'!D58</f>
        <v>7249.1</v>
      </c>
      <c r="DC32" s="243">
        <f>'Economic Data'!E58</f>
        <v>7338.7</v>
      </c>
      <c r="DD32" s="243">
        <f>'Economic Data'!F58</f>
        <v>218.7</v>
      </c>
      <c r="DE32" s="243">
        <f>'Economic Data'!G58</f>
        <v>223.5</v>
      </c>
      <c r="DF32" s="243">
        <f>'Economic Data'!H58</f>
        <v>35.1</v>
      </c>
      <c r="DG32" s="243">
        <f>'Economic Data'!I58</f>
        <v>35.1</v>
      </c>
      <c r="DH32" s="243">
        <f>'Economic Data'!J58</f>
        <v>789531.6</v>
      </c>
      <c r="DI32" s="243">
        <f>'Economic Data'!K58</f>
        <v>608429.30000000005</v>
      </c>
      <c r="DJ32" s="243">
        <f>'Economic Data'!L58</f>
        <v>95137.5</v>
      </c>
      <c r="DK32" s="243">
        <f>'Economic Data'!M58</f>
        <v>31658.2</v>
      </c>
      <c r="DL32" s="243">
        <f>'Economic Data'!N58</f>
        <v>794512</v>
      </c>
      <c r="DM32" s="243">
        <f>'Economic Data'!O58</f>
        <v>96068</v>
      </c>
      <c r="DN32" s="243">
        <f>'Economic Data'!P58</f>
        <v>19709</v>
      </c>
      <c r="DO32" s="243">
        <f>'Economic Data'!Q58</f>
        <v>611875</v>
      </c>
      <c r="DP32" s="243">
        <f>'Economic Data'!R58</f>
        <v>31802</v>
      </c>
      <c r="DQ32">
        <v>31</v>
      </c>
      <c r="DR32">
        <v>21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1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f t="shared" si="66"/>
        <v>31</v>
      </c>
      <c r="EI32">
        <v>0</v>
      </c>
      <c r="EJ32">
        <v>0</v>
      </c>
      <c r="EK32">
        <v>0</v>
      </c>
      <c r="EL32">
        <v>0</v>
      </c>
      <c r="EM32" s="47">
        <f t="shared" si="69"/>
        <v>0</v>
      </c>
      <c r="EN32" s="47">
        <f t="shared" si="70"/>
        <v>0</v>
      </c>
      <c r="EO32" s="47">
        <f t="shared" si="71"/>
        <v>0</v>
      </c>
      <c r="EP32" s="47">
        <f t="shared" si="72"/>
        <v>0</v>
      </c>
      <c r="EQ32" s="47">
        <f t="shared" si="73"/>
        <v>0</v>
      </c>
      <c r="ER32" s="47">
        <f t="shared" si="74"/>
        <v>0</v>
      </c>
      <c r="ES32" s="47">
        <f t="shared" si="75"/>
        <v>0</v>
      </c>
      <c r="ET32" s="47">
        <f t="shared" si="76"/>
        <v>0</v>
      </c>
      <c r="EU32" s="47">
        <f t="shared" si="77"/>
        <v>0</v>
      </c>
      <c r="EV32" s="47">
        <f t="shared" si="78"/>
        <v>0</v>
      </c>
      <c r="EW32" s="47">
        <f t="shared" si="79"/>
        <v>0</v>
      </c>
      <c r="EX32" s="47">
        <f t="shared" si="80"/>
        <v>0</v>
      </c>
      <c r="EY32" s="47">
        <f t="shared" si="81"/>
        <v>0</v>
      </c>
      <c r="EZ32" s="47">
        <f t="shared" si="82"/>
        <v>0</v>
      </c>
      <c r="FA32" s="47">
        <f t="shared" si="83"/>
        <v>0</v>
      </c>
      <c r="FB32" s="47">
        <f t="shared" si="84"/>
        <v>0</v>
      </c>
      <c r="FC32" s="47">
        <f t="shared" si="85"/>
        <v>0</v>
      </c>
      <c r="FD32" s="47">
        <f t="shared" si="86"/>
        <v>0</v>
      </c>
      <c r="FE32" s="47">
        <f t="shared" si="87"/>
        <v>0</v>
      </c>
      <c r="FF32" s="47">
        <f t="shared" si="88"/>
        <v>0</v>
      </c>
      <c r="FG32" s="47">
        <f t="shared" si="89"/>
        <v>0</v>
      </c>
      <c r="FH32" s="47">
        <f t="shared" si="90"/>
        <v>0</v>
      </c>
      <c r="FI32" s="47">
        <f t="shared" si="91"/>
        <v>0</v>
      </c>
      <c r="FJ32" s="47">
        <f t="shared" si="92"/>
        <v>0</v>
      </c>
      <c r="FK32" s="47">
        <f t="shared" si="93"/>
        <v>0</v>
      </c>
      <c r="FL32" s="47">
        <f t="shared" si="94"/>
        <v>0</v>
      </c>
      <c r="FM32" s="47">
        <f t="shared" si="95"/>
        <v>0</v>
      </c>
      <c r="FN32" s="47">
        <f t="shared" si="96"/>
        <v>0</v>
      </c>
      <c r="FO32" s="546">
        <f t="shared" si="97"/>
        <v>951.75913330317519</v>
      </c>
      <c r="FP32" s="546">
        <f t="shared" si="98"/>
        <v>638.09766544166894</v>
      </c>
      <c r="FQ32" s="546">
        <f t="shared" si="99"/>
        <v>2766.4090442196371</v>
      </c>
      <c r="FR32" s="546">
        <f t="shared" si="100"/>
        <v>80545.840899882169</v>
      </c>
      <c r="FS32" s="546">
        <f t="shared" si="101"/>
        <v>1415858.7623180859</v>
      </c>
      <c r="FT32" s="546">
        <f t="shared" si="102"/>
        <v>5831683.3807566306</v>
      </c>
      <c r="FU32" s="546">
        <f t="shared" si="103"/>
        <v>32.813968630143265</v>
      </c>
      <c r="FV32" s="546">
        <f t="shared" si="104"/>
        <v>45.766579349173902</v>
      </c>
      <c r="FW32" s="546">
        <f t="shared" si="105"/>
        <v>475.00061558856976</v>
      </c>
      <c r="FX32" s="546">
        <f t="shared" si="106"/>
        <v>1084.118370504453</v>
      </c>
      <c r="FY32" s="546">
        <f t="shared" si="107"/>
        <v>3557.0835911626641</v>
      </c>
      <c r="FZ32" s="546">
        <f t="shared" si="108"/>
        <v>79384.89490414843</v>
      </c>
      <c r="GA32" s="546">
        <f t="shared" si="109"/>
        <v>89929.919709695881</v>
      </c>
      <c r="GB32" s="546">
        <f t="shared" si="110"/>
        <v>19.255080057192593</v>
      </c>
      <c r="GC32" s="546">
        <f t="shared" si="111"/>
        <v>63.883396978219018</v>
      </c>
      <c r="GD32" s="546">
        <f t="shared" si="112"/>
        <v>128.7103474427968</v>
      </c>
    </row>
    <row r="33" spans="1:186">
      <c r="A33" s="4">
        <v>43313</v>
      </c>
      <c r="B33" s="6">
        <v>2018</v>
      </c>
      <c r="C33" s="5">
        <v>8</v>
      </c>
      <c r="D33" s="7">
        <v>98184402.805218473</v>
      </c>
      <c r="E33" s="7">
        <f>IFERROR(VLOOKUP($B33-1,CDM!$V$4:$AJ$17,2,FALSE)/12,0)+IFERROR(VLOOKUP($B33,CDM!$V$41:$AJ$54,2,FALSE)/24,0)+IFERROR(VLOOKUP($B33,CDM!$V$41:$AJ$54,2,FALSE)/2*$C33/78,0)</f>
        <v>3661109.4171639769</v>
      </c>
      <c r="F33" s="7">
        <f t="shared" si="0"/>
        <v>101845512.22238246</v>
      </c>
      <c r="G33" s="7">
        <f>IFERROR(HLOOKUP(B33-1,'EV Forecast VRZ'!$F$124:$T$130,2,FALSE)/12,0)+IFERROR(((HLOOKUP(B33,'EV Forecast VRZ'!$F$116:$T$122,2,FALSE)-HLOOKUP(B33-1,'EV Forecast VRZ'!$F$124:$T$130,2,FALSE)))*C33/78,0)</f>
        <v>103767.91791161406</v>
      </c>
      <c r="H33" s="7"/>
      <c r="I33" s="7">
        <f t="shared" si="1"/>
        <v>101741744.30447084</v>
      </c>
      <c r="J33" s="7">
        <v>969442.12606372824</v>
      </c>
      <c r="K33" s="7">
        <f>IFERROR(VLOOKUP($B33-1,CDM!$V$4:$AJ$17,3,FALSE)/12,0)+IFERROR(VLOOKUP($B33,CDM!$V$41:$AJ$54,3,FALSE)/24,0)+IFERROR(VLOOKUP($B33,CDM!$V$41:$AJ$54,3,FALSE)/2*$C33/78,0)</f>
        <v>41933.628143175272</v>
      </c>
      <c r="L33" s="7">
        <f t="shared" si="2"/>
        <v>1011375.7542069035</v>
      </c>
      <c r="M33" s="7">
        <f>IFERROR(HLOOKUP(B33-1,'EV Forecast VRZ'!$F$124:$T$130,3,FALSE)/12,0)+IFERROR(((HLOOKUP(B33,'EV Forecast VRZ'!$F$116:$T$122,3,FALSE)-HLOOKUP(B33-1,'EV Forecast VRZ'!$F$124:$T$130,3,FALSE)))*C33/78,0)</f>
        <v>1408.041575565429</v>
      </c>
      <c r="N33" s="7"/>
      <c r="O33" s="7">
        <f t="shared" si="3"/>
        <v>1009967.712631338</v>
      </c>
      <c r="P33" s="7">
        <v>24007737.816828944</v>
      </c>
      <c r="Q33" s="7">
        <f>IFERROR(VLOOKUP($B33-1,CDM!$V$4:$AJ$17,4,FALSE)/12,0)+IFERROR(VLOOKUP($B33,CDM!$V$41:$AJ$54,4,FALSE)/24,0)+IFERROR(VLOOKUP($B33,CDM!$V$41:$AJ$54,4,FALSE)/2*$C33/78,0)</f>
        <v>1037949.7267621732</v>
      </c>
      <c r="R33" s="7">
        <f t="shared" si="4"/>
        <v>25045687.543591116</v>
      </c>
      <c r="S33" s="7">
        <f>IFERROR(HLOOKUP(B33-1,'EV Forecast VRZ'!$F$124:$T$130,4,FALSE)/12,0)+IFERROR(((HLOOKUP(B33,'EV Forecast VRZ'!$F$116:$T$122,4,FALSE)-HLOOKUP(B33-1,'EV Forecast VRZ'!$F$124:$T$130,4,FALSE)))*C33/78,0)</f>
        <v>13245.474871794875</v>
      </c>
      <c r="T33" s="7"/>
      <c r="U33" s="7">
        <f t="shared" si="5"/>
        <v>25032442.06871932</v>
      </c>
      <c r="V33" s="7">
        <v>83624825.636671513</v>
      </c>
      <c r="W33" s="7">
        <f>IFERROR(VLOOKUP($B33-1,CDM!$V$4:$AJ$17,5,FALSE)/12,0)+IFERROR(VLOOKUP($B33,CDM!$V$41:$AJ$54,5,FALSE)/24,0)+IFERROR(VLOOKUP($B33,CDM!$V$41:$AJ$54,5,FALSE)/2*$C33/78,0)</f>
        <v>3625705.2073563156</v>
      </c>
      <c r="X33" s="7">
        <f t="shared" si="6"/>
        <v>87250530.844027832</v>
      </c>
      <c r="Y33" s="7">
        <f>IFERROR(HLOOKUP(B33-1,'EV Forecast VRZ'!$F$124:$T$130,5,FALSE)/12,0)+IFERROR(((HLOOKUP(B33,'EV Forecast VRZ'!$F$116:$T$122,5,FALSE)-HLOOKUP(B33-1,'EV Forecast VRZ'!$F$124:$T$130,5,FALSE)))*C33/78,0)</f>
        <v>6031.0406153846161</v>
      </c>
      <c r="Z33" s="7"/>
      <c r="AA33" s="7">
        <f t="shared" si="7"/>
        <v>87244499.803412452</v>
      </c>
      <c r="AB33" s="7">
        <v>6269747.8016892262</v>
      </c>
      <c r="AC33" s="7">
        <f>IFERROR(VLOOKUP($B33-1,CDM!$V$4:$AJ$17,6,FALSE)/12,0)+IFERROR(VLOOKUP($B33,CDM!$V$41:$AJ$54,6,FALSE)/24,0)+IFERROR(VLOOKUP($B33,CDM!$V$41:$AJ$54,6,FALSE)/2*$C33/78,0)</f>
        <v>173522.880682141</v>
      </c>
      <c r="AD33" s="7">
        <f t="shared" si="8"/>
        <v>6443270.6823713668</v>
      </c>
      <c r="AE33" s="7">
        <f>IFERROR(HLOOKUP(B33-1,'EV Forecast VRZ'!$F$124:$T$130,6,FALSE)/12,0)+IFERROR(((HLOOKUP(B33,'EV Forecast VRZ'!$F$116:$T$122,6,FALSE)-HLOOKUP(B33-1,'EV Forecast VRZ'!$F$124:$T$130,6,FALSE)))*C33/78,0)</f>
        <v>944.58143589743588</v>
      </c>
      <c r="AF33" s="7">
        <f t="shared" si="9"/>
        <v>6442326.1009354694</v>
      </c>
      <c r="AG33" s="7">
        <v>20458438.489649903</v>
      </c>
      <c r="AH33" s="7">
        <f>IFERROR(VLOOKUP($B33-1,CDM!$V$4:$AJ$17,7,FALSE)/12,0)+IFERROR(VLOOKUP($B33,CDM!$V$41:$AJ$54,7,FALSE)/24,0)+IFERROR(VLOOKUP($B33,CDM!$V$41:$AJ$54,7,FALSE)/2*$C33/78,0)</f>
        <v>1415233.4798998858</v>
      </c>
      <c r="AI33" s="7">
        <f t="shared" si="10"/>
        <v>21873671.96954979</v>
      </c>
      <c r="AJ33" s="7">
        <f>IFERROR(HLOOKUP(B33-1,'EV Forecast VRZ'!$F$124:$T$130,7,FALSE)/12,0)+IFERROR(((HLOOKUP(B33,'EV Forecast VRZ'!$F$116:$T$122,7,FALSE)-HLOOKUP(B33-1,'EV Forecast VRZ'!$F$124:$T$130,7,FALSE)))*C33/78,0)</f>
        <v>0</v>
      </c>
      <c r="AK33" s="7">
        <f t="shared" si="11"/>
        <v>21873671.96954979</v>
      </c>
      <c r="AL33" s="7">
        <v>1137357.8992558671</v>
      </c>
      <c r="AM33" s="7">
        <v>20119.385613432547</v>
      </c>
      <c r="AN33" s="7">
        <v>388313.00324365578</v>
      </c>
      <c r="AO33" s="5">
        <v>202833.46</v>
      </c>
      <c r="AP33" s="5">
        <v>15306.68</v>
      </c>
      <c r="AQ33" s="5">
        <v>33488</v>
      </c>
      <c r="AR33" s="5">
        <v>3638.66</v>
      </c>
      <c r="AS33" s="544">
        <f t="shared" si="115"/>
        <v>60</v>
      </c>
      <c r="AT33" s="557">
        <v>109634</v>
      </c>
      <c r="AU33" s="557">
        <v>1570.6666666666661</v>
      </c>
      <c r="AV33" s="557">
        <v>9102</v>
      </c>
      <c r="AW33" s="557">
        <v>1055</v>
      </c>
      <c r="AX33" s="557">
        <v>4.3333333333333357</v>
      </c>
      <c r="AY33" s="557">
        <v>3.6666666666666679</v>
      </c>
      <c r="AZ33" s="557">
        <v>30952</v>
      </c>
      <c r="BA33" s="557">
        <v>439</v>
      </c>
      <c r="BB33" s="557">
        <v>817</v>
      </c>
      <c r="BC33" s="560">
        <v>40703067.229988225</v>
      </c>
      <c r="BD33" s="560">
        <f>IFERROR(VLOOKUP($B33-1,CDM!$V$4:$AJ$17,11,FALSE)/12,0)+IFERROR(VLOOKUP($B33,CDM!$V$41:$AJ$54,11,FALSE)/24,0)+IFERROR(VLOOKUP($B33,CDM!$V$41:$AJ$54,11,FALSE)/2*$C33/78,0)</f>
        <v>1856923.7220652117</v>
      </c>
      <c r="BE33" s="560">
        <f t="shared" si="67"/>
        <v>42559990.952053435</v>
      </c>
      <c r="BF33" s="560">
        <f>IFERROR(HLOOKUP(B33-1,'EV Forecast WRZ'!$F$124:$T$130,2,FALSE)/12,0)+IFERROR(((HLOOKUP(B33,'EV Forecast WRZ'!$F$116:$T$122,2,FALSE)-HLOOKUP(B33-1,'EV Forecast WRZ'!$F$124:$T$130,2,FALSE)))*C33/78,0)</f>
        <v>29829.78333333334</v>
      </c>
      <c r="BG33" s="560"/>
      <c r="BH33" s="560">
        <f t="shared" si="13"/>
        <v>42530161.168720104</v>
      </c>
      <c r="BI33" s="560">
        <v>7890814.6008896204</v>
      </c>
      <c r="BJ33" s="560">
        <f>IFERROR(VLOOKUP($B33-1,CDM!$V$4:$AJ$17,12,FALSE)/12,0)+IFERROR(VLOOKUP($B33,CDM!$V$41:$AJ$54,12,FALSE)/24,0)+IFERROR(VLOOKUP($B33,CDM!$V$41:$AJ$54,12,FALSE)/2*$C33/78,0)</f>
        <v>186614.92358044657</v>
      </c>
      <c r="BK33" s="560">
        <f t="shared" si="14"/>
        <v>8077429.5244700667</v>
      </c>
      <c r="BL33" s="560">
        <f>IFERROR(HLOOKUP(B33-1,'EV Forecast WRZ'!$F$124:$T$130,3,FALSE)/12,0)+IFERROR(((HLOOKUP(B33,'EV Forecast WRZ'!$F$116:$T$122,3,FALSE)-HLOOKUP(B33-1,'EV Forecast WRZ'!$F$124:$T$130,3,FALSE)))*C33/78,0)</f>
        <v>3844.3410256410257</v>
      </c>
      <c r="BM33" s="560"/>
      <c r="BN33" s="560">
        <f t="shared" si="15"/>
        <v>8073585.1834444255</v>
      </c>
      <c r="BO33" s="560">
        <v>29842141.348543979</v>
      </c>
      <c r="BP33" s="560">
        <f>IFERROR(VLOOKUP($B33-1,CDM!$V$4:$AJ$17,13,FALSE)/12,0)+IFERROR(VLOOKUP($B33,CDM!$V$41:$AJ$54,13,FALSE)/24,0)+IFERROR(VLOOKUP($B33,CDM!$V$41:$AJ$54,13,FALSE)/2*$C33/78,0)</f>
        <v>1085544.0625312233</v>
      </c>
      <c r="BQ33" s="560">
        <f t="shared" si="16"/>
        <v>30927685.411075201</v>
      </c>
      <c r="BR33" s="560">
        <f>IFERROR(HLOOKUP(B33-1,'EV Forecast WRZ'!$F$124:$T$130,4,FALSE)/12,0)+IFERROR(((HLOOKUP(B33,'EV Forecast WRZ'!$F$116:$T$122,4,FALSE)-HLOOKUP(B33-1,'EV Forecast WRZ'!$F$124:$T$130,4,FALSE)))*C33/78,0)</f>
        <v>1757.0688461538462</v>
      </c>
      <c r="BS33" s="560"/>
      <c r="BT33" s="560">
        <f t="shared" si="17"/>
        <v>30925928.342229046</v>
      </c>
      <c r="BU33" s="560">
        <v>6120759.9614271941</v>
      </c>
      <c r="BV33" s="560">
        <f>IFERROR(VLOOKUP($B33-1,CDM!$V$4:$AJ$17,14,FALSE)/12,0)+IFERROR(VLOOKUP($B33,CDM!$V$41:$AJ$54,14,FALSE)/24,0)+IFERROR(VLOOKUP($B33,CDM!$V$41:$AJ$54,14,FALSE)/2*$C33/78,0)</f>
        <v>244054.35654839803</v>
      </c>
      <c r="BW33" s="560">
        <f t="shared" si="18"/>
        <v>6364814.3179755919</v>
      </c>
      <c r="BX33" s="560">
        <f>IFERROR(HLOOKUP(B33-1,'EV Forecast WRZ'!$F$124:$T$130,5,FALSE)/12,0)+IFERROR(((HLOOKUP(B33,'EV Forecast WRZ'!$F$116:$T$122,5,FALSE)-HLOOKUP(B33-1,'EV Forecast WRZ'!$F$124:$T$130,5,FALSE)))*C33/78,0)</f>
        <v>300.67858974358973</v>
      </c>
      <c r="BY33" s="560">
        <f t="shared" si="68"/>
        <v>6364513.6393858483</v>
      </c>
      <c r="BZ33" s="560">
        <v>264784.63745934569</v>
      </c>
      <c r="CA33" s="560">
        <v>2390.3037702683605</v>
      </c>
      <c r="CB33" s="560">
        <v>48133.977424909121</v>
      </c>
      <c r="CC33" s="5">
        <v>73595.38</v>
      </c>
      <c r="CD33" s="5">
        <v>9399.65</v>
      </c>
      <c r="CE33" s="5">
        <v>800.75</v>
      </c>
      <c r="CF33" s="544">
        <f t="shared" si="116"/>
        <v>7.25</v>
      </c>
      <c r="CG33" s="565">
        <v>40144.666666666686</v>
      </c>
      <c r="CH33" s="565">
        <v>2248.6666666666679</v>
      </c>
      <c r="CI33" s="565">
        <v>374</v>
      </c>
      <c r="CJ33" s="565">
        <v>2.6666666666666679</v>
      </c>
      <c r="CK33" s="565">
        <v>12088.666666666672</v>
      </c>
      <c r="CL33" s="565">
        <v>37.333333333333314</v>
      </c>
      <c r="CM33" s="565">
        <v>378</v>
      </c>
      <c r="CN33" s="46">
        <f>Weather!C57</f>
        <v>7.2291666666666679</v>
      </c>
      <c r="CO33" s="46">
        <f>Weather!D57</f>
        <v>73.474999999999994</v>
      </c>
      <c r="CP33" s="46">
        <f>Weather!E57</f>
        <v>0.90833333333333144</v>
      </c>
      <c r="CQ33" s="46">
        <f>Weather!F57</f>
        <v>129.1541666666667</v>
      </c>
      <c r="CR33" s="46">
        <f>Weather!G57</f>
        <v>0</v>
      </c>
      <c r="CS33" s="46">
        <f>Weather!H57</f>
        <v>190.24583333333339</v>
      </c>
      <c r="CT33" s="46">
        <f>Weather!I57</f>
        <v>0</v>
      </c>
      <c r="CU33" s="46">
        <f>Weather!J57</f>
        <v>252.24583333333339</v>
      </c>
      <c r="CV33" s="46">
        <f>Weather!K57</f>
        <v>0</v>
      </c>
      <c r="CW33" s="46">
        <f>Weather!L57</f>
        <v>314.24583333333334</v>
      </c>
      <c r="CX33" s="46">
        <f>Weather!M57</f>
        <v>0</v>
      </c>
      <c r="CY33" s="46">
        <f>Weather!N57</f>
        <v>376.24583333333334</v>
      </c>
      <c r="CZ33" s="46">
        <f>Weather!O57</f>
        <v>0</v>
      </c>
      <c r="DA33" s="46">
        <f>Weather!P57</f>
        <v>438.24583333333322</v>
      </c>
      <c r="DB33" s="243">
        <f>'Economic Data'!D59</f>
        <v>7257.7</v>
      </c>
      <c r="DC33" s="243">
        <f>'Economic Data'!E59</f>
        <v>7350.2</v>
      </c>
      <c r="DD33" s="243">
        <f>'Economic Data'!F59</f>
        <v>217.1</v>
      </c>
      <c r="DE33" s="243">
        <f>'Economic Data'!G59</f>
        <v>220.5</v>
      </c>
      <c r="DF33" s="243">
        <f>'Economic Data'!H59</f>
        <v>35.5</v>
      </c>
      <c r="DG33" s="243">
        <f>'Economic Data'!I59</f>
        <v>35.5</v>
      </c>
      <c r="DH33" s="243">
        <f>'Economic Data'!J59</f>
        <v>789531.6</v>
      </c>
      <c r="DI33" s="243">
        <f>'Economic Data'!K59</f>
        <v>608429.30000000005</v>
      </c>
      <c r="DJ33" s="243">
        <f>'Economic Data'!L59</f>
        <v>95137.5</v>
      </c>
      <c r="DK33" s="243">
        <f>'Economic Data'!M59</f>
        <v>31658.2</v>
      </c>
      <c r="DL33" s="243">
        <f>'Economic Data'!N59</f>
        <v>794512</v>
      </c>
      <c r="DM33" s="243">
        <f>'Economic Data'!O59</f>
        <v>96068</v>
      </c>
      <c r="DN33" s="243">
        <f>'Economic Data'!P59</f>
        <v>19709</v>
      </c>
      <c r="DO33" s="243">
        <f>'Economic Data'!Q59</f>
        <v>611875</v>
      </c>
      <c r="DP33" s="243">
        <f>'Economic Data'!R59</f>
        <v>31802</v>
      </c>
      <c r="DQ33">
        <v>31</v>
      </c>
      <c r="DR33">
        <v>22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1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f t="shared" si="66"/>
        <v>32</v>
      </c>
      <c r="EI33">
        <v>0</v>
      </c>
      <c r="EJ33">
        <v>0</v>
      </c>
      <c r="EK33">
        <v>0</v>
      </c>
      <c r="EL33">
        <v>0</v>
      </c>
      <c r="EM33" s="47">
        <f t="shared" si="69"/>
        <v>0</v>
      </c>
      <c r="EN33" s="47">
        <f t="shared" si="70"/>
        <v>0</v>
      </c>
      <c r="EO33" s="47">
        <f t="shared" si="71"/>
        <v>0</v>
      </c>
      <c r="EP33" s="47">
        <f t="shared" si="72"/>
        <v>0</v>
      </c>
      <c r="EQ33" s="47">
        <f t="shared" si="73"/>
        <v>0</v>
      </c>
      <c r="ER33" s="47">
        <f t="shared" si="74"/>
        <v>0</v>
      </c>
      <c r="ES33" s="47">
        <f t="shared" si="75"/>
        <v>0</v>
      </c>
      <c r="ET33" s="47">
        <f t="shared" si="76"/>
        <v>0</v>
      </c>
      <c r="EU33" s="47">
        <f t="shared" si="77"/>
        <v>0</v>
      </c>
      <c r="EV33" s="47">
        <f t="shared" si="78"/>
        <v>0</v>
      </c>
      <c r="EW33" s="47">
        <f t="shared" si="79"/>
        <v>0</v>
      </c>
      <c r="EX33" s="47">
        <f t="shared" si="80"/>
        <v>0</v>
      </c>
      <c r="EY33" s="47">
        <f t="shared" si="81"/>
        <v>0</v>
      </c>
      <c r="EZ33" s="47">
        <f t="shared" si="82"/>
        <v>0</v>
      </c>
      <c r="FA33" s="47">
        <f t="shared" si="83"/>
        <v>0</v>
      </c>
      <c r="FB33" s="47">
        <f t="shared" si="84"/>
        <v>0</v>
      </c>
      <c r="FC33" s="47">
        <f t="shared" si="85"/>
        <v>0</v>
      </c>
      <c r="FD33" s="47">
        <f t="shared" si="86"/>
        <v>0</v>
      </c>
      <c r="FE33" s="47">
        <f t="shared" si="87"/>
        <v>0</v>
      </c>
      <c r="FF33" s="47">
        <f t="shared" si="88"/>
        <v>0</v>
      </c>
      <c r="FG33" s="47">
        <f t="shared" si="89"/>
        <v>0</v>
      </c>
      <c r="FH33" s="47">
        <f t="shared" si="90"/>
        <v>0</v>
      </c>
      <c r="FI33" s="47">
        <f t="shared" si="91"/>
        <v>0</v>
      </c>
      <c r="FJ33" s="47">
        <f t="shared" si="92"/>
        <v>0</v>
      </c>
      <c r="FK33" s="47">
        <f t="shared" si="93"/>
        <v>0</v>
      </c>
      <c r="FL33" s="47">
        <f t="shared" si="94"/>
        <v>0</v>
      </c>
      <c r="FM33" s="47">
        <f t="shared" si="95"/>
        <v>0</v>
      </c>
      <c r="FN33" s="47">
        <f t="shared" si="96"/>
        <v>0</v>
      </c>
      <c r="FO33" s="546">
        <f t="shared" si="97"/>
        <v>928.01269956829844</v>
      </c>
      <c r="FP33" s="546">
        <f t="shared" si="98"/>
        <v>643.91495386687427</v>
      </c>
      <c r="FQ33" s="546">
        <f t="shared" si="99"/>
        <v>2751.6685941102082</v>
      </c>
      <c r="FR33" s="546">
        <f t="shared" si="100"/>
        <v>82701.924970642489</v>
      </c>
      <c r="FS33" s="546">
        <f t="shared" si="101"/>
        <v>1486908.619008776</v>
      </c>
      <c r="FT33" s="546">
        <f t="shared" si="102"/>
        <v>5965546.9007863048</v>
      </c>
      <c r="FU33" s="546">
        <f t="shared" si="103"/>
        <v>36.745861309636439</v>
      </c>
      <c r="FV33" s="546">
        <f t="shared" si="104"/>
        <v>45.830035565905575</v>
      </c>
      <c r="FW33" s="546">
        <f t="shared" si="105"/>
        <v>475.29131363972556</v>
      </c>
      <c r="FX33" s="546">
        <f t="shared" si="106"/>
        <v>1060.1655085454295</v>
      </c>
      <c r="FY33" s="546">
        <f t="shared" si="107"/>
        <v>3592.0973278105821</v>
      </c>
      <c r="FZ33" s="546">
        <f t="shared" si="108"/>
        <v>82694.346018917655</v>
      </c>
      <c r="GA33" s="546">
        <f t="shared" si="109"/>
        <v>99294.239047254581</v>
      </c>
      <c r="GB33" s="546">
        <f t="shared" si="110"/>
        <v>21.903543604975368</v>
      </c>
      <c r="GC33" s="546">
        <f t="shared" si="111"/>
        <v>64.02599384647398</v>
      </c>
      <c r="GD33" s="546">
        <f t="shared" si="112"/>
        <v>127.33856461616169</v>
      </c>
    </row>
    <row r="34" spans="1:186">
      <c r="A34" s="4">
        <v>43344</v>
      </c>
      <c r="B34" s="6">
        <v>2018</v>
      </c>
      <c r="C34" s="5">
        <v>9</v>
      </c>
      <c r="D34" s="7">
        <v>77321092.571608752</v>
      </c>
      <c r="E34" s="7">
        <f>IFERROR(VLOOKUP($B34-1,CDM!$V$4:$AJ$17,2,FALSE)/12,0)+IFERROR(VLOOKUP($B34,CDM!$V$41:$AJ$54,2,FALSE)/24,0)+IFERROR(VLOOKUP($B34,CDM!$V$41:$AJ$54,2,FALSE)/2*$C34/78,0)</f>
        <v>3723717.3929445785</v>
      </c>
      <c r="F34" s="7">
        <f t="shared" si="0"/>
        <v>81044809.964553326</v>
      </c>
      <c r="G34" s="7">
        <f>IFERROR(HLOOKUP(B34-1,'EV Forecast VRZ'!$F$124:$T$130,2,FALSE)/12,0)+IFERROR(((HLOOKUP(B34,'EV Forecast VRZ'!$F$116:$T$122,2,FALSE)-HLOOKUP(B34-1,'EV Forecast VRZ'!$F$124:$T$130,2,FALSE)))*C34/78,0)</f>
        <v>111637.24204048258</v>
      </c>
      <c r="H34" s="7"/>
      <c r="I34" s="7">
        <f t="shared" si="1"/>
        <v>80933172.722512841</v>
      </c>
      <c r="J34" s="7">
        <v>683917.70233734022</v>
      </c>
      <c r="K34" s="7">
        <f>IFERROR(VLOOKUP($B34-1,CDM!$V$4:$AJ$17,3,FALSE)/12,0)+IFERROR(VLOOKUP($B34,CDM!$V$41:$AJ$54,3,FALSE)/24,0)+IFERROR(VLOOKUP($B34,CDM!$V$41:$AJ$54,3,FALSE)/2*$C34/78,0)</f>
        <v>42650.727600206636</v>
      </c>
      <c r="L34" s="7">
        <f t="shared" si="2"/>
        <v>726568.42993754684</v>
      </c>
      <c r="M34" s="7">
        <f>IFERROR(HLOOKUP(B34-1,'EV Forecast VRZ'!$F$124:$T$130,3,FALSE)/12,0)+IFERROR(((HLOOKUP(B34,'EV Forecast VRZ'!$F$116:$T$122,3,FALSE)-HLOOKUP(B34-1,'EV Forecast VRZ'!$F$124:$T$130,3,FALSE)))*C34/78,0)</f>
        <v>1514.8215492610072</v>
      </c>
      <c r="N34" s="7"/>
      <c r="O34" s="7">
        <f t="shared" si="3"/>
        <v>725053.60838828585</v>
      </c>
      <c r="P34" s="7">
        <v>20753628.792348787</v>
      </c>
      <c r="Q34" s="7">
        <f>IFERROR(VLOOKUP($B34-1,CDM!$V$4:$AJ$17,4,FALSE)/12,0)+IFERROR(VLOOKUP($B34,CDM!$V$41:$AJ$54,4,FALSE)/24,0)+IFERROR(VLOOKUP($B34,CDM!$V$41:$AJ$54,4,FALSE)/2*$C34/78,0)</f>
        <v>1061282.8006973409</v>
      </c>
      <c r="R34" s="7">
        <f t="shared" si="4"/>
        <v>21814911.593046129</v>
      </c>
      <c r="S34" s="7">
        <f>IFERROR(HLOOKUP(B34-1,'EV Forecast VRZ'!$F$124:$T$130,4,FALSE)/12,0)+IFERROR(((HLOOKUP(B34,'EV Forecast VRZ'!$F$116:$T$122,4,FALSE)-HLOOKUP(B34-1,'EV Forecast VRZ'!$F$124:$T$130,4,FALSE)))*C34/78,0)</f>
        <v>14250.3558974359</v>
      </c>
      <c r="T34" s="7"/>
      <c r="U34" s="7">
        <f t="shared" si="5"/>
        <v>21800661.237148695</v>
      </c>
      <c r="V34" s="7">
        <v>77538035.593163431</v>
      </c>
      <c r="W34" s="7">
        <f>IFERROR(VLOOKUP($B34-1,CDM!$V$4:$AJ$17,5,FALSE)/12,0)+IFERROR(VLOOKUP($B34,CDM!$V$41:$AJ$54,5,FALSE)/24,0)+IFERROR(VLOOKUP($B34,CDM!$V$41:$AJ$54,5,FALSE)/2*$C34/78,0)</f>
        <v>3697537.9022959522</v>
      </c>
      <c r="X34" s="7">
        <f t="shared" si="6"/>
        <v>81235573.495459378</v>
      </c>
      <c r="Y34" s="7">
        <f>IFERROR(HLOOKUP(B34-1,'EV Forecast VRZ'!$F$124:$T$130,5,FALSE)/12,0)+IFERROR(((HLOOKUP(B34,'EV Forecast VRZ'!$F$116:$T$122,5,FALSE)-HLOOKUP(B34-1,'EV Forecast VRZ'!$F$124:$T$130,5,FALSE)))*C34/78,0)</f>
        <v>6488.6216923076936</v>
      </c>
      <c r="Z34" s="7"/>
      <c r="AA34" s="7">
        <f t="shared" si="7"/>
        <v>81229084.873767063</v>
      </c>
      <c r="AB34" s="7">
        <v>5786428.0438890802</v>
      </c>
      <c r="AC34" s="7">
        <f>IFERROR(VLOOKUP($B34-1,CDM!$V$4:$AJ$17,6,FALSE)/12,0)+IFERROR(VLOOKUP($B34,CDM!$V$41:$AJ$54,6,FALSE)/24,0)+IFERROR(VLOOKUP($B34,CDM!$V$41:$AJ$54,6,FALSE)/2*$C34/78,0)</f>
        <v>178791.97232587883</v>
      </c>
      <c r="AD34" s="7">
        <f t="shared" si="8"/>
        <v>5965220.0162149593</v>
      </c>
      <c r="AE34" s="7">
        <f>IFERROR(HLOOKUP(B34-1,'EV Forecast VRZ'!$F$124:$T$130,6,FALSE)/12,0)+IFERROR(((HLOOKUP(B34,'EV Forecast VRZ'!$F$116:$T$122,6,FALSE)-HLOOKUP(B34-1,'EV Forecast VRZ'!$F$124:$T$130,6,FALSE)))*C34/78,0)</f>
        <v>1016.3639487179487</v>
      </c>
      <c r="AF34" s="7">
        <f t="shared" si="9"/>
        <v>5964203.6522662416</v>
      </c>
      <c r="AG34" s="7">
        <v>19785223.435566645</v>
      </c>
      <c r="AH34" s="7">
        <f>IFERROR(VLOOKUP($B34-1,CDM!$V$4:$AJ$17,7,FALSE)/12,0)+IFERROR(VLOOKUP($B34,CDM!$V$41:$AJ$54,7,FALSE)/24,0)+IFERROR(VLOOKUP($B34,CDM!$V$41:$AJ$54,7,FALSE)/2*$C34/78,0)</f>
        <v>1456193.0776388487</v>
      </c>
      <c r="AI34" s="7">
        <f t="shared" si="10"/>
        <v>21241416.513205495</v>
      </c>
      <c r="AJ34" s="7">
        <f>IFERROR(HLOOKUP(B34-1,'EV Forecast VRZ'!$F$124:$T$130,7,FALSE)/12,0)+IFERROR(((HLOOKUP(B34,'EV Forecast VRZ'!$F$116:$T$122,7,FALSE)-HLOOKUP(B34-1,'EV Forecast VRZ'!$F$124:$T$130,7,FALSE)))*C34/78,0)</f>
        <v>0</v>
      </c>
      <c r="AK34" s="7">
        <f t="shared" si="11"/>
        <v>21241416.513205495</v>
      </c>
      <c r="AL34" s="7">
        <v>1235728.8780767028</v>
      </c>
      <c r="AM34" s="7">
        <v>19996.145773707311</v>
      </c>
      <c r="AN34" s="7">
        <v>387974.00305285247</v>
      </c>
      <c r="AO34" s="5">
        <v>207263.72</v>
      </c>
      <c r="AP34" s="5">
        <v>14929.17</v>
      </c>
      <c r="AQ34" s="5">
        <v>36838</v>
      </c>
      <c r="AR34" s="5">
        <v>3581.91</v>
      </c>
      <c r="AS34" s="544">
        <f t="shared" si="115"/>
        <v>60</v>
      </c>
      <c r="AT34" s="557">
        <v>109743.5</v>
      </c>
      <c r="AU34" s="557">
        <v>1570.4999999999993</v>
      </c>
      <c r="AV34" s="557">
        <v>9110.25</v>
      </c>
      <c r="AW34" s="557">
        <v>1051.5</v>
      </c>
      <c r="AX34" s="557">
        <v>4.2500000000000027</v>
      </c>
      <c r="AY34" s="557">
        <v>3.7500000000000013</v>
      </c>
      <c r="AZ34" s="557">
        <v>30988.25</v>
      </c>
      <c r="BA34" s="557">
        <v>439</v>
      </c>
      <c r="BB34" s="557">
        <v>816.5</v>
      </c>
      <c r="BC34" s="560">
        <v>31942199.854438491</v>
      </c>
      <c r="BD34" s="560">
        <f>IFERROR(VLOOKUP($B34-1,CDM!$V$4:$AJ$17,11,FALSE)/12,0)+IFERROR(VLOOKUP($B34,CDM!$V$41:$AJ$54,11,FALSE)/24,0)+IFERROR(VLOOKUP($B34,CDM!$V$41:$AJ$54,11,FALSE)/2*$C34/78,0)</f>
        <v>1886527.5821365658</v>
      </c>
      <c r="BE34" s="560">
        <f t="shared" si="67"/>
        <v>33828727.436575055</v>
      </c>
      <c r="BF34" s="560">
        <f>IFERROR(HLOOKUP(B34-1,'EV Forecast WRZ'!$F$124:$T$130,2,FALSE)/12,0)+IFERROR(((HLOOKUP(B34,'EV Forecast WRZ'!$F$116:$T$122,2,FALSE)-HLOOKUP(B34-1,'EV Forecast WRZ'!$F$124:$T$130,2,FALSE)))*C34/78,0)</f>
        <v>31912.865000000005</v>
      </c>
      <c r="BG34" s="560"/>
      <c r="BH34" s="560">
        <f t="shared" si="13"/>
        <v>33796814.571575053</v>
      </c>
      <c r="BI34" s="560">
        <v>6859369.0010044193</v>
      </c>
      <c r="BJ34" s="560">
        <f>IFERROR(VLOOKUP($B34-1,CDM!$V$4:$AJ$17,12,FALSE)/12,0)+IFERROR(VLOOKUP($B34,CDM!$V$41:$AJ$54,12,FALSE)/24,0)+IFERROR(VLOOKUP($B34,CDM!$V$41:$AJ$54,12,FALSE)/2*$C34/78,0)</f>
        <v>189976.80114337051</v>
      </c>
      <c r="BK34" s="560">
        <f t="shared" si="14"/>
        <v>7049345.8021477899</v>
      </c>
      <c r="BL34" s="560">
        <f>IFERROR(HLOOKUP(B34-1,'EV Forecast WRZ'!$F$124:$T$130,3,FALSE)/12,0)+IFERROR(((HLOOKUP(B34,'EV Forecast WRZ'!$F$116:$T$122,3,FALSE)-HLOOKUP(B34-1,'EV Forecast WRZ'!$F$124:$T$130,3,FALSE)))*C34/78,0)</f>
        <v>4096.5361538461539</v>
      </c>
      <c r="BM34" s="560"/>
      <c r="BN34" s="560">
        <f t="shared" si="15"/>
        <v>7045249.2659939434</v>
      </c>
      <c r="BO34" s="560">
        <v>29454586.456919841</v>
      </c>
      <c r="BP34" s="560">
        <f>IFERROR(VLOOKUP($B34-1,CDM!$V$4:$AJ$17,13,FALSE)/12,0)+IFERROR(VLOOKUP($B34,CDM!$V$41:$AJ$54,13,FALSE)/24,0)+IFERROR(VLOOKUP($B34,CDM!$V$41:$AJ$54,13,FALSE)/2*$C34/78,0)</f>
        <v>1110921.5587086773</v>
      </c>
      <c r="BQ34" s="560">
        <f t="shared" si="16"/>
        <v>30565508.01562852</v>
      </c>
      <c r="BR34" s="560">
        <f>IFERROR(HLOOKUP(B34-1,'EV Forecast WRZ'!$F$124:$T$130,4,FALSE)/12,0)+IFERROR(((HLOOKUP(B34,'EV Forecast WRZ'!$F$116:$T$122,4,FALSE)-HLOOKUP(B34-1,'EV Forecast WRZ'!$F$124:$T$130,4,FALSE)))*C34/78,0)</f>
        <v>1871.1335769230768</v>
      </c>
      <c r="BS34" s="560"/>
      <c r="BT34" s="560">
        <f t="shared" si="17"/>
        <v>30563636.882051598</v>
      </c>
      <c r="BU34" s="560">
        <v>6215289.3635486988</v>
      </c>
      <c r="BV34" s="560">
        <f>IFERROR(VLOOKUP($B34-1,CDM!$V$4:$AJ$17,14,FALSE)/12,0)+IFERROR(VLOOKUP($B34,CDM!$V$41:$AJ$54,14,FALSE)/24,0)+IFERROR(VLOOKUP($B34,CDM!$V$41:$AJ$54,14,FALSE)/2*$C34/78,0)</f>
        <v>249759.77995236032</v>
      </c>
      <c r="BW34" s="560">
        <f t="shared" si="18"/>
        <v>6465049.1435010592</v>
      </c>
      <c r="BX34" s="560">
        <f>IFERROR(HLOOKUP(B34-1,'EV Forecast WRZ'!$F$124:$T$130,5,FALSE)/12,0)+IFERROR(((HLOOKUP(B34,'EV Forecast WRZ'!$F$116:$T$122,5,FALSE)-HLOOKUP(B34-1,'EV Forecast WRZ'!$F$124:$T$130,5,FALSE)))*C34/78,0)</f>
        <v>315.59603846153846</v>
      </c>
      <c r="BY34" s="560">
        <f t="shared" si="68"/>
        <v>6464733.5474625975</v>
      </c>
      <c r="BZ34" s="560">
        <v>286314.59728333651</v>
      </c>
      <c r="CA34" s="560">
        <v>2390.3037702683605</v>
      </c>
      <c r="CB34" s="560">
        <v>48133.977424909121</v>
      </c>
      <c r="CC34" s="5">
        <v>75498.66</v>
      </c>
      <c r="CD34" s="5">
        <v>11015.82</v>
      </c>
      <c r="CE34" s="5">
        <v>800.85</v>
      </c>
      <c r="CF34" s="544">
        <f t="shared" si="116"/>
        <v>7.25</v>
      </c>
      <c r="CG34" s="565">
        <v>40176.500000000022</v>
      </c>
      <c r="CH34" s="565">
        <v>2250.0000000000014</v>
      </c>
      <c r="CI34" s="565">
        <v>374.75</v>
      </c>
      <c r="CJ34" s="565">
        <v>2.7500000000000013</v>
      </c>
      <c r="CK34" s="565">
        <v>12112.000000000005</v>
      </c>
      <c r="CL34" s="565">
        <v>37.249999999999979</v>
      </c>
      <c r="CM34" s="565">
        <v>378.75</v>
      </c>
      <c r="CN34" s="46">
        <f>Weather!C58</f>
        <v>92.370833333333337</v>
      </c>
      <c r="CO34" s="46">
        <f>Weather!D58</f>
        <v>33.737500000000011</v>
      </c>
      <c r="CP34" s="46">
        <f>Weather!E58</f>
        <v>59.1875</v>
      </c>
      <c r="CQ34" s="46">
        <f>Weather!F58</f>
        <v>60.55416666666666</v>
      </c>
      <c r="CR34" s="46">
        <f>Weather!G58</f>
        <v>33.279166666666669</v>
      </c>
      <c r="CS34" s="46">
        <f>Weather!H58</f>
        <v>94.645833333333329</v>
      </c>
      <c r="CT34" s="46">
        <f>Weather!I58</f>
        <v>13.695833333333338</v>
      </c>
      <c r="CU34" s="46">
        <f>Weather!J58</f>
        <v>135.06250000000003</v>
      </c>
      <c r="CV34" s="46">
        <f>Weather!K58</f>
        <v>2.1166666666666636</v>
      </c>
      <c r="CW34" s="46">
        <f>Weather!L58</f>
        <v>183.48333333333329</v>
      </c>
      <c r="CX34" s="46">
        <f>Weather!M58</f>
        <v>0</v>
      </c>
      <c r="CY34" s="46">
        <f>Weather!N58</f>
        <v>241.36666666666665</v>
      </c>
      <c r="CZ34" s="46">
        <f>Weather!O58</f>
        <v>0</v>
      </c>
      <c r="DA34" s="46">
        <f>Weather!P58</f>
        <v>301.3666666666665</v>
      </c>
      <c r="DB34" s="243">
        <f>'Economic Data'!D60</f>
        <v>7273.8</v>
      </c>
      <c r="DC34" s="243">
        <f>'Economic Data'!E60</f>
        <v>7316.6</v>
      </c>
      <c r="DD34" s="243">
        <f>'Economic Data'!F60</f>
        <v>215.6</v>
      </c>
      <c r="DE34" s="243">
        <f>'Economic Data'!G60</f>
        <v>216.3</v>
      </c>
      <c r="DF34" s="243">
        <f>'Economic Data'!H60</f>
        <v>36.6</v>
      </c>
      <c r="DG34" s="243">
        <f>'Economic Data'!I60</f>
        <v>36.6</v>
      </c>
      <c r="DH34" s="243">
        <f>'Economic Data'!J60</f>
        <v>789531.6</v>
      </c>
      <c r="DI34" s="243">
        <f>'Economic Data'!K60</f>
        <v>608429.30000000005</v>
      </c>
      <c r="DJ34" s="243">
        <f>'Economic Data'!L60</f>
        <v>95137.5</v>
      </c>
      <c r="DK34" s="243">
        <f>'Economic Data'!M60</f>
        <v>31658.2</v>
      </c>
      <c r="DL34" s="243">
        <f>'Economic Data'!N60</f>
        <v>794512</v>
      </c>
      <c r="DM34" s="243">
        <f>'Economic Data'!O60</f>
        <v>96068</v>
      </c>
      <c r="DN34" s="243">
        <f>'Economic Data'!P60</f>
        <v>19709</v>
      </c>
      <c r="DO34" s="243">
        <f>'Economic Data'!Q60</f>
        <v>611875</v>
      </c>
      <c r="DP34" s="243">
        <f>'Economic Data'!R60</f>
        <v>31802</v>
      </c>
      <c r="DQ34">
        <v>30</v>
      </c>
      <c r="DR34">
        <v>19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1</v>
      </c>
      <c r="EB34">
        <v>0</v>
      </c>
      <c r="EC34">
        <v>0</v>
      </c>
      <c r="ED34">
        <v>0</v>
      </c>
      <c r="EE34">
        <v>0</v>
      </c>
      <c r="EF34">
        <v>1</v>
      </c>
      <c r="EG34">
        <v>1</v>
      </c>
      <c r="EH34">
        <f t="shared" si="66"/>
        <v>33</v>
      </c>
      <c r="EI34">
        <v>0</v>
      </c>
      <c r="EJ34">
        <v>0</v>
      </c>
      <c r="EK34">
        <v>0</v>
      </c>
      <c r="EL34">
        <v>0</v>
      </c>
      <c r="EM34" s="47">
        <f t="shared" si="69"/>
        <v>0</v>
      </c>
      <c r="EN34" s="47">
        <f t="shared" si="70"/>
        <v>0</v>
      </c>
      <c r="EO34" s="47">
        <f t="shared" si="71"/>
        <v>0</v>
      </c>
      <c r="EP34" s="47">
        <f t="shared" si="72"/>
        <v>0</v>
      </c>
      <c r="EQ34" s="47">
        <f t="shared" si="73"/>
        <v>0</v>
      </c>
      <c r="ER34" s="47">
        <f t="shared" si="74"/>
        <v>0</v>
      </c>
      <c r="ES34" s="47">
        <f t="shared" si="75"/>
        <v>0</v>
      </c>
      <c r="ET34" s="47">
        <f t="shared" si="76"/>
        <v>0</v>
      </c>
      <c r="EU34" s="47">
        <f t="shared" si="77"/>
        <v>0</v>
      </c>
      <c r="EV34" s="47">
        <f t="shared" si="78"/>
        <v>0</v>
      </c>
      <c r="EW34" s="47">
        <f t="shared" si="79"/>
        <v>0</v>
      </c>
      <c r="EX34" s="47">
        <f t="shared" si="80"/>
        <v>0</v>
      </c>
      <c r="EY34" s="47">
        <f t="shared" si="81"/>
        <v>0</v>
      </c>
      <c r="EZ34" s="47">
        <f t="shared" si="82"/>
        <v>0</v>
      </c>
      <c r="FA34" s="47">
        <f t="shared" si="83"/>
        <v>0</v>
      </c>
      <c r="FB34" s="47">
        <f t="shared" si="84"/>
        <v>0</v>
      </c>
      <c r="FC34" s="47">
        <f t="shared" si="85"/>
        <v>0</v>
      </c>
      <c r="FD34" s="47">
        <f t="shared" si="86"/>
        <v>0</v>
      </c>
      <c r="FE34" s="47">
        <f t="shared" si="87"/>
        <v>0</v>
      </c>
      <c r="FF34" s="47">
        <f t="shared" si="88"/>
        <v>0</v>
      </c>
      <c r="FG34" s="47">
        <f t="shared" si="89"/>
        <v>0</v>
      </c>
      <c r="FH34" s="47">
        <f t="shared" si="90"/>
        <v>0</v>
      </c>
      <c r="FI34" s="47">
        <f t="shared" si="91"/>
        <v>0</v>
      </c>
      <c r="FJ34" s="47">
        <f t="shared" si="92"/>
        <v>0</v>
      </c>
      <c r="FK34" s="47">
        <f t="shared" si="93"/>
        <v>0</v>
      </c>
      <c r="FL34" s="47">
        <f t="shared" si="94"/>
        <v>0</v>
      </c>
      <c r="FM34" s="47">
        <f t="shared" si="95"/>
        <v>0</v>
      </c>
      <c r="FN34" s="47">
        <f t="shared" si="96"/>
        <v>0</v>
      </c>
      <c r="FO34" s="546">
        <f t="shared" si="97"/>
        <v>737.47577508019015</v>
      </c>
      <c r="FP34" s="546">
        <f t="shared" si="98"/>
        <v>462.63510343046619</v>
      </c>
      <c r="FQ34" s="546">
        <f t="shared" si="99"/>
        <v>2394.5458788777619</v>
      </c>
      <c r="FR34" s="546">
        <f t="shared" si="100"/>
        <v>77256.84593006123</v>
      </c>
      <c r="FS34" s="546">
        <f t="shared" si="101"/>
        <v>1403581.180285872</v>
      </c>
      <c r="FT34" s="546">
        <f t="shared" si="102"/>
        <v>5664377.7368547963</v>
      </c>
      <c r="FU34" s="546">
        <f t="shared" si="103"/>
        <v>39.877336670405811</v>
      </c>
      <c r="FV34" s="546">
        <f t="shared" si="104"/>
        <v>45.549307001611183</v>
      </c>
      <c r="FW34" s="546">
        <f t="shared" si="105"/>
        <v>475.16718071384258</v>
      </c>
      <c r="FX34" s="546">
        <f t="shared" si="106"/>
        <v>842.00284834604895</v>
      </c>
      <c r="FY34" s="546">
        <f t="shared" si="107"/>
        <v>3133.0425787323493</v>
      </c>
      <c r="FZ34" s="546">
        <f t="shared" si="108"/>
        <v>81562.396305879971</v>
      </c>
      <c r="GA34" s="546">
        <f t="shared" si="109"/>
        <v>104114.39901212232</v>
      </c>
      <c r="GB34" s="546">
        <f t="shared" si="110"/>
        <v>23.638919854965025</v>
      </c>
      <c r="GC34" s="546">
        <f t="shared" si="111"/>
        <v>64.169228732036558</v>
      </c>
      <c r="GD34" s="546">
        <f t="shared" si="112"/>
        <v>127.08640904266434</v>
      </c>
    </row>
    <row r="35" spans="1:186">
      <c r="A35" s="4">
        <v>43374</v>
      </c>
      <c r="B35" s="6">
        <v>2018</v>
      </c>
      <c r="C35" s="5">
        <v>10</v>
      </c>
      <c r="D35" s="7">
        <v>65214276.319920994</v>
      </c>
      <c r="E35" s="7">
        <f>IFERROR(VLOOKUP($B35-1,CDM!$V$4:$AJ$17,2,FALSE)/12,0)+IFERROR(VLOOKUP($B35,CDM!$V$41:$AJ$54,2,FALSE)/24,0)+IFERROR(VLOOKUP($B35,CDM!$V$41:$AJ$54,2,FALSE)/2*$C35/78,0)</f>
        <v>3786325.3687251806</v>
      </c>
      <c r="F35" s="7">
        <f t="shared" si="0"/>
        <v>69000601.688646168</v>
      </c>
      <c r="G35" s="7">
        <f>IFERROR(HLOOKUP(B35-1,'EV Forecast VRZ'!$F$124:$T$130,2,FALSE)/12,0)+IFERROR(((HLOOKUP(B35,'EV Forecast VRZ'!$F$116:$T$122,2,FALSE)-HLOOKUP(B35-1,'EV Forecast VRZ'!$F$124:$T$130,2,FALSE)))*C35/78,0)</f>
        <v>119506.56616935111</v>
      </c>
      <c r="H35" s="7"/>
      <c r="I35" s="7">
        <f t="shared" si="1"/>
        <v>68881095.122476816</v>
      </c>
      <c r="J35" s="7">
        <v>817269.26046556002</v>
      </c>
      <c r="K35" s="7">
        <f>IFERROR(VLOOKUP($B35-1,CDM!$V$4:$AJ$17,3,FALSE)/12,0)+IFERROR(VLOOKUP($B35,CDM!$V$41:$AJ$54,3,FALSE)/24,0)+IFERROR(VLOOKUP($B35,CDM!$V$41:$AJ$54,3,FALSE)/2*$C35/78,0)</f>
        <v>43367.827057237992</v>
      </c>
      <c r="L35" s="7">
        <f t="shared" si="2"/>
        <v>860637.08752279799</v>
      </c>
      <c r="M35" s="7">
        <f>IFERROR(HLOOKUP(B35-1,'EV Forecast VRZ'!$F$124:$T$130,3,FALSE)/12,0)+IFERROR(((HLOOKUP(B35,'EV Forecast VRZ'!$F$116:$T$122,3,FALSE)-HLOOKUP(B35-1,'EV Forecast VRZ'!$F$124:$T$130,3,FALSE)))*C35/78,0)</f>
        <v>1621.6015229565855</v>
      </c>
      <c r="N35" s="7"/>
      <c r="O35" s="7">
        <f t="shared" si="3"/>
        <v>859015.48599984136</v>
      </c>
      <c r="P35" s="7">
        <v>20054893.161419574</v>
      </c>
      <c r="Q35" s="7">
        <f>IFERROR(VLOOKUP($B35-1,CDM!$V$4:$AJ$17,4,FALSE)/12,0)+IFERROR(VLOOKUP($B35,CDM!$V$41:$AJ$54,4,FALSE)/24,0)+IFERROR(VLOOKUP($B35,CDM!$V$41:$AJ$54,4,FALSE)/2*$C35/78,0)</f>
        <v>1084615.8746325083</v>
      </c>
      <c r="R35" s="7">
        <f t="shared" si="4"/>
        <v>21139509.036052082</v>
      </c>
      <c r="S35" s="7">
        <f>IFERROR(HLOOKUP(B35-1,'EV Forecast VRZ'!$F$124:$T$130,4,FALSE)/12,0)+IFERROR(((HLOOKUP(B35,'EV Forecast VRZ'!$F$116:$T$122,4,FALSE)-HLOOKUP(B35-1,'EV Forecast VRZ'!$F$124:$T$130,4,FALSE)))*C35/78,0)</f>
        <v>15255.236923076929</v>
      </c>
      <c r="T35" s="7"/>
      <c r="U35" s="7">
        <f t="shared" si="5"/>
        <v>21124253.799129006</v>
      </c>
      <c r="V35" s="7">
        <v>75743049.096499681</v>
      </c>
      <c r="W35" s="7">
        <f>IFERROR(VLOOKUP($B35-1,CDM!$V$4:$AJ$17,5,FALSE)/12,0)+IFERROR(VLOOKUP($B35,CDM!$V$41:$AJ$54,5,FALSE)/24,0)+IFERROR(VLOOKUP($B35,CDM!$V$41:$AJ$54,5,FALSE)/2*$C35/78,0)</f>
        <v>3769370.5972355884</v>
      </c>
      <c r="X35" s="7">
        <f t="shared" si="6"/>
        <v>79512419.693735272</v>
      </c>
      <c r="Y35" s="7">
        <f>IFERROR(HLOOKUP(B35-1,'EV Forecast VRZ'!$F$124:$T$130,5,FALSE)/12,0)+IFERROR(((HLOOKUP(B35,'EV Forecast VRZ'!$F$116:$T$122,5,FALSE)-HLOOKUP(B35-1,'EV Forecast VRZ'!$F$124:$T$130,5,FALSE)))*C35/78,0)</f>
        <v>6946.2027692307702</v>
      </c>
      <c r="Z35" s="7"/>
      <c r="AA35" s="7">
        <f t="shared" si="7"/>
        <v>79505473.490966037</v>
      </c>
      <c r="AB35" s="7">
        <v>6514983.3005515039</v>
      </c>
      <c r="AC35" s="7">
        <f>IFERROR(VLOOKUP($B35-1,CDM!$V$4:$AJ$17,6,FALSE)/12,0)+IFERROR(VLOOKUP($B35,CDM!$V$41:$AJ$54,6,FALSE)/24,0)+IFERROR(VLOOKUP($B35,CDM!$V$41:$AJ$54,6,FALSE)/2*$C35/78,0)</f>
        <v>184061.06396961666</v>
      </c>
      <c r="AD35" s="7">
        <f t="shared" si="8"/>
        <v>6699044.3645211207</v>
      </c>
      <c r="AE35" s="7">
        <f>IFERROR(HLOOKUP(B35-1,'EV Forecast VRZ'!$F$124:$T$130,6,FALSE)/12,0)+IFERROR(((HLOOKUP(B35,'EV Forecast VRZ'!$F$116:$T$122,6,FALSE)-HLOOKUP(B35-1,'EV Forecast VRZ'!$F$124:$T$130,6,FALSE)))*C35/78,0)</f>
        <v>1088.1464615384616</v>
      </c>
      <c r="AF35" s="7">
        <f t="shared" si="9"/>
        <v>6697956.2180595826</v>
      </c>
      <c r="AG35" s="7">
        <v>22255781.009230189</v>
      </c>
      <c r="AH35" s="7">
        <f>IFERROR(VLOOKUP($B35-1,CDM!$V$4:$AJ$17,7,FALSE)/12,0)+IFERROR(VLOOKUP($B35,CDM!$V$41:$AJ$54,7,FALSE)/24,0)+IFERROR(VLOOKUP($B35,CDM!$V$41:$AJ$54,7,FALSE)/2*$C35/78,0)</f>
        <v>1497152.6753778113</v>
      </c>
      <c r="AI35" s="7">
        <f t="shared" si="10"/>
        <v>23752933.684608001</v>
      </c>
      <c r="AJ35" s="7">
        <f>IFERROR(HLOOKUP(B35-1,'EV Forecast VRZ'!$F$124:$T$130,7,FALSE)/12,0)+IFERROR(((HLOOKUP(B35,'EV Forecast VRZ'!$F$116:$T$122,7,FALSE)-HLOOKUP(B35-1,'EV Forecast VRZ'!$F$124:$T$130,7,FALSE)))*C35/78,0)</f>
        <v>0</v>
      </c>
      <c r="AK35" s="7">
        <f t="shared" si="11"/>
        <v>23752933.684608001</v>
      </c>
      <c r="AL35" s="7">
        <v>1427383.3524136615</v>
      </c>
      <c r="AM35" s="7">
        <v>20026.273611906126</v>
      </c>
      <c r="AN35" s="7">
        <v>388165.01621827896</v>
      </c>
      <c r="AO35" s="5">
        <v>191745.8</v>
      </c>
      <c r="AP35" s="5">
        <v>14254.82</v>
      </c>
      <c r="AQ35" s="5">
        <v>38323</v>
      </c>
      <c r="AR35" s="5">
        <v>3541.99</v>
      </c>
      <c r="AS35" s="544">
        <f t="shared" si="115"/>
        <v>60</v>
      </c>
      <c r="AT35" s="557">
        <v>109853</v>
      </c>
      <c r="AU35" s="557">
        <v>1570.3333333333326</v>
      </c>
      <c r="AV35" s="557">
        <v>9118.5</v>
      </c>
      <c r="AW35" s="557">
        <v>1048</v>
      </c>
      <c r="AX35" s="557">
        <v>4.1666666666666696</v>
      </c>
      <c r="AY35" s="557">
        <v>3.8333333333333348</v>
      </c>
      <c r="AZ35" s="557">
        <v>31024.5</v>
      </c>
      <c r="BA35" s="557">
        <v>439</v>
      </c>
      <c r="BB35" s="557">
        <v>816</v>
      </c>
      <c r="BC35" s="560">
        <v>24406132.598163284</v>
      </c>
      <c r="BD35" s="560">
        <f>IFERROR(VLOOKUP($B35-1,CDM!$V$4:$AJ$17,11,FALSE)/12,0)+IFERROR(VLOOKUP($B35,CDM!$V$41:$AJ$54,11,FALSE)/24,0)+IFERROR(VLOOKUP($B35,CDM!$V$41:$AJ$54,11,FALSE)/2*$C35/78,0)</f>
        <v>1916131.4422079199</v>
      </c>
      <c r="BE35" s="560">
        <f t="shared" si="67"/>
        <v>26322264.040371206</v>
      </c>
      <c r="BF35" s="560">
        <f>IFERROR(HLOOKUP(B35-1,'EV Forecast WRZ'!$F$124:$T$130,2,FALSE)/12,0)+IFERROR(((HLOOKUP(B35,'EV Forecast WRZ'!$F$116:$T$122,2,FALSE)-HLOOKUP(B35-1,'EV Forecast WRZ'!$F$124:$T$130,2,FALSE)))*C35/78,0)</f>
        <v>33995.946666666678</v>
      </c>
      <c r="BG35" s="560"/>
      <c r="BH35" s="560">
        <f t="shared" si="13"/>
        <v>26288268.09370454</v>
      </c>
      <c r="BI35" s="560">
        <v>6516201.3182705082</v>
      </c>
      <c r="BJ35" s="560">
        <f>IFERROR(VLOOKUP($B35-1,CDM!$V$4:$AJ$17,12,FALSE)/12,0)+IFERROR(VLOOKUP($B35,CDM!$V$41:$AJ$54,12,FALSE)/24,0)+IFERROR(VLOOKUP($B35,CDM!$V$41:$AJ$54,12,FALSE)/2*$C35/78,0)</f>
        <v>193338.67870629445</v>
      </c>
      <c r="BK35" s="560">
        <f t="shared" si="14"/>
        <v>6709539.9969768031</v>
      </c>
      <c r="BL35" s="560">
        <f>IFERROR(HLOOKUP(B35-1,'EV Forecast WRZ'!$F$124:$T$130,3,FALSE)/12,0)+IFERROR(((HLOOKUP(B35,'EV Forecast WRZ'!$F$116:$T$122,3,FALSE)-HLOOKUP(B35-1,'EV Forecast WRZ'!$F$124:$T$130,3,FALSE)))*C35/78,0)</f>
        <v>4348.7312820512825</v>
      </c>
      <c r="BM35" s="560"/>
      <c r="BN35" s="560">
        <f t="shared" si="15"/>
        <v>6705191.2656947514</v>
      </c>
      <c r="BO35" s="560">
        <v>27103451.273491442</v>
      </c>
      <c r="BP35" s="560">
        <f>IFERROR(VLOOKUP($B35-1,CDM!$V$4:$AJ$17,13,FALSE)/12,0)+IFERROR(VLOOKUP($B35,CDM!$V$41:$AJ$54,13,FALSE)/24,0)+IFERROR(VLOOKUP($B35,CDM!$V$41:$AJ$54,13,FALSE)/2*$C35/78,0)</f>
        <v>1136299.0548861311</v>
      </c>
      <c r="BQ35" s="560">
        <f t="shared" si="16"/>
        <v>28239750.328377575</v>
      </c>
      <c r="BR35" s="560">
        <f>IFERROR(HLOOKUP(B35-1,'EV Forecast WRZ'!$F$124:$T$130,4,FALSE)/12,0)+IFERROR(((HLOOKUP(B35,'EV Forecast WRZ'!$F$116:$T$122,4,FALSE)-HLOOKUP(B35-1,'EV Forecast WRZ'!$F$124:$T$130,4,FALSE)))*C35/78,0)</f>
        <v>1985.1983076923075</v>
      </c>
      <c r="BS35" s="560"/>
      <c r="BT35" s="560">
        <f t="shared" si="17"/>
        <v>28237765.130069882</v>
      </c>
      <c r="BU35" s="560">
        <v>6039879.7396335592</v>
      </c>
      <c r="BV35" s="560">
        <f>IFERROR(VLOOKUP($B35-1,CDM!$V$4:$AJ$17,14,FALSE)/12,0)+IFERROR(VLOOKUP($B35,CDM!$V$41:$AJ$54,14,FALSE)/24,0)+IFERROR(VLOOKUP($B35,CDM!$V$41:$AJ$54,14,FALSE)/2*$C35/78,0)</f>
        <v>255465.2033563226</v>
      </c>
      <c r="BW35" s="560">
        <f t="shared" si="18"/>
        <v>6295344.9429898821</v>
      </c>
      <c r="BX35" s="560">
        <f>IFERROR(HLOOKUP(B35-1,'EV Forecast WRZ'!$F$124:$T$130,5,FALSE)/12,0)+IFERROR(((HLOOKUP(B35,'EV Forecast WRZ'!$F$116:$T$122,5,FALSE)-HLOOKUP(B35-1,'EV Forecast WRZ'!$F$124:$T$130,5,FALSE)))*C35/78,0)</f>
        <v>330.51348717948713</v>
      </c>
      <c r="BY35" s="560">
        <f t="shared" si="68"/>
        <v>6295014.4295027023</v>
      </c>
      <c r="BZ35" s="560">
        <v>322019.32274727372</v>
      </c>
      <c r="CA35" s="560">
        <v>2390.3037702683605</v>
      </c>
      <c r="CB35" s="560">
        <v>48133.977424909121</v>
      </c>
      <c r="CC35" s="5">
        <v>70690.78</v>
      </c>
      <c r="CD35" s="5">
        <v>10019.69</v>
      </c>
      <c r="CE35" s="5">
        <v>774.22</v>
      </c>
      <c r="CF35" s="544">
        <f t="shared" si="116"/>
        <v>7.25</v>
      </c>
      <c r="CG35" s="565">
        <v>40208.333333333358</v>
      </c>
      <c r="CH35" s="565">
        <v>2251.3333333333348</v>
      </c>
      <c r="CI35" s="565">
        <v>375.5</v>
      </c>
      <c r="CJ35" s="565">
        <v>2.8333333333333348</v>
      </c>
      <c r="CK35" s="565">
        <v>12135.333333333339</v>
      </c>
      <c r="CL35" s="565">
        <v>37.166666666666643</v>
      </c>
      <c r="CM35" s="565">
        <v>379.5</v>
      </c>
      <c r="CN35" s="46">
        <f>Weather!C59</f>
        <v>364.80833333333339</v>
      </c>
      <c r="CO35" s="46">
        <f>Weather!D59</f>
        <v>1.6666666666665719E-2</v>
      </c>
      <c r="CP35" s="46">
        <f>Weather!E59</f>
        <v>305.10000000000002</v>
      </c>
      <c r="CQ35" s="46">
        <f>Weather!F59</f>
        <v>2.30833333333333</v>
      </c>
      <c r="CR35" s="46">
        <f>Weather!G59</f>
        <v>248.88749999999993</v>
      </c>
      <c r="CS35" s="46">
        <f>Weather!H59</f>
        <v>8.0958333333333314</v>
      </c>
      <c r="CT35" s="46">
        <f>Weather!I59</f>
        <v>194.17916666666662</v>
      </c>
      <c r="CU35" s="46">
        <f>Weather!J59</f>
        <v>15.387500000000001</v>
      </c>
      <c r="CV35" s="46">
        <f>Weather!K59</f>
        <v>142.14999999999998</v>
      </c>
      <c r="CW35" s="46">
        <f>Weather!L59</f>
        <v>25.358333333333334</v>
      </c>
      <c r="CX35" s="46">
        <f>Weather!M59</f>
        <v>96.316666666666663</v>
      </c>
      <c r="CY35" s="46">
        <f>Weather!N59</f>
        <v>41.524999999999999</v>
      </c>
      <c r="CZ35" s="46">
        <f>Weather!O59</f>
        <v>55.56666666666667</v>
      </c>
      <c r="DA35" s="46">
        <f>Weather!P59</f>
        <v>62.774999999999991</v>
      </c>
      <c r="DB35" s="243">
        <f>'Economic Data'!D61</f>
        <v>7269.1</v>
      </c>
      <c r="DC35" s="243">
        <f>'Economic Data'!E61</f>
        <v>7285.3</v>
      </c>
      <c r="DD35" s="243">
        <f>'Economic Data'!F61</f>
        <v>214.7</v>
      </c>
      <c r="DE35" s="243">
        <f>'Economic Data'!G61</f>
        <v>213</v>
      </c>
      <c r="DF35" s="243">
        <f>'Economic Data'!H61</f>
        <v>39.5</v>
      </c>
      <c r="DG35" s="243">
        <f>'Economic Data'!I61</f>
        <v>39.5</v>
      </c>
      <c r="DH35" s="243">
        <f>'Economic Data'!J61</f>
        <v>789531.6</v>
      </c>
      <c r="DI35" s="243">
        <f>'Economic Data'!K61</f>
        <v>608429.30000000005</v>
      </c>
      <c r="DJ35" s="243">
        <f>'Economic Data'!L61</f>
        <v>95137.5</v>
      </c>
      <c r="DK35" s="243">
        <f>'Economic Data'!M61</f>
        <v>31658.2</v>
      </c>
      <c r="DL35" s="243">
        <f>'Economic Data'!N61</f>
        <v>799922</v>
      </c>
      <c r="DM35" s="243">
        <f>'Economic Data'!O61</f>
        <v>96123</v>
      </c>
      <c r="DN35" s="243">
        <f>'Economic Data'!P61</f>
        <v>19934</v>
      </c>
      <c r="DO35" s="243">
        <f>'Economic Data'!Q61</f>
        <v>617736</v>
      </c>
      <c r="DP35" s="243">
        <f>'Economic Data'!R61</f>
        <v>31580</v>
      </c>
      <c r="DQ35">
        <v>31</v>
      </c>
      <c r="DR35">
        <v>22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</v>
      </c>
      <c r="EC35">
        <v>0</v>
      </c>
      <c r="ED35">
        <v>0</v>
      </c>
      <c r="EE35">
        <v>0</v>
      </c>
      <c r="EF35">
        <v>1</v>
      </c>
      <c r="EG35">
        <v>1</v>
      </c>
      <c r="EH35">
        <f t="shared" si="66"/>
        <v>34</v>
      </c>
      <c r="EI35">
        <v>0</v>
      </c>
      <c r="EJ35">
        <v>0</v>
      </c>
      <c r="EK35">
        <v>0</v>
      </c>
      <c r="EL35">
        <v>0</v>
      </c>
      <c r="EM35" s="47">
        <f t="shared" si="69"/>
        <v>0</v>
      </c>
      <c r="EN35" s="47">
        <f t="shared" si="70"/>
        <v>0</v>
      </c>
      <c r="EO35" s="47">
        <f t="shared" si="71"/>
        <v>0</v>
      </c>
      <c r="EP35" s="47">
        <f t="shared" si="72"/>
        <v>0</v>
      </c>
      <c r="EQ35" s="47">
        <f t="shared" si="73"/>
        <v>0</v>
      </c>
      <c r="ER35" s="47">
        <f t="shared" si="74"/>
        <v>0</v>
      </c>
      <c r="ES35" s="47">
        <f t="shared" si="75"/>
        <v>0</v>
      </c>
      <c r="ET35" s="47">
        <f t="shared" si="76"/>
        <v>0</v>
      </c>
      <c r="EU35" s="47">
        <f t="shared" si="77"/>
        <v>0</v>
      </c>
      <c r="EV35" s="47">
        <f t="shared" si="78"/>
        <v>0</v>
      </c>
      <c r="EW35" s="47">
        <f t="shared" si="79"/>
        <v>0</v>
      </c>
      <c r="EX35" s="47">
        <f t="shared" si="80"/>
        <v>0</v>
      </c>
      <c r="EY35" s="47">
        <f t="shared" si="81"/>
        <v>0</v>
      </c>
      <c r="EZ35" s="47">
        <f t="shared" si="82"/>
        <v>0</v>
      </c>
      <c r="FA35" s="47">
        <f t="shared" si="83"/>
        <v>0</v>
      </c>
      <c r="FB35" s="47">
        <f t="shared" si="84"/>
        <v>0</v>
      </c>
      <c r="FC35" s="47">
        <f t="shared" si="85"/>
        <v>0</v>
      </c>
      <c r="FD35" s="47">
        <f t="shared" si="86"/>
        <v>0</v>
      </c>
      <c r="FE35" s="47">
        <f t="shared" si="87"/>
        <v>0</v>
      </c>
      <c r="FF35" s="47">
        <f t="shared" si="88"/>
        <v>0</v>
      </c>
      <c r="FG35" s="47">
        <f t="shared" si="89"/>
        <v>0</v>
      </c>
      <c r="FH35" s="47">
        <f t="shared" si="90"/>
        <v>0</v>
      </c>
      <c r="FI35" s="47">
        <f t="shared" si="91"/>
        <v>0</v>
      </c>
      <c r="FJ35" s="47">
        <f t="shared" si="92"/>
        <v>0</v>
      </c>
      <c r="FK35" s="47">
        <f t="shared" si="93"/>
        <v>0</v>
      </c>
      <c r="FL35" s="47">
        <f t="shared" si="94"/>
        <v>0</v>
      </c>
      <c r="FM35" s="47">
        <f t="shared" si="95"/>
        <v>0</v>
      </c>
      <c r="FN35" s="47">
        <f t="shared" si="96"/>
        <v>0</v>
      </c>
      <c r="FO35" s="546">
        <f t="shared" si="97"/>
        <v>627.02971354880447</v>
      </c>
      <c r="FP35" s="546">
        <f t="shared" si="98"/>
        <v>548.06012790668547</v>
      </c>
      <c r="FQ35" s="546">
        <f t="shared" si="99"/>
        <v>2318.3099233483667</v>
      </c>
      <c r="FR35" s="546">
        <f t="shared" si="100"/>
        <v>75870.629478755029</v>
      </c>
      <c r="FS35" s="546">
        <f t="shared" si="101"/>
        <v>1607770.6474850678</v>
      </c>
      <c r="FT35" s="546">
        <f t="shared" si="102"/>
        <v>6196417.4829412149</v>
      </c>
      <c r="FU35" s="546">
        <f t="shared" si="103"/>
        <v>46.008262902340455</v>
      </c>
      <c r="FV35" s="546">
        <f t="shared" si="104"/>
        <v>45.617935334638098</v>
      </c>
      <c r="FW35" s="546">
        <f t="shared" si="105"/>
        <v>475.69242183612619</v>
      </c>
      <c r="FX35" s="546">
        <f t="shared" si="106"/>
        <v>654.64698131493117</v>
      </c>
      <c r="FY35" s="546">
        <f t="shared" si="107"/>
        <v>2980.25170135185</v>
      </c>
      <c r="FZ35" s="546">
        <f t="shared" si="108"/>
        <v>75205.726573575434</v>
      </c>
      <c r="GA35" s="546">
        <f t="shared" si="109"/>
        <v>113653.87861668479</v>
      </c>
      <c r="GB35" s="546">
        <f t="shared" si="110"/>
        <v>26.535680059380891</v>
      </c>
      <c r="GC35" s="546">
        <f t="shared" si="111"/>
        <v>64.313105926503013</v>
      </c>
      <c r="GD35" s="546">
        <f t="shared" si="112"/>
        <v>126.83525013151284</v>
      </c>
    </row>
    <row r="36" spans="1:186">
      <c r="A36" s="4">
        <v>43405</v>
      </c>
      <c r="B36" s="6">
        <v>2018</v>
      </c>
      <c r="C36" s="5">
        <v>11</v>
      </c>
      <c r="D36" s="7">
        <v>72692428.615771025</v>
      </c>
      <c r="E36" s="7">
        <f>IFERROR(VLOOKUP($B36-1,CDM!$V$4:$AJ$17,2,FALSE)/12,0)+IFERROR(VLOOKUP($B36,CDM!$V$41:$AJ$54,2,FALSE)/24,0)+IFERROR(VLOOKUP($B36,CDM!$V$41:$AJ$54,2,FALSE)/2*$C36/78,0)</f>
        <v>3848933.3445057822</v>
      </c>
      <c r="F36" s="7">
        <f t="shared" si="0"/>
        <v>76541361.960276812</v>
      </c>
      <c r="G36" s="7">
        <f>IFERROR(HLOOKUP(B36-1,'EV Forecast VRZ'!$F$124:$T$130,2,FALSE)/12,0)+IFERROR(((HLOOKUP(B36,'EV Forecast VRZ'!$F$116:$T$122,2,FALSE)-HLOOKUP(B36-1,'EV Forecast VRZ'!$F$124:$T$130,2,FALSE)))*C36/78,0)</f>
        <v>127375.89029821963</v>
      </c>
      <c r="H36" s="7"/>
      <c r="I36" s="7">
        <f t="shared" si="1"/>
        <v>76413986.069978595</v>
      </c>
      <c r="J36" s="7">
        <v>774707.25074413186</v>
      </c>
      <c r="K36" s="7">
        <f>IFERROR(VLOOKUP($B36-1,CDM!$V$4:$AJ$17,3,FALSE)/12,0)+IFERROR(VLOOKUP($B36,CDM!$V$41:$AJ$54,3,FALSE)/24,0)+IFERROR(VLOOKUP($B36,CDM!$V$41:$AJ$54,3,FALSE)/2*$C36/78,0)</f>
        <v>44084.926514269348</v>
      </c>
      <c r="L36" s="7">
        <f t="shared" si="2"/>
        <v>818792.17725840118</v>
      </c>
      <c r="M36" s="7">
        <f>IFERROR(HLOOKUP(B36-1,'EV Forecast VRZ'!$F$124:$T$130,3,FALSE)/12,0)+IFERROR(((HLOOKUP(B36,'EV Forecast VRZ'!$F$116:$T$122,3,FALSE)-HLOOKUP(B36-1,'EV Forecast VRZ'!$F$124:$T$130,3,FALSE)))*C36/78,0)</f>
        <v>1728.3814966521641</v>
      </c>
      <c r="N36" s="7"/>
      <c r="O36" s="7">
        <f t="shared" si="3"/>
        <v>817063.79576174903</v>
      </c>
      <c r="P36" s="7">
        <v>21971894.719824459</v>
      </c>
      <c r="Q36" s="7">
        <f>IFERROR(VLOOKUP($B36-1,CDM!$V$4:$AJ$17,4,FALSE)/12,0)+IFERROR(VLOOKUP($B36,CDM!$V$41:$AJ$54,4,FALSE)/24,0)+IFERROR(VLOOKUP($B36,CDM!$V$41:$AJ$54,4,FALSE)/2*$C36/78,0)</f>
        <v>1107948.9485676759</v>
      </c>
      <c r="R36" s="7">
        <f t="shared" si="4"/>
        <v>23079843.668392137</v>
      </c>
      <c r="S36" s="7">
        <f>IFERROR(HLOOKUP(B36-1,'EV Forecast VRZ'!$F$124:$T$130,4,FALSE)/12,0)+IFERROR(((HLOOKUP(B36,'EV Forecast VRZ'!$F$116:$T$122,4,FALSE)-HLOOKUP(B36-1,'EV Forecast VRZ'!$F$124:$T$130,4,FALSE)))*C36/78,0)</f>
        <v>16260.117948717954</v>
      </c>
      <c r="T36" s="7"/>
      <c r="U36" s="7">
        <f t="shared" si="5"/>
        <v>23063583.550443418</v>
      </c>
      <c r="V36" s="7">
        <v>76037891.762245342</v>
      </c>
      <c r="W36" s="7">
        <f>IFERROR(VLOOKUP($B36-1,CDM!$V$4:$AJ$17,5,FALSE)/12,0)+IFERROR(VLOOKUP($B36,CDM!$V$41:$AJ$54,5,FALSE)/24,0)+IFERROR(VLOOKUP($B36,CDM!$V$41:$AJ$54,5,FALSE)/2*$C36/78,0)</f>
        <v>3841203.292175225</v>
      </c>
      <c r="X36" s="7">
        <f t="shared" si="6"/>
        <v>79879095.054420561</v>
      </c>
      <c r="Y36" s="7">
        <f>IFERROR(HLOOKUP(B36-1,'EV Forecast VRZ'!$F$124:$T$130,5,FALSE)/12,0)+IFERROR(((HLOOKUP(B36,'EV Forecast VRZ'!$F$116:$T$122,5,FALSE)-HLOOKUP(B36-1,'EV Forecast VRZ'!$F$124:$T$130,5,FALSE)))*C36/78,0)</f>
        <v>7403.7838461538468</v>
      </c>
      <c r="Z36" s="7"/>
      <c r="AA36" s="7">
        <f t="shared" si="7"/>
        <v>79871691.270574406</v>
      </c>
      <c r="AB36" s="7">
        <v>7300112.3934590593</v>
      </c>
      <c r="AC36" s="7">
        <f>IFERROR(VLOOKUP($B36-1,CDM!$V$4:$AJ$17,6,FALSE)/12,0)+IFERROR(VLOOKUP($B36,CDM!$V$41:$AJ$54,6,FALSE)/24,0)+IFERROR(VLOOKUP($B36,CDM!$V$41:$AJ$54,6,FALSE)/2*$C36/78,0)</f>
        <v>189330.15561335452</v>
      </c>
      <c r="AD36" s="7">
        <f t="shared" si="8"/>
        <v>7489442.5490724137</v>
      </c>
      <c r="AE36" s="7">
        <f>IFERROR(HLOOKUP(B36-1,'EV Forecast VRZ'!$F$124:$T$130,6,FALSE)/12,0)+IFERROR(((HLOOKUP(B36,'EV Forecast VRZ'!$F$116:$T$122,6,FALSE)-HLOOKUP(B36-1,'EV Forecast VRZ'!$F$124:$T$130,6,FALSE)))*C36/78,0)</f>
        <v>1159.9289743589743</v>
      </c>
      <c r="AF36" s="7">
        <f t="shared" si="9"/>
        <v>7488282.6200980544</v>
      </c>
      <c r="AG36" s="7">
        <v>20660011.968606181</v>
      </c>
      <c r="AH36" s="7">
        <f>IFERROR(VLOOKUP($B36-1,CDM!$V$4:$AJ$17,7,FALSE)/12,0)+IFERROR(VLOOKUP($B36,CDM!$V$41:$AJ$54,7,FALSE)/24,0)+IFERROR(VLOOKUP($B36,CDM!$V$41:$AJ$54,7,FALSE)/2*$C36/78,0)</f>
        <v>1538112.2731167739</v>
      </c>
      <c r="AI36" s="7">
        <f t="shared" si="10"/>
        <v>22198124.241722956</v>
      </c>
      <c r="AJ36" s="7">
        <f>IFERROR(HLOOKUP(B36-1,'EV Forecast VRZ'!$F$124:$T$130,7,FALSE)/12,0)+IFERROR(((HLOOKUP(B36,'EV Forecast VRZ'!$F$116:$T$122,7,FALSE)-HLOOKUP(B36-1,'EV Forecast VRZ'!$F$124:$T$130,7,FALSE)))*C36/78,0)</f>
        <v>0</v>
      </c>
      <c r="AK36" s="7">
        <f t="shared" si="11"/>
        <v>22198124.241722956</v>
      </c>
      <c r="AL36" s="7">
        <v>1464300.6964319786</v>
      </c>
      <c r="AM36" s="7">
        <v>18878.630032436547</v>
      </c>
      <c r="AN36" s="7">
        <v>387974.00305285247</v>
      </c>
      <c r="AO36" s="5">
        <v>183860.96</v>
      </c>
      <c r="AP36" s="5">
        <v>16774.009999999998</v>
      </c>
      <c r="AQ36" s="5">
        <v>35036</v>
      </c>
      <c r="AR36" s="5">
        <v>3405.43</v>
      </c>
      <c r="AS36" s="544">
        <f t="shared" si="115"/>
        <v>60</v>
      </c>
      <c r="AT36" s="557">
        <v>109962.5</v>
      </c>
      <c r="AU36" s="557">
        <v>1570.1666666666658</v>
      </c>
      <c r="AV36" s="557">
        <v>9126.75</v>
      </c>
      <c r="AW36" s="557">
        <v>1044.5</v>
      </c>
      <c r="AX36" s="557">
        <v>4.0833333333333366</v>
      </c>
      <c r="AY36" s="557">
        <v>3.9166666666666683</v>
      </c>
      <c r="AZ36" s="557">
        <v>31060.75</v>
      </c>
      <c r="BA36" s="557">
        <v>439</v>
      </c>
      <c r="BB36" s="557">
        <v>815.5</v>
      </c>
      <c r="BC36" s="560">
        <v>25420242.441945475</v>
      </c>
      <c r="BD36" s="560">
        <f>IFERROR(VLOOKUP($B36-1,CDM!$V$4:$AJ$17,11,FALSE)/12,0)+IFERROR(VLOOKUP($B36,CDM!$V$41:$AJ$54,11,FALSE)/24,0)+IFERROR(VLOOKUP($B36,CDM!$V$41:$AJ$54,11,FALSE)/2*$C36/78,0)</f>
        <v>1945735.3022792737</v>
      </c>
      <c r="BE36" s="560">
        <f t="shared" si="67"/>
        <v>27365977.74422475</v>
      </c>
      <c r="BF36" s="560">
        <f>IFERROR(HLOOKUP(B36-1,'EV Forecast WRZ'!$F$124:$T$130,2,FALSE)/12,0)+IFERROR(((HLOOKUP(B36,'EV Forecast WRZ'!$F$116:$T$122,2,FALSE)-HLOOKUP(B36-1,'EV Forecast WRZ'!$F$124:$T$130,2,FALSE)))*C36/78,0)</f>
        <v>36079.028333333343</v>
      </c>
      <c r="BG36" s="560"/>
      <c r="BH36" s="560">
        <f t="shared" si="13"/>
        <v>27329898.715891417</v>
      </c>
      <c r="BI36" s="560">
        <v>7058858.3298737323</v>
      </c>
      <c r="BJ36" s="560">
        <f>IFERROR(VLOOKUP($B36-1,CDM!$V$4:$AJ$17,12,FALSE)/12,0)+IFERROR(VLOOKUP($B36,CDM!$V$41:$AJ$54,12,FALSE)/24,0)+IFERROR(VLOOKUP($B36,CDM!$V$41:$AJ$54,12,FALSE)/2*$C36/78,0)</f>
        <v>196700.55626921839</v>
      </c>
      <c r="BK36" s="560">
        <f t="shared" si="14"/>
        <v>7255558.8861429505</v>
      </c>
      <c r="BL36" s="560">
        <f>IFERROR(HLOOKUP(B36-1,'EV Forecast WRZ'!$F$124:$T$130,3,FALSE)/12,0)+IFERROR(((HLOOKUP(B36,'EV Forecast WRZ'!$F$116:$T$122,3,FALSE)-HLOOKUP(B36-1,'EV Forecast WRZ'!$F$124:$T$130,3,FALSE)))*C36/78,0)</f>
        <v>4600.9264102564102</v>
      </c>
      <c r="BM36" s="560"/>
      <c r="BN36" s="560">
        <f t="shared" si="15"/>
        <v>7250957.9597326946</v>
      </c>
      <c r="BO36" s="560">
        <v>27096579.650555387</v>
      </c>
      <c r="BP36" s="560">
        <f>IFERROR(VLOOKUP($B36-1,CDM!$V$4:$AJ$17,13,FALSE)/12,0)+IFERROR(VLOOKUP($B36,CDM!$V$41:$AJ$54,13,FALSE)/24,0)+IFERROR(VLOOKUP($B36,CDM!$V$41:$AJ$54,13,FALSE)/2*$C36/78,0)</f>
        <v>1161676.5510635851</v>
      </c>
      <c r="BQ36" s="560">
        <f t="shared" si="16"/>
        <v>28258256.201618973</v>
      </c>
      <c r="BR36" s="560">
        <f>IFERROR(HLOOKUP(B36-1,'EV Forecast WRZ'!$F$124:$T$130,4,FALSE)/12,0)+IFERROR(((HLOOKUP(B36,'EV Forecast WRZ'!$F$116:$T$122,4,FALSE)-HLOOKUP(B36-1,'EV Forecast WRZ'!$F$124:$T$130,4,FALSE)))*C36/78,0)</f>
        <v>2099.2630384615386</v>
      </c>
      <c r="BS36" s="560"/>
      <c r="BT36" s="560">
        <f t="shared" si="17"/>
        <v>28256156.938580513</v>
      </c>
      <c r="BU36" s="560">
        <v>6380350.5207328843</v>
      </c>
      <c r="BV36" s="560">
        <f>IFERROR(VLOOKUP($B36-1,CDM!$V$4:$AJ$17,14,FALSE)/12,0)+IFERROR(VLOOKUP($B36,CDM!$V$41:$AJ$54,14,FALSE)/24,0)+IFERROR(VLOOKUP($B36,CDM!$V$41:$AJ$54,14,FALSE)/2*$C36/78,0)</f>
        <v>261170.62676028488</v>
      </c>
      <c r="BW36" s="560">
        <f t="shared" si="18"/>
        <v>6641521.1474931687</v>
      </c>
      <c r="BX36" s="560">
        <f>IFERROR(HLOOKUP(B36-1,'EV Forecast WRZ'!$F$124:$T$130,5,FALSE)/12,0)+IFERROR(((HLOOKUP(B36,'EV Forecast WRZ'!$F$116:$T$122,5,FALSE)-HLOOKUP(B36-1,'EV Forecast WRZ'!$F$124:$T$130,5,FALSE)))*C36/78,0)</f>
        <v>345.43093589743592</v>
      </c>
      <c r="BY36" s="560">
        <f t="shared" si="68"/>
        <v>6641175.7165572708</v>
      </c>
      <c r="BZ36" s="560">
        <v>342302.40099483449</v>
      </c>
      <c r="CA36" s="560">
        <v>2390.3037702683605</v>
      </c>
      <c r="CB36" s="560">
        <v>48384.044384924426</v>
      </c>
      <c r="CC36" s="5">
        <v>66426.460000000006</v>
      </c>
      <c r="CD36" s="5">
        <v>12627.27</v>
      </c>
      <c r="CE36" s="5">
        <v>777.9</v>
      </c>
      <c r="CF36" s="544">
        <f t="shared" si="116"/>
        <v>7.25</v>
      </c>
      <c r="CG36" s="565">
        <v>40240.166666666693</v>
      </c>
      <c r="CH36" s="565">
        <v>2252.6666666666683</v>
      </c>
      <c r="CI36" s="565">
        <v>376.25</v>
      </c>
      <c r="CJ36" s="565">
        <v>2.9166666666666683</v>
      </c>
      <c r="CK36" s="565">
        <v>12158.666666666673</v>
      </c>
      <c r="CL36" s="565">
        <v>37.083333333333307</v>
      </c>
      <c r="CM36" s="565">
        <v>380.25</v>
      </c>
      <c r="CN36" s="46">
        <f>Weather!C60</f>
        <v>563.52499999999998</v>
      </c>
      <c r="CO36" s="46">
        <f>Weather!D60</f>
        <v>0</v>
      </c>
      <c r="CP36" s="46">
        <f>Weather!E60</f>
        <v>503.52500000000003</v>
      </c>
      <c r="CQ36" s="46">
        <f>Weather!F60</f>
        <v>0</v>
      </c>
      <c r="CR36" s="46">
        <f>Weather!G60</f>
        <v>443.52500000000003</v>
      </c>
      <c r="CS36" s="46">
        <f>Weather!H60</f>
        <v>0</v>
      </c>
      <c r="CT36" s="46">
        <f>Weather!I60</f>
        <v>383.52500000000003</v>
      </c>
      <c r="CU36" s="46">
        <f>Weather!J60</f>
        <v>0</v>
      </c>
      <c r="CV36" s="46">
        <f>Weather!K60</f>
        <v>323.52500000000003</v>
      </c>
      <c r="CW36" s="46">
        <f>Weather!L60</f>
        <v>0</v>
      </c>
      <c r="CX36" s="46">
        <f>Weather!M60</f>
        <v>263.86666666666662</v>
      </c>
      <c r="CY36" s="46">
        <f>Weather!N60</f>
        <v>0.34166666666666856</v>
      </c>
      <c r="CZ36" s="46">
        <f>Weather!O60</f>
        <v>206.24583333333334</v>
      </c>
      <c r="DA36" s="46">
        <f>Weather!P60</f>
        <v>2.7208333333333368</v>
      </c>
      <c r="DB36" s="243">
        <f>'Economic Data'!D62</f>
        <v>7289.9</v>
      </c>
      <c r="DC36" s="243">
        <f>'Economic Data'!E62</f>
        <v>7286.3</v>
      </c>
      <c r="DD36" s="243">
        <f>'Economic Data'!F62</f>
        <v>214.8</v>
      </c>
      <c r="DE36" s="243">
        <f>'Economic Data'!G62</f>
        <v>212.5</v>
      </c>
      <c r="DF36" s="243">
        <f>'Economic Data'!H62</f>
        <v>45.9</v>
      </c>
      <c r="DG36" s="243">
        <f>'Economic Data'!I62</f>
        <v>45.9</v>
      </c>
      <c r="DH36" s="243">
        <f>'Economic Data'!J62</f>
        <v>789531.6</v>
      </c>
      <c r="DI36" s="243">
        <f>'Economic Data'!K62</f>
        <v>608429.30000000005</v>
      </c>
      <c r="DJ36" s="243">
        <f>'Economic Data'!L62</f>
        <v>95137.5</v>
      </c>
      <c r="DK36" s="243">
        <f>'Economic Data'!M62</f>
        <v>31658.2</v>
      </c>
      <c r="DL36" s="243">
        <f>'Economic Data'!N62</f>
        <v>799922</v>
      </c>
      <c r="DM36" s="243">
        <f>'Economic Data'!O62</f>
        <v>96123</v>
      </c>
      <c r="DN36" s="243">
        <f>'Economic Data'!P62</f>
        <v>19934</v>
      </c>
      <c r="DO36" s="243">
        <f>'Economic Data'!Q62</f>
        <v>617736</v>
      </c>
      <c r="DP36" s="243">
        <f>'Economic Data'!R62</f>
        <v>31580</v>
      </c>
      <c r="DQ36">
        <v>30</v>
      </c>
      <c r="DR36">
        <v>22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1</v>
      </c>
      <c r="ED36">
        <v>0</v>
      </c>
      <c r="EE36">
        <v>0</v>
      </c>
      <c r="EF36">
        <v>1</v>
      </c>
      <c r="EG36">
        <v>1</v>
      </c>
      <c r="EH36">
        <f t="shared" si="66"/>
        <v>35</v>
      </c>
      <c r="EI36">
        <v>0</v>
      </c>
      <c r="EJ36">
        <v>0</v>
      </c>
      <c r="EK36">
        <v>0</v>
      </c>
      <c r="EL36">
        <v>0</v>
      </c>
      <c r="EM36" s="47">
        <f t="shared" si="69"/>
        <v>0</v>
      </c>
      <c r="EN36" s="47">
        <f t="shared" si="70"/>
        <v>0</v>
      </c>
      <c r="EO36" s="47">
        <f t="shared" si="71"/>
        <v>0</v>
      </c>
      <c r="EP36" s="47">
        <f t="shared" si="72"/>
        <v>0</v>
      </c>
      <c r="EQ36" s="47">
        <f t="shared" si="73"/>
        <v>0</v>
      </c>
      <c r="ER36" s="47">
        <f t="shared" si="74"/>
        <v>0</v>
      </c>
      <c r="ES36" s="47">
        <f t="shared" si="75"/>
        <v>0</v>
      </c>
      <c r="ET36" s="47">
        <f t="shared" si="76"/>
        <v>0</v>
      </c>
      <c r="EU36" s="47">
        <f t="shared" si="77"/>
        <v>0</v>
      </c>
      <c r="EV36" s="47">
        <f t="shared" si="78"/>
        <v>0</v>
      </c>
      <c r="EW36" s="47">
        <f t="shared" si="79"/>
        <v>0</v>
      </c>
      <c r="EX36" s="47">
        <f t="shared" si="80"/>
        <v>0</v>
      </c>
      <c r="EY36" s="47">
        <f t="shared" si="81"/>
        <v>0</v>
      </c>
      <c r="EZ36" s="47">
        <f t="shared" si="82"/>
        <v>0</v>
      </c>
      <c r="FA36" s="47">
        <f t="shared" si="83"/>
        <v>0</v>
      </c>
      <c r="FB36" s="47">
        <f t="shared" si="84"/>
        <v>0</v>
      </c>
      <c r="FC36" s="47">
        <f t="shared" si="85"/>
        <v>0</v>
      </c>
      <c r="FD36" s="47">
        <f t="shared" si="86"/>
        <v>0</v>
      </c>
      <c r="FE36" s="47">
        <f t="shared" si="87"/>
        <v>0</v>
      </c>
      <c r="FF36" s="47">
        <f t="shared" si="88"/>
        <v>0</v>
      </c>
      <c r="FG36" s="47">
        <f t="shared" si="89"/>
        <v>0</v>
      </c>
      <c r="FH36" s="47">
        <f t="shared" si="90"/>
        <v>0</v>
      </c>
      <c r="FI36" s="47">
        <f t="shared" si="91"/>
        <v>0</v>
      </c>
      <c r="FJ36" s="47">
        <f t="shared" si="92"/>
        <v>0</v>
      </c>
      <c r="FK36" s="47">
        <f t="shared" si="93"/>
        <v>0</v>
      </c>
      <c r="FL36" s="47">
        <f t="shared" si="94"/>
        <v>0</v>
      </c>
      <c r="FM36" s="47">
        <f t="shared" si="95"/>
        <v>0</v>
      </c>
      <c r="FN36" s="47">
        <f t="shared" si="96"/>
        <v>0</v>
      </c>
      <c r="FO36" s="546">
        <f t="shared" si="97"/>
        <v>694.90950160262446</v>
      </c>
      <c r="FP36" s="546">
        <f t="shared" si="98"/>
        <v>521.46832221106138</v>
      </c>
      <c r="FQ36" s="546">
        <f t="shared" si="99"/>
        <v>2528.812958434507</v>
      </c>
      <c r="FR36" s="546">
        <f t="shared" si="100"/>
        <v>76475.916758660183</v>
      </c>
      <c r="FS36" s="546">
        <f t="shared" si="101"/>
        <v>1834149.1956912018</v>
      </c>
      <c r="FT36" s="546">
        <f t="shared" si="102"/>
        <v>5667606.189376072</v>
      </c>
      <c r="FU36" s="546">
        <f t="shared" si="103"/>
        <v>47.143121026761385</v>
      </c>
      <c r="FV36" s="546">
        <f t="shared" si="104"/>
        <v>43.003713057942022</v>
      </c>
      <c r="FW36" s="546">
        <f t="shared" si="105"/>
        <v>475.74985046333842</v>
      </c>
      <c r="FX36" s="546">
        <f t="shared" si="106"/>
        <v>680.06621272007817</v>
      </c>
      <c r="FY36" s="546">
        <f t="shared" si="107"/>
        <v>3220.8755043546662</v>
      </c>
      <c r="FZ36" s="546">
        <f t="shared" si="108"/>
        <v>75104.999871412554</v>
      </c>
      <c r="GA36" s="546">
        <f t="shared" si="109"/>
        <v>117360.8231982289</v>
      </c>
      <c r="GB36" s="546">
        <f t="shared" si="110"/>
        <v>28.152955449734151</v>
      </c>
      <c r="GC36" s="546">
        <f t="shared" si="111"/>
        <v>64.45762976004572</v>
      </c>
      <c r="GD36" s="546">
        <f t="shared" si="112"/>
        <v>127.24272027593537</v>
      </c>
    </row>
    <row r="37" spans="1:186">
      <c r="A37" s="4">
        <v>43435</v>
      </c>
      <c r="B37" s="6">
        <v>2018</v>
      </c>
      <c r="C37" s="5">
        <v>12</v>
      </c>
      <c r="D37" s="7">
        <v>83176963.075081185</v>
      </c>
      <c r="E37" s="7">
        <f>IFERROR(VLOOKUP($B37-1,CDM!$V$4:$AJ$17,2,FALSE)/12,0)+IFERROR(VLOOKUP($B37,CDM!$V$41:$AJ$54,2,FALSE)/24,0)+IFERROR(VLOOKUP($B37,CDM!$V$41:$AJ$54,2,FALSE)/2*$C37/78,0)</f>
        <v>3911541.3202863839</v>
      </c>
      <c r="F37" s="7">
        <f t="shared" si="0"/>
        <v>87088504.395367563</v>
      </c>
      <c r="G37" s="7">
        <f>IFERROR(HLOOKUP(B37-1,'EV Forecast VRZ'!$F$124:$T$130,2,FALSE)/12,0)+IFERROR(((HLOOKUP(B37,'EV Forecast VRZ'!$F$116:$T$122,2,FALSE)-HLOOKUP(B37-1,'EV Forecast VRZ'!$F$124:$T$130,2,FALSE)))*C37/78,0)</f>
        <v>135245.21442708815</v>
      </c>
      <c r="H37" s="7"/>
      <c r="I37" s="7">
        <f t="shared" si="1"/>
        <v>86953259.180940479</v>
      </c>
      <c r="J37" s="7">
        <v>934056.20900591486</v>
      </c>
      <c r="K37" s="7">
        <f>IFERROR(VLOOKUP($B37-1,CDM!$V$4:$AJ$17,3,FALSE)/12,0)+IFERROR(VLOOKUP($B37,CDM!$V$41:$AJ$54,3,FALSE)/24,0)+IFERROR(VLOOKUP($B37,CDM!$V$41:$AJ$54,3,FALSE)/2*$C37/78,0)</f>
        <v>44802.025971300711</v>
      </c>
      <c r="L37" s="7">
        <f t="shared" si="2"/>
        <v>978858.23497721553</v>
      </c>
      <c r="M37" s="7">
        <f>IFERROR(HLOOKUP(B37-1,'EV Forecast VRZ'!$F$124:$T$130,3,FALSE)/12,0)+IFERROR(((HLOOKUP(B37,'EV Forecast VRZ'!$F$116:$T$122,3,FALSE)-HLOOKUP(B37-1,'EV Forecast VRZ'!$F$124:$T$130,3,FALSE)))*C37/78,0)</f>
        <v>1835.1614703477426</v>
      </c>
      <c r="N37" s="7"/>
      <c r="O37" s="7">
        <f t="shared" si="3"/>
        <v>977023.07350686775</v>
      </c>
      <c r="P37" s="7">
        <v>23094985.827580612</v>
      </c>
      <c r="Q37" s="7">
        <f>IFERROR(VLOOKUP($B37-1,CDM!$V$4:$AJ$17,4,FALSE)/12,0)+IFERROR(VLOOKUP($B37,CDM!$V$41:$AJ$54,4,FALSE)/24,0)+IFERROR(VLOOKUP($B37,CDM!$V$41:$AJ$54,4,FALSE)/2*$C37/78,0)</f>
        <v>1131282.0225028433</v>
      </c>
      <c r="R37" s="7">
        <f t="shared" si="4"/>
        <v>24226267.850083455</v>
      </c>
      <c r="S37" s="7">
        <f>IFERROR(HLOOKUP(B37-1,'EV Forecast VRZ'!$F$124:$T$130,4,FALSE)/12,0)+IFERROR(((HLOOKUP(B37,'EV Forecast VRZ'!$F$116:$T$122,4,FALSE)-HLOOKUP(B37-1,'EV Forecast VRZ'!$F$124:$T$130,4,FALSE)))*C37/78,0)</f>
        <v>17264.998974358979</v>
      </c>
      <c r="T37" s="7"/>
      <c r="U37" s="7">
        <f t="shared" si="5"/>
        <v>24209002.851109095</v>
      </c>
      <c r="V37" s="7">
        <v>74058919.28218855</v>
      </c>
      <c r="W37" s="7">
        <f>IFERROR(VLOOKUP($B37-1,CDM!$V$4:$AJ$17,5,FALSE)/12,0)+IFERROR(VLOOKUP($B37,CDM!$V$41:$AJ$54,5,FALSE)/24,0)+IFERROR(VLOOKUP($B37,CDM!$V$41:$AJ$54,5,FALSE)/2*$C37/78,0)</f>
        <v>3913035.9871148616</v>
      </c>
      <c r="X37" s="7">
        <f t="shared" si="6"/>
        <v>77971955.269303411</v>
      </c>
      <c r="Y37" s="7">
        <f>IFERROR(HLOOKUP(B37-1,'EV Forecast VRZ'!$F$124:$T$130,5,FALSE)/12,0)+IFERROR(((HLOOKUP(B37,'EV Forecast VRZ'!$F$116:$T$122,5,FALSE)-HLOOKUP(B37-1,'EV Forecast VRZ'!$F$124:$T$130,5,FALSE)))*C37/78,0)</f>
        <v>7861.3649230769242</v>
      </c>
      <c r="Z37" s="7"/>
      <c r="AA37" s="7">
        <f t="shared" si="7"/>
        <v>77964093.904380336</v>
      </c>
      <c r="AB37" s="7">
        <v>7099052.0941802599</v>
      </c>
      <c r="AC37" s="7">
        <f>IFERROR(VLOOKUP($B37-1,CDM!$V$4:$AJ$17,6,FALSE)/12,0)+IFERROR(VLOOKUP($B37,CDM!$V$41:$AJ$54,6,FALSE)/24,0)+IFERROR(VLOOKUP($B37,CDM!$V$41:$AJ$54,6,FALSE)/2*$C37/78,0)</f>
        <v>194599.24725709236</v>
      </c>
      <c r="AD37" s="7">
        <f t="shared" si="8"/>
        <v>7293651.3414373519</v>
      </c>
      <c r="AE37" s="7">
        <f>IFERROR(HLOOKUP(B37-1,'EV Forecast VRZ'!$F$124:$T$130,6,FALSE)/12,0)+IFERROR(((HLOOKUP(B37,'EV Forecast VRZ'!$F$116:$T$122,6,FALSE)-HLOOKUP(B37-1,'EV Forecast VRZ'!$F$124:$T$130,6,FALSE)))*C37/78,0)</f>
        <v>1231.7114871794872</v>
      </c>
      <c r="AF37" s="7">
        <f t="shared" si="9"/>
        <v>7292419.6299501723</v>
      </c>
      <c r="AG37" s="7">
        <v>20801919.410695367</v>
      </c>
      <c r="AH37" s="7">
        <f>IFERROR(VLOOKUP($B37-1,CDM!$V$4:$AJ$17,7,FALSE)/12,0)+IFERROR(VLOOKUP($B37,CDM!$V$41:$AJ$54,7,FALSE)/24,0)+IFERROR(VLOOKUP($B37,CDM!$V$41:$AJ$54,7,FALSE)/2*$C37/78,0)</f>
        <v>1579071.8708557365</v>
      </c>
      <c r="AI37" s="7">
        <f t="shared" si="10"/>
        <v>22380991.281551104</v>
      </c>
      <c r="AJ37" s="7">
        <f>IFERROR(HLOOKUP(B37-1,'EV Forecast VRZ'!$F$124:$T$130,7,FALSE)/12,0)+IFERROR(((HLOOKUP(B37,'EV Forecast VRZ'!$F$116:$T$122,7,FALSE)-HLOOKUP(B37-1,'EV Forecast VRZ'!$F$124:$T$130,7,FALSE)))*C37/78,0)</f>
        <v>0</v>
      </c>
      <c r="AK37" s="7">
        <f t="shared" si="11"/>
        <v>22380991.281551104</v>
      </c>
      <c r="AL37" s="7">
        <v>1576378.4964701391</v>
      </c>
      <c r="AM37" s="7">
        <v>17587.006296508302</v>
      </c>
      <c r="AN37" s="7">
        <v>387073.02041595115</v>
      </c>
      <c r="AO37" s="5">
        <v>180204.19</v>
      </c>
      <c r="AP37" s="5">
        <v>16963.09</v>
      </c>
      <c r="AQ37" s="5">
        <v>35017</v>
      </c>
      <c r="AR37" s="5">
        <v>3390.15</v>
      </c>
      <c r="AS37" s="544">
        <f t="shared" si="115"/>
        <v>60</v>
      </c>
      <c r="AT37" s="557">
        <v>110072</v>
      </c>
      <c r="AU37" s="557">
        <v>1570</v>
      </c>
      <c r="AV37" s="557">
        <v>9135</v>
      </c>
      <c r="AW37" s="557">
        <v>1041</v>
      </c>
      <c r="AX37" s="557">
        <v>4</v>
      </c>
      <c r="AY37" s="557">
        <v>4</v>
      </c>
      <c r="AZ37" s="557">
        <v>31097</v>
      </c>
      <c r="BA37" s="557">
        <v>439</v>
      </c>
      <c r="BB37" s="557">
        <v>815</v>
      </c>
      <c r="BC37" s="560">
        <v>29051844.708637647</v>
      </c>
      <c r="BD37" s="560">
        <f>IFERROR(VLOOKUP($B37-1,CDM!$V$4:$AJ$17,11,FALSE)/12,0)+IFERROR(VLOOKUP($B37,CDM!$V$41:$AJ$54,11,FALSE)/24,0)+IFERROR(VLOOKUP($B37,CDM!$V$41:$AJ$54,11,FALSE)/2*$C37/78,0)</f>
        <v>1975339.1623506276</v>
      </c>
      <c r="BE37" s="560">
        <f t="shared" si="67"/>
        <v>31027183.870988276</v>
      </c>
      <c r="BF37" s="560">
        <f>IFERROR(HLOOKUP(B37-1,'EV Forecast WRZ'!$F$124:$T$130,2,FALSE)/12,0)+IFERROR(((HLOOKUP(B37,'EV Forecast WRZ'!$F$116:$T$122,2,FALSE)-HLOOKUP(B37-1,'EV Forecast WRZ'!$F$124:$T$130,2,FALSE)))*C37/78,0)</f>
        <v>38162.110000000008</v>
      </c>
      <c r="BG37" s="560"/>
      <c r="BH37" s="560">
        <f t="shared" si="13"/>
        <v>30989021.760988276</v>
      </c>
      <c r="BI37" s="560">
        <v>7380250.4419935038</v>
      </c>
      <c r="BJ37" s="560">
        <f>IFERROR(VLOOKUP($B37-1,CDM!$V$4:$AJ$17,12,FALSE)/12,0)+IFERROR(VLOOKUP($B37,CDM!$V$41:$AJ$54,12,FALSE)/24,0)+IFERROR(VLOOKUP($B37,CDM!$V$41:$AJ$54,12,FALSE)/2*$C37/78,0)</f>
        <v>200062.43383214233</v>
      </c>
      <c r="BK37" s="560">
        <f t="shared" si="14"/>
        <v>7580312.8758256463</v>
      </c>
      <c r="BL37" s="560">
        <f>IFERROR(HLOOKUP(B37-1,'EV Forecast WRZ'!$F$124:$T$130,3,FALSE)/12,0)+IFERROR(((HLOOKUP(B37,'EV Forecast WRZ'!$F$116:$T$122,3,FALSE)-HLOOKUP(B37-1,'EV Forecast WRZ'!$F$124:$T$130,3,FALSE)))*C37/78,0)</f>
        <v>4853.1215384615389</v>
      </c>
      <c r="BM37" s="560"/>
      <c r="BN37" s="560">
        <f t="shared" si="15"/>
        <v>7575459.7542871851</v>
      </c>
      <c r="BO37" s="560">
        <v>27452864.682077449</v>
      </c>
      <c r="BP37" s="560">
        <f>IFERROR(VLOOKUP($B37-1,CDM!$V$4:$AJ$17,13,FALSE)/12,0)+IFERROR(VLOOKUP($B37,CDM!$V$41:$AJ$54,13,FALSE)/24,0)+IFERROR(VLOOKUP($B37,CDM!$V$41:$AJ$54,13,FALSE)/2*$C37/78,0)</f>
        <v>1187054.0472410391</v>
      </c>
      <c r="BQ37" s="560">
        <f t="shared" si="16"/>
        <v>28639918.729318488</v>
      </c>
      <c r="BR37" s="560">
        <f>IFERROR(HLOOKUP(B37-1,'EV Forecast WRZ'!$F$124:$T$130,4,FALSE)/12,0)+IFERROR(((HLOOKUP(B37,'EV Forecast WRZ'!$F$116:$T$122,4,FALSE)-HLOOKUP(B37-1,'EV Forecast WRZ'!$F$124:$T$130,4,FALSE)))*C37/78,0)</f>
        <v>2213.3277692307693</v>
      </c>
      <c r="BS37" s="560"/>
      <c r="BT37" s="560">
        <f t="shared" si="17"/>
        <v>28637705.401549257</v>
      </c>
      <c r="BU37" s="560">
        <v>6583465.4001928642</v>
      </c>
      <c r="BV37" s="560">
        <f>IFERROR(VLOOKUP($B37-1,CDM!$V$4:$AJ$17,14,FALSE)/12,0)+IFERROR(VLOOKUP($B37,CDM!$V$41:$AJ$54,14,FALSE)/24,0)+IFERROR(VLOOKUP($B37,CDM!$V$41:$AJ$54,14,FALSE)/2*$C37/78,0)</f>
        <v>266876.05016424716</v>
      </c>
      <c r="BW37" s="560">
        <f t="shared" si="18"/>
        <v>6850341.4503571112</v>
      </c>
      <c r="BX37" s="560">
        <f>IFERROR(HLOOKUP(B37-1,'EV Forecast WRZ'!$F$124:$T$130,5,FALSE)/12,0)+IFERROR(((HLOOKUP(B37,'EV Forecast WRZ'!$F$116:$T$122,5,FALSE)-HLOOKUP(B37-1,'EV Forecast WRZ'!$F$124:$T$130,5,FALSE)))*C37/78,0)</f>
        <v>360.34838461538459</v>
      </c>
      <c r="BY37" s="560">
        <f t="shared" si="68"/>
        <v>6849981.1019724961</v>
      </c>
      <c r="BZ37" s="560">
        <v>355570.00191314326</v>
      </c>
      <c r="CA37" s="560">
        <v>2390.3037702683605</v>
      </c>
      <c r="CB37" s="560">
        <v>47884.025253491483</v>
      </c>
      <c r="CC37" s="5">
        <v>64835.09</v>
      </c>
      <c r="CD37" s="5">
        <v>12886.22</v>
      </c>
      <c r="CE37" s="5">
        <v>746.12</v>
      </c>
      <c r="CF37" s="544">
        <f t="shared" si="116"/>
        <v>7.25</v>
      </c>
      <c r="CG37" s="565">
        <v>40272</v>
      </c>
      <c r="CH37" s="565">
        <v>2254</v>
      </c>
      <c r="CI37" s="565">
        <v>377</v>
      </c>
      <c r="CJ37" s="565">
        <v>3</v>
      </c>
      <c r="CK37" s="565">
        <v>12182</v>
      </c>
      <c r="CL37" s="565">
        <v>37</v>
      </c>
      <c r="CM37" s="565">
        <v>381</v>
      </c>
      <c r="CN37" s="46">
        <f>Weather!C61</f>
        <v>646.91666666666663</v>
      </c>
      <c r="CO37" s="46">
        <f>Weather!D61</f>
        <v>0</v>
      </c>
      <c r="CP37" s="46">
        <f>Weather!E61</f>
        <v>584.91666666666663</v>
      </c>
      <c r="CQ37" s="46">
        <f>Weather!F61</f>
        <v>0</v>
      </c>
      <c r="CR37" s="46">
        <f>Weather!G61</f>
        <v>522.91666666666663</v>
      </c>
      <c r="CS37" s="46">
        <f>Weather!H61</f>
        <v>0</v>
      </c>
      <c r="CT37" s="46">
        <f>Weather!I61</f>
        <v>460.91666666666657</v>
      </c>
      <c r="CU37" s="46">
        <f>Weather!J61</f>
        <v>0</v>
      </c>
      <c r="CV37" s="46">
        <f>Weather!K61</f>
        <v>398.91666666666657</v>
      </c>
      <c r="CW37" s="46">
        <f>Weather!L61</f>
        <v>0</v>
      </c>
      <c r="CX37" s="46">
        <f>Weather!M61</f>
        <v>336.91666666666657</v>
      </c>
      <c r="CY37" s="46">
        <f>Weather!N61</f>
        <v>0</v>
      </c>
      <c r="CZ37" s="46">
        <f>Weather!O61</f>
        <v>274.91666666666663</v>
      </c>
      <c r="DA37" s="46">
        <f>Weather!P61</f>
        <v>0</v>
      </c>
      <c r="DB37" s="243">
        <f>'Economic Data'!D63</f>
        <v>7296.4</v>
      </c>
      <c r="DC37" s="243">
        <f>'Economic Data'!E63</f>
        <v>7306.9</v>
      </c>
      <c r="DD37" s="243">
        <f>'Economic Data'!F63</f>
        <v>214.1</v>
      </c>
      <c r="DE37" s="243">
        <f>'Economic Data'!G63</f>
        <v>211.9</v>
      </c>
      <c r="DF37" s="243">
        <f>'Economic Data'!H63</f>
        <v>51.7</v>
      </c>
      <c r="DG37" s="243">
        <f>'Economic Data'!I63</f>
        <v>51.7</v>
      </c>
      <c r="DH37" s="243">
        <f>'Economic Data'!J63</f>
        <v>789531.6</v>
      </c>
      <c r="DI37" s="243">
        <f>'Economic Data'!K63</f>
        <v>608429.30000000005</v>
      </c>
      <c r="DJ37" s="243">
        <f>'Economic Data'!L63</f>
        <v>95137.5</v>
      </c>
      <c r="DK37" s="243">
        <f>'Economic Data'!M63</f>
        <v>31658.2</v>
      </c>
      <c r="DL37" s="243">
        <f>'Economic Data'!N63</f>
        <v>799922</v>
      </c>
      <c r="DM37" s="243">
        <f>'Economic Data'!O63</f>
        <v>96123</v>
      </c>
      <c r="DN37" s="243">
        <f>'Economic Data'!P63</f>
        <v>19934</v>
      </c>
      <c r="DO37" s="243">
        <f>'Economic Data'!Q63</f>
        <v>617736</v>
      </c>
      <c r="DP37" s="243">
        <f>'Economic Data'!R63</f>
        <v>31580</v>
      </c>
      <c r="DQ37">
        <v>31</v>
      </c>
      <c r="DR37">
        <v>19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1</v>
      </c>
      <c r="EE37">
        <v>0</v>
      </c>
      <c r="EF37">
        <v>0</v>
      </c>
      <c r="EG37">
        <v>0</v>
      </c>
      <c r="EH37">
        <f t="shared" si="66"/>
        <v>36</v>
      </c>
      <c r="EI37">
        <v>0</v>
      </c>
      <c r="EJ37">
        <v>0</v>
      </c>
      <c r="EK37">
        <v>0</v>
      </c>
      <c r="EL37">
        <v>0</v>
      </c>
      <c r="EM37" s="47">
        <f t="shared" si="69"/>
        <v>0</v>
      </c>
      <c r="EN37" s="47">
        <f t="shared" si="70"/>
        <v>0</v>
      </c>
      <c r="EO37" s="47">
        <f t="shared" si="71"/>
        <v>0</v>
      </c>
      <c r="EP37" s="47">
        <f t="shared" si="72"/>
        <v>0</v>
      </c>
      <c r="EQ37" s="47">
        <f t="shared" si="73"/>
        <v>0</v>
      </c>
      <c r="ER37" s="47">
        <f t="shared" si="74"/>
        <v>0</v>
      </c>
      <c r="ES37" s="47">
        <f t="shared" si="75"/>
        <v>0</v>
      </c>
      <c r="ET37" s="47">
        <f t="shared" si="76"/>
        <v>0</v>
      </c>
      <c r="EU37" s="47">
        <f t="shared" si="77"/>
        <v>0</v>
      </c>
      <c r="EV37" s="47">
        <f t="shared" si="78"/>
        <v>0</v>
      </c>
      <c r="EW37" s="47">
        <f t="shared" si="79"/>
        <v>0</v>
      </c>
      <c r="EX37" s="47">
        <f t="shared" si="80"/>
        <v>0</v>
      </c>
      <c r="EY37" s="47">
        <f t="shared" si="81"/>
        <v>0</v>
      </c>
      <c r="EZ37" s="47">
        <f t="shared" si="82"/>
        <v>0</v>
      </c>
      <c r="FA37" s="47">
        <f t="shared" si="83"/>
        <v>0</v>
      </c>
      <c r="FB37" s="47">
        <f t="shared" si="84"/>
        <v>0</v>
      </c>
      <c r="FC37" s="47">
        <f t="shared" si="85"/>
        <v>0</v>
      </c>
      <c r="FD37" s="47">
        <f t="shared" si="86"/>
        <v>0</v>
      </c>
      <c r="FE37" s="47">
        <f t="shared" si="87"/>
        <v>0</v>
      </c>
      <c r="FF37" s="47">
        <f t="shared" si="88"/>
        <v>0</v>
      </c>
      <c r="FG37" s="47">
        <f t="shared" si="89"/>
        <v>0</v>
      </c>
      <c r="FH37" s="47">
        <f t="shared" si="90"/>
        <v>0</v>
      </c>
      <c r="FI37" s="47">
        <f t="shared" si="91"/>
        <v>0</v>
      </c>
      <c r="FJ37" s="47">
        <f t="shared" si="92"/>
        <v>0</v>
      </c>
      <c r="FK37" s="47">
        <f t="shared" si="93"/>
        <v>0</v>
      </c>
      <c r="FL37" s="47">
        <f t="shared" si="94"/>
        <v>0</v>
      </c>
      <c r="FM37" s="47">
        <f t="shared" si="95"/>
        <v>0</v>
      </c>
      <c r="FN37" s="47">
        <f t="shared" si="96"/>
        <v>0</v>
      </c>
      <c r="FO37" s="546">
        <f t="shared" si="97"/>
        <v>789.96710499437165</v>
      </c>
      <c r="FP37" s="546">
        <f t="shared" si="98"/>
        <v>623.47658278803533</v>
      </c>
      <c r="FQ37" s="546">
        <f t="shared" si="99"/>
        <v>2652.0271319193712</v>
      </c>
      <c r="FR37" s="546">
        <f t="shared" si="100"/>
        <v>74901.013707303951</v>
      </c>
      <c r="FS37" s="546">
        <f t="shared" si="101"/>
        <v>1823412.835359338</v>
      </c>
      <c r="FT37" s="546">
        <f t="shared" si="102"/>
        <v>5595247.820387776</v>
      </c>
      <c r="FU37" s="546">
        <f t="shared" si="103"/>
        <v>50.692301394672768</v>
      </c>
      <c r="FV37" s="546">
        <f t="shared" si="104"/>
        <v>40.061517759700003</v>
      </c>
      <c r="FW37" s="546">
        <f t="shared" si="105"/>
        <v>474.93622136926524</v>
      </c>
      <c r="FX37" s="546">
        <f t="shared" si="106"/>
        <v>770.44060069001478</v>
      </c>
      <c r="FY37" s="546">
        <f t="shared" si="107"/>
        <v>3363.0491906946081</v>
      </c>
      <c r="FZ37" s="546">
        <f t="shared" si="108"/>
        <v>75967.954189173703</v>
      </c>
      <c r="GA37" s="546">
        <f t="shared" si="109"/>
        <v>118523.33397104776</v>
      </c>
      <c r="GB37" s="546">
        <f t="shared" si="110"/>
        <v>29.188146602622169</v>
      </c>
      <c r="GC37" s="546">
        <f t="shared" si="111"/>
        <v>64.602804601847581</v>
      </c>
      <c r="GD37" s="546">
        <f t="shared" si="112"/>
        <v>125.6798563083766</v>
      </c>
    </row>
    <row r="38" spans="1:186">
      <c r="A38" s="4">
        <v>43466</v>
      </c>
      <c r="B38" s="6">
        <v>2019</v>
      </c>
      <c r="C38" s="5">
        <v>1</v>
      </c>
      <c r="D38" s="7">
        <v>89553383.125405446</v>
      </c>
      <c r="E38" s="7">
        <f>IFERROR(VLOOKUP($B38-1,CDM!$V$4:$AJ$17,2,FALSE)/12,0)+IFERROR(VLOOKUP($B38,CDM!$V$41:$AJ$54,2,FALSE)/24,0)+IFERROR(VLOOKUP($B38,CDM!$V$41:$AJ$54,2,FALSE)/2*$C38/78,0)</f>
        <v>3712868.8612113632</v>
      </c>
      <c r="F38" s="7">
        <f t="shared" si="0"/>
        <v>93266251.986616805</v>
      </c>
      <c r="G38" s="7">
        <f>IFERROR(HLOOKUP(B38-1,'EV Forecast VRZ'!$F$124:$T$130,2,FALSE)/12,0)+IFERROR(((HLOOKUP(B38,'EV Forecast VRZ'!$F$116:$T$122,2,FALSE)-HLOOKUP(B38-1,'EV Forecast VRZ'!$F$124:$T$130,2,FALSE)))*C38/78,0)</f>
        <v>147242.69228408777</v>
      </c>
      <c r="H38" s="7">
        <f ca="1">HLOOKUP(B38,Heating!$C$102:$O$106,2,FALSE)*INDEX(Weather!$BO$1:$CB$20,MATCH(B38,Weather!$BO$1:$BO$20,0),MATCH(C38,Weather!$BO$1:$CB$1,0))/VLOOKUP(B38,Weather!$BO$2:$CB$20,14,FALSE)*
VLOOKUP('Monthly Data'!$B38,Weather!$BO$3:$CB$20,14,FALSE)/Weather!$CB$14</f>
        <v>144029.71798402505</v>
      </c>
      <c r="I38" s="7">
        <f t="shared" ca="1" si="1"/>
        <v>92974979.576348692</v>
      </c>
      <c r="J38" s="7">
        <v>1138205.613442091</v>
      </c>
      <c r="K38" s="7">
        <f>IFERROR(VLOOKUP($B38-1,CDM!$V$4:$AJ$17,3,FALSE)/12,0)+IFERROR(VLOOKUP($B38,CDM!$V$41:$AJ$54,3,FALSE)/24,0)+IFERROR(VLOOKUP($B38,CDM!$V$41:$AJ$54,3,FALSE)/2*$C38/78,0)</f>
        <v>42526.47064862051</v>
      </c>
      <c r="L38" s="7">
        <f t="shared" si="2"/>
        <v>1180732.0840907115</v>
      </c>
      <c r="M38" s="7">
        <f>IFERROR(HLOOKUP(B38-1,'EV Forecast VRZ'!$F$124:$T$130,3,FALSE)/12,0)+IFERROR(((HLOOKUP(B38,'EV Forecast VRZ'!$F$116:$T$122,3,FALSE)-HLOOKUP(B38-1,'EV Forecast VRZ'!$F$124:$T$130,3,FALSE)))*C38/78,0)</f>
        <v>1997.9569466814764</v>
      </c>
      <c r="N38" s="7">
        <f ca="1">HLOOKUP(B38,Heating!$C$102:$O$106,3,FALSE)*INDEX(Weather!$BO$1:$CB$20,MATCH(B38,Weather!$BO$1:$BO$20,0),MATCH(C38,Weather!$BO$1:$CB$1,0))/VLOOKUP(B38,Weather!$BO$2:$CB$20,14,FALSE)*
VLOOKUP('Monthly Data'!$B38,Weather!$BO$3:$CB$20,14,FALSE)/Weather!$CB$14</f>
        <v>2031.5675445038369</v>
      </c>
      <c r="O38" s="7">
        <f t="shared" ca="1" si="3"/>
        <v>1176702.5595995262</v>
      </c>
      <c r="P38" s="7">
        <v>25806529.705724001</v>
      </c>
      <c r="Q38" s="7">
        <f>IFERROR(VLOOKUP($B38-1,CDM!$V$4:$AJ$17,4,FALSE)/12,0)+IFERROR(VLOOKUP($B38,CDM!$V$41:$AJ$54,4,FALSE)/24,0)+IFERROR(VLOOKUP($B38,CDM!$V$41:$AJ$54,4,FALSE)/2*$C38/78,0)</f>
        <v>1149390.4922258593</v>
      </c>
      <c r="R38" s="7">
        <f t="shared" si="4"/>
        <v>26955920.19794986</v>
      </c>
      <c r="S38" s="7">
        <f>IFERROR(HLOOKUP(B38-1,'EV Forecast VRZ'!$F$124:$T$130,4,FALSE)/12,0)+IFERROR(((HLOOKUP(B38,'EV Forecast VRZ'!$F$116:$T$122,4,FALSE)-HLOOKUP(B38-1,'EV Forecast VRZ'!$F$124:$T$130,4,FALSE)))*C38/78,0)</f>
        <v>18764.510769230772</v>
      </c>
      <c r="T38" s="7">
        <f ca="1">HLOOKUP(B38,Heating!$C$102:$O$106,4,FALSE)*INDEX(Weather!$BO$1:$CB$20,MATCH(B38,Weather!$BO$1:$BO$20,0),MATCH(C38,Weather!$BO$1:$CB$1,0))/VLOOKUP(B38,Weather!$BO$2:$CB$20,14,FALSE)*
VLOOKUP('Monthly Data'!$B38,Weather!$BO$3:$CB$20,14,FALSE)/Weather!$CB$14</f>
        <v>36729.492402352065</v>
      </c>
      <c r="U38" s="7">
        <f t="shared" ca="1" si="5"/>
        <v>26900426.194778278</v>
      </c>
      <c r="V38" s="7">
        <v>82453071.517314494</v>
      </c>
      <c r="W38" s="7">
        <f>IFERROR(VLOOKUP($B38-1,CDM!$V$4:$AJ$17,5,FALSE)/12,0)+IFERROR(VLOOKUP($B38,CDM!$V$41:$AJ$54,5,FALSE)/24,0)+IFERROR(VLOOKUP($B38,CDM!$V$41:$AJ$54,5,FALSE)/2*$C38/78,0)</f>
        <v>4044168.3429999156</v>
      </c>
      <c r="X38" s="7">
        <f t="shared" si="6"/>
        <v>86497239.860314414</v>
      </c>
      <c r="Y38" s="7">
        <f>IFERROR(HLOOKUP(B38-1,'EV Forecast VRZ'!$F$124:$T$130,5,FALSE)/12,0)+IFERROR(((HLOOKUP(B38,'EV Forecast VRZ'!$F$116:$T$122,5,FALSE)-HLOOKUP(B38-1,'EV Forecast VRZ'!$F$124:$T$130,5,FALSE)))*C38/78,0)</f>
        <v>8541.7221538461545</v>
      </c>
      <c r="Z38" s="7">
        <f ca="1">HLOOKUP(B38,Heating!$C$102:$O$106,5,FALSE)*INDEX(Weather!$BO$1:$CB$20,MATCH(B38,Weather!$BO$1:$BO$20,0),MATCH(C38,Weather!$BO$1:$CB$1,0))/VLOOKUP(B38,Weather!$BO$2:$CB$20,14,FALSE)*
VLOOKUP('Monthly Data'!$B38,Weather!$BO$3:$CB$20,14,FALSE)/Weather!$CB$14</f>
        <v>21661.335014092496</v>
      </c>
      <c r="AA38" s="7">
        <f t="shared" ca="1" si="7"/>
        <v>86467036.803146482</v>
      </c>
      <c r="AB38" s="7">
        <v>7485435.9404527731</v>
      </c>
      <c r="AC38" s="7">
        <f>IFERROR(VLOOKUP($B38-1,CDM!$V$4:$AJ$17,6,FALSE)/12,0)+IFERROR(VLOOKUP($B38,CDM!$V$41:$AJ$54,6,FALSE)/24,0)+IFERROR(VLOOKUP($B38,CDM!$V$41:$AJ$54,6,FALSE)/2*$C38/78,0)</f>
        <v>191381.87997197424</v>
      </c>
      <c r="AD38" s="7">
        <f t="shared" si="8"/>
        <v>7676817.8204247477</v>
      </c>
      <c r="AE38" s="7">
        <f>IFERROR(HLOOKUP(B38-1,'EV Forecast VRZ'!$F$124:$T$130,6,FALSE)/12,0)+IFERROR(((HLOOKUP(B38,'EV Forecast VRZ'!$F$116:$T$122,6,FALSE)-HLOOKUP(B38-1,'EV Forecast VRZ'!$F$124:$T$130,6,FALSE)))*C38/78,0)</f>
        <v>1328.9947692307692</v>
      </c>
      <c r="AF38" s="7">
        <f t="shared" si="9"/>
        <v>7675488.8256555172</v>
      </c>
      <c r="AG38" s="7">
        <v>21628065.661692284</v>
      </c>
      <c r="AH38" s="7">
        <f>IFERROR(VLOOKUP($B38-1,CDM!$V$4:$AJ$17,7,FALSE)/12,0)+IFERROR(VLOOKUP($B38,CDM!$V$41:$AJ$54,7,FALSE)/24,0)+IFERROR(VLOOKUP($B38,CDM!$V$41:$AJ$54,7,FALSE)/2*$C38/78,0)</f>
        <v>1474148.7132283004</v>
      </c>
      <c r="AI38" s="7">
        <f t="shared" si="10"/>
        <v>23102214.374920584</v>
      </c>
      <c r="AJ38" s="7">
        <f>IFERROR(HLOOKUP(B38-1,'EV Forecast VRZ'!$F$124:$T$130,7,FALSE)/12,0)+IFERROR(((HLOOKUP(B38,'EV Forecast VRZ'!$F$116:$T$122,7,FALSE)-HLOOKUP(B38-1,'EV Forecast VRZ'!$F$124:$T$130,7,FALSE)))*C38/78,0)</f>
        <v>0</v>
      </c>
      <c r="AK38" s="7">
        <f t="shared" si="11"/>
        <v>23102214.374920584</v>
      </c>
      <c r="AL38" s="7">
        <v>1552649.8568975388</v>
      </c>
      <c r="AM38" s="7">
        <v>19830.433123449729</v>
      </c>
      <c r="AN38" s="7">
        <v>386669.01354703301</v>
      </c>
      <c r="AO38" s="5">
        <v>189782.23</v>
      </c>
      <c r="AP38" s="5">
        <v>17187.43</v>
      </c>
      <c r="AQ38" s="5">
        <v>36707</v>
      </c>
      <c r="AR38" s="5">
        <v>3415.01</v>
      </c>
      <c r="AS38" s="544">
        <f>629/12</f>
        <v>52.416666666666664</v>
      </c>
      <c r="AT38" s="557">
        <v>110208.75</v>
      </c>
      <c r="AU38" s="557">
        <v>1569.25</v>
      </c>
      <c r="AV38" s="557">
        <v>9146.0833333333339</v>
      </c>
      <c r="AW38" s="557">
        <v>1039.1666666666667</v>
      </c>
      <c r="AX38" s="557">
        <v>4</v>
      </c>
      <c r="AY38" s="557">
        <v>4</v>
      </c>
      <c r="AZ38" s="557">
        <v>31104.083333333332</v>
      </c>
      <c r="BA38" s="557">
        <v>424.08333333333331</v>
      </c>
      <c r="BB38" s="557">
        <v>814.08333333333337</v>
      </c>
      <c r="BC38" s="560">
        <v>29705900.183546964</v>
      </c>
      <c r="BD38" s="560">
        <f>IFERROR(VLOOKUP($B38-1,CDM!$V$4:$AJ$17,11,FALSE)/12,0)+IFERROR(VLOOKUP($B38,CDM!$V$41:$AJ$54,11,FALSE)/24,0)+IFERROR(VLOOKUP($B38,CDM!$V$41:$AJ$54,11,FALSE)/2*$C38/78,0)</f>
        <v>1874014.5533875346</v>
      </c>
      <c r="BE38" s="560">
        <f t="shared" si="67"/>
        <v>31579914.736934498</v>
      </c>
      <c r="BF38" s="560">
        <f>IFERROR(HLOOKUP(B38-1,'EV Forecast WRZ'!$F$124:$T$130,2,FALSE)/12,0)+IFERROR(((HLOOKUP(B38,'EV Forecast WRZ'!$F$116:$T$122,2,FALSE)-HLOOKUP(B38-1,'EV Forecast WRZ'!$F$124:$T$130,2,FALSE)))*C38/78,0)</f>
        <v>41745.528846153851</v>
      </c>
      <c r="BG38" s="560">
        <f ca="1">HLOOKUP(B38,Heating!$R$102:$AD$106,2,FALSE)*INDEX(Weather!$BO$1:$CB$20,MATCH(B38,Weather!$BO$1:$BO$20,0),MATCH(C38,Weather!$BO$1:$CB$1,0))/VLOOKUP(B38,Weather!$BO$2:$CB$20,14,FALSE)*
VLOOKUP('Monthly Data'!$B38,Weather!$BO$3:$CB$20,14,FALSE)/Weather!$CB$14</f>
        <v>53093.070471360552</v>
      </c>
      <c r="BH38" s="560">
        <f t="shared" ca="1" si="13"/>
        <v>31485076.137616985</v>
      </c>
      <c r="BI38" s="560">
        <v>8277011.6740099471</v>
      </c>
      <c r="BJ38" s="560">
        <f>IFERROR(VLOOKUP($B38-1,CDM!$V$4:$AJ$17,12,FALSE)/12,0)+IFERROR(VLOOKUP($B38,CDM!$V$41:$AJ$54,12,FALSE)/24,0)+IFERROR(VLOOKUP($B38,CDM!$V$41:$AJ$54,12,FALSE)/2*$C38/78,0)</f>
        <v>195723.19389118385</v>
      </c>
      <c r="BK38" s="560">
        <f t="shared" si="14"/>
        <v>8472734.8679011315</v>
      </c>
      <c r="BL38" s="560">
        <f>IFERROR(HLOOKUP(B38-1,'EV Forecast WRZ'!$F$124:$T$130,3,FALSE)/12,0)+IFERROR(((HLOOKUP(B38,'EV Forecast WRZ'!$F$116:$T$122,3,FALSE)-HLOOKUP(B38-1,'EV Forecast WRZ'!$F$124:$T$130,3,FALSE)))*C38/78,0)</f>
        <v>5281.8269230769229</v>
      </c>
      <c r="BM38" s="560">
        <f ca="1">HLOOKUP(B38,Heating!$R$102:$AD$106,4,FALSE)*INDEX(Weather!$BO$1:$CB$20,MATCH(B38,Weather!$BO$1:$BO$20,0),MATCH(C38,Weather!$BO$1:$CB$1,0))/VLOOKUP(B38,Weather!$BO$2:$CB$20,14,FALSE)*
VLOOKUP('Monthly Data'!$B38,Weather!$BO$3:$CB$20,14,FALSE)/Weather!$CB$14</f>
        <v>9019.934494040499</v>
      </c>
      <c r="BN38" s="560">
        <f t="shared" ca="1" si="15"/>
        <v>8458433.1064840145</v>
      </c>
      <c r="BO38" s="560">
        <v>29265287.752626836</v>
      </c>
      <c r="BP38" s="560">
        <f>IFERROR(VLOOKUP($B38-1,CDM!$V$4:$AJ$17,13,FALSE)/12,0)+IFERROR(VLOOKUP($B38,CDM!$V$41:$AJ$54,13,FALSE)/24,0)+IFERROR(VLOOKUP($B38,CDM!$V$41:$AJ$54,13,FALSE)/2*$C38/78,0)</f>
        <v>1318602.8732484509</v>
      </c>
      <c r="BQ38" s="560">
        <f t="shared" si="16"/>
        <v>30583890.625875287</v>
      </c>
      <c r="BR38" s="560">
        <f>IFERROR(HLOOKUP(B38-1,'EV Forecast WRZ'!$F$124:$T$130,4,FALSE)/12,0)+IFERROR(((HLOOKUP(B38,'EV Forecast WRZ'!$F$116:$T$122,4,FALSE)-HLOOKUP(B38-1,'EV Forecast WRZ'!$F$124:$T$130,4,FALSE)))*C38/78,0)</f>
        <v>2406.8221153846152</v>
      </c>
      <c r="BS38" s="560">
        <f ca="1">HLOOKUP(B38,Heating!$R$102:$AD$106,5,FALSE)*INDEX(Weather!$BO$1:$CB$20,MATCH(B38,Weather!$BO$1:$BO$20,0),MATCH(C38,Weather!$BO$1:$CB$1,0))/VLOOKUP(B38,Weather!$BO$2:$CB$20,14,FALSE)*
VLOOKUP('Monthly Data'!$B38,Weather!$BO$3:$CB$20,14,FALSE)/Weather!$CB$14</f>
        <v>6424.4059827851679</v>
      </c>
      <c r="BT38" s="560">
        <f t="shared" ca="1" si="17"/>
        <v>30575059.397777118</v>
      </c>
      <c r="BU38" s="560">
        <v>6611350.6460945038</v>
      </c>
      <c r="BV38" s="560">
        <f>IFERROR(VLOOKUP($B38-1,CDM!$V$4:$AJ$17,14,FALSE)/12,0)+IFERROR(VLOOKUP($B38,CDM!$V$41:$AJ$54,14,FALSE)/24,0)+IFERROR(VLOOKUP($B38,CDM!$V$41:$AJ$54,14,FALSE)/2*$C38/78,0)</f>
        <v>296451.140843731</v>
      </c>
      <c r="BW38" s="560">
        <f t="shared" si="18"/>
        <v>6907801.7869382352</v>
      </c>
      <c r="BX38" s="560">
        <f>IFERROR(HLOOKUP(B38-1,'EV Forecast WRZ'!$F$124:$T$130,5,FALSE)/12,0)+IFERROR(((HLOOKUP(B38,'EV Forecast WRZ'!$F$116:$T$122,5,FALSE)-HLOOKUP(B38-1,'EV Forecast WRZ'!$F$124:$T$130,5,FALSE)))*C38/78,0)</f>
        <v>384.09134615384619</v>
      </c>
      <c r="BY38" s="560">
        <f t="shared" si="68"/>
        <v>6907417.6955920812</v>
      </c>
      <c r="BZ38" s="560">
        <v>349803.99846948532</v>
      </c>
      <c r="CA38" s="560">
        <v>2362.8290142882652</v>
      </c>
      <c r="CB38" s="560">
        <v>48130.045915439063</v>
      </c>
      <c r="CC38" s="5">
        <v>67320.679999999993</v>
      </c>
      <c r="CD38" s="5">
        <v>13154.04</v>
      </c>
      <c r="CE38" s="5">
        <v>746.67</v>
      </c>
      <c r="CF38" s="544">
        <f>86/12</f>
        <v>7.166666666666667</v>
      </c>
      <c r="CG38" s="565">
        <v>40369.083333333336</v>
      </c>
      <c r="CH38" s="565">
        <v>2255.0833333333335</v>
      </c>
      <c r="CI38" s="565">
        <v>377</v>
      </c>
      <c r="CJ38" s="565">
        <v>3</v>
      </c>
      <c r="CK38" s="565">
        <v>12216.833333333334</v>
      </c>
      <c r="CL38" s="565">
        <v>37</v>
      </c>
      <c r="CM38" s="565">
        <v>381.5</v>
      </c>
      <c r="CN38" s="46">
        <f>Weather!C62</f>
        <v>841.93333333333351</v>
      </c>
      <c r="CO38" s="46">
        <f>Weather!D62</f>
        <v>0</v>
      </c>
      <c r="CP38" s="46">
        <f>Weather!E62</f>
        <v>779.93333333333351</v>
      </c>
      <c r="CQ38" s="46">
        <f>Weather!F62</f>
        <v>0</v>
      </c>
      <c r="CR38" s="46">
        <f>Weather!G62</f>
        <v>717.93333333333339</v>
      </c>
      <c r="CS38" s="46">
        <f>Weather!H62</f>
        <v>0</v>
      </c>
      <c r="CT38" s="46">
        <f>Weather!I62</f>
        <v>655.93333333333339</v>
      </c>
      <c r="CU38" s="46">
        <f>Weather!J62</f>
        <v>0</v>
      </c>
      <c r="CV38" s="46">
        <f>Weather!K62</f>
        <v>593.93333333333339</v>
      </c>
      <c r="CW38" s="46">
        <f>Weather!L62</f>
        <v>0</v>
      </c>
      <c r="CX38" s="46">
        <f>Weather!M62</f>
        <v>531.93333333333328</v>
      </c>
      <c r="CY38" s="46">
        <f>Weather!N62</f>
        <v>0</v>
      </c>
      <c r="CZ38" s="46">
        <f>Weather!O62</f>
        <v>469.93333333333328</v>
      </c>
      <c r="DA38" s="46">
        <f>Weather!P62</f>
        <v>0</v>
      </c>
      <c r="DB38" s="243">
        <f>'Economic Data'!D64</f>
        <v>7306.5</v>
      </c>
      <c r="DC38" s="243">
        <f>'Economic Data'!E64</f>
        <v>7280.1</v>
      </c>
      <c r="DD38" s="243">
        <f>'Economic Data'!F64</f>
        <v>216.3</v>
      </c>
      <c r="DE38" s="243">
        <f>'Economic Data'!G64</f>
        <v>214</v>
      </c>
      <c r="DF38" s="243">
        <f>'Economic Data'!H64</f>
        <v>59.6</v>
      </c>
      <c r="DG38" s="243">
        <f>'Economic Data'!I64</f>
        <v>59.6</v>
      </c>
      <c r="DH38" s="243">
        <f>'Economic Data'!J64</f>
        <v>807274.5</v>
      </c>
      <c r="DI38" s="243">
        <f>'Economic Data'!K64</f>
        <v>626103.1</v>
      </c>
      <c r="DJ38" s="243">
        <f>'Economic Data'!L64</f>
        <v>94599.6</v>
      </c>
      <c r="DK38" s="243">
        <f>'Economic Data'!M64</f>
        <v>32860.800000000003</v>
      </c>
      <c r="DL38" s="243">
        <f>'Economic Data'!N64</f>
        <v>800743</v>
      </c>
      <c r="DM38" s="243">
        <f>'Economic Data'!O64</f>
        <v>95928</v>
      </c>
      <c r="DN38" s="243">
        <f>'Economic Data'!P64</f>
        <v>19895</v>
      </c>
      <c r="DO38" s="243">
        <f>'Economic Data'!Q64</f>
        <v>619023</v>
      </c>
      <c r="DP38" s="243">
        <f>'Economic Data'!R64</f>
        <v>31762</v>
      </c>
      <c r="DQ38">
        <v>31</v>
      </c>
      <c r="DR38">
        <v>22</v>
      </c>
      <c r="DS38">
        <v>1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f t="shared" si="66"/>
        <v>37</v>
      </c>
      <c r="EI38">
        <v>0</v>
      </c>
      <c r="EJ38">
        <v>0</v>
      </c>
      <c r="EK38">
        <v>0</v>
      </c>
      <c r="EL38">
        <v>0</v>
      </c>
      <c r="EM38" s="47">
        <f t="shared" si="69"/>
        <v>0</v>
      </c>
      <c r="EN38" s="47">
        <f t="shared" si="70"/>
        <v>0</v>
      </c>
      <c r="EO38" s="47">
        <f t="shared" si="71"/>
        <v>0</v>
      </c>
      <c r="EP38" s="47">
        <f t="shared" si="72"/>
        <v>0</v>
      </c>
      <c r="EQ38" s="47">
        <f t="shared" si="73"/>
        <v>0</v>
      </c>
      <c r="ER38" s="47">
        <f t="shared" si="74"/>
        <v>0</v>
      </c>
      <c r="ES38" s="47">
        <f t="shared" si="75"/>
        <v>0</v>
      </c>
      <c r="ET38" s="47">
        <f t="shared" si="76"/>
        <v>0</v>
      </c>
      <c r="EU38" s="47">
        <f t="shared" si="77"/>
        <v>0</v>
      </c>
      <c r="EV38" s="47">
        <f t="shared" si="78"/>
        <v>0</v>
      </c>
      <c r="EW38" s="47">
        <f t="shared" si="79"/>
        <v>0</v>
      </c>
      <c r="EX38" s="47">
        <f t="shared" si="80"/>
        <v>0</v>
      </c>
      <c r="EY38" s="47">
        <f t="shared" si="81"/>
        <v>0</v>
      </c>
      <c r="EZ38" s="47">
        <f t="shared" si="82"/>
        <v>0</v>
      </c>
      <c r="FA38" s="47">
        <f t="shared" si="83"/>
        <v>0</v>
      </c>
      <c r="FB38" s="47">
        <f t="shared" si="84"/>
        <v>0</v>
      </c>
      <c r="FC38" s="47">
        <f t="shared" si="85"/>
        <v>0</v>
      </c>
      <c r="FD38" s="47">
        <f t="shared" si="86"/>
        <v>0</v>
      </c>
      <c r="FE38" s="47">
        <f t="shared" si="87"/>
        <v>0</v>
      </c>
      <c r="FF38" s="47">
        <f t="shared" si="88"/>
        <v>0</v>
      </c>
      <c r="FG38" s="47">
        <f t="shared" si="89"/>
        <v>0</v>
      </c>
      <c r="FH38" s="47">
        <f t="shared" si="90"/>
        <v>0</v>
      </c>
      <c r="FI38" s="47">
        <f t="shared" si="91"/>
        <v>0</v>
      </c>
      <c r="FJ38" s="47">
        <f t="shared" si="92"/>
        <v>0</v>
      </c>
      <c r="FK38" s="47">
        <f t="shared" si="93"/>
        <v>0</v>
      </c>
      <c r="FL38" s="47">
        <f t="shared" si="94"/>
        <v>0</v>
      </c>
      <c r="FM38" s="47">
        <f t="shared" si="95"/>
        <v>0</v>
      </c>
      <c r="FN38" s="47">
        <f t="shared" si="96"/>
        <v>0</v>
      </c>
      <c r="FO38" s="546">
        <f ca="1">I38/AT38</f>
        <v>843.62611477172811</v>
      </c>
      <c r="FP38" s="546">
        <f t="shared" si="98"/>
        <v>752.41808767928092</v>
      </c>
      <c r="FQ38" s="546">
        <f t="shared" si="99"/>
        <v>2947.2637866427185</v>
      </c>
      <c r="FR38" s="546">
        <f t="shared" si="100"/>
        <v>83237.119352347465</v>
      </c>
      <c r="FS38" s="546">
        <f t="shared" si="101"/>
        <v>1919204.4551061869</v>
      </c>
      <c r="FT38" s="546">
        <f t="shared" si="102"/>
        <v>5775553.5937301461</v>
      </c>
      <c r="FU38" s="546">
        <f t="shared" si="103"/>
        <v>49.917878635362626</v>
      </c>
      <c r="FV38" s="546">
        <f t="shared" si="104"/>
        <v>46.760699053133578</v>
      </c>
      <c r="FW38" s="546">
        <f t="shared" si="105"/>
        <v>474.97473257901481</v>
      </c>
      <c r="FX38" s="546">
        <f t="shared" si="106"/>
        <v>782.27970836430927</v>
      </c>
      <c r="FY38" s="546">
        <f t="shared" si="107"/>
        <v>3757.1715167515454</v>
      </c>
      <c r="FZ38" s="546">
        <f t="shared" si="108"/>
        <v>81124.378317971583</v>
      </c>
      <c r="GA38" s="546">
        <f t="shared" si="109"/>
        <v>116601.33282316178</v>
      </c>
      <c r="GB38" s="546">
        <f t="shared" si="110"/>
        <v>28.632951676196939</v>
      </c>
      <c r="GC38" s="546">
        <f t="shared" si="111"/>
        <v>63.860243629412572</v>
      </c>
      <c r="GD38" s="546">
        <f t="shared" si="112"/>
        <v>126.16001550573804</v>
      </c>
    </row>
    <row r="39" spans="1:186">
      <c r="A39" s="4">
        <v>43497</v>
      </c>
      <c r="B39" s="6">
        <v>2019</v>
      </c>
      <c r="C39" s="5">
        <v>2</v>
      </c>
      <c r="D39" s="7">
        <v>77497855.134735435</v>
      </c>
      <c r="E39" s="7">
        <f>IFERROR(VLOOKUP($B39-1,CDM!$V$4:$AJ$17,2,FALSE)/12,0)+IFERROR(VLOOKUP($B39,CDM!$V$41:$AJ$54,2,FALSE)/24,0)+IFERROR(VLOOKUP($B39,CDM!$V$41:$AJ$54,2,FALSE)/2*$C39/78,0)</f>
        <v>3732291.7155738021</v>
      </c>
      <c r="F39" s="7">
        <f t="shared" si="0"/>
        <v>81230146.850309238</v>
      </c>
      <c r="G39" s="7">
        <f>IFERROR(HLOOKUP(B39-1,'EV Forecast VRZ'!$F$124:$T$130,2,FALSE)/12,0)+IFERROR(((HLOOKUP(B39,'EV Forecast VRZ'!$F$116:$T$122,2,FALSE)-HLOOKUP(B39-1,'EV Forecast VRZ'!$F$124:$T$130,2,FALSE)))*C39/78,0)</f>
        <v>151370.84601221883</v>
      </c>
      <c r="H39" s="7">
        <f ca="1">HLOOKUP(B39,Heating!$C$102:$O$106,2,FALSE)*INDEX(Weather!$BO$1:$CB$20,MATCH(B39,Weather!$BO$1:$BO$20,0),MATCH(C39,Weather!$BO$1:$CB$1,0))/VLOOKUP(B39,Weather!$BO$2:$CB$20,14,FALSE)*
VLOOKUP('Monthly Data'!$B39,Weather!$BO$3:$CB$20,14,FALSE)/Weather!$CB$14</f>
        <v>118059.83267503045</v>
      </c>
      <c r="I39" s="7">
        <f t="shared" ca="1" si="1"/>
        <v>80960716.171621993</v>
      </c>
      <c r="J39" s="7">
        <v>994696.31451058958</v>
      </c>
      <c r="K39" s="7">
        <f>IFERROR(VLOOKUP($B39-1,CDM!$V$4:$AJ$17,3,FALSE)/12,0)+IFERROR(VLOOKUP($B39,CDM!$V$41:$AJ$54,3,FALSE)/24,0)+IFERROR(VLOOKUP($B39,CDM!$V$41:$AJ$54,3,FALSE)/2*$C39/78,0)</f>
        <v>42748.93620741948</v>
      </c>
      <c r="L39" s="7">
        <f t="shared" si="2"/>
        <v>1037445.2507180091</v>
      </c>
      <c r="M39" s="7">
        <f>IFERROR(HLOOKUP(B39-1,'EV Forecast VRZ'!$F$124:$T$130,3,FALSE)/12,0)+IFERROR(((HLOOKUP(B39,'EV Forecast VRZ'!$F$116:$T$122,3,FALSE)-HLOOKUP(B39-1,'EV Forecast VRZ'!$F$124:$T$130,3,FALSE)))*C39/78,0)</f>
        <v>2053.9724493196322</v>
      </c>
      <c r="N39" s="7">
        <f ca="1">HLOOKUP(B39,Heating!$C$102:$O$106,3,FALSE)*INDEX(Weather!$BO$1:$CB$20,MATCH(B39,Weather!$BO$1:$BO$20,0),MATCH(C39,Weather!$BO$1:$CB$1,0))/VLOOKUP(B39,Weather!$BO$2:$CB$20,14,FALSE)*
VLOOKUP('Monthly Data'!$B39,Weather!$BO$3:$CB$20,14,FALSE)/Weather!$CB$14</f>
        <v>1665.2571964262813</v>
      </c>
      <c r="O39" s="7">
        <f t="shared" ca="1" si="3"/>
        <v>1033726.0210722631</v>
      </c>
      <c r="P39" s="7">
        <v>23016185.95162183</v>
      </c>
      <c r="Q39" s="7">
        <f>IFERROR(VLOOKUP($B39-1,CDM!$V$4:$AJ$17,4,FALSE)/12,0)+IFERROR(VLOOKUP($B39,CDM!$V$41:$AJ$54,4,FALSE)/24,0)+IFERROR(VLOOKUP($B39,CDM!$V$41:$AJ$54,4,FALSE)/2*$C39/78,0)</f>
        <v>1168915.8757413845</v>
      </c>
      <c r="R39" s="7">
        <f t="shared" si="4"/>
        <v>24185101.827363215</v>
      </c>
      <c r="S39" s="7">
        <f>IFERROR(HLOOKUP(B39-1,'EV Forecast VRZ'!$F$124:$T$130,4,FALSE)/12,0)+IFERROR(((HLOOKUP(B39,'EV Forecast VRZ'!$F$116:$T$122,4,FALSE)-HLOOKUP(B39-1,'EV Forecast VRZ'!$F$124:$T$130,4,FALSE)))*C39/78,0)</f>
        <v>19259.141538461539</v>
      </c>
      <c r="T39" s="7">
        <f ca="1">HLOOKUP(B39,Heating!$C$102:$O$106,4,FALSE)*INDEX(Weather!$BO$1:$CB$20,MATCH(B39,Weather!$BO$1:$BO$20,0),MATCH(C39,Weather!$BO$1:$CB$1,0))/VLOOKUP(B39,Weather!$BO$2:$CB$20,14,FALSE)*
VLOOKUP('Monthly Data'!$B39,Weather!$BO$3:$CB$20,14,FALSE)/Weather!$CB$14</f>
        <v>30106.826479667503</v>
      </c>
      <c r="U39" s="7">
        <f t="shared" ca="1" si="5"/>
        <v>24135735.85934509</v>
      </c>
      <c r="V39" s="7">
        <v>74301299.89878495</v>
      </c>
      <c r="W39" s="7">
        <f>IFERROR(VLOOKUP($B39-1,CDM!$V$4:$AJ$17,5,FALSE)/12,0)+IFERROR(VLOOKUP($B39,CDM!$V$41:$AJ$54,5,FALSE)/24,0)+IFERROR(VLOOKUP($B39,CDM!$V$41:$AJ$54,5,FALSE)/2*$C39/78,0)</f>
        <v>4114329.9667403228</v>
      </c>
      <c r="X39" s="7">
        <f t="shared" si="6"/>
        <v>78415629.865525275</v>
      </c>
      <c r="Y39" s="7">
        <f>IFERROR(HLOOKUP(B39-1,'EV Forecast VRZ'!$F$124:$T$130,5,FALSE)/12,0)+IFERROR(((HLOOKUP(B39,'EV Forecast VRZ'!$F$116:$T$122,5,FALSE)-HLOOKUP(B39-1,'EV Forecast VRZ'!$F$124:$T$130,5,FALSE)))*C39/78,0)</f>
        <v>8764.4983076923072</v>
      </c>
      <c r="Z39" s="7">
        <f ca="1">HLOOKUP(B39,Heating!$C$102:$O$106,5,FALSE)*INDEX(Weather!$BO$1:$CB$20,MATCH(B39,Weather!$BO$1:$BO$20,0),MATCH(C39,Weather!$BO$1:$CB$1,0))/VLOOKUP(B39,Weather!$BO$2:$CB$20,14,FALSE)*
VLOOKUP('Monthly Data'!$B39,Weather!$BO$3:$CB$20,14,FALSE)/Weather!$CB$14</f>
        <v>17755.596713486477</v>
      </c>
      <c r="AA39" s="7">
        <f t="shared" ca="1" si="7"/>
        <v>78389109.770504102</v>
      </c>
      <c r="AB39" s="7">
        <v>7444265.2242662637</v>
      </c>
      <c r="AC39" s="7">
        <f>IFERROR(VLOOKUP($B39-1,CDM!$V$4:$AJ$17,6,FALSE)/12,0)+IFERROR(VLOOKUP($B39,CDM!$V$41:$AJ$54,6,FALSE)/24,0)+IFERROR(VLOOKUP($B39,CDM!$V$41:$AJ$54,6,FALSE)/2*$C39/78,0)</f>
        <v>194816.8982060329</v>
      </c>
      <c r="AD39" s="7">
        <f t="shared" si="8"/>
        <v>7639082.1224722965</v>
      </c>
      <c r="AE39" s="7">
        <f>IFERROR(HLOOKUP(B39-1,'EV Forecast VRZ'!$F$124:$T$130,6,FALSE)/12,0)+IFERROR(((HLOOKUP(B39,'EV Forecast VRZ'!$F$116:$T$122,6,FALSE)-HLOOKUP(B39-1,'EV Forecast VRZ'!$F$124:$T$130,6,FALSE)))*C39/78,0)</f>
        <v>1354.4955384615382</v>
      </c>
      <c r="AF39" s="7">
        <f t="shared" si="9"/>
        <v>7637727.6269338345</v>
      </c>
      <c r="AG39" s="7">
        <v>19825557.796721186</v>
      </c>
      <c r="AH39" s="7">
        <f>IFERROR(VLOOKUP($B39-1,CDM!$V$4:$AJ$17,7,FALSE)/12,0)+IFERROR(VLOOKUP($B39,CDM!$V$41:$AJ$54,7,FALSE)/24,0)+IFERROR(VLOOKUP($B39,CDM!$V$41:$AJ$54,7,FALSE)/2*$C39/78,0)</f>
        <v>1490195.9972198817</v>
      </c>
      <c r="AI39" s="7">
        <f t="shared" si="10"/>
        <v>21315753.793941069</v>
      </c>
      <c r="AJ39" s="7">
        <f>IFERROR(HLOOKUP(B39-1,'EV Forecast VRZ'!$F$124:$T$130,7,FALSE)/12,0)+IFERROR(((HLOOKUP(B39,'EV Forecast VRZ'!$F$116:$T$122,7,FALSE)-HLOOKUP(B39-1,'EV Forecast VRZ'!$F$124:$T$130,7,FALSE)))*C39/78,0)</f>
        <v>0</v>
      </c>
      <c r="AK39" s="7">
        <f t="shared" si="11"/>
        <v>21315753.793941069</v>
      </c>
      <c r="AL39" s="7">
        <v>1368141.8717801946</v>
      </c>
      <c r="AM39" s="7">
        <v>18234.096546460598</v>
      </c>
      <c r="AN39" s="7">
        <v>386624.00305285252</v>
      </c>
      <c r="AO39" s="5">
        <v>186959.53</v>
      </c>
      <c r="AP39" s="5">
        <v>16621.21</v>
      </c>
      <c r="AQ39" s="5">
        <v>35095</v>
      </c>
      <c r="AR39" s="5">
        <v>3619.52</v>
      </c>
      <c r="AS39" s="544">
        <f t="shared" ref="AS39:AS49" si="117">629/12</f>
        <v>52.416666666666664</v>
      </c>
      <c r="AT39" s="557">
        <v>110345.5</v>
      </c>
      <c r="AU39" s="557">
        <v>1568.5</v>
      </c>
      <c r="AV39" s="557">
        <v>9157.1666666666679</v>
      </c>
      <c r="AW39" s="557">
        <v>1037.3333333333335</v>
      </c>
      <c r="AX39" s="557">
        <v>4</v>
      </c>
      <c r="AY39" s="557">
        <v>4</v>
      </c>
      <c r="AZ39" s="557">
        <v>31111.166666666664</v>
      </c>
      <c r="BA39" s="557">
        <v>409.16666666666663</v>
      </c>
      <c r="BB39" s="557">
        <v>813.16666666666674</v>
      </c>
      <c r="BC39" s="560">
        <v>25741323.554964509</v>
      </c>
      <c r="BD39" s="560">
        <f>IFERROR(VLOOKUP($B39-1,CDM!$V$4:$AJ$17,11,FALSE)/12,0)+IFERROR(VLOOKUP($B39,CDM!$V$41:$AJ$54,11,FALSE)/24,0)+IFERROR(VLOOKUP($B39,CDM!$V$41:$AJ$54,11,FALSE)/2*$C39/78,0)</f>
        <v>1882214.1029114486</v>
      </c>
      <c r="BE39" s="560">
        <f t="shared" si="67"/>
        <v>27623537.657875959</v>
      </c>
      <c r="BF39" s="560">
        <f>IFERROR(HLOOKUP(B39-1,'EV Forecast WRZ'!$F$124:$T$130,2,FALSE)/12,0)+IFERROR(((HLOOKUP(B39,'EV Forecast WRZ'!$F$116:$T$122,2,FALSE)-HLOOKUP(B39-1,'EV Forecast WRZ'!$F$124:$T$130,2,FALSE)))*C39/78,0)</f>
        <v>43245.866025641037</v>
      </c>
      <c r="BG39" s="560">
        <f ca="1">HLOOKUP(B39,Heating!$R$102:$AD$106,2,FALSE)*INDEX(Weather!$BO$1:$CB$20,MATCH(B39,Weather!$BO$1:$BO$20,0),MATCH(C39,Weather!$BO$1:$CB$1,0))/VLOOKUP(B39,Weather!$BO$2:$CB$20,14,FALSE)*
VLOOKUP('Monthly Data'!$B39,Weather!$BO$3:$CB$20,14,FALSE)/Weather!$CB$14</f>
        <v>43519.900641252767</v>
      </c>
      <c r="BH39" s="560">
        <f t="shared" ca="1" si="13"/>
        <v>27536771.891209066</v>
      </c>
      <c r="BI39" s="560">
        <v>7350695.1713984972</v>
      </c>
      <c r="BJ39" s="560">
        <f>IFERROR(VLOOKUP($B39-1,CDM!$V$4:$AJ$17,12,FALSE)/12,0)+IFERROR(VLOOKUP($B39,CDM!$V$41:$AJ$54,12,FALSE)/24,0)+IFERROR(VLOOKUP($B39,CDM!$V$41:$AJ$54,12,FALSE)/2*$C39/78,0)</f>
        <v>197610.00544520028</v>
      </c>
      <c r="BK39" s="560">
        <f t="shared" si="14"/>
        <v>7548305.1768436972</v>
      </c>
      <c r="BL39" s="560">
        <f>IFERROR(HLOOKUP(B39-1,'EV Forecast WRZ'!$F$124:$T$130,3,FALSE)/12,0)+IFERROR(((HLOOKUP(B39,'EV Forecast WRZ'!$F$116:$T$122,3,FALSE)-HLOOKUP(B39-1,'EV Forecast WRZ'!$F$124:$T$130,3,FALSE)))*C39/78,0)</f>
        <v>5458.3371794871791</v>
      </c>
      <c r="BM39" s="560">
        <f ca="1">HLOOKUP(B39,Heating!$R$102:$AD$106,4,FALSE)*INDEX(Weather!$BO$1:$CB$20,MATCH(B39,Weather!$BO$1:$BO$20,0),MATCH(C39,Weather!$BO$1:$CB$1,0))/VLOOKUP(B39,Weather!$BO$2:$CB$20,14,FALSE)*
VLOOKUP('Monthly Data'!$B39,Weather!$BO$3:$CB$20,14,FALSE)/Weather!$CB$14</f>
        <v>7393.5571909143682</v>
      </c>
      <c r="BN39" s="560">
        <f t="shared" ca="1" si="15"/>
        <v>7535453.282473295</v>
      </c>
      <c r="BO39" s="560">
        <v>28564722.627439205</v>
      </c>
      <c r="BP39" s="560">
        <f>IFERROR(VLOOKUP($B39-1,CDM!$V$4:$AJ$17,13,FALSE)/12,0)+IFERROR(VLOOKUP($B39,CDM!$V$41:$AJ$54,13,FALSE)/24,0)+IFERROR(VLOOKUP($B39,CDM!$V$41:$AJ$54,13,FALSE)/2*$C39/78,0)</f>
        <v>1354752.8805795719</v>
      </c>
      <c r="BQ39" s="560">
        <f t="shared" si="16"/>
        <v>29919475.508018777</v>
      </c>
      <c r="BR39" s="560">
        <f>IFERROR(HLOOKUP(B39-1,'EV Forecast WRZ'!$F$124:$T$130,4,FALSE)/12,0)+IFERROR(((HLOOKUP(B39,'EV Forecast WRZ'!$F$116:$T$122,4,FALSE)-HLOOKUP(B39-1,'EV Forecast WRZ'!$F$124:$T$130,4,FALSE)))*C39/78,0)</f>
        <v>2486.2517307692306</v>
      </c>
      <c r="BS39" s="560">
        <f ca="1">HLOOKUP(B39,Heating!$R$102:$AD$106,5,FALSE)*INDEX(Weather!$BO$1:$CB$20,MATCH(B39,Weather!$BO$1:$BO$20,0),MATCH(C39,Weather!$BO$1:$CB$1,0))/VLOOKUP(B39,Weather!$BO$2:$CB$20,14,FALSE)*
VLOOKUP('Monthly Data'!$B39,Weather!$BO$3:$CB$20,14,FALSE)/Weather!$CB$14</f>
        <v>5266.0263866392215</v>
      </c>
      <c r="BT39" s="560">
        <f t="shared" ca="1" si="17"/>
        <v>29911723.229901366</v>
      </c>
      <c r="BU39" s="560">
        <v>6174047.4541947935</v>
      </c>
      <c r="BV39" s="560">
        <f>IFERROR(VLOOKUP($B39-1,CDM!$V$4:$AJ$17,14,FALSE)/12,0)+IFERROR(VLOOKUP($B39,CDM!$V$41:$AJ$54,14,FALSE)/24,0)+IFERROR(VLOOKUP($B39,CDM!$V$41:$AJ$54,14,FALSE)/2*$C39/78,0)</f>
        <v>304578.46343056782</v>
      </c>
      <c r="BW39" s="560">
        <f t="shared" si="18"/>
        <v>6478625.9176253611</v>
      </c>
      <c r="BX39" s="560">
        <f>IFERROR(HLOOKUP(B39-1,'EV Forecast WRZ'!$F$124:$T$130,5,FALSE)/12,0)+IFERROR(((HLOOKUP(B39,'EV Forecast WRZ'!$F$116:$T$122,5,FALSE)-HLOOKUP(B39-1,'EV Forecast WRZ'!$F$124:$T$130,5,FALSE)))*C39/78,0)</f>
        <v>392.916858974359</v>
      </c>
      <c r="BY39" s="560">
        <f t="shared" si="68"/>
        <v>6478233.0007663872</v>
      </c>
      <c r="BZ39" s="560">
        <v>293372.24029079778</v>
      </c>
      <c r="CA39" s="560">
        <v>2362.8290142882652</v>
      </c>
      <c r="CB39" s="560">
        <v>48129.978955423758</v>
      </c>
      <c r="CC39" s="5">
        <v>67871.850000000006</v>
      </c>
      <c r="CD39" s="5">
        <v>13449.88</v>
      </c>
      <c r="CE39" s="5">
        <v>752.88</v>
      </c>
      <c r="CF39" s="544">
        <f t="shared" ref="CF39:CF49" si="118">86/12</f>
        <v>7.166666666666667</v>
      </c>
      <c r="CG39" s="565">
        <v>40466.166666666672</v>
      </c>
      <c r="CH39" s="565">
        <v>2256.166666666667</v>
      </c>
      <c r="CI39" s="565">
        <v>377</v>
      </c>
      <c r="CJ39" s="565">
        <v>3</v>
      </c>
      <c r="CK39" s="565">
        <v>12251.666666666668</v>
      </c>
      <c r="CL39" s="565">
        <v>37</v>
      </c>
      <c r="CM39" s="565">
        <v>382</v>
      </c>
      <c r="CN39" s="46">
        <f>Weather!C63</f>
        <v>695.30416666666645</v>
      </c>
      <c r="CO39" s="46">
        <f>Weather!D63</f>
        <v>0</v>
      </c>
      <c r="CP39" s="46">
        <f>Weather!E63</f>
        <v>639.30416666666645</v>
      </c>
      <c r="CQ39" s="46">
        <f>Weather!F63</f>
        <v>0</v>
      </c>
      <c r="CR39" s="46">
        <f>Weather!G63</f>
        <v>583.30416666666656</v>
      </c>
      <c r="CS39" s="46">
        <f>Weather!H63</f>
        <v>0</v>
      </c>
      <c r="CT39" s="46">
        <f>Weather!I63</f>
        <v>527.30416666666656</v>
      </c>
      <c r="CU39" s="46">
        <f>Weather!J63</f>
        <v>0</v>
      </c>
      <c r="CV39" s="46">
        <f>Weather!K63</f>
        <v>471.30416666666662</v>
      </c>
      <c r="CW39" s="46">
        <f>Weather!L63</f>
        <v>0</v>
      </c>
      <c r="CX39" s="46">
        <f>Weather!M63</f>
        <v>415.30416666666656</v>
      </c>
      <c r="CY39" s="46">
        <f>Weather!N63</f>
        <v>0</v>
      </c>
      <c r="CZ39" s="46">
        <f>Weather!O63</f>
        <v>359.30416666666662</v>
      </c>
      <c r="DA39" s="46">
        <f>Weather!P63</f>
        <v>0</v>
      </c>
      <c r="DB39" s="243">
        <f>'Economic Data'!D65</f>
        <v>7329.7</v>
      </c>
      <c r="DC39" s="243">
        <f>'Economic Data'!E65</f>
        <v>7264.2</v>
      </c>
      <c r="DD39" s="243">
        <f>'Economic Data'!F65</f>
        <v>218</v>
      </c>
      <c r="DE39" s="243">
        <f>'Economic Data'!G65</f>
        <v>215.9</v>
      </c>
      <c r="DF39" s="243">
        <f>'Economic Data'!H65</f>
        <v>58.2</v>
      </c>
      <c r="DG39" s="243">
        <f>'Economic Data'!I65</f>
        <v>58.2</v>
      </c>
      <c r="DH39" s="243">
        <f>'Economic Data'!J65</f>
        <v>807274.5</v>
      </c>
      <c r="DI39" s="243">
        <f>'Economic Data'!K65</f>
        <v>626103.1</v>
      </c>
      <c r="DJ39" s="243">
        <f>'Economic Data'!L65</f>
        <v>94599.6</v>
      </c>
      <c r="DK39" s="243">
        <f>'Economic Data'!M65</f>
        <v>32860.800000000003</v>
      </c>
      <c r="DL39" s="243">
        <f>'Economic Data'!N65</f>
        <v>800743</v>
      </c>
      <c r="DM39" s="243">
        <f>'Economic Data'!O65</f>
        <v>95928</v>
      </c>
      <c r="DN39" s="243">
        <f>'Economic Data'!P65</f>
        <v>19895</v>
      </c>
      <c r="DO39" s="243">
        <f>'Economic Data'!Q65</f>
        <v>619023</v>
      </c>
      <c r="DP39" s="243">
        <f>'Economic Data'!R65</f>
        <v>31762</v>
      </c>
      <c r="DQ39">
        <v>28</v>
      </c>
      <c r="DR39">
        <v>19</v>
      </c>
      <c r="DS39">
        <v>0</v>
      </c>
      <c r="DT39">
        <v>1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f t="shared" si="66"/>
        <v>38</v>
      </c>
      <c r="EI39">
        <v>0</v>
      </c>
      <c r="EJ39">
        <v>0</v>
      </c>
      <c r="EK39">
        <v>0</v>
      </c>
      <c r="EL39">
        <v>0</v>
      </c>
      <c r="EM39" s="47">
        <f t="shared" si="69"/>
        <v>0</v>
      </c>
      <c r="EN39" s="47">
        <f t="shared" si="70"/>
        <v>0</v>
      </c>
      <c r="EO39" s="47">
        <f t="shared" si="71"/>
        <v>0</v>
      </c>
      <c r="EP39" s="47">
        <f t="shared" si="72"/>
        <v>0</v>
      </c>
      <c r="EQ39" s="47">
        <f t="shared" si="73"/>
        <v>0</v>
      </c>
      <c r="ER39" s="47">
        <f t="shared" si="74"/>
        <v>0</v>
      </c>
      <c r="ES39" s="47">
        <f t="shared" si="75"/>
        <v>0</v>
      </c>
      <c r="ET39" s="47">
        <f t="shared" si="76"/>
        <v>0</v>
      </c>
      <c r="EU39" s="47">
        <f t="shared" si="77"/>
        <v>0</v>
      </c>
      <c r="EV39" s="47">
        <f t="shared" si="78"/>
        <v>0</v>
      </c>
      <c r="EW39" s="47">
        <f t="shared" si="79"/>
        <v>0</v>
      </c>
      <c r="EX39" s="47">
        <f t="shared" si="80"/>
        <v>0</v>
      </c>
      <c r="EY39" s="47">
        <f t="shared" si="81"/>
        <v>0</v>
      </c>
      <c r="EZ39" s="47">
        <f t="shared" si="82"/>
        <v>0</v>
      </c>
      <c r="FA39" s="47">
        <f t="shared" si="83"/>
        <v>0</v>
      </c>
      <c r="FB39" s="47">
        <f t="shared" si="84"/>
        <v>0</v>
      </c>
      <c r="FC39" s="47">
        <f t="shared" si="85"/>
        <v>0</v>
      </c>
      <c r="FD39" s="47">
        <f t="shared" si="86"/>
        <v>0</v>
      </c>
      <c r="FE39" s="47">
        <f t="shared" si="87"/>
        <v>0</v>
      </c>
      <c r="FF39" s="47">
        <f t="shared" si="88"/>
        <v>0</v>
      </c>
      <c r="FG39" s="47">
        <f t="shared" si="89"/>
        <v>0</v>
      </c>
      <c r="FH39" s="47">
        <f t="shared" si="90"/>
        <v>0</v>
      </c>
      <c r="FI39" s="47">
        <f t="shared" si="91"/>
        <v>0</v>
      </c>
      <c r="FJ39" s="47">
        <f t="shared" si="92"/>
        <v>0</v>
      </c>
      <c r="FK39" s="47">
        <f t="shared" si="93"/>
        <v>0</v>
      </c>
      <c r="FL39" s="47">
        <f t="shared" si="94"/>
        <v>0</v>
      </c>
      <c r="FM39" s="47">
        <f t="shared" si="95"/>
        <v>0</v>
      </c>
      <c r="FN39" s="47">
        <f t="shared" si="96"/>
        <v>0</v>
      </c>
      <c r="FO39" s="546">
        <f t="shared" ca="1" si="97"/>
        <v>733.70201930864414</v>
      </c>
      <c r="FP39" s="546">
        <f t="shared" si="98"/>
        <v>661.42508812114067</v>
      </c>
      <c r="FQ39" s="546">
        <f t="shared" si="99"/>
        <v>2641.1118971330156</v>
      </c>
      <c r="FR39" s="546">
        <f t="shared" si="100"/>
        <v>75593.473520750573</v>
      </c>
      <c r="FS39" s="546">
        <f t="shared" si="101"/>
        <v>1909770.5306180741</v>
      </c>
      <c r="FT39" s="546">
        <f t="shared" si="102"/>
        <v>5328938.4484852673</v>
      </c>
      <c r="FU39" s="546">
        <f t="shared" si="103"/>
        <v>43.975910207380885</v>
      </c>
      <c r="FV39" s="546">
        <f t="shared" si="104"/>
        <v>44.563983412938327</v>
      </c>
      <c r="FW39" s="546">
        <f t="shared" si="105"/>
        <v>475.45481006704551</v>
      </c>
      <c r="FX39" s="546">
        <f t="shared" si="106"/>
        <v>682.63292358330511</v>
      </c>
      <c r="FY39" s="546">
        <f t="shared" si="107"/>
        <v>3345.6327887317852</v>
      </c>
      <c r="FZ39" s="546">
        <f t="shared" si="108"/>
        <v>79362.004000049812</v>
      </c>
      <c r="GA39" s="546">
        <f t="shared" si="109"/>
        <v>97790.746763599265</v>
      </c>
      <c r="GB39" s="546">
        <f t="shared" si="110"/>
        <v>23.945496418783655</v>
      </c>
      <c r="GC39" s="546">
        <f t="shared" si="111"/>
        <v>63.860243629412572</v>
      </c>
      <c r="GD39" s="546">
        <f t="shared" si="112"/>
        <v>125.99470930739204</v>
      </c>
    </row>
    <row r="40" spans="1:186">
      <c r="A40" s="4">
        <v>43525</v>
      </c>
      <c r="B40" s="6">
        <v>2019</v>
      </c>
      <c r="C40" s="5">
        <v>3</v>
      </c>
      <c r="D40" s="7">
        <v>78461302.814929113</v>
      </c>
      <c r="E40" s="7">
        <f>IFERROR(VLOOKUP($B40-1,CDM!$V$4:$AJ$17,2,FALSE)/12,0)+IFERROR(VLOOKUP($B40,CDM!$V$41:$AJ$54,2,FALSE)/24,0)+IFERROR(VLOOKUP($B40,CDM!$V$41:$AJ$54,2,FALSE)/2*$C40/78,0)</f>
        <v>3751714.5699362406</v>
      </c>
      <c r="F40" s="7">
        <f t="shared" si="0"/>
        <v>82213017.384865358</v>
      </c>
      <c r="G40" s="7">
        <f>IFERROR(HLOOKUP(B40-1,'EV Forecast VRZ'!$F$124:$T$130,2,FALSE)/12,0)+IFERROR(((HLOOKUP(B40,'EV Forecast VRZ'!$F$116:$T$122,2,FALSE)-HLOOKUP(B40-1,'EV Forecast VRZ'!$F$124:$T$130,2,FALSE)))*C40/78,0)</f>
        <v>155498.99974034989</v>
      </c>
      <c r="H40" s="7">
        <f ca="1">HLOOKUP(B40,Heating!$C$102:$O$106,2,FALSE)*INDEX(Weather!$BO$1:$CB$20,MATCH(B40,Weather!$BO$1:$BO$20,0),MATCH(C40,Weather!$BO$1:$CB$1,0))/VLOOKUP(B40,Weather!$BO$2:$CB$20,14,FALSE)*
VLOOKUP('Monthly Data'!$B40,Weather!$BO$3:$CB$20,14,FALSE)/Weather!$CB$14</f>
        <v>112917.56300835365</v>
      </c>
      <c r="I40" s="7">
        <f t="shared" ca="1" si="1"/>
        <v>81944600.822116658</v>
      </c>
      <c r="J40" s="7">
        <v>976089.02015836665</v>
      </c>
      <c r="K40" s="7">
        <f>IFERROR(VLOOKUP($B40-1,CDM!$V$4:$AJ$17,3,FALSE)/12,0)+IFERROR(VLOOKUP($B40,CDM!$V$41:$AJ$54,3,FALSE)/24,0)+IFERROR(VLOOKUP($B40,CDM!$V$41:$AJ$54,3,FALSE)/2*$C40/78,0)</f>
        <v>42971.401766218449</v>
      </c>
      <c r="L40" s="7">
        <f t="shared" si="2"/>
        <v>1019060.4219245851</v>
      </c>
      <c r="M40" s="7">
        <f>IFERROR(HLOOKUP(B40-1,'EV Forecast VRZ'!$F$124:$T$130,3,FALSE)/12,0)+IFERROR(((HLOOKUP(B40,'EV Forecast VRZ'!$F$116:$T$122,3,FALSE)-HLOOKUP(B40-1,'EV Forecast VRZ'!$F$124:$T$130,3,FALSE)))*C40/78,0)</f>
        <v>2109.9879519577885</v>
      </c>
      <c r="N40" s="7">
        <f ca="1">HLOOKUP(B40,Heating!$C$102:$O$106,3,FALSE)*INDEX(Weather!$BO$1:$CB$20,MATCH(B40,Weather!$BO$1:$BO$20,0),MATCH(C40,Weather!$BO$1:$CB$1,0))/VLOOKUP(B40,Weather!$BO$2:$CB$20,14,FALSE)*
VLOOKUP('Monthly Data'!$B40,Weather!$BO$3:$CB$20,14,FALSE)/Weather!$CB$14</f>
        <v>1592.7244698047805</v>
      </c>
      <c r="O40" s="7">
        <f t="shared" ca="1" si="3"/>
        <v>1015357.7095028226</v>
      </c>
      <c r="P40" s="7">
        <v>24263356.321742035</v>
      </c>
      <c r="Q40" s="7">
        <f>IFERROR(VLOOKUP($B40-1,CDM!$V$4:$AJ$17,4,FALSE)/12,0)+IFERROR(VLOOKUP($B40,CDM!$V$41:$AJ$54,4,FALSE)/24,0)+IFERROR(VLOOKUP($B40,CDM!$V$41:$AJ$54,4,FALSE)/2*$C40/78,0)</f>
        <v>1188441.2592569094</v>
      </c>
      <c r="R40" s="7">
        <f t="shared" si="4"/>
        <v>25451797.580998946</v>
      </c>
      <c r="S40" s="7">
        <f>IFERROR(HLOOKUP(B40-1,'EV Forecast VRZ'!$F$124:$T$130,4,FALSE)/12,0)+IFERROR(((HLOOKUP(B40,'EV Forecast VRZ'!$F$116:$T$122,4,FALSE)-HLOOKUP(B40-1,'EV Forecast VRZ'!$F$124:$T$130,4,FALSE)))*C40/78,0)</f>
        <v>19753.77230769231</v>
      </c>
      <c r="T40" s="7">
        <f ca="1">HLOOKUP(B40,Heating!$C$102:$O$106,4,FALSE)*INDEX(Weather!$BO$1:$CB$20,MATCH(B40,Weather!$BO$1:$BO$20,0),MATCH(C40,Weather!$BO$1:$CB$1,0))/VLOOKUP(B40,Weather!$BO$2:$CB$20,14,FALSE)*
VLOOKUP('Monthly Data'!$B40,Weather!$BO$3:$CB$20,14,FALSE)/Weather!$CB$14</f>
        <v>28795.479368135981</v>
      </c>
      <c r="U40" s="7">
        <f t="shared" ca="1" si="5"/>
        <v>25403248.329323117</v>
      </c>
      <c r="V40" s="7">
        <v>79423819.645315558</v>
      </c>
      <c r="W40" s="7">
        <f>IFERROR(VLOOKUP($B40-1,CDM!$V$4:$AJ$17,5,FALSE)/12,0)+IFERROR(VLOOKUP($B40,CDM!$V$41:$AJ$54,5,FALSE)/24,0)+IFERROR(VLOOKUP($B40,CDM!$V$41:$AJ$54,5,FALSE)/2*$C40/78,0)</f>
        <v>4184491.5904807304</v>
      </c>
      <c r="X40" s="7">
        <f t="shared" si="6"/>
        <v>83608311.235796288</v>
      </c>
      <c r="Y40" s="7">
        <f>IFERROR(HLOOKUP(B40-1,'EV Forecast VRZ'!$F$124:$T$130,5,FALSE)/12,0)+IFERROR(((HLOOKUP(B40,'EV Forecast VRZ'!$F$116:$T$122,5,FALSE)-HLOOKUP(B40-1,'EV Forecast VRZ'!$F$124:$T$130,5,FALSE)))*C40/78,0)</f>
        <v>8987.2744615384618</v>
      </c>
      <c r="Z40" s="7">
        <f ca="1">HLOOKUP(B40,Heating!$C$102:$O$106,5,FALSE)*INDEX(Weather!$BO$1:$CB$20,MATCH(B40,Weather!$BO$1:$BO$20,0),MATCH(C40,Weather!$BO$1:$CB$1,0))/VLOOKUP(B40,Weather!$BO$2:$CB$20,14,FALSE)*
VLOOKUP('Monthly Data'!$B40,Weather!$BO$3:$CB$20,14,FALSE)/Weather!$CB$14</f>
        <v>16982.22558187705</v>
      </c>
      <c r="AA40" s="7">
        <f t="shared" ca="1" si="7"/>
        <v>83582341.735752866</v>
      </c>
      <c r="AB40" s="7">
        <v>8105840.3042924888</v>
      </c>
      <c r="AC40" s="7">
        <f>IFERROR(VLOOKUP($B40-1,CDM!$V$4:$AJ$17,6,FALSE)/12,0)+IFERROR(VLOOKUP($B40,CDM!$V$41:$AJ$54,6,FALSE)/24,0)+IFERROR(VLOOKUP($B40,CDM!$V$41:$AJ$54,6,FALSE)/2*$C40/78,0)</f>
        <v>198251.91644009159</v>
      </c>
      <c r="AD40" s="7">
        <f t="shared" si="8"/>
        <v>8304092.2207325809</v>
      </c>
      <c r="AE40" s="7">
        <f>IFERROR(HLOOKUP(B40-1,'EV Forecast VRZ'!$F$124:$T$130,6,FALSE)/12,0)+IFERROR(((HLOOKUP(B40,'EV Forecast VRZ'!$F$116:$T$122,6,FALSE)-HLOOKUP(B40-1,'EV Forecast VRZ'!$F$124:$T$130,6,FALSE)))*C40/78,0)</f>
        <v>1379.9963076923075</v>
      </c>
      <c r="AF40" s="7">
        <f t="shared" si="9"/>
        <v>8302712.2244248884</v>
      </c>
      <c r="AG40" s="7">
        <v>20777836.877538312</v>
      </c>
      <c r="AH40" s="7">
        <f>IFERROR(VLOOKUP($B40-1,CDM!$V$4:$AJ$17,7,FALSE)/12,0)+IFERROR(VLOOKUP($B40,CDM!$V$41:$AJ$54,7,FALSE)/24,0)+IFERROR(VLOOKUP($B40,CDM!$V$41:$AJ$54,7,FALSE)/2*$C40/78,0)</f>
        <v>1506243.2812114628</v>
      </c>
      <c r="AI40" s="7">
        <f t="shared" si="10"/>
        <v>22284080.158749774</v>
      </c>
      <c r="AJ40" s="7">
        <f>IFERROR(HLOOKUP(B40-1,'EV Forecast VRZ'!$F$124:$T$130,7,FALSE)/12,0)+IFERROR(((HLOOKUP(B40,'EV Forecast VRZ'!$F$116:$T$122,7,FALSE)-HLOOKUP(B40-1,'EV Forecast VRZ'!$F$124:$T$130,7,FALSE)))*C40/78,0)</f>
        <v>0</v>
      </c>
      <c r="AK40" s="7">
        <f t="shared" si="11"/>
        <v>22284080.158749774</v>
      </c>
      <c r="AL40" s="7">
        <v>1212410.9139477201</v>
      </c>
      <c r="AM40" s="7">
        <v>17868.603319977097</v>
      </c>
      <c r="AN40" s="7">
        <v>385077.00820454111</v>
      </c>
      <c r="AO40" s="5">
        <v>184035.83</v>
      </c>
      <c r="AP40" s="5">
        <v>16702.8</v>
      </c>
      <c r="AQ40" s="5">
        <v>34716</v>
      </c>
      <c r="AR40" s="5">
        <v>3236.78</v>
      </c>
      <c r="AS40" s="544">
        <f t="shared" si="117"/>
        <v>52.416666666666664</v>
      </c>
      <c r="AT40" s="557">
        <v>110482.25</v>
      </c>
      <c r="AU40" s="557">
        <v>1567.75</v>
      </c>
      <c r="AV40" s="557">
        <v>9168.2500000000018</v>
      </c>
      <c r="AW40" s="557">
        <v>1035.5000000000002</v>
      </c>
      <c r="AX40" s="557">
        <v>4</v>
      </c>
      <c r="AY40" s="557">
        <v>4</v>
      </c>
      <c r="AZ40" s="557">
        <v>31118.249999999996</v>
      </c>
      <c r="BA40" s="557">
        <v>394.24999999999994</v>
      </c>
      <c r="BB40" s="557">
        <v>812.25000000000011</v>
      </c>
      <c r="BC40" s="560">
        <v>26456255.017160986</v>
      </c>
      <c r="BD40" s="560">
        <f>IFERROR(VLOOKUP($B40-1,CDM!$V$4:$AJ$17,11,FALSE)/12,0)+IFERROR(VLOOKUP($B40,CDM!$V$41:$AJ$54,11,FALSE)/24,0)+IFERROR(VLOOKUP($B40,CDM!$V$41:$AJ$54,11,FALSE)/2*$C40/78,0)</f>
        <v>1890413.6524353623</v>
      </c>
      <c r="BE40" s="560">
        <f t="shared" si="67"/>
        <v>28346668.669596348</v>
      </c>
      <c r="BF40" s="560">
        <f>IFERROR(HLOOKUP(B40-1,'EV Forecast WRZ'!$F$124:$T$130,2,FALSE)/12,0)+IFERROR(((HLOOKUP(B40,'EV Forecast WRZ'!$F$116:$T$122,2,FALSE)-HLOOKUP(B40-1,'EV Forecast WRZ'!$F$124:$T$130,2,FALSE)))*C40/78,0)</f>
        <v>44746.203205128215</v>
      </c>
      <c r="BG40" s="560">
        <f ca="1">HLOOKUP(B40,Heating!$R$102:$AD$106,2,FALSE)*INDEX(Weather!$BO$1:$CB$20,MATCH(B40,Weather!$BO$1:$BO$20,0),MATCH(C40,Weather!$BO$1:$CB$1,0))/VLOOKUP(B40,Weather!$BO$2:$CB$20,14,FALSE)*
VLOOKUP('Monthly Data'!$B40,Weather!$BO$3:$CB$20,14,FALSE)/Weather!$CB$14</f>
        <v>41624.327355287627</v>
      </c>
      <c r="BH40" s="560">
        <f t="shared" ca="1" si="13"/>
        <v>28260298.139035933</v>
      </c>
      <c r="BI40" s="560">
        <v>7622333.1967954747</v>
      </c>
      <c r="BJ40" s="560">
        <f>IFERROR(VLOOKUP($B40-1,CDM!$V$4:$AJ$17,12,FALSE)/12,0)+IFERROR(VLOOKUP($B40,CDM!$V$41:$AJ$54,12,FALSE)/24,0)+IFERROR(VLOOKUP($B40,CDM!$V$41:$AJ$54,12,FALSE)/2*$C40/78,0)</f>
        <v>199496.81699921668</v>
      </c>
      <c r="BK40" s="560">
        <f t="shared" si="14"/>
        <v>7821830.0137946913</v>
      </c>
      <c r="BL40" s="560">
        <f>IFERROR(HLOOKUP(B40-1,'EV Forecast WRZ'!$F$124:$T$130,3,FALSE)/12,0)+IFERROR(((HLOOKUP(B40,'EV Forecast WRZ'!$F$116:$T$122,3,FALSE)-HLOOKUP(B40-1,'EV Forecast WRZ'!$F$124:$T$130,3,FALSE)))*C40/78,0)</f>
        <v>5634.8474358974363</v>
      </c>
      <c r="BM40" s="560">
        <f ca="1">HLOOKUP(B40,Heating!$R$102:$AD$106,4,FALSE)*INDEX(Weather!$BO$1:$CB$20,MATCH(B40,Weather!$BO$1:$BO$20,0),MATCH(C40,Weather!$BO$1:$CB$1,0))/VLOOKUP(B40,Weather!$BO$2:$CB$20,14,FALSE)*
VLOOKUP('Monthly Data'!$B40,Weather!$BO$3:$CB$20,14,FALSE)/Weather!$CB$14</f>
        <v>7071.5199322615335</v>
      </c>
      <c r="BN40" s="560">
        <f t="shared" ca="1" si="15"/>
        <v>7809123.6464265324</v>
      </c>
      <c r="BO40" s="560">
        <v>27786798.093065143</v>
      </c>
      <c r="BP40" s="560">
        <f>IFERROR(VLOOKUP($B40-1,CDM!$V$4:$AJ$17,13,FALSE)/12,0)+IFERROR(VLOOKUP($B40,CDM!$V$41:$AJ$54,13,FALSE)/24,0)+IFERROR(VLOOKUP($B40,CDM!$V$41:$AJ$54,13,FALSE)/2*$C40/78,0)</f>
        <v>1390902.887910693</v>
      </c>
      <c r="BQ40" s="560">
        <f t="shared" si="16"/>
        <v>29177700.980975837</v>
      </c>
      <c r="BR40" s="560">
        <f>IFERROR(HLOOKUP(B40-1,'EV Forecast WRZ'!$F$124:$T$130,4,FALSE)/12,0)+IFERROR(((HLOOKUP(B40,'EV Forecast WRZ'!$F$116:$T$122,4,FALSE)-HLOOKUP(B40-1,'EV Forecast WRZ'!$F$124:$T$130,4,FALSE)))*C40/78,0)</f>
        <v>2565.6813461538463</v>
      </c>
      <c r="BS40" s="560">
        <f ca="1">HLOOKUP(B40,Heating!$R$102:$AD$106,5,FALSE)*INDEX(Weather!$BO$1:$CB$20,MATCH(B40,Weather!$BO$1:$BO$20,0),MATCH(C40,Weather!$BO$1:$CB$1,0))/VLOOKUP(B40,Weather!$BO$2:$CB$20,14,FALSE)*
VLOOKUP('Monthly Data'!$B40,Weather!$BO$3:$CB$20,14,FALSE)/Weather!$CB$14</f>
        <v>5036.6568615572023</v>
      </c>
      <c r="BT40" s="560">
        <f t="shared" ca="1" si="17"/>
        <v>29170098.642768122</v>
      </c>
      <c r="BU40" s="560">
        <v>6715804.4262295095</v>
      </c>
      <c r="BV40" s="560">
        <f>IFERROR(VLOOKUP($B40-1,CDM!$V$4:$AJ$17,14,FALSE)/12,0)+IFERROR(VLOOKUP($B40,CDM!$V$41:$AJ$54,14,FALSE)/24,0)+IFERROR(VLOOKUP($B40,CDM!$V$41:$AJ$54,14,FALSE)/2*$C40/78,0)</f>
        <v>312705.78601740469</v>
      </c>
      <c r="BW40" s="560">
        <f t="shared" si="18"/>
        <v>7028510.2122469144</v>
      </c>
      <c r="BX40" s="560">
        <f>IFERROR(HLOOKUP(B40-1,'EV Forecast WRZ'!$F$124:$T$130,5,FALSE)/12,0)+IFERROR(((HLOOKUP(B40,'EV Forecast WRZ'!$F$116:$T$122,5,FALSE)-HLOOKUP(B40-1,'EV Forecast WRZ'!$F$124:$T$130,5,FALSE)))*C40/78,0)</f>
        <v>401.74237179487181</v>
      </c>
      <c r="BY40" s="560">
        <f t="shared" si="68"/>
        <v>7028108.4698751196</v>
      </c>
      <c r="BZ40" s="560">
        <v>278126.42050889606</v>
      </c>
      <c r="CA40" s="560">
        <v>2362.8290142882652</v>
      </c>
      <c r="CB40" s="560">
        <v>48129.978955423758</v>
      </c>
      <c r="CC40" s="5">
        <v>66145.84</v>
      </c>
      <c r="CD40" s="5">
        <v>13052.47</v>
      </c>
      <c r="CE40" s="5">
        <v>752.88</v>
      </c>
      <c r="CF40" s="544">
        <f t="shared" si="118"/>
        <v>7.166666666666667</v>
      </c>
      <c r="CG40" s="565">
        <v>40563.250000000007</v>
      </c>
      <c r="CH40" s="565">
        <v>2257.2500000000005</v>
      </c>
      <c r="CI40" s="565">
        <v>377</v>
      </c>
      <c r="CJ40" s="565">
        <v>3</v>
      </c>
      <c r="CK40" s="565">
        <v>12286.500000000002</v>
      </c>
      <c r="CL40" s="565">
        <v>37</v>
      </c>
      <c r="CM40" s="565">
        <v>382.5</v>
      </c>
      <c r="CN40" s="46">
        <f>Weather!C64</f>
        <v>673.45833333333326</v>
      </c>
      <c r="CO40" s="46">
        <f>Weather!D64</f>
        <v>0</v>
      </c>
      <c r="CP40" s="46">
        <f>Weather!E64</f>
        <v>611.45833333333337</v>
      </c>
      <c r="CQ40" s="46">
        <f>Weather!F64</f>
        <v>0</v>
      </c>
      <c r="CR40" s="46">
        <f>Weather!G64</f>
        <v>549.45833333333326</v>
      </c>
      <c r="CS40" s="46">
        <f>Weather!H64</f>
        <v>0</v>
      </c>
      <c r="CT40" s="46">
        <f>Weather!I64</f>
        <v>487.45833333333331</v>
      </c>
      <c r="CU40" s="46">
        <f>Weather!J64</f>
        <v>0</v>
      </c>
      <c r="CV40" s="46">
        <f>Weather!K64</f>
        <v>425.45833333333326</v>
      </c>
      <c r="CW40" s="46">
        <f>Weather!L64</f>
        <v>0</v>
      </c>
      <c r="CX40" s="46">
        <f>Weather!M64</f>
        <v>363.45833333333326</v>
      </c>
      <c r="CY40" s="46">
        <f>Weather!N64</f>
        <v>0</v>
      </c>
      <c r="CZ40" s="46">
        <f>Weather!O64</f>
        <v>301.45833333333326</v>
      </c>
      <c r="DA40" s="46">
        <f>Weather!P64</f>
        <v>0</v>
      </c>
      <c r="DB40" s="243">
        <f>'Economic Data'!D66</f>
        <v>7341.9</v>
      </c>
      <c r="DC40" s="243">
        <f>'Economic Data'!E66</f>
        <v>7239.5</v>
      </c>
      <c r="DD40" s="243">
        <f>'Economic Data'!F66</f>
        <v>220.1</v>
      </c>
      <c r="DE40" s="243">
        <f>'Economic Data'!G66</f>
        <v>218.5</v>
      </c>
      <c r="DF40" s="243">
        <f>'Economic Data'!H66</f>
        <v>60.6</v>
      </c>
      <c r="DG40" s="243">
        <f>'Economic Data'!I66</f>
        <v>60.6</v>
      </c>
      <c r="DH40" s="243">
        <f>'Economic Data'!J66</f>
        <v>807274.5</v>
      </c>
      <c r="DI40" s="243">
        <f>'Economic Data'!K66</f>
        <v>626103.1</v>
      </c>
      <c r="DJ40" s="243">
        <f>'Economic Data'!L66</f>
        <v>94599.6</v>
      </c>
      <c r="DK40" s="243">
        <f>'Economic Data'!M66</f>
        <v>32860.800000000003</v>
      </c>
      <c r="DL40" s="243">
        <f>'Economic Data'!N66</f>
        <v>800743</v>
      </c>
      <c r="DM40" s="243">
        <f>'Economic Data'!O66</f>
        <v>95928</v>
      </c>
      <c r="DN40" s="243">
        <f>'Economic Data'!P66</f>
        <v>19895</v>
      </c>
      <c r="DO40" s="243">
        <f>'Economic Data'!Q66</f>
        <v>619023</v>
      </c>
      <c r="DP40" s="243">
        <f>'Economic Data'!R66</f>
        <v>31762</v>
      </c>
      <c r="DQ40">
        <v>31</v>
      </c>
      <c r="DR40">
        <v>22</v>
      </c>
      <c r="DS40">
        <v>0</v>
      </c>
      <c r="DT40">
        <v>0</v>
      </c>
      <c r="DU40">
        <v>1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1</v>
      </c>
      <c r="EF40">
        <v>0</v>
      </c>
      <c r="EG40">
        <v>1</v>
      </c>
      <c r="EH40">
        <f t="shared" si="66"/>
        <v>39</v>
      </c>
      <c r="EI40">
        <v>0</v>
      </c>
      <c r="EJ40">
        <v>0</v>
      </c>
      <c r="EK40">
        <v>0</v>
      </c>
      <c r="EL40">
        <v>0</v>
      </c>
      <c r="EM40" s="47">
        <f t="shared" si="69"/>
        <v>0</v>
      </c>
      <c r="EN40" s="47">
        <f t="shared" si="70"/>
        <v>0</v>
      </c>
      <c r="EO40" s="47">
        <f t="shared" si="71"/>
        <v>0</v>
      </c>
      <c r="EP40" s="47">
        <f t="shared" si="72"/>
        <v>0</v>
      </c>
      <c r="EQ40" s="47">
        <f t="shared" si="73"/>
        <v>0</v>
      </c>
      <c r="ER40" s="47">
        <f t="shared" si="74"/>
        <v>0</v>
      </c>
      <c r="ES40" s="47">
        <f t="shared" si="75"/>
        <v>0</v>
      </c>
      <c r="ET40" s="47">
        <f t="shared" si="76"/>
        <v>0</v>
      </c>
      <c r="EU40" s="47">
        <f t="shared" si="77"/>
        <v>0</v>
      </c>
      <c r="EV40" s="47">
        <f t="shared" si="78"/>
        <v>0</v>
      </c>
      <c r="EW40" s="47">
        <f t="shared" si="79"/>
        <v>0</v>
      </c>
      <c r="EX40" s="47">
        <f t="shared" si="80"/>
        <v>0</v>
      </c>
      <c r="EY40" s="47">
        <f t="shared" si="81"/>
        <v>0</v>
      </c>
      <c r="EZ40" s="47">
        <f t="shared" si="82"/>
        <v>0</v>
      </c>
      <c r="FA40" s="47">
        <f t="shared" si="83"/>
        <v>0</v>
      </c>
      <c r="FB40" s="47">
        <f t="shared" si="84"/>
        <v>0</v>
      </c>
      <c r="FC40" s="47">
        <f t="shared" si="85"/>
        <v>0</v>
      </c>
      <c r="FD40" s="47">
        <f t="shared" si="86"/>
        <v>0</v>
      </c>
      <c r="FE40" s="47">
        <f t="shared" si="87"/>
        <v>0</v>
      </c>
      <c r="FF40" s="47">
        <f t="shared" si="88"/>
        <v>0</v>
      </c>
      <c r="FG40" s="47">
        <f t="shared" si="89"/>
        <v>0</v>
      </c>
      <c r="FH40" s="47">
        <f t="shared" si="90"/>
        <v>0</v>
      </c>
      <c r="FI40" s="47">
        <f t="shared" si="91"/>
        <v>0</v>
      </c>
      <c r="FJ40" s="47">
        <f t="shared" si="92"/>
        <v>0</v>
      </c>
      <c r="FK40" s="47">
        <f t="shared" si="93"/>
        <v>0</v>
      </c>
      <c r="FL40" s="47">
        <f t="shared" si="94"/>
        <v>0</v>
      </c>
      <c r="FM40" s="47">
        <f t="shared" si="95"/>
        <v>0</v>
      </c>
      <c r="FN40" s="47">
        <f t="shared" si="96"/>
        <v>0</v>
      </c>
      <c r="FO40" s="546">
        <f t="shared" ca="1" si="97"/>
        <v>741.69923967077659</v>
      </c>
      <c r="FP40" s="546">
        <f t="shared" si="98"/>
        <v>650.01462090549205</v>
      </c>
      <c r="FQ40" s="546">
        <f t="shared" si="99"/>
        <v>2776.0802313417435</v>
      </c>
      <c r="FR40" s="546">
        <f t="shared" si="100"/>
        <v>80741.971256201126</v>
      </c>
      <c r="FS40" s="546">
        <f t="shared" si="101"/>
        <v>2076023.0551831452</v>
      </c>
      <c r="FT40" s="546">
        <f t="shared" si="102"/>
        <v>5571020.0396874435</v>
      </c>
      <c r="FU40" s="546">
        <f t="shared" si="103"/>
        <v>38.961410553219423</v>
      </c>
      <c r="FV40" s="546">
        <f t="shared" si="104"/>
        <v>45.32302681034141</v>
      </c>
      <c r="FW40" s="546">
        <f t="shared" si="105"/>
        <v>474.08680603821614</v>
      </c>
      <c r="FX40" s="546">
        <f t="shared" si="106"/>
        <v>698.82636794626524</v>
      </c>
      <c r="FY40" s="546">
        <f t="shared" si="107"/>
        <v>3465.2032401349829</v>
      </c>
      <c r="FZ40" s="546">
        <f t="shared" si="108"/>
        <v>77394.432310280739</v>
      </c>
      <c r="GA40" s="546">
        <f t="shared" si="109"/>
        <v>92708.806836298681</v>
      </c>
      <c r="GB40" s="546">
        <f t="shared" si="110"/>
        <v>22.636749319081595</v>
      </c>
      <c r="GC40" s="546">
        <f t="shared" si="111"/>
        <v>63.860243629412572</v>
      </c>
      <c r="GD40" s="546">
        <f t="shared" si="112"/>
        <v>125.83001034097714</v>
      </c>
    </row>
    <row r="41" spans="1:186">
      <c r="A41" s="4">
        <v>43556</v>
      </c>
      <c r="B41" s="6">
        <v>2019</v>
      </c>
      <c r="C41" s="5">
        <v>4</v>
      </c>
      <c r="D41" s="7">
        <v>65348997.914672956</v>
      </c>
      <c r="E41" s="7">
        <f>IFERROR(VLOOKUP($B41-1,CDM!$V$4:$AJ$17,2,FALSE)/12,0)+IFERROR(VLOOKUP($B41,CDM!$V$41:$AJ$54,2,FALSE)/24,0)+IFERROR(VLOOKUP($B41,CDM!$V$41:$AJ$54,2,FALSE)/2*$C41/78,0)</f>
        <v>3771137.424298679</v>
      </c>
      <c r="F41" s="7">
        <f t="shared" si="0"/>
        <v>69120135.33897163</v>
      </c>
      <c r="G41" s="7">
        <f>IFERROR(HLOOKUP(B41-1,'EV Forecast VRZ'!$F$124:$T$130,2,FALSE)/12,0)+IFERROR(((HLOOKUP(B41,'EV Forecast VRZ'!$F$116:$T$122,2,FALSE)-HLOOKUP(B41-1,'EV Forecast VRZ'!$F$124:$T$130,2,FALSE)))*C41/78,0)</f>
        <v>159627.15346848097</v>
      </c>
      <c r="H41" s="7">
        <f ca="1">HLOOKUP(B41,Heating!$C$102:$O$106,2,FALSE)*INDEX(Weather!$BO$1:$CB$20,MATCH(B41,Weather!$BO$1:$BO$20,0),MATCH(C41,Weather!$BO$1:$CB$1,0))/VLOOKUP(B41,Weather!$BO$2:$CB$20,14,FALSE)*
VLOOKUP('Monthly Data'!$B41,Weather!$BO$3:$CB$20,14,FALSE)/Weather!$CB$14</f>
        <v>67709.756674930803</v>
      </c>
      <c r="I41" s="7">
        <f t="shared" ca="1" si="1"/>
        <v>68892798.428828225</v>
      </c>
      <c r="J41" s="7">
        <v>713464.16530242318</v>
      </c>
      <c r="K41" s="7">
        <f>IFERROR(VLOOKUP($B41-1,CDM!$V$4:$AJ$17,3,FALSE)/12,0)+IFERROR(VLOOKUP($B41,CDM!$V$41:$AJ$54,3,FALSE)/24,0)+IFERROR(VLOOKUP($B41,CDM!$V$41:$AJ$54,3,FALSE)/2*$C41/78,0)</f>
        <v>43193.867325017418</v>
      </c>
      <c r="L41" s="7">
        <f t="shared" si="2"/>
        <v>756658.03262744064</v>
      </c>
      <c r="M41" s="7">
        <f>IFERROR(HLOOKUP(B41-1,'EV Forecast VRZ'!$F$124:$T$130,3,FALSE)/12,0)+IFERROR(((HLOOKUP(B41,'EV Forecast VRZ'!$F$116:$T$122,3,FALSE)-HLOOKUP(B41-1,'EV Forecast VRZ'!$F$124:$T$130,3,FALSE)))*C41/78,0)</f>
        <v>2166.0034545959443</v>
      </c>
      <c r="N41" s="7">
        <f ca="1">HLOOKUP(B41,Heating!$C$102:$O$106,3,FALSE)*INDEX(Weather!$BO$1:$CB$20,MATCH(B41,Weather!$BO$1:$BO$20,0),MATCH(C41,Weather!$BO$1:$CB$1,0))/VLOOKUP(B41,Weather!$BO$2:$CB$20,14,FALSE)*
VLOOKUP('Monthly Data'!$B41,Weather!$BO$3:$CB$20,14,FALSE)/Weather!$CB$14</f>
        <v>955.05945600961672</v>
      </c>
      <c r="O41" s="7">
        <f t="shared" ca="1" si="3"/>
        <v>753536.96971683507</v>
      </c>
      <c r="P41" s="7">
        <v>22015807.846203107</v>
      </c>
      <c r="Q41" s="7">
        <f>IFERROR(VLOOKUP($B41-1,CDM!$V$4:$AJ$17,4,FALSE)/12,0)+IFERROR(VLOOKUP($B41,CDM!$V$41:$AJ$54,4,FALSE)/24,0)+IFERROR(VLOOKUP($B41,CDM!$V$41:$AJ$54,4,FALSE)/2*$C41/78,0)</f>
        <v>1207966.6427724345</v>
      </c>
      <c r="R41" s="7">
        <f t="shared" si="4"/>
        <v>23223774.488975544</v>
      </c>
      <c r="S41" s="7">
        <f>IFERROR(HLOOKUP(B41-1,'EV Forecast VRZ'!$F$124:$T$130,4,FALSE)/12,0)+IFERROR(((HLOOKUP(B41,'EV Forecast VRZ'!$F$116:$T$122,4,FALSE)-HLOOKUP(B41-1,'EV Forecast VRZ'!$F$124:$T$130,4,FALSE)))*C41/78,0)</f>
        <v>20248.403076923081</v>
      </c>
      <c r="T41" s="7">
        <f ca="1">HLOOKUP(B41,Heating!$C$102:$O$106,4,FALSE)*INDEX(Weather!$BO$1:$CB$20,MATCH(B41,Weather!$BO$1:$BO$20,0),MATCH(C41,Weather!$BO$1:$CB$1,0))/VLOOKUP(B41,Weather!$BO$2:$CB$20,14,FALSE)*
VLOOKUP('Monthly Data'!$B41,Weather!$BO$3:$CB$20,14,FALSE)/Weather!$CB$14</f>
        <v>17266.887890683895</v>
      </c>
      <c r="U41" s="7">
        <f t="shared" ca="1" si="5"/>
        <v>23186259.198007934</v>
      </c>
      <c r="V41" s="7">
        <v>72054287.239706993</v>
      </c>
      <c r="W41" s="7">
        <f>IFERROR(VLOOKUP($B41-1,CDM!$V$4:$AJ$17,5,FALSE)/12,0)+IFERROR(VLOOKUP($B41,CDM!$V$41:$AJ$54,5,FALSE)/24,0)+IFERROR(VLOOKUP($B41,CDM!$V$41:$AJ$54,5,FALSE)/2*$C41/78,0)</f>
        <v>4254653.2142211376</v>
      </c>
      <c r="X41" s="7">
        <f t="shared" si="6"/>
        <v>76308940.453928128</v>
      </c>
      <c r="Y41" s="7">
        <f>IFERROR(HLOOKUP(B41-1,'EV Forecast VRZ'!$F$124:$T$130,5,FALSE)/12,0)+IFERROR(((HLOOKUP(B41,'EV Forecast VRZ'!$F$116:$T$122,5,FALSE)-HLOOKUP(B41-1,'EV Forecast VRZ'!$F$124:$T$130,5,FALSE)))*C41/78,0)</f>
        <v>9210.0506153846163</v>
      </c>
      <c r="Z41" s="7">
        <f ca="1">HLOOKUP(B41,Heating!$C$102:$O$106,5,FALSE)*INDEX(Weather!$BO$1:$CB$20,MATCH(B41,Weather!$BO$1:$BO$20,0),MATCH(C41,Weather!$BO$1:$CB$1,0))/VLOOKUP(B41,Weather!$BO$2:$CB$20,14,FALSE)*
VLOOKUP('Monthly Data'!$B41,Weather!$BO$3:$CB$20,14,FALSE)/Weather!$CB$14</f>
        <v>10183.202075151172</v>
      </c>
      <c r="AA41" s="7">
        <f t="shared" ca="1" si="7"/>
        <v>76289547.201237589</v>
      </c>
      <c r="AB41" s="7">
        <v>7662956.9690308133</v>
      </c>
      <c r="AC41" s="7">
        <f>IFERROR(VLOOKUP($B41-1,CDM!$V$4:$AJ$17,6,FALSE)/12,0)+IFERROR(VLOOKUP($B41,CDM!$V$41:$AJ$54,6,FALSE)/24,0)+IFERROR(VLOOKUP($B41,CDM!$V$41:$AJ$54,6,FALSE)/2*$C41/78,0)</f>
        <v>201686.93467415025</v>
      </c>
      <c r="AD41" s="7">
        <f t="shared" si="8"/>
        <v>7864643.9037049636</v>
      </c>
      <c r="AE41" s="7">
        <f>IFERROR(HLOOKUP(B41-1,'EV Forecast VRZ'!$F$124:$T$130,6,FALSE)/12,0)+IFERROR(((HLOOKUP(B41,'EV Forecast VRZ'!$F$116:$T$122,6,FALSE)-HLOOKUP(B41-1,'EV Forecast VRZ'!$F$124:$T$130,6,FALSE)))*C41/78,0)</f>
        <v>1405.4970769230767</v>
      </c>
      <c r="AF41" s="7">
        <f t="shared" si="9"/>
        <v>7863238.4066280406</v>
      </c>
      <c r="AG41" s="7">
        <v>21012631.851871423</v>
      </c>
      <c r="AH41" s="7">
        <f>IFERROR(VLOOKUP($B41-1,CDM!$V$4:$AJ$17,7,FALSE)/12,0)+IFERROR(VLOOKUP($B41,CDM!$V$41:$AJ$54,7,FALSE)/24,0)+IFERROR(VLOOKUP($B41,CDM!$V$41:$AJ$54,7,FALSE)/2*$C41/78,0)</f>
        <v>1522290.5652030441</v>
      </c>
      <c r="AI41" s="7">
        <f t="shared" si="10"/>
        <v>22534922.417074468</v>
      </c>
      <c r="AJ41" s="7">
        <f>IFERROR(HLOOKUP(B41-1,'EV Forecast VRZ'!$F$124:$T$130,7,FALSE)/12,0)+IFERROR(((HLOOKUP(B41,'EV Forecast VRZ'!$F$116:$T$122,7,FALSE)-HLOOKUP(B41-1,'EV Forecast VRZ'!$F$124:$T$130,7,FALSE)))*C41/78,0)</f>
        <v>0</v>
      </c>
      <c r="AK41" s="7">
        <f t="shared" si="11"/>
        <v>22534922.417074468</v>
      </c>
      <c r="AL41" s="7">
        <v>969293.47452776192</v>
      </c>
      <c r="AM41" s="7">
        <v>18261.171532150354</v>
      </c>
      <c r="AN41" s="7">
        <v>386204.9990459836</v>
      </c>
      <c r="AO41" s="5">
        <v>179854.13</v>
      </c>
      <c r="AP41" s="5">
        <v>16754.57</v>
      </c>
      <c r="AQ41" s="5">
        <v>35070</v>
      </c>
      <c r="AR41" s="5">
        <v>3077.2</v>
      </c>
      <c r="AS41" s="544">
        <f t="shared" si="117"/>
        <v>52.416666666666664</v>
      </c>
      <c r="AT41" s="557">
        <v>110619</v>
      </c>
      <c r="AU41" s="557">
        <v>1567</v>
      </c>
      <c r="AV41" s="557">
        <v>9179.3333333333358</v>
      </c>
      <c r="AW41" s="557">
        <v>1033.666666666667</v>
      </c>
      <c r="AX41" s="557">
        <v>4</v>
      </c>
      <c r="AY41" s="557">
        <v>4</v>
      </c>
      <c r="AZ41" s="557">
        <v>31125.333333333328</v>
      </c>
      <c r="BA41" s="557">
        <v>379.33333333333326</v>
      </c>
      <c r="BB41" s="557">
        <v>811.33333333333348</v>
      </c>
      <c r="BC41" s="560">
        <v>23006915.515467856</v>
      </c>
      <c r="BD41" s="560">
        <f>IFERROR(VLOOKUP($B41-1,CDM!$V$4:$AJ$17,11,FALSE)/12,0)+IFERROR(VLOOKUP($B41,CDM!$V$41:$AJ$54,11,FALSE)/24,0)+IFERROR(VLOOKUP($B41,CDM!$V$41:$AJ$54,11,FALSE)/2*$C41/78,0)</f>
        <v>1898613.2019592761</v>
      </c>
      <c r="BE41" s="560">
        <f t="shared" si="67"/>
        <v>24905528.717427131</v>
      </c>
      <c r="BF41" s="560">
        <f>IFERROR(HLOOKUP(B41-1,'EV Forecast WRZ'!$F$124:$T$130,2,FALSE)/12,0)+IFERROR(((HLOOKUP(B41,'EV Forecast WRZ'!$F$116:$T$122,2,FALSE)-HLOOKUP(B41-1,'EV Forecast WRZ'!$F$124:$T$130,2,FALSE)))*C41/78,0)</f>
        <v>46246.540384615393</v>
      </c>
      <c r="BG41" s="560">
        <f ca="1">HLOOKUP(B41,Heating!$R$102:$AD$106,2,FALSE)*INDEX(Weather!$BO$1:$CB$20,MATCH(B41,Weather!$BO$1:$BO$20,0),MATCH(C41,Weather!$BO$1:$CB$1,0))/VLOOKUP(B41,Weather!$BO$2:$CB$20,14,FALSE)*
VLOOKUP('Monthly Data'!$B41,Weather!$BO$3:$CB$20,14,FALSE)/Weather!$CB$14</f>
        <v>24959.563436342381</v>
      </c>
      <c r="BH41" s="560">
        <f t="shared" ca="1" si="13"/>
        <v>24834322.613606174</v>
      </c>
      <c r="BI41" s="560">
        <v>6573181.0181461535</v>
      </c>
      <c r="BJ41" s="560">
        <f>IFERROR(VLOOKUP($B41-1,CDM!$V$4:$AJ$17,12,FALSE)/12,0)+IFERROR(VLOOKUP($B41,CDM!$V$41:$AJ$54,12,FALSE)/24,0)+IFERROR(VLOOKUP($B41,CDM!$V$41:$AJ$54,12,FALSE)/2*$C41/78,0)</f>
        <v>201383.62855323311</v>
      </c>
      <c r="BK41" s="560">
        <f t="shared" si="14"/>
        <v>6774564.6466993866</v>
      </c>
      <c r="BL41" s="560">
        <f>IFERROR(HLOOKUP(B41-1,'EV Forecast WRZ'!$F$124:$T$130,3,FALSE)/12,0)+IFERROR(((HLOOKUP(B41,'EV Forecast WRZ'!$F$116:$T$122,3,FALSE)-HLOOKUP(B41-1,'EV Forecast WRZ'!$F$124:$T$130,3,FALSE)))*C41/78,0)</f>
        <v>5811.3576923076926</v>
      </c>
      <c r="BM41" s="560">
        <f ca="1">HLOOKUP(B41,Heating!$R$102:$AD$106,4,FALSE)*INDEX(Weather!$BO$1:$CB$20,MATCH(B41,Weather!$BO$1:$BO$20,0),MATCH(C41,Weather!$BO$1:$CB$1,0))/VLOOKUP(B41,Weather!$BO$2:$CB$20,14,FALSE)*
VLOOKUP('Monthly Data'!$B41,Weather!$BO$3:$CB$20,14,FALSE)/Weather!$CB$14</f>
        <v>4240.3580203013162</v>
      </c>
      <c r="BN41" s="560">
        <f t="shared" ca="1" si="15"/>
        <v>6764512.9309867779</v>
      </c>
      <c r="BO41" s="560">
        <v>26396250.985289704</v>
      </c>
      <c r="BP41" s="560">
        <f>IFERROR(VLOOKUP($B41-1,CDM!$V$4:$AJ$17,13,FALSE)/12,0)+IFERROR(VLOOKUP($B41,CDM!$V$41:$AJ$54,13,FALSE)/24,0)+IFERROR(VLOOKUP($B41,CDM!$V$41:$AJ$54,13,FALSE)/2*$C41/78,0)</f>
        <v>1427052.8952418142</v>
      </c>
      <c r="BQ41" s="560">
        <f t="shared" si="16"/>
        <v>27823303.88053152</v>
      </c>
      <c r="BR41" s="560">
        <f>IFERROR(HLOOKUP(B41-1,'EV Forecast WRZ'!$F$124:$T$130,4,FALSE)/12,0)+IFERROR(((HLOOKUP(B41,'EV Forecast WRZ'!$F$116:$T$122,4,FALSE)-HLOOKUP(B41-1,'EV Forecast WRZ'!$F$124:$T$130,4,FALSE)))*C41/78,0)</f>
        <v>2645.1109615384617</v>
      </c>
      <c r="BS41" s="560">
        <f ca="1">HLOOKUP(B41,Heating!$R$102:$AD$106,5,FALSE)*INDEX(Weather!$BO$1:$CB$20,MATCH(B41,Weather!$BO$1:$BO$20,0),MATCH(C41,Weather!$BO$1:$CB$1,0))/VLOOKUP(B41,Weather!$BO$2:$CB$20,14,FALSE)*
VLOOKUP('Monthly Data'!$B41,Weather!$BO$3:$CB$20,14,FALSE)/Weather!$CB$14</f>
        <v>3020.1750858361092</v>
      </c>
      <c r="BT41" s="560">
        <f t="shared" ca="1" si="17"/>
        <v>27817638.594484147</v>
      </c>
      <c r="BU41" s="560">
        <v>6314958.9296046291</v>
      </c>
      <c r="BV41" s="560">
        <f>IFERROR(VLOOKUP($B41-1,CDM!$V$4:$AJ$17,14,FALSE)/12,0)+IFERROR(VLOOKUP($B41,CDM!$V$41:$AJ$54,14,FALSE)/24,0)+IFERROR(VLOOKUP($B41,CDM!$V$41:$AJ$54,14,FALSE)/2*$C41/78,0)</f>
        <v>320833.10860424151</v>
      </c>
      <c r="BW41" s="560">
        <f t="shared" si="18"/>
        <v>6635792.0382088702</v>
      </c>
      <c r="BX41" s="560">
        <f>IFERROR(HLOOKUP(B41-1,'EV Forecast WRZ'!$F$124:$T$130,5,FALSE)/12,0)+IFERROR(((HLOOKUP(B41,'EV Forecast WRZ'!$F$116:$T$122,5,FALSE)-HLOOKUP(B41-1,'EV Forecast WRZ'!$F$124:$T$130,5,FALSE)))*C41/78,0)</f>
        <v>410.56788461538463</v>
      </c>
      <c r="BY41" s="560">
        <f t="shared" si="68"/>
        <v>6635381.4703242546</v>
      </c>
      <c r="BZ41" s="560">
        <v>246948.60340539506</v>
      </c>
      <c r="CA41" s="560">
        <v>2362.8290142882652</v>
      </c>
      <c r="CB41" s="560">
        <v>48129.978955423758</v>
      </c>
      <c r="CC41" s="5">
        <v>64147.17</v>
      </c>
      <c r="CD41" s="5">
        <v>12385.95</v>
      </c>
      <c r="CE41" s="5">
        <v>737.12</v>
      </c>
      <c r="CF41" s="544">
        <f t="shared" si="118"/>
        <v>7.166666666666667</v>
      </c>
      <c r="CG41" s="565">
        <v>40660.333333333343</v>
      </c>
      <c r="CH41" s="565">
        <v>2258.3333333333339</v>
      </c>
      <c r="CI41" s="565">
        <v>377</v>
      </c>
      <c r="CJ41" s="565">
        <v>3</v>
      </c>
      <c r="CK41" s="565">
        <v>12321.333333333336</v>
      </c>
      <c r="CL41" s="565">
        <v>37</v>
      </c>
      <c r="CM41" s="565">
        <v>383</v>
      </c>
      <c r="CN41" s="46">
        <f>Weather!C65</f>
        <v>426.6541666666667</v>
      </c>
      <c r="CO41" s="46">
        <f>Weather!D65</f>
        <v>0</v>
      </c>
      <c r="CP41" s="46">
        <f>Weather!E65</f>
        <v>366.65416666666664</v>
      </c>
      <c r="CQ41" s="46">
        <f>Weather!F65</f>
        <v>0</v>
      </c>
      <c r="CR41" s="46">
        <f>Weather!G65</f>
        <v>306.65416666666664</v>
      </c>
      <c r="CS41" s="46">
        <f>Weather!H65</f>
        <v>0</v>
      </c>
      <c r="CT41" s="46">
        <f>Weather!I65</f>
        <v>246.6541666666667</v>
      </c>
      <c r="CU41" s="46">
        <f>Weather!J65</f>
        <v>0</v>
      </c>
      <c r="CV41" s="46">
        <f>Weather!K65</f>
        <v>187.50000000000003</v>
      </c>
      <c r="CW41" s="46">
        <f>Weather!L65</f>
        <v>0.84583333333333144</v>
      </c>
      <c r="CX41" s="46">
        <f>Weather!M65</f>
        <v>129.53333333333336</v>
      </c>
      <c r="CY41" s="46">
        <f>Weather!N65</f>
        <v>2.8791666666666664</v>
      </c>
      <c r="CZ41" s="46">
        <f>Weather!O65</f>
        <v>81.245833333333351</v>
      </c>
      <c r="DA41" s="46">
        <f>Weather!P65</f>
        <v>14.591666666666663</v>
      </c>
      <c r="DB41" s="243">
        <f>'Economic Data'!D67</f>
        <v>7361.6</v>
      </c>
      <c r="DC41" s="243">
        <f>'Economic Data'!E67</f>
        <v>7275.7</v>
      </c>
      <c r="DD41" s="243">
        <f>'Economic Data'!F67</f>
        <v>219.6</v>
      </c>
      <c r="DE41" s="243">
        <f>'Economic Data'!G67</f>
        <v>219</v>
      </c>
      <c r="DF41" s="243">
        <f>'Economic Data'!H67</f>
        <v>58.5</v>
      </c>
      <c r="DG41" s="243">
        <f>'Economic Data'!I67</f>
        <v>58.5</v>
      </c>
      <c r="DH41" s="243">
        <f>'Economic Data'!J67</f>
        <v>807274.5</v>
      </c>
      <c r="DI41" s="243">
        <f>'Economic Data'!K67</f>
        <v>626103.1</v>
      </c>
      <c r="DJ41" s="243">
        <f>'Economic Data'!L67</f>
        <v>94599.6</v>
      </c>
      <c r="DK41" s="243">
        <f>'Economic Data'!M67</f>
        <v>32860.800000000003</v>
      </c>
      <c r="DL41" s="243">
        <f>'Economic Data'!N67</f>
        <v>806729</v>
      </c>
      <c r="DM41" s="243">
        <f>'Economic Data'!O67</f>
        <v>95147</v>
      </c>
      <c r="DN41" s="243">
        <f>'Economic Data'!P67</f>
        <v>19872</v>
      </c>
      <c r="DO41" s="243">
        <f>'Economic Data'!Q67</f>
        <v>624766</v>
      </c>
      <c r="DP41" s="243">
        <f>'Economic Data'!R67</f>
        <v>32794</v>
      </c>
      <c r="DQ41">
        <v>30</v>
      </c>
      <c r="DR41">
        <v>21</v>
      </c>
      <c r="DS41">
        <v>0</v>
      </c>
      <c r="DT41">
        <v>0</v>
      </c>
      <c r="DU41">
        <v>0</v>
      </c>
      <c r="DV41">
        <v>1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1</v>
      </c>
      <c r="EF41">
        <v>0</v>
      </c>
      <c r="EG41">
        <v>1</v>
      </c>
      <c r="EH41">
        <f t="shared" si="66"/>
        <v>40</v>
      </c>
      <c r="EI41">
        <v>0</v>
      </c>
      <c r="EJ41">
        <v>0</v>
      </c>
      <c r="EK41">
        <v>0</v>
      </c>
      <c r="EL41">
        <v>0</v>
      </c>
      <c r="EM41" s="47">
        <f t="shared" si="69"/>
        <v>0</v>
      </c>
      <c r="EN41" s="47">
        <f t="shared" si="70"/>
        <v>0</v>
      </c>
      <c r="EO41" s="47">
        <f t="shared" si="71"/>
        <v>0</v>
      </c>
      <c r="EP41" s="47">
        <f t="shared" si="72"/>
        <v>0</v>
      </c>
      <c r="EQ41" s="47">
        <f t="shared" si="73"/>
        <v>0</v>
      </c>
      <c r="ER41" s="47">
        <f t="shared" si="74"/>
        <v>0</v>
      </c>
      <c r="ES41" s="47">
        <f t="shared" si="75"/>
        <v>0</v>
      </c>
      <c r="ET41" s="47">
        <f t="shared" si="76"/>
        <v>0</v>
      </c>
      <c r="EU41" s="47">
        <f t="shared" si="77"/>
        <v>0</v>
      </c>
      <c r="EV41" s="47">
        <f t="shared" si="78"/>
        <v>0</v>
      </c>
      <c r="EW41" s="47">
        <f t="shared" si="79"/>
        <v>0</v>
      </c>
      <c r="EX41" s="47">
        <f t="shared" si="80"/>
        <v>0</v>
      </c>
      <c r="EY41" s="47">
        <f t="shared" si="81"/>
        <v>0</v>
      </c>
      <c r="EZ41" s="47">
        <f t="shared" si="82"/>
        <v>0</v>
      </c>
      <c r="FA41" s="47">
        <f t="shared" si="83"/>
        <v>0</v>
      </c>
      <c r="FB41" s="47">
        <f t="shared" si="84"/>
        <v>0</v>
      </c>
      <c r="FC41" s="47">
        <f t="shared" si="85"/>
        <v>0</v>
      </c>
      <c r="FD41" s="47">
        <f t="shared" si="86"/>
        <v>0</v>
      </c>
      <c r="FE41" s="47">
        <f t="shared" si="87"/>
        <v>0</v>
      </c>
      <c r="FF41" s="47">
        <f t="shared" si="88"/>
        <v>0</v>
      </c>
      <c r="FG41" s="47">
        <f t="shared" si="89"/>
        <v>0</v>
      </c>
      <c r="FH41" s="47">
        <f t="shared" si="90"/>
        <v>0</v>
      </c>
      <c r="FI41" s="47">
        <f t="shared" si="91"/>
        <v>0</v>
      </c>
      <c r="FJ41" s="47">
        <f t="shared" si="92"/>
        <v>0</v>
      </c>
      <c r="FK41" s="47">
        <f t="shared" si="93"/>
        <v>0</v>
      </c>
      <c r="FL41" s="47">
        <f t="shared" si="94"/>
        <v>0</v>
      </c>
      <c r="FM41" s="47">
        <f t="shared" si="95"/>
        <v>0</v>
      </c>
      <c r="FN41" s="47">
        <f t="shared" si="96"/>
        <v>0</v>
      </c>
      <c r="FO41" s="546">
        <f t="shared" ca="1" si="97"/>
        <v>622.7935384412101</v>
      </c>
      <c r="FP41" s="546">
        <f t="shared" si="98"/>
        <v>482.87047391668199</v>
      </c>
      <c r="FQ41" s="546">
        <f t="shared" si="99"/>
        <v>2530.0066623184912</v>
      </c>
      <c r="FR41" s="546">
        <f t="shared" si="100"/>
        <v>73823.547681968499</v>
      </c>
      <c r="FS41" s="546">
        <f t="shared" si="101"/>
        <v>1966160.9759262409</v>
      </c>
      <c r="FT41" s="546">
        <f t="shared" si="102"/>
        <v>5633730.604268617</v>
      </c>
      <c r="FU41" s="546">
        <f t="shared" si="103"/>
        <v>31.141625509587968</v>
      </c>
      <c r="FV41" s="546">
        <f t="shared" si="104"/>
        <v>48.140170998638908</v>
      </c>
      <c r="FW41" s="546">
        <f t="shared" si="105"/>
        <v>476.01273506078496</v>
      </c>
      <c r="FX41" s="546">
        <f t="shared" si="106"/>
        <v>612.52642749511301</v>
      </c>
      <c r="FY41" s="546">
        <f t="shared" si="107"/>
        <v>2999.8072236307239</v>
      </c>
      <c r="FZ41" s="546">
        <f t="shared" si="108"/>
        <v>73801.867057112788</v>
      </c>
      <c r="GA41" s="546">
        <f t="shared" si="109"/>
        <v>82316.201135131691</v>
      </c>
      <c r="GB41" s="546">
        <f t="shared" si="110"/>
        <v>20.042360410566634</v>
      </c>
      <c r="GC41" s="546">
        <f t="shared" si="111"/>
        <v>63.860243629412572</v>
      </c>
      <c r="GD41" s="546">
        <f t="shared" si="112"/>
        <v>125.66574139797326</v>
      </c>
    </row>
    <row r="42" spans="1:186">
      <c r="A42" s="4">
        <v>43586</v>
      </c>
      <c r="B42" s="6">
        <v>2019</v>
      </c>
      <c r="C42" s="5">
        <v>5</v>
      </c>
      <c r="D42" s="7">
        <v>60514641.232131176</v>
      </c>
      <c r="E42" s="7">
        <f>IFERROR(VLOOKUP($B42-1,CDM!$V$4:$AJ$17,2,FALSE)/12,0)+IFERROR(VLOOKUP($B42,CDM!$V$41:$AJ$54,2,FALSE)/24,0)+IFERROR(VLOOKUP($B42,CDM!$V$41:$AJ$54,2,FALSE)/2*$C42/78,0)</f>
        <v>3790560.2786611179</v>
      </c>
      <c r="F42" s="7">
        <f t="shared" si="0"/>
        <v>64305201.510792293</v>
      </c>
      <c r="G42" s="7">
        <f>IFERROR(HLOOKUP(B42-1,'EV Forecast VRZ'!$F$124:$T$130,2,FALSE)/12,0)+IFERROR(((HLOOKUP(B42,'EV Forecast VRZ'!$F$116:$T$122,2,FALSE)-HLOOKUP(B42-1,'EV Forecast VRZ'!$F$124:$T$130,2,FALSE)))*C42/78,0)</f>
        <v>163755.30719661203</v>
      </c>
      <c r="H42" s="7">
        <f ca="1">HLOOKUP(B42,Heating!$C$102:$O$106,2,FALSE)*INDEX(Weather!$BO$1:$CB$20,MATCH(B42,Weather!$BO$1:$BO$20,0),MATCH(C42,Weather!$BO$1:$CB$1,0))/VLOOKUP(B42,Weather!$BO$2:$CB$20,14,FALSE)*
VLOOKUP('Monthly Data'!$B42,Weather!$BO$3:$CB$20,14,FALSE)/Weather!$CB$14</f>
        <v>37955.933262377242</v>
      </c>
      <c r="I42" s="7">
        <f t="shared" ca="1" si="1"/>
        <v>64103490.270333305</v>
      </c>
      <c r="J42" s="7">
        <v>726305.91535966424</v>
      </c>
      <c r="K42" s="7">
        <f>IFERROR(VLOOKUP($B42-1,CDM!$V$4:$AJ$17,3,FALSE)/12,0)+IFERROR(VLOOKUP($B42,CDM!$V$41:$AJ$54,3,FALSE)/24,0)+IFERROR(VLOOKUP($B42,CDM!$V$41:$AJ$54,3,FALSE)/2*$C42/78,0)</f>
        <v>43416.332883816387</v>
      </c>
      <c r="L42" s="7">
        <f t="shared" si="2"/>
        <v>769722.24824348069</v>
      </c>
      <c r="M42" s="7">
        <f>IFERROR(HLOOKUP(B42-1,'EV Forecast VRZ'!$F$124:$T$130,3,FALSE)/12,0)+IFERROR(((HLOOKUP(B42,'EV Forecast VRZ'!$F$116:$T$122,3,FALSE)-HLOOKUP(B42-1,'EV Forecast VRZ'!$F$124:$T$130,3,FALSE)))*C42/78,0)</f>
        <v>2222.0189572341005</v>
      </c>
      <c r="N42" s="7">
        <f ca="1">HLOOKUP(B42,Heating!$C$102:$O$106,3,FALSE)*INDEX(Weather!$BO$1:$CB$20,MATCH(B42,Weather!$BO$1:$BO$20,0),MATCH(C42,Weather!$BO$1:$CB$1,0))/VLOOKUP(B42,Weather!$BO$2:$CB$20,14,FALSE)*
VLOOKUP('Monthly Data'!$B42,Weather!$BO$3:$CB$20,14,FALSE)/Weather!$CB$14</f>
        <v>535.3759155853644</v>
      </c>
      <c r="O42" s="7">
        <f t="shared" ca="1" si="3"/>
        <v>766964.85337066127</v>
      </c>
      <c r="P42" s="7">
        <v>20761864.700372063</v>
      </c>
      <c r="Q42" s="7">
        <f>IFERROR(VLOOKUP($B42-1,CDM!$V$4:$AJ$17,4,FALSE)/12,0)+IFERROR(VLOOKUP($B42,CDM!$V$41:$AJ$54,4,FALSE)/24,0)+IFERROR(VLOOKUP($B42,CDM!$V$41:$AJ$54,4,FALSE)/2*$C42/78,0)</f>
        <v>1227492.0262879594</v>
      </c>
      <c r="R42" s="7">
        <f t="shared" si="4"/>
        <v>21989356.726660021</v>
      </c>
      <c r="S42" s="7">
        <f>IFERROR(HLOOKUP(B42-1,'EV Forecast VRZ'!$F$124:$T$130,4,FALSE)/12,0)+IFERROR(((HLOOKUP(B42,'EV Forecast VRZ'!$F$116:$T$122,4,FALSE)-HLOOKUP(B42-1,'EV Forecast VRZ'!$F$124:$T$130,4,FALSE)))*C42/78,0)</f>
        <v>20743.033846153849</v>
      </c>
      <c r="T42" s="7">
        <f ca="1">HLOOKUP(B42,Heating!$C$102:$O$106,4,FALSE)*INDEX(Weather!$BO$1:$CB$20,MATCH(B42,Weather!$BO$1:$BO$20,0),MATCH(C42,Weather!$BO$1:$CB$1,0))/VLOOKUP(B42,Weather!$BO$2:$CB$20,14,FALSE)*
VLOOKUP('Monthly Data'!$B42,Weather!$BO$3:$CB$20,14,FALSE)/Weather!$CB$14</f>
        <v>9679.2674588121663</v>
      </c>
      <c r="U42" s="7">
        <f t="shared" ca="1" si="5"/>
        <v>21958934.425355054</v>
      </c>
      <c r="V42" s="7">
        <v>72613531.321504131</v>
      </c>
      <c r="W42" s="7">
        <f>IFERROR(VLOOKUP($B42-1,CDM!$V$4:$AJ$17,5,FALSE)/12,0)+IFERROR(VLOOKUP($B42,CDM!$V$41:$AJ$54,5,FALSE)/24,0)+IFERROR(VLOOKUP($B42,CDM!$V$41:$AJ$54,5,FALSE)/2*$C42/78,0)</f>
        <v>4324814.8379615452</v>
      </c>
      <c r="X42" s="7">
        <f t="shared" si="6"/>
        <v>76938346.159465671</v>
      </c>
      <c r="Y42" s="7">
        <f>IFERROR(HLOOKUP(B42-1,'EV Forecast VRZ'!$F$124:$T$130,5,FALSE)/12,0)+IFERROR(((HLOOKUP(B42,'EV Forecast VRZ'!$F$116:$T$122,5,FALSE)-HLOOKUP(B42-1,'EV Forecast VRZ'!$F$124:$T$130,5,FALSE)))*C42/78,0)</f>
        <v>9432.8267692307691</v>
      </c>
      <c r="Z42" s="7">
        <f ca="1">HLOOKUP(B42,Heating!$C$102:$O$106,5,FALSE)*INDEX(Weather!$BO$1:$CB$20,MATCH(B42,Weather!$BO$1:$BO$20,0),MATCH(C42,Weather!$BO$1:$CB$1,0))/VLOOKUP(B42,Weather!$BO$2:$CB$20,14,FALSE)*
VLOOKUP('Monthly Data'!$B42,Weather!$BO$3:$CB$20,14,FALSE)/Weather!$CB$14</f>
        <v>5708.3787823571329</v>
      </c>
      <c r="AA42" s="7">
        <f t="shared" ca="1" si="7"/>
        <v>76923204.953914076</v>
      </c>
      <c r="AB42" s="7">
        <v>8344408.6833275463</v>
      </c>
      <c r="AC42" s="7">
        <f>IFERROR(VLOOKUP($B42-1,CDM!$V$4:$AJ$17,6,FALSE)/12,0)+IFERROR(VLOOKUP($B42,CDM!$V$41:$AJ$54,6,FALSE)/24,0)+IFERROR(VLOOKUP($B42,CDM!$V$41:$AJ$54,6,FALSE)/2*$C42/78,0)</f>
        <v>205121.95290820891</v>
      </c>
      <c r="AD42" s="7">
        <f t="shared" si="8"/>
        <v>8549530.6362357549</v>
      </c>
      <c r="AE42" s="7">
        <f>IFERROR(HLOOKUP(B42-1,'EV Forecast VRZ'!$F$124:$T$130,6,FALSE)/12,0)+IFERROR(((HLOOKUP(B42,'EV Forecast VRZ'!$F$116:$T$122,6,FALSE)-HLOOKUP(B42-1,'EV Forecast VRZ'!$F$124:$T$130,6,FALSE)))*C42/78,0)</f>
        <v>1430.997846153846</v>
      </c>
      <c r="AF42" s="7">
        <f t="shared" si="9"/>
        <v>8548099.6383896004</v>
      </c>
      <c r="AG42" s="7">
        <v>21885615.667790778</v>
      </c>
      <c r="AH42" s="7">
        <f>IFERROR(VLOOKUP($B42-1,CDM!$V$4:$AJ$17,7,FALSE)/12,0)+IFERROR(VLOOKUP($B42,CDM!$V$41:$AJ$54,7,FALSE)/24,0)+IFERROR(VLOOKUP($B42,CDM!$V$41:$AJ$54,7,FALSE)/2*$C42/78,0)</f>
        <v>1538337.8491946252</v>
      </c>
      <c r="AI42" s="7">
        <f t="shared" si="10"/>
        <v>23423953.516985402</v>
      </c>
      <c r="AJ42" s="7">
        <f>IFERROR(HLOOKUP(B42-1,'EV Forecast VRZ'!$F$124:$T$130,7,FALSE)/12,0)+IFERROR(((HLOOKUP(B42,'EV Forecast VRZ'!$F$116:$T$122,7,FALSE)-HLOOKUP(B42-1,'EV Forecast VRZ'!$F$124:$T$130,7,FALSE)))*C42/78,0)</f>
        <v>0</v>
      </c>
      <c r="AK42" s="7">
        <f t="shared" si="11"/>
        <v>23423953.516985402</v>
      </c>
      <c r="AL42" s="7">
        <v>866059.90269032621</v>
      </c>
      <c r="AM42" s="7">
        <v>19146.651402404121</v>
      </c>
      <c r="AN42" s="7">
        <v>385077.00820454111</v>
      </c>
      <c r="AO42" s="5">
        <v>180437.12</v>
      </c>
      <c r="AP42" s="5">
        <v>16693.240000000002</v>
      </c>
      <c r="AQ42" s="5">
        <v>35824</v>
      </c>
      <c r="AR42" s="5">
        <v>3020.33</v>
      </c>
      <c r="AS42" s="544">
        <f t="shared" si="117"/>
        <v>52.416666666666664</v>
      </c>
      <c r="AT42" s="557">
        <v>110755.75</v>
      </c>
      <c r="AU42" s="557">
        <v>1566.25</v>
      </c>
      <c r="AV42" s="557">
        <v>9190.4166666666697</v>
      </c>
      <c r="AW42" s="557">
        <v>1031.8333333333337</v>
      </c>
      <c r="AX42" s="557">
        <v>4</v>
      </c>
      <c r="AY42" s="557">
        <v>4</v>
      </c>
      <c r="AZ42" s="557">
        <v>31132.416666666661</v>
      </c>
      <c r="BA42" s="557">
        <v>364.41666666666657</v>
      </c>
      <c r="BB42" s="557">
        <v>810.41666666666686</v>
      </c>
      <c r="BC42" s="560">
        <v>22800858.199339963</v>
      </c>
      <c r="BD42" s="560">
        <f>IFERROR(VLOOKUP($B42-1,CDM!$V$4:$AJ$17,11,FALSE)/12,0)+IFERROR(VLOOKUP($B42,CDM!$V$41:$AJ$54,11,FALSE)/24,0)+IFERROR(VLOOKUP($B42,CDM!$V$41:$AJ$54,11,FALSE)/2*$C42/78,0)</f>
        <v>1906812.7514831899</v>
      </c>
      <c r="BE42" s="560">
        <f t="shared" ref="BE42:BE73" si="119">BC42+BD42</f>
        <v>24707670.950823154</v>
      </c>
      <c r="BF42" s="560">
        <f>IFERROR(HLOOKUP(B42-1,'EV Forecast WRZ'!$F$124:$T$130,2,FALSE)/12,0)+IFERROR(((HLOOKUP(B42,'EV Forecast WRZ'!$F$116:$T$122,2,FALSE)-HLOOKUP(B42-1,'EV Forecast WRZ'!$F$124:$T$130,2,FALSE)))*C42/78,0)</f>
        <v>47746.877564102571</v>
      </c>
      <c r="BG42" s="560">
        <f ca="1">HLOOKUP(B42,Heating!$R$102:$AD$106,2,FALSE)*INDEX(Weather!$BO$1:$CB$20,MATCH(B42,Weather!$BO$1:$BO$20,0),MATCH(C42,Weather!$BO$1:$CB$1,0))/VLOOKUP(B42,Weather!$BO$2:$CB$20,14,FALSE)*
VLOOKUP('Monthly Data'!$B42,Weather!$BO$3:$CB$20,14,FALSE)/Weather!$CB$14</f>
        <v>13991.53638368692</v>
      </c>
      <c r="BH42" s="560">
        <f t="shared" ca="1" si="13"/>
        <v>24645932.536875363</v>
      </c>
      <c r="BI42" s="560">
        <v>6347056.2242777785</v>
      </c>
      <c r="BJ42" s="560">
        <f>IFERROR(VLOOKUP($B42-1,CDM!$V$4:$AJ$17,12,FALSE)/12,0)+IFERROR(VLOOKUP($B42,CDM!$V$41:$AJ$54,12,FALSE)/24,0)+IFERROR(VLOOKUP($B42,CDM!$V$41:$AJ$54,12,FALSE)/2*$C42/78,0)</f>
        <v>203270.44010724954</v>
      </c>
      <c r="BK42" s="560">
        <f t="shared" si="14"/>
        <v>6550326.6643850282</v>
      </c>
      <c r="BL42" s="560">
        <f>IFERROR(HLOOKUP(B42-1,'EV Forecast WRZ'!$F$124:$T$130,3,FALSE)/12,0)+IFERROR(((HLOOKUP(B42,'EV Forecast WRZ'!$F$116:$T$122,3,FALSE)-HLOOKUP(B42-1,'EV Forecast WRZ'!$F$124:$T$130,3,FALSE)))*C42/78,0)</f>
        <v>5987.8679487179488</v>
      </c>
      <c r="BM42" s="560">
        <f ca="1">HLOOKUP(B42,Heating!$R$102:$AD$106,4,FALSE)*INDEX(Weather!$BO$1:$CB$20,MATCH(B42,Weather!$BO$1:$BO$20,0),MATCH(C42,Weather!$BO$1:$CB$1,0))/VLOOKUP(B42,Weather!$BO$2:$CB$20,14,FALSE)*
VLOOKUP('Monthly Data'!$B42,Weather!$BO$3:$CB$20,14,FALSE)/Weather!$CB$14</f>
        <v>2377.0096649414268</v>
      </c>
      <c r="BN42" s="560">
        <f t="shared" ca="1" si="15"/>
        <v>6541961.7867713682</v>
      </c>
      <c r="BO42" s="560">
        <v>25305876.241368957</v>
      </c>
      <c r="BP42" s="560">
        <f>IFERROR(VLOOKUP($B42-1,CDM!$V$4:$AJ$17,13,FALSE)/12,0)+IFERROR(VLOOKUP($B42,CDM!$V$41:$AJ$54,13,FALSE)/24,0)+IFERROR(VLOOKUP($B42,CDM!$V$41:$AJ$54,13,FALSE)/2*$C42/78,0)</f>
        <v>1463202.9025729354</v>
      </c>
      <c r="BQ42" s="560">
        <f t="shared" si="16"/>
        <v>26769079.143941894</v>
      </c>
      <c r="BR42" s="560">
        <f>IFERROR(HLOOKUP(B42-1,'EV Forecast WRZ'!$F$124:$T$130,4,FALSE)/12,0)+IFERROR(((HLOOKUP(B42,'EV Forecast WRZ'!$F$116:$T$122,4,FALSE)-HLOOKUP(B42-1,'EV Forecast WRZ'!$F$124:$T$130,4,FALSE)))*C42/78,0)</f>
        <v>2724.540576923077</v>
      </c>
      <c r="BS42" s="560">
        <f ca="1">HLOOKUP(B42,Heating!$R$102:$AD$106,5,FALSE)*INDEX(Weather!$BO$1:$CB$20,MATCH(B42,Weather!$BO$1:$BO$20,0),MATCH(C42,Weather!$BO$1:$CB$1,0))/VLOOKUP(B42,Weather!$BO$2:$CB$20,14,FALSE)*
VLOOKUP('Monthly Data'!$B42,Weather!$BO$3:$CB$20,14,FALSE)/Weather!$CB$14</f>
        <v>1693.0139706310938</v>
      </c>
      <c r="BT42" s="560">
        <f t="shared" ca="1" si="17"/>
        <v>26764661.589394338</v>
      </c>
      <c r="BU42" s="560">
        <v>6391434.4648023145</v>
      </c>
      <c r="BV42" s="560">
        <f>IFERROR(VLOOKUP($B42-1,CDM!$V$4:$AJ$17,14,FALSE)/12,0)+IFERROR(VLOOKUP($B42,CDM!$V$41:$AJ$54,14,FALSE)/24,0)+IFERROR(VLOOKUP($B42,CDM!$V$41:$AJ$54,14,FALSE)/2*$C42/78,0)</f>
        <v>328960.43119107839</v>
      </c>
      <c r="BW42" s="560">
        <f t="shared" si="18"/>
        <v>6720394.8959933929</v>
      </c>
      <c r="BX42" s="560">
        <f>IFERROR(HLOOKUP(B42-1,'EV Forecast WRZ'!$F$124:$T$130,5,FALSE)/12,0)+IFERROR(((HLOOKUP(B42,'EV Forecast WRZ'!$F$116:$T$122,5,FALSE)-HLOOKUP(B42-1,'EV Forecast WRZ'!$F$124:$T$130,5,FALSE)))*C42/78,0)</f>
        <v>419.39339743589744</v>
      </c>
      <c r="BY42" s="560">
        <f t="shared" ref="BY42:BY73" si="120">BW42-BX42</f>
        <v>6719975.5025959574</v>
      </c>
      <c r="BZ42" s="560">
        <v>226283.25999617367</v>
      </c>
      <c r="CA42" s="560">
        <v>2362.8290142882652</v>
      </c>
      <c r="CB42" s="560">
        <v>48130.045915439063</v>
      </c>
      <c r="CC42" s="5">
        <v>64401.24</v>
      </c>
      <c r="CD42" s="5">
        <v>11510.46</v>
      </c>
      <c r="CE42" s="5">
        <v>736.06</v>
      </c>
      <c r="CF42" s="544">
        <f t="shared" si="118"/>
        <v>7.166666666666667</v>
      </c>
      <c r="CG42" s="565">
        <v>40757.416666666679</v>
      </c>
      <c r="CH42" s="565">
        <v>2259.4166666666674</v>
      </c>
      <c r="CI42" s="565">
        <v>377</v>
      </c>
      <c r="CJ42" s="565">
        <v>3</v>
      </c>
      <c r="CK42" s="565">
        <v>12356.16666666667</v>
      </c>
      <c r="CL42" s="565">
        <v>37</v>
      </c>
      <c r="CM42" s="565">
        <v>383.5</v>
      </c>
      <c r="CN42" s="46">
        <f>Weather!C66</f>
        <v>267.53464912280702</v>
      </c>
      <c r="CO42" s="46">
        <f>Weather!D66</f>
        <v>0</v>
      </c>
      <c r="CP42" s="46">
        <f>Weather!E66</f>
        <v>205.53464912280697</v>
      </c>
      <c r="CQ42" s="46">
        <f>Weather!F66</f>
        <v>0</v>
      </c>
      <c r="CR42" s="46">
        <f>Weather!G66</f>
        <v>145.93881578947367</v>
      </c>
      <c r="CS42" s="46">
        <f>Weather!H66</f>
        <v>2.4041666666666686</v>
      </c>
      <c r="CT42" s="46">
        <f>Weather!I66</f>
        <v>92.742982456140368</v>
      </c>
      <c r="CU42" s="46">
        <f>Weather!J66</f>
        <v>11.208333333333332</v>
      </c>
      <c r="CV42" s="46">
        <f>Weather!K66</f>
        <v>47.113815789473684</v>
      </c>
      <c r="CW42" s="46">
        <f>Weather!L66</f>
        <v>27.579166666666666</v>
      </c>
      <c r="CX42" s="46">
        <f>Weather!M66</f>
        <v>21.337500000000002</v>
      </c>
      <c r="CY42" s="46">
        <f>Weather!N66</f>
        <v>63.802850877192981</v>
      </c>
      <c r="CZ42" s="46">
        <f>Weather!O66</f>
        <v>5.4041666666666659</v>
      </c>
      <c r="DA42" s="46">
        <f>Weather!P66</f>
        <v>109.86951754385964</v>
      </c>
      <c r="DB42" s="243">
        <f>'Economic Data'!D68</f>
        <v>7376.4</v>
      </c>
      <c r="DC42" s="243">
        <f>'Economic Data'!E68</f>
        <v>7345.7</v>
      </c>
      <c r="DD42" s="243">
        <f>'Economic Data'!F68</f>
        <v>218.7</v>
      </c>
      <c r="DE42" s="243">
        <f>'Economic Data'!G68</f>
        <v>219.7</v>
      </c>
      <c r="DF42" s="243">
        <f>'Economic Data'!H68</f>
        <v>59</v>
      </c>
      <c r="DG42" s="243">
        <f>'Economic Data'!I68</f>
        <v>59</v>
      </c>
      <c r="DH42" s="243">
        <f>'Economic Data'!J68</f>
        <v>807274.5</v>
      </c>
      <c r="DI42" s="243">
        <f>'Economic Data'!K68</f>
        <v>626103.1</v>
      </c>
      <c r="DJ42" s="243">
        <f>'Economic Data'!L68</f>
        <v>94599.6</v>
      </c>
      <c r="DK42" s="243">
        <f>'Economic Data'!M68</f>
        <v>32860.800000000003</v>
      </c>
      <c r="DL42" s="243">
        <f>'Economic Data'!N68</f>
        <v>806729</v>
      </c>
      <c r="DM42" s="243">
        <f>'Economic Data'!O68</f>
        <v>95147</v>
      </c>
      <c r="DN42" s="243">
        <f>'Economic Data'!P68</f>
        <v>19872</v>
      </c>
      <c r="DO42" s="243">
        <f>'Economic Data'!Q68</f>
        <v>624766</v>
      </c>
      <c r="DP42" s="243">
        <f>'Economic Data'!R68</f>
        <v>32794</v>
      </c>
      <c r="DQ42">
        <v>31</v>
      </c>
      <c r="DR42">
        <v>20</v>
      </c>
      <c r="DS42">
        <v>0</v>
      </c>
      <c r="DT42">
        <v>0</v>
      </c>
      <c r="DU42">
        <v>0</v>
      </c>
      <c r="DV42">
        <v>0</v>
      </c>
      <c r="DW42">
        <v>1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1</v>
      </c>
      <c r="EF42">
        <v>0</v>
      </c>
      <c r="EG42">
        <v>1</v>
      </c>
      <c r="EH42">
        <f t="shared" si="66"/>
        <v>41</v>
      </c>
      <c r="EI42">
        <v>0</v>
      </c>
      <c r="EJ42">
        <v>0</v>
      </c>
      <c r="EK42">
        <v>0</v>
      </c>
      <c r="EL42">
        <v>0</v>
      </c>
      <c r="EM42" s="47">
        <f t="shared" ref="EM42:EM73" si="121">$EJ42*CN42</f>
        <v>0</v>
      </c>
      <c r="EN42" s="47">
        <f t="shared" ref="EN42:EN73" si="122">$EJ42*CO42</f>
        <v>0</v>
      </c>
      <c r="EO42" s="47">
        <f t="shared" ref="EO42:EO73" si="123">$EJ42*CP42</f>
        <v>0</v>
      </c>
      <c r="EP42" s="47">
        <f t="shared" ref="EP42:EP73" si="124">$EJ42*CQ42</f>
        <v>0</v>
      </c>
      <c r="EQ42" s="47">
        <f t="shared" ref="EQ42:EQ73" si="125">$EJ42*CR42</f>
        <v>0</v>
      </c>
      <c r="ER42" s="47">
        <f t="shared" ref="ER42:ER73" si="126">$EJ42*CS42</f>
        <v>0</v>
      </c>
      <c r="ES42" s="47">
        <f t="shared" ref="ES42:ES73" si="127">$EJ42*CT42</f>
        <v>0</v>
      </c>
      <c r="ET42" s="47">
        <f t="shared" ref="ET42:ET73" si="128">$EJ42*CU42</f>
        <v>0</v>
      </c>
      <c r="EU42" s="47">
        <f t="shared" ref="EU42:EU73" si="129">$EJ42*CV42</f>
        <v>0</v>
      </c>
      <c r="EV42" s="47">
        <f t="shared" ref="EV42:EV73" si="130">$EJ42*CW42</f>
        <v>0</v>
      </c>
      <c r="EW42" s="47">
        <f t="shared" ref="EW42:EW73" si="131">$EJ42*CX42</f>
        <v>0</v>
      </c>
      <c r="EX42" s="47">
        <f t="shared" ref="EX42:EX73" si="132">$EJ42*CY42</f>
        <v>0</v>
      </c>
      <c r="EY42" s="47">
        <f t="shared" ref="EY42:EY73" si="133">$EJ42*CZ42</f>
        <v>0</v>
      </c>
      <c r="EZ42" s="47">
        <f t="shared" ref="EZ42:EZ73" si="134">$EJ42*DA42</f>
        <v>0</v>
      </c>
      <c r="FA42" s="47">
        <f t="shared" ref="FA42:FA73" si="135">$EK42*CN42</f>
        <v>0</v>
      </c>
      <c r="FB42" s="47">
        <f t="shared" ref="FB42:FB73" si="136">$EK42*CO42</f>
        <v>0</v>
      </c>
      <c r="FC42" s="47">
        <f t="shared" ref="FC42:FC73" si="137">$EK42*CP42</f>
        <v>0</v>
      </c>
      <c r="FD42" s="47">
        <f t="shared" ref="FD42:FD73" si="138">$EK42*CQ42</f>
        <v>0</v>
      </c>
      <c r="FE42" s="47">
        <f t="shared" ref="FE42:FE73" si="139">$EK42*CR42</f>
        <v>0</v>
      </c>
      <c r="FF42" s="47">
        <f t="shared" ref="FF42:FF73" si="140">$EK42*CS42</f>
        <v>0</v>
      </c>
      <c r="FG42" s="47">
        <f t="shared" ref="FG42:FG73" si="141">$EK42*CT42</f>
        <v>0</v>
      </c>
      <c r="FH42" s="47">
        <f t="shared" ref="FH42:FH73" si="142">$EK42*CU42</f>
        <v>0</v>
      </c>
      <c r="FI42" s="47">
        <f t="shared" ref="FI42:FI73" si="143">$EK42*CV42</f>
        <v>0</v>
      </c>
      <c r="FJ42" s="47">
        <f t="shared" ref="FJ42:FJ73" si="144">$EK42*CW42</f>
        <v>0</v>
      </c>
      <c r="FK42" s="47">
        <f t="shared" ref="FK42:FK73" si="145">$EK42*CX42</f>
        <v>0</v>
      </c>
      <c r="FL42" s="47">
        <f t="shared" ref="FL42:FL73" si="146">$EK42*CY42</f>
        <v>0</v>
      </c>
      <c r="FM42" s="47">
        <f t="shared" ref="FM42:FM73" si="147">$EK42*CZ42</f>
        <v>0</v>
      </c>
      <c r="FN42" s="47">
        <f t="shared" ref="FN42:FN73" si="148">$EK42*DA42</f>
        <v>0</v>
      </c>
      <c r="FO42" s="546">
        <f t="shared" ref="FO42:FO73" ca="1" si="149">I42/AT42</f>
        <v>578.78250357505863</v>
      </c>
      <c r="FP42" s="546">
        <f t="shared" ref="FP42:FP73" si="150">L42/AU42</f>
        <v>491.44277621291661</v>
      </c>
      <c r="FQ42" s="546">
        <f t="shared" ref="FQ42:FQ73" si="151">R42/AV42</f>
        <v>2392.6398034176918</v>
      </c>
      <c r="FR42" s="546">
        <f t="shared" ref="FR42:FR73" si="152">X42/AW42</f>
        <v>74564.703110449656</v>
      </c>
      <c r="FS42" s="546">
        <f t="shared" ref="FS42:FS73" si="153">AD42/AX42</f>
        <v>2137382.6590589387</v>
      </c>
      <c r="FT42" s="546">
        <f t="shared" ref="FT42:FT73" si="154">AI42/AY42</f>
        <v>5855988.3792463504</v>
      </c>
      <c r="FU42" s="546">
        <f t="shared" ref="FU42:FU73" si="155">AL42/AZ42</f>
        <v>27.818588963497096</v>
      </c>
      <c r="FV42" s="546">
        <f t="shared" ref="FV42:FV73" si="156">AM42/BA42</f>
        <v>52.540548097152872</v>
      </c>
      <c r="FW42" s="546">
        <f t="shared" ref="FW42:FW73" si="157">AN42/BB42</f>
        <v>475.15929032951078</v>
      </c>
      <c r="FX42" s="546">
        <f t="shared" ref="FX42:FX73" si="158">BE42/CG42</f>
        <v>606.2128802935207</v>
      </c>
      <c r="FY42" s="546">
        <f t="shared" ref="FY42:FY73" si="159">BK42/CH42</f>
        <v>2899.1229289499615</v>
      </c>
      <c r="FZ42" s="546">
        <f t="shared" ref="FZ42:FZ73" si="160">BQ42/CI42</f>
        <v>71005.514970668155</v>
      </c>
      <c r="GA42" s="546">
        <f t="shared" ref="GA42:GA73" si="161">BZ42/CJ42</f>
        <v>75427.753332057895</v>
      </c>
      <c r="GB42" s="546">
        <f t="shared" ref="GB42:GB73" si="162">BZ42/CK42</f>
        <v>18.313386837571546</v>
      </c>
      <c r="GC42" s="546">
        <f t="shared" ref="GC42:GC73" si="163">CA42/CL42</f>
        <v>63.860243629412572</v>
      </c>
      <c r="GD42" s="546">
        <f t="shared" ref="GD42:GD73" si="164">CB42/CM42</f>
        <v>125.50207539879808</v>
      </c>
    </row>
    <row r="43" spans="1:186">
      <c r="A43" s="4">
        <v>43617</v>
      </c>
      <c r="B43" s="6">
        <v>2019</v>
      </c>
      <c r="C43" s="5">
        <v>6</v>
      </c>
      <c r="D43" s="7">
        <v>67376317.869148344</v>
      </c>
      <c r="E43" s="7">
        <f>IFERROR(VLOOKUP($B43-1,CDM!$V$4:$AJ$17,2,FALSE)/12,0)+IFERROR(VLOOKUP($B43,CDM!$V$41:$AJ$54,2,FALSE)/24,0)+IFERROR(VLOOKUP($B43,CDM!$V$41:$AJ$54,2,FALSE)/2*$C43/78,0)</f>
        <v>3809983.1330235563</v>
      </c>
      <c r="F43" s="7">
        <f t="shared" ref="F43:F106" si="165">D43+E43</f>
        <v>71186301.002171904</v>
      </c>
      <c r="G43" s="7">
        <f>IFERROR(HLOOKUP(B43-1,'EV Forecast VRZ'!$F$124:$T$130,2,FALSE)/12,0)+IFERROR(((HLOOKUP(B43,'EV Forecast VRZ'!$F$116:$T$122,2,FALSE)-HLOOKUP(B43-1,'EV Forecast VRZ'!$F$124:$T$130,2,FALSE)))*C43/78,0)</f>
        <v>167883.46092474312</v>
      </c>
      <c r="H43" s="7">
        <f ca="1">HLOOKUP(B43,Heating!$C$102:$O$106,2,FALSE)*INDEX(Weather!$BO$1:$CB$20,MATCH(B43,Weather!$BO$1:$BO$20,0),MATCH(C43,Weather!$BO$1:$CB$1,0))/VLOOKUP(B43,Weather!$BO$2:$CB$20,14,FALSE)*
VLOOKUP('Monthly Data'!$B43,Weather!$BO$3:$CB$20,14,FALSE)/Weather!$CB$14</f>
        <v>8517.1005447323132</v>
      </c>
      <c r="I43" s="7">
        <f t="shared" ref="I43:I106" ca="1" si="166">F43-G43-H43</f>
        <v>71009900.440702423</v>
      </c>
      <c r="J43" s="7">
        <v>689785.72920244129</v>
      </c>
      <c r="K43" s="7">
        <f>IFERROR(VLOOKUP($B43-1,CDM!$V$4:$AJ$17,3,FALSE)/12,0)+IFERROR(VLOOKUP($B43,CDM!$V$41:$AJ$54,3,FALSE)/24,0)+IFERROR(VLOOKUP($B43,CDM!$V$41:$AJ$54,3,FALSE)/2*$C43/78,0)</f>
        <v>43638.798442615356</v>
      </c>
      <c r="L43" s="7">
        <f t="shared" ref="L43:L97" si="167">J43+K43</f>
        <v>733424.5276450566</v>
      </c>
      <c r="M43" s="7">
        <f>IFERROR(HLOOKUP(B43-1,'EV Forecast VRZ'!$F$124:$T$130,3,FALSE)/12,0)+IFERROR(((HLOOKUP(B43,'EV Forecast VRZ'!$F$116:$T$122,3,FALSE)-HLOOKUP(B43-1,'EV Forecast VRZ'!$F$124:$T$130,3,FALSE)))*C43/78,0)</f>
        <v>2278.0344598722563</v>
      </c>
      <c r="N43" s="7">
        <f ca="1">HLOOKUP(B43,Heating!$C$102:$O$106,3,FALSE)*INDEX(Weather!$BO$1:$CB$20,MATCH(B43,Weather!$BO$1:$BO$20,0),MATCH(C43,Weather!$BO$1:$CB$1,0))/VLOOKUP(B43,Weather!$BO$2:$CB$20,14,FALSE)*
VLOOKUP('Monthly Data'!$B43,Weather!$BO$3:$CB$20,14,FALSE)/Weather!$CB$14</f>
        <v>120.1353809626516</v>
      </c>
      <c r="O43" s="7">
        <f t="shared" ref="O43:O106" ca="1" si="168">L43-M43-N43</f>
        <v>731026.35780422168</v>
      </c>
      <c r="P43" s="7">
        <v>21191958.768679734</v>
      </c>
      <c r="Q43" s="7">
        <f>IFERROR(VLOOKUP($B43-1,CDM!$V$4:$AJ$17,4,FALSE)/12,0)+IFERROR(VLOOKUP($B43,CDM!$V$41:$AJ$54,4,FALSE)/24,0)+IFERROR(VLOOKUP($B43,CDM!$V$41:$AJ$54,4,FALSE)/2*$C43/78,0)</f>
        <v>1247017.4098034846</v>
      </c>
      <c r="R43" s="7">
        <f t="shared" ref="R43:R97" si="169">P43+Q43</f>
        <v>22438976.178483218</v>
      </c>
      <c r="S43" s="7">
        <f>IFERROR(HLOOKUP(B43-1,'EV Forecast VRZ'!$F$124:$T$130,4,FALSE)/12,0)+IFERROR(((HLOOKUP(B43,'EV Forecast VRZ'!$F$116:$T$122,4,FALSE)-HLOOKUP(B43-1,'EV Forecast VRZ'!$F$124:$T$130,4,FALSE)))*C43/78,0)</f>
        <v>21237.66461538462</v>
      </c>
      <c r="T43" s="7">
        <f ca="1">HLOOKUP(B43,Heating!$C$102:$O$106,4,FALSE)*INDEX(Weather!$BO$1:$CB$20,MATCH(B43,Weather!$BO$1:$BO$20,0),MATCH(C43,Weather!$BO$1:$CB$1,0))/VLOOKUP(B43,Weather!$BO$2:$CB$20,14,FALSE)*
VLOOKUP('Monthly Data'!$B43,Weather!$BO$3:$CB$20,14,FALSE)/Weather!$CB$14</f>
        <v>2171.9738407216169</v>
      </c>
      <c r="U43" s="7">
        <f t="shared" ref="U43:U106" ca="1" si="170">R43-S43-T43</f>
        <v>22415566.540027112</v>
      </c>
      <c r="V43" s="7">
        <v>73210874.814718872</v>
      </c>
      <c r="W43" s="7">
        <f>IFERROR(VLOOKUP($B43-1,CDM!$V$4:$AJ$17,5,FALSE)/12,0)+IFERROR(VLOOKUP($B43,CDM!$V$41:$AJ$54,5,FALSE)/24,0)+IFERROR(VLOOKUP($B43,CDM!$V$41:$AJ$54,5,FALSE)/2*$C43/78,0)</f>
        <v>4394976.4617019519</v>
      </c>
      <c r="X43" s="7">
        <f t="shared" ref="X43:X97" si="171">V43+W43</f>
        <v>77605851.276420832</v>
      </c>
      <c r="Y43" s="7">
        <f>IFERROR(HLOOKUP(B43-1,'EV Forecast VRZ'!$F$124:$T$130,5,FALSE)/12,0)+IFERROR(((HLOOKUP(B43,'EV Forecast VRZ'!$F$116:$T$122,5,FALSE)-HLOOKUP(B43-1,'EV Forecast VRZ'!$F$124:$T$130,5,FALSE)))*C43/78,0)</f>
        <v>9655.6029230769236</v>
      </c>
      <c r="Z43" s="7">
        <f ca="1">HLOOKUP(B43,Heating!$C$102:$O$106,5,FALSE)*INDEX(Weather!$BO$1:$CB$20,MATCH(B43,Weather!$BO$1:$BO$20,0),MATCH(C43,Weather!$BO$1:$CB$1,0))/VLOOKUP(B43,Weather!$BO$2:$CB$20,14,FALSE)*
VLOOKUP('Monthly Data'!$B43,Weather!$BO$3:$CB$20,14,FALSE)/Weather!$CB$14</f>
        <v>1280.9284835829444</v>
      </c>
      <c r="AA43" s="7">
        <f t="shared" ref="AA43:AA106" ca="1" si="172">X43-Y43-Z43</f>
        <v>77594914.745014176</v>
      </c>
      <c r="AB43" s="7">
        <v>7726141.106483086</v>
      </c>
      <c r="AC43" s="7">
        <f>IFERROR(VLOOKUP($B43-1,CDM!$V$4:$AJ$17,6,FALSE)/12,0)+IFERROR(VLOOKUP($B43,CDM!$V$41:$AJ$54,6,FALSE)/24,0)+IFERROR(VLOOKUP($B43,CDM!$V$41:$AJ$54,6,FALSE)/2*$C43/78,0)</f>
        <v>208556.97114226758</v>
      </c>
      <c r="AD43" s="7">
        <f t="shared" ref="AD43:AD97" si="173">AB43+AC43</f>
        <v>7934698.0776253538</v>
      </c>
      <c r="AE43" s="7">
        <f>IFERROR(HLOOKUP(B43-1,'EV Forecast VRZ'!$F$124:$T$130,6,FALSE)/12,0)+IFERROR(((HLOOKUP(B43,'EV Forecast VRZ'!$F$116:$T$122,6,FALSE)-HLOOKUP(B43-1,'EV Forecast VRZ'!$F$124:$T$130,6,FALSE)))*C43/78,0)</f>
        <v>1456.4986153846151</v>
      </c>
      <c r="AF43" s="7">
        <f t="shared" ref="AF43:AF106" si="174">AD43-AE43</f>
        <v>7933241.5790099688</v>
      </c>
      <c r="AG43" s="7">
        <v>22557812.500125293</v>
      </c>
      <c r="AH43" s="7">
        <f>IFERROR(VLOOKUP($B43-1,CDM!$V$4:$AJ$17,7,FALSE)/12,0)+IFERROR(VLOOKUP($B43,CDM!$V$41:$AJ$54,7,FALSE)/24,0)+IFERROR(VLOOKUP($B43,CDM!$V$41:$AJ$54,7,FALSE)/2*$C43/78,0)</f>
        <v>1554385.1331862062</v>
      </c>
      <c r="AI43" s="7">
        <f t="shared" ref="AI43:AI97" si="175">AG43+AH43</f>
        <v>24112197.633311499</v>
      </c>
      <c r="AJ43" s="7">
        <f>IFERROR(HLOOKUP(B43-1,'EV Forecast VRZ'!$F$124:$T$130,7,FALSE)/12,0)+IFERROR(((HLOOKUP(B43,'EV Forecast VRZ'!$F$116:$T$122,7,FALSE)-HLOOKUP(B43-1,'EV Forecast VRZ'!$F$124:$T$130,7,FALSE)))*C43/78,0)</f>
        <v>0</v>
      </c>
      <c r="AK43" s="7">
        <f t="shared" ref="AK43:AK106" si="176">AI43-AJ43</f>
        <v>24112197.633311499</v>
      </c>
      <c r="AL43" s="7">
        <v>784215.12116008392</v>
      </c>
      <c r="AM43" s="7">
        <v>16440.507536729641</v>
      </c>
      <c r="AN43" s="7">
        <v>385001.00171722949</v>
      </c>
      <c r="AO43" s="5">
        <v>190707.67</v>
      </c>
      <c r="AP43" s="5">
        <v>16169.8</v>
      </c>
      <c r="AQ43" s="5">
        <v>37465</v>
      </c>
      <c r="AR43" s="5">
        <v>3016.29</v>
      </c>
      <c r="AS43" s="544">
        <f t="shared" si="117"/>
        <v>52.416666666666664</v>
      </c>
      <c r="AT43" s="557">
        <v>110892.5</v>
      </c>
      <c r="AU43" s="557">
        <v>1565.5</v>
      </c>
      <c r="AV43" s="557">
        <v>9201.5000000000036</v>
      </c>
      <c r="AW43" s="557">
        <v>1030.0000000000005</v>
      </c>
      <c r="AX43" s="557">
        <v>4</v>
      </c>
      <c r="AY43" s="557">
        <v>4</v>
      </c>
      <c r="AZ43" s="557">
        <v>31139.499999999993</v>
      </c>
      <c r="BA43" s="557">
        <v>349.49999999999989</v>
      </c>
      <c r="BB43" s="557">
        <v>809.50000000000023</v>
      </c>
      <c r="BC43" s="560">
        <v>27757632.128276065</v>
      </c>
      <c r="BD43" s="560">
        <f>IFERROR(VLOOKUP($B43-1,CDM!$V$4:$AJ$17,11,FALSE)/12,0)+IFERROR(VLOOKUP($B43,CDM!$V$41:$AJ$54,11,FALSE)/24,0)+IFERROR(VLOOKUP($B43,CDM!$V$41:$AJ$54,11,FALSE)/2*$C43/78,0)</f>
        <v>1915012.3010071039</v>
      </c>
      <c r="BE43" s="560">
        <f t="shared" si="119"/>
        <v>29672644.429283168</v>
      </c>
      <c r="BF43" s="560">
        <f>IFERROR(HLOOKUP(B43-1,'EV Forecast WRZ'!$F$124:$T$130,2,FALSE)/12,0)+IFERROR(((HLOOKUP(B43,'EV Forecast WRZ'!$F$116:$T$122,2,FALSE)-HLOOKUP(B43-1,'EV Forecast WRZ'!$F$124:$T$130,2,FALSE)))*C43/78,0)</f>
        <v>49247.21474358975</v>
      </c>
      <c r="BG43" s="560">
        <f ca="1">HLOOKUP(B43,Heating!$R$102:$AD$106,2,FALSE)*INDEX(Weather!$BO$1:$CB$20,MATCH(B43,Weather!$BO$1:$BO$20,0),MATCH(C43,Weather!$BO$1:$CB$1,0))/VLOOKUP(B43,Weather!$BO$2:$CB$20,14,FALSE)*
VLOOKUP('Monthly Data'!$B43,Weather!$BO$3:$CB$20,14,FALSE)/Weather!$CB$14</f>
        <v>3139.6230289313721</v>
      </c>
      <c r="BH43" s="560">
        <f t="shared" ref="BH43:BH106" ca="1" si="177">BE43-BF43-BG43</f>
        <v>29620257.59151065</v>
      </c>
      <c r="BI43" s="560">
        <v>6589393.2446049256</v>
      </c>
      <c r="BJ43" s="560">
        <f>IFERROR(VLOOKUP($B43-1,CDM!$V$4:$AJ$17,12,FALSE)/12,0)+IFERROR(VLOOKUP($B43,CDM!$V$41:$AJ$54,12,FALSE)/24,0)+IFERROR(VLOOKUP($B43,CDM!$V$41:$AJ$54,12,FALSE)/2*$C43/78,0)</f>
        <v>205157.25166126597</v>
      </c>
      <c r="BK43" s="560">
        <f t="shared" ref="BK43:BK97" si="178">BI43+BJ43</f>
        <v>6794550.4962661918</v>
      </c>
      <c r="BL43" s="560">
        <f>IFERROR(HLOOKUP(B43-1,'EV Forecast WRZ'!$F$124:$T$130,3,FALSE)/12,0)+IFERROR(((HLOOKUP(B43,'EV Forecast WRZ'!$F$116:$T$122,3,FALSE)-HLOOKUP(B43-1,'EV Forecast WRZ'!$F$124:$T$130,3,FALSE)))*C43/78,0)</f>
        <v>6164.3782051282051</v>
      </c>
      <c r="BM43" s="560">
        <f ca="1">HLOOKUP(B43,Heating!$R$102:$AD$106,4,FALSE)*INDEX(Weather!$BO$1:$CB$20,MATCH(B43,Weather!$BO$1:$BO$20,0),MATCH(C43,Weather!$BO$1:$CB$1,0))/VLOOKUP(B43,Weather!$BO$2:$CB$20,14,FALSE)*
VLOOKUP('Monthly Data'!$B43,Weather!$BO$3:$CB$20,14,FALSE)/Weather!$CB$14</f>
        <v>533.38776238639139</v>
      </c>
      <c r="BN43" s="560">
        <f t="shared" ref="BN43:BN106" ca="1" si="179">BK43-BL43-BM43</f>
        <v>6787852.7302986775</v>
      </c>
      <c r="BO43" s="560">
        <v>25747854.736715697</v>
      </c>
      <c r="BP43" s="560">
        <f>IFERROR(VLOOKUP($B43-1,CDM!$V$4:$AJ$17,13,FALSE)/12,0)+IFERROR(VLOOKUP($B43,CDM!$V$41:$AJ$54,13,FALSE)/24,0)+IFERROR(VLOOKUP($B43,CDM!$V$41:$AJ$54,13,FALSE)/2*$C43/78,0)</f>
        <v>1499352.9099040565</v>
      </c>
      <c r="BQ43" s="560">
        <f t="shared" ref="BQ43:BQ97" si="180">BO43+BP43</f>
        <v>27247207.646619752</v>
      </c>
      <c r="BR43" s="560">
        <f>IFERROR(HLOOKUP(B43-1,'EV Forecast WRZ'!$F$124:$T$130,4,FALSE)/12,0)+IFERROR(((HLOOKUP(B43,'EV Forecast WRZ'!$F$116:$T$122,4,FALSE)-HLOOKUP(B43-1,'EV Forecast WRZ'!$F$124:$T$130,4,FALSE)))*C43/78,0)</f>
        <v>2803.9701923076923</v>
      </c>
      <c r="BS43" s="560">
        <f ca="1">HLOOKUP(B43,Heating!$R$102:$AD$106,5,FALSE)*INDEX(Weather!$BO$1:$CB$20,MATCH(B43,Weather!$BO$1:$BO$20,0),MATCH(C43,Weather!$BO$1:$CB$1,0))/VLOOKUP(B43,Weather!$BO$2:$CB$20,14,FALSE)*
VLOOKUP('Monthly Data'!$B43,Weather!$BO$3:$CB$20,14,FALSE)/Weather!$CB$14</f>
        <v>379.90292879438965</v>
      </c>
      <c r="BT43" s="560">
        <f t="shared" ref="BT43:BT106" ca="1" si="181">BQ43-BR43-BS43</f>
        <v>27244023.773498647</v>
      </c>
      <c r="BU43" s="560">
        <v>6237868.3027965287</v>
      </c>
      <c r="BV43" s="560">
        <f>IFERROR(VLOOKUP($B43-1,CDM!$V$4:$AJ$17,14,FALSE)/12,0)+IFERROR(VLOOKUP($B43,CDM!$V$41:$AJ$54,14,FALSE)/24,0)+IFERROR(VLOOKUP($B43,CDM!$V$41:$AJ$54,14,FALSE)/2*$C43/78,0)</f>
        <v>337087.7537779152</v>
      </c>
      <c r="BW43" s="560">
        <f t="shared" ref="BW43:BW97" si="182">BU43+BV43</f>
        <v>6574956.0565744443</v>
      </c>
      <c r="BX43" s="560">
        <f>IFERROR(HLOOKUP(B43-1,'EV Forecast WRZ'!$F$124:$T$130,5,FALSE)/12,0)+IFERROR(((HLOOKUP(B43,'EV Forecast WRZ'!$F$116:$T$122,5,FALSE)-HLOOKUP(B43-1,'EV Forecast WRZ'!$F$124:$T$130,5,FALSE)))*C43/78,0)</f>
        <v>428.21891025641025</v>
      </c>
      <c r="BY43" s="560">
        <f t="shared" si="120"/>
        <v>6574527.8376641879</v>
      </c>
      <c r="BZ43" s="560">
        <v>202520.99674765638</v>
      </c>
      <c r="CA43" s="560">
        <v>2362.8290142882652</v>
      </c>
      <c r="CB43" s="560">
        <v>47341.974363879854</v>
      </c>
      <c r="CC43" s="5">
        <v>67367.61</v>
      </c>
      <c r="CD43" s="5">
        <v>11226.41</v>
      </c>
      <c r="CE43" s="5">
        <v>736.47</v>
      </c>
      <c r="CF43" s="544">
        <f t="shared" si="118"/>
        <v>7.166666666666667</v>
      </c>
      <c r="CG43" s="565">
        <v>40854.500000000015</v>
      </c>
      <c r="CH43" s="565">
        <v>2260.5000000000009</v>
      </c>
      <c r="CI43" s="565">
        <v>377</v>
      </c>
      <c r="CJ43" s="565">
        <v>3</v>
      </c>
      <c r="CK43" s="565">
        <v>12391.000000000004</v>
      </c>
      <c r="CL43" s="565">
        <v>37</v>
      </c>
      <c r="CM43" s="565">
        <v>384</v>
      </c>
      <c r="CN43" s="46">
        <f>Weather!C67</f>
        <v>80.695833333333368</v>
      </c>
      <c r="CO43" s="46">
        <f>Weather!D67</f>
        <v>10.4375</v>
      </c>
      <c r="CP43" s="46">
        <f>Weather!E67</f>
        <v>46.120833333333351</v>
      </c>
      <c r="CQ43" s="46">
        <f>Weather!F67</f>
        <v>35.862499999999976</v>
      </c>
      <c r="CR43" s="46">
        <f>Weather!G67</f>
        <v>21.925000000000018</v>
      </c>
      <c r="CS43" s="46">
        <f>Weather!H67</f>
        <v>71.666666666666629</v>
      </c>
      <c r="CT43" s="46">
        <f>Weather!I67</f>
        <v>9.0750000000000011</v>
      </c>
      <c r="CU43" s="46">
        <f>Weather!J67</f>
        <v>118.81666666666663</v>
      </c>
      <c r="CV43" s="46">
        <f>Weather!K67</f>
        <v>3.9291666666666671</v>
      </c>
      <c r="CW43" s="46">
        <f>Weather!L67</f>
        <v>173.67083333333326</v>
      </c>
      <c r="CX43" s="46">
        <f>Weather!M67</f>
        <v>0.97916666666666963</v>
      </c>
      <c r="CY43" s="46">
        <f>Weather!N67</f>
        <v>230.72083333333327</v>
      </c>
      <c r="CZ43" s="46">
        <f>Weather!O67</f>
        <v>0</v>
      </c>
      <c r="DA43" s="46">
        <f>Weather!P67</f>
        <v>289.74166666666656</v>
      </c>
      <c r="DB43" s="243">
        <f>'Economic Data'!D69</f>
        <v>7396.1</v>
      </c>
      <c r="DC43" s="243">
        <f>'Economic Data'!E69</f>
        <v>7436.8</v>
      </c>
      <c r="DD43" s="243">
        <f>'Economic Data'!F69</f>
        <v>217.8</v>
      </c>
      <c r="DE43" s="243">
        <f>'Economic Data'!G69</f>
        <v>220.9</v>
      </c>
      <c r="DF43" s="243">
        <f>'Economic Data'!H69</f>
        <v>52.8</v>
      </c>
      <c r="DG43" s="243">
        <f>'Economic Data'!I69</f>
        <v>52.8</v>
      </c>
      <c r="DH43" s="243">
        <f>'Economic Data'!J69</f>
        <v>807274.5</v>
      </c>
      <c r="DI43" s="243">
        <f>'Economic Data'!K69</f>
        <v>626103.1</v>
      </c>
      <c r="DJ43" s="243">
        <f>'Economic Data'!L69</f>
        <v>94599.6</v>
      </c>
      <c r="DK43" s="243">
        <f>'Economic Data'!M69</f>
        <v>32860.800000000003</v>
      </c>
      <c r="DL43" s="243">
        <f>'Economic Data'!N69</f>
        <v>806729</v>
      </c>
      <c r="DM43" s="243">
        <f>'Economic Data'!O69</f>
        <v>95147</v>
      </c>
      <c r="DN43" s="243">
        <f>'Economic Data'!P69</f>
        <v>19872</v>
      </c>
      <c r="DO43" s="243">
        <f>'Economic Data'!Q69</f>
        <v>624766</v>
      </c>
      <c r="DP43" s="243">
        <f>'Economic Data'!R69</f>
        <v>32794</v>
      </c>
      <c r="DQ43">
        <v>30</v>
      </c>
      <c r="DR43">
        <v>22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1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f t="shared" si="66"/>
        <v>42</v>
      </c>
      <c r="EI43">
        <v>0</v>
      </c>
      <c r="EJ43">
        <v>0</v>
      </c>
      <c r="EK43">
        <v>0</v>
      </c>
      <c r="EL43">
        <v>0</v>
      </c>
      <c r="EM43" s="47">
        <f t="shared" si="121"/>
        <v>0</v>
      </c>
      <c r="EN43" s="47">
        <f t="shared" si="122"/>
        <v>0</v>
      </c>
      <c r="EO43" s="47">
        <f t="shared" si="123"/>
        <v>0</v>
      </c>
      <c r="EP43" s="47">
        <f t="shared" si="124"/>
        <v>0</v>
      </c>
      <c r="EQ43" s="47">
        <f t="shared" si="125"/>
        <v>0</v>
      </c>
      <c r="ER43" s="47">
        <f t="shared" si="126"/>
        <v>0</v>
      </c>
      <c r="ES43" s="47">
        <f t="shared" si="127"/>
        <v>0</v>
      </c>
      <c r="ET43" s="47">
        <f t="shared" si="128"/>
        <v>0</v>
      </c>
      <c r="EU43" s="47">
        <f t="shared" si="129"/>
        <v>0</v>
      </c>
      <c r="EV43" s="47">
        <f t="shared" si="130"/>
        <v>0</v>
      </c>
      <c r="EW43" s="47">
        <f t="shared" si="131"/>
        <v>0</v>
      </c>
      <c r="EX43" s="47">
        <f t="shared" si="132"/>
        <v>0</v>
      </c>
      <c r="EY43" s="47">
        <f t="shared" si="133"/>
        <v>0</v>
      </c>
      <c r="EZ43" s="47">
        <f t="shared" si="134"/>
        <v>0</v>
      </c>
      <c r="FA43" s="47">
        <f t="shared" si="135"/>
        <v>0</v>
      </c>
      <c r="FB43" s="47">
        <f t="shared" si="136"/>
        <v>0</v>
      </c>
      <c r="FC43" s="47">
        <f t="shared" si="137"/>
        <v>0</v>
      </c>
      <c r="FD43" s="47">
        <f t="shared" si="138"/>
        <v>0</v>
      </c>
      <c r="FE43" s="47">
        <f t="shared" si="139"/>
        <v>0</v>
      </c>
      <c r="FF43" s="47">
        <f t="shared" si="140"/>
        <v>0</v>
      </c>
      <c r="FG43" s="47">
        <f t="shared" si="141"/>
        <v>0</v>
      </c>
      <c r="FH43" s="47">
        <f t="shared" si="142"/>
        <v>0</v>
      </c>
      <c r="FI43" s="47">
        <f t="shared" si="143"/>
        <v>0</v>
      </c>
      <c r="FJ43" s="47">
        <f t="shared" si="144"/>
        <v>0</v>
      </c>
      <c r="FK43" s="47">
        <f t="shared" si="145"/>
        <v>0</v>
      </c>
      <c r="FL43" s="47">
        <f t="shared" si="146"/>
        <v>0</v>
      </c>
      <c r="FM43" s="47">
        <f t="shared" si="147"/>
        <v>0</v>
      </c>
      <c r="FN43" s="47">
        <f t="shared" si="148"/>
        <v>0</v>
      </c>
      <c r="FO43" s="546">
        <f t="shared" ca="1" si="149"/>
        <v>640.3489906053378</v>
      </c>
      <c r="FP43" s="546">
        <f t="shared" si="150"/>
        <v>468.4921926828851</v>
      </c>
      <c r="FQ43" s="546">
        <f t="shared" si="151"/>
        <v>2438.6215484957029</v>
      </c>
      <c r="FR43" s="546">
        <f t="shared" si="152"/>
        <v>75345.486676136701</v>
      </c>
      <c r="FS43" s="546">
        <f t="shared" si="153"/>
        <v>1983674.5194063385</v>
      </c>
      <c r="FT43" s="546">
        <f t="shared" si="154"/>
        <v>6028049.4083278747</v>
      </c>
      <c r="FU43" s="546">
        <f t="shared" si="155"/>
        <v>25.183934268696802</v>
      </c>
      <c r="FV43" s="546">
        <f t="shared" si="156"/>
        <v>47.040078788926024</v>
      </c>
      <c r="FW43" s="546">
        <f t="shared" si="157"/>
        <v>475.60346104660823</v>
      </c>
      <c r="FX43" s="546">
        <f t="shared" si="158"/>
        <v>726.30051595988584</v>
      </c>
      <c r="FY43" s="546">
        <f t="shared" si="159"/>
        <v>3005.7732785959697</v>
      </c>
      <c r="FZ43" s="546">
        <f t="shared" si="160"/>
        <v>72273.760335861414</v>
      </c>
      <c r="GA43" s="546">
        <f t="shared" si="161"/>
        <v>67506.998915885459</v>
      </c>
      <c r="GB43" s="546">
        <f t="shared" si="162"/>
        <v>16.344201174050223</v>
      </c>
      <c r="GC43" s="546">
        <f t="shared" si="163"/>
        <v>63.860243629412572</v>
      </c>
      <c r="GD43" s="546">
        <f t="shared" si="164"/>
        <v>123.28639157260379</v>
      </c>
    </row>
    <row r="44" spans="1:186">
      <c r="A44" s="4">
        <v>43647</v>
      </c>
      <c r="B44" s="6">
        <v>2019</v>
      </c>
      <c r="C44" s="5">
        <v>7</v>
      </c>
      <c r="D44" s="7">
        <v>103321659.99749188</v>
      </c>
      <c r="E44" s="7">
        <f>IFERROR(VLOOKUP($B44-1,CDM!$V$4:$AJ$17,2,FALSE)/12,0)+IFERROR(VLOOKUP($B44,CDM!$V$41:$AJ$54,2,FALSE)/24,0)+IFERROR(VLOOKUP($B44,CDM!$V$41:$AJ$54,2,FALSE)/2*$C44/78,0)</f>
        <v>3829405.9873859948</v>
      </c>
      <c r="F44" s="7">
        <f t="shared" si="165"/>
        <v>107151065.98487787</v>
      </c>
      <c r="G44" s="7">
        <f>IFERROR(HLOOKUP(B44-1,'EV Forecast VRZ'!$F$124:$T$130,2,FALSE)/12,0)+IFERROR(((HLOOKUP(B44,'EV Forecast VRZ'!$F$116:$T$122,2,FALSE)-HLOOKUP(B44-1,'EV Forecast VRZ'!$F$124:$T$130,2,FALSE)))*C44/78,0)</f>
        <v>172011.61465287418</v>
      </c>
      <c r="H44" s="7">
        <f ca="1">HLOOKUP(B44,Heating!$C$102:$O$106,2,FALSE)*INDEX(Weather!$BO$1:$CB$20,MATCH(B44,Weather!$BO$1:$BO$20,0),MATCH(C44,Weather!$BO$1:$CB$1,0))/VLOOKUP(B44,Weather!$BO$2:$CB$20,14,FALSE)*
VLOOKUP('Monthly Data'!$B44,Weather!$BO$3:$CB$20,14,FALSE)/Weather!$CB$14</f>
        <v>0</v>
      </c>
      <c r="I44" s="7">
        <f t="shared" ca="1" si="166"/>
        <v>106979054.370225</v>
      </c>
      <c r="J44" s="7">
        <v>930957.99955161137</v>
      </c>
      <c r="K44" s="7">
        <f>IFERROR(VLOOKUP($B44-1,CDM!$V$4:$AJ$17,3,FALSE)/12,0)+IFERROR(VLOOKUP($B44,CDM!$V$41:$AJ$54,3,FALSE)/24,0)+IFERROR(VLOOKUP($B44,CDM!$V$41:$AJ$54,3,FALSE)/2*$C44/78,0)</f>
        <v>43861.264001414325</v>
      </c>
      <c r="L44" s="7">
        <f t="shared" si="167"/>
        <v>974819.26355302567</v>
      </c>
      <c r="M44" s="7">
        <f>IFERROR(HLOOKUP(B44-1,'EV Forecast VRZ'!$F$124:$T$130,3,FALSE)/12,0)+IFERROR(((HLOOKUP(B44,'EV Forecast VRZ'!$F$116:$T$122,3,FALSE)-HLOOKUP(B44-1,'EV Forecast VRZ'!$F$124:$T$130,3,FALSE)))*C44/78,0)</f>
        <v>2334.0499625104126</v>
      </c>
      <c r="N44" s="7">
        <f ca="1">HLOOKUP(B44,Heating!$C$102:$O$106,3,FALSE)*INDEX(Weather!$BO$1:$CB$20,MATCH(B44,Weather!$BO$1:$BO$20,0),MATCH(C44,Weather!$BO$1:$CB$1,0))/VLOOKUP(B44,Weather!$BO$2:$CB$20,14,FALSE)*
VLOOKUP('Monthly Data'!$B44,Weather!$BO$3:$CB$20,14,FALSE)/Weather!$CB$14</f>
        <v>0</v>
      </c>
      <c r="O44" s="7">
        <f t="shared" ca="1" si="168"/>
        <v>972485.21359051531</v>
      </c>
      <c r="P44" s="7">
        <v>26191648.002585482</v>
      </c>
      <c r="Q44" s="7">
        <f>IFERROR(VLOOKUP($B44-1,CDM!$V$4:$AJ$17,4,FALSE)/12,0)+IFERROR(VLOOKUP($B44,CDM!$V$41:$AJ$54,4,FALSE)/24,0)+IFERROR(VLOOKUP($B44,CDM!$V$41:$AJ$54,4,FALSE)/2*$C44/78,0)</f>
        <v>1266542.7933190095</v>
      </c>
      <c r="R44" s="7">
        <f t="shared" si="169"/>
        <v>27458190.795904491</v>
      </c>
      <c r="S44" s="7">
        <f>IFERROR(HLOOKUP(B44-1,'EV Forecast VRZ'!$F$124:$T$130,4,FALSE)/12,0)+IFERROR(((HLOOKUP(B44,'EV Forecast VRZ'!$F$116:$T$122,4,FALSE)-HLOOKUP(B44-1,'EV Forecast VRZ'!$F$124:$T$130,4,FALSE)))*C44/78,0)</f>
        <v>21732.295384615391</v>
      </c>
      <c r="T44" s="7">
        <f ca="1">HLOOKUP(B44,Heating!$C$102:$O$106,4,FALSE)*INDEX(Weather!$BO$1:$CB$20,MATCH(B44,Weather!$BO$1:$BO$20,0),MATCH(C44,Weather!$BO$1:$CB$1,0))/VLOOKUP(B44,Weather!$BO$2:$CB$20,14,FALSE)*
VLOOKUP('Monthly Data'!$B44,Weather!$BO$3:$CB$20,14,FALSE)/Weather!$CB$14</f>
        <v>0</v>
      </c>
      <c r="U44" s="7">
        <f t="shared" ca="1" si="170"/>
        <v>27436458.500519875</v>
      </c>
      <c r="V44" s="7">
        <v>82036084.349081635</v>
      </c>
      <c r="W44" s="7">
        <f>IFERROR(VLOOKUP($B44-1,CDM!$V$4:$AJ$17,5,FALSE)/12,0)+IFERROR(VLOOKUP($B44,CDM!$V$41:$AJ$54,5,FALSE)/24,0)+IFERROR(VLOOKUP($B44,CDM!$V$41:$AJ$54,5,FALSE)/2*$C44/78,0)</f>
        <v>4465138.0854423596</v>
      </c>
      <c r="X44" s="7">
        <f t="shared" si="171"/>
        <v>86501222.434524</v>
      </c>
      <c r="Y44" s="7">
        <f>IFERROR(HLOOKUP(B44-1,'EV Forecast VRZ'!$F$124:$T$130,5,FALSE)/12,0)+IFERROR(((HLOOKUP(B44,'EV Forecast VRZ'!$F$116:$T$122,5,FALSE)-HLOOKUP(B44-1,'EV Forecast VRZ'!$F$124:$T$130,5,FALSE)))*C44/78,0)</f>
        <v>9878.3790769230782</v>
      </c>
      <c r="Z44" s="7">
        <f ca="1">HLOOKUP(B44,Heating!$C$102:$O$106,5,FALSE)*INDEX(Weather!$BO$1:$CB$20,MATCH(B44,Weather!$BO$1:$BO$20,0),MATCH(C44,Weather!$BO$1:$CB$1,0))/VLOOKUP(B44,Weather!$BO$2:$CB$20,14,FALSE)*
VLOOKUP('Monthly Data'!$B44,Weather!$BO$3:$CB$20,14,FALSE)/Weather!$CB$14</f>
        <v>0</v>
      </c>
      <c r="AA44" s="7">
        <f t="shared" ca="1" si="172"/>
        <v>86491344.055447072</v>
      </c>
      <c r="AB44" s="7">
        <v>7287238.9602375692</v>
      </c>
      <c r="AC44" s="7">
        <f>IFERROR(VLOOKUP($B44-1,CDM!$V$4:$AJ$17,6,FALSE)/12,0)+IFERROR(VLOOKUP($B44,CDM!$V$41:$AJ$54,6,FALSE)/24,0)+IFERROR(VLOOKUP($B44,CDM!$V$41:$AJ$54,6,FALSE)/2*$C44/78,0)</f>
        <v>211991.98937632627</v>
      </c>
      <c r="AD44" s="7">
        <f t="shared" si="173"/>
        <v>7499230.9496138953</v>
      </c>
      <c r="AE44" s="7">
        <f>IFERROR(HLOOKUP(B44-1,'EV Forecast VRZ'!$F$124:$T$130,6,FALSE)/12,0)+IFERROR(((HLOOKUP(B44,'EV Forecast VRZ'!$F$116:$T$122,6,FALSE)-HLOOKUP(B44-1,'EV Forecast VRZ'!$F$124:$T$130,6,FALSE)))*C44/78,0)</f>
        <v>1481.9993846153843</v>
      </c>
      <c r="AF44" s="7">
        <f t="shared" si="174"/>
        <v>7497748.9502292797</v>
      </c>
      <c r="AG44" s="7">
        <v>22588764.713467833</v>
      </c>
      <c r="AH44" s="7">
        <f>IFERROR(VLOOKUP($B44-1,CDM!$V$4:$AJ$17,7,FALSE)/12,0)+IFERROR(VLOOKUP($B44,CDM!$V$41:$AJ$54,7,FALSE)/24,0)+IFERROR(VLOOKUP($B44,CDM!$V$41:$AJ$54,7,FALSE)/2*$C44/78,0)</f>
        <v>1570432.4171777875</v>
      </c>
      <c r="AI44" s="7">
        <f t="shared" si="175"/>
        <v>24159197.130645622</v>
      </c>
      <c r="AJ44" s="7">
        <f>IFERROR(HLOOKUP(B44-1,'EV Forecast VRZ'!$F$124:$T$130,7,FALSE)/12,0)+IFERROR(((HLOOKUP(B44,'EV Forecast VRZ'!$F$116:$T$122,7,FALSE)-HLOOKUP(B44-1,'EV Forecast VRZ'!$F$124:$T$130,7,FALSE)))*C44/78,0)</f>
        <v>0</v>
      </c>
      <c r="AK44" s="7">
        <f t="shared" si="176"/>
        <v>24159197.130645622</v>
      </c>
      <c r="AL44" s="7">
        <v>843291.69051707687</v>
      </c>
      <c r="AM44" s="7">
        <v>19781.625643961073</v>
      </c>
      <c r="AN44" s="7">
        <v>385034.0106849838</v>
      </c>
      <c r="AO44" s="5">
        <v>199966.99</v>
      </c>
      <c r="AP44" s="5">
        <v>16312.94</v>
      </c>
      <c r="AQ44" s="5">
        <v>39453</v>
      </c>
      <c r="AR44" s="5">
        <v>3022.64</v>
      </c>
      <c r="AS44" s="544">
        <f t="shared" si="117"/>
        <v>52.416666666666664</v>
      </c>
      <c r="AT44" s="557">
        <v>111029.25</v>
      </c>
      <c r="AU44" s="557">
        <v>1564.75</v>
      </c>
      <c r="AV44" s="557">
        <v>9212.5833333333376</v>
      </c>
      <c r="AW44" s="557">
        <v>1028.1666666666672</v>
      </c>
      <c r="AX44" s="557">
        <v>4</v>
      </c>
      <c r="AY44" s="557">
        <v>4</v>
      </c>
      <c r="AZ44" s="557">
        <v>31146.583333333325</v>
      </c>
      <c r="BA44" s="557">
        <v>334.5833333333332</v>
      </c>
      <c r="BB44" s="557">
        <v>808.5833333333336</v>
      </c>
      <c r="BC44" s="560">
        <v>42550260.533001713</v>
      </c>
      <c r="BD44" s="560">
        <f>IFERROR(VLOOKUP($B44-1,CDM!$V$4:$AJ$17,11,FALSE)/12,0)+IFERROR(VLOOKUP($B44,CDM!$V$41:$AJ$54,11,FALSE)/24,0)+IFERROR(VLOOKUP($B44,CDM!$V$41:$AJ$54,11,FALSE)/2*$C44/78,0)</f>
        <v>1923211.8505310176</v>
      </c>
      <c r="BE44" s="560">
        <f t="shared" si="119"/>
        <v>44473472.383532733</v>
      </c>
      <c r="BF44" s="560">
        <f>IFERROR(HLOOKUP(B44-1,'EV Forecast WRZ'!$F$124:$T$130,2,FALSE)/12,0)+IFERROR(((HLOOKUP(B44,'EV Forecast WRZ'!$F$116:$T$122,2,FALSE)-HLOOKUP(B44-1,'EV Forecast WRZ'!$F$124:$T$130,2,FALSE)))*C44/78,0)</f>
        <v>50747.551923076935</v>
      </c>
      <c r="BG44" s="560">
        <f ca="1">HLOOKUP(B44,Heating!$R$102:$AD$106,2,FALSE)*INDEX(Weather!$BO$1:$CB$20,MATCH(B44,Weather!$BO$1:$BO$20,0),MATCH(C44,Weather!$BO$1:$CB$1,0))/VLOOKUP(B44,Weather!$BO$2:$CB$20,14,FALSE)*
VLOOKUP('Monthly Data'!$B44,Weather!$BO$3:$CB$20,14,FALSE)/Weather!$CB$14</f>
        <v>0</v>
      </c>
      <c r="BH44" s="560">
        <f t="shared" ca="1" si="177"/>
        <v>44422724.831609659</v>
      </c>
      <c r="BI44" s="560">
        <v>8023257.7954945276</v>
      </c>
      <c r="BJ44" s="560">
        <f>IFERROR(VLOOKUP($B44-1,CDM!$V$4:$AJ$17,12,FALSE)/12,0)+IFERROR(VLOOKUP($B44,CDM!$V$41:$AJ$54,12,FALSE)/24,0)+IFERROR(VLOOKUP($B44,CDM!$V$41:$AJ$54,12,FALSE)/2*$C44/78,0)</f>
        <v>207044.0632152824</v>
      </c>
      <c r="BK44" s="560">
        <f t="shared" si="178"/>
        <v>8230301.8587098103</v>
      </c>
      <c r="BL44" s="560">
        <f>IFERROR(HLOOKUP(B44-1,'EV Forecast WRZ'!$F$124:$T$130,3,FALSE)/12,0)+IFERROR(((HLOOKUP(B44,'EV Forecast WRZ'!$F$116:$T$122,3,FALSE)-HLOOKUP(B44-1,'EV Forecast WRZ'!$F$124:$T$130,3,FALSE)))*C44/78,0)</f>
        <v>6340.8884615384613</v>
      </c>
      <c r="BM44" s="560">
        <f ca="1">HLOOKUP(B44,Heating!$R$102:$AD$106,4,FALSE)*INDEX(Weather!$BO$1:$CB$20,MATCH(B44,Weather!$BO$1:$BO$20,0),MATCH(C44,Weather!$BO$1:$CB$1,0))/VLOOKUP(B44,Weather!$BO$2:$CB$20,14,FALSE)*
VLOOKUP('Monthly Data'!$B44,Weather!$BO$3:$CB$20,14,FALSE)/Weather!$CB$14</f>
        <v>0</v>
      </c>
      <c r="BN44" s="560">
        <f t="shared" ca="1" si="179"/>
        <v>8223960.9702482717</v>
      </c>
      <c r="BO44" s="560">
        <v>28699950.102671865</v>
      </c>
      <c r="BP44" s="560">
        <f>IFERROR(VLOOKUP($B44-1,CDM!$V$4:$AJ$17,13,FALSE)/12,0)+IFERROR(VLOOKUP($B44,CDM!$V$41:$AJ$54,13,FALSE)/24,0)+IFERROR(VLOOKUP($B44,CDM!$V$41:$AJ$54,13,FALSE)/2*$C44/78,0)</f>
        <v>1535502.9172351775</v>
      </c>
      <c r="BQ44" s="560">
        <f t="shared" si="180"/>
        <v>30235453.019907042</v>
      </c>
      <c r="BR44" s="560">
        <f>IFERROR(HLOOKUP(B44-1,'EV Forecast WRZ'!$F$124:$T$130,4,FALSE)/12,0)+IFERROR(((HLOOKUP(B44,'EV Forecast WRZ'!$F$116:$T$122,4,FALSE)-HLOOKUP(B44-1,'EV Forecast WRZ'!$F$124:$T$130,4,FALSE)))*C44/78,0)</f>
        <v>2883.3998076923081</v>
      </c>
      <c r="BS44" s="560">
        <f ca="1">HLOOKUP(B44,Heating!$R$102:$AD$106,5,FALSE)*INDEX(Weather!$BO$1:$CB$20,MATCH(B44,Weather!$BO$1:$BO$20,0),MATCH(C44,Weather!$BO$1:$CB$1,0))/VLOOKUP(B44,Weather!$BO$2:$CB$20,14,FALSE)*
VLOOKUP('Monthly Data'!$B44,Weather!$BO$3:$CB$20,14,FALSE)/Weather!$CB$14</f>
        <v>0</v>
      </c>
      <c r="BT44" s="560">
        <f t="shared" ca="1" si="181"/>
        <v>30232569.620099351</v>
      </c>
      <c r="BU44" s="560">
        <v>6424260.6268081004</v>
      </c>
      <c r="BV44" s="560">
        <f>IFERROR(VLOOKUP($B44-1,CDM!$V$4:$AJ$17,14,FALSE)/12,0)+IFERROR(VLOOKUP($B44,CDM!$V$41:$AJ$54,14,FALSE)/24,0)+IFERROR(VLOOKUP($B44,CDM!$V$41:$AJ$54,14,FALSE)/2*$C44/78,0)</f>
        <v>345215.07636475208</v>
      </c>
      <c r="BW44" s="560">
        <f t="shared" si="182"/>
        <v>6769475.7031728523</v>
      </c>
      <c r="BX44" s="560">
        <f>IFERROR(HLOOKUP(B44-1,'EV Forecast WRZ'!$F$124:$T$130,5,FALSE)/12,0)+IFERROR(((HLOOKUP(B44,'EV Forecast WRZ'!$F$116:$T$122,5,FALSE)-HLOOKUP(B44-1,'EV Forecast WRZ'!$F$124:$T$130,5,FALSE)))*C44/78,0)</f>
        <v>437.04442307692307</v>
      </c>
      <c r="BY44" s="560">
        <f t="shared" si="120"/>
        <v>6769038.658749775</v>
      </c>
      <c r="BZ44" s="560">
        <v>215959.94834513104</v>
      </c>
      <c r="CA44" s="560">
        <v>2362.8290142882652</v>
      </c>
      <c r="CB44" s="560">
        <v>47341.974363879854</v>
      </c>
      <c r="CC44" s="5">
        <v>73779.759999999995</v>
      </c>
      <c r="CD44" s="5">
        <v>11834.42</v>
      </c>
      <c r="CE44" s="5">
        <v>739.85</v>
      </c>
      <c r="CF44" s="544">
        <f t="shared" si="118"/>
        <v>7.166666666666667</v>
      </c>
      <c r="CG44" s="565">
        <v>40951.58333333335</v>
      </c>
      <c r="CH44" s="565">
        <v>2261.5833333333344</v>
      </c>
      <c r="CI44" s="565">
        <v>377</v>
      </c>
      <c r="CJ44" s="565">
        <v>3</v>
      </c>
      <c r="CK44" s="565">
        <v>12425.833333333338</v>
      </c>
      <c r="CL44" s="565">
        <v>37</v>
      </c>
      <c r="CM44" s="565">
        <v>384.5</v>
      </c>
      <c r="CN44" s="46">
        <f>Weather!C68</f>
        <v>0.97500000000000497</v>
      </c>
      <c r="CO44" s="46">
        <f>Weather!D68</f>
        <v>74.574999999999989</v>
      </c>
      <c r="CP44" s="46">
        <f>Weather!E68</f>
        <v>0</v>
      </c>
      <c r="CQ44" s="46">
        <f>Weather!F68</f>
        <v>135.6</v>
      </c>
      <c r="CR44" s="46">
        <f>Weather!G68</f>
        <v>0</v>
      </c>
      <c r="CS44" s="46">
        <f>Weather!H68</f>
        <v>197.60000000000005</v>
      </c>
      <c r="CT44" s="46">
        <f>Weather!I68</f>
        <v>0</v>
      </c>
      <c r="CU44" s="46">
        <f>Weather!J68</f>
        <v>259.60000000000008</v>
      </c>
      <c r="CV44" s="46">
        <f>Weather!K68</f>
        <v>0</v>
      </c>
      <c r="CW44" s="46">
        <f>Weather!L68</f>
        <v>321.60000000000002</v>
      </c>
      <c r="CX44" s="46">
        <f>Weather!M68</f>
        <v>0</v>
      </c>
      <c r="CY44" s="46">
        <f>Weather!N68</f>
        <v>383.6</v>
      </c>
      <c r="CZ44" s="46">
        <f>Weather!O68</f>
        <v>0</v>
      </c>
      <c r="DA44" s="46">
        <f>Weather!P68</f>
        <v>445.60000000000008</v>
      </c>
      <c r="DB44" s="243">
        <f>'Economic Data'!D70</f>
        <v>7399.6</v>
      </c>
      <c r="DC44" s="243">
        <f>'Economic Data'!E70</f>
        <v>7484.5</v>
      </c>
      <c r="DD44" s="243">
        <f>'Economic Data'!F70</f>
        <v>216.2</v>
      </c>
      <c r="DE44" s="243">
        <f>'Economic Data'!G70</f>
        <v>220.4</v>
      </c>
      <c r="DF44" s="243">
        <f>'Economic Data'!H70</f>
        <v>46.2</v>
      </c>
      <c r="DG44" s="243">
        <f>'Economic Data'!I70</f>
        <v>46.2</v>
      </c>
      <c r="DH44" s="243">
        <f>'Economic Data'!J70</f>
        <v>807274.5</v>
      </c>
      <c r="DI44" s="243">
        <f>'Economic Data'!K70</f>
        <v>626103.1</v>
      </c>
      <c r="DJ44" s="243">
        <f>'Economic Data'!L70</f>
        <v>94599.6</v>
      </c>
      <c r="DK44" s="243">
        <f>'Economic Data'!M70</f>
        <v>32860.800000000003</v>
      </c>
      <c r="DL44" s="243">
        <f>'Economic Data'!N70</f>
        <v>810697</v>
      </c>
      <c r="DM44" s="243">
        <f>'Economic Data'!O70</f>
        <v>94481</v>
      </c>
      <c r="DN44" s="243">
        <f>'Economic Data'!P70</f>
        <v>19978</v>
      </c>
      <c r="DO44" s="243">
        <f>'Economic Data'!Q70</f>
        <v>629169</v>
      </c>
      <c r="DP44" s="243">
        <f>'Economic Data'!R70</f>
        <v>33199</v>
      </c>
      <c r="DQ44">
        <v>31</v>
      </c>
      <c r="DR44">
        <v>22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1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f t="shared" si="66"/>
        <v>43</v>
      </c>
      <c r="EI44">
        <v>0</v>
      </c>
      <c r="EJ44">
        <v>0</v>
      </c>
      <c r="EK44">
        <v>0</v>
      </c>
      <c r="EL44">
        <v>0</v>
      </c>
      <c r="EM44" s="47">
        <f t="shared" si="121"/>
        <v>0</v>
      </c>
      <c r="EN44" s="47">
        <f t="shared" si="122"/>
        <v>0</v>
      </c>
      <c r="EO44" s="47">
        <f t="shared" si="123"/>
        <v>0</v>
      </c>
      <c r="EP44" s="47">
        <f t="shared" si="124"/>
        <v>0</v>
      </c>
      <c r="EQ44" s="47">
        <f t="shared" si="125"/>
        <v>0</v>
      </c>
      <c r="ER44" s="47">
        <f t="shared" si="126"/>
        <v>0</v>
      </c>
      <c r="ES44" s="47">
        <f t="shared" si="127"/>
        <v>0</v>
      </c>
      <c r="ET44" s="47">
        <f t="shared" si="128"/>
        <v>0</v>
      </c>
      <c r="EU44" s="47">
        <f t="shared" si="129"/>
        <v>0</v>
      </c>
      <c r="EV44" s="47">
        <f t="shared" si="130"/>
        <v>0</v>
      </c>
      <c r="EW44" s="47">
        <f t="shared" si="131"/>
        <v>0</v>
      </c>
      <c r="EX44" s="47">
        <f t="shared" si="132"/>
        <v>0</v>
      </c>
      <c r="EY44" s="47">
        <f t="shared" si="133"/>
        <v>0</v>
      </c>
      <c r="EZ44" s="47">
        <f t="shared" si="134"/>
        <v>0</v>
      </c>
      <c r="FA44" s="47">
        <f t="shared" si="135"/>
        <v>0</v>
      </c>
      <c r="FB44" s="47">
        <f t="shared" si="136"/>
        <v>0</v>
      </c>
      <c r="FC44" s="47">
        <f t="shared" si="137"/>
        <v>0</v>
      </c>
      <c r="FD44" s="47">
        <f t="shared" si="138"/>
        <v>0</v>
      </c>
      <c r="FE44" s="47">
        <f t="shared" si="139"/>
        <v>0</v>
      </c>
      <c r="FF44" s="47">
        <f t="shared" si="140"/>
        <v>0</v>
      </c>
      <c r="FG44" s="47">
        <f t="shared" si="141"/>
        <v>0</v>
      </c>
      <c r="FH44" s="47">
        <f t="shared" si="142"/>
        <v>0</v>
      </c>
      <c r="FI44" s="47">
        <f t="shared" si="143"/>
        <v>0</v>
      </c>
      <c r="FJ44" s="47">
        <f t="shared" si="144"/>
        <v>0</v>
      </c>
      <c r="FK44" s="47">
        <f t="shared" si="145"/>
        <v>0</v>
      </c>
      <c r="FL44" s="47">
        <f t="shared" si="146"/>
        <v>0</v>
      </c>
      <c r="FM44" s="47">
        <f t="shared" si="147"/>
        <v>0</v>
      </c>
      <c r="FN44" s="47">
        <f t="shared" si="148"/>
        <v>0</v>
      </c>
      <c r="FO44" s="546">
        <f t="shared" ca="1" si="149"/>
        <v>963.52136369672849</v>
      </c>
      <c r="FP44" s="546">
        <f t="shared" si="150"/>
        <v>622.98722706696003</v>
      </c>
      <c r="FQ44" s="546">
        <f t="shared" si="151"/>
        <v>2980.5093536092277</v>
      </c>
      <c r="FR44" s="546">
        <f t="shared" si="152"/>
        <v>84131.518010559856</v>
      </c>
      <c r="FS44" s="546">
        <f t="shared" si="153"/>
        <v>1874807.7374034738</v>
      </c>
      <c r="FT44" s="546">
        <f t="shared" si="154"/>
        <v>6039799.2826614054</v>
      </c>
      <c r="FU44" s="546">
        <f t="shared" si="155"/>
        <v>27.074934078389887</v>
      </c>
      <c r="FV44" s="546">
        <f t="shared" si="156"/>
        <v>59.123165062897378</v>
      </c>
      <c r="FW44" s="546">
        <f t="shared" si="157"/>
        <v>476.18346163246463</v>
      </c>
      <c r="FX44" s="546">
        <f t="shared" si="158"/>
        <v>1086.0012913672294</v>
      </c>
      <c r="FY44" s="546">
        <f t="shared" si="159"/>
        <v>3639.1769153070368</v>
      </c>
      <c r="FZ44" s="546">
        <f t="shared" si="160"/>
        <v>80200.140636358206</v>
      </c>
      <c r="GA44" s="546">
        <f t="shared" si="161"/>
        <v>71986.649448377008</v>
      </c>
      <c r="GB44" s="546">
        <f t="shared" si="162"/>
        <v>17.379916706737117</v>
      </c>
      <c r="GC44" s="546">
        <f t="shared" si="163"/>
        <v>63.860243629412572</v>
      </c>
      <c r="GD44" s="546">
        <f t="shared" si="164"/>
        <v>123.12607116743786</v>
      </c>
    </row>
    <row r="45" spans="1:186">
      <c r="A45" s="4">
        <v>43678</v>
      </c>
      <c r="B45" s="6">
        <v>2019</v>
      </c>
      <c r="C45" s="5">
        <v>8</v>
      </c>
      <c r="D45" s="7">
        <v>86345194.815284118</v>
      </c>
      <c r="E45" s="7">
        <f>IFERROR(VLOOKUP($B45-1,CDM!$V$4:$AJ$17,2,FALSE)/12,0)+IFERROR(VLOOKUP($B45,CDM!$V$41:$AJ$54,2,FALSE)/24,0)+IFERROR(VLOOKUP($B45,CDM!$V$41:$AJ$54,2,FALSE)/2*$C45/78,0)</f>
        <v>3848828.8417484337</v>
      </c>
      <c r="F45" s="7">
        <f t="shared" si="165"/>
        <v>90194023.657032549</v>
      </c>
      <c r="G45" s="7">
        <f>IFERROR(HLOOKUP(B45-1,'EV Forecast VRZ'!$F$124:$T$130,2,FALSE)/12,0)+IFERROR(((HLOOKUP(B45,'EV Forecast VRZ'!$F$116:$T$122,2,FALSE)-HLOOKUP(B45-1,'EV Forecast VRZ'!$F$124:$T$130,2,FALSE)))*C45/78,0)</f>
        <v>176139.76838100527</v>
      </c>
      <c r="H45" s="7">
        <f ca="1">HLOOKUP(B45,Heating!$C$102:$O$106,2,FALSE)*INDEX(Weather!$BO$1:$CB$20,MATCH(B45,Weather!$BO$1:$BO$20,0),MATCH(C45,Weather!$BO$1:$CB$1,0))/VLOOKUP(B45,Weather!$BO$2:$CB$20,14,FALSE)*
VLOOKUP('Monthly Data'!$B45,Weather!$BO$3:$CB$20,14,FALSE)/Weather!$CB$14</f>
        <v>857.94264227811993</v>
      </c>
      <c r="I45" s="7">
        <f t="shared" ca="1" si="166"/>
        <v>90017025.946009278</v>
      </c>
      <c r="J45" s="7">
        <v>926557.75290020986</v>
      </c>
      <c r="K45" s="7">
        <f>IFERROR(VLOOKUP($B45-1,CDM!$V$4:$AJ$17,3,FALSE)/12,0)+IFERROR(VLOOKUP($B45,CDM!$V$41:$AJ$54,3,FALSE)/24,0)+IFERROR(VLOOKUP($B45,CDM!$V$41:$AJ$54,3,FALSE)/2*$C45/78,0)</f>
        <v>44083.729560213294</v>
      </c>
      <c r="L45" s="7">
        <f t="shared" si="167"/>
        <v>970641.48246042314</v>
      </c>
      <c r="M45" s="7">
        <f>IFERROR(HLOOKUP(B45-1,'EV Forecast VRZ'!$F$124:$T$130,3,FALSE)/12,0)+IFERROR(((HLOOKUP(B45,'EV Forecast VRZ'!$F$116:$T$122,3,FALSE)-HLOOKUP(B45-1,'EV Forecast VRZ'!$F$124:$T$130,3,FALSE)))*C45/78,0)</f>
        <v>2390.0654651485684</v>
      </c>
      <c r="N45" s="7">
        <f ca="1">HLOOKUP(B45,Heating!$C$102:$O$106,3,FALSE)*INDEX(Weather!$BO$1:$CB$20,MATCH(B45,Weather!$BO$1:$BO$20,0),MATCH(C45,Weather!$BO$1:$CB$1,0))/VLOOKUP(B45,Weather!$BO$2:$CB$20,14,FALSE)*
VLOOKUP('Monthly Data'!$B45,Weather!$BO$3:$CB$20,14,FALSE)/Weather!$CB$14</f>
        <v>12.101449975007339</v>
      </c>
      <c r="O45" s="7">
        <f t="shared" ca="1" si="168"/>
        <v>968239.31554529956</v>
      </c>
      <c r="P45" s="7">
        <v>24189428.074508585</v>
      </c>
      <c r="Q45" s="7">
        <f>IFERROR(VLOOKUP($B45-1,CDM!$V$4:$AJ$17,4,FALSE)/12,0)+IFERROR(VLOOKUP($B45,CDM!$V$41:$AJ$54,4,FALSE)/24,0)+IFERROR(VLOOKUP($B45,CDM!$V$41:$AJ$54,4,FALSE)/2*$C45/78,0)</f>
        <v>1286068.1768345344</v>
      </c>
      <c r="R45" s="7">
        <f t="shared" si="169"/>
        <v>25475496.25134312</v>
      </c>
      <c r="S45" s="7">
        <f>IFERROR(HLOOKUP(B45-1,'EV Forecast VRZ'!$F$124:$T$130,4,FALSE)/12,0)+IFERROR(((HLOOKUP(B45,'EV Forecast VRZ'!$F$116:$T$122,4,FALSE)-HLOOKUP(B45-1,'EV Forecast VRZ'!$F$124:$T$130,4,FALSE)))*C45/78,0)</f>
        <v>22226.926153846158</v>
      </c>
      <c r="T45" s="7">
        <f ca="1">HLOOKUP(B45,Heating!$C$102:$O$106,4,FALSE)*INDEX(Weather!$BO$1:$CB$20,MATCH(B45,Weather!$BO$1:$BO$20,0),MATCH(C45,Weather!$BO$1:$CB$1,0))/VLOOKUP(B45,Weather!$BO$2:$CB$20,14,FALSE)*
VLOOKUP('Monthly Data'!$B45,Weather!$BO$3:$CB$20,14,FALSE)/Weather!$CB$14</f>
        <v>218.78677680048764</v>
      </c>
      <c r="U45" s="7">
        <f t="shared" ca="1" si="170"/>
        <v>25453050.538412474</v>
      </c>
      <c r="V45" s="7">
        <v>78912811.389812306</v>
      </c>
      <c r="W45" s="7">
        <f>IFERROR(VLOOKUP($B45-1,CDM!$V$4:$AJ$17,5,FALSE)/12,0)+IFERROR(VLOOKUP($B45,CDM!$V$41:$AJ$54,5,FALSE)/24,0)+IFERROR(VLOOKUP($B45,CDM!$V$41:$AJ$54,5,FALSE)/2*$C45/78,0)</f>
        <v>4535299.7091827663</v>
      </c>
      <c r="X45" s="7">
        <f t="shared" si="171"/>
        <v>83448111.098995075</v>
      </c>
      <c r="Y45" s="7">
        <f>IFERROR(HLOOKUP(B45-1,'EV Forecast VRZ'!$F$124:$T$130,5,FALSE)/12,0)+IFERROR(((HLOOKUP(B45,'EV Forecast VRZ'!$F$116:$T$122,5,FALSE)-HLOOKUP(B45-1,'EV Forecast VRZ'!$F$124:$T$130,5,FALSE)))*C45/78,0)</f>
        <v>10101.155230769231</v>
      </c>
      <c r="Z45" s="7">
        <f ca="1">HLOOKUP(B45,Heating!$C$102:$O$106,5,FALSE)*INDEX(Weather!$BO$1:$CB$20,MATCH(B45,Weather!$BO$1:$BO$20,0),MATCH(C45,Weather!$BO$1:$CB$1,0))/VLOOKUP(B45,Weather!$BO$2:$CB$20,14,FALSE)*
VLOOKUP('Monthly Data'!$B45,Weather!$BO$3:$CB$20,14,FALSE)/Weather!$CB$14</f>
        <v>129.0301977771235</v>
      </c>
      <c r="AA45" s="7">
        <f t="shared" ca="1" si="172"/>
        <v>83437880.913566515</v>
      </c>
      <c r="AB45" s="7">
        <v>7240792.8381349053</v>
      </c>
      <c r="AC45" s="7">
        <f>IFERROR(VLOOKUP($B45-1,CDM!$V$4:$AJ$17,6,FALSE)/12,0)+IFERROR(VLOOKUP($B45,CDM!$V$41:$AJ$54,6,FALSE)/24,0)+IFERROR(VLOOKUP($B45,CDM!$V$41:$AJ$54,6,FALSE)/2*$C45/78,0)</f>
        <v>215427.00761038493</v>
      </c>
      <c r="AD45" s="7">
        <f t="shared" si="173"/>
        <v>7456219.8457452906</v>
      </c>
      <c r="AE45" s="7">
        <f>IFERROR(HLOOKUP(B45-1,'EV Forecast VRZ'!$F$124:$T$130,6,FALSE)/12,0)+IFERROR(((HLOOKUP(B45,'EV Forecast VRZ'!$F$116:$T$122,6,FALSE)-HLOOKUP(B45-1,'EV Forecast VRZ'!$F$124:$T$130,6,FALSE)))*C45/78,0)</f>
        <v>1507.5001538461536</v>
      </c>
      <c r="AF45" s="7">
        <f t="shared" si="174"/>
        <v>7454712.3455914445</v>
      </c>
      <c r="AG45" s="7">
        <v>18974489.888219096</v>
      </c>
      <c r="AH45" s="7">
        <f>IFERROR(VLOOKUP($B45-1,CDM!$V$4:$AJ$17,7,FALSE)/12,0)+IFERROR(VLOOKUP($B45,CDM!$V$41:$AJ$54,7,FALSE)/24,0)+IFERROR(VLOOKUP($B45,CDM!$V$41:$AJ$54,7,FALSE)/2*$C45/78,0)</f>
        <v>1586479.7011693686</v>
      </c>
      <c r="AI45" s="7">
        <f t="shared" si="175"/>
        <v>20560969.589388464</v>
      </c>
      <c r="AJ45" s="7">
        <f>IFERROR(HLOOKUP(B45-1,'EV Forecast VRZ'!$F$124:$T$130,7,FALSE)/12,0)+IFERROR(((HLOOKUP(B45,'EV Forecast VRZ'!$F$116:$T$122,7,FALSE)-HLOOKUP(B45-1,'EV Forecast VRZ'!$F$124:$T$130,7,FALSE)))*C45/78,0)</f>
        <v>0</v>
      </c>
      <c r="AK45" s="7">
        <f t="shared" si="176"/>
        <v>20560969.589388464</v>
      </c>
      <c r="AL45" s="7">
        <v>944795.45888189273</v>
      </c>
      <c r="AM45" s="7">
        <v>18295.916809769129</v>
      </c>
      <c r="AN45" s="7">
        <v>385034.0106849838</v>
      </c>
      <c r="AO45" s="5">
        <v>193350.65</v>
      </c>
      <c r="AP45" s="5">
        <v>16196.62</v>
      </c>
      <c r="AQ45" s="5">
        <v>31290</v>
      </c>
      <c r="AR45" s="5">
        <v>3022.63</v>
      </c>
      <c r="AS45" s="544">
        <f t="shared" si="117"/>
        <v>52.416666666666664</v>
      </c>
      <c r="AT45" s="557">
        <v>111166</v>
      </c>
      <c r="AU45" s="557">
        <v>1564</v>
      </c>
      <c r="AV45" s="557">
        <v>9223.6666666666715</v>
      </c>
      <c r="AW45" s="557">
        <v>1026.3333333333339</v>
      </c>
      <c r="AX45" s="557">
        <v>4</v>
      </c>
      <c r="AY45" s="557">
        <v>4</v>
      </c>
      <c r="AZ45" s="557">
        <v>31153.666666666657</v>
      </c>
      <c r="BA45" s="557">
        <v>319.66666666666652</v>
      </c>
      <c r="BB45" s="557">
        <v>807.66666666666697</v>
      </c>
      <c r="BC45" s="560">
        <v>35650870.832800739</v>
      </c>
      <c r="BD45" s="560">
        <f>IFERROR(VLOOKUP($B45-1,CDM!$V$4:$AJ$17,11,FALSE)/12,0)+IFERROR(VLOOKUP($B45,CDM!$V$41:$AJ$54,11,FALSE)/24,0)+IFERROR(VLOOKUP($B45,CDM!$V$41:$AJ$54,11,FALSE)/2*$C45/78,0)</f>
        <v>1931411.4000549314</v>
      </c>
      <c r="BE45" s="560">
        <f t="shared" si="119"/>
        <v>37582282.23285567</v>
      </c>
      <c r="BF45" s="560">
        <f>IFERROR(HLOOKUP(B45-1,'EV Forecast WRZ'!$F$124:$T$130,2,FALSE)/12,0)+IFERROR(((HLOOKUP(B45,'EV Forecast WRZ'!$F$116:$T$122,2,FALSE)-HLOOKUP(B45-1,'EV Forecast WRZ'!$F$124:$T$130,2,FALSE)))*C45/78,0)</f>
        <v>52247.889102564113</v>
      </c>
      <c r="BG45" s="560">
        <f ca="1">HLOOKUP(B45,Heating!$R$102:$AD$106,2,FALSE)*INDEX(Weather!$BO$1:$CB$20,MATCH(B45,Weather!$BO$1:$BO$20,0),MATCH(C45,Weather!$BO$1:$CB$1,0))/VLOOKUP(B45,Weather!$BO$2:$CB$20,14,FALSE)*
VLOOKUP('Monthly Data'!$B45,Weather!$BO$3:$CB$20,14,FALSE)/Weather!$CB$14</f>
        <v>316.25979557850508</v>
      </c>
      <c r="BH45" s="560">
        <f t="shared" ca="1" si="177"/>
        <v>37529718.083957531</v>
      </c>
      <c r="BI45" s="560">
        <v>7455413.1416013092</v>
      </c>
      <c r="BJ45" s="560">
        <f>IFERROR(VLOOKUP($B45-1,CDM!$V$4:$AJ$17,12,FALSE)/12,0)+IFERROR(VLOOKUP($B45,CDM!$V$41:$AJ$54,12,FALSE)/24,0)+IFERROR(VLOOKUP($B45,CDM!$V$41:$AJ$54,12,FALSE)/2*$C45/78,0)</f>
        <v>208930.8747692988</v>
      </c>
      <c r="BK45" s="560">
        <f t="shared" si="178"/>
        <v>7664344.0163706075</v>
      </c>
      <c r="BL45" s="560">
        <f>IFERROR(HLOOKUP(B45-1,'EV Forecast WRZ'!$F$124:$T$130,3,FALSE)/12,0)+IFERROR(((HLOOKUP(B45,'EV Forecast WRZ'!$F$116:$T$122,3,FALSE)-HLOOKUP(B45-1,'EV Forecast WRZ'!$F$124:$T$130,3,FALSE)))*C45/78,0)</f>
        <v>6517.3987179487185</v>
      </c>
      <c r="BM45" s="560">
        <f ca="1">HLOOKUP(B45,Heating!$R$102:$AD$106,4,FALSE)*INDEX(Weather!$BO$1:$CB$20,MATCH(B45,Weather!$BO$1:$BO$20,0),MATCH(C45,Weather!$BO$1:$CB$1,0))/VLOOKUP(B45,Weather!$BO$2:$CB$20,14,FALSE)*
VLOOKUP('Monthly Data'!$B45,Weather!$BO$3:$CB$20,14,FALSE)/Weather!$CB$14</f>
        <v>53.729095226382249</v>
      </c>
      <c r="BN45" s="560">
        <f t="shared" ca="1" si="179"/>
        <v>7657772.8885574322</v>
      </c>
      <c r="BO45" s="560">
        <v>29054092.267787453</v>
      </c>
      <c r="BP45" s="560">
        <f>IFERROR(VLOOKUP($B45-1,CDM!$V$4:$AJ$17,13,FALSE)/12,0)+IFERROR(VLOOKUP($B45,CDM!$V$41:$AJ$54,13,FALSE)/24,0)+IFERROR(VLOOKUP($B45,CDM!$V$41:$AJ$54,13,FALSE)/2*$C45/78,0)</f>
        <v>1571652.9245662987</v>
      </c>
      <c r="BQ45" s="560">
        <f t="shared" si="180"/>
        <v>30625745.192353752</v>
      </c>
      <c r="BR45" s="560">
        <f>IFERROR(HLOOKUP(B45-1,'EV Forecast WRZ'!$F$124:$T$130,4,FALSE)/12,0)+IFERROR(((HLOOKUP(B45,'EV Forecast WRZ'!$F$116:$T$122,4,FALSE)-HLOOKUP(B45-1,'EV Forecast WRZ'!$F$124:$T$130,4,FALSE)))*C45/78,0)</f>
        <v>2962.8294230769234</v>
      </c>
      <c r="BS45" s="560">
        <f ca="1">HLOOKUP(B45,Heating!$R$102:$AD$106,5,FALSE)*INDEX(Weather!$BO$1:$CB$20,MATCH(B45,Weather!$BO$1:$BO$20,0),MATCH(C45,Weather!$BO$1:$CB$1,0))/VLOOKUP(B45,Weather!$BO$2:$CB$20,14,FALSE)*
VLOOKUP('Monthly Data'!$B45,Weather!$BO$3:$CB$20,14,FALSE)/Weather!$CB$14</f>
        <v>38.268295745391953</v>
      </c>
      <c r="BT45" s="560">
        <f t="shared" ca="1" si="181"/>
        <v>30622744.094634928</v>
      </c>
      <c r="BU45" s="560">
        <v>6487924.7348119579</v>
      </c>
      <c r="BV45" s="560">
        <f>IFERROR(VLOOKUP($B45-1,CDM!$V$4:$AJ$17,14,FALSE)/12,0)+IFERROR(VLOOKUP($B45,CDM!$V$41:$AJ$54,14,FALSE)/24,0)+IFERROR(VLOOKUP($B45,CDM!$V$41:$AJ$54,14,FALSE)/2*$C45/78,0)</f>
        <v>353342.3989515889</v>
      </c>
      <c r="BW45" s="560">
        <f t="shared" si="182"/>
        <v>6841267.1337635471</v>
      </c>
      <c r="BX45" s="560">
        <f>IFERROR(HLOOKUP(B45-1,'EV Forecast WRZ'!$F$124:$T$130,5,FALSE)/12,0)+IFERROR(((HLOOKUP(B45,'EV Forecast WRZ'!$F$116:$T$122,5,FALSE)-HLOOKUP(B45-1,'EV Forecast WRZ'!$F$124:$T$130,5,FALSE)))*C45/78,0)</f>
        <v>445.86993589743588</v>
      </c>
      <c r="BY45" s="560">
        <f t="shared" si="120"/>
        <v>6840821.2638276499</v>
      </c>
      <c r="BZ45" s="560">
        <v>247404.80198966901</v>
      </c>
      <c r="CA45" s="560">
        <v>2362.8290142882652</v>
      </c>
      <c r="CB45" s="560">
        <v>47341.916969581012</v>
      </c>
      <c r="CC45" s="5">
        <v>71230.899999999994</v>
      </c>
      <c r="CD45" s="5">
        <v>11328.3</v>
      </c>
      <c r="CE45" s="5">
        <v>748.2</v>
      </c>
      <c r="CF45" s="544">
        <f t="shared" si="118"/>
        <v>7.166666666666667</v>
      </c>
      <c r="CG45" s="565">
        <v>41048.666666666686</v>
      </c>
      <c r="CH45" s="565">
        <v>2262.6666666666679</v>
      </c>
      <c r="CI45" s="565">
        <v>377</v>
      </c>
      <c r="CJ45" s="565">
        <v>3</v>
      </c>
      <c r="CK45" s="565">
        <v>12460.666666666672</v>
      </c>
      <c r="CL45" s="565">
        <v>37</v>
      </c>
      <c r="CM45" s="565">
        <v>385</v>
      </c>
      <c r="CN45" s="46">
        <f>Weather!C69</f>
        <v>19.091666666666661</v>
      </c>
      <c r="CO45" s="46">
        <f>Weather!D69</f>
        <v>23.162500000000009</v>
      </c>
      <c r="CP45" s="46">
        <f>Weather!E69</f>
        <v>4.645833333333325</v>
      </c>
      <c r="CQ45" s="46">
        <f>Weather!F69</f>
        <v>70.716666666666669</v>
      </c>
      <c r="CR45" s="46">
        <f>Weather!G69</f>
        <v>0</v>
      </c>
      <c r="CS45" s="46">
        <f>Weather!H69</f>
        <v>128.07083333333338</v>
      </c>
      <c r="CT45" s="46">
        <f>Weather!I69</f>
        <v>0</v>
      </c>
      <c r="CU45" s="46">
        <f>Weather!J69</f>
        <v>190.07083333333335</v>
      </c>
      <c r="CV45" s="46">
        <f>Weather!K69</f>
        <v>0</v>
      </c>
      <c r="CW45" s="46">
        <f>Weather!L69</f>
        <v>252.07083333333335</v>
      </c>
      <c r="CX45" s="46">
        <f>Weather!M69</f>
        <v>0</v>
      </c>
      <c r="CY45" s="46">
        <f>Weather!N69</f>
        <v>314.07083333333338</v>
      </c>
      <c r="CZ45" s="46">
        <f>Weather!O69</f>
        <v>0</v>
      </c>
      <c r="DA45" s="46">
        <f>Weather!P69</f>
        <v>376.07083333333338</v>
      </c>
      <c r="DB45" s="243">
        <f>'Economic Data'!D71</f>
        <v>7414</v>
      </c>
      <c r="DC45" s="243">
        <f>'Economic Data'!E71</f>
        <v>7501.5</v>
      </c>
      <c r="DD45" s="243">
        <f>'Economic Data'!F71</f>
        <v>213.3</v>
      </c>
      <c r="DE45" s="243">
        <f>'Economic Data'!G71</f>
        <v>216.2</v>
      </c>
      <c r="DF45" s="243">
        <f>'Economic Data'!H71</f>
        <v>41.4</v>
      </c>
      <c r="DG45" s="243">
        <f>'Economic Data'!I71</f>
        <v>41.4</v>
      </c>
      <c r="DH45" s="243">
        <f>'Economic Data'!J71</f>
        <v>807274.5</v>
      </c>
      <c r="DI45" s="243">
        <f>'Economic Data'!K71</f>
        <v>626103.1</v>
      </c>
      <c r="DJ45" s="243">
        <f>'Economic Data'!L71</f>
        <v>94599.6</v>
      </c>
      <c r="DK45" s="243">
        <f>'Economic Data'!M71</f>
        <v>32860.800000000003</v>
      </c>
      <c r="DL45" s="243">
        <f>'Economic Data'!N71</f>
        <v>810697</v>
      </c>
      <c r="DM45" s="243">
        <f>'Economic Data'!O71</f>
        <v>94481</v>
      </c>
      <c r="DN45" s="243">
        <f>'Economic Data'!P71</f>
        <v>19978</v>
      </c>
      <c r="DO45" s="243">
        <f>'Economic Data'!Q71</f>
        <v>629169</v>
      </c>
      <c r="DP45" s="243">
        <f>'Economic Data'!R71</f>
        <v>33199</v>
      </c>
      <c r="DQ45">
        <v>31</v>
      </c>
      <c r="DR45">
        <v>20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1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f t="shared" si="66"/>
        <v>44</v>
      </c>
      <c r="EI45">
        <v>0</v>
      </c>
      <c r="EJ45">
        <v>0</v>
      </c>
      <c r="EK45">
        <v>0</v>
      </c>
      <c r="EL45">
        <v>0</v>
      </c>
      <c r="EM45" s="47">
        <f t="shared" si="121"/>
        <v>0</v>
      </c>
      <c r="EN45" s="47">
        <f t="shared" si="122"/>
        <v>0</v>
      </c>
      <c r="EO45" s="47">
        <f t="shared" si="123"/>
        <v>0</v>
      </c>
      <c r="EP45" s="47">
        <f t="shared" si="124"/>
        <v>0</v>
      </c>
      <c r="EQ45" s="47">
        <f t="shared" si="125"/>
        <v>0</v>
      </c>
      <c r="ER45" s="47">
        <f t="shared" si="126"/>
        <v>0</v>
      </c>
      <c r="ES45" s="47">
        <f t="shared" si="127"/>
        <v>0</v>
      </c>
      <c r="ET45" s="47">
        <f t="shared" si="128"/>
        <v>0</v>
      </c>
      <c r="EU45" s="47">
        <f t="shared" si="129"/>
        <v>0</v>
      </c>
      <c r="EV45" s="47">
        <f t="shared" si="130"/>
        <v>0</v>
      </c>
      <c r="EW45" s="47">
        <f t="shared" si="131"/>
        <v>0</v>
      </c>
      <c r="EX45" s="47">
        <f t="shared" si="132"/>
        <v>0</v>
      </c>
      <c r="EY45" s="47">
        <f t="shared" si="133"/>
        <v>0</v>
      </c>
      <c r="EZ45" s="47">
        <f t="shared" si="134"/>
        <v>0</v>
      </c>
      <c r="FA45" s="47">
        <f t="shared" si="135"/>
        <v>0</v>
      </c>
      <c r="FB45" s="47">
        <f t="shared" si="136"/>
        <v>0</v>
      </c>
      <c r="FC45" s="47">
        <f t="shared" si="137"/>
        <v>0</v>
      </c>
      <c r="FD45" s="47">
        <f t="shared" si="138"/>
        <v>0</v>
      </c>
      <c r="FE45" s="47">
        <f t="shared" si="139"/>
        <v>0</v>
      </c>
      <c r="FF45" s="47">
        <f t="shared" si="140"/>
        <v>0</v>
      </c>
      <c r="FG45" s="47">
        <f t="shared" si="141"/>
        <v>0</v>
      </c>
      <c r="FH45" s="47">
        <f t="shared" si="142"/>
        <v>0</v>
      </c>
      <c r="FI45" s="47">
        <f t="shared" si="143"/>
        <v>0</v>
      </c>
      <c r="FJ45" s="47">
        <f t="shared" si="144"/>
        <v>0</v>
      </c>
      <c r="FK45" s="47">
        <f t="shared" si="145"/>
        <v>0</v>
      </c>
      <c r="FL45" s="47">
        <f t="shared" si="146"/>
        <v>0</v>
      </c>
      <c r="FM45" s="47">
        <f t="shared" si="147"/>
        <v>0</v>
      </c>
      <c r="FN45" s="47">
        <f t="shared" si="148"/>
        <v>0</v>
      </c>
      <c r="FO45" s="546">
        <f t="shared" ca="1" si="149"/>
        <v>809.75321542566326</v>
      </c>
      <c r="FP45" s="546">
        <f t="shared" si="150"/>
        <v>620.61475860640871</v>
      </c>
      <c r="FQ45" s="546">
        <f t="shared" si="151"/>
        <v>2761.970610170551</v>
      </c>
      <c r="FR45" s="546">
        <f t="shared" si="152"/>
        <v>81307.026078916882</v>
      </c>
      <c r="FS45" s="546">
        <f t="shared" si="153"/>
        <v>1864054.9614363227</v>
      </c>
      <c r="FT45" s="546">
        <f t="shared" si="154"/>
        <v>5140242.3973471159</v>
      </c>
      <c r="FU45" s="546">
        <f t="shared" si="155"/>
        <v>30.326942539087739</v>
      </c>
      <c r="FV45" s="546">
        <f t="shared" si="156"/>
        <v>57.234359154647983</v>
      </c>
      <c r="FW45" s="546">
        <f t="shared" si="157"/>
        <v>476.72390922614568</v>
      </c>
      <c r="FX45" s="546">
        <f t="shared" si="158"/>
        <v>915.55427458924328</v>
      </c>
      <c r="FY45" s="546">
        <f t="shared" si="159"/>
        <v>3387.305841059489</v>
      </c>
      <c r="FZ45" s="546">
        <f t="shared" si="160"/>
        <v>81235.398388206231</v>
      </c>
      <c r="GA45" s="546">
        <f t="shared" si="161"/>
        <v>82468.26732988967</v>
      </c>
      <c r="GB45" s="546">
        <f t="shared" si="162"/>
        <v>19.854860787785746</v>
      </c>
      <c r="GC45" s="546">
        <f t="shared" si="163"/>
        <v>63.860243629412572</v>
      </c>
      <c r="GD45" s="546">
        <f t="shared" si="164"/>
        <v>122.96601810280782</v>
      </c>
    </row>
    <row r="46" spans="1:186">
      <c r="A46" s="4">
        <v>43709</v>
      </c>
      <c r="B46" s="6">
        <v>2019</v>
      </c>
      <c r="C46" s="5">
        <v>9</v>
      </c>
      <c r="D46" s="7">
        <v>63203273.228448287</v>
      </c>
      <c r="E46" s="7">
        <f>IFERROR(VLOOKUP($B46-1,CDM!$V$4:$AJ$17,2,FALSE)/12,0)+IFERROR(VLOOKUP($B46,CDM!$V$41:$AJ$54,2,FALSE)/24,0)+IFERROR(VLOOKUP($B46,CDM!$V$41:$AJ$54,2,FALSE)/2*$C46/78,0)</f>
        <v>3868251.6961108721</v>
      </c>
      <c r="F46" s="7">
        <f t="shared" si="165"/>
        <v>67071524.924559161</v>
      </c>
      <c r="G46" s="7">
        <f>IFERROR(HLOOKUP(B46-1,'EV Forecast VRZ'!$F$124:$T$130,2,FALSE)/12,0)+IFERROR(((HLOOKUP(B46,'EV Forecast VRZ'!$F$116:$T$122,2,FALSE)-HLOOKUP(B46-1,'EV Forecast VRZ'!$F$124:$T$130,2,FALSE)))*C46/78,0)</f>
        <v>180267.92210913636</v>
      </c>
      <c r="H46" s="7">
        <f ca="1">HLOOKUP(B46,Heating!$C$102:$O$106,2,FALSE)*INDEX(Weather!$BO$1:$CB$20,MATCH(B46,Weather!$BO$1:$BO$20,0),MATCH(C46,Weather!$BO$1:$CB$1,0))/VLOOKUP(B46,Weather!$BO$2:$CB$20,14,FALSE)*
VLOOKUP('Monthly Data'!$B46,Weather!$BO$3:$CB$20,14,FALSE)/Weather!$CB$14</f>
        <v>11459.497552868213</v>
      </c>
      <c r="I46" s="7">
        <f t="shared" ca="1" si="166"/>
        <v>66879797.504897155</v>
      </c>
      <c r="J46" s="7">
        <v>651162.71957641665</v>
      </c>
      <c r="K46" s="7">
        <f>IFERROR(VLOOKUP($B46-1,CDM!$V$4:$AJ$17,3,FALSE)/12,0)+IFERROR(VLOOKUP($B46,CDM!$V$41:$AJ$54,3,FALSE)/24,0)+IFERROR(VLOOKUP($B46,CDM!$V$41:$AJ$54,3,FALSE)/2*$C46/78,0)</f>
        <v>44306.195119012264</v>
      </c>
      <c r="L46" s="7">
        <f t="shared" si="167"/>
        <v>695468.91469542892</v>
      </c>
      <c r="M46" s="7">
        <f>IFERROR(HLOOKUP(B46-1,'EV Forecast VRZ'!$F$124:$T$130,3,FALSE)/12,0)+IFERROR(((HLOOKUP(B46,'EV Forecast VRZ'!$F$116:$T$122,3,FALSE)-HLOOKUP(B46-1,'EV Forecast VRZ'!$F$124:$T$130,3,FALSE)))*C46/78,0)</f>
        <v>2446.0809677867246</v>
      </c>
      <c r="N46" s="7">
        <f ca="1">HLOOKUP(B46,Heating!$C$102:$O$106,3,FALSE)*INDEX(Weather!$BO$1:$CB$20,MATCH(B46,Weather!$BO$1:$BO$20,0),MATCH(C46,Weather!$BO$1:$CB$1,0))/VLOOKUP(B46,Weather!$BO$2:$CB$20,14,FALSE)*
VLOOKUP('Monthly Data'!$B46,Weather!$BO$3:$CB$20,14,FALSE)/Weather!$CB$14</f>
        <v>161.6384703836633</v>
      </c>
      <c r="O46" s="7">
        <f t="shared" ca="1" si="168"/>
        <v>692861.19525725849</v>
      </c>
      <c r="P46" s="7">
        <v>20492739.785537113</v>
      </c>
      <c r="Q46" s="7">
        <f>IFERROR(VLOOKUP($B46-1,CDM!$V$4:$AJ$17,4,FALSE)/12,0)+IFERROR(VLOOKUP($B46,CDM!$V$41:$AJ$54,4,FALSE)/24,0)+IFERROR(VLOOKUP($B46,CDM!$V$41:$AJ$54,4,FALSE)/2*$C46/78,0)</f>
        <v>1305593.5603500595</v>
      </c>
      <c r="R46" s="7">
        <f t="shared" si="169"/>
        <v>21798333.345887173</v>
      </c>
      <c r="S46" s="7">
        <f>IFERROR(HLOOKUP(B46-1,'EV Forecast VRZ'!$F$124:$T$130,4,FALSE)/12,0)+IFERROR(((HLOOKUP(B46,'EV Forecast VRZ'!$F$116:$T$122,4,FALSE)-HLOOKUP(B46-1,'EV Forecast VRZ'!$F$124:$T$130,4,FALSE)))*C46/78,0)</f>
        <v>22721.556923076929</v>
      </c>
      <c r="T46" s="7">
        <f ca="1">HLOOKUP(B46,Heating!$C$102:$O$106,4,FALSE)*INDEX(Weather!$BO$1:$CB$20,MATCH(B46,Weather!$BO$1:$BO$20,0),MATCH(C46,Weather!$BO$1:$CB$1,0))/VLOOKUP(B46,Weather!$BO$2:$CB$20,14,FALSE)*
VLOOKUP('Monthly Data'!$B46,Weather!$BO$3:$CB$20,14,FALSE)/Weather!$CB$14</f>
        <v>2922.3241855512711</v>
      </c>
      <c r="U46" s="7">
        <f t="shared" ca="1" si="170"/>
        <v>21772689.464778546</v>
      </c>
      <c r="V46" s="7">
        <v>72582129.622434244</v>
      </c>
      <c r="W46" s="7">
        <f>IFERROR(VLOOKUP($B46-1,CDM!$V$4:$AJ$17,5,FALSE)/12,0)+IFERROR(VLOOKUP($B46,CDM!$V$41:$AJ$54,5,FALSE)/24,0)+IFERROR(VLOOKUP($B46,CDM!$V$41:$AJ$54,5,FALSE)/2*$C46/78,0)</f>
        <v>4605461.3329231739</v>
      </c>
      <c r="X46" s="7">
        <f t="shared" si="171"/>
        <v>77187590.955357417</v>
      </c>
      <c r="Y46" s="7">
        <f>IFERROR(HLOOKUP(B46-1,'EV Forecast VRZ'!$F$124:$T$130,5,FALSE)/12,0)+IFERROR(((HLOOKUP(B46,'EV Forecast VRZ'!$F$116:$T$122,5,FALSE)-HLOOKUP(B46-1,'EV Forecast VRZ'!$F$124:$T$130,5,FALSE)))*C46/78,0)</f>
        <v>10323.931384615385</v>
      </c>
      <c r="Z46" s="7">
        <f ca="1">HLOOKUP(B46,Heating!$C$102:$O$106,5,FALSE)*INDEX(Weather!$BO$1:$CB$20,MATCH(B46,Weather!$BO$1:$BO$20,0),MATCH(C46,Weather!$BO$1:$CB$1,0))/VLOOKUP(B46,Weather!$BO$2:$CB$20,14,FALSE)*
VLOOKUP('Monthly Data'!$B46,Weather!$BO$3:$CB$20,14,FALSE)/Weather!$CB$14</f>
        <v>1723.4499869907654</v>
      </c>
      <c r="AA46" s="7">
        <f t="shared" ca="1" si="172"/>
        <v>77175543.573985815</v>
      </c>
      <c r="AB46" s="7">
        <v>7000344.122411198</v>
      </c>
      <c r="AC46" s="7">
        <f>IFERROR(VLOOKUP($B46-1,CDM!$V$4:$AJ$17,6,FALSE)/12,0)+IFERROR(VLOOKUP($B46,CDM!$V$41:$AJ$54,6,FALSE)/24,0)+IFERROR(VLOOKUP($B46,CDM!$V$41:$AJ$54,6,FALSE)/2*$C46/78,0)</f>
        <v>218862.02584444359</v>
      </c>
      <c r="AD46" s="7">
        <f t="shared" si="173"/>
        <v>7219206.1482556416</v>
      </c>
      <c r="AE46" s="7">
        <f>IFERROR(HLOOKUP(B46-1,'EV Forecast VRZ'!$F$124:$T$130,6,FALSE)/12,0)+IFERROR(((HLOOKUP(B46,'EV Forecast VRZ'!$F$116:$T$122,6,FALSE)-HLOOKUP(B46-1,'EV Forecast VRZ'!$F$124:$T$130,6,FALSE)))*C46/78,0)</f>
        <v>1533.0009230769228</v>
      </c>
      <c r="AF46" s="7">
        <f t="shared" si="174"/>
        <v>7217673.1473325649</v>
      </c>
      <c r="AG46" s="7">
        <v>21063895.493872304</v>
      </c>
      <c r="AH46" s="7">
        <f>IFERROR(VLOOKUP($B46-1,CDM!$V$4:$AJ$17,7,FALSE)/12,0)+IFERROR(VLOOKUP($B46,CDM!$V$41:$AJ$54,7,FALSE)/24,0)+IFERROR(VLOOKUP($B46,CDM!$V$41:$AJ$54,7,FALSE)/2*$C46/78,0)</f>
        <v>1602526.9851609496</v>
      </c>
      <c r="AI46" s="7">
        <f t="shared" si="175"/>
        <v>22666422.479033254</v>
      </c>
      <c r="AJ46" s="7">
        <f>IFERROR(HLOOKUP(B46-1,'EV Forecast VRZ'!$F$124:$T$130,7,FALSE)/12,0)+IFERROR(((HLOOKUP(B46,'EV Forecast VRZ'!$F$116:$T$122,7,FALSE)-HLOOKUP(B46-1,'EV Forecast VRZ'!$F$124:$T$130,7,FALSE)))*C46/78,0)</f>
        <v>0</v>
      </c>
      <c r="AK46" s="7">
        <f t="shared" si="176"/>
        <v>22666422.479033254</v>
      </c>
      <c r="AL46" s="7">
        <v>1006449.8282770463</v>
      </c>
      <c r="AM46" s="7">
        <v>17591.738217897342</v>
      </c>
      <c r="AN46" s="7">
        <v>385001.00171722949</v>
      </c>
      <c r="AO46" s="5">
        <v>191894.16</v>
      </c>
      <c r="AP46" s="5">
        <v>15556.33</v>
      </c>
      <c r="AQ46" s="5">
        <v>36355</v>
      </c>
      <c r="AR46" s="5">
        <v>2917.31</v>
      </c>
      <c r="AS46" s="544">
        <f t="shared" si="117"/>
        <v>52.416666666666664</v>
      </c>
      <c r="AT46" s="557">
        <v>111302.75</v>
      </c>
      <c r="AU46" s="557">
        <v>1563.25</v>
      </c>
      <c r="AV46" s="557">
        <v>9234.7500000000055</v>
      </c>
      <c r="AW46" s="557">
        <v>1024.5000000000007</v>
      </c>
      <c r="AX46" s="557">
        <v>4</v>
      </c>
      <c r="AY46" s="557">
        <v>4</v>
      </c>
      <c r="AZ46" s="557">
        <v>31160.749999999989</v>
      </c>
      <c r="BA46" s="557">
        <v>304.74999999999983</v>
      </c>
      <c r="BB46" s="557">
        <v>806.75000000000034</v>
      </c>
      <c r="BC46" s="560">
        <v>25563190.833288785</v>
      </c>
      <c r="BD46" s="560">
        <f>IFERROR(VLOOKUP($B46-1,CDM!$V$4:$AJ$17,11,FALSE)/12,0)+IFERROR(VLOOKUP($B46,CDM!$V$41:$AJ$54,11,FALSE)/24,0)+IFERROR(VLOOKUP($B46,CDM!$V$41:$AJ$54,11,FALSE)/2*$C46/78,0)</f>
        <v>1939610.9495788452</v>
      </c>
      <c r="BE46" s="560">
        <f t="shared" si="119"/>
        <v>27502801.782867629</v>
      </c>
      <c r="BF46" s="560">
        <f>IFERROR(HLOOKUP(B46-1,'EV Forecast WRZ'!$F$124:$T$130,2,FALSE)/12,0)+IFERROR(((HLOOKUP(B46,'EV Forecast WRZ'!$F$116:$T$122,2,FALSE)-HLOOKUP(B46-1,'EV Forecast WRZ'!$F$124:$T$130,2,FALSE)))*C46/78,0)</f>
        <v>53748.226282051291</v>
      </c>
      <c r="BG46" s="560">
        <f ca="1">HLOOKUP(B46,Heating!$R$102:$AD$106,2,FALSE)*INDEX(Weather!$BO$1:$CB$20,MATCH(B46,Weather!$BO$1:$BO$20,0),MATCH(C46,Weather!$BO$1:$CB$1,0))/VLOOKUP(B46,Weather!$BO$2:$CB$20,14,FALSE)*
VLOOKUP('Monthly Data'!$B46,Weather!$BO$3:$CB$20,14,FALSE)/Weather!$CB$14</f>
        <v>4224.2664892831235</v>
      </c>
      <c r="BH46" s="560">
        <f t="shared" ca="1" si="177"/>
        <v>27444829.290096294</v>
      </c>
      <c r="BI46" s="560">
        <v>6384280.2401377456</v>
      </c>
      <c r="BJ46" s="560">
        <f>IFERROR(VLOOKUP($B46-1,CDM!$V$4:$AJ$17,12,FALSE)/12,0)+IFERROR(VLOOKUP($B46,CDM!$V$41:$AJ$54,12,FALSE)/24,0)+IFERROR(VLOOKUP($B46,CDM!$V$41:$AJ$54,12,FALSE)/2*$C46/78,0)</f>
        <v>210817.68632331523</v>
      </c>
      <c r="BK46" s="560">
        <f t="shared" si="178"/>
        <v>6595097.9264610605</v>
      </c>
      <c r="BL46" s="560">
        <f>IFERROR(HLOOKUP(B46-1,'EV Forecast WRZ'!$F$124:$T$130,3,FALSE)/12,0)+IFERROR(((HLOOKUP(B46,'EV Forecast WRZ'!$F$116:$T$122,3,FALSE)-HLOOKUP(B46-1,'EV Forecast WRZ'!$F$124:$T$130,3,FALSE)))*C46/78,0)</f>
        <v>6693.9089743589748</v>
      </c>
      <c r="BM46" s="560">
        <f ca="1">HLOOKUP(B46,Heating!$R$102:$AD$106,4,FALSE)*INDEX(Weather!$BO$1:$CB$20,MATCH(B46,Weather!$BO$1:$BO$20,0),MATCH(C46,Weather!$BO$1:$CB$1,0))/VLOOKUP(B46,Weather!$BO$2:$CB$20,14,FALSE)*
VLOOKUP('Monthly Data'!$B46,Weather!$BO$3:$CB$20,14,FALSE)/Weather!$CB$14</f>
        <v>717.65687462467463</v>
      </c>
      <c r="BN46" s="560">
        <f t="shared" ca="1" si="179"/>
        <v>6587686.3606120767</v>
      </c>
      <c r="BO46" s="560">
        <v>26398557.579105373</v>
      </c>
      <c r="BP46" s="560">
        <f>IFERROR(VLOOKUP($B46-1,CDM!$V$4:$AJ$17,13,FALSE)/12,0)+IFERROR(VLOOKUP($B46,CDM!$V$41:$AJ$54,13,FALSE)/24,0)+IFERROR(VLOOKUP($B46,CDM!$V$41:$AJ$54,13,FALSE)/2*$C46/78,0)</f>
        <v>1607802.93189742</v>
      </c>
      <c r="BQ46" s="560">
        <f t="shared" si="180"/>
        <v>28006360.511002794</v>
      </c>
      <c r="BR46" s="560">
        <f>IFERROR(HLOOKUP(B46-1,'EV Forecast WRZ'!$F$124:$T$130,4,FALSE)/12,0)+IFERROR(((HLOOKUP(B46,'EV Forecast WRZ'!$F$116:$T$122,4,FALSE)-HLOOKUP(B46-1,'EV Forecast WRZ'!$F$124:$T$130,4,FALSE)))*C46/78,0)</f>
        <v>3042.2590384615387</v>
      </c>
      <c r="BS46" s="560">
        <f ca="1">HLOOKUP(B46,Heating!$R$102:$AD$106,5,FALSE)*INDEX(Weather!$BO$1:$CB$20,MATCH(B46,Weather!$BO$1:$BO$20,0),MATCH(C46,Weather!$BO$1:$CB$1,0))/VLOOKUP(B46,Weather!$BO$2:$CB$20,14,FALSE)*
VLOOKUP('Monthly Data'!$B46,Weather!$BO$3:$CB$20,14,FALSE)/Weather!$CB$14</f>
        <v>511.14773859742002</v>
      </c>
      <c r="BT46" s="560">
        <f t="shared" ca="1" si="181"/>
        <v>28002807.104225732</v>
      </c>
      <c r="BU46" s="560">
        <v>6140875.6702025076</v>
      </c>
      <c r="BV46" s="560">
        <f>IFERROR(VLOOKUP($B46-1,CDM!$V$4:$AJ$17,14,FALSE)/12,0)+IFERROR(VLOOKUP($B46,CDM!$V$41:$AJ$54,14,FALSE)/24,0)+IFERROR(VLOOKUP($B46,CDM!$V$41:$AJ$54,14,FALSE)/2*$C46/78,0)</f>
        <v>361469.72153842577</v>
      </c>
      <c r="BW46" s="560">
        <f t="shared" si="182"/>
        <v>6502345.3917409331</v>
      </c>
      <c r="BX46" s="560">
        <f>IFERROR(HLOOKUP(B46-1,'EV Forecast WRZ'!$F$124:$T$130,5,FALSE)/12,0)+IFERROR(((HLOOKUP(B46,'EV Forecast WRZ'!$F$116:$T$122,5,FALSE)-HLOOKUP(B46-1,'EV Forecast WRZ'!$F$124:$T$130,5,FALSE)))*C46/78,0)</f>
        <v>454.69544871794869</v>
      </c>
      <c r="BY46" s="560">
        <f t="shared" si="120"/>
        <v>6501890.696292215</v>
      </c>
      <c r="BZ46" s="560">
        <v>267395.69542758755</v>
      </c>
      <c r="CA46" s="560">
        <v>2362.8290142882652</v>
      </c>
      <c r="CB46" s="560">
        <v>47341.974363879854</v>
      </c>
      <c r="CC46" s="5">
        <v>70657.59</v>
      </c>
      <c r="CD46" s="5">
        <v>11045.65</v>
      </c>
      <c r="CE46" s="5">
        <v>747.97</v>
      </c>
      <c r="CF46" s="544">
        <f t="shared" si="118"/>
        <v>7.166666666666667</v>
      </c>
      <c r="CG46" s="565">
        <v>41145.750000000022</v>
      </c>
      <c r="CH46" s="565">
        <v>2263.7500000000014</v>
      </c>
      <c r="CI46" s="565">
        <v>377</v>
      </c>
      <c r="CJ46" s="565">
        <v>3</v>
      </c>
      <c r="CK46" s="565">
        <v>12495.500000000005</v>
      </c>
      <c r="CL46" s="565">
        <v>37</v>
      </c>
      <c r="CM46" s="565">
        <v>385.5</v>
      </c>
      <c r="CN46" s="46">
        <f>Weather!C70</f>
        <v>113.56666666666666</v>
      </c>
      <c r="CO46" s="46">
        <f>Weather!D70</f>
        <v>5.0833333333333286</v>
      </c>
      <c r="CP46" s="46">
        <f>Weather!E70</f>
        <v>62.054166666666653</v>
      </c>
      <c r="CQ46" s="46">
        <f>Weather!F70</f>
        <v>13.570833333333326</v>
      </c>
      <c r="CR46" s="46">
        <f>Weather!G70</f>
        <v>21.004166666666656</v>
      </c>
      <c r="CS46" s="46">
        <f>Weather!H70</f>
        <v>32.520833333333329</v>
      </c>
      <c r="CT46" s="46">
        <f>Weather!I70</f>
        <v>4.9833333333333325</v>
      </c>
      <c r="CU46" s="46">
        <f>Weather!J70</f>
        <v>76.5</v>
      </c>
      <c r="CV46" s="46">
        <f>Weather!K70</f>
        <v>0.4208333333333325</v>
      </c>
      <c r="CW46" s="46">
        <f>Weather!L70</f>
        <v>131.93750000000003</v>
      </c>
      <c r="CX46" s="46">
        <f>Weather!M70</f>
        <v>0</v>
      </c>
      <c r="CY46" s="46">
        <f>Weather!N70</f>
        <v>191.51666666666671</v>
      </c>
      <c r="CZ46" s="46">
        <f>Weather!O70</f>
        <v>0</v>
      </c>
      <c r="DA46" s="46">
        <f>Weather!P70</f>
        <v>251.51666666666671</v>
      </c>
      <c r="DB46" s="243">
        <f>'Economic Data'!D72</f>
        <v>7432.4</v>
      </c>
      <c r="DC46" s="243">
        <f>'Economic Data'!E72</f>
        <v>7489.3</v>
      </c>
      <c r="DD46" s="243">
        <f>'Economic Data'!F72</f>
        <v>209.5</v>
      </c>
      <c r="DE46" s="243">
        <f>'Economic Data'!G72</f>
        <v>209.9</v>
      </c>
      <c r="DF46" s="243">
        <f>'Economic Data'!H72</f>
        <v>40.1</v>
      </c>
      <c r="DG46" s="243">
        <f>'Economic Data'!I72</f>
        <v>40.1</v>
      </c>
      <c r="DH46" s="243">
        <f>'Economic Data'!J72</f>
        <v>807274.5</v>
      </c>
      <c r="DI46" s="243">
        <f>'Economic Data'!K72</f>
        <v>626103.1</v>
      </c>
      <c r="DJ46" s="243">
        <f>'Economic Data'!L72</f>
        <v>94599.6</v>
      </c>
      <c r="DK46" s="243">
        <f>'Economic Data'!M72</f>
        <v>32860.800000000003</v>
      </c>
      <c r="DL46" s="243">
        <f>'Economic Data'!N72</f>
        <v>810697</v>
      </c>
      <c r="DM46" s="243">
        <f>'Economic Data'!O72</f>
        <v>94481</v>
      </c>
      <c r="DN46" s="243">
        <f>'Economic Data'!P72</f>
        <v>19978</v>
      </c>
      <c r="DO46" s="243">
        <f>'Economic Data'!Q72</f>
        <v>629169</v>
      </c>
      <c r="DP46" s="243">
        <f>'Economic Data'!R72</f>
        <v>33199</v>
      </c>
      <c r="DQ46">
        <v>30</v>
      </c>
      <c r="DR46">
        <v>21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1</v>
      </c>
      <c r="EB46">
        <v>0</v>
      </c>
      <c r="EC46">
        <v>0</v>
      </c>
      <c r="ED46">
        <v>0</v>
      </c>
      <c r="EE46">
        <v>0</v>
      </c>
      <c r="EF46">
        <v>1</v>
      </c>
      <c r="EG46">
        <v>1</v>
      </c>
      <c r="EH46">
        <f t="shared" si="66"/>
        <v>45</v>
      </c>
      <c r="EI46">
        <v>0</v>
      </c>
      <c r="EJ46">
        <v>0</v>
      </c>
      <c r="EK46">
        <v>0</v>
      </c>
      <c r="EL46">
        <v>0</v>
      </c>
      <c r="EM46" s="47">
        <f t="shared" si="121"/>
        <v>0</v>
      </c>
      <c r="EN46" s="47">
        <f t="shared" si="122"/>
        <v>0</v>
      </c>
      <c r="EO46" s="47">
        <f t="shared" si="123"/>
        <v>0</v>
      </c>
      <c r="EP46" s="47">
        <f t="shared" si="124"/>
        <v>0</v>
      </c>
      <c r="EQ46" s="47">
        <f t="shared" si="125"/>
        <v>0</v>
      </c>
      <c r="ER46" s="47">
        <f t="shared" si="126"/>
        <v>0</v>
      </c>
      <c r="ES46" s="47">
        <f t="shared" si="127"/>
        <v>0</v>
      </c>
      <c r="ET46" s="47">
        <f t="shared" si="128"/>
        <v>0</v>
      </c>
      <c r="EU46" s="47">
        <f t="shared" si="129"/>
        <v>0</v>
      </c>
      <c r="EV46" s="47">
        <f t="shared" si="130"/>
        <v>0</v>
      </c>
      <c r="EW46" s="47">
        <f t="shared" si="131"/>
        <v>0</v>
      </c>
      <c r="EX46" s="47">
        <f t="shared" si="132"/>
        <v>0</v>
      </c>
      <c r="EY46" s="47">
        <f t="shared" si="133"/>
        <v>0</v>
      </c>
      <c r="EZ46" s="47">
        <f t="shared" si="134"/>
        <v>0</v>
      </c>
      <c r="FA46" s="47">
        <f t="shared" si="135"/>
        <v>0</v>
      </c>
      <c r="FB46" s="47">
        <f t="shared" si="136"/>
        <v>0</v>
      </c>
      <c r="FC46" s="47">
        <f t="shared" si="137"/>
        <v>0</v>
      </c>
      <c r="FD46" s="47">
        <f t="shared" si="138"/>
        <v>0</v>
      </c>
      <c r="FE46" s="47">
        <f t="shared" si="139"/>
        <v>0</v>
      </c>
      <c r="FF46" s="47">
        <f t="shared" si="140"/>
        <v>0</v>
      </c>
      <c r="FG46" s="47">
        <f t="shared" si="141"/>
        <v>0</v>
      </c>
      <c r="FH46" s="47">
        <f t="shared" si="142"/>
        <v>0</v>
      </c>
      <c r="FI46" s="47">
        <f t="shared" si="143"/>
        <v>0</v>
      </c>
      <c r="FJ46" s="47">
        <f t="shared" si="144"/>
        <v>0</v>
      </c>
      <c r="FK46" s="47">
        <f t="shared" si="145"/>
        <v>0</v>
      </c>
      <c r="FL46" s="47">
        <f t="shared" si="146"/>
        <v>0</v>
      </c>
      <c r="FM46" s="47">
        <f t="shared" si="147"/>
        <v>0</v>
      </c>
      <c r="FN46" s="47">
        <f t="shared" si="148"/>
        <v>0</v>
      </c>
      <c r="FO46" s="546">
        <f t="shared" ca="1" si="149"/>
        <v>600.88180664805816</v>
      </c>
      <c r="FP46" s="546">
        <f t="shared" si="150"/>
        <v>444.88655985634347</v>
      </c>
      <c r="FQ46" s="546">
        <f t="shared" si="151"/>
        <v>2360.4681605768601</v>
      </c>
      <c r="FR46" s="546">
        <f t="shared" si="152"/>
        <v>75341.718843687035</v>
      </c>
      <c r="FS46" s="546">
        <f t="shared" si="153"/>
        <v>1804801.5370639104</v>
      </c>
      <c r="FT46" s="546">
        <f t="shared" si="154"/>
        <v>5666605.6197583135</v>
      </c>
      <c r="FU46" s="546">
        <f t="shared" si="155"/>
        <v>32.298639419046289</v>
      </c>
      <c r="FV46" s="546">
        <f t="shared" si="156"/>
        <v>57.72514591598803</v>
      </c>
      <c r="FW46" s="546">
        <f t="shared" si="157"/>
        <v>477.22466900183366</v>
      </c>
      <c r="FX46" s="546">
        <f t="shared" si="158"/>
        <v>668.42387811299136</v>
      </c>
      <c r="FY46" s="546">
        <f t="shared" si="159"/>
        <v>2913.3508233952762</v>
      </c>
      <c r="FZ46" s="546">
        <f t="shared" si="160"/>
        <v>74287.428411147994</v>
      </c>
      <c r="GA46" s="546">
        <f t="shared" si="161"/>
        <v>89131.898475862516</v>
      </c>
      <c r="GB46" s="546">
        <f t="shared" si="162"/>
        <v>21.399359403592289</v>
      </c>
      <c r="GC46" s="546">
        <f t="shared" si="163"/>
        <v>63.860243629412572</v>
      </c>
      <c r="GD46" s="546">
        <f t="shared" si="164"/>
        <v>122.80667798671817</v>
      </c>
    </row>
    <row r="47" spans="1:186">
      <c r="A47" s="4">
        <v>43739</v>
      </c>
      <c r="B47" s="6">
        <v>2019</v>
      </c>
      <c r="C47" s="5">
        <v>10</v>
      </c>
      <c r="D47" s="7">
        <v>62118592.750257298</v>
      </c>
      <c r="E47" s="7">
        <f>IFERROR(VLOOKUP($B47-1,CDM!$V$4:$AJ$17,2,FALSE)/12,0)+IFERROR(VLOOKUP($B47,CDM!$V$41:$AJ$54,2,FALSE)/24,0)+IFERROR(VLOOKUP($B47,CDM!$V$41:$AJ$54,2,FALSE)/2*$C47/78,0)</f>
        <v>3887674.550473311</v>
      </c>
      <c r="F47" s="7">
        <f t="shared" si="165"/>
        <v>66006267.300730608</v>
      </c>
      <c r="G47" s="7">
        <f>IFERROR(HLOOKUP(B47-1,'EV Forecast VRZ'!$F$124:$T$130,2,FALSE)/12,0)+IFERROR(((HLOOKUP(B47,'EV Forecast VRZ'!$F$116:$T$122,2,FALSE)-HLOOKUP(B47-1,'EV Forecast VRZ'!$F$124:$T$130,2,FALSE)))*C47/78,0)</f>
        <v>184396.07583726742</v>
      </c>
      <c r="H47" s="7">
        <f ca="1">HLOOKUP(B47,Heating!$C$102:$O$106,2,FALSE)*INDEX(Weather!$BO$1:$CB$20,MATCH(B47,Weather!$BO$1:$BO$20,0),MATCH(C47,Weather!$BO$1:$CB$1,0))/VLOOKUP(B47,Weather!$BO$2:$CB$20,14,FALSE)*
VLOOKUP('Monthly Data'!$B47,Weather!$BO$3:$CB$20,14,FALSE)/Weather!$CB$14</f>
        <v>45018.520333422457</v>
      </c>
      <c r="I47" s="7">
        <f t="shared" ca="1" si="166"/>
        <v>65776852.704559915</v>
      </c>
      <c r="J47" s="7">
        <v>778208.35214653681</v>
      </c>
      <c r="K47" s="7">
        <f>IFERROR(VLOOKUP($B47-1,CDM!$V$4:$AJ$17,3,FALSE)/12,0)+IFERROR(VLOOKUP($B47,CDM!$V$41:$AJ$54,3,FALSE)/24,0)+IFERROR(VLOOKUP($B47,CDM!$V$41:$AJ$54,3,FALSE)/2*$C47/78,0)</f>
        <v>44528.660677811233</v>
      </c>
      <c r="L47" s="7">
        <f t="shared" si="167"/>
        <v>822737.01282434806</v>
      </c>
      <c r="M47" s="7">
        <f>IFERROR(HLOOKUP(B47-1,'EV Forecast VRZ'!$F$124:$T$130,3,FALSE)/12,0)+IFERROR(((HLOOKUP(B47,'EV Forecast VRZ'!$F$116:$T$122,3,FALSE)-HLOOKUP(B47-1,'EV Forecast VRZ'!$F$124:$T$130,3,FALSE)))*C47/78,0)</f>
        <v>2502.0964704248804</v>
      </c>
      <c r="N47" s="7">
        <f ca="1">HLOOKUP(B47,Heating!$C$102:$O$106,3,FALSE)*INDEX(Weather!$BO$1:$CB$20,MATCH(B47,Weather!$BO$1:$BO$20,0),MATCH(C47,Weather!$BO$1:$CB$1,0))/VLOOKUP(B47,Weather!$BO$2:$CB$20,14,FALSE)*
VLOOKUP('Monthly Data'!$B47,Weather!$BO$3:$CB$20,14,FALSE)/Weather!$CB$14</f>
        <v>634.99509747780769</v>
      </c>
      <c r="O47" s="7">
        <f t="shared" ca="1" si="168"/>
        <v>819599.92125644535</v>
      </c>
      <c r="P47" s="7">
        <v>20594868.908175919</v>
      </c>
      <c r="Q47" s="7">
        <f>IFERROR(VLOOKUP($B47-1,CDM!$V$4:$AJ$17,4,FALSE)/12,0)+IFERROR(VLOOKUP($B47,CDM!$V$41:$AJ$54,4,FALSE)/24,0)+IFERROR(VLOOKUP($B47,CDM!$V$41:$AJ$54,4,FALSE)/2*$C47/78,0)</f>
        <v>1325118.9438655844</v>
      </c>
      <c r="R47" s="7">
        <f t="shared" si="169"/>
        <v>21919987.852041505</v>
      </c>
      <c r="S47" s="7">
        <f>IFERROR(HLOOKUP(B47-1,'EV Forecast VRZ'!$F$124:$T$130,4,FALSE)/12,0)+IFERROR(((HLOOKUP(B47,'EV Forecast VRZ'!$F$116:$T$122,4,FALSE)-HLOOKUP(B47-1,'EV Forecast VRZ'!$F$124:$T$130,4,FALSE)))*C47/78,0)</f>
        <v>23216.1876923077</v>
      </c>
      <c r="T47" s="7">
        <f ca="1">HLOOKUP(B47,Heating!$C$102:$O$106,4,FALSE)*INDEX(Weather!$BO$1:$CB$20,MATCH(B47,Weather!$BO$1:$BO$20,0),MATCH(C47,Weather!$BO$1:$CB$1,0))/VLOOKUP(B47,Weather!$BO$2:$CB$20,14,FALSE)*
VLOOKUP('Monthly Data'!$B47,Weather!$BO$3:$CB$20,14,FALSE)/Weather!$CB$14</f>
        <v>11480.321031628835</v>
      </c>
      <c r="U47" s="7">
        <f t="shared" ca="1" si="170"/>
        <v>21885291.343317568</v>
      </c>
      <c r="V47" s="7">
        <v>71401679.018741563</v>
      </c>
      <c r="W47" s="7">
        <f>IFERROR(VLOOKUP($B47-1,CDM!$V$4:$AJ$17,5,FALSE)/12,0)+IFERROR(VLOOKUP($B47,CDM!$V$41:$AJ$54,5,FALSE)/24,0)+IFERROR(VLOOKUP($B47,CDM!$V$41:$AJ$54,5,FALSE)/2*$C47/78,0)</f>
        <v>4675622.9566635815</v>
      </c>
      <c r="X47" s="7">
        <f t="shared" si="171"/>
        <v>76077301.975405142</v>
      </c>
      <c r="Y47" s="7">
        <f>IFERROR(HLOOKUP(B47-1,'EV Forecast VRZ'!$F$124:$T$130,5,FALSE)/12,0)+IFERROR(((HLOOKUP(B47,'EV Forecast VRZ'!$F$116:$T$122,5,FALSE)-HLOOKUP(B47-1,'EV Forecast VRZ'!$F$124:$T$130,5,FALSE)))*C47/78,0)</f>
        <v>10546.70753846154</v>
      </c>
      <c r="Z47" s="7">
        <f ca="1">HLOOKUP(B47,Heating!$C$102:$O$106,5,FALSE)*INDEX(Weather!$BO$1:$CB$20,MATCH(B47,Weather!$BO$1:$BO$20,0),MATCH(C47,Weather!$BO$1:$CB$1,0))/VLOOKUP(B47,Weather!$BO$2:$CB$20,14,FALSE)*
VLOOKUP('Monthly Data'!$B47,Weather!$BO$3:$CB$20,14,FALSE)/Weather!$CB$14</f>
        <v>6770.5558577095762</v>
      </c>
      <c r="AA47" s="7">
        <f t="shared" ca="1" si="172"/>
        <v>76059984.712008983</v>
      </c>
      <c r="AB47" s="7">
        <v>7415913.812719347</v>
      </c>
      <c r="AC47" s="7">
        <f>IFERROR(VLOOKUP($B47-1,CDM!$V$4:$AJ$17,6,FALSE)/12,0)+IFERROR(VLOOKUP($B47,CDM!$V$41:$AJ$54,6,FALSE)/24,0)+IFERROR(VLOOKUP($B47,CDM!$V$41:$AJ$54,6,FALSE)/2*$C47/78,0)</f>
        <v>222297.04407850225</v>
      </c>
      <c r="AD47" s="7">
        <f t="shared" si="173"/>
        <v>7638210.8567978488</v>
      </c>
      <c r="AE47" s="7">
        <f>IFERROR(HLOOKUP(B47-1,'EV Forecast VRZ'!$F$124:$T$130,6,FALSE)/12,0)+IFERROR(((HLOOKUP(B47,'EV Forecast VRZ'!$F$116:$T$122,6,FALSE)-HLOOKUP(B47-1,'EV Forecast VRZ'!$F$124:$T$130,6,FALSE)))*C47/78,0)</f>
        <v>1558.5016923076919</v>
      </c>
      <c r="AF47" s="7">
        <f t="shared" si="174"/>
        <v>7636652.3551055407</v>
      </c>
      <c r="AG47" s="7">
        <v>23283894.443648901</v>
      </c>
      <c r="AH47" s="7">
        <f>IFERROR(VLOOKUP($B47-1,CDM!$V$4:$AJ$17,7,FALSE)/12,0)+IFERROR(VLOOKUP($B47,CDM!$V$41:$AJ$54,7,FALSE)/24,0)+IFERROR(VLOOKUP($B47,CDM!$V$41:$AJ$54,7,FALSE)/2*$C47/78,0)</f>
        <v>1618574.2691525309</v>
      </c>
      <c r="AI47" s="7">
        <f t="shared" si="175"/>
        <v>24902468.71280143</v>
      </c>
      <c r="AJ47" s="7">
        <f>IFERROR(HLOOKUP(B47-1,'EV Forecast VRZ'!$F$124:$T$130,7,FALSE)/12,0)+IFERROR(((HLOOKUP(B47,'EV Forecast VRZ'!$F$116:$T$122,7,FALSE)-HLOOKUP(B47-1,'EV Forecast VRZ'!$F$124:$T$130,7,FALSE)))*C47/78,0)</f>
        <v>0</v>
      </c>
      <c r="AK47" s="7">
        <f t="shared" si="176"/>
        <v>24902468.71280143</v>
      </c>
      <c r="AL47" s="7">
        <v>1140071.4653692043</v>
      </c>
      <c r="AM47" s="7">
        <v>18394.504865483679</v>
      </c>
      <c r="AN47" s="7">
        <v>385016.00839534443</v>
      </c>
      <c r="AO47" s="5">
        <v>187280.13</v>
      </c>
      <c r="AP47" s="5">
        <v>15495.06</v>
      </c>
      <c r="AQ47" s="5">
        <v>38362</v>
      </c>
      <c r="AR47" s="5">
        <v>2829.02</v>
      </c>
      <c r="AS47" s="544">
        <f t="shared" si="117"/>
        <v>52.416666666666664</v>
      </c>
      <c r="AT47" s="557">
        <v>111439.5</v>
      </c>
      <c r="AU47" s="557">
        <v>1562.5</v>
      </c>
      <c r="AV47" s="557">
        <v>9245.8333333333394</v>
      </c>
      <c r="AW47" s="557">
        <v>1022.6666666666673</v>
      </c>
      <c r="AX47" s="557">
        <v>4</v>
      </c>
      <c r="AY47" s="557">
        <v>4</v>
      </c>
      <c r="AZ47" s="557">
        <v>31167.833333333321</v>
      </c>
      <c r="BA47" s="557">
        <v>289.83333333333314</v>
      </c>
      <c r="BB47" s="557">
        <v>805.83333333333371</v>
      </c>
      <c r="BC47" s="560">
        <v>23360028.451683752</v>
      </c>
      <c r="BD47" s="560">
        <f>IFERROR(VLOOKUP($B47-1,CDM!$V$4:$AJ$17,11,FALSE)/12,0)+IFERROR(VLOOKUP($B47,CDM!$V$41:$AJ$54,11,FALSE)/24,0)+IFERROR(VLOOKUP($B47,CDM!$V$41:$AJ$54,11,FALSE)/2*$C47/78,0)</f>
        <v>1947810.4991027592</v>
      </c>
      <c r="BE47" s="560">
        <f t="shared" si="119"/>
        <v>25307838.950786512</v>
      </c>
      <c r="BF47" s="560">
        <f>IFERROR(HLOOKUP(B47-1,'EV Forecast WRZ'!$F$124:$T$130,2,FALSE)/12,0)+IFERROR(((HLOOKUP(B47,'EV Forecast WRZ'!$F$116:$T$122,2,FALSE)-HLOOKUP(B47-1,'EV Forecast WRZ'!$F$124:$T$130,2,FALSE)))*C47/78,0)</f>
        <v>55248.563461538477</v>
      </c>
      <c r="BG47" s="560">
        <f ca="1">HLOOKUP(B47,Heating!$R$102:$AD$106,2,FALSE)*INDEX(Weather!$BO$1:$CB$20,MATCH(B47,Weather!$BO$1:$BO$20,0),MATCH(C47,Weather!$BO$1:$CB$1,0))/VLOOKUP(B47,Weather!$BO$2:$CB$20,14,FALSE)*
VLOOKUP('Monthly Data'!$B47,Weather!$BO$3:$CB$20,14,FALSE)/Weather!$CB$14</f>
        <v>16594.988215167377</v>
      </c>
      <c r="BH47" s="560">
        <f t="shared" ca="1" si="177"/>
        <v>25235995.399109807</v>
      </c>
      <c r="BI47" s="560">
        <v>6273164.863162444</v>
      </c>
      <c r="BJ47" s="560">
        <f>IFERROR(VLOOKUP($B47-1,CDM!$V$4:$AJ$17,12,FALSE)/12,0)+IFERROR(VLOOKUP($B47,CDM!$V$41:$AJ$54,12,FALSE)/24,0)+IFERROR(VLOOKUP($B47,CDM!$V$41:$AJ$54,12,FALSE)/2*$C47/78,0)</f>
        <v>212704.49787733165</v>
      </c>
      <c r="BK47" s="560">
        <f t="shared" si="178"/>
        <v>6485869.3610397754</v>
      </c>
      <c r="BL47" s="560">
        <f>IFERROR(HLOOKUP(B47-1,'EV Forecast WRZ'!$F$124:$T$130,3,FALSE)/12,0)+IFERROR(((HLOOKUP(B47,'EV Forecast WRZ'!$F$116:$T$122,3,FALSE)-HLOOKUP(B47-1,'EV Forecast WRZ'!$F$124:$T$130,3,FALSE)))*C47/78,0)</f>
        <v>6870.419230769231</v>
      </c>
      <c r="BM47" s="560">
        <f ca="1">HLOOKUP(B47,Heating!$R$102:$AD$106,4,FALSE)*INDEX(Weather!$BO$1:$CB$20,MATCH(B47,Weather!$BO$1:$BO$20,0),MATCH(C47,Weather!$BO$1:$CB$1,0))/VLOOKUP(B47,Weather!$BO$2:$CB$20,14,FALSE)*
VLOOKUP('Monthly Data'!$B47,Weather!$BO$3:$CB$20,14,FALSE)/Weather!$CB$14</f>
        <v>2819.3077797398669</v>
      </c>
      <c r="BN47" s="560">
        <f t="shared" ca="1" si="179"/>
        <v>6476179.6340292664</v>
      </c>
      <c r="BO47" s="560">
        <v>25524089.035124585</v>
      </c>
      <c r="BP47" s="560">
        <f>IFERROR(VLOOKUP($B47-1,CDM!$V$4:$AJ$17,13,FALSE)/12,0)+IFERROR(VLOOKUP($B47,CDM!$V$41:$AJ$54,13,FALSE)/24,0)+IFERROR(VLOOKUP($B47,CDM!$V$41:$AJ$54,13,FALSE)/2*$C47/78,0)</f>
        <v>1643952.939228541</v>
      </c>
      <c r="BQ47" s="560">
        <f t="shared" si="180"/>
        <v>27168041.974353127</v>
      </c>
      <c r="BR47" s="560">
        <f>IFERROR(HLOOKUP(B47-1,'EV Forecast WRZ'!$F$124:$T$130,4,FALSE)/12,0)+IFERROR(((HLOOKUP(B47,'EV Forecast WRZ'!$F$116:$T$122,4,FALSE)-HLOOKUP(B47-1,'EV Forecast WRZ'!$F$124:$T$130,4,FALSE)))*C47/78,0)</f>
        <v>3121.688653846154</v>
      </c>
      <c r="BS47" s="560">
        <f ca="1">HLOOKUP(B47,Heating!$R$102:$AD$106,5,FALSE)*INDEX(Weather!$BO$1:$CB$20,MATCH(B47,Weather!$BO$1:$BO$20,0),MATCH(C47,Weather!$BO$1:$CB$1,0))/VLOOKUP(B47,Weather!$BO$2:$CB$20,14,FALSE)*
VLOOKUP('Monthly Data'!$B47,Weather!$BO$3:$CB$20,14,FALSE)/Weather!$CB$14</f>
        <v>2008.0387257180728</v>
      </c>
      <c r="BT47" s="560">
        <f t="shared" ca="1" si="181"/>
        <v>27162912.246973563</v>
      </c>
      <c r="BU47" s="560">
        <v>6648271.8997107046</v>
      </c>
      <c r="BV47" s="560">
        <f>IFERROR(VLOOKUP($B47-1,CDM!$V$4:$AJ$17,14,FALSE)/12,0)+IFERROR(VLOOKUP($B47,CDM!$V$41:$AJ$54,14,FALSE)/24,0)+IFERROR(VLOOKUP($B47,CDM!$V$41:$AJ$54,14,FALSE)/2*$C47/78,0)</f>
        <v>369597.04412526265</v>
      </c>
      <c r="BW47" s="560">
        <f t="shared" si="182"/>
        <v>7017868.9438359672</v>
      </c>
      <c r="BX47" s="560">
        <f>IFERROR(HLOOKUP(B47-1,'EV Forecast WRZ'!$F$124:$T$130,5,FALSE)/12,0)+IFERROR(((HLOOKUP(B47,'EV Forecast WRZ'!$F$116:$T$122,5,FALSE)-HLOOKUP(B47-1,'EV Forecast WRZ'!$F$124:$T$130,5,FALSE)))*C47/78,0)</f>
        <v>463.52096153846151</v>
      </c>
      <c r="BY47" s="560">
        <f t="shared" si="120"/>
        <v>7017405.4228744283</v>
      </c>
      <c r="BZ47" s="560">
        <v>311638.04285440972</v>
      </c>
      <c r="CA47" s="560">
        <v>2362.8290142882652</v>
      </c>
      <c r="CB47" s="560">
        <v>47345.972833365217</v>
      </c>
      <c r="CC47" s="5">
        <v>67051.990000000005</v>
      </c>
      <c r="CD47" s="5">
        <v>11942.04</v>
      </c>
      <c r="CE47" s="5">
        <v>749.3</v>
      </c>
      <c r="CF47" s="544">
        <f t="shared" si="118"/>
        <v>7.166666666666667</v>
      </c>
      <c r="CG47" s="565">
        <v>41242.833333333358</v>
      </c>
      <c r="CH47" s="565">
        <v>2264.8333333333348</v>
      </c>
      <c r="CI47" s="565">
        <v>377</v>
      </c>
      <c r="CJ47" s="565">
        <v>3</v>
      </c>
      <c r="CK47" s="565">
        <v>12530.333333333339</v>
      </c>
      <c r="CL47" s="565">
        <v>37</v>
      </c>
      <c r="CM47" s="565">
        <v>386</v>
      </c>
      <c r="CN47" s="46">
        <f>Weather!C71</f>
        <v>303.96666666666664</v>
      </c>
      <c r="CO47" s="46">
        <f>Weather!D71</f>
        <v>0</v>
      </c>
      <c r="CP47" s="46">
        <f>Weather!E71</f>
        <v>243.77916666666664</v>
      </c>
      <c r="CQ47" s="46">
        <f>Weather!F71</f>
        <v>1.8125000000000036</v>
      </c>
      <c r="CR47" s="46">
        <f>Weather!G71</f>
        <v>183.7791666666667</v>
      </c>
      <c r="CS47" s="46">
        <f>Weather!H71</f>
        <v>3.8125000000000036</v>
      </c>
      <c r="CT47" s="46">
        <f>Weather!I71</f>
        <v>125.30000000000004</v>
      </c>
      <c r="CU47" s="46">
        <f>Weather!J71</f>
        <v>7.3333333333333357</v>
      </c>
      <c r="CV47" s="46">
        <f>Weather!K71</f>
        <v>72.637500000000017</v>
      </c>
      <c r="CW47" s="46">
        <f>Weather!L71</f>
        <v>16.670833333333334</v>
      </c>
      <c r="CX47" s="46">
        <f>Weather!M71</f>
        <v>31.19583333333334</v>
      </c>
      <c r="CY47" s="46">
        <f>Weather!N71</f>
        <v>37.229166666666664</v>
      </c>
      <c r="CZ47" s="46">
        <f>Weather!O71</f>
        <v>8.0666666666666664</v>
      </c>
      <c r="DA47" s="46">
        <f>Weather!P71</f>
        <v>76.099999999999994</v>
      </c>
      <c r="DB47" s="243">
        <f>'Economic Data'!D73</f>
        <v>7450</v>
      </c>
      <c r="DC47" s="243">
        <f>'Economic Data'!E73</f>
        <v>7491.1</v>
      </c>
      <c r="DD47" s="243">
        <f>'Economic Data'!F73</f>
        <v>206.9</v>
      </c>
      <c r="DE47" s="243">
        <f>'Economic Data'!G73</f>
        <v>205.6</v>
      </c>
      <c r="DF47" s="243">
        <f>'Economic Data'!H73</f>
        <v>44.6</v>
      </c>
      <c r="DG47" s="243">
        <f>'Economic Data'!I73</f>
        <v>44.6</v>
      </c>
      <c r="DH47" s="243">
        <f>'Economic Data'!J73</f>
        <v>807274.5</v>
      </c>
      <c r="DI47" s="243">
        <f>'Economic Data'!K73</f>
        <v>626103.1</v>
      </c>
      <c r="DJ47" s="243">
        <f>'Economic Data'!L73</f>
        <v>94599.6</v>
      </c>
      <c r="DK47" s="243">
        <f>'Economic Data'!M73</f>
        <v>32860.800000000003</v>
      </c>
      <c r="DL47" s="243">
        <f>'Economic Data'!N73</f>
        <v>812164</v>
      </c>
      <c r="DM47" s="243">
        <f>'Economic Data'!O73</f>
        <v>92913</v>
      </c>
      <c r="DN47" s="243">
        <f>'Economic Data'!P73</f>
        <v>19331</v>
      </c>
      <c r="DO47" s="243">
        <f>'Economic Data'!Q73</f>
        <v>632493</v>
      </c>
      <c r="DP47" s="243">
        <f>'Economic Data'!R73</f>
        <v>33832</v>
      </c>
      <c r="DQ47">
        <v>31</v>
      </c>
      <c r="DR47">
        <v>21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1</v>
      </c>
      <c r="EC47">
        <v>0</v>
      </c>
      <c r="ED47">
        <v>0</v>
      </c>
      <c r="EE47">
        <v>0</v>
      </c>
      <c r="EF47">
        <v>1</v>
      </c>
      <c r="EG47">
        <v>1</v>
      </c>
      <c r="EH47">
        <f t="shared" si="66"/>
        <v>46</v>
      </c>
      <c r="EI47">
        <v>0</v>
      </c>
      <c r="EJ47">
        <v>0</v>
      </c>
      <c r="EK47">
        <v>0</v>
      </c>
      <c r="EL47">
        <v>0</v>
      </c>
      <c r="EM47" s="47">
        <f t="shared" si="121"/>
        <v>0</v>
      </c>
      <c r="EN47" s="47">
        <f t="shared" si="122"/>
        <v>0</v>
      </c>
      <c r="EO47" s="47">
        <f t="shared" si="123"/>
        <v>0</v>
      </c>
      <c r="EP47" s="47">
        <f t="shared" si="124"/>
        <v>0</v>
      </c>
      <c r="EQ47" s="47">
        <f t="shared" si="125"/>
        <v>0</v>
      </c>
      <c r="ER47" s="47">
        <f t="shared" si="126"/>
        <v>0</v>
      </c>
      <c r="ES47" s="47">
        <f t="shared" si="127"/>
        <v>0</v>
      </c>
      <c r="ET47" s="47">
        <f t="shared" si="128"/>
        <v>0</v>
      </c>
      <c r="EU47" s="47">
        <f t="shared" si="129"/>
        <v>0</v>
      </c>
      <c r="EV47" s="47">
        <f t="shared" si="130"/>
        <v>0</v>
      </c>
      <c r="EW47" s="47">
        <f t="shared" si="131"/>
        <v>0</v>
      </c>
      <c r="EX47" s="47">
        <f t="shared" si="132"/>
        <v>0</v>
      </c>
      <c r="EY47" s="47">
        <f t="shared" si="133"/>
        <v>0</v>
      </c>
      <c r="EZ47" s="47">
        <f t="shared" si="134"/>
        <v>0</v>
      </c>
      <c r="FA47" s="47">
        <f t="shared" si="135"/>
        <v>0</v>
      </c>
      <c r="FB47" s="47">
        <f t="shared" si="136"/>
        <v>0</v>
      </c>
      <c r="FC47" s="47">
        <f t="shared" si="137"/>
        <v>0</v>
      </c>
      <c r="FD47" s="47">
        <f t="shared" si="138"/>
        <v>0</v>
      </c>
      <c r="FE47" s="47">
        <f t="shared" si="139"/>
        <v>0</v>
      </c>
      <c r="FF47" s="47">
        <f t="shared" si="140"/>
        <v>0</v>
      </c>
      <c r="FG47" s="47">
        <f t="shared" si="141"/>
        <v>0</v>
      </c>
      <c r="FH47" s="47">
        <f t="shared" si="142"/>
        <v>0</v>
      </c>
      <c r="FI47" s="47">
        <f t="shared" si="143"/>
        <v>0</v>
      </c>
      <c r="FJ47" s="47">
        <f t="shared" si="144"/>
        <v>0</v>
      </c>
      <c r="FK47" s="47">
        <f t="shared" si="145"/>
        <v>0</v>
      </c>
      <c r="FL47" s="47">
        <f t="shared" si="146"/>
        <v>0</v>
      </c>
      <c r="FM47" s="47">
        <f t="shared" si="147"/>
        <v>0</v>
      </c>
      <c r="FN47" s="47">
        <f t="shared" si="148"/>
        <v>0</v>
      </c>
      <c r="FO47" s="546">
        <f t="shared" ca="1" si="149"/>
        <v>590.2471987451479</v>
      </c>
      <c r="FP47" s="546">
        <f t="shared" si="150"/>
        <v>526.55168820758274</v>
      </c>
      <c r="FQ47" s="546">
        <f t="shared" si="151"/>
        <v>2370.7963427174213</v>
      </c>
      <c r="FR47" s="546">
        <f t="shared" si="152"/>
        <v>74391.103626536918</v>
      </c>
      <c r="FS47" s="546">
        <f t="shared" si="153"/>
        <v>1909552.7141994622</v>
      </c>
      <c r="FT47" s="546">
        <f t="shared" si="154"/>
        <v>6225617.1782003576</v>
      </c>
      <c r="FU47" s="546">
        <f t="shared" si="155"/>
        <v>36.57846386613992</v>
      </c>
      <c r="FV47" s="546">
        <f t="shared" si="156"/>
        <v>63.465801721047811</v>
      </c>
      <c r="FW47" s="546">
        <f t="shared" si="157"/>
        <v>477.78615312762469</v>
      </c>
      <c r="FX47" s="546">
        <f t="shared" si="158"/>
        <v>613.62997896490697</v>
      </c>
      <c r="FY47" s="546">
        <f t="shared" si="159"/>
        <v>2863.7292049627367</v>
      </c>
      <c r="FZ47" s="546">
        <f t="shared" si="160"/>
        <v>72063.77181526029</v>
      </c>
      <c r="GA47" s="546">
        <f t="shared" si="161"/>
        <v>103879.34761813657</v>
      </c>
      <c r="GB47" s="546">
        <f t="shared" si="162"/>
        <v>24.870690552611762</v>
      </c>
      <c r="GC47" s="546">
        <f t="shared" si="163"/>
        <v>63.860243629412572</v>
      </c>
      <c r="GD47" s="546">
        <f t="shared" si="164"/>
        <v>122.65796070820004</v>
      </c>
    </row>
    <row r="48" spans="1:186">
      <c r="A48" s="4">
        <v>43770</v>
      </c>
      <c r="B48" s="6">
        <v>2019</v>
      </c>
      <c r="C48" s="5">
        <v>11</v>
      </c>
      <c r="D48" s="7">
        <v>73382108.692806423</v>
      </c>
      <c r="E48" s="7">
        <f>IFERROR(VLOOKUP($B48-1,CDM!$V$4:$AJ$17,2,FALSE)/12,0)+IFERROR(VLOOKUP($B48,CDM!$V$41:$AJ$54,2,FALSE)/24,0)+IFERROR(VLOOKUP($B48,CDM!$V$41:$AJ$54,2,FALSE)/2*$C48/78,0)</f>
        <v>3907097.4048357494</v>
      </c>
      <c r="F48" s="7">
        <f t="shared" si="165"/>
        <v>77289206.097642168</v>
      </c>
      <c r="G48" s="7">
        <f>IFERROR(HLOOKUP(B48-1,'EV Forecast VRZ'!$F$124:$T$130,2,FALSE)/12,0)+IFERROR(((HLOOKUP(B48,'EV Forecast VRZ'!$F$116:$T$122,2,FALSE)-HLOOKUP(B48-1,'EV Forecast VRZ'!$F$124:$T$130,2,FALSE)))*C48/78,0)</f>
        <v>188524.22956539848</v>
      </c>
      <c r="H48" s="7">
        <f ca="1">HLOOKUP(B48,Heating!$C$102:$O$106,2,FALSE)*INDEX(Weather!$BO$1:$CB$20,MATCH(B48,Weather!$BO$1:$BO$20,0),MATCH(C48,Weather!$BO$1:$CB$1,0))/VLOOKUP(B48,Weather!$BO$2:$CB$20,14,FALSE)*
VLOOKUP('Monthly Data'!$B48,Weather!$BO$3:$CB$20,14,FALSE)/Weather!$CB$14</f>
        <v>97823.928146535138</v>
      </c>
      <c r="I48" s="7">
        <f t="shared" ca="1" si="166"/>
        <v>77002857.93993023</v>
      </c>
      <c r="J48" s="7">
        <v>850000.97805762349</v>
      </c>
      <c r="K48" s="7">
        <f>IFERROR(VLOOKUP($B48-1,CDM!$V$4:$AJ$17,3,FALSE)/12,0)+IFERROR(VLOOKUP($B48,CDM!$V$41:$AJ$54,3,FALSE)/24,0)+IFERROR(VLOOKUP($B48,CDM!$V$41:$AJ$54,3,FALSE)/2*$C48/78,0)</f>
        <v>44751.126236610195</v>
      </c>
      <c r="L48" s="7">
        <f t="shared" si="167"/>
        <v>894752.10429423372</v>
      </c>
      <c r="M48" s="7">
        <f>IFERROR(HLOOKUP(B48-1,'EV Forecast VRZ'!$F$124:$T$130,3,FALSE)/12,0)+IFERROR(((HLOOKUP(B48,'EV Forecast VRZ'!$F$116:$T$122,3,FALSE)-HLOOKUP(B48-1,'EV Forecast VRZ'!$F$124:$T$130,3,FALSE)))*C48/78,0)</f>
        <v>2558.1119730630367</v>
      </c>
      <c r="N48" s="7">
        <f ca="1">HLOOKUP(B48,Heating!$C$102:$O$106,3,FALSE)*INDEX(Weather!$BO$1:$CB$20,MATCH(B48,Weather!$BO$1:$BO$20,0),MATCH(C48,Weather!$BO$1:$CB$1,0))/VLOOKUP(B48,Weather!$BO$2:$CB$20,14,FALSE)*
VLOOKUP('Monthly Data'!$B48,Weather!$BO$3:$CB$20,14,FALSE)/Weather!$CB$14</f>
        <v>1379.8257767915568</v>
      </c>
      <c r="O48" s="7">
        <f t="shared" ca="1" si="168"/>
        <v>890814.16654437908</v>
      </c>
      <c r="P48" s="7">
        <v>22892420.954073742</v>
      </c>
      <c r="Q48" s="7">
        <f>IFERROR(VLOOKUP($B48-1,CDM!$V$4:$AJ$17,4,FALSE)/12,0)+IFERROR(VLOOKUP($B48,CDM!$V$41:$AJ$54,4,FALSE)/24,0)+IFERROR(VLOOKUP($B48,CDM!$V$41:$AJ$54,4,FALSE)/2*$C48/78,0)</f>
        <v>1344644.3273811096</v>
      </c>
      <c r="R48" s="7">
        <f t="shared" si="169"/>
        <v>24237065.28145485</v>
      </c>
      <c r="S48" s="7">
        <f>IFERROR(HLOOKUP(B48-1,'EV Forecast VRZ'!$F$124:$T$130,4,FALSE)/12,0)+IFERROR(((HLOOKUP(B48,'EV Forecast VRZ'!$F$116:$T$122,4,FALSE)-HLOOKUP(B48-1,'EV Forecast VRZ'!$F$124:$T$130,4,FALSE)))*C48/78,0)</f>
        <v>23710.818461538467</v>
      </c>
      <c r="T48" s="7">
        <f ca="1">HLOOKUP(B48,Heating!$C$102:$O$106,4,FALSE)*INDEX(Weather!$BO$1:$CB$20,MATCH(B48,Weather!$BO$1:$BO$20,0),MATCH(C48,Weather!$BO$1:$CB$1,0))/VLOOKUP(B48,Weather!$BO$2:$CB$20,14,FALSE)*
VLOOKUP('Monthly Data'!$B48,Weather!$BO$3:$CB$20,14,FALSE)/Weather!$CB$14</f>
        <v>24946.401867043267</v>
      </c>
      <c r="U48" s="7">
        <f t="shared" ca="1" si="170"/>
        <v>24188408.061126269</v>
      </c>
      <c r="V48" s="7">
        <v>73288565.787390813</v>
      </c>
      <c r="W48" s="7">
        <f>IFERROR(VLOOKUP($B48-1,CDM!$V$4:$AJ$17,5,FALSE)/12,0)+IFERROR(VLOOKUP($B48,CDM!$V$41:$AJ$54,5,FALSE)/24,0)+IFERROR(VLOOKUP($B48,CDM!$V$41:$AJ$54,5,FALSE)/2*$C48/78,0)</f>
        <v>4745784.5804039882</v>
      </c>
      <c r="X48" s="7">
        <f t="shared" si="171"/>
        <v>78034350.367794797</v>
      </c>
      <c r="Y48" s="7">
        <f>IFERROR(HLOOKUP(B48-1,'EV Forecast VRZ'!$F$124:$T$130,5,FALSE)/12,0)+IFERROR(((HLOOKUP(B48,'EV Forecast VRZ'!$F$116:$T$122,5,FALSE)-HLOOKUP(B48-1,'EV Forecast VRZ'!$F$124:$T$130,5,FALSE)))*C48/78,0)</f>
        <v>10769.483692307693</v>
      </c>
      <c r="Z48" s="7">
        <f ca="1">HLOOKUP(B48,Heating!$C$102:$O$106,5,FALSE)*INDEX(Weather!$BO$1:$CB$20,MATCH(B48,Weather!$BO$1:$BO$20,0),MATCH(C48,Weather!$BO$1:$CB$1,0))/VLOOKUP(B48,Weather!$BO$2:$CB$20,14,FALSE)*
VLOOKUP('Monthly Data'!$B48,Weather!$BO$3:$CB$20,14,FALSE)/Weather!$CB$14</f>
        <v>14712.219878203452</v>
      </c>
      <c r="AA48" s="7">
        <f t="shared" ca="1" si="172"/>
        <v>78008868.664224297</v>
      </c>
      <c r="AB48" s="7">
        <v>7366660.9009217452</v>
      </c>
      <c r="AC48" s="7">
        <f>IFERROR(VLOOKUP($B48-1,CDM!$V$4:$AJ$17,6,FALSE)/12,0)+IFERROR(VLOOKUP($B48,CDM!$V$41:$AJ$54,6,FALSE)/24,0)+IFERROR(VLOOKUP($B48,CDM!$V$41:$AJ$54,6,FALSE)/2*$C48/78,0)</f>
        <v>225732.06231256094</v>
      </c>
      <c r="AD48" s="7">
        <f t="shared" si="173"/>
        <v>7592392.9632343063</v>
      </c>
      <c r="AE48" s="7">
        <f>IFERROR(HLOOKUP(B48-1,'EV Forecast VRZ'!$F$124:$T$130,6,FALSE)/12,0)+IFERROR(((HLOOKUP(B48,'EV Forecast VRZ'!$F$116:$T$122,6,FALSE)-HLOOKUP(B48-1,'EV Forecast VRZ'!$F$124:$T$130,6,FALSE)))*C48/78,0)</f>
        <v>1584.0024615384611</v>
      </c>
      <c r="AF48" s="7">
        <f t="shared" si="174"/>
        <v>7590808.9607727677</v>
      </c>
      <c r="AG48" s="7">
        <v>21908888.906306501</v>
      </c>
      <c r="AH48" s="7">
        <f>IFERROR(VLOOKUP($B48-1,CDM!$V$4:$AJ$17,7,FALSE)/12,0)+IFERROR(VLOOKUP($B48,CDM!$V$41:$AJ$54,7,FALSE)/24,0)+IFERROR(VLOOKUP($B48,CDM!$V$41:$AJ$54,7,FALSE)/2*$C48/78,0)</f>
        <v>1634621.553144112</v>
      </c>
      <c r="AI48" s="7">
        <f t="shared" si="175"/>
        <v>23543510.459450614</v>
      </c>
      <c r="AJ48" s="7">
        <f>IFERROR(HLOOKUP(B48-1,'EV Forecast VRZ'!$F$124:$T$130,7,FALSE)/12,0)+IFERROR(((HLOOKUP(B48,'EV Forecast VRZ'!$F$116:$T$122,7,FALSE)-HLOOKUP(B48-1,'EV Forecast VRZ'!$F$124:$T$130,7,FALSE)))*C48/78,0)</f>
        <v>0</v>
      </c>
      <c r="AK48" s="7">
        <f t="shared" si="176"/>
        <v>23543510.459450614</v>
      </c>
      <c r="AL48" s="7">
        <v>1186015.8939133754</v>
      </c>
      <c r="AM48" s="7">
        <v>17558.824651784013</v>
      </c>
      <c r="AN48" s="7">
        <v>384588.00801373785</v>
      </c>
      <c r="AO48" s="5">
        <v>179777.07</v>
      </c>
      <c r="AP48" s="5">
        <v>15843.69</v>
      </c>
      <c r="AQ48" s="5">
        <v>36912</v>
      </c>
      <c r="AR48" s="5">
        <v>2758.23</v>
      </c>
      <c r="AS48" s="544">
        <f t="shared" si="117"/>
        <v>52.416666666666664</v>
      </c>
      <c r="AT48" s="557">
        <v>111576.25</v>
      </c>
      <c r="AU48" s="557">
        <v>1561.75</v>
      </c>
      <c r="AV48" s="557">
        <v>9256.9166666666733</v>
      </c>
      <c r="AW48" s="557">
        <v>1020.8333333333339</v>
      </c>
      <c r="AX48" s="557">
        <v>4</v>
      </c>
      <c r="AY48" s="557">
        <v>4</v>
      </c>
      <c r="AZ48" s="557">
        <v>31174.916666666653</v>
      </c>
      <c r="BA48" s="557">
        <v>274.91666666666646</v>
      </c>
      <c r="BB48" s="557">
        <v>804.91666666666708</v>
      </c>
      <c r="BC48" s="560">
        <v>25679250.860024676</v>
      </c>
      <c r="BD48" s="560">
        <f>IFERROR(VLOOKUP($B48-1,CDM!$V$4:$AJ$17,11,FALSE)/12,0)+IFERROR(VLOOKUP($B48,CDM!$V$41:$AJ$54,11,FALSE)/24,0)+IFERROR(VLOOKUP($B48,CDM!$V$41:$AJ$54,11,FALSE)/2*$C48/78,0)</f>
        <v>1956010.0486266729</v>
      </c>
      <c r="BE48" s="560">
        <f t="shared" si="119"/>
        <v>27635260.908651348</v>
      </c>
      <c r="BF48" s="560">
        <f>IFERROR(HLOOKUP(B48-1,'EV Forecast WRZ'!$F$124:$T$130,2,FALSE)/12,0)+IFERROR(((HLOOKUP(B48,'EV Forecast WRZ'!$F$116:$T$122,2,FALSE)-HLOOKUP(B48-1,'EV Forecast WRZ'!$F$124:$T$130,2,FALSE)))*C48/78,0)</f>
        <v>56748.900641025655</v>
      </c>
      <c r="BG48" s="560">
        <f ca="1">HLOOKUP(B48,Heating!$R$102:$AD$106,2,FALSE)*INDEX(Weather!$BO$1:$CB$20,MATCH(B48,Weather!$BO$1:$BO$20,0),MATCH(C48,Weather!$BO$1:$CB$1,0))/VLOOKUP(B48,Weather!$BO$2:$CB$20,14,FALSE)*
VLOOKUP('Monthly Data'!$B48,Weather!$BO$3:$CB$20,14,FALSE)/Weather!$CB$14</f>
        <v>36060.424081684068</v>
      </c>
      <c r="BH48" s="560">
        <f t="shared" ca="1" si="177"/>
        <v>27542451.583928641</v>
      </c>
      <c r="BI48" s="560">
        <v>6957317.068720106</v>
      </c>
      <c r="BJ48" s="560">
        <f>IFERROR(VLOOKUP($B48-1,CDM!$V$4:$AJ$17,12,FALSE)/12,0)+IFERROR(VLOOKUP($B48,CDM!$V$41:$AJ$54,12,FALSE)/24,0)+IFERROR(VLOOKUP($B48,CDM!$V$41:$AJ$54,12,FALSE)/2*$C48/78,0)</f>
        <v>214591.30943134808</v>
      </c>
      <c r="BK48" s="560">
        <f t="shared" si="178"/>
        <v>7171908.378151454</v>
      </c>
      <c r="BL48" s="560">
        <f>IFERROR(HLOOKUP(B48-1,'EV Forecast WRZ'!$F$124:$T$130,3,FALSE)/12,0)+IFERROR(((HLOOKUP(B48,'EV Forecast WRZ'!$F$116:$T$122,3,FALSE)-HLOOKUP(B48-1,'EV Forecast WRZ'!$F$124:$T$130,3,FALSE)))*C48/78,0)</f>
        <v>7046.9294871794882</v>
      </c>
      <c r="BM48" s="560">
        <f ca="1">HLOOKUP(B48,Heating!$R$102:$AD$106,4,FALSE)*INDEX(Weather!$BO$1:$CB$20,MATCH(B48,Weather!$BO$1:$BO$20,0),MATCH(C48,Weather!$BO$1:$CB$1,0))/VLOOKUP(B48,Weather!$BO$2:$CB$20,14,FALSE)*
VLOOKUP('Monthly Data'!$B48,Weather!$BO$3:$CB$20,14,FALSE)/Weather!$CB$14</f>
        <v>6126.2733565120125</v>
      </c>
      <c r="BN48" s="560">
        <f t="shared" ca="1" si="179"/>
        <v>7158735.1753077628</v>
      </c>
      <c r="BO48" s="560">
        <v>26487151.015310716</v>
      </c>
      <c r="BP48" s="560">
        <f>IFERROR(VLOOKUP($B48-1,CDM!$V$4:$AJ$17,13,FALSE)/12,0)+IFERROR(VLOOKUP($B48,CDM!$V$41:$AJ$54,13,FALSE)/24,0)+IFERROR(VLOOKUP($B48,CDM!$V$41:$AJ$54,13,FALSE)/2*$C48/78,0)</f>
        <v>1680102.946559662</v>
      </c>
      <c r="BQ48" s="560">
        <f t="shared" si="180"/>
        <v>28167253.96187038</v>
      </c>
      <c r="BR48" s="560">
        <f>IFERROR(HLOOKUP(B48-1,'EV Forecast WRZ'!$F$124:$T$130,4,FALSE)/12,0)+IFERROR(((HLOOKUP(B48,'EV Forecast WRZ'!$F$116:$T$122,4,FALSE)-HLOOKUP(B48-1,'EV Forecast WRZ'!$F$124:$T$130,4,FALSE)))*C48/78,0)</f>
        <v>3201.1182692307693</v>
      </c>
      <c r="BS48" s="560">
        <f ca="1">HLOOKUP(B48,Heating!$R$102:$AD$106,5,FALSE)*INDEX(Weather!$BO$1:$CB$20,MATCH(B48,Weather!$BO$1:$BO$20,0),MATCH(C48,Weather!$BO$1:$CB$1,0))/VLOOKUP(B48,Weather!$BO$2:$CB$20,14,FALSE)*
VLOOKUP('Monthly Data'!$B48,Weather!$BO$3:$CB$20,14,FALSE)/Weather!$CB$14</f>
        <v>4363.4094271701078</v>
      </c>
      <c r="BT48" s="560">
        <f t="shared" ca="1" si="181"/>
        <v>28159689.434173979</v>
      </c>
      <c r="BU48" s="560">
        <v>6336749.0838958537</v>
      </c>
      <c r="BV48" s="560">
        <f>IFERROR(VLOOKUP($B48-1,CDM!$V$4:$AJ$17,14,FALSE)/12,0)+IFERROR(VLOOKUP($B48,CDM!$V$41:$AJ$54,14,FALSE)/24,0)+IFERROR(VLOOKUP($B48,CDM!$V$41:$AJ$54,14,FALSE)/2*$C48/78,0)</f>
        <v>377724.36671209947</v>
      </c>
      <c r="BW48" s="560">
        <f t="shared" si="182"/>
        <v>6714473.4506079536</v>
      </c>
      <c r="BX48" s="560">
        <f>IFERROR(HLOOKUP(B48-1,'EV Forecast WRZ'!$F$124:$T$130,5,FALSE)/12,0)+IFERROR(((HLOOKUP(B48,'EV Forecast WRZ'!$F$116:$T$122,5,FALSE)-HLOOKUP(B48-1,'EV Forecast WRZ'!$F$124:$T$130,5,FALSE)))*C48/78,0)</f>
        <v>472.34647435897432</v>
      </c>
      <c r="BY48" s="560">
        <f t="shared" si="120"/>
        <v>6714001.1041335948</v>
      </c>
      <c r="BZ48" s="560">
        <v>335755.20374976081</v>
      </c>
      <c r="CA48" s="560">
        <v>2362.8290142882652</v>
      </c>
      <c r="CB48" s="560">
        <v>47278.094509278737</v>
      </c>
      <c r="CC48" s="5">
        <v>65150.49</v>
      </c>
      <c r="CD48" s="5">
        <v>12801.14</v>
      </c>
      <c r="CE48" s="5">
        <v>763.05</v>
      </c>
      <c r="CF48" s="544">
        <f t="shared" si="118"/>
        <v>7.166666666666667</v>
      </c>
      <c r="CG48" s="565">
        <v>41339.916666666693</v>
      </c>
      <c r="CH48" s="565">
        <v>2265.9166666666683</v>
      </c>
      <c r="CI48" s="565">
        <v>377</v>
      </c>
      <c r="CJ48" s="565">
        <v>3</v>
      </c>
      <c r="CK48" s="565">
        <v>12565.166666666673</v>
      </c>
      <c r="CL48" s="565">
        <v>37</v>
      </c>
      <c r="CM48" s="565">
        <v>386.5</v>
      </c>
      <c r="CN48" s="46">
        <f>Weather!C72</f>
        <v>589.72500000000002</v>
      </c>
      <c r="CO48" s="46">
        <f>Weather!D72</f>
        <v>0</v>
      </c>
      <c r="CP48" s="46">
        <f>Weather!E72</f>
        <v>529.72500000000002</v>
      </c>
      <c r="CQ48" s="46">
        <f>Weather!F72</f>
        <v>0</v>
      </c>
      <c r="CR48" s="46">
        <f>Weather!G72</f>
        <v>469.72499999999997</v>
      </c>
      <c r="CS48" s="46">
        <f>Weather!H72</f>
        <v>0</v>
      </c>
      <c r="CT48" s="46">
        <f>Weather!I72</f>
        <v>409.72499999999997</v>
      </c>
      <c r="CU48" s="46">
        <f>Weather!J72</f>
        <v>0</v>
      </c>
      <c r="CV48" s="46">
        <f>Weather!K72</f>
        <v>349.72499999999997</v>
      </c>
      <c r="CW48" s="46">
        <f>Weather!L72</f>
        <v>0</v>
      </c>
      <c r="CX48" s="46">
        <f>Weather!M72</f>
        <v>289.72499999999997</v>
      </c>
      <c r="CY48" s="46">
        <f>Weather!N72</f>
        <v>0</v>
      </c>
      <c r="CZ48" s="46">
        <f>Weather!O72</f>
        <v>229.72499999999999</v>
      </c>
      <c r="DA48" s="46">
        <f>Weather!P72</f>
        <v>0</v>
      </c>
      <c r="DB48" s="243">
        <f>'Economic Data'!D74</f>
        <v>7458.2</v>
      </c>
      <c r="DC48" s="243">
        <f>'Economic Data'!E74</f>
        <v>7479.5</v>
      </c>
      <c r="DD48" s="243">
        <f>'Economic Data'!F74</f>
        <v>205.5</v>
      </c>
      <c r="DE48" s="243">
        <f>'Economic Data'!G74</f>
        <v>203.3</v>
      </c>
      <c r="DF48" s="243">
        <f>'Economic Data'!H74</f>
        <v>48.4</v>
      </c>
      <c r="DG48" s="243">
        <f>'Economic Data'!I74</f>
        <v>48.4</v>
      </c>
      <c r="DH48" s="243">
        <f>'Economic Data'!J74</f>
        <v>807274.5</v>
      </c>
      <c r="DI48" s="243">
        <f>'Economic Data'!K74</f>
        <v>626103.1</v>
      </c>
      <c r="DJ48" s="243">
        <f>'Economic Data'!L74</f>
        <v>94599.6</v>
      </c>
      <c r="DK48" s="243">
        <f>'Economic Data'!M74</f>
        <v>32860.800000000003</v>
      </c>
      <c r="DL48" s="243">
        <f>'Economic Data'!N74</f>
        <v>812164</v>
      </c>
      <c r="DM48" s="243">
        <f>'Economic Data'!O74</f>
        <v>92913</v>
      </c>
      <c r="DN48" s="243">
        <f>'Economic Data'!P74</f>
        <v>19331</v>
      </c>
      <c r="DO48" s="243">
        <f>'Economic Data'!Q74</f>
        <v>632493</v>
      </c>
      <c r="DP48" s="243">
        <f>'Economic Data'!R74</f>
        <v>33832</v>
      </c>
      <c r="DQ48">
        <v>30</v>
      </c>
      <c r="DR48">
        <v>21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1</v>
      </c>
      <c r="ED48">
        <v>0</v>
      </c>
      <c r="EE48">
        <v>0</v>
      </c>
      <c r="EF48">
        <v>1</v>
      </c>
      <c r="EG48">
        <v>1</v>
      </c>
      <c r="EH48">
        <f t="shared" si="66"/>
        <v>47</v>
      </c>
      <c r="EI48">
        <v>0</v>
      </c>
      <c r="EJ48">
        <v>0</v>
      </c>
      <c r="EK48">
        <v>0</v>
      </c>
      <c r="EL48">
        <v>0</v>
      </c>
      <c r="EM48" s="47">
        <f t="shared" si="121"/>
        <v>0</v>
      </c>
      <c r="EN48" s="47">
        <f t="shared" si="122"/>
        <v>0</v>
      </c>
      <c r="EO48" s="47">
        <f t="shared" si="123"/>
        <v>0</v>
      </c>
      <c r="EP48" s="47">
        <f t="shared" si="124"/>
        <v>0</v>
      </c>
      <c r="EQ48" s="47">
        <f t="shared" si="125"/>
        <v>0</v>
      </c>
      <c r="ER48" s="47">
        <f t="shared" si="126"/>
        <v>0</v>
      </c>
      <c r="ES48" s="47">
        <f t="shared" si="127"/>
        <v>0</v>
      </c>
      <c r="ET48" s="47">
        <f t="shared" si="128"/>
        <v>0</v>
      </c>
      <c r="EU48" s="47">
        <f t="shared" si="129"/>
        <v>0</v>
      </c>
      <c r="EV48" s="47">
        <f t="shared" si="130"/>
        <v>0</v>
      </c>
      <c r="EW48" s="47">
        <f t="shared" si="131"/>
        <v>0</v>
      </c>
      <c r="EX48" s="47">
        <f t="shared" si="132"/>
        <v>0</v>
      </c>
      <c r="EY48" s="47">
        <f t="shared" si="133"/>
        <v>0</v>
      </c>
      <c r="EZ48" s="47">
        <f t="shared" si="134"/>
        <v>0</v>
      </c>
      <c r="FA48" s="47">
        <f t="shared" si="135"/>
        <v>0</v>
      </c>
      <c r="FB48" s="47">
        <f t="shared" si="136"/>
        <v>0</v>
      </c>
      <c r="FC48" s="47">
        <f t="shared" si="137"/>
        <v>0</v>
      </c>
      <c r="FD48" s="47">
        <f t="shared" si="138"/>
        <v>0</v>
      </c>
      <c r="FE48" s="47">
        <f t="shared" si="139"/>
        <v>0</v>
      </c>
      <c r="FF48" s="47">
        <f t="shared" si="140"/>
        <v>0</v>
      </c>
      <c r="FG48" s="47">
        <f t="shared" si="141"/>
        <v>0</v>
      </c>
      <c r="FH48" s="47">
        <f t="shared" si="142"/>
        <v>0</v>
      </c>
      <c r="FI48" s="47">
        <f t="shared" si="143"/>
        <v>0</v>
      </c>
      <c r="FJ48" s="47">
        <f t="shared" si="144"/>
        <v>0</v>
      </c>
      <c r="FK48" s="47">
        <f t="shared" si="145"/>
        <v>0</v>
      </c>
      <c r="FL48" s="47">
        <f t="shared" si="146"/>
        <v>0</v>
      </c>
      <c r="FM48" s="47">
        <f t="shared" si="147"/>
        <v>0</v>
      </c>
      <c r="FN48" s="47">
        <f t="shared" si="148"/>
        <v>0</v>
      </c>
      <c r="FO48" s="546">
        <f t="shared" ca="1" si="149"/>
        <v>690.1366369628862</v>
      </c>
      <c r="FP48" s="546">
        <f t="shared" si="150"/>
        <v>572.91634659467502</v>
      </c>
      <c r="FQ48" s="546">
        <f t="shared" si="151"/>
        <v>2618.2654715614271</v>
      </c>
      <c r="FR48" s="546">
        <f t="shared" si="152"/>
        <v>76441.8126051867</v>
      </c>
      <c r="FS48" s="546">
        <f t="shared" si="153"/>
        <v>1898098.2408085766</v>
      </c>
      <c r="FT48" s="546">
        <f t="shared" si="154"/>
        <v>5885877.6148626534</v>
      </c>
      <c r="FU48" s="546">
        <f t="shared" si="155"/>
        <v>38.043915452755854</v>
      </c>
      <c r="FV48" s="546">
        <f t="shared" si="156"/>
        <v>63.869625893121643</v>
      </c>
      <c r="FW48" s="546">
        <f t="shared" si="157"/>
        <v>477.79853982450066</v>
      </c>
      <c r="FX48" s="546">
        <f t="shared" si="158"/>
        <v>668.48854900896015</v>
      </c>
      <c r="FY48" s="546">
        <f t="shared" si="159"/>
        <v>3165.1245095001059</v>
      </c>
      <c r="FZ48" s="546">
        <f t="shared" si="160"/>
        <v>74714.201490372361</v>
      </c>
      <c r="GA48" s="546">
        <f t="shared" si="161"/>
        <v>111918.40124992027</v>
      </c>
      <c r="GB48" s="546">
        <f t="shared" si="162"/>
        <v>26.721110245235689</v>
      </c>
      <c r="GC48" s="546">
        <f t="shared" si="163"/>
        <v>63.860243629412572</v>
      </c>
      <c r="GD48" s="546">
        <f t="shared" si="164"/>
        <v>122.32365979114809</v>
      </c>
    </row>
    <row r="49" spans="1:186">
      <c r="A49" s="4">
        <v>43800</v>
      </c>
      <c r="B49" s="6">
        <v>2019</v>
      </c>
      <c r="C49" s="5">
        <v>12</v>
      </c>
      <c r="D49" s="7">
        <v>84687023.918822736</v>
      </c>
      <c r="E49" s="7">
        <f>IFERROR(VLOOKUP($B49-1,CDM!$V$4:$AJ$17,2,FALSE)/12,0)+IFERROR(VLOOKUP($B49,CDM!$V$41:$AJ$54,2,FALSE)/24,0)+IFERROR(VLOOKUP($B49,CDM!$V$41:$AJ$54,2,FALSE)/2*$C49/78,0)</f>
        <v>3926520.2591981879</v>
      </c>
      <c r="F49" s="7">
        <f t="shared" si="165"/>
        <v>88613544.178020924</v>
      </c>
      <c r="G49" s="7">
        <f>IFERROR(HLOOKUP(B49-1,'EV Forecast VRZ'!$F$124:$T$130,2,FALSE)/12,0)+IFERROR(((HLOOKUP(B49,'EV Forecast VRZ'!$F$116:$T$122,2,FALSE)-HLOOKUP(B49-1,'EV Forecast VRZ'!$F$124:$T$130,2,FALSE)))*C49/78,0)</f>
        <v>192652.38329352956</v>
      </c>
      <c r="H49" s="7">
        <f ca="1">HLOOKUP(B49,Heating!$C$102:$O$106,2,FALSE)*INDEX(Weather!$BO$1:$CB$20,MATCH(B49,Weather!$BO$1:$BO$20,0),MATCH(C49,Weather!$BO$1:$CB$1,0))/VLOOKUP(B49,Weather!$BO$2:$CB$20,14,FALSE)*
VLOOKUP('Monthly Data'!$B49,Weather!$BO$3:$CB$20,14,FALSE)/Weather!$CB$14</f>
        <v>113466.18462624091</v>
      </c>
      <c r="I49" s="7">
        <f t="shared" ca="1" si="166"/>
        <v>88307425.610101163</v>
      </c>
      <c r="J49" s="7">
        <v>983455.6204445716</v>
      </c>
      <c r="K49" s="7">
        <f>IFERROR(VLOOKUP($B49-1,CDM!$V$4:$AJ$17,3,FALSE)/12,0)+IFERROR(VLOOKUP($B49,CDM!$V$41:$AJ$54,3,FALSE)/24,0)+IFERROR(VLOOKUP($B49,CDM!$V$41:$AJ$54,3,FALSE)/2*$C49/78,0)</f>
        <v>44973.591795409164</v>
      </c>
      <c r="L49" s="7">
        <f t="shared" si="167"/>
        <v>1028429.2122399808</v>
      </c>
      <c r="M49" s="7">
        <f>IFERROR(HLOOKUP(B49-1,'EV Forecast VRZ'!$F$124:$T$130,3,FALSE)/12,0)+IFERROR(((HLOOKUP(B49,'EV Forecast VRZ'!$F$116:$T$122,3,FALSE)-HLOOKUP(B49-1,'EV Forecast VRZ'!$F$124:$T$130,3,FALSE)))*C49/78,0)</f>
        <v>2614.1274757011925</v>
      </c>
      <c r="N49" s="7">
        <f ca="1">HLOOKUP(B49,Heating!$C$102:$O$106,3,FALSE)*INDEX(Weather!$BO$1:$CB$20,MATCH(B49,Weather!$BO$1:$BO$20,0),MATCH(C49,Weather!$BO$1:$CB$1,0))/VLOOKUP(B49,Weather!$BO$2:$CB$20,14,FALSE)*
VLOOKUP('Monthly Data'!$B49,Weather!$BO$3:$CB$20,14,FALSE)/Weather!$CB$14</f>
        <v>1600.4628857977673</v>
      </c>
      <c r="O49" s="7">
        <f t="shared" ca="1" si="168"/>
        <v>1024214.6218784819</v>
      </c>
      <c r="P49" s="7">
        <v>24588262.390020985</v>
      </c>
      <c r="Q49" s="7">
        <f>IFERROR(VLOOKUP($B49-1,CDM!$V$4:$AJ$17,4,FALSE)/12,0)+IFERROR(VLOOKUP($B49,CDM!$V$41:$AJ$54,4,FALSE)/24,0)+IFERROR(VLOOKUP($B49,CDM!$V$41:$AJ$54,4,FALSE)/2*$C49/78,0)</f>
        <v>1364169.7108966345</v>
      </c>
      <c r="R49" s="7">
        <f t="shared" si="169"/>
        <v>25952432.100917619</v>
      </c>
      <c r="S49" s="7">
        <f>IFERROR(HLOOKUP(B49-1,'EV Forecast VRZ'!$F$124:$T$130,4,FALSE)/12,0)+IFERROR(((HLOOKUP(B49,'EV Forecast VRZ'!$F$116:$T$122,4,FALSE)-HLOOKUP(B49-1,'EV Forecast VRZ'!$F$124:$T$130,4,FALSE)))*C49/78,0)</f>
        <v>24205.449230769238</v>
      </c>
      <c r="T49" s="7">
        <f ca="1">HLOOKUP(B49,Heating!$C$102:$O$106,4,FALSE)*INDEX(Weather!$BO$1:$CB$20,MATCH(B49,Weather!$BO$1:$BO$20,0),MATCH(C49,Weather!$BO$1:$CB$1,0))/VLOOKUP(B49,Weather!$BO$2:$CB$20,14,FALSE)*
VLOOKUP('Monthly Data'!$B49,Weather!$BO$3:$CB$20,14,FALSE)/Weather!$CB$14</f>
        <v>28935.385172493599</v>
      </c>
      <c r="U49" s="7">
        <f t="shared" ca="1" si="170"/>
        <v>25899291.266514357</v>
      </c>
      <c r="V49" s="7">
        <v>73231597.662939444</v>
      </c>
      <c r="W49" s="7">
        <f>IFERROR(VLOOKUP($B49-1,CDM!$V$4:$AJ$17,5,FALSE)/12,0)+IFERROR(VLOOKUP($B49,CDM!$V$41:$AJ$54,5,FALSE)/24,0)+IFERROR(VLOOKUP($B49,CDM!$V$41:$AJ$54,5,FALSE)/2*$C49/78,0)</f>
        <v>4815946.2041443959</v>
      </c>
      <c r="X49" s="7">
        <f t="shared" si="171"/>
        <v>78047543.867083848</v>
      </c>
      <c r="Y49" s="7">
        <f>IFERROR(HLOOKUP(B49-1,'EV Forecast VRZ'!$F$124:$T$130,5,FALSE)/12,0)+IFERROR(((HLOOKUP(B49,'EV Forecast VRZ'!$F$116:$T$122,5,FALSE)-HLOOKUP(B49-1,'EV Forecast VRZ'!$F$124:$T$130,5,FALSE)))*C49/78,0)</f>
        <v>10992.259846153847</v>
      </c>
      <c r="Z49" s="7">
        <f ca="1">HLOOKUP(B49,Heating!$C$102:$O$106,5,FALSE)*INDEX(Weather!$BO$1:$CB$20,MATCH(B49,Weather!$BO$1:$BO$20,0),MATCH(C49,Weather!$BO$1:$CB$1,0))/VLOOKUP(B49,Weather!$BO$2:$CB$20,14,FALSE)*
VLOOKUP('Monthly Data'!$B49,Weather!$BO$3:$CB$20,14,FALSE)/Weather!$CB$14</f>
        <v>17064.735475164121</v>
      </c>
      <c r="AA49" s="7">
        <f t="shared" ca="1" si="172"/>
        <v>78019486.871762529</v>
      </c>
      <c r="AB49" s="7">
        <v>6845974.2180570001</v>
      </c>
      <c r="AC49" s="7">
        <f>IFERROR(VLOOKUP($B49-1,CDM!$V$4:$AJ$17,6,FALSE)/12,0)+IFERROR(VLOOKUP($B49,CDM!$V$41:$AJ$54,6,FALSE)/24,0)+IFERROR(VLOOKUP($B49,CDM!$V$41:$AJ$54,6,FALSE)/2*$C49/78,0)</f>
        <v>229167.0805466196</v>
      </c>
      <c r="AD49" s="7">
        <f t="shared" si="173"/>
        <v>7075141.2986036194</v>
      </c>
      <c r="AE49" s="7">
        <f>IFERROR(HLOOKUP(B49-1,'EV Forecast VRZ'!$F$124:$T$130,6,FALSE)/12,0)+IFERROR(((HLOOKUP(B49,'EV Forecast VRZ'!$F$116:$T$122,6,FALSE)-HLOOKUP(B49-1,'EV Forecast VRZ'!$F$124:$T$130,6,FALSE)))*C49/78,0)</f>
        <v>1609.5032307692304</v>
      </c>
      <c r="AF49" s="7">
        <f t="shared" si="174"/>
        <v>7073531.7953728503</v>
      </c>
      <c r="AG49" s="7">
        <v>22267669.329051502</v>
      </c>
      <c r="AH49" s="7">
        <f>IFERROR(VLOOKUP($B49-1,CDM!$V$4:$AJ$17,7,FALSE)/12,0)+IFERROR(VLOOKUP($B49,CDM!$V$41:$AJ$54,7,FALSE)/24,0)+IFERROR(VLOOKUP($B49,CDM!$V$41:$AJ$54,7,FALSE)/2*$C49/78,0)</f>
        <v>1650668.8371356933</v>
      </c>
      <c r="AI49" s="7">
        <f t="shared" si="175"/>
        <v>23918338.166187197</v>
      </c>
      <c r="AJ49" s="7">
        <f>IFERROR(HLOOKUP(B49-1,'EV Forecast VRZ'!$F$124:$T$130,7,FALSE)/12,0)+IFERROR(((HLOOKUP(B49,'EV Forecast VRZ'!$F$116:$T$122,7,FALSE)-HLOOKUP(B49-1,'EV Forecast VRZ'!$F$124:$T$130,7,FALSE)))*C49/78,0)</f>
        <v>0</v>
      </c>
      <c r="AK49" s="7">
        <f t="shared" si="176"/>
        <v>23918338.166187197</v>
      </c>
      <c r="AL49" s="7">
        <v>1281483.5145964511</v>
      </c>
      <c r="AM49" s="7">
        <v>17806.410990269036</v>
      </c>
      <c r="AN49" s="7">
        <v>383877.0177447052</v>
      </c>
      <c r="AO49" s="5">
        <v>181804.97</v>
      </c>
      <c r="AP49" s="5">
        <v>15852.73</v>
      </c>
      <c r="AQ49" s="5">
        <v>36165</v>
      </c>
      <c r="AR49" s="5">
        <v>2755.96</v>
      </c>
      <c r="AS49" s="544">
        <f t="shared" si="117"/>
        <v>52.416666666666664</v>
      </c>
      <c r="AT49" s="557">
        <v>111713</v>
      </c>
      <c r="AU49" s="557">
        <v>1561</v>
      </c>
      <c r="AV49" s="557">
        <v>9268</v>
      </c>
      <c r="AW49" s="557">
        <v>1019</v>
      </c>
      <c r="AX49" s="557">
        <v>4</v>
      </c>
      <c r="AY49" s="557">
        <v>4</v>
      </c>
      <c r="AZ49" s="557">
        <v>31182</v>
      </c>
      <c r="BA49" s="557">
        <v>260</v>
      </c>
      <c r="BB49" s="557">
        <v>804</v>
      </c>
      <c r="BC49" s="560">
        <v>29577153.779500764</v>
      </c>
      <c r="BD49" s="560">
        <f>IFERROR(VLOOKUP($B49-1,CDM!$V$4:$AJ$17,11,FALSE)/12,0)+IFERROR(VLOOKUP($B49,CDM!$V$41:$AJ$54,11,FALSE)/24,0)+IFERROR(VLOOKUP($B49,CDM!$V$41:$AJ$54,11,FALSE)/2*$C49/78,0)</f>
        <v>1964209.5981505867</v>
      </c>
      <c r="BE49" s="560">
        <f t="shared" si="119"/>
        <v>31541363.377651349</v>
      </c>
      <c r="BF49" s="560">
        <f>IFERROR(HLOOKUP(B49-1,'EV Forecast WRZ'!$F$124:$T$130,2,FALSE)/12,0)+IFERROR(((HLOOKUP(B49,'EV Forecast WRZ'!$F$116:$T$122,2,FALSE)-HLOOKUP(B49-1,'EV Forecast WRZ'!$F$124:$T$130,2,FALSE)))*C49/78,0)</f>
        <v>58249.237820512833</v>
      </c>
      <c r="BG49" s="560">
        <f ca="1">HLOOKUP(B49,Heating!$R$102:$AD$106,2,FALSE)*INDEX(Weather!$BO$1:$CB$20,MATCH(B49,Weather!$BO$1:$BO$20,0),MATCH(C49,Weather!$BO$1:$CB$1,0))/VLOOKUP(B49,Weather!$BO$2:$CB$20,14,FALSE)*
VLOOKUP('Monthly Data'!$B49,Weather!$BO$3:$CB$20,14,FALSE)/Weather!$CB$14</f>
        <v>41826.563439814505</v>
      </c>
      <c r="BH49" s="560">
        <f t="shared" ca="1" si="177"/>
        <v>31441287.576391019</v>
      </c>
      <c r="BI49" s="560">
        <v>7496598.7104266305</v>
      </c>
      <c r="BJ49" s="560">
        <f>IFERROR(VLOOKUP($B49-1,CDM!$V$4:$AJ$17,12,FALSE)/12,0)+IFERROR(VLOOKUP($B49,CDM!$V$41:$AJ$54,12,FALSE)/24,0)+IFERROR(VLOOKUP($B49,CDM!$V$41:$AJ$54,12,FALSE)/2*$C49/78,0)</f>
        <v>216478.12098536448</v>
      </c>
      <c r="BK49" s="560">
        <f t="shared" si="178"/>
        <v>7713076.831411995</v>
      </c>
      <c r="BL49" s="560">
        <f>IFERROR(HLOOKUP(B49-1,'EV Forecast WRZ'!$F$124:$T$130,3,FALSE)/12,0)+IFERROR(((HLOOKUP(B49,'EV Forecast WRZ'!$F$116:$T$122,3,FALSE)-HLOOKUP(B49-1,'EV Forecast WRZ'!$F$124:$T$130,3,FALSE)))*C49/78,0)</f>
        <v>7223.4397435897445</v>
      </c>
      <c r="BM49" s="560">
        <f ca="1">HLOOKUP(B49,Heating!$R$102:$AD$106,4,FALSE)*INDEX(Weather!$BO$1:$CB$20,MATCH(B49,Weather!$BO$1:$BO$20,0),MATCH(C49,Weather!$BO$1:$CB$1,0))/VLOOKUP(B49,Weather!$BO$2:$CB$20,14,FALSE)*
VLOOKUP('Monthly Data'!$B49,Weather!$BO$3:$CB$20,14,FALSE)/Weather!$CB$14</f>
        <v>7105.8776406888082</v>
      </c>
      <c r="BN49" s="560">
        <f t="shared" ca="1" si="179"/>
        <v>7698747.5140277166</v>
      </c>
      <c r="BO49" s="560">
        <v>27323088.052836984</v>
      </c>
      <c r="BP49" s="560">
        <f>IFERROR(VLOOKUP($B49-1,CDM!$V$4:$AJ$17,13,FALSE)/12,0)+IFERROR(VLOOKUP($B49,CDM!$V$41:$AJ$54,13,FALSE)/24,0)+IFERROR(VLOOKUP($B49,CDM!$V$41:$AJ$54,13,FALSE)/2*$C49/78,0)</f>
        <v>1716252.9538907832</v>
      </c>
      <c r="BQ49" s="560">
        <f t="shared" si="180"/>
        <v>29039341.006727766</v>
      </c>
      <c r="BR49" s="560">
        <f>IFERROR(HLOOKUP(B49-1,'EV Forecast WRZ'!$F$124:$T$130,4,FALSE)/12,0)+IFERROR(((HLOOKUP(B49,'EV Forecast WRZ'!$F$116:$T$122,4,FALSE)-HLOOKUP(B49-1,'EV Forecast WRZ'!$F$124:$T$130,4,FALSE)))*C49/78,0)</f>
        <v>3280.5478846153846</v>
      </c>
      <c r="BS49" s="560">
        <f ca="1">HLOOKUP(B49,Heating!$R$102:$AD$106,5,FALSE)*INDEX(Weather!$BO$1:$CB$20,MATCH(B49,Weather!$BO$1:$BO$20,0),MATCH(C49,Weather!$BO$1:$CB$1,0))/VLOOKUP(B49,Weather!$BO$2:$CB$20,14,FALSE)*
VLOOKUP('Monthly Data'!$B49,Weather!$BO$3:$CB$20,14,FALSE)/Weather!$CB$14</f>
        <v>5061.1279780293671</v>
      </c>
      <c r="BT49" s="560">
        <f t="shared" ca="1" si="181"/>
        <v>29030999.330865119</v>
      </c>
      <c r="BU49" s="560">
        <v>6490277.7627772428</v>
      </c>
      <c r="BV49" s="560">
        <f>IFERROR(VLOOKUP($B49-1,CDM!$V$4:$AJ$17,14,FALSE)/12,0)+IFERROR(VLOOKUP($B49,CDM!$V$41:$AJ$54,14,FALSE)/24,0)+IFERROR(VLOOKUP($B49,CDM!$V$41:$AJ$54,14,FALSE)/2*$C49/78,0)</f>
        <v>385851.68929893628</v>
      </c>
      <c r="BW49" s="560">
        <f t="shared" si="182"/>
        <v>6876129.452076179</v>
      </c>
      <c r="BX49" s="560">
        <f>IFERROR(HLOOKUP(B49-1,'EV Forecast WRZ'!$F$124:$T$130,5,FALSE)/12,0)+IFERROR(((HLOOKUP(B49,'EV Forecast WRZ'!$F$116:$T$122,5,FALSE)-HLOOKUP(B49-1,'EV Forecast WRZ'!$F$124:$T$130,5,FALSE)))*C49/78,0)</f>
        <v>481.17198717948713</v>
      </c>
      <c r="BY49" s="560">
        <f t="shared" si="120"/>
        <v>6875648.2800889993</v>
      </c>
      <c r="BZ49" s="560">
        <v>368129.65372106369</v>
      </c>
      <c r="CA49" s="560">
        <v>2362.8290142882652</v>
      </c>
      <c r="CB49" s="560">
        <v>47277.979720681076</v>
      </c>
      <c r="CC49" s="5">
        <v>66361.98</v>
      </c>
      <c r="CD49" s="5">
        <v>13869.69</v>
      </c>
      <c r="CE49" s="5">
        <v>770.22</v>
      </c>
      <c r="CF49" s="544">
        <f t="shared" si="118"/>
        <v>7.166666666666667</v>
      </c>
      <c r="CG49" s="565">
        <v>41437</v>
      </c>
      <c r="CH49" s="565">
        <v>2267</v>
      </c>
      <c r="CI49" s="565">
        <v>377</v>
      </c>
      <c r="CJ49" s="565">
        <v>3</v>
      </c>
      <c r="CK49" s="565">
        <v>12600</v>
      </c>
      <c r="CL49" s="565">
        <v>37</v>
      </c>
      <c r="CM49" s="565">
        <v>387</v>
      </c>
      <c r="CN49" s="46">
        <f>Weather!C73</f>
        <v>676.42916666666656</v>
      </c>
      <c r="CO49" s="46">
        <f>Weather!D73</f>
        <v>0</v>
      </c>
      <c r="CP49" s="46">
        <f>Weather!E73</f>
        <v>614.42916666666667</v>
      </c>
      <c r="CQ49" s="46">
        <f>Weather!F73</f>
        <v>0</v>
      </c>
      <c r="CR49" s="46">
        <f>Weather!G73</f>
        <v>552.42916666666667</v>
      </c>
      <c r="CS49" s="46">
        <f>Weather!H73</f>
        <v>0</v>
      </c>
      <c r="CT49" s="46">
        <f>Weather!I73</f>
        <v>490.42916666666656</v>
      </c>
      <c r="CU49" s="46">
        <f>Weather!J73</f>
        <v>0</v>
      </c>
      <c r="CV49" s="46">
        <f>Weather!K73</f>
        <v>428.42916666666656</v>
      </c>
      <c r="CW49" s="46">
        <f>Weather!L73</f>
        <v>0</v>
      </c>
      <c r="CX49" s="46">
        <f>Weather!M73</f>
        <v>366.42916666666656</v>
      </c>
      <c r="CY49" s="46">
        <f>Weather!N73</f>
        <v>0</v>
      </c>
      <c r="CZ49" s="46">
        <f>Weather!O73</f>
        <v>304.42916666666662</v>
      </c>
      <c r="DA49" s="46">
        <f>Weather!P73</f>
        <v>0</v>
      </c>
      <c r="DB49" s="243">
        <f>'Economic Data'!D75</f>
        <v>7474</v>
      </c>
      <c r="DC49" s="243">
        <f>'Economic Data'!E75</f>
        <v>7485.8</v>
      </c>
      <c r="DD49" s="243">
        <f>'Economic Data'!F75</f>
        <v>206.4</v>
      </c>
      <c r="DE49" s="243">
        <f>'Economic Data'!G75</f>
        <v>204.9</v>
      </c>
      <c r="DF49" s="243">
        <f>'Economic Data'!H75</f>
        <v>53.6</v>
      </c>
      <c r="DG49" s="243">
        <f>'Economic Data'!I75</f>
        <v>53.6</v>
      </c>
      <c r="DH49" s="243">
        <f>'Economic Data'!J75</f>
        <v>807274.5</v>
      </c>
      <c r="DI49" s="243">
        <f>'Economic Data'!K75</f>
        <v>626103.1</v>
      </c>
      <c r="DJ49" s="243">
        <f>'Economic Data'!L75</f>
        <v>94599.6</v>
      </c>
      <c r="DK49" s="243">
        <f>'Economic Data'!M75</f>
        <v>32860.800000000003</v>
      </c>
      <c r="DL49" s="243">
        <f>'Economic Data'!N75</f>
        <v>812164</v>
      </c>
      <c r="DM49" s="243">
        <f>'Economic Data'!O75</f>
        <v>92913</v>
      </c>
      <c r="DN49" s="243">
        <f>'Economic Data'!P75</f>
        <v>19331</v>
      </c>
      <c r="DO49" s="243">
        <f>'Economic Data'!Q75</f>
        <v>632493</v>
      </c>
      <c r="DP49" s="243">
        <f>'Economic Data'!R75</f>
        <v>33832</v>
      </c>
      <c r="DQ49">
        <v>31</v>
      </c>
      <c r="DR49">
        <v>21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1</v>
      </c>
      <c r="EE49">
        <v>0</v>
      </c>
      <c r="EF49">
        <v>0</v>
      </c>
      <c r="EG49">
        <v>0</v>
      </c>
      <c r="EH49">
        <f t="shared" si="66"/>
        <v>48</v>
      </c>
      <c r="EI49">
        <v>0</v>
      </c>
      <c r="EJ49">
        <v>0</v>
      </c>
      <c r="EK49">
        <v>0</v>
      </c>
      <c r="EL49">
        <v>0</v>
      </c>
      <c r="EM49" s="47">
        <f t="shared" si="121"/>
        <v>0</v>
      </c>
      <c r="EN49" s="47">
        <f t="shared" si="122"/>
        <v>0</v>
      </c>
      <c r="EO49" s="47">
        <f t="shared" si="123"/>
        <v>0</v>
      </c>
      <c r="EP49" s="47">
        <f t="shared" si="124"/>
        <v>0</v>
      </c>
      <c r="EQ49" s="47">
        <f t="shared" si="125"/>
        <v>0</v>
      </c>
      <c r="ER49" s="47">
        <f t="shared" si="126"/>
        <v>0</v>
      </c>
      <c r="ES49" s="47">
        <f t="shared" si="127"/>
        <v>0</v>
      </c>
      <c r="ET49" s="47">
        <f t="shared" si="128"/>
        <v>0</v>
      </c>
      <c r="EU49" s="47">
        <f t="shared" si="129"/>
        <v>0</v>
      </c>
      <c r="EV49" s="47">
        <f t="shared" si="130"/>
        <v>0</v>
      </c>
      <c r="EW49" s="47">
        <f t="shared" si="131"/>
        <v>0</v>
      </c>
      <c r="EX49" s="47">
        <f t="shared" si="132"/>
        <v>0</v>
      </c>
      <c r="EY49" s="47">
        <f t="shared" si="133"/>
        <v>0</v>
      </c>
      <c r="EZ49" s="47">
        <f t="shared" si="134"/>
        <v>0</v>
      </c>
      <c r="FA49" s="47">
        <f t="shared" si="135"/>
        <v>0</v>
      </c>
      <c r="FB49" s="47">
        <f t="shared" si="136"/>
        <v>0</v>
      </c>
      <c r="FC49" s="47">
        <f t="shared" si="137"/>
        <v>0</v>
      </c>
      <c r="FD49" s="47">
        <f t="shared" si="138"/>
        <v>0</v>
      </c>
      <c r="FE49" s="47">
        <f t="shared" si="139"/>
        <v>0</v>
      </c>
      <c r="FF49" s="47">
        <f t="shared" si="140"/>
        <v>0</v>
      </c>
      <c r="FG49" s="47">
        <f t="shared" si="141"/>
        <v>0</v>
      </c>
      <c r="FH49" s="47">
        <f t="shared" si="142"/>
        <v>0</v>
      </c>
      <c r="FI49" s="47">
        <f t="shared" si="143"/>
        <v>0</v>
      </c>
      <c r="FJ49" s="47">
        <f t="shared" si="144"/>
        <v>0</v>
      </c>
      <c r="FK49" s="47">
        <f t="shared" si="145"/>
        <v>0</v>
      </c>
      <c r="FL49" s="47">
        <f t="shared" si="146"/>
        <v>0</v>
      </c>
      <c r="FM49" s="47">
        <f t="shared" si="147"/>
        <v>0</v>
      </c>
      <c r="FN49" s="47">
        <f t="shared" si="148"/>
        <v>0</v>
      </c>
      <c r="FO49" s="546">
        <f t="shared" ca="1" si="149"/>
        <v>790.48477446761933</v>
      </c>
      <c r="FP49" s="546">
        <f t="shared" si="150"/>
        <v>658.82716991670782</v>
      </c>
      <c r="FQ49" s="546">
        <f t="shared" si="151"/>
        <v>2800.2192599177406</v>
      </c>
      <c r="FR49" s="546">
        <f t="shared" si="152"/>
        <v>76592.290350425756</v>
      </c>
      <c r="FS49" s="546">
        <f t="shared" si="153"/>
        <v>1768785.3246509049</v>
      </c>
      <c r="FT49" s="546">
        <f t="shared" si="154"/>
        <v>5979584.5415467992</v>
      </c>
      <c r="FU49" s="546">
        <f t="shared" si="155"/>
        <v>41.09689932000677</v>
      </c>
      <c r="FV49" s="546">
        <f t="shared" si="156"/>
        <v>68.486196116419364</v>
      </c>
      <c r="FW49" s="546">
        <f t="shared" si="157"/>
        <v>477.45897729440946</v>
      </c>
      <c r="FX49" s="546">
        <f t="shared" si="158"/>
        <v>761.18839147745609</v>
      </c>
      <c r="FY49" s="546">
        <f t="shared" si="159"/>
        <v>3402.3276715535931</v>
      </c>
      <c r="FZ49" s="546">
        <f t="shared" si="160"/>
        <v>77027.429726068352</v>
      </c>
      <c r="GA49" s="546">
        <f t="shared" si="161"/>
        <v>122709.8845736879</v>
      </c>
      <c r="GB49" s="546">
        <f t="shared" si="162"/>
        <v>29.216639184211402</v>
      </c>
      <c r="GC49" s="546">
        <f t="shared" si="163"/>
        <v>63.860243629412572</v>
      </c>
      <c r="GD49" s="546">
        <f t="shared" si="164"/>
        <v>122.16532227566169</v>
      </c>
    </row>
    <row r="50" spans="1:186">
      <c r="A50" s="4">
        <v>43831</v>
      </c>
      <c r="B50" s="6">
        <v>2020</v>
      </c>
      <c r="C50" s="5">
        <v>1</v>
      </c>
      <c r="D50" s="7">
        <v>82706668.344152927</v>
      </c>
      <c r="E50" s="7">
        <f>IFERROR(VLOOKUP($B50-1,CDM!$V$4:$AJ$17,2,FALSE)/12,0)+IFERROR(VLOOKUP($B50,CDM!$V$41:$AJ$54,2,FALSE)/24,0)+IFERROR(VLOOKUP($B50,CDM!$V$41:$AJ$54,2,FALSE)/2*$C50/78,0)</f>
        <v>3826502.6534933941</v>
      </c>
      <c r="F50" s="7">
        <f t="shared" si="165"/>
        <v>86533170.997646317</v>
      </c>
      <c r="G50" s="7">
        <f>IFERROR(HLOOKUP(B50-1,'EV Forecast VRZ'!$F$124:$T$130,2,FALSE)/12,0)+IFERROR(((HLOOKUP(B50,'EV Forecast VRZ'!$F$116:$T$122,2,FALSE)-HLOOKUP(B50-1,'EV Forecast VRZ'!$F$124:$T$130,2,FALSE)))*C50/78,0)</f>
        <v>201552.83804442821</v>
      </c>
      <c r="H50" s="7">
        <f ca="1">HLOOKUP(B50,Heating!$C$102:$O$106,2,FALSE)*INDEX(Weather!$BO$1:$CB$20,MATCH(B50,Weather!$BO$1:$BO$20,0),MATCH(C50,Weather!$BO$1:$CB$1,0))/VLOOKUP(B50,Weather!$BO$2:$CB$20,14,FALSE)*
VLOOKUP('Monthly Data'!$B50,Weather!$BO$3:$CB$20,14,FALSE)/Weather!$CB$14</f>
        <v>486072.45699699281</v>
      </c>
      <c r="I50" s="7">
        <f t="shared" ca="1" si="166"/>
        <v>85845545.70260489</v>
      </c>
      <c r="J50" s="7">
        <v>1012550.1261305095</v>
      </c>
      <c r="K50" s="7">
        <f>IFERROR(VLOOKUP($B50-1,CDM!$V$4:$AJ$17,3,FALSE)/12,0)+IFERROR(VLOOKUP($B50,CDM!$V$41:$AJ$54,3,FALSE)/24,0)+IFERROR(VLOOKUP($B50,CDM!$V$41:$AJ$54,3,FALSE)/2*$C50/78,0)</f>
        <v>43828.009785285984</v>
      </c>
      <c r="L50" s="7">
        <f t="shared" si="167"/>
        <v>1056378.1359157956</v>
      </c>
      <c r="M50" s="7">
        <f>IFERROR(HLOOKUP(B50-1,'EV Forecast VRZ'!$F$124:$T$130,3,FALSE)/12,0)+IFERROR(((HLOOKUP(B50,'EV Forecast VRZ'!$F$116:$T$122,3,FALSE)-HLOOKUP(B50-1,'EV Forecast VRZ'!$F$124:$T$130,3,FALSE)))*C50/78,0)</f>
        <v>2734.8990068538051</v>
      </c>
      <c r="N50" s="7">
        <f ca="1">HLOOKUP(B50,Heating!$C$102:$O$106,3,FALSE)*INDEX(Weather!$BO$1:$CB$20,MATCH(B50,Weather!$BO$1:$BO$20,0),MATCH(C50,Weather!$BO$1:$CB$1,0))/VLOOKUP(B50,Weather!$BO$2:$CB$20,14,FALSE)*
VLOOKUP('Monthly Data'!$B50,Weather!$BO$3:$CB$20,14,FALSE)/Weather!$CB$14</f>
        <v>6430.5912318533728</v>
      </c>
      <c r="O50" s="7">
        <f t="shared" ca="1" si="168"/>
        <v>1047212.6456770884</v>
      </c>
      <c r="P50" s="7">
        <v>25349715.077933695</v>
      </c>
      <c r="Q50" s="7">
        <f>IFERROR(VLOOKUP($B50-1,CDM!$V$4:$AJ$17,4,FALSE)/12,0)+IFERROR(VLOOKUP($B50,CDM!$V$41:$AJ$54,4,FALSE)/24,0)+IFERROR(VLOOKUP($B50,CDM!$V$41:$AJ$54,4,FALSE)/2*$C50/78,0)</f>
        <v>1310984.3210404681</v>
      </c>
      <c r="R50" s="7">
        <f t="shared" si="169"/>
        <v>26660699.398974162</v>
      </c>
      <c r="S50" s="7">
        <f>IFERROR(HLOOKUP(B50-1,'EV Forecast VRZ'!$F$124:$T$130,4,FALSE)/12,0)+IFERROR(((HLOOKUP(B50,'EV Forecast VRZ'!$F$116:$T$122,4,FALSE)-HLOOKUP(B50-1,'EV Forecast VRZ'!$F$124:$T$130,4,FALSE)))*C50/78,0)</f>
        <v>25273.896666666667</v>
      </c>
      <c r="T50" s="7">
        <f ca="1">HLOOKUP(B50,Heating!$C$102:$O$106,4,FALSE)*INDEX(Weather!$BO$1:$CB$20,MATCH(B50,Weather!$BO$1:$BO$20,0),MATCH(C50,Weather!$BO$1:$CB$1,0))/VLOOKUP(B50,Weather!$BO$2:$CB$20,14,FALSE)*
VLOOKUP('Monthly Data'!$B50,Weather!$BO$3:$CB$20,14,FALSE)/Weather!$CB$14</f>
        <v>121474.92360367074</v>
      </c>
      <c r="U50" s="7">
        <f t="shared" ca="1" si="170"/>
        <v>26513950.578703821</v>
      </c>
      <c r="V50" s="7">
        <v>77626015.724311277</v>
      </c>
      <c r="W50" s="7">
        <f>IFERROR(VLOOKUP($B50-1,CDM!$V$4:$AJ$17,5,FALSE)/12,0)+IFERROR(VLOOKUP($B50,CDM!$V$41:$AJ$54,5,FALSE)/24,0)+IFERROR(VLOOKUP($B50,CDM!$V$41:$AJ$54,5,FALSE)/2*$C50/78,0)</f>
        <v>4669597.9032554245</v>
      </c>
      <c r="X50" s="7">
        <f t="shared" si="171"/>
        <v>82295613.627566695</v>
      </c>
      <c r="Y50" s="7">
        <f>IFERROR(HLOOKUP(B50-1,'EV Forecast VRZ'!$F$124:$T$130,5,FALSE)/12,0)+IFERROR(((HLOOKUP(B50,'EV Forecast VRZ'!$F$116:$T$122,5,FALSE)-HLOOKUP(B50-1,'EV Forecast VRZ'!$F$124:$T$130,5,FALSE)))*C50/78,0)</f>
        <v>11473.638115384616</v>
      </c>
      <c r="Z50" s="7">
        <f ca="1">HLOOKUP(B50,Heating!$C$102:$O$106,5,FALSE)*INDEX(Weather!$BO$1:$CB$20,MATCH(B50,Weather!$BO$1:$BO$20,0),MATCH(C50,Weather!$BO$1:$CB$1,0))/VLOOKUP(B50,Weather!$BO$2:$CB$20,14,FALSE)*
VLOOKUP('Monthly Data'!$B50,Weather!$BO$3:$CB$20,14,FALSE)/Weather!$CB$14</f>
        <v>68508.796900036643</v>
      </c>
      <c r="AA50" s="7">
        <f t="shared" ca="1" si="172"/>
        <v>82215631.19255127</v>
      </c>
      <c r="AB50" s="7">
        <v>7376452.0903235739</v>
      </c>
      <c r="AC50" s="7">
        <f>IFERROR(VLOOKUP($B50-1,CDM!$V$4:$AJ$17,6,FALSE)/12,0)+IFERROR(VLOOKUP($B50,CDM!$V$41:$AJ$54,6,FALSE)/24,0)+IFERROR(VLOOKUP($B50,CDM!$V$41:$AJ$54,6,FALSE)/2*$C50/78,0)</f>
        <v>220140.51740319104</v>
      </c>
      <c r="AD50" s="7">
        <f t="shared" si="173"/>
        <v>7596592.6077267649</v>
      </c>
      <c r="AE50" s="7">
        <f>IFERROR(HLOOKUP(B50-1,'EV Forecast VRZ'!$F$124:$T$130,6,FALSE)/12,0)+IFERROR(((HLOOKUP(B50,'EV Forecast VRZ'!$F$116:$T$122,6,FALSE)-HLOOKUP(B50-1,'EV Forecast VRZ'!$F$124:$T$130,6,FALSE)))*C50/78,0)</f>
        <v>1665.2332948717949</v>
      </c>
      <c r="AF50" s="7">
        <f t="shared" si="174"/>
        <v>7594927.3744318932</v>
      </c>
      <c r="AG50" s="7">
        <v>23097936.170742247</v>
      </c>
      <c r="AH50" s="7">
        <f>IFERROR(VLOOKUP($B50-1,CDM!$V$4:$AJ$17,7,FALSE)/12,0)+IFERROR(VLOOKUP($B50,CDM!$V$41:$AJ$54,7,FALSE)/24,0)+IFERROR(VLOOKUP($B50,CDM!$V$41:$AJ$54,7,FALSE)/2*$C50/78,0)</f>
        <v>1600148.772266245</v>
      </c>
      <c r="AI50" s="7">
        <f t="shared" si="175"/>
        <v>24698084.943008494</v>
      </c>
      <c r="AJ50" s="7">
        <f>IFERROR(HLOOKUP(B50-1,'EV Forecast VRZ'!$F$124:$T$130,7,FALSE)/12,0)+IFERROR(((HLOOKUP(B50,'EV Forecast VRZ'!$F$116:$T$122,7,FALSE)-HLOOKUP(B50-1,'EV Forecast VRZ'!$F$124:$T$130,7,FALSE)))*C50/78,0)</f>
        <v>0</v>
      </c>
      <c r="AK50" s="7">
        <f t="shared" si="176"/>
        <v>24698084.943008494</v>
      </c>
      <c r="AL50" s="7">
        <v>1235259.0345353941</v>
      </c>
      <c r="AM50" s="7">
        <v>16519.729059339825</v>
      </c>
      <c r="AN50" s="7">
        <v>383490.02098836098</v>
      </c>
      <c r="AO50" s="5">
        <v>184814.9</v>
      </c>
      <c r="AP50" s="5">
        <v>16619.580000000002</v>
      </c>
      <c r="AQ50" s="5">
        <v>38520</v>
      </c>
      <c r="AR50" s="5">
        <v>2717.69</v>
      </c>
      <c r="AS50" s="544">
        <f>642/12</f>
        <v>53.5</v>
      </c>
      <c r="AT50" s="557">
        <v>111790.75</v>
      </c>
      <c r="AU50" s="557">
        <v>1561</v>
      </c>
      <c r="AV50" s="557">
        <v>9269.5</v>
      </c>
      <c r="AW50" s="557">
        <v>1021</v>
      </c>
      <c r="AX50" s="557">
        <v>4.083333333333333</v>
      </c>
      <c r="AY50" s="557">
        <v>4</v>
      </c>
      <c r="AZ50" s="557">
        <v>31217.833333333332</v>
      </c>
      <c r="BA50" s="557">
        <v>259.25</v>
      </c>
      <c r="BB50" s="557">
        <v>803.66666666666663</v>
      </c>
      <c r="BC50" s="560">
        <v>28305509.674057871</v>
      </c>
      <c r="BD50" s="560">
        <f>IFERROR(VLOOKUP($B50-1,CDM!$V$4:$AJ$17,11,FALSE)/12,0)+IFERROR(VLOOKUP($B50,CDM!$V$41:$AJ$54,11,FALSE)/24,0)+IFERROR(VLOOKUP($B50,CDM!$V$41:$AJ$54,11,FALSE)/2*$C50/78,0)</f>
        <v>1919590.1915366629</v>
      </c>
      <c r="BE50" s="560">
        <f t="shared" si="119"/>
        <v>30225099.865594532</v>
      </c>
      <c r="BF50" s="560">
        <f>IFERROR(HLOOKUP(B50-1,'EV Forecast WRZ'!$F$124:$T$130,2,FALSE)/12,0)+IFERROR(((HLOOKUP(B50,'EV Forecast WRZ'!$F$116:$T$122,2,FALSE)-HLOOKUP(B50-1,'EV Forecast WRZ'!$F$124:$T$130,2,FALSE)))*C50/78,0)</f>
        <v>61404.511666666673</v>
      </c>
      <c r="BG50" s="560">
        <f ca="1">HLOOKUP(B50,Heating!$R$102:$AD$106,2,FALSE)*INDEX(Weather!$BO$1:$CB$20,MATCH(B50,Weather!$BO$1:$BO$20,0),MATCH(C50,Weather!$BO$1:$CB$1,0))/VLOOKUP(B50,Weather!$BO$2:$CB$20,14,FALSE)*
VLOOKUP('Monthly Data'!$B50,Weather!$BO$3:$CB$20,14,FALSE)/Weather!$CB$14</f>
        <v>191511.71452957939</v>
      </c>
      <c r="BH50" s="560">
        <f t="shared" ca="1" si="177"/>
        <v>29972183.639398288</v>
      </c>
      <c r="BI50" s="560">
        <v>7668181.9182514055</v>
      </c>
      <c r="BJ50" s="560">
        <f>IFERROR(VLOOKUP($B50-1,CDM!$V$4:$AJ$17,12,FALSE)/12,0)+IFERROR(VLOOKUP($B50,CDM!$V$41:$AJ$54,12,FALSE)/24,0)+IFERROR(VLOOKUP($B50,CDM!$V$41:$AJ$54,12,FALSE)/2*$C50/78,0)</f>
        <v>212675.31697801064</v>
      </c>
      <c r="BK50" s="560">
        <f t="shared" si="178"/>
        <v>7880857.2352294158</v>
      </c>
      <c r="BL50" s="560">
        <f>IFERROR(HLOOKUP(B50-1,'EV Forecast WRZ'!$F$124:$T$130,3,FALSE)/12,0)+IFERROR(((HLOOKUP(B50,'EV Forecast WRZ'!$F$116:$T$122,3,FALSE)-HLOOKUP(B50-1,'EV Forecast WRZ'!$F$124:$T$130,3,FALSE)))*C50/78,0)</f>
        <v>7601.7751282051286</v>
      </c>
      <c r="BM50" s="560">
        <f ca="1">HLOOKUP(B50,Heating!$R$102:$AD$106,4,FALSE)*INDEX(Weather!$BO$1:$CB$20,MATCH(B50,Weather!$BO$1:$BO$20,0),MATCH(C50,Weather!$BO$1:$CB$1,0))/VLOOKUP(B50,Weather!$BO$2:$CB$20,14,FALSE)*
VLOOKUP('Monthly Data'!$B50,Weather!$BO$3:$CB$20,14,FALSE)/Weather!$CB$14</f>
        <v>30268.558225788584</v>
      </c>
      <c r="BN50" s="560">
        <f t="shared" ca="1" si="179"/>
        <v>7842986.9018754223</v>
      </c>
      <c r="BO50" s="560">
        <v>28961716.097268086</v>
      </c>
      <c r="BP50" s="560">
        <f>IFERROR(VLOOKUP($B50-1,CDM!$V$4:$AJ$17,13,FALSE)/12,0)+IFERROR(VLOOKUP($B50,CDM!$V$41:$AJ$54,13,FALSE)/24,0)+IFERROR(VLOOKUP($B50,CDM!$V$41:$AJ$54,13,FALSE)/2*$C50/78,0)</f>
        <v>1706648.0142368167</v>
      </c>
      <c r="BQ50" s="560">
        <f t="shared" si="180"/>
        <v>30668364.111504901</v>
      </c>
      <c r="BR50" s="560">
        <f>IFERROR(HLOOKUP(B50-1,'EV Forecast WRZ'!$F$124:$T$130,4,FALSE)/12,0)+IFERROR(((HLOOKUP(B50,'EV Forecast WRZ'!$F$116:$T$122,4,FALSE)-HLOOKUP(B50-1,'EV Forecast WRZ'!$F$124:$T$130,4,FALSE)))*C50/78,0)</f>
        <v>3451.3757307692304</v>
      </c>
      <c r="BS50" s="560">
        <f ca="1">HLOOKUP(B50,Heating!$R$102:$AD$106,5,FALSE)*INDEX(Weather!$BO$1:$CB$20,MATCH(B50,Weather!$BO$1:$BO$20,0),MATCH(C50,Weather!$BO$1:$CB$1,0))/VLOOKUP(B50,Weather!$BO$2:$CB$20,14,FALSE)*
VLOOKUP('Monthly Data'!$B50,Weather!$BO$3:$CB$20,14,FALSE)/Weather!$CB$14</f>
        <v>20259.599502721059</v>
      </c>
      <c r="BT50" s="560">
        <f t="shared" ca="1" si="181"/>
        <v>30644653.136271413</v>
      </c>
      <c r="BU50" s="560">
        <v>6948298.4281581491</v>
      </c>
      <c r="BV50" s="560">
        <f>IFERROR(VLOOKUP($B50-1,CDM!$V$4:$AJ$17,14,FALSE)/12,0)+IFERROR(VLOOKUP($B50,CDM!$V$41:$AJ$54,14,FALSE)/24,0)+IFERROR(VLOOKUP($B50,CDM!$V$41:$AJ$54,14,FALSE)/2*$C50/78,0)</f>
        <v>383692.28605788399</v>
      </c>
      <c r="BW50" s="560">
        <f t="shared" si="182"/>
        <v>7331990.714216033</v>
      </c>
      <c r="BX50" s="560">
        <f>IFERROR(HLOOKUP(B50-1,'EV Forecast WRZ'!$F$124:$T$130,5,FALSE)/12,0)+IFERROR(((HLOOKUP(B50,'EV Forecast WRZ'!$F$116:$T$122,5,FALSE)-HLOOKUP(B50-1,'EV Forecast WRZ'!$F$124:$T$130,5,FALSE)))*C50/78,0)</f>
        <v>502.39644871794872</v>
      </c>
      <c r="BY50" s="560">
        <f t="shared" si="120"/>
        <v>7331488.3177673146</v>
      </c>
      <c r="BZ50" s="560">
        <v>354749.11995408451</v>
      </c>
      <c r="CA50" s="560">
        <v>1978.182430566919</v>
      </c>
      <c r="CB50" s="560">
        <v>47278.056246412852</v>
      </c>
      <c r="CC50" s="5">
        <v>66633.2</v>
      </c>
      <c r="CD50" s="5">
        <v>12951.12</v>
      </c>
      <c r="CE50" s="5">
        <v>780.29</v>
      </c>
      <c r="CF50" s="544">
        <f>72/12</f>
        <v>6</v>
      </c>
      <c r="CG50" s="565">
        <v>41505.25</v>
      </c>
      <c r="CH50" s="565">
        <v>2269.6666666666665</v>
      </c>
      <c r="CI50" s="565">
        <v>377.75</v>
      </c>
      <c r="CJ50" s="565">
        <v>3</v>
      </c>
      <c r="CK50" s="565">
        <v>12616.583333333334</v>
      </c>
      <c r="CL50" s="565">
        <v>37</v>
      </c>
      <c r="CM50" s="565">
        <v>387.33333333333331</v>
      </c>
      <c r="CN50" s="46">
        <f>Weather!C74</f>
        <v>690.82083333333321</v>
      </c>
      <c r="CO50" s="46">
        <f>Weather!D74</f>
        <v>0</v>
      </c>
      <c r="CP50" s="46">
        <f>Weather!E74</f>
        <v>628.82083333333333</v>
      </c>
      <c r="CQ50" s="46">
        <f>Weather!F74</f>
        <v>0</v>
      </c>
      <c r="CR50" s="46">
        <f>Weather!G74</f>
        <v>566.82083333333333</v>
      </c>
      <c r="CS50" s="46">
        <f>Weather!H74</f>
        <v>0</v>
      </c>
      <c r="CT50" s="46">
        <f>Weather!I74</f>
        <v>504.82083333333333</v>
      </c>
      <c r="CU50" s="46">
        <f>Weather!J74</f>
        <v>0</v>
      </c>
      <c r="CV50" s="46">
        <f>Weather!K74</f>
        <v>442.82083333333327</v>
      </c>
      <c r="CW50" s="46">
        <f>Weather!L74</f>
        <v>0</v>
      </c>
      <c r="CX50" s="46">
        <f>Weather!M74</f>
        <v>380.82083333333333</v>
      </c>
      <c r="CY50" s="46">
        <f>Weather!N74</f>
        <v>0</v>
      </c>
      <c r="CZ50" s="46">
        <f>Weather!O74</f>
        <v>318.82083333333333</v>
      </c>
      <c r="DA50" s="46">
        <f>Weather!P74</f>
        <v>0</v>
      </c>
      <c r="DB50" s="243">
        <f>'Economic Data'!D76</f>
        <v>7498.1</v>
      </c>
      <c r="DC50" s="243">
        <f>'Economic Data'!E76</f>
        <v>7464.7</v>
      </c>
      <c r="DD50" s="243">
        <f>'Economic Data'!F76</f>
        <v>207.2</v>
      </c>
      <c r="DE50" s="243">
        <f>'Economic Data'!G76</f>
        <v>205.8</v>
      </c>
      <c r="DF50" s="243">
        <f>'Economic Data'!H76</f>
        <v>55.9</v>
      </c>
      <c r="DG50" s="243">
        <f>'Economic Data'!I76</f>
        <v>55.9</v>
      </c>
      <c r="DH50" s="243">
        <f>'Economic Data'!J76</f>
        <v>769942</v>
      </c>
      <c r="DI50" s="243">
        <f>'Economic Data'!K76</f>
        <v>596521.6</v>
      </c>
      <c r="DJ50" s="243">
        <f>'Economic Data'!L76</f>
        <v>85928.9</v>
      </c>
      <c r="DK50" s="243">
        <f>'Economic Data'!M76</f>
        <v>23899.8</v>
      </c>
      <c r="DL50" s="243">
        <f>'Economic Data'!N76</f>
        <v>801246</v>
      </c>
      <c r="DM50" s="243">
        <f>'Economic Data'!O76</f>
        <v>90581</v>
      </c>
      <c r="DN50" s="243">
        <f>'Economic Data'!P76</f>
        <v>17121</v>
      </c>
      <c r="DO50" s="243">
        <f>'Economic Data'!Q76</f>
        <v>622311</v>
      </c>
      <c r="DP50" s="243">
        <f>'Economic Data'!R76</f>
        <v>30818</v>
      </c>
      <c r="DQ50">
        <v>31</v>
      </c>
      <c r="DR50">
        <v>22</v>
      </c>
      <c r="DS50">
        <v>1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f t="shared" si="66"/>
        <v>49</v>
      </c>
      <c r="EI50">
        <v>0</v>
      </c>
      <c r="EJ50">
        <v>0</v>
      </c>
      <c r="EK50">
        <v>0</v>
      </c>
      <c r="EL50">
        <v>0</v>
      </c>
      <c r="EM50" s="47">
        <f t="shared" si="121"/>
        <v>0</v>
      </c>
      <c r="EN50" s="47">
        <f t="shared" si="122"/>
        <v>0</v>
      </c>
      <c r="EO50" s="47">
        <f t="shared" si="123"/>
        <v>0</v>
      </c>
      <c r="EP50" s="47">
        <f t="shared" si="124"/>
        <v>0</v>
      </c>
      <c r="EQ50" s="47">
        <f t="shared" si="125"/>
        <v>0</v>
      </c>
      <c r="ER50" s="47">
        <f t="shared" si="126"/>
        <v>0</v>
      </c>
      <c r="ES50" s="47">
        <f t="shared" si="127"/>
        <v>0</v>
      </c>
      <c r="ET50" s="47">
        <f t="shared" si="128"/>
        <v>0</v>
      </c>
      <c r="EU50" s="47">
        <f t="shared" si="129"/>
        <v>0</v>
      </c>
      <c r="EV50" s="47">
        <f t="shared" si="130"/>
        <v>0</v>
      </c>
      <c r="EW50" s="47">
        <f t="shared" si="131"/>
        <v>0</v>
      </c>
      <c r="EX50" s="47">
        <f t="shared" si="132"/>
        <v>0</v>
      </c>
      <c r="EY50" s="47">
        <f t="shared" si="133"/>
        <v>0</v>
      </c>
      <c r="EZ50" s="47">
        <f t="shared" si="134"/>
        <v>0</v>
      </c>
      <c r="FA50" s="47">
        <f t="shared" si="135"/>
        <v>0</v>
      </c>
      <c r="FB50" s="47">
        <f t="shared" si="136"/>
        <v>0</v>
      </c>
      <c r="FC50" s="47">
        <f t="shared" si="137"/>
        <v>0</v>
      </c>
      <c r="FD50" s="47">
        <f t="shared" si="138"/>
        <v>0</v>
      </c>
      <c r="FE50" s="47">
        <f t="shared" si="139"/>
        <v>0</v>
      </c>
      <c r="FF50" s="47">
        <f t="shared" si="140"/>
        <v>0</v>
      </c>
      <c r="FG50" s="47">
        <f t="shared" si="141"/>
        <v>0</v>
      </c>
      <c r="FH50" s="47">
        <f t="shared" si="142"/>
        <v>0</v>
      </c>
      <c r="FI50" s="47">
        <f t="shared" si="143"/>
        <v>0</v>
      </c>
      <c r="FJ50" s="47">
        <f t="shared" si="144"/>
        <v>0</v>
      </c>
      <c r="FK50" s="47">
        <f t="shared" si="145"/>
        <v>0</v>
      </c>
      <c r="FL50" s="47">
        <f t="shared" si="146"/>
        <v>0</v>
      </c>
      <c r="FM50" s="47">
        <f t="shared" si="147"/>
        <v>0</v>
      </c>
      <c r="FN50" s="47">
        <f t="shared" si="148"/>
        <v>0</v>
      </c>
      <c r="FO50" s="546">
        <f t="shared" ca="1" si="149"/>
        <v>767.912780821355</v>
      </c>
      <c r="FP50" s="546">
        <f t="shared" si="150"/>
        <v>676.73166938872237</v>
      </c>
      <c r="FQ50" s="546">
        <f t="shared" si="151"/>
        <v>2876.1744861075745</v>
      </c>
      <c r="FR50" s="546">
        <f t="shared" si="152"/>
        <v>80602.951643062392</v>
      </c>
      <c r="FS50" s="546">
        <f t="shared" si="153"/>
        <v>1860390.0263820649</v>
      </c>
      <c r="FT50" s="546">
        <f t="shared" si="154"/>
        <v>6174521.2357521234</v>
      </c>
      <c r="FU50" s="546">
        <f t="shared" si="155"/>
        <v>39.569018815166359</v>
      </c>
      <c r="FV50" s="546">
        <f t="shared" si="156"/>
        <v>63.721230701407229</v>
      </c>
      <c r="FW50" s="546">
        <f t="shared" si="157"/>
        <v>477.17547198883574</v>
      </c>
      <c r="FX50" s="546">
        <f t="shared" si="158"/>
        <v>728.22353474788213</v>
      </c>
      <c r="FY50" s="546">
        <f t="shared" si="159"/>
        <v>3472.253151077728</v>
      </c>
      <c r="FZ50" s="546">
        <f t="shared" si="160"/>
        <v>81186.933452031502</v>
      </c>
      <c r="GA50" s="546">
        <f t="shared" si="161"/>
        <v>118249.7066513615</v>
      </c>
      <c r="GB50" s="546">
        <f t="shared" si="162"/>
        <v>28.117685317928217</v>
      </c>
      <c r="GC50" s="546">
        <f t="shared" si="163"/>
        <v>53.464390015322138</v>
      </c>
      <c r="GD50" s="546">
        <f t="shared" si="164"/>
        <v>122.06038617834643</v>
      </c>
    </row>
    <row r="51" spans="1:186">
      <c r="A51" s="4">
        <v>43862</v>
      </c>
      <c r="B51" s="6">
        <v>2020</v>
      </c>
      <c r="C51" s="5">
        <v>2</v>
      </c>
      <c r="D51" s="7">
        <v>76769592.360837817</v>
      </c>
      <c r="E51" s="7">
        <f>IFERROR(VLOOKUP($B51-1,CDM!$V$4:$AJ$17,2,FALSE)/12,0)+IFERROR(VLOOKUP($B51,CDM!$V$41:$AJ$54,2,FALSE)/24,0)+IFERROR(VLOOKUP($B51,CDM!$V$41:$AJ$54,2,FALSE)/2*$C51/78,0)</f>
        <v>3827410.3992652101</v>
      </c>
      <c r="F51" s="7">
        <f t="shared" si="165"/>
        <v>80597002.760103032</v>
      </c>
      <c r="G51" s="7">
        <f>IFERROR(HLOOKUP(B51-1,'EV Forecast VRZ'!$F$124:$T$130,2,FALSE)/12,0)+IFERROR(((HLOOKUP(B51,'EV Forecast VRZ'!$F$116:$T$122,2,FALSE)-HLOOKUP(B51-1,'EV Forecast VRZ'!$F$124:$T$130,2,FALSE)))*C51/78,0)</f>
        <v>206325.13906719582</v>
      </c>
      <c r="H51" s="7">
        <f ca="1">HLOOKUP(B51,Heating!$C$102:$O$106,2,FALSE)*INDEX(Weather!$BO$1:$CB$20,MATCH(B51,Weather!$BO$1:$BO$20,0),MATCH(C51,Weather!$BO$1:$CB$1,0))/VLOOKUP(B51,Weather!$BO$2:$CB$20,14,FALSE)*
VLOOKUP('Monthly Data'!$B51,Weather!$BO$3:$CB$20,14,FALSE)/Weather!$CB$14</f>
        <v>479563.23381079832</v>
      </c>
      <c r="I51" s="7">
        <f t="shared" ca="1" si="166"/>
        <v>79911114.387225032</v>
      </c>
      <c r="J51" s="7">
        <v>979926.56485403539</v>
      </c>
      <c r="K51" s="7">
        <f>IFERROR(VLOOKUP($B51-1,CDM!$V$4:$AJ$17,3,FALSE)/12,0)+IFERROR(VLOOKUP($B51,CDM!$V$41:$AJ$54,3,FALSE)/24,0)+IFERROR(VLOOKUP($B51,CDM!$V$41:$AJ$54,3,FALSE)/2*$C51/78,0)</f>
        <v>43838.406927055476</v>
      </c>
      <c r="L51" s="7">
        <f t="shared" si="167"/>
        <v>1023764.9717810908</v>
      </c>
      <c r="M51" s="7">
        <f>IFERROR(HLOOKUP(B51-1,'EV Forecast VRZ'!$F$124:$T$130,3,FALSE)/12,0)+IFERROR(((HLOOKUP(B51,'EV Forecast VRZ'!$F$116:$T$122,3,FALSE)-HLOOKUP(B51-1,'EV Forecast VRZ'!$F$124:$T$130,3,FALSE)))*C51/78,0)</f>
        <v>2799.655035368261</v>
      </c>
      <c r="N51" s="7">
        <f ca="1">HLOOKUP(B51,Heating!$C$102:$O$106,3,FALSE)*INDEX(Weather!$BO$1:$CB$20,MATCH(B51,Weather!$BO$1:$BO$20,0),MATCH(C51,Weather!$BO$1:$CB$1,0))/VLOOKUP(B51,Weather!$BO$2:$CB$20,14,FALSE)*
VLOOKUP('Monthly Data'!$B51,Weather!$BO$3:$CB$20,14,FALSE)/Weather!$CB$14</f>
        <v>6344.4761826569575</v>
      </c>
      <c r="O51" s="7">
        <f t="shared" ca="1" si="168"/>
        <v>1014620.8405630656</v>
      </c>
      <c r="P51" s="7">
        <v>23756616.580757681</v>
      </c>
      <c r="Q51" s="7">
        <f>IFERROR(VLOOKUP($B51-1,CDM!$V$4:$AJ$17,4,FALSE)/12,0)+IFERROR(VLOOKUP($B51,CDM!$V$41:$AJ$54,4,FALSE)/24,0)+IFERROR(VLOOKUP($B51,CDM!$V$41:$AJ$54,4,FALSE)/2*$C51/78,0)</f>
        <v>1318211.5503043642</v>
      </c>
      <c r="R51" s="7">
        <f t="shared" si="169"/>
        <v>25074828.131062046</v>
      </c>
      <c r="S51" s="7">
        <f>IFERROR(HLOOKUP(B51-1,'EV Forecast VRZ'!$F$124:$T$130,4,FALSE)/12,0)+IFERROR(((HLOOKUP(B51,'EV Forecast VRZ'!$F$116:$T$122,4,FALSE)-HLOOKUP(B51-1,'EV Forecast VRZ'!$F$124:$T$130,4,FALSE)))*C51/78,0)</f>
        <v>25847.713333333337</v>
      </c>
      <c r="T51" s="7">
        <f ca="1">HLOOKUP(B51,Heating!$C$102:$O$106,4,FALSE)*INDEX(Weather!$BO$1:$CB$20,MATCH(B51,Weather!$BO$1:$BO$20,0),MATCH(C51,Weather!$BO$1:$CB$1,0))/VLOOKUP(B51,Weather!$BO$2:$CB$20,14,FALSE)*
VLOOKUP('Monthly Data'!$B51,Weather!$BO$3:$CB$20,14,FALSE)/Weather!$CB$14</f>
        <v>119848.19619321985</v>
      </c>
      <c r="U51" s="7">
        <f t="shared" ca="1" si="170"/>
        <v>24929132.221535493</v>
      </c>
      <c r="V51" s="7">
        <v>73571967.534429908</v>
      </c>
      <c r="W51" s="7">
        <f>IFERROR(VLOOKUP($B51-1,CDM!$V$4:$AJ$17,5,FALSE)/12,0)+IFERROR(VLOOKUP($B51,CDM!$V$41:$AJ$54,5,FALSE)/24,0)+IFERROR(VLOOKUP($B51,CDM!$V$41:$AJ$54,5,FALSE)/2*$C51/78,0)</f>
        <v>4701536.6538798604</v>
      </c>
      <c r="X51" s="7">
        <f t="shared" si="171"/>
        <v>78273504.188309774</v>
      </c>
      <c r="Y51" s="7">
        <f>IFERROR(HLOOKUP(B51-1,'EV Forecast VRZ'!$F$124:$T$130,5,FALSE)/12,0)+IFERROR(((HLOOKUP(B51,'EV Forecast VRZ'!$F$116:$T$122,5,FALSE)-HLOOKUP(B51-1,'EV Forecast VRZ'!$F$124:$T$130,5,FALSE)))*C51/78,0)</f>
        <v>11732.24023076923</v>
      </c>
      <c r="Z51" s="7">
        <f ca="1">HLOOKUP(B51,Heating!$C$102:$O$106,5,FALSE)*INDEX(Weather!$BO$1:$CB$20,MATCH(B51,Weather!$BO$1:$BO$20,0),MATCH(C51,Weather!$BO$1:$CB$1,0))/VLOOKUP(B51,Weather!$BO$2:$CB$20,14,FALSE)*
VLOOKUP('Monthly Data'!$B51,Weather!$BO$3:$CB$20,14,FALSE)/Weather!$CB$14</f>
        <v>67591.363618597359</v>
      </c>
      <c r="AA51" s="7">
        <f t="shared" ca="1" si="172"/>
        <v>78194180.584460407</v>
      </c>
      <c r="AB51" s="7">
        <v>7527144.9631686509</v>
      </c>
      <c r="AC51" s="7">
        <f>IFERROR(VLOOKUP($B51-1,CDM!$V$4:$AJ$17,6,FALSE)/12,0)+IFERROR(VLOOKUP($B51,CDM!$V$41:$AJ$54,6,FALSE)/24,0)+IFERROR(VLOOKUP($B51,CDM!$V$41:$AJ$54,6,FALSE)/2*$C51/78,0)</f>
        <v>221455.98902237695</v>
      </c>
      <c r="AD51" s="7">
        <f t="shared" si="173"/>
        <v>7748600.9521910278</v>
      </c>
      <c r="AE51" s="7">
        <f>IFERROR(HLOOKUP(B51-1,'EV Forecast VRZ'!$F$124:$T$130,6,FALSE)/12,0)+IFERROR(((HLOOKUP(B51,'EV Forecast VRZ'!$F$116:$T$122,6,FALSE)-HLOOKUP(B51-1,'EV Forecast VRZ'!$F$124:$T$130,6,FALSE)))*C51/78,0)</f>
        <v>1695.4625897435897</v>
      </c>
      <c r="AF51" s="7">
        <f t="shared" si="174"/>
        <v>7746905.4896012843</v>
      </c>
      <c r="AG51" s="7">
        <v>21251119.900797833</v>
      </c>
      <c r="AH51" s="7">
        <f>IFERROR(VLOOKUP($B51-1,CDM!$V$4:$AJ$17,7,FALSE)/12,0)+IFERROR(VLOOKUP($B51,CDM!$V$41:$AJ$54,7,FALSE)/24,0)+IFERROR(VLOOKUP($B51,CDM!$V$41:$AJ$54,7,FALSE)/2*$C51/78,0)</f>
        <v>1605180.7718774781</v>
      </c>
      <c r="AI51" s="7">
        <f t="shared" si="175"/>
        <v>22856300.672675312</v>
      </c>
      <c r="AJ51" s="7">
        <f>IFERROR(HLOOKUP(B51-1,'EV Forecast VRZ'!$F$124:$T$130,7,FALSE)/12,0)+IFERROR(((HLOOKUP(B51,'EV Forecast VRZ'!$F$116:$T$122,7,FALSE)-HLOOKUP(B51-1,'EV Forecast VRZ'!$F$124:$T$130,7,FALSE)))*C51/78,0)</f>
        <v>0</v>
      </c>
      <c r="AK51" s="7">
        <f t="shared" si="176"/>
        <v>22856300.672675312</v>
      </c>
      <c r="AL51" s="7">
        <v>1061833.3714939896</v>
      </c>
      <c r="AM51" s="7">
        <v>15150.06678114864</v>
      </c>
      <c r="AN51" s="7">
        <v>383042.01488265599</v>
      </c>
      <c r="AO51" s="5">
        <v>181430.24</v>
      </c>
      <c r="AP51" s="5">
        <v>16032.89</v>
      </c>
      <c r="AQ51" s="5">
        <v>35556</v>
      </c>
      <c r="AR51" s="5">
        <v>2712.29</v>
      </c>
      <c r="AS51" s="544">
        <f t="shared" ref="AS51:AS61" si="183">642/12</f>
        <v>53.5</v>
      </c>
      <c r="AT51" s="557">
        <v>111868.5</v>
      </c>
      <c r="AU51" s="557">
        <v>1561</v>
      </c>
      <c r="AV51" s="557">
        <v>9271</v>
      </c>
      <c r="AW51" s="557">
        <v>1023</v>
      </c>
      <c r="AX51" s="557">
        <v>4.1666666666666661</v>
      </c>
      <c r="AY51" s="557">
        <v>4</v>
      </c>
      <c r="AZ51" s="557">
        <v>31253.666666666664</v>
      </c>
      <c r="BA51" s="557">
        <v>258.5</v>
      </c>
      <c r="BB51" s="557">
        <v>803.33333333333326</v>
      </c>
      <c r="BC51" s="560">
        <v>26165716.797235411</v>
      </c>
      <c r="BD51" s="560">
        <f>IFERROR(VLOOKUP($B51-1,CDM!$V$4:$AJ$17,11,FALSE)/12,0)+IFERROR(VLOOKUP($B51,CDM!$V$41:$AJ$54,11,FALSE)/24,0)+IFERROR(VLOOKUP($B51,CDM!$V$41:$AJ$54,11,FALSE)/2*$C51/78,0)</f>
        <v>1919653.9403056765</v>
      </c>
      <c r="BE51" s="560">
        <f t="shared" si="119"/>
        <v>28085370.737541087</v>
      </c>
      <c r="BF51" s="560">
        <f>IFERROR(HLOOKUP(B51-1,'EV Forecast WRZ'!$F$124:$T$130,2,FALSE)/12,0)+IFERROR(((HLOOKUP(B51,'EV Forecast WRZ'!$F$116:$T$122,2,FALSE)-HLOOKUP(B51-1,'EV Forecast WRZ'!$F$124:$T$130,2,FALSE)))*C51/78,0)</f>
        <v>63059.448333333341</v>
      </c>
      <c r="BG51" s="560">
        <f ca="1">HLOOKUP(B51,Heating!$R$102:$AD$106,2,FALSE)*INDEX(Weather!$BO$1:$CB$20,MATCH(B51,Weather!$BO$1:$BO$20,0),MATCH(C51,Weather!$BO$1:$CB$1,0))/VLOOKUP(B51,Weather!$BO$2:$CB$20,14,FALSE)*
VLOOKUP('Monthly Data'!$B51,Weather!$BO$3:$CB$20,14,FALSE)/Weather!$CB$14</f>
        <v>188947.09175637108</v>
      </c>
      <c r="BH51" s="560">
        <f t="shared" ca="1" si="177"/>
        <v>27833364.197451383</v>
      </c>
      <c r="BI51" s="560">
        <v>7193238.4023531564</v>
      </c>
      <c r="BJ51" s="560">
        <f>IFERROR(VLOOKUP($B51-1,CDM!$V$4:$AJ$17,12,FALSE)/12,0)+IFERROR(VLOOKUP($B51,CDM!$V$41:$AJ$54,12,FALSE)/24,0)+IFERROR(VLOOKUP($B51,CDM!$V$41:$AJ$54,12,FALSE)/2*$C51/78,0)</f>
        <v>213551.9382499755</v>
      </c>
      <c r="BK51" s="560">
        <f t="shared" si="178"/>
        <v>7406790.3406031318</v>
      </c>
      <c r="BL51" s="560">
        <f>IFERROR(HLOOKUP(B51-1,'EV Forecast WRZ'!$F$124:$T$130,3,FALSE)/12,0)+IFERROR(((HLOOKUP(B51,'EV Forecast WRZ'!$F$116:$T$122,3,FALSE)-HLOOKUP(B51-1,'EV Forecast WRZ'!$F$124:$T$130,3,FALSE)))*C51/78,0)</f>
        <v>7803.6002564102573</v>
      </c>
      <c r="BM51" s="560">
        <f ca="1">HLOOKUP(B51,Heating!$R$102:$AD$106,4,FALSE)*INDEX(Weather!$BO$1:$CB$20,MATCH(B51,Weather!$BO$1:$BO$20,0),MATCH(C51,Weather!$BO$1:$CB$1,0))/VLOOKUP(B51,Weather!$BO$2:$CB$20,14,FALSE)*
VLOOKUP('Monthly Data'!$B51,Weather!$BO$3:$CB$20,14,FALSE)/Weather!$CB$14</f>
        <v>29863.217832232407</v>
      </c>
      <c r="BN51" s="560">
        <f t="shared" ca="1" si="179"/>
        <v>7369123.5225144885</v>
      </c>
      <c r="BO51" s="560">
        <v>26971126.354848392</v>
      </c>
      <c r="BP51" s="560">
        <f>IFERROR(VLOOKUP($B51-1,CDM!$V$4:$AJ$17,13,FALSE)/12,0)+IFERROR(VLOOKUP($B51,CDM!$V$41:$AJ$54,13,FALSE)/24,0)+IFERROR(VLOOKUP($B51,CDM!$V$41:$AJ$54,13,FALSE)/2*$C51/78,0)</f>
        <v>1731877.3609924433</v>
      </c>
      <c r="BQ51" s="560">
        <f t="shared" si="180"/>
        <v>28703003.715840835</v>
      </c>
      <c r="BR51" s="560">
        <f>IFERROR(HLOOKUP(B51-1,'EV Forecast WRZ'!$F$124:$T$130,4,FALSE)/12,0)+IFERROR(((HLOOKUP(B51,'EV Forecast WRZ'!$F$116:$T$122,4,FALSE)-HLOOKUP(B51-1,'EV Forecast WRZ'!$F$124:$T$130,4,FALSE)))*C51/78,0)</f>
        <v>3542.7739615384612</v>
      </c>
      <c r="BS51" s="560">
        <f ca="1">HLOOKUP(B51,Heating!$R$102:$AD$106,5,FALSE)*INDEX(Weather!$BO$1:$CB$20,MATCH(B51,Weather!$BO$1:$BO$20,0),MATCH(C51,Weather!$BO$1:$CB$1,0))/VLOOKUP(B51,Weather!$BO$2:$CB$20,14,FALSE)*
VLOOKUP('Monthly Data'!$B51,Weather!$BO$3:$CB$20,14,FALSE)/Weather!$CB$14</f>
        <v>19988.293747935324</v>
      </c>
      <c r="BT51" s="560">
        <f t="shared" ca="1" si="181"/>
        <v>28679472.648131359</v>
      </c>
      <c r="BU51" s="560">
        <v>6440409.3924783031</v>
      </c>
      <c r="BV51" s="560">
        <f>IFERROR(VLOOKUP($B51-1,CDM!$V$4:$AJ$17,14,FALSE)/12,0)+IFERROR(VLOOKUP($B51,CDM!$V$41:$AJ$54,14,FALSE)/24,0)+IFERROR(VLOOKUP($B51,CDM!$V$41:$AJ$54,14,FALSE)/2*$C51/78,0)</f>
        <v>389364.40218942403</v>
      </c>
      <c r="BW51" s="560">
        <f t="shared" si="182"/>
        <v>6829773.7946677273</v>
      </c>
      <c r="BX51" s="560">
        <f>IFERROR(HLOOKUP(B51-1,'EV Forecast WRZ'!$F$124:$T$130,5,FALSE)/12,0)+IFERROR(((HLOOKUP(B51,'EV Forecast WRZ'!$F$116:$T$122,5,FALSE)-HLOOKUP(B51-1,'EV Forecast WRZ'!$F$124:$T$130,5,FALSE)))*C51/78,0)</f>
        <v>514.79539743589737</v>
      </c>
      <c r="BY51" s="560">
        <f t="shared" si="120"/>
        <v>6829258.9992702911</v>
      </c>
      <c r="BZ51" s="560">
        <v>191552.03749760854</v>
      </c>
      <c r="CA51" s="560">
        <v>1978.182430566919</v>
      </c>
      <c r="CB51" s="560">
        <v>153985.97665965179</v>
      </c>
      <c r="CC51" s="5">
        <v>65155.37</v>
      </c>
      <c r="CD51" s="5">
        <v>12558.44</v>
      </c>
      <c r="CE51" s="5">
        <v>788.32</v>
      </c>
      <c r="CF51" s="544">
        <f t="shared" ref="CF51:CF61" si="184">72/12</f>
        <v>6</v>
      </c>
      <c r="CG51" s="565">
        <v>41573.5</v>
      </c>
      <c r="CH51" s="565">
        <v>2272.333333333333</v>
      </c>
      <c r="CI51" s="565">
        <v>378.5</v>
      </c>
      <c r="CJ51" s="565">
        <v>3</v>
      </c>
      <c r="CK51" s="565">
        <v>12633.166666666668</v>
      </c>
      <c r="CL51" s="565">
        <v>37</v>
      </c>
      <c r="CM51" s="565">
        <v>387.66666666666663</v>
      </c>
      <c r="CN51" s="46">
        <f>Weather!C75</f>
        <v>678.4000000000002</v>
      </c>
      <c r="CO51" s="46">
        <f>Weather!D75</f>
        <v>0</v>
      </c>
      <c r="CP51" s="46">
        <f>Weather!E75</f>
        <v>620.40000000000009</v>
      </c>
      <c r="CQ51" s="46">
        <f>Weather!F75</f>
        <v>0</v>
      </c>
      <c r="CR51" s="46">
        <f>Weather!G75</f>
        <v>562.4</v>
      </c>
      <c r="CS51" s="46">
        <f>Weather!H75</f>
        <v>0</v>
      </c>
      <c r="CT51" s="46">
        <f>Weather!I75</f>
        <v>504.40000000000003</v>
      </c>
      <c r="CU51" s="46">
        <f>Weather!J75</f>
        <v>0</v>
      </c>
      <c r="CV51" s="46">
        <f>Weather!K75</f>
        <v>446.40000000000003</v>
      </c>
      <c r="CW51" s="46">
        <f>Weather!L75</f>
        <v>0</v>
      </c>
      <c r="CX51" s="46">
        <f>Weather!M75</f>
        <v>388.40000000000003</v>
      </c>
      <c r="CY51" s="46">
        <f>Weather!N75</f>
        <v>0</v>
      </c>
      <c r="CZ51" s="46">
        <f>Weather!O75</f>
        <v>330.40000000000003</v>
      </c>
      <c r="DA51" s="46">
        <f>Weather!P75</f>
        <v>0</v>
      </c>
      <c r="DB51" s="243">
        <f>'Economic Data'!D77</f>
        <v>7508</v>
      </c>
      <c r="DC51" s="243">
        <f>'Economic Data'!E77</f>
        <v>7439</v>
      </c>
      <c r="DD51" s="243">
        <f>'Economic Data'!F77</f>
        <v>209.7</v>
      </c>
      <c r="DE51" s="243">
        <f>'Economic Data'!G77</f>
        <v>209.4</v>
      </c>
      <c r="DF51" s="243">
        <f>'Economic Data'!H77</f>
        <v>58</v>
      </c>
      <c r="DG51" s="243">
        <f>'Economic Data'!I77</f>
        <v>58</v>
      </c>
      <c r="DH51" s="243">
        <f>'Economic Data'!J77</f>
        <v>769942</v>
      </c>
      <c r="DI51" s="243">
        <f>'Economic Data'!K77</f>
        <v>596521.6</v>
      </c>
      <c r="DJ51" s="243">
        <f>'Economic Data'!L77</f>
        <v>85928.9</v>
      </c>
      <c r="DK51" s="243">
        <f>'Economic Data'!M77</f>
        <v>23899.8</v>
      </c>
      <c r="DL51" s="243">
        <f>'Economic Data'!N77</f>
        <v>801246</v>
      </c>
      <c r="DM51" s="243">
        <f>'Economic Data'!O77</f>
        <v>90581</v>
      </c>
      <c r="DN51" s="243">
        <f>'Economic Data'!P77</f>
        <v>17121</v>
      </c>
      <c r="DO51" s="243">
        <f>'Economic Data'!Q77</f>
        <v>622311</v>
      </c>
      <c r="DP51" s="243">
        <f>'Economic Data'!R77</f>
        <v>30818</v>
      </c>
      <c r="DQ51">
        <v>29</v>
      </c>
      <c r="DR51">
        <v>19</v>
      </c>
      <c r="DS51">
        <v>0</v>
      </c>
      <c r="DT51">
        <v>1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f t="shared" si="66"/>
        <v>50</v>
      </c>
      <c r="EI51">
        <v>0</v>
      </c>
      <c r="EJ51">
        <v>0</v>
      </c>
      <c r="EK51">
        <v>0</v>
      </c>
      <c r="EL51">
        <v>0</v>
      </c>
      <c r="EM51" s="47">
        <f t="shared" si="121"/>
        <v>0</v>
      </c>
      <c r="EN51" s="47">
        <f t="shared" si="122"/>
        <v>0</v>
      </c>
      <c r="EO51" s="47">
        <f t="shared" si="123"/>
        <v>0</v>
      </c>
      <c r="EP51" s="47">
        <f t="shared" si="124"/>
        <v>0</v>
      </c>
      <c r="EQ51" s="47">
        <f t="shared" si="125"/>
        <v>0</v>
      </c>
      <c r="ER51" s="47">
        <f t="shared" si="126"/>
        <v>0</v>
      </c>
      <c r="ES51" s="47">
        <f t="shared" si="127"/>
        <v>0</v>
      </c>
      <c r="ET51" s="47">
        <f t="shared" si="128"/>
        <v>0</v>
      </c>
      <c r="EU51" s="47">
        <f t="shared" si="129"/>
        <v>0</v>
      </c>
      <c r="EV51" s="47">
        <f t="shared" si="130"/>
        <v>0</v>
      </c>
      <c r="EW51" s="47">
        <f t="shared" si="131"/>
        <v>0</v>
      </c>
      <c r="EX51" s="47">
        <f t="shared" si="132"/>
        <v>0</v>
      </c>
      <c r="EY51" s="47">
        <f t="shared" si="133"/>
        <v>0</v>
      </c>
      <c r="EZ51" s="47">
        <f t="shared" si="134"/>
        <v>0</v>
      </c>
      <c r="FA51" s="47">
        <f t="shared" si="135"/>
        <v>0</v>
      </c>
      <c r="FB51" s="47">
        <f t="shared" si="136"/>
        <v>0</v>
      </c>
      <c r="FC51" s="47">
        <f t="shared" si="137"/>
        <v>0</v>
      </c>
      <c r="FD51" s="47">
        <f t="shared" si="138"/>
        <v>0</v>
      </c>
      <c r="FE51" s="47">
        <f t="shared" si="139"/>
        <v>0</v>
      </c>
      <c r="FF51" s="47">
        <f t="shared" si="140"/>
        <v>0</v>
      </c>
      <c r="FG51" s="47">
        <f t="shared" si="141"/>
        <v>0</v>
      </c>
      <c r="FH51" s="47">
        <f t="shared" si="142"/>
        <v>0</v>
      </c>
      <c r="FI51" s="47">
        <f t="shared" si="143"/>
        <v>0</v>
      </c>
      <c r="FJ51" s="47">
        <f t="shared" si="144"/>
        <v>0</v>
      </c>
      <c r="FK51" s="47">
        <f t="shared" si="145"/>
        <v>0</v>
      </c>
      <c r="FL51" s="47">
        <f t="shared" si="146"/>
        <v>0</v>
      </c>
      <c r="FM51" s="47">
        <f t="shared" si="147"/>
        <v>0</v>
      </c>
      <c r="FN51" s="47">
        <f t="shared" si="148"/>
        <v>0</v>
      </c>
      <c r="FO51" s="546">
        <f t="shared" ca="1" si="149"/>
        <v>714.33079363024467</v>
      </c>
      <c r="FP51" s="546">
        <f t="shared" si="150"/>
        <v>655.83918755995569</v>
      </c>
      <c r="FQ51" s="546">
        <f t="shared" si="151"/>
        <v>2704.6519394954207</v>
      </c>
      <c r="FR51" s="546">
        <f t="shared" si="152"/>
        <v>76513.689333636139</v>
      </c>
      <c r="FS51" s="546">
        <f t="shared" si="153"/>
        <v>1859664.228525847</v>
      </c>
      <c r="FT51" s="546">
        <f t="shared" si="154"/>
        <v>5714075.1681688279</v>
      </c>
      <c r="FU51" s="546">
        <f t="shared" si="155"/>
        <v>33.974681525175384</v>
      </c>
      <c r="FV51" s="546">
        <f t="shared" si="156"/>
        <v>58.607608437712344</v>
      </c>
      <c r="FW51" s="546">
        <f t="shared" si="157"/>
        <v>476.81578616098261</v>
      </c>
      <c r="FX51" s="546">
        <f t="shared" si="158"/>
        <v>675.55944862811862</v>
      </c>
      <c r="FY51" s="546">
        <f t="shared" si="159"/>
        <v>3259.5527390068064</v>
      </c>
      <c r="FZ51" s="546">
        <f t="shared" si="160"/>
        <v>75833.563317941444</v>
      </c>
      <c r="GA51" s="546">
        <f t="shared" si="161"/>
        <v>63850.679165869515</v>
      </c>
      <c r="GB51" s="546">
        <f t="shared" si="162"/>
        <v>15.162630443484097</v>
      </c>
      <c r="GC51" s="546">
        <f t="shared" si="163"/>
        <v>53.464390015322138</v>
      </c>
      <c r="GD51" s="546">
        <f t="shared" si="164"/>
        <v>397.2123215640201</v>
      </c>
    </row>
    <row r="52" spans="1:186">
      <c r="A52" s="4">
        <v>43891</v>
      </c>
      <c r="B52" s="6">
        <v>2020</v>
      </c>
      <c r="C52" s="5">
        <v>3</v>
      </c>
      <c r="D52" s="7">
        <v>76389147.832445249</v>
      </c>
      <c r="E52" s="7">
        <f>IFERROR(VLOOKUP($B52-1,CDM!$V$4:$AJ$17,2,FALSE)/12,0)+IFERROR(VLOOKUP($B52,CDM!$V$41:$AJ$54,2,FALSE)/24,0)+IFERROR(VLOOKUP($B52,CDM!$V$41:$AJ$54,2,FALSE)/2*$C52/78,0)</f>
        <v>3828318.1450370257</v>
      </c>
      <c r="F52" s="7">
        <f t="shared" si="165"/>
        <v>80217465.977482274</v>
      </c>
      <c r="G52" s="7">
        <f>IFERROR(HLOOKUP(B52-1,'EV Forecast VRZ'!$F$124:$T$130,2,FALSE)/12,0)+IFERROR(((HLOOKUP(B52,'EV Forecast VRZ'!$F$116:$T$122,2,FALSE)-HLOOKUP(B52-1,'EV Forecast VRZ'!$F$124:$T$130,2,FALSE)))*C52/78,0)</f>
        <v>211097.44008996341</v>
      </c>
      <c r="H52" s="7">
        <f ca="1">HLOOKUP(B52,Heating!$C$102:$O$106,2,FALSE)*INDEX(Weather!$BO$1:$CB$20,MATCH(B52,Weather!$BO$1:$BO$20,0),MATCH(C52,Weather!$BO$1:$CB$1,0))/VLOOKUP(B52,Weather!$BO$2:$CB$20,14,FALSE)*
VLOOKUP('Monthly Data'!$B52,Weather!$BO$3:$CB$20,14,FALSE)/Weather!$CB$14</f>
        <v>372249.62305334356</v>
      </c>
      <c r="I52" s="7">
        <f t="shared" ca="1" si="166"/>
        <v>79634118.914338961</v>
      </c>
      <c r="J52" s="7">
        <v>927186.65481778386</v>
      </c>
      <c r="K52" s="7">
        <f>IFERROR(VLOOKUP($B52-1,CDM!$V$4:$AJ$17,3,FALSE)/12,0)+IFERROR(VLOOKUP($B52,CDM!$V$41:$AJ$54,3,FALSE)/24,0)+IFERROR(VLOOKUP($B52,CDM!$V$41:$AJ$54,3,FALSE)/2*$C52/78,0)</f>
        <v>43848.80406882496</v>
      </c>
      <c r="L52" s="7">
        <f t="shared" si="167"/>
        <v>971035.45888660883</v>
      </c>
      <c r="M52" s="7">
        <f>IFERROR(HLOOKUP(B52-1,'EV Forecast VRZ'!$F$124:$T$130,3,FALSE)/12,0)+IFERROR(((HLOOKUP(B52,'EV Forecast VRZ'!$F$116:$T$122,3,FALSE)-HLOOKUP(B52-1,'EV Forecast VRZ'!$F$124:$T$130,3,FALSE)))*C52/78,0)</f>
        <v>2864.4110638827165</v>
      </c>
      <c r="N52" s="7">
        <f ca="1">HLOOKUP(B52,Heating!$C$102:$O$106,3,FALSE)*INDEX(Weather!$BO$1:$CB$20,MATCH(B52,Weather!$BO$1:$BO$20,0),MATCH(C52,Weather!$BO$1:$CB$1,0))/VLOOKUP(B52,Weather!$BO$2:$CB$20,14,FALSE)*
VLOOKUP('Monthly Data'!$B52,Weather!$BO$3:$CB$20,14,FALSE)/Weather!$CB$14</f>
        <v>4924.7496491708516</v>
      </c>
      <c r="O52" s="7">
        <f t="shared" ca="1" si="168"/>
        <v>963246.29817355517</v>
      </c>
      <c r="P52" s="7">
        <v>21883825.022352602</v>
      </c>
      <c r="Q52" s="7">
        <f>IFERROR(VLOOKUP($B52-1,CDM!$V$4:$AJ$17,4,FALSE)/12,0)+IFERROR(VLOOKUP($B52,CDM!$V$41:$AJ$54,4,FALSE)/24,0)+IFERROR(VLOOKUP($B52,CDM!$V$41:$AJ$54,4,FALSE)/2*$C52/78,0)</f>
        <v>1325438.7795682603</v>
      </c>
      <c r="R52" s="7">
        <f t="shared" si="169"/>
        <v>23209263.801920861</v>
      </c>
      <c r="S52" s="7">
        <f>IFERROR(HLOOKUP(B52-1,'EV Forecast VRZ'!$F$124:$T$130,4,FALSE)/12,0)+IFERROR(((HLOOKUP(B52,'EV Forecast VRZ'!$F$116:$T$122,4,FALSE)-HLOOKUP(B52-1,'EV Forecast VRZ'!$F$124:$T$130,4,FALSE)))*C52/78,0)</f>
        <v>26421.530000000002</v>
      </c>
      <c r="T52" s="7">
        <f ca="1">HLOOKUP(B52,Heating!$C$102:$O$106,4,FALSE)*INDEX(Weather!$BO$1:$CB$20,MATCH(B52,Weather!$BO$1:$BO$20,0),MATCH(C52,Weather!$BO$1:$CB$1,0))/VLOOKUP(B52,Weather!$BO$2:$CB$20,14,FALSE)*
VLOOKUP('Monthly Data'!$B52,Weather!$BO$3:$CB$20,14,FALSE)/Weather!$CB$14</f>
        <v>93029.329004296771</v>
      </c>
      <c r="U52" s="7">
        <f t="shared" ca="1" si="170"/>
        <v>23089812.942916565</v>
      </c>
      <c r="V52" s="7">
        <v>71897478.545765027</v>
      </c>
      <c r="W52" s="7">
        <f>IFERROR(VLOOKUP($B52-1,CDM!$V$4:$AJ$17,5,FALSE)/12,0)+IFERROR(VLOOKUP($B52,CDM!$V$41:$AJ$54,5,FALSE)/24,0)+IFERROR(VLOOKUP($B52,CDM!$V$41:$AJ$54,5,FALSE)/2*$C52/78,0)</f>
        <v>4733475.4045042964</v>
      </c>
      <c r="X52" s="7">
        <f t="shared" si="171"/>
        <v>76630953.950269327</v>
      </c>
      <c r="Y52" s="7">
        <f>IFERROR(HLOOKUP(B52-1,'EV Forecast VRZ'!$F$124:$T$130,5,FALSE)/12,0)+IFERROR(((HLOOKUP(B52,'EV Forecast VRZ'!$F$116:$T$122,5,FALSE)-HLOOKUP(B52-1,'EV Forecast VRZ'!$F$124:$T$130,5,FALSE)))*C52/78,0)</f>
        <v>11990.842346153846</v>
      </c>
      <c r="Z52" s="7">
        <f ca="1">HLOOKUP(B52,Heating!$C$102:$O$106,5,FALSE)*INDEX(Weather!$BO$1:$CB$20,MATCH(B52,Weather!$BO$1:$BO$20,0),MATCH(C52,Weather!$BO$1:$CB$1,0))/VLOOKUP(B52,Weather!$BO$2:$CB$20,14,FALSE)*
VLOOKUP('Monthly Data'!$B52,Weather!$BO$3:$CB$20,14,FALSE)/Weather!$CB$14</f>
        <v>52466.198104358933</v>
      </c>
      <c r="AA52" s="7">
        <f t="shared" ca="1" si="172"/>
        <v>76566496.909818828</v>
      </c>
      <c r="AB52" s="7">
        <v>7794867.2625245843</v>
      </c>
      <c r="AC52" s="7">
        <f>IFERROR(VLOOKUP($B52-1,CDM!$V$4:$AJ$17,6,FALSE)/12,0)+IFERROR(VLOOKUP($B52,CDM!$V$41:$AJ$54,6,FALSE)/24,0)+IFERROR(VLOOKUP($B52,CDM!$V$41:$AJ$54,6,FALSE)/2*$C52/78,0)</f>
        <v>222771.46064156282</v>
      </c>
      <c r="AD52" s="7">
        <f t="shared" si="173"/>
        <v>8017638.7231661472</v>
      </c>
      <c r="AE52" s="7">
        <f>IFERROR(HLOOKUP(B52-1,'EV Forecast VRZ'!$F$124:$T$130,6,FALSE)/12,0)+IFERROR(((HLOOKUP(B52,'EV Forecast VRZ'!$F$116:$T$122,6,FALSE)-HLOOKUP(B52-1,'EV Forecast VRZ'!$F$124:$T$130,6,FALSE)))*C52/78,0)</f>
        <v>1725.6918846153847</v>
      </c>
      <c r="AF52" s="7">
        <f t="shared" si="174"/>
        <v>8015913.0312815318</v>
      </c>
      <c r="AG52" s="7">
        <v>23113731.735301938</v>
      </c>
      <c r="AH52" s="7">
        <f>IFERROR(VLOOKUP($B52-1,CDM!$V$4:$AJ$17,7,FALSE)/12,0)+IFERROR(VLOOKUP($B52,CDM!$V$41:$AJ$54,7,FALSE)/24,0)+IFERROR(VLOOKUP($B52,CDM!$V$41:$AJ$54,7,FALSE)/2*$C52/78,0)</f>
        <v>1610212.771488711</v>
      </c>
      <c r="AI52" s="7">
        <f t="shared" si="175"/>
        <v>24723944.506790649</v>
      </c>
      <c r="AJ52" s="7">
        <f>IFERROR(HLOOKUP(B52-1,'EV Forecast VRZ'!$F$124:$T$130,7,FALSE)/12,0)+IFERROR(((HLOOKUP(B52,'EV Forecast VRZ'!$F$116:$T$122,7,FALSE)-HLOOKUP(B52-1,'EV Forecast VRZ'!$F$124:$T$130,7,FALSE)))*C52/78,0)</f>
        <v>0</v>
      </c>
      <c r="AK52" s="7">
        <f t="shared" si="176"/>
        <v>24723944.506790649</v>
      </c>
      <c r="AL52" s="7">
        <v>1006414.8731158177</v>
      </c>
      <c r="AM52" s="7">
        <v>15756.172486166761</v>
      </c>
      <c r="AN52" s="7">
        <v>383108.02327800042</v>
      </c>
      <c r="AO52" s="5">
        <v>178329.14</v>
      </c>
      <c r="AP52" s="5">
        <v>16123.6</v>
      </c>
      <c r="AQ52" s="5">
        <v>37896</v>
      </c>
      <c r="AR52" s="5">
        <v>2698.24</v>
      </c>
      <c r="AS52" s="544">
        <f t="shared" si="183"/>
        <v>53.5</v>
      </c>
      <c r="AT52" s="557">
        <v>111946.25</v>
      </c>
      <c r="AU52" s="557">
        <v>1561</v>
      </c>
      <c r="AV52" s="557">
        <v>9272.5</v>
      </c>
      <c r="AW52" s="557">
        <v>1025</v>
      </c>
      <c r="AX52" s="557">
        <v>4.2499999999999991</v>
      </c>
      <c r="AY52" s="557">
        <v>4</v>
      </c>
      <c r="AZ52" s="557">
        <v>31289.499999999996</v>
      </c>
      <c r="BA52" s="557">
        <v>257.75</v>
      </c>
      <c r="BB52" s="557">
        <v>802.99999999999989</v>
      </c>
      <c r="BC52" s="560">
        <v>26776013.116319109</v>
      </c>
      <c r="BD52" s="560">
        <f>IFERROR(VLOOKUP($B52-1,CDM!$V$4:$AJ$17,11,FALSE)/12,0)+IFERROR(VLOOKUP($B52,CDM!$V$41:$AJ$54,11,FALSE)/24,0)+IFERROR(VLOOKUP($B52,CDM!$V$41:$AJ$54,11,FALSE)/2*$C52/78,0)</f>
        <v>1919717.6890746902</v>
      </c>
      <c r="BE52" s="560">
        <f t="shared" si="119"/>
        <v>28695730.8053938</v>
      </c>
      <c r="BF52" s="560">
        <f>IFERROR(HLOOKUP(B52-1,'EV Forecast WRZ'!$F$124:$T$130,2,FALSE)/12,0)+IFERROR(((HLOOKUP(B52,'EV Forecast WRZ'!$F$116:$T$122,2,FALSE)-HLOOKUP(B52-1,'EV Forecast WRZ'!$F$124:$T$130,2,FALSE)))*C52/78,0)</f>
        <v>64714.385000000009</v>
      </c>
      <c r="BG52" s="560">
        <f ca="1">HLOOKUP(B52,Heating!$R$102:$AD$106,2,FALSE)*INDEX(Weather!$BO$1:$CB$20,MATCH(B52,Weather!$BO$1:$BO$20,0),MATCH(C52,Weather!$BO$1:$CB$1,0))/VLOOKUP(B52,Weather!$BO$2:$CB$20,14,FALSE)*
VLOOKUP('Monthly Data'!$B52,Weather!$BO$3:$CB$20,14,FALSE)/Weather!$CB$14</f>
        <v>146665.71314156259</v>
      </c>
      <c r="BH52" s="560">
        <f t="shared" ca="1" si="177"/>
        <v>28484350.707252234</v>
      </c>
      <c r="BI52" s="560">
        <v>6577840.2308590002</v>
      </c>
      <c r="BJ52" s="560">
        <f>IFERROR(VLOOKUP($B52-1,CDM!$V$4:$AJ$17,12,FALSE)/12,0)+IFERROR(VLOOKUP($B52,CDM!$V$41:$AJ$54,12,FALSE)/24,0)+IFERROR(VLOOKUP($B52,CDM!$V$41:$AJ$54,12,FALSE)/2*$C52/78,0)</f>
        <v>214428.55952194036</v>
      </c>
      <c r="BK52" s="560">
        <f t="shared" si="178"/>
        <v>6792268.7903809408</v>
      </c>
      <c r="BL52" s="560">
        <f>IFERROR(HLOOKUP(B52-1,'EV Forecast WRZ'!$F$124:$T$130,3,FALSE)/12,0)+IFERROR(((HLOOKUP(B52,'EV Forecast WRZ'!$F$116:$T$122,3,FALSE)-HLOOKUP(B52-1,'EV Forecast WRZ'!$F$124:$T$130,3,FALSE)))*C52/78,0)</f>
        <v>8005.4253846153852</v>
      </c>
      <c r="BM52" s="560">
        <f ca="1">HLOOKUP(B52,Heating!$R$102:$AD$106,4,FALSE)*INDEX(Weather!$BO$1:$CB$20,MATCH(B52,Weather!$BO$1:$BO$20,0),MATCH(C52,Weather!$BO$1:$CB$1,0))/VLOOKUP(B52,Weather!$BO$2:$CB$20,14,FALSE)*
VLOOKUP('Monthly Data'!$B52,Weather!$BO$3:$CB$20,14,FALSE)/Weather!$CB$14</f>
        <v>23180.616856033237</v>
      </c>
      <c r="BN52" s="560">
        <f t="shared" ca="1" si="179"/>
        <v>6761082.7481402922</v>
      </c>
      <c r="BO52" s="560">
        <v>25953277.338937253</v>
      </c>
      <c r="BP52" s="560">
        <f>IFERROR(VLOOKUP($B52-1,CDM!$V$4:$AJ$17,13,FALSE)/12,0)+IFERROR(VLOOKUP($B52,CDM!$V$41:$AJ$54,13,FALSE)/24,0)+IFERROR(VLOOKUP($B52,CDM!$V$41:$AJ$54,13,FALSE)/2*$C52/78,0)</f>
        <v>1757106.7077480699</v>
      </c>
      <c r="BQ52" s="560">
        <f t="shared" si="180"/>
        <v>27710384.046685323</v>
      </c>
      <c r="BR52" s="560">
        <f>IFERROR(HLOOKUP(B52-1,'EV Forecast WRZ'!$F$124:$T$130,4,FALSE)/12,0)+IFERROR(((HLOOKUP(B52,'EV Forecast WRZ'!$F$116:$T$122,4,FALSE)-HLOOKUP(B52-1,'EV Forecast WRZ'!$F$124:$T$130,4,FALSE)))*C52/78,0)</f>
        <v>3634.1721923076921</v>
      </c>
      <c r="BS52" s="560">
        <f ca="1">HLOOKUP(B52,Heating!$R$102:$AD$106,5,FALSE)*INDEX(Weather!$BO$1:$CB$20,MATCH(B52,Weather!$BO$1:$BO$20,0),MATCH(C52,Weather!$BO$1:$CB$1,0))/VLOOKUP(B52,Weather!$BO$2:$CB$20,14,FALSE)*
VLOOKUP('Monthly Data'!$B52,Weather!$BO$3:$CB$20,14,FALSE)/Weather!$CB$14</f>
        <v>15515.440485339572</v>
      </c>
      <c r="BT52" s="560">
        <f t="shared" ca="1" si="181"/>
        <v>27691234.434007674</v>
      </c>
      <c r="BU52" s="560">
        <v>6880332.4975891998</v>
      </c>
      <c r="BV52" s="560">
        <f>IFERROR(VLOOKUP($B52-1,CDM!$V$4:$AJ$17,14,FALSE)/12,0)+IFERROR(VLOOKUP($B52,CDM!$V$41:$AJ$54,14,FALSE)/24,0)+IFERROR(VLOOKUP($B52,CDM!$V$41:$AJ$54,14,FALSE)/2*$C52/78,0)</f>
        <v>395036.51832096413</v>
      </c>
      <c r="BW52" s="560">
        <f t="shared" si="182"/>
        <v>7275369.0159101635</v>
      </c>
      <c r="BX52" s="560">
        <f>IFERROR(HLOOKUP(B52-1,'EV Forecast WRZ'!$F$124:$T$130,5,FALSE)/12,0)+IFERROR(((HLOOKUP(B52,'EV Forecast WRZ'!$F$116:$T$122,5,FALSE)-HLOOKUP(B52-1,'EV Forecast WRZ'!$F$124:$T$130,5,FALSE)))*C52/78,0)</f>
        <v>527.19434615384614</v>
      </c>
      <c r="BY52" s="560">
        <f t="shared" si="120"/>
        <v>7274841.8215640094</v>
      </c>
      <c r="BZ52" s="560">
        <v>295681.09814425098</v>
      </c>
      <c r="CA52" s="560">
        <v>1978.182430566919</v>
      </c>
      <c r="CB52" s="560">
        <v>166178.98412091064</v>
      </c>
      <c r="CC52" s="5">
        <v>64307.28</v>
      </c>
      <c r="CD52" s="5">
        <v>13342.38</v>
      </c>
      <c r="CE52" s="5">
        <v>789.36</v>
      </c>
      <c r="CF52" s="544">
        <f t="shared" si="184"/>
        <v>6</v>
      </c>
      <c r="CG52" s="565">
        <v>41641.75</v>
      </c>
      <c r="CH52" s="565">
        <v>2274.9999999999995</v>
      </c>
      <c r="CI52" s="565">
        <v>379.25</v>
      </c>
      <c r="CJ52" s="565">
        <v>3</v>
      </c>
      <c r="CK52" s="565">
        <v>12649.750000000002</v>
      </c>
      <c r="CL52" s="565">
        <v>37</v>
      </c>
      <c r="CM52" s="565">
        <v>387.99999999999994</v>
      </c>
      <c r="CN52" s="46">
        <f>Weather!C76</f>
        <v>543.57083333333344</v>
      </c>
      <c r="CO52" s="46">
        <f>Weather!D76</f>
        <v>0</v>
      </c>
      <c r="CP52" s="46">
        <f>Weather!E76</f>
        <v>481.57083333333344</v>
      </c>
      <c r="CQ52" s="46">
        <f>Weather!F76</f>
        <v>0</v>
      </c>
      <c r="CR52" s="46">
        <f>Weather!G76</f>
        <v>419.57083333333344</v>
      </c>
      <c r="CS52" s="46">
        <f>Weather!H76</f>
        <v>0</v>
      </c>
      <c r="CT52" s="46">
        <f>Weather!I76</f>
        <v>357.57083333333344</v>
      </c>
      <c r="CU52" s="46">
        <f>Weather!J76</f>
        <v>0</v>
      </c>
      <c r="CV52" s="46">
        <f>Weather!K76</f>
        <v>295.57083333333338</v>
      </c>
      <c r="CW52" s="46">
        <f>Weather!L76</f>
        <v>0</v>
      </c>
      <c r="CX52" s="46">
        <f>Weather!M76</f>
        <v>233.60833333333338</v>
      </c>
      <c r="CY52" s="46">
        <f>Weather!N76</f>
        <v>3.7499999999999645E-2</v>
      </c>
      <c r="CZ52" s="46">
        <f>Weather!O76</f>
        <v>174.47500000000005</v>
      </c>
      <c r="DA52" s="46">
        <f>Weather!P76</f>
        <v>2.9041666666666668</v>
      </c>
      <c r="DB52" s="243">
        <f>'Economic Data'!D78</f>
        <v>7351.6</v>
      </c>
      <c r="DC52" s="243">
        <f>'Economic Data'!E78</f>
        <v>7258.8</v>
      </c>
      <c r="DD52" s="243">
        <f>'Economic Data'!F78</f>
        <v>208.2</v>
      </c>
      <c r="DE52" s="243">
        <f>'Economic Data'!G78</f>
        <v>208.2</v>
      </c>
      <c r="DF52" s="243">
        <f>'Economic Data'!H78</f>
        <v>53.3</v>
      </c>
      <c r="DG52" s="243">
        <f>'Economic Data'!I78</f>
        <v>53.3</v>
      </c>
      <c r="DH52" s="243">
        <f>'Economic Data'!J78</f>
        <v>769942</v>
      </c>
      <c r="DI52" s="243">
        <f>'Economic Data'!K78</f>
        <v>596521.6</v>
      </c>
      <c r="DJ52" s="243">
        <f>'Economic Data'!L78</f>
        <v>85928.9</v>
      </c>
      <c r="DK52" s="243">
        <f>'Economic Data'!M78</f>
        <v>23899.8</v>
      </c>
      <c r="DL52" s="243">
        <f>'Economic Data'!N78</f>
        <v>801246</v>
      </c>
      <c r="DM52" s="243">
        <f>'Economic Data'!O78</f>
        <v>90581</v>
      </c>
      <c r="DN52" s="243">
        <f>'Economic Data'!P78</f>
        <v>17121</v>
      </c>
      <c r="DO52" s="243">
        <f>'Economic Data'!Q78</f>
        <v>622311</v>
      </c>
      <c r="DP52" s="243">
        <f>'Economic Data'!R78</f>
        <v>30818</v>
      </c>
      <c r="DQ52">
        <v>31</v>
      </c>
      <c r="DR52">
        <v>22</v>
      </c>
      <c r="DS52">
        <v>0</v>
      </c>
      <c r="DT52">
        <v>0</v>
      </c>
      <c r="DU52">
        <v>1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1</v>
      </c>
      <c r="EF52">
        <v>0</v>
      </c>
      <c r="EG52">
        <v>1</v>
      </c>
      <c r="EH52">
        <f t="shared" si="66"/>
        <v>51</v>
      </c>
      <c r="EI52">
        <v>1</v>
      </c>
      <c r="EJ52">
        <v>0.5</v>
      </c>
      <c r="EK52">
        <v>0.5</v>
      </c>
      <c r="EL52">
        <v>0.5</v>
      </c>
      <c r="EM52" s="47">
        <f t="shared" si="121"/>
        <v>271.78541666666672</v>
      </c>
      <c r="EN52" s="47">
        <f t="shared" si="122"/>
        <v>0</v>
      </c>
      <c r="EO52" s="47">
        <f t="shared" si="123"/>
        <v>240.78541666666672</v>
      </c>
      <c r="EP52" s="47">
        <f t="shared" si="124"/>
        <v>0</v>
      </c>
      <c r="EQ52" s="47">
        <f t="shared" si="125"/>
        <v>209.78541666666672</v>
      </c>
      <c r="ER52" s="47">
        <f t="shared" si="126"/>
        <v>0</v>
      </c>
      <c r="ES52" s="47">
        <f t="shared" si="127"/>
        <v>178.78541666666672</v>
      </c>
      <c r="ET52" s="47">
        <f t="shared" si="128"/>
        <v>0</v>
      </c>
      <c r="EU52" s="47">
        <f t="shared" si="129"/>
        <v>147.78541666666669</v>
      </c>
      <c r="EV52" s="47">
        <f t="shared" si="130"/>
        <v>0</v>
      </c>
      <c r="EW52" s="47">
        <f t="shared" si="131"/>
        <v>116.80416666666669</v>
      </c>
      <c r="EX52" s="47">
        <f t="shared" si="132"/>
        <v>1.8749999999999822E-2</v>
      </c>
      <c r="EY52" s="47">
        <f t="shared" si="133"/>
        <v>87.237500000000026</v>
      </c>
      <c r="EZ52" s="47">
        <f t="shared" si="134"/>
        <v>1.4520833333333334</v>
      </c>
      <c r="FA52" s="47">
        <f t="shared" si="135"/>
        <v>271.78541666666672</v>
      </c>
      <c r="FB52" s="47">
        <f t="shared" si="136"/>
        <v>0</v>
      </c>
      <c r="FC52" s="47">
        <f t="shared" si="137"/>
        <v>240.78541666666672</v>
      </c>
      <c r="FD52" s="47">
        <f t="shared" si="138"/>
        <v>0</v>
      </c>
      <c r="FE52" s="47">
        <f t="shared" si="139"/>
        <v>209.78541666666672</v>
      </c>
      <c r="FF52" s="47">
        <f t="shared" si="140"/>
        <v>0</v>
      </c>
      <c r="FG52" s="47">
        <f t="shared" si="141"/>
        <v>178.78541666666672</v>
      </c>
      <c r="FH52" s="47">
        <f t="shared" si="142"/>
        <v>0</v>
      </c>
      <c r="FI52" s="47">
        <f t="shared" si="143"/>
        <v>147.78541666666669</v>
      </c>
      <c r="FJ52" s="47">
        <f t="shared" si="144"/>
        <v>0</v>
      </c>
      <c r="FK52" s="47">
        <f t="shared" si="145"/>
        <v>116.80416666666669</v>
      </c>
      <c r="FL52" s="47">
        <f t="shared" si="146"/>
        <v>1.8749999999999822E-2</v>
      </c>
      <c r="FM52" s="47">
        <f t="shared" si="147"/>
        <v>87.237500000000026</v>
      </c>
      <c r="FN52" s="47">
        <f t="shared" si="148"/>
        <v>1.4520833333333334</v>
      </c>
      <c r="FO52" s="546">
        <f t="shared" ca="1" si="149"/>
        <v>711.36030831170285</v>
      </c>
      <c r="FP52" s="546">
        <f t="shared" si="150"/>
        <v>622.05987116374683</v>
      </c>
      <c r="FQ52" s="546">
        <f t="shared" si="151"/>
        <v>2503.0211703338755</v>
      </c>
      <c r="FR52" s="546">
        <f t="shared" si="152"/>
        <v>74761.906292945685</v>
      </c>
      <c r="FS52" s="546">
        <f t="shared" si="153"/>
        <v>1886503.2289802704</v>
      </c>
      <c r="FT52" s="546">
        <f t="shared" si="154"/>
        <v>6180986.1266976623</v>
      </c>
      <c r="FU52" s="546">
        <f t="shared" si="155"/>
        <v>32.164619860202876</v>
      </c>
      <c r="FV52" s="546">
        <f t="shared" si="156"/>
        <v>61.129670169415171</v>
      </c>
      <c r="FW52" s="546">
        <f t="shared" si="157"/>
        <v>477.09591939975149</v>
      </c>
      <c r="FX52" s="546">
        <f t="shared" si="158"/>
        <v>689.10962688632924</v>
      </c>
      <c r="FY52" s="546">
        <f t="shared" si="159"/>
        <v>2985.6126551125021</v>
      </c>
      <c r="FZ52" s="546">
        <f t="shared" si="160"/>
        <v>73066.273030152472</v>
      </c>
      <c r="GA52" s="546">
        <f t="shared" si="161"/>
        <v>98560.366048083655</v>
      </c>
      <c r="GB52" s="546">
        <f t="shared" si="162"/>
        <v>23.374461799185827</v>
      </c>
      <c r="GC52" s="546">
        <f t="shared" si="163"/>
        <v>53.464390015322138</v>
      </c>
      <c r="GD52" s="546">
        <f t="shared" si="164"/>
        <v>428.29635082708933</v>
      </c>
    </row>
    <row r="53" spans="1:186">
      <c r="A53" s="4">
        <v>43922</v>
      </c>
      <c r="B53" s="6">
        <v>2020</v>
      </c>
      <c r="C53" s="5">
        <v>4</v>
      </c>
      <c r="D53" s="7">
        <v>70941557.79443942</v>
      </c>
      <c r="E53" s="7">
        <f>IFERROR(VLOOKUP($B53-1,CDM!$V$4:$AJ$17,2,FALSE)/12,0)+IFERROR(VLOOKUP($B53,CDM!$V$41:$AJ$54,2,FALSE)/24,0)+IFERROR(VLOOKUP($B53,CDM!$V$41:$AJ$54,2,FALSE)/2*$C53/78,0)</f>
        <v>3829225.8908088417</v>
      </c>
      <c r="F53" s="7">
        <f t="shared" si="165"/>
        <v>74770783.685248256</v>
      </c>
      <c r="G53" s="7">
        <f>IFERROR(HLOOKUP(B53-1,'EV Forecast VRZ'!$F$124:$T$130,2,FALSE)/12,0)+IFERROR(((HLOOKUP(B53,'EV Forecast VRZ'!$F$116:$T$122,2,FALSE)-HLOOKUP(B53-1,'EV Forecast VRZ'!$F$124:$T$130,2,FALSE)))*C53/78,0)</f>
        <v>215869.74111273102</v>
      </c>
      <c r="H53" s="7">
        <f ca="1">HLOOKUP(B53,Heating!$C$102:$O$106,2,FALSE)*INDEX(Weather!$BO$1:$CB$20,MATCH(B53,Weather!$BO$1:$BO$20,0),MATCH(C53,Weather!$BO$1:$CB$1,0))/VLOOKUP(B53,Weather!$BO$2:$CB$20,14,FALSE)*
VLOOKUP('Monthly Data'!$B53,Weather!$BO$3:$CB$20,14,FALSE)/Weather!$CB$14</f>
        <v>293485.12378645211</v>
      </c>
      <c r="I53" s="7">
        <f t="shared" ca="1" si="166"/>
        <v>74261428.820349082</v>
      </c>
      <c r="J53" s="7">
        <v>895993.68644342676</v>
      </c>
      <c r="K53" s="7">
        <f>IFERROR(VLOOKUP($B53-1,CDM!$V$4:$AJ$17,3,FALSE)/12,0)+IFERROR(VLOOKUP($B53,CDM!$V$41:$AJ$54,3,FALSE)/24,0)+IFERROR(VLOOKUP($B53,CDM!$V$41:$AJ$54,3,FALSE)/2*$C53/78,0)</f>
        <v>43859.201210594445</v>
      </c>
      <c r="L53" s="7">
        <f t="shared" si="167"/>
        <v>939852.88765402115</v>
      </c>
      <c r="M53" s="7">
        <f>IFERROR(HLOOKUP(B53-1,'EV Forecast VRZ'!$F$124:$T$130,3,FALSE)/12,0)+IFERROR(((HLOOKUP(B53,'EV Forecast VRZ'!$F$116:$T$122,3,FALSE)-HLOOKUP(B53-1,'EV Forecast VRZ'!$F$124:$T$130,3,FALSE)))*C53/78,0)</f>
        <v>2929.1670923971724</v>
      </c>
      <c r="N53" s="7">
        <f ca="1">HLOOKUP(B53,Heating!$C$102:$O$106,3,FALSE)*INDEX(Weather!$BO$1:$CB$20,MATCH(B53,Weather!$BO$1:$BO$20,0),MATCH(C53,Weather!$BO$1:$CB$1,0))/VLOOKUP(B53,Weather!$BO$2:$CB$20,14,FALSE)*
VLOOKUP('Monthly Data'!$B53,Weather!$BO$3:$CB$20,14,FALSE)/Weather!$CB$14</f>
        <v>3882.7192047876865</v>
      </c>
      <c r="O53" s="7">
        <f t="shared" ca="1" si="168"/>
        <v>933041.00135683629</v>
      </c>
      <c r="P53" s="7">
        <v>17271295.091213606</v>
      </c>
      <c r="Q53" s="7">
        <f>IFERROR(VLOOKUP($B53-1,CDM!$V$4:$AJ$17,4,FALSE)/12,0)+IFERROR(VLOOKUP($B53,CDM!$V$41:$AJ$54,4,FALSE)/24,0)+IFERROR(VLOOKUP($B53,CDM!$V$41:$AJ$54,4,FALSE)/2*$C53/78,0)</f>
        <v>1332666.0088321564</v>
      </c>
      <c r="R53" s="7">
        <f t="shared" si="169"/>
        <v>18603961.100045763</v>
      </c>
      <c r="S53" s="7">
        <f>IFERROR(HLOOKUP(B53-1,'EV Forecast VRZ'!$F$124:$T$130,4,FALSE)/12,0)+IFERROR(((HLOOKUP(B53,'EV Forecast VRZ'!$F$116:$T$122,4,FALSE)-HLOOKUP(B53-1,'EV Forecast VRZ'!$F$124:$T$130,4,FALSE)))*C53/78,0)</f>
        <v>26995.346666666668</v>
      </c>
      <c r="T53" s="7">
        <f ca="1">HLOOKUP(B53,Heating!$C$102:$O$106,4,FALSE)*INDEX(Weather!$BO$1:$CB$20,MATCH(B53,Weather!$BO$1:$BO$20,0),MATCH(C53,Weather!$BO$1:$CB$1,0))/VLOOKUP(B53,Weather!$BO$2:$CB$20,14,FALSE)*
VLOOKUP('Monthly Data'!$B53,Weather!$BO$3:$CB$20,14,FALSE)/Weather!$CB$14</f>
        <v>73345.202916925788</v>
      </c>
      <c r="U53" s="7">
        <f t="shared" ca="1" si="170"/>
        <v>18503620.550462168</v>
      </c>
      <c r="V53" s="7">
        <v>59690795.540781029</v>
      </c>
      <c r="W53" s="7">
        <f>IFERROR(VLOOKUP($B53-1,CDM!$V$4:$AJ$17,5,FALSE)/12,0)+IFERROR(VLOOKUP($B53,CDM!$V$41:$AJ$54,5,FALSE)/24,0)+IFERROR(VLOOKUP($B53,CDM!$V$41:$AJ$54,5,FALSE)/2*$C53/78,0)</f>
        <v>4765414.1551287323</v>
      </c>
      <c r="X53" s="7">
        <f t="shared" si="171"/>
        <v>64456209.695909761</v>
      </c>
      <c r="Y53" s="7">
        <f>IFERROR(HLOOKUP(B53-1,'EV Forecast VRZ'!$F$124:$T$130,5,FALSE)/12,0)+IFERROR(((HLOOKUP(B53,'EV Forecast VRZ'!$F$116:$T$122,5,FALSE)-HLOOKUP(B53-1,'EV Forecast VRZ'!$F$124:$T$130,5,FALSE)))*C53/78,0)</f>
        <v>12249.444461538462</v>
      </c>
      <c r="Z53" s="7">
        <f ca="1">HLOOKUP(B53,Heating!$C$102:$O$106,5,FALSE)*INDEX(Weather!$BO$1:$CB$20,MATCH(B53,Weather!$BO$1:$BO$20,0),MATCH(C53,Weather!$BO$1:$CB$1,0))/VLOOKUP(B53,Weather!$BO$2:$CB$20,14,FALSE)*
VLOOKUP('Monthly Data'!$B53,Weather!$BO$3:$CB$20,14,FALSE)/Weather!$CB$14</f>
        <v>41364.846843795865</v>
      </c>
      <c r="AA53" s="7">
        <f t="shared" ca="1" si="172"/>
        <v>64402595.404604428</v>
      </c>
      <c r="AB53" s="7">
        <v>6612666.9077095129</v>
      </c>
      <c r="AC53" s="7">
        <f>IFERROR(VLOOKUP($B53-1,CDM!$V$4:$AJ$17,6,FALSE)/12,0)+IFERROR(VLOOKUP($B53,CDM!$V$41:$AJ$54,6,FALSE)/24,0)+IFERROR(VLOOKUP($B53,CDM!$V$41:$AJ$54,6,FALSE)/2*$C53/78,0)</f>
        <v>224086.9322607487</v>
      </c>
      <c r="AD53" s="7">
        <f t="shared" si="173"/>
        <v>6836753.8399702618</v>
      </c>
      <c r="AE53" s="7">
        <f>IFERROR(HLOOKUP(B53-1,'EV Forecast VRZ'!$F$124:$T$130,6,FALSE)/12,0)+IFERROR(((HLOOKUP(B53,'EV Forecast VRZ'!$F$116:$T$122,6,FALSE)-HLOOKUP(B53-1,'EV Forecast VRZ'!$F$124:$T$130,6,FALSE)))*C53/78,0)</f>
        <v>1755.9211794871794</v>
      </c>
      <c r="AF53" s="7">
        <f t="shared" si="174"/>
        <v>6834997.9187907744</v>
      </c>
      <c r="AG53" s="7">
        <v>19268481.578037295</v>
      </c>
      <c r="AH53" s="7">
        <f>IFERROR(VLOOKUP($B53-1,CDM!$V$4:$AJ$17,7,FALSE)/12,0)+IFERROR(VLOOKUP($B53,CDM!$V$41:$AJ$54,7,FALSE)/24,0)+IFERROR(VLOOKUP($B53,CDM!$V$41:$AJ$54,7,FALSE)/2*$C53/78,0)</f>
        <v>1615244.7710999441</v>
      </c>
      <c r="AI53" s="7">
        <f t="shared" si="175"/>
        <v>20883726.349137239</v>
      </c>
      <c r="AJ53" s="7">
        <f>IFERROR(HLOOKUP(B53-1,'EV Forecast VRZ'!$F$124:$T$130,7,FALSE)/12,0)+IFERROR(((HLOOKUP(B53,'EV Forecast VRZ'!$F$116:$T$122,7,FALSE)-HLOOKUP(B53-1,'EV Forecast VRZ'!$F$124:$T$130,7,FALSE)))*C53/78,0)</f>
        <v>0</v>
      </c>
      <c r="AK53" s="7">
        <f t="shared" si="176"/>
        <v>20883726.349137239</v>
      </c>
      <c r="AL53" s="7">
        <v>850008.49074604083</v>
      </c>
      <c r="AM53" s="7">
        <v>23106.849837817212</v>
      </c>
      <c r="AN53" s="7">
        <v>383075.0143102461</v>
      </c>
      <c r="AO53" s="5">
        <v>149266.68</v>
      </c>
      <c r="AP53" s="5">
        <v>13723.77</v>
      </c>
      <c r="AQ53" s="5">
        <v>37000</v>
      </c>
      <c r="AR53" s="5">
        <v>2698.5</v>
      </c>
      <c r="AS53" s="544">
        <f t="shared" si="183"/>
        <v>53.5</v>
      </c>
      <c r="AT53" s="557">
        <v>112024</v>
      </c>
      <c r="AU53" s="557">
        <v>1561</v>
      </c>
      <c r="AV53" s="557">
        <v>9274</v>
      </c>
      <c r="AW53" s="557">
        <v>1027</v>
      </c>
      <c r="AX53" s="557">
        <v>4.3333333333333321</v>
      </c>
      <c r="AY53" s="557">
        <v>4</v>
      </c>
      <c r="AZ53" s="557">
        <v>31325.333333333328</v>
      </c>
      <c r="BA53" s="557">
        <v>257</v>
      </c>
      <c r="BB53" s="557">
        <v>802.66666666666652</v>
      </c>
      <c r="BC53" s="560">
        <v>25667339.784455802</v>
      </c>
      <c r="BD53" s="560">
        <f>IFERROR(VLOOKUP($B53-1,CDM!$V$4:$AJ$17,11,FALSE)/12,0)+IFERROR(VLOOKUP($B53,CDM!$V$41:$AJ$54,11,FALSE)/24,0)+IFERROR(VLOOKUP($B53,CDM!$V$41:$AJ$54,11,FALSE)/2*$C53/78,0)</f>
        <v>1919781.4378437037</v>
      </c>
      <c r="BE53" s="560">
        <f t="shared" si="119"/>
        <v>27587121.222299505</v>
      </c>
      <c r="BF53" s="560">
        <f>IFERROR(HLOOKUP(B53-1,'EV Forecast WRZ'!$F$124:$T$130,2,FALSE)/12,0)+IFERROR(((HLOOKUP(B53,'EV Forecast WRZ'!$F$116:$T$122,2,FALSE)-HLOOKUP(B53-1,'EV Forecast WRZ'!$F$124:$T$130,2,FALSE)))*C53/78,0)</f>
        <v>66369.32166666667</v>
      </c>
      <c r="BG53" s="560">
        <f ca="1">HLOOKUP(B53,Heating!$R$102:$AD$106,2,FALSE)*INDEX(Weather!$BO$1:$CB$20,MATCH(B53,Weather!$BO$1:$BO$20,0),MATCH(C53,Weather!$BO$1:$CB$1,0))/VLOOKUP(B53,Weather!$BO$2:$CB$20,14,FALSE)*
VLOOKUP('Monthly Data'!$B53,Weather!$BO$3:$CB$20,14,FALSE)/Weather!$CB$14</f>
        <v>115632.63549742136</v>
      </c>
      <c r="BH53" s="560">
        <f t="shared" ca="1" si="177"/>
        <v>27405119.265135419</v>
      </c>
      <c r="BI53" s="560">
        <v>5157379.2367993109</v>
      </c>
      <c r="BJ53" s="560">
        <f>IFERROR(VLOOKUP($B53-1,CDM!$V$4:$AJ$17,12,FALSE)/12,0)+IFERROR(VLOOKUP($B53,CDM!$V$41:$AJ$54,12,FALSE)/24,0)+IFERROR(VLOOKUP($B53,CDM!$V$41:$AJ$54,12,FALSE)/2*$C53/78,0)</f>
        <v>215305.18079390522</v>
      </c>
      <c r="BK53" s="560">
        <f t="shared" si="178"/>
        <v>5372684.4175932165</v>
      </c>
      <c r="BL53" s="560">
        <f>IFERROR(HLOOKUP(B53-1,'EV Forecast WRZ'!$F$124:$T$130,3,FALSE)/12,0)+IFERROR(((HLOOKUP(B53,'EV Forecast WRZ'!$F$116:$T$122,3,FALSE)-HLOOKUP(B53-1,'EV Forecast WRZ'!$F$124:$T$130,3,FALSE)))*C53/78,0)</f>
        <v>8207.2505128205139</v>
      </c>
      <c r="BM53" s="560">
        <f ca="1">HLOOKUP(B53,Heating!$R$102:$AD$106,4,FALSE)*INDEX(Weather!$BO$1:$CB$20,MATCH(B53,Weather!$BO$1:$BO$20,0),MATCH(C53,Weather!$BO$1:$CB$1,0))/VLOOKUP(B53,Weather!$BO$2:$CB$20,14,FALSE)*
VLOOKUP('Monthly Data'!$B53,Weather!$BO$3:$CB$20,14,FALSE)/Weather!$CB$14</f>
        <v>18275.817586158671</v>
      </c>
      <c r="BN53" s="560">
        <f t="shared" ca="1" si="179"/>
        <v>5346201.3494942375</v>
      </c>
      <c r="BO53" s="560">
        <v>23217912.007205043</v>
      </c>
      <c r="BP53" s="560">
        <f>IFERROR(VLOOKUP($B53-1,CDM!$V$4:$AJ$17,13,FALSE)/12,0)+IFERROR(VLOOKUP($B53,CDM!$V$41:$AJ$54,13,FALSE)/24,0)+IFERROR(VLOOKUP($B53,CDM!$V$41:$AJ$54,13,FALSE)/2*$C53/78,0)</f>
        <v>1782336.0545036965</v>
      </c>
      <c r="BQ53" s="560">
        <f t="shared" si="180"/>
        <v>25000248.061708741</v>
      </c>
      <c r="BR53" s="560">
        <f>IFERROR(HLOOKUP(B53-1,'EV Forecast WRZ'!$F$124:$T$130,4,FALSE)/12,0)+IFERROR(((HLOOKUP(B53,'EV Forecast WRZ'!$F$116:$T$122,4,FALSE)-HLOOKUP(B53-1,'EV Forecast WRZ'!$F$124:$T$130,4,FALSE)))*C53/78,0)</f>
        <v>3725.5704230769229</v>
      </c>
      <c r="BS53" s="560">
        <f ca="1">HLOOKUP(B53,Heating!$R$102:$AD$106,5,FALSE)*INDEX(Weather!$BO$1:$CB$20,MATCH(B53,Weather!$BO$1:$BO$20,0),MATCH(C53,Weather!$BO$1:$CB$1,0))/VLOOKUP(B53,Weather!$BO$2:$CB$20,14,FALSE)*
VLOOKUP('Monthly Data'!$B53,Weather!$BO$3:$CB$20,14,FALSE)/Weather!$CB$14</f>
        <v>12232.520033441884</v>
      </c>
      <c r="BT53" s="560">
        <f t="shared" ca="1" si="181"/>
        <v>24984289.971252222</v>
      </c>
      <c r="BU53" s="560">
        <v>7042822.1890067514</v>
      </c>
      <c r="BV53" s="560">
        <f>IFERROR(VLOOKUP($B53-1,CDM!$V$4:$AJ$17,14,FALSE)/12,0)+IFERROR(VLOOKUP($B53,CDM!$V$41:$AJ$54,14,FALSE)/24,0)+IFERROR(VLOOKUP($B53,CDM!$V$41:$AJ$54,14,FALSE)/2*$C53/78,0)</f>
        <v>400708.63445250416</v>
      </c>
      <c r="BW53" s="560">
        <f t="shared" si="182"/>
        <v>7443530.8234592555</v>
      </c>
      <c r="BX53" s="560">
        <f>IFERROR(HLOOKUP(B53-1,'EV Forecast WRZ'!$F$124:$T$130,5,FALSE)/12,0)+IFERROR(((HLOOKUP(B53,'EV Forecast WRZ'!$F$116:$T$122,5,FALSE)-HLOOKUP(B53-1,'EV Forecast WRZ'!$F$124:$T$130,5,FALSE)))*C53/78,0)</f>
        <v>539.5932948717948</v>
      </c>
      <c r="BY53" s="560">
        <f t="shared" si="120"/>
        <v>7442991.2301643835</v>
      </c>
      <c r="BZ53" s="560">
        <v>248648.40252534914</v>
      </c>
      <c r="CA53" s="560">
        <v>1978.182430566919</v>
      </c>
      <c r="CB53" s="560">
        <v>153985.98622536828</v>
      </c>
      <c r="CC53" s="5">
        <v>56223.519999999997</v>
      </c>
      <c r="CD53" s="5">
        <v>12846.56</v>
      </c>
      <c r="CE53" s="5">
        <v>789.37</v>
      </c>
      <c r="CF53" s="544">
        <f t="shared" si="184"/>
        <v>6</v>
      </c>
      <c r="CG53" s="565">
        <v>41710</v>
      </c>
      <c r="CH53" s="565">
        <v>2277.6666666666661</v>
      </c>
      <c r="CI53" s="565">
        <v>380</v>
      </c>
      <c r="CJ53" s="565">
        <v>3</v>
      </c>
      <c r="CK53" s="565">
        <v>12666.333333333336</v>
      </c>
      <c r="CL53" s="565">
        <v>37</v>
      </c>
      <c r="CM53" s="565">
        <v>388.33333333333326</v>
      </c>
      <c r="CN53" s="46">
        <f>Weather!C77</f>
        <v>439.67500000000013</v>
      </c>
      <c r="CO53" s="46">
        <f>Weather!D77</f>
        <v>0</v>
      </c>
      <c r="CP53" s="46">
        <f>Weather!E77</f>
        <v>379.67500000000013</v>
      </c>
      <c r="CQ53" s="46">
        <f>Weather!F77</f>
        <v>0</v>
      </c>
      <c r="CR53" s="46">
        <f>Weather!G77</f>
        <v>319.67500000000007</v>
      </c>
      <c r="CS53" s="46">
        <f>Weather!H77</f>
        <v>0</v>
      </c>
      <c r="CT53" s="46">
        <f>Weather!I77</f>
        <v>259.67500000000007</v>
      </c>
      <c r="CU53" s="46">
        <f>Weather!J77</f>
        <v>0</v>
      </c>
      <c r="CV53" s="46">
        <f>Weather!K77</f>
        <v>199.67500000000004</v>
      </c>
      <c r="CW53" s="46">
        <f>Weather!L77</f>
        <v>0</v>
      </c>
      <c r="CX53" s="46">
        <f>Weather!M77</f>
        <v>141.82916666666665</v>
      </c>
      <c r="CY53" s="46">
        <f>Weather!N77</f>
        <v>2.1541666666666721</v>
      </c>
      <c r="CZ53" s="46">
        <f>Weather!O77</f>
        <v>89.183333333333337</v>
      </c>
      <c r="DA53" s="46">
        <f>Weather!P77</f>
        <v>9.5083333333333364</v>
      </c>
      <c r="DB53" s="243">
        <f>'Economic Data'!D79</f>
        <v>6961.6</v>
      </c>
      <c r="DC53" s="243">
        <f>'Economic Data'!E79</f>
        <v>6893.7</v>
      </c>
      <c r="DD53" s="243">
        <f>'Economic Data'!F79</f>
        <v>202.5</v>
      </c>
      <c r="DE53" s="243">
        <f>'Economic Data'!G79</f>
        <v>203.5</v>
      </c>
      <c r="DF53" s="243">
        <f>'Economic Data'!H79</f>
        <v>47.5</v>
      </c>
      <c r="DG53" s="243">
        <f>'Economic Data'!I79</f>
        <v>47.5</v>
      </c>
      <c r="DH53" s="243">
        <f>'Economic Data'!J79</f>
        <v>769942</v>
      </c>
      <c r="DI53" s="243">
        <f>'Economic Data'!K79</f>
        <v>596521.6</v>
      </c>
      <c r="DJ53" s="243">
        <f>'Economic Data'!L79</f>
        <v>85928.9</v>
      </c>
      <c r="DK53" s="243">
        <f>'Economic Data'!M79</f>
        <v>23899.8</v>
      </c>
      <c r="DL53" s="243">
        <f>'Economic Data'!N79</f>
        <v>705711</v>
      </c>
      <c r="DM53" s="243">
        <f>'Economic Data'!O79</f>
        <v>72955</v>
      </c>
      <c r="DN53" s="243">
        <f>'Economic Data'!P79</f>
        <v>8883</v>
      </c>
      <c r="DO53" s="243">
        <f>'Economic Data'!Q79</f>
        <v>552176</v>
      </c>
      <c r="DP53" s="243">
        <f>'Economic Data'!R79</f>
        <v>21006</v>
      </c>
      <c r="DQ53">
        <v>30</v>
      </c>
      <c r="DR53">
        <v>21</v>
      </c>
      <c r="DS53">
        <v>0</v>
      </c>
      <c r="DT53">
        <v>0</v>
      </c>
      <c r="DU53">
        <v>0</v>
      </c>
      <c r="DV53">
        <v>1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1</v>
      </c>
      <c r="EF53">
        <v>0</v>
      </c>
      <c r="EG53">
        <v>1</v>
      </c>
      <c r="EH53">
        <f t="shared" si="66"/>
        <v>52</v>
      </c>
      <c r="EI53">
        <v>1</v>
      </c>
      <c r="EJ53">
        <v>1</v>
      </c>
      <c r="EK53">
        <v>1</v>
      </c>
      <c r="EL53">
        <v>1</v>
      </c>
      <c r="EM53" s="47">
        <f t="shared" si="121"/>
        <v>439.67500000000013</v>
      </c>
      <c r="EN53" s="47">
        <f t="shared" si="122"/>
        <v>0</v>
      </c>
      <c r="EO53" s="47">
        <f t="shared" si="123"/>
        <v>379.67500000000013</v>
      </c>
      <c r="EP53" s="47">
        <f t="shared" si="124"/>
        <v>0</v>
      </c>
      <c r="EQ53" s="47">
        <f t="shared" si="125"/>
        <v>319.67500000000007</v>
      </c>
      <c r="ER53" s="47">
        <f t="shared" si="126"/>
        <v>0</v>
      </c>
      <c r="ES53" s="47">
        <f t="shared" si="127"/>
        <v>259.67500000000007</v>
      </c>
      <c r="ET53" s="47">
        <f t="shared" si="128"/>
        <v>0</v>
      </c>
      <c r="EU53" s="47">
        <f t="shared" si="129"/>
        <v>199.67500000000004</v>
      </c>
      <c r="EV53" s="47">
        <f t="shared" si="130"/>
        <v>0</v>
      </c>
      <c r="EW53" s="47">
        <f t="shared" si="131"/>
        <v>141.82916666666665</v>
      </c>
      <c r="EX53" s="47">
        <f t="shared" si="132"/>
        <v>2.1541666666666721</v>
      </c>
      <c r="EY53" s="47">
        <f t="shared" si="133"/>
        <v>89.183333333333337</v>
      </c>
      <c r="EZ53" s="47">
        <f t="shared" si="134"/>
        <v>9.5083333333333364</v>
      </c>
      <c r="FA53" s="47">
        <f t="shared" si="135"/>
        <v>439.67500000000013</v>
      </c>
      <c r="FB53" s="47">
        <f t="shared" si="136"/>
        <v>0</v>
      </c>
      <c r="FC53" s="47">
        <f t="shared" si="137"/>
        <v>379.67500000000013</v>
      </c>
      <c r="FD53" s="47">
        <f t="shared" si="138"/>
        <v>0</v>
      </c>
      <c r="FE53" s="47">
        <f t="shared" si="139"/>
        <v>319.67500000000007</v>
      </c>
      <c r="FF53" s="47">
        <f t="shared" si="140"/>
        <v>0</v>
      </c>
      <c r="FG53" s="47">
        <f t="shared" si="141"/>
        <v>259.67500000000007</v>
      </c>
      <c r="FH53" s="47">
        <f t="shared" si="142"/>
        <v>0</v>
      </c>
      <c r="FI53" s="47">
        <f t="shared" si="143"/>
        <v>199.67500000000004</v>
      </c>
      <c r="FJ53" s="47">
        <f t="shared" si="144"/>
        <v>0</v>
      </c>
      <c r="FK53" s="47">
        <f t="shared" si="145"/>
        <v>141.82916666666665</v>
      </c>
      <c r="FL53" s="47">
        <f t="shared" si="146"/>
        <v>2.1541666666666721</v>
      </c>
      <c r="FM53" s="47">
        <f t="shared" si="147"/>
        <v>89.183333333333337</v>
      </c>
      <c r="FN53" s="47">
        <f t="shared" si="148"/>
        <v>9.5083333333333364</v>
      </c>
      <c r="FO53" s="546">
        <f t="shared" ca="1" si="149"/>
        <v>662.90642023449516</v>
      </c>
      <c r="FP53" s="546">
        <f t="shared" si="150"/>
        <v>602.08384859322302</v>
      </c>
      <c r="FQ53" s="546">
        <f t="shared" si="151"/>
        <v>2006.0341923706883</v>
      </c>
      <c r="FR53" s="546">
        <f t="shared" si="152"/>
        <v>62761.645273524598</v>
      </c>
      <c r="FS53" s="546">
        <f t="shared" si="153"/>
        <v>1577712.4246085223</v>
      </c>
      <c r="FT53" s="546">
        <f t="shared" si="154"/>
        <v>5220931.5872843098</v>
      </c>
      <c r="FU53" s="546">
        <f t="shared" si="155"/>
        <v>27.134858604730173</v>
      </c>
      <c r="FV53" s="546">
        <f t="shared" si="156"/>
        <v>89.909921547926899</v>
      </c>
      <c r="FW53" s="546">
        <f t="shared" si="157"/>
        <v>477.252924805124</v>
      </c>
      <c r="FX53" s="546">
        <f t="shared" si="158"/>
        <v>661.40305016301863</v>
      </c>
      <c r="FY53" s="546">
        <f t="shared" si="159"/>
        <v>2358.8545664831922</v>
      </c>
      <c r="FZ53" s="546">
        <f t="shared" si="160"/>
        <v>65790.1264781809</v>
      </c>
      <c r="GA53" s="546">
        <f t="shared" si="161"/>
        <v>82882.800841783042</v>
      </c>
      <c r="GB53" s="546">
        <f t="shared" si="162"/>
        <v>19.630653637623286</v>
      </c>
      <c r="GC53" s="546">
        <f t="shared" si="163"/>
        <v>53.464390015322138</v>
      </c>
      <c r="GD53" s="546">
        <f t="shared" si="164"/>
        <v>396.53043663184974</v>
      </c>
    </row>
    <row r="54" spans="1:186">
      <c r="A54" s="4">
        <v>43952</v>
      </c>
      <c r="B54" s="6">
        <v>2020</v>
      </c>
      <c r="C54" s="5">
        <v>5</v>
      </c>
      <c r="D54" s="7">
        <v>73135111.652509913</v>
      </c>
      <c r="E54" s="7">
        <f>IFERROR(VLOOKUP($B54-1,CDM!$V$4:$AJ$17,2,FALSE)/12,0)+IFERROR(VLOOKUP($B54,CDM!$V$41:$AJ$54,2,FALSE)/24,0)+IFERROR(VLOOKUP($B54,CDM!$V$41:$AJ$54,2,FALSE)/2*$C54/78,0)</f>
        <v>3830133.6365806572</v>
      </c>
      <c r="F54" s="7">
        <f t="shared" si="165"/>
        <v>76965245.289090574</v>
      </c>
      <c r="G54" s="7">
        <f>IFERROR(HLOOKUP(B54-1,'EV Forecast VRZ'!$F$124:$T$130,2,FALSE)/12,0)+IFERROR(((HLOOKUP(B54,'EV Forecast VRZ'!$F$116:$T$122,2,FALSE)-HLOOKUP(B54-1,'EV Forecast VRZ'!$F$124:$T$130,2,FALSE)))*C54/78,0)</f>
        <v>220642.0421354986</v>
      </c>
      <c r="H54" s="7">
        <f ca="1">HLOOKUP(B54,Heating!$C$102:$O$106,2,FALSE)*INDEX(Weather!$BO$1:$CB$20,MATCH(B54,Weather!$BO$1:$BO$20,0),MATCH(C54,Weather!$BO$1:$CB$1,0))/VLOOKUP(B54,Weather!$BO$2:$CB$20,14,FALSE)*
VLOOKUP('Monthly Data'!$B54,Weather!$BO$3:$CB$20,14,FALSE)/Weather!$CB$14</f>
        <v>164443.58155789628</v>
      </c>
      <c r="I54" s="7">
        <f t="shared" ca="1" si="166"/>
        <v>76580159.665397182</v>
      </c>
      <c r="J54" s="7">
        <v>929757.15446479584</v>
      </c>
      <c r="K54" s="7">
        <f>IFERROR(VLOOKUP($B54-1,CDM!$V$4:$AJ$17,3,FALSE)/12,0)+IFERROR(VLOOKUP($B54,CDM!$V$41:$AJ$54,3,FALSE)/24,0)+IFERROR(VLOOKUP($B54,CDM!$V$41:$AJ$54,3,FALSE)/2*$C54/78,0)</f>
        <v>43869.598352363937</v>
      </c>
      <c r="L54" s="7">
        <f t="shared" si="167"/>
        <v>973626.75281715975</v>
      </c>
      <c r="M54" s="7">
        <f>IFERROR(HLOOKUP(B54-1,'EV Forecast VRZ'!$F$124:$T$130,3,FALSE)/12,0)+IFERROR(((HLOOKUP(B54,'EV Forecast VRZ'!$F$116:$T$122,3,FALSE)-HLOOKUP(B54-1,'EV Forecast VRZ'!$F$124:$T$130,3,FALSE)))*C54/78,0)</f>
        <v>2993.9231209116283</v>
      </c>
      <c r="N54" s="7">
        <f ca="1">HLOOKUP(B54,Heating!$C$102:$O$106,3,FALSE)*INDEX(Weather!$BO$1:$CB$20,MATCH(B54,Weather!$BO$1:$BO$20,0),MATCH(C54,Weather!$BO$1:$CB$1,0))/VLOOKUP(B54,Weather!$BO$2:$CB$20,14,FALSE)*
VLOOKUP('Monthly Data'!$B54,Weather!$BO$3:$CB$20,14,FALSE)/Weather!$CB$14</f>
        <v>2175.5387257157736</v>
      </c>
      <c r="O54" s="7">
        <f t="shared" ca="1" si="168"/>
        <v>968457.29097053234</v>
      </c>
      <c r="P54" s="7">
        <v>17544166.519729059</v>
      </c>
      <c r="Q54" s="7">
        <f>IFERROR(VLOOKUP($B54-1,CDM!$V$4:$AJ$17,4,FALSE)/12,0)+IFERROR(VLOOKUP($B54,CDM!$V$41:$AJ$54,4,FALSE)/24,0)+IFERROR(VLOOKUP($B54,CDM!$V$41:$AJ$54,4,FALSE)/2*$C54/78,0)</f>
        <v>1339893.2380960525</v>
      </c>
      <c r="R54" s="7">
        <f t="shared" si="169"/>
        <v>18884059.75782511</v>
      </c>
      <c r="S54" s="7">
        <f>IFERROR(HLOOKUP(B54-1,'EV Forecast VRZ'!$F$124:$T$130,4,FALSE)/12,0)+IFERROR(((HLOOKUP(B54,'EV Forecast VRZ'!$F$116:$T$122,4,FALSE)-HLOOKUP(B54-1,'EV Forecast VRZ'!$F$124:$T$130,4,FALSE)))*C54/78,0)</f>
        <v>27569.163333333338</v>
      </c>
      <c r="T54" s="7">
        <f ca="1">HLOOKUP(B54,Heating!$C$102:$O$106,4,FALSE)*INDEX(Weather!$BO$1:$CB$20,MATCH(B54,Weather!$BO$1:$BO$20,0),MATCH(C54,Weather!$BO$1:$CB$1,0))/VLOOKUP(B54,Weather!$BO$2:$CB$20,14,FALSE)*
VLOOKUP('Monthly Data'!$B54,Weather!$BO$3:$CB$20,14,FALSE)/Weather!$CB$14</f>
        <v>41096.28352585926</v>
      </c>
      <c r="U54" s="7">
        <f t="shared" ca="1" si="170"/>
        <v>18815394.310965918</v>
      </c>
      <c r="V54" s="7">
        <v>62672150.287575491</v>
      </c>
      <c r="W54" s="7">
        <f>IFERROR(VLOOKUP($B54-1,CDM!$V$4:$AJ$17,5,FALSE)/12,0)+IFERROR(VLOOKUP($B54,CDM!$V$41:$AJ$54,5,FALSE)/24,0)+IFERROR(VLOOKUP($B54,CDM!$V$41:$AJ$54,5,FALSE)/2*$C54/78,0)</f>
        <v>4797352.9057531683</v>
      </c>
      <c r="X54" s="7">
        <f t="shared" si="171"/>
        <v>67469503.193328664</v>
      </c>
      <c r="Y54" s="7">
        <f>IFERROR(HLOOKUP(B54-1,'EV Forecast VRZ'!$F$124:$T$130,5,FALSE)/12,0)+IFERROR(((HLOOKUP(B54,'EV Forecast VRZ'!$F$116:$T$122,5,FALSE)-HLOOKUP(B54-1,'EV Forecast VRZ'!$F$124:$T$130,5,FALSE)))*C54/78,0)</f>
        <v>12508.046576923076</v>
      </c>
      <c r="Z54" s="7">
        <f ca="1">HLOOKUP(B54,Heating!$C$102:$O$106,5,FALSE)*INDEX(Weather!$BO$1:$CB$20,MATCH(B54,Weather!$BO$1:$BO$20,0),MATCH(C54,Weather!$BO$1:$CB$1,0))/VLOOKUP(B54,Weather!$BO$2:$CB$20,14,FALSE)*
VLOOKUP('Monthly Data'!$B54,Weather!$BO$3:$CB$20,14,FALSE)/Weather!$CB$14</f>
        <v>23177.268673205705</v>
      </c>
      <c r="AA54" s="7">
        <f t="shared" ca="1" si="172"/>
        <v>67433817.878078535</v>
      </c>
      <c r="AB54" s="7">
        <v>6777426.0769794425</v>
      </c>
      <c r="AC54" s="7">
        <f>IFERROR(VLOOKUP($B54-1,CDM!$V$4:$AJ$17,6,FALSE)/12,0)+IFERROR(VLOOKUP($B54,CDM!$V$41:$AJ$54,6,FALSE)/24,0)+IFERROR(VLOOKUP($B54,CDM!$V$41:$AJ$54,6,FALSE)/2*$C54/78,0)</f>
        <v>225402.4038799346</v>
      </c>
      <c r="AD54" s="7">
        <f t="shared" si="173"/>
        <v>7002828.4808593774</v>
      </c>
      <c r="AE54" s="7">
        <f>IFERROR(HLOOKUP(B54-1,'EV Forecast VRZ'!$F$124:$T$130,6,FALSE)/12,0)+IFERROR(((HLOOKUP(B54,'EV Forecast VRZ'!$F$116:$T$122,6,FALSE)-HLOOKUP(B54-1,'EV Forecast VRZ'!$F$124:$T$130,6,FALSE)))*C54/78,0)</f>
        <v>1786.1504743589742</v>
      </c>
      <c r="AF54" s="7">
        <f t="shared" si="174"/>
        <v>7001042.3303850181</v>
      </c>
      <c r="AG54" s="7">
        <v>20554898.119350739</v>
      </c>
      <c r="AH54" s="7">
        <f>IFERROR(VLOOKUP($B54-1,CDM!$V$4:$AJ$17,7,FALSE)/12,0)+IFERROR(VLOOKUP($B54,CDM!$V$41:$AJ$54,7,FALSE)/24,0)+IFERROR(VLOOKUP($B54,CDM!$V$41:$AJ$54,7,FALSE)/2*$C54/78,0)</f>
        <v>1620276.7707111773</v>
      </c>
      <c r="AI54" s="7">
        <f t="shared" si="175"/>
        <v>22175174.890061915</v>
      </c>
      <c r="AJ54" s="7">
        <f>IFERROR(HLOOKUP(B54-1,'EV Forecast VRZ'!$F$124:$T$130,7,FALSE)/12,0)+IFERROR(((HLOOKUP(B54,'EV Forecast VRZ'!$F$116:$T$122,7,FALSE)-HLOOKUP(B54-1,'EV Forecast VRZ'!$F$124:$T$130,7,FALSE)))*C54/78,0)</f>
        <v>0</v>
      </c>
      <c r="AK54" s="7">
        <f t="shared" si="176"/>
        <v>22175174.890061915</v>
      </c>
      <c r="AL54" s="7">
        <v>773777.56153405842</v>
      </c>
      <c r="AM54" s="7">
        <v>19395.020034344594</v>
      </c>
      <c r="AN54" s="7">
        <v>383108.02327800042</v>
      </c>
      <c r="AO54" s="5">
        <v>174188.07</v>
      </c>
      <c r="AP54" s="5">
        <v>15899.33</v>
      </c>
      <c r="AQ54" s="5">
        <v>37167</v>
      </c>
      <c r="AR54" s="5">
        <v>2698.5</v>
      </c>
      <c r="AS54" s="544">
        <f t="shared" si="183"/>
        <v>53.5</v>
      </c>
      <c r="AT54" s="557">
        <v>112101.75</v>
      </c>
      <c r="AU54" s="557">
        <v>1561</v>
      </c>
      <c r="AV54" s="557">
        <v>9275.5</v>
      </c>
      <c r="AW54" s="557">
        <v>1029</v>
      </c>
      <c r="AX54" s="557">
        <v>4.4166666666666652</v>
      </c>
      <c r="AY54" s="557">
        <v>4</v>
      </c>
      <c r="AZ54" s="557">
        <v>31361.166666666661</v>
      </c>
      <c r="BA54" s="557">
        <v>256.25</v>
      </c>
      <c r="BB54" s="557">
        <v>802.33333333333314</v>
      </c>
      <c r="BC54" s="560">
        <v>28778263.172976941</v>
      </c>
      <c r="BD54" s="560">
        <f>IFERROR(VLOOKUP($B54-1,CDM!$V$4:$AJ$17,11,FALSE)/12,0)+IFERROR(VLOOKUP($B54,CDM!$V$41:$AJ$54,11,FALSE)/24,0)+IFERROR(VLOOKUP($B54,CDM!$V$41:$AJ$54,11,FALSE)/2*$C54/78,0)</f>
        <v>1919845.1866127173</v>
      </c>
      <c r="BE54" s="560">
        <f t="shared" si="119"/>
        <v>30698108.359589659</v>
      </c>
      <c r="BF54" s="560">
        <f>IFERROR(HLOOKUP(B54-1,'EV Forecast WRZ'!$F$124:$T$130,2,FALSE)/12,0)+IFERROR(((HLOOKUP(B54,'EV Forecast WRZ'!$F$116:$T$122,2,FALSE)-HLOOKUP(B54-1,'EV Forecast WRZ'!$F$124:$T$130,2,FALSE)))*C54/78,0)</f>
        <v>68024.258333333346</v>
      </c>
      <c r="BG54" s="560">
        <f ca="1">HLOOKUP(B54,Heating!$R$102:$AD$106,2,FALSE)*INDEX(Weather!$BO$1:$CB$20,MATCH(B54,Weather!$BO$1:$BO$20,0),MATCH(C54,Weather!$BO$1:$CB$1,0))/VLOOKUP(B54,Weather!$BO$2:$CB$20,14,FALSE)*
VLOOKUP('Monthly Data'!$B54,Weather!$BO$3:$CB$20,14,FALSE)/Weather!$CB$14</f>
        <v>64790.489142511258</v>
      </c>
      <c r="BH54" s="560">
        <f t="shared" ca="1" si="177"/>
        <v>30565293.612113815</v>
      </c>
      <c r="BI54" s="560">
        <v>5356769.0558637744</v>
      </c>
      <c r="BJ54" s="560">
        <f>IFERROR(VLOOKUP($B54-1,CDM!$V$4:$AJ$17,12,FALSE)/12,0)+IFERROR(VLOOKUP($B54,CDM!$V$41:$AJ$54,12,FALSE)/24,0)+IFERROR(VLOOKUP($B54,CDM!$V$41:$AJ$54,12,FALSE)/2*$C54/78,0)</f>
        <v>216181.80206587008</v>
      </c>
      <c r="BK54" s="560">
        <f t="shared" si="178"/>
        <v>5572950.8579296442</v>
      </c>
      <c r="BL54" s="560">
        <f>IFERROR(HLOOKUP(B54-1,'EV Forecast WRZ'!$F$124:$T$130,3,FALSE)/12,0)+IFERROR(((HLOOKUP(B54,'EV Forecast WRZ'!$F$116:$T$122,3,FALSE)-HLOOKUP(B54-1,'EV Forecast WRZ'!$F$124:$T$130,3,FALSE)))*C54/78,0)</f>
        <v>8409.0756410256417</v>
      </c>
      <c r="BM54" s="560">
        <f ca="1">HLOOKUP(B54,Heating!$R$102:$AD$106,4,FALSE)*INDEX(Weather!$BO$1:$CB$20,MATCH(B54,Weather!$BO$1:$BO$20,0),MATCH(C54,Weather!$BO$1:$CB$1,0))/VLOOKUP(B54,Weather!$BO$2:$CB$20,14,FALSE)*
VLOOKUP('Monthly Data'!$B54,Weather!$BO$3:$CB$20,14,FALSE)/Weather!$CB$14</f>
        <v>10240.181379528754</v>
      </c>
      <c r="BN54" s="560">
        <f t="shared" ca="1" si="179"/>
        <v>5554301.6009090897</v>
      </c>
      <c r="BO54" s="560">
        <v>22580547.775442809</v>
      </c>
      <c r="BP54" s="560">
        <f>IFERROR(VLOOKUP($B54-1,CDM!$V$4:$AJ$17,13,FALSE)/12,0)+IFERROR(VLOOKUP($B54,CDM!$V$41:$AJ$54,13,FALSE)/24,0)+IFERROR(VLOOKUP($B54,CDM!$V$41:$AJ$54,13,FALSE)/2*$C54/78,0)</f>
        <v>1807565.4012593231</v>
      </c>
      <c r="BQ54" s="560">
        <f t="shared" si="180"/>
        <v>24388113.176702131</v>
      </c>
      <c r="BR54" s="560">
        <f>IFERROR(HLOOKUP(B54-1,'EV Forecast WRZ'!$F$124:$T$130,4,FALSE)/12,0)+IFERROR(((HLOOKUP(B54,'EV Forecast WRZ'!$F$116:$T$122,4,FALSE)-HLOOKUP(B54-1,'EV Forecast WRZ'!$F$124:$T$130,4,FALSE)))*C54/78,0)</f>
        <v>3816.9686538461538</v>
      </c>
      <c r="BS54" s="560">
        <f ca="1">HLOOKUP(B54,Heating!$R$102:$AD$106,5,FALSE)*INDEX(Weather!$BO$1:$CB$20,MATCH(B54,Weather!$BO$1:$BO$20,0),MATCH(C54,Weather!$BO$1:$CB$1,0))/VLOOKUP(B54,Weather!$BO$2:$CB$20,14,FALSE)*
VLOOKUP('Monthly Data'!$B54,Weather!$BO$3:$CB$20,14,FALSE)/Weather!$CB$14</f>
        <v>6854.0421395994399</v>
      </c>
      <c r="BT54" s="560">
        <f t="shared" ca="1" si="181"/>
        <v>24377442.165908683</v>
      </c>
      <c r="BU54" s="560">
        <v>7201133.7222757963</v>
      </c>
      <c r="BV54" s="560">
        <f>IFERROR(VLOOKUP($B54-1,CDM!$V$4:$AJ$17,14,FALSE)/12,0)+IFERROR(VLOOKUP($B54,CDM!$V$41:$AJ$54,14,FALSE)/24,0)+IFERROR(VLOOKUP($B54,CDM!$V$41:$AJ$54,14,FALSE)/2*$C54/78,0)</f>
        <v>406380.7505840442</v>
      </c>
      <c r="BW54" s="560">
        <f t="shared" si="182"/>
        <v>7607514.4728598408</v>
      </c>
      <c r="BX54" s="560">
        <f>IFERROR(HLOOKUP(B54-1,'EV Forecast WRZ'!$F$124:$T$130,5,FALSE)/12,0)+IFERROR(((HLOOKUP(B54,'EV Forecast WRZ'!$F$116:$T$122,5,FALSE)-HLOOKUP(B54-1,'EV Forecast WRZ'!$F$124:$T$130,5,FALSE)))*C54/78,0)</f>
        <v>551.99224358974357</v>
      </c>
      <c r="BY54" s="560">
        <f t="shared" si="120"/>
        <v>7606962.480616251</v>
      </c>
      <c r="BZ54" s="560">
        <v>226658.66653912375</v>
      </c>
      <c r="CA54" s="560">
        <v>1978.182430566919</v>
      </c>
      <c r="CB54" s="560">
        <v>154234.97225942221</v>
      </c>
      <c r="CC54" s="5">
        <v>59109.01</v>
      </c>
      <c r="CD54" s="5">
        <v>12500.13</v>
      </c>
      <c r="CE54" s="5">
        <v>790.42</v>
      </c>
      <c r="CF54" s="544">
        <f t="shared" si="184"/>
        <v>6</v>
      </c>
      <c r="CG54" s="565">
        <v>41778.25</v>
      </c>
      <c r="CH54" s="565">
        <v>2280.3333333333326</v>
      </c>
      <c r="CI54" s="565">
        <v>380.75</v>
      </c>
      <c r="CJ54" s="565">
        <v>3</v>
      </c>
      <c r="CK54" s="565">
        <v>12682.91666666667</v>
      </c>
      <c r="CL54" s="565">
        <v>37</v>
      </c>
      <c r="CM54" s="565">
        <v>388.66666666666657</v>
      </c>
      <c r="CN54" s="46">
        <f>Weather!C78</f>
        <v>265.14107142857148</v>
      </c>
      <c r="CO54" s="46">
        <f>Weather!D78</f>
        <v>7.9916666666666636</v>
      </c>
      <c r="CP54" s="46">
        <f>Weather!E78</f>
        <v>212.73690476190475</v>
      </c>
      <c r="CQ54" s="46">
        <f>Weather!F78</f>
        <v>17.587499999999995</v>
      </c>
      <c r="CR54" s="46">
        <f>Weather!G78</f>
        <v>164.60000000000005</v>
      </c>
      <c r="CS54" s="46">
        <f>Weather!H78</f>
        <v>31.450595238095232</v>
      </c>
      <c r="CT54" s="46">
        <f>Weather!I78</f>
        <v>122.05</v>
      </c>
      <c r="CU54" s="46">
        <f>Weather!J78</f>
        <v>50.900595238095221</v>
      </c>
      <c r="CV54" s="46">
        <f>Weather!K78</f>
        <v>86.899999999999977</v>
      </c>
      <c r="CW54" s="46">
        <f>Weather!L78</f>
        <v>77.750595238095229</v>
      </c>
      <c r="CX54" s="46">
        <f>Weather!M78</f>
        <v>59.029166666666669</v>
      </c>
      <c r="CY54" s="46">
        <f>Weather!N78</f>
        <v>111.87976190476191</v>
      </c>
      <c r="CZ54" s="46">
        <f>Weather!O78</f>
        <v>36.524999999999999</v>
      </c>
      <c r="DA54" s="46">
        <f>Weather!P78</f>
        <v>151.37559523809523</v>
      </c>
      <c r="DB54" s="243">
        <f>'Economic Data'!D80</f>
        <v>6572.6</v>
      </c>
      <c r="DC54" s="243">
        <f>'Economic Data'!E80</f>
        <v>6550.9</v>
      </c>
      <c r="DD54" s="243">
        <f>'Economic Data'!F80</f>
        <v>195.4</v>
      </c>
      <c r="DE54" s="243">
        <f>'Economic Data'!G80</f>
        <v>197</v>
      </c>
      <c r="DF54" s="243">
        <f>'Economic Data'!H80</f>
        <v>43.9</v>
      </c>
      <c r="DG54" s="243">
        <f>'Economic Data'!I80</f>
        <v>43.9</v>
      </c>
      <c r="DH54" s="243">
        <f>'Economic Data'!J80</f>
        <v>769942</v>
      </c>
      <c r="DI54" s="243">
        <f>'Economic Data'!K80</f>
        <v>596521.6</v>
      </c>
      <c r="DJ54" s="243">
        <f>'Economic Data'!L80</f>
        <v>85928.9</v>
      </c>
      <c r="DK54" s="243">
        <f>'Economic Data'!M80</f>
        <v>23899.8</v>
      </c>
      <c r="DL54" s="243">
        <f>'Economic Data'!N80</f>
        <v>705711</v>
      </c>
      <c r="DM54" s="243">
        <f>'Economic Data'!O80</f>
        <v>72955</v>
      </c>
      <c r="DN54" s="243">
        <f>'Economic Data'!P80</f>
        <v>8883</v>
      </c>
      <c r="DO54" s="243">
        <f>'Economic Data'!Q80</f>
        <v>552176</v>
      </c>
      <c r="DP54" s="243">
        <f>'Economic Data'!R80</f>
        <v>21006</v>
      </c>
      <c r="DQ54">
        <v>31</v>
      </c>
      <c r="DR54">
        <v>20</v>
      </c>
      <c r="DS54">
        <v>0</v>
      </c>
      <c r="DT54">
        <v>0</v>
      </c>
      <c r="DU54">
        <v>0</v>
      </c>
      <c r="DV54">
        <v>0</v>
      </c>
      <c r="DW54">
        <v>1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1</v>
      </c>
      <c r="EF54">
        <v>0</v>
      </c>
      <c r="EG54">
        <v>1</v>
      </c>
      <c r="EH54">
        <f t="shared" si="66"/>
        <v>53</v>
      </c>
      <c r="EI54">
        <v>1</v>
      </c>
      <c r="EJ54">
        <v>1</v>
      </c>
      <c r="EK54">
        <v>1</v>
      </c>
      <c r="EL54">
        <v>1</v>
      </c>
      <c r="EM54" s="47">
        <f t="shared" si="121"/>
        <v>265.14107142857148</v>
      </c>
      <c r="EN54" s="47">
        <f t="shared" si="122"/>
        <v>7.9916666666666636</v>
      </c>
      <c r="EO54" s="47">
        <f t="shared" si="123"/>
        <v>212.73690476190475</v>
      </c>
      <c r="EP54" s="47">
        <f t="shared" si="124"/>
        <v>17.587499999999995</v>
      </c>
      <c r="EQ54" s="47">
        <f t="shared" si="125"/>
        <v>164.60000000000005</v>
      </c>
      <c r="ER54" s="47">
        <f t="shared" si="126"/>
        <v>31.450595238095232</v>
      </c>
      <c r="ES54" s="47">
        <f t="shared" si="127"/>
        <v>122.05</v>
      </c>
      <c r="ET54" s="47">
        <f t="shared" si="128"/>
        <v>50.900595238095221</v>
      </c>
      <c r="EU54" s="47">
        <f t="shared" si="129"/>
        <v>86.899999999999977</v>
      </c>
      <c r="EV54" s="47">
        <f t="shared" si="130"/>
        <v>77.750595238095229</v>
      </c>
      <c r="EW54" s="47">
        <f t="shared" si="131"/>
        <v>59.029166666666669</v>
      </c>
      <c r="EX54" s="47">
        <f t="shared" si="132"/>
        <v>111.87976190476191</v>
      </c>
      <c r="EY54" s="47">
        <f t="shared" si="133"/>
        <v>36.524999999999999</v>
      </c>
      <c r="EZ54" s="47">
        <f t="shared" si="134"/>
        <v>151.37559523809523</v>
      </c>
      <c r="FA54" s="47">
        <f t="shared" si="135"/>
        <v>265.14107142857148</v>
      </c>
      <c r="FB54" s="47">
        <f t="shared" si="136"/>
        <v>7.9916666666666636</v>
      </c>
      <c r="FC54" s="47">
        <f t="shared" si="137"/>
        <v>212.73690476190475</v>
      </c>
      <c r="FD54" s="47">
        <f t="shared" si="138"/>
        <v>17.587499999999995</v>
      </c>
      <c r="FE54" s="47">
        <f t="shared" si="139"/>
        <v>164.60000000000005</v>
      </c>
      <c r="FF54" s="47">
        <f t="shared" si="140"/>
        <v>31.450595238095232</v>
      </c>
      <c r="FG54" s="47">
        <f t="shared" si="141"/>
        <v>122.05</v>
      </c>
      <c r="FH54" s="47">
        <f t="shared" si="142"/>
        <v>50.900595238095221</v>
      </c>
      <c r="FI54" s="47">
        <f t="shared" si="143"/>
        <v>86.899999999999977</v>
      </c>
      <c r="FJ54" s="47">
        <f t="shared" si="144"/>
        <v>77.750595238095229</v>
      </c>
      <c r="FK54" s="47">
        <f t="shared" si="145"/>
        <v>59.029166666666669</v>
      </c>
      <c r="FL54" s="47">
        <f t="shared" si="146"/>
        <v>111.87976190476191</v>
      </c>
      <c r="FM54" s="47">
        <f t="shared" si="147"/>
        <v>36.524999999999999</v>
      </c>
      <c r="FN54" s="47">
        <f t="shared" si="148"/>
        <v>151.37559523809523</v>
      </c>
      <c r="FO54" s="546">
        <f t="shared" ca="1" si="149"/>
        <v>683.13081343865895</v>
      </c>
      <c r="FP54" s="546">
        <f t="shared" si="150"/>
        <v>623.71989290016643</v>
      </c>
      <c r="FQ54" s="546">
        <f t="shared" si="151"/>
        <v>2035.9074721389802</v>
      </c>
      <c r="FR54" s="546">
        <f t="shared" si="152"/>
        <v>65568.03031421639</v>
      </c>
      <c r="FS54" s="546">
        <f t="shared" si="153"/>
        <v>1585546.0711379729</v>
      </c>
      <c r="FT54" s="546">
        <f t="shared" si="154"/>
        <v>5543793.7225154787</v>
      </c>
      <c r="FU54" s="546">
        <f t="shared" si="155"/>
        <v>24.673111487159552</v>
      </c>
      <c r="FV54" s="546">
        <f t="shared" si="156"/>
        <v>75.687883060856947</v>
      </c>
      <c r="FW54" s="546">
        <f t="shared" si="157"/>
        <v>477.49234309680162</v>
      </c>
      <c r="FX54" s="546">
        <f t="shared" si="158"/>
        <v>734.78684146869864</v>
      </c>
      <c r="FY54" s="546">
        <f t="shared" si="159"/>
        <v>2443.9193939174006</v>
      </c>
      <c r="FZ54" s="546">
        <f t="shared" si="160"/>
        <v>64052.825152205201</v>
      </c>
      <c r="GA54" s="546">
        <f t="shared" si="161"/>
        <v>75552.888846374582</v>
      </c>
      <c r="GB54" s="546">
        <f t="shared" si="162"/>
        <v>17.871178412362326</v>
      </c>
      <c r="GC54" s="546">
        <f t="shared" si="163"/>
        <v>53.464390015322138</v>
      </c>
      <c r="GD54" s="546">
        <f t="shared" si="164"/>
        <v>396.83097493847919</v>
      </c>
    </row>
    <row r="55" spans="1:186">
      <c r="A55" s="4">
        <v>43983</v>
      </c>
      <c r="B55" s="6">
        <v>2020</v>
      </c>
      <c r="C55" s="5">
        <v>6</v>
      </c>
      <c r="D55" s="7">
        <v>87460732.876911551</v>
      </c>
      <c r="E55" s="7">
        <f>IFERROR(VLOOKUP($B55-1,CDM!$V$4:$AJ$17,2,FALSE)/12,0)+IFERROR(VLOOKUP($B55,CDM!$V$41:$AJ$54,2,FALSE)/24,0)+IFERROR(VLOOKUP($B55,CDM!$V$41:$AJ$54,2,FALSE)/2*$C55/78,0)</f>
        <v>3831041.3823524732</v>
      </c>
      <c r="F55" s="7">
        <f t="shared" si="165"/>
        <v>91291774.259264022</v>
      </c>
      <c r="G55" s="7">
        <f>IFERROR(HLOOKUP(B55-1,'EV Forecast VRZ'!$F$124:$T$130,2,FALSE)/12,0)+IFERROR(((HLOOKUP(B55,'EV Forecast VRZ'!$F$116:$T$122,2,FALSE)-HLOOKUP(B55-1,'EV Forecast VRZ'!$F$124:$T$130,2,FALSE)))*C55/78,0)</f>
        <v>225414.34315826622</v>
      </c>
      <c r="H55" s="7">
        <f ca="1">HLOOKUP(B55,Heating!$C$102:$O$106,2,FALSE)*INDEX(Weather!$BO$1:$CB$20,MATCH(B55,Weather!$BO$1:$BO$20,0),MATCH(C55,Weather!$BO$1:$CB$1,0))/VLOOKUP(B55,Weather!$BO$2:$CB$20,14,FALSE)*
VLOOKUP('Monthly Data'!$B55,Weather!$BO$3:$CB$20,14,FALSE)/Weather!$CB$14</f>
        <v>22983.580730670121</v>
      </c>
      <c r="I55" s="7">
        <f t="shared" ca="1" si="166"/>
        <v>91043376.335375085</v>
      </c>
      <c r="J55" s="7">
        <v>851972.03507918329</v>
      </c>
      <c r="K55" s="7">
        <f>IFERROR(VLOOKUP($B55-1,CDM!$V$4:$AJ$17,3,FALSE)/12,0)+IFERROR(VLOOKUP($B55,CDM!$V$41:$AJ$54,3,FALSE)/24,0)+IFERROR(VLOOKUP($B55,CDM!$V$41:$AJ$54,3,FALSE)/2*$C55/78,0)</f>
        <v>43879.995494133422</v>
      </c>
      <c r="L55" s="7">
        <f t="shared" si="167"/>
        <v>895852.03057331673</v>
      </c>
      <c r="M55" s="7">
        <f>IFERROR(HLOOKUP(B55-1,'EV Forecast VRZ'!$F$124:$T$130,3,FALSE)/12,0)+IFERROR(((HLOOKUP(B55,'EV Forecast VRZ'!$F$116:$T$122,3,FALSE)-HLOOKUP(B55-1,'EV Forecast VRZ'!$F$124:$T$130,3,FALSE)))*C55/78,0)</f>
        <v>3058.6791494260842</v>
      </c>
      <c r="N55" s="7">
        <f ca="1">HLOOKUP(B55,Heating!$C$102:$O$106,3,FALSE)*INDEX(Weather!$BO$1:$CB$20,MATCH(B55,Weather!$BO$1:$BO$20,0),MATCH(C55,Weather!$BO$1:$CB$1,0))/VLOOKUP(B55,Weather!$BO$2:$CB$20,14,FALSE)*
VLOOKUP('Monthly Data'!$B55,Weather!$BO$3:$CB$20,14,FALSE)/Weather!$CB$14</f>
        <v>304.06580458467698</v>
      </c>
      <c r="O55" s="7">
        <f t="shared" ca="1" si="168"/>
        <v>892489.28561930603</v>
      </c>
      <c r="P55" s="7">
        <v>19750685.764605992</v>
      </c>
      <c r="Q55" s="7">
        <f>IFERROR(VLOOKUP($B55-1,CDM!$V$4:$AJ$17,4,FALSE)/12,0)+IFERROR(VLOOKUP($B55,CDM!$V$41:$AJ$54,4,FALSE)/24,0)+IFERROR(VLOOKUP($B55,CDM!$V$41:$AJ$54,4,FALSE)/2*$C55/78,0)</f>
        <v>1347120.4673599487</v>
      </c>
      <c r="R55" s="7">
        <f t="shared" si="169"/>
        <v>21097806.23196594</v>
      </c>
      <c r="S55" s="7">
        <f>IFERROR(HLOOKUP(B55-1,'EV Forecast VRZ'!$F$124:$T$130,4,FALSE)/12,0)+IFERROR(((HLOOKUP(B55,'EV Forecast VRZ'!$F$116:$T$122,4,FALSE)-HLOOKUP(B55-1,'EV Forecast VRZ'!$F$124:$T$130,4,FALSE)))*C55/78,0)</f>
        <v>28142.980000000003</v>
      </c>
      <c r="T55" s="7">
        <f ca="1">HLOOKUP(B55,Heating!$C$102:$O$106,4,FALSE)*INDEX(Weather!$BO$1:$CB$20,MATCH(B55,Weather!$BO$1:$BO$20,0),MATCH(C55,Weather!$BO$1:$CB$1,0))/VLOOKUP(B55,Weather!$BO$2:$CB$20,14,FALSE)*
VLOOKUP('Monthly Data'!$B55,Weather!$BO$3:$CB$20,14,FALSE)/Weather!$CB$14</f>
        <v>5743.8529445708227</v>
      </c>
      <c r="U55" s="7">
        <f t="shared" ca="1" si="170"/>
        <v>21063919.399021368</v>
      </c>
      <c r="V55" s="7">
        <v>70324187.91463396</v>
      </c>
      <c r="W55" s="7">
        <f>IFERROR(VLOOKUP($B55-1,CDM!$V$4:$AJ$17,5,FALSE)/12,0)+IFERROR(VLOOKUP($B55,CDM!$V$41:$AJ$54,5,FALSE)/24,0)+IFERROR(VLOOKUP($B55,CDM!$V$41:$AJ$54,5,FALSE)/2*$C55/78,0)</f>
        <v>4829291.6563776042</v>
      </c>
      <c r="X55" s="7">
        <f t="shared" si="171"/>
        <v>75153479.571011558</v>
      </c>
      <c r="Y55" s="7">
        <f>IFERROR(HLOOKUP(B55-1,'EV Forecast VRZ'!$F$124:$T$130,5,FALSE)/12,0)+IFERROR(((HLOOKUP(B55,'EV Forecast VRZ'!$F$116:$T$122,5,FALSE)-HLOOKUP(B55-1,'EV Forecast VRZ'!$F$124:$T$130,5,FALSE)))*C55/78,0)</f>
        <v>12766.648692307692</v>
      </c>
      <c r="Z55" s="7">
        <f ca="1">HLOOKUP(B55,Heating!$C$102:$O$106,5,FALSE)*INDEX(Weather!$BO$1:$CB$20,MATCH(B55,Weather!$BO$1:$BO$20,0),MATCH(C55,Weather!$BO$1:$CB$1,0))/VLOOKUP(B55,Weather!$BO$2:$CB$20,14,FALSE)*
VLOOKUP('Monthly Data'!$B55,Weather!$BO$3:$CB$20,14,FALSE)/Weather!$CB$14</f>
        <v>3239.3883702873877</v>
      </c>
      <c r="AA55" s="7">
        <f t="shared" ca="1" si="172"/>
        <v>75137473.533948958</v>
      </c>
      <c r="AB55" s="7">
        <v>7163169.2699294202</v>
      </c>
      <c r="AC55" s="7">
        <f>IFERROR(VLOOKUP($B55-1,CDM!$V$4:$AJ$17,6,FALSE)/12,0)+IFERROR(VLOOKUP($B55,CDM!$V$41:$AJ$54,6,FALSE)/24,0)+IFERROR(VLOOKUP($B55,CDM!$V$41:$AJ$54,6,FALSE)/2*$C55/78,0)</f>
        <v>226717.87549912048</v>
      </c>
      <c r="AD55" s="7">
        <f t="shared" si="173"/>
        <v>7389887.1454285411</v>
      </c>
      <c r="AE55" s="7">
        <f>IFERROR(HLOOKUP(B55-1,'EV Forecast VRZ'!$F$124:$T$130,6,FALSE)/12,0)+IFERROR(((HLOOKUP(B55,'EV Forecast VRZ'!$F$116:$T$122,6,FALSE)-HLOOKUP(B55-1,'EV Forecast VRZ'!$F$124:$T$130,6,FALSE)))*C55/78,0)</f>
        <v>1816.3797692307689</v>
      </c>
      <c r="AF55" s="7">
        <f t="shared" si="174"/>
        <v>7388070.7656593099</v>
      </c>
      <c r="AG55" s="7">
        <v>22503643.083232198</v>
      </c>
      <c r="AH55" s="7">
        <f>IFERROR(VLOOKUP($B55-1,CDM!$V$4:$AJ$17,7,FALSE)/12,0)+IFERROR(VLOOKUP($B55,CDM!$V$41:$AJ$54,7,FALSE)/24,0)+IFERROR(VLOOKUP($B55,CDM!$V$41:$AJ$54,7,FALSE)/2*$C55/78,0)</f>
        <v>1625308.7703224104</v>
      </c>
      <c r="AI55" s="7">
        <f t="shared" si="175"/>
        <v>24128951.853554606</v>
      </c>
      <c r="AJ55" s="7">
        <f>IFERROR(HLOOKUP(B55-1,'EV Forecast VRZ'!$F$124:$T$130,7,FALSE)/12,0)+IFERROR(((HLOOKUP(B55,'EV Forecast VRZ'!$F$116:$T$122,7,FALSE)-HLOOKUP(B55-1,'EV Forecast VRZ'!$F$124:$T$130,7,FALSE)))*C55/78,0)</f>
        <v>0</v>
      </c>
      <c r="AK55" s="7">
        <f t="shared" si="176"/>
        <v>24128951.853554606</v>
      </c>
      <c r="AL55" s="7">
        <v>702120.93112001533</v>
      </c>
      <c r="AM55" s="7">
        <v>22839.782484258729</v>
      </c>
      <c r="AN55" s="7">
        <v>383075.0143102461</v>
      </c>
      <c r="AO55" s="5">
        <v>184612.86</v>
      </c>
      <c r="AP55" s="5">
        <v>16313.12</v>
      </c>
      <c r="AQ55" s="5">
        <v>38634</v>
      </c>
      <c r="AR55" s="5">
        <v>2700.54</v>
      </c>
      <c r="AS55" s="544">
        <f t="shared" si="183"/>
        <v>53.5</v>
      </c>
      <c r="AT55" s="557">
        <v>112179.5</v>
      </c>
      <c r="AU55" s="557">
        <v>1561</v>
      </c>
      <c r="AV55" s="557">
        <v>9277</v>
      </c>
      <c r="AW55" s="557">
        <v>1031</v>
      </c>
      <c r="AX55" s="557">
        <v>4.4999999999999982</v>
      </c>
      <c r="AY55" s="557">
        <v>4</v>
      </c>
      <c r="AZ55" s="557">
        <v>31396.999999999993</v>
      </c>
      <c r="BA55" s="557">
        <v>255.5</v>
      </c>
      <c r="BB55" s="557">
        <v>801.99999999999977</v>
      </c>
      <c r="BC55" s="560">
        <v>36746109.836148746</v>
      </c>
      <c r="BD55" s="560">
        <f>IFERROR(VLOOKUP($B55-1,CDM!$V$4:$AJ$17,11,FALSE)/12,0)+IFERROR(VLOOKUP($B55,CDM!$V$41:$AJ$54,11,FALSE)/24,0)+IFERROR(VLOOKUP($B55,CDM!$V$41:$AJ$54,11,FALSE)/2*$C55/78,0)</f>
        <v>1919908.935381731</v>
      </c>
      <c r="BE55" s="560">
        <f t="shared" si="119"/>
        <v>38666018.771530479</v>
      </c>
      <c r="BF55" s="560">
        <f>IFERROR(HLOOKUP(B55-1,'EV Forecast WRZ'!$F$124:$T$130,2,FALSE)/12,0)+IFERROR(((HLOOKUP(B55,'EV Forecast WRZ'!$F$116:$T$122,2,FALSE)-HLOOKUP(B55-1,'EV Forecast WRZ'!$F$124:$T$130,2,FALSE)))*C55/78,0)</f>
        <v>69679.195000000007</v>
      </c>
      <c r="BG55" s="560">
        <f ca="1">HLOOKUP(B55,Heating!$R$102:$AD$106,2,FALSE)*INDEX(Weather!$BO$1:$CB$20,MATCH(B55,Weather!$BO$1:$BO$20,0),MATCH(C55,Weather!$BO$1:$CB$1,0))/VLOOKUP(B55,Weather!$BO$2:$CB$20,14,FALSE)*
VLOOKUP('Monthly Data'!$B55,Weather!$BO$3:$CB$20,14,FALSE)/Weather!$CB$14</f>
        <v>9055.4913951581275</v>
      </c>
      <c r="BH55" s="560">
        <f t="shared" ca="1" si="177"/>
        <v>38587284.085135318</v>
      </c>
      <c r="BI55" s="560">
        <v>6164251.8853931595</v>
      </c>
      <c r="BJ55" s="560">
        <f>IFERROR(VLOOKUP($B55-1,CDM!$V$4:$AJ$17,12,FALSE)/12,0)+IFERROR(VLOOKUP($B55,CDM!$V$41:$AJ$54,12,FALSE)/24,0)+IFERROR(VLOOKUP($B55,CDM!$V$41:$AJ$54,12,FALSE)/2*$C55/78,0)</f>
        <v>217058.42333783497</v>
      </c>
      <c r="BK55" s="560">
        <f t="shared" si="178"/>
        <v>6381310.3087309944</v>
      </c>
      <c r="BL55" s="560">
        <f>IFERROR(HLOOKUP(B55-1,'EV Forecast WRZ'!$F$124:$T$130,3,FALSE)/12,0)+IFERROR(((HLOOKUP(B55,'EV Forecast WRZ'!$F$116:$T$122,3,FALSE)-HLOOKUP(B55-1,'EV Forecast WRZ'!$F$124:$T$130,3,FALSE)))*C55/78,0)</f>
        <v>8610.9007692307696</v>
      </c>
      <c r="BM55" s="560">
        <f ca="1">HLOOKUP(B55,Heating!$R$102:$AD$106,4,FALSE)*INDEX(Weather!$BO$1:$CB$20,MATCH(B55,Weather!$BO$1:$BO$20,0),MATCH(C55,Weather!$BO$1:$CB$1,0))/VLOOKUP(B55,Weather!$BO$2:$CB$20,14,FALSE)*
VLOOKUP('Monthly Data'!$B55,Weather!$BO$3:$CB$20,14,FALSE)/Weather!$CB$14</f>
        <v>1431.2266444418287</v>
      </c>
      <c r="BN55" s="560">
        <f t="shared" ca="1" si="179"/>
        <v>6371268.181317322</v>
      </c>
      <c r="BO55" s="560">
        <v>27085779.65535875</v>
      </c>
      <c r="BP55" s="560">
        <f>IFERROR(VLOOKUP($B55-1,CDM!$V$4:$AJ$17,13,FALSE)/12,0)+IFERROR(VLOOKUP($B55,CDM!$V$41:$AJ$54,13,FALSE)/24,0)+IFERROR(VLOOKUP($B55,CDM!$V$41:$AJ$54,13,FALSE)/2*$C55/78,0)</f>
        <v>1832794.7480149497</v>
      </c>
      <c r="BQ55" s="560">
        <f t="shared" si="180"/>
        <v>28918574.4033737</v>
      </c>
      <c r="BR55" s="560">
        <f>IFERROR(HLOOKUP(B55-1,'EV Forecast WRZ'!$F$124:$T$130,4,FALSE)/12,0)+IFERROR(((HLOOKUP(B55,'EV Forecast WRZ'!$F$116:$T$122,4,FALSE)-HLOOKUP(B55-1,'EV Forecast WRZ'!$F$124:$T$130,4,FALSE)))*C55/78,0)</f>
        <v>3908.3668846153846</v>
      </c>
      <c r="BS55" s="560">
        <f ca="1">HLOOKUP(B55,Heating!$R$102:$AD$106,5,FALSE)*INDEX(Weather!$BO$1:$CB$20,MATCH(B55,Weather!$BO$1:$BO$20,0),MATCH(C55,Weather!$BO$1:$CB$1,0))/VLOOKUP(B55,Weather!$BO$2:$CB$20,14,FALSE)*
VLOOKUP('Monthly Data'!$B55,Weather!$BO$3:$CB$20,14,FALSE)/Weather!$CB$14</f>
        <v>957.96034940674372</v>
      </c>
      <c r="BT55" s="560">
        <f t="shared" ca="1" si="181"/>
        <v>28913708.076139677</v>
      </c>
      <c r="BU55" s="560">
        <v>7026501.918997108</v>
      </c>
      <c r="BV55" s="560">
        <f>IFERROR(VLOOKUP($B55-1,CDM!$V$4:$AJ$17,14,FALSE)/12,0)+IFERROR(VLOOKUP($B55,CDM!$V$41:$AJ$54,14,FALSE)/24,0)+IFERROR(VLOOKUP($B55,CDM!$V$41:$AJ$54,14,FALSE)/2*$C55/78,0)</f>
        <v>412052.86671558424</v>
      </c>
      <c r="BW55" s="560">
        <f t="shared" si="182"/>
        <v>7438554.785712692</v>
      </c>
      <c r="BX55" s="560">
        <f>IFERROR(HLOOKUP(B55-1,'EV Forecast WRZ'!$F$124:$T$130,5,FALSE)/12,0)+IFERROR(((HLOOKUP(B55,'EV Forecast WRZ'!$F$116:$T$122,5,FALSE)-HLOOKUP(B55-1,'EV Forecast WRZ'!$F$124:$T$130,5,FALSE)))*C55/78,0)</f>
        <v>564.39119230769222</v>
      </c>
      <c r="BY55" s="560">
        <f t="shared" si="120"/>
        <v>7437990.3945203843</v>
      </c>
      <c r="BZ55" s="560">
        <v>205514.39640329059</v>
      </c>
      <c r="CA55" s="560">
        <v>1978.182430566919</v>
      </c>
      <c r="CB55" s="560">
        <v>154235.09661373636</v>
      </c>
      <c r="CC55" s="5">
        <v>78939.039999999994</v>
      </c>
      <c r="CD55" s="5">
        <v>11880.21</v>
      </c>
      <c r="CE55" s="5">
        <v>790.42</v>
      </c>
      <c r="CF55" s="544">
        <f t="shared" si="184"/>
        <v>6</v>
      </c>
      <c r="CG55" s="565">
        <v>41846.5</v>
      </c>
      <c r="CH55" s="565">
        <v>2282.9999999999991</v>
      </c>
      <c r="CI55" s="565">
        <v>381.5</v>
      </c>
      <c r="CJ55" s="565">
        <v>3</v>
      </c>
      <c r="CK55" s="565">
        <v>12699.500000000004</v>
      </c>
      <c r="CL55" s="565">
        <v>37</v>
      </c>
      <c r="CM55" s="565">
        <v>388.99999999999989</v>
      </c>
      <c r="CN55" s="46">
        <f>Weather!C79</f>
        <v>53.275000000000006</v>
      </c>
      <c r="CO55" s="46">
        <f>Weather!D79</f>
        <v>35.811231884057946</v>
      </c>
      <c r="CP55" s="46">
        <f>Weather!E79</f>
        <v>29.733333333333348</v>
      </c>
      <c r="CQ55" s="46">
        <f>Weather!F79</f>
        <v>72.269565217391289</v>
      </c>
      <c r="CR55" s="46">
        <f>Weather!G79</f>
        <v>13.145833333333346</v>
      </c>
      <c r="CS55" s="46">
        <f>Weather!H79</f>
        <v>115.68206521739128</v>
      </c>
      <c r="CT55" s="46">
        <f>Weather!I79</f>
        <v>3.4333333333333353</v>
      </c>
      <c r="CU55" s="46">
        <f>Weather!J79</f>
        <v>165.96956521739128</v>
      </c>
      <c r="CV55" s="46">
        <f>Weather!K79</f>
        <v>0</v>
      </c>
      <c r="CW55" s="46">
        <f>Weather!L79</f>
        <v>222.53623188405788</v>
      </c>
      <c r="CX55" s="46">
        <f>Weather!M79</f>
        <v>0</v>
      </c>
      <c r="CY55" s="46">
        <f>Weather!N79</f>
        <v>282.53623188405788</v>
      </c>
      <c r="CZ55" s="46">
        <f>Weather!O79</f>
        <v>0</v>
      </c>
      <c r="DA55" s="46">
        <f>Weather!P79</f>
        <v>342.536231884058</v>
      </c>
      <c r="DB55" s="243">
        <f>'Economic Data'!D81</f>
        <v>6477.4</v>
      </c>
      <c r="DC55" s="243">
        <f>'Economic Data'!E81</f>
        <v>6515.6</v>
      </c>
      <c r="DD55" s="243">
        <f>'Economic Data'!F81</f>
        <v>193</v>
      </c>
      <c r="DE55" s="243">
        <f>'Economic Data'!G81</f>
        <v>195.5</v>
      </c>
      <c r="DF55" s="243">
        <f>'Economic Data'!H81</f>
        <v>44.1</v>
      </c>
      <c r="DG55" s="243">
        <f>'Economic Data'!I81</f>
        <v>44.1</v>
      </c>
      <c r="DH55" s="243">
        <f>'Economic Data'!J81</f>
        <v>769942</v>
      </c>
      <c r="DI55" s="243">
        <f>'Economic Data'!K81</f>
        <v>596521.6</v>
      </c>
      <c r="DJ55" s="243">
        <f>'Economic Data'!L81</f>
        <v>85928.9</v>
      </c>
      <c r="DK55" s="243">
        <f>'Economic Data'!M81</f>
        <v>23899.8</v>
      </c>
      <c r="DL55" s="243">
        <f>'Economic Data'!N81</f>
        <v>705711</v>
      </c>
      <c r="DM55" s="243">
        <f>'Economic Data'!O81</f>
        <v>72955</v>
      </c>
      <c r="DN55" s="243">
        <f>'Economic Data'!P81</f>
        <v>8883</v>
      </c>
      <c r="DO55" s="243">
        <f>'Economic Data'!Q81</f>
        <v>552176</v>
      </c>
      <c r="DP55" s="243">
        <f>'Economic Data'!R81</f>
        <v>21006</v>
      </c>
      <c r="DQ55">
        <v>30</v>
      </c>
      <c r="DR55">
        <v>22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1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f t="shared" si="66"/>
        <v>54</v>
      </c>
      <c r="EI55">
        <v>1</v>
      </c>
      <c r="EJ55">
        <v>0.5</v>
      </c>
      <c r="EK55">
        <v>1</v>
      </c>
      <c r="EL55">
        <v>0.5</v>
      </c>
      <c r="EM55" s="47">
        <f t="shared" si="121"/>
        <v>26.637500000000003</v>
      </c>
      <c r="EN55" s="47">
        <f t="shared" si="122"/>
        <v>17.905615942028973</v>
      </c>
      <c r="EO55" s="47">
        <f t="shared" si="123"/>
        <v>14.866666666666674</v>
      </c>
      <c r="EP55" s="47">
        <f t="shared" si="124"/>
        <v>36.134782608695645</v>
      </c>
      <c r="EQ55" s="47">
        <f t="shared" si="125"/>
        <v>6.5729166666666732</v>
      </c>
      <c r="ER55" s="47">
        <f t="shared" si="126"/>
        <v>57.841032608695642</v>
      </c>
      <c r="ES55" s="47">
        <f t="shared" si="127"/>
        <v>1.7166666666666677</v>
      </c>
      <c r="ET55" s="47">
        <f t="shared" si="128"/>
        <v>82.984782608695639</v>
      </c>
      <c r="EU55" s="47">
        <f t="shared" si="129"/>
        <v>0</v>
      </c>
      <c r="EV55" s="47">
        <f t="shared" si="130"/>
        <v>111.26811594202894</v>
      </c>
      <c r="EW55" s="47">
        <f t="shared" si="131"/>
        <v>0</v>
      </c>
      <c r="EX55" s="47">
        <f t="shared" si="132"/>
        <v>141.26811594202894</v>
      </c>
      <c r="EY55" s="47">
        <f t="shared" si="133"/>
        <v>0</v>
      </c>
      <c r="EZ55" s="47">
        <f t="shared" si="134"/>
        <v>171.268115942029</v>
      </c>
      <c r="FA55" s="47">
        <f t="shared" si="135"/>
        <v>53.275000000000006</v>
      </c>
      <c r="FB55" s="47">
        <f t="shared" si="136"/>
        <v>35.811231884057946</v>
      </c>
      <c r="FC55" s="47">
        <f t="shared" si="137"/>
        <v>29.733333333333348</v>
      </c>
      <c r="FD55" s="47">
        <f t="shared" si="138"/>
        <v>72.269565217391289</v>
      </c>
      <c r="FE55" s="47">
        <f t="shared" si="139"/>
        <v>13.145833333333346</v>
      </c>
      <c r="FF55" s="47">
        <f t="shared" si="140"/>
        <v>115.68206521739128</v>
      </c>
      <c r="FG55" s="47">
        <f t="shared" si="141"/>
        <v>3.4333333333333353</v>
      </c>
      <c r="FH55" s="47">
        <f t="shared" si="142"/>
        <v>165.96956521739128</v>
      </c>
      <c r="FI55" s="47">
        <f t="shared" si="143"/>
        <v>0</v>
      </c>
      <c r="FJ55" s="47">
        <f t="shared" si="144"/>
        <v>222.53623188405788</v>
      </c>
      <c r="FK55" s="47">
        <f t="shared" si="145"/>
        <v>0</v>
      </c>
      <c r="FL55" s="47">
        <f t="shared" si="146"/>
        <v>282.53623188405788</v>
      </c>
      <c r="FM55" s="47">
        <f t="shared" si="147"/>
        <v>0</v>
      </c>
      <c r="FN55" s="47">
        <f t="shared" si="148"/>
        <v>342.536231884058</v>
      </c>
      <c r="FO55" s="546">
        <f t="shared" ca="1" si="149"/>
        <v>811.58657629402057</v>
      </c>
      <c r="FP55" s="546">
        <f t="shared" si="150"/>
        <v>573.89623995728175</v>
      </c>
      <c r="FQ55" s="546">
        <f t="shared" si="151"/>
        <v>2274.2056949408152</v>
      </c>
      <c r="FR55" s="546">
        <f t="shared" si="152"/>
        <v>72893.772619797819</v>
      </c>
      <c r="FS55" s="546">
        <f t="shared" si="153"/>
        <v>1642197.1434285652</v>
      </c>
      <c r="FT55" s="546">
        <f t="shared" si="154"/>
        <v>6032237.9633886516</v>
      </c>
      <c r="FU55" s="546">
        <f t="shared" si="155"/>
        <v>22.36267576902301</v>
      </c>
      <c r="FV55" s="546">
        <f t="shared" si="156"/>
        <v>89.392495046022418</v>
      </c>
      <c r="FW55" s="546">
        <f t="shared" si="157"/>
        <v>477.64964377836185</v>
      </c>
      <c r="FX55" s="546">
        <f t="shared" si="158"/>
        <v>923.9964817017069</v>
      </c>
      <c r="FY55" s="546">
        <f t="shared" si="159"/>
        <v>2795.1424917787986</v>
      </c>
      <c r="FZ55" s="546">
        <f t="shared" si="160"/>
        <v>75802.292014085717</v>
      </c>
      <c r="GA55" s="546">
        <f t="shared" si="161"/>
        <v>68504.798801096869</v>
      </c>
      <c r="GB55" s="546">
        <f t="shared" si="162"/>
        <v>16.182873058253517</v>
      </c>
      <c r="GC55" s="546">
        <f t="shared" si="163"/>
        <v>53.464390015322138</v>
      </c>
      <c r="GD55" s="546">
        <f t="shared" si="164"/>
        <v>396.49125093505501</v>
      </c>
    </row>
    <row r="56" spans="1:186">
      <c r="A56" s="4">
        <v>44013</v>
      </c>
      <c r="B56" s="6">
        <v>2020</v>
      </c>
      <c r="C56" s="5">
        <v>7</v>
      </c>
      <c r="D56" s="7">
        <v>122787182.88385804</v>
      </c>
      <c r="E56" s="7">
        <f>IFERROR(VLOOKUP($B56-1,CDM!$V$4:$AJ$17,2,FALSE)/12,0)+IFERROR(VLOOKUP($B56,CDM!$V$41:$AJ$54,2,FALSE)/24,0)+IFERROR(VLOOKUP($B56,CDM!$V$41:$AJ$54,2,FALSE)/2*$C56/78,0)</f>
        <v>3831949.1281242887</v>
      </c>
      <c r="F56" s="7">
        <f t="shared" si="165"/>
        <v>126619132.01198232</v>
      </c>
      <c r="G56" s="7">
        <f>IFERROR(HLOOKUP(B56-1,'EV Forecast VRZ'!$F$124:$T$130,2,FALSE)/12,0)+IFERROR(((HLOOKUP(B56,'EV Forecast VRZ'!$F$116:$T$122,2,FALSE)-HLOOKUP(B56-1,'EV Forecast VRZ'!$F$124:$T$130,2,FALSE)))*C56/78,0)</f>
        <v>230186.6441810338</v>
      </c>
      <c r="H56" s="7">
        <f ca="1">HLOOKUP(B56,Heating!$C$102:$O$106,2,FALSE)*INDEX(Weather!$BO$1:$CB$20,MATCH(B56,Weather!$BO$1:$BO$20,0),MATCH(C56,Weather!$BO$1:$CB$1,0))/VLOOKUP(B56,Weather!$BO$2:$CB$20,14,FALSE)*
VLOOKUP('Monthly Data'!$B56,Weather!$BO$3:$CB$20,14,FALSE)/Weather!$CB$14</f>
        <v>0</v>
      </c>
      <c r="I56" s="7">
        <f t="shared" ca="1" si="166"/>
        <v>126388945.36780129</v>
      </c>
      <c r="J56" s="7">
        <v>1106021.9538160656</v>
      </c>
      <c r="K56" s="7">
        <f>IFERROR(VLOOKUP($B56-1,CDM!$V$4:$AJ$17,3,FALSE)/12,0)+IFERROR(VLOOKUP($B56,CDM!$V$41:$AJ$54,3,FALSE)/24,0)+IFERROR(VLOOKUP($B56,CDM!$V$41:$AJ$54,3,FALSE)/2*$C56/78,0)</f>
        <v>43890.392635902914</v>
      </c>
      <c r="L56" s="7">
        <f t="shared" si="167"/>
        <v>1149912.3464519684</v>
      </c>
      <c r="M56" s="7">
        <f>IFERROR(HLOOKUP(B56-1,'EV Forecast VRZ'!$F$124:$T$130,3,FALSE)/12,0)+IFERROR(((HLOOKUP(B56,'EV Forecast VRZ'!$F$116:$T$122,3,FALSE)-HLOOKUP(B56-1,'EV Forecast VRZ'!$F$124:$T$130,3,FALSE)))*C56/78,0)</f>
        <v>3123.4351779405401</v>
      </c>
      <c r="N56" s="7">
        <f ca="1">HLOOKUP(B56,Heating!$C$102:$O$106,3,FALSE)*INDEX(Weather!$BO$1:$CB$20,MATCH(B56,Weather!$BO$1:$BO$20,0),MATCH(C56,Weather!$BO$1:$CB$1,0))/VLOOKUP(B56,Weather!$BO$2:$CB$20,14,FALSE)*
VLOOKUP('Monthly Data'!$B56,Weather!$BO$3:$CB$20,14,FALSE)/Weather!$CB$14</f>
        <v>0</v>
      </c>
      <c r="O56" s="7">
        <f t="shared" ca="1" si="168"/>
        <v>1146788.9112740278</v>
      </c>
      <c r="P56" s="7">
        <v>24624335.550438847</v>
      </c>
      <c r="Q56" s="7">
        <f>IFERROR(VLOOKUP($B56-1,CDM!$V$4:$AJ$17,4,FALSE)/12,0)+IFERROR(VLOOKUP($B56,CDM!$V$41:$AJ$54,4,FALSE)/24,0)+IFERROR(VLOOKUP($B56,CDM!$V$41:$AJ$54,4,FALSE)/2*$C56/78,0)</f>
        <v>1354347.6966238448</v>
      </c>
      <c r="R56" s="7">
        <f t="shared" si="169"/>
        <v>25978683.247062691</v>
      </c>
      <c r="S56" s="7">
        <f>IFERROR(HLOOKUP(B56-1,'EV Forecast VRZ'!$F$124:$T$130,4,FALSE)/12,0)+IFERROR(((HLOOKUP(B56,'EV Forecast VRZ'!$F$116:$T$122,4,FALSE)-HLOOKUP(B56-1,'EV Forecast VRZ'!$F$124:$T$130,4,FALSE)))*C56/78,0)</f>
        <v>28716.796666666669</v>
      </c>
      <c r="T56" s="7">
        <f ca="1">HLOOKUP(B56,Heating!$C$102:$O$106,4,FALSE)*INDEX(Weather!$BO$1:$CB$20,MATCH(B56,Weather!$BO$1:$BO$20,0),MATCH(C56,Weather!$BO$1:$CB$1,0))/VLOOKUP(B56,Weather!$BO$2:$CB$20,14,FALSE)*
VLOOKUP('Monthly Data'!$B56,Weather!$BO$3:$CB$20,14,FALSE)/Weather!$CB$14</f>
        <v>0</v>
      </c>
      <c r="U56" s="7">
        <f t="shared" ca="1" si="170"/>
        <v>25949966.450396024</v>
      </c>
      <c r="V56" s="7">
        <v>80759311.104395419</v>
      </c>
      <c r="W56" s="7">
        <f>IFERROR(VLOOKUP($B56-1,CDM!$V$4:$AJ$17,5,FALSE)/12,0)+IFERROR(VLOOKUP($B56,CDM!$V$41:$AJ$54,5,FALSE)/24,0)+IFERROR(VLOOKUP($B56,CDM!$V$41:$AJ$54,5,FALSE)/2*$C56/78,0)</f>
        <v>4861230.4070020393</v>
      </c>
      <c r="X56" s="7">
        <f t="shared" si="171"/>
        <v>85620541.511397451</v>
      </c>
      <c r="Y56" s="7">
        <f>IFERROR(HLOOKUP(B56-1,'EV Forecast VRZ'!$F$124:$T$130,5,FALSE)/12,0)+IFERROR(((HLOOKUP(B56,'EV Forecast VRZ'!$F$116:$T$122,5,FALSE)-HLOOKUP(B56-1,'EV Forecast VRZ'!$F$124:$T$130,5,FALSE)))*C56/78,0)</f>
        <v>13025.250807692308</v>
      </c>
      <c r="Z56" s="7">
        <f ca="1">HLOOKUP(B56,Heating!$C$102:$O$106,5,FALSE)*INDEX(Weather!$BO$1:$CB$20,MATCH(B56,Weather!$BO$1:$BO$20,0),MATCH(C56,Weather!$BO$1:$CB$1,0))/VLOOKUP(B56,Weather!$BO$2:$CB$20,14,FALSE)*
VLOOKUP('Monthly Data'!$B56,Weather!$BO$3:$CB$20,14,FALSE)/Weather!$CB$14</f>
        <v>0</v>
      </c>
      <c r="AA56" s="7">
        <f t="shared" ca="1" si="172"/>
        <v>85607516.260589764</v>
      </c>
      <c r="AB56" s="7">
        <v>7465971.0459331227</v>
      </c>
      <c r="AC56" s="7">
        <f>IFERROR(VLOOKUP($B56-1,CDM!$V$4:$AJ$17,6,FALSE)/12,0)+IFERROR(VLOOKUP($B56,CDM!$V$41:$AJ$54,6,FALSE)/24,0)+IFERROR(VLOOKUP($B56,CDM!$V$41:$AJ$54,6,FALSE)/2*$C56/78,0)</f>
        <v>228033.34711830635</v>
      </c>
      <c r="AD56" s="7">
        <f t="shared" si="173"/>
        <v>7694004.3930514287</v>
      </c>
      <c r="AE56" s="7">
        <f>IFERROR(HLOOKUP(B56-1,'EV Forecast VRZ'!$F$124:$T$130,6,FALSE)/12,0)+IFERROR(((HLOOKUP(B56,'EV Forecast VRZ'!$F$116:$T$122,6,FALSE)-HLOOKUP(B56-1,'EV Forecast VRZ'!$F$124:$T$130,6,FALSE)))*C56/78,0)</f>
        <v>1846.6090641025637</v>
      </c>
      <c r="AF56" s="7">
        <f t="shared" si="174"/>
        <v>7692157.7839873265</v>
      </c>
      <c r="AG56" s="7">
        <v>23195381.739776134</v>
      </c>
      <c r="AH56" s="7">
        <f>IFERROR(VLOOKUP($B56-1,CDM!$V$4:$AJ$17,7,FALSE)/12,0)+IFERROR(VLOOKUP($B56,CDM!$V$41:$AJ$54,7,FALSE)/24,0)+IFERROR(VLOOKUP($B56,CDM!$V$41:$AJ$54,7,FALSE)/2*$C56/78,0)</f>
        <v>1630340.7699336433</v>
      </c>
      <c r="AI56" s="7">
        <f t="shared" si="175"/>
        <v>24825722.509709779</v>
      </c>
      <c r="AJ56" s="7">
        <f>IFERROR(HLOOKUP(B56-1,'EV Forecast VRZ'!$F$124:$T$130,7,FALSE)/12,0)+IFERROR(((HLOOKUP(B56,'EV Forecast VRZ'!$F$116:$T$122,7,FALSE)-HLOOKUP(B56-1,'EV Forecast VRZ'!$F$124:$T$130,7,FALSE)))*C56/78,0)</f>
        <v>0</v>
      </c>
      <c r="AK56" s="7">
        <f t="shared" si="176"/>
        <v>24825722.509709779</v>
      </c>
      <c r="AL56" s="7">
        <v>724328.15302423202</v>
      </c>
      <c r="AM56" s="7">
        <v>18148.883800801374</v>
      </c>
      <c r="AN56" s="7">
        <v>383108.02327800042</v>
      </c>
      <c r="AO56" s="5">
        <v>195392.18</v>
      </c>
      <c r="AP56" s="5">
        <v>15564.8</v>
      </c>
      <c r="AQ56" s="5">
        <v>40067</v>
      </c>
      <c r="AR56" s="5">
        <v>2596.25</v>
      </c>
      <c r="AS56" s="544">
        <f t="shared" si="183"/>
        <v>53.5</v>
      </c>
      <c r="AT56" s="557">
        <v>112257.25</v>
      </c>
      <c r="AU56" s="557">
        <v>1561</v>
      </c>
      <c r="AV56" s="557">
        <v>9278.5</v>
      </c>
      <c r="AW56" s="557">
        <v>1033</v>
      </c>
      <c r="AX56" s="557">
        <v>4.5833333333333313</v>
      </c>
      <c r="AY56" s="557">
        <v>4</v>
      </c>
      <c r="AZ56" s="557">
        <v>31432.833333333325</v>
      </c>
      <c r="BA56" s="557">
        <v>254.75</v>
      </c>
      <c r="BB56" s="557">
        <v>801.6666666666664</v>
      </c>
      <c r="BC56" s="560">
        <v>50964441.662138887</v>
      </c>
      <c r="BD56" s="560">
        <f>IFERROR(VLOOKUP($B56-1,CDM!$V$4:$AJ$17,11,FALSE)/12,0)+IFERROR(VLOOKUP($B56,CDM!$V$41:$AJ$54,11,FALSE)/24,0)+IFERROR(VLOOKUP($B56,CDM!$V$41:$AJ$54,11,FALSE)/2*$C56/78,0)</f>
        <v>1919972.6841507447</v>
      </c>
      <c r="BE56" s="560">
        <f t="shared" si="119"/>
        <v>52884414.346289635</v>
      </c>
      <c r="BF56" s="560">
        <f>IFERROR(HLOOKUP(B56-1,'EV Forecast WRZ'!$F$124:$T$130,2,FALSE)/12,0)+IFERROR(((HLOOKUP(B56,'EV Forecast WRZ'!$F$116:$T$122,2,FALSE)-HLOOKUP(B56-1,'EV Forecast WRZ'!$F$124:$T$130,2,FALSE)))*C56/78,0)</f>
        <v>71334.131666666683</v>
      </c>
      <c r="BG56" s="560">
        <f ca="1">HLOOKUP(B56,Heating!$R$102:$AD$106,2,FALSE)*INDEX(Weather!$BO$1:$CB$20,MATCH(B56,Weather!$BO$1:$BO$20,0),MATCH(C56,Weather!$BO$1:$CB$1,0))/VLOOKUP(B56,Weather!$BO$2:$CB$20,14,FALSE)*
VLOOKUP('Monthly Data'!$B56,Weather!$BO$3:$CB$20,14,FALSE)/Weather!$CB$14</f>
        <v>0</v>
      </c>
      <c r="BH56" s="560">
        <f t="shared" ca="1" si="177"/>
        <v>52813080.214622967</v>
      </c>
      <c r="BI56" s="560">
        <v>7716997.0510043995</v>
      </c>
      <c r="BJ56" s="560">
        <f>IFERROR(VLOOKUP($B56-1,CDM!$V$4:$AJ$17,12,FALSE)/12,0)+IFERROR(VLOOKUP($B56,CDM!$V$41:$AJ$54,12,FALSE)/24,0)+IFERROR(VLOOKUP($B56,CDM!$V$41:$AJ$54,12,FALSE)/2*$C56/78,0)</f>
        <v>217935.04460979984</v>
      </c>
      <c r="BK56" s="560">
        <f t="shared" si="178"/>
        <v>7934932.0956141995</v>
      </c>
      <c r="BL56" s="560">
        <f>IFERROR(HLOOKUP(B56-1,'EV Forecast WRZ'!$F$124:$T$130,3,FALSE)/12,0)+IFERROR(((HLOOKUP(B56,'EV Forecast WRZ'!$F$116:$T$122,3,FALSE)-HLOOKUP(B56-1,'EV Forecast WRZ'!$F$124:$T$130,3,FALSE)))*C56/78,0)</f>
        <v>8812.7258974358974</v>
      </c>
      <c r="BM56" s="560">
        <f ca="1">HLOOKUP(B56,Heating!$R$102:$AD$106,4,FALSE)*INDEX(Weather!$BO$1:$CB$20,MATCH(B56,Weather!$BO$1:$BO$20,0),MATCH(C56,Weather!$BO$1:$CB$1,0))/VLOOKUP(B56,Weather!$BO$2:$CB$20,14,FALSE)*
VLOOKUP('Monthly Data'!$B56,Weather!$BO$3:$CB$20,14,FALSE)/Weather!$CB$14</f>
        <v>0</v>
      </c>
      <c r="BN56" s="560">
        <f t="shared" ca="1" si="179"/>
        <v>7926119.3697167635</v>
      </c>
      <c r="BO56" s="560">
        <v>27703464.357850492</v>
      </c>
      <c r="BP56" s="560">
        <f>IFERROR(VLOOKUP($B56-1,CDM!$V$4:$AJ$17,13,FALSE)/12,0)+IFERROR(VLOOKUP($B56,CDM!$V$41:$AJ$54,13,FALSE)/24,0)+IFERROR(VLOOKUP($B56,CDM!$V$41:$AJ$54,13,FALSE)/2*$C56/78,0)</f>
        <v>1858024.0947705763</v>
      </c>
      <c r="BQ56" s="560">
        <f t="shared" si="180"/>
        <v>29561488.452621069</v>
      </c>
      <c r="BR56" s="560">
        <f>IFERROR(HLOOKUP(B56-1,'EV Forecast WRZ'!$F$124:$T$130,4,FALSE)/12,0)+IFERROR(((HLOOKUP(B56,'EV Forecast WRZ'!$F$116:$T$122,4,FALSE)-HLOOKUP(B56-1,'EV Forecast WRZ'!$F$124:$T$130,4,FALSE)))*C56/78,0)</f>
        <v>3999.7651153846155</v>
      </c>
      <c r="BS56" s="560">
        <f ca="1">HLOOKUP(B56,Heating!$R$102:$AD$106,5,FALSE)*INDEX(Weather!$BO$1:$CB$20,MATCH(B56,Weather!$BO$1:$BO$20,0),MATCH(C56,Weather!$BO$1:$CB$1,0))/VLOOKUP(B56,Weather!$BO$2:$CB$20,14,FALSE)*
VLOOKUP('Monthly Data'!$B56,Weather!$BO$3:$CB$20,14,FALSE)/Weather!$CB$14</f>
        <v>0</v>
      </c>
      <c r="BT56" s="560">
        <f t="shared" ca="1" si="181"/>
        <v>29557488.687505685</v>
      </c>
      <c r="BU56" s="560">
        <v>7410039.1031822572</v>
      </c>
      <c r="BV56" s="560">
        <f>IFERROR(VLOOKUP($B56-1,CDM!$V$4:$AJ$17,14,FALSE)/12,0)+IFERROR(VLOOKUP($B56,CDM!$V$41:$AJ$54,14,FALSE)/24,0)+IFERROR(VLOOKUP($B56,CDM!$V$41:$AJ$54,14,FALSE)/2*$C56/78,0)</f>
        <v>417724.98284712428</v>
      </c>
      <c r="BW56" s="560">
        <f t="shared" si="182"/>
        <v>7827764.0860293815</v>
      </c>
      <c r="BX56" s="560">
        <f>IFERROR(HLOOKUP(B56-1,'EV Forecast WRZ'!$F$124:$T$130,5,FALSE)/12,0)+IFERROR(((HLOOKUP(B56,'EV Forecast WRZ'!$F$116:$T$122,5,FALSE)-HLOOKUP(B56-1,'EV Forecast WRZ'!$F$124:$T$130,5,FALSE)))*C56/78,0)</f>
        <v>576.79014102564099</v>
      </c>
      <c r="BY56" s="560">
        <f t="shared" si="120"/>
        <v>7827187.2958883559</v>
      </c>
      <c r="BZ56" s="560">
        <v>211359.2404821121</v>
      </c>
      <c r="CA56" s="560">
        <v>1978.182430566919</v>
      </c>
      <c r="CB56" s="560">
        <v>156904.983738282</v>
      </c>
      <c r="CC56" s="5">
        <v>68263.64</v>
      </c>
      <c r="CD56" s="5">
        <v>12065.83</v>
      </c>
      <c r="CE56" s="5">
        <v>764.64</v>
      </c>
      <c r="CF56" s="544">
        <f t="shared" si="184"/>
        <v>6</v>
      </c>
      <c r="CG56" s="565">
        <v>41914.75</v>
      </c>
      <c r="CH56" s="565">
        <v>2285.6666666666656</v>
      </c>
      <c r="CI56" s="565">
        <v>382.25</v>
      </c>
      <c r="CJ56" s="565">
        <v>3</v>
      </c>
      <c r="CK56" s="565">
        <v>12716.083333333338</v>
      </c>
      <c r="CL56" s="565">
        <v>37</v>
      </c>
      <c r="CM56" s="565">
        <v>389.3333333333332</v>
      </c>
      <c r="CN56" s="46">
        <f>Weather!C80</f>
        <v>0</v>
      </c>
      <c r="CO56" s="46">
        <f>Weather!D80</f>
        <v>122.88750000000002</v>
      </c>
      <c r="CP56" s="46">
        <f>Weather!E80</f>
        <v>0</v>
      </c>
      <c r="CQ56" s="46">
        <f>Weather!F80</f>
        <v>184.88749999999999</v>
      </c>
      <c r="CR56" s="46">
        <f>Weather!G80</f>
        <v>0</v>
      </c>
      <c r="CS56" s="46">
        <f>Weather!H80</f>
        <v>246.88749999999999</v>
      </c>
      <c r="CT56" s="46">
        <f>Weather!I80</f>
        <v>0</v>
      </c>
      <c r="CU56" s="46">
        <f>Weather!J80</f>
        <v>308.88750000000005</v>
      </c>
      <c r="CV56" s="46">
        <f>Weather!K80</f>
        <v>0</v>
      </c>
      <c r="CW56" s="46">
        <f>Weather!L80</f>
        <v>370.88750000000005</v>
      </c>
      <c r="CX56" s="46">
        <f>Weather!M80</f>
        <v>0</v>
      </c>
      <c r="CY56" s="46">
        <f>Weather!N80</f>
        <v>432.88750000000005</v>
      </c>
      <c r="CZ56" s="46">
        <f>Weather!O80</f>
        <v>0</v>
      </c>
      <c r="DA56" s="46">
        <f>Weather!P80</f>
        <v>494.88750000000005</v>
      </c>
      <c r="DB56" s="243">
        <f>'Economic Data'!D82</f>
        <v>6666.4</v>
      </c>
      <c r="DC56" s="243">
        <f>'Economic Data'!E82</f>
        <v>6730.9</v>
      </c>
      <c r="DD56" s="243">
        <f>'Economic Data'!F82</f>
        <v>198.5</v>
      </c>
      <c r="DE56" s="243">
        <f>'Economic Data'!G82</f>
        <v>201.2</v>
      </c>
      <c r="DF56" s="243">
        <f>'Economic Data'!H82</f>
        <v>44.4</v>
      </c>
      <c r="DG56" s="243">
        <f>'Economic Data'!I82</f>
        <v>44.4</v>
      </c>
      <c r="DH56" s="243">
        <f>'Economic Data'!J82</f>
        <v>769942</v>
      </c>
      <c r="DI56" s="243">
        <f>'Economic Data'!K82</f>
        <v>596521.6</v>
      </c>
      <c r="DJ56" s="243">
        <f>'Economic Data'!L82</f>
        <v>85928.9</v>
      </c>
      <c r="DK56" s="243">
        <f>'Economic Data'!M82</f>
        <v>23899.8</v>
      </c>
      <c r="DL56" s="243">
        <f>'Economic Data'!N82</f>
        <v>778294</v>
      </c>
      <c r="DM56" s="243">
        <f>'Economic Data'!O82</f>
        <v>89762</v>
      </c>
      <c r="DN56" s="243">
        <f>'Economic Data'!P82</f>
        <v>17606</v>
      </c>
      <c r="DO56" s="243">
        <f>'Economic Data'!Q82</f>
        <v>599599</v>
      </c>
      <c r="DP56" s="243">
        <f>'Economic Data'!R82</f>
        <v>22182</v>
      </c>
      <c r="DQ56">
        <v>31</v>
      </c>
      <c r="DR56">
        <v>22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1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f t="shared" ref="EH56:EH119" si="185">EH55+1</f>
        <v>55</v>
      </c>
      <c r="EI56">
        <v>1</v>
      </c>
      <c r="EJ56">
        <v>0.5</v>
      </c>
      <c r="EK56">
        <v>1</v>
      </c>
      <c r="EL56">
        <v>0</v>
      </c>
      <c r="EM56" s="47">
        <f t="shared" si="121"/>
        <v>0</v>
      </c>
      <c r="EN56" s="47">
        <f t="shared" si="122"/>
        <v>61.443750000000009</v>
      </c>
      <c r="EO56" s="47">
        <f t="shared" si="123"/>
        <v>0</v>
      </c>
      <c r="EP56" s="47">
        <f t="shared" si="124"/>
        <v>92.443749999999994</v>
      </c>
      <c r="EQ56" s="47">
        <f t="shared" si="125"/>
        <v>0</v>
      </c>
      <c r="ER56" s="47">
        <f t="shared" si="126"/>
        <v>123.44374999999999</v>
      </c>
      <c r="ES56" s="47">
        <f t="shared" si="127"/>
        <v>0</v>
      </c>
      <c r="ET56" s="47">
        <f t="shared" si="128"/>
        <v>154.44375000000002</v>
      </c>
      <c r="EU56" s="47">
        <f t="shared" si="129"/>
        <v>0</v>
      </c>
      <c r="EV56" s="47">
        <f t="shared" si="130"/>
        <v>185.44375000000002</v>
      </c>
      <c r="EW56" s="47">
        <f t="shared" si="131"/>
        <v>0</v>
      </c>
      <c r="EX56" s="47">
        <f t="shared" si="132"/>
        <v>216.44375000000002</v>
      </c>
      <c r="EY56" s="47">
        <f t="shared" si="133"/>
        <v>0</v>
      </c>
      <c r="EZ56" s="47">
        <f t="shared" si="134"/>
        <v>247.44375000000002</v>
      </c>
      <c r="FA56" s="47">
        <f t="shared" si="135"/>
        <v>0</v>
      </c>
      <c r="FB56" s="47">
        <f t="shared" si="136"/>
        <v>122.88750000000002</v>
      </c>
      <c r="FC56" s="47">
        <f t="shared" si="137"/>
        <v>0</v>
      </c>
      <c r="FD56" s="47">
        <f t="shared" si="138"/>
        <v>184.88749999999999</v>
      </c>
      <c r="FE56" s="47">
        <f t="shared" si="139"/>
        <v>0</v>
      </c>
      <c r="FF56" s="47">
        <f t="shared" si="140"/>
        <v>246.88749999999999</v>
      </c>
      <c r="FG56" s="47">
        <f t="shared" si="141"/>
        <v>0</v>
      </c>
      <c r="FH56" s="47">
        <f t="shared" si="142"/>
        <v>308.88750000000005</v>
      </c>
      <c r="FI56" s="47">
        <f t="shared" si="143"/>
        <v>0</v>
      </c>
      <c r="FJ56" s="47">
        <f t="shared" si="144"/>
        <v>370.88750000000005</v>
      </c>
      <c r="FK56" s="47">
        <f t="shared" si="145"/>
        <v>0</v>
      </c>
      <c r="FL56" s="47">
        <f t="shared" si="146"/>
        <v>432.88750000000005</v>
      </c>
      <c r="FM56" s="47">
        <f t="shared" si="147"/>
        <v>0</v>
      </c>
      <c r="FN56" s="47">
        <f t="shared" si="148"/>
        <v>494.88750000000005</v>
      </c>
      <c r="FO56" s="546">
        <f t="shared" ca="1" si="149"/>
        <v>1125.8867054715959</v>
      </c>
      <c r="FP56" s="546">
        <f t="shared" si="150"/>
        <v>736.65108677256148</v>
      </c>
      <c r="FQ56" s="546">
        <f t="shared" si="151"/>
        <v>2799.8796407892105</v>
      </c>
      <c r="FR56" s="546">
        <f t="shared" si="152"/>
        <v>82885.325761275366</v>
      </c>
      <c r="FS56" s="546">
        <f t="shared" si="153"/>
        <v>1678691.867574858</v>
      </c>
      <c r="FT56" s="546">
        <f t="shared" si="154"/>
        <v>6206430.6274274448</v>
      </c>
      <c r="FU56" s="546">
        <f t="shared" si="155"/>
        <v>23.043680006285324</v>
      </c>
      <c r="FV56" s="546">
        <f t="shared" si="156"/>
        <v>71.241938374097643</v>
      </c>
      <c r="FW56" s="546">
        <f t="shared" si="157"/>
        <v>477.88942612640398</v>
      </c>
      <c r="FX56" s="546">
        <f t="shared" si="158"/>
        <v>1261.7137009355808</v>
      </c>
      <c r="FY56" s="546">
        <f t="shared" si="159"/>
        <v>3471.605116937817</v>
      </c>
      <c r="FZ56" s="546">
        <f t="shared" si="160"/>
        <v>77335.483198485468</v>
      </c>
      <c r="GA56" s="546">
        <f t="shared" si="161"/>
        <v>70453.080160704034</v>
      </c>
      <c r="GB56" s="546">
        <f t="shared" si="162"/>
        <v>16.621410456477978</v>
      </c>
      <c r="GC56" s="546">
        <f t="shared" si="163"/>
        <v>53.464390015322138</v>
      </c>
      <c r="GD56" s="546">
        <f t="shared" si="164"/>
        <v>403.00937604010801</v>
      </c>
    </row>
    <row r="57" spans="1:186">
      <c r="A57" s="4">
        <v>44044</v>
      </c>
      <c r="B57" s="6">
        <v>2020</v>
      </c>
      <c r="C57" s="5">
        <v>8</v>
      </c>
      <c r="D57" s="7">
        <v>100851149.53129174</v>
      </c>
      <c r="E57" s="7">
        <f>IFERROR(VLOOKUP($B57-1,CDM!$V$4:$AJ$17,2,FALSE)/12,0)+IFERROR(VLOOKUP($B57,CDM!$V$41:$AJ$54,2,FALSE)/24,0)+IFERROR(VLOOKUP($B57,CDM!$V$41:$AJ$54,2,FALSE)/2*$C57/78,0)</f>
        <v>3832856.8738961047</v>
      </c>
      <c r="F57" s="7">
        <f t="shared" si="165"/>
        <v>104684006.40518785</v>
      </c>
      <c r="G57" s="7">
        <f>IFERROR(HLOOKUP(B57-1,'EV Forecast VRZ'!$F$124:$T$130,2,FALSE)/12,0)+IFERROR(((HLOOKUP(B57,'EV Forecast VRZ'!$F$116:$T$122,2,FALSE)-HLOOKUP(B57-1,'EV Forecast VRZ'!$F$124:$T$130,2,FALSE)))*C57/78,0)</f>
        <v>234958.94520380138</v>
      </c>
      <c r="H57" s="7">
        <f ca="1">HLOOKUP(B57,Heating!$C$102:$O$106,2,FALSE)*INDEX(Weather!$BO$1:$CB$20,MATCH(B57,Weather!$BO$1:$BO$20,0),MATCH(C57,Weather!$BO$1:$CB$1,0))/VLOOKUP(B57,Weather!$BO$2:$CB$20,14,FALSE)*
VLOOKUP('Monthly Data'!$B57,Weather!$BO$3:$CB$20,14,FALSE)/Weather!$CB$14</f>
        <v>2695.8039618232715</v>
      </c>
      <c r="I57" s="7">
        <f t="shared" ca="1" si="166"/>
        <v>104446351.65602222</v>
      </c>
      <c r="J57" s="7">
        <v>1055259.6184792977</v>
      </c>
      <c r="K57" s="7">
        <f>IFERROR(VLOOKUP($B57-1,CDM!$V$4:$AJ$17,3,FALSE)/12,0)+IFERROR(VLOOKUP($B57,CDM!$V$41:$AJ$54,3,FALSE)/24,0)+IFERROR(VLOOKUP($B57,CDM!$V$41:$AJ$54,3,FALSE)/2*$C57/78,0)</f>
        <v>43900.789777672398</v>
      </c>
      <c r="L57" s="7">
        <f t="shared" si="167"/>
        <v>1099160.4082569701</v>
      </c>
      <c r="M57" s="7">
        <f>IFERROR(HLOOKUP(B57-1,'EV Forecast VRZ'!$F$124:$T$130,3,FALSE)/12,0)+IFERROR(((HLOOKUP(B57,'EV Forecast VRZ'!$F$116:$T$122,3,FALSE)-HLOOKUP(B57-1,'EV Forecast VRZ'!$F$124:$T$130,3,FALSE)))*C57/78,0)</f>
        <v>3188.1912064549961</v>
      </c>
      <c r="N57" s="7">
        <f ca="1">HLOOKUP(B57,Heating!$C$102:$O$106,3,FALSE)*INDEX(Weather!$BO$1:$CB$20,MATCH(B57,Weather!$BO$1:$BO$20,0),MATCH(C57,Weather!$BO$1:$CB$1,0))/VLOOKUP(B57,Weather!$BO$2:$CB$20,14,FALSE)*
VLOOKUP('Monthly Data'!$B57,Weather!$BO$3:$CB$20,14,FALSE)/Weather!$CB$14</f>
        <v>35.664669063533388</v>
      </c>
      <c r="O57" s="7">
        <f t="shared" ca="1" si="168"/>
        <v>1095936.5523814515</v>
      </c>
      <c r="P57" s="7">
        <v>22764303.147748519</v>
      </c>
      <c r="Q57" s="7">
        <f>IFERROR(VLOOKUP($B57-1,CDM!$V$4:$AJ$17,4,FALSE)/12,0)+IFERROR(VLOOKUP($B57,CDM!$V$41:$AJ$54,4,FALSE)/24,0)+IFERROR(VLOOKUP($B57,CDM!$V$41:$AJ$54,4,FALSE)/2*$C57/78,0)</f>
        <v>1361574.9258877409</v>
      </c>
      <c r="R57" s="7">
        <f t="shared" si="169"/>
        <v>24125878.07363626</v>
      </c>
      <c r="S57" s="7">
        <f>IFERROR(HLOOKUP(B57-1,'EV Forecast VRZ'!$F$124:$T$130,4,FALSE)/12,0)+IFERROR(((HLOOKUP(B57,'EV Forecast VRZ'!$F$116:$T$122,4,FALSE)-HLOOKUP(B57-1,'EV Forecast VRZ'!$F$124:$T$130,4,FALSE)))*C57/78,0)</f>
        <v>29290.613333333335</v>
      </c>
      <c r="T57" s="7">
        <f ca="1">HLOOKUP(B57,Heating!$C$102:$O$106,4,FALSE)*INDEX(Weather!$BO$1:$CB$20,MATCH(B57,Weather!$BO$1:$BO$20,0),MATCH(C57,Weather!$BO$1:$CB$1,0))/VLOOKUP(B57,Weather!$BO$2:$CB$20,14,FALSE)*
VLOOKUP('Monthly Data'!$B57,Weather!$BO$3:$CB$20,14,FALSE)/Weather!$CB$14</f>
        <v>673.71145103780452</v>
      </c>
      <c r="U57" s="7">
        <f t="shared" ca="1" si="170"/>
        <v>24095913.748851888</v>
      </c>
      <c r="V57" s="7">
        <v>76991625.360368773</v>
      </c>
      <c r="W57" s="7">
        <f>IFERROR(VLOOKUP($B57-1,CDM!$V$4:$AJ$17,5,FALSE)/12,0)+IFERROR(VLOOKUP($B57,CDM!$V$41:$AJ$54,5,FALSE)/24,0)+IFERROR(VLOOKUP($B57,CDM!$V$41:$AJ$54,5,FALSE)/2*$C57/78,0)</f>
        <v>4893169.1576264752</v>
      </c>
      <c r="X57" s="7">
        <f t="shared" si="171"/>
        <v>81884794.517995253</v>
      </c>
      <c r="Y57" s="7">
        <f>IFERROR(HLOOKUP(B57-1,'EV Forecast VRZ'!$F$124:$T$130,5,FALSE)/12,0)+IFERROR(((HLOOKUP(B57,'EV Forecast VRZ'!$F$116:$T$122,5,FALSE)-HLOOKUP(B57-1,'EV Forecast VRZ'!$F$124:$T$130,5,FALSE)))*C57/78,0)</f>
        <v>13283.852923076924</v>
      </c>
      <c r="Z57" s="7">
        <f ca="1">HLOOKUP(B57,Heating!$C$102:$O$106,5,FALSE)*INDEX(Weather!$BO$1:$CB$20,MATCH(B57,Weather!$BO$1:$BO$20,0),MATCH(C57,Weather!$BO$1:$CB$1,0))/VLOOKUP(B57,Weather!$BO$2:$CB$20,14,FALSE)*
VLOOKUP('Monthly Data'!$B57,Weather!$BO$3:$CB$20,14,FALSE)/Weather!$CB$14</f>
        <v>379.95628726605099</v>
      </c>
      <c r="AA57" s="7">
        <f t="shared" ca="1" si="172"/>
        <v>81871130.708784908</v>
      </c>
      <c r="AB57" s="7">
        <v>7213390.8943653805</v>
      </c>
      <c r="AC57" s="7">
        <f>IFERROR(VLOOKUP($B57-1,CDM!$V$4:$AJ$17,6,FALSE)/12,0)+IFERROR(VLOOKUP($B57,CDM!$V$41:$AJ$54,6,FALSE)/24,0)+IFERROR(VLOOKUP($B57,CDM!$V$41:$AJ$54,6,FALSE)/2*$C57/78,0)</f>
        <v>229348.81873749223</v>
      </c>
      <c r="AD57" s="7">
        <f t="shared" si="173"/>
        <v>7442739.7131028725</v>
      </c>
      <c r="AE57" s="7">
        <f>IFERROR(HLOOKUP(B57-1,'EV Forecast VRZ'!$F$124:$T$130,6,FALSE)/12,0)+IFERROR(((HLOOKUP(B57,'EV Forecast VRZ'!$F$116:$T$122,6,FALSE)-HLOOKUP(B57-1,'EV Forecast VRZ'!$F$124:$T$130,6,FALSE)))*C57/78,0)</f>
        <v>1876.8383589743585</v>
      </c>
      <c r="AF57" s="7">
        <f t="shared" si="174"/>
        <v>7440862.8747438984</v>
      </c>
      <c r="AG57" s="7">
        <v>20882050.671992645</v>
      </c>
      <c r="AH57" s="7">
        <f>IFERROR(VLOOKUP($B57-1,CDM!$V$4:$AJ$17,7,FALSE)/12,0)+IFERROR(VLOOKUP($B57,CDM!$V$41:$AJ$54,7,FALSE)/24,0)+IFERROR(VLOOKUP($B57,CDM!$V$41:$AJ$54,7,FALSE)/2*$C57/78,0)</f>
        <v>1635372.7695448764</v>
      </c>
      <c r="AI57" s="7">
        <f t="shared" si="175"/>
        <v>22517423.441537522</v>
      </c>
      <c r="AJ57" s="7">
        <f>IFERROR(HLOOKUP(B57-1,'EV Forecast VRZ'!$F$124:$T$130,7,FALSE)/12,0)+IFERROR(((HLOOKUP(B57,'EV Forecast VRZ'!$F$116:$T$122,7,FALSE)-HLOOKUP(B57-1,'EV Forecast VRZ'!$F$124:$T$130,7,FALSE)))*C57/78,0)</f>
        <v>0</v>
      </c>
      <c r="AK57" s="7">
        <f t="shared" si="176"/>
        <v>22517423.441537522</v>
      </c>
      <c r="AL57" s="7">
        <v>811501.81263117725</v>
      </c>
      <c r="AM57" s="7">
        <v>17868.918145392101</v>
      </c>
      <c r="AN57" s="7">
        <v>383108.02327800042</v>
      </c>
      <c r="AO57" s="5">
        <v>192566.87</v>
      </c>
      <c r="AP57" s="5">
        <v>15769.8</v>
      </c>
      <c r="AQ57" s="5">
        <v>36188</v>
      </c>
      <c r="AR57" s="5">
        <v>2596.1999999999998</v>
      </c>
      <c r="AS57" s="544">
        <f t="shared" si="183"/>
        <v>53.5</v>
      </c>
      <c r="AT57" s="557">
        <v>112335</v>
      </c>
      <c r="AU57" s="557">
        <v>1561</v>
      </c>
      <c r="AV57" s="557">
        <v>9280</v>
      </c>
      <c r="AW57" s="557">
        <v>1035</v>
      </c>
      <c r="AX57" s="557">
        <v>4.6666666666666643</v>
      </c>
      <c r="AY57" s="557">
        <v>4</v>
      </c>
      <c r="AZ57" s="557">
        <v>31468.666666666657</v>
      </c>
      <c r="BA57" s="557">
        <v>254</v>
      </c>
      <c r="BB57" s="557">
        <v>801.33333333333303</v>
      </c>
      <c r="BC57" s="560">
        <v>41933405.343542948</v>
      </c>
      <c r="BD57" s="560">
        <f>IFERROR(VLOOKUP($B57-1,CDM!$V$4:$AJ$17,11,FALSE)/12,0)+IFERROR(VLOOKUP($B57,CDM!$V$41:$AJ$54,11,FALSE)/24,0)+IFERROR(VLOOKUP($B57,CDM!$V$41:$AJ$54,11,FALSE)/2*$C57/78,0)</f>
        <v>1920036.4329197584</v>
      </c>
      <c r="BE57" s="560">
        <f t="shared" si="119"/>
        <v>43853441.776462704</v>
      </c>
      <c r="BF57" s="560">
        <f>IFERROR(HLOOKUP(B57-1,'EV Forecast WRZ'!$F$124:$T$130,2,FALSE)/12,0)+IFERROR(((HLOOKUP(B57,'EV Forecast WRZ'!$F$116:$T$122,2,FALSE)-HLOOKUP(B57-1,'EV Forecast WRZ'!$F$124:$T$130,2,FALSE)))*C57/78,0)</f>
        <v>72989.068333333344</v>
      </c>
      <c r="BG57" s="560">
        <f ca="1">HLOOKUP(B57,Heating!$R$102:$AD$106,2,FALSE)*INDEX(Weather!$BO$1:$CB$20,MATCH(B57,Weather!$BO$1:$BO$20,0),MATCH(C57,Weather!$BO$1:$CB$1,0))/VLOOKUP(B57,Weather!$BO$2:$CB$20,14,FALSE)*
VLOOKUP('Monthly Data'!$B57,Weather!$BO$3:$CB$20,14,FALSE)/Weather!$CB$14</f>
        <v>1062.1421381372395</v>
      </c>
      <c r="BH57" s="560">
        <f t="shared" ca="1" si="177"/>
        <v>43779390.56599123</v>
      </c>
      <c r="BI57" s="560">
        <v>7106326.5336426338</v>
      </c>
      <c r="BJ57" s="560">
        <f>IFERROR(VLOOKUP($B57-1,CDM!$V$4:$AJ$17,12,FALSE)/12,0)+IFERROR(VLOOKUP($B57,CDM!$V$41:$AJ$54,12,FALSE)/24,0)+IFERROR(VLOOKUP($B57,CDM!$V$41:$AJ$54,12,FALSE)/2*$C57/78,0)</f>
        <v>218811.6658817647</v>
      </c>
      <c r="BK57" s="560">
        <f t="shared" si="178"/>
        <v>7325138.1995243989</v>
      </c>
      <c r="BL57" s="560">
        <f>IFERROR(HLOOKUP(B57-1,'EV Forecast WRZ'!$F$124:$T$130,3,FALSE)/12,0)+IFERROR(((HLOOKUP(B57,'EV Forecast WRZ'!$F$116:$T$122,3,FALSE)-HLOOKUP(B57-1,'EV Forecast WRZ'!$F$124:$T$130,3,FALSE)))*C57/78,0)</f>
        <v>9014.5510256410271</v>
      </c>
      <c r="BM57" s="560">
        <f ca="1">HLOOKUP(B57,Heating!$R$102:$AD$106,4,FALSE)*INDEX(Weather!$BO$1:$CB$20,MATCH(B57,Weather!$BO$1:$BO$20,0),MATCH(C57,Weather!$BO$1:$CB$1,0))/VLOOKUP(B57,Weather!$BO$2:$CB$20,14,FALSE)*
VLOOKUP('Monthly Data'!$B57,Weather!$BO$3:$CB$20,14,FALSE)/Weather!$CB$14</f>
        <v>167.87229559946877</v>
      </c>
      <c r="BN57" s="560">
        <f t="shared" ca="1" si="179"/>
        <v>7315955.7762031583</v>
      </c>
      <c r="BO57" s="560">
        <v>26763819.278294802</v>
      </c>
      <c r="BP57" s="560">
        <f>IFERROR(VLOOKUP($B57-1,CDM!$V$4:$AJ$17,13,FALSE)/12,0)+IFERROR(VLOOKUP($B57,CDM!$V$41:$AJ$54,13,FALSE)/24,0)+IFERROR(VLOOKUP($B57,CDM!$V$41:$AJ$54,13,FALSE)/2*$C57/78,0)</f>
        <v>1883253.441526203</v>
      </c>
      <c r="BQ57" s="560">
        <f t="shared" si="180"/>
        <v>28647072.719821006</v>
      </c>
      <c r="BR57" s="560">
        <f>IFERROR(HLOOKUP(B57-1,'EV Forecast WRZ'!$F$124:$T$130,4,FALSE)/12,0)+IFERROR(((HLOOKUP(B57,'EV Forecast WRZ'!$F$116:$T$122,4,FALSE)-HLOOKUP(B57-1,'EV Forecast WRZ'!$F$124:$T$130,4,FALSE)))*C57/78,0)</f>
        <v>4091.1633461538463</v>
      </c>
      <c r="BS57" s="560">
        <f ca="1">HLOOKUP(B57,Heating!$R$102:$AD$106,5,FALSE)*INDEX(Weather!$BO$1:$CB$20,MATCH(B57,Weather!$BO$1:$BO$20,0),MATCH(C57,Weather!$BO$1:$CB$1,0))/VLOOKUP(B57,Weather!$BO$2:$CB$20,14,FALSE)*
VLOOKUP('Monthly Data'!$B57,Weather!$BO$3:$CB$20,14,FALSE)/Weather!$CB$14</f>
        <v>112.36166093798255</v>
      </c>
      <c r="BT57" s="560">
        <f t="shared" ca="1" si="181"/>
        <v>28642869.194813915</v>
      </c>
      <c r="BU57" s="560">
        <v>7205883.9054966262</v>
      </c>
      <c r="BV57" s="560">
        <f>IFERROR(VLOOKUP($B57-1,CDM!$V$4:$AJ$17,14,FALSE)/12,0)+IFERROR(VLOOKUP($B57,CDM!$V$41:$AJ$54,14,FALSE)/24,0)+IFERROR(VLOOKUP($B57,CDM!$V$41:$AJ$54,14,FALSE)/2*$C57/78,0)</f>
        <v>423397.09897866438</v>
      </c>
      <c r="BW57" s="560">
        <f t="shared" si="182"/>
        <v>7629281.0044752909</v>
      </c>
      <c r="BX57" s="560">
        <f>IFERROR(HLOOKUP(B57-1,'EV Forecast WRZ'!$F$124:$T$130,5,FALSE)/12,0)+IFERROR(((HLOOKUP(B57,'EV Forecast WRZ'!$F$116:$T$122,5,FALSE)-HLOOKUP(B57-1,'EV Forecast WRZ'!$F$124:$T$130,5,FALSE)))*C57/78,0)</f>
        <v>589.18908974358965</v>
      </c>
      <c r="BY57" s="560">
        <f t="shared" si="120"/>
        <v>7628691.8153855475</v>
      </c>
      <c r="BZ57" s="560">
        <v>239035.42184809639</v>
      </c>
      <c r="CA57" s="560">
        <v>1978.182430566919</v>
      </c>
      <c r="CB57" s="560">
        <v>156904.983738282</v>
      </c>
      <c r="CC57" s="5">
        <v>66675.87</v>
      </c>
      <c r="CD57" s="5">
        <v>11832.5</v>
      </c>
      <c r="CE57" s="5">
        <v>764.71</v>
      </c>
      <c r="CF57" s="544">
        <f t="shared" si="184"/>
        <v>6</v>
      </c>
      <c r="CG57" s="565">
        <v>41983</v>
      </c>
      <c r="CH57" s="565">
        <v>2288.3333333333321</v>
      </c>
      <c r="CI57" s="565">
        <v>383</v>
      </c>
      <c r="CJ57" s="565">
        <v>3</v>
      </c>
      <c r="CK57" s="565">
        <v>12732.666666666672</v>
      </c>
      <c r="CL57" s="565">
        <v>37</v>
      </c>
      <c r="CM57" s="565">
        <v>389.66666666666652</v>
      </c>
      <c r="CN57" s="46">
        <f>Weather!C81</f>
        <v>19.720833333333321</v>
      </c>
      <c r="CO57" s="46">
        <f>Weather!D81</f>
        <v>50.651893939393972</v>
      </c>
      <c r="CP57" s="46">
        <f>Weather!E81</f>
        <v>3.4874999999999972</v>
      </c>
      <c r="CQ57" s="46">
        <f>Weather!F81</f>
        <v>96.418560606060637</v>
      </c>
      <c r="CR57" s="46">
        <f>Weather!G81</f>
        <v>0</v>
      </c>
      <c r="CS57" s="46">
        <f>Weather!H81</f>
        <v>154.93106060606064</v>
      </c>
      <c r="CT57" s="46">
        <f>Weather!I81</f>
        <v>0</v>
      </c>
      <c r="CU57" s="46">
        <f>Weather!J81</f>
        <v>216.93106060606064</v>
      </c>
      <c r="CV57" s="46">
        <f>Weather!K81</f>
        <v>0</v>
      </c>
      <c r="CW57" s="46">
        <f>Weather!L81</f>
        <v>278.93106060606061</v>
      </c>
      <c r="CX57" s="46">
        <f>Weather!M81</f>
        <v>0</v>
      </c>
      <c r="CY57" s="46">
        <f>Weather!N81</f>
        <v>340.93106060606056</v>
      </c>
      <c r="CZ57" s="46">
        <f>Weather!O81</f>
        <v>0</v>
      </c>
      <c r="DA57" s="46">
        <f>Weather!P81</f>
        <v>402.93106060606067</v>
      </c>
      <c r="DB57" s="243">
        <f>'Economic Data'!D83</f>
        <v>6904.3</v>
      </c>
      <c r="DC57" s="243">
        <f>'Economic Data'!E83</f>
        <v>6971.5</v>
      </c>
      <c r="DD57" s="243">
        <f>'Economic Data'!F83</f>
        <v>205.7</v>
      </c>
      <c r="DE57" s="243">
        <f>'Economic Data'!G83</f>
        <v>207.4</v>
      </c>
      <c r="DF57" s="243">
        <f>'Economic Data'!H83</f>
        <v>45.9</v>
      </c>
      <c r="DG57" s="243">
        <f>'Economic Data'!I83</f>
        <v>45.9</v>
      </c>
      <c r="DH57" s="243">
        <f>'Economic Data'!J83</f>
        <v>769942</v>
      </c>
      <c r="DI57" s="243">
        <f>'Economic Data'!K83</f>
        <v>596521.6</v>
      </c>
      <c r="DJ57" s="243">
        <f>'Economic Data'!L83</f>
        <v>85928.9</v>
      </c>
      <c r="DK57" s="243">
        <f>'Economic Data'!M83</f>
        <v>23899.8</v>
      </c>
      <c r="DL57" s="243">
        <f>'Economic Data'!N83</f>
        <v>778294</v>
      </c>
      <c r="DM57" s="243">
        <f>'Economic Data'!O83</f>
        <v>89762</v>
      </c>
      <c r="DN57" s="243">
        <f>'Economic Data'!P83</f>
        <v>17606</v>
      </c>
      <c r="DO57" s="243">
        <f>'Economic Data'!Q83</f>
        <v>599599</v>
      </c>
      <c r="DP57" s="243">
        <f>'Economic Data'!R83</f>
        <v>22182</v>
      </c>
      <c r="DQ57">
        <v>31</v>
      </c>
      <c r="DR57">
        <v>20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1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f t="shared" si="185"/>
        <v>56</v>
      </c>
      <c r="EI57">
        <v>1</v>
      </c>
      <c r="EJ57">
        <v>0.5</v>
      </c>
      <c r="EK57">
        <v>1</v>
      </c>
      <c r="EL57">
        <v>0</v>
      </c>
      <c r="EM57" s="47">
        <f t="shared" si="121"/>
        <v>9.8604166666666604</v>
      </c>
      <c r="EN57" s="47">
        <f t="shared" si="122"/>
        <v>25.325946969696986</v>
      </c>
      <c r="EO57" s="47">
        <f t="shared" si="123"/>
        <v>1.7437499999999986</v>
      </c>
      <c r="EP57" s="47">
        <f t="shared" si="124"/>
        <v>48.209280303030319</v>
      </c>
      <c r="EQ57" s="47">
        <f t="shared" si="125"/>
        <v>0</v>
      </c>
      <c r="ER57" s="47">
        <f t="shared" si="126"/>
        <v>77.46553030303032</v>
      </c>
      <c r="ES57" s="47">
        <f t="shared" si="127"/>
        <v>0</v>
      </c>
      <c r="ET57" s="47">
        <f t="shared" si="128"/>
        <v>108.46553030303032</v>
      </c>
      <c r="EU57" s="47">
        <f t="shared" si="129"/>
        <v>0</v>
      </c>
      <c r="EV57" s="47">
        <f t="shared" si="130"/>
        <v>139.46553030303031</v>
      </c>
      <c r="EW57" s="47">
        <f t="shared" si="131"/>
        <v>0</v>
      </c>
      <c r="EX57" s="47">
        <f t="shared" si="132"/>
        <v>170.46553030303028</v>
      </c>
      <c r="EY57" s="47">
        <f t="shared" si="133"/>
        <v>0</v>
      </c>
      <c r="EZ57" s="47">
        <f t="shared" si="134"/>
        <v>201.46553030303033</v>
      </c>
      <c r="FA57" s="47">
        <f t="shared" si="135"/>
        <v>19.720833333333321</v>
      </c>
      <c r="FB57" s="47">
        <f t="shared" si="136"/>
        <v>50.651893939393972</v>
      </c>
      <c r="FC57" s="47">
        <f t="shared" si="137"/>
        <v>3.4874999999999972</v>
      </c>
      <c r="FD57" s="47">
        <f t="shared" si="138"/>
        <v>96.418560606060637</v>
      </c>
      <c r="FE57" s="47">
        <f t="shared" si="139"/>
        <v>0</v>
      </c>
      <c r="FF57" s="47">
        <f t="shared" si="140"/>
        <v>154.93106060606064</v>
      </c>
      <c r="FG57" s="47">
        <f t="shared" si="141"/>
        <v>0</v>
      </c>
      <c r="FH57" s="47">
        <f t="shared" si="142"/>
        <v>216.93106060606064</v>
      </c>
      <c r="FI57" s="47">
        <f t="shared" si="143"/>
        <v>0</v>
      </c>
      <c r="FJ57" s="47">
        <f t="shared" si="144"/>
        <v>278.93106060606061</v>
      </c>
      <c r="FK57" s="47">
        <f t="shared" si="145"/>
        <v>0</v>
      </c>
      <c r="FL57" s="47">
        <f t="shared" si="146"/>
        <v>340.93106060606056</v>
      </c>
      <c r="FM57" s="47">
        <f t="shared" si="147"/>
        <v>0</v>
      </c>
      <c r="FN57" s="47">
        <f t="shared" si="148"/>
        <v>402.93106060606067</v>
      </c>
      <c r="FO57" s="546">
        <f t="shared" ca="1" si="149"/>
        <v>929.77568572592884</v>
      </c>
      <c r="FP57" s="546">
        <f t="shared" si="150"/>
        <v>704.13863437345935</v>
      </c>
      <c r="FQ57" s="546">
        <f t="shared" si="151"/>
        <v>2599.7713441418382</v>
      </c>
      <c r="FR57" s="546">
        <f t="shared" si="152"/>
        <v>79115.743495647592</v>
      </c>
      <c r="FS57" s="546">
        <f t="shared" si="153"/>
        <v>1594872.7956649021</v>
      </c>
      <c r="FT57" s="546">
        <f t="shared" si="154"/>
        <v>5629355.8603843804</v>
      </c>
      <c r="FU57" s="546">
        <f t="shared" si="155"/>
        <v>25.787613476829147</v>
      </c>
      <c r="FV57" s="546">
        <f t="shared" si="156"/>
        <v>70.350071438551581</v>
      </c>
      <c r="FW57" s="546">
        <f t="shared" si="157"/>
        <v>478.08821540515879</v>
      </c>
      <c r="FX57" s="546">
        <f t="shared" si="158"/>
        <v>1044.5523611095612</v>
      </c>
      <c r="FY57" s="546">
        <f t="shared" si="159"/>
        <v>3201.0800580587338</v>
      </c>
      <c r="FZ57" s="546">
        <f t="shared" si="160"/>
        <v>74796.534516503933</v>
      </c>
      <c r="GA57" s="546">
        <f t="shared" si="161"/>
        <v>79678.473949365463</v>
      </c>
      <c r="GB57" s="546">
        <f t="shared" si="162"/>
        <v>18.773398228815353</v>
      </c>
      <c r="GC57" s="546">
        <f t="shared" si="163"/>
        <v>53.464390015322138</v>
      </c>
      <c r="GD57" s="546">
        <f t="shared" si="164"/>
        <v>402.66462892630125</v>
      </c>
    </row>
    <row r="58" spans="1:186">
      <c r="A58" s="4">
        <v>44075</v>
      </c>
      <c r="B58" s="6">
        <v>2020</v>
      </c>
      <c r="C58" s="5">
        <v>9</v>
      </c>
      <c r="D58" s="7">
        <v>68469027.706754729</v>
      </c>
      <c r="E58" s="7">
        <f>IFERROR(VLOOKUP($B58-1,CDM!$V$4:$AJ$17,2,FALSE)/12,0)+IFERROR(VLOOKUP($B58,CDM!$V$41:$AJ$54,2,FALSE)/24,0)+IFERROR(VLOOKUP($B58,CDM!$V$41:$AJ$54,2,FALSE)/2*$C58/78,0)</f>
        <v>3833764.6196679203</v>
      </c>
      <c r="F58" s="7">
        <f t="shared" si="165"/>
        <v>72302792.326422647</v>
      </c>
      <c r="G58" s="7">
        <f>IFERROR(HLOOKUP(B58-1,'EV Forecast VRZ'!$F$124:$T$130,2,FALSE)/12,0)+IFERROR(((HLOOKUP(B58,'EV Forecast VRZ'!$F$116:$T$122,2,FALSE)-HLOOKUP(B58-1,'EV Forecast VRZ'!$F$124:$T$130,2,FALSE)))*C58/78,0)</f>
        <v>239731.246226569</v>
      </c>
      <c r="H58" s="7">
        <f ca="1">HLOOKUP(B58,Heating!$C$102:$O$106,2,FALSE)*INDEX(Weather!$BO$1:$CB$20,MATCH(B58,Weather!$BO$1:$BO$20,0),MATCH(C58,Weather!$BO$1:$CB$1,0))/VLOOKUP(B58,Weather!$BO$2:$CB$20,14,FALSE)*
VLOOKUP('Monthly Data'!$B58,Weather!$BO$3:$CB$20,14,FALSE)/Weather!$CB$14</f>
        <v>65736.670583690342</v>
      </c>
      <c r="I58" s="7">
        <f t="shared" ca="1" si="166"/>
        <v>71997324.409612387</v>
      </c>
      <c r="J58" s="7">
        <v>911575.26005533396</v>
      </c>
      <c r="K58" s="7">
        <f>IFERROR(VLOOKUP($B58-1,CDM!$V$4:$AJ$17,3,FALSE)/12,0)+IFERROR(VLOOKUP($B58,CDM!$V$41:$AJ$54,3,FALSE)/24,0)+IFERROR(VLOOKUP($B58,CDM!$V$41:$AJ$54,3,FALSE)/2*$C58/78,0)</f>
        <v>43911.186919441883</v>
      </c>
      <c r="L58" s="7">
        <f t="shared" si="167"/>
        <v>955486.44697477587</v>
      </c>
      <c r="M58" s="7">
        <f>IFERROR(HLOOKUP(B58-1,'EV Forecast VRZ'!$F$124:$T$130,3,FALSE)/12,0)+IFERROR(((HLOOKUP(B58,'EV Forecast VRZ'!$F$116:$T$122,3,FALSE)-HLOOKUP(B58-1,'EV Forecast VRZ'!$F$124:$T$130,3,FALSE)))*C58/78,0)</f>
        <v>3252.9472349694515</v>
      </c>
      <c r="N58" s="7">
        <f ca="1">HLOOKUP(B58,Heating!$C$102:$O$106,3,FALSE)*INDEX(Weather!$BO$1:$CB$20,MATCH(B58,Weather!$BO$1:$BO$20,0),MATCH(C58,Weather!$BO$1:$CB$1,0))/VLOOKUP(B58,Weather!$BO$2:$CB$20,14,FALSE)*
VLOOKUP('Monthly Data'!$B58,Weather!$BO$3:$CB$20,14,FALSE)/Weather!$CB$14</f>
        <v>869.67622086294841</v>
      </c>
      <c r="O58" s="7">
        <f t="shared" ca="1" si="168"/>
        <v>951363.82351894351</v>
      </c>
      <c r="P58" s="7">
        <v>19251042.874079373</v>
      </c>
      <c r="Q58" s="7">
        <f>IFERROR(VLOOKUP($B58-1,CDM!$V$4:$AJ$17,4,FALSE)/12,0)+IFERROR(VLOOKUP($B58,CDM!$V$41:$AJ$54,4,FALSE)/24,0)+IFERROR(VLOOKUP($B58,CDM!$V$41:$AJ$54,4,FALSE)/2*$C58/78,0)</f>
        <v>1368802.155151637</v>
      </c>
      <c r="R58" s="7">
        <f t="shared" si="169"/>
        <v>20619845.029231008</v>
      </c>
      <c r="S58" s="7">
        <f>IFERROR(HLOOKUP(B58-1,'EV Forecast VRZ'!$F$124:$T$130,4,FALSE)/12,0)+IFERROR(((HLOOKUP(B58,'EV Forecast VRZ'!$F$116:$T$122,4,FALSE)-HLOOKUP(B58-1,'EV Forecast VRZ'!$F$124:$T$130,4,FALSE)))*C58/78,0)</f>
        <v>29864.430000000004</v>
      </c>
      <c r="T58" s="7">
        <f ca="1">HLOOKUP(B58,Heating!$C$102:$O$106,4,FALSE)*INDEX(Weather!$BO$1:$CB$20,MATCH(B58,Weather!$BO$1:$BO$20,0),MATCH(C58,Weather!$BO$1:$CB$1,0))/VLOOKUP(B58,Weather!$BO$2:$CB$20,14,FALSE)*
VLOOKUP('Monthly Data'!$B58,Weather!$BO$3:$CB$20,14,FALSE)/Weather!$CB$14</f>
        <v>16428.326522444488</v>
      </c>
      <c r="U58" s="7">
        <f t="shared" ca="1" si="170"/>
        <v>20573552.272708565</v>
      </c>
      <c r="V58" s="7">
        <v>70809435.373464376</v>
      </c>
      <c r="W58" s="7">
        <f>IFERROR(VLOOKUP($B58-1,CDM!$V$4:$AJ$17,5,FALSE)/12,0)+IFERROR(VLOOKUP($B58,CDM!$V$41:$AJ$54,5,FALSE)/24,0)+IFERROR(VLOOKUP($B58,CDM!$V$41:$AJ$54,5,FALSE)/2*$C58/78,0)</f>
        <v>4925107.9082509112</v>
      </c>
      <c r="X58" s="7">
        <f t="shared" si="171"/>
        <v>75734543.281715289</v>
      </c>
      <c r="Y58" s="7">
        <f>IFERROR(HLOOKUP(B58-1,'EV Forecast VRZ'!$F$124:$T$130,5,FALSE)/12,0)+IFERROR(((HLOOKUP(B58,'EV Forecast VRZ'!$F$116:$T$122,5,FALSE)-HLOOKUP(B58-1,'EV Forecast VRZ'!$F$124:$T$130,5,FALSE)))*C58/78,0)</f>
        <v>13542.455038461538</v>
      </c>
      <c r="Z58" s="7">
        <f ca="1">HLOOKUP(B58,Heating!$C$102:$O$106,5,FALSE)*INDEX(Weather!$BO$1:$CB$20,MATCH(B58,Weather!$BO$1:$BO$20,0),MATCH(C58,Weather!$BO$1:$CB$1,0))/VLOOKUP(B58,Weather!$BO$2:$CB$20,14,FALSE)*
VLOOKUP('Monthly Data'!$B58,Weather!$BO$3:$CB$20,14,FALSE)/Weather!$CB$14</f>
        <v>9265.1623211197857</v>
      </c>
      <c r="AA58" s="7">
        <f t="shared" ca="1" si="172"/>
        <v>75711735.66435571</v>
      </c>
      <c r="AB58" s="7">
        <v>7123210.2954221126</v>
      </c>
      <c r="AC58" s="7">
        <f>IFERROR(VLOOKUP($B58-1,CDM!$V$4:$AJ$17,6,FALSE)/12,0)+IFERROR(VLOOKUP($B58,CDM!$V$41:$AJ$54,6,FALSE)/24,0)+IFERROR(VLOOKUP($B58,CDM!$V$41:$AJ$54,6,FALSE)/2*$C58/78,0)</f>
        <v>230664.29035667813</v>
      </c>
      <c r="AD58" s="7">
        <f t="shared" si="173"/>
        <v>7353874.5857787905</v>
      </c>
      <c r="AE58" s="7">
        <f>IFERROR(HLOOKUP(B58-1,'EV Forecast VRZ'!$F$124:$T$130,6,FALSE)/12,0)+IFERROR(((HLOOKUP(B58,'EV Forecast VRZ'!$F$116:$T$122,6,FALSE)-HLOOKUP(B58-1,'EV Forecast VRZ'!$F$124:$T$130,6,FALSE)))*C58/78,0)</f>
        <v>1907.0676538461535</v>
      </c>
      <c r="AF58" s="7">
        <f t="shared" si="174"/>
        <v>7351967.5181249445</v>
      </c>
      <c r="AG58" s="7">
        <v>21464251.169741906</v>
      </c>
      <c r="AH58" s="7">
        <f>IFERROR(VLOOKUP($B58-1,CDM!$V$4:$AJ$17,7,FALSE)/12,0)+IFERROR(VLOOKUP($B58,CDM!$V$41:$AJ$54,7,FALSE)/24,0)+IFERROR(VLOOKUP($B58,CDM!$V$41:$AJ$54,7,FALSE)/2*$C58/78,0)</f>
        <v>1640404.7691561095</v>
      </c>
      <c r="AI58" s="7">
        <f t="shared" si="175"/>
        <v>23104655.938898016</v>
      </c>
      <c r="AJ58" s="7">
        <f>IFERROR(HLOOKUP(B58-1,'EV Forecast VRZ'!$F$124:$T$130,7,FALSE)/12,0)+IFERROR(((HLOOKUP(B58,'EV Forecast VRZ'!$F$116:$T$122,7,FALSE)-HLOOKUP(B58-1,'EV Forecast VRZ'!$F$124:$T$130,7,FALSE)))*C58/78,0)</f>
        <v>0</v>
      </c>
      <c r="AK58" s="7">
        <f t="shared" si="176"/>
        <v>23104655.938898016</v>
      </c>
      <c r="AL58" s="7">
        <v>882783.38103415386</v>
      </c>
      <c r="AM58" s="7">
        <v>18605.666857469951</v>
      </c>
      <c r="AN58" s="7">
        <v>382705.01812631177</v>
      </c>
      <c r="AO58" s="5">
        <v>186949.58</v>
      </c>
      <c r="AP58" s="5">
        <v>17027.41</v>
      </c>
      <c r="AQ58" s="5">
        <v>37657</v>
      </c>
      <c r="AR58" s="5">
        <v>2558.87</v>
      </c>
      <c r="AS58" s="544">
        <f t="shared" si="183"/>
        <v>53.5</v>
      </c>
      <c r="AT58" s="557">
        <v>112412.75</v>
      </c>
      <c r="AU58" s="557">
        <v>1561</v>
      </c>
      <c r="AV58" s="557">
        <v>9281.5</v>
      </c>
      <c r="AW58" s="557">
        <v>1037</v>
      </c>
      <c r="AX58" s="557">
        <v>4.7499999999999973</v>
      </c>
      <c r="AY58" s="557">
        <v>4</v>
      </c>
      <c r="AZ58" s="557">
        <v>31504.499999999989</v>
      </c>
      <c r="BA58" s="557">
        <v>253.25</v>
      </c>
      <c r="BB58" s="557">
        <v>800.99999999999966</v>
      </c>
      <c r="BC58" s="560">
        <v>28026755.107709963</v>
      </c>
      <c r="BD58" s="560">
        <f>IFERROR(VLOOKUP($B58-1,CDM!$V$4:$AJ$17,11,FALSE)/12,0)+IFERROR(VLOOKUP($B58,CDM!$V$41:$AJ$54,11,FALSE)/24,0)+IFERROR(VLOOKUP($B58,CDM!$V$41:$AJ$54,11,FALSE)/2*$C58/78,0)</f>
        <v>1920100.181688772</v>
      </c>
      <c r="BE58" s="560">
        <f t="shared" si="119"/>
        <v>29946855.289398734</v>
      </c>
      <c r="BF58" s="560">
        <f>IFERROR(HLOOKUP(B58-1,'EV Forecast WRZ'!$F$124:$T$130,2,FALSE)/12,0)+IFERROR(((HLOOKUP(B58,'EV Forecast WRZ'!$F$116:$T$122,2,FALSE)-HLOOKUP(B58-1,'EV Forecast WRZ'!$F$124:$T$130,2,FALSE)))*C58/78,0)</f>
        <v>74644.005000000005</v>
      </c>
      <c r="BG58" s="560">
        <f ca="1">HLOOKUP(B58,Heating!$R$102:$AD$106,2,FALSE)*INDEX(Weather!$BO$1:$CB$20,MATCH(B58,Weather!$BO$1:$BO$20,0),MATCH(C58,Weather!$BO$1:$CB$1,0))/VLOOKUP(B58,Weather!$BO$2:$CB$20,14,FALSE)*
VLOOKUP('Monthly Data'!$B58,Weather!$BO$3:$CB$20,14,FALSE)/Weather!$CB$14</f>
        <v>25900.135483353646</v>
      </c>
      <c r="BH58" s="560">
        <f t="shared" ca="1" si="177"/>
        <v>29846311.14891538</v>
      </c>
      <c r="BI58" s="560">
        <v>6028871.1318634003</v>
      </c>
      <c r="BJ58" s="560">
        <f>IFERROR(VLOOKUP($B58-1,CDM!$V$4:$AJ$17,12,FALSE)/12,0)+IFERROR(VLOOKUP($B58,CDM!$V$41:$AJ$54,12,FALSE)/24,0)+IFERROR(VLOOKUP($B58,CDM!$V$41:$AJ$54,12,FALSE)/2*$C58/78,0)</f>
        <v>219688.28715372956</v>
      </c>
      <c r="BK58" s="560">
        <f t="shared" si="178"/>
        <v>6248559.4190171296</v>
      </c>
      <c r="BL58" s="560">
        <f>IFERROR(HLOOKUP(B58-1,'EV Forecast WRZ'!$F$124:$T$130,3,FALSE)/12,0)+IFERROR(((HLOOKUP(B58,'EV Forecast WRZ'!$F$116:$T$122,3,FALSE)-HLOOKUP(B58-1,'EV Forecast WRZ'!$F$124:$T$130,3,FALSE)))*C58/78,0)</f>
        <v>9216.3761538461549</v>
      </c>
      <c r="BM58" s="560">
        <f ca="1">HLOOKUP(B58,Heating!$R$102:$AD$106,4,FALSE)*INDEX(Weather!$BO$1:$CB$20,MATCH(B58,Weather!$BO$1:$BO$20,0),MATCH(C58,Weather!$BO$1:$CB$1,0))/VLOOKUP(B58,Weather!$BO$2:$CB$20,14,FALSE)*
VLOOKUP('Monthly Data'!$B58,Weather!$BO$3:$CB$20,14,FALSE)/Weather!$CB$14</f>
        <v>4093.5342303179</v>
      </c>
      <c r="BN58" s="560">
        <f t="shared" ca="1" si="179"/>
        <v>6235249.5086329654</v>
      </c>
      <c r="BO58" s="560">
        <v>24404719.995196633</v>
      </c>
      <c r="BP58" s="560">
        <f>IFERROR(VLOOKUP($B58-1,CDM!$V$4:$AJ$17,13,FALSE)/12,0)+IFERROR(VLOOKUP($B58,CDM!$V$41:$AJ$54,13,FALSE)/24,0)+IFERROR(VLOOKUP($B58,CDM!$V$41:$AJ$54,13,FALSE)/2*$C58/78,0)</f>
        <v>1908482.7882818296</v>
      </c>
      <c r="BQ58" s="560">
        <f t="shared" si="180"/>
        <v>26313202.783478461</v>
      </c>
      <c r="BR58" s="560">
        <f>IFERROR(HLOOKUP(B58-1,'EV Forecast WRZ'!$F$124:$T$130,4,FALSE)/12,0)+IFERROR(((HLOOKUP(B58,'EV Forecast WRZ'!$F$116:$T$122,4,FALSE)-HLOOKUP(B58-1,'EV Forecast WRZ'!$F$124:$T$130,4,FALSE)))*C58/78,0)</f>
        <v>4182.5615769230772</v>
      </c>
      <c r="BS58" s="560">
        <f ca="1">HLOOKUP(B58,Heating!$R$102:$AD$106,5,FALSE)*INDEX(Weather!$BO$1:$CB$20,MATCH(B58,Weather!$BO$1:$BO$20,0),MATCH(C58,Weather!$BO$1:$CB$1,0))/VLOOKUP(B58,Weather!$BO$2:$CB$20,14,FALSE)*
VLOOKUP('Monthly Data'!$B58,Weather!$BO$3:$CB$20,14,FALSE)/Weather!$CB$14</f>
        <v>2739.9178856910839</v>
      </c>
      <c r="BT58" s="560">
        <f t="shared" ca="1" si="181"/>
        <v>26306280.304015849</v>
      </c>
      <c r="BU58" s="560">
        <v>6525564.3490838967</v>
      </c>
      <c r="BV58" s="560">
        <f>IFERROR(VLOOKUP($B58-1,CDM!$V$4:$AJ$17,14,FALSE)/12,0)+IFERROR(VLOOKUP($B58,CDM!$V$41:$AJ$54,14,FALSE)/24,0)+IFERROR(VLOOKUP($B58,CDM!$V$41:$AJ$54,14,FALSE)/2*$C58/78,0)</f>
        <v>429069.21511020442</v>
      </c>
      <c r="BW58" s="560">
        <f t="shared" si="182"/>
        <v>6954633.5641941009</v>
      </c>
      <c r="BX58" s="560">
        <f>IFERROR(HLOOKUP(B58-1,'EV Forecast WRZ'!$F$124:$T$130,5,FALSE)/12,0)+IFERROR(((HLOOKUP(B58,'EV Forecast WRZ'!$F$116:$T$122,5,FALSE)-HLOOKUP(B58-1,'EV Forecast WRZ'!$F$124:$T$130,5,FALSE)))*C58/78,0)</f>
        <v>601.58803846153842</v>
      </c>
      <c r="BY58" s="560">
        <f t="shared" si="120"/>
        <v>6954031.9761556396</v>
      </c>
      <c r="BZ58" s="560">
        <v>263759.40309929213</v>
      </c>
      <c r="CA58" s="560">
        <v>1978.182430566919</v>
      </c>
      <c r="CB58" s="560">
        <v>156904.983738282</v>
      </c>
      <c r="CC58" s="5">
        <v>65076.35</v>
      </c>
      <c r="CD58" s="5">
        <v>10898.54</v>
      </c>
      <c r="CE58" s="5">
        <v>764.52</v>
      </c>
      <c r="CF58" s="544">
        <f t="shared" si="184"/>
        <v>6</v>
      </c>
      <c r="CG58" s="565">
        <v>42051.25</v>
      </c>
      <c r="CH58" s="565">
        <v>2290.9999999999986</v>
      </c>
      <c r="CI58" s="565">
        <v>383.75</v>
      </c>
      <c r="CJ58" s="565">
        <v>3</v>
      </c>
      <c r="CK58" s="565">
        <v>12749.250000000005</v>
      </c>
      <c r="CL58" s="565">
        <v>37</v>
      </c>
      <c r="CM58" s="565">
        <v>389.99999999999983</v>
      </c>
      <c r="CN58" s="46">
        <f>Weather!C82</f>
        <v>132.75869565217394</v>
      </c>
      <c r="CO58" s="46">
        <f>Weather!D82</f>
        <v>4.6041666666666714</v>
      </c>
      <c r="CP58" s="46">
        <f>Weather!E82</f>
        <v>85.042028985507244</v>
      </c>
      <c r="CQ58" s="46">
        <f>Weather!F82</f>
        <v>16.887500000000003</v>
      </c>
      <c r="CR58" s="46">
        <f>Weather!G82</f>
        <v>46.033695652173925</v>
      </c>
      <c r="CS58" s="46">
        <f>Weather!H82</f>
        <v>37.879166666666663</v>
      </c>
      <c r="CT58" s="46">
        <f>Weather!I82</f>
        <v>23.967028985507248</v>
      </c>
      <c r="CU58" s="46">
        <f>Weather!J82</f>
        <v>75.812499999999972</v>
      </c>
      <c r="CV58" s="46">
        <f>Weather!K82</f>
        <v>8.9666666666666686</v>
      </c>
      <c r="CW58" s="46">
        <f>Weather!L82</f>
        <v>120.81213768115938</v>
      </c>
      <c r="CX58" s="46">
        <f>Weather!M82</f>
        <v>2.2333333333333343</v>
      </c>
      <c r="CY58" s="46">
        <f>Weather!N82</f>
        <v>174.07880434782609</v>
      </c>
      <c r="CZ58" s="46">
        <f>Weather!O82</f>
        <v>0</v>
      </c>
      <c r="DA58" s="46">
        <f>Weather!P82</f>
        <v>231.84547101449272</v>
      </c>
      <c r="DB58" s="243">
        <f>'Economic Data'!D84</f>
        <v>7065.2</v>
      </c>
      <c r="DC58" s="243">
        <f>'Economic Data'!E84</f>
        <v>7098.8</v>
      </c>
      <c r="DD58" s="243">
        <f>'Economic Data'!F84</f>
        <v>211.9</v>
      </c>
      <c r="DE58" s="243">
        <f>'Economic Data'!G84</f>
        <v>211.3</v>
      </c>
      <c r="DF58" s="243">
        <f>'Economic Data'!H84</f>
        <v>49.4</v>
      </c>
      <c r="DG58" s="243">
        <f>'Economic Data'!I84</f>
        <v>49.4</v>
      </c>
      <c r="DH58" s="243">
        <f>'Economic Data'!J84</f>
        <v>769942</v>
      </c>
      <c r="DI58" s="243">
        <f>'Economic Data'!K84</f>
        <v>596521.6</v>
      </c>
      <c r="DJ58" s="243">
        <f>'Economic Data'!L84</f>
        <v>85928.9</v>
      </c>
      <c r="DK58" s="243">
        <f>'Economic Data'!M84</f>
        <v>23899.8</v>
      </c>
      <c r="DL58" s="243">
        <f>'Economic Data'!N84</f>
        <v>778294</v>
      </c>
      <c r="DM58" s="243">
        <f>'Economic Data'!O84</f>
        <v>89762</v>
      </c>
      <c r="DN58" s="243">
        <f>'Economic Data'!P84</f>
        <v>17606</v>
      </c>
      <c r="DO58" s="243">
        <f>'Economic Data'!Q84</f>
        <v>599599</v>
      </c>
      <c r="DP58" s="243">
        <f>'Economic Data'!R84</f>
        <v>22182</v>
      </c>
      <c r="DQ58">
        <v>30</v>
      </c>
      <c r="DR58">
        <v>21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1</v>
      </c>
      <c r="EB58">
        <v>0</v>
      </c>
      <c r="EC58">
        <v>0</v>
      </c>
      <c r="ED58">
        <v>0</v>
      </c>
      <c r="EE58">
        <v>0</v>
      </c>
      <c r="EF58">
        <v>1</v>
      </c>
      <c r="EG58">
        <v>1</v>
      </c>
      <c r="EH58">
        <f t="shared" si="185"/>
        <v>57</v>
      </c>
      <c r="EI58">
        <v>1</v>
      </c>
      <c r="EJ58">
        <v>0.5</v>
      </c>
      <c r="EK58">
        <v>1</v>
      </c>
      <c r="EL58">
        <v>0</v>
      </c>
      <c r="EM58" s="47">
        <f t="shared" si="121"/>
        <v>66.37934782608697</v>
      </c>
      <c r="EN58" s="47">
        <f t="shared" si="122"/>
        <v>2.3020833333333357</v>
      </c>
      <c r="EO58" s="47">
        <f t="shared" si="123"/>
        <v>42.521014492753622</v>
      </c>
      <c r="EP58" s="47">
        <f t="shared" si="124"/>
        <v>8.4437500000000014</v>
      </c>
      <c r="EQ58" s="47">
        <f t="shared" si="125"/>
        <v>23.016847826086963</v>
      </c>
      <c r="ER58" s="47">
        <f t="shared" si="126"/>
        <v>18.939583333333331</v>
      </c>
      <c r="ES58" s="47">
        <f t="shared" si="127"/>
        <v>11.983514492753624</v>
      </c>
      <c r="ET58" s="47">
        <f t="shared" si="128"/>
        <v>37.906249999999986</v>
      </c>
      <c r="EU58" s="47">
        <f t="shared" si="129"/>
        <v>4.4833333333333343</v>
      </c>
      <c r="EV58" s="47">
        <f t="shared" si="130"/>
        <v>60.406068840579692</v>
      </c>
      <c r="EW58" s="47">
        <f t="shared" si="131"/>
        <v>1.1166666666666671</v>
      </c>
      <c r="EX58" s="47">
        <f t="shared" si="132"/>
        <v>87.039402173913047</v>
      </c>
      <c r="EY58" s="47">
        <f t="shared" si="133"/>
        <v>0</v>
      </c>
      <c r="EZ58" s="47">
        <f t="shared" si="134"/>
        <v>115.92273550724636</v>
      </c>
      <c r="FA58" s="47">
        <f t="shared" si="135"/>
        <v>132.75869565217394</v>
      </c>
      <c r="FB58" s="47">
        <f t="shared" si="136"/>
        <v>4.6041666666666714</v>
      </c>
      <c r="FC58" s="47">
        <f t="shared" si="137"/>
        <v>85.042028985507244</v>
      </c>
      <c r="FD58" s="47">
        <f t="shared" si="138"/>
        <v>16.887500000000003</v>
      </c>
      <c r="FE58" s="47">
        <f t="shared" si="139"/>
        <v>46.033695652173925</v>
      </c>
      <c r="FF58" s="47">
        <f t="shared" si="140"/>
        <v>37.879166666666663</v>
      </c>
      <c r="FG58" s="47">
        <f t="shared" si="141"/>
        <v>23.967028985507248</v>
      </c>
      <c r="FH58" s="47">
        <f t="shared" si="142"/>
        <v>75.812499999999972</v>
      </c>
      <c r="FI58" s="47">
        <f t="shared" si="143"/>
        <v>8.9666666666666686</v>
      </c>
      <c r="FJ58" s="47">
        <f t="shared" si="144"/>
        <v>120.81213768115938</v>
      </c>
      <c r="FK58" s="47">
        <f t="shared" si="145"/>
        <v>2.2333333333333343</v>
      </c>
      <c r="FL58" s="47">
        <f t="shared" si="146"/>
        <v>174.07880434782609</v>
      </c>
      <c r="FM58" s="47">
        <f t="shared" si="147"/>
        <v>0</v>
      </c>
      <c r="FN58" s="47">
        <f t="shared" si="148"/>
        <v>231.84547101449272</v>
      </c>
      <c r="FO58" s="546">
        <f t="shared" ca="1" si="149"/>
        <v>640.47293932060541</v>
      </c>
      <c r="FP58" s="546">
        <f t="shared" si="150"/>
        <v>612.09894104726197</v>
      </c>
      <c r="FQ58" s="546">
        <f t="shared" si="151"/>
        <v>2221.6069632312674</v>
      </c>
      <c r="FR58" s="546">
        <f t="shared" si="152"/>
        <v>73032.346462599118</v>
      </c>
      <c r="FS58" s="546">
        <f t="shared" si="153"/>
        <v>1548184.1233218515</v>
      </c>
      <c r="FT58" s="546">
        <f t="shared" si="154"/>
        <v>5776163.9847245039</v>
      </c>
      <c r="FU58" s="546">
        <f t="shared" si="155"/>
        <v>28.020866258285455</v>
      </c>
      <c r="FV58" s="546">
        <f t="shared" si="156"/>
        <v>73.467588775794468</v>
      </c>
      <c r="FW58" s="546">
        <f t="shared" si="157"/>
        <v>477.78404260463412</v>
      </c>
      <c r="FX58" s="546">
        <f t="shared" si="158"/>
        <v>712.15136980229443</v>
      </c>
      <c r="FY58" s="546">
        <f t="shared" si="159"/>
        <v>2727.4375464937289</v>
      </c>
      <c r="FZ58" s="546">
        <f t="shared" si="160"/>
        <v>68568.606601898267</v>
      </c>
      <c r="GA58" s="546">
        <f t="shared" si="161"/>
        <v>87919.801033097378</v>
      </c>
      <c r="GB58" s="546">
        <f t="shared" si="162"/>
        <v>20.688228962432458</v>
      </c>
      <c r="GC58" s="546">
        <f t="shared" si="163"/>
        <v>53.464390015322138</v>
      </c>
      <c r="GD58" s="546">
        <f t="shared" si="164"/>
        <v>402.32047112380019</v>
      </c>
    </row>
    <row r="59" spans="1:186">
      <c r="A59" s="4">
        <v>44105</v>
      </c>
      <c r="B59" s="6">
        <v>2020</v>
      </c>
      <c r="C59" s="5">
        <v>10</v>
      </c>
      <c r="D59" s="7">
        <v>67594353.770930931</v>
      </c>
      <c r="E59" s="7">
        <f>IFERROR(VLOOKUP($B59-1,CDM!$V$4:$AJ$17,2,FALSE)/12,0)+IFERROR(VLOOKUP($B59,CDM!$V$41:$AJ$54,2,FALSE)/24,0)+IFERROR(VLOOKUP($B59,CDM!$V$41:$AJ$54,2,FALSE)/2*$C59/78,0)</f>
        <v>3834672.3654397363</v>
      </c>
      <c r="F59" s="7">
        <f t="shared" si="165"/>
        <v>71429026.136370674</v>
      </c>
      <c r="G59" s="7">
        <f>IFERROR(HLOOKUP(B59-1,'EV Forecast VRZ'!$F$124:$T$130,2,FALSE)/12,0)+IFERROR(((HLOOKUP(B59,'EV Forecast VRZ'!$F$116:$T$122,2,FALSE)-HLOOKUP(B59-1,'EV Forecast VRZ'!$F$124:$T$130,2,FALSE)))*C59/78,0)</f>
        <v>244503.54724933658</v>
      </c>
      <c r="H59" s="7">
        <f ca="1">HLOOKUP(B59,Heating!$C$102:$O$106,2,FALSE)*INDEX(Weather!$BO$1:$CB$20,MATCH(B59,Weather!$BO$1:$BO$20,0),MATCH(C59,Weather!$BO$1:$CB$1,0))/VLOOKUP(B59,Weather!$BO$2:$CB$20,14,FALSE)*
VLOOKUP('Monthly Data'!$B59,Weather!$BO$3:$CB$20,14,FALSE)/Weather!$CB$14</f>
        <v>222492.39866517531</v>
      </c>
      <c r="I59" s="7">
        <f t="shared" ca="1" si="166"/>
        <v>70962030.190456167</v>
      </c>
      <c r="J59" s="7">
        <v>1074065.4074699485</v>
      </c>
      <c r="K59" s="7">
        <f>IFERROR(VLOOKUP($B59-1,CDM!$V$4:$AJ$17,3,FALSE)/12,0)+IFERROR(VLOOKUP($B59,CDM!$V$41:$AJ$54,3,FALSE)/24,0)+IFERROR(VLOOKUP($B59,CDM!$V$41:$AJ$54,3,FALSE)/2*$C59/78,0)</f>
        <v>43921.584061211375</v>
      </c>
      <c r="L59" s="7">
        <f t="shared" si="167"/>
        <v>1117986.99153116</v>
      </c>
      <c r="M59" s="7">
        <f>IFERROR(HLOOKUP(B59-1,'EV Forecast VRZ'!$F$124:$T$130,3,FALSE)/12,0)+IFERROR(((HLOOKUP(B59,'EV Forecast VRZ'!$F$116:$T$122,3,FALSE)-HLOOKUP(B59-1,'EV Forecast VRZ'!$F$124:$T$130,3,FALSE)))*C59/78,0)</f>
        <v>3317.7032634839074</v>
      </c>
      <c r="N59" s="7">
        <f ca="1">HLOOKUP(B59,Heating!$C$102:$O$106,3,FALSE)*INDEX(Weather!$BO$1:$CB$20,MATCH(B59,Weather!$BO$1:$BO$20,0),MATCH(C59,Weather!$BO$1:$CB$1,0))/VLOOKUP(B59,Weather!$BO$2:$CB$20,14,FALSE)*
VLOOKUP('Monthly Data'!$B59,Weather!$BO$3:$CB$20,14,FALSE)/Weather!$CB$14</f>
        <v>2943.506975996283</v>
      </c>
      <c r="O59" s="7">
        <f t="shared" ca="1" si="168"/>
        <v>1111725.7812916797</v>
      </c>
      <c r="P59" s="7">
        <v>19197266.391184889</v>
      </c>
      <c r="Q59" s="7">
        <f>IFERROR(VLOOKUP($B59-1,CDM!$V$4:$AJ$17,4,FALSE)/12,0)+IFERROR(VLOOKUP($B59,CDM!$V$41:$AJ$54,4,FALSE)/24,0)+IFERROR(VLOOKUP($B59,CDM!$V$41:$AJ$54,4,FALSE)/2*$C59/78,0)</f>
        <v>1376029.3844155334</v>
      </c>
      <c r="R59" s="7">
        <f t="shared" si="169"/>
        <v>20573295.775600422</v>
      </c>
      <c r="S59" s="7">
        <f>IFERROR(HLOOKUP(B59-1,'EV Forecast VRZ'!$F$124:$T$130,4,FALSE)/12,0)+IFERROR(((HLOOKUP(B59,'EV Forecast VRZ'!$F$116:$T$122,4,FALSE)-HLOOKUP(B59-1,'EV Forecast VRZ'!$F$124:$T$130,4,FALSE)))*C59/78,0)</f>
        <v>30438.24666666667</v>
      </c>
      <c r="T59" s="7">
        <f ca="1">HLOOKUP(B59,Heating!$C$102:$O$106,4,FALSE)*INDEX(Weather!$BO$1:$CB$20,MATCH(B59,Weather!$BO$1:$BO$20,0),MATCH(C59,Weather!$BO$1:$CB$1,0))/VLOOKUP(B59,Weather!$BO$2:$CB$20,14,FALSE)*
VLOOKUP('Monthly Data'!$B59,Weather!$BO$3:$CB$20,14,FALSE)/Weather!$CB$14</f>
        <v>55603.329794135687</v>
      </c>
      <c r="U59" s="7">
        <f t="shared" ca="1" si="170"/>
        <v>20487254.199139621</v>
      </c>
      <c r="V59" s="7">
        <v>70432545.285344929</v>
      </c>
      <c r="W59" s="7">
        <f>IFERROR(VLOOKUP($B59-1,CDM!$V$4:$AJ$17,5,FALSE)/12,0)+IFERROR(VLOOKUP($B59,CDM!$V$41:$AJ$54,5,FALSE)/24,0)+IFERROR(VLOOKUP($B59,CDM!$V$41:$AJ$54,5,FALSE)/2*$C59/78,0)</f>
        <v>4957046.6588753471</v>
      </c>
      <c r="X59" s="7">
        <f t="shared" si="171"/>
        <v>75389591.944220275</v>
      </c>
      <c r="Y59" s="7">
        <f>IFERROR(HLOOKUP(B59-1,'EV Forecast VRZ'!$F$124:$T$130,5,FALSE)/12,0)+IFERROR(((HLOOKUP(B59,'EV Forecast VRZ'!$F$116:$T$122,5,FALSE)-HLOOKUP(B59-1,'EV Forecast VRZ'!$F$124:$T$130,5,FALSE)))*C59/78,0)</f>
        <v>13801.057153846154</v>
      </c>
      <c r="Z59" s="7">
        <f ca="1">HLOOKUP(B59,Heating!$C$102:$O$106,5,FALSE)*INDEX(Weather!$BO$1:$CB$20,MATCH(B59,Weather!$BO$1:$BO$20,0),MATCH(C59,Weather!$BO$1:$CB$1,0))/VLOOKUP(B59,Weather!$BO$2:$CB$20,14,FALSE)*
VLOOKUP('Monthly Data'!$B59,Weather!$BO$3:$CB$20,14,FALSE)/Weather!$CB$14</f>
        <v>31358.877328959166</v>
      </c>
      <c r="AA59" s="7">
        <f t="shared" ca="1" si="172"/>
        <v>75344432.009737462</v>
      </c>
      <c r="AB59" s="7">
        <v>7362065.2551197475</v>
      </c>
      <c r="AC59" s="7">
        <f>IFERROR(VLOOKUP($B59-1,CDM!$V$4:$AJ$17,6,FALSE)/12,0)+IFERROR(VLOOKUP($B59,CDM!$V$41:$AJ$54,6,FALSE)/24,0)+IFERROR(VLOOKUP($B59,CDM!$V$41:$AJ$54,6,FALSE)/2*$C59/78,0)</f>
        <v>231979.76197586401</v>
      </c>
      <c r="AD59" s="7">
        <f t="shared" si="173"/>
        <v>7594045.0170956114</v>
      </c>
      <c r="AE59" s="7">
        <f>IFERROR(HLOOKUP(B59-1,'EV Forecast VRZ'!$F$124:$T$130,6,FALSE)/12,0)+IFERROR(((HLOOKUP(B59,'EV Forecast VRZ'!$F$116:$T$122,6,FALSE)-HLOOKUP(B59-1,'EV Forecast VRZ'!$F$124:$T$130,6,FALSE)))*C59/78,0)</f>
        <v>1937.2969487179482</v>
      </c>
      <c r="AF59" s="7">
        <f t="shared" si="174"/>
        <v>7592107.7201468935</v>
      </c>
      <c r="AG59" s="7">
        <v>22466136.447204463</v>
      </c>
      <c r="AH59" s="7">
        <f>IFERROR(VLOOKUP($B59-1,CDM!$V$4:$AJ$17,7,FALSE)/12,0)+IFERROR(VLOOKUP($B59,CDM!$V$41:$AJ$54,7,FALSE)/24,0)+IFERROR(VLOOKUP($B59,CDM!$V$41:$AJ$54,7,FALSE)/2*$C59/78,0)</f>
        <v>1645436.7687673427</v>
      </c>
      <c r="AI59" s="7">
        <f t="shared" si="175"/>
        <v>24111573.215971805</v>
      </c>
      <c r="AJ59" s="7">
        <f>IFERROR(HLOOKUP(B59-1,'EV Forecast VRZ'!$F$124:$T$130,7,FALSE)/12,0)+IFERROR(((HLOOKUP(B59,'EV Forecast VRZ'!$F$116:$T$122,7,FALSE)-HLOOKUP(B59-1,'EV Forecast VRZ'!$F$124:$T$130,7,FALSE)))*C59/78,0)</f>
        <v>0</v>
      </c>
      <c r="AK59" s="7">
        <f t="shared" si="176"/>
        <v>24111573.215971805</v>
      </c>
      <c r="AL59" s="7">
        <v>1030990.9750047701</v>
      </c>
      <c r="AM59" s="7">
        <v>18307.670291929011</v>
      </c>
      <c r="AN59" s="7">
        <v>382738.02709406603</v>
      </c>
      <c r="AO59" s="5">
        <v>179575.6</v>
      </c>
      <c r="AP59" s="5">
        <v>16086.38</v>
      </c>
      <c r="AQ59" s="5">
        <v>38392</v>
      </c>
      <c r="AR59" s="5">
        <v>2558.35</v>
      </c>
      <c r="AS59" s="544">
        <f t="shared" si="183"/>
        <v>53.5</v>
      </c>
      <c r="AT59" s="557">
        <v>112490.5</v>
      </c>
      <c r="AU59" s="557">
        <v>1561</v>
      </c>
      <c r="AV59" s="557">
        <v>9283</v>
      </c>
      <c r="AW59" s="557">
        <v>1039</v>
      </c>
      <c r="AX59" s="557">
        <v>4.8333333333333304</v>
      </c>
      <c r="AY59" s="557">
        <v>4</v>
      </c>
      <c r="AZ59" s="557">
        <v>31540.333333333321</v>
      </c>
      <c r="BA59" s="557">
        <v>252.5</v>
      </c>
      <c r="BB59" s="557">
        <v>800.66666666666629</v>
      </c>
      <c r="BC59" s="560">
        <v>25644170.859603882</v>
      </c>
      <c r="BD59" s="560">
        <f>IFERROR(VLOOKUP($B59-1,CDM!$V$4:$AJ$17,11,FALSE)/12,0)+IFERROR(VLOOKUP($B59,CDM!$V$41:$AJ$54,11,FALSE)/24,0)+IFERROR(VLOOKUP($B59,CDM!$V$41:$AJ$54,11,FALSE)/2*$C59/78,0)</f>
        <v>1920163.9304577855</v>
      </c>
      <c r="BE59" s="560">
        <f t="shared" si="119"/>
        <v>27564334.790061668</v>
      </c>
      <c r="BF59" s="560">
        <f>IFERROR(HLOOKUP(B59-1,'EV Forecast WRZ'!$F$124:$T$130,2,FALSE)/12,0)+IFERROR(((HLOOKUP(B59,'EV Forecast WRZ'!$F$116:$T$122,2,FALSE)-HLOOKUP(B59-1,'EV Forecast WRZ'!$F$124:$T$130,2,FALSE)))*C59/78,0)</f>
        <v>76298.94166666668</v>
      </c>
      <c r="BG59" s="560">
        <f ca="1">HLOOKUP(B59,Heating!$R$102:$AD$106,2,FALSE)*INDEX(Weather!$BO$1:$CB$20,MATCH(B59,Weather!$BO$1:$BO$20,0),MATCH(C59,Weather!$BO$1:$CB$1,0))/VLOOKUP(B59,Weather!$BO$2:$CB$20,14,FALSE)*
VLOOKUP('Monthly Data'!$B59,Weather!$BO$3:$CB$20,14,FALSE)/Weather!$CB$14</f>
        <v>87661.623539451102</v>
      </c>
      <c r="BH59" s="560">
        <f t="shared" ca="1" si="177"/>
        <v>27400374.22485555</v>
      </c>
      <c r="BI59" s="560">
        <v>5984301.5353070591</v>
      </c>
      <c r="BJ59" s="560">
        <f>IFERROR(VLOOKUP($B59-1,CDM!$V$4:$AJ$17,12,FALSE)/12,0)+IFERROR(VLOOKUP($B59,CDM!$V$41:$AJ$54,12,FALSE)/24,0)+IFERROR(VLOOKUP($B59,CDM!$V$41:$AJ$54,12,FALSE)/2*$C59/78,0)</f>
        <v>220564.90842569442</v>
      </c>
      <c r="BK59" s="560">
        <f t="shared" si="178"/>
        <v>6204866.4437327534</v>
      </c>
      <c r="BL59" s="560">
        <f>IFERROR(HLOOKUP(B59-1,'EV Forecast WRZ'!$F$124:$T$130,3,FALSE)/12,0)+IFERROR(((HLOOKUP(B59,'EV Forecast WRZ'!$F$116:$T$122,3,FALSE)-HLOOKUP(B59-1,'EV Forecast WRZ'!$F$124:$T$130,3,FALSE)))*C59/78,0)</f>
        <v>9418.2012820512828</v>
      </c>
      <c r="BM59" s="560">
        <f ca="1">HLOOKUP(B59,Heating!$R$102:$AD$106,4,FALSE)*INDEX(Weather!$BO$1:$CB$20,MATCH(B59,Weather!$BO$1:$BO$20,0),MATCH(C59,Weather!$BO$1:$CB$1,0))/VLOOKUP(B59,Weather!$BO$2:$CB$20,14,FALSE)*
VLOOKUP('Monthly Data'!$B59,Weather!$BO$3:$CB$20,14,FALSE)/Weather!$CB$14</f>
        <v>13854.979904434063</v>
      </c>
      <c r="BN59" s="560">
        <f t="shared" ca="1" si="179"/>
        <v>6181593.2625462683</v>
      </c>
      <c r="BO59" s="560">
        <v>24332698.610627439</v>
      </c>
      <c r="BP59" s="560">
        <f>IFERROR(VLOOKUP($B59-1,CDM!$V$4:$AJ$17,13,FALSE)/12,0)+IFERROR(VLOOKUP($B59,CDM!$V$41:$AJ$54,13,FALSE)/24,0)+IFERROR(VLOOKUP($B59,CDM!$V$41:$AJ$54,13,FALSE)/2*$C59/78,0)</f>
        <v>1933712.1350374562</v>
      </c>
      <c r="BQ59" s="560">
        <f t="shared" si="180"/>
        <v>26266410.745664895</v>
      </c>
      <c r="BR59" s="560">
        <f>IFERROR(HLOOKUP(B59-1,'EV Forecast WRZ'!$F$124:$T$130,4,FALSE)/12,0)+IFERROR(((HLOOKUP(B59,'EV Forecast WRZ'!$F$116:$T$122,4,FALSE)-HLOOKUP(B59-1,'EV Forecast WRZ'!$F$124:$T$130,4,FALSE)))*C59/78,0)</f>
        <v>4273.9598076923075</v>
      </c>
      <c r="BS59" s="560">
        <f ca="1">HLOOKUP(B59,Heating!$R$102:$AD$106,5,FALSE)*INDEX(Weather!$BO$1:$CB$20,MATCH(B59,Weather!$BO$1:$BO$20,0),MATCH(C59,Weather!$BO$1:$CB$1,0))/VLOOKUP(B59,Weather!$BO$2:$CB$20,14,FALSE)*
VLOOKUP('Monthly Data'!$B59,Weather!$BO$3:$CB$20,14,FALSE)/Weather!$CB$14</f>
        <v>9273.5287187524973</v>
      </c>
      <c r="BT59" s="560">
        <f t="shared" ca="1" si="181"/>
        <v>26252863.25713845</v>
      </c>
      <c r="BU59" s="560">
        <v>6478748.5149469627</v>
      </c>
      <c r="BV59" s="560">
        <f>IFERROR(VLOOKUP($B59-1,CDM!$V$4:$AJ$17,14,FALSE)/12,0)+IFERROR(VLOOKUP($B59,CDM!$V$41:$AJ$54,14,FALSE)/24,0)+IFERROR(VLOOKUP($B59,CDM!$V$41:$AJ$54,14,FALSE)/2*$C59/78,0)</f>
        <v>434741.33124174445</v>
      </c>
      <c r="BW59" s="560">
        <f t="shared" si="182"/>
        <v>6913489.8461887073</v>
      </c>
      <c r="BX59" s="560">
        <f>IFERROR(HLOOKUP(B59-1,'EV Forecast WRZ'!$F$124:$T$130,5,FALSE)/12,0)+IFERROR(((HLOOKUP(B59,'EV Forecast WRZ'!$F$116:$T$122,5,FALSE)-HLOOKUP(B59-1,'EV Forecast WRZ'!$F$124:$T$130,5,FALSE)))*C59/78,0)</f>
        <v>613.98698717948707</v>
      </c>
      <c r="BY59" s="560">
        <f t="shared" si="120"/>
        <v>6912875.8592015281</v>
      </c>
      <c r="BZ59" s="560">
        <v>308101.55921178492</v>
      </c>
      <c r="CA59" s="560">
        <v>1978.182430566919</v>
      </c>
      <c r="CB59" s="560">
        <v>156905.00286971492</v>
      </c>
      <c r="CC59" s="5">
        <v>62380.15</v>
      </c>
      <c r="CD59" s="5">
        <v>11821.44</v>
      </c>
      <c r="CE59" s="5">
        <v>764.52</v>
      </c>
      <c r="CF59" s="544">
        <f t="shared" si="184"/>
        <v>6</v>
      </c>
      <c r="CG59" s="565">
        <v>42119.5</v>
      </c>
      <c r="CH59" s="565">
        <v>2293.6666666666652</v>
      </c>
      <c r="CI59" s="565">
        <v>384.5</v>
      </c>
      <c r="CJ59" s="565">
        <v>3</v>
      </c>
      <c r="CK59" s="565">
        <v>12765.833333333339</v>
      </c>
      <c r="CL59" s="565">
        <v>37</v>
      </c>
      <c r="CM59" s="565">
        <v>390.33333333333314</v>
      </c>
      <c r="CN59" s="46">
        <f>Weather!C83</f>
        <v>349.83333333333326</v>
      </c>
      <c r="CO59" s="46">
        <f>Weather!D83</f>
        <v>0</v>
      </c>
      <c r="CP59" s="46">
        <f>Weather!E83</f>
        <v>287.83333333333331</v>
      </c>
      <c r="CQ59" s="46">
        <f>Weather!F83</f>
        <v>0</v>
      </c>
      <c r="CR59" s="46">
        <f>Weather!G83</f>
        <v>226.0625</v>
      </c>
      <c r="CS59" s="46">
        <f>Weather!H83</f>
        <v>0.22916666666666785</v>
      </c>
      <c r="CT59" s="46">
        <f>Weather!I83</f>
        <v>167.76250000000005</v>
      </c>
      <c r="CU59" s="46">
        <f>Weather!J83</f>
        <v>3.9291666666666654</v>
      </c>
      <c r="CV59" s="46">
        <f>Weather!K83</f>
        <v>112.09583333333335</v>
      </c>
      <c r="CW59" s="46">
        <f>Weather!L83</f>
        <v>10.262500000000003</v>
      </c>
      <c r="CX59" s="46">
        <f>Weather!M83</f>
        <v>71.3</v>
      </c>
      <c r="CY59" s="46">
        <f>Weather!N83</f>
        <v>31.466666666666676</v>
      </c>
      <c r="CZ59" s="46">
        <f>Weather!O83</f>
        <v>38.454166666666666</v>
      </c>
      <c r="DA59" s="46">
        <f>Weather!P83</f>
        <v>60.620833333333344</v>
      </c>
      <c r="DB59" s="243">
        <f>'Economic Data'!D85</f>
        <v>7186.6</v>
      </c>
      <c r="DC59" s="243">
        <f>'Economic Data'!E85</f>
        <v>7210.7</v>
      </c>
      <c r="DD59" s="243">
        <f>'Economic Data'!F85</f>
        <v>216.7</v>
      </c>
      <c r="DE59" s="243">
        <f>'Economic Data'!G85</f>
        <v>214.7</v>
      </c>
      <c r="DF59" s="243">
        <f>'Economic Data'!H85</f>
        <v>52.7</v>
      </c>
      <c r="DG59" s="243">
        <f>'Economic Data'!I85</f>
        <v>52.7</v>
      </c>
      <c r="DH59" s="243">
        <f>'Economic Data'!J85</f>
        <v>769942</v>
      </c>
      <c r="DI59" s="243">
        <f>'Economic Data'!K85</f>
        <v>596521.6</v>
      </c>
      <c r="DJ59" s="243">
        <f>'Economic Data'!L85</f>
        <v>85928.9</v>
      </c>
      <c r="DK59" s="243">
        <f>'Economic Data'!M85</f>
        <v>23899.8</v>
      </c>
      <c r="DL59" s="243">
        <f>'Economic Data'!N85</f>
        <v>797313</v>
      </c>
      <c r="DM59" s="243">
        <f>'Economic Data'!O85</f>
        <v>90586</v>
      </c>
      <c r="DN59" s="243">
        <f>'Economic Data'!P85</f>
        <v>16796</v>
      </c>
      <c r="DO59" s="243">
        <f>'Economic Data'!Q85</f>
        <v>614230</v>
      </c>
      <c r="DP59" s="243">
        <f>'Economic Data'!R85</f>
        <v>21756</v>
      </c>
      <c r="DQ59">
        <v>31</v>
      </c>
      <c r="DR59">
        <v>21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1</v>
      </c>
      <c r="EC59">
        <v>0</v>
      </c>
      <c r="ED59">
        <v>0</v>
      </c>
      <c r="EE59">
        <v>0</v>
      </c>
      <c r="EF59">
        <v>1</v>
      </c>
      <c r="EG59">
        <v>1</v>
      </c>
      <c r="EH59">
        <f t="shared" si="185"/>
        <v>58</v>
      </c>
      <c r="EI59">
        <v>1</v>
      </c>
      <c r="EJ59">
        <v>0.5</v>
      </c>
      <c r="EK59">
        <v>1</v>
      </c>
      <c r="EL59">
        <v>0</v>
      </c>
      <c r="EM59" s="47">
        <f t="shared" si="121"/>
        <v>174.91666666666663</v>
      </c>
      <c r="EN59" s="47">
        <f t="shared" si="122"/>
        <v>0</v>
      </c>
      <c r="EO59" s="47">
        <f t="shared" si="123"/>
        <v>143.91666666666666</v>
      </c>
      <c r="EP59" s="47">
        <f t="shared" si="124"/>
        <v>0</v>
      </c>
      <c r="EQ59" s="47">
        <f t="shared" si="125"/>
        <v>113.03125</v>
      </c>
      <c r="ER59" s="47">
        <f t="shared" si="126"/>
        <v>0.11458333333333393</v>
      </c>
      <c r="ES59" s="47">
        <f t="shared" si="127"/>
        <v>83.881250000000023</v>
      </c>
      <c r="ET59" s="47">
        <f t="shared" si="128"/>
        <v>1.9645833333333327</v>
      </c>
      <c r="EU59" s="47">
        <f t="shared" si="129"/>
        <v>56.047916666666673</v>
      </c>
      <c r="EV59" s="47">
        <f t="shared" si="130"/>
        <v>5.1312500000000014</v>
      </c>
      <c r="EW59" s="47">
        <f t="shared" si="131"/>
        <v>35.65</v>
      </c>
      <c r="EX59" s="47">
        <f t="shared" si="132"/>
        <v>15.733333333333338</v>
      </c>
      <c r="EY59" s="47">
        <f t="shared" si="133"/>
        <v>19.227083333333333</v>
      </c>
      <c r="EZ59" s="47">
        <f t="shared" si="134"/>
        <v>30.310416666666672</v>
      </c>
      <c r="FA59" s="47">
        <f t="shared" si="135"/>
        <v>349.83333333333326</v>
      </c>
      <c r="FB59" s="47">
        <f t="shared" si="136"/>
        <v>0</v>
      </c>
      <c r="FC59" s="47">
        <f t="shared" si="137"/>
        <v>287.83333333333331</v>
      </c>
      <c r="FD59" s="47">
        <f t="shared" si="138"/>
        <v>0</v>
      </c>
      <c r="FE59" s="47">
        <f t="shared" si="139"/>
        <v>226.0625</v>
      </c>
      <c r="FF59" s="47">
        <f t="shared" si="140"/>
        <v>0.22916666666666785</v>
      </c>
      <c r="FG59" s="47">
        <f t="shared" si="141"/>
        <v>167.76250000000005</v>
      </c>
      <c r="FH59" s="47">
        <f t="shared" si="142"/>
        <v>3.9291666666666654</v>
      </c>
      <c r="FI59" s="47">
        <f t="shared" si="143"/>
        <v>112.09583333333335</v>
      </c>
      <c r="FJ59" s="47">
        <f t="shared" si="144"/>
        <v>10.262500000000003</v>
      </c>
      <c r="FK59" s="47">
        <f t="shared" si="145"/>
        <v>71.3</v>
      </c>
      <c r="FL59" s="47">
        <f t="shared" si="146"/>
        <v>31.466666666666676</v>
      </c>
      <c r="FM59" s="47">
        <f t="shared" si="147"/>
        <v>38.454166666666666</v>
      </c>
      <c r="FN59" s="47">
        <f t="shared" si="148"/>
        <v>60.620833333333344</v>
      </c>
      <c r="FO59" s="546">
        <f t="shared" ca="1" si="149"/>
        <v>630.82687151764969</v>
      </c>
      <c r="FP59" s="546">
        <f t="shared" si="150"/>
        <v>716.19922583674565</v>
      </c>
      <c r="FQ59" s="546">
        <f t="shared" si="151"/>
        <v>2216.2335210169581</v>
      </c>
      <c r="FR59" s="546">
        <f t="shared" si="152"/>
        <v>72559.761255264937</v>
      </c>
      <c r="FS59" s="546">
        <f t="shared" si="153"/>
        <v>1571181.727674955</v>
      </c>
      <c r="FT59" s="546">
        <f t="shared" si="154"/>
        <v>6027893.3039929513</v>
      </c>
      <c r="FU59" s="546">
        <f t="shared" si="155"/>
        <v>32.688017723489622</v>
      </c>
      <c r="FV59" s="546">
        <f t="shared" si="156"/>
        <v>72.505624918530742</v>
      </c>
      <c r="FW59" s="546">
        <f t="shared" si="157"/>
        <v>478.02418038392949</v>
      </c>
      <c r="FX59" s="546">
        <f t="shared" si="158"/>
        <v>654.4316715550201</v>
      </c>
      <c r="FY59" s="546">
        <f t="shared" si="159"/>
        <v>2705.2171677369965</v>
      </c>
      <c r="FZ59" s="546">
        <f t="shared" si="160"/>
        <v>68313.161887294918</v>
      </c>
      <c r="GA59" s="546">
        <f t="shared" si="161"/>
        <v>102700.51973726164</v>
      </c>
      <c r="GB59" s="546">
        <f t="shared" si="162"/>
        <v>24.134856782697415</v>
      </c>
      <c r="GC59" s="546">
        <f t="shared" si="163"/>
        <v>53.464390015322138</v>
      </c>
      <c r="GD59" s="546">
        <f t="shared" si="164"/>
        <v>401.97695013590521</v>
      </c>
    </row>
    <row r="60" spans="1:186">
      <c r="A60" s="4">
        <v>44136</v>
      </c>
      <c r="B60" s="6">
        <v>2020</v>
      </c>
      <c r="C60" s="5">
        <v>11</v>
      </c>
      <c r="D60" s="7">
        <v>71345802.739334464</v>
      </c>
      <c r="E60" s="7">
        <f>IFERROR(VLOOKUP($B60-1,CDM!$V$4:$AJ$17,2,FALSE)/12,0)+IFERROR(VLOOKUP($B60,CDM!$V$41:$AJ$54,2,FALSE)/24,0)+IFERROR(VLOOKUP($B60,CDM!$V$41:$AJ$54,2,FALSE)/2*$C60/78,0)</f>
        <v>3835580.1112115518</v>
      </c>
      <c r="F60" s="7">
        <f t="shared" si="165"/>
        <v>75181382.850546017</v>
      </c>
      <c r="G60" s="7">
        <f>IFERROR(HLOOKUP(B60-1,'EV Forecast VRZ'!$F$124:$T$130,2,FALSE)/12,0)+IFERROR(((HLOOKUP(B60,'EV Forecast VRZ'!$F$116:$T$122,2,FALSE)-HLOOKUP(B60-1,'EV Forecast VRZ'!$F$124:$T$130,2,FALSE)))*C60/78,0)</f>
        <v>249275.84827210419</v>
      </c>
      <c r="H60" s="7">
        <f ca="1">HLOOKUP(B60,Heating!$C$102:$O$106,2,FALSE)*INDEX(Weather!$BO$1:$CB$20,MATCH(B60,Weather!$BO$1:$BO$20,0),MATCH(C60,Weather!$BO$1:$CB$1,0))/VLOOKUP(B60,Weather!$BO$2:$CB$20,14,FALSE)*
VLOOKUP('Monthly Data'!$B60,Weather!$BO$3:$CB$20,14,FALSE)/Weather!$CB$14</f>
        <v>283146.93754752603</v>
      </c>
      <c r="I60" s="7">
        <f t="shared" ca="1" si="166"/>
        <v>74648960.064726397</v>
      </c>
      <c r="J60" s="7">
        <v>867909.25951154449</v>
      </c>
      <c r="K60" s="7">
        <f>IFERROR(VLOOKUP($B60-1,CDM!$V$4:$AJ$17,3,FALSE)/12,0)+IFERROR(VLOOKUP($B60,CDM!$V$41:$AJ$54,3,FALSE)/24,0)+IFERROR(VLOOKUP($B60,CDM!$V$41:$AJ$54,3,FALSE)/2*$C60/78,0)</f>
        <v>43931.98120298086</v>
      </c>
      <c r="L60" s="7">
        <f t="shared" si="167"/>
        <v>911841.24071452534</v>
      </c>
      <c r="M60" s="7">
        <f>IFERROR(HLOOKUP(B60-1,'EV Forecast VRZ'!$F$124:$T$130,3,FALSE)/12,0)+IFERROR(((HLOOKUP(B60,'EV Forecast VRZ'!$F$116:$T$122,3,FALSE)-HLOOKUP(B60-1,'EV Forecast VRZ'!$F$124:$T$130,3,FALSE)))*C60/78,0)</f>
        <v>3382.4592919983634</v>
      </c>
      <c r="N60" s="7">
        <f ca="1">HLOOKUP(B60,Heating!$C$102:$O$106,3,FALSE)*INDEX(Weather!$BO$1:$CB$20,MATCH(B60,Weather!$BO$1:$BO$20,0),MATCH(C60,Weather!$BO$1:$CB$1,0))/VLOOKUP(B60,Weather!$BO$2:$CB$20,14,FALSE)*
VLOOKUP('Monthly Data'!$B60,Weather!$BO$3:$CB$20,14,FALSE)/Weather!$CB$14</f>
        <v>3745.9481353219735</v>
      </c>
      <c r="O60" s="7">
        <f t="shared" ca="1" si="168"/>
        <v>904712.83328720497</v>
      </c>
      <c r="P60" s="7">
        <v>20357369.628620494</v>
      </c>
      <c r="Q60" s="7">
        <f>IFERROR(VLOOKUP($B60-1,CDM!$V$4:$AJ$17,4,FALSE)/12,0)+IFERROR(VLOOKUP($B60,CDM!$V$41:$AJ$54,4,FALSE)/24,0)+IFERROR(VLOOKUP($B60,CDM!$V$41:$AJ$54,4,FALSE)/2*$C60/78,0)</f>
        <v>1383256.6136794295</v>
      </c>
      <c r="R60" s="7">
        <f t="shared" si="169"/>
        <v>21740626.242299922</v>
      </c>
      <c r="S60" s="7">
        <f>IFERROR(HLOOKUP(B60-1,'EV Forecast VRZ'!$F$124:$T$130,4,FALSE)/12,0)+IFERROR(((HLOOKUP(B60,'EV Forecast VRZ'!$F$116:$T$122,4,FALSE)-HLOOKUP(B60-1,'EV Forecast VRZ'!$F$124:$T$130,4,FALSE)))*C60/78,0)</f>
        <v>31012.063333333339</v>
      </c>
      <c r="T60" s="7">
        <f ca="1">HLOOKUP(B60,Heating!$C$102:$O$106,4,FALSE)*INDEX(Weather!$BO$1:$CB$20,MATCH(B60,Weather!$BO$1:$BO$20,0),MATCH(C60,Weather!$BO$1:$CB$1,0))/VLOOKUP(B60,Weather!$BO$2:$CB$20,14,FALSE)*
VLOOKUP('Monthly Data'!$B60,Weather!$BO$3:$CB$20,14,FALSE)/Weather!$CB$14</f>
        <v>70761.57497114026</v>
      </c>
      <c r="U60" s="7">
        <f t="shared" ca="1" si="170"/>
        <v>21638852.60399545</v>
      </c>
      <c r="V60" s="7">
        <v>70269515.059937552</v>
      </c>
      <c r="W60" s="7">
        <f>IFERROR(VLOOKUP($B60-1,CDM!$V$4:$AJ$17,5,FALSE)/12,0)+IFERROR(VLOOKUP($B60,CDM!$V$41:$AJ$54,5,FALSE)/24,0)+IFERROR(VLOOKUP($B60,CDM!$V$41:$AJ$54,5,FALSE)/2*$C60/78,0)</f>
        <v>4988985.4094997831</v>
      </c>
      <c r="X60" s="7">
        <f t="shared" si="171"/>
        <v>75258500.469437331</v>
      </c>
      <c r="Y60" s="7">
        <f>IFERROR(HLOOKUP(B60-1,'EV Forecast VRZ'!$F$124:$T$130,5,FALSE)/12,0)+IFERROR(((HLOOKUP(B60,'EV Forecast VRZ'!$F$116:$T$122,5,FALSE)-HLOOKUP(B60-1,'EV Forecast VRZ'!$F$124:$T$130,5,FALSE)))*C60/78,0)</f>
        <v>14059.659269230768</v>
      </c>
      <c r="Z60" s="7">
        <f ca="1">HLOOKUP(B60,Heating!$C$102:$O$106,5,FALSE)*INDEX(Weather!$BO$1:$CB$20,MATCH(B60,Weather!$BO$1:$BO$20,0),MATCH(C60,Weather!$BO$1:$CB$1,0))/VLOOKUP(B60,Weather!$BO$2:$CB$20,14,FALSE)*
VLOOKUP('Monthly Data'!$B60,Weather!$BO$3:$CB$20,14,FALSE)/Weather!$CB$14</f>
        <v>39907.745765217944</v>
      </c>
      <c r="AA60" s="7">
        <f t="shared" ca="1" si="172"/>
        <v>75204533.064402878</v>
      </c>
      <c r="AB60" s="7">
        <v>7082538.0365613773</v>
      </c>
      <c r="AC60" s="7">
        <f>IFERROR(VLOOKUP($B60-1,CDM!$V$4:$AJ$17,6,FALSE)/12,0)+IFERROR(VLOOKUP($B60,CDM!$V$41:$AJ$54,6,FALSE)/24,0)+IFERROR(VLOOKUP($B60,CDM!$V$41:$AJ$54,6,FALSE)/2*$C60/78,0)</f>
        <v>233295.23359504988</v>
      </c>
      <c r="AD60" s="7">
        <f t="shared" si="173"/>
        <v>7315833.2701564273</v>
      </c>
      <c r="AE60" s="7">
        <f>IFERROR(HLOOKUP(B60-1,'EV Forecast VRZ'!$F$124:$T$130,6,FALSE)/12,0)+IFERROR(((HLOOKUP(B60,'EV Forecast VRZ'!$F$116:$T$122,6,FALSE)-HLOOKUP(B60-1,'EV Forecast VRZ'!$F$124:$T$130,6,FALSE)))*C60/78,0)</f>
        <v>1967.526243589743</v>
      </c>
      <c r="AF60" s="7">
        <f t="shared" si="174"/>
        <v>7313865.7439128375</v>
      </c>
      <c r="AG60" s="7">
        <v>22286749.855315357</v>
      </c>
      <c r="AH60" s="7">
        <f>IFERROR(VLOOKUP($B60-1,CDM!$V$4:$AJ$17,7,FALSE)/12,0)+IFERROR(VLOOKUP($B60,CDM!$V$41:$AJ$54,7,FALSE)/24,0)+IFERROR(VLOOKUP($B60,CDM!$V$41:$AJ$54,7,FALSE)/2*$C60/78,0)</f>
        <v>1650468.7683785756</v>
      </c>
      <c r="AI60" s="7">
        <f t="shared" si="175"/>
        <v>23937218.623693932</v>
      </c>
      <c r="AJ60" s="7">
        <f>IFERROR(HLOOKUP(B60-1,'EV Forecast VRZ'!$F$124:$T$130,7,FALSE)/12,0)+IFERROR(((HLOOKUP(B60,'EV Forecast VRZ'!$F$116:$T$122,7,FALSE)-HLOOKUP(B60-1,'EV Forecast VRZ'!$F$124:$T$130,7,FALSE)))*C60/78,0)</f>
        <v>0</v>
      </c>
      <c r="AK60" s="7">
        <f t="shared" si="176"/>
        <v>23937218.623693932</v>
      </c>
      <c r="AL60" s="7">
        <v>1100307.76569357</v>
      </c>
      <c r="AM60" s="7">
        <v>18225.18603319977</v>
      </c>
      <c r="AN60" s="7">
        <v>381990.02098836098</v>
      </c>
      <c r="AO60" s="5">
        <v>177226.28</v>
      </c>
      <c r="AP60" s="5">
        <v>16076.52</v>
      </c>
      <c r="AQ60" s="5">
        <v>37839</v>
      </c>
      <c r="AR60" s="5">
        <v>2558.92</v>
      </c>
      <c r="AS60" s="544">
        <f t="shared" si="183"/>
        <v>53.5</v>
      </c>
      <c r="AT60" s="557">
        <v>112568.25</v>
      </c>
      <c r="AU60" s="557">
        <v>1561</v>
      </c>
      <c r="AV60" s="557">
        <v>9284.5</v>
      </c>
      <c r="AW60" s="557">
        <v>1041</v>
      </c>
      <c r="AX60" s="557">
        <v>4.9166666666666634</v>
      </c>
      <c r="AY60" s="557">
        <v>4</v>
      </c>
      <c r="AZ60" s="557">
        <v>31576.166666666653</v>
      </c>
      <c r="BA60" s="557">
        <v>251.75</v>
      </c>
      <c r="BB60" s="557">
        <v>800.33333333333292</v>
      </c>
      <c r="BC60" s="560">
        <v>26179878.399339963</v>
      </c>
      <c r="BD60" s="560">
        <f>IFERROR(VLOOKUP($B60-1,CDM!$V$4:$AJ$17,11,FALSE)/12,0)+IFERROR(VLOOKUP($B60,CDM!$V$41:$AJ$54,11,FALSE)/24,0)+IFERROR(VLOOKUP($B60,CDM!$V$41:$AJ$54,11,FALSE)/2*$C60/78,0)</f>
        <v>1920227.6792267992</v>
      </c>
      <c r="BE60" s="560">
        <f t="shared" si="119"/>
        <v>28100106.078566764</v>
      </c>
      <c r="BF60" s="560">
        <f>IFERROR(HLOOKUP(B60-1,'EV Forecast WRZ'!$F$124:$T$130,2,FALSE)/12,0)+IFERROR(((HLOOKUP(B60,'EV Forecast WRZ'!$F$116:$T$122,2,FALSE)-HLOOKUP(B60-1,'EV Forecast WRZ'!$F$124:$T$130,2,FALSE)))*C60/78,0)</f>
        <v>77953.878333333341</v>
      </c>
      <c r="BG60" s="560">
        <f ca="1">HLOOKUP(B60,Heating!$R$102:$AD$106,2,FALSE)*INDEX(Weather!$BO$1:$CB$20,MATCH(B60,Weather!$BO$1:$BO$20,0),MATCH(C60,Weather!$BO$1:$CB$1,0))/VLOOKUP(B60,Weather!$BO$2:$CB$20,14,FALSE)*
VLOOKUP('Monthly Data'!$B60,Weather!$BO$3:$CB$20,14,FALSE)/Weather!$CB$14</f>
        <v>111559.40784742289</v>
      </c>
      <c r="BH60" s="560">
        <f t="shared" ca="1" si="177"/>
        <v>27910592.792386007</v>
      </c>
      <c r="BI60" s="560">
        <v>6217974.5254926337</v>
      </c>
      <c r="BJ60" s="560">
        <f>IFERROR(VLOOKUP($B60-1,CDM!$V$4:$AJ$17,12,FALSE)/12,0)+IFERROR(VLOOKUP($B60,CDM!$V$41:$AJ$54,12,FALSE)/24,0)+IFERROR(VLOOKUP($B60,CDM!$V$41:$AJ$54,12,FALSE)/2*$C60/78,0)</f>
        <v>221441.52969765928</v>
      </c>
      <c r="BK60" s="560">
        <f t="shared" si="178"/>
        <v>6439416.0551902931</v>
      </c>
      <c r="BL60" s="560">
        <f>IFERROR(HLOOKUP(B60-1,'EV Forecast WRZ'!$F$124:$T$130,3,FALSE)/12,0)+IFERROR(((HLOOKUP(B60,'EV Forecast WRZ'!$F$116:$T$122,3,FALSE)-HLOOKUP(B60-1,'EV Forecast WRZ'!$F$124:$T$130,3,FALSE)))*C60/78,0)</f>
        <v>9620.0264102564106</v>
      </c>
      <c r="BM60" s="560">
        <f ca="1">HLOOKUP(B60,Heating!$R$102:$AD$106,4,FALSE)*INDEX(Weather!$BO$1:$CB$20,MATCH(B60,Weather!$BO$1:$BO$20,0),MATCH(C60,Weather!$BO$1:$CB$1,0))/VLOOKUP(B60,Weather!$BO$2:$CB$20,14,FALSE)*
VLOOKUP('Monthly Data'!$B60,Weather!$BO$3:$CB$20,14,FALSE)/Weather!$CB$14</f>
        <v>17632.041154029095</v>
      </c>
      <c r="BN60" s="560">
        <f t="shared" ca="1" si="179"/>
        <v>6412163.9876260078</v>
      </c>
      <c r="BO60" s="560">
        <v>24729733.139597718</v>
      </c>
      <c r="BP60" s="560">
        <f>IFERROR(VLOOKUP($B60-1,CDM!$V$4:$AJ$17,13,FALSE)/12,0)+IFERROR(VLOOKUP($B60,CDM!$V$41:$AJ$54,13,FALSE)/24,0)+IFERROR(VLOOKUP($B60,CDM!$V$41:$AJ$54,13,FALSE)/2*$C60/78,0)</f>
        <v>1958941.4817930828</v>
      </c>
      <c r="BQ60" s="560">
        <f t="shared" si="180"/>
        <v>26688674.621390801</v>
      </c>
      <c r="BR60" s="560">
        <f>IFERROR(HLOOKUP(B60-1,'EV Forecast WRZ'!$F$124:$T$130,4,FALSE)/12,0)+IFERROR(((HLOOKUP(B60,'EV Forecast WRZ'!$F$116:$T$122,4,FALSE)-HLOOKUP(B60-1,'EV Forecast WRZ'!$F$124:$T$130,4,FALSE)))*C60/78,0)</f>
        <v>4365.3580384615389</v>
      </c>
      <c r="BS60" s="560">
        <f ca="1">HLOOKUP(B60,Heating!$R$102:$AD$106,5,FALSE)*INDEX(Weather!$BO$1:$CB$20,MATCH(B60,Weather!$BO$1:$BO$20,0),MATCH(C60,Weather!$BO$1:$CB$1,0))/VLOOKUP(B60,Weather!$BO$2:$CB$20,14,FALSE)*
VLOOKUP('Monthly Data'!$B60,Weather!$BO$3:$CB$20,14,FALSE)/Weather!$CB$14</f>
        <v>11801.622314860637</v>
      </c>
      <c r="BT60" s="560">
        <f t="shared" ca="1" si="181"/>
        <v>26672507.641037479</v>
      </c>
      <c r="BU60" s="560">
        <v>6282187.0491803279</v>
      </c>
      <c r="BV60" s="560">
        <f>IFERROR(VLOOKUP($B60-1,CDM!$V$4:$AJ$17,14,FALSE)/12,0)+IFERROR(VLOOKUP($B60,CDM!$V$41:$AJ$54,14,FALSE)/24,0)+IFERROR(VLOOKUP($B60,CDM!$V$41:$AJ$54,14,FALSE)/2*$C60/78,0)</f>
        <v>440413.44737328449</v>
      </c>
      <c r="BW60" s="560">
        <f t="shared" si="182"/>
        <v>6722600.4965536129</v>
      </c>
      <c r="BX60" s="560">
        <f>IFERROR(HLOOKUP(B60-1,'EV Forecast WRZ'!$F$124:$T$130,5,FALSE)/12,0)+IFERROR(((HLOOKUP(B60,'EV Forecast WRZ'!$F$116:$T$122,5,FALSE)-HLOOKUP(B60-1,'EV Forecast WRZ'!$F$124:$T$130,5,FALSE)))*C60/78,0)</f>
        <v>626.38593589743584</v>
      </c>
      <c r="BY60" s="560">
        <f t="shared" si="120"/>
        <v>6721974.1106177159</v>
      </c>
      <c r="BZ60" s="560">
        <v>328743.60053568007</v>
      </c>
      <c r="CA60" s="560">
        <v>1978.182430566919</v>
      </c>
      <c r="CB60" s="560">
        <v>157301.9801033097</v>
      </c>
      <c r="CC60" s="5">
        <v>64686.49</v>
      </c>
      <c r="CD60" s="5">
        <v>11816.43</v>
      </c>
      <c r="CE60" s="5">
        <v>763.78</v>
      </c>
      <c r="CF60" s="544">
        <f t="shared" si="184"/>
        <v>6</v>
      </c>
      <c r="CG60" s="565">
        <v>42187.75</v>
      </c>
      <c r="CH60" s="565">
        <v>2296.3333333333317</v>
      </c>
      <c r="CI60" s="565">
        <v>385.25</v>
      </c>
      <c r="CJ60" s="565">
        <v>3</v>
      </c>
      <c r="CK60" s="565">
        <v>12782.416666666673</v>
      </c>
      <c r="CL60" s="565">
        <v>37</v>
      </c>
      <c r="CM60" s="565">
        <v>390.66666666666646</v>
      </c>
      <c r="CN60" s="46">
        <f>Weather!C84</f>
        <v>426.30072463768113</v>
      </c>
      <c r="CO60" s="46">
        <f>Weather!D84</f>
        <v>0</v>
      </c>
      <c r="CP60" s="46">
        <f>Weather!E84</f>
        <v>366.30072463768118</v>
      </c>
      <c r="CQ60" s="46">
        <f>Weather!F84</f>
        <v>0</v>
      </c>
      <c r="CR60" s="46">
        <f>Weather!G84</f>
        <v>306.30072463768124</v>
      </c>
      <c r="CS60" s="46">
        <f>Weather!H84</f>
        <v>0</v>
      </c>
      <c r="CT60" s="46">
        <f>Weather!I84</f>
        <v>246.30072463768118</v>
      </c>
      <c r="CU60" s="46">
        <f>Weather!J84</f>
        <v>0</v>
      </c>
      <c r="CV60" s="46">
        <f>Weather!K84</f>
        <v>188.12989130434778</v>
      </c>
      <c r="CW60" s="46">
        <f>Weather!L84</f>
        <v>1.8291666666666622</v>
      </c>
      <c r="CX60" s="46">
        <f>Weather!M84</f>
        <v>136.26322463768113</v>
      </c>
      <c r="CY60" s="46">
        <f>Weather!N84</f>
        <v>9.9624999999999932</v>
      </c>
      <c r="CZ60" s="46">
        <f>Weather!O84</f>
        <v>92.875724637681159</v>
      </c>
      <c r="DA60" s="46">
        <f>Weather!P84</f>
        <v>26.574999999999996</v>
      </c>
      <c r="DB60" s="243">
        <f>'Economic Data'!D86</f>
        <v>7271.8</v>
      </c>
      <c r="DC60" s="243">
        <f>'Economic Data'!E86</f>
        <v>7283</v>
      </c>
      <c r="DD60" s="243">
        <f>'Economic Data'!F86</f>
        <v>217</v>
      </c>
      <c r="DE60" s="243">
        <f>'Economic Data'!G86</f>
        <v>214.6</v>
      </c>
      <c r="DF60" s="243">
        <f>'Economic Data'!H86</f>
        <v>53.6</v>
      </c>
      <c r="DG60" s="243">
        <f>'Economic Data'!I86</f>
        <v>53.6</v>
      </c>
      <c r="DH60" s="243">
        <f>'Economic Data'!J86</f>
        <v>769942</v>
      </c>
      <c r="DI60" s="243">
        <f>'Economic Data'!K86</f>
        <v>596521.6</v>
      </c>
      <c r="DJ60" s="243">
        <f>'Economic Data'!L86</f>
        <v>85928.9</v>
      </c>
      <c r="DK60" s="243">
        <f>'Economic Data'!M86</f>
        <v>23899.8</v>
      </c>
      <c r="DL60" s="243">
        <f>'Economic Data'!N86</f>
        <v>797313</v>
      </c>
      <c r="DM60" s="243">
        <f>'Economic Data'!O86</f>
        <v>90586</v>
      </c>
      <c r="DN60" s="243">
        <f>'Economic Data'!P86</f>
        <v>16796</v>
      </c>
      <c r="DO60" s="243">
        <f>'Economic Data'!Q86</f>
        <v>614230</v>
      </c>
      <c r="DP60" s="243">
        <f>'Economic Data'!R86</f>
        <v>21756</v>
      </c>
      <c r="DQ60">
        <v>30</v>
      </c>
      <c r="DR60">
        <v>21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1</v>
      </c>
      <c r="ED60">
        <v>0</v>
      </c>
      <c r="EE60">
        <v>0</v>
      </c>
      <c r="EF60">
        <v>1</v>
      </c>
      <c r="EG60">
        <v>1</v>
      </c>
      <c r="EH60">
        <f t="shared" si="185"/>
        <v>59</v>
      </c>
      <c r="EI60">
        <v>1</v>
      </c>
      <c r="EJ60">
        <v>0.5</v>
      </c>
      <c r="EK60">
        <v>1</v>
      </c>
      <c r="EL60">
        <v>0</v>
      </c>
      <c r="EM60" s="47">
        <f t="shared" si="121"/>
        <v>213.15036231884056</v>
      </c>
      <c r="EN60" s="47">
        <f t="shared" si="122"/>
        <v>0</v>
      </c>
      <c r="EO60" s="47">
        <f t="shared" si="123"/>
        <v>183.15036231884059</v>
      </c>
      <c r="EP60" s="47">
        <f t="shared" si="124"/>
        <v>0</v>
      </c>
      <c r="EQ60" s="47">
        <f t="shared" si="125"/>
        <v>153.15036231884062</v>
      </c>
      <c r="ER60" s="47">
        <f t="shared" si="126"/>
        <v>0</v>
      </c>
      <c r="ES60" s="47">
        <f t="shared" si="127"/>
        <v>123.15036231884059</v>
      </c>
      <c r="ET60" s="47">
        <f t="shared" si="128"/>
        <v>0</v>
      </c>
      <c r="EU60" s="47">
        <f t="shared" si="129"/>
        <v>94.06494565217389</v>
      </c>
      <c r="EV60" s="47">
        <f t="shared" si="130"/>
        <v>0.91458333333333108</v>
      </c>
      <c r="EW60" s="47">
        <f t="shared" si="131"/>
        <v>68.131612318840567</v>
      </c>
      <c r="EX60" s="47">
        <f t="shared" si="132"/>
        <v>4.9812499999999966</v>
      </c>
      <c r="EY60" s="47">
        <f t="shared" si="133"/>
        <v>46.43786231884058</v>
      </c>
      <c r="EZ60" s="47">
        <f t="shared" si="134"/>
        <v>13.287499999999998</v>
      </c>
      <c r="FA60" s="47">
        <f t="shared" si="135"/>
        <v>426.30072463768113</v>
      </c>
      <c r="FB60" s="47">
        <f t="shared" si="136"/>
        <v>0</v>
      </c>
      <c r="FC60" s="47">
        <f t="shared" si="137"/>
        <v>366.30072463768118</v>
      </c>
      <c r="FD60" s="47">
        <f t="shared" si="138"/>
        <v>0</v>
      </c>
      <c r="FE60" s="47">
        <f t="shared" si="139"/>
        <v>306.30072463768124</v>
      </c>
      <c r="FF60" s="47">
        <f t="shared" si="140"/>
        <v>0</v>
      </c>
      <c r="FG60" s="47">
        <f t="shared" si="141"/>
        <v>246.30072463768118</v>
      </c>
      <c r="FH60" s="47">
        <f t="shared" si="142"/>
        <v>0</v>
      </c>
      <c r="FI60" s="47">
        <f t="shared" si="143"/>
        <v>188.12989130434778</v>
      </c>
      <c r="FJ60" s="47">
        <f t="shared" si="144"/>
        <v>1.8291666666666622</v>
      </c>
      <c r="FK60" s="47">
        <f t="shared" si="145"/>
        <v>136.26322463768113</v>
      </c>
      <c r="FL60" s="47">
        <f t="shared" si="146"/>
        <v>9.9624999999999932</v>
      </c>
      <c r="FM60" s="47">
        <f t="shared" si="147"/>
        <v>92.875724637681159</v>
      </c>
      <c r="FN60" s="47">
        <f t="shared" si="148"/>
        <v>26.574999999999996</v>
      </c>
      <c r="FO60" s="546">
        <f t="shared" ca="1" si="149"/>
        <v>663.14400432383377</v>
      </c>
      <c r="FP60" s="546">
        <f t="shared" si="150"/>
        <v>584.13916765824808</v>
      </c>
      <c r="FQ60" s="546">
        <f t="shared" si="151"/>
        <v>2341.6044205180592</v>
      </c>
      <c r="FR60" s="546">
        <f t="shared" si="152"/>
        <v>72294.428885146335</v>
      </c>
      <c r="FS60" s="546">
        <f t="shared" si="153"/>
        <v>1487966.0888453759</v>
      </c>
      <c r="FT60" s="546">
        <f t="shared" si="154"/>
        <v>5984304.655923483</v>
      </c>
      <c r="FU60" s="546">
        <f t="shared" si="155"/>
        <v>34.846147643852817</v>
      </c>
      <c r="FV60" s="546">
        <f t="shared" si="156"/>
        <v>72.393986229194724</v>
      </c>
      <c r="FW60" s="546">
        <f t="shared" si="157"/>
        <v>477.28865596213393</v>
      </c>
      <c r="FX60" s="546">
        <f t="shared" si="158"/>
        <v>666.07264143185557</v>
      </c>
      <c r="FY60" s="546">
        <f t="shared" si="159"/>
        <v>2804.2166011860782</v>
      </c>
      <c r="FZ60" s="546">
        <f t="shared" si="160"/>
        <v>69276.248206076052</v>
      </c>
      <c r="GA60" s="546">
        <f t="shared" si="161"/>
        <v>109581.20017856003</v>
      </c>
      <c r="GB60" s="546">
        <f t="shared" si="162"/>
        <v>25.718423136132049</v>
      </c>
      <c r="GC60" s="546">
        <f t="shared" si="163"/>
        <v>53.464390015322138</v>
      </c>
      <c r="GD60" s="546">
        <f t="shared" si="164"/>
        <v>402.65011971836975</v>
      </c>
    </row>
    <row r="61" spans="1:186">
      <c r="A61" s="4">
        <v>44166</v>
      </c>
      <c r="B61" s="6">
        <v>2020</v>
      </c>
      <c r="C61" s="5">
        <v>12</v>
      </c>
      <c r="D61" s="7">
        <v>88143854.208387718</v>
      </c>
      <c r="E61" s="7">
        <f>IFERROR(VLOOKUP($B61-1,CDM!$V$4:$AJ$17,2,FALSE)/12,0)+IFERROR(VLOOKUP($B61,CDM!$V$41:$AJ$54,2,FALSE)/24,0)+IFERROR(VLOOKUP($B61,CDM!$V$41:$AJ$54,2,FALSE)/2*$C61/78,0)</f>
        <v>3836487.8569833678</v>
      </c>
      <c r="F61" s="7">
        <f t="shared" si="165"/>
        <v>91980342.065371081</v>
      </c>
      <c r="G61" s="7">
        <f>IFERROR(HLOOKUP(B61-1,'EV Forecast VRZ'!$F$124:$T$130,2,FALSE)/12,0)+IFERROR(((HLOOKUP(B61,'EV Forecast VRZ'!$F$116:$T$122,2,FALSE)-HLOOKUP(B61-1,'EV Forecast VRZ'!$F$124:$T$130,2,FALSE)))*C61/78,0)</f>
        <v>254048.14929487178</v>
      </c>
      <c r="H61" s="7">
        <f ca="1">HLOOKUP(B61,Heating!$C$102:$O$106,2,FALSE)*INDEX(Weather!$BO$1:$CB$20,MATCH(B61,Weather!$BO$1:$BO$20,0),MATCH(C61,Weather!$BO$1:$CB$1,0))/VLOOKUP(B61,Weather!$BO$2:$CB$20,14,FALSE)*
VLOOKUP('Monthly Data'!$B61,Weather!$BO$3:$CB$20,14,FALSE)/Weather!$CB$14</f>
        <v>450579.3152296184</v>
      </c>
      <c r="I61" s="7">
        <f t="shared" ca="1" si="166"/>
        <v>91275714.600846589</v>
      </c>
      <c r="J61" s="7">
        <v>1198107.4895821407</v>
      </c>
      <c r="K61" s="7">
        <f>IFERROR(VLOOKUP($B61-1,CDM!$V$4:$AJ$17,3,FALSE)/12,0)+IFERROR(VLOOKUP($B61,CDM!$V$41:$AJ$54,3,FALSE)/24,0)+IFERROR(VLOOKUP($B61,CDM!$V$41:$AJ$54,3,FALSE)/2*$C61/78,0)</f>
        <v>43942.378344750345</v>
      </c>
      <c r="L61" s="7">
        <f t="shared" si="167"/>
        <v>1242049.867926891</v>
      </c>
      <c r="M61" s="7">
        <f>IFERROR(HLOOKUP(B61-1,'EV Forecast VRZ'!$F$124:$T$130,3,FALSE)/12,0)+IFERROR(((HLOOKUP(B61,'EV Forecast VRZ'!$F$116:$T$122,3,FALSE)-HLOOKUP(B61-1,'EV Forecast VRZ'!$F$124:$T$130,3,FALSE)))*C61/78,0)</f>
        <v>3447.2153205128193</v>
      </c>
      <c r="N61" s="7">
        <f ca="1">HLOOKUP(B61,Heating!$C$102:$O$106,3,FALSE)*INDEX(Weather!$BO$1:$CB$20,MATCH(B61,Weather!$BO$1:$BO$20,0),MATCH(C61,Weather!$BO$1:$CB$1,0))/VLOOKUP(B61,Weather!$BO$2:$CB$20,14,FALSE)*
VLOOKUP('Monthly Data'!$B61,Weather!$BO$3:$CB$20,14,FALSE)/Weather!$CB$14</f>
        <v>5961.0277275760291</v>
      </c>
      <c r="O61" s="7">
        <f t="shared" ca="1" si="168"/>
        <v>1232641.6248788021</v>
      </c>
      <c r="P61" s="7">
        <v>22643808.373335242</v>
      </c>
      <c r="Q61" s="7">
        <f>IFERROR(VLOOKUP($B61-1,CDM!$V$4:$AJ$17,4,FALSE)/12,0)+IFERROR(VLOOKUP($B61,CDM!$V$41:$AJ$54,4,FALSE)/24,0)+IFERROR(VLOOKUP($B61,CDM!$V$41:$AJ$54,4,FALSE)/2*$C61/78,0)</f>
        <v>1390483.8429433256</v>
      </c>
      <c r="R61" s="7">
        <f t="shared" si="169"/>
        <v>24034292.216278568</v>
      </c>
      <c r="S61" s="7">
        <f>IFERROR(HLOOKUP(B61-1,'EV Forecast VRZ'!$F$124:$T$130,4,FALSE)/12,0)+IFERROR(((HLOOKUP(B61,'EV Forecast VRZ'!$F$116:$T$122,4,FALSE)-HLOOKUP(B61-1,'EV Forecast VRZ'!$F$124:$T$130,4,FALSE)))*C61/78,0)</f>
        <v>31585.880000000005</v>
      </c>
      <c r="T61" s="7">
        <f ca="1">HLOOKUP(B61,Heating!$C$102:$O$106,4,FALSE)*INDEX(Weather!$BO$1:$CB$20,MATCH(B61,Weather!$BO$1:$BO$20,0),MATCH(C61,Weather!$BO$1:$CB$1,0))/VLOOKUP(B61,Weather!$BO$2:$CB$20,14,FALSE)*
VLOOKUP('Monthly Data'!$B61,Weather!$BO$3:$CB$20,14,FALSE)/Weather!$CB$14</f>
        <v>112604.79195440361</v>
      </c>
      <c r="U61" s="7">
        <f t="shared" ca="1" si="170"/>
        <v>23890101.544324167</v>
      </c>
      <c r="V61" s="7">
        <v>72747277.305280939</v>
      </c>
      <c r="W61" s="7">
        <f>IFERROR(VLOOKUP($B61-1,CDM!$V$4:$AJ$17,5,FALSE)/12,0)+IFERROR(VLOOKUP($B61,CDM!$V$41:$AJ$54,5,FALSE)/24,0)+IFERROR(VLOOKUP($B61,CDM!$V$41:$AJ$54,5,FALSE)/2*$C61/78,0)</f>
        <v>5020924.160124219</v>
      </c>
      <c r="X61" s="7">
        <f t="shared" si="171"/>
        <v>77768201.465405151</v>
      </c>
      <c r="Y61" s="7">
        <f>IFERROR(HLOOKUP(B61-1,'EV Forecast VRZ'!$F$124:$T$130,5,FALSE)/12,0)+IFERROR(((HLOOKUP(B61,'EV Forecast VRZ'!$F$116:$T$122,5,FALSE)-HLOOKUP(B61-1,'EV Forecast VRZ'!$F$124:$T$130,5,FALSE)))*C61/78,0)</f>
        <v>14318.261384615384</v>
      </c>
      <c r="Z61" s="7">
        <f ca="1">HLOOKUP(B61,Heating!$C$102:$O$106,5,FALSE)*INDEX(Weather!$BO$1:$CB$20,MATCH(B61,Weather!$BO$1:$BO$20,0),MATCH(C61,Weather!$BO$1:$CB$1,0))/VLOOKUP(B61,Weather!$BO$2:$CB$20,14,FALSE)*
VLOOKUP('Monthly Data'!$B61,Weather!$BO$3:$CB$20,14,FALSE)/Weather!$CB$14</f>
        <v>63506.266092782316</v>
      </c>
      <c r="AA61" s="7">
        <f t="shared" ca="1" si="172"/>
        <v>77690376.937927753</v>
      </c>
      <c r="AB61" s="7">
        <v>6713120.0489799045</v>
      </c>
      <c r="AC61" s="7">
        <f>IFERROR(VLOOKUP($B61-1,CDM!$V$4:$AJ$17,6,FALSE)/12,0)+IFERROR(VLOOKUP($B61,CDM!$V$41:$AJ$54,6,FALSE)/24,0)+IFERROR(VLOOKUP($B61,CDM!$V$41:$AJ$54,6,FALSE)/2*$C61/78,0)</f>
        <v>234610.70521423579</v>
      </c>
      <c r="AD61" s="7">
        <f t="shared" si="173"/>
        <v>6947730.7541941404</v>
      </c>
      <c r="AE61" s="7">
        <f>IFERROR(HLOOKUP(B61-1,'EV Forecast VRZ'!$F$124:$T$130,6,FALSE)/12,0)+IFERROR(((HLOOKUP(B61,'EV Forecast VRZ'!$F$116:$T$122,6,FALSE)-HLOOKUP(B61-1,'EV Forecast VRZ'!$F$124:$T$130,6,FALSE)))*C61/78,0)</f>
        <v>1997.7555384615378</v>
      </c>
      <c r="AF61" s="7">
        <f t="shared" si="174"/>
        <v>6945732.9986556787</v>
      </c>
      <c r="AG61" s="7">
        <v>22308391.16856432</v>
      </c>
      <c r="AH61" s="7">
        <f>IFERROR(VLOOKUP($B61-1,CDM!$V$4:$AJ$17,7,FALSE)/12,0)+IFERROR(VLOOKUP($B61,CDM!$V$41:$AJ$54,7,FALSE)/24,0)+IFERROR(VLOOKUP($B61,CDM!$V$41:$AJ$54,7,FALSE)/2*$C61/78,0)</f>
        <v>1655500.7679898087</v>
      </c>
      <c r="AI61" s="7">
        <f t="shared" si="175"/>
        <v>23963891.936554126</v>
      </c>
      <c r="AJ61" s="7">
        <f>IFERROR(HLOOKUP(B61-1,'EV Forecast VRZ'!$F$124:$T$130,7,FALSE)/12,0)+IFERROR(((HLOOKUP(B61,'EV Forecast VRZ'!$F$116:$T$122,7,FALSE)-HLOOKUP(B61-1,'EV Forecast VRZ'!$F$124:$T$130,7,FALSE)))*C61/78,0)</f>
        <v>0</v>
      </c>
      <c r="AK61" s="7">
        <f t="shared" si="176"/>
        <v>23963891.936554126</v>
      </c>
      <c r="AL61" s="7">
        <v>1196444.9914138522</v>
      </c>
      <c r="AM61" s="7">
        <v>15165.769891242129</v>
      </c>
      <c r="AN61" s="7">
        <v>380753.02423201682</v>
      </c>
      <c r="AO61" s="5">
        <v>175808.64000000001</v>
      </c>
      <c r="AP61" s="5">
        <v>17446.34</v>
      </c>
      <c r="AQ61" s="5">
        <v>38341</v>
      </c>
      <c r="AR61" s="5">
        <v>2573</v>
      </c>
      <c r="AS61" s="544">
        <f t="shared" si="183"/>
        <v>53.5</v>
      </c>
      <c r="AT61" s="557">
        <v>112646</v>
      </c>
      <c r="AU61" s="557">
        <v>1561</v>
      </c>
      <c r="AV61" s="557">
        <v>9286</v>
      </c>
      <c r="AW61" s="557">
        <v>1043</v>
      </c>
      <c r="AX61" s="557">
        <v>5</v>
      </c>
      <c r="AY61" s="557">
        <v>4</v>
      </c>
      <c r="AZ61" s="557">
        <v>31612</v>
      </c>
      <c r="BA61" s="557">
        <v>251</v>
      </c>
      <c r="BB61" s="557">
        <v>800</v>
      </c>
      <c r="BC61" s="560">
        <v>31621279.866213601</v>
      </c>
      <c r="BD61" s="560">
        <f>IFERROR(VLOOKUP($B61-1,CDM!$V$4:$AJ$17,11,FALSE)/12,0)+IFERROR(VLOOKUP($B61,CDM!$V$41:$AJ$54,11,FALSE)/24,0)+IFERROR(VLOOKUP($B61,CDM!$V$41:$AJ$54,11,FALSE)/2*$C61/78,0)</f>
        <v>1920291.4279958128</v>
      </c>
      <c r="BE61" s="560">
        <f t="shared" si="119"/>
        <v>33541571.294209413</v>
      </c>
      <c r="BF61" s="560">
        <f>IFERROR(HLOOKUP(B61-1,'EV Forecast WRZ'!$F$124:$T$130,2,FALSE)/12,0)+IFERROR(((HLOOKUP(B61,'EV Forecast WRZ'!$F$116:$T$122,2,FALSE)-HLOOKUP(B61-1,'EV Forecast WRZ'!$F$124:$T$130,2,FALSE)))*C61/78,0)</f>
        <v>79608.815000000017</v>
      </c>
      <c r="BG61" s="560">
        <f ca="1">HLOOKUP(B61,Heating!$R$102:$AD$106,2,FALSE)*INDEX(Weather!$BO$1:$CB$20,MATCH(B61,Weather!$BO$1:$BO$20,0),MATCH(C61,Weather!$BO$1:$CB$1,0))/VLOOKUP(B61,Weather!$BO$2:$CB$20,14,FALSE)*
VLOOKUP('Monthly Data'!$B61,Weather!$BO$3:$CB$20,14,FALSE)/Weather!$CB$14</f>
        <v>177527.47753761717</v>
      </c>
      <c r="BH61" s="560">
        <f t="shared" ca="1" si="177"/>
        <v>33284435.001671795</v>
      </c>
      <c r="BI61" s="560">
        <v>6955709.3629137073</v>
      </c>
      <c r="BJ61" s="560">
        <f>IFERROR(VLOOKUP($B61-1,CDM!$V$4:$AJ$17,12,FALSE)/12,0)+IFERROR(VLOOKUP($B61,CDM!$V$41:$AJ$54,12,FALSE)/24,0)+IFERROR(VLOOKUP($B61,CDM!$V$41:$AJ$54,12,FALSE)/2*$C61/78,0)</f>
        <v>222318.15096962414</v>
      </c>
      <c r="BK61" s="560">
        <f t="shared" si="178"/>
        <v>7178027.5138833318</v>
      </c>
      <c r="BL61" s="560">
        <f>IFERROR(HLOOKUP(B61-1,'EV Forecast WRZ'!$F$124:$T$130,3,FALSE)/12,0)+IFERROR(((HLOOKUP(B61,'EV Forecast WRZ'!$F$116:$T$122,3,FALSE)-HLOOKUP(B61-1,'EV Forecast WRZ'!$F$124:$T$130,3,FALSE)))*C61/78,0)</f>
        <v>9821.8515384615384</v>
      </c>
      <c r="BM61" s="560">
        <f ca="1">HLOOKUP(B61,Heating!$R$102:$AD$106,4,FALSE)*INDEX(Weather!$BO$1:$CB$20,MATCH(B61,Weather!$BO$1:$BO$20,0),MATCH(C61,Weather!$BO$1:$CB$1,0))/VLOOKUP(B61,Weather!$BO$2:$CB$20,14,FALSE)*
VLOOKUP('Monthly Data'!$B61,Weather!$BO$3:$CB$20,14,FALSE)/Weather!$CB$14</f>
        <v>28058.339949198216</v>
      </c>
      <c r="BN61" s="560">
        <f t="shared" ca="1" si="179"/>
        <v>7140147.3223956721</v>
      </c>
      <c r="BO61" s="560">
        <v>27558032.408285797</v>
      </c>
      <c r="BP61" s="560">
        <f>IFERROR(VLOOKUP($B61-1,CDM!$V$4:$AJ$17,13,FALSE)/12,0)+IFERROR(VLOOKUP($B61,CDM!$V$41:$AJ$54,13,FALSE)/24,0)+IFERROR(VLOOKUP($B61,CDM!$V$41:$AJ$54,13,FALSE)/2*$C61/78,0)</f>
        <v>1984170.8285487094</v>
      </c>
      <c r="BQ61" s="560">
        <f t="shared" si="180"/>
        <v>29542203.236834507</v>
      </c>
      <c r="BR61" s="560">
        <f>IFERROR(HLOOKUP(B61-1,'EV Forecast WRZ'!$F$124:$T$130,4,FALSE)/12,0)+IFERROR(((HLOOKUP(B61,'EV Forecast WRZ'!$F$116:$T$122,4,FALSE)-HLOOKUP(B61-1,'EV Forecast WRZ'!$F$124:$T$130,4,FALSE)))*C61/78,0)</f>
        <v>4456.7562692307692</v>
      </c>
      <c r="BS61" s="560">
        <f ca="1">HLOOKUP(B61,Heating!$R$102:$AD$106,5,FALSE)*INDEX(Weather!$BO$1:$CB$20,MATCH(B61,Weather!$BO$1:$BO$20,0),MATCH(C61,Weather!$BO$1:$CB$1,0))/VLOOKUP(B61,Weather!$BO$2:$CB$20,14,FALSE)*
VLOOKUP('Monthly Data'!$B61,Weather!$BO$3:$CB$20,14,FALSE)/Weather!$CB$14</f>
        <v>18780.238088698876</v>
      </c>
      <c r="BT61" s="560">
        <f t="shared" ca="1" si="181"/>
        <v>29518966.242476579</v>
      </c>
      <c r="BU61" s="560">
        <v>6880329.1128254589</v>
      </c>
      <c r="BV61" s="560">
        <f>IFERROR(VLOOKUP($B61-1,CDM!$V$4:$AJ$17,14,FALSE)/12,0)+IFERROR(VLOOKUP($B61,CDM!$V$41:$AJ$54,14,FALSE)/24,0)+IFERROR(VLOOKUP($B61,CDM!$V$41:$AJ$54,14,FALSE)/2*$C61/78,0)</f>
        <v>446085.56350482453</v>
      </c>
      <c r="BW61" s="560">
        <f t="shared" si="182"/>
        <v>7326414.6763302833</v>
      </c>
      <c r="BX61" s="560">
        <f>IFERROR(HLOOKUP(B61-1,'EV Forecast WRZ'!$F$124:$T$130,5,FALSE)/12,0)+IFERROR(((HLOOKUP(B61,'EV Forecast WRZ'!$F$116:$T$122,5,FALSE)-HLOOKUP(B61-1,'EV Forecast WRZ'!$F$124:$T$130,5,FALSE)))*C61/78,0)</f>
        <v>638.7848846153845</v>
      </c>
      <c r="BY61" s="560">
        <f t="shared" si="120"/>
        <v>7325775.8914456675</v>
      </c>
      <c r="BZ61" s="560">
        <v>355111.20145398885</v>
      </c>
      <c r="CA61" s="560">
        <v>1978.182430566919</v>
      </c>
      <c r="CB61" s="560">
        <v>157301.9801033097</v>
      </c>
      <c r="CC61" s="5">
        <v>65591.839999999997</v>
      </c>
      <c r="CD61" s="5">
        <v>12242.68</v>
      </c>
      <c r="CE61" s="5">
        <v>763.68</v>
      </c>
      <c r="CF61" s="544">
        <f t="shared" si="184"/>
        <v>6</v>
      </c>
      <c r="CG61" s="565">
        <v>42256</v>
      </c>
      <c r="CH61" s="565">
        <v>2299</v>
      </c>
      <c r="CI61" s="565">
        <v>386</v>
      </c>
      <c r="CJ61" s="565">
        <v>3</v>
      </c>
      <c r="CK61" s="565">
        <v>12799</v>
      </c>
      <c r="CL61" s="565">
        <v>37</v>
      </c>
      <c r="CM61" s="565">
        <v>391</v>
      </c>
      <c r="CN61" s="46">
        <f>Weather!C85</f>
        <v>644.90416666666681</v>
      </c>
      <c r="CO61" s="46">
        <f>Weather!D85</f>
        <v>0</v>
      </c>
      <c r="CP61" s="46">
        <f>Weather!E85</f>
        <v>582.90416666666681</v>
      </c>
      <c r="CQ61" s="46">
        <f>Weather!F85</f>
        <v>0</v>
      </c>
      <c r="CR61" s="46">
        <f>Weather!G85</f>
        <v>520.90416666666681</v>
      </c>
      <c r="CS61" s="46">
        <f>Weather!H85</f>
        <v>0</v>
      </c>
      <c r="CT61" s="46">
        <f>Weather!I85</f>
        <v>458.90416666666681</v>
      </c>
      <c r="CU61" s="46">
        <f>Weather!J85</f>
        <v>0</v>
      </c>
      <c r="CV61" s="46">
        <f>Weather!K85</f>
        <v>396.9041666666667</v>
      </c>
      <c r="CW61" s="46">
        <f>Weather!L85</f>
        <v>0</v>
      </c>
      <c r="CX61" s="46">
        <f>Weather!M85</f>
        <v>334.90416666666664</v>
      </c>
      <c r="CY61" s="46">
        <f>Weather!N85</f>
        <v>0</v>
      </c>
      <c r="CZ61" s="46">
        <f>Weather!O85</f>
        <v>272.9041666666667</v>
      </c>
      <c r="DA61" s="46">
        <f>Weather!P85</f>
        <v>0</v>
      </c>
      <c r="DB61" s="243">
        <f>'Economic Data'!D87</f>
        <v>7289.8</v>
      </c>
      <c r="DC61" s="243">
        <f>'Economic Data'!E87</f>
        <v>7300.6</v>
      </c>
      <c r="DD61" s="243">
        <f>'Economic Data'!F87</f>
        <v>216.1</v>
      </c>
      <c r="DE61" s="243">
        <f>'Economic Data'!G87</f>
        <v>214.5</v>
      </c>
      <c r="DF61" s="243">
        <f>'Economic Data'!H87</f>
        <v>55.5</v>
      </c>
      <c r="DG61" s="243">
        <f>'Economic Data'!I87</f>
        <v>55.5</v>
      </c>
      <c r="DH61" s="243">
        <f>'Economic Data'!J87</f>
        <v>769942</v>
      </c>
      <c r="DI61" s="243">
        <f>'Economic Data'!K87</f>
        <v>596521.6</v>
      </c>
      <c r="DJ61" s="243">
        <f>'Economic Data'!L87</f>
        <v>85928.9</v>
      </c>
      <c r="DK61" s="243">
        <f>'Economic Data'!M87</f>
        <v>23899.8</v>
      </c>
      <c r="DL61" s="243">
        <f>'Economic Data'!N87</f>
        <v>797313</v>
      </c>
      <c r="DM61" s="243">
        <f>'Economic Data'!O87</f>
        <v>90586</v>
      </c>
      <c r="DN61" s="243">
        <f>'Economic Data'!P87</f>
        <v>16796</v>
      </c>
      <c r="DO61" s="243">
        <f>'Economic Data'!Q87</f>
        <v>614230</v>
      </c>
      <c r="DP61" s="243">
        <f>'Economic Data'!R87</f>
        <v>21756</v>
      </c>
      <c r="DQ61">
        <v>31</v>
      </c>
      <c r="DR61">
        <v>21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1</v>
      </c>
      <c r="EE61">
        <v>0</v>
      </c>
      <c r="EF61">
        <v>0</v>
      </c>
      <c r="EG61">
        <v>0</v>
      </c>
      <c r="EH61">
        <f t="shared" si="185"/>
        <v>60</v>
      </c>
      <c r="EI61">
        <v>1</v>
      </c>
      <c r="EJ61">
        <v>0.5</v>
      </c>
      <c r="EK61">
        <v>1</v>
      </c>
      <c r="EL61">
        <v>0</v>
      </c>
      <c r="EM61" s="47">
        <f t="shared" si="121"/>
        <v>322.45208333333341</v>
      </c>
      <c r="EN61" s="47">
        <f t="shared" si="122"/>
        <v>0</v>
      </c>
      <c r="EO61" s="47">
        <f t="shared" si="123"/>
        <v>291.45208333333341</v>
      </c>
      <c r="EP61" s="47">
        <f t="shared" si="124"/>
        <v>0</v>
      </c>
      <c r="EQ61" s="47">
        <f t="shared" si="125"/>
        <v>260.45208333333341</v>
      </c>
      <c r="ER61" s="47">
        <f t="shared" si="126"/>
        <v>0</v>
      </c>
      <c r="ES61" s="47">
        <f t="shared" si="127"/>
        <v>229.45208333333341</v>
      </c>
      <c r="ET61" s="47">
        <f t="shared" si="128"/>
        <v>0</v>
      </c>
      <c r="EU61" s="47">
        <f t="shared" si="129"/>
        <v>198.45208333333335</v>
      </c>
      <c r="EV61" s="47">
        <f t="shared" si="130"/>
        <v>0</v>
      </c>
      <c r="EW61" s="47">
        <f t="shared" si="131"/>
        <v>167.45208333333332</v>
      </c>
      <c r="EX61" s="47">
        <f t="shared" si="132"/>
        <v>0</v>
      </c>
      <c r="EY61" s="47">
        <f t="shared" si="133"/>
        <v>136.45208333333335</v>
      </c>
      <c r="EZ61" s="47">
        <f t="shared" si="134"/>
        <v>0</v>
      </c>
      <c r="FA61" s="47">
        <f t="shared" si="135"/>
        <v>644.90416666666681</v>
      </c>
      <c r="FB61" s="47">
        <f t="shared" si="136"/>
        <v>0</v>
      </c>
      <c r="FC61" s="47">
        <f t="shared" si="137"/>
        <v>582.90416666666681</v>
      </c>
      <c r="FD61" s="47">
        <f t="shared" si="138"/>
        <v>0</v>
      </c>
      <c r="FE61" s="47">
        <f t="shared" si="139"/>
        <v>520.90416666666681</v>
      </c>
      <c r="FF61" s="47">
        <f t="shared" si="140"/>
        <v>0</v>
      </c>
      <c r="FG61" s="47">
        <f t="shared" si="141"/>
        <v>458.90416666666681</v>
      </c>
      <c r="FH61" s="47">
        <f t="shared" si="142"/>
        <v>0</v>
      </c>
      <c r="FI61" s="47">
        <f t="shared" si="143"/>
        <v>396.9041666666667</v>
      </c>
      <c r="FJ61" s="47">
        <f t="shared" si="144"/>
        <v>0</v>
      </c>
      <c r="FK61" s="47">
        <f t="shared" si="145"/>
        <v>334.90416666666664</v>
      </c>
      <c r="FL61" s="47">
        <f t="shared" si="146"/>
        <v>0</v>
      </c>
      <c r="FM61" s="47">
        <f t="shared" si="147"/>
        <v>272.9041666666667</v>
      </c>
      <c r="FN61" s="47">
        <f t="shared" si="148"/>
        <v>0</v>
      </c>
      <c r="FO61" s="546">
        <f t="shared" ca="1" si="149"/>
        <v>810.28811143623909</v>
      </c>
      <c r="FP61" s="546">
        <f t="shared" si="150"/>
        <v>795.67576420684884</v>
      </c>
      <c r="FQ61" s="546">
        <f t="shared" si="151"/>
        <v>2588.2287547144701</v>
      </c>
      <c r="FR61" s="546">
        <f t="shared" si="152"/>
        <v>74562.034003264765</v>
      </c>
      <c r="FS61" s="546">
        <f t="shared" si="153"/>
        <v>1389546.1508388282</v>
      </c>
      <c r="FT61" s="546">
        <f t="shared" si="154"/>
        <v>5990972.9841385316</v>
      </c>
      <c r="FU61" s="546">
        <f t="shared" si="155"/>
        <v>37.847810686253709</v>
      </c>
      <c r="FV61" s="546">
        <f t="shared" si="156"/>
        <v>60.421393989012465</v>
      </c>
      <c r="FW61" s="546">
        <f t="shared" si="157"/>
        <v>475.94128029002104</v>
      </c>
      <c r="FX61" s="546">
        <f t="shared" si="158"/>
        <v>793.77061941995009</v>
      </c>
      <c r="FY61" s="546">
        <f t="shared" si="159"/>
        <v>3122.239023002754</v>
      </c>
      <c r="FZ61" s="546">
        <f t="shared" si="160"/>
        <v>76534.20527677334</v>
      </c>
      <c r="GA61" s="546">
        <f t="shared" si="161"/>
        <v>118370.40048466295</v>
      </c>
      <c r="GB61" s="546">
        <f t="shared" si="162"/>
        <v>27.745230209703013</v>
      </c>
      <c r="GC61" s="546">
        <f t="shared" si="163"/>
        <v>53.464390015322138</v>
      </c>
      <c r="GD61" s="546">
        <f t="shared" si="164"/>
        <v>402.30685448416801</v>
      </c>
    </row>
    <row r="62" spans="1:186">
      <c r="A62" s="4">
        <v>44197</v>
      </c>
      <c r="B62" s="6">
        <v>2021</v>
      </c>
      <c r="C62" s="5">
        <v>1</v>
      </c>
      <c r="D62" s="7">
        <v>89382214.899493799</v>
      </c>
      <c r="E62" s="7">
        <f ca="1">IFERROR(VLOOKUP($B62-1,CDM!$V$4:$AJ$17,2,FALSE)/12,0)+IFERROR(VLOOKUP($B62,CDM!$V$41:$AJ$54,2,FALSE)/24,0)+IFERROR(VLOOKUP($B62,CDM!$V$41:$AJ$54,2,FALSE)/2*$C62/78,0)</f>
        <v>3838542.9600022533</v>
      </c>
      <c r="F62" s="7">
        <f t="shared" ca="1" si="165"/>
        <v>93220757.859496057</v>
      </c>
      <c r="G62" s="7">
        <f>IFERROR(HLOOKUP(B62-1,'EV Forecast VRZ'!$F$124:$T$130,2,FALSE)/12,0)+IFERROR(((HLOOKUP(B62,'EV Forecast VRZ'!$F$116:$T$122,2,FALSE)-HLOOKUP(B62-1,'EV Forecast VRZ'!$F$124:$T$130,2,FALSE)))*C62/78,0)</f>
        <v>268226.64378214773</v>
      </c>
      <c r="H62" s="7">
        <f ca="1">HLOOKUP(B62,Heating!$C$102:$O$106,2,FALSE)*INDEX(Weather!$BO$1:$CB$20,MATCH(B62,Weather!$BO$1:$BO$20,0),MATCH(C62,Weather!$BO$1:$CB$1,0))/VLOOKUP(B62,Weather!$BO$2:$CB$20,14,FALSE)*
VLOOKUP('Monthly Data'!$B62,Weather!$BO$3:$CB$20,14,FALSE)/Weather!$CB$14</f>
        <v>962745.70957745728</v>
      </c>
      <c r="I62" s="7">
        <f t="shared" ca="1" si="166"/>
        <v>91989785.506136447</v>
      </c>
      <c r="J62" s="7">
        <v>1311403.7624976148</v>
      </c>
      <c r="K62" s="7">
        <f ca="1">IFERROR(VLOOKUP($B62-1,CDM!$V$4:$AJ$17,3,FALSE)/12,0)+IFERROR(VLOOKUP($B62,CDM!$V$41:$AJ$54,3,FALSE)/24,0)+IFERROR(VLOOKUP($B62,CDM!$V$41:$AJ$54,3,FALSE)/2*$C62/78,0)</f>
        <v>43965.917091062038</v>
      </c>
      <c r="L62" s="7">
        <f t="shared" ca="1" si="167"/>
        <v>1355369.6795886769</v>
      </c>
      <c r="M62" s="7">
        <f>IFERROR(HLOOKUP(B62-1,'EV Forecast VRZ'!$F$124:$T$130,3,FALSE)/12,0)+IFERROR(((HLOOKUP(B62,'EV Forecast VRZ'!$F$116:$T$122,3,FALSE)-HLOOKUP(B62-1,'EV Forecast VRZ'!$F$124:$T$130,3,FALSE)))*C62/78,0)</f>
        <v>3639.605320416395</v>
      </c>
      <c r="N62" s="7">
        <f ca="1">HLOOKUP(B62,Heating!$C$102:$O$106,3,FALSE)*INDEX(Weather!$BO$1:$CB$20,MATCH(B62,Weather!$BO$1:$BO$20,0),MATCH(C62,Weather!$BO$1:$CB$1,0))/VLOOKUP(B62,Weather!$BO$2:$CB$20,14,FALSE)*
VLOOKUP('Monthly Data'!$B62,Weather!$BO$3:$CB$20,14,FALSE)/Weather!$CB$14</f>
        <v>12037.944067568456</v>
      </c>
      <c r="O62" s="7">
        <f t="shared" ca="1" si="168"/>
        <v>1339692.130200692</v>
      </c>
      <c r="P62" s="7">
        <v>22226475.203920912</v>
      </c>
      <c r="Q62" s="7">
        <f ca="1">IFERROR(VLOOKUP($B62-1,CDM!$V$4:$AJ$17,4,FALSE)/12,0)+IFERROR(VLOOKUP($B62,CDM!$V$41:$AJ$54,4,FALSE)/24,0)+IFERROR(VLOOKUP($B62,CDM!$V$41:$AJ$54,4,FALSE)/2*$C62/78,0)</f>
        <v>1383643.1853128378</v>
      </c>
      <c r="R62" s="7">
        <f t="shared" ca="1" si="169"/>
        <v>23610118.389233749</v>
      </c>
      <c r="S62" s="7">
        <f>IFERROR(HLOOKUP(B62-1,'EV Forecast VRZ'!$F$124:$T$130,4,FALSE)/12,0)+IFERROR(((HLOOKUP(B62,'EV Forecast VRZ'!$F$116:$T$122,4,FALSE)-HLOOKUP(B62-1,'EV Forecast VRZ'!$F$124:$T$130,4,FALSE)))*C62/78,0)</f>
        <v>33300.327948717953</v>
      </c>
      <c r="T62" s="7">
        <f ca="1">HLOOKUP(B62,Heating!$C$102:$O$106,4,FALSE)*INDEX(Weather!$BO$1:$CB$20,MATCH(B62,Weather!$BO$1:$BO$20,0),MATCH(C62,Weather!$BO$1:$CB$1,0))/VLOOKUP(B62,Weather!$BO$2:$CB$20,14,FALSE)*
VLOOKUP('Monthly Data'!$B62,Weather!$BO$3:$CB$20,14,FALSE)/Weather!$CB$14</f>
        <v>235791.63072920649</v>
      </c>
      <c r="U62" s="7">
        <f t="shared" ca="1" si="170"/>
        <v>23341026.430555824</v>
      </c>
      <c r="V62" s="7">
        <v>74944654.309794828</v>
      </c>
      <c r="W62" s="7">
        <f ca="1">IFERROR(VLOOKUP($B62-1,CDM!$V$4:$AJ$17,5,FALSE)/12,0)+IFERROR(VLOOKUP($B62,CDM!$V$41:$AJ$54,5,FALSE)/24,0)+IFERROR(VLOOKUP($B62,CDM!$V$41:$AJ$54,5,FALSE)/2*$C62/78,0)</f>
        <v>5117825.1120045986</v>
      </c>
      <c r="X62" s="7">
        <f t="shared" ca="1" si="171"/>
        <v>80062479.421799421</v>
      </c>
      <c r="Y62" s="7">
        <f>IFERROR(HLOOKUP(B62-1,'EV Forecast VRZ'!$F$124:$T$130,5,FALSE)/12,0)+IFERROR(((HLOOKUP(B62,'EV Forecast VRZ'!$F$116:$T$122,5,FALSE)-HLOOKUP(B62-1,'EV Forecast VRZ'!$F$124:$T$130,5,FALSE)))*C62/78,0)</f>
        <v>15091.686038461537</v>
      </c>
      <c r="Z62" s="7">
        <f ca="1">HLOOKUP(B62,Heating!$C$102:$O$106,5,FALSE)*INDEX(Weather!$BO$1:$CB$20,MATCH(B62,Weather!$BO$1:$BO$20,0),MATCH(C62,Weather!$BO$1:$CB$1,0))/VLOOKUP(B62,Weather!$BO$2:$CB$20,14,FALSE)*
VLOOKUP('Monthly Data'!$B62,Weather!$BO$3:$CB$20,14,FALSE)/Weather!$CB$14</f>
        <v>127856.19874796108</v>
      </c>
      <c r="AA62" s="7">
        <f t="shared" ca="1" si="172"/>
        <v>79919531.537012994</v>
      </c>
      <c r="AB62" s="7">
        <v>7075881.4165606061</v>
      </c>
      <c r="AC62" s="7">
        <f ca="1">IFERROR(VLOOKUP($B62-1,CDM!$V$4:$AJ$17,6,FALSE)/12,0)+IFERROR(VLOOKUP($B62,CDM!$V$41:$AJ$54,6,FALSE)/24,0)+IFERROR(VLOOKUP($B62,CDM!$V$41:$AJ$54,6,FALSE)/2*$C62/78,0)</f>
        <v>236060.3060207855</v>
      </c>
      <c r="AD62" s="7">
        <f t="shared" ca="1" si="173"/>
        <v>7311941.7225813912</v>
      </c>
      <c r="AE62" s="7">
        <f>IFERROR(HLOOKUP(B62-1,'EV Forecast VRZ'!$F$124:$T$130,6,FALSE)/12,0)+IFERROR(((HLOOKUP(B62,'EV Forecast VRZ'!$F$116:$T$122,6,FALSE)-HLOOKUP(B62-1,'EV Forecast VRZ'!$F$124:$T$130,6,FALSE)))*C62/78,0)</f>
        <v>2091.1702435897432</v>
      </c>
      <c r="AF62" s="7">
        <f t="shared" ca="1" si="174"/>
        <v>7309850.5523378011</v>
      </c>
      <c r="AG62" s="7">
        <v>24508274.280805893</v>
      </c>
      <c r="AH62" s="7">
        <f ca="1">IFERROR(VLOOKUP($B62-1,CDM!$V$4:$AJ$17,7,FALSE)/12,0)+IFERROR(VLOOKUP($B62,CDM!$V$41:$AJ$54,7,FALSE)/24,0)+IFERROR(VLOOKUP($B62,CDM!$V$41:$AJ$54,7,FALSE)/2*$C62/78,0)</f>
        <v>1681664.1510719862</v>
      </c>
      <c r="AI62" s="7">
        <f t="shared" ca="1" si="175"/>
        <v>26189938.431877881</v>
      </c>
      <c r="AJ62" s="7">
        <f>IFERROR(HLOOKUP(B62-1,'EV Forecast VRZ'!$F$124:$T$130,7,FALSE)/12,0)+IFERROR(((HLOOKUP(B62,'EV Forecast VRZ'!$F$116:$T$122,7,FALSE)-HLOOKUP(B62-1,'EV Forecast VRZ'!$F$124:$T$130,7,FALSE)))*C62/78,0)</f>
        <v>0</v>
      </c>
      <c r="AK62" s="7">
        <f t="shared" ca="1" si="176"/>
        <v>26189938.431877881</v>
      </c>
      <c r="AL62" s="7">
        <v>1177915.1593207403</v>
      </c>
      <c r="AM62" s="7">
        <v>17446.708643388672</v>
      </c>
      <c r="AN62" s="7">
        <v>380696.02175157412</v>
      </c>
      <c r="AO62" s="5">
        <v>172253.36</v>
      </c>
      <c r="AP62" s="5">
        <v>17328.68</v>
      </c>
      <c r="AQ62" s="5">
        <v>38170</v>
      </c>
      <c r="AR62" s="5">
        <v>2590.7600000000002</v>
      </c>
      <c r="AS62" s="544">
        <f>632/12</f>
        <v>52.666666666666664</v>
      </c>
      <c r="AT62" s="557">
        <v>112709.58333333333</v>
      </c>
      <c r="AU62" s="557">
        <v>1560.6666666666667</v>
      </c>
      <c r="AV62" s="557">
        <v>9290.4166666666661</v>
      </c>
      <c r="AW62" s="557">
        <v>1044.4166666666667</v>
      </c>
      <c r="AX62" s="557">
        <v>5.083333333333333</v>
      </c>
      <c r="AY62" s="557">
        <v>4</v>
      </c>
      <c r="AZ62" s="557">
        <v>31622.333333333332</v>
      </c>
      <c r="BA62" s="557">
        <v>250.66666666666666</v>
      </c>
      <c r="BB62" s="557">
        <v>800.25</v>
      </c>
      <c r="BC62" s="560">
        <v>31268800.304591253</v>
      </c>
      <c r="BD62" s="560">
        <f ca="1">IFERROR(VLOOKUP($B62-1,CDM!$V$4:$AJ$17,11,FALSE)/12,0)+IFERROR(VLOOKUP($B62,CDM!$V$41:$AJ$54,11,FALSE)/24,0)+IFERROR(VLOOKUP($B62,CDM!$V$41:$AJ$54,11,FALSE)/2*$C62/78,0)</f>
        <v>1791729.2295936868</v>
      </c>
      <c r="BE62" s="560">
        <f t="shared" ca="1" si="119"/>
        <v>33060529.53418494</v>
      </c>
      <c r="BF62" s="560">
        <f>IFERROR(HLOOKUP(B62-1,'EV Forecast WRZ'!$F$124:$T$130,2,FALSE)/12,0)+IFERROR(((HLOOKUP(B62,'EV Forecast WRZ'!$F$116:$T$122,2,FALSE)-HLOOKUP(B62-1,'EV Forecast WRZ'!$F$124:$T$130,2,FALSE)))*C62/78,0)</f>
        <v>84571.812179487184</v>
      </c>
      <c r="BG62" s="560">
        <f ca="1">HLOOKUP(B62,Heating!$R$102:$AD$106,2,FALSE)*INDEX(Weather!$BO$1:$CB$20,MATCH(B62,Weather!$BO$1:$BO$20,0),MATCH(C62,Weather!$BO$1:$CB$1,0))/VLOOKUP(B62,Weather!$BO$2:$CB$20,14,FALSE)*
VLOOKUP('Monthly Data'!$B62,Weather!$BO$3:$CB$20,14,FALSE)/Weather!$CB$14</f>
        <v>408196.8923285816</v>
      </c>
      <c r="BH62" s="560">
        <f t="shared" ca="1" si="177"/>
        <v>32567760.82967687</v>
      </c>
      <c r="BI62" s="560">
        <v>6920260.8787641088</v>
      </c>
      <c r="BJ62" s="560">
        <f ca="1">IFERROR(VLOOKUP($B62-1,CDM!$V$4:$AJ$17,12,FALSE)/12,0)+IFERROR(VLOOKUP($B62,CDM!$V$41:$AJ$54,12,FALSE)/24,0)+IFERROR(VLOOKUP($B62,CDM!$V$41:$AJ$54,12,FALSE)/2*$C62/78,0)</f>
        <v>225455.74878091869</v>
      </c>
      <c r="BK62" s="560">
        <f t="shared" ca="1" si="178"/>
        <v>7145716.6275450271</v>
      </c>
      <c r="BL62" s="560">
        <f>IFERROR(HLOOKUP(B62-1,'EV Forecast WRZ'!$F$124:$T$130,3,FALSE)/12,0)+IFERROR(((HLOOKUP(B62,'EV Forecast WRZ'!$F$116:$T$122,3,FALSE)-HLOOKUP(B62-1,'EV Forecast WRZ'!$F$124:$T$130,3,FALSE)))*C62/78,0)</f>
        <v>10412.860256410258</v>
      </c>
      <c r="BM62" s="560">
        <f ca="1">HLOOKUP(B62,Heating!$R$102:$AD$106,4,FALSE)*INDEX(Weather!$BO$1:$CB$20,MATCH(B62,Weather!$BO$1:$BO$20,0),MATCH(C62,Weather!$BO$1:$CB$1,0))/VLOOKUP(B62,Weather!$BO$2:$CB$20,14,FALSE)*
VLOOKUP('Monthly Data'!$B62,Weather!$BO$3:$CB$20,14,FALSE)/Weather!$CB$14</f>
        <v>61651.504648391579</v>
      </c>
      <c r="BN62" s="560">
        <f t="shared" ca="1" si="179"/>
        <v>7073652.2626402257</v>
      </c>
      <c r="BO62" s="560">
        <v>27010629.389372561</v>
      </c>
      <c r="BP62" s="560">
        <f ca="1">IFERROR(VLOOKUP($B62-1,CDM!$V$4:$AJ$17,13,FALSE)/12,0)+IFERROR(VLOOKUP($B62,CDM!$V$41:$AJ$54,13,FALSE)/24,0)+IFERROR(VLOOKUP($B62,CDM!$V$41:$AJ$54,13,FALSE)/2*$C62/78,0)</f>
        <v>2013580.490323663</v>
      </c>
      <c r="BQ62" s="560">
        <f t="shared" ca="1" si="180"/>
        <v>29024209.879696224</v>
      </c>
      <c r="BR62" s="560">
        <f>IFERROR(HLOOKUP(B62-1,'EV Forecast WRZ'!$F$124:$T$130,4,FALSE)/12,0)+IFERROR(((HLOOKUP(B62,'EV Forecast WRZ'!$F$116:$T$122,4,FALSE)-HLOOKUP(B62-1,'EV Forecast WRZ'!$F$124:$T$130,4,FALSE)))*C62/78,0)</f>
        <v>4723.2871153846154</v>
      </c>
      <c r="BS62" s="560">
        <f ca="1">HLOOKUP(B62,Heating!$R$102:$AD$106,5,FALSE)*INDEX(Weather!$BO$1:$CB$20,MATCH(B62,Weather!$BO$1:$BO$20,0),MATCH(C62,Weather!$BO$1:$CB$1,0))/VLOOKUP(B62,Weather!$BO$2:$CB$20,14,FALSE)*
VLOOKUP('Monthly Data'!$B62,Weather!$BO$3:$CB$20,14,FALSE)/Weather!$CB$14</f>
        <v>37726.824923755725</v>
      </c>
      <c r="BT62" s="560">
        <f t="shared" ca="1" si="181"/>
        <v>28981759.767657083</v>
      </c>
      <c r="BU62" s="560">
        <v>7444550.1350048222</v>
      </c>
      <c r="BV62" s="560">
        <f ca="1">IFERROR(VLOOKUP($B62-1,CDM!$V$4:$AJ$17,14,FALSE)/12,0)+IFERROR(VLOOKUP($B62,CDM!$V$41:$AJ$54,14,FALSE)/24,0)+IFERROR(VLOOKUP($B62,CDM!$V$41:$AJ$54,14,FALSE)/2*$C62/78,0)</f>
        <v>452722.53441427567</v>
      </c>
      <c r="BW62" s="560">
        <f t="shared" ca="1" si="182"/>
        <v>7897272.6694190977</v>
      </c>
      <c r="BX62" s="560">
        <f>IFERROR(HLOOKUP(B62-1,'EV Forecast WRZ'!$F$124:$T$130,5,FALSE)/12,0)+IFERROR(((HLOOKUP(B62,'EV Forecast WRZ'!$F$116:$T$122,5,FALSE)-HLOOKUP(B62-1,'EV Forecast WRZ'!$F$124:$T$130,5,FALSE)))*C62/78,0)</f>
        <v>670.64301282051292</v>
      </c>
      <c r="BY62" s="560">
        <f t="shared" ca="1" si="120"/>
        <v>7896602.026406277</v>
      </c>
      <c r="BZ62" s="560">
        <v>347285.80447675526</v>
      </c>
      <c r="CA62" s="560">
        <v>2030.6833747847704</v>
      </c>
      <c r="CB62" s="560">
        <v>157302.08532619092</v>
      </c>
      <c r="CC62" s="5">
        <v>60614.51</v>
      </c>
      <c r="CD62" s="5">
        <v>12446.98</v>
      </c>
      <c r="CE62" s="5">
        <v>763.84</v>
      </c>
      <c r="CF62" s="544">
        <f>71/12</f>
        <v>5.916666666666667</v>
      </c>
      <c r="CG62" s="565">
        <v>42354.75</v>
      </c>
      <c r="CH62" s="565">
        <v>2303.25</v>
      </c>
      <c r="CI62" s="565">
        <v>386.75</v>
      </c>
      <c r="CJ62" s="565">
        <v>3</v>
      </c>
      <c r="CK62" s="565">
        <v>12833.583333333334</v>
      </c>
      <c r="CL62" s="565">
        <v>37.833333333333336</v>
      </c>
      <c r="CM62" s="565">
        <v>391.08333333333331</v>
      </c>
      <c r="CN62" s="46">
        <f>Weather!C86</f>
        <v>715.50416666666661</v>
      </c>
      <c r="CO62" s="46">
        <f>Weather!D86</f>
        <v>0</v>
      </c>
      <c r="CP62" s="46">
        <f>Weather!E86</f>
        <v>653.50416666666661</v>
      </c>
      <c r="CQ62" s="46">
        <f>Weather!F86</f>
        <v>0</v>
      </c>
      <c r="CR62" s="46">
        <f>Weather!G86</f>
        <v>591.50416666666661</v>
      </c>
      <c r="CS62" s="46">
        <f>Weather!H86</f>
        <v>0</v>
      </c>
      <c r="CT62" s="46">
        <f>Weather!I86</f>
        <v>529.50416666666661</v>
      </c>
      <c r="CU62" s="46">
        <f>Weather!J86</f>
        <v>0</v>
      </c>
      <c r="CV62" s="46">
        <f>Weather!K86</f>
        <v>467.50416666666661</v>
      </c>
      <c r="CW62" s="46">
        <f>Weather!L86</f>
        <v>0</v>
      </c>
      <c r="CX62" s="46">
        <f>Weather!M86</f>
        <v>405.50416666666661</v>
      </c>
      <c r="CY62" s="46">
        <f>Weather!N86</f>
        <v>0</v>
      </c>
      <c r="CZ62" s="46">
        <f>Weather!O86</f>
        <v>343.50416666666661</v>
      </c>
      <c r="DA62" s="46">
        <f>Weather!P86</f>
        <v>0</v>
      </c>
      <c r="DB62" s="243">
        <f>'Economic Data'!D88</f>
        <v>7234.6</v>
      </c>
      <c r="DC62" s="243">
        <f>'Economic Data'!E88</f>
        <v>7207.2</v>
      </c>
      <c r="DD62" s="243">
        <f>'Economic Data'!F88</f>
        <v>209.4</v>
      </c>
      <c r="DE62" s="243">
        <f>'Economic Data'!G88</f>
        <v>208.7</v>
      </c>
      <c r="DF62" s="243">
        <f>'Economic Data'!H88</f>
        <v>56.1</v>
      </c>
      <c r="DG62" s="243">
        <f>'Economic Data'!I88</f>
        <v>56.1</v>
      </c>
      <c r="DH62" s="243">
        <f>'Economic Data'!J88</f>
        <v>817265.5</v>
      </c>
      <c r="DI62" s="243">
        <f>'Economic Data'!K88</f>
        <v>634181.69999999995</v>
      </c>
      <c r="DJ62" s="243">
        <f>'Economic Data'!L88</f>
        <v>92312.5</v>
      </c>
      <c r="DK62" s="243">
        <f>'Economic Data'!M88</f>
        <v>25225.4</v>
      </c>
      <c r="DL62" s="243">
        <f>'Economic Data'!N88</f>
        <v>809994</v>
      </c>
      <c r="DM62" s="243">
        <f>'Economic Data'!O88</f>
        <v>92073</v>
      </c>
      <c r="DN62" s="243">
        <f>'Economic Data'!P88</f>
        <v>15760</v>
      </c>
      <c r="DO62" s="243">
        <f>'Economic Data'!Q88</f>
        <v>622909</v>
      </c>
      <c r="DP62" s="243">
        <f>'Economic Data'!R88</f>
        <v>23141</v>
      </c>
      <c r="DQ62">
        <v>31</v>
      </c>
      <c r="DR62">
        <v>20</v>
      </c>
      <c r="DS62">
        <v>1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f t="shared" si="185"/>
        <v>61</v>
      </c>
      <c r="EI62">
        <v>1</v>
      </c>
      <c r="EJ62">
        <v>0.5</v>
      </c>
      <c r="EK62">
        <v>0.75</v>
      </c>
      <c r="EL62">
        <v>0</v>
      </c>
      <c r="EM62" s="47">
        <f t="shared" si="121"/>
        <v>357.7520833333333</v>
      </c>
      <c r="EN62" s="47">
        <f t="shared" si="122"/>
        <v>0</v>
      </c>
      <c r="EO62" s="47">
        <f t="shared" si="123"/>
        <v>326.7520833333333</v>
      </c>
      <c r="EP62" s="47">
        <f t="shared" si="124"/>
        <v>0</v>
      </c>
      <c r="EQ62" s="47">
        <f t="shared" si="125"/>
        <v>295.7520833333333</v>
      </c>
      <c r="ER62" s="47">
        <f t="shared" si="126"/>
        <v>0</v>
      </c>
      <c r="ES62" s="47">
        <f t="shared" si="127"/>
        <v>264.7520833333333</v>
      </c>
      <c r="ET62" s="47">
        <f t="shared" si="128"/>
        <v>0</v>
      </c>
      <c r="EU62" s="47">
        <f t="shared" si="129"/>
        <v>233.7520833333333</v>
      </c>
      <c r="EV62" s="47">
        <f t="shared" si="130"/>
        <v>0</v>
      </c>
      <c r="EW62" s="47">
        <f t="shared" si="131"/>
        <v>202.7520833333333</v>
      </c>
      <c r="EX62" s="47">
        <f t="shared" si="132"/>
        <v>0</v>
      </c>
      <c r="EY62" s="47">
        <f t="shared" si="133"/>
        <v>171.7520833333333</v>
      </c>
      <c r="EZ62" s="47">
        <f t="shared" si="134"/>
        <v>0</v>
      </c>
      <c r="FA62" s="47">
        <f t="shared" si="135"/>
        <v>536.62812499999995</v>
      </c>
      <c r="FB62" s="47">
        <f t="shared" si="136"/>
        <v>0</v>
      </c>
      <c r="FC62" s="47">
        <f t="shared" si="137"/>
        <v>490.12812499999995</v>
      </c>
      <c r="FD62" s="47">
        <f t="shared" si="138"/>
        <v>0</v>
      </c>
      <c r="FE62" s="47">
        <f t="shared" si="139"/>
        <v>443.62812499999995</v>
      </c>
      <c r="FF62" s="47">
        <f t="shared" si="140"/>
        <v>0</v>
      </c>
      <c r="FG62" s="47">
        <f t="shared" si="141"/>
        <v>397.12812499999995</v>
      </c>
      <c r="FH62" s="47">
        <f t="shared" si="142"/>
        <v>0</v>
      </c>
      <c r="FI62" s="47">
        <f t="shared" si="143"/>
        <v>350.62812499999995</v>
      </c>
      <c r="FJ62" s="47">
        <f t="shared" si="144"/>
        <v>0</v>
      </c>
      <c r="FK62" s="47">
        <f t="shared" si="145"/>
        <v>304.12812499999995</v>
      </c>
      <c r="FL62" s="47">
        <f t="shared" si="146"/>
        <v>0</v>
      </c>
      <c r="FM62" s="47">
        <f t="shared" si="147"/>
        <v>257.62812499999995</v>
      </c>
      <c r="FN62" s="47">
        <f t="shared" si="148"/>
        <v>0</v>
      </c>
      <c r="FO62" s="546">
        <f t="shared" ca="1" si="149"/>
        <v>816.16649432622739</v>
      </c>
      <c r="FP62" s="546">
        <f t="shared" ca="1" si="150"/>
        <v>868.45558282059596</v>
      </c>
      <c r="FQ62" s="546">
        <f t="shared" ca="1" si="151"/>
        <v>2541.3411729901331</v>
      </c>
      <c r="FR62" s="546">
        <f t="shared" ca="1" si="152"/>
        <v>76657.60416991885</v>
      </c>
      <c r="FS62" s="546">
        <f t="shared" ca="1" si="153"/>
        <v>1438414.7650979788</v>
      </c>
      <c r="FT62" s="546">
        <f t="shared" ca="1" si="154"/>
        <v>6547484.6079694703</v>
      </c>
      <c r="FU62" s="546">
        <f t="shared" si="155"/>
        <v>37.249470078765228</v>
      </c>
      <c r="FV62" s="546">
        <f t="shared" si="156"/>
        <v>69.601231290114384</v>
      </c>
      <c r="FW62" s="546">
        <f t="shared" si="157"/>
        <v>475.7213642631354</v>
      </c>
      <c r="FX62" s="546">
        <f t="shared" ca="1" si="158"/>
        <v>780.56249970038641</v>
      </c>
      <c r="FY62" s="546">
        <f t="shared" ca="1" si="159"/>
        <v>3102.4494204037892</v>
      </c>
      <c r="FZ62" s="546">
        <f t="shared" ca="1" si="160"/>
        <v>75046.437956551323</v>
      </c>
      <c r="GA62" s="546">
        <f t="shared" si="161"/>
        <v>115761.93482558509</v>
      </c>
      <c r="GB62" s="546">
        <f t="shared" si="162"/>
        <v>27.060704361090778</v>
      </c>
      <c r="GC62" s="546">
        <f t="shared" si="163"/>
        <v>53.674450434839741</v>
      </c>
      <c r="GD62" s="546">
        <f t="shared" si="164"/>
        <v>402.22139866062031</v>
      </c>
    </row>
    <row r="63" spans="1:186">
      <c r="A63" s="4">
        <v>44228</v>
      </c>
      <c r="B63" s="6">
        <v>2021</v>
      </c>
      <c r="C63" s="5">
        <v>2</v>
      </c>
      <c r="D63" s="7">
        <v>82639101.125377119</v>
      </c>
      <c r="E63" s="7">
        <f ca="1">IFERROR(VLOOKUP($B63-1,CDM!$V$4:$AJ$17,2,FALSE)/12,0)+IFERROR(VLOOKUP($B63,CDM!$V$41:$AJ$54,2,FALSE)/24,0)+IFERROR(VLOOKUP($B63,CDM!$V$41:$AJ$54,2,FALSE)/2*$C63/78,0)</f>
        <v>3839482.6539707696</v>
      </c>
      <c r="F63" s="7">
        <f t="shared" ca="1" si="165"/>
        <v>86478583.779347882</v>
      </c>
      <c r="G63" s="7">
        <f>IFERROR(HLOOKUP(B63-1,'EV Forecast VRZ'!$F$124:$T$130,2,FALSE)/12,0)+IFERROR(((HLOOKUP(B63,'EV Forecast VRZ'!$F$116:$T$122,2,FALSE)-HLOOKUP(B63-1,'EV Forecast VRZ'!$F$124:$T$130,2,FALSE)))*C63/78,0)</f>
        <v>277632.83724665601</v>
      </c>
      <c r="H63" s="7">
        <f ca="1">HLOOKUP(B63,Heating!$C$102:$O$106,2,FALSE)*INDEX(Weather!$BO$1:$CB$20,MATCH(B63,Weather!$BO$1:$BO$20,0),MATCH(C63,Weather!$BO$1:$CB$1,0))/VLOOKUP(B63,Weather!$BO$2:$CB$20,14,FALSE)*
VLOOKUP('Monthly Data'!$B63,Weather!$BO$3:$CB$20,14,FALSE)/Weather!$CB$14</f>
        <v>962672.04931952129</v>
      </c>
      <c r="I63" s="7">
        <f t="shared" ca="1" si="166"/>
        <v>85238278.892781705</v>
      </c>
      <c r="J63" s="7">
        <v>1283763.8936653312</v>
      </c>
      <c r="K63" s="7">
        <f ca="1">IFERROR(VLOOKUP($B63-1,CDM!$V$4:$AJ$17,3,FALSE)/12,0)+IFERROR(VLOOKUP($B63,CDM!$V$41:$AJ$54,3,FALSE)/24,0)+IFERROR(VLOOKUP($B63,CDM!$V$41:$AJ$54,3,FALSE)/2*$C63/78,0)</f>
        <v>43976.68016120122</v>
      </c>
      <c r="L63" s="7">
        <f t="shared" ca="1" si="167"/>
        <v>1327740.5738265323</v>
      </c>
      <c r="M63" s="7">
        <f>IFERROR(HLOOKUP(B63-1,'EV Forecast VRZ'!$F$124:$T$130,3,FALSE)/12,0)+IFERROR(((HLOOKUP(B63,'EV Forecast VRZ'!$F$116:$T$122,3,FALSE)-HLOOKUP(B63-1,'EV Forecast VRZ'!$F$124:$T$130,3,FALSE)))*C63/78,0)</f>
        <v>3767.2392918055152</v>
      </c>
      <c r="N63" s="7">
        <f ca="1">HLOOKUP(B63,Heating!$C$102:$O$106,3,FALSE)*INDEX(Weather!$BO$1:$CB$20,MATCH(B63,Weather!$BO$1:$BO$20,0),MATCH(C63,Weather!$BO$1:$CB$1,0))/VLOOKUP(B63,Weather!$BO$2:$CB$20,14,FALSE)*
VLOOKUP('Monthly Data'!$B63,Weather!$BO$3:$CB$20,14,FALSE)/Weather!$CB$14</f>
        <v>12037.023037169447</v>
      </c>
      <c r="O63" s="7">
        <f t="shared" ca="1" si="168"/>
        <v>1311936.3114975574</v>
      </c>
      <c r="P63" s="7">
        <v>21496338.570416048</v>
      </c>
      <c r="Q63" s="7">
        <f ca="1">IFERROR(VLOOKUP($B63-1,CDM!$V$4:$AJ$17,4,FALSE)/12,0)+IFERROR(VLOOKUP($B63,CDM!$V$41:$AJ$54,4,FALSE)/24,0)+IFERROR(VLOOKUP($B63,CDM!$V$41:$AJ$54,4,FALSE)/2*$C63/78,0)</f>
        <v>1388031.0657556301</v>
      </c>
      <c r="R63" s="7">
        <f t="shared" ca="1" si="169"/>
        <v>22884369.63617168</v>
      </c>
      <c r="S63" s="7">
        <f>IFERROR(HLOOKUP(B63-1,'EV Forecast VRZ'!$F$124:$T$130,4,FALSE)/12,0)+IFERROR(((HLOOKUP(B63,'EV Forecast VRZ'!$F$116:$T$122,4,FALSE)-HLOOKUP(B63-1,'EV Forecast VRZ'!$F$124:$T$130,4,FALSE)))*C63/78,0)</f>
        <v>34440.959230769236</v>
      </c>
      <c r="T63" s="7">
        <f ca="1">HLOOKUP(B63,Heating!$C$102:$O$106,4,FALSE)*INDEX(Weather!$BO$1:$CB$20,MATCH(B63,Weather!$BO$1:$BO$20,0),MATCH(C63,Weather!$BO$1:$CB$1,0))/VLOOKUP(B63,Weather!$BO$2:$CB$20,14,FALSE)*
VLOOKUP('Monthly Data'!$B63,Weather!$BO$3:$CB$20,14,FALSE)/Weather!$CB$14</f>
        <v>235773.59016858294</v>
      </c>
      <c r="U63" s="7">
        <f t="shared" ca="1" si="170"/>
        <v>22614155.086772326</v>
      </c>
      <c r="V63" s="7">
        <v>70447338.964920104</v>
      </c>
      <c r="W63" s="7">
        <f ca="1">IFERROR(VLOOKUP($B63-1,CDM!$V$4:$AJ$17,5,FALSE)/12,0)+IFERROR(VLOOKUP($B63,CDM!$V$41:$AJ$54,5,FALSE)/24,0)+IFERROR(VLOOKUP($B63,CDM!$V$41:$AJ$54,5,FALSE)/2*$C63/78,0)</f>
        <v>5154166.9893799024</v>
      </c>
      <c r="X63" s="7">
        <f t="shared" ca="1" si="171"/>
        <v>75601505.954300001</v>
      </c>
      <c r="Y63" s="7">
        <f>IFERROR(HLOOKUP(B63-1,'EV Forecast VRZ'!$F$124:$T$130,5,FALSE)/12,0)+IFERROR(((HLOOKUP(B63,'EV Forecast VRZ'!$F$116:$T$122,5,FALSE)-HLOOKUP(B63-1,'EV Forecast VRZ'!$F$124:$T$130,5,FALSE)))*C63/78,0)</f>
        <v>15606.508576923075</v>
      </c>
      <c r="Z63" s="7">
        <f ca="1">HLOOKUP(B63,Heating!$C$102:$O$106,5,FALSE)*INDEX(Weather!$BO$1:$CB$20,MATCH(B63,Weather!$BO$1:$BO$20,0),MATCH(C63,Weather!$BO$1:$CB$1,0))/VLOOKUP(B63,Weather!$BO$2:$CB$20,14,FALSE)*
VLOOKUP('Monthly Data'!$B63,Weather!$BO$3:$CB$20,14,FALSE)/Weather!$CB$14</f>
        <v>127846.41639267781</v>
      </c>
      <c r="AA63" s="7">
        <f t="shared" ca="1" si="172"/>
        <v>75458053.029330388</v>
      </c>
      <c r="AB63" s="7">
        <v>7473931.0135369645</v>
      </c>
      <c r="AC63" s="7">
        <f ca="1">IFERROR(VLOOKUP($B63-1,CDM!$V$4:$AJ$17,6,FALSE)/12,0)+IFERROR(VLOOKUP($B63,CDM!$V$41:$AJ$54,6,FALSE)/24,0)+IFERROR(VLOOKUP($B63,CDM!$V$41:$AJ$54,6,FALSE)/2*$C63/78,0)</f>
        <v>237218.26531572847</v>
      </c>
      <c r="AD63" s="7">
        <f t="shared" ca="1" si="173"/>
        <v>7711149.2788526928</v>
      </c>
      <c r="AE63" s="7">
        <f>IFERROR(HLOOKUP(B63-1,'EV Forecast VRZ'!$F$124:$T$130,6,FALSE)/12,0)+IFERROR(((HLOOKUP(B63,'EV Forecast VRZ'!$F$116:$T$122,6,FALSE)-HLOOKUP(B63-1,'EV Forecast VRZ'!$F$124:$T$130,6,FALSE)))*C63/78,0)</f>
        <v>2154.3556538461535</v>
      </c>
      <c r="AF63" s="7">
        <f t="shared" ca="1" si="174"/>
        <v>7708994.9231988471</v>
      </c>
      <c r="AG63" s="7">
        <v>22453066.100427002</v>
      </c>
      <c r="AH63" s="7">
        <f ca="1">IFERROR(VLOOKUP($B63-1,CDM!$V$4:$AJ$17,7,FALSE)/12,0)+IFERROR(VLOOKUP($B63,CDM!$V$41:$AJ$54,7,FALSE)/24,0)+IFERROR(VLOOKUP($B63,CDM!$V$41:$AJ$54,7,FALSE)/2*$C63/78,0)</f>
        <v>1688842.7351978475</v>
      </c>
      <c r="AI63" s="7">
        <f t="shared" ca="1" si="175"/>
        <v>24141908.835624848</v>
      </c>
      <c r="AJ63" s="7">
        <f>IFERROR(HLOOKUP(B63-1,'EV Forecast VRZ'!$F$124:$T$130,7,FALSE)/12,0)+IFERROR(((HLOOKUP(B63,'EV Forecast VRZ'!$F$116:$T$122,7,FALSE)-HLOOKUP(B63-1,'EV Forecast VRZ'!$F$124:$T$130,7,FALSE)))*C63/78,0)</f>
        <v>0</v>
      </c>
      <c r="AK63" s="7">
        <f t="shared" ca="1" si="176"/>
        <v>24141908.835624848</v>
      </c>
      <c r="AL63" s="7">
        <v>1036848.8647204732</v>
      </c>
      <c r="AM63" s="7">
        <v>1465.7126502575845</v>
      </c>
      <c r="AN63" s="7">
        <v>380338.01755390194</v>
      </c>
      <c r="AO63" s="5">
        <v>175204.86</v>
      </c>
      <c r="AP63" s="5">
        <v>17475.900000000001</v>
      </c>
      <c r="AQ63" s="5">
        <v>38442</v>
      </c>
      <c r="AR63" s="5">
        <v>2743.06</v>
      </c>
      <c r="AS63" s="544">
        <f t="shared" ref="AS63:AS73" si="186">632/12</f>
        <v>52.666666666666664</v>
      </c>
      <c r="AT63" s="557">
        <v>112773.16666666666</v>
      </c>
      <c r="AU63" s="557">
        <v>1560.3333333333335</v>
      </c>
      <c r="AV63" s="557">
        <v>9294.8333333333321</v>
      </c>
      <c r="AW63" s="557">
        <v>1045.8333333333335</v>
      </c>
      <c r="AX63" s="557">
        <v>5.1666666666666661</v>
      </c>
      <c r="AY63" s="557">
        <v>4</v>
      </c>
      <c r="AZ63" s="557">
        <v>31632.666666666664</v>
      </c>
      <c r="BA63" s="557">
        <v>250.33333333333331</v>
      </c>
      <c r="BB63" s="557">
        <v>800.5</v>
      </c>
      <c r="BC63" s="560">
        <v>28565518.815658789</v>
      </c>
      <c r="BD63" s="560">
        <f ca="1">IFERROR(VLOOKUP($B63-1,CDM!$V$4:$AJ$17,11,FALSE)/12,0)+IFERROR(VLOOKUP($B63,CDM!$V$41:$AJ$54,11,FALSE)/24,0)+IFERROR(VLOOKUP($B63,CDM!$V$41:$AJ$54,11,FALSE)/2*$C63/78,0)</f>
        <v>1774634.3522373466</v>
      </c>
      <c r="BE63" s="560">
        <f t="shared" ca="1" si="119"/>
        <v>30340153.167896137</v>
      </c>
      <c r="BF63" s="560">
        <f>IFERROR(HLOOKUP(B63-1,'EV Forecast WRZ'!$F$124:$T$130,2,FALSE)/12,0)+IFERROR(((HLOOKUP(B63,'EV Forecast WRZ'!$F$116:$T$122,2,FALSE)-HLOOKUP(B63-1,'EV Forecast WRZ'!$F$124:$T$130,2,FALSE)))*C63/78,0)</f>
        <v>87879.87269230769</v>
      </c>
      <c r="BG63" s="560">
        <f ca="1">HLOOKUP(B63,Heating!$R$102:$AD$106,2,FALSE)*INDEX(Weather!$BO$1:$CB$20,MATCH(B63,Weather!$BO$1:$BO$20,0),MATCH(C63,Weather!$BO$1:$CB$1,0))/VLOOKUP(B63,Weather!$BO$2:$CB$20,14,FALSE)*
VLOOKUP('Monthly Data'!$B63,Weather!$BO$3:$CB$20,14,FALSE)/Weather!$CB$14</f>
        <v>408165.66093686671</v>
      </c>
      <c r="BH63" s="560">
        <f t="shared" ca="1" si="177"/>
        <v>29844107.634266961</v>
      </c>
      <c r="BI63" s="560">
        <v>6640722.1959345508</v>
      </c>
      <c r="BJ63" s="560">
        <f ca="1">IFERROR(VLOOKUP($B63-1,CDM!$V$4:$AJ$17,12,FALSE)/12,0)+IFERROR(VLOOKUP($B63,CDM!$V$41:$AJ$54,12,FALSE)/24,0)+IFERROR(VLOOKUP($B63,CDM!$V$41:$AJ$54,12,FALSE)/2*$C63/78,0)</f>
        <v>226516.95075519884</v>
      </c>
      <c r="BK63" s="560">
        <f t="shared" ca="1" si="178"/>
        <v>6867239.1466897493</v>
      </c>
      <c r="BL63" s="560">
        <f>IFERROR(HLOOKUP(B63-1,'EV Forecast WRZ'!$F$124:$T$130,3,FALSE)/12,0)+IFERROR(((HLOOKUP(B63,'EV Forecast WRZ'!$F$116:$T$122,3,FALSE)-HLOOKUP(B63-1,'EV Forecast WRZ'!$F$124:$T$130,3,FALSE)))*C63/78,0)</f>
        <v>10802.043846153847</v>
      </c>
      <c r="BM63" s="560">
        <f ca="1">HLOOKUP(B63,Heating!$R$102:$AD$106,4,FALSE)*INDEX(Weather!$BO$1:$CB$20,MATCH(B63,Weather!$BO$1:$BO$20,0),MATCH(C63,Weather!$BO$1:$CB$1,0))/VLOOKUP(B63,Weather!$BO$2:$CB$20,14,FALSE)*
VLOOKUP('Monthly Data'!$B63,Weather!$BO$3:$CB$20,14,FALSE)/Weather!$CB$14</f>
        <v>61646.787654392676</v>
      </c>
      <c r="BN63" s="560">
        <f t="shared" ca="1" si="179"/>
        <v>6794790.3151892032</v>
      </c>
      <c r="BO63" s="560">
        <v>25347446.258781146</v>
      </c>
      <c r="BP63" s="560">
        <f ca="1">IFERROR(VLOOKUP($B63-1,CDM!$V$4:$AJ$17,13,FALSE)/12,0)+IFERROR(VLOOKUP($B63,CDM!$V$41:$AJ$54,13,FALSE)/24,0)+IFERROR(VLOOKUP($B63,CDM!$V$41:$AJ$54,13,FALSE)/2*$C63/78,0)</f>
        <v>2036003.2995144497</v>
      </c>
      <c r="BQ63" s="560">
        <f t="shared" ca="1" si="180"/>
        <v>27383449.558295596</v>
      </c>
      <c r="BR63" s="560">
        <f>IFERROR(HLOOKUP(B63-1,'EV Forecast WRZ'!$F$124:$T$130,4,FALSE)/12,0)+IFERROR(((HLOOKUP(B63,'EV Forecast WRZ'!$F$116:$T$122,4,FALSE)-HLOOKUP(B63-1,'EV Forecast WRZ'!$F$124:$T$130,4,FALSE)))*C63/78,0)</f>
        <v>4898.4197307692311</v>
      </c>
      <c r="BS63" s="560">
        <f ca="1">HLOOKUP(B63,Heating!$R$102:$AD$106,5,FALSE)*INDEX(Weather!$BO$1:$CB$20,MATCH(B63,Weather!$BO$1:$BO$20,0),MATCH(C63,Weather!$BO$1:$CB$1,0))/VLOOKUP(B63,Weather!$BO$2:$CB$20,14,FALSE)*
VLOOKUP('Monthly Data'!$B63,Weather!$BO$3:$CB$20,14,FALSE)/Weather!$CB$14</f>
        <v>37723.938421507679</v>
      </c>
      <c r="BT63" s="560">
        <f t="shared" ca="1" si="181"/>
        <v>27340827.200143322</v>
      </c>
      <c r="BU63" s="560">
        <v>6904914.9951783996</v>
      </c>
      <c r="BV63" s="560">
        <f ca="1">IFERROR(VLOOKUP($B63-1,CDM!$V$4:$AJ$17,14,FALSE)/12,0)+IFERROR(VLOOKUP($B63,CDM!$V$41:$AJ$54,14,FALSE)/24,0)+IFERROR(VLOOKUP($B63,CDM!$V$41:$AJ$54,14,FALSE)/2*$C63/78,0)</f>
        <v>457767.01569866517</v>
      </c>
      <c r="BW63" s="560">
        <f t="shared" ca="1" si="182"/>
        <v>7362682.0108770644</v>
      </c>
      <c r="BX63" s="560">
        <f>IFERROR(HLOOKUP(B63-1,'EV Forecast WRZ'!$F$124:$T$130,5,FALSE)/12,0)+IFERROR(((HLOOKUP(B63,'EV Forecast WRZ'!$F$116:$T$122,5,FALSE)-HLOOKUP(B63-1,'EV Forecast WRZ'!$F$124:$T$130,5,FALSE)))*C63/78,0)</f>
        <v>690.10219230769235</v>
      </c>
      <c r="BY63" s="560">
        <f t="shared" ca="1" si="120"/>
        <v>7361991.9086847566</v>
      </c>
      <c r="BZ63" s="560">
        <v>288716.39563803328</v>
      </c>
      <c r="CA63" s="560">
        <v>2226.9596326764868</v>
      </c>
      <c r="CB63" s="560">
        <v>166678.97455519417</v>
      </c>
      <c r="CC63" s="5">
        <v>61656.51</v>
      </c>
      <c r="CD63" s="5">
        <v>13007.09</v>
      </c>
      <c r="CE63" s="5">
        <v>768.38</v>
      </c>
      <c r="CF63" s="544">
        <f t="shared" ref="CF63:CF73" si="187">71/12</f>
        <v>5.916666666666667</v>
      </c>
      <c r="CG63" s="565">
        <v>42453.5</v>
      </c>
      <c r="CH63" s="565">
        <v>2307.5</v>
      </c>
      <c r="CI63" s="565">
        <v>387.5</v>
      </c>
      <c r="CJ63" s="565">
        <v>3</v>
      </c>
      <c r="CK63" s="565">
        <v>12868.166666666668</v>
      </c>
      <c r="CL63" s="565">
        <v>38.666666666666671</v>
      </c>
      <c r="CM63" s="565">
        <v>391.16666666666663</v>
      </c>
      <c r="CN63" s="46">
        <f>Weather!C87</f>
        <v>709.45416666666654</v>
      </c>
      <c r="CO63" s="46">
        <f>Weather!D87</f>
        <v>0</v>
      </c>
      <c r="CP63" s="46">
        <f>Weather!E87</f>
        <v>653.45416666666654</v>
      </c>
      <c r="CQ63" s="46">
        <f>Weather!F87</f>
        <v>0</v>
      </c>
      <c r="CR63" s="46">
        <f>Weather!G87</f>
        <v>597.45416666666665</v>
      </c>
      <c r="CS63" s="46">
        <f>Weather!H87</f>
        <v>0</v>
      </c>
      <c r="CT63" s="46">
        <f>Weather!I87</f>
        <v>541.45416666666677</v>
      </c>
      <c r="CU63" s="46">
        <f>Weather!J87</f>
        <v>0</v>
      </c>
      <c r="CV63" s="46">
        <f>Weather!K87</f>
        <v>485.45416666666677</v>
      </c>
      <c r="CW63" s="46">
        <f>Weather!L87</f>
        <v>0</v>
      </c>
      <c r="CX63" s="46">
        <f>Weather!M87</f>
        <v>429.45416666666677</v>
      </c>
      <c r="CY63" s="46">
        <f>Weather!N87</f>
        <v>0</v>
      </c>
      <c r="CZ63" s="46">
        <f>Weather!O87</f>
        <v>373.45416666666665</v>
      </c>
      <c r="DA63" s="46">
        <f>Weather!P87</f>
        <v>0</v>
      </c>
      <c r="DB63" s="243">
        <f>'Economic Data'!D89</f>
        <v>7209.5</v>
      </c>
      <c r="DC63" s="243">
        <f>'Economic Data'!E89</f>
        <v>7151.3</v>
      </c>
      <c r="DD63" s="243">
        <f>'Economic Data'!F89</f>
        <v>208.2</v>
      </c>
      <c r="DE63" s="243">
        <f>'Economic Data'!G89</f>
        <v>207.5</v>
      </c>
      <c r="DF63" s="243">
        <f>'Economic Data'!H89</f>
        <v>56.2</v>
      </c>
      <c r="DG63" s="243">
        <f>'Economic Data'!I89</f>
        <v>56.2</v>
      </c>
      <c r="DH63" s="243">
        <f>'Economic Data'!J89</f>
        <v>817265.5</v>
      </c>
      <c r="DI63" s="243">
        <f>'Economic Data'!K89</f>
        <v>634181.69999999995</v>
      </c>
      <c r="DJ63" s="243">
        <f>'Economic Data'!L89</f>
        <v>92312.5</v>
      </c>
      <c r="DK63" s="243">
        <f>'Economic Data'!M89</f>
        <v>25225.4</v>
      </c>
      <c r="DL63" s="243">
        <f>'Economic Data'!N89</f>
        <v>809994</v>
      </c>
      <c r="DM63" s="243">
        <f>'Economic Data'!O89</f>
        <v>92073</v>
      </c>
      <c r="DN63" s="243">
        <f>'Economic Data'!P89</f>
        <v>15760</v>
      </c>
      <c r="DO63" s="243">
        <f>'Economic Data'!Q89</f>
        <v>622909</v>
      </c>
      <c r="DP63" s="243">
        <f>'Economic Data'!R89</f>
        <v>23141</v>
      </c>
      <c r="DQ63">
        <v>28</v>
      </c>
      <c r="DR63">
        <v>19</v>
      </c>
      <c r="DS63">
        <v>0</v>
      </c>
      <c r="DT63">
        <v>1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f t="shared" si="185"/>
        <v>62</v>
      </c>
      <c r="EI63">
        <v>1</v>
      </c>
      <c r="EJ63">
        <v>0.5</v>
      </c>
      <c r="EK63">
        <v>0.75</v>
      </c>
      <c r="EL63">
        <v>0</v>
      </c>
      <c r="EM63" s="47">
        <f t="shared" si="121"/>
        <v>354.72708333333327</v>
      </c>
      <c r="EN63" s="47">
        <f t="shared" si="122"/>
        <v>0</v>
      </c>
      <c r="EO63" s="47">
        <f t="shared" si="123"/>
        <v>326.72708333333327</v>
      </c>
      <c r="EP63" s="47">
        <f t="shared" si="124"/>
        <v>0</v>
      </c>
      <c r="EQ63" s="47">
        <f t="shared" si="125"/>
        <v>298.72708333333333</v>
      </c>
      <c r="ER63" s="47">
        <f t="shared" si="126"/>
        <v>0</v>
      </c>
      <c r="ES63" s="47">
        <f t="shared" si="127"/>
        <v>270.72708333333338</v>
      </c>
      <c r="ET63" s="47">
        <f t="shared" si="128"/>
        <v>0</v>
      </c>
      <c r="EU63" s="47">
        <f t="shared" si="129"/>
        <v>242.72708333333338</v>
      </c>
      <c r="EV63" s="47">
        <f t="shared" si="130"/>
        <v>0</v>
      </c>
      <c r="EW63" s="47">
        <f t="shared" si="131"/>
        <v>214.72708333333338</v>
      </c>
      <c r="EX63" s="47">
        <f t="shared" si="132"/>
        <v>0</v>
      </c>
      <c r="EY63" s="47">
        <f t="shared" si="133"/>
        <v>186.72708333333333</v>
      </c>
      <c r="EZ63" s="47">
        <f t="shared" si="134"/>
        <v>0</v>
      </c>
      <c r="FA63" s="47">
        <f t="shared" si="135"/>
        <v>532.09062499999993</v>
      </c>
      <c r="FB63" s="47">
        <f t="shared" si="136"/>
        <v>0</v>
      </c>
      <c r="FC63" s="47">
        <f t="shared" si="137"/>
        <v>490.09062499999993</v>
      </c>
      <c r="FD63" s="47">
        <f t="shared" si="138"/>
        <v>0</v>
      </c>
      <c r="FE63" s="47">
        <f t="shared" si="139"/>
        <v>448.09062499999999</v>
      </c>
      <c r="FF63" s="47">
        <f t="shared" si="140"/>
        <v>0</v>
      </c>
      <c r="FG63" s="47">
        <f t="shared" si="141"/>
        <v>406.09062500000005</v>
      </c>
      <c r="FH63" s="47">
        <f t="shared" si="142"/>
        <v>0</v>
      </c>
      <c r="FI63" s="47">
        <f t="shared" si="143"/>
        <v>364.09062500000005</v>
      </c>
      <c r="FJ63" s="47">
        <f t="shared" si="144"/>
        <v>0</v>
      </c>
      <c r="FK63" s="47">
        <f t="shared" si="145"/>
        <v>322.09062500000005</v>
      </c>
      <c r="FL63" s="47">
        <f t="shared" si="146"/>
        <v>0</v>
      </c>
      <c r="FM63" s="47">
        <f t="shared" si="147"/>
        <v>280.09062499999999</v>
      </c>
      <c r="FN63" s="47">
        <f t="shared" si="148"/>
        <v>0</v>
      </c>
      <c r="FO63" s="546">
        <f t="shared" ca="1" si="149"/>
        <v>755.83830278285802</v>
      </c>
      <c r="FP63" s="546">
        <f t="shared" ca="1" si="150"/>
        <v>850.93392896381044</v>
      </c>
      <c r="FQ63" s="546">
        <f t="shared" ca="1" si="151"/>
        <v>2462.0527141786674</v>
      </c>
      <c r="FR63" s="546">
        <f t="shared" ca="1" si="152"/>
        <v>72288.292545944219</v>
      </c>
      <c r="FS63" s="546">
        <f t="shared" ca="1" si="153"/>
        <v>1492480.5055843922</v>
      </c>
      <c r="FT63" s="546">
        <f t="shared" ca="1" si="154"/>
        <v>6035477.2089062119</v>
      </c>
      <c r="FU63" s="546">
        <f t="shared" si="155"/>
        <v>32.777788722221963</v>
      </c>
      <c r="FV63" s="546">
        <f t="shared" si="156"/>
        <v>5.8550438758625223</v>
      </c>
      <c r="FW63" s="546">
        <f t="shared" si="157"/>
        <v>475.12556846208861</v>
      </c>
      <c r="FX63" s="546">
        <f t="shared" ca="1" si="158"/>
        <v>714.6678876393263</v>
      </c>
      <c r="FY63" s="546">
        <f t="shared" ca="1" si="159"/>
        <v>2976.0516345351025</v>
      </c>
      <c r="FZ63" s="546">
        <f t="shared" ca="1" si="160"/>
        <v>70666.966602053159</v>
      </c>
      <c r="GA63" s="546">
        <f t="shared" si="161"/>
        <v>96238.798546011094</v>
      </c>
      <c r="GB63" s="546">
        <f t="shared" si="162"/>
        <v>22.436482454483279</v>
      </c>
      <c r="GC63" s="546">
        <f t="shared" si="163"/>
        <v>57.593783603702235</v>
      </c>
      <c r="GD63" s="546">
        <f t="shared" si="164"/>
        <v>426.10730606355565</v>
      </c>
    </row>
    <row r="64" spans="1:186">
      <c r="A64" s="4">
        <v>44256</v>
      </c>
      <c r="B64" s="6">
        <v>2021</v>
      </c>
      <c r="C64" s="5">
        <v>3</v>
      </c>
      <c r="D64" s="7">
        <v>78231418.402900591</v>
      </c>
      <c r="E64" s="7">
        <f ca="1">IFERROR(VLOOKUP($B64-1,CDM!$V$4:$AJ$17,2,FALSE)/12,0)+IFERROR(VLOOKUP($B64,CDM!$V$41:$AJ$54,2,FALSE)/24,0)+IFERROR(VLOOKUP($B64,CDM!$V$41:$AJ$54,2,FALSE)/2*$C64/78,0)</f>
        <v>3840422.3479392859</v>
      </c>
      <c r="F64" s="7">
        <f t="shared" ca="1" si="165"/>
        <v>82071840.750839874</v>
      </c>
      <c r="G64" s="7">
        <f>IFERROR(HLOOKUP(B64-1,'EV Forecast VRZ'!$F$124:$T$130,2,FALSE)/12,0)+IFERROR(((HLOOKUP(B64,'EV Forecast VRZ'!$F$116:$T$122,2,FALSE)-HLOOKUP(B64-1,'EV Forecast VRZ'!$F$124:$T$130,2,FALSE)))*C64/78,0)</f>
        <v>287039.03071116435</v>
      </c>
      <c r="H64" s="7">
        <f ca="1">HLOOKUP(B64,Heating!$C$102:$O$106,2,FALSE)*INDEX(Weather!$BO$1:$CB$20,MATCH(B64,Weather!$BO$1:$BO$20,0),MATCH(C64,Weather!$BO$1:$CB$1,0))/VLOOKUP(B64,Weather!$BO$2:$CB$20,14,FALSE)*
VLOOKUP('Monthly Data'!$B64,Weather!$BO$3:$CB$20,14,FALSE)/Weather!$CB$14</f>
        <v>725695.52348495007</v>
      </c>
      <c r="I64" s="7">
        <f t="shared" ca="1" si="166"/>
        <v>81059106.19664377</v>
      </c>
      <c r="J64" s="7">
        <v>1081067.1783915283</v>
      </c>
      <c r="K64" s="7">
        <f ca="1">IFERROR(VLOOKUP($B64-1,CDM!$V$4:$AJ$17,3,FALSE)/12,0)+IFERROR(VLOOKUP($B64,CDM!$V$41:$AJ$54,3,FALSE)/24,0)+IFERROR(VLOOKUP($B64,CDM!$V$41:$AJ$54,3,FALSE)/2*$C64/78,0)</f>
        <v>43987.443231340403</v>
      </c>
      <c r="L64" s="7">
        <f t="shared" ca="1" si="167"/>
        <v>1125054.6216228688</v>
      </c>
      <c r="M64" s="7">
        <f>IFERROR(HLOOKUP(B64-1,'EV Forecast VRZ'!$F$124:$T$130,3,FALSE)/12,0)+IFERROR(((HLOOKUP(B64,'EV Forecast VRZ'!$F$116:$T$122,3,FALSE)-HLOOKUP(B64-1,'EV Forecast VRZ'!$F$124:$T$130,3,FALSE)))*C64/78,0)</f>
        <v>3894.8732631946359</v>
      </c>
      <c r="N64" s="7">
        <f ca="1">HLOOKUP(B64,Heating!$C$102:$O$106,3,FALSE)*INDEX(Weather!$BO$1:$CB$20,MATCH(B64,Weather!$BO$1:$BO$20,0),MATCH(C64,Weather!$BO$1:$CB$1,0))/VLOOKUP(B64,Weather!$BO$2:$CB$20,14,FALSE)*
VLOOKUP('Monthly Data'!$B64,Weather!$BO$3:$CB$20,14,FALSE)/Weather!$CB$14</f>
        <v>9073.9247496940407</v>
      </c>
      <c r="O64" s="7">
        <f t="shared" ca="1" si="168"/>
        <v>1112085.8236099801</v>
      </c>
      <c r="P64" s="7">
        <v>22204985.212154265</v>
      </c>
      <c r="Q64" s="7">
        <f ca="1">IFERROR(VLOOKUP($B64-1,CDM!$V$4:$AJ$17,4,FALSE)/12,0)+IFERROR(VLOOKUP($B64,CDM!$V$41:$AJ$54,4,FALSE)/24,0)+IFERROR(VLOOKUP($B64,CDM!$V$41:$AJ$54,4,FALSE)/2*$C64/78,0)</f>
        <v>1392418.9461984222</v>
      </c>
      <c r="R64" s="7">
        <f t="shared" ca="1" si="169"/>
        <v>23597404.158352688</v>
      </c>
      <c r="S64" s="7">
        <f>IFERROR(HLOOKUP(B64-1,'EV Forecast VRZ'!$F$124:$T$130,4,FALSE)/12,0)+IFERROR(((HLOOKUP(B64,'EV Forecast VRZ'!$F$116:$T$122,4,FALSE)-HLOOKUP(B64-1,'EV Forecast VRZ'!$F$124:$T$130,4,FALSE)))*C64/78,0)</f>
        <v>35581.59051282052</v>
      </c>
      <c r="T64" s="7">
        <f ca="1">HLOOKUP(B64,Heating!$C$102:$O$106,4,FALSE)*INDEX(Weather!$BO$1:$CB$20,MATCH(B64,Weather!$BO$1:$BO$20,0),MATCH(C64,Weather!$BO$1:$CB$1,0))/VLOOKUP(B64,Weather!$BO$2:$CB$20,14,FALSE)*
VLOOKUP('Monthly Data'!$B64,Weather!$BO$3:$CB$20,14,FALSE)/Weather!$CB$14</f>
        <v>177734.29597572747</v>
      </c>
      <c r="U64" s="7">
        <f t="shared" ca="1" si="170"/>
        <v>23384088.271864142</v>
      </c>
      <c r="V64" s="7">
        <v>75581271.683287993</v>
      </c>
      <c r="W64" s="7">
        <f ca="1">IFERROR(VLOOKUP($B64-1,CDM!$V$4:$AJ$17,5,FALSE)/12,0)+IFERROR(VLOOKUP($B64,CDM!$V$41:$AJ$54,5,FALSE)/24,0)+IFERROR(VLOOKUP($B64,CDM!$V$41:$AJ$54,5,FALSE)/2*$C64/78,0)</f>
        <v>5190508.8667552052</v>
      </c>
      <c r="X64" s="7">
        <f t="shared" ca="1" si="171"/>
        <v>80771780.550043195</v>
      </c>
      <c r="Y64" s="7">
        <f>IFERROR(HLOOKUP(B64-1,'EV Forecast VRZ'!$F$124:$T$130,5,FALSE)/12,0)+IFERROR(((HLOOKUP(B64,'EV Forecast VRZ'!$F$116:$T$122,5,FALSE)-HLOOKUP(B64-1,'EV Forecast VRZ'!$F$124:$T$130,5,FALSE)))*C64/78,0)</f>
        <v>16121.331115384615</v>
      </c>
      <c r="Z64" s="7">
        <f ca="1">HLOOKUP(B64,Heating!$C$102:$O$106,5,FALSE)*INDEX(Weather!$BO$1:$CB$20,MATCH(B64,Weather!$BO$1:$BO$20,0),MATCH(C64,Weather!$BO$1:$CB$1,0))/VLOOKUP(B64,Weather!$BO$2:$CB$20,14,FALSE)*
VLOOKUP('Monthly Data'!$B64,Weather!$BO$3:$CB$20,14,FALSE)/Weather!$CB$14</f>
        <v>96375.05538396012</v>
      </c>
      <c r="AA64" s="7">
        <f t="shared" ca="1" si="172"/>
        <v>80659284.16354385</v>
      </c>
      <c r="AB64" s="7">
        <v>8270148.038875388</v>
      </c>
      <c r="AC64" s="7">
        <f ca="1">IFERROR(VLOOKUP($B64-1,CDM!$V$4:$AJ$17,6,FALSE)/12,0)+IFERROR(VLOOKUP($B64,CDM!$V$41:$AJ$54,6,FALSE)/24,0)+IFERROR(VLOOKUP($B64,CDM!$V$41:$AJ$54,6,FALSE)/2*$C64/78,0)</f>
        <v>238376.2246106714</v>
      </c>
      <c r="AD64" s="7">
        <f t="shared" ca="1" si="173"/>
        <v>8508524.2634860594</v>
      </c>
      <c r="AE64" s="7">
        <f>IFERROR(HLOOKUP(B64-1,'EV Forecast VRZ'!$F$124:$T$130,6,FALSE)/12,0)+IFERROR(((HLOOKUP(B64,'EV Forecast VRZ'!$F$116:$T$122,6,FALSE)-HLOOKUP(B64-1,'EV Forecast VRZ'!$F$124:$T$130,6,FALSE)))*C64/78,0)</f>
        <v>2217.5410641025637</v>
      </c>
      <c r="AF64" s="7">
        <f t="shared" ca="1" si="174"/>
        <v>8506306.7224219572</v>
      </c>
      <c r="AG64" s="7">
        <v>24538440.266886871</v>
      </c>
      <c r="AH64" s="7">
        <f ca="1">IFERROR(VLOOKUP($B64-1,CDM!$V$4:$AJ$17,7,FALSE)/12,0)+IFERROR(VLOOKUP($B64,CDM!$V$41:$AJ$54,7,FALSE)/24,0)+IFERROR(VLOOKUP($B64,CDM!$V$41:$AJ$54,7,FALSE)/2*$C64/78,0)</f>
        <v>1696021.3193237085</v>
      </c>
      <c r="AI64" s="7">
        <f t="shared" ca="1" si="175"/>
        <v>26234461.586210579</v>
      </c>
      <c r="AJ64" s="7">
        <f>IFERROR(HLOOKUP(B64-1,'EV Forecast VRZ'!$F$124:$T$130,7,FALSE)/12,0)+IFERROR(((HLOOKUP(B64,'EV Forecast VRZ'!$F$116:$T$122,7,FALSE)-HLOOKUP(B64-1,'EV Forecast VRZ'!$F$124:$T$130,7,FALSE)))*C64/78,0)</f>
        <v>0</v>
      </c>
      <c r="AK64" s="7">
        <f t="shared" ca="1" si="176"/>
        <v>26234461.586210579</v>
      </c>
      <c r="AL64" s="7">
        <v>963737.94123258919</v>
      </c>
      <c r="AM64" s="7">
        <v>33447.376454875033</v>
      </c>
      <c r="AN64" s="7">
        <v>380437.02537683648</v>
      </c>
      <c r="AO64" s="5">
        <v>176686.6</v>
      </c>
      <c r="AP64" s="5">
        <v>17882.349999999999</v>
      </c>
      <c r="AQ64" s="5">
        <v>38332</v>
      </c>
      <c r="AR64" s="5">
        <v>2572.77</v>
      </c>
      <c r="AS64" s="544">
        <f t="shared" si="186"/>
        <v>52.666666666666664</v>
      </c>
      <c r="AT64" s="557">
        <v>112836.74999999999</v>
      </c>
      <c r="AU64" s="557">
        <v>1560.0000000000002</v>
      </c>
      <c r="AV64" s="557">
        <v>9299.2499999999982</v>
      </c>
      <c r="AW64" s="557">
        <v>1047.2500000000002</v>
      </c>
      <c r="AX64" s="557">
        <v>5.2499999999999991</v>
      </c>
      <c r="AY64" s="557">
        <v>4</v>
      </c>
      <c r="AZ64" s="557">
        <v>31642.999999999996</v>
      </c>
      <c r="BA64" s="557">
        <v>249.99999999999997</v>
      </c>
      <c r="BB64" s="557">
        <v>800.75</v>
      </c>
      <c r="BC64" s="560">
        <v>27916587.718786966</v>
      </c>
      <c r="BD64" s="560">
        <f ca="1">IFERROR(VLOOKUP($B64-1,CDM!$V$4:$AJ$17,11,FALSE)/12,0)+IFERROR(VLOOKUP($B64,CDM!$V$41:$AJ$54,11,FALSE)/24,0)+IFERROR(VLOOKUP($B64,CDM!$V$41:$AJ$54,11,FALSE)/2*$C64/78,0)</f>
        <v>1757539.4748810064</v>
      </c>
      <c r="BE64" s="560">
        <f t="shared" ca="1" si="119"/>
        <v>29674127.193667971</v>
      </c>
      <c r="BF64" s="560">
        <f>IFERROR(HLOOKUP(B64-1,'EV Forecast WRZ'!$F$124:$T$130,2,FALSE)/12,0)+IFERROR(((HLOOKUP(B64,'EV Forecast WRZ'!$F$116:$T$122,2,FALSE)-HLOOKUP(B64-1,'EV Forecast WRZ'!$F$124:$T$130,2,FALSE)))*C64/78,0)</f>
        <v>91187.933205128211</v>
      </c>
      <c r="BG64" s="560">
        <f ca="1">HLOOKUP(B64,Heating!$R$102:$AD$106,2,FALSE)*INDEX(Weather!$BO$1:$CB$20,MATCH(B64,Weather!$BO$1:$BO$20,0),MATCH(C64,Weather!$BO$1:$CB$1,0))/VLOOKUP(B64,Weather!$BO$2:$CB$20,14,FALSE)*
VLOOKUP('Monthly Data'!$B64,Weather!$BO$3:$CB$20,14,FALSE)/Weather!$CB$14</f>
        <v>307689.40803001006</v>
      </c>
      <c r="BH64" s="560">
        <f t="shared" ca="1" si="177"/>
        <v>29275249.852432832</v>
      </c>
      <c r="BI64" s="560">
        <v>6743156.0372967282</v>
      </c>
      <c r="BJ64" s="560">
        <f ca="1">IFERROR(VLOOKUP($B64-1,CDM!$V$4:$AJ$17,12,FALSE)/12,0)+IFERROR(VLOOKUP($B64,CDM!$V$41:$AJ$54,12,FALSE)/24,0)+IFERROR(VLOOKUP($B64,CDM!$V$41:$AJ$54,12,FALSE)/2*$C64/78,0)</f>
        <v>227578.15272947901</v>
      </c>
      <c r="BK64" s="560">
        <f t="shared" ca="1" si="178"/>
        <v>6970734.1900262069</v>
      </c>
      <c r="BL64" s="560">
        <f>IFERROR(HLOOKUP(B64-1,'EV Forecast WRZ'!$F$124:$T$130,3,FALSE)/12,0)+IFERROR(((HLOOKUP(B64,'EV Forecast WRZ'!$F$116:$T$122,3,FALSE)-HLOOKUP(B64-1,'EV Forecast WRZ'!$F$124:$T$130,3,FALSE)))*C64/78,0)</f>
        <v>11191.227435897437</v>
      </c>
      <c r="BM64" s="560">
        <f ca="1">HLOOKUP(B64,Heating!$R$102:$AD$106,4,FALSE)*INDEX(Weather!$BO$1:$CB$20,MATCH(B64,Weather!$BO$1:$BO$20,0),MATCH(C64,Weather!$BO$1:$CB$1,0))/VLOOKUP(B64,Weather!$BO$2:$CB$20,14,FALSE)*
VLOOKUP('Monthly Data'!$B64,Weather!$BO$3:$CB$20,14,FALSE)/Weather!$CB$14</f>
        <v>46471.483065954715</v>
      </c>
      <c r="BN64" s="560">
        <f t="shared" ca="1" si="179"/>
        <v>6913071.4795243554</v>
      </c>
      <c r="BO64" s="560">
        <v>25992829.377364151</v>
      </c>
      <c r="BP64" s="560">
        <f ca="1">IFERROR(VLOOKUP($B64-1,CDM!$V$4:$AJ$17,13,FALSE)/12,0)+IFERROR(VLOOKUP($B64,CDM!$V$41:$AJ$54,13,FALSE)/24,0)+IFERROR(VLOOKUP($B64,CDM!$V$41:$AJ$54,13,FALSE)/2*$C64/78,0)</f>
        <v>2058426.1087052363</v>
      </c>
      <c r="BQ64" s="560">
        <f t="shared" ca="1" si="180"/>
        <v>28051255.486069389</v>
      </c>
      <c r="BR64" s="560">
        <f>IFERROR(HLOOKUP(B64-1,'EV Forecast WRZ'!$F$124:$T$130,4,FALSE)/12,0)+IFERROR(((HLOOKUP(B64,'EV Forecast WRZ'!$F$116:$T$122,4,FALSE)-HLOOKUP(B64-1,'EV Forecast WRZ'!$F$124:$T$130,4,FALSE)))*C64/78,0)</f>
        <v>5073.552346153846</v>
      </c>
      <c r="BS64" s="560">
        <f ca="1">HLOOKUP(B64,Heating!$R$102:$AD$106,5,FALSE)*INDEX(Weather!$BO$1:$CB$20,MATCH(B64,Weather!$BO$1:$BO$20,0),MATCH(C64,Weather!$BO$1:$CB$1,0))/VLOOKUP(B64,Weather!$BO$2:$CB$20,14,FALSE)*
VLOOKUP('Monthly Data'!$B64,Weather!$BO$3:$CB$20,14,FALSE)/Weather!$CB$14</f>
        <v>28437.610980874771</v>
      </c>
      <c r="BT64" s="560">
        <f t="shared" ca="1" si="181"/>
        <v>28017744.322742358</v>
      </c>
      <c r="BU64" s="560">
        <v>7218645.978784957</v>
      </c>
      <c r="BV64" s="560">
        <f ca="1">IFERROR(VLOOKUP($B64-1,CDM!$V$4:$AJ$17,14,FALSE)/12,0)+IFERROR(VLOOKUP($B64,CDM!$V$41:$AJ$54,14,FALSE)/24,0)+IFERROR(VLOOKUP($B64,CDM!$V$41:$AJ$54,14,FALSE)/2*$C64/78,0)</f>
        <v>462811.49698305468</v>
      </c>
      <c r="BW64" s="560">
        <f t="shared" ca="1" si="182"/>
        <v>7681457.475768012</v>
      </c>
      <c r="BX64" s="560">
        <f>IFERROR(HLOOKUP(B64-1,'EV Forecast WRZ'!$F$124:$T$130,5,FALSE)/12,0)+IFERROR(((HLOOKUP(B64,'EV Forecast WRZ'!$F$116:$T$122,5,FALSE)-HLOOKUP(B64-1,'EV Forecast WRZ'!$F$124:$T$130,5,FALSE)))*C64/78,0)</f>
        <v>709.56137179487189</v>
      </c>
      <c r="BY64" s="560">
        <f t="shared" ca="1" si="120"/>
        <v>7680747.9143962171</v>
      </c>
      <c r="BZ64" s="560">
        <v>287814.8459919648</v>
      </c>
      <c r="CA64" s="560">
        <v>2166.5076425943798</v>
      </c>
      <c r="CB64" s="560">
        <v>166678.97455519417</v>
      </c>
      <c r="CC64" s="5">
        <v>61229.64</v>
      </c>
      <c r="CD64" s="5">
        <v>12963.44</v>
      </c>
      <c r="CE64" s="5">
        <v>769.96</v>
      </c>
      <c r="CF64" s="544">
        <f t="shared" si="187"/>
        <v>5.916666666666667</v>
      </c>
      <c r="CG64" s="565">
        <v>42552.25</v>
      </c>
      <c r="CH64" s="565">
        <v>2311.75</v>
      </c>
      <c r="CI64" s="565">
        <v>388.25</v>
      </c>
      <c r="CJ64" s="565">
        <v>3</v>
      </c>
      <c r="CK64" s="565">
        <v>12902.750000000002</v>
      </c>
      <c r="CL64" s="565">
        <v>39.500000000000007</v>
      </c>
      <c r="CM64" s="565">
        <v>391.24999999999994</v>
      </c>
      <c r="CN64" s="46">
        <f>Weather!C88</f>
        <v>554.59637681159427</v>
      </c>
      <c r="CO64" s="46">
        <f>Weather!D88</f>
        <v>0</v>
      </c>
      <c r="CP64" s="46">
        <f>Weather!E88</f>
        <v>492.59637681159415</v>
      </c>
      <c r="CQ64" s="46">
        <f>Weather!F88</f>
        <v>0</v>
      </c>
      <c r="CR64" s="46">
        <f>Weather!G88</f>
        <v>430.59637681159427</v>
      </c>
      <c r="CS64" s="46">
        <f>Weather!H88</f>
        <v>0</v>
      </c>
      <c r="CT64" s="46">
        <f>Weather!I88</f>
        <v>368.59637681159427</v>
      </c>
      <c r="CU64" s="46">
        <f>Weather!J88</f>
        <v>0</v>
      </c>
      <c r="CV64" s="46">
        <f>Weather!K88</f>
        <v>306.89221014492756</v>
      </c>
      <c r="CW64" s="46">
        <f>Weather!L88</f>
        <v>0.29583333333332895</v>
      </c>
      <c r="CX64" s="46">
        <f>Weather!M88</f>
        <v>249.74637681159425</v>
      </c>
      <c r="CY64" s="46">
        <f>Weather!N88</f>
        <v>5.1499999999999932</v>
      </c>
      <c r="CZ64" s="46">
        <f>Weather!O88</f>
        <v>194.65054347826086</v>
      </c>
      <c r="DA64" s="46">
        <f>Weather!P88</f>
        <v>12.05416666666666</v>
      </c>
      <c r="DB64" s="243">
        <f>'Economic Data'!D90</f>
        <v>7237.4</v>
      </c>
      <c r="DC64" s="243">
        <f>'Economic Data'!E90</f>
        <v>7153.7</v>
      </c>
      <c r="DD64" s="243">
        <f>'Economic Data'!F90</f>
        <v>207.5</v>
      </c>
      <c r="DE64" s="243">
        <f>'Economic Data'!G90</f>
        <v>207.1</v>
      </c>
      <c r="DF64" s="243">
        <f>'Economic Data'!H90</f>
        <v>53</v>
      </c>
      <c r="DG64" s="243">
        <f>'Economic Data'!I90</f>
        <v>53</v>
      </c>
      <c r="DH64" s="243">
        <f>'Economic Data'!J90</f>
        <v>817265.5</v>
      </c>
      <c r="DI64" s="243">
        <f>'Economic Data'!K90</f>
        <v>634181.69999999995</v>
      </c>
      <c r="DJ64" s="243">
        <f>'Economic Data'!L90</f>
        <v>92312.5</v>
      </c>
      <c r="DK64" s="243">
        <f>'Economic Data'!M90</f>
        <v>25225.4</v>
      </c>
      <c r="DL64" s="243">
        <f>'Economic Data'!N90</f>
        <v>809994</v>
      </c>
      <c r="DM64" s="243">
        <f>'Economic Data'!O90</f>
        <v>92073</v>
      </c>
      <c r="DN64" s="243">
        <f>'Economic Data'!P90</f>
        <v>15760</v>
      </c>
      <c r="DO64" s="243">
        <f>'Economic Data'!Q90</f>
        <v>622909</v>
      </c>
      <c r="DP64" s="243">
        <f>'Economic Data'!R90</f>
        <v>23141</v>
      </c>
      <c r="DQ64">
        <v>31</v>
      </c>
      <c r="DR64">
        <v>23</v>
      </c>
      <c r="DS64">
        <v>0</v>
      </c>
      <c r="DT64">
        <v>0</v>
      </c>
      <c r="DU64">
        <v>1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1</v>
      </c>
      <c r="EF64">
        <v>0</v>
      </c>
      <c r="EG64">
        <v>1</v>
      </c>
      <c r="EH64">
        <f t="shared" si="185"/>
        <v>63</v>
      </c>
      <c r="EI64">
        <v>1</v>
      </c>
      <c r="EJ64">
        <v>0.5</v>
      </c>
      <c r="EK64">
        <v>0.75</v>
      </c>
      <c r="EL64">
        <v>0</v>
      </c>
      <c r="EM64" s="47">
        <f t="shared" si="121"/>
        <v>277.29818840579713</v>
      </c>
      <c r="EN64" s="47">
        <f t="shared" si="122"/>
        <v>0</v>
      </c>
      <c r="EO64" s="47">
        <f t="shared" si="123"/>
        <v>246.29818840579708</v>
      </c>
      <c r="EP64" s="47">
        <f t="shared" si="124"/>
        <v>0</v>
      </c>
      <c r="EQ64" s="47">
        <f t="shared" si="125"/>
        <v>215.29818840579713</v>
      </c>
      <c r="ER64" s="47">
        <f t="shared" si="126"/>
        <v>0</v>
      </c>
      <c r="ES64" s="47">
        <f t="shared" si="127"/>
        <v>184.29818840579713</v>
      </c>
      <c r="ET64" s="47">
        <f t="shared" si="128"/>
        <v>0</v>
      </c>
      <c r="EU64" s="47">
        <f t="shared" si="129"/>
        <v>153.44610507246378</v>
      </c>
      <c r="EV64" s="47">
        <f t="shared" si="130"/>
        <v>0.14791666666666448</v>
      </c>
      <c r="EW64" s="47">
        <f t="shared" si="131"/>
        <v>124.87318840579712</v>
      </c>
      <c r="EX64" s="47">
        <f t="shared" si="132"/>
        <v>2.5749999999999966</v>
      </c>
      <c r="EY64" s="47">
        <f t="shared" si="133"/>
        <v>97.325271739130429</v>
      </c>
      <c r="EZ64" s="47">
        <f t="shared" si="134"/>
        <v>6.02708333333333</v>
      </c>
      <c r="FA64" s="47">
        <f t="shared" si="135"/>
        <v>415.94728260869567</v>
      </c>
      <c r="FB64" s="47">
        <f t="shared" si="136"/>
        <v>0</v>
      </c>
      <c r="FC64" s="47">
        <f t="shared" si="137"/>
        <v>369.44728260869562</v>
      </c>
      <c r="FD64" s="47">
        <f t="shared" si="138"/>
        <v>0</v>
      </c>
      <c r="FE64" s="47">
        <f t="shared" si="139"/>
        <v>322.94728260869567</v>
      </c>
      <c r="FF64" s="47">
        <f t="shared" si="140"/>
        <v>0</v>
      </c>
      <c r="FG64" s="47">
        <f t="shared" si="141"/>
        <v>276.44728260869567</v>
      </c>
      <c r="FH64" s="47">
        <f t="shared" si="142"/>
        <v>0</v>
      </c>
      <c r="FI64" s="47">
        <f t="shared" si="143"/>
        <v>230.16915760869568</v>
      </c>
      <c r="FJ64" s="47">
        <f t="shared" si="144"/>
        <v>0.22187499999999671</v>
      </c>
      <c r="FK64" s="47">
        <f t="shared" si="145"/>
        <v>187.30978260869568</v>
      </c>
      <c r="FL64" s="47">
        <f t="shared" si="146"/>
        <v>3.8624999999999949</v>
      </c>
      <c r="FM64" s="47">
        <f t="shared" si="147"/>
        <v>145.98790760869565</v>
      </c>
      <c r="FN64" s="47">
        <f t="shared" si="148"/>
        <v>9.040624999999995</v>
      </c>
      <c r="FO64" s="546">
        <f t="shared" ca="1" si="149"/>
        <v>718.37505242435452</v>
      </c>
      <c r="FP64" s="546">
        <f t="shared" ca="1" si="150"/>
        <v>721.18886001465944</v>
      </c>
      <c r="FQ64" s="546">
        <f t="shared" ca="1" si="151"/>
        <v>2537.5599277740348</v>
      </c>
      <c r="FR64" s="546">
        <f t="shared" ca="1" si="152"/>
        <v>77127.505896436545</v>
      </c>
      <c r="FS64" s="546">
        <f t="shared" ca="1" si="153"/>
        <v>1620671.2882830591</v>
      </c>
      <c r="FT64" s="546">
        <f t="shared" ca="1" si="154"/>
        <v>6558615.3965526447</v>
      </c>
      <c r="FU64" s="546">
        <f t="shared" si="155"/>
        <v>30.456592018221702</v>
      </c>
      <c r="FV64" s="546">
        <f t="shared" si="156"/>
        <v>133.78950581950014</v>
      </c>
      <c r="FW64" s="546">
        <f t="shared" si="157"/>
        <v>475.10087465106022</v>
      </c>
      <c r="FX64" s="546">
        <f t="shared" ca="1" si="158"/>
        <v>697.35741808407238</v>
      </c>
      <c r="FY64" s="546">
        <f t="shared" ca="1" si="159"/>
        <v>3015.3494928198147</v>
      </c>
      <c r="FZ64" s="546">
        <f t="shared" ca="1" si="160"/>
        <v>72250.497066501965</v>
      </c>
      <c r="GA64" s="546">
        <f t="shared" si="161"/>
        <v>95938.281997321596</v>
      </c>
      <c r="GB64" s="546">
        <f t="shared" si="162"/>
        <v>22.306473115573407</v>
      </c>
      <c r="GC64" s="546">
        <f t="shared" si="163"/>
        <v>54.848294749224799</v>
      </c>
      <c r="GD64" s="546">
        <f t="shared" si="164"/>
        <v>426.01654838388293</v>
      </c>
    </row>
    <row r="65" spans="1:186">
      <c r="A65" s="4">
        <v>44287</v>
      </c>
      <c r="B65" s="6">
        <v>2021</v>
      </c>
      <c r="C65" s="5">
        <v>4</v>
      </c>
      <c r="D65" s="7">
        <v>67483096.991996661</v>
      </c>
      <c r="E65" s="7">
        <f ca="1">IFERROR(VLOOKUP($B65-1,CDM!$V$4:$AJ$17,2,FALSE)/12,0)+IFERROR(VLOOKUP($B65,CDM!$V$41:$AJ$54,2,FALSE)/24,0)+IFERROR(VLOOKUP($B65,CDM!$V$41:$AJ$54,2,FALSE)/2*$C65/78,0)</f>
        <v>3841362.0419078027</v>
      </c>
      <c r="F65" s="7">
        <f t="shared" ca="1" si="165"/>
        <v>71324459.033904463</v>
      </c>
      <c r="G65" s="7">
        <f>IFERROR(HLOOKUP(B65-1,'EV Forecast VRZ'!$F$124:$T$130,2,FALSE)/12,0)+IFERROR(((HLOOKUP(B65,'EV Forecast VRZ'!$F$116:$T$122,2,FALSE)-HLOOKUP(B65-1,'EV Forecast VRZ'!$F$124:$T$130,2,FALSE)))*C65/78,0)</f>
        <v>296445.22417567263</v>
      </c>
      <c r="H65" s="7">
        <f ca="1">HLOOKUP(B65,Heating!$C$102:$O$106,2,FALSE)*INDEX(Weather!$BO$1:$CB$20,MATCH(B65,Weather!$BO$1:$BO$20,0),MATCH(C65,Weather!$BO$1:$CB$1,0))/VLOOKUP(B65,Weather!$BO$2:$CB$20,14,FALSE)*
VLOOKUP('Monthly Data'!$B65,Weather!$BO$3:$CB$20,14,FALSE)/Weather!$CB$14</f>
        <v>471124.87140339211</v>
      </c>
      <c r="I65" s="7">
        <f t="shared" ca="1" si="166"/>
        <v>70556888.93832539</v>
      </c>
      <c r="J65" s="7">
        <v>899605.76623736019</v>
      </c>
      <c r="K65" s="7">
        <f ca="1">IFERROR(VLOOKUP($B65-1,CDM!$V$4:$AJ$17,3,FALSE)/12,0)+IFERROR(VLOOKUP($B65,CDM!$V$41:$AJ$54,3,FALSE)/24,0)+IFERROR(VLOOKUP($B65,CDM!$V$41:$AJ$54,3,FALSE)/2*$C65/78,0)</f>
        <v>43998.206301479579</v>
      </c>
      <c r="L65" s="7">
        <f t="shared" ca="1" si="167"/>
        <v>943603.97253883979</v>
      </c>
      <c r="M65" s="7">
        <f>IFERROR(HLOOKUP(B65-1,'EV Forecast VRZ'!$F$124:$T$130,3,FALSE)/12,0)+IFERROR(((HLOOKUP(B65,'EV Forecast VRZ'!$F$116:$T$122,3,FALSE)-HLOOKUP(B65-1,'EV Forecast VRZ'!$F$124:$T$130,3,FALSE)))*C65/78,0)</f>
        <v>4022.5072345837561</v>
      </c>
      <c r="N65" s="7">
        <f ca="1">HLOOKUP(B65,Heating!$C$102:$O$106,3,FALSE)*INDEX(Weather!$BO$1:$CB$20,MATCH(B65,Weather!$BO$1:$BO$20,0),MATCH(C65,Weather!$BO$1:$CB$1,0))/VLOOKUP(B65,Weather!$BO$2:$CB$20,14,FALSE)*
VLOOKUP('Monthly Data'!$B65,Weather!$BO$3:$CB$20,14,FALSE)/Weather!$CB$14</f>
        <v>5890.8336795222322</v>
      </c>
      <c r="O65" s="7">
        <f t="shared" ca="1" si="168"/>
        <v>933690.6316247338</v>
      </c>
      <c r="P65" s="7">
        <v>18330460.861734305</v>
      </c>
      <c r="Q65" s="7">
        <f ca="1">IFERROR(VLOOKUP($B65-1,CDM!$V$4:$AJ$17,4,FALSE)/12,0)+IFERROR(VLOOKUP($B65,CDM!$V$41:$AJ$54,4,FALSE)/24,0)+IFERROR(VLOOKUP($B65,CDM!$V$41:$AJ$54,4,FALSE)/2*$C65/78,0)</f>
        <v>1396806.8266412143</v>
      </c>
      <c r="R65" s="7">
        <f t="shared" ca="1" si="169"/>
        <v>19727267.688375518</v>
      </c>
      <c r="S65" s="7">
        <f>IFERROR(HLOOKUP(B65-1,'EV Forecast VRZ'!$F$124:$T$130,4,FALSE)/12,0)+IFERROR(((HLOOKUP(B65,'EV Forecast VRZ'!$F$116:$T$122,4,FALSE)-HLOOKUP(B65-1,'EV Forecast VRZ'!$F$124:$T$130,4,FALSE)))*C65/78,0)</f>
        <v>36722.221794871795</v>
      </c>
      <c r="T65" s="7">
        <f ca="1">HLOOKUP(B65,Heating!$C$102:$O$106,4,FALSE)*INDEX(Weather!$BO$1:$CB$20,MATCH(B65,Weather!$BO$1:$BO$20,0),MATCH(C65,Weather!$BO$1:$CB$1,0))/VLOOKUP(B65,Weather!$BO$2:$CB$20,14,FALSE)*
VLOOKUP('Monthly Data'!$B65,Weather!$BO$3:$CB$20,14,FALSE)/Weather!$CB$14</f>
        <v>115385.92236785869</v>
      </c>
      <c r="U65" s="7">
        <f t="shared" ca="1" si="170"/>
        <v>19575159.544212785</v>
      </c>
      <c r="V65" s="7">
        <v>67306700.974254921</v>
      </c>
      <c r="W65" s="7">
        <f ca="1">IFERROR(VLOOKUP($B65-1,CDM!$V$4:$AJ$17,5,FALSE)/12,0)+IFERROR(VLOOKUP($B65,CDM!$V$41:$AJ$54,5,FALSE)/24,0)+IFERROR(VLOOKUP($B65,CDM!$V$41:$AJ$54,5,FALSE)/2*$C65/78,0)</f>
        <v>5226850.744130509</v>
      </c>
      <c r="X65" s="7">
        <f t="shared" ca="1" si="171"/>
        <v>72533551.718385428</v>
      </c>
      <c r="Y65" s="7">
        <f>IFERROR(HLOOKUP(B65-1,'EV Forecast VRZ'!$F$124:$T$130,5,FALSE)/12,0)+IFERROR(((HLOOKUP(B65,'EV Forecast VRZ'!$F$116:$T$122,5,FALSE)-HLOOKUP(B65-1,'EV Forecast VRZ'!$F$124:$T$130,5,FALSE)))*C65/78,0)</f>
        <v>16636.153653846151</v>
      </c>
      <c r="Z65" s="7">
        <f ca="1">HLOOKUP(B65,Heating!$C$102:$O$106,5,FALSE)*INDEX(Weather!$BO$1:$CB$20,MATCH(B65,Weather!$BO$1:$BO$20,0),MATCH(C65,Weather!$BO$1:$CB$1,0))/VLOOKUP(B65,Weather!$BO$2:$CB$20,14,FALSE)*
VLOOKUP('Monthly Data'!$B65,Weather!$BO$3:$CB$20,14,FALSE)/Weather!$CB$14</f>
        <v>62567.12919520252</v>
      </c>
      <c r="AA65" s="7">
        <f t="shared" ca="1" si="172"/>
        <v>72454348.435536385</v>
      </c>
      <c r="AB65" s="7">
        <v>7606734.6214663098</v>
      </c>
      <c r="AC65" s="7">
        <f ca="1">IFERROR(VLOOKUP($B65-1,CDM!$V$4:$AJ$17,6,FALSE)/12,0)+IFERROR(VLOOKUP($B65,CDM!$V$41:$AJ$54,6,FALSE)/24,0)+IFERROR(VLOOKUP($B65,CDM!$V$41:$AJ$54,6,FALSE)/2*$C65/78,0)</f>
        <v>239534.18390561434</v>
      </c>
      <c r="AD65" s="7">
        <f t="shared" ca="1" si="173"/>
        <v>7846268.8053719243</v>
      </c>
      <c r="AE65" s="7">
        <f>IFERROR(HLOOKUP(B65-1,'EV Forecast VRZ'!$F$124:$T$130,6,FALSE)/12,0)+IFERROR(((HLOOKUP(B65,'EV Forecast VRZ'!$F$116:$T$122,6,FALSE)-HLOOKUP(B65-1,'EV Forecast VRZ'!$F$124:$T$130,6,FALSE)))*C65/78,0)</f>
        <v>2280.726474358974</v>
      </c>
      <c r="AF65" s="7">
        <f t="shared" ca="1" si="174"/>
        <v>7843988.0788975656</v>
      </c>
      <c r="AG65" s="7">
        <v>22559427.455029573</v>
      </c>
      <c r="AH65" s="7">
        <f ca="1">IFERROR(VLOOKUP($B65-1,CDM!$V$4:$AJ$17,7,FALSE)/12,0)+IFERROR(VLOOKUP($B65,CDM!$V$41:$AJ$54,7,FALSE)/24,0)+IFERROR(VLOOKUP($B65,CDM!$V$41:$AJ$54,7,FALSE)/2*$C65/78,0)</f>
        <v>1703199.9034495698</v>
      </c>
      <c r="AI65" s="7">
        <f t="shared" ca="1" si="175"/>
        <v>24262627.358479142</v>
      </c>
      <c r="AJ65" s="7">
        <f>IFERROR(HLOOKUP(B65-1,'EV Forecast VRZ'!$F$124:$T$130,7,FALSE)/12,0)+IFERROR(((HLOOKUP(B65,'EV Forecast VRZ'!$F$116:$T$122,7,FALSE)-HLOOKUP(B65-1,'EV Forecast VRZ'!$F$124:$T$130,7,FALSE)))*C65/78,0)</f>
        <v>0</v>
      </c>
      <c r="AK65" s="7">
        <f t="shared" ca="1" si="176"/>
        <v>24262627.358479142</v>
      </c>
      <c r="AL65" s="7">
        <v>812730.00381606561</v>
      </c>
      <c r="AM65" s="7">
        <v>22047.166571265021</v>
      </c>
      <c r="AN65" s="7">
        <v>380404.01640908222</v>
      </c>
      <c r="AO65" s="5">
        <v>171379.38</v>
      </c>
      <c r="AP65" s="5">
        <v>17697.169999999998</v>
      </c>
      <c r="AQ65" s="5">
        <v>39082</v>
      </c>
      <c r="AR65" s="5">
        <v>2580</v>
      </c>
      <c r="AS65" s="544">
        <f t="shared" si="186"/>
        <v>52.666666666666664</v>
      </c>
      <c r="AT65" s="557">
        <v>112900.33333333331</v>
      </c>
      <c r="AU65" s="557">
        <v>1559.666666666667</v>
      </c>
      <c r="AV65" s="557">
        <v>9303.6666666666642</v>
      </c>
      <c r="AW65" s="557">
        <v>1048.666666666667</v>
      </c>
      <c r="AX65" s="557">
        <v>5.3333333333333321</v>
      </c>
      <c r="AY65" s="557">
        <v>4</v>
      </c>
      <c r="AZ65" s="557">
        <v>31653.333333333328</v>
      </c>
      <c r="BA65" s="557">
        <v>249.66666666666663</v>
      </c>
      <c r="BB65" s="557">
        <v>801</v>
      </c>
      <c r="BC65" s="560">
        <v>25149927.52447886</v>
      </c>
      <c r="BD65" s="560">
        <f ca="1">IFERROR(VLOOKUP($B65-1,CDM!$V$4:$AJ$17,11,FALSE)/12,0)+IFERROR(VLOOKUP($B65,CDM!$V$41:$AJ$54,11,FALSE)/24,0)+IFERROR(VLOOKUP($B65,CDM!$V$41:$AJ$54,11,FALSE)/2*$C65/78,0)</f>
        <v>1740444.5975246662</v>
      </c>
      <c r="BE65" s="560">
        <f t="shared" ca="1" si="119"/>
        <v>26890372.122003525</v>
      </c>
      <c r="BF65" s="560">
        <f>IFERROR(HLOOKUP(B65-1,'EV Forecast WRZ'!$F$124:$T$130,2,FALSE)/12,0)+IFERROR(((HLOOKUP(B65,'EV Forecast WRZ'!$F$116:$T$122,2,FALSE)-HLOOKUP(B65-1,'EV Forecast WRZ'!$F$124:$T$130,2,FALSE)))*C65/78,0)</f>
        <v>94495.993717948717</v>
      </c>
      <c r="BG65" s="560">
        <f ca="1">HLOOKUP(B65,Heating!$R$102:$AD$106,2,FALSE)*INDEX(Weather!$BO$1:$CB$20,MATCH(B65,Weather!$BO$1:$BO$20,0),MATCH(C65,Weather!$BO$1:$CB$1,0))/VLOOKUP(B65,Weather!$BO$2:$CB$20,14,FALSE)*
VLOOKUP('Monthly Data'!$B65,Weather!$BO$3:$CB$20,14,FALSE)/Weather!$CB$14</f>
        <v>199753.37879196744</v>
      </c>
      <c r="BH65" s="560">
        <f t="shared" ca="1" si="177"/>
        <v>26596122.749493606</v>
      </c>
      <c r="BI65" s="560">
        <v>5628072.07530131</v>
      </c>
      <c r="BJ65" s="560">
        <f ca="1">IFERROR(VLOOKUP($B65-1,CDM!$V$4:$AJ$17,12,FALSE)/12,0)+IFERROR(VLOOKUP($B65,CDM!$V$41:$AJ$54,12,FALSE)/24,0)+IFERROR(VLOOKUP($B65,CDM!$V$41:$AJ$54,12,FALSE)/2*$C65/78,0)</f>
        <v>228639.35470375919</v>
      </c>
      <c r="BK65" s="560">
        <f t="shared" ca="1" si="178"/>
        <v>5856711.4300050689</v>
      </c>
      <c r="BL65" s="560">
        <f>IFERROR(HLOOKUP(B65-1,'EV Forecast WRZ'!$F$124:$T$130,3,FALSE)/12,0)+IFERROR(((HLOOKUP(B65,'EV Forecast WRZ'!$F$116:$T$122,3,FALSE)-HLOOKUP(B65-1,'EV Forecast WRZ'!$F$124:$T$130,3,FALSE)))*C65/78,0)</f>
        <v>11580.411025641028</v>
      </c>
      <c r="BM65" s="560">
        <f ca="1">HLOOKUP(B65,Heating!$R$102:$AD$106,4,FALSE)*INDEX(Weather!$BO$1:$CB$20,MATCH(B65,Weather!$BO$1:$BO$20,0),MATCH(C65,Weather!$BO$1:$CB$1,0))/VLOOKUP(B65,Weather!$BO$2:$CB$20,14,FALSE)*
VLOOKUP('Monthly Data'!$B65,Weather!$BO$3:$CB$20,14,FALSE)/Weather!$CB$14</f>
        <v>30169.500534099516</v>
      </c>
      <c r="BN65" s="560">
        <f t="shared" ca="1" si="179"/>
        <v>5814961.5184453279</v>
      </c>
      <c r="BO65" s="560">
        <v>22595018.202341639</v>
      </c>
      <c r="BP65" s="560">
        <f ca="1">IFERROR(VLOOKUP($B65-1,CDM!$V$4:$AJ$17,13,FALSE)/12,0)+IFERROR(VLOOKUP($B65,CDM!$V$41:$AJ$54,13,FALSE)/24,0)+IFERROR(VLOOKUP($B65,CDM!$V$41:$AJ$54,13,FALSE)/2*$C65/78,0)</f>
        <v>2080848.917896023</v>
      </c>
      <c r="BQ65" s="560">
        <f t="shared" ca="1" si="180"/>
        <v>24675867.120237663</v>
      </c>
      <c r="BR65" s="560">
        <f>IFERROR(HLOOKUP(B65-1,'EV Forecast WRZ'!$F$124:$T$130,4,FALSE)/12,0)+IFERROR(((HLOOKUP(B65,'EV Forecast WRZ'!$F$116:$T$122,4,FALSE)-HLOOKUP(B65-1,'EV Forecast WRZ'!$F$124:$T$130,4,FALSE)))*C65/78,0)</f>
        <v>5248.6849615384617</v>
      </c>
      <c r="BS65" s="560">
        <f ca="1">HLOOKUP(B65,Heating!$R$102:$AD$106,5,FALSE)*INDEX(Weather!$BO$1:$CB$20,MATCH(B65,Weather!$BO$1:$BO$20,0),MATCH(C65,Weather!$BO$1:$CB$1,0))/VLOOKUP(B65,Weather!$BO$2:$CB$20,14,FALSE)*
VLOOKUP('Monthly Data'!$B65,Weather!$BO$3:$CB$20,14,FALSE)/Weather!$CB$14</f>
        <v>18461.827836619093</v>
      </c>
      <c r="BT65" s="560">
        <f t="shared" ca="1" si="181"/>
        <v>24652156.607439507</v>
      </c>
      <c r="BU65" s="560">
        <v>6874468.2835101262</v>
      </c>
      <c r="BV65" s="560">
        <f ca="1">IFERROR(VLOOKUP($B65-1,CDM!$V$4:$AJ$17,14,FALSE)/12,0)+IFERROR(VLOOKUP($B65,CDM!$V$41:$AJ$54,14,FALSE)/24,0)+IFERROR(VLOOKUP($B65,CDM!$V$41:$AJ$54,14,FALSE)/2*$C65/78,0)</f>
        <v>467855.97826744418</v>
      </c>
      <c r="BW65" s="560">
        <f t="shared" ca="1" si="182"/>
        <v>7342324.2617775705</v>
      </c>
      <c r="BX65" s="560">
        <f>IFERROR(HLOOKUP(B65-1,'EV Forecast WRZ'!$F$124:$T$130,5,FALSE)/12,0)+IFERROR(((HLOOKUP(B65,'EV Forecast WRZ'!$F$116:$T$122,5,FALSE)-HLOOKUP(B65-1,'EV Forecast WRZ'!$F$124:$T$130,5,FALSE)))*C65/78,0)</f>
        <v>729.02055128205143</v>
      </c>
      <c r="BY65" s="560">
        <f t="shared" ca="1" si="120"/>
        <v>7341595.2412262885</v>
      </c>
      <c r="BZ65" s="560">
        <v>242524.8039028123</v>
      </c>
      <c r="CA65" s="560">
        <v>1912.1111615875734</v>
      </c>
      <c r="CB65" s="560">
        <v>154485.97665965182</v>
      </c>
      <c r="CC65" s="5">
        <v>58308.79</v>
      </c>
      <c r="CD65" s="5">
        <v>12157.11</v>
      </c>
      <c r="CE65" s="5">
        <v>774.28</v>
      </c>
      <c r="CF65" s="544">
        <f t="shared" si="187"/>
        <v>5.916666666666667</v>
      </c>
      <c r="CG65" s="565">
        <v>42651</v>
      </c>
      <c r="CH65" s="565">
        <v>2316</v>
      </c>
      <c r="CI65" s="565">
        <v>389</v>
      </c>
      <c r="CJ65" s="565">
        <v>3</v>
      </c>
      <c r="CK65" s="565">
        <v>12937.333333333336</v>
      </c>
      <c r="CL65" s="565">
        <v>40.333333333333343</v>
      </c>
      <c r="CM65" s="565">
        <v>391.33333333333326</v>
      </c>
      <c r="CN65" s="46">
        <f>Weather!C89</f>
        <v>379.79583333333329</v>
      </c>
      <c r="CO65" s="46">
        <f>Weather!D89</f>
        <v>0</v>
      </c>
      <c r="CP65" s="46">
        <f>Weather!E89</f>
        <v>319.79583333333329</v>
      </c>
      <c r="CQ65" s="46">
        <f>Weather!F89</f>
        <v>0</v>
      </c>
      <c r="CR65" s="46">
        <f>Weather!G89</f>
        <v>260.00833333333338</v>
      </c>
      <c r="CS65" s="46">
        <f>Weather!H89</f>
        <v>0.21249999999999858</v>
      </c>
      <c r="CT65" s="46">
        <f>Weather!I89</f>
        <v>203.50416666666672</v>
      </c>
      <c r="CU65" s="46">
        <f>Weather!J89</f>
        <v>3.7083333333333339</v>
      </c>
      <c r="CV65" s="46">
        <f>Weather!K89</f>
        <v>150.85000000000002</v>
      </c>
      <c r="CW65" s="46">
        <f>Weather!L89</f>
        <v>11.054166666666664</v>
      </c>
      <c r="CX65" s="46">
        <f>Weather!M89</f>
        <v>102.15833333333332</v>
      </c>
      <c r="CY65" s="46">
        <f>Weather!N89</f>
        <v>22.362499999999997</v>
      </c>
      <c r="CZ65" s="46">
        <f>Weather!O89</f>
        <v>60.454166666666659</v>
      </c>
      <c r="DA65" s="46">
        <f>Weather!P89</f>
        <v>40.658333333333331</v>
      </c>
      <c r="DB65" s="243">
        <f>'Economic Data'!D91</f>
        <v>7276.1</v>
      </c>
      <c r="DC65" s="243">
        <f>'Economic Data'!E91</f>
        <v>7213.2</v>
      </c>
      <c r="DD65" s="243">
        <f>'Economic Data'!F91</f>
        <v>209.2</v>
      </c>
      <c r="DE65" s="243">
        <f>'Economic Data'!G91</f>
        <v>209.5</v>
      </c>
      <c r="DF65" s="243">
        <f>'Economic Data'!H91</f>
        <v>51</v>
      </c>
      <c r="DG65" s="243">
        <f>'Economic Data'!I91</f>
        <v>51</v>
      </c>
      <c r="DH65" s="243">
        <f>'Economic Data'!J91</f>
        <v>817265.5</v>
      </c>
      <c r="DI65" s="243">
        <f>'Economic Data'!K91</f>
        <v>634181.69999999995</v>
      </c>
      <c r="DJ65" s="243">
        <f>'Economic Data'!L91</f>
        <v>92312.5</v>
      </c>
      <c r="DK65" s="243">
        <f>'Economic Data'!M91</f>
        <v>25225.4</v>
      </c>
      <c r="DL65" s="243">
        <f>'Economic Data'!N91</f>
        <v>803585</v>
      </c>
      <c r="DM65" s="243">
        <f>'Economic Data'!O91</f>
        <v>90340</v>
      </c>
      <c r="DN65" s="243">
        <f>'Economic Data'!P91</f>
        <v>13987</v>
      </c>
      <c r="DO65" s="243">
        <f>'Economic Data'!Q91</f>
        <v>620218</v>
      </c>
      <c r="DP65" s="243">
        <f>'Economic Data'!R91</f>
        <v>24117</v>
      </c>
      <c r="DQ65">
        <v>30</v>
      </c>
      <c r="DR65">
        <v>21</v>
      </c>
      <c r="DS65">
        <v>0</v>
      </c>
      <c r="DT65">
        <v>0</v>
      </c>
      <c r="DU65">
        <v>0</v>
      </c>
      <c r="DV65">
        <v>1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1</v>
      </c>
      <c r="EF65">
        <v>0</v>
      </c>
      <c r="EG65">
        <v>1</v>
      </c>
      <c r="EH65">
        <f t="shared" si="185"/>
        <v>64</v>
      </c>
      <c r="EI65">
        <v>1</v>
      </c>
      <c r="EJ65">
        <v>0.5</v>
      </c>
      <c r="EK65">
        <v>0.75</v>
      </c>
      <c r="EL65">
        <v>0</v>
      </c>
      <c r="EM65" s="47">
        <f t="shared" si="121"/>
        <v>189.89791666666665</v>
      </c>
      <c r="EN65" s="47">
        <f t="shared" si="122"/>
        <v>0</v>
      </c>
      <c r="EO65" s="47">
        <f t="shared" si="123"/>
        <v>159.89791666666665</v>
      </c>
      <c r="EP65" s="47">
        <f t="shared" si="124"/>
        <v>0</v>
      </c>
      <c r="EQ65" s="47">
        <f t="shared" si="125"/>
        <v>130.00416666666669</v>
      </c>
      <c r="ER65" s="47">
        <f t="shared" si="126"/>
        <v>0.10624999999999929</v>
      </c>
      <c r="ES65" s="47">
        <f t="shared" si="127"/>
        <v>101.75208333333336</v>
      </c>
      <c r="ET65" s="47">
        <f t="shared" si="128"/>
        <v>1.854166666666667</v>
      </c>
      <c r="EU65" s="47">
        <f t="shared" si="129"/>
        <v>75.425000000000011</v>
      </c>
      <c r="EV65" s="47">
        <f t="shared" si="130"/>
        <v>5.5270833333333318</v>
      </c>
      <c r="EW65" s="47">
        <f t="shared" si="131"/>
        <v>51.079166666666659</v>
      </c>
      <c r="EX65" s="47">
        <f t="shared" si="132"/>
        <v>11.181249999999999</v>
      </c>
      <c r="EY65" s="47">
        <f t="shared" si="133"/>
        <v>30.227083333333329</v>
      </c>
      <c r="EZ65" s="47">
        <f t="shared" si="134"/>
        <v>20.329166666666666</v>
      </c>
      <c r="FA65" s="47">
        <f t="shared" si="135"/>
        <v>284.84687499999995</v>
      </c>
      <c r="FB65" s="47">
        <f t="shared" si="136"/>
        <v>0</v>
      </c>
      <c r="FC65" s="47">
        <f t="shared" si="137"/>
        <v>239.84687499999995</v>
      </c>
      <c r="FD65" s="47">
        <f t="shared" si="138"/>
        <v>0</v>
      </c>
      <c r="FE65" s="47">
        <f t="shared" si="139"/>
        <v>195.00625000000002</v>
      </c>
      <c r="FF65" s="47">
        <f t="shared" si="140"/>
        <v>0.15937499999999893</v>
      </c>
      <c r="FG65" s="47">
        <f t="shared" si="141"/>
        <v>152.62812500000004</v>
      </c>
      <c r="FH65" s="47">
        <f t="shared" si="142"/>
        <v>2.7812500000000004</v>
      </c>
      <c r="FI65" s="47">
        <f t="shared" si="143"/>
        <v>113.13750000000002</v>
      </c>
      <c r="FJ65" s="47">
        <f t="shared" si="144"/>
        <v>8.2906249999999986</v>
      </c>
      <c r="FK65" s="47">
        <f t="shared" si="145"/>
        <v>76.618749999999991</v>
      </c>
      <c r="FL65" s="47">
        <f t="shared" si="146"/>
        <v>16.771874999999998</v>
      </c>
      <c r="FM65" s="47">
        <f t="shared" si="147"/>
        <v>45.340624999999996</v>
      </c>
      <c r="FN65" s="47">
        <f t="shared" si="148"/>
        <v>30.493749999999999</v>
      </c>
      <c r="FO65" s="546">
        <f t="shared" ca="1" si="149"/>
        <v>624.94845546655074</v>
      </c>
      <c r="FP65" s="546">
        <f t="shared" ca="1" si="150"/>
        <v>605.00361564789887</v>
      </c>
      <c r="FQ65" s="546">
        <f t="shared" ca="1" si="151"/>
        <v>2120.3755890196185</v>
      </c>
      <c r="FR65" s="546">
        <f t="shared" ca="1" si="152"/>
        <v>69167.404690132302</v>
      </c>
      <c r="FS65" s="546">
        <f t="shared" ca="1" si="153"/>
        <v>1471175.4010072362</v>
      </c>
      <c r="FT65" s="546">
        <f t="shared" ca="1" si="154"/>
        <v>6065656.8396197855</v>
      </c>
      <c r="FU65" s="546">
        <f t="shared" si="155"/>
        <v>25.675968949538724</v>
      </c>
      <c r="FV65" s="546">
        <f t="shared" si="156"/>
        <v>88.306408162610239</v>
      </c>
      <c r="FW65" s="546">
        <f t="shared" si="157"/>
        <v>474.91138128474682</v>
      </c>
      <c r="FX65" s="546">
        <f t="shared" ca="1" si="158"/>
        <v>630.47459900127842</v>
      </c>
      <c r="FY65" s="546">
        <f t="shared" ca="1" si="159"/>
        <v>2528.8045898122059</v>
      </c>
      <c r="FZ65" s="546">
        <f t="shared" ca="1" si="160"/>
        <v>63434.105707551833</v>
      </c>
      <c r="GA65" s="546">
        <f t="shared" si="161"/>
        <v>80841.601300937429</v>
      </c>
      <c r="GB65" s="546">
        <f t="shared" si="162"/>
        <v>18.746120058446788</v>
      </c>
      <c r="GC65" s="546">
        <f t="shared" si="163"/>
        <v>47.407714750105114</v>
      </c>
      <c r="GD65" s="546">
        <f t="shared" si="164"/>
        <v>394.76825381512396</v>
      </c>
    </row>
    <row r="66" spans="1:186">
      <c r="A66" s="4">
        <v>44317</v>
      </c>
      <c r="B66" s="6">
        <v>2021</v>
      </c>
      <c r="C66" s="5">
        <v>5</v>
      </c>
      <c r="D66" s="7">
        <v>71041030.714692235</v>
      </c>
      <c r="E66" s="7">
        <f ca="1">IFERROR(VLOOKUP($B66-1,CDM!$V$4:$AJ$17,2,FALSE)/12,0)+IFERROR(VLOOKUP($B66,CDM!$V$41:$AJ$54,2,FALSE)/24,0)+IFERROR(VLOOKUP($B66,CDM!$V$41:$AJ$54,2,FALSE)/2*$C66/78,0)</f>
        <v>3842301.735876319</v>
      </c>
      <c r="F66" s="7">
        <f t="shared" ca="1" si="165"/>
        <v>74883332.450568557</v>
      </c>
      <c r="G66" s="7">
        <f>IFERROR(HLOOKUP(B66-1,'EV Forecast VRZ'!$F$124:$T$130,2,FALSE)/12,0)+IFERROR(((HLOOKUP(B66,'EV Forecast VRZ'!$F$116:$T$122,2,FALSE)-HLOOKUP(B66-1,'EV Forecast VRZ'!$F$124:$T$130,2,FALSE)))*C66/78,0)</f>
        <v>305851.41764018097</v>
      </c>
      <c r="H66" s="7">
        <f ca="1">HLOOKUP(B66,Heating!$C$102:$O$106,2,FALSE)*INDEX(Weather!$BO$1:$CB$20,MATCH(B66,Weather!$BO$1:$BO$20,0),MATCH(C66,Weather!$BO$1:$CB$1,0))/VLOOKUP(B66,Weather!$BO$2:$CB$20,14,FALSE)*
VLOOKUP('Monthly Data'!$B66,Weather!$BO$3:$CB$20,14,FALSE)/Weather!$CB$14</f>
        <v>255811.84522011131</v>
      </c>
      <c r="I66" s="7">
        <f t="shared" ca="1" si="166"/>
        <v>74321669.187708259</v>
      </c>
      <c r="J66" s="7">
        <v>914410.77193283814</v>
      </c>
      <c r="K66" s="7">
        <f ca="1">IFERROR(VLOOKUP($B66-1,CDM!$V$4:$AJ$17,3,FALSE)/12,0)+IFERROR(VLOOKUP($B66,CDM!$V$41:$AJ$54,3,FALSE)/24,0)+IFERROR(VLOOKUP($B66,CDM!$V$41:$AJ$54,3,FALSE)/2*$C66/78,0)</f>
        <v>44008.969371618761</v>
      </c>
      <c r="L66" s="7">
        <f t="shared" ca="1" si="167"/>
        <v>958419.74130445695</v>
      </c>
      <c r="M66" s="7">
        <f>IFERROR(HLOOKUP(B66-1,'EV Forecast VRZ'!$F$124:$T$130,3,FALSE)/12,0)+IFERROR(((HLOOKUP(B66,'EV Forecast VRZ'!$F$116:$T$122,3,FALSE)-HLOOKUP(B66-1,'EV Forecast VRZ'!$F$124:$T$130,3,FALSE)))*C66/78,0)</f>
        <v>4150.1412059728764</v>
      </c>
      <c r="N66" s="7">
        <f ca="1">HLOOKUP(B66,Heating!$C$102:$O$106,3,FALSE)*INDEX(Weather!$BO$1:$CB$20,MATCH(B66,Weather!$BO$1:$BO$20,0),MATCH(C66,Weather!$BO$1:$CB$1,0))/VLOOKUP(B66,Weather!$BO$2:$CB$20,14,FALSE)*
VLOOKUP('Monthly Data'!$B66,Weather!$BO$3:$CB$20,14,FALSE)/Weather!$CB$14</f>
        <v>3198.6106548662046</v>
      </c>
      <c r="O66" s="7">
        <f t="shared" ca="1" si="168"/>
        <v>951070.98944361787</v>
      </c>
      <c r="P66" s="7">
        <v>18295111.95425491</v>
      </c>
      <c r="Q66" s="7">
        <f ca="1">IFERROR(VLOOKUP($B66-1,CDM!$V$4:$AJ$17,4,FALSE)/12,0)+IFERROR(VLOOKUP($B66,CDM!$V$41:$AJ$54,4,FALSE)/24,0)+IFERROR(VLOOKUP($B66,CDM!$V$41:$AJ$54,4,FALSE)/2*$C66/78,0)</f>
        <v>1401194.7070840066</v>
      </c>
      <c r="R66" s="7">
        <f t="shared" ca="1" si="169"/>
        <v>19696306.661338918</v>
      </c>
      <c r="S66" s="7">
        <f>IFERROR(HLOOKUP(B66-1,'EV Forecast VRZ'!$F$124:$T$130,4,FALSE)/12,0)+IFERROR(((HLOOKUP(B66,'EV Forecast VRZ'!$F$116:$T$122,4,FALSE)-HLOOKUP(B66-1,'EV Forecast VRZ'!$F$124:$T$130,4,FALSE)))*C66/78,0)</f>
        <v>37862.853076923078</v>
      </c>
      <c r="T66" s="7">
        <f ca="1">HLOOKUP(B66,Heating!$C$102:$O$106,4,FALSE)*INDEX(Weather!$BO$1:$CB$20,MATCH(B66,Weather!$BO$1:$BO$20,0),MATCH(C66,Weather!$BO$1:$CB$1,0))/VLOOKUP(B66,Weather!$BO$2:$CB$20,14,FALSE)*
VLOOKUP('Monthly Data'!$B66,Weather!$BO$3:$CB$20,14,FALSE)/Weather!$CB$14</f>
        <v>62652.361411998114</v>
      </c>
      <c r="U66" s="7">
        <f t="shared" ca="1" si="170"/>
        <v>19595791.446849994</v>
      </c>
      <c r="V66" s="7">
        <v>69550095.094187573</v>
      </c>
      <c r="W66" s="7">
        <f ca="1">IFERROR(VLOOKUP($B66-1,CDM!$V$4:$AJ$17,5,FALSE)/12,0)+IFERROR(VLOOKUP($B66,CDM!$V$41:$AJ$54,5,FALSE)/24,0)+IFERROR(VLOOKUP($B66,CDM!$V$41:$AJ$54,5,FALSE)/2*$C66/78,0)</f>
        <v>5263192.6215058127</v>
      </c>
      <c r="X66" s="7">
        <f t="shared" ca="1" si="171"/>
        <v>74813287.715693384</v>
      </c>
      <c r="Y66" s="7">
        <f>IFERROR(HLOOKUP(B66-1,'EV Forecast VRZ'!$F$124:$T$130,5,FALSE)/12,0)+IFERROR(((HLOOKUP(B66,'EV Forecast VRZ'!$F$116:$T$122,5,FALSE)-HLOOKUP(B66-1,'EV Forecast VRZ'!$F$124:$T$130,5,FALSE)))*C66/78,0)</f>
        <v>17150.976192307691</v>
      </c>
      <c r="Z66" s="7">
        <f ca="1">HLOOKUP(B66,Heating!$C$102:$O$106,5,FALSE)*INDEX(Weather!$BO$1:$CB$20,MATCH(B66,Weather!$BO$1:$BO$20,0),MATCH(C66,Weather!$BO$1:$CB$1,0))/VLOOKUP(B66,Weather!$BO$2:$CB$20,14,FALSE)*
VLOOKUP('Monthly Data'!$B66,Weather!$BO$3:$CB$20,14,FALSE)/Weather!$CB$14</f>
        <v>33972.761238167608</v>
      </c>
      <c r="AA66" s="7">
        <f t="shared" ca="1" si="172"/>
        <v>74762163.978262901</v>
      </c>
      <c r="AB66" s="7">
        <v>8201541.1797601115</v>
      </c>
      <c r="AC66" s="7">
        <f ca="1">IFERROR(VLOOKUP($B66-1,CDM!$V$4:$AJ$17,6,FALSE)/12,0)+IFERROR(VLOOKUP($B66,CDM!$V$41:$AJ$54,6,FALSE)/24,0)+IFERROR(VLOOKUP($B66,CDM!$V$41:$AJ$54,6,FALSE)/2*$C66/78,0)</f>
        <v>240692.1432005573</v>
      </c>
      <c r="AD66" s="7">
        <f t="shared" ca="1" si="173"/>
        <v>8442233.3229606692</v>
      </c>
      <c r="AE66" s="7">
        <f>IFERROR(HLOOKUP(B66-1,'EV Forecast VRZ'!$F$124:$T$130,6,FALSE)/12,0)+IFERROR(((HLOOKUP(B66,'EV Forecast VRZ'!$F$116:$T$122,6,FALSE)-HLOOKUP(B66-1,'EV Forecast VRZ'!$F$124:$T$130,6,FALSE)))*C66/78,0)</f>
        <v>2343.9118846153842</v>
      </c>
      <c r="AF66" s="7">
        <f t="shared" ca="1" si="174"/>
        <v>8439889.411076054</v>
      </c>
      <c r="AG66" s="7">
        <v>25498483.700632978</v>
      </c>
      <c r="AH66" s="7">
        <f ca="1">IFERROR(VLOOKUP($B66-1,CDM!$V$4:$AJ$17,7,FALSE)/12,0)+IFERROR(VLOOKUP($B66,CDM!$V$41:$AJ$54,7,FALSE)/24,0)+IFERROR(VLOOKUP($B66,CDM!$V$41:$AJ$54,7,FALSE)/2*$C66/78,0)</f>
        <v>1710378.4875754311</v>
      </c>
      <c r="AI66" s="7">
        <f t="shared" ca="1" si="175"/>
        <v>27208862.188208409</v>
      </c>
      <c r="AJ66" s="7">
        <f>IFERROR(HLOOKUP(B66-1,'EV Forecast VRZ'!$F$124:$T$130,7,FALSE)/12,0)+IFERROR(((HLOOKUP(B66,'EV Forecast VRZ'!$F$116:$T$122,7,FALSE)-HLOOKUP(B66-1,'EV Forecast VRZ'!$F$124:$T$130,7,FALSE)))*C66/78,0)</f>
        <v>0</v>
      </c>
      <c r="AK66" s="7">
        <f t="shared" ca="1" si="176"/>
        <v>27208862.188208409</v>
      </c>
      <c r="AL66" s="7">
        <v>739562.42129364621</v>
      </c>
      <c r="AM66" s="7">
        <v>17055.523755008588</v>
      </c>
      <c r="AN66" s="7">
        <v>379937.02537683648</v>
      </c>
      <c r="AO66" s="5">
        <v>179883.01</v>
      </c>
      <c r="AP66" s="5">
        <v>17886.47</v>
      </c>
      <c r="AQ66" s="5">
        <v>40104</v>
      </c>
      <c r="AR66" s="5">
        <v>2579.19</v>
      </c>
      <c r="AS66" s="544">
        <f t="shared" si="186"/>
        <v>52.666666666666664</v>
      </c>
      <c r="AT66" s="557">
        <v>112963.91666666664</v>
      </c>
      <c r="AU66" s="557">
        <v>1559.3333333333337</v>
      </c>
      <c r="AV66" s="557">
        <v>9308.0833333333303</v>
      </c>
      <c r="AW66" s="557">
        <v>1050.0833333333337</v>
      </c>
      <c r="AX66" s="557">
        <v>5.4166666666666652</v>
      </c>
      <c r="AY66" s="557">
        <v>4</v>
      </c>
      <c r="AZ66" s="557">
        <v>31663.666666666661</v>
      </c>
      <c r="BA66" s="557">
        <v>249.33333333333329</v>
      </c>
      <c r="BB66" s="557">
        <v>801.25</v>
      </c>
      <c r="BC66" s="560">
        <v>28403186.460761525</v>
      </c>
      <c r="BD66" s="560">
        <f ca="1">IFERROR(VLOOKUP($B66-1,CDM!$V$4:$AJ$17,11,FALSE)/12,0)+IFERROR(VLOOKUP($B66,CDM!$V$41:$AJ$54,11,FALSE)/24,0)+IFERROR(VLOOKUP($B66,CDM!$V$41:$AJ$54,11,FALSE)/2*$C66/78,0)</f>
        <v>1723349.7201683261</v>
      </c>
      <c r="BE66" s="560">
        <f t="shared" ca="1" si="119"/>
        <v>30126536.180929851</v>
      </c>
      <c r="BF66" s="560">
        <f>IFERROR(HLOOKUP(B66-1,'EV Forecast WRZ'!$F$124:$T$130,2,FALSE)/12,0)+IFERROR(((HLOOKUP(B66,'EV Forecast WRZ'!$F$116:$T$122,2,FALSE)-HLOOKUP(B66-1,'EV Forecast WRZ'!$F$124:$T$130,2,FALSE)))*C66/78,0)</f>
        <v>97804.054230769238</v>
      </c>
      <c r="BG66" s="560">
        <f ca="1">HLOOKUP(B66,Heating!$R$102:$AD$106,2,FALSE)*INDEX(Weather!$BO$1:$CB$20,MATCH(B66,Weather!$BO$1:$BO$20,0),MATCH(C66,Weather!$BO$1:$CB$1,0))/VLOOKUP(B66,Weather!$BO$2:$CB$20,14,FALSE)*
VLOOKUP('Monthly Data'!$B66,Weather!$BO$3:$CB$20,14,FALSE)/Weather!$CB$14</f>
        <v>108462.28573225168</v>
      </c>
      <c r="BH66" s="560">
        <f t="shared" ca="1" si="177"/>
        <v>29920269.840966832</v>
      </c>
      <c r="BI66" s="560">
        <v>5684899.2849052986</v>
      </c>
      <c r="BJ66" s="560">
        <f ca="1">IFERROR(VLOOKUP($B66-1,CDM!$V$4:$AJ$17,12,FALSE)/12,0)+IFERROR(VLOOKUP($B66,CDM!$V$41:$AJ$54,12,FALSE)/24,0)+IFERROR(VLOOKUP($B66,CDM!$V$41:$AJ$54,12,FALSE)/2*$C66/78,0)</f>
        <v>229700.55667803934</v>
      </c>
      <c r="BK66" s="560">
        <f t="shared" ca="1" si="178"/>
        <v>5914599.8415833376</v>
      </c>
      <c r="BL66" s="560">
        <f>IFERROR(HLOOKUP(B66-1,'EV Forecast WRZ'!$F$124:$T$130,3,FALSE)/12,0)+IFERROR(((HLOOKUP(B66,'EV Forecast WRZ'!$F$116:$T$122,3,FALSE)-HLOOKUP(B66-1,'EV Forecast WRZ'!$F$124:$T$130,3,FALSE)))*C66/78,0)</f>
        <v>11969.594615384616</v>
      </c>
      <c r="BM66" s="560">
        <f ca="1">HLOOKUP(B66,Heating!$R$102:$AD$106,4,FALSE)*INDEX(Weather!$BO$1:$CB$20,MATCH(B66,Weather!$BO$1:$BO$20,0),MATCH(C66,Weather!$BO$1:$CB$1,0))/VLOOKUP(B66,Weather!$BO$2:$CB$20,14,FALSE)*
VLOOKUP('Monthly Data'!$B66,Weather!$BO$3:$CB$20,14,FALSE)/Weather!$CB$14</f>
        <v>16381.465020107116</v>
      </c>
      <c r="BN66" s="560">
        <f t="shared" ca="1" si="179"/>
        <v>5886248.7819478456</v>
      </c>
      <c r="BO66" s="560">
        <v>22705006.727108978</v>
      </c>
      <c r="BP66" s="560">
        <f ca="1">IFERROR(VLOOKUP($B66-1,CDM!$V$4:$AJ$17,13,FALSE)/12,0)+IFERROR(VLOOKUP($B66,CDM!$V$41:$AJ$54,13,FALSE)/24,0)+IFERROR(VLOOKUP($B66,CDM!$V$41:$AJ$54,13,FALSE)/2*$C66/78,0)</f>
        <v>2103271.7270868095</v>
      </c>
      <c r="BQ66" s="560">
        <f t="shared" ca="1" si="180"/>
        <v>24808278.454195786</v>
      </c>
      <c r="BR66" s="560">
        <f>IFERROR(HLOOKUP(B66-1,'EV Forecast WRZ'!$F$124:$T$130,4,FALSE)/12,0)+IFERROR(((HLOOKUP(B66,'EV Forecast WRZ'!$F$116:$T$122,4,FALSE)-HLOOKUP(B66-1,'EV Forecast WRZ'!$F$124:$T$130,4,FALSE)))*C66/78,0)</f>
        <v>5423.8175769230775</v>
      </c>
      <c r="BS66" s="560">
        <f ca="1">HLOOKUP(B66,Heating!$R$102:$AD$106,5,FALSE)*INDEX(Weather!$BO$1:$CB$20,MATCH(B66,Weather!$BO$1:$BO$20,0),MATCH(C66,Weather!$BO$1:$CB$1,0))/VLOOKUP(B66,Weather!$BO$2:$CB$20,14,FALSE)*
VLOOKUP('Monthly Data'!$B66,Weather!$BO$3:$CB$20,14,FALSE)/Weather!$CB$14</f>
        <v>10024.421404357941</v>
      </c>
      <c r="BT66" s="560">
        <f t="shared" ca="1" si="181"/>
        <v>24792830.215214506</v>
      </c>
      <c r="BU66" s="560">
        <v>7125840.781099325</v>
      </c>
      <c r="BV66" s="560">
        <f ca="1">IFERROR(VLOOKUP($B66-1,CDM!$V$4:$AJ$17,14,FALSE)/12,0)+IFERROR(VLOOKUP($B66,CDM!$V$41:$AJ$54,14,FALSE)/24,0)+IFERROR(VLOOKUP($B66,CDM!$V$41:$AJ$54,14,FALSE)/2*$C66/78,0)</f>
        <v>472900.45955183369</v>
      </c>
      <c r="BW66" s="560">
        <f t="shared" ca="1" si="182"/>
        <v>7598741.2406511586</v>
      </c>
      <c r="BX66" s="560">
        <f>IFERROR(HLOOKUP(B66-1,'EV Forecast WRZ'!$F$124:$T$130,5,FALSE)/12,0)+IFERROR(((HLOOKUP(B66,'EV Forecast WRZ'!$F$116:$T$122,5,FALSE)-HLOOKUP(B66-1,'EV Forecast WRZ'!$F$124:$T$130,5,FALSE)))*C66/78,0)</f>
        <v>748.47973076923086</v>
      </c>
      <c r="BY66" s="560">
        <f t="shared" ca="1" si="120"/>
        <v>7597992.7609203896</v>
      </c>
      <c r="BZ66" s="560">
        <v>193366.44346661563</v>
      </c>
      <c r="CA66" s="560">
        <v>2016.8585176295737</v>
      </c>
      <c r="CB66" s="560">
        <v>154485.99579108474</v>
      </c>
      <c r="CC66" s="5">
        <v>61553.89</v>
      </c>
      <c r="CD66" s="5">
        <v>11768.5</v>
      </c>
      <c r="CE66" s="5">
        <v>781.93</v>
      </c>
      <c r="CF66" s="544">
        <f t="shared" si="187"/>
        <v>5.916666666666667</v>
      </c>
      <c r="CG66" s="565">
        <v>42749.75</v>
      </c>
      <c r="CH66" s="565">
        <v>2320.25</v>
      </c>
      <c r="CI66" s="565">
        <v>389.75</v>
      </c>
      <c r="CJ66" s="565">
        <v>3</v>
      </c>
      <c r="CK66" s="565">
        <v>12971.91666666667</v>
      </c>
      <c r="CL66" s="565">
        <v>41.166666666666679</v>
      </c>
      <c r="CM66" s="565">
        <v>391.41666666666657</v>
      </c>
      <c r="CN66" s="46">
        <f>Weather!C90</f>
        <v>221.92222222222222</v>
      </c>
      <c r="CO66" s="46">
        <f>Weather!D90</f>
        <v>6.4541666666666622</v>
      </c>
      <c r="CP66" s="46">
        <f>Weather!E90</f>
        <v>173.64305555555555</v>
      </c>
      <c r="CQ66" s="46">
        <f>Weather!F90</f>
        <v>20.174999999999997</v>
      </c>
      <c r="CR66" s="46">
        <f>Weather!G90</f>
        <v>127.04305555555555</v>
      </c>
      <c r="CS66" s="46">
        <f>Weather!H90</f>
        <v>35.574999999999996</v>
      </c>
      <c r="CT66" s="46">
        <f>Weather!I90</f>
        <v>83.376388888888897</v>
      </c>
      <c r="CU66" s="46">
        <f>Weather!J90</f>
        <v>53.908333333333317</v>
      </c>
      <c r="CV66" s="46">
        <f>Weather!K90</f>
        <v>50.724999999999987</v>
      </c>
      <c r="CW66" s="46">
        <f>Weather!L90</f>
        <v>83.256944444444414</v>
      </c>
      <c r="CX66" s="46">
        <f>Weather!M90</f>
        <v>25.983333333333327</v>
      </c>
      <c r="CY66" s="46">
        <f>Weather!N90</f>
        <v>120.51527777777777</v>
      </c>
      <c r="CZ66" s="46">
        <f>Weather!O90</f>
        <v>8.125</v>
      </c>
      <c r="DA66" s="46">
        <f>Weather!P90</f>
        <v>164.65694444444446</v>
      </c>
      <c r="DB66" s="243">
        <f>'Economic Data'!D92</f>
        <v>7265.7</v>
      </c>
      <c r="DC66" s="243">
        <f>'Economic Data'!E92</f>
        <v>7247.3</v>
      </c>
      <c r="DD66" s="243">
        <f>'Economic Data'!F92</f>
        <v>207.8</v>
      </c>
      <c r="DE66" s="243">
        <f>'Economic Data'!G92</f>
        <v>209.3</v>
      </c>
      <c r="DF66" s="243">
        <f>'Economic Data'!H92</f>
        <v>49.5</v>
      </c>
      <c r="DG66" s="243">
        <f>'Economic Data'!I92</f>
        <v>49.5</v>
      </c>
      <c r="DH66" s="243">
        <f>'Economic Data'!J92</f>
        <v>817265.5</v>
      </c>
      <c r="DI66" s="243">
        <f>'Economic Data'!K92</f>
        <v>634181.69999999995</v>
      </c>
      <c r="DJ66" s="243">
        <f>'Economic Data'!L92</f>
        <v>92312.5</v>
      </c>
      <c r="DK66" s="243">
        <f>'Economic Data'!M92</f>
        <v>25225.4</v>
      </c>
      <c r="DL66" s="243">
        <f>'Economic Data'!N92</f>
        <v>803585</v>
      </c>
      <c r="DM66" s="243">
        <f>'Economic Data'!O92</f>
        <v>90340</v>
      </c>
      <c r="DN66" s="243">
        <f>'Economic Data'!P92</f>
        <v>13987</v>
      </c>
      <c r="DO66" s="243">
        <f>'Economic Data'!Q92</f>
        <v>620218</v>
      </c>
      <c r="DP66" s="243">
        <f>'Economic Data'!R92</f>
        <v>24117</v>
      </c>
      <c r="DQ66">
        <v>31</v>
      </c>
      <c r="DR66">
        <v>20</v>
      </c>
      <c r="DS66">
        <v>0</v>
      </c>
      <c r="DT66">
        <v>0</v>
      </c>
      <c r="DU66">
        <v>0</v>
      </c>
      <c r="DV66">
        <v>0</v>
      </c>
      <c r="DW66">
        <v>1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1</v>
      </c>
      <c r="EF66">
        <v>0</v>
      </c>
      <c r="EG66">
        <v>1</v>
      </c>
      <c r="EH66">
        <f t="shared" si="185"/>
        <v>65</v>
      </c>
      <c r="EI66">
        <v>1</v>
      </c>
      <c r="EJ66">
        <v>0.5</v>
      </c>
      <c r="EK66">
        <v>0.75</v>
      </c>
      <c r="EL66">
        <v>0</v>
      </c>
      <c r="EM66" s="47">
        <f t="shared" si="121"/>
        <v>110.96111111111111</v>
      </c>
      <c r="EN66" s="47">
        <f t="shared" si="122"/>
        <v>3.2270833333333311</v>
      </c>
      <c r="EO66" s="47">
        <f t="shared" si="123"/>
        <v>86.821527777777774</v>
      </c>
      <c r="EP66" s="47">
        <f t="shared" si="124"/>
        <v>10.087499999999999</v>
      </c>
      <c r="EQ66" s="47">
        <f t="shared" si="125"/>
        <v>63.521527777777777</v>
      </c>
      <c r="ER66" s="47">
        <f t="shared" si="126"/>
        <v>17.787499999999998</v>
      </c>
      <c r="ES66" s="47">
        <f t="shared" si="127"/>
        <v>41.688194444444449</v>
      </c>
      <c r="ET66" s="47">
        <f t="shared" si="128"/>
        <v>26.954166666666659</v>
      </c>
      <c r="EU66" s="47">
        <f t="shared" si="129"/>
        <v>25.362499999999994</v>
      </c>
      <c r="EV66" s="47">
        <f t="shared" si="130"/>
        <v>41.628472222222207</v>
      </c>
      <c r="EW66" s="47">
        <f t="shared" si="131"/>
        <v>12.991666666666664</v>
      </c>
      <c r="EX66" s="47">
        <f t="shared" si="132"/>
        <v>60.257638888888884</v>
      </c>
      <c r="EY66" s="47">
        <f t="shared" si="133"/>
        <v>4.0625</v>
      </c>
      <c r="EZ66" s="47">
        <f t="shared" si="134"/>
        <v>82.328472222222231</v>
      </c>
      <c r="FA66" s="47">
        <f t="shared" si="135"/>
        <v>166.44166666666666</v>
      </c>
      <c r="FB66" s="47">
        <f t="shared" si="136"/>
        <v>4.8406249999999966</v>
      </c>
      <c r="FC66" s="47">
        <f t="shared" si="137"/>
        <v>130.23229166666667</v>
      </c>
      <c r="FD66" s="47">
        <f t="shared" si="138"/>
        <v>15.131249999999998</v>
      </c>
      <c r="FE66" s="47">
        <f t="shared" si="139"/>
        <v>95.282291666666666</v>
      </c>
      <c r="FF66" s="47">
        <f t="shared" si="140"/>
        <v>26.681249999999999</v>
      </c>
      <c r="FG66" s="47">
        <f t="shared" si="141"/>
        <v>62.532291666666673</v>
      </c>
      <c r="FH66" s="47">
        <f t="shared" si="142"/>
        <v>40.431249999999991</v>
      </c>
      <c r="FI66" s="47">
        <f t="shared" si="143"/>
        <v>38.043749999999989</v>
      </c>
      <c r="FJ66" s="47">
        <f t="shared" si="144"/>
        <v>62.442708333333314</v>
      </c>
      <c r="FK66" s="47">
        <f t="shared" si="145"/>
        <v>19.487499999999997</v>
      </c>
      <c r="FL66" s="47">
        <f t="shared" si="146"/>
        <v>90.386458333333323</v>
      </c>
      <c r="FM66" s="47">
        <f t="shared" si="147"/>
        <v>6.09375</v>
      </c>
      <c r="FN66" s="47">
        <f t="shared" si="148"/>
        <v>123.49270833333335</v>
      </c>
      <c r="FO66" s="546">
        <f t="shared" ca="1" si="149"/>
        <v>657.92397591007989</v>
      </c>
      <c r="FP66" s="546">
        <f t="shared" ca="1" si="150"/>
        <v>614.63429326921118</v>
      </c>
      <c r="FQ66" s="546">
        <f t="shared" ca="1" si="151"/>
        <v>2116.0432235070512</v>
      </c>
      <c r="FR66" s="546">
        <f t="shared" ca="1" si="152"/>
        <v>71245.095832737105</v>
      </c>
      <c r="FS66" s="546">
        <f t="shared" ca="1" si="153"/>
        <v>1558566.1519312009</v>
      </c>
      <c r="FT66" s="546">
        <f t="shared" ca="1" si="154"/>
        <v>6802215.5470521022</v>
      </c>
      <c r="FU66" s="546">
        <f t="shared" si="155"/>
        <v>23.356815528638915</v>
      </c>
      <c r="FV66" s="546">
        <f t="shared" si="156"/>
        <v>68.40450703880451</v>
      </c>
      <c r="FW66" s="546">
        <f t="shared" si="157"/>
        <v>474.18037488528734</v>
      </c>
      <c r="FX66" s="546">
        <f t="shared" ca="1" si="158"/>
        <v>704.71841779027602</v>
      </c>
      <c r="FY66" s="546">
        <f t="shared" ca="1" si="159"/>
        <v>2549.1217935926461</v>
      </c>
      <c r="FZ66" s="546">
        <f t="shared" ca="1" si="160"/>
        <v>63651.772813844225</v>
      </c>
      <c r="GA66" s="546">
        <f t="shared" si="161"/>
        <v>64455.481155538546</v>
      </c>
      <c r="GB66" s="546">
        <f t="shared" si="162"/>
        <v>14.90654376184056</v>
      </c>
      <c r="GC66" s="546">
        <f t="shared" si="163"/>
        <v>48.992514598289226</v>
      </c>
      <c r="GD66" s="546">
        <f t="shared" si="164"/>
        <v>394.68425580008886</v>
      </c>
    </row>
    <row r="67" spans="1:186">
      <c r="A67" s="4">
        <v>44348</v>
      </c>
      <c r="B67" s="6">
        <v>2021</v>
      </c>
      <c r="C67" s="5">
        <v>6</v>
      </c>
      <c r="D67" s="7">
        <v>88028425.06959644</v>
      </c>
      <c r="E67" s="7">
        <f ca="1">IFERROR(VLOOKUP($B67-1,CDM!$V$4:$AJ$17,2,FALSE)/12,0)+IFERROR(VLOOKUP($B67,CDM!$V$41:$AJ$54,2,FALSE)/24,0)+IFERROR(VLOOKUP($B67,CDM!$V$41:$AJ$54,2,FALSE)/2*$C67/78,0)</f>
        <v>3843241.4298448353</v>
      </c>
      <c r="F67" s="7">
        <f t="shared" ca="1" si="165"/>
        <v>91871666.499441281</v>
      </c>
      <c r="G67" s="7">
        <f>IFERROR(HLOOKUP(B67-1,'EV Forecast VRZ'!$F$124:$T$130,2,FALSE)/12,0)+IFERROR(((HLOOKUP(B67,'EV Forecast VRZ'!$F$116:$T$122,2,FALSE)-HLOOKUP(B67-1,'EV Forecast VRZ'!$F$124:$T$130,2,FALSE)))*C67/78,0)</f>
        <v>315257.61110468931</v>
      </c>
      <c r="H67" s="7">
        <f ca="1">HLOOKUP(B67,Heating!$C$102:$O$106,2,FALSE)*INDEX(Weather!$BO$1:$CB$20,MATCH(B67,Weather!$BO$1:$BO$20,0),MATCH(C67,Weather!$BO$1:$CB$1,0))/VLOOKUP(B67,Weather!$BO$2:$CB$20,14,FALSE)*
VLOOKUP('Monthly Data'!$B67,Weather!$BO$3:$CB$20,14,FALSE)/Weather!$CB$14</f>
        <v>20999.311866568587</v>
      </c>
      <c r="I67" s="7">
        <f t="shared" ca="1" si="166"/>
        <v>91535409.576470032</v>
      </c>
      <c r="J67" s="7">
        <v>792059.19448578509</v>
      </c>
      <c r="K67" s="7">
        <f ca="1">IFERROR(VLOOKUP($B67-1,CDM!$V$4:$AJ$17,3,FALSE)/12,0)+IFERROR(VLOOKUP($B67,CDM!$V$41:$AJ$54,3,FALSE)/24,0)+IFERROR(VLOOKUP($B67,CDM!$V$41:$AJ$54,3,FALSE)/2*$C67/78,0)</f>
        <v>44019.732441757944</v>
      </c>
      <c r="L67" s="7">
        <f t="shared" ca="1" si="167"/>
        <v>836078.92692754301</v>
      </c>
      <c r="M67" s="7">
        <f>IFERROR(HLOOKUP(B67-1,'EV Forecast VRZ'!$F$124:$T$130,3,FALSE)/12,0)+IFERROR(((HLOOKUP(B67,'EV Forecast VRZ'!$F$116:$T$122,3,FALSE)-HLOOKUP(B67-1,'EV Forecast VRZ'!$F$124:$T$130,3,FALSE)))*C67/78,0)</f>
        <v>4277.7751773619966</v>
      </c>
      <c r="N67" s="7">
        <f ca="1">HLOOKUP(B67,Heating!$C$102:$O$106,3,FALSE)*INDEX(Weather!$BO$1:$CB$20,MATCH(B67,Weather!$BO$1:$BO$20,0),MATCH(C67,Weather!$BO$1:$CB$1,0))/VLOOKUP(B67,Weather!$BO$2:$CB$20,14,FALSE)*
VLOOKUP('Monthly Data'!$B67,Weather!$BO$3:$CB$20,14,FALSE)/Weather!$CB$14</f>
        <v>262.57041625054495</v>
      </c>
      <c r="O67" s="7">
        <f t="shared" ca="1" si="168"/>
        <v>831538.58133393049</v>
      </c>
      <c r="P67" s="7">
        <v>20476730.566246897</v>
      </c>
      <c r="Q67" s="7">
        <f ca="1">IFERROR(VLOOKUP($B67-1,CDM!$V$4:$AJ$17,4,FALSE)/12,0)+IFERROR(VLOOKUP($B67,CDM!$V$41:$AJ$54,4,FALSE)/24,0)+IFERROR(VLOOKUP($B67,CDM!$V$41:$AJ$54,4,FALSE)/2*$C67/78,0)</f>
        <v>1405582.5875267987</v>
      </c>
      <c r="R67" s="7">
        <f t="shared" ca="1" si="169"/>
        <v>21882313.153773695</v>
      </c>
      <c r="S67" s="7">
        <f>IFERROR(HLOOKUP(B67-1,'EV Forecast VRZ'!$F$124:$T$130,4,FALSE)/12,0)+IFERROR(((HLOOKUP(B67,'EV Forecast VRZ'!$F$116:$T$122,4,FALSE)-HLOOKUP(B67-1,'EV Forecast VRZ'!$F$124:$T$130,4,FALSE)))*C67/78,0)</f>
        <v>39003.484358974361</v>
      </c>
      <c r="T67" s="7">
        <f ca="1">HLOOKUP(B67,Heating!$C$102:$O$106,4,FALSE)*INDEX(Weather!$BO$1:$CB$20,MATCH(B67,Weather!$BO$1:$BO$20,0),MATCH(C67,Weather!$BO$1:$CB$1,0))/VLOOKUP(B67,Weather!$BO$2:$CB$20,14,FALSE)*
VLOOKUP('Monthly Data'!$B67,Weather!$BO$3:$CB$20,14,FALSE)/Weather!$CB$14</f>
        <v>5143.0631577496706</v>
      </c>
      <c r="U67" s="7">
        <f t="shared" ca="1" si="170"/>
        <v>21838166.606256973</v>
      </c>
      <c r="V67" s="7">
        <v>74592074.726455495</v>
      </c>
      <c r="W67" s="7">
        <f ca="1">IFERROR(VLOOKUP($B67-1,CDM!$V$4:$AJ$17,5,FALSE)/12,0)+IFERROR(VLOOKUP($B67,CDM!$V$41:$AJ$54,5,FALSE)/24,0)+IFERROR(VLOOKUP($B67,CDM!$V$41:$AJ$54,5,FALSE)/2*$C67/78,0)</f>
        <v>5299534.4988811165</v>
      </c>
      <c r="X67" s="7">
        <f t="shared" ca="1" si="171"/>
        <v>79891609.225336611</v>
      </c>
      <c r="Y67" s="7">
        <f>IFERROR(HLOOKUP(B67-1,'EV Forecast VRZ'!$F$124:$T$130,5,FALSE)/12,0)+IFERROR(((HLOOKUP(B67,'EV Forecast VRZ'!$F$116:$T$122,5,FALSE)-HLOOKUP(B67-1,'EV Forecast VRZ'!$F$124:$T$130,5,FALSE)))*C67/78,0)</f>
        <v>17665.798730769231</v>
      </c>
      <c r="Z67" s="7">
        <f ca="1">HLOOKUP(B67,Heating!$C$102:$O$106,5,FALSE)*INDEX(Weather!$BO$1:$CB$20,MATCH(B67,Weather!$BO$1:$BO$20,0),MATCH(C67,Weather!$BO$1:$CB$1,0))/VLOOKUP(B67,Weather!$BO$2:$CB$20,14,FALSE)*
VLOOKUP('Monthly Data'!$B67,Weather!$BO$3:$CB$20,14,FALSE)/Weather!$CB$14</f>
        <v>2788.7864519913487</v>
      </c>
      <c r="AA67" s="7">
        <f t="shared" ca="1" si="172"/>
        <v>79871154.64015384</v>
      </c>
      <c r="AB67" s="7">
        <v>8063772.0988082821</v>
      </c>
      <c r="AC67" s="7">
        <f ca="1">IFERROR(VLOOKUP($B67-1,CDM!$V$4:$AJ$17,6,FALSE)/12,0)+IFERROR(VLOOKUP($B67,CDM!$V$41:$AJ$54,6,FALSE)/24,0)+IFERROR(VLOOKUP($B67,CDM!$V$41:$AJ$54,6,FALSE)/2*$C67/78,0)</f>
        <v>241850.10249550024</v>
      </c>
      <c r="AD67" s="7">
        <f t="shared" ca="1" si="173"/>
        <v>8305622.2013037819</v>
      </c>
      <c r="AE67" s="7">
        <f>IFERROR(HLOOKUP(B67-1,'EV Forecast VRZ'!$F$124:$T$130,6,FALSE)/12,0)+IFERROR(((HLOOKUP(B67,'EV Forecast VRZ'!$F$116:$T$122,6,FALSE)-HLOOKUP(B67-1,'EV Forecast VRZ'!$F$124:$T$130,6,FALSE)))*C67/78,0)</f>
        <v>2407.0972948717945</v>
      </c>
      <c r="AF67" s="7">
        <f t="shared" ca="1" si="174"/>
        <v>8303215.1040089102</v>
      </c>
      <c r="AG67" s="7">
        <v>24775032.262593575</v>
      </c>
      <c r="AH67" s="7">
        <f ca="1">IFERROR(VLOOKUP($B67-1,CDM!$V$4:$AJ$17,7,FALSE)/12,0)+IFERROR(VLOOKUP($B67,CDM!$V$41:$AJ$54,7,FALSE)/24,0)+IFERROR(VLOOKUP($B67,CDM!$V$41:$AJ$54,7,FALSE)/2*$C67/78,0)</f>
        <v>1717557.0717012924</v>
      </c>
      <c r="AI67" s="7">
        <f t="shared" ca="1" si="175"/>
        <v>26492589.334294867</v>
      </c>
      <c r="AJ67" s="7">
        <f>IFERROR(HLOOKUP(B67-1,'EV Forecast VRZ'!$F$124:$T$130,7,FALSE)/12,0)+IFERROR(((HLOOKUP(B67,'EV Forecast VRZ'!$F$116:$T$122,7,FALSE)-HLOOKUP(B67-1,'EV Forecast VRZ'!$F$124:$T$130,7,FALSE)))*C67/78,0)</f>
        <v>0</v>
      </c>
      <c r="AK67" s="7">
        <f t="shared" ca="1" si="176"/>
        <v>26492589.334294867</v>
      </c>
      <c r="AL67" s="7">
        <v>664160.26521656173</v>
      </c>
      <c r="AM67" s="7">
        <v>18952.661705781342</v>
      </c>
      <c r="AN67" s="7">
        <v>380421.01698149205</v>
      </c>
      <c r="AO67" s="5">
        <v>192401.16</v>
      </c>
      <c r="AP67" s="5">
        <v>18458.09</v>
      </c>
      <c r="AQ67" s="5">
        <v>47757</v>
      </c>
      <c r="AR67" s="5">
        <v>2579.34</v>
      </c>
      <c r="AS67" s="544">
        <f t="shared" si="186"/>
        <v>52.666666666666664</v>
      </c>
      <c r="AT67" s="557">
        <v>113027.49999999997</v>
      </c>
      <c r="AU67" s="557">
        <v>1559.0000000000005</v>
      </c>
      <c r="AV67" s="557">
        <v>9312.4999999999964</v>
      </c>
      <c r="AW67" s="557">
        <v>1051.5000000000005</v>
      </c>
      <c r="AX67" s="557">
        <v>5.4999999999999982</v>
      </c>
      <c r="AY67" s="557">
        <v>4</v>
      </c>
      <c r="AZ67" s="557">
        <v>31673.999999999993</v>
      </c>
      <c r="BA67" s="557">
        <v>248.99999999999994</v>
      </c>
      <c r="BB67" s="557">
        <v>801.5</v>
      </c>
      <c r="BC67" s="560">
        <v>37073022.815946147</v>
      </c>
      <c r="BD67" s="560">
        <f ca="1">IFERROR(VLOOKUP($B67-1,CDM!$V$4:$AJ$17,11,FALSE)/12,0)+IFERROR(VLOOKUP($B67,CDM!$V$41:$AJ$54,11,FALSE)/24,0)+IFERROR(VLOOKUP($B67,CDM!$V$41:$AJ$54,11,FALSE)/2*$C67/78,0)</f>
        <v>1706254.8428119861</v>
      </c>
      <c r="BE67" s="560">
        <f t="shared" ca="1" si="119"/>
        <v>38779277.658758134</v>
      </c>
      <c r="BF67" s="560">
        <f>IFERROR(HLOOKUP(B67-1,'EV Forecast WRZ'!$F$124:$T$130,2,FALSE)/12,0)+IFERROR(((HLOOKUP(B67,'EV Forecast WRZ'!$F$116:$T$122,2,FALSE)-HLOOKUP(B67-1,'EV Forecast WRZ'!$F$124:$T$130,2,FALSE)))*C67/78,0)</f>
        <v>101112.11474358974</v>
      </c>
      <c r="BG67" s="560">
        <f ca="1">HLOOKUP(B67,Heating!$R$102:$AD$106,2,FALSE)*INDEX(Weather!$BO$1:$CB$20,MATCH(B67,Weather!$BO$1:$BO$20,0),MATCH(C67,Weather!$BO$1:$CB$1,0))/VLOOKUP(B67,Weather!$BO$2:$CB$20,14,FALSE)*
VLOOKUP('Monthly Data'!$B67,Weather!$BO$3:$CB$20,14,FALSE)/Weather!$CB$14</f>
        <v>8903.5492546979349</v>
      </c>
      <c r="BH67" s="560">
        <f t="shared" ca="1" si="177"/>
        <v>38669261.994759843</v>
      </c>
      <c r="BI67" s="560">
        <v>6454557.4365984397</v>
      </c>
      <c r="BJ67" s="560">
        <f ca="1">IFERROR(VLOOKUP($B67-1,CDM!$V$4:$AJ$17,12,FALSE)/12,0)+IFERROR(VLOOKUP($B67,CDM!$V$41:$AJ$54,12,FALSE)/24,0)+IFERROR(VLOOKUP($B67,CDM!$V$41:$AJ$54,12,FALSE)/2*$C67/78,0)</f>
        <v>230761.75865231952</v>
      </c>
      <c r="BK67" s="560">
        <f t="shared" ca="1" si="178"/>
        <v>6685319.1952507589</v>
      </c>
      <c r="BL67" s="560">
        <f>IFERROR(HLOOKUP(B67-1,'EV Forecast WRZ'!$F$124:$T$130,3,FALSE)/12,0)+IFERROR(((HLOOKUP(B67,'EV Forecast WRZ'!$F$116:$T$122,3,FALSE)-HLOOKUP(B67-1,'EV Forecast WRZ'!$F$124:$T$130,3,FALSE)))*C67/78,0)</f>
        <v>12358.778205128207</v>
      </c>
      <c r="BM67" s="560">
        <f ca="1">HLOOKUP(B67,Heating!$R$102:$AD$106,4,FALSE)*INDEX(Weather!$BO$1:$CB$20,MATCH(B67,Weather!$BO$1:$BO$20,0),MATCH(C67,Weather!$BO$1:$CB$1,0))/VLOOKUP(B67,Weather!$BO$2:$CB$20,14,FALSE)*
VLOOKUP('Monthly Data'!$B67,Weather!$BO$3:$CB$20,14,FALSE)/Weather!$CB$14</f>
        <v>1344.7363725183322</v>
      </c>
      <c r="BN67" s="560">
        <f t="shared" ca="1" si="179"/>
        <v>6671615.6806731122</v>
      </c>
      <c r="BO67" s="560">
        <v>25166298.08225758</v>
      </c>
      <c r="BP67" s="560">
        <f ca="1">IFERROR(VLOOKUP($B67-1,CDM!$V$4:$AJ$17,13,FALSE)/12,0)+IFERROR(VLOOKUP($B67,CDM!$V$41:$AJ$54,13,FALSE)/24,0)+IFERROR(VLOOKUP($B67,CDM!$V$41:$AJ$54,13,FALSE)/2*$C67/78,0)</f>
        <v>2125694.5362775964</v>
      </c>
      <c r="BQ67" s="560">
        <f t="shared" ca="1" si="180"/>
        <v>27291992.618535176</v>
      </c>
      <c r="BR67" s="560">
        <f>IFERROR(HLOOKUP(B67-1,'EV Forecast WRZ'!$F$124:$T$130,4,FALSE)/12,0)+IFERROR(((HLOOKUP(B67,'EV Forecast WRZ'!$F$116:$T$122,4,FALSE)-HLOOKUP(B67-1,'EV Forecast WRZ'!$F$124:$T$130,4,FALSE)))*C67/78,0)</f>
        <v>5598.9501923076932</v>
      </c>
      <c r="BS67" s="560">
        <f ca="1">HLOOKUP(B67,Heating!$R$102:$AD$106,5,FALSE)*INDEX(Weather!$BO$1:$CB$20,MATCH(B67,Weather!$BO$1:$BO$20,0),MATCH(C67,Weather!$BO$1:$CB$1,0))/VLOOKUP(B67,Weather!$BO$2:$CB$20,14,FALSE)*
VLOOKUP('Monthly Data'!$B67,Weather!$BO$3:$CB$20,14,FALSE)/Weather!$CB$14</f>
        <v>822.89368254581666</v>
      </c>
      <c r="BT67" s="560">
        <f t="shared" ca="1" si="181"/>
        <v>27285570.774660323</v>
      </c>
      <c r="BU67" s="560">
        <v>6936615.515911283</v>
      </c>
      <c r="BV67" s="560">
        <f ca="1">IFERROR(VLOOKUP($B67-1,CDM!$V$4:$AJ$17,14,FALSE)/12,0)+IFERROR(VLOOKUP($B67,CDM!$V$41:$AJ$54,14,FALSE)/24,0)+IFERROR(VLOOKUP($B67,CDM!$V$41:$AJ$54,14,FALSE)/2*$C67/78,0)</f>
        <v>477944.94083622325</v>
      </c>
      <c r="BW67" s="560">
        <f t="shared" ca="1" si="182"/>
        <v>7414560.4567475058</v>
      </c>
      <c r="BX67" s="560">
        <f>IFERROR(HLOOKUP(B67-1,'EV Forecast WRZ'!$F$124:$T$130,5,FALSE)/12,0)+IFERROR(((HLOOKUP(B67,'EV Forecast WRZ'!$F$116:$T$122,5,FALSE)-HLOOKUP(B67-1,'EV Forecast WRZ'!$F$124:$T$130,5,FALSE)))*C67/78,0)</f>
        <v>767.9389102564104</v>
      </c>
      <c r="BY67" s="560">
        <f t="shared" ca="1" si="120"/>
        <v>7413792.5178372497</v>
      </c>
      <c r="BZ67" s="560">
        <v>155862.72240290797</v>
      </c>
      <c r="CA67" s="560">
        <v>2276.3993415527784</v>
      </c>
      <c r="CB67" s="560">
        <v>154485.97665965182</v>
      </c>
      <c r="CC67" s="5">
        <v>67486.210000000006</v>
      </c>
      <c r="CD67" s="5">
        <v>11520.36</v>
      </c>
      <c r="CE67" s="5">
        <v>781.93</v>
      </c>
      <c r="CF67" s="544">
        <f t="shared" si="187"/>
        <v>5.916666666666667</v>
      </c>
      <c r="CG67" s="565">
        <v>42848.5</v>
      </c>
      <c r="CH67" s="565">
        <v>2324.5</v>
      </c>
      <c r="CI67" s="565">
        <v>390.5</v>
      </c>
      <c r="CJ67" s="565">
        <v>3</v>
      </c>
      <c r="CK67" s="565">
        <v>13006.500000000004</v>
      </c>
      <c r="CL67" s="565">
        <v>42.000000000000014</v>
      </c>
      <c r="CM67" s="565">
        <v>391.49999999999989</v>
      </c>
      <c r="CN67" s="46">
        <f>Weather!C91</f>
        <v>36.066666666666677</v>
      </c>
      <c r="CO67" s="46">
        <f>Weather!D91</f>
        <v>37.74166666666666</v>
      </c>
      <c r="CP67" s="46">
        <f>Weather!E91</f>
        <v>14.254166666666677</v>
      </c>
      <c r="CQ67" s="46">
        <f>Weather!F91</f>
        <v>75.92916666666666</v>
      </c>
      <c r="CR67" s="46">
        <f>Weather!G91</f>
        <v>3.2708333333333357</v>
      </c>
      <c r="CS67" s="46">
        <f>Weather!H91</f>
        <v>124.94583333333331</v>
      </c>
      <c r="CT67" s="46">
        <f>Weather!I91</f>
        <v>0</v>
      </c>
      <c r="CU67" s="46">
        <f>Weather!J91</f>
        <v>181.67499999999995</v>
      </c>
      <c r="CV67" s="46">
        <f>Weather!K91</f>
        <v>0</v>
      </c>
      <c r="CW67" s="46">
        <f>Weather!L91</f>
        <v>241.67500000000001</v>
      </c>
      <c r="CX67" s="46">
        <f>Weather!M91</f>
        <v>0</v>
      </c>
      <c r="CY67" s="46">
        <f>Weather!N91</f>
        <v>301.67500000000001</v>
      </c>
      <c r="CZ67" s="46">
        <f>Weather!O91</f>
        <v>0</v>
      </c>
      <c r="DA67" s="46">
        <f>Weather!P91</f>
        <v>361.67500000000001</v>
      </c>
      <c r="DB67" s="243">
        <f>'Economic Data'!D93</f>
        <v>7250</v>
      </c>
      <c r="DC67" s="243">
        <f>'Economic Data'!E93</f>
        <v>7295.8</v>
      </c>
      <c r="DD67" s="243">
        <f>'Economic Data'!F93</f>
        <v>208</v>
      </c>
      <c r="DE67" s="243">
        <f>'Economic Data'!G93</f>
        <v>210.4</v>
      </c>
      <c r="DF67" s="243">
        <f>'Economic Data'!H93</f>
        <v>45.3</v>
      </c>
      <c r="DG67" s="243">
        <f>'Economic Data'!I93</f>
        <v>45.3</v>
      </c>
      <c r="DH67" s="243">
        <f>'Economic Data'!J93</f>
        <v>817265.5</v>
      </c>
      <c r="DI67" s="243">
        <f>'Economic Data'!K93</f>
        <v>634181.69999999995</v>
      </c>
      <c r="DJ67" s="243">
        <f>'Economic Data'!L93</f>
        <v>92312.5</v>
      </c>
      <c r="DK67" s="243">
        <f>'Economic Data'!M93</f>
        <v>25225.4</v>
      </c>
      <c r="DL67" s="243">
        <f>'Economic Data'!N93</f>
        <v>803585</v>
      </c>
      <c r="DM67" s="243">
        <f>'Economic Data'!O93</f>
        <v>90340</v>
      </c>
      <c r="DN67" s="243">
        <f>'Economic Data'!P93</f>
        <v>13987</v>
      </c>
      <c r="DO67" s="243">
        <f>'Economic Data'!Q93</f>
        <v>620218</v>
      </c>
      <c r="DP67" s="243">
        <f>'Economic Data'!R93</f>
        <v>24117</v>
      </c>
      <c r="DQ67">
        <v>30</v>
      </c>
      <c r="DR67">
        <v>22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1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f t="shared" si="185"/>
        <v>66</v>
      </c>
      <c r="EI67">
        <v>1</v>
      </c>
      <c r="EJ67">
        <v>0.5</v>
      </c>
      <c r="EK67">
        <v>0.75</v>
      </c>
      <c r="EL67">
        <v>0</v>
      </c>
      <c r="EM67" s="47">
        <f t="shared" si="121"/>
        <v>18.033333333333339</v>
      </c>
      <c r="EN67" s="47">
        <f t="shared" si="122"/>
        <v>18.87083333333333</v>
      </c>
      <c r="EO67" s="47">
        <f t="shared" si="123"/>
        <v>7.1270833333333385</v>
      </c>
      <c r="EP67" s="47">
        <f t="shared" si="124"/>
        <v>37.96458333333333</v>
      </c>
      <c r="EQ67" s="47">
        <f t="shared" si="125"/>
        <v>1.6354166666666679</v>
      </c>
      <c r="ER67" s="47">
        <f t="shared" si="126"/>
        <v>62.472916666666656</v>
      </c>
      <c r="ES67" s="47">
        <f t="shared" si="127"/>
        <v>0</v>
      </c>
      <c r="ET67" s="47">
        <f t="shared" si="128"/>
        <v>90.837499999999977</v>
      </c>
      <c r="EU67" s="47">
        <f t="shared" si="129"/>
        <v>0</v>
      </c>
      <c r="EV67" s="47">
        <f t="shared" si="130"/>
        <v>120.83750000000001</v>
      </c>
      <c r="EW67" s="47">
        <f t="shared" si="131"/>
        <v>0</v>
      </c>
      <c r="EX67" s="47">
        <f t="shared" si="132"/>
        <v>150.83750000000001</v>
      </c>
      <c r="EY67" s="47">
        <f t="shared" si="133"/>
        <v>0</v>
      </c>
      <c r="EZ67" s="47">
        <f t="shared" si="134"/>
        <v>180.83750000000001</v>
      </c>
      <c r="FA67" s="47">
        <f t="shared" si="135"/>
        <v>27.050000000000008</v>
      </c>
      <c r="FB67" s="47">
        <f t="shared" si="136"/>
        <v>28.306249999999995</v>
      </c>
      <c r="FC67" s="47">
        <f t="shared" si="137"/>
        <v>10.690625000000008</v>
      </c>
      <c r="FD67" s="47">
        <f t="shared" si="138"/>
        <v>56.946874999999991</v>
      </c>
      <c r="FE67" s="47">
        <f t="shared" si="139"/>
        <v>2.4531250000000018</v>
      </c>
      <c r="FF67" s="47">
        <f t="shared" si="140"/>
        <v>93.70937499999998</v>
      </c>
      <c r="FG67" s="47">
        <f t="shared" si="141"/>
        <v>0</v>
      </c>
      <c r="FH67" s="47">
        <f t="shared" si="142"/>
        <v>136.25624999999997</v>
      </c>
      <c r="FI67" s="47">
        <f t="shared" si="143"/>
        <v>0</v>
      </c>
      <c r="FJ67" s="47">
        <f t="shared" si="144"/>
        <v>181.25625000000002</v>
      </c>
      <c r="FK67" s="47">
        <f t="shared" si="145"/>
        <v>0</v>
      </c>
      <c r="FL67" s="47">
        <f t="shared" si="146"/>
        <v>226.25625000000002</v>
      </c>
      <c r="FM67" s="47">
        <f t="shared" si="147"/>
        <v>0</v>
      </c>
      <c r="FN67" s="47">
        <f t="shared" si="148"/>
        <v>271.25625000000002</v>
      </c>
      <c r="FO67" s="546">
        <f t="shared" ca="1" si="149"/>
        <v>809.85078477777586</v>
      </c>
      <c r="FP67" s="546">
        <f t="shared" ca="1" si="150"/>
        <v>536.29180688104088</v>
      </c>
      <c r="FQ67" s="546">
        <f t="shared" ca="1" si="151"/>
        <v>2349.7785936938208</v>
      </c>
      <c r="FR67" s="546">
        <f t="shared" ca="1" si="152"/>
        <v>75978.705872883103</v>
      </c>
      <c r="FS67" s="546">
        <f t="shared" ca="1" si="153"/>
        <v>1510113.1275097791</v>
      </c>
      <c r="FT67" s="546">
        <f t="shared" ca="1" si="154"/>
        <v>6623147.3335737167</v>
      </c>
      <c r="FU67" s="546">
        <f t="shared" si="155"/>
        <v>20.968626167094836</v>
      </c>
      <c r="FV67" s="546">
        <f t="shared" si="156"/>
        <v>76.115107252133924</v>
      </c>
      <c r="FW67" s="546">
        <f t="shared" si="157"/>
        <v>474.6363281116557</v>
      </c>
      <c r="FX67" s="546">
        <f t="shared" ca="1" si="158"/>
        <v>905.03232689027936</v>
      </c>
      <c r="FY67" s="546">
        <f t="shared" ca="1" si="159"/>
        <v>2876.0246053993369</v>
      </c>
      <c r="FZ67" s="546">
        <f t="shared" ca="1" si="160"/>
        <v>69889.865860525417</v>
      </c>
      <c r="GA67" s="546">
        <f t="shared" si="161"/>
        <v>51954.240800969324</v>
      </c>
      <c r="GB67" s="546">
        <f t="shared" si="162"/>
        <v>11.983448460608766</v>
      </c>
      <c r="GC67" s="546">
        <f t="shared" si="163"/>
        <v>54.199984322685182</v>
      </c>
      <c r="GD67" s="546">
        <f t="shared" si="164"/>
        <v>394.60019581009414</v>
      </c>
    </row>
    <row r="68" spans="1:186">
      <c r="A68" s="4">
        <v>44378</v>
      </c>
      <c r="B68" s="6">
        <v>2021</v>
      </c>
      <c r="C68" s="5">
        <v>7</v>
      </c>
      <c r="D68" s="7">
        <v>93725964.654082611</v>
      </c>
      <c r="E68" s="7">
        <f ca="1">IFERROR(VLOOKUP($B68-1,CDM!$V$4:$AJ$17,2,FALSE)/12,0)+IFERROR(VLOOKUP($B68,CDM!$V$41:$AJ$54,2,FALSE)/24,0)+IFERROR(VLOOKUP($B68,CDM!$V$41:$AJ$54,2,FALSE)/2*$C68/78,0)</f>
        <v>3844181.1238133516</v>
      </c>
      <c r="F68" s="7">
        <f t="shared" ca="1" si="165"/>
        <v>97570145.777895957</v>
      </c>
      <c r="G68" s="7">
        <f>IFERROR(HLOOKUP(B68-1,'EV Forecast VRZ'!$F$124:$T$130,2,FALSE)/12,0)+IFERROR(((HLOOKUP(B68,'EV Forecast VRZ'!$F$116:$T$122,2,FALSE)-HLOOKUP(B68-1,'EV Forecast VRZ'!$F$124:$T$130,2,FALSE)))*C68/78,0)</f>
        <v>324663.80456919759</v>
      </c>
      <c r="H68" s="7">
        <f ca="1">HLOOKUP(B68,Heating!$C$102:$O$106,2,FALSE)*INDEX(Weather!$BO$1:$CB$20,MATCH(B68,Weather!$BO$1:$BO$20,0),MATCH(C68,Weather!$BO$1:$CB$1,0))/VLOOKUP(B68,Weather!$BO$2:$CB$20,14,FALSE)*
VLOOKUP('Monthly Data'!$B68,Weather!$BO$3:$CB$20,14,FALSE)/Weather!$CB$14</f>
        <v>7887.7859539726887</v>
      </c>
      <c r="I68" s="7">
        <f t="shared" ca="1" si="166"/>
        <v>97237594.187372789</v>
      </c>
      <c r="J68" s="7">
        <v>1043125.9351841252</v>
      </c>
      <c r="K68" s="7">
        <f ca="1">IFERROR(VLOOKUP($B68-1,CDM!$V$4:$AJ$17,3,FALSE)/12,0)+IFERROR(VLOOKUP($B68,CDM!$V$41:$AJ$54,3,FALSE)/24,0)+IFERROR(VLOOKUP($B68,CDM!$V$41:$AJ$54,3,FALSE)/2*$C68/78,0)</f>
        <v>44030.495511897127</v>
      </c>
      <c r="L68" s="7">
        <f t="shared" ca="1" si="167"/>
        <v>1087156.4306960222</v>
      </c>
      <c r="M68" s="7">
        <f>IFERROR(HLOOKUP(B68-1,'EV Forecast VRZ'!$F$124:$T$130,3,FALSE)/12,0)+IFERROR(((HLOOKUP(B68,'EV Forecast VRZ'!$F$116:$T$122,3,FALSE)-HLOOKUP(B68-1,'EV Forecast VRZ'!$F$124:$T$130,3,FALSE)))*C68/78,0)</f>
        <v>4405.4091487511168</v>
      </c>
      <c r="N68" s="7">
        <f ca="1">HLOOKUP(B68,Heating!$C$102:$O$106,3,FALSE)*INDEX(Weather!$BO$1:$CB$20,MATCH(B68,Weather!$BO$1:$BO$20,0),MATCH(C68,Weather!$BO$1:$CB$1,0))/VLOOKUP(B68,Weather!$BO$2:$CB$20,14,FALSE)*
VLOOKUP('Monthly Data'!$B68,Weather!$BO$3:$CB$20,14,FALSE)/Weather!$CB$14</f>
        <v>98.627005227111781</v>
      </c>
      <c r="O68" s="7">
        <f t="shared" ca="1" si="168"/>
        <v>1082652.394542044</v>
      </c>
      <c r="P68" s="7">
        <v>22234905.444151878</v>
      </c>
      <c r="Q68" s="7">
        <f ca="1">IFERROR(VLOOKUP($B68-1,CDM!$V$4:$AJ$17,4,FALSE)/12,0)+IFERROR(VLOOKUP($B68,CDM!$V$41:$AJ$54,4,FALSE)/24,0)+IFERROR(VLOOKUP($B68,CDM!$V$41:$AJ$54,4,FALSE)/2*$C68/78,0)</f>
        <v>1409970.4679695908</v>
      </c>
      <c r="R68" s="7">
        <f t="shared" ca="1" si="169"/>
        <v>23644875.912121467</v>
      </c>
      <c r="S68" s="7">
        <f>IFERROR(HLOOKUP(B68-1,'EV Forecast VRZ'!$F$124:$T$130,4,FALSE)/12,0)+IFERROR(((HLOOKUP(B68,'EV Forecast VRZ'!$F$116:$T$122,4,FALSE)-HLOOKUP(B68-1,'EV Forecast VRZ'!$F$124:$T$130,4,FALSE)))*C68/78,0)</f>
        <v>40144.115641025644</v>
      </c>
      <c r="T68" s="7">
        <f ca="1">HLOOKUP(B68,Heating!$C$102:$O$106,4,FALSE)*INDEX(Weather!$BO$1:$CB$20,MATCH(B68,Weather!$BO$1:$BO$20,0),MATCH(C68,Weather!$BO$1:$CB$1,0))/VLOOKUP(B68,Weather!$BO$2:$CB$20,14,FALSE)*
VLOOKUP('Monthly Data'!$B68,Weather!$BO$3:$CB$20,14,FALSE)/Weather!$CB$14</f>
        <v>1931.8433667665331</v>
      </c>
      <c r="U68" s="7">
        <f t="shared" ca="1" si="170"/>
        <v>23602799.953113675</v>
      </c>
      <c r="V68" s="7">
        <v>75811919.191047028</v>
      </c>
      <c r="W68" s="7">
        <f ca="1">IFERROR(VLOOKUP($B68-1,CDM!$V$4:$AJ$17,5,FALSE)/12,0)+IFERROR(VLOOKUP($B68,CDM!$V$41:$AJ$54,5,FALSE)/24,0)+IFERROR(VLOOKUP($B68,CDM!$V$41:$AJ$54,5,FALSE)/2*$C68/78,0)</f>
        <v>5335876.3762564193</v>
      </c>
      <c r="X68" s="7">
        <f t="shared" ca="1" si="171"/>
        <v>81147795.567303449</v>
      </c>
      <c r="Y68" s="7">
        <f>IFERROR(HLOOKUP(B68-1,'EV Forecast VRZ'!$F$124:$T$130,5,FALSE)/12,0)+IFERROR(((HLOOKUP(B68,'EV Forecast VRZ'!$F$116:$T$122,5,FALSE)-HLOOKUP(B68-1,'EV Forecast VRZ'!$F$124:$T$130,5,FALSE)))*C68/78,0)</f>
        <v>18180.621269230767</v>
      </c>
      <c r="Z68" s="7">
        <f ca="1">HLOOKUP(B68,Heating!$C$102:$O$106,5,FALSE)*INDEX(Weather!$BO$1:$CB$20,MATCH(B68,Weather!$BO$1:$BO$20,0),MATCH(C68,Weather!$BO$1:$CB$1,0))/VLOOKUP(B68,Weather!$BO$2:$CB$20,14,FALSE)*
VLOOKUP('Monthly Data'!$B68,Weather!$BO$3:$CB$20,14,FALSE)/Weather!$CB$14</f>
        <v>1047.5272115781568</v>
      </c>
      <c r="AA68" s="7">
        <f t="shared" ca="1" si="172"/>
        <v>81128567.418822646</v>
      </c>
      <c r="AB68" s="7">
        <v>7538146.4287091652</v>
      </c>
      <c r="AC68" s="7">
        <f ca="1">IFERROR(VLOOKUP($B68-1,CDM!$V$4:$AJ$17,6,FALSE)/12,0)+IFERROR(VLOOKUP($B68,CDM!$V$41:$AJ$54,6,FALSE)/24,0)+IFERROR(VLOOKUP($B68,CDM!$V$41:$AJ$54,6,FALSE)/2*$C68/78,0)</f>
        <v>243008.06179044317</v>
      </c>
      <c r="AD68" s="7">
        <f t="shared" ca="1" si="173"/>
        <v>7781154.4904996082</v>
      </c>
      <c r="AE68" s="7">
        <f>IFERROR(HLOOKUP(B68-1,'EV Forecast VRZ'!$F$124:$T$130,6,FALSE)/12,0)+IFERROR(((HLOOKUP(B68,'EV Forecast VRZ'!$F$116:$T$122,6,FALSE)-HLOOKUP(B68-1,'EV Forecast VRZ'!$F$124:$T$130,6,FALSE)))*C68/78,0)</f>
        <v>2470.2827051282047</v>
      </c>
      <c r="AF68" s="7">
        <f t="shared" ca="1" si="174"/>
        <v>7778684.20779448</v>
      </c>
      <c r="AG68" s="7">
        <v>25049134.320176501</v>
      </c>
      <c r="AH68" s="7">
        <f ca="1">IFERROR(VLOOKUP($B68-1,CDM!$V$4:$AJ$17,7,FALSE)/12,0)+IFERROR(VLOOKUP($B68,CDM!$V$41:$AJ$54,7,FALSE)/24,0)+IFERROR(VLOOKUP($B68,CDM!$V$41:$AJ$54,7,FALSE)/2*$C68/78,0)</f>
        <v>1724735.6558271535</v>
      </c>
      <c r="AI68" s="7">
        <f t="shared" ca="1" si="175"/>
        <v>26773869.976003654</v>
      </c>
      <c r="AJ68" s="7">
        <f>IFERROR(HLOOKUP(B68-1,'EV Forecast VRZ'!$F$124:$T$130,7,FALSE)/12,0)+IFERROR(((HLOOKUP(B68,'EV Forecast VRZ'!$F$116:$T$122,7,FALSE)-HLOOKUP(B68-1,'EV Forecast VRZ'!$F$124:$T$130,7,FALSE)))*C68/78,0)</f>
        <v>0</v>
      </c>
      <c r="AK68" s="7">
        <f t="shared" ca="1" si="176"/>
        <v>26773869.976003654</v>
      </c>
      <c r="AL68" s="7">
        <v>712940.26903262734</v>
      </c>
      <c r="AM68" s="7">
        <v>17427.819118488831</v>
      </c>
      <c r="AN68" s="7">
        <v>379937.02537683648</v>
      </c>
      <c r="AO68" s="5">
        <v>193567.45</v>
      </c>
      <c r="AP68" s="5">
        <v>18422.52</v>
      </c>
      <c r="AQ68" s="5">
        <v>42126</v>
      </c>
      <c r="AR68" s="5">
        <v>2579.29</v>
      </c>
      <c r="AS68" s="544">
        <f t="shared" si="186"/>
        <v>52.666666666666664</v>
      </c>
      <c r="AT68" s="557">
        <v>113091.0833333333</v>
      </c>
      <c r="AU68" s="557">
        <v>1558.6666666666672</v>
      </c>
      <c r="AV68" s="557">
        <v>9316.9166666666624</v>
      </c>
      <c r="AW68" s="557">
        <v>1052.9166666666672</v>
      </c>
      <c r="AX68" s="557">
        <v>5.5833333333333313</v>
      </c>
      <c r="AY68" s="557">
        <v>4</v>
      </c>
      <c r="AZ68" s="557">
        <v>31684.333333333325</v>
      </c>
      <c r="BA68" s="557">
        <v>248.6666666666666</v>
      </c>
      <c r="BB68" s="557">
        <v>801.75</v>
      </c>
      <c r="BC68" s="560">
        <v>39052265.120863117</v>
      </c>
      <c r="BD68" s="560">
        <f ca="1">IFERROR(VLOOKUP($B68-1,CDM!$V$4:$AJ$17,11,FALSE)/12,0)+IFERROR(VLOOKUP($B68,CDM!$V$41:$AJ$54,11,FALSE)/24,0)+IFERROR(VLOOKUP($B68,CDM!$V$41:$AJ$54,11,FALSE)/2*$C68/78,0)</f>
        <v>1689159.9654556459</v>
      </c>
      <c r="BE68" s="560">
        <f t="shared" ca="1" si="119"/>
        <v>40741425.086318761</v>
      </c>
      <c r="BF68" s="560">
        <f>IFERROR(HLOOKUP(B68-1,'EV Forecast WRZ'!$F$124:$T$130,2,FALSE)/12,0)+IFERROR(((HLOOKUP(B68,'EV Forecast WRZ'!$F$116:$T$122,2,FALSE)-HLOOKUP(B68-1,'EV Forecast WRZ'!$F$124:$T$130,2,FALSE)))*C68/78,0)</f>
        <v>104420.17525641026</v>
      </c>
      <c r="BG68" s="560">
        <f ca="1">HLOOKUP(B68,Heating!$R$102:$AD$106,2,FALSE)*INDEX(Weather!$BO$1:$CB$20,MATCH(B68,Weather!$BO$1:$BO$20,0),MATCH(C68,Weather!$BO$1:$CB$1,0))/VLOOKUP(B68,Weather!$BO$2:$CB$20,14,FALSE)*
VLOOKUP('Monthly Data'!$B68,Weather!$BO$3:$CB$20,14,FALSE)/Weather!$CB$14</f>
        <v>3344.361529461215</v>
      </c>
      <c r="BH68" s="560">
        <f t="shared" ca="1" si="177"/>
        <v>40633660.54953289</v>
      </c>
      <c r="BI68" s="560">
        <v>6970477.3990912652</v>
      </c>
      <c r="BJ68" s="560">
        <f ca="1">IFERROR(VLOOKUP($B68-1,CDM!$V$4:$AJ$17,12,FALSE)/12,0)+IFERROR(VLOOKUP($B68,CDM!$V$41:$AJ$54,12,FALSE)/24,0)+IFERROR(VLOOKUP($B68,CDM!$V$41:$AJ$54,12,FALSE)/2*$C68/78,0)</f>
        <v>231822.9606265997</v>
      </c>
      <c r="BK68" s="560">
        <f t="shared" ca="1" si="178"/>
        <v>7202300.3597178645</v>
      </c>
      <c r="BL68" s="560">
        <f>IFERROR(HLOOKUP(B68-1,'EV Forecast WRZ'!$F$124:$T$130,3,FALSE)/12,0)+IFERROR(((HLOOKUP(B68,'EV Forecast WRZ'!$F$116:$T$122,3,FALSE)-HLOOKUP(B68-1,'EV Forecast WRZ'!$F$124:$T$130,3,FALSE)))*C68/78,0)</f>
        <v>12747.961794871795</v>
      </c>
      <c r="BM68" s="560">
        <f ca="1">HLOOKUP(B68,Heating!$R$102:$AD$106,4,FALSE)*INDEX(Weather!$BO$1:$CB$20,MATCH(B68,Weather!$BO$1:$BO$20,0),MATCH(C68,Weather!$BO$1:$CB$1,0))/VLOOKUP(B68,Weather!$BO$2:$CB$20,14,FALSE)*
VLOOKUP('Monthly Data'!$B68,Weather!$BO$3:$CB$20,14,FALSE)/Weather!$CB$14</f>
        <v>505.1114407150111</v>
      </c>
      <c r="BN68" s="560">
        <f t="shared" ca="1" si="179"/>
        <v>7189047.2864822773</v>
      </c>
      <c r="BO68" s="560">
        <v>26143882.951666165</v>
      </c>
      <c r="BP68" s="560">
        <f ca="1">IFERROR(VLOOKUP($B68-1,CDM!$V$4:$AJ$17,13,FALSE)/12,0)+IFERROR(VLOOKUP($B68,CDM!$V$41:$AJ$54,13,FALSE)/24,0)+IFERROR(VLOOKUP($B68,CDM!$V$41:$AJ$54,13,FALSE)/2*$C68/78,0)</f>
        <v>2148117.3454683828</v>
      </c>
      <c r="BQ68" s="560">
        <f t="shared" ca="1" si="180"/>
        <v>28292000.297134548</v>
      </c>
      <c r="BR68" s="560">
        <f>IFERROR(HLOOKUP(B68-1,'EV Forecast WRZ'!$F$124:$T$130,4,FALSE)/12,0)+IFERROR(((HLOOKUP(B68,'EV Forecast WRZ'!$F$116:$T$122,4,FALSE)-HLOOKUP(B68-1,'EV Forecast WRZ'!$F$124:$T$130,4,FALSE)))*C68/78,0)</f>
        <v>5774.0828076923081</v>
      </c>
      <c r="BS68" s="560">
        <f ca="1">HLOOKUP(B68,Heating!$R$102:$AD$106,5,FALSE)*INDEX(Weather!$BO$1:$CB$20,MATCH(B68,Weather!$BO$1:$BO$20,0),MATCH(C68,Weather!$BO$1:$CB$1,0))/VLOOKUP(B68,Weather!$BO$2:$CB$20,14,FALSE)*
VLOOKUP('Monthly Data'!$B68,Weather!$BO$3:$CB$20,14,FALSE)/Weather!$CB$14</f>
        <v>309.09628239443776</v>
      </c>
      <c r="BT68" s="560">
        <f t="shared" ca="1" si="181"/>
        <v>28285917.118044462</v>
      </c>
      <c r="BU68" s="560">
        <v>7156193.6933461921</v>
      </c>
      <c r="BV68" s="560">
        <f ca="1">IFERROR(VLOOKUP($B68-1,CDM!$V$4:$AJ$17,14,FALSE)/12,0)+IFERROR(VLOOKUP($B68,CDM!$V$41:$AJ$54,14,FALSE)/24,0)+IFERROR(VLOOKUP($B68,CDM!$V$41:$AJ$54,14,FALSE)/2*$C68/78,0)</f>
        <v>482989.42212061275</v>
      </c>
      <c r="BW68" s="560">
        <f t="shared" ca="1" si="182"/>
        <v>7639183.1154668052</v>
      </c>
      <c r="BX68" s="560">
        <f>IFERROR(HLOOKUP(B68-1,'EV Forecast WRZ'!$F$124:$T$130,5,FALSE)/12,0)+IFERROR(((HLOOKUP(B68,'EV Forecast WRZ'!$F$116:$T$122,5,FALSE)-HLOOKUP(B68-1,'EV Forecast WRZ'!$F$124:$T$130,5,FALSE)))*C68/78,0)</f>
        <v>787.39808974358982</v>
      </c>
      <c r="BY68" s="560">
        <f t="shared" ca="1" si="120"/>
        <v>7638395.717377062</v>
      </c>
      <c r="BZ68" s="560">
        <v>174303.00363497224</v>
      </c>
      <c r="CA68" s="560">
        <v>1718.3143416882262</v>
      </c>
      <c r="CB68" s="560">
        <v>154485.97665965182</v>
      </c>
      <c r="CC68" s="5">
        <v>67704.34</v>
      </c>
      <c r="CD68" s="5">
        <v>11428.03</v>
      </c>
      <c r="CE68" s="5">
        <v>782.09</v>
      </c>
      <c r="CF68" s="544">
        <f t="shared" si="187"/>
        <v>5.916666666666667</v>
      </c>
      <c r="CG68" s="565">
        <v>42947.25</v>
      </c>
      <c r="CH68" s="565">
        <v>2328.75</v>
      </c>
      <c r="CI68" s="565">
        <v>391.25</v>
      </c>
      <c r="CJ68" s="565">
        <v>3</v>
      </c>
      <c r="CK68" s="565">
        <v>13041.083333333338</v>
      </c>
      <c r="CL68" s="565">
        <v>42.83333333333335</v>
      </c>
      <c r="CM68" s="565">
        <v>391.5833333333332</v>
      </c>
      <c r="CN68" s="46">
        <f>Weather!C92</f>
        <v>25.516666666666669</v>
      </c>
      <c r="CO68" s="46">
        <f>Weather!D92</f>
        <v>32.391666666666652</v>
      </c>
      <c r="CP68" s="46">
        <f>Weather!E92</f>
        <v>5.3541666666666572</v>
      </c>
      <c r="CQ68" s="46">
        <f>Weather!F92</f>
        <v>74.229166666666615</v>
      </c>
      <c r="CR68" s="46">
        <f>Weather!G92</f>
        <v>0.74583333333333002</v>
      </c>
      <c r="CS68" s="46">
        <f>Weather!H92</f>
        <v>131.62083333333331</v>
      </c>
      <c r="CT68" s="46">
        <f>Weather!I92</f>
        <v>0</v>
      </c>
      <c r="CU68" s="46">
        <f>Weather!J92</f>
        <v>192.87499999999994</v>
      </c>
      <c r="CV68" s="46">
        <f>Weather!K92</f>
        <v>0</v>
      </c>
      <c r="CW68" s="46">
        <f>Weather!L92</f>
        <v>254.87499999999994</v>
      </c>
      <c r="CX68" s="46">
        <f>Weather!M92</f>
        <v>0</v>
      </c>
      <c r="CY68" s="46">
        <f>Weather!N92</f>
        <v>316.87499999999994</v>
      </c>
      <c r="CZ68" s="46">
        <f>Weather!O92</f>
        <v>0</v>
      </c>
      <c r="DA68" s="46">
        <f>Weather!P92</f>
        <v>378.87499999999994</v>
      </c>
      <c r="DB68" s="243">
        <f>'Economic Data'!D94</f>
        <v>7317</v>
      </c>
      <c r="DC68" s="243">
        <f>'Economic Data'!E94</f>
        <v>7392.6</v>
      </c>
      <c r="DD68" s="243">
        <f>'Economic Data'!F94</f>
        <v>210.4</v>
      </c>
      <c r="DE68" s="243">
        <f>'Economic Data'!G94</f>
        <v>212.2</v>
      </c>
      <c r="DF68" s="243">
        <f>'Economic Data'!H94</f>
        <v>46.8</v>
      </c>
      <c r="DG68" s="243">
        <f>'Economic Data'!I94</f>
        <v>46.8</v>
      </c>
      <c r="DH68" s="243">
        <f>'Economic Data'!J94</f>
        <v>817265.5</v>
      </c>
      <c r="DI68" s="243">
        <f>'Economic Data'!K94</f>
        <v>634181.69999999995</v>
      </c>
      <c r="DJ68" s="243">
        <f>'Economic Data'!L94</f>
        <v>92312.5</v>
      </c>
      <c r="DK68" s="243">
        <f>'Economic Data'!M94</f>
        <v>25225.4</v>
      </c>
      <c r="DL68" s="243">
        <f>'Economic Data'!N94</f>
        <v>821006</v>
      </c>
      <c r="DM68" s="243">
        <f>'Economic Data'!O94</f>
        <v>91760</v>
      </c>
      <c r="DN68" s="243">
        <f>'Economic Data'!P94</f>
        <v>13816</v>
      </c>
      <c r="DO68" s="243">
        <f>'Economic Data'!Q94</f>
        <v>640835</v>
      </c>
      <c r="DP68" s="243">
        <f>'Economic Data'!R94</f>
        <v>26054</v>
      </c>
      <c r="DQ68">
        <v>31</v>
      </c>
      <c r="DR68">
        <v>21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1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f t="shared" si="185"/>
        <v>67</v>
      </c>
      <c r="EI68">
        <v>1</v>
      </c>
      <c r="EJ68">
        <v>0.5</v>
      </c>
      <c r="EK68">
        <v>0.75</v>
      </c>
      <c r="EL68">
        <v>0</v>
      </c>
      <c r="EM68" s="47">
        <f t="shared" si="121"/>
        <v>12.758333333333335</v>
      </c>
      <c r="EN68" s="47">
        <f t="shared" si="122"/>
        <v>16.195833333333326</v>
      </c>
      <c r="EO68" s="47">
        <f t="shared" si="123"/>
        <v>2.6770833333333286</v>
      </c>
      <c r="EP68" s="47">
        <f t="shared" si="124"/>
        <v>37.114583333333307</v>
      </c>
      <c r="EQ68" s="47">
        <f t="shared" si="125"/>
        <v>0.37291666666666501</v>
      </c>
      <c r="ER68" s="47">
        <f t="shared" si="126"/>
        <v>65.810416666666654</v>
      </c>
      <c r="ES68" s="47">
        <f t="shared" si="127"/>
        <v>0</v>
      </c>
      <c r="ET68" s="47">
        <f t="shared" si="128"/>
        <v>96.437499999999972</v>
      </c>
      <c r="EU68" s="47">
        <f t="shared" si="129"/>
        <v>0</v>
      </c>
      <c r="EV68" s="47">
        <f t="shared" si="130"/>
        <v>127.43749999999997</v>
      </c>
      <c r="EW68" s="47">
        <f t="shared" si="131"/>
        <v>0</v>
      </c>
      <c r="EX68" s="47">
        <f t="shared" si="132"/>
        <v>158.43749999999997</v>
      </c>
      <c r="EY68" s="47">
        <f t="shared" si="133"/>
        <v>0</v>
      </c>
      <c r="EZ68" s="47">
        <f t="shared" si="134"/>
        <v>189.43749999999997</v>
      </c>
      <c r="FA68" s="47">
        <f t="shared" si="135"/>
        <v>19.137500000000003</v>
      </c>
      <c r="FB68" s="47">
        <f t="shared" si="136"/>
        <v>24.293749999999989</v>
      </c>
      <c r="FC68" s="47">
        <f t="shared" si="137"/>
        <v>4.0156249999999929</v>
      </c>
      <c r="FD68" s="47">
        <f t="shared" si="138"/>
        <v>55.671874999999957</v>
      </c>
      <c r="FE68" s="47">
        <f t="shared" si="139"/>
        <v>0.55937499999999751</v>
      </c>
      <c r="FF68" s="47">
        <f t="shared" si="140"/>
        <v>98.715624999999989</v>
      </c>
      <c r="FG68" s="47">
        <f t="shared" si="141"/>
        <v>0</v>
      </c>
      <c r="FH68" s="47">
        <f t="shared" si="142"/>
        <v>144.65624999999994</v>
      </c>
      <c r="FI68" s="47">
        <f t="shared" si="143"/>
        <v>0</v>
      </c>
      <c r="FJ68" s="47">
        <f t="shared" si="144"/>
        <v>191.15624999999994</v>
      </c>
      <c r="FK68" s="47">
        <f t="shared" si="145"/>
        <v>0</v>
      </c>
      <c r="FL68" s="47">
        <f t="shared" si="146"/>
        <v>237.65624999999994</v>
      </c>
      <c r="FM68" s="47">
        <f t="shared" si="147"/>
        <v>0</v>
      </c>
      <c r="FN68" s="47">
        <f t="shared" si="148"/>
        <v>284.15624999999994</v>
      </c>
      <c r="FO68" s="546">
        <f t="shared" ca="1" si="149"/>
        <v>859.8166302887671</v>
      </c>
      <c r="FP68" s="546">
        <f t="shared" ca="1" si="150"/>
        <v>697.49129428743913</v>
      </c>
      <c r="FQ68" s="546">
        <f t="shared" ca="1" si="151"/>
        <v>2537.8434473623938</v>
      </c>
      <c r="FR68" s="546">
        <f t="shared" ca="1" si="152"/>
        <v>77069.532790474157</v>
      </c>
      <c r="FS68" s="546">
        <f t="shared" ca="1" si="153"/>
        <v>1393639.6102387363</v>
      </c>
      <c r="FT68" s="546">
        <f t="shared" ca="1" si="154"/>
        <v>6693467.4940009136</v>
      </c>
      <c r="FU68" s="546">
        <f t="shared" si="155"/>
        <v>22.501349847957272</v>
      </c>
      <c r="FV68" s="546">
        <f t="shared" si="156"/>
        <v>70.08506347917762</v>
      </c>
      <c r="FW68" s="546">
        <f t="shared" si="157"/>
        <v>473.88465902941874</v>
      </c>
      <c r="FX68" s="546">
        <f t="shared" ca="1" si="158"/>
        <v>948.63873906521985</v>
      </c>
      <c r="FY68" s="546">
        <f t="shared" ca="1" si="159"/>
        <v>3092.7752484027328</v>
      </c>
      <c r="FZ68" s="546">
        <f t="shared" ca="1" si="160"/>
        <v>72311.821845711311</v>
      </c>
      <c r="GA68" s="546">
        <f t="shared" si="161"/>
        <v>58101.001211657414</v>
      </c>
      <c r="GB68" s="546">
        <f t="shared" si="162"/>
        <v>13.365684366838556</v>
      </c>
      <c r="GC68" s="546">
        <f t="shared" si="163"/>
        <v>40.116288132799042</v>
      </c>
      <c r="GD68" s="546">
        <f t="shared" si="164"/>
        <v>394.516220454527</v>
      </c>
    </row>
    <row r="69" spans="1:186">
      <c r="A69" s="4">
        <v>44409</v>
      </c>
      <c r="B69" s="6">
        <v>2021</v>
      </c>
      <c r="C69" s="5">
        <v>8</v>
      </c>
      <c r="D69" s="7">
        <v>112267155.50191757</v>
      </c>
      <c r="E69" s="7">
        <f ca="1">IFERROR(VLOOKUP($B69-1,CDM!$V$4:$AJ$17,2,FALSE)/12,0)+IFERROR(VLOOKUP($B69,CDM!$V$41:$AJ$54,2,FALSE)/24,0)+IFERROR(VLOOKUP($B69,CDM!$V$41:$AJ$54,2,FALSE)/2*$C69/78,0)</f>
        <v>3845120.8177818679</v>
      </c>
      <c r="F69" s="7">
        <f t="shared" ca="1" si="165"/>
        <v>116112276.31969944</v>
      </c>
      <c r="G69" s="7">
        <f>IFERROR(HLOOKUP(B69-1,'EV Forecast VRZ'!$F$124:$T$130,2,FALSE)/12,0)+IFERROR(((HLOOKUP(B69,'EV Forecast VRZ'!$F$116:$T$122,2,FALSE)-HLOOKUP(B69-1,'EV Forecast VRZ'!$F$124:$T$130,2,FALSE)))*C69/78,0)</f>
        <v>334069.99803370592</v>
      </c>
      <c r="H69" s="7">
        <f ca="1">HLOOKUP(B69,Heating!$C$102:$O$106,2,FALSE)*INDEX(Weather!$BO$1:$CB$20,MATCH(B69,Weather!$BO$1:$BO$20,0),MATCH(C69,Weather!$BO$1:$CB$1,0))/VLOOKUP(B69,Weather!$BO$2:$CB$20,14,FALSE)*
VLOOKUP('Monthly Data'!$B69,Weather!$BO$3:$CB$20,14,FALSE)/Weather!$CB$14</f>
        <v>1018.966901447057</v>
      </c>
      <c r="I69" s="7">
        <f t="shared" ca="1" si="166"/>
        <v>115777187.35476428</v>
      </c>
      <c r="J69" s="7">
        <v>1097167.1759778666</v>
      </c>
      <c r="K69" s="7">
        <f ca="1">IFERROR(VLOOKUP($B69-1,CDM!$V$4:$AJ$17,3,FALSE)/12,0)+IFERROR(VLOOKUP($B69,CDM!$V$41:$AJ$54,3,FALSE)/24,0)+IFERROR(VLOOKUP($B69,CDM!$V$41:$AJ$54,3,FALSE)/2*$C69/78,0)</f>
        <v>44041.258582036309</v>
      </c>
      <c r="L69" s="7">
        <f t="shared" ca="1" si="167"/>
        <v>1141208.4345599029</v>
      </c>
      <c r="M69" s="7">
        <f>IFERROR(HLOOKUP(B69-1,'EV Forecast VRZ'!$F$124:$T$130,3,FALSE)/12,0)+IFERROR(((HLOOKUP(B69,'EV Forecast VRZ'!$F$116:$T$122,3,FALSE)-HLOOKUP(B69-1,'EV Forecast VRZ'!$F$124:$T$130,3,FALSE)))*C69/78,0)</f>
        <v>4533.0431201402371</v>
      </c>
      <c r="N69" s="7">
        <f ca="1">HLOOKUP(B69,Heating!$C$102:$O$106,3,FALSE)*INDEX(Weather!$BO$1:$CB$20,MATCH(B69,Weather!$BO$1:$BO$20,0),MATCH(C69,Weather!$BO$1:$CB$1,0))/VLOOKUP(B69,Weather!$BO$2:$CB$20,14,FALSE)*
VLOOKUP('Monthly Data'!$B69,Weather!$BO$3:$CB$20,14,FALSE)/Weather!$CB$14</f>
        <v>12.740920519611345</v>
      </c>
      <c r="O69" s="7">
        <f t="shared" ca="1" si="168"/>
        <v>1136662.650519243</v>
      </c>
      <c r="P69" s="7">
        <v>24951021.029183362</v>
      </c>
      <c r="Q69" s="7">
        <f ca="1">IFERROR(VLOOKUP($B69-1,CDM!$V$4:$AJ$17,4,FALSE)/12,0)+IFERROR(VLOOKUP($B69,CDM!$V$41:$AJ$54,4,FALSE)/24,0)+IFERROR(VLOOKUP($B69,CDM!$V$41:$AJ$54,4,FALSE)/2*$C69/78,0)</f>
        <v>1414358.3484123829</v>
      </c>
      <c r="R69" s="7">
        <f t="shared" ca="1" si="169"/>
        <v>26365379.377595745</v>
      </c>
      <c r="S69" s="7">
        <f>IFERROR(HLOOKUP(B69-1,'EV Forecast VRZ'!$F$124:$T$130,4,FALSE)/12,0)+IFERROR(((HLOOKUP(B69,'EV Forecast VRZ'!$F$116:$T$122,4,FALSE)-HLOOKUP(B69-1,'EV Forecast VRZ'!$F$124:$T$130,4,FALSE)))*C69/78,0)</f>
        <v>41284.746923076927</v>
      </c>
      <c r="T69" s="7">
        <f ca="1">HLOOKUP(B69,Heating!$C$102:$O$106,4,FALSE)*INDEX(Weather!$BO$1:$CB$20,MATCH(B69,Weather!$BO$1:$BO$20,0),MATCH(C69,Weather!$BO$1:$CB$1,0))/VLOOKUP(B69,Weather!$BO$2:$CB$20,14,FALSE)*
VLOOKUP('Monthly Data'!$B69,Weather!$BO$3:$CB$20,14,FALSE)/Weather!$CB$14</f>
        <v>249.56108862509333</v>
      </c>
      <c r="U69" s="7">
        <f t="shared" ca="1" si="170"/>
        <v>26323845.069584042</v>
      </c>
      <c r="V69" s="7">
        <v>81634041.215156347</v>
      </c>
      <c r="W69" s="7">
        <f ca="1">IFERROR(VLOOKUP($B69-1,CDM!$V$4:$AJ$17,5,FALSE)/12,0)+IFERROR(VLOOKUP($B69,CDM!$V$41:$AJ$54,5,FALSE)/24,0)+IFERROR(VLOOKUP($B69,CDM!$V$41:$AJ$54,5,FALSE)/2*$C69/78,0)</f>
        <v>5372218.2536317231</v>
      </c>
      <c r="X69" s="7">
        <f t="shared" ca="1" si="171"/>
        <v>87006259.468788072</v>
      </c>
      <c r="Y69" s="7">
        <f>IFERROR(HLOOKUP(B69-1,'EV Forecast VRZ'!$F$124:$T$130,5,FALSE)/12,0)+IFERROR(((HLOOKUP(B69,'EV Forecast VRZ'!$F$116:$T$122,5,FALSE)-HLOOKUP(B69-1,'EV Forecast VRZ'!$F$124:$T$130,5,FALSE)))*C69/78,0)</f>
        <v>18695.443807692307</v>
      </c>
      <c r="Z69" s="7">
        <f ca="1">HLOOKUP(B69,Heating!$C$102:$O$106,5,FALSE)*INDEX(Weather!$BO$1:$CB$20,MATCH(B69,Weather!$BO$1:$BO$20,0),MATCH(C69,Weather!$BO$1:$CB$1,0))/VLOOKUP(B69,Weather!$BO$2:$CB$20,14,FALSE)*
VLOOKUP('Monthly Data'!$B69,Weather!$BO$3:$CB$20,14,FALSE)/Weather!$CB$14</f>
        <v>135.32258141787881</v>
      </c>
      <c r="AA69" s="7">
        <f t="shared" ca="1" si="172"/>
        <v>86987428.702398956</v>
      </c>
      <c r="AB69" s="7">
        <v>7911683.2407728769</v>
      </c>
      <c r="AC69" s="7">
        <f ca="1">IFERROR(VLOOKUP($B69-1,CDM!$V$4:$AJ$17,6,FALSE)/12,0)+IFERROR(VLOOKUP($B69,CDM!$V$41:$AJ$54,6,FALSE)/24,0)+IFERROR(VLOOKUP($B69,CDM!$V$41:$AJ$54,6,FALSE)/2*$C69/78,0)</f>
        <v>244166.02108538614</v>
      </c>
      <c r="AD69" s="7">
        <f t="shared" ca="1" si="173"/>
        <v>8155849.2618582631</v>
      </c>
      <c r="AE69" s="7">
        <f>IFERROR(HLOOKUP(B69-1,'EV Forecast VRZ'!$F$124:$T$130,6,FALSE)/12,0)+IFERROR(((HLOOKUP(B69,'EV Forecast VRZ'!$F$116:$T$122,6,FALSE)-HLOOKUP(B69-1,'EV Forecast VRZ'!$F$124:$T$130,6,FALSE)))*C69/78,0)</f>
        <v>2533.468115384615</v>
      </c>
      <c r="AF69" s="7">
        <f t="shared" ca="1" si="174"/>
        <v>8153315.7937428784</v>
      </c>
      <c r="AG69" s="7">
        <v>21902581.671001751</v>
      </c>
      <c r="AH69" s="7">
        <f ca="1">IFERROR(VLOOKUP($B69-1,CDM!$V$4:$AJ$17,7,FALSE)/12,0)+IFERROR(VLOOKUP($B69,CDM!$V$41:$AJ$54,7,FALSE)/24,0)+IFERROR(VLOOKUP($B69,CDM!$V$41:$AJ$54,7,FALSE)/2*$C69/78,0)</f>
        <v>1731914.2399530148</v>
      </c>
      <c r="AI69" s="7">
        <f t="shared" ca="1" si="175"/>
        <v>23634495.910954766</v>
      </c>
      <c r="AJ69" s="7">
        <f>IFERROR(HLOOKUP(B69-1,'EV Forecast VRZ'!$F$124:$T$130,7,FALSE)/12,0)+IFERROR(((HLOOKUP(B69,'EV Forecast VRZ'!$F$116:$T$122,7,FALSE)-HLOOKUP(B69-1,'EV Forecast VRZ'!$F$124:$T$130,7,FALSE)))*C69/78,0)</f>
        <v>0</v>
      </c>
      <c r="AK69" s="7">
        <f t="shared" ca="1" si="176"/>
        <v>23634495.910954766</v>
      </c>
      <c r="AL69" s="7">
        <v>806464.59645105887</v>
      </c>
      <c r="AM69" s="7">
        <v>18622.26674298798</v>
      </c>
      <c r="AN69" s="7">
        <v>379937.02537683648</v>
      </c>
      <c r="AO69" s="5">
        <v>201547.92</v>
      </c>
      <c r="AP69" s="5">
        <v>17295.650000000001</v>
      </c>
      <c r="AQ69" s="5">
        <v>42050</v>
      </c>
      <c r="AR69" s="5">
        <v>2580.0700000000002</v>
      </c>
      <c r="AS69" s="544">
        <f t="shared" si="186"/>
        <v>52.666666666666664</v>
      </c>
      <c r="AT69" s="557">
        <v>113154.66666666663</v>
      </c>
      <c r="AU69" s="557">
        <v>1558.3333333333339</v>
      </c>
      <c r="AV69" s="557">
        <v>9321.3333333333285</v>
      </c>
      <c r="AW69" s="557">
        <v>1054.3333333333339</v>
      </c>
      <c r="AX69" s="557">
        <v>5.6666666666666643</v>
      </c>
      <c r="AY69" s="557">
        <v>4</v>
      </c>
      <c r="AZ69" s="557">
        <v>31694.666666666657</v>
      </c>
      <c r="BA69" s="557">
        <v>248.33333333333326</v>
      </c>
      <c r="BB69" s="557">
        <v>802</v>
      </c>
      <c r="BC69" s="560">
        <v>46563100.894299023</v>
      </c>
      <c r="BD69" s="560">
        <f ca="1">IFERROR(VLOOKUP($B69-1,CDM!$V$4:$AJ$17,11,FALSE)/12,0)+IFERROR(VLOOKUP($B69,CDM!$V$41:$AJ$54,11,FALSE)/24,0)+IFERROR(VLOOKUP($B69,CDM!$V$41:$AJ$54,11,FALSE)/2*$C69/78,0)</f>
        <v>1672065.0880993058</v>
      </c>
      <c r="BE69" s="560">
        <f t="shared" ca="1" si="119"/>
        <v>48235165.982398331</v>
      </c>
      <c r="BF69" s="560">
        <f>IFERROR(HLOOKUP(B69-1,'EV Forecast WRZ'!$F$124:$T$130,2,FALSE)/12,0)+IFERROR(((HLOOKUP(B69,'EV Forecast WRZ'!$F$116:$T$122,2,FALSE)-HLOOKUP(B69-1,'EV Forecast WRZ'!$F$124:$T$130,2,FALSE)))*C69/78,0)</f>
        <v>107728.23576923077</v>
      </c>
      <c r="BG69" s="560">
        <f ca="1">HLOOKUP(B69,Heating!$R$102:$AD$106,2,FALSE)*INDEX(Weather!$BO$1:$CB$20,MATCH(B69,Weather!$BO$1:$BO$20,0),MATCH(C69,Weather!$BO$1:$CB$1,0))/VLOOKUP(B69,Weather!$BO$2:$CB$20,14,FALSE)*
VLOOKUP('Monthly Data'!$B69,Weather!$BO$3:$CB$20,14,FALSE)/Weather!$CB$14</f>
        <v>432.03425205491243</v>
      </c>
      <c r="BH69" s="560">
        <f t="shared" ca="1" si="177"/>
        <v>48127005.712377049</v>
      </c>
      <c r="BI69" s="560">
        <v>7813420.3216089522</v>
      </c>
      <c r="BJ69" s="560">
        <f ca="1">IFERROR(VLOOKUP($B69-1,CDM!$V$4:$AJ$17,12,FALSE)/12,0)+IFERROR(VLOOKUP($B69,CDM!$V$41:$AJ$54,12,FALSE)/24,0)+IFERROR(VLOOKUP($B69,CDM!$V$41:$AJ$54,12,FALSE)/2*$C69/78,0)</f>
        <v>232884.16260087988</v>
      </c>
      <c r="BK69" s="560">
        <f t="shared" ca="1" si="178"/>
        <v>8046304.4842098318</v>
      </c>
      <c r="BL69" s="560">
        <f>IFERROR(HLOOKUP(B69-1,'EV Forecast WRZ'!$F$124:$T$130,3,FALSE)/12,0)+IFERROR(((HLOOKUP(B69,'EV Forecast WRZ'!$F$116:$T$122,3,FALSE)-HLOOKUP(B69-1,'EV Forecast WRZ'!$F$124:$T$130,3,FALSE)))*C69/78,0)</f>
        <v>13137.145384615385</v>
      </c>
      <c r="BM69" s="560">
        <f ca="1">HLOOKUP(B69,Heating!$R$102:$AD$106,4,FALSE)*INDEX(Weather!$BO$1:$CB$20,MATCH(B69,Weather!$BO$1:$BO$20,0),MATCH(C69,Weather!$BO$1:$CB$1,0))/VLOOKUP(B69,Weather!$BO$2:$CB$20,14,FALSE)*
VLOOKUP('Monthly Data'!$B69,Weather!$BO$3:$CB$20,14,FALSE)/Weather!$CB$14</f>
        <v>65.251750318048224</v>
      </c>
      <c r="BN69" s="560">
        <f t="shared" ca="1" si="179"/>
        <v>8033102.0870748982</v>
      </c>
      <c r="BO69" s="560">
        <v>28376901.043530468</v>
      </c>
      <c r="BP69" s="560">
        <f ca="1">IFERROR(VLOOKUP($B69-1,CDM!$V$4:$AJ$17,13,FALSE)/12,0)+IFERROR(VLOOKUP($B69,CDM!$V$41:$AJ$54,13,FALSE)/24,0)+IFERROR(VLOOKUP($B69,CDM!$V$41:$AJ$54,13,FALSE)/2*$C69/78,0)</f>
        <v>2170540.1546591697</v>
      </c>
      <c r="BQ69" s="560">
        <f t="shared" ca="1" si="180"/>
        <v>30547441.198189639</v>
      </c>
      <c r="BR69" s="560">
        <f>IFERROR(HLOOKUP(B69-1,'EV Forecast WRZ'!$F$124:$T$130,4,FALSE)/12,0)+IFERROR(((HLOOKUP(B69,'EV Forecast WRZ'!$F$116:$T$122,4,FALSE)-HLOOKUP(B69-1,'EV Forecast WRZ'!$F$124:$T$130,4,FALSE)))*C69/78,0)</f>
        <v>5949.2154230769238</v>
      </c>
      <c r="BS69" s="560">
        <f ca="1">HLOOKUP(B69,Heating!$R$102:$AD$106,5,FALSE)*INDEX(Weather!$BO$1:$CB$20,MATCH(B69,Weather!$BO$1:$BO$20,0),MATCH(C69,Weather!$BO$1:$CB$1,0))/VLOOKUP(B69,Weather!$BO$2:$CB$20,14,FALSE)*
VLOOKUP('Monthly Data'!$B69,Weather!$BO$3:$CB$20,14,FALSE)/Weather!$CB$14</f>
        <v>39.929947764573349</v>
      </c>
      <c r="BT69" s="560">
        <f t="shared" ca="1" si="181"/>
        <v>30541452.052818798</v>
      </c>
      <c r="BU69" s="560">
        <v>7363795.2362584388</v>
      </c>
      <c r="BV69" s="560">
        <f ca="1">IFERROR(VLOOKUP($B69-1,CDM!$V$4:$AJ$17,14,FALSE)/12,0)+IFERROR(VLOOKUP($B69,CDM!$V$41:$AJ$54,14,FALSE)/24,0)+IFERROR(VLOOKUP($B69,CDM!$V$41:$AJ$54,14,FALSE)/2*$C69/78,0)</f>
        <v>488033.90340500226</v>
      </c>
      <c r="BW69" s="560">
        <f t="shared" ca="1" si="182"/>
        <v>7851829.1396634411</v>
      </c>
      <c r="BX69" s="560">
        <f>IFERROR(HLOOKUP(B69-1,'EV Forecast WRZ'!$F$124:$T$130,5,FALSE)/12,0)+IFERROR(((HLOOKUP(B69,'EV Forecast WRZ'!$F$116:$T$122,5,FALSE)-HLOOKUP(B69-1,'EV Forecast WRZ'!$F$124:$T$130,5,FALSE)))*C69/78,0)</f>
        <v>806.85726923076936</v>
      </c>
      <c r="BY69" s="560">
        <f t="shared" ca="1" si="120"/>
        <v>7851022.2823942099</v>
      </c>
      <c r="BZ69" s="560">
        <v>228681.52860149223</v>
      </c>
      <c r="CA69" s="560">
        <v>2224.1541107630419</v>
      </c>
      <c r="CB69" s="560">
        <v>154864.97991199541</v>
      </c>
      <c r="CC69" s="5">
        <v>70263.350000000006</v>
      </c>
      <c r="CD69" s="5">
        <v>12062.51</v>
      </c>
      <c r="CE69" s="5">
        <v>786.05</v>
      </c>
      <c r="CF69" s="544">
        <f t="shared" si="187"/>
        <v>5.916666666666667</v>
      </c>
      <c r="CG69" s="565">
        <v>43046</v>
      </c>
      <c r="CH69" s="565">
        <v>2333</v>
      </c>
      <c r="CI69" s="565">
        <v>392</v>
      </c>
      <c r="CJ69" s="565">
        <v>3</v>
      </c>
      <c r="CK69" s="565">
        <v>13075.666666666672</v>
      </c>
      <c r="CL69" s="565">
        <v>43.666666666666686</v>
      </c>
      <c r="CM69" s="565">
        <v>391.66666666666652</v>
      </c>
      <c r="CN69" s="46">
        <f>Weather!C93</f>
        <v>8.524999999999995</v>
      </c>
      <c r="CO69" s="46">
        <f>Weather!D93</f>
        <v>88.587499999999991</v>
      </c>
      <c r="CP69" s="46">
        <f>Weather!E93</f>
        <v>0.69166666666666643</v>
      </c>
      <c r="CQ69" s="46">
        <f>Weather!F93</f>
        <v>142.75416666666666</v>
      </c>
      <c r="CR69" s="46">
        <f>Weather!G93</f>
        <v>0</v>
      </c>
      <c r="CS69" s="46">
        <f>Weather!H93</f>
        <v>204.06249999999994</v>
      </c>
      <c r="CT69" s="46">
        <f>Weather!I93</f>
        <v>0</v>
      </c>
      <c r="CU69" s="46">
        <f>Weather!J93</f>
        <v>266.0625</v>
      </c>
      <c r="CV69" s="46">
        <f>Weather!K93</f>
        <v>0</v>
      </c>
      <c r="CW69" s="46">
        <f>Weather!L93</f>
        <v>328.06249999999989</v>
      </c>
      <c r="CX69" s="46">
        <f>Weather!M93</f>
        <v>0</v>
      </c>
      <c r="CY69" s="46">
        <f>Weather!N93</f>
        <v>390.06249999999989</v>
      </c>
      <c r="CZ69" s="46">
        <f>Weather!O93</f>
        <v>0</v>
      </c>
      <c r="DA69" s="46">
        <f>Weather!P93</f>
        <v>452.06249999999989</v>
      </c>
      <c r="DB69" s="243">
        <f>'Economic Data'!D95</f>
        <v>7405.9</v>
      </c>
      <c r="DC69" s="243">
        <f>'Economic Data'!E95</f>
        <v>7474.7</v>
      </c>
      <c r="DD69" s="243">
        <f>'Economic Data'!F95</f>
        <v>212.2</v>
      </c>
      <c r="DE69" s="243">
        <f>'Economic Data'!G95</f>
        <v>213.1</v>
      </c>
      <c r="DF69" s="243">
        <f>'Economic Data'!H95</f>
        <v>49.2</v>
      </c>
      <c r="DG69" s="243">
        <f>'Economic Data'!I95</f>
        <v>49.2</v>
      </c>
      <c r="DH69" s="243">
        <f>'Economic Data'!J95</f>
        <v>817265.5</v>
      </c>
      <c r="DI69" s="243">
        <f>'Economic Data'!K95</f>
        <v>634181.69999999995</v>
      </c>
      <c r="DJ69" s="243">
        <f>'Economic Data'!L95</f>
        <v>92312.5</v>
      </c>
      <c r="DK69" s="243">
        <f>'Economic Data'!M95</f>
        <v>25225.4</v>
      </c>
      <c r="DL69" s="243">
        <f>'Economic Data'!N95</f>
        <v>821006</v>
      </c>
      <c r="DM69" s="243">
        <f>'Economic Data'!O95</f>
        <v>91760</v>
      </c>
      <c r="DN69" s="243">
        <f>'Economic Data'!P95</f>
        <v>13816</v>
      </c>
      <c r="DO69" s="243">
        <f>'Economic Data'!Q95</f>
        <v>640835</v>
      </c>
      <c r="DP69" s="243">
        <f>'Economic Data'!R95</f>
        <v>26054</v>
      </c>
      <c r="DQ69">
        <v>31</v>
      </c>
      <c r="DR69">
        <v>20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1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f t="shared" si="185"/>
        <v>68</v>
      </c>
      <c r="EI69">
        <v>1</v>
      </c>
      <c r="EJ69">
        <v>0.5</v>
      </c>
      <c r="EK69">
        <v>0.75</v>
      </c>
      <c r="EL69">
        <v>0</v>
      </c>
      <c r="EM69" s="47">
        <f t="shared" si="121"/>
        <v>4.2624999999999975</v>
      </c>
      <c r="EN69" s="47">
        <f t="shared" si="122"/>
        <v>44.293749999999996</v>
      </c>
      <c r="EO69" s="47">
        <f t="shared" si="123"/>
        <v>0.34583333333333321</v>
      </c>
      <c r="EP69" s="47">
        <f t="shared" si="124"/>
        <v>71.377083333333331</v>
      </c>
      <c r="EQ69" s="47">
        <f t="shared" si="125"/>
        <v>0</v>
      </c>
      <c r="ER69" s="47">
        <f t="shared" si="126"/>
        <v>102.03124999999997</v>
      </c>
      <c r="ES69" s="47">
        <f t="shared" si="127"/>
        <v>0</v>
      </c>
      <c r="ET69" s="47">
        <f t="shared" si="128"/>
        <v>133.03125</v>
      </c>
      <c r="EU69" s="47">
        <f t="shared" si="129"/>
        <v>0</v>
      </c>
      <c r="EV69" s="47">
        <f t="shared" si="130"/>
        <v>164.03124999999994</v>
      </c>
      <c r="EW69" s="47">
        <f t="shared" si="131"/>
        <v>0</v>
      </c>
      <c r="EX69" s="47">
        <f t="shared" si="132"/>
        <v>195.03124999999994</v>
      </c>
      <c r="EY69" s="47">
        <f t="shared" si="133"/>
        <v>0</v>
      </c>
      <c r="EZ69" s="47">
        <f t="shared" si="134"/>
        <v>226.03124999999994</v>
      </c>
      <c r="FA69" s="47">
        <f t="shared" si="135"/>
        <v>6.3937499999999963</v>
      </c>
      <c r="FB69" s="47">
        <f t="shared" si="136"/>
        <v>66.440624999999997</v>
      </c>
      <c r="FC69" s="47">
        <f t="shared" si="137"/>
        <v>0.51874999999999982</v>
      </c>
      <c r="FD69" s="47">
        <f t="shared" si="138"/>
        <v>107.065625</v>
      </c>
      <c r="FE69" s="47">
        <f t="shared" si="139"/>
        <v>0</v>
      </c>
      <c r="FF69" s="47">
        <f t="shared" si="140"/>
        <v>153.04687499999994</v>
      </c>
      <c r="FG69" s="47">
        <f t="shared" si="141"/>
        <v>0</v>
      </c>
      <c r="FH69" s="47">
        <f t="shared" si="142"/>
        <v>199.546875</v>
      </c>
      <c r="FI69" s="47">
        <f t="shared" si="143"/>
        <v>0</v>
      </c>
      <c r="FJ69" s="47">
        <f t="shared" si="144"/>
        <v>246.04687499999991</v>
      </c>
      <c r="FK69" s="47">
        <f t="shared" si="145"/>
        <v>0</v>
      </c>
      <c r="FL69" s="47">
        <f t="shared" si="146"/>
        <v>292.54687499999989</v>
      </c>
      <c r="FM69" s="47">
        <f t="shared" si="147"/>
        <v>0</v>
      </c>
      <c r="FN69" s="47">
        <f t="shared" si="148"/>
        <v>339.04687499999989</v>
      </c>
      <c r="FO69" s="546">
        <f t="shared" ca="1" si="149"/>
        <v>1023.1764253773389</v>
      </c>
      <c r="FP69" s="546">
        <f t="shared" ca="1" si="150"/>
        <v>732.32626816678226</v>
      </c>
      <c r="FQ69" s="546">
        <f t="shared" ca="1" si="151"/>
        <v>2828.4987173790328</v>
      </c>
      <c r="FR69" s="546">
        <f t="shared" ca="1" si="152"/>
        <v>82522.535063662363</v>
      </c>
      <c r="FS69" s="546">
        <f t="shared" ca="1" si="153"/>
        <v>1439267.5167985177</v>
      </c>
      <c r="FT69" s="546">
        <f t="shared" ca="1" si="154"/>
        <v>5908623.9777386915</v>
      </c>
      <c r="FU69" s="546">
        <f t="shared" si="155"/>
        <v>25.444804481860011</v>
      </c>
      <c r="FV69" s="546">
        <f t="shared" si="156"/>
        <v>74.988993595924782</v>
      </c>
      <c r="FW69" s="546">
        <f t="shared" si="157"/>
        <v>473.73693937261407</v>
      </c>
      <c r="FX69" s="546">
        <f t="shared" ca="1" si="158"/>
        <v>1120.549318923903</v>
      </c>
      <c r="FY69" s="546">
        <f t="shared" ca="1" si="159"/>
        <v>3448.9089087911839</v>
      </c>
      <c r="FZ69" s="546">
        <f t="shared" ca="1" si="160"/>
        <v>77927.145913749075</v>
      </c>
      <c r="GA69" s="546">
        <f t="shared" si="161"/>
        <v>76227.176200497415</v>
      </c>
      <c r="GB69" s="546">
        <f t="shared" si="162"/>
        <v>17.489091335163955</v>
      </c>
      <c r="GC69" s="546">
        <f t="shared" si="163"/>
        <v>50.934826964039104</v>
      </c>
      <c r="GD69" s="546">
        <f t="shared" si="164"/>
        <v>395.3999487114778</v>
      </c>
    </row>
    <row r="70" spans="1:186">
      <c r="A70" s="4">
        <v>44440</v>
      </c>
      <c r="B70" s="6">
        <v>2021</v>
      </c>
      <c r="C70" s="5">
        <v>9</v>
      </c>
      <c r="D70" s="7">
        <v>71595793.486948967</v>
      </c>
      <c r="E70" s="7">
        <f ca="1">IFERROR(VLOOKUP($B70-1,CDM!$V$4:$AJ$17,2,FALSE)/12,0)+IFERROR(VLOOKUP($B70,CDM!$V$41:$AJ$54,2,FALSE)/24,0)+IFERROR(VLOOKUP($B70,CDM!$V$41:$AJ$54,2,FALSE)/2*$C70/78,0)</f>
        <v>3846060.5117503842</v>
      </c>
      <c r="F70" s="7">
        <f t="shared" ca="1" si="165"/>
        <v>75441853.998699352</v>
      </c>
      <c r="G70" s="7">
        <f>IFERROR(HLOOKUP(B70-1,'EV Forecast VRZ'!$F$124:$T$130,2,FALSE)/12,0)+IFERROR(((HLOOKUP(B70,'EV Forecast VRZ'!$F$116:$T$122,2,FALSE)-HLOOKUP(B70-1,'EV Forecast VRZ'!$F$124:$T$130,2,FALSE)))*C70/78,0)</f>
        <v>343476.19149821426</v>
      </c>
      <c r="H70" s="7">
        <f ca="1">HLOOKUP(B70,Heating!$C$102:$O$106,2,FALSE)*INDEX(Weather!$BO$1:$CB$20,MATCH(B70,Weather!$BO$1:$BO$20,0),MATCH(C70,Weather!$BO$1:$CB$1,0))/VLOOKUP(B70,Weather!$BO$2:$CB$20,14,FALSE)*
VLOOKUP('Monthly Data'!$B70,Weather!$BO$3:$CB$20,14,FALSE)/Weather!$CB$14</f>
        <v>67294.783979301763</v>
      </c>
      <c r="I70" s="7">
        <f t="shared" ca="1" si="166"/>
        <v>75031083.023221835</v>
      </c>
      <c r="J70" s="7">
        <v>787526.24589772942</v>
      </c>
      <c r="K70" s="7">
        <f ca="1">IFERROR(VLOOKUP($B70-1,CDM!$V$4:$AJ$17,3,FALSE)/12,0)+IFERROR(VLOOKUP($B70,CDM!$V$41:$AJ$54,3,FALSE)/24,0)+IFERROR(VLOOKUP($B70,CDM!$V$41:$AJ$54,3,FALSE)/2*$C70/78,0)</f>
        <v>44052.021652175492</v>
      </c>
      <c r="L70" s="7">
        <f t="shared" ca="1" si="167"/>
        <v>831578.26754990488</v>
      </c>
      <c r="M70" s="7">
        <f>IFERROR(HLOOKUP(B70-1,'EV Forecast VRZ'!$F$124:$T$130,3,FALSE)/12,0)+IFERROR(((HLOOKUP(B70,'EV Forecast VRZ'!$F$116:$T$122,3,FALSE)-HLOOKUP(B70-1,'EV Forecast VRZ'!$F$124:$T$130,3,FALSE)))*C70/78,0)</f>
        <v>4660.6770915293573</v>
      </c>
      <c r="N70" s="7">
        <f ca="1">HLOOKUP(B70,Heating!$C$102:$O$106,3,FALSE)*INDEX(Weather!$BO$1:$CB$20,MATCH(B70,Weather!$BO$1:$BO$20,0),MATCH(C70,Weather!$BO$1:$CB$1,0))/VLOOKUP(B70,Weather!$BO$2:$CB$20,14,FALSE)*
VLOOKUP('Monthly Data'!$B70,Weather!$BO$3:$CB$20,14,FALSE)/Weather!$CB$14</f>
        <v>841.4380220271039</v>
      </c>
      <c r="O70" s="7">
        <f t="shared" ca="1" si="168"/>
        <v>826076.15243634838</v>
      </c>
      <c r="P70" s="7">
        <v>20145859.916075177</v>
      </c>
      <c r="Q70" s="7">
        <f ca="1">IFERROR(VLOOKUP($B70-1,CDM!$V$4:$AJ$17,4,FALSE)/12,0)+IFERROR(VLOOKUP($B70,CDM!$V$41:$AJ$54,4,FALSE)/24,0)+IFERROR(VLOOKUP($B70,CDM!$V$41:$AJ$54,4,FALSE)/2*$C70/78,0)</f>
        <v>1418746.2288551752</v>
      </c>
      <c r="R70" s="7">
        <f t="shared" ca="1" si="169"/>
        <v>21564606.144930352</v>
      </c>
      <c r="S70" s="7">
        <f>IFERROR(HLOOKUP(B70-1,'EV Forecast VRZ'!$F$124:$T$130,4,FALSE)/12,0)+IFERROR(((HLOOKUP(B70,'EV Forecast VRZ'!$F$116:$T$122,4,FALSE)-HLOOKUP(B70-1,'EV Forecast VRZ'!$F$124:$T$130,4,FALSE)))*C70/78,0)</f>
        <v>42425.378205128203</v>
      </c>
      <c r="T70" s="7">
        <f ca="1">HLOOKUP(B70,Heating!$C$102:$O$106,4,FALSE)*INDEX(Weather!$BO$1:$CB$20,MATCH(B70,Weather!$BO$1:$BO$20,0),MATCH(C70,Weather!$BO$1:$CB$1,0))/VLOOKUP(B70,Weather!$BO$2:$CB$20,14,FALSE)*
VLOOKUP('Monthly Data'!$B70,Weather!$BO$3:$CB$20,14,FALSE)/Weather!$CB$14</f>
        <v>16481.55550961988</v>
      </c>
      <c r="U70" s="7">
        <f t="shared" ca="1" si="170"/>
        <v>21505699.211215604</v>
      </c>
      <c r="V70" s="7">
        <v>72463825.593499213</v>
      </c>
      <c r="W70" s="7">
        <f ca="1">IFERROR(VLOOKUP($B70-1,CDM!$V$4:$AJ$17,5,FALSE)/12,0)+IFERROR(VLOOKUP($B70,CDM!$V$41:$AJ$54,5,FALSE)/24,0)+IFERROR(VLOOKUP($B70,CDM!$V$41:$AJ$54,5,FALSE)/2*$C70/78,0)</f>
        <v>5408560.1310070269</v>
      </c>
      <c r="X70" s="7">
        <f t="shared" ca="1" si="171"/>
        <v>77872385.724506244</v>
      </c>
      <c r="Y70" s="7">
        <f>IFERROR(HLOOKUP(B70-1,'EV Forecast VRZ'!$F$124:$T$130,5,FALSE)/12,0)+IFERROR(((HLOOKUP(B70,'EV Forecast VRZ'!$F$116:$T$122,5,FALSE)-HLOOKUP(B70-1,'EV Forecast VRZ'!$F$124:$T$130,5,FALSE)))*C70/78,0)</f>
        <v>19210.266346153847</v>
      </c>
      <c r="Z70" s="7">
        <f ca="1">HLOOKUP(B70,Heating!$C$102:$O$106,5,FALSE)*INDEX(Weather!$BO$1:$CB$20,MATCH(B70,Weather!$BO$1:$BO$20,0),MATCH(C70,Weather!$BO$1:$CB$1,0))/VLOOKUP(B70,Weather!$BO$2:$CB$20,14,FALSE)*
VLOOKUP('Monthly Data'!$B70,Weather!$BO$3:$CB$20,14,FALSE)/Weather!$CB$14</f>
        <v>8936.9967474952191</v>
      </c>
      <c r="AA70" s="7">
        <f t="shared" ca="1" si="172"/>
        <v>77844238.461412594</v>
      </c>
      <c r="AB70" s="7">
        <v>8037782.6950518703</v>
      </c>
      <c r="AC70" s="7">
        <f ca="1">IFERROR(VLOOKUP($B70-1,CDM!$V$4:$AJ$17,6,FALSE)/12,0)+IFERROR(VLOOKUP($B70,CDM!$V$41:$AJ$54,6,FALSE)/24,0)+IFERROR(VLOOKUP($B70,CDM!$V$41:$AJ$54,6,FALSE)/2*$C70/78,0)</f>
        <v>245323.98038032907</v>
      </c>
      <c r="AD70" s="7">
        <f t="shared" ca="1" si="173"/>
        <v>8283106.6754321996</v>
      </c>
      <c r="AE70" s="7">
        <f>IFERROR(HLOOKUP(B70-1,'EV Forecast VRZ'!$F$124:$T$130,6,FALSE)/12,0)+IFERROR(((HLOOKUP(B70,'EV Forecast VRZ'!$F$116:$T$122,6,FALSE)-HLOOKUP(B70-1,'EV Forecast VRZ'!$F$124:$T$130,6,FALSE)))*C70/78,0)</f>
        <v>2596.6535256410252</v>
      </c>
      <c r="AF70" s="7">
        <f t="shared" ca="1" si="174"/>
        <v>8280510.0219065584</v>
      </c>
      <c r="AG70" s="7">
        <v>22826440.58805418</v>
      </c>
      <c r="AH70" s="7">
        <f ca="1">IFERROR(VLOOKUP($B70-1,CDM!$V$4:$AJ$17,7,FALSE)/12,0)+IFERROR(VLOOKUP($B70,CDM!$V$41:$AJ$54,7,FALSE)/24,0)+IFERROR(VLOOKUP($B70,CDM!$V$41:$AJ$54,7,FALSE)/2*$C70/78,0)</f>
        <v>1739092.8240788761</v>
      </c>
      <c r="AI70" s="7">
        <f t="shared" ca="1" si="175"/>
        <v>24565533.412133057</v>
      </c>
      <c r="AJ70" s="7">
        <f>IFERROR(HLOOKUP(B70-1,'EV Forecast VRZ'!$F$124:$T$130,7,FALSE)/12,0)+IFERROR(((HLOOKUP(B70,'EV Forecast VRZ'!$F$116:$T$122,7,FALSE)-HLOOKUP(B70-1,'EV Forecast VRZ'!$F$124:$T$130,7,FALSE)))*C70/78,0)</f>
        <v>0</v>
      </c>
      <c r="AK70" s="7">
        <f t="shared" ca="1" si="176"/>
        <v>24565533.412133057</v>
      </c>
      <c r="AL70" s="7">
        <v>883068.29803472618</v>
      </c>
      <c r="AM70" s="7">
        <v>17697.137950772751</v>
      </c>
      <c r="AN70" s="7">
        <v>379904.01640908222</v>
      </c>
      <c r="AO70" s="5">
        <v>187589.42</v>
      </c>
      <c r="AP70" s="5">
        <v>19363.5</v>
      </c>
      <c r="AQ70" s="5">
        <v>40294</v>
      </c>
      <c r="AR70" s="5">
        <v>2580.0700000000002</v>
      </c>
      <c r="AS70" s="544">
        <f t="shared" si="186"/>
        <v>52.666666666666664</v>
      </c>
      <c r="AT70" s="557">
        <v>113218.24999999996</v>
      </c>
      <c r="AU70" s="557">
        <v>1558.0000000000007</v>
      </c>
      <c r="AV70" s="557">
        <v>9325.7499999999945</v>
      </c>
      <c r="AW70" s="557">
        <v>1055.7500000000007</v>
      </c>
      <c r="AX70" s="557">
        <v>5.7499999999999973</v>
      </c>
      <c r="AY70" s="557">
        <v>4</v>
      </c>
      <c r="AZ70" s="557">
        <v>31704.999999999989</v>
      </c>
      <c r="BA70" s="557">
        <v>247.99999999999991</v>
      </c>
      <c r="BB70" s="557">
        <v>802.25</v>
      </c>
      <c r="BC70" s="560">
        <v>29821638.989248037</v>
      </c>
      <c r="BD70" s="560">
        <f ca="1">IFERROR(VLOOKUP($B70-1,CDM!$V$4:$AJ$17,11,FALSE)/12,0)+IFERROR(VLOOKUP($B70,CDM!$V$41:$AJ$54,11,FALSE)/24,0)+IFERROR(VLOOKUP($B70,CDM!$V$41:$AJ$54,11,FALSE)/2*$C70/78,0)</f>
        <v>1654970.2107429656</v>
      </c>
      <c r="BE70" s="560">
        <f t="shared" ca="1" si="119"/>
        <v>31476609.199991003</v>
      </c>
      <c r="BF70" s="560">
        <f>IFERROR(HLOOKUP(B70-1,'EV Forecast WRZ'!$F$124:$T$130,2,FALSE)/12,0)+IFERROR(((HLOOKUP(B70,'EV Forecast WRZ'!$F$116:$T$122,2,FALSE)-HLOOKUP(B70-1,'EV Forecast WRZ'!$F$124:$T$130,2,FALSE)))*C70/78,0)</f>
        <v>111036.29628205129</v>
      </c>
      <c r="BG70" s="560">
        <f ca="1">HLOOKUP(B70,Heating!$R$102:$AD$106,2,FALSE)*INDEX(Weather!$BO$1:$CB$20,MATCH(B70,Weather!$BO$1:$BO$20,0),MATCH(C70,Weather!$BO$1:$CB$1,0))/VLOOKUP(B70,Weather!$BO$2:$CB$20,14,FALSE)*
VLOOKUP('Monthly Data'!$B70,Weather!$BO$3:$CB$20,14,FALSE)/Weather!$CB$14</f>
        <v>28532.478947457876</v>
      </c>
      <c r="BH70" s="560">
        <f t="shared" ca="1" si="177"/>
        <v>31337040.424761493</v>
      </c>
      <c r="BI70" s="560">
        <v>6341387.039563803</v>
      </c>
      <c r="BJ70" s="560">
        <f ca="1">IFERROR(VLOOKUP($B70-1,CDM!$V$4:$AJ$17,12,FALSE)/12,0)+IFERROR(VLOOKUP($B70,CDM!$V$41:$AJ$54,12,FALSE)/24,0)+IFERROR(VLOOKUP($B70,CDM!$V$41:$AJ$54,12,FALSE)/2*$C70/78,0)</f>
        <v>233945.36457516003</v>
      </c>
      <c r="BK70" s="560">
        <f t="shared" ca="1" si="178"/>
        <v>6575332.4041389627</v>
      </c>
      <c r="BL70" s="560">
        <f>IFERROR(HLOOKUP(B70-1,'EV Forecast WRZ'!$F$124:$T$130,3,FALSE)/12,0)+IFERROR(((HLOOKUP(B70,'EV Forecast WRZ'!$F$116:$T$122,3,FALSE)-HLOOKUP(B70-1,'EV Forecast WRZ'!$F$124:$T$130,3,FALSE)))*C70/78,0)</f>
        <v>13526.328974358976</v>
      </c>
      <c r="BM70" s="560">
        <f ca="1">HLOOKUP(B70,Heating!$R$102:$AD$106,4,FALSE)*INDEX(Weather!$BO$1:$CB$20,MATCH(B70,Weather!$BO$1:$BO$20,0),MATCH(C70,Weather!$BO$1:$CB$1,0))/VLOOKUP(B70,Weather!$BO$2:$CB$20,14,FALSE)*
VLOOKUP('Monthly Data'!$B70,Weather!$BO$3:$CB$20,14,FALSE)/Weather!$CB$14</f>
        <v>4309.3671008238725</v>
      </c>
      <c r="BN70" s="560">
        <f t="shared" ca="1" si="179"/>
        <v>6557496.7080637803</v>
      </c>
      <c r="BO70" s="560">
        <v>24581678.573401377</v>
      </c>
      <c r="BP70" s="560">
        <f ca="1">IFERROR(VLOOKUP($B70-1,CDM!$V$4:$AJ$17,13,FALSE)/12,0)+IFERROR(VLOOKUP($B70,CDM!$V$41:$AJ$54,13,FALSE)/24,0)+IFERROR(VLOOKUP($B70,CDM!$V$41:$AJ$54,13,FALSE)/2*$C70/78,0)</f>
        <v>2192962.9638499562</v>
      </c>
      <c r="BQ70" s="560">
        <f t="shared" ca="1" si="180"/>
        <v>26774641.537251331</v>
      </c>
      <c r="BR70" s="560">
        <f>IFERROR(HLOOKUP(B70-1,'EV Forecast WRZ'!$F$124:$T$130,4,FALSE)/12,0)+IFERROR(((HLOOKUP(B70,'EV Forecast WRZ'!$F$116:$T$122,4,FALSE)-HLOOKUP(B70-1,'EV Forecast WRZ'!$F$124:$T$130,4,FALSE)))*C70/78,0)</f>
        <v>6124.3480384615395</v>
      </c>
      <c r="BS70" s="560">
        <f ca="1">HLOOKUP(B70,Heating!$R$102:$AD$106,5,FALSE)*INDEX(Weather!$BO$1:$CB$20,MATCH(B70,Weather!$BO$1:$BO$20,0),MATCH(C70,Weather!$BO$1:$CB$1,0))/VLOOKUP(B70,Weather!$BO$2:$CB$20,14,FALSE)*
VLOOKUP('Monthly Data'!$B70,Weather!$BO$3:$CB$20,14,FALSE)/Weather!$CB$14</f>
        <v>2637.0603454398665</v>
      </c>
      <c r="BT70" s="560">
        <f t="shared" ca="1" si="181"/>
        <v>26765880.128867429</v>
      </c>
      <c r="BU70" s="560">
        <v>7109016.5959498556</v>
      </c>
      <c r="BV70" s="560">
        <f ca="1">IFERROR(VLOOKUP($B70-1,CDM!$V$4:$AJ$17,14,FALSE)/12,0)+IFERROR(VLOOKUP($B70,CDM!$V$41:$AJ$54,14,FALSE)/24,0)+IFERROR(VLOOKUP($B70,CDM!$V$41:$AJ$54,14,FALSE)/2*$C70/78,0)</f>
        <v>493078.38468939177</v>
      </c>
      <c r="BW70" s="560">
        <f t="shared" ca="1" si="182"/>
        <v>7602094.9806392472</v>
      </c>
      <c r="BX70" s="560">
        <f>IFERROR(HLOOKUP(B70-1,'EV Forecast WRZ'!$F$124:$T$130,5,FALSE)/12,0)+IFERROR(((HLOOKUP(B70,'EV Forecast WRZ'!$F$116:$T$122,5,FALSE)-HLOOKUP(B70-1,'EV Forecast WRZ'!$F$124:$T$130,5,FALSE)))*C70/78,0)</f>
        <v>826.31644871794879</v>
      </c>
      <c r="BY70" s="560">
        <f t="shared" ca="1" si="120"/>
        <v>7601268.6641905289</v>
      </c>
      <c r="BZ70" s="560">
        <v>235014.00420891523</v>
      </c>
      <c r="CA70" s="560">
        <v>1731.5562204598182</v>
      </c>
      <c r="CB70" s="560">
        <v>154864.97991199541</v>
      </c>
      <c r="CC70" s="5">
        <v>64162.22</v>
      </c>
      <c r="CD70" s="5">
        <v>12188.04</v>
      </c>
      <c r="CE70" s="5">
        <v>788.21</v>
      </c>
      <c r="CF70" s="544">
        <f t="shared" si="187"/>
        <v>5.916666666666667</v>
      </c>
      <c r="CG70" s="565">
        <v>43144.75</v>
      </c>
      <c r="CH70" s="565">
        <v>2337.25</v>
      </c>
      <c r="CI70" s="565">
        <v>392.75</v>
      </c>
      <c r="CJ70" s="565">
        <v>3</v>
      </c>
      <c r="CK70" s="565">
        <v>13110.250000000005</v>
      </c>
      <c r="CL70" s="565">
        <v>44.500000000000021</v>
      </c>
      <c r="CM70" s="565">
        <v>391.74999999999983</v>
      </c>
      <c r="CN70" s="46">
        <f>Weather!C94</f>
        <v>93.104166666666671</v>
      </c>
      <c r="CO70" s="46">
        <f>Weather!D94</f>
        <v>2.37916666666667</v>
      </c>
      <c r="CP70" s="46">
        <f>Weather!E94</f>
        <v>45.679166666666674</v>
      </c>
      <c r="CQ70" s="46">
        <f>Weather!F94</f>
        <v>14.954166666666683</v>
      </c>
      <c r="CR70" s="46">
        <f>Weather!G94</f>
        <v>20.066666666666677</v>
      </c>
      <c r="CS70" s="46">
        <f>Weather!H94</f>
        <v>49.341666666666683</v>
      </c>
      <c r="CT70" s="46">
        <f>Weather!I94</f>
        <v>5.9833333333333432</v>
      </c>
      <c r="CU70" s="46">
        <f>Weather!J94</f>
        <v>95.25833333333334</v>
      </c>
      <c r="CV70" s="46">
        <f>Weather!K94</f>
        <v>0.28333333333333321</v>
      </c>
      <c r="CW70" s="46">
        <f>Weather!L94</f>
        <v>149.55833333333328</v>
      </c>
      <c r="CX70" s="46">
        <f>Weather!M94</f>
        <v>0</v>
      </c>
      <c r="CY70" s="46">
        <f>Weather!N94</f>
        <v>209.27500000000001</v>
      </c>
      <c r="CZ70" s="46">
        <f>Weather!O94</f>
        <v>0</v>
      </c>
      <c r="DA70" s="46">
        <f>Weather!P94</f>
        <v>269.27499999999998</v>
      </c>
      <c r="DB70" s="243">
        <f>'Economic Data'!D96</f>
        <v>7482</v>
      </c>
      <c r="DC70" s="243">
        <f>'Economic Data'!E96</f>
        <v>7507</v>
      </c>
      <c r="DD70" s="243">
        <f>'Economic Data'!F96</f>
        <v>216.7</v>
      </c>
      <c r="DE70" s="243">
        <f>'Economic Data'!G96</f>
        <v>215.5</v>
      </c>
      <c r="DF70" s="243">
        <f>'Economic Data'!H96</f>
        <v>52.6</v>
      </c>
      <c r="DG70" s="243">
        <f>'Economic Data'!I96</f>
        <v>52.6</v>
      </c>
      <c r="DH70" s="243">
        <f>'Economic Data'!J96</f>
        <v>817265.5</v>
      </c>
      <c r="DI70" s="243">
        <f>'Economic Data'!K96</f>
        <v>634181.69999999995</v>
      </c>
      <c r="DJ70" s="243">
        <f>'Economic Data'!L96</f>
        <v>92312.5</v>
      </c>
      <c r="DK70" s="243">
        <f>'Economic Data'!M96</f>
        <v>25225.4</v>
      </c>
      <c r="DL70" s="243">
        <f>'Economic Data'!N96</f>
        <v>821006</v>
      </c>
      <c r="DM70" s="243">
        <f>'Economic Data'!O96</f>
        <v>91760</v>
      </c>
      <c r="DN70" s="243">
        <f>'Economic Data'!P96</f>
        <v>13816</v>
      </c>
      <c r="DO70" s="243">
        <f>'Economic Data'!Q96</f>
        <v>640835</v>
      </c>
      <c r="DP70" s="243">
        <f>'Economic Data'!R96</f>
        <v>26054</v>
      </c>
      <c r="DQ70">
        <v>30</v>
      </c>
      <c r="DR70">
        <v>20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1</v>
      </c>
      <c r="EB70">
        <v>0</v>
      </c>
      <c r="EC70">
        <v>0</v>
      </c>
      <c r="ED70">
        <v>0</v>
      </c>
      <c r="EE70">
        <v>0</v>
      </c>
      <c r="EF70">
        <v>1</v>
      </c>
      <c r="EG70">
        <v>1</v>
      </c>
      <c r="EH70">
        <f t="shared" si="185"/>
        <v>69</v>
      </c>
      <c r="EI70">
        <v>1</v>
      </c>
      <c r="EJ70">
        <v>0.5</v>
      </c>
      <c r="EK70">
        <v>0.75</v>
      </c>
      <c r="EL70">
        <v>0</v>
      </c>
      <c r="EM70" s="47">
        <f t="shared" si="121"/>
        <v>46.552083333333336</v>
      </c>
      <c r="EN70" s="47">
        <f t="shared" si="122"/>
        <v>1.189583333333335</v>
      </c>
      <c r="EO70" s="47">
        <f t="shared" si="123"/>
        <v>22.839583333333337</v>
      </c>
      <c r="EP70" s="47">
        <f t="shared" si="124"/>
        <v>7.4770833333333417</v>
      </c>
      <c r="EQ70" s="47">
        <f t="shared" si="125"/>
        <v>10.033333333333339</v>
      </c>
      <c r="ER70" s="47">
        <f t="shared" si="126"/>
        <v>24.670833333333341</v>
      </c>
      <c r="ES70" s="47">
        <f t="shared" si="127"/>
        <v>2.9916666666666716</v>
      </c>
      <c r="ET70" s="47">
        <f t="shared" si="128"/>
        <v>47.62916666666667</v>
      </c>
      <c r="EU70" s="47">
        <f t="shared" si="129"/>
        <v>0.14166666666666661</v>
      </c>
      <c r="EV70" s="47">
        <f t="shared" si="130"/>
        <v>74.77916666666664</v>
      </c>
      <c r="EW70" s="47">
        <f t="shared" si="131"/>
        <v>0</v>
      </c>
      <c r="EX70" s="47">
        <f t="shared" si="132"/>
        <v>104.6375</v>
      </c>
      <c r="EY70" s="47">
        <f t="shared" si="133"/>
        <v>0</v>
      </c>
      <c r="EZ70" s="47">
        <f t="shared" si="134"/>
        <v>134.63749999999999</v>
      </c>
      <c r="FA70" s="47">
        <f t="shared" si="135"/>
        <v>69.828125</v>
      </c>
      <c r="FB70" s="47">
        <f t="shared" si="136"/>
        <v>1.7843750000000025</v>
      </c>
      <c r="FC70" s="47">
        <f t="shared" si="137"/>
        <v>34.259375000000006</v>
      </c>
      <c r="FD70" s="47">
        <f t="shared" si="138"/>
        <v>11.215625000000014</v>
      </c>
      <c r="FE70" s="47">
        <f t="shared" si="139"/>
        <v>15.050000000000008</v>
      </c>
      <c r="FF70" s="47">
        <f t="shared" si="140"/>
        <v>37.006250000000009</v>
      </c>
      <c r="FG70" s="47">
        <f t="shared" si="141"/>
        <v>4.4875000000000078</v>
      </c>
      <c r="FH70" s="47">
        <f t="shared" si="142"/>
        <v>71.443750000000009</v>
      </c>
      <c r="FI70" s="47">
        <f t="shared" si="143"/>
        <v>0.21249999999999991</v>
      </c>
      <c r="FJ70" s="47">
        <f t="shared" si="144"/>
        <v>112.16874999999996</v>
      </c>
      <c r="FK70" s="47">
        <f t="shared" si="145"/>
        <v>0</v>
      </c>
      <c r="FL70" s="47">
        <f t="shared" si="146"/>
        <v>156.95625000000001</v>
      </c>
      <c r="FM70" s="47">
        <f t="shared" si="147"/>
        <v>0</v>
      </c>
      <c r="FN70" s="47">
        <f t="shared" si="148"/>
        <v>201.95624999999998</v>
      </c>
      <c r="FO70" s="546">
        <f t="shared" ca="1" si="149"/>
        <v>662.71191281636891</v>
      </c>
      <c r="FP70" s="546">
        <f t="shared" ca="1" si="150"/>
        <v>533.74728340815432</v>
      </c>
      <c r="FQ70" s="546">
        <f t="shared" ca="1" si="151"/>
        <v>2312.3723180366583</v>
      </c>
      <c r="FR70" s="546">
        <f t="shared" ca="1" si="152"/>
        <v>73760.251692641439</v>
      </c>
      <c r="FS70" s="546">
        <f t="shared" ca="1" si="153"/>
        <v>1440540.2913795137</v>
      </c>
      <c r="FT70" s="546">
        <f t="shared" ca="1" si="154"/>
        <v>6141383.3530332642</v>
      </c>
      <c r="FU70" s="546">
        <f t="shared" si="155"/>
        <v>27.852650939433101</v>
      </c>
      <c r="FV70" s="546">
        <f t="shared" si="156"/>
        <v>71.359427220857896</v>
      </c>
      <c r="FW70" s="546">
        <f t="shared" si="157"/>
        <v>473.54816629365189</v>
      </c>
      <c r="FX70" s="546">
        <f t="shared" ca="1" si="158"/>
        <v>729.55827070480188</v>
      </c>
      <c r="FY70" s="546">
        <f t="shared" ca="1" si="159"/>
        <v>2813.2773148524816</v>
      </c>
      <c r="FZ70" s="546">
        <f t="shared" ca="1" si="160"/>
        <v>68172.22542902948</v>
      </c>
      <c r="GA70" s="546">
        <f t="shared" si="161"/>
        <v>78338.001402971742</v>
      </c>
      <c r="GB70" s="546">
        <f t="shared" si="162"/>
        <v>17.925974272719067</v>
      </c>
      <c r="GC70" s="546">
        <f t="shared" si="163"/>
        <v>38.911375740670053</v>
      </c>
      <c r="GD70" s="546">
        <f t="shared" si="164"/>
        <v>395.31583895850792</v>
      </c>
    </row>
    <row r="71" spans="1:186">
      <c r="A71" s="4">
        <v>44470</v>
      </c>
      <c r="B71" s="6">
        <v>2021</v>
      </c>
      <c r="C71" s="5">
        <v>10</v>
      </c>
      <c r="D71" s="7">
        <v>66817837.770425297</v>
      </c>
      <c r="E71" s="7">
        <f ca="1">IFERROR(VLOOKUP($B71-1,CDM!$V$4:$AJ$17,2,FALSE)/12,0)+IFERROR(VLOOKUP($B71,CDM!$V$41:$AJ$54,2,FALSE)/24,0)+IFERROR(VLOOKUP($B71,CDM!$V$41:$AJ$54,2,FALSE)/2*$C71/78,0)</f>
        <v>3847000.2057189005</v>
      </c>
      <c r="F71" s="7">
        <f t="shared" ca="1" si="165"/>
        <v>70664837.976144195</v>
      </c>
      <c r="G71" s="7">
        <f>IFERROR(HLOOKUP(B71-1,'EV Forecast VRZ'!$F$124:$T$130,2,FALSE)/12,0)+IFERROR(((HLOOKUP(B71,'EV Forecast VRZ'!$F$116:$T$122,2,FALSE)-HLOOKUP(B71-1,'EV Forecast VRZ'!$F$124:$T$130,2,FALSE)))*C71/78,0)</f>
        <v>352882.38496272254</v>
      </c>
      <c r="H71" s="7">
        <f ca="1">HLOOKUP(B71,Heating!$C$102:$O$106,2,FALSE)*INDEX(Weather!$BO$1:$CB$20,MATCH(B71,Weather!$BO$1:$BO$20,0),MATCH(C71,Weather!$BO$1:$CB$1,0))/VLOOKUP(B71,Weather!$BO$2:$CB$20,14,FALSE)*
VLOOKUP('Monthly Data'!$B71,Weather!$BO$3:$CB$20,14,FALSE)/Weather!$CB$14</f>
        <v>226100.16173434281</v>
      </c>
      <c r="I71" s="7">
        <f t="shared" ca="1" si="166"/>
        <v>70085855.429447129</v>
      </c>
      <c r="J71" s="7">
        <v>793244.78573745571</v>
      </c>
      <c r="K71" s="7">
        <f ca="1">IFERROR(VLOOKUP($B71-1,CDM!$V$4:$AJ$17,3,FALSE)/12,0)+IFERROR(VLOOKUP($B71,CDM!$V$41:$AJ$54,3,FALSE)/24,0)+IFERROR(VLOOKUP($B71,CDM!$V$41:$AJ$54,3,FALSE)/2*$C71/78,0)</f>
        <v>44062.784722314675</v>
      </c>
      <c r="L71" s="7">
        <f t="shared" ca="1" si="167"/>
        <v>837307.57045977039</v>
      </c>
      <c r="M71" s="7">
        <f>IFERROR(HLOOKUP(B71-1,'EV Forecast VRZ'!$F$124:$T$130,3,FALSE)/12,0)+IFERROR(((HLOOKUP(B71,'EV Forecast VRZ'!$F$116:$T$122,3,FALSE)-HLOOKUP(B71-1,'EV Forecast VRZ'!$F$124:$T$130,3,FALSE)))*C71/78,0)</f>
        <v>4788.3110629184775</v>
      </c>
      <c r="N71" s="7">
        <f ca="1">HLOOKUP(B71,Heating!$C$102:$O$106,3,FALSE)*INDEX(Weather!$BO$1:$CB$20,MATCH(B71,Weather!$BO$1:$BO$20,0),MATCH(C71,Weather!$BO$1:$CB$1,0))/VLOOKUP(B71,Weather!$BO$2:$CB$20,14,FALSE)*
VLOOKUP('Monthly Data'!$B71,Weather!$BO$3:$CB$20,14,FALSE)/Weather!$CB$14</f>
        <v>2827.1028097552071</v>
      </c>
      <c r="O71" s="7">
        <f t="shared" ca="1" si="168"/>
        <v>829692.15658709663</v>
      </c>
      <c r="P71" s="7">
        <v>19586967.300686892</v>
      </c>
      <c r="Q71" s="7">
        <f ca="1">IFERROR(VLOOKUP($B71-1,CDM!$V$4:$AJ$17,4,FALSE)/12,0)+IFERROR(VLOOKUP($B71,CDM!$V$41:$AJ$54,4,FALSE)/24,0)+IFERROR(VLOOKUP($B71,CDM!$V$41:$AJ$54,4,FALSE)/2*$C71/78,0)</f>
        <v>1423134.1092979673</v>
      </c>
      <c r="R71" s="7">
        <f t="shared" ca="1" si="169"/>
        <v>21010101.409984861</v>
      </c>
      <c r="S71" s="7">
        <f>IFERROR(HLOOKUP(B71-1,'EV Forecast VRZ'!$F$124:$T$130,4,FALSE)/12,0)+IFERROR(((HLOOKUP(B71,'EV Forecast VRZ'!$F$116:$T$122,4,FALSE)-HLOOKUP(B71-1,'EV Forecast VRZ'!$F$124:$T$130,4,FALSE)))*C71/78,0)</f>
        <v>43566.009487179486</v>
      </c>
      <c r="T71" s="7">
        <f ca="1">HLOOKUP(B71,Heating!$C$102:$O$106,4,FALSE)*INDEX(Weather!$BO$1:$CB$20,MATCH(B71,Weather!$BO$1:$BO$20,0),MATCH(C71,Weather!$BO$1:$CB$1,0))/VLOOKUP(B71,Weather!$BO$2:$CB$20,14,FALSE)*
VLOOKUP('Monthly Data'!$B71,Weather!$BO$3:$CB$20,14,FALSE)/Weather!$CB$14</f>
        <v>55375.500833835475</v>
      </c>
      <c r="U71" s="7">
        <f t="shared" ca="1" si="170"/>
        <v>20911159.899663847</v>
      </c>
      <c r="V71" s="7">
        <v>71684511.985110343</v>
      </c>
      <c r="W71" s="7">
        <f ca="1">IFERROR(VLOOKUP($B71-1,CDM!$V$4:$AJ$17,5,FALSE)/12,0)+IFERROR(VLOOKUP($B71,CDM!$V$41:$AJ$54,5,FALSE)/24,0)+IFERROR(VLOOKUP($B71,CDM!$V$41:$AJ$54,5,FALSE)/2*$C71/78,0)</f>
        <v>5444902.0083823306</v>
      </c>
      <c r="X71" s="7">
        <f t="shared" ca="1" si="171"/>
        <v>77129413.993492678</v>
      </c>
      <c r="Y71" s="7">
        <f>IFERROR(HLOOKUP(B71-1,'EV Forecast VRZ'!$F$124:$T$130,5,FALSE)/12,0)+IFERROR(((HLOOKUP(B71,'EV Forecast VRZ'!$F$116:$T$122,5,FALSE)-HLOOKUP(B71-1,'EV Forecast VRZ'!$F$124:$T$130,5,FALSE)))*C71/78,0)</f>
        <v>19725.088884615383</v>
      </c>
      <c r="Z71" s="7">
        <f ca="1">HLOOKUP(B71,Heating!$C$102:$O$106,5,FALSE)*INDEX(Weather!$BO$1:$CB$20,MATCH(B71,Weather!$BO$1:$BO$20,0),MATCH(C71,Weather!$BO$1:$CB$1,0))/VLOOKUP(B71,Weather!$BO$2:$CB$20,14,FALSE)*
VLOOKUP('Monthly Data'!$B71,Weather!$BO$3:$CB$20,14,FALSE)/Weather!$CB$14</f>
        <v>30026.939541844273</v>
      </c>
      <c r="AA71" s="7">
        <f t="shared" ca="1" si="172"/>
        <v>77079661.965066209</v>
      </c>
      <c r="AB71" s="7">
        <v>7804247.6667052312</v>
      </c>
      <c r="AC71" s="7">
        <f ca="1">IFERROR(VLOOKUP($B71-1,CDM!$V$4:$AJ$17,6,FALSE)/12,0)+IFERROR(VLOOKUP($B71,CDM!$V$41:$AJ$54,6,FALSE)/24,0)+IFERROR(VLOOKUP($B71,CDM!$V$41:$AJ$54,6,FALSE)/2*$C71/78,0)</f>
        <v>246481.93967527201</v>
      </c>
      <c r="AD71" s="7">
        <f t="shared" ca="1" si="173"/>
        <v>8050729.6063805036</v>
      </c>
      <c r="AE71" s="7">
        <f>IFERROR(HLOOKUP(B71-1,'EV Forecast VRZ'!$F$124:$T$130,6,FALSE)/12,0)+IFERROR(((HLOOKUP(B71,'EV Forecast VRZ'!$F$116:$T$122,6,FALSE)-HLOOKUP(B71-1,'EV Forecast VRZ'!$F$124:$T$130,6,FALSE)))*C71/78,0)</f>
        <v>2659.8389358974355</v>
      </c>
      <c r="AF71" s="7">
        <f t="shared" ca="1" si="174"/>
        <v>8048069.7674446059</v>
      </c>
      <c r="AG71" s="7">
        <v>23236779.504159391</v>
      </c>
      <c r="AH71" s="7">
        <f ca="1">IFERROR(VLOOKUP($B71-1,CDM!$V$4:$AJ$17,7,FALSE)/12,0)+IFERROR(VLOOKUP($B71,CDM!$V$41:$AJ$54,7,FALSE)/24,0)+IFERROR(VLOOKUP($B71,CDM!$V$41:$AJ$54,7,FALSE)/2*$C71/78,0)</f>
        <v>1746271.4082047374</v>
      </c>
      <c r="AI71" s="7">
        <f t="shared" ca="1" si="175"/>
        <v>24983050.912364129</v>
      </c>
      <c r="AJ71" s="7">
        <f>IFERROR(HLOOKUP(B71-1,'EV Forecast VRZ'!$F$124:$T$130,7,FALSE)/12,0)+IFERROR(((HLOOKUP(B71,'EV Forecast VRZ'!$F$116:$T$122,7,FALSE)-HLOOKUP(B71-1,'EV Forecast VRZ'!$F$124:$T$130,7,FALSE)))*C71/78,0)</f>
        <v>0</v>
      </c>
      <c r="AK71" s="7">
        <f t="shared" ca="1" si="176"/>
        <v>24983050.912364129</v>
      </c>
      <c r="AL71" s="7">
        <v>1039639.181453921</v>
      </c>
      <c r="AM71" s="7">
        <v>17355.924441900403</v>
      </c>
      <c r="AN71" s="7">
        <v>380147.02346880361</v>
      </c>
      <c r="AO71" s="5">
        <v>181046.74</v>
      </c>
      <c r="AP71" s="5">
        <v>17202.79</v>
      </c>
      <c r="AQ71" s="5">
        <v>39330</v>
      </c>
      <c r="AR71" s="5">
        <v>2579.8200000000002</v>
      </c>
      <c r="AS71" s="544">
        <f t="shared" si="186"/>
        <v>52.666666666666664</v>
      </c>
      <c r="AT71" s="557">
        <v>113281.83333333328</v>
      </c>
      <c r="AU71" s="557">
        <v>1557.6666666666674</v>
      </c>
      <c r="AV71" s="557">
        <v>9330.1666666666606</v>
      </c>
      <c r="AW71" s="557">
        <v>1057.1666666666674</v>
      </c>
      <c r="AX71" s="557">
        <v>5.8333333333333304</v>
      </c>
      <c r="AY71" s="557">
        <v>4</v>
      </c>
      <c r="AZ71" s="557">
        <v>31715.333333333321</v>
      </c>
      <c r="BA71" s="557">
        <v>247.66666666666657</v>
      </c>
      <c r="BB71" s="557">
        <v>802.5</v>
      </c>
      <c r="BC71" s="560">
        <v>26436464.309269175</v>
      </c>
      <c r="BD71" s="560">
        <f ca="1">IFERROR(VLOOKUP($B71-1,CDM!$V$4:$AJ$17,11,FALSE)/12,0)+IFERROR(VLOOKUP($B71,CDM!$V$41:$AJ$54,11,FALSE)/24,0)+IFERROR(VLOOKUP($B71,CDM!$V$41:$AJ$54,11,FALSE)/2*$C71/78,0)</f>
        <v>1637875.3333866254</v>
      </c>
      <c r="BE71" s="560">
        <f t="shared" ca="1" si="119"/>
        <v>28074339.642655801</v>
      </c>
      <c r="BF71" s="560">
        <f>IFERROR(HLOOKUP(B71-1,'EV Forecast WRZ'!$F$124:$T$130,2,FALSE)/12,0)+IFERROR(((HLOOKUP(B71,'EV Forecast WRZ'!$F$116:$T$122,2,FALSE)-HLOOKUP(B71-1,'EV Forecast WRZ'!$F$124:$T$130,2,FALSE)))*C71/78,0)</f>
        <v>114344.3567948718</v>
      </c>
      <c r="BG71" s="560">
        <f ca="1">HLOOKUP(B71,Heating!$R$102:$AD$106,2,FALSE)*INDEX(Weather!$BO$1:$CB$20,MATCH(B71,Weather!$BO$1:$BO$20,0),MATCH(C71,Weather!$BO$1:$CB$1,0))/VLOOKUP(B71,Weather!$BO$2:$CB$20,14,FALSE)*
VLOOKUP('Monthly Data'!$B71,Weather!$BO$3:$CB$20,14,FALSE)/Weather!$CB$14</f>
        <v>95864.756868618366</v>
      </c>
      <c r="BH71" s="560">
        <f t="shared" ca="1" si="177"/>
        <v>27864130.52899231</v>
      </c>
      <c r="BI71" s="560">
        <v>6175387.0697436286</v>
      </c>
      <c r="BJ71" s="560">
        <f ca="1">IFERROR(VLOOKUP($B71-1,CDM!$V$4:$AJ$17,12,FALSE)/12,0)+IFERROR(VLOOKUP($B71,CDM!$V$41:$AJ$54,12,FALSE)/24,0)+IFERROR(VLOOKUP($B71,CDM!$V$41:$AJ$54,12,FALSE)/2*$C71/78,0)</f>
        <v>235006.56654944021</v>
      </c>
      <c r="BK71" s="560">
        <f t="shared" ca="1" si="178"/>
        <v>6410393.6362930685</v>
      </c>
      <c r="BL71" s="560">
        <f>IFERROR(HLOOKUP(B71-1,'EV Forecast WRZ'!$F$124:$T$130,3,FALSE)/12,0)+IFERROR(((HLOOKUP(B71,'EV Forecast WRZ'!$F$116:$T$122,3,FALSE)-HLOOKUP(B71-1,'EV Forecast WRZ'!$F$124:$T$130,3,FALSE)))*C71/78,0)</f>
        <v>13915.512564102564</v>
      </c>
      <c r="BM71" s="560">
        <f ca="1">HLOOKUP(B71,Heating!$R$102:$AD$106,4,FALSE)*INDEX(Weather!$BO$1:$CB$20,MATCH(B71,Weather!$BO$1:$BO$20,0),MATCH(C71,Weather!$BO$1:$CB$1,0))/VLOOKUP(B71,Weather!$BO$2:$CB$20,14,FALSE)*
VLOOKUP('Monthly Data'!$B71,Weather!$BO$3:$CB$20,14,FALSE)/Weather!$CB$14</f>
        <v>14478.813079608362</v>
      </c>
      <c r="BN71" s="560">
        <f t="shared" ca="1" si="179"/>
        <v>6381999.3106493577</v>
      </c>
      <c r="BO71" s="560">
        <v>24714568.377063941</v>
      </c>
      <c r="BP71" s="560">
        <f ca="1">IFERROR(VLOOKUP($B71-1,CDM!$V$4:$AJ$17,13,FALSE)/12,0)+IFERROR(VLOOKUP($B71,CDM!$V$41:$AJ$54,13,FALSE)/24,0)+IFERROR(VLOOKUP($B71,CDM!$V$41:$AJ$54,13,FALSE)/2*$C71/78,0)</f>
        <v>2215385.7730407431</v>
      </c>
      <c r="BQ71" s="560">
        <f t="shared" ca="1" si="180"/>
        <v>26929954.150104683</v>
      </c>
      <c r="BR71" s="560">
        <f>IFERROR(HLOOKUP(B71-1,'EV Forecast WRZ'!$F$124:$T$130,4,FALSE)/12,0)+IFERROR(((HLOOKUP(B71,'EV Forecast WRZ'!$F$116:$T$122,4,FALSE)-HLOOKUP(B71-1,'EV Forecast WRZ'!$F$124:$T$130,4,FALSE)))*C71/78,0)</f>
        <v>6299.4806538461553</v>
      </c>
      <c r="BS71" s="560">
        <f ca="1">HLOOKUP(B71,Heating!$R$102:$AD$106,5,FALSE)*INDEX(Weather!$BO$1:$CB$20,MATCH(B71,Weather!$BO$1:$BO$20,0),MATCH(C71,Weather!$BO$1:$CB$1,0))/VLOOKUP(B71,Weather!$BO$2:$CB$20,14,FALSE)*
VLOOKUP('Monthly Data'!$B71,Weather!$BO$3:$CB$20,14,FALSE)/Weather!$CB$14</f>
        <v>8860.1186503632216</v>
      </c>
      <c r="BT71" s="560">
        <f t="shared" ca="1" si="181"/>
        <v>26914794.550800476</v>
      </c>
      <c r="BU71" s="560">
        <v>7177530.1542912247</v>
      </c>
      <c r="BV71" s="560">
        <f ca="1">IFERROR(VLOOKUP($B71-1,CDM!$V$4:$AJ$17,14,FALSE)/12,0)+IFERROR(VLOOKUP($B71,CDM!$V$41:$AJ$54,14,FALSE)/24,0)+IFERROR(VLOOKUP($B71,CDM!$V$41:$AJ$54,14,FALSE)/2*$C71/78,0)</f>
        <v>498122.86597378127</v>
      </c>
      <c r="BW71" s="560">
        <f t="shared" ca="1" si="182"/>
        <v>7675653.0202650055</v>
      </c>
      <c r="BX71" s="560">
        <f>IFERROR(HLOOKUP(B71-1,'EV Forecast WRZ'!$F$124:$T$130,5,FALSE)/12,0)+IFERROR(((HLOOKUP(B71,'EV Forecast WRZ'!$F$116:$T$122,5,FALSE)-HLOOKUP(B71-1,'EV Forecast WRZ'!$F$124:$T$130,5,FALSE)))*C71/78,0)</f>
        <v>845.77562820512833</v>
      </c>
      <c r="BY71" s="560">
        <f t="shared" ca="1" si="120"/>
        <v>7674807.2446368001</v>
      </c>
      <c r="BZ71" s="560">
        <v>276644.15534723544</v>
      </c>
      <c r="CA71" s="560">
        <v>2358.0174670722267</v>
      </c>
      <c r="CB71" s="560">
        <v>154864.97991199541</v>
      </c>
      <c r="CC71" s="5">
        <v>61917.97</v>
      </c>
      <c r="CD71" s="5">
        <v>14079.53</v>
      </c>
      <c r="CE71" s="5">
        <v>788.21</v>
      </c>
      <c r="CF71" s="544">
        <f t="shared" si="187"/>
        <v>5.916666666666667</v>
      </c>
      <c r="CG71" s="565">
        <v>43243.5</v>
      </c>
      <c r="CH71" s="565">
        <v>2341.5</v>
      </c>
      <c r="CI71" s="565">
        <v>393.5</v>
      </c>
      <c r="CJ71" s="565">
        <v>3</v>
      </c>
      <c r="CK71" s="565">
        <v>13144.833333333339</v>
      </c>
      <c r="CL71" s="565">
        <v>45.333333333333357</v>
      </c>
      <c r="CM71" s="565">
        <v>391.83333333333314</v>
      </c>
      <c r="CN71" s="46">
        <f>Weather!C95</f>
        <v>214.18749999999994</v>
      </c>
      <c r="CO71" s="46">
        <f>Weather!D95</f>
        <v>0</v>
      </c>
      <c r="CP71" s="46">
        <f>Weather!E95</f>
        <v>153.47499999999997</v>
      </c>
      <c r="CQ71" s="46">
        <f>Weather!F95</f>
        <v>1.2875000000000014</v>
      </c>
      <c r="CR71" s="46">
        <f>Weather!G95</f>
        <v>108.43333333333334</v>
      </c>
      <c r="CS71" s="46">
        <f>Weather!H95</f>
        <v>18.245833333333344</v>
      </c>
      <c r="CT71" s="46">
        <f>Weather!I95</f>
        <v>72.749999999999986</v>
      </c>
      <c r="CU71" s="46">
        <f>Weather!J95</f>
        <v>44.562500000000028</v>
      </c>
      <c r="CV71" s="46">
        <f>Weather!K95</f>
        <v>44.166666666666664</v>
      </c>
      <c r="CW71" s="46">
        <f>Weather!L95</f>
        <v>77.979166666666686</v>
      </c>
      <c r="CX71" s="46">
        <f>Weather!M95</f>
        <v>22.266666666666666</v>
      </c>
      <c r="CY71" s="46">
        <f>Weather!N95</f>
        <v>118.07916666666668</v>
      </c>
      <c r="CZ71" s="46">
        <f>Weather!O95</f>
        <v>6.6666666666666643</v>
      </c>
      <c r="DA71" s="46">
        <f>Weather!P95</f>
        <v>164.47916666666669</v>
      </c>
      <c r="DB71" s="243">
        <f>'Economic Data'!D97</f>
        <v>7537.7</v>
      </c>
      <c r="DC71" s="243">
        <f>'Economic Data'!E97</f>
        <v>7547.1</v>
      </c>
      <c r="DD71" s="243">
        <f>'Economic Data'!F97</f>
        <v>221.3</v>
      </c>
      <c r="DE71" s="243">
        <f>'Economic Data'!G97</f>
        <v>218.9</v>
      </c>
      <c r="DF71" s="243">
        <f>'Economic Data'!H97</f>
        <v>50.3</v>
      </c>
      <c r="DG71" s="243">
        <f>'Economic Data'!I97</f>
        <v>50.3</v>
      </c>
      <c r="DH71" s="243">
        <f>'Economic Data'!J97</f>
        <v>817265.5</v>
      </c>
      <c r="DI71" s="243">
        <f>'Economic Data'!K97</f>
        <v>634181.69999999995</v>
      </c>
      <c r="DJ71" s="243">
        <f>'Economic Data'!L97</f>
        <v>92312.5</v>
      </c>
      <c r="DK71" s="243">
        <f>'Economic Data'!M97</f>
        <v>25225.4</v>
      </c>
      <c r="DL71" s="243">
        <f>'Economic Data'!N97</f>
        <v>840399</v>
      </c>
      <c r="DM71" s="243">
        <f>'Economic Data'!O97</f>
        <v>95623</v>
      </c>
      <c r="DN71" s="243">
        <f>'Economic Data'!P97</f>
        <v>15588</v>
      </c>
      <c r="DO71" s="243">
        <f>'Economic Data'!Q97</f>
        <v>657342</v>
      </c>
      <c r="DP71" s="243">
        <f>'Economic Data'!R97</f>
        <v>27868</v>
      </c>
      <c r="DQ71">
        <v>31</v>
      </c>
      <c r="DR71">
        <v>20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1</v>
      </c>
      <c r="EC71">
        <v>0</v>
      </c>
      <c r="ED71">
        <v>0</v>
      </c>
      <c r="EE71">
        <v>0</v>
      </c>
      <c r="EF71">
        <v>1</v>
      </c>
      <c r="EG71">
        <v>1</v>
      </c>
      <c r="EH71">
        <f t="shared" si="185"/>
        <v>70</v>
      </c>
      <c r="EI71">
        <v>1</v>
      </c>
      <c r="EJ71">
        <v>0.5</v>
      </c>
      <c r="EK71">
        <v>0.75</v>
      </c>
      <c r="EL71">
        <v>0</v>
      </c>
      <c r="EM71" s="47">
        <f t="shared" si="121"/>
        <v>107.09374999999997</v>
      </c>
      <c r="EN71" s="47">
        <f t="shared" si="122"/>
        <v>0</v>
      </c>
      <c r="EO71" s="47">
        <f t="shared" si="123"/>
        <v>76.737499999999983</v>
      </c>
      <c r="EP71" s="47">
        <f t="shared" si="124"/>
        <v>0.64375000000000071</v>
      </c>
      <c r="EQ71" s="47">
        <f t="shared" si="125"/>
        <v>54.216666666666669</v>
      </c>
      <c r="ER71" s="47">
        <f t="shared" si="126"/>
        <v>9.1229166666666721</v>
      </c>
      <c r="ES71" s="47">
        <f t="shared" si="127"/>
        <v>36.374999999999993</v>
      </c>
      <c r="ET71" s="47">
        <f t="shared" si="128"/>
        <v>22.281250000000014</v>
      </c>
      <c r="EU71" s="47">
        <f t="shared" si="129"/>
        <v>22.083333333333332</v>
      </c>
      <c r="EV71" s="47">
        <f t="shared" si="130"/>
        <v>38.989583333333343</v>
      </c>
      <c r="EW71" s="47">
        <f t="shared" si="131"/>
        <v>11.133333333333333</v>
      </c>
      <c r="EX71" s="47">
        <f t="shared" si="132"/>
        <v>59.03958333333334</v>
      </c>
      <c r="EY71" s="47">
        <f t="shared" si="133"/>
        <v>3.3333333333333321</v>
      </c>
      <c r="EZ71" s="47">
        <f t="shared" si="134"/>
        <v>82.239583333333343</v>
      </c>
      <c r="FA71" s="47">
        <f t="shared" si="135"/>
        <v>160.64062499999994</v>
      </c>
      <c r="FB71" s="47">
        <f t="shared" si="136"/>
        <v>0</v>
      </c>
      <c r="FC71" s="47">
        <f t="shared" si="137"/>
        <v>115.10624999999997</v>
      </c>
      <c r="FD71" s="47">
        <f t="shared" si="138"/>
        <v>0.96562500000000107</v>
      </c>
      <c r="FE71" s="47">
        <f t="shared" si="139"/>
        <v>81.325000000000003</v>
      </c>
      <c r="FF71" s="47">
        <f t="shared" si="140"/>
        <v>13.684375000000008</v>
      </c>
      <c r="FG71" s="47">
        <f t="shared" si="141"/>
        <v>54.562499999999986</v>
      </c>
      <c r="FH71" s="47">
        <f t="shared" si="142"/>
        <v>33.421875000000021</v>
      </c>
      <c r="FI71" s="47">
        <f t="shared" si="143"/>
        <v>33.125</v>
      </c>
      <c r="FJ71" s="47">
        <f t="shared" si="144"/>
        <v>58.484375000000014</v>
      </c>
      <c r="FK71" s="47">
        <f t="shared" si="145"/>
        <v>16.7</v>
      </c>
      <c r="FL71" s="47">
        <f t="shared" si="146"/>
        <v>88.559375000000017</v>
      </c>
      <c r="FM71" s="47">
        <f t="shared" si="147"/>
        <v>4.9999999999999982</v>
      </c>
      <c r="FN71" s="47">
        <f t="shared" si="148"/>
        <v>123.35937500000001</v>
      </c>
      <c r="FO71" s="546">
        <f t="shared" ca="1" si="149"/>
        <v>618.68574481151427</v>
      </c>
      <c r="FP71" s="546">
        <f t="shared" ca="1" si="150"/>
        <v>537.53963436321635</v>
      </c>
      <c r="FQ71" s="546">
        <f t="shared" ca="1" si="151"/>
        <v>2251.8463132117904</v>
      </c>
      <c r="FR71" s="546">
        <f t="shared" ca="1" si="152"/>
        <v>72958.613268320318</v>
      </c>
      <c r="FS71" s="546">
        <f t="shared" ca="1" si="153"/>
        <v>1380125.0753795155</v>
      </c>
      <c r="FT71" s="546">
        <f t="shared" ca="1" si="154"/>
        <v>6245762.7280910322</v>
      </c>
      <c r="FU71" s="546">
        <f t="shared" si="155"/>
        <v>32.780332797613816</v>
      </c>
      <c r="FV71" s="546">
        <f t="shared" si="156"/>
        <v>70.077756831361</v>
      </c>
      <c r="FW71" s="546">
        <f t="shared" si="157"/>
        <v>473.70345603589237</v>
      </c>
      <c r="FX71" s="546">
        <f t="shared" ca="1" si="158"/>
        <v>649.21524952087134</v>
      </c>
      <c r="FY71" s="546">
        <f t="shared" ca="1" si="159"/>
        <v>2737.7295051433134</v>
      </c>
      <c r="FZ71" s="546">
        <f t="shared" ca="1" si="160"/>
        <v>68436.986404332099</v>
      </c>
      <c r="GA71" s="546">
        <f t="shared" si="161"/>
        <v>92214.718449078486</v>
      </c>
      <c r="GB71" s="546">
        <f t="shared" si="162"/>
        <v>21.045847317493717</v>
      </c>
      <c r="GC71" s="546">
        <f t="shared" si="163"/>
        <v>52.015091185416736</v>
      </c>
      <c r="GD71" s="546">
        <f t="shared" si="164"/>
        <v>395.2317649816984</v>
      </c>
    </row>
    <row r="72" spans="1:186">
      <c r="A72" s="4">
        <v>44501</v>
      </c>
      <c r="B72" s="6">
        <v>2021</v>
      </c>
      <c r="C72" s="5">
        <v>11</v>
      </c>
      <c r="D72" s="7">
        <v>72502051.786005914</v>
      </c>
      <c r="E72" s="7">
        <f ca="1">IFERROR(VLOOKUP($B72-1,CDM!$V$4:$AJ$17,2,FALSE)/12,0)+IFERROR(VLOOKUP($B72,CDM!$V$41:$AJ$54,2,FALSE)/24,0)+IFERROR(VLOOKUP($B72,CDM!$V$41:$AJ$54,2,FALSE)/2*$C72/78,0)</f>
        <v>3847939.8996874169</v>
      </c>
      <c r="F72" s="7">
        <f t="shared" ca="1" si="165"/>
        <v>76349991.685693324</v>
      </c>
      <c r="G72" s="7">
        <f>IFERROR(HLOOKUP(B72-1,'EV Forecast VRZ'!$F$124:$T$130,2,FALSE)/12,0)+IFERROR(((HLOOKUP(B72,'EV Forecast VRZ'!$F$116:$T$122,2,FALSE)-HLOOKUP(B72-1,'EV Forecast VRZ'!$F$124:$T$130,2,FALSE)))*C72/78,0)</f>
        <v>362288.57842723088</v>
      </c>
      <c r="H72" s="7">
        <f ca="1">HLOOKUP(B72,Heating!$C$102:$O$106,2,FALSE)*INDEX(Weather!$BO$1:$CB$20,MATCH(B72,Weather!$BO$1:$BO$20,0),MATCH(C72,Weather!$BO$1:$CB$1,0))/VLOOKUP(B72,Weather!$BO$2:$CB$20,14,FALSE)*
VLOOKUP('Monthly Data'!$B72,Weather!$BO$3:$CB$20,14,FALSE)/Weather!$CB$14</f>
        <v>657510.02990632167</v>
      </c>
      <c r="I72" s="7">
        <f t="shared" ca="1" si="166"/>
        <v>75330193.077359781</v>
      </c>
      <c r="J72" s="7">
        <v>878195.21557908703</v>
      </c>
      <c r="K72" s="7">
        <f ca="1">IFERROR(VLOOKUP($B72-1,CDM!$V$4:$AJ$17,3,FALSE)/12,0)+IFERROR(VLOOKUP($B72,CDM!$V$41:$AJ$54,3,FALSE)/24,0)+IFERROR(VLOOKUP($B72,CDM!$V$41:$AJ$54,3,FALSE)/2*$C72/78,0)</f>
        <v>44073.547792453857</v>
      </c>
      <c r="L72" s="7">
        <f t="shared" ca="1" si="167"/>
        <v>922268.76337154093</v>
      </c>
      <c r="M72" s="7">
        <f>IFERROR(HLOOKUP(B72-1,'EV Forecast VRZ'!$F$124:$T$130,3,FALSE)/12,0)+IFERROR(((HLOOKUP(B72,'EV Forecast VRZ'!$F$116:$T$122,3,FALSE)-HLOOKUP(B72-1,'EV Forecast VRZ'!$F$124:$T$130,3,FALSE)))*C72/78,0)</f>
        <v>4915.9450343075978</v>
      </c>
      <c r="N72" s="7">
        <f ca="1">HLOOKUP(B72,Heating!$C$102:$O$106,3,FALSE)*INDEX(Weather!$BO$1:$CB$20,MATCH(B72,Weather!$BO$1:$BO$20,0),MATCH(C72,Weather!$BO$1:$CB$1,0))/VLOOKUP(B72,Weather!$BO$2:$CB$20,14,FALSE)*
VLOOKUP('Monthly Data'!$B72,Weather!$BO$3:$CB$20,14,FALSE)/Weather!$CB$14</f>
        <v>8221.3495060408368</v>
      </c>
      <c r="O72" s="7">
        <f t="shared" ca="1" si="168"/>
        <v>909131.46883119259</v>
      </c>
      <c r="P72" s="7">
        <v>20810400.139887426</v>
      </c>
      <c r="Q72" s="7">
        <f ca="1">IFERROR(VLOOKUP($B72-1,CDM!$V$4:$AJ$17,4,FALSE)/12,0)+IFERROR(VLOOKUP($B72,CDM!$V$41:$AJ$54,4,FALSE)/24,0)+IFERROR(VLOOKUP($B72,CDM!$V$41:$AJ$54,4,FALSE)/2*$C72/78,0)</f>
        <v>1427521.9897407594</v>
      </c>
      <c r="R72" s="7">
        <f t="shared" ca="1" si="169"/>
        <v>22237922.129628185</v>
      </c>
      <c r="S72" s="7">
        <f>IFERROR(HLOOKUP(B72-1,'EV Forecast VRZ'!$F$124:$T$130,4,FALSE)/12,0)+IFERROR(((HLOOKUP(B72,'EV Forecast VRZ'!$F$116:$T$122,4,FALSE)-HLOOKUP(B72-1,'EV Forecast VRZ'!$F$124:$T$130,4,FALSE)))*C72/78,0)</f>
        <v>44706.640769230769</v>
      </c>
      <c r="T72" s="7">
        <f ca="1">HLOOKUP(B72,Heating!$C$102:$O$106,4,FALSE)*INDEX(Weather!$BO$1:$CB$20,MATCH(B72,Weather!$BO$1:$BO$20,0),MATCH(C72,Weather!$BO$1:$CB$1,0))/VLOOKUP(B72,Weather!$BO$2:$CB$20,14,FALSE)*
VLOOKUP('Monthly Data'!$B72,Weather!$BO$3:$CB$20,14,FALSE)/Weather!$CB$14</f>
        <v>161034.59161658058</v>
      </c>
      <c r="U72" s="7">
        <f t="shared" ca="1" si="170"/>
        <v>22032180.897242371</v>
      </c>
      <c r="V72" s="7">
        <v>72150499.44595547</v>
      </c>
      <c r="W72" s="7">
        <f ca="1">IFERROR(VLOOKUP($B72-1,CDM!$V$4:$AJ$17,5,FALSE)/12,0)+IFERROR(VLOOKUP($B72,CDM!$V$41:$AJ$54,5,FALSE)/24,0)+IFERROR(VLOOKUP($B72,CDM!$V$41:$AJ$54,5,FALSE)/2*$C72/78,0)</f>
        <v>5481243.8857576335</v>
      </c>
      <c r="X72" s="7">
        <f t="shared" ca="1" si="171"/>
        <v>77631743.33171311</v>
      </c>
      <c r="Y72" s="7">
        <f>IFERROR(HLOOKUP(B72-1,'EV Forecast VRZ'!$F$124:$T$130,5,FALSE)/12,0)+IFERROR(((HLOOKUP(B72,'EV Forecast VRZ'!$F$116:$T$122,5,FALSE)-HLOOKUP(B72-1,'EV Forecast VRZ'!$F$124:$T$130,5,FALSE)))*C72/78,0)</f>
        <v>20239.911423076923</v>
      </c>
      <c r="Z72" s="7">
        <f ca="1">HLOOKUP(B72,Heating!$C$102:$O$106,5,FALSE)*INDEX(Weather!$BO$1:$CB$20,MATCH(B72,Weather!$BO$1:$BO$20,0),MATCH(C72,Weather!$BO$1:$CB$1,0))/VLOOKUP(B72,Weather!$BO$2:$CB$20,14,FALSE)*
VLOOKUP('Monthly Data'!$B72,Weather!$BO$3:$CB$20,14,FALSE)/Weather!$CB$14</f>
        <v>87319.769100167498</v>
      </c>
      <c r="AA72" s="7">
        <f t="shared" ca="1" si="172"/>
        <v>77524183.651189864</v>
      </c>
      <c r="AB72" s="7">
        <v>8559929.5672798771</v>
      </c>
      <c r="AC72" s="7">
        <f ca="1">IFERROR(VLOOKUP($B72-1,CDM!$V$4:$AJ$17,6,FALSE)/12,0)+IFERROR(VLOOKUP($B72,CDM!$V$41:$AJ$54,6,FALSE)/24,0)+IFERROR(VLOOKUP($B72,CDM!$V$41:$AJ$54,6,FALSE)/2*$C72/78,0)</f>
        <v>247639.89897021497</v>
      </c>
      <c r="AD72" s="7">
        <f t="shared" ca="1" si="173"/>
        <v>8807569.4662500918</v>
      </c>
      <c r="AE72" s="7">
        <f>IFERROR(HLOOKUP(B72-1,'EV Forecast VRZ'!$F$124:$T$130,6,FALSE)/12,0)+IFERROR(((HLOOKUP(B72,'EV Forecast VRZ'!$F$116:$T$122,6,FALSE)-HLOOKUP(B72-1,'EV Forecast VRZ'!$F$124:$T$130,6,FALSE)))*C72/78,0)</f>
        <v>2723.0243461538457</v>
      </c>
      <c r="AF72" s="7">
        <f t="shared" ca="1" si="174"/>
        <v>8804846.4419039376</v>
      </c>
      <c r="AG72" s="7">
        <v>23141074.981113903</v>
      </c>
      <c r="AH72" s="7">
        <f ca="1">IFERROR(VLOOKUP($B72-1,CDM!$V$4:$AJ$17,7,FALSE)/12,0)+IFERROR(VLOOKUP($B72,CDM!$V$41:$AJ$54,7,FALSE)/24,0)+IFERROR(VLOOKUP($B72,CDM!$V$41:$AJ$54,7,FALSE)/2*$C72/78,0)</f>
        <v>1753449.9923305984</v>
      </c>
      <c r="AI72" s="7">
        <f t="shared" ca="1" si="175"/>
        <v>24894524.973444503</v>
      </c>
      <c r="AJ72" s="7">
        <f>IFERROR(HLOOKUP(B72-1,'EV Forecast VRZ'!$F$124:$T$130,7,FALSE)/12,0)+IFERROR(((HLOOKUP(B72,'EV Forecast VRZ'!$F$116:$T$122,7,FALSE)-HLOOKUP(B72-1,'EV Forecast VRZ'!$F$124:$T$130,7,FALSE)))*C72/78,0)</f>
        <v>0</v>
      </c>
      <c r="AK72" s="7">
        <f t="shared" ca="1" si="176"/>
        <v>24894524.973444503</v>
      </c>
      <c r="AL72" s="7">
        <v>1108962.1255485595</v>
      </c>
      <c r="AM72" s="7">
        <v>18172.810532341155</v>
      </c>
      <c r="AN72" s="7">
        <v>380092.0339629841</v>
      </c>
      <c r="AO72" s="5">
        <v>180681.62</v>
      </c>
      <c r="AP72" s="5">
        <v>18653.650000000001</v>
      </c>
      <c r="AQ72" s="5">
        <v>38229</v>
      </c>
      <c r="AR72" s="5">
        <v>2579.06</v>
      </c>
      <c r="AS72" s="544">
        <f t="shared" si="186"/>
        <v>52.666666666666664</v>
      </c>
      <c r="AT72" s="557">
        <v>113345.41666666661</v>
      </c>
      <c r="AU72" s="557">
        <v>1557.3333333333342</v>
      </c>
      <c r="AV72" s="557">
        <v>9334.5833333333267</v>
      </c>
      <c r="AW72" s="557">
        <v>1058.5833333333342</v>
      </c>
      <c r="AX72" s="557">
        <v>5.9166666666666634</v>
      </c>
      <c r="AY72" s="557">
        <v>4</v>
      </c>
      <c r="AZ72" s="557">
        <v>31725.666666666653</v>
      </c>
      <c r="BA72" s="557">
        <v>247.33333333333323</v>
      </c>
      <c r="BB72" s="557">
        <v>802.75</v>
      </c>
      <c r="BC72" s="560">
        <v>26625227.540960491</v>
      </c>
      <c r="BD72" s="560">
        <f ca="1">IFERROR(VLOOKUP($B72-1,CDM!$V$4:$AJ$17,11,FALSE)/12,0)+IFERROR(VLOOKUP($B72,CDM!$V$41:$AJ$54,11,FALSE)/24,0)+IFERROR(VLOOKUP($B72,CDM!$V$41:$AJ$54,11,FALSE)/2*$C72/78,0)</f>
        <v>1620780.4560302852</v>
      </c>
      <c r="BE72" s="560">
        <f t="shared" ca="1" si="119"/>
        <v>28246007.996990778</v>
      </c>
      <c r="BF72" s="560">
        <f>IFERROR(HLOOKUP(B72-1,'EV Forecast WRZ'!$F$124:$T$130,2,FALSE)/12,0)+IFERROR(((HLOOKUP(B72,'EV Forecast WRZ'!$F$116:$T$122,2,FALSE)-HLOOKUP(B72-1,'EV Forecast WRZ'!$F$124:$T$130,2,FALSE)))*C72/78,0)</f>
        <v>117652.41730769232</v>
      </c>
      <c r="BG72" s="560">
        <f ca="1">HLOOKUP(B72,Heating!$R$102:$AD$106,2,FALSE)*INDEX(Weather!$BO$1:$CB$20,MATCH(B72,Weather!$BO$1:$BO$20,0),MATCH(C72,Weather!$BO$1:$CB$1,0))/VLOOKUP(B72,Weather!$BO$2:$CB$20,14,FALSE)*
VLOOKUP('Monthly Data'!$B72,Weather!$BO$3:$CB$20,14,FALSE)/Weather!$CB$14</f>
        <v>278779.27495561563</v>
      </c>
      <c r="BH72" s="560">
        <f t="shared" ca="1" si="177"/>
        <v>27849576.304727469</v>
      </c>
      <c r="BI72" s="560">
        <v>6513721.4251865307</v>
      </c>
      <c r="BJ72" s="560">
        <f ca="1">IFERROR(VLOOKUP($B72-1,CDM!$V$4:$AJ$17,12,FALSE)/12,0)+IFERROR(VLOOKUP($B72,CDM!$V$41:$AJ$54,12,FALSE)/24,0)+IFERROR(VLOOKUP($B72,CDM!$V$41:$AJ$54,12,FALSE)/2*$C72/78,0)</f>
        <v>236067.76852372038</v>
      </c>
      <c r="BK72" s="560">
        <f t="shared" ca="1" si="178"/>
        <v>6749789.1937102508</v>
      </c>
      <c r="BL72" s="560">
        <f>IFERROR(HLOOKUP(B72-1,'EV Forecast WRZ'!$F$124:$T$130,3,FALSE)/12,0)+IFERROR(((HLOOKUP(B72,'EV Forecast WRZ'!$F$116:$T$122,3,FALSE)-HLOOKUP(B72-1,'EV Forecast WRZ'!$F$124:$T$130,3,FALSE)))*C72/78,0)</f>
        <v>14304.696153846155</v>
      </c>
      <c r="BM72" s="560">
        <f ca="1">HLOOKUP(B72,Heating!$R$102:$AD$106,4,FALSE)*INDEX(Weather!$BO$1:$CB$20,MATCH(B72,Weather!$BO$1:$BO$20,0),MATCH(C72,Weather!$BO$1:$CB$1,0))/VLOOKUP(B72,Weather!$BO$2:$CB$20,14,FALSE)*
VLOOKUP('Monthly Data'!$B72,Weather!$BO$3:$CB$20,14,FALSE)/Weather!$CB$14</f>
        <v>42105.07744867009</v>
      </c>
      <c r="BN72" s="560">
        <f t="shared" ca="1" si="179"/>
        <v>6693379.4201077344</v>
      </c>
      <c r="BO72" s="560">
        <v>25364482.305613928</v>
      </c>
      <c r="BP72" s="560">
        <f ca="1">IFERROR(VLOOKUP($B72-1,CDM!$V$4:$AJ$17,13,FALSE)/12,0)+IFERROR(VLOOKUP($B72,CDM!$V$41:$AJ$54,13,FALSE)/24,0)+IFERROR(VLOOKUP($B72,CDM!$V$41:$AJ$54,13,FALSE)/2*$C72/78,0)</f>
        <v>2237808.5822315295</v>
      </c>
      <c r="BQ72" s="560">
        <f t="shared" ca="1" si="180"/>
        <v>27602290.887845457</v>
      </c>
      <c r="BR72" s="560">
        <f>IFERROR(HLOOKUP(B72-1,'EV Forecast WRZ'!$F$124:$T$130,4,FALSE)/12,0)+IFERROR(((HLOOKUP(B72,'EV Forecast WRZ'!$F$116:$T$122,4,FALSE)-HLOOKUP(B72-1,'EV Forecast WRZ'!$F$124:$T$130,4,FALSE)))*C72/78,0)</f>
        <v>6474.613269230771</v>
      </c>
      <c r="BS72" s="560">
        <f ca="1">HLOOKUP(B72,Heating!$R$102:$AD$106,5,FALSE)*INDEX(Weather!$BO$1:$CB$20,MATCH(B72,Weather!$BO$1:$BO$20,0),MATCH(C72,Weather!$BO$1:$CB$1,0))/VLOOKUP(B72,Weather!$BO$2:$CB$20,14,FALSE)*
VLOOKUP('Monthly Data'!$B72,Weather!$BO$3:$CB$20,14,FALSE)/Weather!$CB$14</f>
        <v>25765.646667775101</v>
      </c>
      <c r="BT72" s="560">
        <f t="shared" ca="1" si="181"/>
        <v>27570050.62790845</v>
      </c>
      <c r="BU72" s="560">
        <v>7071944.696239152</v>
      </c>
      <c r="BV72" s="560">
        <f ca="1">IFERROR(VLOOKUP($B72-1,CDM!$V$4:$AJ$17,14,FALSE)/12,0)+IFERROR(VLOOKUP($B72,CDM!$V$41:$AJ$54,14,FALSE)/24,0)+IFERROR(VLOOKUP($B72,CDM!$V$41:$AJ$54,14,FALSE)/2*$C72/78,0)</f>
        <v>503167.34725817078</v>
      </c>
      <c r="BW72" s="560">
        <f t="shared" ca="1" si="182"/>
        <v>7575112.0434973231</v>
      </c>
      <c r="BX72" s="560">
        <f>IFERROR(HLOOKUP(B72-1,'EV Forecast WRZ'!$F$124:$T$130,5,FALSE)/12,0)+IFERROR(((HLOOKUP(B72,'EV Forecast WRZ'!$F$116:$T$122,5,FALSE)-HLOOKUP(B72-1,'EV Forecast WRZ'!$F$124:$T$130,5,FALSE)))*C72/78,0)</f>
        <v>865.23480769230787</v>
      </c>
      <c r="BY72" s="560">
        <f t="shared" ca="1" si="120"/>
        <v>7574246.8086896306</v>
      </c>
      <c r="BZ72" s="560">
        <v>316314.88425483066</v>
      </c>
      <c r="CA72" s="560">
        <v>1688.9414469585126</v>
      </c>
      <c r="CB72" s="560">
        <v>155449.01473120335</v>
      </c>
      <c r="CC72" s="5">
        <v>61530.15</v>
      </c>
      <c r="CD72" s="5">
        <v>13250.46</v>
      </c>
      <c r="CE72" s="5">
        <v>788.6</v>
      </c>
      <c r="CF72" s="544">
        <f t="shared" si="187"/>
        <v>5.916666666666667</v>
      </c>
      <c r="CG72" s="565">
        <v>43342.25</v>
      </c>
      <c r="CH72" s="565">
        <v>2345.75</v>
      </c>
      <c r="CI72" s="565">
        <v>394.25</v>
      </c>
      <c r="CJ72" s="565">
        <v>3</v>
      </c>
      <c r="CK72" s="565">
        <v>13179.416666666673</v>
      </c>
      <c r="CL72" s="565">
        <v>46.166666666666693</v>
      </c>
      <c r="CM72" s="565">
        <v>391.91666666666646</v>
      </c>
      <c r="CN72" s="46">
        <f>Weather!C96</f>
        <v>506.31260351966881</v>
      </c>
      <c r="CO72" s="46">
        <f>Weather!D96</f>
        <v>0</v>
      </c>
      <c r="CP72" s="46">
        <f>Weather!E96</f>
        <v>446.3126035196687</v>
      </c>
      <c r="CQ72" s="46">
        <f>Weather!F96</f>
        <v>0</v>
      </c>
      <c r="CR72" s="46">
        <f>Weather!G96</f>
        <v>386.3126035196687</v>
      </c>
      <c r="CS72" s="46">
        <f>Weather!H96</f>
        <v>0</v>
      </c>
      <c r="CT72" s="46">
        <f>Weather!I96</f>
        <v>326.31260351966864</v>
      </c>
      <c r="CU72" s="46">
        <f>Weather!J96</f>
        <v>0</v>
      </c>
      <c r="CV72" s="46">
        <f>Weather!K96</f>
        <v>266.31260351966876</v>
      </c>
      <c r="CW72" s="46">
        <f>Weather!L96</f>
        <v>0</v>
      </c>
      <c r="CX72" s="46">
        <f>Weather!M96</f>
        <v>206.31260351966876</v>
      </c>
      <c r="CY72" s="46">
        <f>Weather!N96</f>
        <v>0</v>
      </c>
      <c r="CZ72" s="46">
        <f>Weather!O96</f>
        <v>148.50427018633536</v>
      </c>
      <c r="DA72" s="46">
        <f>Weather!P96</f>
        <v>2.1916666666666682</v>
      </c>
      <c r="DB72" s="243">
        <f>'Economic Data'!D98</f>
        <v>7604</v>
      </c>
      <c r="DC72" s="243">
        <f>'Economic Data'!E98</f>
        <v>7604.8</v>
      </c>
      <c r="DD72" s="243">
        <f>'Economic Data'!F98</f>
        <v>227.6</v>
      </c>
      <c r="DE72" s="243">
        <f>'Economic Data'!G98</f>
        <v>225.2</v>
      </c>
      <c r="DF72" s="243">
        <f>'Economic Data'!H98</f>
        <v>50.4</v>
      </c>
      <c r="DG72" s="243">
        <f>'Economic Data'!I98</f>
        <v>50.4</v>
      </c>
      <c r="DH72" s="243">
        <f>'Economic Data'!J98</f>
        <v>817265.5</v>
      </c>
      <c r="DI72" s="243">
        <f>'Economic Data'!K98</f>
        <v>634181.69999999995</v>
      </c>
      <c r="DJ72" s="243">
        <f>'Economic Data'!L98</f>
        <v>92312.5</v>
      </c>
      <c r="DK72" s="243">
        <f>'Economic Data'!M98</f>
        <v>25225.4</v>
      </c>
      <c r="DL72" s="243">
        <f>'Economic Data'!N98</f>
        <v>840399</v>
      </c>
      <c r="DM72" s="243">
        <f>'Economic Data'!O98</f>
        <v>95623</v>
      </c>
      <c r="DN72" s="243">
        <f>'Economic Data'!P98</f>
        <v>15588</v>
      </c>
      <c r="DO72" s="243">
        <f>'Economic Data'!Q98</f>
        <v>657342</v>
      </c>
      <c r="DP72" s="243">
        <f>'Economic Data'!R98</f>
        <v>27868</v>
      </c>
      <c r="DQ72">
        <v>30</v>
      </c>
      <c r="DR72">
        <v>22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1</v>
      </c>
      <c r="ED72">
        <v>0</v>
      </c>
      <c r="EE72">
        <v>0</v>
      </c>
      <c r="EF72">
        <v>1</v>
      </c>
      <c r="EG72">
        <v>1</v>
      </c>
      <c r="EH72">
        <f t="shared" si="185"/>
        <v>71</v>
      </c>
      <c r="EI72">
        <v>1</v>
      </c>
      <c r="EJ72">
        <v>0.5</v>
      </c>
      <c r="EK72">
        <v>0.75</v>
      </c>
      <c r="EL72">
        <v>0</v>
      </c>
      <c r="EM72" s="47">
        <f t="shared" si="121"/>
        <v>253.15630175983441</v>
      </c>
      <c r="EN72" s="47">
        <f t="shared" si="122"/>
        <v>0</v>
      </c>
      <c r="EO72" s="47">
        <f t="shared" si="123"/>
        <v>223.15630175983435</v>
      </c>
      <c r="EP72" s="47">
        <f t="shared" si="124"/>
        <v>0</v>
      </c>
      <c r="EQ72" s="47">
        <f t="shared" si="125"/>
        <v>193.15630175983435</v>
      </c>
      <c r="ER72" s="47">
        <f t="shared" si="126"/>
        <v>0</v>
      </c>
      <c r="ES72" s="47">
        <f t="shared" si="127"/>
        <v>163.15630175983432</v>
      </c>
      <c r="ET72" s="47">
        <f t="shared" si="128"/>
        <v>0</v>
      </c>
      <c r="EU72" s="47">
        <f t="shared" si="129"/>
        <v>133.15630175983438</v>
      </c>
      <c r="EV72" s="47">
        <f t="shared" si="130"/>
        <v>0</v>
      </c>
      <c r="EW72" s="47">
        <f t="shared" si="131"/>
        <v>103.15630175983438</v>
      </c>
      <c r="EX72" s="47">
        <f t="shared" si="132"/>
        <v>0</v>
      </c>
      <c r="EY72" s="47">
        <f t="shared" si="133"/>
        <v>74.252135093167681</v>
      </c>
      <c r="EZ72" s="47">
        <f t="shared" si="134"/>
        <v>1.0958333333333341</v>
      </c>
      <c r="FA72" s="47">
        <f t="shared" si="135"/>
        <v>379.73445263975162</v>
      </c>
      <c r="FB72" s="47">
        <f t="shared" si="136"/>
        <v>0</v>
      </c>
      <c r="FC72" s="47">
        <f t="shared" si="137"/>
        <v>334.73445263975151</v>
      </c>
      <c r="FD72" s="47">
        <f t="shared" si="138"/>
        <v>0</v>
      </c>
      <c r="FE72" s="47">
        <f t="shared" si="139"/>
        <v>289.73445263975151</v>
      </c>
      <c r="FF72" s="47">
        <f t="shared" si="140"/>
        <v>0</v>
      </c>
      <c r="FG72" s="47">
        <f t="shared" si="141"/>
        <v>244.73445263975148</v>
      </c>
      <c r="FH72" s="47">
        <f t="shared" si="142"/>
        <v>0</v>
      </c>
      <c r="FI72" s="47">
        <f t="shared" si="143"/>
        <v>199.73445263975157</v>
      </c>
      <c r="FJ72" s="47">
        <f t="shared" si="144"/>
        <v>0</v>
      </c>
      <c r="FK72" s="47">
        <f t="shared" si="145"/>
        <v>154.73445263975157</v>
      </c>
      <c r="FL72" s="47">
        <f t="shared" si="146"/>
        <v>0</v>
      </c>
      <c r="FM72" s="47">
        <f t="shared" si="147"/>
        <v>111.37820263975152</v>
      </c>
      <c r="FN72" s="47">
        <f t="shared" si="148"/>
        <v>1.6437500000000012</v>
      </c>
      <c r="FO72" s="546">
        <f t="shared" ca="1" si="149"/>
        <v>664.6073153438183</v>
      </c>
      <c r="FP72" s="546">
        <f t="shared" ca="1" si="150"/>
        <v>592.21025045261581</v>
      </c>
      <c r="FQ72" s="546">
        <f t="shared" ca="1" si="151"/>
        <v>2382.3154537833184</v>
      </c>
      <c r="FR72" s="546">
        <f t="shared" ca="1" si="152"/>
        <v>73335.504997288561</v>
      </c>
      <c r="FS72" s="546">
        <f t="shared" ca="1" si="153"/>
        <v>1488603.2900704388</v>
      </c>
      <c r="FT72" s="546">
        <f t="shared" ca="1" si="154"/>
        <v>6223631.2433611257</v>
      </c>
      <c r="FU72" s="546">
        <f t="shared" si="155"/>
        <v>34.954730414340439</v>
      </c>
      <c r="FV72" s="546">
        <f t="shared" si="156"/>
        <v>73.474975198144861</v>
      </c>
      <c r="FW72" s="546">
        <f t="shared" si="157"/>
        <v>473.48742941511568</v>
      </c>
      <c r="FX72" s="546">
        <f t="shared" ca="1" si="158"/>
        <v>651.69685461624113</v>
      </c>
      <c r="FY72" s="546">
        <f t="shared" ca="1" si="159"/>
        <v>2877.454628033785</v>
      </c>
      <c r="FZ72" s="546">
        <f t="shared" ca="1" si="160"/>
        <v>70012.151903222461</v>
      </c>
      <c r="GA72" s="546">
        <f t="shared" si="161"/>
        <v>105438.29475161021</v>
      </c>
      <c r="GB72" s="546">
        <f t="shared" si="162"/>
        <v>24.000674100762971</v>
      </c>
      <c r="GC72" s="546">
        <f t="shared" si="163"/>
        <v>36.583569248198806</v>
      </c>
      <c r="GD72" s="546">
        <f t="shared" si="164"/>
        <v>396.63792829564983</v>
      </c>
    </row>
    <row r="73" spans="1:186">
      <c r="A73" s="4">
        <v>44531</v>
      </c>
      <c r="B73" s="6">
        <v>2021</v>
      </c>
      <c r="C73" s="5">
        <v>12</v>
      </c>
      <c r="D73" s="7">
        <v>85335726.017602265</v>
      </c>
      <c r="E73" s="7">
        <f ca="1">IFERROR(VLOOKUP($B73-1,CDM!$V$4:$AJ$17,2,FALSE)/12,0)+IFERROR(VLOOKUP($B73,CDM!$V$41:$AJ$54,2,FALSE)/24,0)+IFERROR(VLOOKUP($B73,CDM!$V$41:$AJ$54,2,FALSE)/2*$C73/78,0)</f>
        <v>3848879.5936559336</v>
      </c>
      <c r="F73" s="7">
        <f t="shared" ca="1" si="165"/>
        <v>89184605.611258194</v>
      </c>
      <c r="G73" s="7">
        <f>IFERROR(HLOOKUP(B73-1,'EV Forecast VRZ'!$F$124:$T$130,2,FALSE)/12,0)+IFERROR(((HLOOKUP(B73,'EV Forecast VRZ'!$F$116:$T$122,2,FALSE)-HLOOKUP(B73-1,'EV Forecast VRZ'!$F$124:$T$130,2,FALSE)))*C73/78,0)</f>
        <v>371694.77189173922</v>
      </c>
      <c r="H73" s="7">
        <f ca="1">HLOOKUP(B73,Heating!$C$102:$O$106,2,FALSE)*INDEX(Weather!$BO$1:$CB$20,MATCH(B73,Weather!$BO$1:$BO$20,0),MATCH(C73,Weather!$BO$1:$CB$1,0))/VLOOKUP(B73,Weather!$BO$2:$CB$20,14,FALSE)*
VLOOKUP('Monthly Data'!$B73,Weather!$BO$3:$CB$20,14,FALSE)/Weather!$CB$14</f>
        <v>785285.87150014169</v>
      </c>
      <c r="I73" s="7">
        <f t="shared" ca="1" si="166"/>
        <v>88027624.967866316</v>
      </c>
      <c r="J73" s="7">
        <v>1133289.2156363288</v>
      </c>
      <c r="K73" s="7">
        <f ca="1">IFERROR(VLOOKUP($B73-1,CDM!$V$4:$AJ$17,3,FALSE)/12,0)+IFERROR(VLOOKUP($B73,CDM!$V$41:$AJ$54,3,FALSE)/24,0)+IFERROR(VLOOKUP($B73,CDM!$V$41:$AJ$54,3,FALSE)/2*$C73/78,0)</f>
        <v>44084.310862593033</v>
      </c>
      <c r="L73" s="7">
        <f t="shared" ca="1" si="167"/>
        <v>1177373.5264989219</v>
      </c>
      <c r="M73" s="7">
        <f>IFERROR(HLOOKUP(B73-1,'EV Forecast VRZ'!$F$124:$T$130,3,FALSE)/12,0)+IFERROR(((HLOOKUP(B73,'EV Forecast VRZ'!$F$116:$T$122,3,FALSE)-HLOOKUP(B73-1,'EV Forecast VRZ'!$F$124:$T$130,3,FALSE)))*C73/78,0)</f>
        <v>5043.579005696718</v>
      </c>
      <c r="N73" s="7">
        <f ca="1">HLOOKUP(B73,Heating!$C$102:$O$106,3,FALSE)*INDEX(Weather!$BO$1:$CB$20,MATCH(B73,Weather!$BO$1:$BO$20,0),MATCH(C73,Weather!$BO$1:$CB$1,0))/VLOOKUP(B73,Weather!$BO$2:$CB$20,14,FALSE)*
VLOOKUP('Monthly Data'!$B73,Weather!$BO$3:$CB$20,14,FALSE)/Weather!$CB$14</f>
        <v>9819.0283312915672</v>
      </c>
      <c r="O73" s="7">
        <f t="shared" ca="1" si="168"/>
        <v>1162510.9191619335</v>
      </c>
      <c r="P73" s="7">
        <v>22732250.379908413</v>
      </c>
      <c r="Q73" s="7">
        <f ca="1">IFERROR(VLOOKUP($B73-1,CDM!$V$4:$AJ$17,4,FALSE)/12,0)+IFERROR(VLOOKUP($B73,CDM!$V$41:$AJ$54,4,FALSE)/24,0)+IFERROR(VLOOKUP($B73,CDM!$V$41:$AJ$54,4,FALSE)/2*$C73/78,0)</f>
        <v>1431909.8701835517</v>
      </c>
      <c r="R73" s="7">
        <f t="shared" ca="1" si="169"/>
        <v>24164160.250091963</v>
      </c>
      <c r="S73" s="7">
        <f>IFERROR(HLOOKUP(B73-1,'EV Forecast VRZ'!$F$124:$T$130,4,FALSE)/12,0)+IFERROR(((HLOOKUP(B73,'EV Forecast VRZ'!$F$116:$T$122,4,FALSE)-HLOOKUP(B73-1,'EV Forecast VRZ'!$F$124:$T$130,4,FALSE)))*C73/78,0)</f>
        <v>45847.272051282052</v>
      </c>
      <c r="T73" s="7">
        <f ca="1">HLOOKUP(B73,Heating!$C$102:$O$106,4,FALSE)*INDEX(Weather!$BO$1:$CB$20,MATCH(B73,Weather!$BO$1:$BO$20,0),MATCH(C73,Weather!$BO$1:$CB$1,0))/VLOOKUP(B73,Weather!$BO$2:$CB$20,14,FALSE)*
VLOOKUP('Monthly Data'!$B73,Weather!$BO$3:$CB$20,14,FALSE)/Weather!$CB$14</f>
        <v>192328.91342708937</v>
      </c>
      <c r="U73" s="7">
        <f t="shared" ca="1" si="170"/>
        <v>23925984.064613592</v>
      </c>
      <c r="V73" s="7">
        <v>73030972.297773749</v>
      </c>
      <c r="W73" s="7">
        <f ca="1">IFERROR(VLOOKUP($B73-1,CDM!$V$4:$AJ$17,5,FALSE)/12,0)+IFERROR(VLOOKUP($B73,CDM!$V$41:$AJ$54,5,FALSE)/24,0)+IFERROR(VLOOKUP($B73,CDM!$V$41:$AJ$54,5,FALSE)/2*$C73/78,0)</f>
        <v>5517585.7631329373</v>
      </c>
      <c r="X73" s="7">
        <f t="shared" ca="1" si="171"/>
        <v>78548558.060906678</v>
      </c>
      <c r="Y73" s="7">
        <f>IFERROR(HLOOKUP(B73-1,'EV Forecast VRZ'!$F$124:$T$130,5,FALSE)/12,0)+IFERROR(((HLOOKUP(B73,'EV Forecast VRZ'!$F$116:$T$122,5,FALSE)-HLOOKUP(B73-1,'EV Forecast VRZ'!$F$124:$T$130,5,FALSE)))*C73/78,0)</f>
        <v>20754.733961538463</v>
      </c>
      <c r="Z73" s="7">
        <f ca="1">HLOOKUP(B73,Heating!$C$102:$O$106,5,FALSE)*INDEX(Weather!$BO$1:$CB$20,MATCH(B73,Weather!$BO$1:$BO$20,0),MATCH(C73,Weather!$BO$1:$CB$1,0))/VLOOKUP(B73,Weather!$BO$2:$CB$20,14,FALSE)*
VLOOKUP('Monthly Data'!$B73,Weather!$BO$3:$CB$20,14,FALSE)/Weather!$CB$14</f>
        <v>104288.87447813654</v>
      </c>
      <c r="AA73" s="7">
        <f t="shared" ca="1" si="172"/>
        <v>78423514.452467009</v>
      </c>
      <c r="AB73" s="7">
        <v>8070255.9682209082</v>
      </c>
      <c r="AC73" s="7">
        <f ca="1">IFERROR(VLOOKUP($B73-1,CDM!$V$4:$AJ$17,6,FALSE)/12,0)+IFERROR(VLOOKUP($B73,CDM!$V$41:$AJ$54,6,FALSE)/24,0)+IFERROR(VLOOKUP($B73,CDM!$V$41:$AJ$54,6,FALSE)/2*$C73/78,0)</f>
        <v>248797.85826515791</v>
      </c>
      <c r="AD73" s="7">
        <f t="shared" ca="1" si="173"/>
        <v>8319053.826486066</v>
      </c>
      <c r="AE73" s="7">
        <f>IFERROR(HLOOKUP(B73-1,'EV Forecast VRZ'!$F$124:$T$130,6,FALSE)/12,0)+IFERROR(((HLOOKUP(B73,'EV Forecast VRZ'!$F$116:$T$122,6,FALSE)-HLOOKUP(B73-1,'EV Forecast VRZ'!$F$124:$T$130,6,FALSE)))*C73/78,0)</f>
        <v>2786.209756410256</v>
      </c>
      <c r="AF73" s="7">
        <f t="shared" ca="1" si="174"/>
        <v>8316267.6167296553</v>
      </c>
      <c r="AG73" s="7">
        <v>22326904.235299665</v>
      </c>
      <c r="AH73" s="7">
        <f ca="1">IFERROR(VLOOKUP($B73-1,CDM!$V$4:$AJ$17,7,FALSE)/12,0)+IFERROR(VLOOKUP($B73,CDM!$V$41:$AJ$54,7,FALSE)/24,0)+IFERROR(VLOOKUP($B73,CDM!$V$41:$AJ$54,7,FALSE)/2*$C73/78,0)</f>
        <v>1760628.5764564597</v>
      </c>
      <c r="AI73" s="7">
        <f t="shared" ca="1" si="175"/>
        <v>24087532.811756127</v>
      </c>
      <c r="AJ73" s="7">
        <f>IFERROR(HLOOKUP(B73-1,'EV Forecast VRZ'!$F$124:$T$130,7,FALSE)/12,0)+IFERROR(((HLOOKUP(B73,'EV Forecast VRZ'!$F$116:$T$122,7,FALSE)-HLOOKUP(B73-1,'EV Forecast VRZ'!$F$124:$T$130,7,FALSE)))*C73/78,0)</f>
        <v>0</v>
      </c>
      <c r="AK73" s="7">
        <f t="shared" ca="1" si="176"/>
        <v>24087532.811756127</v>
      </c>
      <c r="AL73" s="7">
        <v>1199117.2199961839</v>
      </c>
      <c r="AM73" s="7">
        <v>17110.360618202634</v>
      </c>
      <c r="AN73" s="7">
        <v>380125.04293073842</v>
      </c>
      <c r="AO73" s="5">
        <v>177848.55</v>
      </c>
      <c r="AP73" s="5">
        <v>18721.330000000002</v>
      </c>
      <c r="AQ73" s="5">
        <v>37651</v>
      </c>
      <c r="AR73" s="5">
        <v>2578.8200000000002</v>
      </c>
      <c r="AS73" s="544">
        <f t="shared" si="186"/>
        <v>52.666666666666664</v>
      </c>
      <c r="AT73" s="557">
        <v>113409</v>
      </c>
      <c r="AU73" s="557">
        <v>1557</v>
      </c>
      <c r="AV73" s="557">
        <v>9339</v>
      </c>
      <c r="AW73" s="557">
        <v>1060</v>
      </c>
      <c r="AX73" s="557">
        <v>6</v>
      </c>
      <c r="AY73" s="557">
        <v>4</v>
      </c>
      <c r="AZ73" s="557">
        <v>31736</v>
      </c>
      <c r="BA73" s="557">
        <v>247</v>
      </c>
      <c r="BB73" s="557">
        <v>803</v>
      </c>
      <c r="BC73" s="560">
        <v>30994728.20835077</v>
      </c>
      <c r="BD73" s="560">
        <f ca="1">IFERROR(VLOOKUP($B73-1,CDM!$V$4:$AJ$17,11,FALSE)/12,0)+IFERROR(VLOOKUP($B73,CDM!$V$41:$AJ$54,11,FALSE)/24,0)+IFERROR(VLOOKUP($B73,CDM!$V$41:$AJ$54,11,FALSE)/2*$C73/78,0)</f>
        <v>1603685.578673945</v>
      </c>
      <c r="BE73" s="560">
        <f t="shared" ca="1" si="119"/>
        <v>32598413.787024714</v>
      </c>
      <c r="BF73" s="560">
        <f>IFERROR(HLOOKUP(B73-1,'EV Forecast WRZ'!$F$124:$T$130,2,FALSE)/12,0)+IFERROR(((HLOOKUP(B73,'EV Forecast WRZ'!$F$116:$T$122,2,FALSE)-HLOOKUP(B73-1,'EV Forecast WRZ'!$F$124:$T$130,2,FALSE)))*C73/78,0)</f>
        <v>120960.47782051284</v>
      </c>
      <c r="BG73" s="560">
        <f ca="1">HLOOKUP(B73,Heating!$R$102:$AD$106,2,FALSE)*INDEX(Weather!$BO$1:$CB$20,MATCH(B73,Weather!$BO$1:$BO$20,0),MATCH(C73,Weather!$BO$1:$CB$1,0))/VLOOKUP(B73,Weather!$BO$2:$CB$20,14,FALSE)*
VLOOKUP('Monthly Data'!$B73,Weather!$BO$3:$CB$20,14,FALSE)/Weather!$CB$14</f>
        <v>332955.26445564476</v>
      </c>
      <c r="BH73" s="560">
        <f t="shared" ca="1" si="177"/>
        <v>32144498.044748556</v>
      </c>
      <c r="BI73" s="560">
        <v>7084483.8256552601</v>
      </c>
      <c r="BJ73" s="560">
        <f ca="1">IFERROR(VLOOKUP($B73-1,CDM!$V$4:$AJ$17,12,FALSE)/12,0)+IFERROR(VLOOKUP($B73,CDM!$V$41:$AJ$54,12,FALSE)/24,0)+IFERROR(VLOOKUP($B73,CDM!$V$41:$AJ$54,12,FALSE)/2*$C73/78,0)</f>
        <v>237128.97049800053</v>
      </c>
      <c r="BK73" s="560">
        <f t="shared" ca="1" si="178"/>
        <v>7321612.7961532604</v>
      </c>
      <c r="BL73" s="560">
        <f>IFERROR(HLOOKUP(B73-1,'EV Forecast WRZ'!$F$124:$T$130,3,FALSE)/12,0)+IFERROR(((HLOOKUP(B73,'EV Forecast WRZ'!$F$116:$T$122,3,FALSE)-HLOOKUP(B73-1,'EV Forecast WRZ'!$F$124:$T$130,3,FALSE)))*C73/78,0)</f>
        <v>14693.879743589743</v>
      </c>
      <c r="BM73" s="560">
        <f ca="1">HLOOKUP(B73,Heating!$R$102:$AD$106,4,FALSE)*INDEX(Weather!$BO$1:$CB$20,MATCH(B73,Weather!$BO$1:$BO$20,0),MATCH(C73,Weather!$BO$1:$CB$1,0))/VLOOKUP(B73,Weather!$BO$2:$CB$20,14,FALSE)*
VLOOKUP('Monthly Data'!$B73,Weather!$BO$3:$CB$20,14,FALSE)/Weather!$CB$14</f>
        <v>50287.479939386933</v>
      </c>
      <c r="BN73" s="560">
        <f t="shared" ca="1" si="179"/>
        <v>7256631.4364702832</v>
      </c>
      <c r="BO73" s="560">
        <v>26900922.418492943</v>
      </c>
      <c r="BP73" s="560">
        <f ca="1">IFERROR(VLOOKUP($B73-1,CDM!$V$4:$AJ$17,13,FALSE)/12,0)+IFERROR(VLOOKUP($B73,CDM!$V$41:$AJ$54,13,FALSE)/24,0)+IFERROR(VLOOKUP($B73,CDM!$V$41:$AJ$54,13,FALSE)/2*$C73/78,0)</f>
        <v>2260231.3914223164</v>
      </c>
      <c r="BQ73" s="560">
        <f t="shared" ca="1" si="180"/>
        <v>29161153.809915259</v>
      </c>
      <c r="BR73" s="560">
        <f>IFERROR(HLOOKUP(B73-1,'EV Forecast WRZ'!$F$124:$T$130,4,FALSE)/12,0)+IFERROR(((HLOOKUP(B73,'EV Forecast WRZ'!$F$116:$T$122,4,FALSE)-HLOOKUP(B73-1,'EV Forecast WRZ'!$F$124:$T$130,4,FALSE)))*C73/78,0)</f>
        <v>6649.7458846153859</v>
      </c>
      <c r="BS73" s="560">
        <f ca="1">HLOOKUP(B73,Heating!$R$102:$AD$106,5,FALSE)*INDEX(Weather!$BO$1:$CB$20,MATCH(B73,Weather!$BO$1:$BO$20,0),MATCH(C73,Weather!$BO$1:$CB$1,0))/VLOOKUP(B73,Weather!$BO$2:$CB$20,14,FALSE)*
VLOOKUP('Monthly Data'!$B73,Weather!$BO$3:$CB$20,14,FALSE)/Weather!$CB$14</f>
        <v>30772.759924515878</v>
      </c>
      <c r="BT73" s="560">
        <f t="shared" ca="1" si="181"/>
        <v>29123731.304106127</v>
      </c>
      <c r="BU73" s="560">
        <v>7070043.5969141759</v>
      </c>
      <c r="BV73" s="560">
        <f ca="1">IFERROR(VLOOKUP($B73-1,CDM!$V$4:$AJ$17,14,FALSE)/12,0)+IFERROR(VLOOKUP($B73,CDM!$V$41:$AJ$54,14,FALSE)/24,0)+IFERROR(VLOOKUP($B73,CDM!$V$41:$AJ$54,14,FALSE)/2*$C73/78,0)</f>
        <v>508211.82854256028</v>
      </c>
      <c r="BW73" s="560">
        <f t="shared" ca="1" si="182"/>
        <v>7578255.4254567362</v>
      </c>
      <c r="BX73" s="560">
        <f>IFERROR(HLOOKUP(B73-1,'EV Forecast WRZ'!$F$124:$T$130,5,FALSE)/12,0)+IFERROR(((HLOOKUP(B73,'EV Forecast WRZ'!$F$116:$T$122,5,FALSE)-HLOOKUP(B73-1,'EV Forecast WRZ'!$F$124:$T$130,5,FALSE)))*C73/78,0)</f>
        <v>884.69398717948729</v>
      </c>
      <c r="BY73" s="560">
        <f t="shared" ca="1" si="120"/>
        <v>7577370.7314695567</v>
      </c>
      <c r="BZ73" s="560">
        <v>366661.80409412662</v>
      </c>
      <c r="CA73" s="560">
        <v>2016.8585176295737</v>
      </c>
      <c r="CB73" s="560">
        <v>155489.00899177347</v>
      </c>
      <c r="CC73" s="5">
        <v>63700.9</v>
      </c>
      <c r="CD73" s="5">
        <v>14907.54</v>
      </c>
      <c r="CE73" s="5">
        <v>788.52</v>
      </c>
      <c r="CF73" s="544">
        <f t="shared" si="187"/>
        <v>5.916666666666667</v>
      </c>
      <c r="CG73" s="565">
        <v>43441</v>
      </c>
      <c r="CH73" s="565">
        <v>2350</v>
      </c>
      <c r="CI73" s="565">
        <v>395</v>
      </c>
      <c r="CJ73" s="565">
        <v>3</v>
      </c>
      <c r="CK73" s="565">
        <v>13214</v>
      </c>
      <c r="CL73" s="565">
        <v>47</v>
      </c>
      <c r="CM73" s="565">
        <v>392</v>
      </c>
      <c r="CN73" s="46">
        <f>Weather!C97</f>
        <v>595.04583333333335</v>
      </c>
      <c r="CO73" s="46">
        <f>Weather!D97</f>
        <v>0</v>
      </c>
      <c r="CP73" s="46">
        <f>Weather!E97</f>
        <v>533.04583333333346</v>
      </c>
      <c r="CQ73" s="46">
        <f>Weather!F97</f>
        <v>0</v>
      </c>
      <c r="CR73" s="46">
        <f>Weather!G97</f>
        <v>471.04583333333335</v>
      </c>
      <c r="CS73" s="46">
        <f>Weather!H97</f>
        <v>0</v>
      </c>
      <c r="CT73" s="46">
        <f>Weather!I97</f>
        <v>409.04583333333335</v>
      </c>
      <c r="CU73" s="46">
        <f>Weather!J97</f>
        <v>0</v>
      </c>
      <c r="CV73" s="46">
        <f>Weather!K97</f>
        <v>347.04583333333335</v>
      </c>
      <c r="CW73" s="46">
        <f>Weather!L97</f>
        <v>0</v>
      </c>
      <c r="CX73" s="46">
        <f>Weather!M97</f>
        <v>285.45833333333331</v>
      </c>
      <c r="CY73" s="46">
        <f>Weather!N97</f>
        <v>0.41249999999999964</v>
      </c>
      <c r="CZ73" s="46">
        <f>Weather!O97</f>
        <v>225.45833333333331</v>
      </c>
      <c r="DA73" s="46">
        <f>Weather!P97</f>
        <v>2.4124999999999996</v>
      </c>
      <c r="DB73" s="243">
        <f>'Economic Data'!D99</f>
        <v>7658.5</v>
      </c>
      <c r="DC73" s="243">
        <f>'Economic Data'!E99</f>
        <v>7662.8</v>
      </c>
      <c r="DD73" s="243">
        <f>'Economic Data'!F99</f>
        <v>228.8</v>
      </c>
      <c r="DE73" s="243">
        <f>'Economic Data'!G99</f>
        <v>227.5</v>
      </c>
      <c r="DF73" s="243">
        <f>'Economic Data'!H99</f>
        <v>55.6</v>
      </c>
      <c r="DG73" s="243">
        <f>'Economic Data'!I99</f>
        <v>55.6</v>
      </c>
      <c r="DH73" s="243">
        <f>'Economic Data'!J99</f>
        <v>817265.5</v>
      </c>
      <c r="DI73" s="243">
        <f>'Economic Data'!K99</f>
        <v>634181.69999999995</v>
      </c>
      <c r="DJ73" s="243">
        <f>'Economic Data'!L99</f>
        <v>92312.5</v>
      </c>
      <c r="DK73" s="243">
        <f>'Economic Data'!M99</f>
        <v>25225.4</v>
      </c>
      <c r="DL73" s="243">
        <f>'Economic Data'!N99</f>
        <v>840399</v>
      </c>
      <c r="DM73" s="243">
        <f>'Economic Data'!O99</f>
        <v>95623</v>
      </c>
      <c r="DN73" s="243">
        <f>'Economic Data'!P99</f>
        <v>15588</v>
      </c>
      <c r="DO73" s="243">
        <f>'Economic Data'!Q99</f>
        <v>657342</v>
      </c>
      <c r="DP73" s="243">
        <f>'Economic Data'!R99</f>
        <v>27868</v>
      </c>
      <c r="DQ73">
        <v>31</v>
      </c>
      <c r="DR73">
        <v>21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1</v>
      </c>
      <c r="EE73">
        <v>0</v>
      </c>
      <c r="EF73">
        <v>0</v>
      </c>
      <c r="EG73">
        <v>0</v>
      </c>
      <c r="EH73">
        <f t="shared" si="185"/>
        <v>72</v>
      </c>
      <c r="EI73">
        <v>1</v>
      </c>
      <c r="EJ73">
        <v>0.5</v>
      </c>
      <c r="EK73">
        <v>0.75</v>
      </c>
      <c r="EL73">
        <v>0</v>
      </c>
      <c r="EM73" s="47">
        <f t="shared" si="121"/>
        <v>297.52291666666667</v>
      </c>
      <c r="EN73" s="47">
        <f t="shared" si="122"/>
        <v>0</v>
      </c>
      <c r="EO73" s="47">
        <f t="shared" si="123"/>
        <v>266.52291666666673</v>
      </c>
      <c r="EP73" s="47">
        <f t="shared" si="124"/>
        <v>0</v>
      </c>
      <c r="EQ73" s="47">
        <f t="shared" si="125"/>
        <v>235.52291666666667</v>
      </c>
      <c r="ER73" s="47">
        <f t="shared" si="126"/>
        <v>0</v>
      </c>
      <c r="ES73" s="47">
        <f t="shared" si="127"/>
        <v>204.52291666666667</v>
      </c>
      <c r="ET73" s="47">
        <f t="shared" si="128"/>
        <v>0</v>
      </c>
      <c r="EU73" s="47">
        <f t="shared" si="129"/>
        <v>173.52291666666667</v>
      </c>
      <c r="EV73" s="47">
        <f t="shared" si="130"/>
        <v>0</v>
      </c>
      <c r="EW73" s="47">
        <f t="shared" si="131"/>
        <v>142.72916666666666</v>
      </c>
      <c r="EX73" s="47">
        <f t="shared" si="132"/>
        <v>0.20624999999999982</v>
      </c>
      <c r="EY73" s="47">
        <f t="shared" si="133"/>
        <v>112.72916666666666</v>
      </c>
      <c r="EZ73" s="47">
        <f t="shared" si="134"/>
        <v>1.2062499999999998</v>
      </c>
      <c r="FA73" s="47">
        <f t="shared" si="135"/>
        <v>446.28437500000001</v>
      </c>
      <c r="FB73" s="47">
        <f t="shared" si="136"/>
        <v>0</v>
      </c>
      <c r="FC73" s="47">
        <f t="shared" si="137"/>
        <v>399.78437500000007</v>
      </c>
      <c r="FD73" s="47">
        <f t="shared" si="138"/>
        <v>0</v>
      </c>
      <c r="FE73" s="47">
        <f t="shared" si="139"/>
        <v>353.28437500000001</v>
      </c>
      <c r="FF73" s="47">
        <f t="shared" si="140"/>
        <v>0</v>
      </c>
      <c r="FG73" s="47">
        <f t="shared" si="141"/>
        <v>306.78437500000001</v>
      </c>
      <c r="FH73" s="47">
        <f t="shared" si="142"/>
        <v>0</v>
      </c>
      <c r="FI73" s="47">
        <f t="shared" si="143"/>
        <v>260.28437500000001</v>
      </c>
      <c r="FJ73" s="47">
        <f t="shared" si="144"/>
        <v>0</v>
      </c>
      <c r="FK73" s="47">
        <f t="shared" si="145"/>
        <v>214.09375</v>
      </c>
      <c r="FL73" s="47">
        <f t="shared" si="146"/>
        <v>0.30937499999999973</v>
      </c>
      <c r="FM73" s="47">
        <f t="shared" si="147"/>
        <v>169.09375</v>
      </c>
      <c r="FN73" s="47">
        <f t="shared" si="148"/>
        <v>1.8093749999999997</v>
      </c>
      <c r="FO73" s="546">
        <f t="shared" ca="1" si="149"/>
        <v>776.19611289991371</v>
      </c>
      <c r="FP73" s="546">
        <f t="shared" ca="1" si="150"/>
        <v>756.18081342255743</v>
      </c>
      <c r="FQ73" s="546">
        <f t="shared" ca="1" si="151"/>
        <v>2587.4462201618976</v>
      </c>
      <c r="FR73" s="546">
        <f t="shared" ca="1" si="152"/>
        <v>74102.413265006297</v>
      </c>
      <c r="FS73" s="546">
        <f t="shared" ca="1" si="153"/>
        <v>1386508.971081011</v>
      </c>
      <c r="FT73" s="546">
        <f t="shared" ca="1" si="154"/>
        <v>6021883.2029390316</v>
      </c>
      <c r="FU73" s="546">
        <f t="shared" si="155"/>
        <v>37.784132215659938</v>
      </c>
      <c r="FV73" s="546">
        <f t="shared" si="156"/>
        <v>69.272715053451961</v>
      </c>
      <c r="FW73" s="546">
        <f t="shared" si="157"/>
        <v>473.38112444674772</v>
      </c>
      <c r="FX73" s="546">
        <f t="shared" ca="1" si="158"/>
        <v>750.40661557111287</v>
      </c>
      <c r="FY73" s="546">
        <f t="shared" ca="1" si="159"/>
        <v>3115.5799132567067</v>
      </c>
      <c r="FZ73" s="546">
        <f t="shared" ca="1" si="160"/>
        <v>73825.705847886726</v>
      </c>
      <c r="GA73" s="546">
        <f t="shared" si="161"/>
        <v>122220.60136470887</v>
      </c>
      <c r="GB73" s="546">
        <f t="shared" si="162"/>
        <v>27.747979725603649</v>
      </c>
      <c r="GC73" s="546">
        <f t="shared" si="163"/>
        <v>42.91188335382072</v>
      </c>
      <c r="GD73" s="546">
        <f t="shared" si="164"/>
        <v>396.65563518309557</v>
      </c>
    </row>
    <row r="74" spans="1:186">
      <c r="A74" s="4">
        <v>44562</v>
      </c>
      <c r="B74" s="6">
        <v>2022</v>
      </c>
      <c r="C74" s="5">
        <v>1</v>
      </c>
      <c r="D74" s="7">
        <v>97692452.648589015</v>
      </c>
      <c r="E74" s="7">
        <f ca="1">IFERROR(VLOOKUP($B74-1,CDM!$V$4:$AJ$17,2,FALSE)/12,0)+IFERROR(VLOOKUP($B74,CDM!$V$41:$AJ$54,2,FALSE)/24,0)+IFERROR(VLOOKUP($B74,CDM!$V$41:$AJ$54,2,FALSE)/2*$C74/78,0)</f>
        <v>3846125.5685432148</v>
      </c>
      <c r="F74" s="7">
        <f t="shared" ca="1" si="165"/>
        <v>101538578.21713223</v>
      </c>
      <c r="G74" s="7">
        <f>IFERROR(HLOOKUP(B74-1,'EV Forecast VRZ'!$F$124:$T$130,2,FALSE)/12,0)+IFERROR(((HLOOKUP(B74,'EV Forecast VRZ'!$F$116:$T$122,2,FALSE)-HLOOKUP(B74-1,'EV Forecast VRZ'!$F$124:$T$130,2,FALSE)))*C74/78,0)</f>
        <v>402359.71936337132</v>
      </c>
      <c r="H74" s="7">
        <f ca="1">HLOOKUP(B74,Heating!$C$102:$O$106,2,FALSE)*INDEX(Weather!$BO$1:$CB$20,MATCH(B74,Weather!$BO$1:$BO$20,0),MATCH(C74,Weather!$BO$1:$CB$1,0))/VLOOKUP(B74,Weather!$BO$2:$CB$20,14,FALSE)*
VLOOKUP('Monthly Data'!$B74,Weather!$BO$3:$CB$20,14,FALSE)/Weather!$CB$14</f>
        <v>1790109.9867022387</v>
      </c>
      <c r="I74" s="7">
        <f t="shared" ca="1" si="166"/>
        <v>99346108.511066616</v>
      </c>
      <c r="J74" s="7">
        <v>1529434.013318069</v>
      </c>
      <c r="K74" s="7">
        <f ca="1">IFERROR(VLOOKUP($B74-1,CDM!$V$4:$AJ$17,3,FALSE)/12,0)+IFERROR(VLOOKUP($B74,CDM!$V$41:$AJ$54,3,FALSE)/24,0)+IFERROR(VLOOKUP($B74,CDM!$V$41:$AJ$54,3,FALSE)/2*$C74/78,0)</f>
        <v>44052.766799902012</v>
      </c>
      <c r="L74" s="7">
        <f t="shared" ca="1" si="167"/>
        <v>1573486.7801179711</v>
      </c>
      <c r="M74" s="7">
        <f>IFERROR(HLOOKUP(B74-1,'EV Forecast VRZ'!$F$124:$T$130,3,FALSE)/12,0)+IFERROR(((HLOOKUP(B74,'EV Forecast VRZ'!$F$116:$T$122,3,FALSE)-HLOOKUP(B74-1,'EV Forecast VRZ'!$F$124:$T$130,3,FALSE)))*C74/78,0)</f>
        <v>5459.6760212440968</v>
      </c>
      <c r="N74" s="7">
        <f ca="1">HLOOKUP(B74,Heating!$C$102:$O$106,3,FALSE)*INDEX(Weather!$BO$1:$CB$20,MATCH(B74,Weather!$BO$1:$BO$20,0),MATCH(C74,Weather!$BO$1:$CB$1,0))/VLOOKUP(B74,Weather!$BO$2:$CB$20,14,FALSE)*
VLOOKUP('Monthly Data'!$B74,Weather!$BO$3:$CB$20,14,FALSE)/Weather!$CB$14</f>
        <v>22035.755805605473</v>
      </c>
      <c r="O74" s="7">
        <f t="shared" ca="1" si="168"/>
        <v>1545991.3482911214</v>
      </c>
      <c r="P74" s="7">
        <v>25204996.965369202</v>
      </c>
      <c r="Q74" s="7">
        <f ca="1">IFERROR(VLOOKUP($B74-1,CDM!$V$4:$AJ$17,4,FALSE)/12,0)+IFERROR(VLOOKUP($B74,CDM!$V$41:$AJ$54,4,FALSE)/24,0)+IFERROR(VLOOKUP($B74,CDM!$V$41:$AJ$54,4,FALSE)/2*$C74/78,0)</f>
        <v>1471695.7284165001</v>
      </c>
      <c r="R74" s="7">
        <f t="shared" ca="1" si="169"/>
        <v>26676692.693785701</v>
      </c>
      <c r="S74" s="7">
        <f>IFERROR(HLOOKUP(B74-1,'EV Forecast VRZ'!$F$124:$T$130,4,FALSE)/12,0)+IFERROR(((HLOOKUP(B74,'EV Forecast VRZ'!$F$116:$T$122,4,FALSE)-HLOOKUP(B74-1,'EV Forecast VRZ'!$F$124:$T$130,4,FALSE)))*C74/78,0)</f>
        <v>49626.603076923071</v>
      </c>
      <c r="T74" s="7">
        <f ca="1">HLOOKUP(B74,Heating!$C$102:$O$106,4,FALSE)*INDEX(Weather!$BO$1:$CB$20,MATCH(B74,Weather!$BO$1:$BO$20,0),MATCH(C74,Weather!$BO$1:$CB$1,0))/VLOOKUP(B74,Weather!$BO$2:$CB$20,14,FALSE)*
VLOOKUP('Monthly Data'!$B74,Weather!$BO$3:$CB$20,14,FALSE)/Weather!$CB$14</f>
        <v>438859.00286337122</v>
      </c>
      <c r="U74" s="7">
        <f t="shared" ca="1" si="170"/>
        <v>26188207.087845407</v>
      </c>
      <c r="V74" s="7">
        <v>78650009.373186156</v>
      </c>
      <c r="W74" s="7">
        <f ca="1">IFERROR(VLOOKUP($B74-1,CDM!$V$4:$AJ$17,5,FALSE)/12,0)+IFERROR(VLOOKUP($B74,CDM!$V$41:$AJ$54,5,FALSE)/24,0)+IFERROR(VLOOKUP($B74,CDM!$V$41:$AJ$54,5,FALSE)/2*$C74/78,0)</f>
        <v>5760393.6338872053</v>
      </c>
      <c r="X74" s="7">
        <f t="shared" ca="1" si="171"/>
        <v>84410403.007073358</v>
      </c>
      <c r="Y74" s="7">
        <f>IFERROR(HLOOKUP(B74-1,'EV Forecast VRZ'!$F$124:$T$130,5,FALSE)/12,0)+IFERROR(((HLOOKUP(B74,'EV Forecast VRZ'!$F$116:$T$122,5,FALSE)-HLOOKUP(B74-1,'EV Forecast VRZ'!$F$124:$T$130,5,FALSE)))*C74/78,0)</f>
        <v>22492.035487179484</v>
      </c>
      <c r="Z74" s="7">
        <f ca="1">HLOOKUP(B74,Heating!$C$102:$O$106,5,FALSE)*INDEX(Weather!$BO$1:$CB$20,MATCH(B74,Weather!$BO$1:$BO$20,0),MATCH(C74,Weather!$BO$1:$CB$1,0))/VLOOKUP(B74,Weather!$BO$2:$CB$20,14,FALSE)*
VLOOKUP('Monthly Data'!$B74,Weather!$BO$3:$CB$20,14,FALSE)/Weather!$CB$14</f>
        <v>233969.0374559745</v>
      </c>
      <c r="AA74" s="7">
        <f t="shared" ca="1" si="172"/>
        <v>84153941.934130207</v>
      </c>
      <c r="AB74" s="7">
        <v>7962978.412202551</v>
      </c>
      <c r="AC74" s="7">
        <f ca="1">IFERROR(VLOOKUP($B74-1,CDM!$V$4:$AJ$17,6,FALSE)/12,0)+IFERROR(VLOOKUP($B74,CDM!$V$41:$AJ$54,6,FALSE)/24,0)+IFERROR(VLOOKUP($B74,CDM!$V$41:$AJ$54,6,FALSE)/2*$C74/78,0)</f>
        <v>259675.30768535796</v>
      </c>
      <c r="AD74" s="7">
        <f t="shared" ca="1" si="173"/>
        <v>8222653.7198879085</v>
      </c>
      <c r="AE74" s="7">
        <f>IFERROR(HLOOKUP(B74-1,'EV Forecast VRZ'!$F$124:$T$130,6,FALSE)/12,0)+IFERROR(((HLOOKUP(B74,'EV Forecast VRZ'!$F$116:$T$122,6,FALSE)-HLOOKUP(B74-1,'EV Forecast VRZ'!$F$124:$T$130,6,FALSE)))*C74/78,0)</f>
        <v>3000.4327179487182</v>
      </c>
      <c r="AF74" s="7">
        <f t="shared" ca="1" si="174"/>
        <v>8219653.2871699594</v>
      </c>
      <c r="AG74" s="7">
        <v>23982893.207945284</v>
      </c>
      <c r="AH74" s="7">
        <f ca="1">IFERROR(VLOOKUP($B74-1,CDM!$V$4:$AJ$17,7,FALSE)/12,0)+IFERROR(VLOOKUP($B74,CDM!$V$41:$AJ$54,7,FALSE)/24,0)+IFERROR(VLOOKUP($B74,CDM!$V$41:$AJ$54,7,FALSE)/2*$C74/78,0)</f>
        <v>1731857.6429965075</v>
      </c>
      <c r="AI74" s="7">
        <f t="shared" ca="1" si="175"/>
        <v>25714750.850941792</v>
      </c>
      <c r="AJ74" s="7">
        <f>IFERROR(HLOOKUP(B74-1,'EV Forecast VRZ'!$F$124:$T$130,7,FALSE)/12,0)+IFERROR(((HLOOKUP(B74,'EV Forecast VRZ'!$F$116:$T$122,7,FALSE)-HLOOKUP(B74-1,'EV Forecast VRZ'!$F$124:$T$130,7,FALSE)))*C74/78,0)</f>
        <v>13.461538461538462</v>
      </c>
      <c r="AK74" s="7">
        <f t="shared" ca="1" si="176"/>
        <v>25714737.389403332</v>
      </c>
      <c r="AL74" s="7">
        <v>1168245.9645105894</v>
      </c>
      <c r="AM74" s="7">
        <v>17661.076130509449</v>
      </c>
      <c r="AN74" s="7">
        <v>379901.03987788589</v>
      </c>
      <c r="AO74" s="5">
        <v>183894.17</v>
      </c>
      <c r="AP74" s="5">
        <v>19147.939999999999</v>
      </c>
      <c r="AQ74" s="5">
        <v>37362</v>
      </c>
      <c r="AR74" s="5">
        <v>2569.5300000000002</v>
      </c>
      <c r="AS74" s="544">
        <f>601/12</f>
        <v>50.083333333333336</v>
      </c>
      <c r="AT74" s="557">
        <v>113524.66666666667</v>
      </c>
      <c r="AU74" s="557">
        <v>1557.3333333333333</v>
      </c>
      <c r="AV74" s="557">
        <v>9350.4166666666661</v>
      </c>
      <c r="AW74" s="557">
        <v>1056.5</v>
      </c>
      <c r="AX74" s="557">
        <v>5.916666666666667</v>
      </c>
      <c r="AY74" s="557">
        <v>4</v>
      </c>
      <c r="AZ74" s="557">
        <v>31745.083333333332</v>
      </c>
      <c r="BA74" s="557">
        <v>246.83333333333334</v>
      </c>
      <c r="BB74" s="557">
        <v>802.66666666666663</v>
      </c>
      <c r="BC74" s="560">
        <v>33775793.761555284</v>
      </c>
      <c r="BD74" s="560">
        <f ca="1">IFERROR(VLOOKUP($B74-1,CDM!$V$4:$AJ$17,11,FALSE)/12,0)+IFERROR(VLOOKUP($B74,CDM!$V$41:$AJ$54,11,FALSE)/24,0)+IFERROR(VLOOKUP($B74,CDM!$V$41:$AJ$54,11,FALSE)/2*$C74/78,0)</f>
        <v>1699890.0679794727</v>
      </c>
      <c r="BE74" s="560">
        <f t="shared" ref="BE74:BE105" ca="1" si="188">BC74+BD74</f>
        <v>35475683.829534754</v>
      </c>
      <c r="BF74" s="560">
        <f>IFERROR(HLOOKUP(B74-1,'EV Forecast WRZ'!$F$124:$T$130,2,FALSE)/12,0)+IFERROR(((HLOOKUP(B74,'EV Forecast WRZ'!$F$116:$T$122,2,FALSE)-HLOOKUP(B74-1,'EV Forecast WRZ'!$F$124:$T$130,2,FALSE)))*C74/78,0)</f>
        <v>130574.0282051282</v>
      </c>
      <c r="BG74" s="560">
        <f ca="1">HLOOKUP(B74,Heating!$R$102:$AD$106,2,FALSE)*INDEX(Weather!$BO$1:$CB$20,MATCH(B74,Weather!$BO$1:$BO$20,0),MATCH(C74,Weather!$BO$1:$CB$1,0))/VLOOKUP(B74,Weather!$BO$2:$CB$20,14,FALSE)*
VLOOKUP('Monthly Data'!$B74,Weather!$BO$3:$CB$20,14,FALSE)/Weather!$CB$14</f>
        <v>792532.32718386885</v>
      </c>
      <c r="BH74" s="560">
        <f t="shared" ca="1" si="177"/>
        <v>34552577.474145755</v>
      </c>
      <c r="BI74" s="560">
        <v>7820564.2829156294</v>
      </c>
      <c r="BJ74" s="560">
        <f ca="1">IFERROR(VLOOKUP($B74-1,CDM!$V$4:$AJ$17,12,FALSE)/12,0)+IFERROR(VLOOKUP($B74,CDM!$V$41:$AJ$54,12,FALSE)/24,0)+IFERROR(VLOOKUP($B74,CDM!$V$41:$AJ$54,12,FALSE)/2*$C74/78,0)</f>
        <v>248710.78274224084</v>
      </c>
      <c r="BK74" s="560">
        <f t="shared" ca="1" si="178"/>
        <v>8069275.0656578699</v>
      </c>
      <c r="BL74" s="560">
        <f>IFERROR(HLOOKUP(B74-1,'EV Forecast WRZ'!$F$124:$T$130,3,FALSE)/12,0)+IFERROR(((HLOOKUP(B74,'EV Forecast WRZ'!$F$116:$T$122,3,FALSE)-HLOOKUP(B74-1,'EV Forecast WRZ'!$F$124:$T$130,3,FALSE)))*C74/78,0)</f>
        <v>15900.451282051283</v>
      </c>
      <c r="BM74" s="560">
        <f ca="1">HLOOKUP(B74,Heating!$R$102:$AD$106,4,FALSE)*INDEX(Weather!$BO$1:$CB$20,MATCH(B74,Weather!$BO$1:$BO$20,0),MATCH(C74,Weather!$BO$1:$CB$1,0))/VLOOKUP(B74,Weather!$BO$2:$CB$20,14,FALSE)*
VLOOKUP('Monthly Data'!$B74,Weather!$BO$3:$CB$20,14,FALSE)/Weather!$CB$14</f>
        <v>121632.64015265465</v>
      </c>
      <c r="BN74" s="560">
        <f t="shared" ca="1" si="179"/>
        <v>7931741.9742231639</v>
      </c>
      <c r="BO74" s="560">
        <v>28313425.128790151</v>
      </c>
      <c r="BP74" s="560">
        <f ca="1">IFERROR(VLOOKUP($B74-1,CDM!$V$4:$AJ$17,13,FALSE)/12,0)+IFERROR(VLOOKUP($B74,CDM!$V$41:$AJ$54,13,FALSE)/24,0)+IFERROR(VLOOKUP($B74,CDM!$V$41:$AJ$54,13,FALSE)/2*$C74/78,0)</f>
        <v>2372814.3543725451</v>
      </c>
      <c r="BQ74" s="560">
        <f t="shared" ca="1" si="180"/>
        <v>30686239.483162697</v>
      </c>
      <c r="BR74" s="560">
        <f>IFERROR(HLOOKUP(B74-1,'EV Forecast WRZ'!$F$124:$T$130,4,FALSE)/12,0)+IFERROR(((HLOOKUP(B74,'EV Forecast WRZ'!$F$116:$T$122,4,FALSE)-HLOOKUP(B74-1,'EV Forecast WRZ'!$F$124:$T$130,4,FALSE)))*C74/78,0)</f>
        <v>7189.4658974358972</v>
      </c>
      <c r="BS74" s="560">
        <f ca="1">HLOOKUP(B74,Heating!$R$102:$AD$106,5,FALSE)*INDEX(Weather!$BO$1:$CB$20,MATCH(B74,Weather!$BO$1:$BO$20,0),MATCH(C74,Weather!$BO$1:$CB$1,0))/VLOOKUP(B74,Weather!$BO$2:$CB$20,14,FALSE)*
VLOOKUP('Monthly Data'!$B74,Weather!$BO$3:$CB$20,14,FALSE)/Weather!$CB$14</f>
        <v>69074.190554207904</v>
      </c>
      <c r="BT74" s="560">
        <f t="shared" ca="1" si="181"/>
        <v>30609975.826711051</v>
      </c>
      <c r="BU74" s="560">
        <v>7789337.4927675994</v>
      </c>
      <c r="BV74" s="560">
        <f ca="1">IFERROR(VLOOKUP($B74-1,CDM!$V$4:$AJ$17,14,FALSE)/12,0)+IFERROR(VLOOKUP($B74,CDM!$V$41:$AJ$54,14,FALSE)/24,0)+IFERROR(VLOOKUP($B74,CDM!$V$41:$AJ$54,14,FALSE)/2*$C74/78,0)</f>
        <v>533583.49956152646</v>
      </c>
      <c r="BW74" s="560">
        <f t="shared" ca="1" si="182"/>
        <v>8322920.9923291262</v>
      </c>
      <c r="BX74" s="560">
        <f>IFERROR(HLOOKUP(B74-1,'EV Forecast WRZ'!$F$124:$T$130,5,FALSE)/12,0)+IFERROR(((HLOOKUP(B74,'EV Forecast WRZ'!$F$116:$T$122,5,FALSE)-HLOOKUP(B74-1,'EV Forecast WRZ'!$F$124:$T$130,5,FALSE)))*C74/78,0)</f>
        <v>962.3623076923077</v>
      </c>
      <c r="BY74" s="560">
        <f t="shared" ref="BY74:BY105" ca="1" si="189">BW74-BX74</f>
        <v>8321958.6300214343</v>
      </c>
      <c r="BZ74" s="560">
        <v>356609.43179644149</v>
      </c>
      <c r="CA74" s="560">
        <v>2646.6581350980068</v>
      </c>
      <c r="CB74" s="560">
        <v>155867.99311268411</v>
      </c>
      <c r="CC74" s="5">
        <v>64562.29</v>
      </c>
      <c r="CD74" s="5">
        <v>15701.56</v>
      </c>
      <c r="CE74" s="5">
        <v>788.28</v>
      </c>
      <c r="CF74" s="544">
        <f>95/12</f>
        <v>7.916666666666667</v>
      </c>
      <c r="CG74" s="565">
        <v>43529.083333333336</v>
      </c>
      <c r="CH74" s="565">
        <v>2355.1666666666665</v>
      </c>
      <c r="CI74" s="565">
        <v>393.66666666666669</v>
      </c>
      <c r="CJ74" s="565">
        <v>3</v>
      </c>
      <c r="CK74" s="565">
        <v>13233.833333333334</v>
      </c>
      <c r="CL74" s="565">
        <v>46.916666666666664</v>
      </c>
      <c r="CM74" s="565">
        <v>392.16666666666669</v>
      </c>
      <c r="CN74" s="46">
        <f>Weather!C98</f>
        <v>887.49166666666656</v>
      </c>
      <c r="CO74" s="46">
        <f>Weather!D98</f>
        <v>0</v>
      </c>
      <c r="CP74" s="46">
        <f>Weather!E98</f>
        <v>825.49166666666656</v>
      </c>
      <c r="CQ74" s="46">
        <f>Weather!F98</f>
        <v>0</v>
      </c>
      <c r="CR74" s="46">
        <f>Weather!G98</f>
        <v>763.49166666666656</v>
      </c>
      <c r="CS74" s="46">
        <f>Weather!H98</f>
        <v>0</v>
      </c>
      <c r="CT74" s="46">
        <f>Weather!I98</f>
        <v>701.49166666666656</v>
      </c>
      <c r="CU74" s="46">
        <f>Weather!J98</f>
        <v>0</v>
      </c>
      <c r="CV74" s="46">
        <f>Weather!K98</f>
        <v>639.49166666666679</v>
      </c>
      <c r="CW74" s="46">
        <f>Weather!L98</f>
        <v>0</v>
      </c>
      <c r="CX74" s="46">
        <f>Weather!M98</f>
        <v>577.49166666666656</v>
      </c>
      <c r="CY74" s="46">
        <f>Weather!N98</f>
        <v>0</v>
      </c>
      <c r="CZ74" s="46">
        <f>Weather!O98</f>
        <v>515.49166666666679</v>
      </c>
      <c r="DA74" s="46">
        <f>Weather!P98</f>
        <v>0</v>
      </c>
      <c r="DB74" s="243">
        <f>'Economic Data'!D100</f>
        <v>7643.6</v>
      </c>
      <c r="DC74" s="243">
        <f>'Economic Data'!E100</f>
        <v>7611.7</v>
      </c>
      <c r="DD74" s="243">
        <f>'Economic Data'!F100</f>
        <v>226.2</v>
      </c>
      <c r="DE74" s="243">
        <f>'Economic Data'!G100</f>
        <v>226.3</v>
      </c>
      <c r="DF74" s="243">
        <f>'Economic Data'!H100</f>
        <v>57.8</v>
      </c>
      <c r="DG74" s="243">
        <f>'Economic Data'!I100</f>
        <v>57.8</v>
      </c>
      <c r="DH74" s="243">
        <f>'Economic Data'!J100</f>
        <v>850461.9</v>
      </c>
      <c r="DI74" s="243">
        <f>'Economic Data'!K100</f>
        <v>662856.4</v>
      </c>
      <c r="DJ74" s="243">
        <f>'Economic Data'!L100</f>
        <v>96870.8</v>
      </c>
      <c r="DK74" s="243">
        <f>'Economic Data'!M100</f>
        <v>30149.3</v>
      </c>
      <c r="DL74" s="243">
        <f>'Economic Data'!N100</f>
        <v>847546</v>
      </c>
      <c r="DM74" s="243">
        <f>'Economic Data'!O100</f>
        <v>95039</v>
      </c>
      <c r="DN74" s="243">
        <f>'Economic Data'!P100</f>
        <v>16424</v>
      </c>
      <c r="DO74" s="243">
        <f>'Economic Data'!Q100</f>
        <v>662402</v>
      </c>
      <c r="DP74" s="243">
        <f>'Economic Data'!R100</f>
        <v>28698</v>
      </c>
      <c r="DQ74">
        <v>31</v>
      </c>
      <c r="DR74">
        <v>20</v>
      </c>
      <c r="DS74">
        <v>1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f t="shared" si="185"/>
        <v>73</v>
      </c>
      <c r="EI74">
        <v>0.5</v>
      </c>
      <c r="EJ74">
        <v>0.25</v>
      </c>
      <c r="EK74">
        <v>0.5</v>
      </c>
      <c r="EL74">
        <v>0</v>
      </c>
      <c r="EM74" s="47">
        <f t="shared" ref="EM74:EM109" si="190">$EJ74*CN74</f>
        <v>221.87291666666664</v>
      </c>
      <c r="EN74" s="47">
        <f t="shared" ref="EN74:EN109" si="191">$EJ74*CO74</f>
        <v>0</v>
      </c>
      <c r="EO74" s="47">
        <f t="shared" ref="EO74:EO109" si="192">$EJ74*CP74</f>
        <v>206.37291666666664</v>
      </c>
      <c r="EP74" s="47">
        <f t="shared" ref="EP74:EP109" si="193">$EJ74*CQ74</f>
        <v>0</v>
      </c>
      <c r="EQ74" s="47">
        <f t="shared" ref="EQ74:EQ109" si="194">$EJ74*CR74</f>
        <v>190.87291666666664</v>
      </c>
      <c r="ER74" s="47">
        <f t="shared" ref="ER74:ER109" si="195">$EJ74*CS74</f>
        <v>0</v>
      </c>
      <c r="ES74" s="47">
        <f t="shared" ref="ES74:ES109" si="196">$EJ74*CT74</f>
        <v>175.37291666666664</v>
      </c>
      <c r="ET74" s="47">
        <f t="shared" ref="ET74:ET109" si="197">$EJ74*CU74</f>
        <v>0</v>
      </c>
      <c r="EU74" s="47">
        <f t="shared" ref="EU74:EU109" si="198">$EJ74*CV74</f>
        <v>159.8729166666667</v>
      </c>
      <c r="EV74" s="47">
        <f t="shared" ref="EV74:EV109" si="199">$EJ74*CW74</f>
        <v>0</v>
      </c>
      <c r="EW74" s="47">
        <f t="shared" ref="EW74:EW109" si="200">$EJ74*CX74</f>
        <v>144.37291666666664</v>
      </c>
      <c r="EX74" s="47">
        <f t="shared" ref="EX74:EX109" si="201">$EJ74*CY74</f>
        <v>0</v>
      </c>
      <c r="EY74" s="47">
        <f t="shared" ref="EY74:EY109" si="202">$EJ74*CZ74</f>
        <v>128.8729166666667</v>
      </c>
      <c r="EZ74" s="47">
        <f t="shared" ref="EZ74:EZ109" si="203">$EJ74*DA74</f>
        <v>0</v>
      </c>
      <c r="FA74" s="47">
        <f t="shared" ref="FA74:FA109" si="204">$EK74*CN74</f>
        <v>443.74583333333328</v>
      </c>
      <c r="FB74" s="47">
        <f t="shared" ref="FB74:FB109" si="205">$EK74*CO74</f>
        <v>0</v>
      </c>
      <c r="FC74" s="47">
        <f t="shared" ref="FC74:FC109" si="206">$EK74*CP74</f>
        <v>412.74583333333328</v>
      </c>
      <c r="FD74" s="47">
        <f t="shared" ref="FD74:FD109" si="207">$EK74*CQ74</f>
        <v>0</v>
      </c>
      <c r="FE74" s="47">
        <f t="shared" ref="FE74:FE109" si="208">$EK74*CR74</f>
        <v>381.74583333333328</v>
      </c>
      <c r="FF74" s="47">
        <f t="shared" ref="FF74:FF109" si="209">$EK74*CS74</f>
        <v>0</v>
      </c>
      <c r="FG74" s="47">
        <f t="shared" ref="FG74:FG109" si="210">$EK74*CT74</f>
        <v>350.74583333333328</v>
      </c>
      <c r="FH74" s="47">
        <f t="shared" ref="FH74:FH109" si="211">$EK74*CU74</f>
        <v>0</v>
      </c>
      <c r="FI74" s="47">
        <f t="shared" ref="FI74:FI109" si="212">$EK74*CV74</f>
        <v>319.74583333333339</v>
      </c>
      <c r="FJ74" s="47">
        <f t="shared" ref="FJ74:FJ109" si="213">$EK74*CW74</f>
        <v>0</v>
      </c>
      <c r="FK74" s="47">
        <f t="shared" ref="FK74:FK109" si="214">$EK74*CX74</f>
        <v>288.74583333333328</v>
      </c>
      <c r="FL74" s="47">
        <f t="shared" ref="FL74:FL109" si="215">$EK74*CY74</f>
        <v>0</v>
      </c>
      <c r="FM74" s="47">
        <f t="shared" ref="FM74:FM109" si="216">$EK74*CZ74</f>
        <v>257.74583333333339</v>
      </c>
      <c r="FN74" s="47">
        <f t="shared" ref="FN74:FN109" si="217">$EK74*DA74</f>
        <v>0</v>
      </c>
      <c r="FO74" s="546">
        <f t="shared" ref="FO74:FO109" ca="1" si="218">I74/AT74</f>
        <v>875.10592568193647</v>
      </c>
      <c r="FP74" s="546">
        <f t="shared" ref="FP74:FP109" ca="1" si="219">L74/AU74</f>
        <v>1010.3725043565739</v>
      </c>
      <c r="FQ74" s="546">
        <f t="shared" ref="FQ74:FQ109" ca="1" si="220">R74/AV74</f>
        <v>2852.9950744211792</v>
      </c>
      <c r="FR74" s="546">
        <f t="shared" ref="FR74:FR109" ca="1" si="221">X74/AW74</f>
        <v>79896.264086202893</v>
      </c>
      <c r="FS74" s="546">
        <f t="shared" ref="FS74:FS109" ca="1" si="222">AD74/AX74</f>
        <v>1389744.2906852802</v>
      </c>
      <c r="FT74" s="546">
        <f t="shared" ref="FT74:FT109" ca="1" si="223">AI74/AY74</f>
        <v>6428687.712735448</v>
      </c>
      <c r="FU74" s="546">
        <f t="shared" ref="FU74:FU109" si="224">AL74/AZ74</f>
        <v>36.800847307396872</v>
      </c>
      <c r="FV74" s="546">
        <f t="shared" ref="FV74:FV109" si="225">AM74/BA74</f>
        <v>71.550612277553469</v>
      </c>
      <c r="FW74" s="546">
        <f t="shared" ref="FW74:FW109" si="226">AN74/BB74</f>
        <v>473.29863772161866</v>
      </c>
      <c r="FX74" s="546">
        <f t="shared" ref="FX74:FX109" ca="1" si="227">BE74/CG74</f>
        <v>814.98807493537277</v>
      </c>
      <c r="FY74" s="546">
        <f t="shared" ref="FY74:FY109" ca="1" si="228">BK74/CH74</f>
        <v>3426.201287520149</v>
      </c>
      <c r="FZ74" s="546">
        <f t="shared" ref="FZ74:FZ109" ca="1" si="229">BQ74/CI74</f>
        <v>77949.803936907774</v>
      </c>
      <c r="GA74" s="546">
        <f t="shared" ref="GA74:GA109" si="230">BZ74/CJ74</f>
        <v>118869.81059881383</v>
      </c>
      <c r="GB74" s="546">
        <f t="shared" ref="GB74:GB109" si="231">BZ74/CK74</f>
        <v>26.946797863791655</v>
      </c>
      <c r="GC74" s="546">
        <f t="shared" ref="GC74:GC109" si="232">CA74/CL74</f>
        <v>56.411896307595178</v>
      </c>
      <c r="GD74" s="546">
        <f t="shared" ref="GD74:GD109" si="233">CB74/CM74</f>
        <v>397.45344610119196</v>
      </c>
    </row>
    <row r="75" spans="1:186">
      <c r="A75" s="4">
        <v>44593</v>
      </c>
      <c r="B75" s="6">
        <v>2022</v>
      </c>
      <c r="C75" s="5">
        <v>2</v>
      </c>
      <c r="D75" s="7">
        <v>82060318.807384744</v>
      </c>
      <c r="E75" s="7">
        <f ca="1">IFERROR(VLOOKUP($B75-1,CDM!$V$4:$AJ$17,2,FALSE)/12,0)+IFERROR(VLOOKUP($B75,CDM!$V$41:$AJ$54,2,FALSE)/24,0)+IFERROR(VLOOKUP($B75,CDM!$V$41:$AJ$54,2,FALSE)/2*$C75/78,0)</f>
        <v>3846447.4741050974</v>
      </c>
      <c r="F75" s="7">
        <f t="shared" ca="1" si="165"/>
        <v>85906766.281489849</v>
      </c>
      <c r="G75" s="7">
        <f>IFERROR(HLOOKUP(B75-1,'EV Forecast VRZ'!$F$124:$T$130,2,FALSE)/12,0)+IFERROR(((HLOOKUP(B75,'EV Forecast VRZ'!$F$116:$T$122,2,FALSE)-HLOOKUP(B75-1,'EV Forecast VRZ'!$F$124:$T$130,2,FALSE)))*C75/78,0)</f>
        <v>423618.47337049508</v>
      </c>
      <c r="H75" s="7">
        <f ca="1">HLOOKUP(B75,Heating!$C$102:$O$106,2,FALSE)*INDEX(Weather!$BO$1:$CB$20,MATCH(B75,Weather!$BO$1:$BO$20,0),MATCH(C75,Weather!$BO$1:$CB$1,0))/VLOOKUP(B75,Weather!$BO$2:$CB$20,14,FALSE)*
VLOOKUP('Monthly Data'!$B75,Weather!$BO$3:$CB$20,14,FALSE)/Weather!$CB$14</f>
        <v>1381033.3781257484</v>
      </c>
      <c r="I75" s="7">
        <f t="shared" ca="1" si="166"/>
        <v>84102114.429993615</v>
      </c>
      <c r="J75" s="7">
        <v>1268709.5322934552</v>
      </c>
      <c r="K75" s="7">
        <f ca="1">IFERROR(VLOOKUP($B75-1,CDM!$V$4:$AJ$17,3,FALSE)/12,0)+IFERROR(VLOOKUP($B75,CDM!$V$41:$AJ$54,3,FALSE)/24,0)+IFERROR(VLOOKUP($B75,CDM!$V$41:$AJ$54,3,FALSE)/2*$C75/78,0)</f>
        <v>44056.453842978604</v>
      </c>
      <c r="L75" s="7">
        <f t="shared" ca="1" si="167"/>
        <v>1312765.9861364339</v>
      </c>
      <c r="M75" s="7">
        <f>IFERROR(HLOOKUP(B75-1,'EV Forecast VRZ'!$F$124:$T$130,3,FALSE)/12,0)+IFERROR(((HLOOKUP(B75,'EV Forecast VRZ'!$F$116:$T$122,3,FALSE)-HLOOKUP(B75-1,'EV Forecast VRZ'!$F$124:$T$130,3,FALSE)))*C75/78,0)</f>
        <v>5748.1390654023544</v>
      </c>
      <c r="N75" s="7">
        <f ca="1">HLOOKUP(B75,Heating!$C$102:$O$106,3,FALSE)*INDEX(Weather!$BO$1:$CB$20,MATCH(B75,Weather!$BO$1:$BO$20,0),MATCH(C75,Weather!$BO$1:$CB$1,0))/VLOOKUP(B75,Weather!$BO$2:$CB$20,14,FALSE)*
VLOOKUP('Monthly Data'!$B75,Weather!$BO$3:$CB$20,14,FALSE)/Weather!$CB$14</f>
        <v>17000.1365870439</v>
      </c>
      <c r="O75" s="7">
        <f t="shared" ca="1" si="168"/>
        <v>1290017.7104839876</v>
      </c>
      <c r="P75" s="7">
        <v>22780438.801125646</v>
      </c>
      <c r="Q75" s="7">
        <f ca="1">IFERROR(VLOOKUP($B75-1,CDM!$V$4:$AJ$17,4,FALSE)/12,0)+IFERROR(VLOOKUP($B75,CDM!$V$41:$AJ$54,4,FALSE)/24,0)+IFERROR(VLOOKUP($B75,CDM!$V$41:$AJ$54,4,FALSE)/2*$C75/78,0)</f>
        <v>1480218.2885056075</v>
      </c>
      <c r="R75" s="7">
        <f t="shared" ca="1" si="169"/>
        <v>24260657.089631252</v>
      </c>
      <c r="S75" s="7">
        <f>IFERROR(HLOOKUP(B75-1,'EV Forecast VRZ'!$F$124:$T$130,4,FALSE)/12,0)+IFERROR(((HLOOKUP(B75,'EV Forecast VRZ'!$F$116:$T$122,4,FALSE)-HLOOKUP(B75-1,'EV Forecast VRZ'!$F$124:$T$130,4,FALSE)))*C75/78,0)</f>
        <v>52265.302820512821</v>
      </c>
      <c r="T75" s="7">
        <f ca="1">HLOOKUP(B75,Heating!$C$102:$O$106,4,FALSE)*INDEX(Weather!$BO$1:$CB$20,MATCH(B75,Weather!$BO$1:$BO$20,0),MATCH(C75,Weather!$BO$1:$CB$1,0))/VLOOKUP(B75,Weather!$BO$2:$CB$20,14,FALSE)*
VLOOKUP('Monthly Data'!$B75,Weather!$BO$3:$CB$20,14,FALSE)/Weather!$CB$14</f>
        <v>338570.77819102304</v>
      </c>
      <c r="U75" s="7">
        <f t="shared" ca="1" si="170"/>
        <v>23869821.008619718</v>
      </c>
      <c r="V75" s="7">
        <v>72721285.392891929</v>
      </c>
      <c r="W75" s="7">
        <f ca="1">IFERROR(VLOOKUP($B75-1,CDM!$V$4:$AJ$17,5,FALSE)/12,0)+IFERROR(VLOOKUP($B75,CDM!$V$41:$AJ$54,5,FALSE)/24,0)+IFERROR(VLOOKUP($B75,CDM!$V$41:$AJ$54,5,FALSE)/2*$C75/78,0)</f>
        <v>5819418.7267296631</v>
      </c>
      <c r="X75" s="7">
        <f t="shared" ca="1" si="171"/>
        <v>78540704.11962159</v>
      </c>
      <c r="Y75" s="7">
        <f>IFERROR(HLOOKUP(B75-1,'EV Forecast VRZ'!$F$124:$T$130,5,FALSE)/12,0)+IFERROR(((HLOOKUP(B75,'EV Forecast VRZ'!$F$116:$T$122,5,FALSE)-HLOOKUP(B75-1,'EV Forecast VRZ'!$F$124:$T$130,5,FALSE)))*C75/78,0)</f>
        <v>23714.514474358974</v>
      </c>
      <c r="Z75" s="7">
        <f ca="1">HLOOKUP(B75,Heating!$C$102:$O$106,5,FALSE)*INDEX(Weather!$BO$1:$CB$20,MATCH(B75,Weather!$BO$1:$BO$20,0),MATCH(C75,Weather!$BO$1:$CB$1,0))/VLOOKUP(B75,Weather!$BO$2:$CB$20,14,FALSE)*
VLOOKUP('Monthly Data'!$B75,Weather!$BO$3:$CB$20,14,FALSE)/Weather!$CB$14</f>
        <v>180502.34486982995</v>
      </c>
      <c r="AA75" s="7">
        <f t="shared" ca="1" si="172"/>
        <v>78336487.26027739</v>
      </c>
      <c r="AB75" s="7">
        <v>8313821.4740252206</v>
      </c>
      <c r="AC75" s="7">
        <f ca="1">IFERROR(VLOOKUP($B75-1,CDM!$V$4:$AJ$17,6,FALSE)/12,0)+IFERROR(VLOOKUP($B75,CDM!$V$41:$AJ$54,6,FALSE)/24,0)+IFERROR(VLOOKUP($B75,CDM!$V$41:$AJ$54,6,FALSE)/2*$C75/78,0)</f>
        <v>261974.80442434279</v>
      </c>
      <c r="AD75" s="7">
        <f t="shared" ca="1" si="173"/>
        <v>8575796.2784495633</v>
      </c>
      <c r="AE75" s="7">
        <f>IFERROR(HLOOKUP(B75-1,'EV Forecast VRZ'!$F$124:$T$130,6,FALSE)/12,0)+IFERROR(((HLOOKUP(B75,'EV Forecast VRZ'!$F$116:$T$122,6,FALSE)-HLOOKUP(B75-1,'EV Forecast VRZ'!$F$124:$T$130,6,FALSE)))*C75/78,0)</f>
        <v>3151.4702692307692</v>
      </c>
      <c r="AF75" s="7">
        <f t="shared" ca="1" si="174"/>
        <v>8572644.8081803322</v>
      </c>
      <c r="AG75" s="7">
        <v>22900058.646077987</v>
      </c>
      <c r="AH75" s="7">
        <f ca="1">IFERROR(VLOOKUP($B75-1,CDM!$V$4:$AJ$17,7,FALSE)/12,0)+IFERROR(VLOOKUP($B75,CDM!$V$41:$AJ$54,7,FALSE)/24,0)+IFERROR(VLOOKUP($B75,CDM!$V$41:$AJ$54,7,FALSE)/2*$C75/78,0)</f>
        <v>1733285.813560812</v>
      </c>
      <c r="AI75" s="7">
        <f t="shared" ca="1" si="175"/>
        <v>24633344.4596388</v>
      </c>
      <c r="AJ75" s="7">
        <f>IFERROR(HLOOKUP(B75-1,'EV Forecast VRZ'!$F$124:$T$130,7,FALSE)/12,0)+IFERROR(((HLOOKUP(B75,'EV Forecast VRZ'!$F$116:$T$122,7,FALSE)-HLOOKUP(B75-1,'EV Forecast VRZ'!$F$124:$T$130,7,FALSE)))*C75/78,0)</f>
        <v>26.923076923076923</v>
      </c>
      <c r="AK75" s="7">
        <f t="shared" ca="1" si="176"/>
        <v>24633317.536561877</v>
      </c>
      <c r="AL75" s="7">
        <v>1036900.5628696813</v>
      </c>
      <c r="AM75" s="7">
        <v>5747.5100171722943</v>
      </c>
      <c r="AN75" s="7">
        <v>379559.03453539405</v>
      </c>
      <c r="AO75" s="5">
        <v>181503.95</v>
      </c>
      <c r="AP75" s="5">
        <v>18945.36</v>
      </c>
      <c r="AQ75" s="5">
        <v>47205</v>
      </c>
      <c r="AR75" s="5">
        <v>2743.2</v>
      </c>
      <c r="AS75" s="544">
        <f t="shared" ref="AS75:AS85" si="234">601/12</f>
        <v>50.083333333333336</v>
      </c>
      <c r="AT75" s="557">
        <v>113640.33333333334</v>
      </c>
      <c r="AU75" s="557">
        <v>1557.6666666666665</v>
      </c>
      <c r="AV75" s="557">
        <v>9361.8333333333321</v>
      </c>
      <c r="AW75" s="557">
        <v>1053</v>
      </c>
      <c r="AX75" s="557">
        <v>5.8333333333333339</v>
      </c>
      <c r="AY75" s="557">
        <v>4</v>
      </c>
      <c r="AZ75" s="557">
        <v>31754.166666666664</v>
      </c>
      <c r="BA75" s="557">
        <v>246.66666666666669</v>
      </c>
      <c r="BB75" s="557">
        <v>802.33333333333326</v>
      </c>
      <c r="BC75" s="560">
        <v>28508390.780285154</v>
      </c>
      <c r="BD75" s="560">
        <f ca="1">IFERROR(VLOOKUP($B75-1,CDM!$V$4:$AJ$17,11,FALSE)/12,0)+IFERROR(VLOOKUP($B75,CDM!$V$41:$AJ$54,11,FALSE)/24,0)+IFERROR(VLOOKUP($B75,CDM!$V$41:$AJ$54,11,FALSE)/2*$C75/78,0)</f>
        <v>1700181.0898255601</v>
      </c>
      <c r="BE75" s="560">
        <f t="shared" ca="1" si="188"/>
        <v>30208571.870110713</v>
      </c>
      <c r="BF75" s="560">
        <f>IFERROR(HLOOKUP(B75-1,'EV Forecast WRZ'!$F$124:$T$130,2,FALSE)/12,0)+IFERROR(((HLOOKUP(B75,'EV Forecast WRZ'!$F$116:$T$122,2,FALSE)-HLOOKUP(B75-1,'EV Forecast WRZ'!$F$124:$T$130,2,FALSE)))*C75/78,0)</f>
        <v>136879.51807692306</v>
      </c>
      <c r="BG75" s="560">
        <f ca="1">HLOOKUP(B75,Heating!$R$102:$AD$106,2,FALSE)*INDEX(Weather!$BO$1:$CB$20,MATCH(B75,Weather!$BO$1:$BO$20,0),MATCH(C75,Weather!$BO$1:$CB$1,0))/VLOOKUP(B75,Weather!$BO$2:$CB$20,14,FALSE)*
VLOOKUP('Monthly Data'!$B75,Weather!$BO$3:$CB$20,14,FALSE)/Weather!$CB$14</f>
        <v>611422.54119308328</v>
      </c>
      <c r="BH75" s="560">
        <f t="shared" ca="1" si="177"/>
        <v>29460269.810840707</v>
      </c>
      <c r="BI75" s="560">
        <v>7125035.4814233687</v>
      </c>
      <c r="BJ75" s="560">
        <f ca="1">IFERROR(VLOOKUP($B75-1,CDM!$V$4:$AJ$17,12,FALSE)/12,0)+IFERROR(VLOOKUP($B75,CDM!$V$41:$AJ$54,12,FALSE)/24,0)+IFERROR(VLOOKUP($B75,CDM!$V$41:$AJ$54,12,FALSE)/2*$C75/78,0)</f>
        <v>251033.23915594499</v>
      </c>
      <c r="BK75" s="560">
        <f t="shared" ca="1" si="178"/>
        <v>7376068.720579314</v>
      </c>
      <c r="BL75" s="560">
        <f>IFERROR(HLOOKUP(B75-1,'EV Forecast WRZ'!$F$124:$T$130,3,FALSE)/12,0)+IFERROR(((HLOOKUP(B75,'EV Forecast WRZ'!$F$116:$T$122,3,FALSE)-HLOOKUP(B75-1,'EV Forecast WRZ'!$F$124:$T$130,3,FALSE)))*C75/78,0)</f>
        <v>16717.83923076923</v>
      </c>
      <c r="BM75" s="560">
        <f ca="1">HLOOKUP(B75,Heating!$R$102:$AD$106,4,FALSE)*INDEX(Weather!$BO$1:$CB$20,MATCH(B75,Weather!$BO$1:$BO$20,0),MATCH(C75,Weather!$BO$1:$CB$1,0))/VLOOKUP(B75,Weather!$BO$2:$CB$20,14,FALSE)*
VLOOKUP('Monthly Data'!$B75,Weather!$BO$3:$CB$20,14,FALSE)/Weather!$CB$14</f>
        <v>93837.103400460066</v>
      </c>
      <c r="BN75" s="560">
        <f t="shared" ca="1" si="179"/>
        <v>7265513.7779480843</v>
      </c>
      <c r="BO75" s="560">
        <v>25966260.731311917</v>
      </c>
      <c r="BP75" s="560">
        <f ca="1">IFERROR(VLOOKUP($B75-1,CDM!$V$4:$AJ$17,13,FALSE)/12,0)+IFERROR(VLOOKUP($B75,CDM!$V$41:$AJ$54,13,FALSE)/24,0)+IFERROR(VLOOKUP($B75,CDM!$V$41:$AJ$54,13,FALSE)/2*$C75/78,0)</f>
        <v>2404268.8095058189</v>
      </c>
      <c r="BQ75" s="560">
        <f t="shared" ca="1" si="180"/>
        <v>28370529.540817738</v>
      </c>
      <c r="BR75" s="560">
        <f>IFERROR(HLOOKUP(B75-1,'EV Forecast WRZ'!$F$124:$T$130,4,FALSE)/12,0)+IFERROR(((HLOOKUP(B75,'EV Forecast WRZ'!$F$116:$T$122,4,FALSE)-HLOOKUP(B75-1,'EV Forecast WRZ'!$F$124:$T$130,4,FALSE)))*C75/78,0)</f>
        <v>7554.0532948717946</v>
      </c>
      <c r="BS75" s="560">
        <f ca="1">HLOOKUP(B75,Heating!$R$102:$AD$106,5,FALSE)*INDEX(Weather!$BO$1:$CB$20,MATCH(B75,Weather!$BO$1:$BO$20,0),MATCH(C75,Weather!$BO$1:$CB$1,0))/VLOOKUP(B75,Weather!$BO$2:$CB$20,14,FALSE)*
VLOOKUP('Monthly Data'!$B75,Weather!$BO$3:$CB$20,14,FALSE)/Weather!$CB$14</f>
        <v>53289.3305053925</v>
      </c>
      <c r="BT75" s="560">
        <f t="shared" ca="1" si="181"/>
        <v>28309686.157017473</v>
      </c>
      <c r="BU75" s="560">
        <v>7149102.3047251692</v>
      </c>
      <c r="BV75" s="560">
        <f ca="1">IFERROR(VLOOKUP($B75-1,CDM!$V$4:$AJ$17,14,FALSE)/12,0)+IFERROR(VLOOKUP($B75,CDM!$V$41:$AJ$54,14,FALSE)/24,0)+IFERROR(VLOOKUP($B75,CDM!$V$41:$AJ$54,14,FALSE)/2*$C75/78,0)</f>
        <v>540665.67530594103</v>
      </c>
      <c r="BW75" s="560">
        <f t="shared" ca="1" si="182"/>
        <v>7689767.9800311103</v>
      </c>
      <c r="BX75" s="560">
        <f>IFERROR(HLOOKUP(B75-1,'EV Forecast WRZ'!$F$124:$T$130,5,FALSE)/12,0)+IFERROR(((HLOOKUP(B75,'EV Forecast WRZ'!$F$116:$T$122,5,FALSE)-HLOOKUP(B75-1,'EV Forecast WRZ'!$F$124:$T$130,5,FALSE)))*C75/78,0)</f>
        <v>1020.5714487179487</v>
      </c>
      <c r="BY75" s="560">
        <f t="shared" ca="1" si="189"/>
        <v>7688747.4085823921</v>
      </c>
      <c r="BZ75" s="560">
        <v>297969.83929596323</v>
      </c>
      <c r="CA75" s="560">
        <v>2840.1526057829869</v>
      </c>
      <c r="CB75" s="560">
        <v>156626.05701167017</v>
      </c>
      <c r="CC75" s="5">
        <v>64218.05</v>
      </c>
      <c r="CD75" s="5">
        <v>14184.67</v>
      </c>
      <c r="CE75" s="5">
        <v>788.28</v>
      </c>
      <c r="CF75" s="544">
        <f t="shared" ref="CF75:CF85" si="235">95/12</f>
        <v>7.916666666666667</v>
      </c>
      <c r="CG75" s="565">
        <v>43617.166666666672</v>
      </c>
      <c r="CH75" s="565">
        <v>2360.333333333333</v>
      </c>
      <c r="CI75" s="565">
        <v>392.33333333333337</v>
      </c>
      <c r="CJ75" s="565">
        <v>3</v>
      </c>
      <c r="CK75" s="565">
        <v>13253.666666666668</v>
      </c>
      <c r="CL75" s="565">
        <v>46.833333333333329</v>
      </c>
      <c r="CM75" s="565">
        <v>392.33333333333337</v>
      </c>
      <c r="CN75" s="46">
        <f>Weather!C99</f>
        <v>692.85</v>
      </c>
      <c r="CO75" s="46">
        <f>Weather!D99</f>
        <v>0</v>
      </c>
      <c r="CP75" s="46">
        <f>Weather!E99</f>
        <v>636.84999999999991</v>
      </c>
      <c r="CQ75" s="46">
        <f>Weather!F99</f>
        <v>0</v>
      </c>
      <c r="CR75" s="46">
        <f>Weather!G99</f>
        <v>580.84999999999991</v>
      </c>
      <c r="CS75" s="46">
        <f>Weather!H99</f>
        <v>0</v>
      </c>
      <c r="CT75" s="46">
        <f>Weather!I99</f>
        <v>524.84999999999991</v>
      </c>
      <c r="CU75" s="46">
        <f>Weather!J99</f>
        <v>0</v>
      </c>
      <c r="CV75" s="46">
        <f>Weather!K99</f>
        <v>468.84999999999991</v>
      </c>
      <c r="CW75" s="46">
        <f>Weather!L99</f>
        <v>0</v>
      </c>
      <c r="CX75" s="46">
        <f>Weather!M99</f>
        <v>412.84999999999991</v>
      </c>
      <c r="CY75" s="46">
        <f>Weather!N99</f>
        <v>0</v>
      </c>
      <c r="CZ75" s="46">
        <f>Weather!O99</f>
        <v>356.85</v>
      </c>
      <c r="DA75" s="46">
        <f>Weather!P99</f>
        <v>0</v>
      </c>
      <c r="DB75" s="243">
        <f>'Economic Data'!D101</f>
        <v>7668.9</v>
      </c>
      <c r="DC75" s="243">
        <f>'Economic Data'!E101</f>
        <v>7606.7</v>
      </c>
      <c r="DD75" s="243">
        <f>'Economic Data'!F101</f>
        <v>226.3</v>
      </c>
      <c r="DE75" s="243">
        <f>'Economic Data'!G101</f>
        <v>226.6</v>
      </c>
      <c r="DF75" s="243">
        <f>'Economic Data'!H101</f>
        <v>58</v>
      </c>
      <c r="DG75" s="243">
        <f>'Economic Data'!I101</f>
        <v>58</v>
      </c>
      <c r="DH75" s="243">
        <f>'Economic Data'!J101</f>
        <v>850461.9</v>
      </c>
      <c r="DI75" s="243">
        <f>'Economic Data'!K101</f>
        <v>662856.4</v>
      </c>
      <c r="DJ75" s="243">
        <f>'Economic Data'!L101</f>
        <v>96870.8</v>
      </c>
      <c r="DK75" s="243">
        <f>'Economic Data'!M101</f>
        <v>30149.3</v>
      </c>
      <c r="DL75" s="243">
        <f>'Economic Data'!N101</f>
        <v>847546</v>
      </c>
      <c r="DM75" s="243">
        <f>'Economic Data'!O101</f>
        <v>95039</v>
      </c>
      <c r="DN75" s="243">
        <f>'Economic Data'!P101</f>
        <v>16424</v>
      </c>
      <c r="DO75" s="243">
        <f>'Economic Data'!Q101</f>
        <v>662402</v>
      </c>
      <c r="DP75" s="243">
        <f>'Economic Data'!R101</f>
        <v>28698</v>
      </c>
      <c r="DQ75">
        <v>28</v>
      </c>
      <c r="DR75">
        <v>19</v>
      </c>
      <c r="DS75">
        <v>0</v>
      </c>
      <c r="DT75">
        <v>1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f t="shared" si="185"/>
        <v>74</v>
      </c>
      <c r="EI75">
        <v>0.5</v>
      </c>
      <c r="EJ75">
        <v>0.25</v>
      </c>
      <c r="EK75">
        <v>0.5</v>
      </c>
      <c r="EL75">
        <v>0</v>
      </c>
      <c r="EM75" s="47">
        <f t="shared" si="190"/>
        <v>173.21250000000001</v>
      </c>
      <c r="EN75" s="47">
        <f t="shared" si="191"/>
        <v>0</v>
      </c>
      <c r="EO75" s="47">
        <f t="shared" si="192"/>
        <v>159.21249999999998</v>
      </c>
      <c r="EP75" s="47">
        <f t="shared" si="193"/>
        <v>0</v>
      </c>
      <c r="EQ75" s="47">
        <f t="shared" si="194"/>
        <v>145.21249999999998</v>
      </c>
      <c r="ER75" s="47">
        <f t="shared" si="195"/>
        <v>0</v>
      </c>
      <c r="ES75" s="47">
        <f t="shared" si="196"/>
        <v>131.21249999999998</v>
      </c>
      <c r="ET75" s="47">
        <f t="shared" si="197"/>
        <v>0</v>
      </c>
      <c r="EU75" s="47">
        <f t="shared" si="198"/>
        <v>117.21249999999998</v>
      </c>
      <c r="EV75" s="47">
        <f t="shared" si="199"/>
        <v>0</v>
      </c>
      <c r="EW75" s="47">
        <f t="shared" si="200"/>
        <v>103.21249999999998</v>
      </c>
      <c r="EX75" s="47">
        <f t="shared" si="201"/>
        <v>0</v>
      </c>
      <c r="EY75" s="47">
        <f t="shared" si="202"/>
        <v>89.212500000000006</v>
      </c>
      <c r="EZ75" s="47">
        <f t="shared" si="203"/>
        <v>0</v>
      </c>
      <c r="FA75" s="47">
        <f t="shared" si="204"/>
        <v>346.42500000000001</v>
      </c>
      <c r="FB75" s="47">
        <f t="shared" si="205"/>
        <v>0</v>
      </c>
      <c r="FC75" s="47">
        <f t="shared" si="206"/>
        <v>318.42499999999995</v>
      </c>
      <c r="FD75" s="47">
        <f t="shared" si="207"/>
        <v>0</v>
      </c>
      <c r="FE75" s="47">
        <f t="shared" si="208"/>
        <v>290.42499999999995</v>
      </c>
      <c r="FF75" s="47">
        <f t="shared" si="209"/>
        <v>0</v>
      </c>
      <c r="FG75" s="47">
        <f t="shared" si="210"/>
        <v>262.42499999999995</v>
      </c>
      <c r="FH75" s="47">
        <f t="shared" si="211"/>
        <v>0</v>
      </c>
      <c r="FI75" s="47">
        <f t="shared" si="212"/>
        <v>234.42499999999995</v>
      </c>
      <c r="FJ75" s="47">
        <f t="shared" si="213"/>
        <v>0</v>
      </c>
      <c r="FK75" s="47">
        <f t="shared" si="214"/>
        <v>206.42499999999995</v>
      </c>
      <c r="FL75" s="47">
        <f t="shared" si="215"/>
        <v>0</v>
      </c>
      <c r="FM75" s="47">
        <f t="shared" si="216"/>
        <v>178.42500000000001</v>
      </c>
      <c r="FN75" s="47">
        <f t="shared" si="217"/>
        <v>0</v>
      </c>
      <c r="FO75" s="546">
        <f t="shared" ca="1" si="218"/>
        <v>740.07275377574513</v>
      </c>
      <c r="FP75" s="546">
        <f t="shared" ca="1" si="219"/>
        <v>842.77722200070662</v>
      </c>
      <c r="FQ75" s="546">
        <f t="shared" ca="1" si="220"/>
        <v>2591.442960563058</v>
      </c>
      <c r="FR75" s="546">
        <f t="shared" ca="1" si="221"/>
        <v>74587.563266497236</v>
      </c>
      <c r="FS75" s="546">
        <f t="shared" ca="1" si="222"/>
        <v>1470136.5048770679</v>
      </c>
      <c r="FT75" s="546">
        <f t="shared" ca="1" si="223"/>
        <v>6158336.1149097001</v>
      </c>
      <c r="FU75" s="546">
        <f t="shared" si="224"/>
        <v>32.654000142858358</v>
      </c>
      <c r="FV75" s="546">
        <f t="shared" si="225"/>
        <v>23.300716285833623</v>
      </c>
      <c r="FW75" s="546">
        <f t="shared" si="226"/>
        <v>473.06900856093989</v>
      </c>
      <c r="FX75" s="546">
        <f t="shared" ca="1" si="227"/>
        <v>692.58446109010697</v>
      </c>
      <c r="FY75" s="546">
        <f t="shared" ca="1" si="228"/>
        <v>3125.0114619033957</v>
      </c>
      <c r="FZ75" s="546">
        <f t="shared" ca="1" si="229"/>
        <v>72312.309789679872</v>
      </c>
      <c r="GA75" s="546">
        <f t="shared" si="230"/>
        <v>99323.279765321073</v>
      </c>
      <c r="GB75" s="546">
        <f t="shared" si="231"/>
        <v>22.482068305321537</v>
      </c>
      <c r="GC75" s="546">
        <f t="shared" si="232"/>
        <v>60.643827881487269</v>
      </c>
      <c r="GD75" s="546">
        <f t="shared" si="233"/>
        <v>399.21679782073954</v>
      </c>
    </row>
    <row r="76" spans="1:186">
      <c r="A76" s="4">
        <v>44621</v>
      </c>
      <c r="B76" s="6">
        <v>2022</v>
      </c>
      <c r="C76" s="5">
        <v>3</v>
      </c>
      <c r="D76" s="7">
        <v>81183221.217954963</v>
      </c>
      <c r="E76" s="7">
        <f ca="1">IFERROR(VLOOKUP($B76-1,CDM!$V$4:$AJ$17,2,FALSE)/12,0)+IFERROR(VLOOKUP($B76,CDM!$V$41:$AJ$54,2,FALSE)/24,0)+IFERROR(VLOOKUP($B76,CDM!$V$41:$AJ$54,2,FALSE)/2*$C76/78,0)</f>
        <v>3846769.3796669804</v>
      </c>
      <c r="F76" s="7">
        <f t="shared" ca="1" si="165"/>
        <v>85029990.597621948</v>
      </c>
      <c r="G76" s="7">
        <f>IFERROR(HLOOKUP(B76-1,'EV Forecast VRZ'!$F$124:$T$130,2,FALSE)/12,0)+IFERROR(((HLOOKUP(B76,'EV Forecast VRZ'!$F$116:$T$122,2,FALSE)-HLOOKUP(B76-1,'EV Forecast VRZ'!$F$124:$T$130,2,FALSE)))*C76/78,0)</f>
        <v>444877.2273776189</v>
      </c>
      <c r="H76" s="7">
        <f ca="1">HLOOKUP(B76,Heating!$C$102:$O$106,2,FALSE)*INDEX(Weather!$BO$1:$CB$20,MATCH(B76,Weather!$BO$1:$BO$20,0),MATCH(C76,Weather!$BO$1:$CB$1,0))/VLOOKUP(B76,Weather!$BO$2:$CB$20,14,FALSE)*
VLOOKUP('Monthly Data'!$B76,Weather!$BO$3:$CB$20,14,FALSE)/Weather!$CB$14</f>
        <v>1181247.7861251566</v>
      </c>
      <c r="I76" s="7">
        <f t="shared" ca="1" si="166"/>
        <v>83403865.584119171</v>
      </c>
      <c r="J76" s="7">
        <v>1185788.6020797556</v>
      </c>
      <c r="K76" s="7">
        <f ca="1">IFERROR(VLOOKUP($B76-1,CDM!$V$4:$AJ$17,3,FALSE)/12,0)+IFERROR(VLOOKUP($B76,CDM!$V$41:$AJ$54,3,FALSE)/24,0)+IFERROR(VLOOKUP($B76,CDM!$V$41:$AJ$54,3,FALSE)/2*$C76/78,0)</f>
        <v>44060.140886055204</v>
      </c>
      <c r="L76" s="7">
        <f t="shared" ca="1" si="167"/>
        <v>1229848.7429658109</v>
      </c>
      <c r="M76" s="7">
        <f>IFERROR(HLOOKUP(B76-1,'EV Forecast VRZ'!$F$124:$T$130,3,FALSE)/12,0)+IFERROR(((HLOOKUP(B76,'EV Forecast VRZ'!$F$116:$T$122,3,FALSE)-HLOOKUP(B76-1,'EV Forecast VRZ'!$F$124:$T$130,3,FALSE)))*C76/78,0)</f>
        <v>6036.6021095606129</v>
      </c>
      <c r="N76" s="7">
        <f ca="1">HLOOKUP(B76,Heating!$C$102:$O$106,3,FALSE)*INDEX(Weather!$BO$1:$CB$20,MATCH(B76,Weather!$BO$1:$BO$20,0),MATCH(C76,Weather!$BO$1:$CB$1,0))/VLOOKUP(B76,Weather!$BO$2:$CB$20,14,FALSE)*
VLOOKUP('Monthly Data'!$B76,Weather!$BO$3:$CB$20,14,FALSE)/Weather!$CB$14</f>
        <v>14540.831543495395</v>
      </c>
      <c r="O76" s="7">
        <f t="shared" ca="1" si="168"/>
        <v>1209271.309312755</v>
      </c>
      <c r="P76" s="7">
        <v>23414157.738809384</v>
      </c>
      <c r="Q76" s="7">
        <f ca="1">IFERROR(VLOOKUP($B76-1,CDM!$V$4:$AJ$17,4,FALSE)/12,0)+IFERROR(VLOOKUP($B76,CDM!$V$41:$AJ$54,4,FALSE)/24,0)+IFERROR(VLOOKUP($B76,CDM!$V$41:$AJ$54,4,FALSE)/2*$C76/78,0)</f>
        <v>1488740.8485947149</v>
      </c>
      <c r="R76" s="7">
        <f t="shared" ca="1" si="169"/>
        <v>24902898.587404098</v>
      </c>
      <c r="S76" s="7">
        <f>IFERROR(HLOOKUP(B76-1,'EV Forecast VRZ'!$F$124:$T$130,4,FALSE)/12,0)+IFERROR(((HLOOKUP(B76,'EV Forecast VRZ'!$F$116:$T$122,4,FALSE)-HLOOKUP(B76-1,'EV Forecast VRZ'!$F$124:$T$130,4,FALSE)))*C76/78,0)</f>
        <v>54904.002564102564</v>
      </c>
      <c r="T76" s="7">
        <f ca="1">HLOOKUP(B76,Heating!$C$102:$O$106,4,FALSE)*INDEX(Weather!$BO$1:$CB$20,MATCH(B76,Weather!$BO$1:$BO$20,0),MATCH(C76,Weather!$BO$1:$CB$1,0))/VLOOKUP(B76,Weather!$BO$2:$CB$20,14,FALSE)*
VLOOKUP('Monthly Data'!$B76,Weather!$BO$3:$CB$20,14,FALSE)/Weather!$CB$14</f>
        <v>289591.82921964239</v>
      </c>
      <c r="U76" s="7">
        <f t="shared" ca="1" si="170"/>
        <v>24558402.755620353</v>
      </c>
      <c r="V76" s="7">
        <v>77932461.176109403</v>
      </c>
      <c r="W76" s="7">
        <f ca="1">IFERROR(VLOOKUP($B76-1,CDM!$V$4:$AJ$17,5,FALSE)/12,0)+IFERROR(VLOOKUP($B76,CDM!$V$41:$AJ$54,5,FALSE)/24,0)+IFERROR(VLOOKUP($B76,CDM!$V$41:$AJ$54,5,FALSE)/2*$C76/78,0)</f>
        <v>5878443.8195721218</v>
      </c>
      <c r="X76" s="7">
        <f t="shared" ca="1" si="171"/>
        <v>83810904.995681524</v>
      </c>
      <c r="Y76" s="7">
        <f>IFERROR(HLOOKUP(B76-1,'EV Forecast VRZ'!$F$124:$T$130,5,FALSE)/12,0)+IFERROR(((HLOOKUP(B76,'EV Forecast VRZ'!$F$116:$T$122,5,FALSE)-HLOOKUP(B76-1,'EV Forecast VRZ'!$F$124:$T$130,5,FALSE)))*C76/78,0)</f>
        <v>24936.993461538459</v>
      </c>
      <c r="Z76" s="7">
        <f ca="1">HLOOKUP(B76,Heating!$C$102:$O$106,5,FALSE)*INDEX(Weather!$BO$1:$CB$20,MATCH(B76,Weather!$BO$1:$BO$20,0),MATCH(C76,Weather!$BO$1:$CB$1,0))/VLOOKUP(B76,Weather!$BO$2:$CB$20,14,FALSE)*
VLOOKUP('Monthly Data'!$B76,Weather!$BO$3:$CB$20,14,FALSE)/Weather!$CB$14</f>
        <v>154390.18248585146</v>
      </c>
      <c r="AA76" s="7">
        <f t="shared" ca="1" si="172"/>
        <v>83631577.819734141</v>
      </c>
      <c r="AB76" s="7">
        <v>9461484.0236800462</v>
      </c>
      <c r="AC76" s="7">
        <f ca="1">IFERROR(VLOOKUP($B76-1,CDM!$V$4:$AJ$17,6,FALSE)/12,0)+IFERROR(VLOOKUP($B76,CDM!$V$41:$AJ$54,6,FALSE)/24,0)+IFERROR(VLOOKUP($B76,CDM!$V$41:$AJ$54,6,FALSE)/2*$C76/78,0)</f>
        <v>264274.30116332765</v>
      </c>
      <c r="AD76" s="7">
        <f t="shared" ca="1" si="173"/>
        <v>9725758.3248433731</v>
      </c>
      <c r="AE76" s="7">
        <f>IFERROR(HLOOKUP(B76-1,'EV Forecast VRZ'!$F$124:$T$130,6,FALSE)/12,0)+IFERROR(((HLOOKUP(B76,'EV Forecast VRZ'!$F$116:$T$122,6,FALSE)-HLOOKUP(B76-1,'EV Forecast VRZ'!$F$124:$T$130,6,FALSE)))*C76/78,0)</f>
        <v>3302.5078205128207</v>
      </c>
      <c r="AF76" s="7">
        <f t="shared" ca="1" si="174"/>
        <v>9722455.8170228601</v>
      </c>
      <c r="AG76" s="7">
        <v>26100897.757003956</v>
      </c>
      <c r="AH76" s="7">
        <f ca="1">IFERROR(VLOOKUP($B76-1,CDM!$V$4:$AJ$17,7,FALSE)/12,0)+IFERROR(VLOOKUP($B76,CDM!$V$41:$AJ$54,7,FALSE)/24,0)+IFERROR(VLOOKUP($B76,CDM!$V$41:$AJ$54,7,FALSE)/2*$C76/78,0)</f>
        <v>1734713.9841251166</v>
      </c>
      <c r="AI76" s="7">
        <f t="shared" ca="1" si="175"/>
        <v>27835611.741129071</v>
      </c>
      <c r="AJ76" s="7">
        <f>IFERROR(HLOOKUP(B76-1,'EV Forecast VRZ'!$F$124:$T$130,7,FALSE)/12,0)+IFERROR(((HLOOKUP(B76,'EV Forecast VRZ'!$F$116:$T$122,7,FALSE)-HLOOKUP(B76-1,'EV Forecast VRZ'!$F$124:$T$130,7,FALSE)))*C76/78,0)</f>
        <v>40.384615384615387</v>
      </c>
      <c r="AK76" s="7">
        <f t="shared" ca="1" si="176"/>
        <v>27835571.356513686</v>
      </c>
      <c r="AL76" s="7">
        <v>957702.26101888949</v>
      </c>
      <c r="AM76" s="7">
        <v>24889.973287540546</v>
      </c>
      <c r="AN76" s="7">
        <v>379885.04102270555</v>
      </c>
      <c r="AO76" s="5">
        <v>179374.22</v>
      </c>
      <c r="AP76" s="5">
        <v>18856.330000000002</v>
      </c>
      <c r="AQ76" s="5">
        <v>39554</v>
      </c>
      <c r="AR76" s="5">
        <v>2574.5300000000002</v>
      </c>
      <c r="AS76" s="544">
        <f t="shared" si="234"/>
        <v>50.083333333333336</v>
      </c>
      <c r="AT76" s="557">
        <v>113756.00000000001</v>
      </c>
      <c r="AU76" s="557">
        <v>1557.9999999999998</v>
      </c>
      <c r="AV76" s="557">
        <v>9373.2499999999982</v>
      </c>
      <c r="AW76" s="557">
        <v>1049.5</v>
      </c>
      <c r="AX76" s="557">
        <v>5.7500000000000009</v>
      </c>
      <c r="AY76" s="557">
        <v>4</v>
      </c>
      <c r="AZ76" s="557">
        <v>31763.249999999996</v>
      </c>
      <c r="BA76" s="557">
        <v>246.50000000000003</v>
      </c>
      <c r="BB76" s="557">
        <v>801.99999999999989</v>
      </c>
      <c r="BC76" s="560">
        <v>28881009.150468718</v>
      </c>
      <c r="BD76" s="560">
        <f ca="1">IFERROR(VLOOKUP($B76-1,CDM!$V$4:$AJ$17,11,FALSE)/12,0)+IFERROR(VLOOKUP($B76,CDM!$V$41:$AJ$54,11,FALSE)/24,0)+IFERROR(VLOOKUP($B76,CDM!$V$41:$AJ$54,11,FALSE)/2*$C76/78,0)</f>
        <v>1700472.1116716478</v>
      </c>
      <c r="BE76" s="560">
        <f t="shared" ca="1" si="188"/>
        <v>30581481.262140367</v>
      </c>
      <c r="BF76" s="560">
        <f>IFERROR(HLOOKUP(B76-1,'EV Forecast WRZ'!$F$124:$T$130,2,FALSE)/12,0)+IFERROR(((HLOOKUP(B76,'EV Forecast WRZ'!$F$116:$T$122,2,FALSE)-HLOOKUP(B76-1,'EV Forecast WRZ'!$F$124:$T$130,2,FALSE)))*C76/78,0)</f>
        <v>143185.00794871795</v>
      </c>
      <c r="BG76" s="560">
        <f ca="1">HLOOKUP(B76,Heating!$R$102:$AD$106,2,FALSE)*INDEX(Weather!$BO$1:$CB$20,MATCH(B76,Weather!$BO$1:$BO$20,0),MATCH(C76,Weather!$BO$1:$CB$1,0))/VLOOKUP(B76,Weather!$BO$2:$CB$20,14,FALSE)*
VLOOKUP('Monthly Data'!$B76,Weather!$BO$3:$CB$20,14,FALSE)/Weather!$CB$14</f>
        <v>522971.80836536171</v>
      </c>
      <c r="BH76" s="560">
        <f t="shared" ca="1" si="177"/>
        <v>29915324.445826288</v>
      </c>
      <c r="BI76" s="560">
        <v>7390880.395513678</v>
      </c>
      <c r="BJ76" s="560">
        <f ca="1">IFERROR(VLOOKUP($B76-1,CDM!$V$4:$AJ$17,12,FALSE)/12,0)+IFERROR(VLOOKUP($B76,CDM!$V$41:$AJ$54,12,FALSE)/24,0)+IFERROR(VLOOKUP($B76,CDM!$V$41:$AJ$54,12,FALSE)/2*$C76/78,0)</f>
        <v>253355.69556964916</v>
      </c>
      <c r="BK76" s="560">
        <f t="shared" ca="1" si="178"/>
        <v>7644236.0910833273</v>
      </c>
      <c r="BL76" s="560">
        <f>IFERROR(HLOOKUP(B76-1,'EV Forecast WRZ'!$F$124:$T$130,3,FALSE)/12,0)+IFERROR(((HLOOKUP(B76,'EV Forecast WRZ'!$F$116:$T$122,3,FALSE)-HLOOKUP(B76-1,'EV Forecast WRZ'!$F$124:$T$130,3,FALSE)))*C76/78,0)</f>
        <v>17535.227179487181</v>
      </c>
      <c r="BM76" s="560">
        <f ca="1">HLOOKUP(B76,Heating!$R$102:$AD$106,4,FALSE)*INDEX(Weather!$BO$1:$CB$20,MATCH(B76,Weather!$BO$1:$BO$20,0),MATCH(C76,Weather!$BO$1:$CB$1,0))/VLOOKUP(B76,Weather!$BO$2:$CB$20,14,FALSE)*
VLOOKUP('Monthly Data'!$B76,Weather!$BO$3:$CB$20,14,FALSE)/Weather!$CB$14</f>
        <v>80262.267664104234</v>
      </c>
      <c r="BN76" s="560">
        <f t="shared" ca="1" si="179"/>
        <v>7546438.5962397363</v>
      </c>
      <c r="BO76" s="560">
        <v>27518785.162413687</v>
      </c>
      <c r="BP76" s="560">
        <f ca="1">IFERROR(VLOOKUP($B76-1,CDM!$V$4:$AJ$17,13,FALSE)/12,0)+IFERROR(VLOOKUP($B76,CDM!$V$41:$AJ$54,13,FALSE)/24,0)+IFERROR(VLOOKUP($B76,CDM!$V$41:$AJ$54,13,FALSE)/2*$C76/78,0)</f>
        <v>2435723.2646390931</v>
      </c>
      <c r="BQ76" s="560">
        <f t="shared" ca="1" si="180"/>
        <v>29954508.427052781</v>
      </c>
      <c r="BR76" s="560">
        <f>IFERROR(HLOOKUP(B76-1,'EV Forecast WRZ'!$F$124:$T$130,4,FALSE)/12,0)+IFERROR(((HLOOKUP(B76,'EV Forecast WRZ'!$F$116:$T$122,4,FALSE)-HLOOKUP(B76-1,'EV Forecast WRZ'!$F$124:$T$130,4,FALSE)))*C76/78,0)</f>
        <v>7918.640692307692</v>
      </c>
      <c r="BS76" s="560">
        <f ca="1">HLOOKUP(B76,Heating!$R$102:$AD$106,5,FALSE)*INDEX(Weather!$BO$1:$CB$20,MATCH(B76,Weather!$BO$1:$BO$20,0),MATCH(C76,Weather!$BO$1:$CB$1,0))/VLOOKUP(B76,Weather!$BO$2:$CB$20,14,FALSE)*
VLOOKUP('Monthly Data'!$B76,Weather!$BO$3:$CB$20,14,FALSE)/Weather!$CB$14</f>
        <v>45580.291309841923</v>
      </c>
      <c r="BT76" s="560">
        <f t="shared" ca="1" si="181"/>
        <v>29901009.495050631</v>
      </c>
      <c r="BU76" s="560">
        <v>7975820.3471552562</v>
      </c>
      <c r="BV76" s="560">
        <f ca="1">IFERROR(VLOOKUP($B76-1,CDM!$V$4:$AJ$17,14,FALSE)/12,0)+IFERROR(VLOOKUP($B76,CDM!$V$41:$AJ$54,14,FALSE)/24,0)+IFERROR(VLOOKUP($B76,CDM!$V$41:$AJ$54,14,FALSE)/2*$C76/78,0)</f>
        <v>547747.85105035547</v>
      </c>
      <c r="BW76" s="560">
        <f t="shared" ca="1" si="182"/>
        <v>8523568.1982056126</v>
      </c>
      <c r="BX76" s="560">
        <f>IFERROR(HLOOKUP(B76-1,'EV Forecast WRZ'!$F$124:$T$130,5,FALSE)/12,0)+IFERROR(((HLOOKUP(B76,'EV Forecast WRZ'!$F$116:$T$122,5,FALSE)-HLOOKUP(B76-1,'EV Forecast WRZ'!$F$124:$T$130,5,FALSE)))*C76/78,0)</f>
        <v>1078.7805897435896</v>
      </c>
      <c r="BY76" s="560">
        <f t="shared" ca="1" si="189"/>
        <v>8522489.4176158682</v>
      </c>
      <c r="BZ76" s="560">
        <v>297209.40309929213</v>
      </c>
      <c r="CA76" s="560">
        <v>3072.1784429247155</v>
      </c>
      <c r="CB76" s="560">
        <v>156057.97780753777</v>
      </c>
      <c r="CC76" s="5">
        <v>63924.59</v>
      </c>
      <c r="CD76" s="5">
        <v>13831.91</v>
      </c>
      <c r="CE76" s="5">
        <v>793.44</v>
      </c>
      <c r="CF76" s="544">
        <f t="shared" si="235"/>
        <v>7.916666666666667</v>
      </c>
      <c r="CG76" s="565">
        <v>43705.250000000007</v>
      </c>
      <c r="CH76" s="565">
        <v>2365.4999999999995</v>
      </c>
      <c r="CI76" s="565">
        <v>391.00000000000006</v>
      </c>
      <c r="CJ76" s="565">
        <v>3</v>
      </c>
      <c r="CK76" s="565">
        <v>13273.500000000002</v>
      </c>
      <c r="CL76" s="565">
        <v>46.749999999999993</v>
      </c>
      <c r="CM76" s="565">
        <v>392.50000000000006</v>
      </c>
      <c r="CN76" s="46">
        <f>Weather!C100</f>
        <v>606.7208333333333</v>
      </c>
      <c r="CO76" s="46">
        <f>Weather!D100</f>
        <v>0</v>
      </c>
      <c r="CP76" s="46">
        <f>Weather!E100</f>
        <v>544.7208333333333</v>
      </c>
      <c r="CQ76" s="46">
        <f>Weather!F100</f>
        <v>0</v>
      </c>
      <c r="CR76" s="46">
        <f>Weather!G100</f>
        <v>482.72083333333353</v>
      </c>
      <c r="CS76" s="46">
        <f>Weather!H100</f>
        <v>0</v>
      </c>
      <c r="CT76" s="46">
        <f>Weather!I100</f>
        <v>420.72083333333353</v>
      </c>
      <c r="CU76" s="46">
        <f>Weather!J100</f>
        <v>0</v>
      </c>
      <c r="CV76" s="46">
        <f>Weather!K100</f>
        <v>358.72083333333347</v>
      </c>
      <c r="CW76" s="46">
        <f>Weather!L100</f>
        <v>0</v>
      </c>
      <c r="CX76" s="46">
        <f>Weather!M100</f>
        <v>296.72083333333336</v>
      </c>
      <c r="CY76" s="46">
        <f>Weather!N100</f>
        <v>0</v>
      </c>
      <c r="CZ76" s="46">
        <f>Weather!O100</f>
        <v>236.04166666666666</v>
      </c>
      <c r="DA76" s="46">
        <f>Weather!P100</f>
        <v>1.3208333333333311</v>
      </c>
      <c r="DB76" s="243">
        <f>'Economic Data'!D102</f>
        <v>7681.1</v>
      </c>
      <c r="DC76" s="243">
        <f>'Economic Data'!E102</f>
        <v>7595.3</v>
      </c>
      <c r="DD76" s="243">
        <f>'Economic Data'!F102</f>
        <v>227.8</v>
      </c>
      <c r="DE76" s="243">
        <f>'Economic Data'!G102</f>
        <v>228</v>
      </c>
      <c r="DF76" s="243">
        <f>'Economic Data'!H102</f>
        <v>56</v>
      </c>
      <c r="DG76" s="243">
        <f>'Economic Data'!I102</f>
        <v>56</v>
      </c>
      <c r="DH76" s="243">
        <f>'Economic Data'!J102</f>
        <v>850461.9</v>
      </c>
      <c r="DI76" s="243">
        <f>'Economic Data'!K102</f>
        <v>662856.4</v>
      </c>
      <c r="DJ76" s="243">
        <f>'Economic Data'!L102</f>
        <v>96870.8</v>
      </c>
      <c r="DK76" s="243">
        <f>'Economic Data'!M102</f>
        <v>30149.3</v>
      </c>
      <c r="DL76" s="243">
        <f>'Economic Data'!N102</f>
        <v>847546</v>
      </c>
      <c r="DM76" s="243">
        <f>'Economic Data'!O102</f>
        <v>95039</v>
      </c>
      <c r="DN76" s="243">
        <f>'Economic Data'!P102</f>
        <v>16424</v>
      </c>
      <c r="DO76" s="243">
        <f>'Economic Data'!Q102</f>
        <v>662402</v>
      </c>
      <c r="DP76" s="243">
        <f>'Economic Data'!R102</f>
        <v>28698</v>
      </c>
      <c r="DQ76">
        <v>31</v>
      </c>
      <c r="DR76">
        <v>23</v>
      </c>
      <c r="DS76">
        <v>0</v>
      </c>
      <c r="DT76">
        <v>0</v>
      </c>
      <c r="DU76">
        <v>1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1</v>
      </c>
      <c r="EF76">
        <v>0</v>
      </c>
      <c r="EG76">
        <v>1</v>
      </c>
      <c r="EH76">
        <f t="shared" si="185"/>
        <v>75</v>
      </c>
      <c r="EI76">
        <v>0.5</v>
      </c>
      <c r="EJ76">
        <v>0.25</v>
      </c>
      <c r="EK76">
        <v>0.5</v>
      </c>
      <c r="EL76">
        <v>0</v>
      </c>
      <c r="EM76" s="47">
        <f t="shared" si="190"/>
        <v>151.68020833333333</v>
      </c>
      <c r="EN76" s="47">
        <f t="shared" si="191"/>
        <v>0</v>
      </c>
      <c r="EO76" s="47">
        <f t="shared" si="192"/>
        <v>136.18020833333333</v>
      </c>
      <c r="EP76" s="47">
        <f t="shared" si="193"/>
        <v>0</v>
      </c>
      <c r="EQ76" s="47">
        <f t="shared" si="194"/>
        <v>120.68020833333338</v>
      </c>
      <c r="ER76" s="47">
        <f t="shared" si="195"/>
        <v>0</v>
      </c>
      <c r="ES76" s="47">
        <f t="shared" si="196"/>
        <v>105.18020833333338</v>
      </c>
      <c r="ET76" s="47">
        <f t="shared" si="197"/>
        <v>0</v>
      </c>
      <c r="EU76" s="47">
        <f t="shared" si="198"/>
        <v>89.680208333333368</v>
      </c>
      <c r="EV76" s="47">
        <f t="shared" si="199"/>
        <v>0</v>
      </c>
      <c r="EW76" s="47">
        <f t="shared" si="200"/>
        <v>74.18020833333334</v>
      </c>
      <c r="EX76" s="47">
        <f t="shared" si="201"/>
        <v>0</v>
      </c>
      <c r="EY76" s="47">
        <f t="shared" si="202"/>
        <v>59.010416666666664</v>
      </c>
      <c r="EZ76" s="47">
        <f t="shared" si="203"/>
        <v>0.33020833333333277</v>
      </c>
      <c r="FA76" s="47">
        <f t="shared" si="204"/>
        <v>303.36041666666665</v>
      </c>
      <c r="FB76" s="47">
        <f t="shared" si="205"/>
        <v>0</v>
      </c>
      <c r="FC76" s="47">
        <f t="shared" si="206"/>
        <v>272.36041666666665</v>
      </c>
      <c r="FD76" s="47">
        <f t="shared" si="207"/>
        <v>0</v>
      </c>
      <c r="FE76" s="47">
        <f t="shared" si="208"/>
        <v>241.36041666666677</v>
      </c>
      <c r="FF76" s="47">
        <f t="shared" si="209"/>
        <v>0</v>
      </c>
      <c r="FG76" s="47">
        <f t="shared" si="210"/>
        <v>210.36041666666677</v>
      </c>
      <c r="FH76" s="47">
        <f t="shared" si="211"/>
        <v>0</v>
      </c>
      <c r="FI76" s="47">
        <f t="shared" si="212"/>
        <v>179.36041666666674</v>
      </c>
      <c r="FJ76" s="47">
        <f t="shared" si="213"/>
        <v>0</v>
      </c>
      <c r="FK76" s="47">
        <f t="shared" si="214"/>
        <v>148.36041666666668</v>
      </c>
      <c r="FL76" s="47">
        <f t="shared" si="215"/>
        <v>0</v>
      </c>
      <c r="FM76" s="47">
        <f t="shared" si="216"/>
        <v>118.02083333333333</v>
      </c>
      <c r="FN76" s="47">
        <f t="shared" si="217"/>
        <v>0.66041666666666554</v>
      </c>
      <c r="FO76" s="546">
        <f t="shared" ca="1" si="218"/>
        <v>733.18212300115295</v>
      </c>
      <c r="FP76" s="546">
        <f t="shared" ca="1" si="219"/>
        <v>789.3766001064256</v>
      </c>
      <c r="FQ76" s="546">
        <f t="shared" ca="1" si="220"/>
        <v>2656.8051196120987</v>
      </c>
      <c r="FR76" s="546">
        <f t="shared" ca="1" si="221"/>
        <v>79857.937108796119</v>
      </c>
      <c r="FS76" s="546">
        <f t="shared" ca="1" si="222"/>
        <v>1691436.2304075428</v>
      </c>
      <c r="FT76" s="546">
        <f t="shared" ca="1" si="223"/>
        <v>6958902.9352822676</v>
      </c>
      <c r="FU76" s="546">
        <f t="shared" si="224"/>
        <v>30.151267928152492</v>
      </c>
      <c r="FV76" s="546">
        <f t="shared" si="225"/>
        <v>100.97352246466752</v>
      </c>
      <c r="FW76" s="546">
        <f t="shared" si="226"/>
        <v>473.67212097594216</v>
      </c>
      <c r="FX76" s="546">
        <f t="shared" ca="1" si="227"/>
        <v>699.72100061526612</v>
      </c>
      <c r="FY76" s="546">
        <f t="shared" ca="1" si="228"/>
        <v>3231.5519302825319</v>
      </c>
      <c r="FZ76" s="546">
        <f t="shared" ca="1" si="229"/>
        <v>76609.995977117069</v>
      </c>
      <c r="GA76" s="546">
        <f t="shared" si="230"/>
        <v>99069.801033097378</v>
      </c>
      <c r="GB76" s="546">
        <f t="shared" si="231"/>
        <v>22.391185678177731</v>
      </c>
      <c r="GC76" s="546">
        <f t="shared" si="232"/>
        <v>65.715046907480556</v>
      </c>
      <c r="GD76" s="546">
        <f t="shared" si="233"/>
        <v>397.5999434586949</v>
      </c>
    </row>
    <row r="77" spans="1:186">
      <c r="A77" s="4">
        <v>44652</v>
      </c>
      <c r="B77" s="6">
        <v>2022</v>
      </c>
      <c r="C77" s="5">
        <v>4</v>
      </c>
      <c r="D77" s="7">
        <v>68452057.758653119</v>
      </c>
      <c r="E77" s="7">
        <f ca="1">IFERROR(VLOOKUP($B77-1,CDM!$V$4:$AJ$17,2,FALSE)/12,0)+IFERROR(VLOOKUP($B77,CDM!$V$41:$AJ$54,2,FALSE)/24,0)+IFERROR(VLOOKUP($B77,CDM!$V$41:$AJ$54,2,FALSE)/2*$C77/78,0)</f>
        <v>3847091.2852288629</v>
      </c>
      <c r="F77" s="7">
        <f t="shared" ca="1" si="165"/>
        <v>72299149.043881983</v>
      </c>
      <c r="G77" s="7">
        <f>IFERROR(HLOOKUP(B77-1,'EV Forecast VRZ'!$F$124:$T$130,2,FALSE)/12,0)+IFERROR(((HLOOKUP(B77,'EV Forecast VRZ'!$F$116:$T$122,2,FALSE)-HLOOKUP(B77-1,'EV Forecast VRZ'!$F$124:$T$130,2,FALSE)))*C77/78,0)</f>
        <v>466135.98138474266</v>
      </c>
      <c r="H77" s="7">
        <f ca="1">HLOOKUP(B77,Heating!$C$102:$O$106,2,FALSE)*INDEX(Weather!$BO$1:$CB$20,MATCH(B77,Weather!$BO$1:$BO$20,0),MATCH(C77,Weather!$BO$1:$CB$1,0))/VLOOKUP(B77,Weather!$BO$2:$CB$20,14,FALSE)*
VLOOKUP('Monthly Data'!$B77,Weather!$BO$3:$CB$20,14,FALSE)/Weather!$CB$14</f>
        <v>768385.27175298764</v>
      </c>
      <c r="I77" s="7">
        <f t="shared" ca="1" si="166"/>
        <v>71064627.79074426</v>
      </c>
      <c r="J77" s="7">
        <v>907389.20660179353</v>
      </c>
      <c r="K77" s="7">
        <f ca="1">IFERROR(VLOOKUP($B77-1,CDM!$V$4:$AJ$17,3,FALSE)/12,0)+IFERROR(VLOOKUP($B77,CDM!$V$41:$AJ$54,3,FALSE)/24,0)+IFERROR(VLOOKUP($B77,CDM!$V$41:$AJ$54,3,FALSE)/2*$C77/78,0)</f>
        <v>44063.827929131803</v>
      </c>
      <c r="L77" s="7">
        <f t="shared" ca="1" si="167"/>
        <v>951453.03453092533</v>
      </c>
      <c r="M77" s="7">
        <f>IFERROR(HLOOKUP(B77-1,'EV Forecast VRZ'!$F$124:$T$130,3,FALSE)/12,0)+IFERROR(((HLOOKUP(B77,'EV Forecast VRZ'!$F$116:$T$122,3,FALSE)-HLOOKUP(B77-1,'EV Forecast VRZ'!$F$124:$T$130,3,FALSE)))*C77/78,0)</f>
        <v>6325.0651537188714</v>
      </c>
      <c r="N77" s="7">
        <f ca="1">HLOOKUP(B77,Heating!$C$102:$O$106,3,FALSE)*INDEX(Weather!$BO$1:$CB$20,MATCH(B77,Weather!$BO$1:$BO$20,0),MATCH(C77,Weather!$BO$1:$CB$1,0))/VLOOKUP(B77,Weather!$BO$2:$CB$20,14,FALSE)*
VLOOKUP('Monthly Data'!$B77,Weather!$BO$3:$CB$20,14,FALSE)/Weather!$CB$14</f>
        <v>9458.6088780862392</v>
      </c>
      <c r="O77" s="7">
        <f t="shared" ca="1" si="168"/>
        <v>935669.3604991202</v>
      </c>
      <c r="P77" s="7">
        <v>20115829.526388094</v>
      </c>
      <c r="Q77" s="7">
        <f ca="1">IFERROR(VLOOKUP($B77-1,CDM!$V$4:$AJ$17,4,FALSE)/12,0)+IFERROR(VLOOKUP($B77,CDM!$V$41:$AJ$54,4,FALSE)/24,0)+IFERROR(VLOOKUP($B77,CDM!$V$41:$AJ$54,4,FALSE)/2*$C77/78,0)</f>
        <v>1497263.4086838223</v>
      </c>
      <c r="R77" s="7">
        <f t="shared" ca="1" si="169"/>
        <v>21613092.935071915</v>
      </c>
      <c r="S77" s="7">
        <f>IFERROR(HLOOKUP(B77-1,'EV Forecast VRZ'!$F$124:$T$130,4,FALSE)/12,0)+IFERROR(((HLOOKUP(B77,'EV Forecast VRZ'!$F$116:$T$122,4,FALSE)-HLOOKUP(B77-1,'EV Forecast VRZ'!$F$124:$T$130,4,FALSE)))*C77/78,0)</f>
        <v>57542.702307692307</v>
      </c>
      <c r="T77" s="7">
        <f ca="1">HLOOKUP(B77,Heating!$C$102:$O$106,4,FALSE)*INDEX(Weather!$BO$1:$CB$20,MATCH(B77,Weather!$BO$1:$BO$20,0),MATCH(C77,Weather!$BO$1:$CB$1,0))/VLOOKUP(B77,Weather!$BO$2:$CB$20,14,FALSE)*
VLOOKUP('Monthly Data'!$B77,Weather!$BO$3:$CB$20,14,FALSE)/Weather!$CB$14</f>
        <v>188375.46110651779</v>
      </c>
      <c r="U77" s="7">
        <f t="shared" ca="1" si="170"/>
        <v>21367174.771657705</v>
      </c>
      <c r="V77" s="7">
        <v>70232596.05597049</v>
      </c>
      <c r="W77" s="7">
        <f ca="1">IFERROR(VLOOKUP($B77-1,CDM!$V$4:$AJ$17,5,FALSE)/12,0)+IFERROR(VLOOKUP($B77,CDM!$V$41:$AJ$54,5,FALSE)/24,0)+IFERROR(VLOOKUP($B77,CDM!$V$41:$AJ$54,5,FALSE)/2*$C77/78,0)</f>
        <v>5937468.9124145797</v>
      </c>
      <c r="X77" s="7">
        <f t="shared" ca="1" si="171"/>
        <v>76170064.968385071</v>
      </c>
      <c r="Y77" s="7">
        <f>IFERROR(HLOOKUP(B77-1,'EV Forecast VRZ'!$F$124:$T$130,5,FALSE)/12,0)+IFERROR(((HLOOKUP(B77,'EV Forecast VRZ'!$F$116:$T$122,5,FALSE)-HLOOKUP(B77-1,'EV Forecast VRZ'!$F$124:$T$130,5,FALSE)))*C77/78,0)</f>
        <v>26159.472448717948</v>
      </c>
      <c r="Z77" s="7">
        <f ca="1">HLOOKUP(B77,Heating!$C$102:$O$106,5,FALSE)*INDEX(Weather!$BO$1:$CB$20,MATCH(B77,Weather!$BO$1:$BO$20,0),MATCH(C77,Weather!$BO$1:$CB$1,0))/VLOOKUP(B77,Weather!$BO$2:$CB$20,14,FALSE)*
VLOOKUP('Monthly Data'!$B77,Weather!$BO$3:$CB$20,14,FALSE)/Weather!$CB$14</f>
        <v>100428.6684968356</v>
      </c>
      <c r="AA77" s="7">
        <f t="shared" ca="1" si="172"/>
        <v>76043476.827439517</v>
      </c>
      <c r="AB77" s="7">
        <v>8898140.0555362683</v>
      </c>
      <c r="AC77" s="7">
        <f ca="1">IFERROR(VLOOKUP($B77-1,CDM!$V$4:$AJ$17,6,FALSE)/12,0)+IFERROR(VLOOKUP($B77,CDM!$V$41:$AJ$54,6,FALSE)/24,0)+IFERROR(VLOOKUP($B77,CDM!$V$41:$AJ$54,6,FALSE)/2*$C77/78,0)</f>
        <v>266573.79790231248</v>
      </c>
      <c r="AD77" s="7">
        <f t="shared" ca="1" si="173"/>
        <v>9164713.8534385804</v>
      </c>
      <c r="AE77" s="7">
        <f>IFERROR(HLOOKUP(B77-1,'EV Forecast VRZ'!$F$124:$T$130,6,FALSE)/12,0)+IFERROR(((HLOOKUP(B77,'EV Forecast VRZ'!$F$116:$T$122,6,FALSE)-HLOOKUP(B77-1,'EV Forecast VRZ'!$F$124:$T$130,6,FALSE)))*C77/78,0)</f>
        <v>3453.5453717948722</v>
      </c>
      <c r="AF77" s="7">
        <f t="shared" ca="1" si="174"/>
        <v>9161260.3080667853</v>
      </c>
      <c r="AG77" s="7">
        <v>24483012.06417165</v>
      </c>
      <c r="AH77" s="7">
        <f ca="1">IFERROR(VLOOKUP($B77-1,CDM!$V$4:$AJ$17,7,FALSE)/12,0)+IFERROR(VLOOKUP($B77,CDM!$V$41:$AJ$54,7,FALSE)/24,0)+IFERROR(VLOOKUP($B77,CDM!$V$41:$AJ$54,7,FALSE)/2*$C77/78,0)</f>
        <v>1736142.1546894214</v>
      </c>
      <c r="AI77" s="7">
        <f t="shared" ca="1" si="175"/>
        <v>26219154.21886107</v>
      </c>
      <c r="AJ77" s="7">
        <f>IFERROR(HLOOKUP(B77-1,'EV Forecast VRZ'!$F$124:$T$130,7,FALSE)/12,0)+IFERROR(((HLOOKUP(B77,'EV Forecast VRZ'!$F$116:$T$122,7,FALSE)-HLOOKUP(B77-1,'EV Forecast VRZ'!$F$124:$T$130,7,FALSE)))*C77/78,0)</f>
        <v>53.846153846153847</v>
      </c>
      <c r="AK77" s="7">
        <f t="shared" ca="1" si="176"/>
        <v>26219100.372707222</v>
      </c>
      <c r="AL77" s="7">
        <v>807975.18603319977</v>
      </c>
      <c r="AM77" s="7">
        <v>19868.689181453927</v>
      </c>
      <c r="AN77" s="7">
        <v>379708.0328181645</v>
      </c>
      <c r="AO77" s="5">
        <v>177237.86</v>
      </c>
      <c r="AP77" s="5">
        <v>18780.2</v>
      </c>
      <c r="AQ77" s="5">
        <v>40004</v>
      </c>
      <c r="AR77" s="5">
        <v>2565.08</v>
      </c>
      <c r="AS77" s="544">
        <f t="shared" si="234"/>
        <v>50.083333333333336</v>
      </c>
      <c r="AT77" s="557">
        <v>113871.66666666669</v>
      </c>
      <c r="AU77" s="557">
        <v>1558.333333333333</v>
      </c>
      <c r="AV77" s="557">
        <v>9384.6666666666642</v>
      </c>
      <c r="AW77" s="557">
        <v>1046</v>
      </c>
      <c r="AX77" s="557">
        <v>5.6666666666666679</v>
      </c>
      <c r="AY77" s="557">
        <v>4</v>
      </c>
      <c r="AZ77" s="557">
        <v>31772.333333333328</v>
      </c>
      <c r="BA77" s="557">
        <v>246.33333333333337</v>
      </c>
      <c r="BB77" s="557">
        <v>801.66666666666652</v>
      </c>
      <c r="BC77" s="560">
        <v>25359572.170757696</v>
      </c>
      <c r="BD77" s="560">
        <f ca="1">IFERROR(VLOOKUP($B77-1,CDM!$V$4:$AJ$17,11,FALSE)/12,0)+IFERROR(VLOOKUP($B77,CDM!$V$41:$AJ$54,11,FALSE)/24,0)+IFERROR(VLOOKUP($B77,CDM!$V$41:$AJ$54,11,FALSE)/2*$C77/78,0)</f>
        <v>1700763.1335177352</v>
      </c>
      <c r="BE77" s="560">
        <f t="shared" ca="1" si="188"/>
        <v>27060335.304275431</v>
      </c>
      <c r="BF77" s="560">
        <f>IFERROR(HLOOKUP(B77-1,'EV Forecast WRZ'!$F$124:$T$130,2,FALSE)/12,0)+IFERROR(((HLOOKUP(B77,'EV Forecast WRZ'!$F$116:$T$122,2,FALSE)-HLOOKUP(B77-1,'EV Forecast WRZ'!$F$124:$T$130,2,FALSE)))*C77/78,0)</f>
        <v>149490.49782051283</v>
      </c>
      <c r="BG77" s="560">
        <f ca="1">HLOOKUP(B77,Heating!$R$102:$AD$106,2,FALSE)*INDEX(Weather!$BO$1:$CB$20,MATCH(B77,Weather!$BO$1:$BO$20,0),MATCH(C77,Weather!$BO$1:$CB$1,0))/VLOOKUP(B77,Weather!$BO$2:$CB$20,14,FALSE)*
VLOOKUP('Monthly Data'!$B77,Weather!$BO$3:$CB$20,14,FALSE)/Weather!$CB$14</f>
        <v>340185.89478854125</v>
      </c>
      <c r="BH77" s="560">
        <f t="shared" ca="1" si="177"/>
        <v>26570658.911666378</v>
      </c>
      <c r="BI77" s="560">
        <v>6336615.2177922316</v>
      </c>
      <c r="BJ77" s="560">
        <f ca="1">IFERROR(VLOOKUP($B77-1,CDM!$V$4:$AJ$17,12,FALSE)/12,0)+IFERROR(VLOOKUP($B77,CDM!$V$41:$AJ$54,12,FALSE)/24,0)+IFERROR(VLOOKUP($B77,CDM!$V$41:$AJ$54,12,FALSE)/2*$C77/78,0)</f>
        <v>255678.15198335334</v>
      </c>
      <c r="BK77" s="560">
        <f t="shared" ca="1" si="178"/>
        <v>6592293.3697755849</v>
      </c>
      <c r="BL77" s="560">
        <f>IFERROR(HLOOKUP(B77-1,'EV Forecast WRZ'!$F$124:$T$130,3,FALSE)/12,0)+IFERROR(((HLOOKUP(B77,'EV Forecast WRZ'!$F$116:$T$122,3,FALSE)-HLOOKUP(B77-1,'EV Forecast WRZ'!$F$124:$T$130,3,FALSE)))*C77/78,0)</f>
        <v>18352.615128205129</v>
      </c>
      <c r="BM77" s="560">
        <f ca="1">HLOOKUP(B77,Heating!$R$102:$AD$106,4,FALSE)*INDEX(Weather!$BO$1:$CB$20,MATCH(B77,Weather!$BO$1:$BO$20,0),MATCH(C77,Weather!$BO$1:$CB$1,0))/VLOOKUP(B77,Weather!$BO$2:$CB$20,14,FALSE)*
VLOOKUP('Monthly Data'!$B77,Weather!$BO$3:$CB$20,14,FALSE)/Weather!$CB$14</f>
        <v>52209.489892800011</v>
      </c>
      <c r="BN77" s="560">
        <f t="shared" ca="1" si="179"/>
        <v>6521731.2647545794</v>
      </c>
      <c r="BO77" s="560">
        <v>24471131.08135695</v>
      </c>
      <c r="BP77" s="560">
        <f ca="1">IFERROR(VLOOKUP($B77-1,CDM!$V$4:$AJ$17,13,FALSE)/12,0)+IFERROR(VLOOKUP($B77,CDM!$V$41:$AJ$54,13,FALSE)/24,0)+IFERROR(VLOOKUP($B77,CDM!$V$41:$AJ$54,13,FALSE)/2*$C77/78,0)</f>
        <v>2467177.7197723673</v>
      </c>
      <c r="BQ77" s="560">
        <f t="shared" ca="1" si="180"/>
        <v>26938308.801129319</v>
      </c>
      <c r="BR77" s="560">
        <f>IFERROR(HLOOKUP(B77-1,'EV Forecast WRZ'!$F$124:$T$130,4,FALSE)/12,0)+IFERROR(((HLOOKUP(B77,'EV Forecast WRZ'!$F$116:$T$122,4,FALSE)-HLOOKUP(B77-1,'EV Forecast WRZ'!$F$124:$T$130,4,FALSE)))*C77/78,0)</f>
        <v>8283.2280897435885</v>
      </c>
      <c r="BS77" s="560">
        <f ca="1">HLOOKUP(B77,Heating!$R$102:$AD$106,5,FALSE)*INDEX(Weather!$BO$1:$CB$20,MATCH(B77,Weather!$BO$1:$BO$20,0),MATCH(C77,Weather!$BO$1:$CB$1,0))/VLOOKUP(B77,Weather!$BO$2:$CB$20,14,FALSE)*
VLOOKUP('Monthly Data'!$B77,Weather!$BO$3:$CB$20,14,FALSE)/Weather!$CB$14</f>
        <v>29649.346171119436</v>
      </c>
      <c r="BT77" s="560">
        <f t="shared" ca="1" si="181"/>
        <v>26900376.226868458</v>
      </c>
      <c r="BU77" s="560">
        <v>7020853.7319189981</v>
      </c>
      <c r="BV77" s="560">
        <f ca="1">IFERROR(VLOOKUP($B77-1,CDM!$V$4:$AJ$17,14,FALSE)/12,0)+IFERROR(VLOOKUP($B77,CDM!$V$41:$AJ$54,14,FALSE)/24,0)+IFERROR(VLOOKUP($B77,CDM!$V$41:$AJ$54,14,FALSE)/2*$C77/78,0)</f>
        <v>554830.02679476992</v>
      </c>
      <c r="BW77" s="560">
        <f t="shared" ca="1" si="182"/>
        <v>7575683.7587137679</v>
      </c>
      <c r="BX77" s="560">
        <f>IFERROR(HLOOKUP(B77-1,'EV Forecast WRZ'!$F$124:$T$130,5,FALSE)/12,0)+IFERROR(((HLOOKUP(B77,'EV Forecast WRZ'!$F$116:$T$122,5,FALSE)-HLOOKUP(B77-1,'EV Forecast WRZ'!$F$124:$T$130,5,FALSE)))*C77/78,0)</f>
        <v>1136.9897307692308</v>
      </c>
      <c r="BY77" s="560">
        <f t="shared" ca="1" si="189"/>
        <v>7574546.768982999</v>
      </c>
      <c r="BZ77" s="560">
        <v>251007.2029845035</v>
      </c>
      <c r="CA77" s="560">
        <v>1884.6864027757729</v>
      </c>
      <c r="CB77" s="560">
        <v>156057.97780753777</v>
      </c>
      <c r="CC77" s="5">
        <v>62174.62</v>
      </c>
      <c r="CD77" s="5">
        <v>14569.54</v>
      </c>
      <c r="CE77" s="5">
        <v>797</v>
      </c>
      <c r="CF77" s="544">
        <f t="shared" si="235"/>
        <v>7.916666666666667</v>
      </c>
      <c r="CG77" s="565">
        <v>43793.333333333343</v>
      </c>
      <c r="CH77" s="565">
        <v>2370.6666666666661</v>
      </c>
      <c r="CI77" s="565">
        <v>389.66666666666674</v>
      </c>
      <c r="CJ77" s="565">
        <v>3</v>
      </c>
      <c r="CK77" s="565">
        <v>13293.333333333336</v>
      </c>
      <c r="CL77" s="565">
        <v>46.666666666666657</v>
      </c>
      <c r="CM77" s="565">
        <v>392.66666666666674</v>
      </c>
      <c r="CN77" s="46">
        <f>Weather!C101</f>
        <v>414.33333333333331</v>
      </c>
      <c r="CO77" s="46">
        <f>Weather!D101</f>
        <v>0</v>
      </c>
      <c r="CP77" s="46">
        <f>Weather!E101</f>
        <v>354.33333333333331</v>
      </c>
      <c r="CQ77" s="46">
        <f>Weather!F101</f>
        <v>0</v>
      </c>
      <c r="CR77" s="46">
        <f>Weather!G101</f>
        <v>294.33333333333337</v>
      </c>
      <c r="CS77" s="46">
        <f>Weather!H101</f>
        <v>0</v>
      </c>
      <c r="CT77" s="46">
        <f>Weather!I101</f>
        <v>234.33333333333331</v>
      </c>
      <c r="CU77" s="46">
        <f>Weather!J101</f>
        <v>0</v>
      </c>
      <c r="CV77" s="46">
        <f>Weather!K101</f>
        <v>176.58749999999998</v>
      </c>
      <c r="CW77" s="46">
        <f>Weather!L101</f>
        <v>2.2541666666666629</v>
      </c>
      <c r="CX77" s="46">
        <f>Weather!M101</f>
        <v>123.04166666666666</v>
      </c>
      <c r="CY77" s="46">
        <f>Weather!N101</f>
        <v>8.7083333333333286</v>
      </c>
      <c r="CZ77" s="46">
        <f>Weather!O101</f>
        <v>75.575000000000003</v>
      </c>
      <c r="DA77" s="46">
        <f>Weather!P101</f>
        <v>21.24166666666666</v>
      </c>
      <c r="DB77" s="243">
        <f>'Economic Data'!D103</f>
        <v>7758.4</v>
      </c>
      <c r="DC77" s="243">
        <f>'Economic Data'!E103</f>
        <v>7694.2</v>
      </c>
      <c r="DD77" s="243">
        <f>'Economic Data'!F103</f>
        <v>232.8</v>
      </c>
      <c r="DE77" s="243">
        <f>'Economic Data'!G103</f>
        <v>233.6</v>
      </c>
      <c r="DF77" s="243">
        <f>'Economic Data'!H103</f>
        <v>56.8</v>
      </c>
      <c r="DG77" s="243">
        <f>'Economic Data'!I103</f>
        <v>56.8</v>
      </c>
      <c r="DH77" s="243">
        <f>'Economic Data'!J103</f>
        <v>850461.9</v>
      </c>
      <c r="DI77" s="243">
        <f>'Economic Data'!K103</f>
        <v>662856.4</v>
      </c>
      <c r="DJ77" s="243">
        <f>'Economic Data'!L103</f>
        <v>96870.8</v>
      </c>
      <c r="DK77" s="243">
        <f>'Economic Data'!M103</f>
        <v>30149.3</v>
      </c>
      <c r="DL77" s="243">
        <f>'Economic Data'!N103</f>
        <v>854755</v>
      </c>
      <c r="DM77" s="243">
        <f>'Economic Data'!O103</f>
        <v>94257</v>
      </c>
      <c r="DN77" s="243">
        <f>'Economic Data'!P103</f>
        <v>17438</v>
      </c>
      <c r="DO77" s="243">
        <f>'Economic Data'!Q103</f>
        <v>671300</v>
      </c>
      <c r="DP77" s="243">
        <f>'Economic Data'!R103</f>
        <v>30799</v>
      </c>
      <c r="DQ77">
        <v>30</v>
      </c>
      <c r="DR77">
        <v>20</v>
      </c>
      <c r="DS77">
        <v>0</v>
      </c>
      <c r="DT77">
        <v>0</v>
      </c>
      <c r="DU77">
        <v>0</v>
      </c>
      <c r="DV77">
        <v>1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1</v>
      </c>
      <c r="EF77">
        <v>0</v>
      </c>
      <c r="EG77">
        <v>1</v>
      </c>
      <c r="EH77">
        <f t="shared" si="185"/>
        <v>76</v>
      </c>
      <c r="EI77">
        <v>0.5</v>
      </c>
      <c r="EJ77">
        <v>0.25</v>
      </c>
      <c r="EK77">
        <v>0.5</v>
      </c>
      <c r="EL77">
        <v>0</v>
      </c>
      <c r="EM77" s="47">
        <f t="shared" si="190"/>
        <v>103.58333333333333</v>
      </c>
      <c r="EN77" s="47">
        <f t="shared" si="191"/>
        <v>0</v>
      </c>
      <c r="EO77" s="47">
        <f t="shared" si="192"/>
        <v>88.583333333333329</v>
      </c>
      <c r="EP77" s="47">
        <f t="shared" si="193"/>
        <v>0</v>
      </c>
      <c r="EQ77" s="47">
        <f t="shared" si="194"/>
        <v>73.583333333333343</v>
      </c>
      <c r="ER77" s="47">
        <f t="shared" si="195"/>
        <v>0</v>
      </c>
      <c r="ES77" s="47">
        <f t="shared" si="196"/>
        <v>58.583333333333329</v>
      </c>
      <c r="ET77" s="47">
        <f t="shared" si="197"/>
        <v>0</v>
      </c>
      <c r="EU77" s="47">
        <f t="shared" si="198"/>
        <v>44.146874999999994</v>
      </c>
      <c r="EV77" s="47">
        <f t="shared" si="199"/>
        <v>0.56354166666666572</v>
      </c>
      <c r="EW77" s="47">
        <f t="shared" si="200"/>
        <v>30.760416666666664</v>
      </c>
      <c r="EX77" s="47">
        <f t="shared" si="201"/>
        <v>2.1770833333333321</v>
      </c>
      <c r="EY77" s="47">
        <f t="shared" si="202"/>
        <v>18.893750000000001</v>
      </c>
      <c r="EZ77" s="47">
        <f t="shared" si="203"/>
        <v>5.310416666666665</v>
      </c>
      <c r="FA77" s="47">
        <f t="shared" si="204"/>
        <v>207.16666666666666</v>
      </c>
      <c r="FB77" s="47">
        <f t="shared" si="205"/>
        <v>0</v>
      </c>
      <c r="FC77" s="47">
        <f t="shared" si="206"/>
        <v>177.16666666666666</v>
      </c>
      <c r="FD77" s="47">
        <f t="shared" si="207"/>
        <v>0</v>
      </c>
      <c r="FE77" s="47">
        <f t="shared" si="208"/>
        <v>147.16666666666669</v>
      </c>
      <c r="FF77" s="47">
        <f t="shared" si="209"/>
        <v>0</v>
      </c>
      <c r="FG77" s="47">
        <f t="shared" si="210"/>
        <v>117.16666666666666</v>
      </c>
      <c r="FH77" s="47">
        <f t="shared" si="211"/>
        <v>0</v>
      </c>
      <c r="FI77" s="47">
        <f t="shared" si="212"/>
        <v>88.293749999999989</v>
      </c>
      <c r="FJ77" s="47">
        <f t="shared" si="213"/>
        <v>1.1270833333333314</v>
      </c>
      <c r="FK77" s="47">
        <f t="shared" si="214"/>
        <v>61.520833333333329</v>
      </c>
      <c r="FL77" s="47">
        <f t="shared" si="215"/>
        <v>4.3541666666666643</v>
      </c>
      <c r="FM77" s="47">
        <f t="shared" si="216"/>
        <v>37.787500000000001</v>
      </c>
      <c r="FN77" s="47">
        <f t="shared" si="217"/>
        <v>10.62083333333333</v>
      </c>
      <c r="FO77" s="546">
        <f t="shared" ca="1" si="218"/>
        <v>624.07647021422576</v>
      </c>
      <c r="FP77" s="546">
        <f t="shared" ca="1" si="219"/>
        <v>610.55809702519286</v>
      </c>
      <c r="FQ77" s="546">
        <f t="shared" ca="1" si="220"/>
        <v>2303.0219082622634</v>
      </c>
      <c r="FR77" s="546">
        <f t="shared" ca="1" si="221"/>
        <v>72820.329797691273</v>
      </c>
      <c r="FS77" s="546">
        <f t="shared" ca="1" si="222"/>
        <v>1617302.444724455</v>
      </c>
      <c r="FT77" s="546">
        <f t="shared" ca="1" si="223"/>
        <v>6554788.5547152674</v>
      </c>
      <c r="FU77" s="546">
        <f t="shared" si="224"/>
        <v>25.430149481200623</v>
      </c>
      <c r="FV77" s="546">
        <f t="shared" si="225"/>
        <v>80.657736866524729</v>
      </c>
      <c r="FW77" s="546">
        <f t="shared" si="226"/>
        <v>473.64827378565229</v>
      </c>
      <c r="FX77" s="546">
        <f t="shared" ca="1" si="227"/>
        <v>617.90992474369216</v>
      </c>
      <c r="FY77" s="546">
        <f t="shared" ca="1" si="228"/>
        <v>2780.7761683530316</v>
      </c>
      <c r="FZ77" s="546">
        <f t="shared" ca="1" si="229"/>
        <v>69131.673570049563</v>
      </c>
      <c r="GA77" s="546">
        <f t="shared" si="230"/>
        <v>83669.067661501162</v>
      </c>
      <c r="GB77" s="546">
        <f t="shared" si="231"/>
        <v>18.882186784190331</v>
      </c>
      <c r="GC77" s="546">
        <f t="shared" si="232"/>
        <v>40.386137202337999</v>
      </c>
      <c r="GD77" s="546">
        <f t="shared" si="233"/>
        <v>397.43118287148832</v>
      </c>
    </row>
    <row r="78" spans="1:186">
      <c r="A78" s="4">
        <v>44682</v>
      </c>
      <c r="B78" s="6">
        <v>2022</v>
      </c>
      <c r="C78" s="5">
        <v>5</v>
      </c>
      <c r="D78" s="7">
        <v>67902336.031759873</v>
      </c>
      <c r="E78" s="7">
        <f ca="1">IFERROR(VLOOKUP($B78-1,CDM!$V$4:$AJ$17,2,FALSE)/12,0)+IFERROR(VLOOKUP($B78,CDM!$V$41:$AJ$54,2,FALSE)/24,0)+IFERROR(VLOOKUP($B78,CDM!$V$41:$AJ$54,2,FALSE)/2*$C78/78,0)</f>
        <v>3847413.1907907459</v>
      </c>
      <c r="F78" s="7">
        <f t="shared" ca="1" si="165"/>
        <v>71749749.222550616</v>
      </c>
      <c r="G78" s="7">
        <f>IFERROR(HLOOKUP(B78-1,'EV Forecast VRZ'!$F$124:$T$130,2,FALSE)/12,0)+IFERROR(((HLOOKUP(B78,'EV Forecast VRZ'!$F$116:$T$122,2,FALSE)-HLOOKUP(B78-1,'EV Forecast VRZ'!$F$124:$T$130,2,FALSE)))*C78/78,0)</f>
        <v>487394.73539186647</v>
      </c>
      <c r="H78" s="7">
        <f ca="1">HLOOKUP(B78,Heating!$C$102:$O$106,2,FALSE)*INDEX(Weather!$BO$1:$CB$20,MATCH(B78,Weather!$BO$1:$BO$20,0),MATCH(C78,Weather!$BO$1:$CB$1,0))/VLOOKUP(B78,Weather!$BO$2:$CB$20,14,FALSE)*
VLOOKUP('Monthly Data'!$B78,Weather!$BO$3:$CB$20,14,FALSE)/Weather!$CB$14</f>
        <v>237472.97403824105</v>
      </c>
      <c r="I78" s="7">
        <f t="shared" ca="1" si="166"/>
        <v>71024881.513120502</v>
      </c>
      <c r="J78" s="7">
        <v>750002.16820263315</v>
      </c>
      <c r="K78" s="7">
        <f ca="1">IFERROR(VLOOKUP($B78-1,CDM!$V$4:$AJ$17,3,FALSE)/12,0)+IFERROR(VLOOKUP($B78,CDM!$V$41:$AJ$54,3,FALSE)/24,0)+IFERROR(VLOOKUP($B78,CDM!$V$41:$AJ$54,3,FALSE)/2*$C78/78,0)</f>
        <v>44067.514972208395</v>
      </c>
      <c r="L78" s="7">
        <f t="shared" ca="1" si="167"/>
        <v>794069.68317484157</v>
      </c>
      <c r="M78" s="7">
        <f>IFERROR(HLOOKUP(B78-1,'EV Forecast VRZ'!$F$124:$T$130,3,FALSE)/12,0)+IFERROR(((HLOOKUP(B78,'EV Forecast VRZ'!$F$116:$T$122,3,FALSE)-HLOOKUP(B78-1,'EV Forecast VRZ'!$F$124:$T$130,3,FALSE)))*C78/78,0)</f>
        <v>6613.52819787713</v>
      </c>
      <c r="N78" s="7">
        <f ca="1">HLOOKUP(B78,Heating!$C$102:$O$106,3,FALSE)*INDEX(Weather!$BO$1:$CB$20,MATCH(B78,Weather!$BO$1:$BO$20,0),MATCH(C78,Weather!$BO$1:$CB$1,0))/VLOOKUP(B78,Weather!$BO$2:$CB$20,14,FALSE)*
VLOOKUP('Monthly Data'!$B78,Weather!$BO$3:$CB$20,14,FALSE)/Weather!$CB$14</f>
        <v>2923.2262292316855</v>
      </c>
      <c r="O78" s="7">
        <f t="shared" ca="1" si="168"/>
        <v>784532.92874773277</v>
      </c>
      <c r="P78" s="7">
        <v>20160744.949952297</v>
      </c>
      <c r="Q78" s="7">
        <f ca="1">IFERROR(VLOOKUP($B78-1,CDM!$V$4:$AJ$17,4,FALSE)/12,0)+IFERROR(VLOOKUP($B78,CDM!$V$41:$AJ$54,4,FALSE)/24,0)+IFERROR(VLOOKUP($B78,CDM!$V$41:$AJ$54,4,FALSE)/2*$C78/78,0)</f>
        <v>1505785.9687729296</v>
      </c>
      <c r="R78" s="7">
        <f t="shared" ca="1" si="169"/>
        <v>21666530.918725226</v>
      </c>
      <c r="S78" s="7">
        <f>IFERROR(HLOOKUP(B78-1,'EV Forecast VRZ'!$F$124:$T$130,4,FALSE)/12,0)+IFERROR(((HLOOKUP(B78,'EV Forecast VRZ'!$F$116:$T$122,4,FALSE)-HLOOKUP(B78-1,'EV Forecast VRZ'!$F$124:$T$130,4,FALSE)))*C78/78,0)</f>
        <v>60181.40205128205</v>
      </c>
      <c r="T78" s="7">
        <f ca="1">HLOOKUP(B78,Heating!$C$102:$O$106,4,FALSE)*INDEX(Weather!$BO$1:$CB$20,MATCH(B78,Weather!$BO$1:$BO$20,0),MATCH(C78,Weather!$BO$1:$CB$1,0))/VLOOKUP(B78,Weather!$BO$2:$CB$20,14,FALSE)*
VLOOKUP('Monthly Data'!$B78,Weather!$BO$3:$CB$20,14,FALSE)/Weather!$CB$14</f>
        <v>58218.295729086312</v>
      </c>
      <c r="U78" s="7">
        <f t="shared" ca="1" si="170"/>
        <v>21548131.220944859</v>
      </c>
      <c r="V78" s="7">
        <v>72487932.996589392</v>
      </c>
      <c r="W78" s="7">
        <f ca="1">IFERROR(VLOOKUP($B78-1,CDM!$V$4:$AJ$17,5,FALSE)/12,0)+IFERROR(VLOOKUP($B78,CDM!$V$41:$AJ$54,5,FALSE)/24,0)+IFERROR(VLOOKUP($B78,CDM!$V$41:$AJ$54,5,FALSE)/2*$C78/78,0)</f>
        <v>5996494.0052570384</v>
      </c>
      <c r="X78" s="7">
        <f t="shared" ca="1" si="171"/>
        <v>78484427.001846433</v>
      </c>
      <c r="Y78" s="7">
        <f>IFERROR(HLOOKUP(B78-1,'EV Forecast VRZ'!$F$124:$T$130,5,FALSE)/12,0)+IFERROR(((HLOOKUP(B78,'EV Forecast VRZ'!$F$116:$T$122,5,FALSE)-HLOOKUP(B78-1,'EV Forecast VRZ'!$F$124:$T$130,5,FALSE)))*C78/78,0)</f>
        <v>27381.951435897434</v>
      </c>
      <c r="Z78" s="7">
        <f ca="1">HLOOKUP(B78,Heating!$C$102:$O$106,5,FALSE)*INDEX(Weather!$BO$1:$CB$20,MATCH(B78,Weather!$BO$1:$BO$20,0),MATCH(C78,Weather!$BO$1:$CB$1,0))/VLOOKUP(B78,Weather!$BO$2:$CB$20,14,FALSE)*
VLOOKUP('Monthly Data'!$B78,Weather!$BO$3:$CB$20,14,FALSE)/Weather!$CB$14</f>
        <v>31037.938210651846</v>
      </c>
      <c r="AA78" s="7">
        <f t="shared" ca="1" si="172"/>
        <v>78426007.112199888</v>
      </c>
      <c r="AB78" s="7">
        <v>9148862.7694859002</v>
      </c>
      <c r="AC78" s="7">
        <f ca="1">IFERROR(VLOOKUP($B78-1,CDM!$V$4:$AJ$17,6,FALSE)/12,0)+IFERROR(VLOOKUP($B78,CDM!$V$41:$AJ$54,6,FALSE)/24,0)+IFERROR(VLOOKUP($B78,CDM!$V$41:$AJ$54,6,FALSE)/2*$C78/78,0)</f>
        <v>268873.29464129731</v>
      </c>
      <c r="AD78" s="7">
        <f t="shared" ca="1" si="173"/>
        <v>9417736.0641271975</v>
      </c>
      <c r="AE78" s="7">
        <f>IFERROR(HLOOKUP(B78-1,'EV Forecast VRZ'!$F$124:$T$130,6,FALSE)/12,0)+IFERROR(((HLOOKUP(B78,'EV Forecast VRZ'!$F$116:$T$122,6,FALSE)-HLOOKUP(B78-1,'EV Forecast VRZ'!$F$124:$T$130,6,FALSE)))*C78/78,0)</f>
        <v>3604.5829230769232</v>
      </c>
      <c r="AF78" s="7">
        <f t="shared" ca="1" si="174"/>
        <v>9414131.4812041204</v>
      </c>
      <c r="AG78" s="7">
        <v>25452497.305143315</v>
      </c>
      <c r="AH78" s="7">
        <f ca="1">IFERROR(VLOOKUP($B78-1,CDM!$V$4:$AJ$17,7,FALSE)/12,0)+IFERROR(VLOOKUP($B78,CDM!$V$41:$AJ$54,7,FALSE)/24,0)+IFERROR(VLOOKUP($B78,CDM!$V$41:$AJ$54,7,FALSE)/2*$C78/78,0)</f>
        <v>1737570.325253726</v>
      </c>
      <c r="AI78" s="7">
        <f t="shared" ca="1" si="175"/>
        <v>27190067.63039704</v>
      </c>
      <c r="AJ78" s="7">
        <f>IFERROR(HLOOKUP(B78-1,'EV Forecast VRZ'!$F$124:$T$130,7,FALSE)/12,0)+IFERROR(((HLOOKUP(B78,'EV Forecast VRZ'!$F$116:$T$122,7,FALSE)-HLOOKUP(B78-1,'EV Forecast VRZ'!$F$124:$T$130,7,FALSE)))*C78/78,0)</f>
        <v>67.307692307692307</v>
      </c>
      <c r="AK78" s="7">
        <f t="shared" ca="1" si="176"/>
        <v>27190000.322704732</v>
      </c>
      <c r="AL78" s="7">
        <v>735513.91909940843</v>
      </c>
      <c r="AM78" s="7">
        <v>17632.684602175159</v>
      </c>
      <c r="AN78" s="7">
        <v>379588.03663423011</v>
      </c>
      <c r="AO78" s="5">
        <v>192104.67</v>
      </c>
      <c r="AP78" s="5">
        <v>18804.38</v>
      </c>
      <c r="AQ78" s="5">
        <v>41333</v>
      </c>
      <c r="AR78" s="5">
        <v>2565.08</v>
      </c>
      <c r="AS78" s="544">
        <f t="shared" si="234"/>
        <v>50.083333333333336</v>
      </c>
      <c r="AT78" s="557">
        <v>113987.33333333336</v>
      </c>
      <c r="AU78" s="557">
        <v>1558.6666666666663</v>
      </c>
      <c r="AV78" s="557">
        <v>9396.0833333333303</v>
      </c>
      <c r="AW78" s="557">
        <v>1042.5</v>
      </c>
      <c r="AX78" s="557">
        <v>5.5833333333333348</v>
      </c>
      <c r="AY78" s="557">
        <v>4</v>
      </c>
      <c r="AZ78" s="557">
        <v>31781.416666666661</v>
      </c>
      <c r="BA78" s="557">
        <v>246.16666666666671</v>
      </c>
      <c r="BB78" s="557">
        <v>801.33333333333314</v>
      </c>
      <c r="BC78" s="560">
        <v>27723828.284436386</v>
      </c>
      <c r="BD78" s="560">
        <f ca="1">IFERROR(VLOOKUP($B78-1,CDM!$V$4:$AJ$17,11,FALSE)/12,0)+IFERROR(VLOOKUP($B78,CDM!$V$41:$AJ$54,11,FALSE)/24,0)+IFERROR(VLOOKUP($B78,CDM!$V$41:$AJ$54,11,FALSE)/2*$C78/78,0)</f>
        <v>1701054.1553638228</v>
      </c>
      <c r="BE78" s="560">
        <f t="shared" ca="1" si="188"/>
        <v>29424882.43980021</v>
      </c>
      <c r="BF78" s="560">
        <f>IFERROR(HLOOKUP(B78-1,'EV Forecast WRZ'!$F$124:$T$130,2,FALSE)/12,0)+IFERROR(((HLOOKUP(B78,'EV Forecast WRZ'!$F$116:$T$122,2,FALSE)-HLOOKUP(B78-1,'EV Forecast WRZ'!$F$124:$T$130,2,FALSE)))*C78/78,0)</f>
        <v>155795.98769230768</v>
      </c>
      <c r="BG78" s="560">
        <f ca="1">HLOOKUP(B78,Heating!$R$102:$AD$106,2,FALSE)*INDEX(Weather!$BO$1:$CB$20,MATCH(B78,Weather!$BO$1:$BO$20,0),MATCH(C78,Weather!$BO$1:$CB$1,0))/VLOOKUP(B78,Weather!$BO$2:$CB$20,14,FALSE)*
VLOOKUP('Monthly Data'!$B78,Weather!$BO$3:$CB$20,14,FALSE)/Weather!$CB$14</f>
        <v>105136.00290254517</v>
      </c>
      <c r="BH78" s="560">
        <f t="shared" ca="1" si="177"/>
        <v>29163950.449205358</v>
      </c>
      <c r="BI78" s="560">
        <v>6272167.5012244107</v>
      </c>
      <c r="BJ78" s="560">
        <f ca="1">IFERROR(VLOOKUP($B78-1,CDM!$V$4:$AJ$17,12,FALSE)/12,0)+IFERROR(VLOOKUP($B78,CDM!$V$41:$AJ$54,12,FALSE)/24,0)+IFERROR(VLOOKUP($B78,CDM!$V$41:$AJ$54,12,FALSE)/2*$C78/78,0)</f>
        <v>258000.60839705748</v>
      </c>
      <c r="BK78" s="560">
        <f t="shared" ca="1" si="178"/>
        <v>6530168.109621468</v>
      </c>
      <c r="BL78" s="560">
        <f>IFERROR(HLOOKUP(B78-1,'EV Forecast WRZ'!$F$124:$T$130,3,FALSE)/12,0)+IFERROR(((HLOOKUP(B78,'EV Forecast WRZ'!$F$116:$T$122,3,FALSE)-HLOOKUP(B78-1,'EV Forecast WRZ'!$F$124:$T$130,3,FALSE)))*C78/78,0)</f>
        <v>19170.003076923076</v>
      </c>
      <c r="BM78" s="560">
        <f ca="1">HLOOKUP(B78,Heating!$R$102:$AD$106,4,FALSE)*INDEX(Weather!$BO$1:$CB$20,MATCH(B78,Weather!$BO$1:$BO$20,0),MATCH(C78,Weather!$BO$1:$CB$1,0))/VLOOKUP(B78,Weather!$BO$2:$CB$20,14,FALSE)*
VLOOKUP('Monthly Data'!$B78,Weather!$BO$3:$CB$20,14,FALSE)/Weather!$CB$14</f>
        <v>16135.581060237182</v>
      </c>
      <c r="BN78" s="560">
        <f t="shared" ca="1" si="179"/>
        <v>6494862.5254843077</v>
      </c>
      <c r="BO78" s="560">
        <v>24537272.891023714</v>
      </c>
      <c r="BP78" s="560">
        <f ca="1">IFERROR(VLOOKUP($B78-1,CDM!$V$4:$AJ$17,13,FALSE)/12,0)+IFERROR(VLOOKUP($B78,CDM!$V$41:$AJ$54,13,FALSE)/24,0)+IFERROR(VLOOKUP($B78,CDM!$V$41:$AJ$54,13,FALSE)/2*$C78/78,0)</f>
        <v>2498632.174905641</v>
      </c>
      <c r="BQ78" s="560">
        <f t="shared" ca="1" si="180"/>
        <v>27035905.065929353</v>
      </c>
      <c r="BR78" s="560">
        <f>IFERROR(HLOOKUP(B78-1,'EV Forecast WRZ'!$F$124:$T$130,4,FALSE)/12,0)+IFERROR(((HLOOKUP(B78,'EV Forecast WRZ'!$F$116:$T$122,4,FALSE)-HLOOKUP(B78-1,'EV Forecast WRZ'!$F$124:$T$130,4,FALSE)))*C78/78,0)</f>
        <v>8647.8154871794868</v>
      </c>
      <c r="BS78" s="560">
        <f ca="1">HLOOKUP(B78,Heating!$R$102:$AD$106,5,FALSE)*INDEX(Weather!$BO$1:$CB$20,MATCH(B78,Weather!$BO$1:$BO$20,0),MATCH(C78,Weather!$BO$1:$CB$1,0))/VLOOKUP(B78,Weather!$BO$2:$CB$20,14,FALSE)*
VLOOKUP('Monthly Data'!$B78,Weather!$BO$3:$CB$20,14,FALSE)/Weather!$CB$14</f>
        <v>9163.2657110696255</v>
      </c>
      <c r="BT78" s="560">
        <f t="shared" ca="1" si="181"/>
        <v>27018093.984731104</v>
      </c>
      <c r="BU78" s="560">
        <v>6939874.1658630669</v>
      </c>
      <c r="BV78" s="560">
        <f ca="1">IFERROR(VLOOKUP($B78-1,CDM!$V$4:$AJ$17,14,FALSE)/12,0)+IFERROR(VLOOKUP($B78,CDM!$V$41:$AJ$54,14,FALSE)/24,0)+IFERROR(VLOOKUP($B78,CDM!$V$41:$AJ$54,14,FALSE)/2*$C78/78,0)</f>
        <v>561912.20253918436</v>
      </c>
      <c r="BW78" s="560">
        <f t="shared" ca="1" si="182"/>
        <v>7501786.368402251</v>
      </c>
      <c r="BX78" s="560">
        <f>IFERROR(HLOOKUP(B78-1,'EV Forecast WRZ'!$F$124:$T$130,5,FALSE)/12,0)+IFERROR(((HLOOKUP(B78,'EV Forecast WRZ'!$F$116:$T$122,5,FALSE)-HLOOKUP(B78-1,'EV Forecast WRZ'!$F$124:$T$130,5,FALSE)))*C78/78,0)</f>
        <v>1195.1988717948718</v>
      </c>
      <c r="BY78" s="560">
        <f t="shared" ca="1" si="189"/>
        <v>7500591.169530456</v>
      </c>
      <c r="BZ78" s="560">
        <v>228505.99770422804</v>
      </c>
      <c r="CA78" s="560">
        <v>2338.9656290448365</v>
      </c>
      <c r="CB78" s="560">
        <v>156143.99273005547</v>
      </c>
      <c r="CC78" s="5">
        <v>68706.77</v>
      </c>
      <c r="CD78" s="5">
        <v>12916.17</v>
      </c>
      <c r="CE78" s="5">
        <v>797</v>
      </c>
      <c r="CF78" s="544">
        <f t="shared" si="235"/>
        <v>7.916666666666667</v>
      </c>
      <c r="CG78" s="565">
        <v>43881.416666666679</v>
      </c>
      <c r="CH78" s="565">
        <v>2375.8333333333326</v>
      </c>
      <c r="CI78" s="565">
        <v>388.33333333333343</v>
      </c>
      <c r="CJ78" s="565">
        <v>3</v>
      </c>
      <c r="CK78" s="565">
        <v>13313.16666666667</v>
      </c>
      <c r="CL78" s="565">
        <v>46.583333333333321</v>
      </c>
      <c r="CM78" s="565">
        <v>392.83333333333343</v>
      </c>
      <c r="CN78" s="46">
        <f>Weather!C102</f>
        <v>158.97916666666669</v>
      </c>
      <c r="CO78" s="46">
        <f>Weather!D102</f>
        <v>6.0166666666666657</v>
      </c>
      <c r="CP78" s="46">
        <f>Weather!E102</f>
        <v>109.50833333333333</v>
      </c>
      <c r="CQ78" s="46">
        <f>Weather!F102</f>
        <v>18.545833333333334</v>
      </c>
      <c r="CR78" s="46">
        <f>Weather!G102</f>
        <v>70.650000000000006</v>
      </c>
      <c r="CS78" s="46">
        <f>Weather!H102</f>
        <v>41.6875</v>
      </c>
      <c r="CT78" s="46">
        <f>Weather!I102</f>
        <v>39.324999999999996</v>
      </c>
      <c r="CU78" s="46">
        <f>Weather!J102</f>
        <v>72.362499999999997</v>
      </c>
      <c r="CV78" s="46">
        <f>Weather!K102</f>
        <v>14.399999999999993</v>
      </c>
      <c r="CW78" s="46">
        <f>Weather!L102</f>
        <v>109.43749999999997</v>
      </c>
      <c r="CX78" s="46">
        <f>Weather!M102</f>
        <v>0.93333333333333179</v>
      </c>
      <c r="CY78" s="46">
        <f>Weather!N102</f>
        <v>157.97083333333333</v>
      </c>
      <c r="CZ78" s="46">
        <f>Weather!O102</f>
        <v>0</v>
      </c>
      <c r="DA78" s="46">
        <f>Weather!P102</f>
        <v>219.03749999999999</v>
      </c>
      <c r="DB78" s="243">
        <f>'Economic Data'!D104</f>
        <v>7776.1</v>
      </c>
      <c r="DC78" s="243">
        <f>'Economic Data'!E104</f>
        <v>7765</v>
      </c>
      <c r="DD78" s="243">
        <f>'Economic Data'!F104</f>
        <v>235</v>
      </c>
      <c r="DE78" s="243">
        <f>'Economic Data'!G104</f>
        <v>237.4</v>
      </c>
      <c r="DF78" s="243">
        <f>'Economic Data'!H104</f>
        <v>60.5</v>
      </c>
      <c r="DG78" s="243">
        <f>'Economic Data'!I104</f>
        <v>60.5</v>
      </c>
      <c r="DH78" s="243">
        <f>'Economic Data'!J104</f>
        <v>850461.9</v>
      </c>
      <c r="DI78" s="243">
        <f>'Economic Data'!K104</f>
        <v>662856.4</v>
      </c>
      <c r="DJ78" s="243">
        <f>'Economic Data'!L104</f>
        <v>96870.8</v>
      </c>
      <c r="DK78" s="243">
        <f>'Economic Data'!M104</f>
        <v>30149.3</v>
      </c>
      <c r="DL78" s="243">
        <f>'Economic Data'!N104</f>
        <v>854755</v>
      </c>
      <c r="DM78" s="243">
        <f>'Economic Data'!O104</f>
        <v>94257</v>
      </c>
      <c r="DN78" s="243">
        <f>'Economic Data'!P104</f>
        <v>17438</v>
      </c>
      <c r="DO78" s="243">
        <f>'Economic Data'!Q104</f>
        <v>671300</v>
      </c>
      <c r="DP78" s="243">
        <f>'Economic Data'!R104</f>
        <v>30799</v>
      </c>
      <c r="DQ78">
        <v>31</v>
      </c>
      <c r="DR78">
        <v>21</v>
      </c>
      <c r="DS78">
        <v>0</v>
      </c>
      <c r="DT78">
        <v>0</v>
      </c>
      <c r="DU78">
        <v>0</v>
      </c>
      <c r="DV78">
        <v>0</v>
      </c>
      <c r="DW78">
        <v>1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1</v>
      </c>
      <c r="EF78">
        <v>0</v>
      </c>
      <c r="EG78">
        <v>1</v>
      </c>
      <c r="EH78">
        <f t="shared" si="185"/>
        <v>77</v>
      </c>
      <c r="EI78">
        <v>0.5</v>
      </c>
      <c r="EJ78">
        <v>0.25</v>
      </c>
      <c r="EK78">
        <v>0.5</v>
      </c>
      <c r="EL78">
        <v>0</v>
      </c>
      <c r="EM78" s="47">
        <f t="shared" si="190"/>
        <v>39.744791666666671</v>
      </c>
      <c r="EN78" s="47">
        <f t="shared" si="191"/>
        <v>1.5041666666666664</v>
      </c>
      <c r="EO78" s="47">
        <f t="shared" si="192"/>
        <v>27.377083333333331</v>
      </c>
      <c r="EP78" s="47">
        <f t="shared" si="193"/>
        <v>4.6364583333333336</v>
      </c>
      <c r="EQ78" s="47">
        <f t="shared" si="194"/>
        <v>17.662500000000001</v>
      </c>
      <c r="ER78" s="47">
        <f t="shared" si="195"/>
        <v>10.421875</v>
      </c>
      <c r="ES78" s="47">
        <f t="shared" si="196"/>
        <v>9.8312499999999989</v>
      </c>
      <c r="ET78" s="47">
        <f t="shared" si="197"/>
        <v>18.090624999999999</v>
      </c>
      <c r="EU78" s="47">
        <f t="shared" si="198"/>
        <v>3.5999999999999983</v>
      </c>
      <c r="EV78" s="47">
        <f t="shared" si="199"/>
        <v>27.359374999999993</v>
      </c>
      <c r="EW78" s="47">
        <f t="shared" si="200"/>
        <v>0.23333333333333295</v>
      </c>
      <c r="EX78" s="47">
        <f t="shared" si="201"/>
        <v>39.492708333333333</v>
      </c>
      <c r="EY78" s="47">
        <f t="shared" si="202"/>
        <v>0</v>
      </c>
      <c r="EZ78" s="47">
        <f t="shared" si="203"/>
        <v>54.759374999999999</v>
      </c>
      <c r="FA78" s="47">
        <f t="shared" si="204"/>
        <v>79.489583333333343</v>
      </c>
      <c r="FB78" s="47">
        <f t="shared" si="205"/>
        <v>3.0083333333333329</v>
      </c>
      <c r="FC78" s="47">
        <f t="shared" si="206"/>
        <v>54.754166666666663</v>
      </c>
      <c r="FD78" s="47">
        <f t="shared" si="207"/>
        <v>9.2729166666666671</v>
      </c>
      <c r="FE78" s="47">
        <f t="shared" si="208"/>
        <v>35.325000000000003</v>
      </c>
      <c r="FF78" s="47">
        <f t="shared" si="209"/>
        <v>20.84375</v>
      </c>
      <c r="FG78" s="47">
        <f t="shared" si="210"/>
        <v>19.662499999999998</v>
      </c>
      <c r="FH78" s="47">
        <f t="shared" si="211"/>
        <v>36.181249999999999</v>
      </c>
      <c r="FI78" s="47">
        <f t="shared" si="212"/>
        <v>7.1999999999999966</v>
      </c>
      <c r="FJ78" s="47">
        <f t="shared" si="213"/>
        <v>54.718749999999986</v>
      </c>
      <c r="FK78" s="47">
        <f t="shared" si="214"/>
        <v>0.4666666666666659</v>
      </c>
      <c r="FL78" s="47">
        <f t="shared" si="215"/>
        <v>78.985416666666666</v>
      </c>
      <c r="FM78" s="47">
        <f t="shared" si="216"/>
        <v>0</v>
      </c>
      <c r="FN78" s="47">
        <f t="shared" si="217"/>
        <v>109.51875</v>
      </c>
      <c r="FO78" s="546">
        <f t="shared" ca="1" si="218"/>
        <v>623.09450915412083</v>
      </c>
      <c r="FP78" s="546">
        <f t="shared" ca="1" si="219"/>
        <v>509.45445883758026</v>
      </c>
      <c r="FQ78" s="546">
        <f t="shared" ca="1" si="220"/>
        <v>2305.9108939425364</v>
      </c>
      <c r="FR78" s="546">
        <f t="shared" ca="1" si="221"/>
        <v>75284.822064121283</v>
      </c>
      <c r="FS78" s="546">
        <f t="shared" ca="1" si="222"/>
        <v>1686758.6980526319</v>
      </c>
      <c r="FT78" s="546">
        <f t="shared" ca="1" si="223"/>
        <v>6797516.9075992601</v>
      </c>
      <c r="FU78" s="546">
        <f t="shared" si="224"/>
        <v>23.142892804738889</v>
      </c>
      <c r="FV78" s="546">
        <f t="shared" si="225"/>
        <v>71.629050516622158</v>
      </c>
      <c r="FW78" s="546">
        <f t="shared" si="226"/>
        <v>473.69555320411422</v>
      </c>
      <c r="FX78" s="546">
        <f t="shared" ca="1" si="227"/>
        <v>670.55452341747252</v>
      </c>
      <c r="FY78" s="546">
        <f t="shared" ca="1" si="228"/>
        <v>2748.5800531553014</v>
      </c>
      <c r="FZ78" s="546">
        <f t="shared" ca="1" si="229"/>
        <v>69620.3563929511</v>
      </c>
      <c r="GA78" s="546">
        <f t="shared" si="230"/>
        <v>76168.665901409346</v>
      </c>
      <c r="GB78" s="546">
        <f t="shared" si="231"/>
        <v>17.163910242058211</v>
      </c>
      <c r="GC78" s="546">
        <f t="shared" si="232"/>
        <v>50.210353396311355</v>
      </c>
      <c r="GD78" s="546">
        <f t="shared" si="233"/>
        <v>397.48152582958534</v>
      </c>
    </row>
    <row r="79" spans="1:186">
      <c r="A79" s="4">
        <v>44713</v>
      </c>
      <c r="B79" s="6">
        <v>2022</v>
      </c>
      <c r="C79" s="5">
        <v>6</v>
      </c>
      <c r="D79" s="7">
        <v>77016585.429985791</v>
      </c>
      <c r="E79" s="7">
        <f ca="1">IFERROR(VLOOKUP($B79-1,CDM!$V$4:$AJ$17,2,FALSE)/12,0)+IFERROR(VLOOKUP($B79,CDM!$V$41:$AJ$54,2,FALSE)/24,0)+IFERROR(VLOOKUP($B79,CDM!$V$41:$AJ$54,2,FALSE)/2*$C79/78,0)</f>
        <v>3847735.0963526289</v>
      </c>
      <c r="F79" s="7">
        <f t="shared" ca="1" si="165"/>
        <v>80864320.526338413</v>
      </c>
      <c r="G79" s="7">
        <f>IFERROR(HLOOKUP(B79-1,'EV Forecast VRZ'!$F$124:$T$130,2,FALSE)/12,0)+IFERROR(((HLOOKUP(B79,'EV Forecast VRZ'!$F$116:$T$122,2,FALSE)-HLOOKUP(B79-1,'EV Forecast VRZ'!$F$124:$T$130,2,FALSE)))*C79/78,0)</f>
        <v>508653.48939899029</v>
      </c>
      <c r="H79" s="7">
        <f ca="1">HLOOKUP(B79,Heating!$C$102:$O$106,2,FALSE)*INDEX(Weather!$BO$1:$CB$20,MATCH(B79,Weather!$BO$1:$BO$20,0),MATCH(C79,Weather!$BO$1:$CB$1,0))/VLOOKUP(B79,Weather!$BO$2:$CB$20,14,FALSE)*
VLOOKUP('Monthly Data'!$B79,Weather!$BO$3:$CB$20,14,FALSE)/Weather!$CB$14</f>
        <v>78428.450728077019</v>
      </c>
      <c r="I79" s="7">
        <f t="shared" ca="1" si="166"/>
        <v>80277238.586211354</v>
      </c>
      <c r="J79" s="7">
        <v>737246.0321312726</v>
      </c>
      <c r="K79" s="7">
        <f ca="1">IFERROR(VLOOKUP($B79-1,CDM!$V$4:$AJ$17,3,FALSE)/12,0)+IFERROR(VLOOKUP($B79,CDM!$V$41:$AJ$54,3,FALSE)/24,0)+IFERROR(VLOOKUP($B79,CDM!$V$41:$AJ$54,3,FALSE)/2*$C79/78,0)</f>
        <v>44071.202015284995</v>
      </c>
      <c r="L79" s="7">
        <f t="shared" ca="1" si="167"/>
        <v>781317.23414655763</v>
      </c>
      <c r="M79" s="7">
        <f>IFERROR(HLOOKUP(B79-1,'EV Forecast VRZ'!$F$124:$T$130,3,FALSE)/12,0)+IFERROR(((HLOOKUP(B79,'EV Forecast VRZ'!$F$116:$T$122,3,FALSE)-HLOOKUP(B79-1,'EV Forecast VRZ'!$F$124:$T$130,3,FALSE)))*C79/78,0)</f>
        <v>6901.9912420353885</v>
      </c>
      <c r="N79" s="7">
        <f ca="1">HLOOKUP(B79,Heating!$C$102:$O$106,3,FALSE)*INDEX(Weather!$BO$1:$CB$20,MATCH(B79,Weather!$BO$1:$BO$20,0),MATCH(C79,Weather!$BO$1:$CB$1,0))/VLOOKUP(B79,Weather!$BO$2:$CB$20,14,FALSE)*
VLOOKUP('Monthly Data'!$B79,Weather!$BO$3:$CB$20,14,FALSE)/Weather!$CB$14</f>
        <v>965.43240431814547</v>
      </c>
      <c r="O79" s="7">
        <f t="shared" ca="1" si="168"/>
        <v>773449.8105002041</v>
      </c>
      <c r="P79" s="7">
        <v>21113128.571331806</v>
      </c>
      <c r="Q79" s="7">
        <f ca="1">IFERROR(VLOOKUP($B79-1,CDM!$V$4:$AJ$17,4,FALSE)/12,0)+IFERROR(VLOOKUP($B79,CDM!$V$41:$AJ$54,4,FALSE)/24,0)+IFERROR(VLOOKUP($B79,CDM!$V$41:$AJ$54,4,FALSE)/2*$C79/78,0)</f>
        <v>1514308.528862037</v>
      </c>
      <c r="R79" s="7">
        <f t="shared" ca="1" si="169"/>
        <v>22627437.100193843</v>
      </c>
      <c r="S79" s="7">
        <f>IFERROR(HLOOKUP(B79-1,'EV Forecast VRZ'!$F$124:$T$130,4,FALSE)/12,0)+IFERROR(((HLOOKUP(B79,'EV Forecast VRZ'!$F$116:$T$122,4,FALSE)-HLOOKUP(B79-1,'EV Forecast VRZ'!$F$124:$T$130,4,FALSE)))*C79/78,0)</f>
        <v>62820.101794871793</v>
      </c>
      <c r="T79" s="7">
        <f ca="1">HLOOKUP(B79,Heating!$C$102:$O$106,4,FALSE)*INDEX(Weather!$BO$1:$CB$20,MATCH(B79,Weather!$BO$1:$BO$20,0),MATCH(C79,Weather!$BO$1:$CB$1,0))/VLOOKUP(B79,Weather!$BO$2:$CB$20,14,FALSE)*
VLOOKUP('Monthly Data'!$B79,Weather!$BO$3:$CB$20,14,FALSE)/Weather!$CB$14</f>
        <v>19227.327895114453</v>
      </c>
      <c r="U79" s="7">
        <f t="shared" ca="1" si="170"/>
        <v>22545389.670503855</v>
      </c>
      <c r="V79" s="7">
        <v>74138582.471086547</v>
      </c>
      <c r="W79" s="7">
        <f ca="1">IFERROR(VLOOKUP($B79-1,CDM!$V$4:$AJ$17,5,FALSE)/12,0)+IFERROR(VLOOKUP($B79,CDM!$V$41:$AJ$54,5,FALSE)/24,0)+IFERROR(VLOOKUP($B79,CDM!$V$41:$AJ$54,5,FALSE)/2*$C79/78,0)</f>
        <v>6055519.0980994962</v>
      </c>
      <c r="X79" s="7">
        <f t="shared" ca="1" si="171"/>
        <v>80194101.569186047</v>
      </c>
      <c r="Y79" s="7">
        <f>IFERROR(HLOOKUP(B79-1,'EV Forecast VRZ'!$F$124:$T$130,5,FALSE)/12,0)+IFERROR(((HLOOKUP(B79,'EV Forecast VRZ'!$F$116:$T$122,5,FALSE)-HLOOKUP(B79-1,'EV Forecast VRZ'!$F$124:$T$130,5,FALSE)))*C79/78,0)</f>
        <v>28604.430423076919</v>
      </c>
      <c r="Z79" s="7">
        <f ca="1">HLOOKUP(B79,Heating!$C$102:$O$106,5,FALSE)*INDEX(Weather!$BO$1:$CB$20,MATCH(B79,Weather!$BO$1:$BO$20,0),MATCH(C79,Weather!$BO$1:$CB$1,0))/VLOOKUP(B79,Weather!$BO$2:$CB$20,14,FALSE)*
VLOOKUP('Monthly Data'!$B79,Weather!$BO$3:$CB$20,14,FALSE)/Weather!$CB$14</f>
        <v>10250.67133434397</v>
      </c>
      <c r="AA79" s="7">
        <f t="shared" ca="1" si="172"/>
        <v>80155246.467428625</v>
      </c>
      <c r="AB79" s="7">
        <v>9270074.9546839409</v>
      </c>
      <c r="AC79" s="7">
        <f ca="1">IFERROR(VLOOKUP($B79-1,CDM!$V$4:$AJ$17,6,FALSE)/12,0)+IFERROR(VLOOKUP($B79,CDM!$V$41:$AJ$54,6,FALSE)/24,0)+IFERROR(VLOOKUP($B79,CDM!$V$41:$AJ$54,6,FALSE)/2*$C79/78,0)</f>
        <v>271172.79138028214</v>
      </c>
      <c r="AD79" s="7">
        <f t="shared" ca="1" si="173"/>
        <v>9541247.7460642233</v>
      </c>
      <c r="AE79" s="7">
        <f>IFERROR(HLOOKUP(B79-1,'EV Forecast VRZ'!$F$124:$T$130,6,FALSE)/12,0)+IFERROR(((HLOOKUP(B79,'EV Forecast VRZ'!$F$116:$T$122,6,FALSE)-HLOOKUP(B79-1,'EV Forecast VRZ'!$F$124:$T$130,6,FALSE)))*C79/78,0)</f>
        <v>3755.6204743589747</v>
      </c>
      <c r="AF79" s="7">
        <f t="shared" ca="1" si="174"/>
        <v>9537492.1255898643</v>
      </c>
      <c r="AG79" s="7">
        <v>25106971.063184302</v>
      </c>
      <c r="AH79" s="7">
        <f ca="1">IFERROR(VLOOKUP($B79-1,CDM!$V$4:$AJ$17,7,FALSE)/12,0)+IFERROR(VLOOKUP($B79,CDM!$V$41:$AJ$54,7,FALSE)/24,0)+IFERROR(VLOOKUP($B79,CDM!$V$41:$AJ$54,7,FALSE)/2*$C79/78,0)</f>
        <v>1738998.4958180306</v>
      </c>
      <c r="AI79" s="7">
        <f t="shared" ca="1" si="175"/>
        <v>26845969.559002332</v>
      </c>
      <c r="AJ79" s="7">
        <f>IFERROR(HLOOKUP(B79-1,'EV Forecast VRZ'!$F$124:$T$130,7,FALSE)/12,0)+IFERROR(((HLOOKUP(B79,'EV Forecast VRZ'!$F$116:$T$122,7,FALSE)-HLOOKUP(B79-1,'EV Forecast VRZ'!$F$124:$T$130,7,FALSE)))*C79/78,0)</f>
        <v>80.769230769230774</v>
      </c>
      <c r="AK79" s="7">
        <f t="shared" ca="1" si="176"/>
        <v>26845888.789771564</v>
      </c>
      <c r="AL79" s="7">
        <v>662161.44819690892</v>
      </c>
      <c r="AM79" s="7">
        <v>17766.628506010307</v>
      </c>
      <c r="AN79" s="7">
        <v>379533.02804808243</v>
      </c>
      <c r="AO79" s="5">
        <v>197483.89</v>
      </c>
      <c r="AP79" s="5">
        <v>19397.2</v>
      </c>
      <c r="AQ79" s="5">
        <v>42832</v>
      </c>
      <c r="AR79" s="5">
        <v>2571.59</v>
      </c>
      <c r="AS79" s="544">
        <f t="shared" si="234"/>
        <v>50.083333333333336</v>
      </c>
      <c r="AT79" s="557">
        <v>114103.00000000003</v>
      </c>
      <c r="AU79" s="557">
        <v>1558.9999999999995</v>
      </c>
      <c r="AV79" s="557">
        <v>9407.4999999999964</v>
      </c>
      <c r="AW79" s="557">
        <v>1039</v>
      </c>
      <c r="AX79" s="557">
        <v>5.5000000000000018</v>
      </c>
      <c r="AY79" s="557">
        <v>4</v>
      </c>
      <c r="AZ79" s="557">
        <v>31790.499999999993</v>
      </c>
      <c r="BA79" s="557">
        <v>246.00000000000006</v>
      </c>
      <c r="BB79" s="557">
        <v>800.99999999999977</v>
      </c>
      <c r="BC79" s="560">
        <v>32828932.694461253</v>
      </c>
      <c r="BD79" s="560">
        <f ca="1">IFERROR(VLOOKUP($B79-1,CDM!$V$4:$AJ$17,11,FALSE)/12,0)+IFERROR(VLOOKUP($B79,CDM!$V$41:$AJ$54,11,FALSE)/24,0)+IFERROR(VLOOKUP($B79,CDM!$V$41:$AJ$54,11,FALSE)/2*$C79/78,0)</f>
        <v>1701345.1772099105</v>
      </c>
      <c r="BE79" s="560">
        <f t="shared" ca="1" si="188"/>
        <v>34530277.871671163</v>
      </c>
      <c r="BF79" s="560">
        <f>IFERROR(HLOOKUP(B79-1,'EV Forecast WRZ'!$F$124:$T$130,2,FALSE)/12,0)+IFERROR(((HLOOKUP(B79,'EV Forecast WRZ'!$F$116:$T$122,2,FALSE)-HLOOKUP(B79-1,'EV Forecast WRZ'!$F$124:$T$130,2,FALSE)))*C79/78,0)</f>
        <v>162101.47756410256</v>
      </c>
      <c r="BG79" s="560">
        <f ca="1">HLOOKUP(B79,Heating!$R$102:$AD$106,2,FALSE)*INDEX(Weather!$BO$1:$CB$20,MATCH(B79,Weather!$BO$1:$BO$20,0),MATCH(C79,Weather!$BO$1:$CB$1,0))/VLOOKUP(B79,Weather!$BO$2:$CB$20,14,FALSE)*
VLOOKUP('Monthly Data'!$B79,Weather!$BO$3:$CB$20,14,FALSE)/Weather!$CB$14</f>
        <v>34722.493609152341</v>
      </c>
      <c r="BH79" s="560">
        <f t="shared" ca="1" si="177"/>
        <v>34333453.900497906</v>
      </c>
      <c r="BI79" s="560">
        <v>6761305.4280658215</v>
      </c>
      <c r="BJ79" s="560">
        <f ca="1">IFERROR(VLOOKUP($B79-1,CDM!$V$4:$AJ$17,12,FALSE)/12,0)+IFERROR(VLOOKUP($B79,CDM!$V$41:$AJ$54,12,FALSE)/24,0)+IFERROR(VLOOKUP($B79,CDM!$V$41:$AJ$54,12,FALSE)/2*$C79/78,0)</f>
        <v>260323.06481076166</v>
      </c>
      <c r="BK79" s="560">
        <f t="shared" ca="1" si="178"/>
        <v>7021628.4928765828</v>
      </c>
      <c r="BL79" s="560">
        <f>IFERROR(HLOOKUP(B79-1,'EV Forecast WRZ'!$F$124:$T$130,3,FALSE)/12,0)+IFERROR(((HLOOKUP(B79,'EV Forecast WRZ'!$F$116:$T$122,3,FALSE)-HLOOKUP(B79-1,'EV Forecast WRZ'!$F$124:$T$130,3,FALSE)))*C79/78,0)</f>
        <v>19987.391025641027</v>
      </c>
      <c r="BM79" s="560">
        <f ca="1">HLOOKUP(B79,Heating!$R$102:$AD$106,4,FALSE)*INDEX(Weather!$BO$1:$CB$20,MATCH(B79,Weather!$BO$1:$BO$20,0),MATCH(C79,Weather!$BO$1:$CB$1,0))/VLOOKUP(B79,Weather!$BO$2:$CB$20,14,FALSE)*
VLOOKUP('Monthly Data'!$B79,Weather!$BO$3:$CB$20,14,FALSE)/Weather!$CB$14</f>
        <v>5328.9795576818715</v>
      </c>
      <c r="BN79" s="560">
        <f t="shared" ca="1" si="179"/>
        <v>6996312.1222932599</v>
      </c>
      <c r="BO79" s="560">
        <v>25125409.834884416</v>
      </c>
      <c r="BP79" s="560">
        <f ca="1">IFERROR(VLOOKUP($B79-1,CDM!$V$4:$AJ$17,13,FALSE)/12,0)+IFERROR(VLOOKUP($B79,CDM!$V$41:$AJ$54,13,FALSE)/24,0)+IFERROR(VLOOKUP($B79,CDM!$V$41:$AJ$54,13,FALSE)/2*$C79/78,0)</f>
        <v>2530086.6300389152</v>
      </c>
      <c r="BQ79" s="560">
        <f t="shared" ca="1" si="180"/>
        <v>27655496.46492333</v>
      </c>
      <c r="BR79" s="560">
        <f>IFERROR(HLOOKUP(B79-1,'EV Forecast WRZ'!$F$124:$T$130,4,FALSE)/12,0)+IFERROR(((HLOOKUP(B79,'EV Forecast WRZ'!$F$116:$T$122,4,FALSE)-HLOOKUP(B79-1,'EV Forecast WRZ'!$F$124:$T$130,4,FALSE)))*C79/78,0)</f>
        <v>9012.4028846153851</v>
      </c>
      <c r="BS79" s="560">
        <f ca="1">HLOOKUP(B79,Heating!$R$102:$AD$106,5,FALSE)*INDEX(Weather!$BO$1:$CB$20,MATCH(B79,Weather!$BO$1:$BO$20,0),MATCH(C79,Weather!$BO$1:$CB$1,0))/VLOOKUP(B79,Weather!$BO$2:$CB$20,14,FALSE)*
VLOOKUP('Monthly Data'!$B79,Weather!$BO$3:$CB$20,14,FALSE)/Weather!$CB$14</f>
        <v>3026.2843013587449</v>
      </c>
      <c r="BT79" s="560">
        <f t="shared" ca="1" si="181"/>
        <v>27643457.777737357</v>
      </c>
      <c r="BU79" s="560">
        <v>6472653.2208293155</v>
      </c>
      <c r="BV79" s="560">
        <f ca="1">IFERROR(VLOOKUP($B79-1,CDM!$V$4:$AJ$17,14,FALSE)/12,0)+IFERROR(VLOOKUP($B79,CDM!$V$41:$AJ$54,14,FALSE)/24,0)+IFERROR(VLOOKUP($B79,CDM!$V$41:$AJ$54,14,FALSE)/2*$C79/78,0)</f>
        <v>568994.37828359893</v>
      </c>
      <c r="BW79" s="560">
        <f t="shared" ca="1" si="182"/>
        <v>7041647.5991129149</v>
      </c>
      <c r="BX79" s="560">
        <f>IFERROR(HLOOKUP(B79-1,'EV Forecast WRZ'!$F$124:$T$130,5,FALSE)/12,0)+IFERROR(((HLOOKUP(B79,'EV Forecast WRZ'!$F$116:$T$122,5,FALSE)-HLOOKUP(B79-1,'EV Forecast WRZ'!$F$124:$T$130,5,FALSE)))*C79/78,0)</f>
        <v>1253.4080128205128</v>
      </c>
      <c r="BY79" s="560">
        <f t="shared" ca="1" si="189"/>
        <v>7040394.1911000945</v>
      </c>
      <c r="BZ79" s="560">
        <v>205353.00363497224</v>
      </c>
      <c r="CA79" s="560">
        <v>2639.9570278881379</v>
      </c>
      <c r="CB79" s="560">
        <v>155772.97685096614</v>
      </c>
      <c r="CC79" s="5">
        <v>69003.289999999994</v>
      </c>
      <c r="CD79" s="5">
        <v>12478.72</v>
      </c>
      <c r="CE79" s="5">
        <v>798</v>
      </c>
      <c r="CF79" s="544">
        <f t="shared" si="235"/>
        <v>7.916666666666667</v>
      </c>
      <c r="CG79" s="565">
        <v>43969.500000000015</v>
      </c>
      <c r="CH79" s="565">
        <v>2380.9999999999991</v>
      </c>
      <c r="CI79" s="565">
        <v>387.00000000000011</v>
      </c>
      <c r="CJ79" s="565">
        <v>3</v>
      </c>
      <c r="CK79" s="565">
        <v>13333.000000000004</v>
      </c>
      <c r="CL79" s="565">
        <v>46.499999999999986</v>
      </c>
      <c r="CM79" s="565">
        <v>393.00000000000011</v>
      </c>
      <c r="CN79" s="46">
        <f>Weather!C103</f>
        <v>75.529010989011013</v>
      </c>
      <c r="CO79" s="46">
        <f>Weather!D103</f>
        <v>16.451515151515149</v>
      </c>
      <c r="CP79" s="46">
        <f>Weather!E103</f>
        <v>36.166510989010987</v>
      </c>
      <c r="CQ79" s="46">
        <f>Weather!F103</f>
        <v>37.089015151515156</v>
      </c>
      <c r="CR79" s="46">
        <f>Weather!G103</f>
        <v>6.1903205128205077</v>
      </c>
      <c r="CS79" s="46">
        <f>Weather!H103</f>
        <v>67.11282467532466</v>
      </c>
      <c r="CT79" s="46">
        <f>Weather!I103</f>
        <v>0</v>
      </c>
      <c r="CU79" s="46">
        <f>Weather!J103</f>
        <v>120.92250416250417</v>
      </c>
      <c r="CV79" s="46">
        <f>Weather!K103</f>
        <v>0</v>
      </c>
      <c r="CW79" s="46">
        <f>Weather!L103</f>
        <v>180.92250416250408</v>
      </c>
      <c r="CX79" s="46">
        <f>Weather!M103</f>
        <v>0</v>
      </c>
      <c r="CY79" s="46">
        <f>Weather!N103</f>
        <v>240.92250416250408</v>
      </c>
      <c r="CZ79" s="46">
        <f>Weather!O103</f>
        <v>0</v>
      </c>
      <c r="DA79" s="46">
        <f>Weather!P103</f>
        <v>300.92250416250414</v>
      </c>
      <c r="DB79" s="243">
        <f>'Economic Data'!D105</f>
        <v>7782.8</v>
      </c>
      <c r="DC79" s="243">
        <f>'Economic Data'!E105</f>
        <v>7838.7</v>
      </c>
      <c r="DD79" s="243">
        <f>'Economic Data'!F105</f>
        <v>236.3</v>
      </c>
      <c r="DE79" s="243">
        <f>'Economic Data'!G105</f>
        <v>239.6</v>
      </c>
      <c r="DF79" s="243">
        <f>'Economic Data'!H105</f>
        <v>62.5</v>
      </c>
      <c r="DG79" s="243">
        <f>'Economic Data'!I105</f>
        <v>62.5</v>
      </c>
      <c r="DH79" s="243">
        <f>'Economic Data'!J105</f>
        <v>850461.9</v>
      </c>
      <c r="DI79" s="243">
        <f>'Economic Data'!K105</f>
        <v>662856.4</v>
      </c>
      <c r="DJ79" s="243">
        <f>'Economic Data'!L105</f>
        <v>96870.8</v>
      </c>
      <c r="DK79" s="243">
        <f>'Economic Data'!M105</f>
        <v>30149.3</v>
      </c>
      <c r="DL79" s="243">
        <f>'Economic Data'!N105</f>
        <v>854755</v>
      </c>
      <c r="DM79" s="243">
        <f>'Economic Data'!O105</f>
        <v>94257</v>
      </c>
      <c r="DN79" s="243">
        <f>'Economic Data'!P105</f>
        <v>17438</v>
      </c>
      <c r="DO79" s="243">
        <f>'Economic Data'!Q105</f>
        <v>671300</v>
      </c>
      <c r="DP79" s="243">
        <f>'Economic Data'!R105</f>
        <v>30799</v>
      </c>
      <c r="DQ79">
        <v>30</v>
      </c>
      <c r="DR79">
        <v>22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1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f t="shared" si="185"/>
        <v>78</v>
      </c>
      <c r="EI79">
        <v>0.5</v>
      </c>
      <c r="EJ79">
        <v>0.25</v>
      </c>
      <c r="EK79">
        <v>0.5</v>
      </c>
      <c r="EL79">
        <v>0</v>
      </c>
      <c r="EM79" s="47">
        <f t="shared" si="190"/>
        <v>18.882252747252753</v>
      </c>
      <c r="EN79" s="47">
        <f t="shared" si="191"/>
        <v>4.1128787878787874</v>
      </c>
      <c r="EO79" s="47">
        <f t="shared" si="192"/>
        <v>9.0416277472527469</v>
      </c>
      <c r="EP79" s="47">
        <f t="shared" si="193"/>
        <v>9.272253787878789</v>
      </c>
      <c r="EQ79" s="47">
        <f t="shared" si="194"/>
        <v>1.5475801282051269</v>
      </c>
      <c r="ER79" s="47">
        <f t="shared" si="195"/>
        <v>16.778206168831165</v>
      </c>
      <c r="ES79" s="47">
        <f t="shared" si="196"/>
        <v>0</v>
      </c>
      <c r="ET79" s="47">
        <f t="shared" si="197"/>
        <v>30.230626040626042</v>
      </c>
      <c r="EU79" s="47">
        <f t="shared" si="198"/>
        <v>0</v>
      </c>
      <c r="EV79" s="47">
        <f t="shared" si="199"/>
        <v>45.230626040626021</v>
      </c>
      <c r="EW79" s="47">
        <f t="shared" si="200"/>
        <v>0</v>
      </c>
      <c r="EX79" s="47">
        <f t="shared" si="201"/>
        <v>60.230626040626021</v>
      </c>
      <c r="EY79" s="47">
        <f t="shared" si="202"/>
        <v>0</v>
      </c>
      <c r="EZ79" s="47">
        <f t="shared" si="203"/>
        <v>75.230626040626035</v>
      </c>
      <c r="FA79" s="47">
        <f t="shared" si="204"/>
        <v>37.764505494505507</v>
      </c>
      <c r="FB79" s="47">
        <f t="shared" si="205"/>
        <v>8.2257575757575747</v>
      </c>
      <c r="FC79" s="47">
        <f t="shared" si="206"/>
        <v>18.083255494505494</v>
      </c>
      <c r="FD79" s="47">
        <f t="shared" si="207"/>
        <v>18.544507575757578</v>
      </c>
      <c r="FE79" s="47">
        <f t="shared" si="208"/>
        <v>3.0951602564102538</v>
      </c>
      <c r="FF79" s="47">
        <f t="shared" si="209"/>
        <v>33.55641233766233</v>
      </c>
      <c r="FG79" s="47">
        <f t="shared" si="210"/>
        <v>0</v>
      </c>
      <c r="FH79" s="47">
        <f t="shared" si="211"/>
        <v>60.461252081252084</v>
      </c>
      <c r="FI79" s="47">
        <f t="shared" si="212"/>
        <v>0</v>
      </c>
      <c r="FJ79" s="47">
        <f t="shared" si="213"/>
        <v>90.461252081252042</v>
      </c>
      <c r="FK79" s="47">
        <f t="shared" si="214"/>
        <v>0</v>
      </c>
      <c r="FL79" s="47">
        <f t="shared" si="215"/>
        <v>120.46125208125204</v>
      </c>
      <c r="FM79" s="47">
        <f t="shared" si="216"/>
        <v>0</v>
      </c>
      <c r="FN79" s="47">
        <f t="shared" si="217"/>
        <v>150.46125208125207</v>
      </c>
      <c r="FO79" s="546">
        <f t="shared" ca="1" si="218"/>
        <v>703.55063921379224</v>
      </c>
      <c r="FP79" s="546">
        <f t="shared" ca="1" si="219"/>
        <v>501.16564088938924</v>
      </c>
      <c r="FQ79" s="546">
        <f t="shared" ca="1" si="220"/>
        <v>2405.2550731005954</v>
      </c>
      <c r="FR79" s="546">
        <f t="shared" ca="1" si="221"/>
        <v>77183.928363027953</v>
      </c>
      <c r="FS79" s="546">
        <f t="shared" ca="1" si="222"/>
        <v>1734772.317466222</v>
      </c>
      <c r="FT79" s="546">
        <f t="shared" ca="1" si="223"/>
        <v>6711492.3897505831</v>
      </c>
      <c r="FU79" s="546">
        <f t="shared" si="224"/>
        <v>20.828909523188031</v>
      </c>
      <c r="FV79" s="546">
        <f t="shared" si="225"/>
        <v>72.22206709760286</v>
      </c>
      <c r="FW79" s="546">
        <f t="shared" si="226"/>
        <v>473.82400505378592</v>
      </c>
      <c r="FX79" s="546">
        <f t="shared" ca="1" si="227"/>
        <v>785.32341445027009</v>
      </c>
      <c r="FY79" s="546">
        <f t="shared" ca="1" si="228"/>
        <v>2949.0249865084356</v>
      </c>
      <c r="FZ79" s="546">
        <f t="shared" ca="1" si="229"/>
        <v>71461.231175512454</v>
      </c>
      <c r="GA79" s="546">
        <f t="shared" si="230"/>
        <v>68451.001211657407</v>
      </c>
      <c r="GB79" s="546">
        <f t="shared" si="231"/>
        <v>15.401860319130892</v>
      </c>
      <c r="GC79" s="546">
        <f t="shared" si="232"/>
        <v>56.773269416949219</v>
      </c>
      <c r="GD79" s="546">
        <f t="shared" si="233"/>
        <v>396.36889783960839</v>
      </c>
    </row>
    <row r="80" spans="1:186">
      <c r="A80" s="4">
        <v>44743</v>
      </c>
      <c r="B80" s="6">
        <v>2022</v>
      </c>
      <c r="C80" s="5">
        <v>7</v>
      </c>
      <c r="D80" s="7">
        <v>98505510.421875596</v>
      </c>
      <c r="E80" s="7">
        <f ca="1">IFERROR(VLOOKUP($B80-1,CDM!$V$4:$AJ$17,2,FALSE)/12,0)+IFERROR(VLOOKUP($B80,CDM!$V$41:$AJ$54,2,FALSE)/24,0)+IFERROR(VLOOKUP($B80,CDM!$V$41:$AJ$54,2,FALSE)/2*$C80/78,0)</f>
        <v>3848057.0019145114</v>
      </c>
      <c r="F80" s="7">
        <f t="shared" ca="1" si="165"/>
        <v>102353567.42379011</v>
      </c>
      <c r="G80" s="7">
        <f>IFERROR(HLOOKUP(B80-1,'EV Forecast VRZ'!$F$124:$T$130,2,FALSE)/12,0)+IFERROR(((HLOOKUP(B80,'EV Forecast VRZ'!$F$116:$T$122,2,FALSE)-HLOOKUP(B80-1,'EV Forecast VRZ'!$F$124:$T$130,2,FALSE)))*C80/78,0)</f>
        <v>529912.24340611405</v>
      </c>
      <c r="H80" s="7">
        <f ca="1">HLOOKUP(B80,Heating!$C$102:$O$106,2,FALSE)*INDEX(Weather!$BO$1:$CB$20,MATCH(B80,Weather!$BO$1:$BO$20,0),MATCH(C80,Weather!$BO$1:$CB$1,0))/VLOOKUP(B80,Weather!$BO$2:$CB$20,14,FALSE)*
VLOOKUP('Monthly Data'!$B80,Weather!$BO$3:$CB$20,14,FALSE)/Weather!$CB$14</f>
        <v>1346.3006290121732</v>
      </c>
      <c r="I80" s="7">
        <f t="shared" ca="1" si="166"/>
        <v>101822308.87975499</v>
      </c>
      <c r="J80" s="7">
        <v>1008134.2184125168</v>
      </c>
      <c r="K80" s="7">
        <f ca="1">IFERROR(VLOOKUP($B80-1,CDM!$V$4:$AJ$17,3,FALSE)/12,0)+IFERROR(VLOOKUP($B80,CDM!$V$41:$AJ$54,3,FALSE)/24,0)+IFERROR(VLOOKUP($B80,CDM!$V$41:$AJ$54,3,FALSE)/2*$C80/78,0)</f>
        <v>44074.889058361587</v>
      </c>
      <c r="L80" s="7">
        <f t="shared" ca="1" si="167"/>
        <v>1052209.1074708784</v>
      </c>
      <c r="M80" s="7">
        <f>IFERROR(HLOOKUP(B80-1,'EV Forecast VRZ'!$F$124:$T$130,3,FALSE)/12,0)+IFERROR(((HLOOKUP(B80,'EV Forecast VRZ'!$F$116:$T$122,3,FALSE)-HLOOKUP(B80-1,'EV Forecast VRZ'!$F$124:$T$130,3,FALSE)))*C80/78,0)</f>
        <v>7190.4542861936461</v>
      </c>
      <c r="N80" s="7">
        <f ca="1">HLOOKUP(B80,Heating!$C$102:$O$106,3,FALSE)*INDEX(Weather!$BO$1:$CB$20,MATCH(B80,Weather!$BO$1:$BO$20,0),MATCH(C80,Weather!$BO$1:$CB$1,0))/VLOOKUP(B80,Weather!$BO$2:$CB$20,14,FALSE)*
VLOOKUP('Monthly Data'!$B80,Weather!$BO$3:$CB$20,14,FALSE)/Weather!$CB$14</f>
        <v>16.572586110475662</v>
      </c>
      <c r="O80" s="7">
        <f t="shared" ca="1" si="168"/>
        <v>1045002.0805985744</v>
      </c>
      <c r="P80" s="7">
        <v>24192093.706983306</v>
      </c>
      <c r="Q80" s="7">
        <f ca="1">IFERROR(VLOOKUP($B80-1,CDM!$V$4:$AJ$17,4,FALSE)/12,0)+IFERROR(VLOOKUP($B80,CDM!$V$41:$AJ$54,4,FALSE)/24,0)+IFERROR(VLOOKUP($B80,CDM!$V$41:$AJ$54,4,FALSE)/2*$C80/78,0)</f>
        <v>1522831.0889511446</v>
      </c>
      <c r="R80" s="7">
        <f t="shared" ca="1" si="169"/>
        <v>25714924.79593445</v>
      </c>
      <c r="S80" s="7">
        <f>IFERROR(HLOOKUP(B80-1,'EV Forecast VRZ'!$F$124:$T$130,4,FALSE)/12,0)+IFERROR(((HLOOKUP(B80,'EV Forecast VRZ'!$F$116:$T$122,4,FALSE)-HLOOKUP(B80-1,'EV Forecast VRZ'!$F$124:$T$130,4,FALSE)))*C80/78,0)</f>
        <v>65458.801538461543</v>
      </c>
      <c r="T80" s="7">
        <f ca="1">HLOOKUP(B80,Heating!$C$102:$O$106,4,FALSE)*INDEX(Weather!$BO$1:$CB$20,MATCH(B80,Weather!$BO$1:$BO$20,0),MATCH(C80,Weather!$BO$1:$CB$1,0))/VLOOKUP(B80,Weather!$BO$2:$CB$20,14,FALSE)*
VLOOKUP('Monthly Data'!$B80,Weather!$BO$3:$CB$20,14,FALSE)/Weather!$CB$14</f>
        <v>330.05578204222911</v>
      </c>
      <c r="U80" s="7">
        <f t="shared" ca="1" si="170"/>
        <v>25649135.938613947</v>
      </c>
      <c r="V80" s="7">
        <v>78359560.170194805</v>
      </c>
      <c r="W80" s="7">
        <f ca="1">IFERROR(VLOOKUP($B80-1,CDM!$V$4:$AJ$17,5,FALSE)/12,0)+IFERROR(VLOOKUP($B80,CDM!$V$41:$AJ$54,5,FALSE)/24,0)+IFERROR(VLOOKUP($B80,CDM!$V$41:$AJ$54,5,FALSE)/2*$C80/78,0)</f>
        <v>6114544.190941955</v>
      </c>
      <c r="X80" s="7">
        <f t="shared" ca="1" si="171"/>
        <v>84474104.361136764</v>
      </c>
      <c r="Y80" s="7">
        <f>IFERROR(HLOOKUP(B80-1,'EV Forecast VRZ'!$F$124:$T$130,5,FALSE)/12,0)+IFERROR(((HLOOKUP(B80,'EV Forecast VRZ'!$F$116:$T$122,5,FALSE)-HLOOKUP(B80-1,'EV Forecast VRZ'!$F$124:$T$130,5,FALSE)))*C80/78,0)</f>
        <v>29826.909410256409</v>
      </c>
      <c r="Z80" s="7">
        <f ca="1">HLOOKUP(B80,Heating!$C$102:$O$106,5,FALSE)*INDEX(Weather!$BO$1:$CB$20,MATCH(B80,Weather!$BO$1:$BO$20,0),MATCH(C80,Weather!$BO$1:$CB$1,0))/VLOOKUP(B80,Weather!$BO$2:$CB$20,14,FALSE)*
VLOOKUP('Monthly Data'!$B80,Weather!$BO$3:$CB$20,14,FALSE)/Weather!$CB$14</f>
        <v>175.96274230983667</v>
      </c>
      <c r="AA80" s="7">
        <f t="shared" ca="1" si="172"/>
        <v>84444101.488984197</v>
      </c>
      <c r="AB80" s="7">
        <v>8949441.1662617121</v>
      </c>
      <c r="AC80" s="7">
        <f ca="1">IFERROR(VLOOKUP($B80-1,CDM!$V$4:$AJ$17,6,FALSE)/12,0)+IFERROR(VLOOKUP($B80,CDM!$V$41:$AJ$54,6,FALSE)/24,0)+IFERROR(VLOOKUP($B80,CDM!$V$41:$AJ$54,6,FALSE)/2*$C80/78,0)</f>
        <v>273472.28811926697</v>
      </c>
      <c r="AD80" s="7">
        <f t="shared" ca="1" si="173"/>
        <v>9222913.4543809798</v>
      </c>
      <c r="AE80" s="7">
        <f>IFERROR(HLOOKUP(B80-1,'EV Forecast VRZ'!$F$124:$T$130,6,FALSE)/12,0)+IFERROR(((HLOOKUP(B80,'EV Forecast VRZ'!$F$116:$T$122,6,FALSE)-HLOOKUP(B80-1,'EV Forecast VRZ'!$F$124:$T$130,6,FALSE)))*C80/78,0)</f>
        <v>3906.6580256410261</v>
      </c>
      <c r="AF80" s="7">
        <f t="shared" ca="1" si="174"/>
        <v>9219006.7963553388</v>
      </c>
      <c r="AG80" s="7">
        <v>24837780.222544815</v>
      </c>
      <c r="AH80" s="7">
        <f ca="1">IFERROR(VLOOKUP($B80-1,CDM!$V$4:$AJ$17,7,FALSE)/12,0)+IFERROR(VLOOKUP($B80,CDM!$V$41:$AJ$54,7,FALSE)/24,0)+IFERROR(VLOOKUP($B80,CDM!$V$41:$AJ$54,7,FALSE)/2*$C80/78,0)</f>
        <v>1740426.6663823351</v>
      </c>
      <c r="AI80" s="7">
        <f t="shared" ca="1" si="175"/>
        <v>26578206.888927151</v>
      </c>
      <c r="AJ80" s="7">
        <f>IFERROR(HLOOKUP(B80-1,'EV Forecast VRZ'!$F$124:$T$130,7,FALSE)/12,0)+IFERROR(((HLOOKUP(B80,'EV Forecast VRZ'!$F$116:$T$122,7,FALSE)-HLOOKUP(B80-1,'EV Forecast VRZ'!$F$124:$T$130,7,FALSE)))*C80/78,0)</f>
        <v>94.230769230769226</v>
      </c>
      <c r="AK80" s="7">
        <f t="shared" ca="1" si="176"/>
        <v>26578112.658157919</v>
      </c>
      <c r="AL80" s="7">
        <v>710107.69891242124</v>
      </c>
      <c r="AM80" s="7">
        <v>16819.34745277619</v>
      </c>
      <c r="AN80" s="7">
        <v>379566.03701583669</v>
      </c>
      <c r="AO80" s="5">
        <v>199161.46</v>
      </c>
      <c r="AP80" s="5">
        <v>19538.36</v>
      </c>
      <c r="AQ80" s="5">
        <v>44038</v>
      </c>
      <c r="AR80" s="5">
        <v>2569.0500000000002</v>
      </c>
      <c r="AS80" s="544">
        <f t="shared" si="234"/>
        <v>50.083333333333336</v>
      </c>
      <c r="AT80" s="557">
        <v>114218.6666666667</v>
      </c>
      <c r="AU80" s="557">
        <v>1559.3333333333328</v>
      </c>
      <c r="AV80" s="557">
        <v>9418.9166666666624</v>
      </c>
      <c r="AW80" s="557">
        <v>1035.5</v>
      </c>
      <c r="AX80" s="557">
        <v>5.4166666666666687</v>
      </c>
      <c r="AY80" s="557">
        <v>4</v>
      </c>
      <c r="AZ80" s="557">
        <v>31799.583333333325</v>
      </c>
      <c r="BA80" s="557">
        <v>245.8333333333334</v>
      </c>
      <c r="BB80" s="557">
        <v>800.6666666666664</v>
      </c>
      <c r="BC80" s="560">
        <v>41892774.541524678</v>
      </c>
      <c r="BD80" s="560">
        <f ca="1">IFERROR(VLOOKUP($B80-1,CDM!$V$4:$AJ$17,11,FALSE)/12,0)+IFERROR(VLOOKUP($B80,CDM!$V$41:$AJ$54,11,FALSE)/24,0)+IFERROR(VLOOKUP($B80,CDM!$V$41:$AJ$54,11,FALSE)/2*$C80/78,0)</f>
        <v>1701636.1990559979</v>
      </c>
      <c r="BE80" s="560">
        <f t="shared" ca="1" si="188"/>
        <v>43594410.740580678</v>
      </c>
      <c r="BF80" s="560">
        <f>IFERROR(HLOOKUP(B80-1,'EV Forecast WRZ'!$F$124:$T$130,2,FALSE)/12,0)+IFERROR(((HLOOKUP(B80,'EV Forecast WRZ'!$F$116:$T$122,2,FALSE)-HLOOKUP(B80-1,'EV Forecast WRZ'!$F$124:$T$130,2,FALSE)))*C80/78,0)</f>
        <v>168406.96743589744</v>
      </c>
      <c r="BG80" s="560">
        <f ca="1">HLOOKUP(B80,Heating!$R$102:$AD$106,2,FALSE)*INDEX(Weather!$BO$1:$CB$20,MATCH(B80,Weather!$BO$1:$BO$20,0),MATCH(C80,Weather!$BO$1:$CB$1,0))/VLOOKUP(B80,Weather!$BO$2:$CB$20,14,FALSE)*
VLOOKUP('Monthly Data'!$B80,Weather!$BO$3:$CB$20,14,FALSE)/Weather!$CB$14</f>
        <v>596.04537069017726</v>
      </c>
      <c r="BH80" s="560">
        <f t="shared" ca="1" si="177"/>
        <v>43425407.727774091</v>
      </c>
      <c r="BI80" s="560">
        <v>7546017.8175913524</v>
      </c>
      <c r="BJ80" s="560">
        <f ca="1">IFERROR(VLOOKUP($B80-1,CDM!$V$4:$AJ$17,12,FALSE)/12,0)+IFERROR(VLOOKUP($B80,CDM!$V$41:$AJ$54,12,FALSE)/24,0)+IFERROR(VLOOKUP($B80,CDM!$V$41:$AJ$54,12,FALSE)/2*$C80/78,0)</f>
        <v>262645.5212244658</v>
      </c>
      <c r="BK80" s="560">
        <f t="shared" ca="1" si="178"/>
        <v>7808663.3388158185</v>
      </c>
      <c r="BL80" s="560">
        <f>IFERROR(HLOOKUP(B80-1,'EV Forecast WRZ'!$F$124:$T$130,3,FALSE)/12,0)+IFERROR(((HLOOKUP(B80,'EV Forecast WRZ'!$F$116:$T$122,3,FALSE)-HLOOKUP(B80-1,'EV Forecast WRZ'!$F$124:$T$130,3,FALSE)))*C80/78,0)</f>
        <v>20804.778974358975</v>
      </c>
      <c r="BM80" s="560">
        <f ca="1">HLOOKUP(B80,Heating!$R$102:$AD$106,4,FALSE)*INDEX(Weather!$BO$1:$CB$20,MATCH(B80,Weather!$BO$1:$BO$20,0),MATCH(C80,Weather!$BO$1:$CB$1,0))/VLOOKUP(B80,Weather!$BO$2:$CB$20,14,FALSE)*
VLOOKUP('Monthly Data'!$B80,Weather!$BO$3:$CB$20,14,FALSE)/Weather!$CB$14</f>
        <v>91.47711658075265</v>
      </c>
      <c r="BN80" s="560">
        <f t="shared" ca="1" si="179"/>
        <v>7787767.0827248786</v>
      </c>
      <c r="BO80" s="560">
        <v>27422479.553287297</v>
      </c>
      <c r="BP80" s="560">
        <f ca="1">IFERROR(VLOOKUP($B80-1,CDM!$V$4:$AJ$17,13,FALSE)/12,0)+IFERROR(VLOOKUP($B80,CDM!$V$41:$AJ$54,13,FALSE)/24,0)+IFERROR(VLOOKUP($B80,CDM!$V$41:$AJ$54,13,FALSE)/2*$C80/78,0)</f>
        <v>2561541.0851721894</v>
      </c>
      <c r="BQ80" s="560">
        <f t="shared" ca="1" si="180"/>
        <v>29984020.638459489</v>
      </c>
      <c r="BR80" s="560">
        <f>IFERROR(HLOOKUP(B80-1,'EV Forecast WRZ'!$F$124:$T$130,4,FALSE)/12,0)+IFERROR(((HLOOKUP(B80,'EV Forecast WRZ'!$F$116:$T$122,4,FALSE)-HLOOKUP(B80-1,'EV Forecast WRZ'!$F$124:$T$130,4,FALSE)))*C80/78,0)</f>
        <v>9376.9902820512816</v>
      </c>
      <c r="BS80" s="560">
        <f ca="1">HLOOKUP(B80,Heating!$R$102:$AD$106,5,FALSE)*INDEX(Weather!$BO$1:$CB$20,MATCH(B80,Weather!$BO$1:$BO$20,0),MATCH(C80,Weather!$BO$1:$CB$1,0))/VLOOKUP(B80,Weather!$BO$2:$CB$20,14,FALSE)*
VLOOKUP('Monthly Data'!$B80,Weather!$BO$3:$CB$20,14,FALSE)/Weather!$CB$14</f>
        <v>51.94911311731888</v>
      </c>
      <c r="BT80" s="560">
        <f t="shared" ca="1" si="181"/>
        <v>29974591.699064322</v>
      </c>
      <c r="BU80" s="560">
        <v>7048269.8842815822</v>
      </c>
      <c r="BV80" s="560">
        <f ca="1">IFERROR(VLOOKUP($B80-1,CDM!$V$4:$AJ$17,14,FALSE)/12,0)+IFERROR(VLOOKUP($B80,CDM!$V$41:$AJ$54,14,FALSE)/24,0)+IFERROR(VLOOKUP($B80,CDM!$V$41:$AJ$54,14,FALSE)/2*$C80/78,0)</f>
        <v>576076.55402801337</v>
      </c>
      <c r="BW80" s="560">
        <f t="shared" ca="1" si="182"/>
        <v>7624346.4383095959</v>
      </c>
      <c r="BX80" s="560">
        <f>IFERROR(HLOOKUP(B80-1,'EV Forecast WRZ'!$F$124:$T$130,5,FALSE)/12,0)+IFERROR(((HLOOKUP(B80,'EV Forecast WRZ'!$F$116:$T$122,5,FALSE)-HLOOKUP(B80-1,'EV Forecast WRZ'!$F$124:$T$130,5,FALSE)))*C80/78,0)</f>
        <v>1311.617153846154</v>
      </c>
      <c r="BY80" s="560">
        <f t="shared" ca="1" si="189"/>
        <v>7623034.8211557502</v>
      </c>
      <c r="BZ80" s="560">
        <v>221196.00153051459</v>
      </c>
      <c r="CA80" s="560">
        <v>1992.7417565349172</v>
      </c>
      <c r="CB80" s="560">
        <v>155772.97685096614</v>
      </c>
      <c r="CC80" s="5">
        <v>71388.61</v>
      </c>
      <c r="CD80" s="5">
        <v>12426.58</v>
      </c>
      <c r="CE80" s="5">
        <v>801</v>
      </c>
      <c r="CF80" s="544">
        <f t="shared" si="235"/>
        <v>7.916666666666667</v>
      </c>
      <c r="CG80" s="565">
        <v>44057.58333333335</v>
      </c>
      <c r="CH80" s="565">
        <v>2386.1666666666656</v>
      </c>
      <c r="CI80" s="565">
        <v>385.6666666666668</v>
      </c>
      <c r="CJ80" s="565">
        <v>3</v>
      </c>
      <c r="CK80" s="565">
        <v>13352.833333333338</v>
      </c>
      <c r="CL80" s="565">
        <v>46.41666666666665</v>
      </c>
      <c r="CM80" s="565">
        <v>393.1666666666668</v>
      </c>
      <c r="CN80" s="46">
        <f>Weather!C104</f>
        <v>8.9945652173913082</v>
      </c>
      <c r="CO80" s="46">
        <f>Weather!D104</f>
        <v>44.848903508771912</v>
      </c>
      <c r="CP80" s="46">
        <f>Weather!E104</f>
        <v>0.62083333333333357</v>
      </c>
      <c r="CQ80" s="46">
        <f>Weather!F104</f>
        <v>98.475171624713937</v>
      </c>
      <c r="CR80" s="46">
        <f>Weather!G104</f>
        <v>0</v>
      </c>
      <c r="CS80" s="46">
        <f>Weather!H104</f>
        <v>159.8543382913806</v>
      </c>
      <c r="CT80" s="46">
        <f>Weather!I104</f>
        <v>0</v>
      </c>
      <c r="CU80" s="46">
        <f>Weather!J104</f>
        <v>221.8543382913806</v>
      </c>
      <c r="CV80" s="46">
        <f>Weather!K104</f>
        <v>0</v>
      </c>
      <c r="CW80" s="46">
        <f>Weather!L104</f>
        <v>283.8543382913806</v>
      </c>
      <c r="CX80" s="46">
        <f>Weather!M104</f>
        <v>0</v>
      </c>
      <c r="CY80" s="46">
        <f>Weather!N104</f>
        <v>345.85433829138066</v>
      </c>
      <c r="CZ80" s="46">
        <f>Weather!O104</f>
        <v>0</v>
      </c>
      <c r="DA80" s="46">
        <f>Weather!P104</f>
        <v>407.8543382913806</v>
      </c>
      <c r="DB80" s="243">
        <f>'Economic Data'!D106</f>
        <v>7784.1</v>
      </c>
      <c r="DC80" s="243">
        <f>'Economic Data'!E106</f>
        <v>7872.1</v>
      </c>
      <c r="DD80" s="243">
        <f>'Economic Data'!F106</f>
        <v>236.4</v>
      </c>
      <c r="DE80" s="243">
        <f>'Economic Data'!G106</f>
        <v>238.3</v>
      </c>
      <c r="DF80" s="243">
        <f>'Economic Data'!H106</f>
        <v>64.7</v>
      </c>
      <c r="DG80" s="243">
        <f>'Economic Data'!I106</f>
        <v>64.7</v>
      </c>
      <c r="DH80" s="243">
        <f>'Economic Data'!J106</f>
        <v>850461.9</v>
      </c>
      <c r="DI80" s="243">
        <f>'Economic Data'!K106</f>
        <v>662856.4</v>
      </c>
      <c r="DJ80" s="243">
        <f>'Economic Data'!L106</f>
        <v>96870.8</v>
      </c>
      <c r="DK80" s="243">
        <f>'Economic Data'!M106</f>
        <v>30149.3</v>
      </c>
      <c r="DL80" s="243">
        <f>'Economic Data'!N106</f>
        <v>856819</v>
      </c>
      <c r="DM80" s="243">
        <f>'Economic Data'!O106</f>
        <v>93556</v>
      </c>
      <c r="DN80" s="243">
        <f>'Economic Data'!P106</f>
        <v>17237</v>
      </c>
      <c r="DO80" s="243">
        <f>'Economic Data'!Q106</f>
        <v>673371</v>
      </c>
      <c r="DP80" s="243">
        <f>'Economic Data'!R106</f>
        <v>31375</v>
      </c>
      <c r="DQ80">
        <v>31</v>
      </c>
      <c r="DR80">
        <v>20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1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f t="shared" si="185"/>
        <v>79</v>
      </c>
      <c r="EI80">
        <v>0.5</v>
      </c>
      <c r="EJ80">
        <v>0.25</v>
      </c>
      <c r="EK80">
        <v>0.5</v>
      </c>
      <c r="EL80">
        <v>0</v>
      </c>
      <c r="EM80" s="47">
        <f t="shared" si="190"/>
        <v>2.2486413043478271</v>
      </c>
      <c r="EN80" s="47">
        <f t="shared" si="191"/>
        <v>11.212225877192978</v>
      </c>
      <c r="EO80" s="47">
        <f t="shared" si="192"/>
        <v>0.15520833333333339</v>
      </c>
      <c r="EP80" s="47">
        <f t="shared" si="193"/>
        <v>24.618792906178484</v>
      </c>
      <c r="EQ80" s="47">
        <f t="shared" si="194"/>
        <v>0</v>
      </c>
      <c r="ER80" s="47">
        <f t="shared" si="195"/>
        <v>39.96358457284515</v>
      </c>
      <c r="ES80" s="47">
        <f t="shared" si="196"/>
        <v>0</v>
      </c>
      <c r="ET80" s="47">
        <f t="shared" si="197"/>
        <v>55.46358457284515</v>
      </c>
      <c r="EU80" s="47">
        <f t="shared" si="198"/>
        <v>0</v>
      </c>
      <c r="EV80" s="47">
        <f t="shared" si="199"/>
        <v>70.96358457284515</v>
      </c>
      <c r="EW80" s="47">
        <f t="shared" si="200"/>
        <v>0</v>
      </c>
      <c r="EX80" s="47">
        <f t="shared" si="201"/>
        <v>86.463584572845164</v>
      </c>
      <c r="EY80" s="47">
        <f t="shared" si="202"/>
        <v>0</v>
      </c>
      <c r="EZ80" s="47">
        <f t="shared" si="203"/>
        <v>101.96358457284515</v>
      </c>
      <c r="FA80" s="47">
        <f t="shared" si="204"/>
        <v>4.4972826086956541</v>
      </c>
      <c r="FB80" s="47">
        <f t="shared" si="205"/>
        <v>22.424451754385956</v>
      </c>
      <c r="FC80" s="47">
        <f t="shared" si="206"/>
        <v>0.31041666666666679</v>
      </c>
      <c r="FD80" s="47">
        <f t="shared" si="207"/>
        <v>49.237585812356969</v>
      </c>
      <c r="FE80" s="47">
        <f t="shared" si="208"/>
        <v>0</v>
      </c>
      <c r="FF80" s="47">
        <f t="shared" si="209"/>
        <v>79.9271691456903</v>
      </c>
      <c r="FG80" s="47">
        <f t="shared" si="210"/>
        <v>0</v>
      </c>
      <c r="FH80" s="47">
        <f t="shared" si="211"/>
        <v>110.9271691456903</v>
      </c>
      <c r="FI80" s="47">
        <f t="shared" si="212"/>
        <v>0</v>
      </c>
      <c r="FJ80" s="47">
        <f t="shared" si="213"/>
        <v>141.9271691456903</v>
      </c>
      <c r="FK80" s="47">
        <f t="shared" si="214"/>
        <v>0</v>
      </c>
      <c r="FL80" s="47">
        <f t="shared" si="215"/>
        <v>172.92716914569033</v>
      </c>
      <c r="FM80" s="47">
        <f t="shared" si="216"/>
        <v>0</v>
      </c>
      <c r="FN80" s="47">
        <f t="shared" si="217"/>
        <v>203.9271691456903</v>
      </c>
      <c r="FO80" s="546">
        <f t="shared" ca="1" si="218"/>
        <v>891.46819737364842</v>
      </c>
      <c r="FP80" s="546">
        <f t="shared" ca="1" si="219"/>
        <v>674.78138572309456</v>
      </c>
      <c r="FQ80" s="546">
        <f t="shared" ca="1" si="220"/>
        <v>2730.1361404904451</v>
      </c>
      <c r="FR80" s="546">
        <f t="shared" ca="1" si="221"/>
        <v>81578.082434704746</v>
      </c>
      <c r="FS80" s="546">
        <f t="shared" ca="1" si="222"/>
        <v>1702691.7146549495</v>
      </c>
      <c r="FT80" s="546">
        <f t="shared" ca="1" si="223"/>
        <v>6644551.7222317876</v>
      </c>
      <c r="FU80" s="546">
        <f t="shared" si="224"/>
        <v>22.330723376745127</v>
      </c>
      <c r="FV80" s="546">
        <f t="shared" si="225"/>
        <v>68.417684553665836</v>
      </c>
      <c r="FW80" s="546">
        <f t="shared" si="226"/>
        <v>474.06249419130324</v>
      </c>
      <c r="FX80" s="546">
        <f t="shared" ca="1" si="227"/>
        <v>989.48710851322971</v>
      </c>
      <c r="FY80" s="546">
        <f t="shared" ca="1" si="228"/>
        <v>3272.4718888660286</v>
      </c>
      <c r="FZ80" s="546">
        <f t="shared" ca="1" si="229"/>
        <v>77745.948068607118</v>
      </c>
      <c r="GA80" s="546">
        <f t="shared" si="230"/>
        <v>73732.000510171536</v>
      </c>
      <c r="GB80" s="546">
        <f t="shared" si="231"/>
        <v>16.565473110364682</v>
      </c>
      <c r="GC80" s="546">
        <f t="shared" si="232"/>
        <v>42.931599781721751</v>
      </c>
      <c r="GD80" s="546">
        <f t="shared" si="233"/>
        <v>396.20087372013415</v>
      </c>
    </row>
    <row r="81" spans="1:186">
      <c r="A81" s="4">
        <v>44774</v>
      </c>
      <c r="B81" s="6">
        <v>2022</v>
      </c>
      <c r="C81" s="5">
        <v>8</v>
      </c>
      <c r="D81" s="7">
        <v>101594229.99135661</v>
      </c>
      <c r="E81" s="7">
        <f ca="1">IFERROR(VLOOKUP($B81-1,CDM!$V$4:$AJ$17,2,FALSE)/12,0)+IFERROR(VLOOKUP($B81,CDM!$V$41:$AJ$54,2,FALSE)/24,0)+IFERROR(VLOOKUP($B81,CDM!$V$41:$AJ$54,2,FALSE)/2*$C81/78,0)</f>
        <v>3848378.9074763944</v>
      </c>
      <c r="F81" s="7">
        <f t="shared" ca="1" si="165"/>
        <v>105442608.89883301</v>
      </c>
      <c r="G81" s="7">
        <f>IFERROR(HLOOKUP(B81-1,'EV Forecast VRZ'!$F$124:$T$130,2,FALSE)/12,0)+IFERROR(((HLOOKUP(B81,'EV Forecast VRZ'!$F$116:$T$122,2,FALSE)-HLOOKUP(B81-1,'EV Forecast VRZ'!$F$124:$T$130,2,FALSE)))*C81/78,0)</f>
        <v>551170.99741323781</v>
      </c>
      <c r="H81" s="7">
        <f ca="1">HLOOKUP(B81,Heating!$C$102:$O$106,2,FALSE)*INDEX(Weather!$BO$1:$CB$20,MATCH(B81,Weather!$BO$1:$BO$20,0),MATCH(C81,Weather!$BO$1:$CB$1,0))/VLOOKUP(B81,Weather!$BO$2:$CB$20,14,FALSE)*
VLOOKUP('Monthly Data'!$B81,Weather!$BO$3:$CB$20,14,FALSE)/Weather!$CB$14</f>
        <v>1653.5101685183122</v>
      </c>
      <c r="I81" s="7">
        <f t="shared" ca="1" si="166"/>
        <v>104889784.39125125</v>
      </c>
      <c r="J81" s="7">
        <v>988710.47961266933</v>
      </c>
      <c r="K81" s="7">
        <f ca="1">IFERROR(VLOOKUP($B81-1,CDM!$V$4:$AJ$17,3,FALSE)/12,0)+IFERROR(VLOOKUP($B81,CDM!$V$41:$AJ$54,3,FALSE)/24,0)+IFERROR(VLOOKUP($B81,CDM!$V$41:$AJ$54,3,FALSE)/2*$C81/78,0)</f>
        <v>44078.576101438186</v>
      </c>
      <c r="L81" s="7">
        <f t="shared" ca="1" si="167"/>
        <v>1032789.0557141075</v>
      </c>
      <c r="M81" s="7">
        <f>IFERROR(HLOOKUP(B81-1,'EV Forecast VRZ'!$F$124:$T$130,3,FALSE)/12,0)+IFERROR(((HLOOKUP(B81,'EV Forecast VRZ'!$F$116:$T$122,3,FALSE)-HLOOKUP(B81-1,'EV Forecast VRZ'!$F$124:$T$130,3,FALSE)))*C81/78,0)</f>
        <v>7478.9173303519046</v>
      </c>
      <c r="N81" s="7">
        <f ca="1">HLOOKUP(B81,Heating!$C$102:$O$106,3,FALSE)*INDEX(Weather!$BO$1:$CB$20,MATCH(B81,Weather!$BO$1:$BO$20,0),MATCH(C81,Weather!$BO$1:$CB$1,0))/VLOOKUP(B81,Weather!$BO$2:$CB$20,14,FALSE)*
VLOOKUP('Monthly Data'!$B81,Weather!$BO$3:$CB$20,14,FALSE)/Weather!$CB$14</f>
        <v>20.354250055148032</v>
      </c>
      <c r="O81" s="7">
        <f t="shared" ca="1" si="168"/>
        <v>1025289.7841337004</v>
      </c>
      <c r="P81" s="7">
        <v>24320120.879660275</v>
      </c>
      <c r="Q81" s="7">
        <f ca="1">IFERROR(VLOOKUP($B81-1,CDM!$V$4:$AJ$17,4,FALSE)/12,0)+IFERROR(VLOOKUP($B81,CDM!$V$41:$AJ$54,4,FALSE)/24,0)+IFERROR(VLOOKUP($B81,CDM!$V$41:$AJ$54,4,FALSE)/2*$C81/78,0)</f>
        <v>1531353.649040252</v>
      </c>
      <c r="R81" s="7">
        <f t="shared" ca="1" si="169"/>
        <v>25851474.528700527</v>
      </c>
      <c r="S81" s="7">
        <f>IFERROR(HLOOKUP(B81-1,'EV Forecast VRZ'!$F$124:$T$130,4,FALSE)/12,0)+IFERROR(((HLOOKUP(B81,'EV Forecast VRZ'!$F$116:$T$122,4,FALSE)-HLOOKUP(B81-1,'EV Forecast VRZ'!$F$124:$T$130,4,FALSE)))*C81/78,0)</f>
        <v>68097.501282051293</v>
      </c>
      <c r="T81" s="7">
        <f ca="1">HLOOKUP(B81,Heating!$C$102:$O$106,4,FALSE)*INDEX(Weather!$BO$1:$CB$20,MATCH(B81,Weather!$BO$1:$BO$20,0),MATCH(C81,Weather!$BO$1:$CB$1,0))/VLOOKUP(B81,Weather!$BO$2:$CB$20,14,FALSE)*
VLOOKUP('Monthly Data'!$B81,Weather!$BO$3:$CB$20,14,FALSE)/Weather!$CB$14</f>
        <v>405.37052425320888</v>
      </c>
      <c r="U81" s="7">
        <f t="shared" ca="1" si="170"/>
        <v>25782971.656894222</v>
      </c>
      <c r="V81" s="7">
        <v>80468686.62186341</v>
      </c>
      <c r="W81" s="7">
        <f ca="1">IFERROR(VLOOKUP($B81-1,CDM!$V$4:$AJ$17,5,FALSE)/12,0)+IFERROR(VLOOKUP($B81,CDM!$V$41:$AJ$54,5,FALSE)/24,0)+IFERROR(VLOOKUP($B81,CDM!$V$41:$AJ$54,5,FALSE)/2*$C81/78,0)</f>
        <v>6173569.2837844128</v>
      </c>
      <c r="X81" s="7">
        <f t="shared" ca="1" si="171"/>
        <v>86642255.905647829</v>
      </c>
      <c r="Y81" s="7">
        <f>IFERROR(HLOOKUP(B81-1,'EV Forecast VRZ'!$F$124:$T$130,5,FALSE)/12,0)+IFERROR(((HLOOKUP(B81,'EV Forecast VRZ'!$F$116:$T$122,5,FALSE)-HLOOKUP(B81-1,'EV Forecast VRZ'!$F$124:$T$130,5,FALSE)))*C81/78,0)</f>
        <v>31049.388397435898</v>
      </c>
      <c r="Z81" s="7">
        <f ca="1">HLOOKUP(B81,Heating!$C$102:$O$106,5,FALSE)*INDEX(Weather!$BO$1:$CB$20,MATCH(B81,Weather!$BO$1:$BO$20,0),MATCH(C81,Weather!$BO$1:$CB$1,0))/VLOOKUP(B81,Weather!$BO$2:$CB$20,14,FALSE)*
VLOOKUP('Monthly Data'!$B81,Weather!$BO$3:$CB$20,14,FALSE)/Weather!$CB$14</f>
        <v>216.11531438053836</v>
      </c>
      <c r="AA81" s="7">
        <f t="shared" ca="1" si="172"/>
        <v>86610990.40193601</v>
      </c>
      <c r="AB81" s="7">
        <v>9174140.6726059597</v>
      </c>
      <c r="AC81" s="7">
        <f ca="1">IFERROR(VLOOKUP($B81-1,CDM!$V$4:$AJ$17,6,FALSE)/12,0)+IFERROR(VLOOKUP($B81,CDM!$V$41:$AJ$54,6,FALSE)/24,0)+IFERROR(VLOOKUP($B81,CDM!$V$41:$AJ$54,6,FALSE)/2*$C81/78,0)</f>
        <v>275771.78485825181</v>
      </c>
      <c r="AD81" s="7">
        <f t="shared" ca="1" si="173"/>
        <v>9449912.4574642107</v>
      </c>
      <c r="AE81" s="7">
        <f>IFERROR(HLOOKUP(B81-1,'EV Forecast VRZ'!$F$124:$T$130,6,FALSE)/12,0)+IFERROR(((HLOOKUP(B81,'EV Forecast VRZ'!$F$116:$T$122,6,FALSE)-HLOOKUP(B81-1,'EV Forecast VRZ'!$F$124:$T$130,6,FALSE)))*C81/78,0)</f>
        <v>4057.6955769230772</v>
      </c>
      <c r="AF81" s="7">
        <f t="shared" ca="1" si="174"/>
        <v>9445854.7618872877</v>
      </c>
      <c r="AG81" s="7">
        <v>19251665.209930006</v>
      </c>
      <c r="AH81" s="7">
        <f ca="1">IFERROR(VLOOKUP($B81-1,CDM!$V$4:$AJ$17,7,FALSE)/12,0)+IFERROR(VLOOKUP($B81,CDM!$V$41:$AJ$54,7,FALSE)/24,0)+IFERROR(VLOOKUP($B81,CDM!$V$41:$AJ$54,7,FALSE)/2*$C81/78,0)</f>
        <v>1741854.8369466397</v>
      </c>
      <c r="AI81" s="7">
        <f t="shared" ca="1" si="175"/>
        <v>20993520.046876647</v>
      </c>
      <c r="AJ81" s="7">
        <f>IFERROR(HLOOKUP(B81-1,'EV Forecast VRZ'!$F$124:$T$130,7,FALSE)/12,0)+IFERROR(((HLOOKUP(B81,'EV Forecast VRZ'!$F$116:$T$122,7,FALSE)-HLOOKUP(B81-1,'EV Forecast VRZ'!$F$124:$T$130,7,FALSE)))*C81/78,0)</f>
        <v>107.69230769230769</v>
      </c>
      <c r="AK81" s="7">
        <f t="shared" ca="1" si="176"/>
        <v>20993412.354568955</v>
      </c>
      <c r="AL81" s="7">
        <v>803425.97786681924</v>
      </c>
      <c r="AM81" s="7">
        <v>17834.058385804234</v>
      </c>
      <c r="AN81" s="7">
        <v>379566.03701583669</v>
      </c>
      <c r="AO81" s="5">
        <v>201499.42</v>
      </c>
      <c r="AP81" s="5">
        <v>19492.509999999998</v>
      </c>
      <c r="AQ81" s="5">
        <v>38908</v>
      </c>
      <c r="AR81" s="5">
        <v>2570.35</v>
      </c>
      <c r="AS81" s="544">
        <f t="shared" si="234"/>
        <v>50.083333333333336</v>
      </c>
      <c r="AT81" s="557">
        <v>114334.33333333337</v>
      </c>
      <c r="AU81" s="557">
        <v>1559.6666666666661</v>
      </c>
      <c r="AV81" s="557">
        <v>9430.3333333333285</v>
      </c>
      <c r="AW81" s="557">
        <v>1032</v>
      </c>
      <c r="AX81" s="557">
        <v>5.3333333333333357</v>
      </c>
      <c r="AY81" s="557">
        <v>4</v>
      </c>
      <c r="AZ81" s="557">
        <v>31808.666666666657</v>
      </c>
      <c r="BA81" s="557">
        <v>245.66666666666674</v>
      </c>
      <c r="BB81" s="557">
        <v>800.33333333333303</v>
      </c>
      <c r="BC81" s="560">
        <v>42989886.962856412</v>
      </c>
      <c r="BD81" s="560">
        <f ca="1">IFERROR(VLOOKUP($B81-1,CDM!$V$4:$AJ$17,11,FALSE)/12,0)+IFERROR(VLOOKUP($B81,CDM!$V$41:$AJ$54,11,FALSE)/24,0)+IFERROR(VLOOKUP($B81,CDM!$V$41:$AJ$54,11,FALSE)/2*$C81/78,0)</f>
        <v>1701927.2209020855</v>
      </c>
      <c r="BE81" s="560">
        <f t="shared" ca="1" si="188"/>
        <v>44691814.183758497</v>
      </c>
      <c r="BF81" s="560">
        <f>IFERROR(HLOOKUP(B81-1,'EV Forecast WRZ'!$F$124:$T$130,2,FALSE)/12,0)+IFERROR(((HLOOKUP(B81,'EV Forecast WRZ'!$F$116:$T$122,2,FALSE)-HLOOKUP(B81-1,'EV Forecast WRZ'!$F$124:$T$130,2,FALSE)))*C81/78,0)</f>
        <v>174712.4573076923</v>
      </c>
      <c r="BG81" s="560">
        <f ca="1">HLOOKUP(B81,Heating!$R$102:$AD$106,2,FALSE)*INDEX(Weather!$BO$1:$CB$20,MATCH(B81,Weather!$BO$1:$BO$20,0),MATCH(C81,Weather!$BO$1:$CB$1,0))/VLOOKUP(B81,Weather!$BO$2:$CB$20,14,FALSE)*
VLOOKUP('Monthly Data'!$B81,Weather!$BO$3:$CB$20,14,FALSE)/Weather!$CB$14</f>
        <v>732.05572373357575</v>
      </c>
      <c r="BH81" s="560">
        <f t="shared" ca="1" si="177"/>
        <v>44516369.670727074</v>
      </c>
      <c r="BI81" s="560">
        <v>7765088.4921082836</v>
      </c>
      <c r="BJ81" s="560">
        <f ca="1">IFERROR(VLOOKUP($B81-1,CDM!$V$4:$AJ$17,12,FALSE)/12,0)+IFERROR(VLOOKUP($B81,CDM!$V$41:$AJ$54,12,FALSE)/24,0)+IFERROR(VLOOKUP($B81,CDM!$V$41:$AJ$54,12,FALSE)/2*$C81/78,0)</f>
        <v>264967.97763817001</v>
      </c>
      <c r="BK81" s="560">
        <f t="shared" ca="1" si="178"/>
        <v>8030056.4697464537</v>
      </c>
      <c r="BL81" s="560">
        <f>IFERROR(HLOOKUP(B81-1,'EV Forecast WRZ'!$F$124:$T$130,3,FALSE)/12,0)+IFERROR(((HLOOKUP(B81,'EV Forecast WRZ'!$F$116:$T$122,3,FALSE)-HLOOKUP(B81-1,'EV Forecast WRZ'!$F$124:$T$130,3,FALSE)))*C81/78,0)</f>
        <v>21622.166923076926</v>
      </c>
      <c r="BM81" s="560">
        <f ca="1">HLOOKUP(B81,Heating!$R$102:$AD$106,4,FALSE)*INDEX(Weather!$BO$1:$CB$20,MATCH(B81,Weather!$BO$1:$BO$20,0),MATCH(C81,Weather!$BO$1:$CB$1,0))/VLOOKUP(B81,Weather!$BO$2:$CB$20,14,FALSE)*
VLOOKUP('Monthly Data'!$B81,Weather!$BO$3:$CB$20,14,FALSE)/Weather!$CB$14</f>
        <v>112.35108949179724</v>
      </c>
      <c r="BN81" s="560">
        <f t="shared" ca="1" si="179"/>
        <v>8008321.9517338853</v>
      </c>
      <c r="BO81" s="560">
        <v>28778089.731612127</v>
      </c>
      <c r="BP81" s="560">
        <f ca="1">IFERROR(VLOOKUP($B81-1,CDM!$V$4:$AJ$17,13,FALSE)/12,0)+IFERROR(VLOOKUP($B81,CDM!$V$41:$AJ$54,13,FALSE)/24,0)+IFERROR(VLOOKUP($B81,CDM!$V$41:$AJ$54,13,FALSE)/2*$C81/78,0)</f>
        <v>2592995.5403054636</v>
      </c>
      <c r="BQ81" s="560">
        <f t="shared" ca="1" si="180"/>
        <v>31371085.271917589</v>
      </c>
      <c r="BR81" s="560">
        <f>IFERROR(HLOOKUP(B81-1,'EV Forecast WRZ'!$F$124:$T$130,4,FALSE)/12,0)+IFERROR(((HLOOKUP(B81,'EV Forecast WRZ'!$F$116:$T$122,4,FALSE)-HLOOKUP(B81-1,'EV Forecast WRZ'!$F$124:$T$130,4,FALSE)))*C81/78,0)</f>
        <v>9741.5776794871781</v>
      </c>
      <c r="BS81" s="560">
        <f ca="1">HLOOKUP(B81,Heating!$R$102:$AD$106,5,FALSE)*INDEX(Weather!$BO$1:$CB$20,MATCH(B81,Weather!$BO$1:$BO$20,0),MATCH(C81,Weather!$BO$1:$CB$1,0))/VLOOKUP(B81,Weather!$BO$2:$CB$20,14,FALSE)*
VLOOKUP('Monthly Data'!$B81,Weather!$BO$3:$CB$20,14,FALSE)/Weather!$CB$14</f>
        <v>63.80327315751267</v>
      </c>
      <c r="BT81" s="560">
        <f t="shared" ca="1" si="181"/>
        <v>31361279.890964944</v>
      </c>
      <c r="BU81" s="560">
        <v>7336752.6711668279</v>
      </c>
      <c r="BV81" s="560">
        <f ca="1">IFERROR(VLOOKUP($B81-1,CDM!$V$4:$AJ$17,14,FALSE)/12,0)+IFERROR(VLOOKUP($B81,CDM!$V$41:$AJ$54,14,FALSE)/24,0)+IFERROR(VLOOKUP($B81,CDM!$V$41:$AJ$54,14,FALSE)/2*$C81/78,0)</f>
        <v>583158.72977242782</v>
      </c>
      <c r="BW81" s="560">
        <f t="shared" ca="1" si="182"/>
        <v>7919911.400939256</v>
      </c>
      <c r="BX81" s="560">
        <f>IFERROR(HLOOKUP(B81-1,'EV Forecast WRZ'!$F$124:$T$130,5,FALSE)/12,0)+IFERROR(((HLOOKUP(B81,'EV Forecast WRZ'!$F$116:$T$122,5,FALSE)-HLOOKUP(B81-1,'EV Forecast WRZ'!$F$124:$T$130,5,FALSE)))*C81/78,0)</f>
        <v>1369.826294871795</v>
      </c>
      <c r="BY81" s="560">
        <f t="shared" ca="1" si="189"/>
        <v>7918541.574644384</v>
      </c>
      <c r="BZ81" s="560">
        <v>250855.00286971492</v>
      </c>
      <c r="CA81" s="560">
        <v>2579.3678501989016</v>
      </c>
      <c r="CB81" s="560">
        <v>155772.97685096614</v>
      </c>
      <c r="CC81" s="5">
        <v>71826.009999999995</v>
      </c>
      <c r="CD81" s="5">
        <v>13505.62</v>
      </c>
      <c r="CE81" s="5">
        <v>803</v>
      </c>
      <c r="CF81" s="544">
        <f t="shared" si="235"/>
        <v>7.916666666666667</v>
      </c>
      <c r="CG81" s="565">
        <v>44145.666666666686</v>
      </c>
      <c r="CH81" s="565">
        <v>2391.3333333333321</v>
      </c>
      <c r="CI81" s="565">
        <v>384.33333333333348</v>
      </c>
      <c r="CJ81" s="565">
        <v>3</v>
      </c>
      <c r="CK81" s="565">
        <v>13372.666666666672</v>
      </c>
      <c r="CL81" s="565">
        <v>46.333333333333314</v>
      </c>
      <c r="CM81" s="565">
        <v>393.33333333333348</v>
      </c>
      <c r="CN81" s="46">
        <f>Weather!C105</f>
        <v>7.3916666666666764</v>
      </c>
      <c r="CO81" s="46">
        <f>Weather!D105</f>
        <v>49.674999999999997</v>
      </c>
      <c r="CP81" s="46">
        <f>Weather!E105</f>
        <v>0.76250000000000284</v>
      </c>
      <c r="CQ81" s="46">
        <f>Weather!F105</f>
        <v>105.04583333333332</v>
      </c>
      <c r="CR81" s="46">
        <f>Weather!G105</f>
        <v>0</v>
      </c>
      <c r="CS81" s="46">
        <f>Weather!H105</f>
        <v>166.28333333333327</v>
      </c>
      <c r="CT81" s="46">
        <f>Weather!I105</f>
        <v>0</v>
      </c>
      <c r="CU81" s="46">
        <f>Weather!J105</f>
        <v>228.28333333333333</v>
      </c>
      <c r="CV81" s="46">
        <f>Weather!K105</f>
        <v>0</v>
      </c>
      <c r="CW81" s="46">
        <f>Weather!L105</f>
        <v>290.28333333333336</v>
      </c>
      <c r="CX81" s="46">
        <f>Weather!M105</f>
        <v>0</v>
      </c>
      <c r="CY81" s="46">
        <f>Weather!N105</f>
        <v>352.28333333333342</v>
      </c>
      <c r="CZ81" s="46">
        <f>Weather!O105</f>
        <v>0</v>
      </c>
      <c r="DA81" s="46">
        <f>Weather!P105</f>
        <v>414.28333333333336</v>
      </c>
      <c r="DB81" s="243">
        <f>'Economic Data'!D107</f>
        <v>7778</v>
      </c>
      <c r="DC81" s="243">
        <f>'Economic Data'!E107</f>
        <v>7852.4</v>
      </c>
      <c r="DD81" s="243">
        <f>'Economic Data'!F107</f>
        <v>235.2</v>
      </c>
      <c r="DE81" s="243">
        <f>'Economic Data'!G107</f>
        <v>235.2</v>
      </c>
      <c r="DF81" s="243">
        <f>'Economic Data'!H107</f>
        <v>64.5</v>
      </c>
      <c r="DG81" s="243">
        <f>'Economic Data'!I107</f>
        <v>64.5</v>
      </c>
      <c r="DH81" s="243">
        <f>'Economic Data'!J107</f>
        <v>850461.9</v>
      </c>
      <c r="DI81" s="243">
        <f>'Economic Data'!K107</f>
        <v>662856.4</v>
      </c>
      <c r="DJ81" s="243">
        <f>'Economic Data'!L107</f>
        <v>96870.8</v>
      </c>
      <c r="DK81" s="243">
        <f>'Economic Data'!M107</f>
        <v>30149.3</v>
      </c>
      <c r="DL81" s="243">
        <f>'Economic Data'!N107</f>
        <v>856819</v>
      </c>
      <c r="DM81" s="243">
        <f>'Economic Data'!O107</f>
        <v>93556</v>
      </c>
      <c r="DN81" s="243">
        <f>'Economic Data'!P107</f>
        <v>17237</v>
      </c>
      <c r="DO81" s="243">
        <f>'Economic Data'!Q107</f>
        <v>673371</v>
      </c>
      <c r="DP81" s="243">
        <f>'Economic Data'!R107</f>
        <v>31375</v>
      </c>
      <c r="DQ81">
        <v>31</v>
      </c>
      <c r="DR81">
        <v>22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1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f t="shared" si="185"/>
        <v>80</v>
      </c>
      <c r="EI81">
        <v>0.5</v>
      </c>
      <c r="EJ81">
        <v>0.25</v>
      </c>
      <c r="EK81">
        <v>0.5</v>
      </c>
      <c r="EL81">
        <v>0</v>
      </c>
      <c r="EM81" s="47">
        <f t="shared" si="190"/>
        <v>1.8479166666666691</v>
      </c>
      <c r="EN81" s="47">
        <f t="shared" si="191"/>
        <v>12.418749999999999</v>
      </c>
      <c r="EO81" s="47">
        <f t="shared" si="192"/>
        <v>0.19062500000000071</v>
      </c>
      <c r="EP81" s="47">
        <f t="shared" si="193"/>
        <v>26.26145833333333</v>
      </c>
      <c r="EQ81" s="47">
        <f t="shared" si="194"/>
        <v>0</v>
      </c>
      <c r="ER81" s="47">
        <f t="shared" si="195"/>
        <v>41.570833333333319</v>
      </c>
      <c r="ES81" s="47">
        <f t="shared" si="196"/>
        <v>0</v>
      </c>
      <c r="ET81" s="47">
        <f t="shared" si="197"/>
        <v>57.070833333333333</v>
      </c>
      <c r="EU81" s="47">
        <f t="shared" si="198"/>
        <v>0</v>
      </c>
      <c r="EV81" s="47">
        <f t="shared" si="199"/>
        <v>72.57083333333334</v>
      </c>
      <c r="EW81" s="47">
        <f t="shared" si="200"/>
        <v>0</v>
      </c>
      <c r="EX81" s="47">
        <f t="shared" si="201"/>
        <v>88.070833333333354</v>
      </c>
      <c r="EY81" s="47">
        <f t="shared" si="202"/>
        <v>0</v>
      </c>
      <c r="EZ81" s="47">
        <f t="shared" si="203"/>
        <v>103.57083333333334</v>
      </c>
      <c r="FA81" s="47">
        <f t="shared" si="204"/>
        <v>3.6958333333333382</v>
      </c>
      <c r="FB81" s="47">
        <f t="shared" si="205"/>
        <v>24.837499999999999</v>
      </c>
      <c r="FC81" s="47">
        <f t="shared" si="206"/>
        <v>0.38125000000000142</v>
      </c>
      <c r="FD81" s="47">
        <f t="shared" si="207"/>
        <v>52.52291666666666</v>
      </c>
      <c r="FE81" s="47">
        <f t="shared" si="208"/>
        <v>0</v>
      </c>
      <c r="FF81" s="47">
        <f t="shared" si="209"/>
        <v>83.141666666666637</v>
      </c>
      <c r="FG81" s="47">
        <f t="shared" si="210"/>
        <v>0</v>
      </c>
      <c r="FH81" s="47">
        <f t="shared" si="211"/>
        <v>114.14166666666667</v>
      </c>
      <c r="FI81" s="47">
        <f t="shared" si="212"/>
        <v>0</v>
      </c>
      <c r="FJ81" s="47">
        <f t="shared" si="213"/>
        <v>145.14166666666668</v>
      </c>
      <c r="FK81" s="47">
        <f t="shared" si="214"/>
        <v>0</v>
      </c>
      <c r="FL81" s="47">
        <f t="shared" si="215"/>
        <v>176.14166666666671</v>
      </c>
      <c r="FM81" s="47">
        <f t="shared" si="216"/>
        <v>0</v>
      </c>
      <c r="FN81" s="47">
        <f t="shared" si="217"/>
        <v>207.14166666666668</v>
      </c>
      <c r="FO81" s="546">
        <f t="shared" ca="1" si="218"/>
        <v>917.39533815667403</v>
      </c>
      <c r="FP81" s="546">
        <f t="shared" ca="1" si="219"/>
        <v>662.18575916698512</v>
      </c>
      <c r="FQ81" s="546">
        <f t="shared" ca="1" si="220"/>
        <v>2741.3107909265004</v>
      </c>
      <c r="FR81" s="546">
        <f t="shared" ca="1" si="221"/>
        <v>83955.674327178131</v>
      </c>
      <c r="FS81" s="546">
        <f t="shared" ca="1" si="222"/>
        <v>1771858.5857745388</v>
      </c>
      <c r="FT81" s="546">
        <f t="shared" ca="1" si="223"/>
        <v>5248380.0117191616</v>
      </c>
      <c r="FU81" s="546">
        <f t="shared" si="224"/>
        <v>25.258084102869852</v>
      </c>
      <c r="FV81" s="546">
        <f t="shared" si="225"/>
        <v>72.594538883870669</v>
      </c>
      <c r="FW81" s="546">
        <f t="shared" si="226"/>
        <v>474.25993796231177</v>
      </c>
      <c r="FX81" s="546">
        <f t="shared" ca="1" si="227"/>
        <v>1012.3714864522409</v>
      </c>
      <c r="FY81" s="546">
        <f t="shared" ca="1" si="228"/>
        <v>3357.9829117980726</v>
      </c>
      <c r="FZ81" s="546">
        <f t="shared" ca="1" si="229"/>
        <v>81624.679805509746</v>
      </c>
      <c r="GA81" s="546">
        <f t="shared" si="230"/>
        <v>83618.334289904975</v>
      </c>
      <c r="GB81" s="546">
        <f t="shared" si="231"/>
        <v>18.758786794185763</v>
      </c>
      <c r="GC81" s="546">
        <f t="shared" si="232"/>
        <v>55.669809716523076</v>
      </c>
      <c r="GD81" s="546">
        <f t="shared" si="233"/>
        <v>396.03299199398157</v>
      </c>
    </row>
    <row r="82" spans="1:186">
      <c r="A82" s="4">
        <v>44805</v>
      </c>
      <c r="B82" s="6">
        <v>2022</v>
      </c>
      <c r="C82" s="5">
        <v>9</v>
      </c>
      <c r="D82" s="7">
        <v>72566060.695831984</v>
      </c>
      <c r="E82" s="7">
        <f ca="1">IFERROR(VLOOKUP($B82-1,CDM!$V$4:$AJ$17,2,FALSE)/12,0)+IFERROR(VLOOKUP($B82,CDM!$V$41:$AJ$54,2,FALSE)/24,0)+IFERROR(VLOOKUP($B82,CDM!$V$41:$AJ$54,2,FALSE)/2*$C82/78,0)</f>
        <v>3848700.813038277</v>
      </c>
      <c r="F82" s="7">
        <f t="shared" ca="1" si="165"/>
        <v>76414761.508870259</v>
      </c>
      <c r="G82" s="7">
        <f>IFERROR(HLOOKUP(B82-1,'EV Forecast VRZ'!$F$124:$T$130,2,FALSE)/12,0)+IFERROR(((HLOOKUP(B82,'EV Forecast VRZ'!$F$116:$T$122,2,FALSE)-HLOOKUP(B82-1,'EV Forecast VRZ'!$F$124:$T$130,2,FALSE)))*C82/78,0)</f>
        <v>572429.75142036169</v>
      </c>
      <c r="H82" s="7">
        <f ca="1">HLOOKUP(B82,Heating!$C$102:$O$106,2,FALSE)*INDEX(Weather!$BO$1:$CB$20,MATCH(B82,Weather!$BO$1:$BO$20,0),MATCH(C82,Weather!$BO$1:$CB$1,0))/VLOOKUP(B82,Weather!$BO$2:$CB$20,14,FALSE)*
VLOOKUP('Monthly Data'!$B82,Weather!$BO$3:$CB$20,14,FALSE)/Weather!$CB$14</f>
        <v>154860.71463516529</v>
      </c>
      <c r="I82" s="7">
        <f t="shared" ca="1" si="166"/>
        <v>75687471.042814732</v>
      </c>
      <c r="J82" s="7">
        <v>772425.06958595791</v>
      </c>
      <c r="K82" s="7">
        <f ca="1">IFERROR(VLOOKUP($B82-1,CDM!$V$4:$AJ$17,3,FALSE)/12,0)+IFERROR(VLOOKUP($B82,CDM!$V$41:$AJ$54,3,FALSE)/24,0)+IFERROR(VLOOKUP($B82,CDM!$V$41:$AJ$54,3,FALSE)/2*$C82/78,0)</f>
        <v>44082.263144514785</v>
      </c>
      <c r="L82" s="7">
        <f t="shared" ca="1" si="167"/>
        <v>816507.33273047267</v>
      </c>
      <c r="M82" s="7">
        <f>IFERROR(HLOOKUP(B82-1,'EV Forecast VRZ'!$F$124:$T$130,3,FALSE)/12,0)+IFERROR(((HLOOKUP(B82,'EV Forecast VRZ'!$F$116:$T$122,3,FALSE)-HLOOKUP(B82-1,'EV Forecast VRZ'!$F$124:$T$130,3,FALSE)))*C82/78,0)</f>
        <v>7767.3803745101632</v>
      </c>
      <c r="N82" s="7">
        <f ca="1">HLOOKUP(B82,Heating!$C$102:$O$106,3,FALSE)*INDEX(Weather!$BO$1:$CB$20,MATCH(B82,Weather!$BO$1:$BO$20,0),MATCH(C82,Weather!$BO$1:$CB$1,0))/VLOOKUP(B82,Weather!$BO$2:$CB$20,14,FALSE)*
VLOOKUP('Monthly Data'!$B82,Weather!$BO$3:$CB$20,14,FALSE)/Weather!$CB$14</f>
        <v>1906.2923043452502</v>
      </c>
      <c r="O82" s="7">
        <f t="shared" ca="1" si="168"/>
        <v>806833.66005161719</v>
      </c>
      <c r="P82" s="7">
        <v>20270303.670597211</v>
      </c>
      <c r="Q82" s="7">
        <f ca="1">IFERROR(VLOOKUP($B82-1,CDM!$V$4:$AJ$17,4,FALSE)/12,0)+IFERROR(VLOOKUP($B82,CDM!$V$41:$AJ$54,4,FALSE)/24,0)+IFERROR(VLOOKUP($B82,CDM!$V$41:$AJ$54,4,FALSE)/2*$C82/78,0)</f>
        <v>1539876.2091293593</v>
      </c>
      <c r="R82" s="7">
        <f t="shared" ca="1" si="169"/>
        <v>21810179.87972657</v>
      </c>
      <c r="S82" s="7">
        <f>IFERROR(HLOOKUP(B82-1,'EV Forecast VRZ'!$F$124:$T$130,4,FALSE)/12,0)+IFERROR(((HLOOKUP(B82,'EV Forecast VRZ'!$F$116:$T$122,4,FALSE)-HLOOKUP(B82-1,'EV Forecast VRZ'!$F$124:$T$130,4,FALSE)))*C82/78,0)</f>
        <v>70736.201025641029</v>
      </c>
      <c r="T82" s="7">
        <f ca="1">HLOOKUP(B82,Heating!$C$102:$O$106,4,FALSE)*INDEX(Weather!$BO$1:$CB$20,MATCH(B82,Weather!$BO$1:$BO$20,0),MATCH(C82,Weather!$BO$1:$CB$1,0))/VLOOKUP(B82,Weather!$BO$2:$CB$20,14,FALSE)*
VLOOKUP('Monthly Data'!$B82,Weather!$BO$3:$CB$20,14,FALSE)/Weather!$CB$14</f>
        <v>37965.275492763503</v>
      </c>
      <c r="U82" s="7">
        <f t="shared" ca="1" si="170"/>
        <v>21701478.403208163</v>
      </c>
      <c r="V82" s="7">
        <v>72125400.931562304</v>
      </c>
      <c r="W82" s="7">
        <f ca="1">IFERROR(VLOOKUP($B82-1,CDM!$V$4:$AJ$17,5,FALSE)/12,0)+IFERROR(VLOOKUP($B82,CDM!$V$41:$AJ$54,5,FALSE)/24,0)+IFERROR(VLOOKUP($B82,CDM!$V$41:$AJ$54,5,FALSE)/2*$C82/78,0)</f>
        <v>6232594.3766268715</v>
      </c>
      <c r="X82" s="7">
        <f t="shared" ca="1" si="171"/>
        <v>78357995.308189183</v>
      </c>
      <c r="Y82" s="7">
        <f>IFERROR(HLOOKUP(B82-1,'EV Forecast VRZ'!$F$124:$T$130,5,FALSE)/12,0)+IFERROR(((HLOOKUP(B82,'EV Forecast VRZ'!$F$116:$T$122,5,FALSE)-HLOOKUP(B82-1,'EV Forecast VRZ'!$F$124:$T$130,5,FALSE)))*C82/78,0)</f>
        <v>32271.867384615383</v>
      </c>
      <c r="Z82" s="7">
        <f ca="1">HLOOKUP(B82,Heating!$C$102:$O$106,5,FALSE)*INDEX(Weather!$BO$1:$CB$20,MATCH(B82,Weather!$BO$1:$BO$20,0),MATCH(C82,Weather!$BO$1:$CB$1,0))/VLOOKUP(B82,Weather!$BO$2:$CB$20,14,FALSE)*
VLOOKUP('Monthly Data'!$B82,Weather!$BO$3:$CB$20,14,FALSE)/Weather!$CB$14</f>
        <v>20240.439197639524</v>
      </c>
      <c r="AA82" s="7">
        <f t="shared" ca="1" si="172"/>
        <v>78305483.001606926</v>
      </c>
      <c r="AB82" s="7">
        <v>8517384.0873153582</v>
      </c>
      <c r="AC82" s="7">
        <f ca="1">IFERROR(VLOOKUP($B82-1,CDM!$V$4:$AJ$17,6,FALSE)/12,0)+IFERROR(VLOOKUP($B82,CDM!$V$41:$AJ$54,6,FALSE)/24,0)+IFERROR(VLOOKUP($B82,CDM!$V$41:$AJ$54,6,FALSE)/2*$C82/78,0)</f>
        <v>278071.28159723664</v>
      </c>
      <c r="AD82" s="7">
        <f t="shared" ca="1" si="173"/>
        <v>8795455.3689125944</v>
      </c>
      <c r="AE82" s="7">
        <f>IFERROR(HLOOKUP(B82-1,'EV Forecast VRZ'!$F$124:$T$130,6,FALSE)/12,0)+IFERROR(((HLOOKUP(B82,'EV Forecast VRZ'!$F$116:$T$122,6,FALSE)-HLOOKUP(B82-1,'EV Forecast VRZ'!$F$124:$T$130,6,FALSE)))*C82/78,0)</f>
        <v>4208.7331282051291</v>
      </c>
      <c r="AF82" s="7">
        <f t="shared" ca="1" si="174"/>
        <v>8791246.6357843895</v>
      </c>
      <c r="AG82" s="7">
        <v>23706315.860639367</v>
      </c>
      <c r="AH82" s="7">
        <f ca="1">IFERROR(VLOOKUP($B82-1,CDM!$V$4:$AJ$17,7,FALSE)/12,0)+IFERROR(VLOOKUP($B82,CDM!$V$41:$AJ$54,7,FALSE)/24,0)+IFERROR(VLOOKUP($B82,CDM!$V$41:$AJ$54,7,FALSE)/2*$C82/78,0)</f>
        <v>1743283.0075109443</v>
      </c>
      <c r="AI82" s="7">
        <f t="shared" ca="1" si="175"/>
        <v>25449598.868150312</v>
      </c>
      <c r="AJ82" s="7">
        <f>IFERROR(HLOOKUP(B82-1,'EV Forecast VRZ'!$F$124:$T$130,7,FALSE)/12,0)+IFERROR(((HLOOKUP(B82,'EV Forecast VRZ'!$F$116:$T$122,7,FALSE)-HLOOKUP(B82-1,'EV Forecast VRZ'!$F$124:$T$130,7,FALSE)))*C82/78,0)</f>
        <v>121.15384615384616</v>
      </c>
      <c r="AK82" s="7">
        <f t="shared" ca="1" si="176"/>
        <v>25449477.71430416</v>
      </c>
      <c r="AL82" s="7">
        <v>886745.79278763593</v>
      </c>
      <c r="AM82" s="7">
        <v>17218.030910131652</v>
      </c>
      <c r="AN82" s="7">
        <v>379396.23163518414</v>
      </c>
      <c r="AO82" s="5">
        <v>192558.75</v>
      </c>
      <c r="AP82" s="5">
        <v>19427.25</v>
      </c>
      <c r="AQ82" s="5">
        <v>40974</v>
      </c>
      <c r="AR82" s="5">
        <v>2570.35</v>
      </c>
      <c r="AS82" s="544">
        <f t="shared" si="234"/>
        <v>50.083333333333336</v>
      </c>
      <c r="AT82" s="557">
        <v>114450.00000000004</v>
      </c>
      <c r="AU82" s="557">
        <v>1559.9999999999993</v>
      </c>
      <c r="AV82" s="557">
        <v>9441.7499999999945</v>
      </c>
      <c r="AW82" s="557">
        <v>1028.5</v>
      </c>
      <c r="AX82" s="557">
        <v>5.2500000000000027</v>
      </c>
      <c r="AY82" s="557">
        <v>4</v>
      </c>
      <c r="AZ82" s="557">
        <v>31817.749999999989</v>
      </c>
      <c r="BA82" s="557">
        <v>245.50000000000009</v>
      </c>
      <c r="BB82" s="557">
        <v>799.99999999999966</v>
      </c>
      <c r="BC82" s="560">
        <v>30554547.585402809</v>
      </c>
      <c r="BD82" s="560">
        <f ca="1">IFERROR(VLOOKUP($B82-1,CDM!$V$4:$AJ$17,11,FALSE)/12,0)+IFERROR(VLOOKUP($B82,CDM!$V$41:$AJ$54,11,FALSE)/24,0)+IFERROR(VLOOKUP($B82,CDM!$V$41:$AJ$54,11,FALSE)/2*$C82/78,0)</f>
        <v>1702218.242748173</v>
      </c>
      <c r="BE82" s="560">
        <f t="shared" ca="1" si="188"/>
        <v>32256765.82815098</v>
      </c>
      <c r="BF82" s="560">
        <f>IFERROR(HLOOKUP(B82-1,'EV Forecast WRZ'!$F$124:$T$130,2,FALSE)/12,0)+IFERROR(((HLOOKUP(B82,'EV Forecast WRZ'!$F$116:$T$122,2,FALSE)-HLOOKUP(B82-1,'EV Forecast WRZ'!$F$124:$T$130,2,FALSE)))*C82/78,0)</f>
        <v>181017.94717948718</v>
      </c>
      <c r="BG82" s="560">
        <f ca="1">HLOOKUP(B82,Heating!$R$102:$AD$106,2,FALSE)*INDEX(Weather!$BO$1:$CB$20,MATCH(B82,Weather!$BO$1:$BO$20,0),MATCH(C82,Weather!$BO$1:$CB$1,0))/VLOOKUP(B82,Weather!$BO$2:$CB$20,14,FALSE)*
VLOOKUP('Monthly Data'!$B82,Weather!$BO$3:$CB$20,14,FALSE)/Weather!$CB$14</f>
        <v>68561.21884737545</v>
      </c>
      <c r="BH82" s="560">
        <f t="shared" ca="1" si="177"/>
        <v>32007186.662124116</v>
      </c>
      <c r="BI82" s="560">
        <v>6510144.5925865592</v>
      </c>
      <c r="BJ82" s="560">
        <f ca="1">IFERROR(VLOOKUP($B82-1,CDM!$V$4:$AJ$17,12,FALSE)/12,0)+IFERROR(VLOOKUP($B82,CDM!$V$41:$AJ$54,12,FALSE)/24,0)+IFERROR(VLOOKUP($B82,CDM!$V$41:$AJ$54,12,FALSE)/2*$C82/78,0)</f>
        <v>267290.43405187415</v>
      </c>
      <c r="BK82" s="560">
        <f t="shared" ca="1" si="178"/>
        <v>6777435.0266384333</v>
      </c>
      <c r="BL82" s="560">
        <f>IFERROR(HLOOKUP(B82-1,'EV Forecast WRZ'!$F$124:$T$130,3,FALSE)/12,0)+IFERROR(((HLOOKUP(B82,'EV Forecast WRZ'!$F$116:$T$122,3,FALSE)-HLOOKUP(B82-1,'EV Forecast WRZ'!$F$124:$T$130,3,FALSE)))*C82/78,0)</f>
        <v>22439.554871794873</v>
      </c>
      <c r="BM82" s="560">
        <f ca="1">HLOOKUP(B82,Heating!$R$102:$AD$106,4,FALSE)*INDEX(Weather!$BO$1:$CB$20,MATCH(B82,Weather!$BO$1:$BO$20,0),MATCH(C82,Weather!$BO$1:$CB$1,0))/VLOOKUP(B82,Weather!$BO$2:$CB$20,14,FALSE)*
VLOOKUP('Monthly Data'!$B82,Weather!$BO$3:$CB$20,14,FALSE)/Weather!$CB$14</f>
        <v>10522.324168305497</v>
      </c>
      <c r="BN82" s="560">
        <f t="shared" ca="1" si="179"/>
        <v>6744473.1475983327</v>
      </c>
      <c r="BO82" s="560">
        <v>25416625.676373459</v>
      </c>
      <c r="BP82" s="560">
        <f ca="1">IFERROR(VLOOKUP($B82-1,CDM!$V$4:$AJ$17,13,FALSE)/12,0)+IFERROR(VLOOKUP($B82,CDM!$V$41:$AJ$54,13,FALSE)/24,0)+IFERROR(VLOOKUP($B82,CDM!$V$41:$AJ$54,13,FALSE)/2*$C82/78,0)</f>
        <v>2624449.9954387373</v>
      </c>
      <c r="BQ82" s="560">
        <f t="shared" ca="1" si="180"/>
        <v>28041075.671812195</v>
      </c>
      <c r="BR82" s="560">
        <f>IFERROR(HLOOKUP(B82-1,'EV Forecast WRZ'!$F$124:$T$130,4,FALSE)/12,0)+IFERROR(((HLOOKUP(B82,'EV Forecast WRZ'!$F$116:$T$122,4,FALSE)-HLOOKUP(B82-1,'EV Forecast WRZ'!$F$124:$T$130,4,FALSE)))*C82/78,0)</f>
        <v>10106.165076923076</v>
      </c>
      <c r="BS82" s="560">
        <f ca="1">HLOOKUP(B82,Heating!$R$102:$AD$106,5,FALSE)*INDEX(Weather!$BO$1:$CB$20,MATCH(B82,Weather!$BO$1:$BO$20,0),MATCH(C82,Weather!$BO$1:$CB$1,0))/VLOOKUP(B82,Weather!$BO$2:$CB$20,14,FALSE)*
VLOOKUP('Monthly Data'!$B82,Weather!$BO$3:$CB$20,14,FALSE)/Weather!$CB$14</f>
        <v>5975.5426155552213</v>
      </c>
      <c r="BT82" s="560">
        <f t="shared" ca="1" si="181"/>
        <v>28024993.964119717</v>
      </c>
      <c r="BU82" s="560">
        <v>6693842.1890067505</v>
      </c>
      <c r="BV82" s="560">
        <f ca="1">IFERROR(VLOOKUP($B82-1,CDM!$V$4:$AJ$17,14,FALSE)/12,0)+IFERROR(VLOOKUP($B82,CDM!$V$41:$AJ$54,14,FALSE)/24,0)+IFERROR(VLOOKUP($B82,CDM!$V$41:$AJ$54,14,FALSE)/2*$C82/78,0)</f>
        <v>590240.90551684238</v>
      </c>
      <c r="BW82" s="560">
        <f t="shared" ca="1" si="182"/>
        <v>7284083.0945235929</v>
      </c>
      <c r="BX82" s="560">
        <f>IFERROR(HLOOKUP(B82-1,'EV Forecast WRZ'!$F$124:$T$130,5,FALSE)/12,0)+IFERROR(((HLOOKUP(B82,'EV Forecast WRZ'!$F$116:$T$122,5,FALSE)-HLOOKUP(B82-1,'EV Forecast WRZ'!$F$124:$T$130,5,FALSE)))*C82/78,0)</f>
        <v>1428.0354358974359</v>
      </c>
      <c r="BY82" s="560">
        <f t="shared" ca="1" si="189"/>
        <v>7282655.0590876956</v>
      </c>
      <c r="BZ82" s="560">
        <v>276870.00191314326</v>
      </c>
      <c r="CA82" s="560">
        <v>2008.0984605575347</v>
      </c>
      <c r="CB82" s="560">
        <v>155826.97532045149</v>
      </c>
      <c r="CC82" s="5">
        <v>67268.72</v>
      </c>
      <c r="CD82" s="5">
        <v>13070.09</v>
      </c>
      <c r="CE82" s="5">
        <v>803</v>
      </c>
      <c r="CF82" s="544">
        <f t="shared" si="235"/>
        <v>7.916666666666667</v>
      </c>
      <c r="CG82" s="565">
        <v>44233.750000000022</v>
      </c>
      <c r="CH82" s="565">
        <v>2396.4999999999986</v>
      </c>
      <c r="CI82" s="565">
        <v>383.00000000000017</v>
      </c>
      <c r="CJ82" s="565">
        <v>3</v>
      </c>
      <c r="CK82" s="565">
        <v>13392.500000000005</v>
      </c>
      <c r="CL82" s="565">
        <v>46.249999999999979</v>
      </c>
      <c r="CM82" s="565">
        <v>393.50000000000017</v>
      </c>
      <c r="CN82" s="46">
        <f>Weather!C106</f>
        <v>111.79166666666666</v>
      </c>
      <c r="CO82" s="46">
        <f>Weather!D106</f>
        <v>3.0124999999999957</v>
      </c>
      <c r="CP82" s="46">
        <f>Weather!E106</f>
        <v>71.412499999999994</v>
      </c>
      <c r="CQ82" s="46">
        <f>Weather!F106</f>
        <v>22.633333333333329</v>
      </c>
      <c r="CR82" s="46">
        <f>Weather!G106</f>
        <v>45.029166666666661</v>
      </c>
      <c r="CS82" s="46">
        <f>Weather!H106</f>
        <v>56.250000000000007</v>
      </c>
      <c r="CT82" s="46">
        <f>Weather!I106</f>
        <v>22.833333333333329</v>
      </c>
      <c r="CU82" s="46">
        <f>Weather!J106</f>
        <v>94.054166666666674</v>
      </c>
      <c r="CV82" s="46">
        <f>Weather!K106</f>
        <v>8.5708333333333329</v>
      </c>
      <c r="CW82" s="46">
        <f>Weather!L106</f>
        <v>139.79166666666663</v>
      </c>
      <c r="CX82" s="46">
        <f>Weather!M106</f>
        <v>2.1000000000000014</v>
      </c>
      <c r="CY82" s="46">
        <f>Weather!N106</f>
        <v>193.32083333333327</v>
      </c>
      <c r="CZ82" s="46">
        <f>Weather!O106</f>
        <v>0</v>
      </c>
      <c r="DA82" s="46">
        <f>Weather!P106</f>
        <v>251.2208333333333</v>
      </c>
      <c r="DB82" s="243">
        <f>'Economic Data'!D108</f>
        <v>7770.7</v>
      </c>
      <c r="DC82" s="243">
        <f>'Economic Data'!E108</f>
        <v>7793.8</v>
      </c>
      <c r="DD82" s="243">
        <f>'Economic Data'!F108</f>
        <v>233.8</v>
      </c>
      <c r="DE82" s="243">
        <f>'Economic Data'!G108</f>
        <v>231.9</v>
      </c>
      <c r="DF82" s="243">
        <f>'Economic Data'!H108</f>
        <v>64.8</v>
      </c>
      <c r="DG82" s="243">
        <f>'Economic Data'!I108</f>
        <v>64.8</v>
      </c>
      <c r="DH82" s="243">
        <f>'Economic Data'!J108</f>
        <v>850461.9</v>
      </c>
      <c r="DI82" s="243">
        <f>'Economic Data'!K108</f>
        <v>662856.4</v>
      </c>
      <c r="DJ82" s="243">
        <f>'Economic Data'!L108</f>
        <v>96870.8</v>
      </c>
      <c r="DK82" s="243">
        <f>'Economic Data'!M108</f>
        <v>30149.3</v>
      </c>
      <c r="DL82" s="243">
        <f>'Economic Data'!N108</f>
        <v>856819</v>
      </c>
      <c r="DM82" s="243">
        <f>'Economic Data'!O108</f>
        <v>93556</v>
      </c>
      <c r="DN82" s="243">
        <f>'Economic Data'!P108</f>
        <v>17237</v>
      </c>
      <c r="DO82" s="243">
        <f>'Economic Data'!Q108</f>
        <v>673371</v>
      </c>
      <c r="DP82" s="243">
        <f>'Economic Data'!R108</f>
        <v>31375</v>
      </c>
      <c r="DQ82">
        <v>30</v>
      </c>
      <c r="DR82">
        <v>20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1</v>
      </c>
      <c r="EB82">
        <v>0</v>
      </c>
      <c r="EC82">
        <v>0</v>
      </c>
      <c r="ED82">
        <v>0</v>
      </c>
      <c r="EE82">
        <v>0</v>
      </c>
      <c r="EF82">
        <v>1</v>
      </c>
      <c r="EG82">
        <v>1</v>
      </c>
      <c r="EH82">
        <f t="shared" si="185"/>
        <v>81</v>
      </c>
      <c r="EI82">
        <v>0.5</v>
      </c>
      <c r="EJ82">
        <v>0.25</v>
      </c>
      <c r="EK82">
        <v>0.5</v>
      </c>
      <c r="EL82">
        <v>0</v>
      </c>
      <c r="EM82" s="47">
        <f t="shared" si="190"/>
        <v>27.947916666666664</v>
      </c>
      <c r="EN82" s="47">
        <f t="shared" si="191"/>
        <v>0.75312499999999893</v>
      </c>
      <c r="EO82" s="47">
        <f t="shared" si="192"/>
        <v>17.853124999999999</v>
      </c>
      <c r="EP82" s="47">
        <f t="shared" si="193"/>
        <v>5.6583333333333323</v>
      </c>
      <c r="EQ82" s="47">
        <f t="shared" si="194"/>
        <v>11.257291666666665</v>
      </c>
      <c r="ER82" s="47">
        <f t="shared" si="195"/>
        <v>14.062500000000002</v>
      </c>
      <c r="ES82" s="47">
        <f t="shared" si="196"/>
        <v>5.7083333333333321</v>
      </c>
      <c r="ET82" s="47">
        <f t="shared" si="197"/>
        <v>23.513541666666669</v>
      </c>
      <c r="EU82" s="47">
        <f t="shared" si="198"/>
        <v>2.1427083333333332</v>
      </c>
      <c r="EV82" s="47">
        <f t="shared" si="199"/>
        <v>34.947916666666657</v>
      </c>
      <c r="EW82" s="47">
        <f t="shared" si="200"/>
        <v>0.52500000000000036</v>
      </c>
      <c r="EX82" s="47">
        <f t="shared" si="201"/>
        <v>48.330208333333317</v>
      </c>
      <c r="EY82" s="47">
        <f t="shared" si="202"/>
        <v>0</v>
      </c>
      <c r="EZ82" s="47">
        <f t="shared" si="203"/>
        <v>62.805208333333326</v>
      </c>
      <c r="FA82" s="47">
        <f t="shared" si="204"/>
        <v>55.895833333333329</v>
      </c>
      <c r="FB82" s="47">
        <f t="shared" si="205"/>
        <v>1.5062499999999979</v>
      </c>
      <c r="FC82" s="47">
        <f t="shared" si="206"/>
        <v>35.706249999999997</v>
      </c>
      <c r="FD82" s="47">
        <f t="shared" si="207"/>
        <v>11.316666666666665</v>
      </c>
      <c r="FE82" s="47">
        <f t="shared" si="208"/>
        <v>22.514583333333331</v>
      </c>
      <c r="FF82" s="47">
        <f t="shared" si="209"/>
        <v>28.125000000000004</v>
      </c>
      <c r="FG82" s="47">
        <f t="shared" si="210"/>
        <v>11.416666666666664</v>
      </c>
      <c r="FH82" s="47">
        <f t="shared" si="211"/>
        <v>47.027083333333337</v>
      </c>
      <c r="FI82" s="47">
        <f t="shared" si="212"/>
        <v>4.2854166666666664</v>
      </c>
      <c r="FJ82" s="47">
        <f t="shared" si="213"/>
        <v>69.895833333333314</v>
      </c>
      <c r="FK82" s="47">
        <f t="shared" si="214"/>
        <v>1.0500000000000007</v>
      </c>
      <c r="FL82" s="47">
        <f t="shared" si="215"/>
        <v>96.660416666666634</v>
      </c>
      <c r="FM82" s="47">
        <f t="shared" si="216"/>
        <v>0</v>
      </c>
      <c r="FN82" s="47">
        <f t="shared" si="217"/>
        <v>125.61041666666665</v>
      </c>
      <c r="FO82" s="546">
        <f t="shared" ca="1" si="218"/>
        <v>661.31473169781304</v>
      </c>
      <c r="FP82" s="546">
        <f t="shared" ca="1" si="219"/>
        <v>523.40213636568785</v>
      </c>
      <c r="FQ82" s="546">
        <f t="shared" ca="1" si="220"/>
        <v>2309.9721852121252</v>
      </c>
      <c r="FR82" s="546">
        <f t="shared" ca="1" si="221"/>
        <v>76186.675068730372</v>
      </c>
      <c r="FS82" s="546">
        <f t="shared" ca="1" si="222"/>
        <v>1675324.8321738266</v>
      </c>
      <c r="FT82" s="546">
        <f t="shared" ca="1" si="223"/>
        <v>6362399.7170375781</v>
      </c>
      <c r="FU82" s="546">
        <f t="shared" si="224"/>
        <v>27.869531716970439</v>
      </c>
      <c r="FV82" s="546">
        <f t="shared" si="225"/>
        <v>70.134545458784714</v>
      </c>
      <c r="FW82" s="546">
        <f t="shared" si="226"/>
        <v>474.24528954398039</v>
      </c>
      <c r="FX82" s="546">
        <f t="shared" ca="1" si="227"/>
        <v>729.23425728433529</v>
      </c>
      <c r="FY82" s="546">
        <f t="shared" ca="1" si="228"/>
        <v>2828.0555087162265</v>
      </c>
      <c r="FZ82" s="546">
        <f t="shared" ca="1" si="229"/>
        <v>73214.296793243295</v>
      </c>
      <c r="GA82" s="546">
        <f t="shared" si="230"/>
        <v>92290.000637714416</v>
      </c>
      <c r="GB82" s="546">
        <f t="shared" si="231"/>
        <v>20.673511436486329</v>
      </c>
      <c r="GC82" s="546">
        <f t="shared" si="232"/>
        <v>43.418345093135905</v>
      </c>
      <c r="GD82" s="546">
        <f t="shared" si="233"/>
        <v>396.0024785780214</v>
      </c>
    </row>
    <row r="83" spans="1:186">
      <c r="A83" s="4">
        <v>44835</v>
      </c>
      <c r="B83" s="6">
        <v>2022</v>
      </c>
      <c r="C83" s="5">
        <v>10</v>
      </c>
      <c r="D83" s="7">
        <v>65570713.88945774</v>
      </c>
      <c r="E83" s="7">
        <f ca="1">IFERROR(VLOOKUP($B83-1,CDM!$V$4:$AJ$17,2,FALSE)/12,0)+IFERROR(VLOOKUP($B83,CDM!$V$41:$AJ$54,2,FALSE)/24,0)+IFERROR(VLOOKUP($B83,CDM!$V$41:$AJ$54,2,FALSE)/2*$C83/78,0)</f>
        <v>3849022.71860016</v>
      </c>
      <c r="F83" s="7">
        <f t="shared" ca="1" si="165"/>
        <v>69419736.608057901</v>
      </c>
      <c r="G83" s="7">
        <f>IFERROR(HLOOKUP(B83-1,'EV Forecast VRZ'!$F$124:$T$130,2,FALSE)/12,0)+IFERROR(((HLOOKUP(B83,'EV Forecast VRZ'!$F$116:$T$122,2,FALSE)-HLOOKUP(B83-1,'EV Forecast VRZ'!$F$124:$T$130,2,FALSE)))*C83/78,0)</f>
        <v>593688.50542748545</v>
      </c>
      <c r="H83" s="7">
        <f ca="1">HLOOKUP(B83,Heating!$C$102:$O$106,2,FALSE)*INDEX(Weather!$BO$1:$CB$20,MATCH(B83,Weather!$BO$1:$BO$20,0),MATCH(C83,Weather!$BO$1:$CB$1,0))/VLOOKUP(B83,Weather!$BO$2:$CB$20,14,FALSE)*
VLOOKUP('Monthly Data'!$B83,Weather!$BO$3:$CB$20,14,FALSE)/Weather!$CB$14</f>
        <v>583023.59976838983</v>
      </c>
      <c r="I83" s="7">
        <f t="shared" ca="1" si="166"/>
        <v>68243024.502862036</v>
      </c>
      <c r="J83" s="7">
        <v>935022.64652738022</v>
      </c>
      <c r="K83" s="7">
        <f ca="1">IFERROR(VLOOKUP($B83-1,CDM!$V$4:$AJ$17,3,FALSE)/12,0)+IFERROR(VLOOKUP($B83,CDM!$V$41:$AJ$54,3,FALSE)/24,0)+IFERROR(VLOOKUP($B83,CDM!$V$41:$AJ$54,3,FALSE)/2*$C83/78,0)</f>
        <v>44085.950187591377</v>
      </c>
      <c r="L83" s="7">
        <f t="shared" ca="1" si="167"/>
        <v>979108.59671497159</v>
      </c>
      <c r="M83" s="7">
        <f>IFERROR(HLOOKUP(B83-1,'EV Forecast VRZ'!$F$124:$T$130,3,FALSE)/12,0)+IFERROR(((HLOOKUP(B83,'EV Forecast VRZ'!$F$116:$T$122,3,FALSE)-HLOOKUP(B83-1,'EV Forecast VRZ'!$F$124:$T$130,3,FALSE)))*C83/78,0)</f>
        <v>8055.8434186684217</v>
      </c>
      <c r="N83" s="7">
        <f ca="1">HLOOKUP(B83,Heating!$C$102:$O$106,3,FALSE)*INDEX(Weather!$BO$1:$CB$20,MATCH(B83,Weather!$BO$1:$BO$20,0),MATCH(C83,Weather!$BO$1:$CB$1,0))/VLOOKUP(B83,Weather!$BO$2:$CB$20,14,FALSE)*
VLOOKUP('Monthly Data'!$B83,Weather!$BO$3:$CB$20,14,FALSE)/Weather!$CB$14</f>
        <v>7176.8582762162368</v>
      </c>
      <c r="O83" s="7">
        <f t="shared" ca="1" si="168"/>
        <v>963875.89502008702</v>
      </c>
      <c r="P83" s="7">
        <v>19490767.100677352</v>
      </c>
      <c r="Q83" s="7">
        <f ca="1">IFERROR(VLOOKUP($B83-1,CDM!$V$4:$AJ$17,4,FALSE)/12,0)+IFERROR(VLOOKUP($B83,CDM!$V$41:$AJ$54,4,FALSE)/24,0)+IFERROR(VLOOKUP($B83,CDM!$V$41:$AJ$54,4,FALSE)/2*$C83/78,0)</f>
        <v>1548398.7692184667</v>
      </c>
      <c r="R83" s="7">
        <f t="shared" ca="1" si="169"/>
        <v>21039165.86989582</v>
      </c>
      <c r="S83" s="7">
        <f>IFERROR(HLOOKUP(B83-1,'EV Forecast VRZ'!$F$124:$T$130,4,FALSE)/12,0)+IFERROR(((HLOOKUP(B83,'EV Forecast VRZ'!$F$116:$T$122,4,FALSE)-HLOOKUP(B83-1,'EV Forecast VRZ'!$F$124:$T$130,4,FALSE)))*C83/78,0)</f>
        <v>73374.900769230779</v>
      </c>
      <c r="T83" s="7">
        <f ca="1">HLOOKUP(B83,Heating!$C$102:$O$106,4,FALSE)*INDEX(Weather!$BO$1:$CB$20,MATCH(B83,Weather!$BO$1:$BO$20,0),MATCH(C83,Weather!$BO$1:$CB$1,0))/VLOOKUP(B83,Weather!$BO$2:$CB$20,14,FALSE)*
VLOOKUP('Monthly Data'!$B83,Weather!$BO$3:$CB$20,14,FALSE)/Weather!$CB$14</f>
        <v>142932.64522339575</v>
      </c>
      <c r="U83" s="7">
        <f t="shared" ca="1" si="170"/>
        <v>20822858.323903196</v>
      </c>
      <c r="V83" s="7">
        <v>70516756.225205898</v>
      </c>
      <c r="W83" s="7">
        <f ca="1">IFERROR(VLOOKUP($B83-1,CDM!$V$4:$AJ$17,5,FALSE)/12,0)+IFERROR(VLOOKUP($B83,CDM!$V$41:$AJ$54,5,FALSE)/24,0)+IFERROR(VLOOKUP($B83,CDM!$V$41:$AJ$54,5,FALSE)/2*$C83/78,0)</f>
        <v>6291619.4694693293</v>
      </c>
      <c r="X83" s="7">
        <f t="shared" ca="1" si="171"/>
        <v>76808375.694675222</v>
      </c>
      <c r="Y83" s="7">
        <f>IFERROR(HLOOKUP(B83-1,'EV Forecast VRZ'!$F$124:$T$130,5,FALSE)/12,0)+IFERROR(((HLOOKUP(B83,'EV Forecast VRZ'!$F$116:$T$122,5,FALSE)-HLOOKUP(B83-1,'EV Forecast VRZ'!$F$124:$T$130,5,FALSE)))*C83/78,0)</f>
        <v>33494.346371794876</v>
      </c>
      <c r="Z83" s="7">
        <f ca="1">HLOOKUP(B83,Heating!$C$102:$O$106,5,FALSE)*INDEX(Weather!$BO$1:$CB$20,MATCH(B83,Weather!$BO$1:$BO$20,0),MATCH(C83,Weather!$BO$1:$CB$1,0))/VLOOKUP(B83,Weather!$BO$2:$CB$20,14,FALSE)*
VLOOKUP('Monthly Data'!$B83,Weather!$BO$3:$CB$20,14,FALSE)/Weather!$CB$14</f>
        <v>76201.725852176605</v>
      </c>
      <c r="AA83" s="7">
        <f t="shared" ca="1" si="172"/>
        <v>76698679.622451246</v>
      </c>
      <c r="AB83" s="7">
        <v>8380196.6331134997</v>
      </c>
      <c r="AC83" s="7">
        <f ca="1">IFERROR(VLOOKUP($B83-1,CDM!$V$4:$AJ$17,6,FALSE)/12,0)+IFERROR(VLOOKUP($B83,CDM!$V$41:$AJ$54,6,FALSE)/24,0)+IFERROR(VLOOKUP($B83,CDM!$V$41:$AJ$54,6,FALSE)/2*$C83/78,0)</f>
        <v>280370.77833622147</v>
      </c>
      <c r="AD83" s="7">
        <f t="shared" ca="1" si="173"/>
        <v>8660567.4114497211</v>
      </c>
      <c r="AE83" s="7">
        <f>IFERROR(HLOOKUP(B83-1,'EV Forecast VRZ'!$F$124:$T$130,6,FALSE)/12,0)+IFERROR(((HLOOKUP(B83,'EV Forecast VRZ'!$F$116:$T$122,6,FALSE)-HLOOKUP(B83-1,'EV Forecast VRZ'!$F$124:$T$130,6,FALSE)))*C83/78,0)</f>
        <v>4359.7706794871801</v>
      </c>
      <c r="AF83" s="7">
        <f t="shared" ca="1" si="174"/>
        <v>8656207.6407702342</v>
      </c>
      <c r="AG83" s="7">
        <v>24184378.210640773</v>
      </c>
      <c r="AH83" s="7">
        <f ca="1">IFERROR(VLOOKUP($B83-1,CDM!$V$4:$AJ$17,7,FALSE)/12,0)+IFERROR(VLOOKUP($B83,CDM!$V$41:$AJ$54,7,FALSE)/24,0)+IFERROR(VLOOKUP($B83,CDM!$V$41:$AJ$54,7,FALSE)/2*$C83/78,0)</f>
        <v>1744711.1780752491</v>
      </c>
      <c r="AI83" s="7">
        <f t="shared" ca="1" si="175"/>
        <v>25929089.388716023</v>
      </c>
      <c r="AJ83" s="7">
        <f>IFERROR(HLOOKUP(B83-1,'EV Forecast VRZ'!$F$124:$T$130,7,FALSE)/12,0)+IFERROR(((HLOOKUP(B83,'EV Forecast VRZ'!$F$116:$T$122,7,FALSE)-HLOOKUP(B83-1,'EV Forecast VRZ'!$F$124:$T$130,7,FALSE)))*C83/78,0)</f>
        <v>134.61538461538461</v>
      </c>
      <c r="AK83" s="7">
        <f t="shared" ca="1" si="176"/>
        <v>25928954.773331407</v>
      </c>
      <c r="AL83" s="7">
        <v>1036011.9824460981</v>
      </c>
      <c r="AM83" s="7">
        <v>17132.112192329711</v>
      </c>
      <c r="AN83" s="7">
        <v>379584.27780957829</v>
      </c>
      <c r="AO83" s="5">
        <v>178065.24</v>
      </c>
      <c r="AP83" s="5">
        <v>18505.09</v>
      </c>
      <c r="AQ83" s="5">
        <v>40455</v>
      </c>
      <c r="AR83" s="5">
        <v>2570.8200000000002</v>
      </c>
      <c r="AS83" s="544">
        <f t="shared" si="234"/>
        <v>50.083333333333336</v>
      </c>
      <c r="AT83" s="557">
        <v>114565.66666666672</v>
      </c>
      <c r="AU83" s="557">
        <v>1560.3333333333326</v>
      </c>
      <c r="AV83" s="557">
        <v>9453.1666666666606</v>
      </c>
      <c r="AW83" s="557">
        <v>1025</v>
      </c>
      <c r="AX83" s="557">
        <v>5.1666666666666696</v>
      </c>
      <c r="AY83" s="557">
        <v>4</v>
      </c>
      <c r="AZ83" s="557">
        <v>31826.833333333321</v>
      </c>
      <c r="BA83" s="557">
        <v>245.33333333333343</v>
      </c>
      <c r="BB83" s="557">
        <v>799.66666666666629</v>
      </c>
      <c r="BC83" s="560">
        <v>25564665.257681075</v>
      </c>
      <c r="BD83" s="560">
        <f ca="1">IFERROR(VLOOKUP($B83-1,CDM!$V$4:$AJ$17,11,FALSE)/12,0)+IFERROR(VLOOKUP($B83,CDM!$V$41:$AJ$54,11,FALSE)/24,0)+IFERROR(VLOOKUP($B83,CDM!$V$41:$AJ$54,11,FALSE)/2*$C83/78,0)</f>
        <v>1702509.2645942606</v>
      </c>
      <c r="BE83" s="560">
        <f t="shared" ca="1" si="188"/>
        <v>27267174.522275336</v>
      </c>
      <c r="BF83" s="560">
        <f>IFERROR(HLOOKUP(B83-1,'EV Forecast WRZ'!$F$124:$T$130,2,FALSE)/12,0)+IFERROR(((HLOOKUP(B83,'EV Forecast WRZ'!$F$116:$T$122,2,FALSE)-HLOOKUP(B83-1,'EV Forecast WRZ'!$F$124:$T$130,2,FALSE)))*C83/78,0)</f>
        <v>187323.43705128203</v>
      </c>
      <c r="BG83" s="560">
        <f ca="1">HLOOKUP(B83,Heating!$R$102:$AD$106,2,FALSE)*INDEX(Weather!$BO$1:$CB$20,MATCH(B83,Weather!$BO$1:$BO$20,0),MATCH(C83,Weather!$BO$1:$CB$1,0))/VLOOKUP(B83,Weather!$BO$2:$CB$20,14,FALSE)*
VLOOKUP('Monthly Data'!$B83,Weather!$BO$3:$CB$20,14,FALSE)/Weather!$CB$14</f>
        <v>258121.03935511812</v>
      </c>
      <c r="BH83" s="560">
        <f t="shared" ca="1" si="177"/>
        <v>26821730.045868937</v>
      </c>
      <c r="BI83" s="560">
        <v>6193157.4010713501</v>
      </c>
      <c r="BJ83" s="560">
        <f ca="1">IFERROR(VLOOKUP($B83-1,CDM!$V$4:$AJ$17,12,FALSE)/12,0)+IFERROR(VLOOKUP($B83,CDM!$V$41:$AJ$54,12,FALSE)/24,0)+IFERROR(VLOOKUP($B83,CDM!$V$41:$AJ$54,12,FALSE)/2*$C83/78,0)</f>
        <v>269612.8904655783</v>
      </c>
      <c r="BK83" s="560">
        <f t="shared" ca="1" si="178"/>
        <v>6462770.2915369282</v>
      </c>
      <c r="BL83" s="560">
        <f>IFERROR(HLOOKUP(B83-1,'EV Forecast WRZ'!$F$124:$T$130,3,FALSE)/12,0)+IFERROR(((HLOOKUP(B83,'EV Forecast WRZ'!$F$116:$T$122,3,FALSE)-HLOOKUP(B83-1,'EV Forecast WRZ'!$F$124:$T$130,3,FALSE)))*C83/78,0)</f>
        <v>23256.942820512821</v>
      </c>
      <c r="BM83" s="560">
        <f ca="1">HLOOKUP(B83,Heating!$R$102:$AD$106,4,FALSE)*INDEX(Weather!$BO$1:$CB$20,MATCH(B83,Weather!$BO$1:$BO$20,0),MATCH(C83,Weather!$BO$1:$CB$1,0))/VLOOKUP(B83,Weather!$BO$2:$CB$20,14,FALSE)*
VLOOKUP('Monthly Data'!$B83,Weather!$BO$3:$CB$20,14,FALSE)/Weather!$CB$14</f>
        <v>39614.716546983676</v>
      </c>
      <c r="BN83" s="560">
        <f t="shared" ca="1" si="179"/>
        <v>6399898.632169432</v>
      </c>
      <c r="BO83" s="560">
        <v>24517100.431101769</v>
      </c>
      <c r="BP83" s="560">
        <f ca="1">IFERROR(VLOOKUP($B83-1,CDM!$V$4:$AJ$17,13,FALSE)/12,0)+IFERROR(VLOOKUP($B83,CDM!$V$41:$AJ$54,13,FALSE)/24,0)+IFERROR(VLOOKUP($B83,CDM!$V$41:$AJ$54,13,FALSE)/2*$C83/78,0)</f>
        <v>2655904.4505720115</v>
      </c>
      <c r="BQ83" s="560">
        <f t="shared" ca="1" si="180"/>
        <v>27173004.881673779</v>
      </c>
      <c r="BR83" s="560">
        <f>IFERROR(HLOOKUP(B83-1,'EV Forecast WRZ'!$F$124:$T$130,4,FALSE)/12,0)+IFERROR(((HLOOKUP(B83,'EV Forecast WRZ'!$F$116:$T$122,4,FALSE)-HLOOKUP(B83-1,'EV Forecast WRZ'!$F$124:$T$130,4,FALSE)))*C83/78,0)</f>
        <v>10470.752474358973</v>
      </c>
      <c r="BS83" s="560">
        <f ca="1">HLOOKUP(B83,Heating!$R$102:$AD$106,5,FALSE)*INDEX(Weather!$BO$1:$CB$20,MATCH(B83,Weather!$BO$1:$BO$20,0),MATCH(C83,Weather!$BO$1:$CB$1,0))/VLOOKUP(B83,Weather!$BO$2:$CB$20,14,FALSE)*
VLOOKUP('Monthly Data'!$B83,Weather!$BO$3:$CB$20,14,FALSE)/Weather!$CB$14</f>
        <v>22496.876464105611</v>
      </c>
      <c r="BT83" s="560">
        <f t="shared" ca="1" si="181"/>
        <v>27140037.252735313</v>
      </c>
      <c r="BU83" s="560">
        <v>7219539.1610414665</v>
      </c>
      <c r="BV83" s="560">
        <f ca="1">IFERROR(VLOOKUP($B83-1,CDM!$V$4:$AJ$17,14,FALSE)/12,0)+IFERROR(VLOOKUP($B83,CDM!$V$41:$AJ$54,14,FALSE)/24,0)+IFERROR(VLOOKUP($B83,CDM!$V$41:$AJ$54,14,FALSE)/2*$C83/78,0)</f>
        <v>597323.08126125683</v>
      </c>
      <c r="BW83" s="560">
        <f t="shared" ca="1" si="182"/>
        <v>7816862.2423027232</v>
      </c>
      <c r="BX83" s="560">
        <f>IFERROR(HLOOKUP(B83-1,'EV Forecast WRZ'!$F$124:$T$130,5,FALSE)/12,0)+IFERROR(((HLOOKUP(B83,'EV Forecast WRZ'!$F$116:$T$122,5,FALSE)-HLOOKUP(B83-1,'EV Forecast WRZ'!$F$124:$T$130,5,FALSE)))*C83/78,0)</f>
        <v>1486.2445769230771</v>
      </c>
      <c r="BY83" s="560">
        <f t="shared" ca="1" si="189"/>
        <v>7815375.9977258006</v>
      </c>
      <c r="BZ83" s="560">
        <v>323459.00133920024</v>
      </c>
      <c r="CA83" s="560">
        <v>2419.7436387985463</v>
      </c>
      <c r="CB83" s="560">
        <v>155826.97532045149</v>
      </c>
      <c r="CC83" s="5">
        <v>62231.56</v>
      </c>
      <c r="CD83" s="5">
        <v>13668.91</v>
      </c>
      <c r="CE83" s="5">
        <v>803</v>
      </c>
      <c r="CF83" s="544">
        <f t="shared" si="235"/>
        <v>7.916666666666667</v>
      </c>
      <c r="CG83" s="565">
        <v>44321.833333333358</v>
      </c>
      <c r="CH83" s="565">
        <v>2401.6666666666652</v>
      </c>
      <c r="CI83" s="565">
        <v>381.66666666666686</v>
      </c>
      <c r="CJ83" s="565">
        <v>3</v>
      </c>
      <c r="CK83" s="565">
        <v>13412.333333333339</v>
      </c>
      <c r="CL83" s="565">
        <v>46.166666666666643</v>
      </c>
      <c r="CM83" s="565">
        <v>393.66666666666686</v>
      </c>
      <c r="CN83" s="46">
        <f>Weather!C107</f>
        <v>330.85561594202903</v>
      </c>
      <c r="CO83" s="46">
        <f>Weather!D107</f>
        <v>0</v>
      </c>
      <c r="CP83" s="46">
        <f>Weather!E107</f>
        <v>268.85561594202898</v>
      </c>
      <c r="CQ83" s="46">
        <f>Weather!F107</f>
        <v>0</v>
      </c>
      <c r="CR83" s="46">
        <f>Weather!G107</f>
        <v>206.85561594202895</v>
      </c>
      <c r="CS83" s="46">
        <f>Weather!H107</f>
        <v>0</v>
      </c>
      <c r="CT83" s="46">
        <f>Weather!I107</f>
        <v>147.2764492753623</v>
      </c>
      <c r="CU83" s="46">
        <f>Weather!J107</f>
        <v>2.4208333333333307</v>
      </c>
      <c r="CV83" s="46">
        <f>Weather!K107</f>
        <v>94.459782608695647</v>
      </c>
      <c r="CW83" s="46">
        <f>Weather!L107</f>
        <v>11.604166666666668</v>
      </c>
      <c r="CX83" s="46">
        <f>Weather!M107</f>
        <v>52.855615942028983</v>
      </c>
      <c r="CY83" s="46">
        <f>Weather!N107</f>
        <v>32</v>
      </c>
      <c r="CZ83" s="46">
        <f>Weather!O107</f>
        <v>23.659782608695654</v>
      </c>
      <c r="DA83" s="46">
        <f>Weather!P107</f>
        <v>64.804166666666674</v>
      </c>
      <c r="DB83" s="243">
        <f>'Economic Data'!D109</f>
        <v>7776.1</v>
      </c>
      <c r="DC83" s="243">
        <f>'Economic Data'!E109</f>
        <v>7778.7</v>
      </c>
      <c r="DD83" s="243">
        <f>'Economic Data'!F109</f>
        <v>234</v>
      </c>
      <c r="DE83" s="243">
        <f>'Economic Data'!G109</f>
        <v>231.3</v>
      </c>
      <c r="DF83" s="243">
        <f>'Economic Data'!H109</f>
        <v>64.7</v>
      </c>
      <c r="DG83" s="243">
        <f>'Economic Data'!I109</f>
        <v>64.7</v>
      </c>
      <c r="DH83" s="243">
        <f>'Economic Data'!J109</f>
        <v>850461.9</v>
      </c>
      <c r="DI83" s="243">
        <f>'Economic Data'!K109</f>
        <v>662856.4</v>
      </c>
      <c r="DJ83" s="243">
        <f>'Economic Data'!L109</f>
        <v>96870.8</v>
      </c>
      <c r="DK83" s="243">
        <f>'Economic Data'!M109</f>
        <v>30149.3</v>
      </c>
      <c r="DL83" s="243">
        <f>'Economic Data'!N109</f>
        <v>856887</v>
      </c>
      <c r="DM83" s="243">
        <f>'Economic Data'!O109</f>
        <v>91622</v>
      </c>
      <c r="DN83" s="243">
        <f>'Economic Data'!P109</f>
        <v>17615</v>
      </c>
      <c r="DO83" s="243">
        <f>'Economic Data'!Q109</f>
        <v>674341</v>
      </c>
      <c r="DP83" s="243">
        <f>'Economic Data'!R109</f>
        <v>32380</v>
      </c>
      <c r="DQ83">
        <v>31</v>
      </c>
      <c r="DR83">
        <v>20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1</v>
      </c>
      <c r="EC83">
        <v>0</v>
      </c>
      <c r="ED83">
        <v>0</v>
      </c>
      <c r="EE83">
        <v>0</v>
      </c>
      <c r="EF83">
        <v>1</v>
      </c>
      <c r="EG83">
        <v>1</v>
      </c>
      <c r="EH83">
        <f t="shared" si="185"/>
        <v>82</v>
      </c>
      <c r="EI83">
        <v>0.5</v>
      </c>
      <c r="EJ83">
        <v>0.25</v>
      </c>
      <c r="EK83">
        <v>0.5</v>
      </c>
      <c r="EL83">
        <v>0</v>
      </c>
      <c r="EM83" s="47">
        <f t="shared" si="190"/>
        <v>82.713903985507258</v>
      </c>
      <c r="EN83" s="47">
        <f t="shared" si="191"/>
        <v>0</v>
      </c>
      <c r="EO83" s="47">
        <f t="shared" si="192"/>
        <v>67.213903985507244</v>
      </c>
      <c r="EP83" s="47">
        <f t="shared" si="193"/>
        <v>0</v>
      </c>
      <c r="EQ83" s="47">
        <f t="shared" si="194"/>
        <v>51.713903985507237</v>
      </c>
      <c r="ER83" s="47">
        <f t="shared" si="195"/>
        <v>0</v>
      </c>
      <c r="ES83" s="47">
        <f t="shared" si="196"/>
        <v>36.819112318840574</v>
      </c>
      <c r="ET83" s="47">
        <f t="shared" si="197"/>
        <v>0.60520833333333268</v>
      </c>
      <c r="EU83" s="47">
        <f t="shared" si="198"/>
        <v>23.614945652173912</v>
      </c>
      <c r="EV83" s="47">
        <f t="shared" si="199"/>
        <v>2.901041666666667</v>
      </c>
      <c r="EW83" s="47">
        <f t="shared" si="200"/>
        <v>13.213903985507246</v>
      </c>
      <c r="EX83" s="47">
        <f t="shared" si="201"/>
        <v>8</v>
      </c>
      <c r="EY83" s="47">
        <f t="shared" si="202"/>
        <v>5.9149456521739134</v>
      </c>
      <c r="EZ83" s="47">
        <f t="shared" si="203"/>
        <v>16.201041666666669</v>
      </c>
      <c r="FA83" s="47">
        <f t="shared" si="204"/>
        <v>165.42780797101452</v>
      </c>
      <c r="FB83" s="47">
        <f t="shared" si="205"/>
        <v>0</v>
      </c>
      <c r="FC83" s="47">
        <f t="shared" si="206"/>
        <v>134.42780797101449</v>
      </c>
      <c r="FD83" s="47">
        <f t="shared" si="207"/>
        <v>0</v>
      </c>
      <c r="FE83" s="47">
        <f t="shared" si="208"/>
        <v>103.42780797101447</v>
      </c>
      <c r="FF83" s="47">
        <f t="shared" si="209"/>
        <v>0</v>
      </c>
      <c r="FG83" s="47">
        <f t="shared" si="210"/>
        <v>73.638224637681148</v>
      </c>
      <c r="FH83" s="47">
        <f t="shared" si="211"/>
        <v>1.2104166666666654</v>
      </c>
      <c r="FI83" s="47">
        <f t="shared" si="212"/>
        <v>47.229891304347824</v>
      </c>
      <c r="FJ83" s="47">
        <f t="shared" si="213"/>
        <v>5.8020833333333339</v>
      </c>
      <c r="FK83" s="47">
        <f t="shared" si="214"/>
        <v>26.427807971014492</v>
      </c>
      <c r="FL83" s="47">
        <f t="shared" si="215"/>
        <v>16</v>
      </c>
      <c r="FM83" s="47">
        <f t="shared" si="216"/>
        <v>11.829891304347827</v>
      </c>
      <c r="FN83" s="47">
        <f t="shared" si="217"/>
        <v>32.402083333333337</v>
      </c>
      <c r="FO83" s="546">
        <f t="shared" ca="1" si="218"/>
        <v>595.66732764203937</v>
      </c>
      <c r="FP83" s="546">
        <f t="shared" ca="1" si="219"/>
        <v>627.49963472439993</v>
      </c>
      <c r="FQ83" s="546">
        <f t="shared" ca="1" si="220"/>
        <v>2225.6209598084415</v>
      </c>
      <c r="FR83" s="546">
        <f t="shared" ca="1" si="221"/>
        <v>74935.000677731921</v>
      </c>
      <c r="FS83" s="546">
        <f t="shared" ca="1" si="222"/>
        <v>1676238.8538289773</v>
      </c>
      <c r="FT83" s="546">
        <f t="shared" ca="1" si="223"/>
        <v>6482272.3471790059</v>
      </c>
      <c r="FU83" s="546">
        <f t="shared" si="224"/>
        <v>32.551525676324438</v>
      </c>
      <c r="FV83" s="546">
        <f t="shared" si="225"/>
        <v>69.831979044822162</v>
      </c>
      <c r="FW83" s="546">
        <f t="shared" si="226"/>
        <v>474.67812981606312</v>
      </c>
      <c r="FX83" s="546">
        <f t="shared" ca="1" si="227"/>
        <v>615.2086335690534</v>
      </c>
      <c r="FY83" s="546">
        <f t="shared" ca="1" si="228"/>
        <v>2690.9522379751279</v>
      </c>
      <c r="FZ83" s="546">
        <f t="shared" ca="1" si="229"/>
        <v>71195.645978184533</v>
      </c>
      <c r="GA83" s="546">
        <f t="shared" si="230"/>
        <v>107819.66711306675</v>
      </c>
      <c r="GB83" s="546">
        <f t="shared" si="231"/>
        <v>24.116534632741018</v>
      </c>
      <c r="GC83" s="546">
        <f t="shared" si="232"/>
        <v>52.41321961296493</v>
      </c>
      <c r="GD83" s="546">
        <f t="shared" si="233"/>
        <v>395.83482299860646</v>
      </c>
    </row>
    <row r="84" spans="1:186">
      <c r="A84" s="4">
        <v>44866</v>
      </c>
      <c r="B84" s="6">
        <v>2022</v>
      </c>
      <c r="C84" s="5">
        <v>11</v>
      </c>
      <c r="D84" s="7">
        <v>71317477.790488556</v>
      </c>
      <c r="E84" s="7">
        <f ca="1">IFERROR(VLOOKUP($B84-1,CDM!$V$4:$AJ$17,2,FALSE)/12,0)+IFERROR(VLOOKUP($B84,CDM!$V$41:$AJ$54,2,FALSE)/24,0)+IFERROR(VLOOKUP($B84,CDM!$V$41:$AJ$54,2,FALSE)/2*$C84/78,0)</f>
        <v>3849344.6241620425</v>
      </c>
      <c r="F84" s="7">
        <f t="shared" ca="1" si="165"/>
        <v>75166822.414650604</v>
      </c>
      <c r="G84" s="7">
        <f>IFERROR(HLOOKUP(B84-1,'EV Forecast VRZ'!$F$124:$T$130,2,FALSE)/12,0)+IFERROR(((HLOOKUP(B84,'EV Forecast VRZ'!$F$116:$T$122,2,FALSE)-HLOOKUP(B84-1,'EV Forecast VRZ'!$F$124:$T$130,2,FALSE)))*C84/78,0)</f>
        <v>614947.25943460921</v>
      </c>
      <c r="H84" s="7">
        <f ca="1">HLOOKUP(B84,Heating!$C$102:$O$106,2,FALSE)*INDEX(Weather!$BO$1:$CB$20,MATCH(B84,Weather!$BO$1:$BO$20,0),MATCH(C84,Weather!$BO$1:$CB$1,0))/VLOOKUP(B84,Weather!$BO$2:$CB$20,14,FALSE)*
VLOOKUP('Monthly Data'!$B84,Weather!$BO$3:$CB$20,14,FALSE)/Weather!$CB$14</f>
        <v>893076.20249371277</v>
      </c>
      <c r="I84" s="7">
        <f t="shared" ca="1" si="166"/>
        <v>73658798.952722281</v>
      </c>
      <c r="J84" s="7">
        <v>833193.15228010016</v>
      </c>
      <c r="K84" s="7">
        <f ca="1">IFERROR(VLOOKUP($B84-1,CDM!$V$4:$AJ$17,3,FALSE)/12,0)+IFERROR(VLOOKUP($B84,CDM!$V$41:$AJ$54,3,FALSE)/24,0)+IFERROR(VLOOKUP($B84,CDM!$V$41:$AJ$54,3,FALSE)/2*$C84/78,0)</f>
        <v>44089.637230667977</v>
      </c>
      <c r="L84" s="7">
        <f t="shared" ca="1" si="167"/>
        <v>877282.78951076814</v>
      </c>
      <c r="M84" s="7">
        <f>IFERROR(HLOOKUP(B84-1,'EV Forecast VRZ'!$F$124:$T$130,3,FALSE)/12,0)+IFERROR(((HLOOKUP(B84,'EV Forecast VRZ'!$F$116:$T$122,3,FALSE)-HLOOKUP(B84-1,'EV Forecast VRZ'!$F$124:$T$130,3,FALSE)))*C84/78,0)</f>
        <v>8344.3064628266802</v>
      </c>
      <c r="N84" s="7">
        <f ca="1">HLOOKUP(B84,Heating!$C$102:$O$106,3,FALSE)*INDEX(Weather!$BO$1:$CB$20,MATCH(B84,Weather!$BO$1:$BO$20,0),MATCH(C84,Weather!$BO$1:$CB$1,0))/VLOOKUP(B84,Weather!$BO$2:$CB$20,14,FALSE)*
VLOOKUP('Monthly Data'!$B84,Weather!$BO$3:$CB$20,14,FALSE)/Weather!$CB$14</f>
        <v>10993.519537982647</v>
      </c>
      <c r="O84" s="7">
        <f t="shared" ca="1" si="168"/>
        <v>857944.96350995882</v>
      </c>
      <c r="P84" s="7">
        <v>20989249.595945429</v>
      </c>
      <c r="Q84" s="7">
        <f ca="1">IFERROR(VLOOKUP($B84-1,CDM!$V$4:$AJ$17,4,FALSE)/12,0)+IFERROR(VLOOKUP($B84,CDM!$V$41:$AJ$54,4,FALSE)/24,0)+IFERROR(VLOOKUP($B84,CDM!$V$41:$AJ$54,4,FALSE)/2*$C84/78,0)</f>
        <v>1556921.3293075741</v>
      </c>
      <c r="R84" s="7">
        <f t="shared" ca="1" si="169"/>
        <v>22546170.925253004</v>
      </c>
      <c r="S84" s="7">
        <f>IFERROR(HLOOKUP(B84-1,'EV Forecast VRZ'!$F$124:$T$130,4,FALSE)/12,0)+IFERROR(((HLOOKUP(B84,'EV Forecast VRZ'!$F$116:$T$122,4,FALSE)-HLOOKUP(B84-1,'EV Forecast VRZ'!$F$124:$T$130,4,FALSE)))*C84/78,0)</f>
        <v>76013.600512820514</v>
      </c>
      <c r="T84" s="7">
        <f ca="1">HLOOKUP(B84,Heating!$C$102:$O$106,4,FALSE)*INDEX(Weather!$BO$1:$CB$20,MATCH(B84,Weather!$BO$1:$BO$20,0),MATCH(C84,Weather!$BO$1:$CB$1,0))/VLOOKUP(B84,Weather!$BO$2:$CB$20,14,FALSE)*
VLOOKUP('Monthly Data'!$B84,Weather!$BO$3:$CB$20,14,FALSE)/Weather!$CB$14</f>
        <v>218944.38588626793</v>
      </c>
      <c r="U84" s="7">
        <f t="shared" ca="1" si="170"/>
        <v>22251212.938853916</v>
      </c>
      <c r="V84" s="7">
        <v>72657291.043666378</v>
      </c>
      <c r="W84" s="7">
        <f ca="1">IFERROR(VLOOKUP($B84-1,CDM!$V$4:$AJ$17,5,FALSE)/12,0)+IFERROR(VLOOKUP($B84,CDM!$V$41:$AJ$54,5,FALSE)/24,0)+IFERROR(VLOOKUP($B84,CDM!$V$41:$AJ$54,5,FALSE)/2*$C84/78,0)</f>
        <v>6350644.5623117881</v>
      </c>
      <c r="X84" s="7">
        <f t="shared" ca="1" si="171"/>
        <v>79007935.605978161</v>
      </c>
      <c r="Y84" s="7">
        <f>IFERROR(HLOOKUP(B84-1,'EV Forecast VRZ'!$F$124:$T$130,5,FALSE)/12,0)+IFERROR(((HLOOKUP(B84,'EV Forecast VRZ'!$F$116:$T$122,5,FALSE)-HLOOKUP(B84-1,'EV Forecast VRZ'!$F$124:$T$130,5,FALSE)))*C84/78,0)</f>
        <v>34716.825358974362</v>
      </c>
      <c r="Z84" s="7">
        <f ca="1">HLOOKUP(B84,Heating!$C$102:$O$106,5,FALSE)*INDEX(Weather!$BO$1:$CB$20,MATCH(B84,Weather!$BO$1:$BO$20,0),MATCH(C84,Weather!$BO$1:$CB$1,0))/VLOOKUP(B84,Weather!$BO$2:$CB$20,14,FALSE)*
VLOOKUP('Monthly Data'!$B84,Weather!$BO$3:$CB$20,14,FALSE)/Weather!$CB$14</f>
        <v>116725.88892553192</v>
      </c>
      <c r="AA84" s="7">
        <f t="shared" ca="1" si="172"/>
        <v>78856492.891693652</v>
      </c>
      <c r="AB84" s="7">
        <v>8442517.4225770347</v>
      </c>
      <c r="AC84" s="7">
        <f ca="1">IFERROR(VLOOKUP($B84-1,CDM!$V$4:$AJ$17,6,FALSE)/12,0)+IFERROR(VLOOKUP($B84,CDM!$V$41:$AJ$54,6,FALSE)/24,0)+IFERROR(VLOOKUP($B84,CDM!$V$41:$AJ$54,6,FALSE)/2*$C84/78,0)</f>
        <v>282670.2750752063</v>
      </c>
      <c r="AD84" s="7">
        <f t="shared" ca="1" si="173"/>
        <v>8725187.6976522412</v>
      </c>
      <c r="AE84" s="7">
        <f>IFERROR(HLOOKUP(B84-1,'EV Forecast VRZ'!$F$124:$T$130,6,FALSE)/12,0)+IFERROR(((HLOOKUP(B84,'EV Forecast VRZ'!$F$116:$T$122,6,FALSE)-HLOOKUP(B84-1,'EV Forecast VRZ'!$F$124:$T$130,6,FALSE)))*C84/78,0)</f>
        <v>4510.8082307692312</v>
      </c>
      <c r="AF84" s="7">
        <f t="shared" ca="1" si="174"/>
        <v>8720676.8894214723</v>
      </c>
      <c r="AG84" s="7">
        <v>23364018.813529231</v>
      </c>
      <c r="AH84" s="7">
        <f ca="1">IFERROR(VLOOKUP($B84-1,CDM!$V$4:$AJ$17,7,FALSE)/12,0)+IFERROR(VLOOKUP($B84,CDM!$V$41:$AJ$54,7,FALSE)/24,0)+IFERROR(VLOOKUP($B84,CDM!$V$41:$AJ$54,7,FALSE)/2*$C84/78,0)</f>
        <v>1746139.3486395536</v>
      </c>
      <c r="AI84" s="7">
        <f t="shared" ca="1" si="175"/>
        <v>25110158.162168786</v>
      </c>
      <c r="AJ84" s="7">
        <f>IFERROR(HLOOKUP(B84-1,'EV Forecast VRZ'!$F$124:$T$130,7,FALSE)/12,0)+IFERROR(((HLOOKUP(B84,'EV Forecast VRZ'!$F$116:$T$122,7,FALSE)-HLOOKUP(B84-1,'EV Forecast VRZ'!$F$124:$T$130,7,FALSE)))*C84/78,0)</f>
        <v>148.07692307692307</v>
      </c>
      <c r="AK84" s="7">
        <f t="shared" ca="1" si="176"/>
        <v>25110010.08524571</v>
      </c>
      <c r="AL84" s="7">
        <v>1105422.2858233161</v>
      </c>
      <c r="AM84" s="7">
        <v>17340.755580995992</v>
      </c>
      <c r="AN84" s="7">
        <v>379166.22781911847</v>
      </c>
      <c r="AO84" s="5">
        <v>182190.68</v>
      </c>
      <c r="AP84" s="5">
        <v>18325.34</v>
      </c>
      <c r="AQ84" s="5">
        <v>39112</v>
      </c>
      <c r="AR84" s="5">
        <v>2570.8200000000002</v>
      </c>
      <c r="AS84" s="544">
        <f t="shared" si="234"/>
        <v>50.083333333333336</v>
      </c>
      <c r="AT84" s="557">
        <v>114681.33333333339</v>
      </c>
      <c r="AU84" s="557">
        <v>1560.6666666666658</v>
      </c>
      <c r="AV84" s="557">
        <v>9464.5833333333267</v>
      </c>
      <c r="AW84" s="557">
        <v>1021.5</v>
      </c>
      <c r="AX84" s="557">
        <v>5.0833333333333366</v>
      </c>
      <c r="AY84" s="557">
        <v>4</v>
      </c>
      <c r="AZ84" s="557">
        <v>31835.916666666653</v>
      </c>
      <c r="BA84" s="557">
        <v>245.16666666666677</v>
      </c>
      <c r="BB84" s="557">
        <v>799.33333333333292</v>
      </c>
      <c r="BC84" s="560">
        <v>26631044.605203841</v>
      </c>
      <c r="BD84" s="560">
        <f ca="1">IFERROR(VLOOKUP($B84-1,CDM!$V$4:$AJ$17,11,FALSE)/12,0)+IFERROR(VLOOKUP($B84,CDM!$V$41:$AJ$54,11,FALSE)/24,0)+IFERROR(VLOOKUP($B84,CDM!$V$41:$AJ$54,11,FALSE)/2*$C84/78,0)</f>
        <v>1702800.286440348</v>
      </c>
      <c r="BE84" s="560">
        <f t="shared" ca="1" si="188"/>
        <v>28333844.891644187</v>
      </c>
      <c r="BF84" s="560">
        <f>IFERROR(HLOOKUP(B84-1,'EV Forecast WRZ'!$F$124:$T$130,2,FALSE)/12,0)+IFERROR(((HLOOKUP(B84,'EV Forecast WRZ'!$F$116:$T$122,2,FALSE)-HLOOKUP(B84-1,'EV Forecast WRZ'!$F$124:$T$130,2,FALSE)))*C84/78,0)</f>
        <v>193628.92692307691</v>
      </c>
      <c r="BG84" s="560">
        <f ca="1">HLOOKUP(B84,Heating!$R$102:$AD$106,2,FALSE)*INDEX(Weather!$BO$1:$CB$20,MATCH(B84,Weather!$BO$1:$BO$20,0),MATCH(C84,Weather!$BO$1:$CB$1,0))/VLOOKUP(B84,Weather!$BO$2:$CB$20,14,FALSE)*
VLOOKUP('Monthly Data'!$B84,Weather!$BO$3:$CB$20,14,FALSE)/Weather!$CB$14</f>
        <v>395390.09690615511</v>
      </c>
      <c r="BH84" s="560">
        <f t="shared" ca="1" si="177"/>
        <v>27744825.867814954</v>
      </c>
      <c r="BI84" s="560">
        <v>6628223.5992251579</v>
      </c>
      <c r="BJ84" s="560">
        <f ca="1">IFERROR(VLOOKUP($B84-1,CDM!$V$4:$AJ$17,12,FALSE)/12,0)+IFERROR(VLOOKUP($B84,CDM!$V$41:$AJ$54,12,FALSE)/24,0)+IFERROR(VLOOKUP($B84,CDM!$V$41:$AJ$54,12,FALSE)/2*$C84/78,0)</f>
        <v>271935.3468792825</v>
      </c>
      <c r="BK84" s="560">
        <f t="shared" ca="1" si="178"/>
        <v>6900158.9461044408</v>
      </c>
      <c r="BL84" s="560">
        <f>IFERROR(HLOOKUP(B84-1,'EV Forecast WRZ'!$F$124:$T$130,3,FALSE)/12,0)+IFERROR(((HLOOKUP(B84,'EV Forecast WRZ'!$F$116:$T$122,3,FALSE)-HLOOKUP(B84-1,'EV Forecast WRZ'!$F$124:$T$130,3,FALSE)))*C84/78,0)</f>
        <v>24074.330769230772</v>
      </c>
      <c r="BM84" s="560">
        <f ca="1">HLOOKUP(B84,Heating!$R$102:$AD$106,4,FALSE)*INDEX(Weather!$BO$1:$CB$20,MATCH(B84,Weather!$BO$1:$BO$20,0),MATCH(C84,Weather!$BO$1:$CB$1,0))/VLOOKUP(B84,Weather!$BO$2:$CB$20,14,FALSE)*
VLOOKUP('Monthly Data'!$B84,Weather!$BO$3:$CB$20,14,FALSE)/Weather!$CB$14</f>
        <v>60681.867133165048</v>
      </c>
      <c r="BN84" s="560">
        <f t="shared" ca="1" si="179"/>
        <v>6815402.7482020454</v>
      </c>
      <c r="BO84" s="560">
        <v>25513740.267787453</v>
      </c>
      <c r="BP84" s="560">
        <f ca="1">IFERROR(VLOOKUP($B84-1,CDM!$V$4:$AJ$17,13,FALSE)/12,0)+IFERROR(VLOOKUP($B84,CDM!$V$41:$AJ$54,13,FALSE)/24,0)+IFERROR(VLOOKUP($B84,CDM!$V$41:$AJ$54,13,FALSE)/2*$C84/78,0)</f>
        <v>2687358.9057052857</v>
      </c>
      <c r="BQ84" s="560">
        <f t="shared" ca="1" si="180"/>
        <v>28201099.173492737</v>
      </c>
      <c r="BR84" s="560">
        <f>IFERROR(HLOOKUP(B84-1,'EV Forecast WRZ'!$F$124:$T$130,4,FALSE)/12,0)+IFERROR(((HLOOKUP(B84,'EV Forecast WRZ'!$F$116:$T$122,4,FALSE)-HLOOKUP(B84-1,'EV Forecast WRZ'!$F$124:$T$130,4,FALSE)))*C84/78,0)</f>
        <v>10835.339871794871</v>
      </c>
      <c r="BS84" s="560">
        <f ca="1">HLOOKUP(B84,Heating!$R$102:$AD$106,5,FALSE)*INDEX(Weather!$BO$1:$CB$20,MATCH(B84,Weather!$BO$1:$BO$20,0),MATCH(C84,Weather!$BO$1:$CB$1,0))/VLOOKUP(B84,Weather!$BO$2:$CB$20,14,FALSE)*
VLOOKUP('Monthly Data'!$B84,Weather!$BO$3:$CB$20,14,FALSE)/Weather!$CB$14</f>
        <v>34460.740540374485</v>
      </c>
      <c r="BT84" s="560">
        <f t="shared" ca="1" si="181"/>
        <v>28155803.093080569</v>
      </c>
      <c r="BU84" s="560">
        <v>7131619.5081967218</v>
      </c>
      <c r="BV84" s="560">
        <f ca="1">IFERROR(VLOOKUP($B84-1,CDM!$V$4:$AJ$17,14,FALSE)/12,0)+IFERROR(VLOOKUP($B84,CDM!$V$41:$AJ$54,14,FALSE)/24,0)+IFERROR(VLOOKUP($B84,CDM!$V$41:$AJ$54,14,FALSE)/2*$C84/78,0)</f>
        <v>604405.25700567127</v>
      </c>
      <c r="BW84" s="560">
        <f t="shared" ca="1" si="182"/>
        <v>7736024.7652023928</v>
      </c>
      <c r="BX84" s="560">
        <f>IFERROR(HLOOKUP(B84-1,'EV Forecast WRZ'!$F$124:$T$130,5,FALSE)/12,0)+IFERROR(((HLOOKUP(B84,'EV Forecast WRZ'!$F$116:$T$122,5,FALSE)-HLOOKUP(B84-1,'EV Forecast WRZ'!$F$124:$T$130,5,FALSE)))*C84/78,0)</f>
        <v>1544.4537179487181</v>
      </c>
      <c r="BY84" s="560">
        <f t="shared" ca="1" si="189"/>
        <v>7734480.311484444</v>
      </c>
      <c r="BZ84" s="560">
        <v>345688.00459154387</v>
      </c>
      <c r="CA84" s="560">
        <v>2356.3229385881</v>
      </c>
      <c r="CB84" s="560">
        <v>155907.96824182131</v>
      </c>
      <c r="CC84" s="5">
        <v>65439.96</v>
      </c>
      <c r="CD84" s="5">
        <v>15148.22</v>
      </c>
      <c r="CE84" s="5">
        <v>804</v>
      </c>
      <c r="CF84" s="544">
        <f t="shared" si="235"/>
        <v>7.916666666666667</v>
      </c>
      <c r="CG84" s="565">
        <v>44409.916666666693</v>
      </c>
      <c r="CH84" s="565">
        <v>2406.8333333333317</v>
      </c>
      <c r="CI84" s="565">
        <v>380.33333333333354</v>
      </c>
      <c r="CJ84" s="565">
        <v>3</v>
      </c>
      <c r="CK84" s="565">
        <v>13432.166666666673</v>
      </c>
      <c r="CL84" s="565">
        <v>46.083333333333307</v>
      </c>
      <c r="CM84" s="565">
        <v>393.83333333333354</v>
      </c>
      <c r="CN84" s="46">
        <f>Weather!C108</f>
        <v>471.83333333333348</v>
      </c>
      <c r="CO84" s="46">
        <f>Weather!D108</f>
        <v>0</v>
      </c>
      <c r="CP84" s="46">
        <f>Weather!E108</f>
        <v>411.83333333333348</v>
      </c>
      <c r="CQ84" s="46">
        <f>Weather!F108</f>
        <v>0</v>
      </c>
      <c r="CR84" s="46">
        <f>Weather!G108</f>
        <v>351.83333333333343</v>
      </c>
      <c r="CS84" s="46">
        <f>Weather!H108</f>
        <v>0</v>
      </c>
      <c r="CT84" s="46">
        <f>Weather!I108</f>
        <v>294.14166666666671</v>
      </c>
      <c r="CU84" s="46">
        <f>Weather!J108</f>
        <v>2.3083333333333318</v>
      </c>
      <c r="CV84" s="46">
        <f>Weather!K108</f>
        <v>238.41249999999999</v>
      </c>
      <c r="CW84" s="46">
        <f>Weather!L108</f>
        <v>6.5791666666666675</v>
      </c>
      <c r="CX84" s="46">
        <f>Weather!M108</f>
        <v>185.6583333333333</v>
      </c>
      <c r="CY84" s="46">
        <f>Weather!N108</f>
        <v>13.824999999999999</v>
      </c>
      <c r="CZ84" s="46">
        <f>Weather!O108</f>
        <v>138.80000000000001</v>
      </c>
      <c r="DA84" s="46">
        <f>Weather!P108</f>
        <v>26.966666666666669</v>
      </c>
      <c r="DB84" s="243">
        <f>'Economic Data'!D110</f>
        <v>7791.7</v>
      </c>
      <c r="DC84" s="243">
        <f>'Economic Data'!E110</f>
        <v>7783.8</v>
      </c>
      <c r="DD84" s="243">
        <f>'Economic Data'!F110</f>
        <v>234.2</v>
      </c>
      <c r="DE84" s="243">
        <f>'Economic Data'!G110</f>
        <v>232</v>
      </c>
      <c r="DF84" s="243">
        <f>'Economic Data'!H110</f>
        <v>59.2</v>
      </c>
      <c r="DG84" s="243">
        <f>'Economic Data'!I110</f>
        <v>59.2</v>
      </c>
      <c r="DH84" s="243">
        <f>'Economic Data'!J110</f>
        <v>850461.9</v>
      </c>
      <c r="DI84" s="243">
        <f>'Economic Data'!K110</f>
        <v>662856.4</v>
      </c>
      <c r="DJ84" s="243">
        <f>'Economic Data'!L110</f>
        <v>96870.8</v>
      </c>
      <c r="DK84" s="243">
        <f>'Economic Data'!M110</f>
        <v>30149.3</v>
      </c>
      <c r="DL84" s="243">
        <f>'Economic Data'!N110</f>
        <v>856887</v>
      </c>
      <c r="DM84" s="243">
        <f>'Economic Data'!O110</f>
        <v>91622</v>
      </c>
      <c r="DN84" s="243">
        <f>'Economic Data'!P110</f>
        <v>17615</v>
      </c>
      <c r="DO84" s="243">
        <f>'Economic Data'!Q110</f>
        <v>674341</v>
      </c>
      <c r="DP84" s="243">
        <f>'Economic Data'!R110</f>
        <v>32380</v>
      </c>
      <c r="DQ84">
        <v>30</v>
      </c>
      <c r="DR84">
        <v>22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1</v>
      </c>
      <c r="ED84">
        <v>0</v>
      </c>
      <c r="EE84">
        <v>0</v>
      </c>
      <c r="EF84">
        <v>1</v>
      </c>
      <c r="EG84">
        <v>1</v>
      </c>
      <c r="EH84">
        <f t="shared" si="185"/>
        <v>83</v>
      </c>
      <c r="EI84">
        <v>0.5</v>
      </c>
      <c r="EJ84">
        <v>0.25</v>
      </c>
      <c r="EK84">
        <v>0.5</v>
      </c>
      <c r="EL84">
        <v>0</v>
      </c>
      <c r="EM84" s="47">
        <f t="shared" si="190"/>
        <v>117.95833333333337</v>
      </c>
      <c r="EN84" s="47">
        <f t="shared" si="191"/>
        <v>0</v>
      </c>
      <c r="EO84" s="47">
        <f t="shared" si="192"/>
        <v>102.95833333333337</v>
      </c>
      <c r="EP84" s="47">
        <f t="shared" si="193"/>
        <v>0</v>
      </c>
      <c r="EQ84" s="47">
        <f t="shared" si="194"/>
        <v>87.958333333333357</v>
      </c>
      <c r="ER84" s="47">
        <f t="shared" si="195"/>
        <v>0</v>
      </c>
      <c r="ES84" s="47">
        <f t="shared" si="196"/>
        <v>73.535416666666677</v>
      </c>
      <c r="ET84" s="47">
        <f t="shared" si="197"/>
        <v>0.57708333333333295</v>
      </c>
      <c r="EU84" s="47">
        <f t="shared" si="198"/>
        <v>59.603124999999999</v>
      </c>
      <c r="EV84" s="47">
        <f t="shared" si="199"/>
        <v>1.6447916666666669</v>
      </c>
      <c r="EW84" s="47">
        <f t="shared" si="200"/>
        <v>46.414583333333326</v>
      </c>
      <c r="EX84" s="47">
        <f t="shared" si="201"/>
        <v>3.4562499999999998</v>
      </c>
      <c r="EY84" s="47">
        <f t="shared" si="202"/>
        <v>34.700000000000003</v>
      </c>
      <c r="EZ84" s="47">
        <f t="shared" si="203"/>
        <v>6.7416666666666671</v>
      </c>
      <c r="FA84" s="47">
        <f t="shared" si="204"/>
        <v>235.91666666666674</v>
      </c>
      <c r="FB84" s="47">
        <f t="shared" si="205"/>
        <v>0</v>
      </c>
      <c r="FC84" s="47">
        <f t="shared" si="206"/>
        <v>205.91666666666674</v>
      </c>
      <c r="FD84" s="47">
        <f t="shared" si="207"/>
        <v>0</v>
      </c>
      <c r="FE84" s="47">
        <f t="shared" si="208"/>
        <v>175.91666666666671</v>
      </c>
      <c r="FF84" s="47">
        <f t="shared" si="209"/>
        <v>0</v>
      </c>
      <c r="FG84" s="47">
        <f t="shared" si="210"/>
        <v>147.07083333333335</v>
      </c>
      <c r="FH84" s="47">
        <f t="shared" si="211"/>
        <v>1.1541666666666659</v>
      </c>
      <c r="FI84" s="47">
        <f t="shared" si="212"/>
        <v>119.20625</v>
      </c>
      <c r="FJ84" s="47">
        <f t="shared" si="213"/>
        <v>3.2895833333333337</v>
      </c>
      <c r="FK84" s="47">
        <f t="shared" si="214"/>
        <v>92.829166666666652</v>
      </c>
      <c r="FL84" s="47">
        <f t="shared" si="215"/>
        <v>6.9124999999999996</v>
      </c>
      <c r="FM84" s="47">
        <f t="shared" si="216"/>
        <v>69.400000000000006</v>
      </c>
      <c r="FN84" s="47">
        <f t="shared" si="217"/>
        <v>13.483333333333334</v>
      </c>
      <c r="FO84" s="546">
        <f t="shared" ca="1" si="218"/>
        <v>642.29109316880033</v>
      </c>
      <c r="FP84" s="546">
        <f t="shared" ca="1" si="219"/>
        <v>562.12054005388848</v>
      </c>
      <c r="FQ84" s="546">
        <f t="shared" ca="1" si="220"/>
        <v>2382.1620171960049</v>
      </c>
      <c r="FR84" s="546">
        <f t="shared" ca="1" si="221"/>
        <v>77345.017724892969</v>
      </c>
      <c r="FS84" s="546">
        <f t="shared" ca="1" si="222"/>
        <v>1716430.3667512594</v>
      </c>
      <c r="FT84" s="546">
        <f t="shared" ca="1" si="223"/>
        <v>6277539.5405421965</v>
      </c>
      <c r="FU84" s="546">
        <f t="shared" si="224"/>
        <v>34.722489614402491</v>
      </c>
      <c r="FV84" s="546">
        <f t="shared" si="225"/>
        <v>70.730478236557389</v>
      </c>
      <c r="FW84" s="546">
        <f t="shared" si="226"/>
        <v>474.35307900640368</v>
      </c>
      <c r="FX84" s="546">
        <f t="shared" ca="1" si="227"/>
        <v>638.00716187587614</v>
      </c>
      <c r="FY84" s="546">
        <f t="shared" ca="1" si="228"/>
        <v>2866.9035161433885</v>
      </c>
      <c r="FZ84" s="546">
        <f t="shared" ca="1" si="229"/>
        <v>74148.376442136869</v>
      </c>
      <c r="GA84" s="546">
        <f t="shared" si="230"/>
        <v>115229.33486384795</v>
      </c>
      <c r="GB84" s="546">
        <f t="shared" si="231"/>
        <v>25.735833478704876</v>
      </c>
      <c r="GC84" s="546">
        <f t="shared" si="232"/>
        <v>51.131781669181223</v>
      </c>
      <c r="GD84" s="546">
        <f t="shared" si="233"/>
        <v>395.87296210365099</v>
      </c>
    </row>
    <row r="85" spans="1:186">
      <c r="A85" s="4">
        <v>44896</v>
      </c>
      <c r="B85" s="6">
        <v>2022</v>
      </c>
      <c r="C85" s="5">
        <v>12</v>
      </c>
      <c r="D85" s="7">
        <v>87050493.841422424</v>
      </c>
      <c r="E85" s="7">
        <f ca="1">IFERROR(VLOOKUP($B85-1,CDM!$V$4:$AJ$17,2,FALSE)/12,0)+IFERROR(VLOOKUP($B85,CDM!$V$41:$AJ$54,2,FALSE)/24,0)+IFERROR(VLOOKUP($B85,CDM!$V$41:$AJ$54,2,FALSE)/2*$C85/78,0)</f>
        <v>3849666.5297239255</v>
      </c>
      <c r="F85" s="7">
        <f t="shared" ca="1" si="165"/>
        <v>90900160.371146351</v>
      </c>
      <c r="G85" s="7">
        <f>IFERROR(HLOOKUP(B85-1,'EV Forecast VRZ'!$F$124:$T$130,2,FALSE)/12,0)+IFERROR(((HLOOKUP(B85,'EV Forecast VRZ'!$F$116:$T$122,2,FALSE)-HLOOKUP(B85-1,'EV Forecast VRZ'!$F$124:$T$130,2,FALSE)))*C85/78,0)</f>
        <v>636206.01344173308</v>
      </c>
      <c r="H85" s="7">
        <f ca="1">HLOOKUP(B85,Heating!$C$102:$O$106,2,FALSE)*INDEX(Weather!$BO$1:$CB$20,MATCH(B85,Weather!$BO$1:$BO$20,0),MATCH(C85,Weather!$BO$1:$CB$1,0))/VLOOKUP(B85,Weather!$BO$2:$CB$20,14,FALSE)*
VLOOKUP('Monthly Data'!$B85,Weather!$BO$3:$CB$20,14,FALSE)/Weather!$CB$14</f>
        <v>1268856.7183325528</v>
      </c>
      <c r="I85" s="7">
        <f t="shared" ca="1" si="166"/>
        <v>88995097.639372066</v>
      </c>
      <c r="J85" s="7">
        <v>1104781.1542644533</v>
      </c>
      <c r="K85" s="7">
        <f ca="1">IFERROR(VLOOKUP($B85-1,CDM!$V$4:$AJ$17,3,FALSE)/12,0)+IFERROR(VLOOKUP($B85,CDM!$V$41:$AJ$54,3,FALSE)/24,0)+IFERROR(VLOOKUP($B85,CDM!$V$41:$AJ$54,3,FALSE)/2*$C85/78,0)</f>
        <v>44093.324273744576</v>
      </c>
      <c r="L85" s="7">
        <f t="shared" ca="1" si="167"/>
        <v>1148874.4785381979</v>
      </c>
      <c r="M85" s="7">
        <f>IFERROR(HLOOKUP(B85-1,'EV Forecast VRZ'!$F$124:$T$130,3,FALSE)/12,0)+IFERROR(((HLOOKUP(B85,'EV Forecast VRZ'!$F$116:$T$122,3,FALSE)-HLOOKUP(B85-1,'EV Forecast VRZ'!$F$124:$T$130,3,FALSE)))*C85/78,0)</f>
        <v>8632.7695069849378</v>
      </c>
      <c r="N85" s="7">
        <f ca="1">HLOOKUP(B85,Heating!$C$102:$O$106,3,FALSE)*INDEX(Weather!$BO$1:$CB$20,MATCH(B85,Weather!$BO$1:$BO$20,0),MATCH(C85,Weather!$BO$1:$CB$1,0))/VLOOKUP(B85,Weather!$BO$2:$CB$20,14,FALSE)*
VLOOKUP('Monthly Data'!$B85,Weather!$BO$3:$CB$20,14,FALSE)/Weather!$CB$14</f>
        <v>15619.273120187823</v>
      </c>
      <c r="O85" s="7">
        <f t="shared" ca="1" si="168"/>
        <v>1124622.4359110252</v>
      </c>
      <c r="P85" s="7">
        <v>23735347.06338485</v>
      </c>
      <c r="Q85" s="7">
        <f ca="1">IFERROR(VLOOKUP($B85-1,CDM!$V$4:$AJ$17,4,FALSE)/12,0)+IFERROR(VLOOKUP($B85,CDM!$V$41:$AJ$54,4,FALSE)/24,0)+IFERROR(VLOOKUP($B85,CDM!$V$41:$AJ$54,4,FALSE)/2*$C85/78,0)</f>
        <v>1565443.8893966815</v>
      </c>
      <c r="R85" s="7">
        <f t="shared" ca="1" si="169"/>
        <v>25300790.952781532</v>
      </c>
      <c r="S85" s="7">
        <f>IFERROR(HLOOKUP(B85-1,'EV Forecast VRZ'!$F$124:$T$130,4,FALSE)/12,0)+IFERROR(((HLOOKUP(B85,'EV Forecast VRZ'!$F$116:$T$122,4,FALSE)-HLOOKUP(B85-1,'EV Forecast VRZ'!$F$124:$T$130,4,FALSE)))*C85/78,0)</f>
        <v>78652.300256410264</v>
      </c>
      <c r="T85" s="7">
        <f ca="1">HLOOKUP(B85,Heating!$C$102:$O$106,4,FALSE)*INDEX(Weather!$BO$1:$CB$20,MATCH(B85,Weather!$BO$1:$BO$20,0),MATCH(C85,Weather!$BO$1:$CB$1,0))/VLOOKUP(B85,Weather!$BO$2:$CB$20,14,FALSE)*
VLOOKUP('Monthly Data'!$B85,Weather!$BO$3:$CB$20,14,FALSE)/Weather!$CB$14</f>
        <v>311069.821586632</v>
      </c>
      <c r="U85" s="7">
        <f t="shared" ca="1" si="170"/>
        <v>24911068.830938492</v>
      </c>
      <c r="V85" s="7">
        <v>73740842.761684105</v>
      </c>
      <c r="W85" s="7">
        <f ca="1">IFERROR(VLOOKUP($B85-1,CDM!$V$4:$AJ$17,5,FALSE)/12,0)+IFERROR(VLOOKUP($B85,CDM!$V$41:$AJ$54,5,FALSE)/24,0)+IFERROR(VLOOKUP($B85,CDM!$V$41:$AJ$54,5,FALSE)/2*$C85/78,0)</f>
        <v>6409669.6551542459</v>
      </c>
      <c r="X85" s="7">
        <f t="shared" ca="1" si="171"/>
        <v>80150512.416838348</v>
      </c>
      <c r="Y85" s="7">
        <f>IFERROR(HLOOKUP(B85-1,'EV Forecast VRZ'!$F$124:$T$130,5,FALSE)/12,0)+IFERROR(((HLOOKUP(B85,'EV Forecast VRZ'!$F$116:$T$122,5,FALSE)-HLOOKUP(B85-1,'EV Forecast VRZ'!$F$124:$T$130,5,FALSE)))*C85/78,0)</f>
        <v>35939.304346153847</v>
      </c>
      <c r="Z85" s="7">
        <f ca="1">HLOOKUP(B85,Heating!$C$102:$O$106,5,FALSE)*INDEX(Weather!$BO$1:$CB$20,MATCH(B85,Weather!$BO$1:$BO$20,0),MATCH(C85,Weather!$BO$1:$CB$1,0))/VLOOKUP(B85,Weather!$BO$2:$CB$20,14,FALSE)*
VLOOKUP('Monthly Data'!$B85,Weather!$BO$3:$CB$20,14,FALSE)/Weather!$CB$14</f>
        <v>165840.75127401372</v>
      </c>
      <c r="AA85" s="7">
        <f t="shared" ca="1" si="172"/>
        <v>79948732.361218169</v>
      </c>
      <c r="AB85" s="7">
        <v>8404581.8870762438</v>
      </c>
      <c r="AC85" s="7">
        <f ca="1">IFERROR(VLOOKUP($B85-1,CDM!$V$4:$AJ$17,6,FALSE)/12,0)+IFERROR(VLOOKUP($B85,CDM!$V$41:$AJ$54,6,FALSE)/24,0)+IFERROR(VLOOKUP($B85,CDM!$V$41:$AJ$54,6,FALSE)/2*$C85/78,0)</f>
        <v>284969.77181419113</v>
      </c>
      <c r="AD85" s="7">
        <f t="shared" ca="1" si="173"/>
        <v>8689551.6588904355</v>
      </c>
      <c r="AE85" s="7">
        <f>IFERROR(HLOOKUP(B85-1,'EV Forecast VRZ'!$F$124:$T$130,6,FALSE)/12,0)+IFERROR(((HLOOKUP(B85,'EV Forecast VRZ'!$F$116:$T$122,6,FALSE)-HLOOKUP(B85-1,'EV Forecast VRZ'!$F$124:$T$130,6,FALSE)))*C85/78,0)</f>
        <v>4661.8457820512831</v>
      </c>
      <c r="AF85" s="7">
        <f t="shared" ca="1" si="174"/>
        <v>8684889.8131083846</v>
      </c>
      <c r="AG85" s="7">
        <v>23807864.613084797</v>
      </c>
      <c r="AH85" s="7">
        <f ca="1">IFERROR(VLOOKUP($B85-1,CDM!$V$4:$AJ$17,7,FALSE)/12,0)+IFERROR(VLOOKUP($B85,CDM!$V$41:$AJ$54,7,FALSE)/24,0)+IFERROR(VLOOKUP($B85,CDM!$V$41:$AJ$54,7,FALSE)/2*$C85/78,0)</f>
        <v>1747567.5192038582</v>
      </c>
      <c r="AI85" s="7">
        <f t="shared" ca="1" si="175"/>
        <v>25555432.132288653</v>
      </c>
      <c r="AJ85" s="7">
        <f>IFERROR(HLOOKUP(B85-1,'EV Forecast VRZ'!$F$124:$T$130,7,FALSE)/12,0)+IFERROR(((HLOOKUP(B85,'EV Forecast VRZ'!$F$116:$T$122,7,FALSE)-HLOOKUP(B85-1,'EV Forecast VRZ'!$F$124:$T$130,7,FALSE)))*C85/78,0)</f>
        <v>161.53846153846155</v>
      </c>
      <c r="AK85" s="7">
        <f t="shared" ca="1" si="176"/>
        <v>25555270.593827114</v>
      </c>
      <c r="AL85" s="7">
        <v>1198042.4441900402</v>
      </c>
      <c r="AM85" s="7">
        <v>16581.45392100744</v>
      </c>
      <c r="AN85" s="7">
        <v>378272.67697004386</v>
      </c>
      <c r="AO85" s="5">
        <v>183122.55</v>
      </c>
      <c r="AP85" s="5">
        <v>19426.91</v>
      </c>
      <c r="AQ85" s="5">
        <v>38675</v>
      </c>
      <c r="AR85" s="5">
        <v>2576.5</v>
      </c>
      <c r="AS85" s="544">
        <f t="shared" si="234"/>
        <v>50.083333333333336</v>
      </c>
      <c r="AT85" s="557">
        <v>114797</v>
      </c>
      <c r="AU85" s="557">
        <v>1561</v>
      </c>
      <c r="AV85" s="557">
        <v>9476</v>
      </c>
      <c r="AW85" s="557">
        <v>1018</v>
      </c>
      <c r="AX85" s="557">
        <v>5</v>
      </c>
      <c r="AY85" s="557">
        <v>4</v>
      </c>
      <c r="AZ85" s="557">
        <v>31845</v>
      </c>
      <c r="BA85" s="557">
        <v>245</v>
      </c>
      <c r="BB85" s="557">
        <v>799</v>
      </c>
      <c r="BC85" s="560">
        <v>31782769.881968621</v>
      </c>
      <c r="BD85" s="560">
        <f ca="1">IFERROR(VLOOKUP($B85-1,CDM!$V$4:$AJ$17,11,FALSE)/12,0)+IFERROR(VLOOKUP($B85,CDM!$V$41:$AJ$54,11,FALSE)/24,0)+IFERROR(VLOOKUP($B85,CDM!$V$41:$AJ$54,11,FALSE)/2*$C85/78,0)</f>
        <v>1703091.3082864357</v>
      </c>
      <c r="BE85" s="560">
        <f t="shared" ca="1" si="188"/>
        <v>33485861.190255057</v>
      </c>
      <c r="BF85" s="560">
        <f>IFERROR(HLOOKUP(B85-1,'EV Forecast WRZ'!$F$124:$T$130,2,FALSE)/12,0)+IFERROR(((HLOOKUP(B85,'EV Forecast WRZ'!$F$116:$T$122,2,FALSE)-HLOOKUP(B85-1,'EV Forecast WRZ'!$F$124:$T$130,2,FALSE)))*C85/78,0)</f>
        <v>199934.41679487179</v>
      </c>
      <c r="BG85" s="560">
        <f ca="1">HLOOKUP(B85,Heating!$R$102:$AD$106,2,FALSE)*INDEX(Weather!$BO$1:$CB$20,MATCH(B85,Weather!$BO$1:$BO$20,0),MATCH(C85,Weather!$BO$1:$CB$1,0))/VLOOKUP(B85,Weather!$BO$2:$CB$20,14,FALSE)*
VLOOKUP('Monthly Data'!$B85,Weather!$BO$3:$CB$20,14,FALSE)/Weather!$CB$14</f>
        <v>561758.76080973726</v>
      </c>
      <c r="BH85" s="560">
        <f t="shared" ca="1" si="177"/>
        <v>32724168.012650449</v>
      </c>
      <c r="BI85" s="560">
        <v>7339602.617572221</v>
      </c>
      <c r="BJ85" s="560">
        <f ca="1">IFERROR(VLOOKUP($B85-1,CDM!$V$4:$AJ$17,12,FALSE)/12,0)+IFERROR(VLOOKUP($B85,CDM!$V$41:$AJ$54,12,FALSE)/24,0)+IFERROR(VLOOKUP($B85,CDM!$V$41:$AJ$54,12,FALSE)/2*$C85/78,0)</f>
        <v>274257.80329298665</v>
      </c>
      <c r="BK85" s="560">
        <f t="shared" ca="1" si="178"/>
        <v>7613860.4208652079</v>
      </c>
      <c r="BL85" s="560">
        <f>IFERROR(HLOOKUP(B85-1,'EV Forecast WRZ'!$F$124:$T$130,3,FALSE)/12,0)+IFERROR(((HLOOKUP(B85,'EV Forecast WRZ'!$F$116:$T$122,3,FALSE)-HLOOKUP(B85-1,'EV Forecast WRZ'!$F$124:$T$130,3,FALSE)))*C85/78,0)</f>
        <v>24891.718717948719</v>
      </c>
      <c r="BM85" s="560">
        <f ca="1">HLOOKUP(B85,Heating!$R$102:$AD$106,4,FALSE)*INDEX(Weather!$BO$1:$CB$20,MATCH(B85,Weather!$BO$1:$BO$20,0),MATCH(C85,Weather!$BO$1:$CB$1,0))/VLOOKUP(B85,Weather!$BO$2:$CB$20,14,FALSE)*
VLOOKUP('Monthly Data'!$B85,Weather!$BO$3:$CB$20,14,FALSE)/Weather!$CB$14</f>
        <v>86215.033586030258</v>
      </c>
      <c r="BN85" s="560">
        <f t="shared" ca="1" si="179"/>
        <v>7502753.6685612295</v>
      </c>
      <c r="BO85" s="560">
        <v>27264639.596517563</v>
      </c>
      <c r="BP85" s="560">
        <f ca="1">IFERROR(VLOOKUP($B85-1,CDM!$V$4:$AJ$17,13,FALSE)/12,0)+IFERROR(VLOOKUP($B85,CDM!$V$41:$AJ$54,13,FALSE)/24,0)+IFERROR(VLOOKUP($B85,CDM!$V$41:$AJ$54,13,FALSE)/2*$C85/78,0)</f>
        <v>2718813.3608385595</v>
      </c>
      <c r="BQ85" s="560">
        <f t="shared" ca="1" si="180"/>
        <v>29983452.957356121</v>
      </c>
      <c r="BR85" s="560">
        <f>IFERROR(HLOOKUP(B85-1,'EV Forecast WRZ'!$F$124:$T$130,4,FALSE)/12,0)+IFERROR(((HLOOKUP(B85,'EV Forecast WRZ'!$F$116:$T$122,4,FALSE)-HLOOKUP(B85-1,'EV Forecast WRZ'!$F$124:$T$130,4,FALSE)))*C85/78,0)</f>
        <v>11199.927269230768</v>
      </c>
      <c r="BS85" s="560">
        <f ca="1">HLOOKUP(B85,Heating!$R$102:$AD$106,5,FALSE)*INDEX(Weather!$BO$1:$CB$20,MATCH(B85,Weather!$BO$1:$BO$20,0),MATCH(C85,Weather!$BO$1:$CB$1,0))/VLOOKUP(B85,Weather!$BO$2:$CB$20,14,FALSE)*
VLOOKUP('Monthly Data'!$B85,Weather!$BO$3:$CB$20,14,FALSE)/Weather!$CB$14</f>
        <v>48960.818831892415</v>
      </c>
      <c r="BT85" s="560">
        <f t="shared" ca="1" si="181"/>
        <v>29923292.211254999</v>
      </c>
      <c r="BU85" s="560">
        <v>6738283.4040501453</v>
      </c>
      <c r="BV85" s="560">
        <f ca="1">IFERROR(VLOOKUP($B85-1,CDM!$V$4:$AJ$17,14,FALSE)/12,0)+IFERROR(VLOOKUP($B85,CDM!$V$41:$AJ$54,14,FALSE)/24,0)+IFERROR(VLOOKUP($B85,CDM!$V$41:$AJ$54,14,FALSE)/2*$C85/78,0)</f>
        <v>611487.43275008572</v>
      </c>
      <c r="BW85" s="560">
        <f t="shared" ca="1" si="182"/>
        <v>7349770.8368002307</v>
      </c>
      <c r="BX85" s="560">
        <f>IFERROR(HLOOKUP(B85-1,'EV Forecast WRZ'!$F$124:$T$130,5,FALSE)/12,0)+IFERROR(((HLOOKUP(B85,'EV Forecast WRZ'!$F$116:$T$122,5,FALSE)-HLOOKUP(B85-1,'EV Forecast WRZ'!$F$124:$T$130,5,FALSE)))*C85/78,0)</f>
        <v>1602.6628589743591</v>
      </c>
      <c r="BY85" s="560">
        <f t="shared" ca="1" si="189"/>
        <v>7348168.1739412565</v>
      </c>
      <c r="BZ85" s="560">
        <v>374018.99751291372</v>
      </c>
      <c r="CA85" s="560">
        <v>2870.5758561316238</v>
      </c>
      <c r="CB85" s="560">
        <v>155757.97780753777</v>
      </c>
      <c r="CC85" s="5">
        <v>64419.96</v>
      </c>
      <c r="CD85" s="5">
        <v>12952.66</v>
      </c>
      <c r="CE85" s="5">
        <v>805</v>
      </c>
      <c r="CF85" s="544">
        <f t="shared" si="235"/>
        <v>7.916666666666667</v>
      </c>
      <c r="CG85" s="565">
        <v>44498</v>
      </c>
      <c r="CH85" s="565">
        <v>2412</v>
      </c>
      <c r="CI85" s="565">
        <v>379</v>
      </c>
      <c r="CJ85" s="565">
        <v>3</v>
      </c>
      <c r="CK85" s="565">
        <v>13452</v>
      </c>
      <c r="CL85" s="565">
        <v>46</v>
      </c>
      <c r="CM85" s="565">
        <v>394</v>
      </c>
      <c r="CN85" s="46">
        <f>Weather!C109</f>
        <v>647.12083333333328</v>
      </c>
      <c r="CO85" s="46">
        <f>Weather!D109</f>
        <v>0</v>
      </c>
      <c r="CP85" s="46">
        <f>Weather!E109</f>
        <v>585.12083333333328</v>
      </c>
      <c r="CQ85" s="46">
        <f>Weather!F109</f>
        <v>0</v>
      </c>
      <c r="CR85" s="46">
        <f>Weather!G109</f>
        <v>523.12083333333328</v>
      </c>
      <c r="CS85" s="46">
        <f>Weather!H109</f>
        <v>0</v>
      </c>
      <c r="CT85" s="46">
        <f>Weather!I109</f>
        <v>461.12083333333328</v>
      </c>
      <c r="CU85" s="46">
        <f>Weather!J109</f>
        <v>0</v>
      </c>
      <c r="CV85" s="46">
        <f>Weather!K109</f>
        <v>399.12083333333328</v>
      </c>
      <c r="CW85" s="46">
        <f>Weather!L109</f>
        <v>0</v>
      </c>
      <c r="CX85" s="46">
        <f>Weather!M109</f>
        <v>337.12083333333322</v>
      </c>
      <c r="CY85" s="46">
        <f>Weather!N109</f>
        <v>0</v>
      </c>
      <c r="CZ85" s="46">
        <f>Weather!O109</f>
        <v>275.12083333333322</v>
      </c>
      <c r="DA85" s="46">
        <f>Weather!P109</f>
        <v>0</v>
      </c>
      <c r="DB85" s="243">
        <f>'Economic Data'!D111</f>
        <v>7829.3</v>
      </c>
      <c r="DC85" s="243">
        <f>'Economic Data'!E111</f>
        <v>7828.5</v>
      </c>
      <c r="DD85" s="243">
        <f>'Economic Data'!F111</f>
        <v>236.7</v>
      </c>
      <c r="DE85" s="243">
        <f>'Economic Data'!G111</f>
        <v>235.8</v>
      </c>
      <c r="DF85" s="243">
        <f>'Economic Data'!H111</f>
        <v>58.9</v>
      </c>
      <c r="DG85" s="243">
        <f>'Economic Data'!I111</f>
        <v>58.9</v>
      </c>
      <c r="DH85" s="243">
        <f>'Economic Data'!J111</f>
        <v>850461.9</v>
      </c>
      <c r="DI85" s="243">
        <f>'Economic Data'!K111</f>
        <v>662856.4</v>
      </c>
      <c r="DJ85" s="243">
        <f>'Economic Data'!L111</f>
        <v>96870.8</v>
      </c>
      <c r="DK85" s="243">
        <f>'Economic Data'!M111</f>
        <v>30149.3</v>
      </c>
      <c r="DL85" s="243">
        <f>'Economic Data'!N111</f>
        <v>856887</v>
      </c>
      <c r="DM85" s="243">
        <f>'Economic Data'!O111</f>
        <v>91622</v>
      </c>
      <c r="DN85" s="243">
        <f>'Economic Data'!P111</f>
        <v>17615</v>
      </c>
      <c r="DO85" s="243">
        <f>'Economic Data'!Q111</f>
        <v>674341</v>
      </c>
      <c r="DP85" s="243">
        <f>'Economic Data'!R111</f>
        <v>32380</v>
      </c>
      <c r="DQ85">
        <v>31</v>
      </c>
      <c r="DR85">
        <v>20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1</v>
      </c>
      <c r="EE85">
        <v>0</v>
      </c>
      <c r="EF85">
        <v>0</v>
      </c>
      <c r="EG85">
        <v>0</v>
      </c>
      <c r="EH85">
        <f t="shared" si="185"/>
        <v>84</v>
      </c>
      <c r="EI85">
        <v>0.5</v>
      </c>
      <c r="EJ85">
        <v>0.25</v>
      </c>
      <c r="EK85">
        <v>0.5</v>
      </c>
      <c r="EL85">
        <v>0</v>
      </c>
      <c r="EM85" s="47">
        <f t="shared" si="190"/>
        <v>161.78020833333332</v>
      </c>
      <c r="EN85" s="47">
        <f t="shared" si="191"/>
        <v>0</v>
      </c>
      <c r="EO85" s="47">
        <f t="shared" si="192"/>
        <v>146.28020833333332</v>
      </c>
      <c r="EP85" s="47">
        <f t="shared" si="193"/>
        <v>0</v>
      </c>
      <c r="EQ85" s="47">
        <f t="shared" si="194"/>
        <v>130.78020833333332</v>
      </c>
      <c r="ER85" s="47">
        <f t="shared" si="195"/>
        <v>0</v>
      </c>
      <c r="ES85" s="47">
        <f t="shared" si="196"/>
        <v>115.28020833333332</v>
      </c>
      <c r="ET85" s="47">
        <f t="shared" si="197"/>
        <v>0</v>
      </c>
      <c r="EU85" s="47">
        <f t="shared" si="198"/>
        <v>99.78020833333332</v>
      </c>
      <c r="EV85" s="47">
        <f t="shared" si="199"/>
        <v>0</v>
      </c>
      <c r="EW85" s="47">
        <f t="shared" si="200"/>
        <v>84.280208333333306</v>
      </c>
      <c r="EX85" s="47">
        <f t="shared" si="201"/>
        <v>0</v>
      </c>
      <c r="EY85" s="47">
        <f t="shared" si="202"/>
        <v>68.780208333333306</v>
      </c>
      <c r="EZ85" s="47">
        <f t="shared" si="203"/>
        <v>0</v>
      </c>
      <c r="FA85" s="47">
        <f t="shared" si="204"/>
        <v>323.56041666666664</v>
      </c>
      <c r="FB85" s="47">
        <f t="shared" si="205"/>
        <v>0</v>
      </c>
      <c r="FC85" s="47">
        <f t="shared" si="206"/>
        <v>292.56041666666664</v>
      </c>
      <c r="FD85" s="47">
        <f t="shared" si="207"/>
        <v>0</v>
      </c>
      <c r="FE85" s="47">
        <f t="shared" si="208"/>
        <v>261.56041666666664</v>
      </c>
      <c r="FF85" s="47">
        <f t="shared" si="209"/>
        <v>0</v>
      </c>
      <c r="FG85" s="47">
        <f t="shared" si="210"/>
        <v>230.56041666666664</v>
      </c>
      <c r="FH85" s="47">
        <f t="shared" si="211"/>
        <v>0</v>
      </c>
      <c r="FI85" s="47">
        <f t="shared" si="212"/>
        <v>199.56041666666664</v>
      </c>
      <c r="FJ85" s="47">
        <f t="shared" si="213"/>
        <v>0</v>
      </c>
      <c r="FK85" s="47">
        <f t="shared" si="214"/>
        <v>168.56041666666661</v>
      </c>
      <c r="FL85" s="47">
        <f t="shared" si="215"/>
        <v>0</v>
      </c>
      <c r="FM85" s="47">
        <f t="shared" si="216"/>
        <v>137.56041666666661</v>
      </c>
      <c r="FN85" s="47">
        <f t="shared" si="217"/>
        <v>0</v>
      </c>
      <c r="FO85" s="546">
        <f t="shared" ca="1" si="218"/>
        <v>775.23887940775512</v>
      </c>
      <c r="FP85" s="546">
        <f t="shared" ca="1" si="219"/>
        <v>735.98621302895447</v>
      </c>
      <c r="FQ85" s="546">
        <f t="shared" ca="1" si="220"/>
        <v>2669.9863816780849</v>
      </c>
      <c r="FR85" s="546">
        <f t="shared" ca="1" si="221"/>
        <v>78733.312786678143</v>
      </c>
      <c r="FS85" s="546">
        <f t="shared" ca="1" si="222"/>
        <v>1737910.3317780872</v>
      </c>
      <c r="FT85" s="546">
        <f t="shared" ca="1" si="223"/>
        <v>6388858.0330721634</v>
      </c>
      <c r="FU85" s="546">
        <f t="shared" si="224"/>
        <v>37.621053358142255</v>
      </c>
      <c r="FV85" s="546">
        <f t="shared" si="225"/>
        <v>67.67940375921404</v>
      </c>
      <c r="FW85" s="546">
        <f t="shared" si="226"/>
        <v>473.43263700881585</v>
      </c>
      <c r="FX85" s="546">
        <f t="shared" ca="1" si="227"/>
        <v>752.52508405445315</v>
      </c>
      <c r="FY85" s="546">
        <f t="shared" ca="1" si="228"/>
        <v>3156.6585492807662</v>
      </c>
      <c r="FZ85" s="546">
        <f t="shared" ca="1" si="229"/>
        <v>79112.013080095305</v>
      </c>
      <c r="GA85" s="546">
        <f t="shared" si="230"/>
        <v>124672.99917097123</v>
      </c>
      <c r="GB85" s="546">
        <f t="shared" si="231"/>
        <v>27.803969485051571</v>
      </c>
      <c r="GC85" s="546">
        <f t="shared" si="232"/>
        <v>62.403822959383128</v>
      </c>
      <c r="GD85" s="546">
        <f t="shared" si="233"/>
        <v>395.32481677040045</v>
      </c>
    </row>
    <row r="86" spans="1:186">
      <c r="A86" s="4">
        <v>44927</v>
      </c>
      <c r="B86" s="6">
        <v>2023</v>
      </c>
      <c r="C86" s="5">
        <v>1</v>
      </c>
      <c r="D86" s="7">
        <v>85604441.478056669</v>
      </c>
      <c r="E86" s="7">
        <f ca="1">IFERROR(VLOOKUP($B86-1,CDM!$V$4:$AJ$17,2,FALSE)/12,0)+IFERROR(VLOOKUP($B86,CDM!$V$41:$AJ$54,2,FALSE)/24,0)+IFERROR(VLOOKUP($B86,CDM!$V$41:$AJ$54,2,FALSE)/2*$C86/78,0)</f>
        <v>3848205.1142976373</v>
      </c>
      <c r="F86" s="7">
        <f t="shared" ca="1" si="165"/>
        <v>89452646.592354313</v>
      </c>
      <c r="G86" s="7">
        <f>IFERROR(HLOOKUP(B86-1,'EV Forecast VRZ'!$F$124:$T$130,2,FALSE)/12,0)+IFERROR(((HLOOKUP(B86,'EV Forecast VRZ'!$F$116:$T$122,2,FALSE)-HLOOKUP(B86-1,'EV Forecast VRZ'!$F$124:$T$130,2,FALSE)))*C86/78,0)</f>
        <v>684005.64172052906</v>
      </c>
      <c r="H86" s="7">
        <f ca="1">HLOOKUP(B86,Heating!$C$102:$O$106,2,FALSE)*INDEX(Weather!$BO$1:$CB$20,MATCH(B86,Weather!$BO$1:$BO$20,0),MATCH(C86,Weather!$BO$1:$CB$1,0))/VLOOKUP(B86,Weather!$BO$2:$CB$20,14,FALSE)*
VLOOKUP('Monthly Data'!$B86,Weather!$BO$3:$CB$20,14,FALSE)/Weather!$CB$14</f>
        <v>1785612.9321399091</v>
      </c>
      <c r="I86" s="7">
        <f t="shared" ca="1" si="166"/>
        <v>86983028.018493876</v>
      </c>
      <c r="J86" s="7">
        <v>1183331.273602366</v>
      </c>
      <c r="K86" s="7">
        <f ca="1">IFERROR(VLOOKUP($B86-1,CDM!$V$4:$AJ$17,3,FALSE)/12,0)+IFERROR(VLOOKUP($B86,CDM!$V$41:$AJ$54,3,FALSE)/24,0)+IFERROR(VLOOKUP($B86,CDM!$V$41:$AJ$54,3,FALSE)/2*$C86/78,0)</f>
        <v>44076.53725461119</v>
      </c>
      <c r="L86" s="7">
        <f t="shared" ca="1" si="167"/>
        <v>1227407.8108569772</v>
      </c>
      <c r="M86" s="7">
        <f>IFERROR(HLOOKUP(B86-1,'EV Forecast VRZ'!$F$124:$T$130,3,FALSE)/12,0)+IFERROR(((HLOOKUP(B86,'EV Forecast VRZ'!$F$116:$T$122,3,FALSE)-HLOOKUP(B86-1,'EV Forecast VRZ'!$F$124:$T$130,3,FALSE)))*C86/78,0)</f>
        <v>9281.3694333171297</v>
      </c>
      <c r="N86" s="7">
        <f ca="1">HLOOKUP(B86,Heating!$C$102:$O$106,3,FALSE)*INDEX(Weather!$BO$1:$CB$20,MATCH(B86,Weather!$BO$1:$BO$20,0),MATCH(C86,Weather!$BO$1:$CB$1,0))/VLOOKUP(B86,Weather!$BO$2:$CB$20,14,FALSE)*
VLOOKUP('Monthly Data'!$B86,Weather!$BO$3:$CB$20,14,FALSE)/Weather!$CB$14</f>
        <v>21575.385202963793</v>
      </c>
      <c r="O86" s="7">
        <f t="shared" ca="1" si="168"/>
        <v>1196551.0562206963</v>
      </c>
      <c r="P86" s="7">
        <v>24401103.305685747</v>
      </c>
      <c r="Q86" s="7">
        <f ca="1">IFERROR(VLOOKUP($B86-1,CDM!$V$4:$AJ$17,4,FALSE)/12,0)+IFERROR(VLOOKUP($B86,CDM!$V$41:$AJ$54,4,FALSE)/24,0)+IFERROR(VLOOKUP($B86,CDM!$V$41:$AJ$54,4,FALSE)/2*$C86/78,0)</f>
        <v>1547802.1217290633</v>
      </c>
      <c r="R86" s="7">
        <f t="shared" ca="1" si="169"/>
        <v>25948905.427414812</v>
      </c>
      <c r="S86" s="7">
        <f>IFERROR(HLOOKUP(B86-1,'EV Forecast VRZ'!$F$124:$T$130,4,FALSE)/12,0)+IFERROR(((HLOOKUP(B86,'EV Forecast VRZ'!$F$116:$T$122,4,FALSE)-HLOOKUP(B86-1,'EV Forecast VRZ'!$F$124:$T$130,4,FALSE)))*C86/78,0)</f>
        <v>84718.720769230771</v>
      </c>
      <c r="T86" s="7">
        <f ca="1">HLOOKUP(B86,Heating!$C$102:$O$106,4,FALSE)*INDEX(Weather!$BO$1:$CB$20,MATCH(B86,Weather!$BO$1:$BO$20,0),MATCH(C86,Weather!$BO$1:$CB$1,0))/VLOOKUP(B86,Weather!$BO$2:$CB$20,14,FALSE)*
VLOOKUP('Monthly Data'!$B86,Weather!$BO$3:$CB$20,14,FALSE)/Weather!$CB$14</f>
        <v>438608.06380084116</v>
      </c>
      <c r="U86" s="7">
        <f t="shared" ca="1" si="170"/>
        <v>25425578.64284474</v>
      </c>
      <c r="V86" s="7">
        <v>77715319.930732444</v>
      </c>
      <c r="W86" s="7">
        <f ca="1">IFERROR(VLOOKUP($B86-1,CDM!$V$4:$AJ$17,5,FALSE)/12,0)+IFERROR(VLOOKUP($B86,CDM!$V$41:$AJ$54,5,FALSE)/24,0)+IFERROR(VLOOKUP($B86,CDM!$V$41:$AJ$54,5,FALSE)/2*$C86/78,0)</f>
        <v>6296468.4123803321</v>
      </c>
      <c r="X86" s="7">
        <f t="shared" ca="1" si="171"/>
        <v>84011788.343112782</v>
      </c>
      <c r="Y86" s="7">
        <f>IFERROR(HLOOKUP(B86-1,'EV Forecast VRZ'!$F$124:$T$130,5,FALSE)/12,0)+IFERROR(((HLOOKUP(B86,'EV Forecast VRZ'!$F$116:$T$122,5,FALSE)-HLOOKUP(B86-1,'EV Forecast VRZ'!$F$124:$T$130,5,FALSE)))*C86/78,0)</f>
        <v>38805.539730769233</v>
      </c>
      <c r="Z86" s="7">
        <f ca="1">HLOOKUP(B86,Heating!$C$102:$O$106,5,FALSE)*INDEX(Weather!$BO$1:$CB$20,MATCH(B86,Weather!$BO$1:$BO$20,0),MATCH(C86,Weather!$BO$1:$CB$1,0))/VLOOKUP(B86,Weather!$BO$2:$CB$20,14,FALSE)*
VLOOKUP('Monthly Data'!$B86,Weather!$BO$3:$CB$20,14,FALSE)/Weather!$CB$14</f>
        <v>229120.25339652124</v>
      </c>
      <c r="AA86" s="7">
        <f t="shared" ca="1" si="172"/>
        <v>83743862.549985483</v>
      </c>
      <c r="AB86" s="7">
        <v>9441989.6255158298</v>
      </c>
      <c r="AC86" s="7">
        <f ca="1">IFERROR(VLOOKUP($B86-1,CDM!$V$4:$AJ$17,6,FALSE)/12,0)+IFERROR(VLOOKUP($B86,CDM!$V$41:$AJ$54,6,FALSE)/24,0)+IFERROR(VLOOKUP($B86,CDM!$V$41:$AJ$54,6,FALSE)/2*$C86/78,0)</f>
        <v>288582.83484059089</v>
      </c>
      <c r="AD86" s="7">
        <f t="shared" ca="1" si="173"/>
        <v>9730572.4603564199</v>
      </c>
      <c r="AE86" s="7">
        <f>IFERROR(HLOOKUP(B86-1,'EV Forecast VRZ'!$F$124:$T$130,6,FALSE)/12,0)+IFERROR(((HLOOKUP(B86,'EV Forecast VRZ'!$F$116:$T$122,6,FALSE)-HLOOKUP(B86-1,'EV Forecast VRZ'!$F$124:$T$130,6,FALSE)))*C86/78,0)</f>
        <v>5025.9360384615384</v>
      </c>
      <c r="AF86" s="7">
        <f t="shared" ca="1" si="174"/>
        <v>9725546.5243179575</v>
      </c>
      <c r="AG86" s="7">
        <v>24857943.287138909</v>
      </c>
      <c r="AH86" s="7">
        <f ca="1">IFERROR(VLOOKUP($B86-1,CDM!$V$4:$AJ$17,7,FALSE)/12,0)+IFERROR(VLOOKUP($B86,CDM!$V$41:$AJ$54,7,FALSE)/24,0)+IFERROR(VLOOKUP($B86,CDM!$V$41:$AJ$54,7,FALSE)/2*$C86/78,0)</f>
        <v>1804578.2398624045</v>
      </c>
      <c r="AI86" s="7">
        <f t="shared" ca="1" si="175"/>
        <v>26662521.527001314</v>
      </c>
      <c r="AJ86" s="7">
        <f>IFERROR(HLOOKUP(B86-1,'EV Forecast VRZ'!$F$124:$T$130,7,FALSE)/12,0)+IFERROR(((HLOOKUP(B86,'EV Forecast VRZ'!$F$116:$T$122,7,FALSE)-HLOOKUP(B86-1,'EV Forecast VRZ'!$F$124:$T$130,7,FALSE)))*C86/78,0)</f>
        <v>215.38461538461539</v>
      </c>
      <c r="AK86" s="7">
        <f t="shared" ca="1" si="176"/>
        <v>26662306.14238593</v>
      </c>
      <c r="AL86" s="7">
        <v>1171419.2234306429</v>
      </c>
      <c r="AM86" s="7">
        <v>18030.165998855184</v>
      </c>
      <c r="AN86" s="7">
        <v>378306.48731158173</v>
      </c>
      <c r="AO86" s="5">
        <v>179158.7</v>
      </c>
      <c r="AP86" s="5">
        <v>19396.39</v>
      </c>
      <c r="AQ86" s="5">
        <v>40035</v>
      </c>
      <c r="AR86" s="5">
        <v>2576.5</v>
      </c>
      <c r="AS86" s="544">
        <f>608/12</f>
        <v>50.666666666666664</v>
      </c>
      <c r="AT86" s="557">
        <v>114934.25</v>
      </c>
      <c r="AU86" s="557">
        <v>1561.25</v>
      </c>
      <c r="AV86" s="557">
        <v>9477.75</v>
      </c>
      <c r="AW86" s="557">
        <v>1019.9166666666666</v>
      </c>
      <c r="AX86" s="557">
        <v>5</v>
      </c>
      <c r="AY86" s="557">
        <v>4.083333333333333</v>
      </c>
      <c r="AZ86" s="557">
        <v>31889.083333333332</v>
      </c>
      <c r="BA86" s="557">
        <v>244.66666666666666</v>
      </c>
      <c r="BB86" s="557">
        <v>798.83333333333337</v>
      </c>
      <c r="BC86" s="560">
        <v>30720918.129404914</v>
      </c>
      <c r="BD86" s="560">
        <f ca="1">IFERROR(VLOOKUP($B86-1,CDM!$V$4:$AJ$17,11,FALSE)/12,0)+IFERROR(VLOOKUP($B86,CDM!$V$41:$AJ$54,11,FALSE)/24,0)+IFERROR(VLOOKUP($B86,CDM!$V$41:$AJ$54,11,FALSE)/2*$C86/78,0)</f>
        <v>1704112.5640721952</v>
      </c>
      <c r="BE86" s="560">
        <f t="shared" ca="1" si="188"/>
        <v>32425030.693477109</v>
      </c>
      <c r="BF86" s="560">
        <f>IFERROR(HLOOKUP(B86-1,'EV Forecast WRZ'!$F$124:$T$130,2,FALSE)/12,0)+IFERROR(((HLOOKUP(B86,'EV Forecast WRZ'!$F$116:$T$122,2,FALSE)-HLOOKUP(B86-1,'EV Forecast WRZ'!$F$124:$T$130,2,FALSE)))*C86/78,0)</f>
        <v>215217.9769230769</v>
      </c>
      <c r="BG86" s="560">
        <f ca="1">HLOOKUP(B86,Heating!$R$102:$AD$106,2,FALSE)*INDEX(Weather!$BO$1:$CB$20,MATCH(B86,Weather!$BO$1:$BO$20,0),MATCH(C86,Weather!$BO$1:$CB$1,0))/VLOOKUP(B86,Weather!$BO$2:$CB$20,14,FALSE)*
VLOOKUP('Monthly Data'!$B86,Weather!$BO$3:$CB$20,14,FALSE)/Weather!$CB$14</f>
        <v>800412.94911108573</v>
      </c>
      <c r="BH86" s="560">
        <f t="shared" ca="1" si="177"/>
        <v>31409399.767442945</v>
      </c>
      <c r="BI86" s="560">
        <v>7456040.6981538059</v>
      </c>
      <c r="BJ86" s="560">
        <f ca="1">IFERROR(VLOOKUP($B86-1,CDM!$V$4:$AJ$17,12,FALSE)/12,0)+IFERROR(VLOOKUP($B86,CDM!$V$41:$AJ$54,12,FALSE)/24,0)+IFERROR(VLOOKUP($B86,CDM!$V$41:$AJ$54,12,FALSE)/2*$C86/78,0)</f>
        <v>272467.30747177108</v>
      </c>
      <c r="BK86" s="560">
        <f t="shared" ca="1" si="178"/>
        <v>7728508.0056255767</v>
      </c>
      <c r="BL86" s="560">
        <f>IFERROR(HLOOKUP(B86-1,'EV Forecast WRZ'!$F$124:$T$130,3,FALSE)/12,0)+IFERROR(((HLOOKUP(B86,'EV Forecast WRZ'!$F$116:$T$122,3,FALSE)-HLOOKUP(B86-1,'EV Forecast WRZ'!$F$124:$T$130,3,FALSE)))*C86/78,0)</f>
        <v>26889.784615384619</v>
      </c>
      <c r="BM86" s="560">
        <f ca="1">HLOOKUP(B86,Heating!$R$102:$AD$106,4,FALSE)*INDEX(Weather!$BO$1:$CB$20,MATCH(B86,Weather!$BO$1:$BO$20,0),MATCH(C86,Weather!$BO$1:$CB$1,0))/VLOOKUP(B86,Weather!$BO$2:$CB$20,14,FALSE)*
VLOOKUP('Monthly Data'!$B86,Weather!$BO$3:$CB$20,14,FALSE)/Weather!$CB$14</f>
        <v>125360.65116932499</v>
      </c>
      <c r="BN86" s="560">
        <f t="shared" ca="1" si="179"/>
        <v>7576257.5698408671</v>
      </c>
      <c r="BO86" s="560">
        <v>27963079.147403181</v>
      </c>
      <c r="BP86" s="560">
        <f ca="1">IFERROR(VLOOKUP($B86-1,CDM!$V$4:$AJ$17,13,FALSE)/12,0)+IFERROR(VLOOKUP($B86,CDM!$V$41:$AJ$54,13,FALSE)/24,0)+IFERROR(VLOOKUP($B86,CDM!$V$41:$AJ$54,13,FALSE)/2*$C86/78,0)</f>
        <v>2657169.6992704682</v>
      </c>
      <c r="BQ86" s="560">
        <f t="shared" ca="1" si="180"/>
        <v>30620248.846673649</v>
      </c>
      <c r="BR86" s="560">
        <f>IFERROR(HLOOKUP(B86-1,'EV Forecast WRZ'!$F$124:$T$130,4,FALSE)/12,0)+IFERROR(((HLOOKUP(B86,'EV Forecast WRZ'!$F$116:$T$122,4,FALSE)-HLOOKUP(B86-1,'EV Forecast WRZ'!$F$124:$T$130,4,FALSE)))*C86/78,0)</f>
        <v>12088.223589743591</v>
      </c>
      <c r="BS86" s="560">
        <f ca="1">HLOOKUP(B86,Heating!$R$102:$AD$106,5,FALSE)*INDEX(Weather!$BO$1:$CB$20,MATCH(B86,Weather!$BO$1:$BO$20,0),MATCH(C86,Weather!$BO$1:$CB$1,0))/VLOOKUP(B86,Weather!$BO$2:$CB$20,14,FALSE)*
VLOOKUP('Monthly Data'!$B86,Weather!$BO$3:$CB$20,14,FALSE)/Weather!$CB$14</f>
        <v>67700.470175603856</v>
      </c>
      <c r="BT86" s="560">
        <f t="shared" ca="1" si="181"/>
        <v>30540460.152908299</v>
      </c>
      <c r="BU86" s="560">
        <v>7406978.2160077151</v>
      </c>
      <c r="BV86" s="560">
        <f ca="1">IFERROR(VLOOKUP($B86-1,CDM!$V$4:$AJ$17,14,FALSE)/12,0)+IFERROR(VLOOKUP($B86,CDM!$V$41:$AJ$54,14,FALSE)/24,0)+IFERROR(VLOOKUP($B86,CDM!$V$41:$AJ$54,14,FALSE)/2*$C86/78,0)</f>
        <v>597746.29114670376</v>
      </c>
      <c r="BW86" s="560">
        <f t="shared" ca="1" si="182"/>
        <v>8004724.5071544191</v>
      </c>
      <c r="BX86" s="560">
        <f>IFERROR(HLOOKUP(B86-1,'EV Forecast WRZ'!$F$124:$T$130,5,FALSE)/12,0)+IFERROR(((HLOOKUP(B86,'EV Forecast WRZ'!$F$116:$T$122,5,FALSE)-HLOOKUP(B86-1,'EV Forecast WRZ'!$F$124:$T$130,5,FALSE)))*C86/78,0)</f>
        <v>1746.7328205128206</v>
      </c>
      <c r="BY86" s="560">
        <f t="shared" ca="1" si="189"/>
        <v>8002977.7743339064</v>
      </c>
      <c r="BZ86" s="560">
        <v>367448.00076525728</v>
      </c>
      <c r="CA86" s="560">
        <v>2720.2027931892089</v>
      </c>
      <c r="CB86" s="560">
        <v>155962.00497417254</v>
      </c>
      <c r="CC86" s="5">
        <v>64370.09</v>
      </c>
      <c r="CD86" s="5">
        <v>13752.39</v>
      </c>
      <c r="CE86" s="5">
        <v>809</v>
      </c>
      <c r="CF86" s="544">
        <f>92/12</f>
        <v>7.666666666666667</v>
      </c>
      <c r="CG86" s="565">
        <v>44566.833333333336</v>
      </c>
      <c r="CH86" s="565">
        <v>2415.5833333333335</v>
      </c>
      <c r="CI86" s="565">
        <v>379.66666666666669</v>
      </c>
      <c r="CJ86" s="565">
        <v>3</v>
      </c>
      <c r="CK86" s="565">
        <v>13467.916666666666</v>
      </c>
      <c r="CL86" s="565">
        <v>46</v>
      </c>
      <c r="CM86" s="565">
        <v>395</v>
      </c>
      <c r="CN86" s="46">
        <f>Weather!C110</f>
        <v>666.07083333333355</v>
      </c>
      <c r="CO86" s="46">
        <f>Weather!D110</f>
        <v>0</v>
      </c>
      <c r="CP86" s="46">
        <f>Weather!E110</f>
        <v>604.07083333333344</v>
      </c>
      <c r="CQ86" s="46">
        <f>Weather!F110</f>
        <v>0</v>
      </c>
      <c r="CR86" s="46">
        <f>Weather!G110</f>
        <v>542.07083333333333</v>
      </c>
      <c r="CS86" s="46">
        <f>Weather!H110</f>
        <v>0</v>
      </c>
      <c r="CT86" s="46">
        <f>Weather!I110</f>
        <v>480.07083333333327</v>
      </c>
      <c r="CU86" s="46">
        <f>Weather!J110</f>
        <v>0</v>
      </c>
      <c r="CV86" s="46">
        <f>Weather!K110</f>
        <v>418.07083333333327</v>
      </c>
      <c r="CW86" s="46">
        <f>Weather!L110</f>
        <v>0</v>
      </c>
      <c r="CX86" s="46">
        <f>Weather!M110</f>
        <v>356.07083333333321</v>
      </c>
      <c r="CY86" s="46">
        <f>Weather!N110</f>
        <v>0</v>
      </c>
      <c r="CZ86" s="46">
        <f>Weather!O110</f>
        <v>294.07083333333327</v>
      </c>
      <c r="DA86" s="46">
        <f>Weather!P110</f>
        <v>0</v>
      </c>
      <c r="DB86" s="243">
        <f>'Economic Data'!D112</f>
        <v>7861.3</v>
      </c>
      <c r="DC86" s="243">
        <f>'Economic Data'!E112</f>
        <v>7829.1</v>
      </c>
      <c r="DD86" s="243">
        <f>'Economic Data'!F112</f>
        <v>238.3</v>
      </c>
      <c r="DE86" s="243">
        <f>'Economic Data'!G112</f>
        <v>238.2</v>
      </c>
      <c r="DF86" s="243">
        <f>'Economic Data'!H112</f>
        <v>61.2</v>
      </c>
      <c r="DG86" s="243">
        <f>'Economic Data'!I112</f>
        <v>61.2</v>
      </c>
      <c r="DH86" s="243">
        <f>'Economic Data'!J112</f>
        <v>865859.6</v>
      </c>
      <c r="DI86" s="243">
        <f>'Economic Data'!K112</f>
        <v>679067</v>
      </c>
      <c r="DJ86" s="243">
        <f>'Economic Data'!L112</f>
        <v>96987.199999999997</v>
      </c>
      <c r="DK86" s="243">
        <f>'Economic Data'!M112</f>
        <v>32826.199999999997</v>
      </c>
      <c r="DL86" s="243">
        <f>'Economic Data'!N112</f>
        <v>867096</v>
      </c>
      <c r="DM86" s="243">
        <f>'Economic Data'!O112</f>
        <v>93889</v>
      </c>
      <c r="DN86" s="243">
        <f>'Economic Data'!P112</f>
        <v>19232</v>
      </c>
      <c r="DO86" s="243">
        <f>'Economic Data'!Q112</f>
        <v>682048</v>
      </c>
      <c r="DP86" s="243">
        <f>'Economic Data'!R112</f>
        <v>32820</v>
      </c>
      <c r="DQ86">
        <v>31</v>
      </c>
      <c r="DR86">
        <v>21</v>
      </c>
      <c r="DS86">
        <v>1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f t="shared" si="185"/>
        <v>85</v>
      </c>
      <c r="EI86">
        <v>0</v>
      </c>
      <c r="EJ86">
        <v>0</v>
      </c>
      <c r="EK86">
        <v>0.25</v>
      </c>
      <c r="EL86">
        <v>0</v>
      </c>
      <c r="EM86" s="47">
        <f t="shared" si="190"/>
        <v>0</v>
      </c>
      <c r="EN86" s="47">
        <f t="shared" si="191"/>
        <v>0</v>
      </c>
      <c r="EO86" s="47">
        <f t="shared" si="192"/>
        <v>0</v>
      </c>
      <c r="EP86" s="47">
        <f t="shared" si="193"/>
        <v>0</v>
      </c>
      <c r="EQ86" s="47">
        <f t="shared" si="194"/>
        <v>0</v>
      </c>
      <c r="ER86" s="47">
        <f t="shared" si="195"/>
        <v>0</v>
      </c>
      <c r="ES86" s="47">
        <f t="shared" si="196"/>
        <v>0</v>
      </c>
      <c r="ET86" s="47">
        <f t="shared" si="197"/>
        <v>0</v>
      </c>
      <c r="EU86" s="47">
        <f t="shared" si="198"/>
        <v>0</v>
      </c>
      <c r="EV86" s="47">
        <f t="shared" si="199"/>
        <v>0</v>
      </c>
      <c r="EW86" s="47">
        <f t="shared" si="200"/>
        <v>0</v>
      </c>
      <c r="EX86" s="47">
        <f t="shared" si="201"/>
        <v>0</v>
      </c>
      <c r="EY86" s="47">
        <f t="shared" si="202"/>
        <v>0</v>
      </c>
      <c r="EZ86" s="47">
        <f t="shared" si="203"/>
        <v>0</v>
      </c>
      <c r="FA86" s="47">
        <f t="shared" si="204"/>
        <v>166.51770833333339</v>
      </c>
      <c r="FB86" s="47">
        <f t="shared" si="205"/>
        <v>0</v>
      </c>
      <c r="FC86" s="47">
        <f t="shared" si="206"/>
        <v>151.01770833333336</v>
      </c>
      <c r="FD86" s="47">
        <f t="shared" si="207"/>
        <v>0</v>
      </c>
      <c r="FE86" s="47">
        <f t="shared" si="208"/>
        <v>135.51770833333333</v>
      </c>
      <c r="FF86" s="47">
        <f t="shared" si="209"/>
        <v>0</v>
      </c>
      <c r="FG86" s="47">
        <f t="shared" si="210"/>
        <v>120.01770833333332</v>
      </c>
      <c r="FH86" s="47">
        <f t="shared" si="211"/>
        <v>0</v>
      </c>
      <c r="FI86" s="47">
        <f t="shared" si="212"/>
        <v>104.51770833333332</v>
      </c>
      <c r="FJ86" s="47">
        <f t="shared" si="213"/>
        <v>0</v>
      </c>
      <c r="FK86" s="47">
        <f t="shared" si="214"/>
        <v>89.017708333333303</v>
      </c>
      <c r="FL86" s="47">
        <f t="shared" si="215"/>
        <v>0</v>
      </c>
      <c r="FM86" s="47">
        <f t="shared" si="216"/>
        <v>73.517708333333317</v>
      </c>
      <c r="FN86" s="47">
        <f t="shared" si="217"/>
        <v>0</v>
      </c>
      <c r="FO86" s="546">
        <f t="shared" ca="1" si="218"/>
        <v>756.80685277446776</v>
      </c>
      <c r="FP86" s="546">
        <f t="shared" ca="1" si="219"/>
        <v>786.16993489638253</v>
      </c>
      <c r="FQ86" s="546">
        <f t="shared" ca="1" si="220"/>
        <v>2737.8761232797669</v>
      </c>
      <c r="FR86" s="546">
        <f t="shared" ca="1" si="221"/>
        <v>82371.228051095139</v>
      </c>
      <c r="FS86" s="546">
        <f t="shared" ca="1" si="222"/>
        <v>1946114.492071284</v>
      </c>
      <c r="FT86" s="546">
        <f t="shared" ca="1" si="223"/>
        <v>6529597.1086533833</v>
      </c>
      <c r="FU86" s="546">
        <f t="shared" si="224"/>
        <v>36.73417674587624</v>
      </c>
      <c r="FV86" s="546">
        <f t="shared" si="225"/>
        <v>73.692776562078407</v>
      </c>
      <c r="FW86" s="546">
        <f t="shared" si="226"/>
        <v>473.57373750667438</v>
      </c>
      <c r="FX86" s="546">
        <f t="shared" ca="1" si="227"/>
        <v>727.55967315328905</v>
      </c>
      <c r="FY86" s="546">
        <f t="shared" ca="1" si="228"/>
        <v>3199.4375432955089</v>
      </c>
      <c r="FZ86" s="546">
        <f t="shared" ca="1" si="229"/>
        <v>80650.348147516197</v>
      </c>
      <c r="GA86" s="546">
        <f t="shared" si="230"/>
        <v>122482.66692175243</v>
      </c>
      <c r="GB86" s="546">
        <f t="shared" si="231"/>
        <v>27.283210154893343</v>
      </c>
      <c r="GC86" s="546">
        <f t="shared" si="232"/>
        <v>59.134843330200191</v>
      </c>
      <c r="GD86" s="546">
        <f t="shared" si="233"/>
        <v>394.84051892195578</v>
      </c>
    </row>
    <row r="87" spans="1:186">
      <c r="A87" s="4">
        <v>44958</v>
      </c>
      <c r="B87" s="6">
        <v>2023</v>
      </c>
      <c r="C87" s="5">
        <v>2</v>
      </c>
      <c r="D87" s="7">
        <v>77971015.831358328</v>
      </c>
      <c r="E87" s="7">
        <f ca="1">IFERROR(VLOOKUP($B87-1,CDM!$V$4:$AJ$17,2,FALSE)/12,0)+IFERROR(VLOOKUP($B87,CDM!$V$41:$AJ$54,2,FALSE)/24,0)+IFERROR(VLOOKUP($B87,CDM!$V$41:$AJ$54,2,FALSE)/2*$C87/78,0)</f>
        <v>3848246.3229861795</v>
      </c>
      <c r="F87" s="7">
        <f t="shared" ca="1" si="165"/>
        <v>81819262.154344514</v>
      </c>
      <c r="G87" s="7">
        <f>IFERROR(HLOOKUP(B87-1,'EV Forecast VRZ'!$F$124:$T$130,2,FALSE)/12,0)+IFERROR(((HLOOKUP(B87,'EV Forecast VRZ'!$F$116:$T$122,2,FALSE)-HLOOKUP(B87-1,'EV Forecast VRZ'!$F$124:$T$130,2,FALSE)))*C87/78,0)</f>
        <v>710546.51599220128</v>
      </c>
      <c r="H87" s="7">
        <f ca="1">HLOOKUP(B87,Heating!$C$102:$O$106,2,FALSE)*INDEX(Weather!$BO$1:$CB$20,MATCH(B87,Weather!$BO$1:$BO$20,0),MATCH(C87,Weather!$BO$1:$CB$1,0))/VLOOKUP(B87,Weather!$BO$2:$CB$20,14,FALSE)*
VLOOKUP('Monthly Data'!$B87,Weather!$BO$3:$CB$20,14,FALSE)/Weather!$CB$14</f>
        <v>1695049.519391509</v>
      </c>
      <c r="I87" s="7">
        <f t="shared" ca="1" si="166"/>
        <v>79413666.118960813</v>
      </c>
      <c r="J87" s="7">
        <v>1139015.808204541</v>
      </c>
      <c r="K87" s="7">
        <f ca="1">IFERROR(VLOOKUP($B87-1,CDM!$V$4:$AJ$17,3,FALSE)/12,0)+IFERROR(VLOOKUP($B87,CDM!$V$41:$AJ$54,3,FALSE)/24,0)+IFERROR(VLOOKUP($B87,CDM!$V$41:$AJ$54,3,FALSE)/2*$C87/78,0)</f>
        <v>44077.002816982909</v>
      </c>
      <c r="L87" s="7">
        <f t="shared" ca="1" si="167"/>
        <v>1183092.8110215238</v>
      </c>
      <c r="M87" s="7">
        <f>IFERROR(HLOOKUP(B87-1,'EV Forecast VRZ'!$F$124:$T$130,3,FALSE)/12,0)+IFERROR(((HLOOKUP(B87,'EV Forecast VRZ'!$F$116:$T$122,3,FALSE)-HLOOKUP(B87-1,'EV Forecast VRZ'!$F$124:$T$130,3,FALSE)))*C87/78,0)</f>
        <v>9641.5063154910622</v>
      </c>
      <c r="N87" s="7">
        <f ca="1">HLOOKUP(B87,Heating!$C$102:$O$106,3,FALSE)*INDEX(Weather!$BO$1:$CB$20,MATCH(B87,Weather!$BO$1:$BO$20,0),MATCH(C87,Weather!$BO$1:$CB$1,0))/VLOOKUP(B87,Weather!$BO$2:$CB$20,14,FALSE)*
VLOOKUP('Monthly Data'!$B87,Weather!$BO$3:$CB$20,14,FALSE)/Weather!$CB$14</f>
        <v>20481.116405862227</v>
      </c>
      <c r="O87" s="7">
        <f t="shared" ca="1" si="168"/>
        <v>1152970.1883001705</v>
      </c>
      <c r="P87" s="7">
        <v>22420932.090059053</v>
      </c>
      <c r="Q87" s="7">
        <f ca="1">IFERROR(VLOOKUP($B87-1,CDM!$V$4:$AJ$17,4,FALSE)/12,0)+IFERROR(VLOOKUP($B87,CDM!$V$41:$AJ$54,4,FALSE)/24,0)+IFERROR(VLOOKUP($B87,CDM!$V$41:$AJ$54,4,FALSE)/2*$C87/78,0)</f>
        <v>1551699.7634387263</v>
      </c>
      <c r="R87" s="7">
        <f t="shared" ca="1" si="169"/>
        <v>23972631.853497781</v>
      </c>
      <c r="S87" s="7">
        <f>IFERROR(HLOOKUP(B87-1,'EV Forecast VRZ'!$F$124:$T$130,4,FALSE)/12,0)+IFERROR(((HLOOKUP(B87,'EV Forecast VRZ'!$F$116:$T$122,4,FALSE)-HLOOKUP(B87-1,'EV Forecast VRZ'!$F$124:$T$130,4,FALSE)))*C87/78,0)</f>
        <v>88146.441538461542</v>
      </c>
      <c r="T87" s="7">
        <f ca="1">HLOOKUP(B87,Heating!$C$102:$O$106,4,FALSE)*INDEX(Weather!$BO$1:$CB$20,MATCH(B87,Weather!$BO$1:$BO$20,0),MATCH(C87,Weather!$BO$1:$CB$1,0))/VLOOKUP(B87,Weather!$BO$2:$CB$20,14,FALSE)*
VLOOKUP('Monthly Data'!$B87,Weather!$BO$3:$CB$20,14,FALSE)/Weather!$CB$14</f>
        <v>416362.56904562068</v>
      </c>
      <c r="U87" s="7">
        <f t="shared" ca="1" si="170"/>
        <v>23468122.842913698</v>
      </c>
      <c r="V87" s="7">
        <v>71326606.052756548</v>
      </c>
      <c r="W87" s="7">
        <f ca="1">IFERROR(VLOOKUP($B87-1,CDM!$V$4:$AJ$17,5,FALSE)/12,0)+IFERROR(VLOOKUP($B87,CDM!$V$41:$AJ$54,5,FALSE)/24,0)+IFERROR(VLOOKUP($B87,CDM!$V$41:$AJ$54,5,FALSE)/2*$C87/78,0)</f>
        <v>6324659.9814282795</v>
      </c>
      <c r="X87" s="7">
        <f t="shared" ca="1" si="171"/>
        <v>77651266.034184828</v>
      </c>
      <c r="Y87" s="7">
        <f>IFERROR(HLOOKUP(B87-1,'EV Forecast VRZ'!$F$124:$T$130,5,FALSE)/12,0)+IFERROR(((HLOOKUP(B87,'EV Forecast VRZ'!$F$116:$T$122,5,FALSE)-HLOOKUP(B87-1,'EV Forecast VRZ'!$F$124:$T$130,5,FALSE)))*C87/78,0)</f>
        <v>40449.296128205126</v>
      </c>
      <c r="Z87" s="7">
        <f ca="1">HLOOKUP(B87,Heating!$C$102:$O$106,5,FALSE)*INDEX(Weather!$BO$1:$CB$20,MATCH(B87,Weather!$BO$1:$BO$20,0),MATCH(C87,Weather!$BO$1:$CB$1,0))/VLOOKUP(B87,Weather!$BO$2:$CB$20,14,FALSE)*
VLOOKUP('Monthly Data'!$B87,Weather!$BO$3:$CB$20,14,FALSE)/Weather!$CB$14</f>
        <v>217499.64307057552</v>
      </c>
      <c r="AA87" s="7">
        <f t="shared" ca="1" si="172"/>
        <v>77393317.094986051</v>
      </c>
      <c r="AB87" s="7">
        <v>8646769.7751552295</v>
      </c>
      <c r="AC87" s="7">
        <f ca="1">IFERROR(VLOOKUP($B87-1,CDM!$V$4:$AJ$17,6,FALSE)/12,0)+IFERROR(VLOOKUP($B87,CDM!$V$41:$AJ$54,6,FALSE)/24,0)+IFERROR(VLOOKUP($B87,CDM!$V$41:$AJ$54,6,FALSE)/2*$C87/78,0)</f>
        <v>290750.87418603303</v>
      </c>
      <c r="AD87" s="7">
        <f t="shared" ca="1" si="173"/>
        <v>8937520.6493412629</v>
      </c>
      <c r="AE87" s="7">
        <f>IFERROR(HLOOKUP(B87-1,'EV Forecast VRZ'!$F$124:$T$130,6,FALSE)/12,0)+IFERROR(((HLOOKUP(B87,'EV Forecast VRZ'!$F$116:$T$122,6,FALSE)-HLOOKUP(B87-1,'EV Forecast VRZ'!$F$124:$T$130,6,FALSE)))*C87/78,0)</f>
        <v>5238.9887435897435</v>
      </c>
      <c r="AF87" s="7">
        <f t="shared" ca="1" si="174"/>
        <v>8932281.6605976727</v>
      </c>
      <c r="AG87" s="7">
        <v>22985179.948623765</v>
      </c>
      <c r="AH87" s="7">
        <f ca="1">IFERROR(VLOOKUP($B87-1,CDM!$V$4:$AJ$17,7,FALSE)/12,0)+IFERROR(VLOOKUP($B87,CDM!$V$41:$AJ$54,7,FALSE)/24,0)+IFERROR(VLOOKUP($B87,CDM!$V$41:$AJ$54,7,FALSE)/2*$C87/78,0)</f>
        <v>1813226.9943640339</v>
      </c>
      <c r="AI87" s="7">
        <f t="shared" ca="1" si="175"/>
        <v>24798406.9429878</v>
      </c>
      <c r="AJ87" s="7">
        <f>IFERROR(HLOOKUP(B87-1,'EV Forecast VRZ'!$F$124:$T$130,7,FALSE)/12,0)+IFERROR(((HLOOKUP(B87,'EV Forecast VRZ'!$F$116:$T$122,7,FALSE)-HLOOKUP(B87-1,'EV Forecast VRZ'!$F$124:$T$130,7,FALSE)))*C87/78,0)</f>
        <v>255.76923076923077</v>
      </c>
      <c r="AK87" s="7">
        <f t="shared" ca="1" si="176"/>
        <v>24798151.173757032</v>
      </c>
      <c r="AL87" s="7">
        <v>1045006.6399542071</v>
      </c>
      <c r="AM87" s="7">
        <v>16435.489410417853</v>
      </c>
      <c r="AN87" s="7">
        <v>378094.34268269414</v>
      </c>
      <c r="AO87" s="5">
        <v>183962.15</v>
      </c>
      <c r="AP87" s="5">
        <v>19542.37</v>
      </c>
      <c r="AQ87" s="5">
        <v>40592</v>
      </c>
      <c r="AR87" s="5">
        <v>2764.63</v>
      </c>
      <c r="AS87" s="544">
        <f t="shared" ref="AS87:AS97" si="236">608/12</f>
        <v>50.666666666666664</v>
      </c>
      <c r="AT87" s="557">
        <v>115071.5</v>
      </c>
      <c r="AU87" s="557">
        <v>1561.5</v>
      </c>
      <c r="AV87" s="557">
        <v>9479.5</v>
      </c>
      <c r="AW87" s="557">
        <v>1021.8333333333333</v>
      </c>
      <c r="AX87" s="557">
        <v>5</v>
      </c>
      <c r="AY87" s="557">
        <v>4.1666666666666661</v>
      </c>
      <c r="AZ87" s="557">
        <v>31933.166666666664</v>
      </c>
      <c r="BA87" s="557">
        <v>244.33333333333331</v>
      </c>
      <c r="BB87" s="557">
        <v>798.66666666666674</v>
      </c>
      <c r="BC87" s="560">
        <v>27657649.456036061</v>
      </c>
      <c r="BD87" s="560">
        <f ca="1">IFERROR(VLOOKUP($B87-1,CDM!$V$4:$AJ$17,11,FALSE)/12,0)+IFERROR(VLOOKUP($B87,CDM!$V$41:$AJ$54,11,FALSE)/24,0)+IFERROR(VLOOKUP($B87,CDM!$V$41:$AJ$54,11,FALSE)/2*$C87/78,0)</f>
        <v>1704462.1475307608</v>
      </c>
      <c r="BE87" s="560">
        <f t="shared" ca="1" si="188"/>
        <v>29362111.603566822</v>
      </c>
      <c r="BF87" s="560">
        <f>IFERROR(HLOOKUP(B87-1,'EV Forecast WRZ'!$F$124:$T$130,2,FALSE)/12,0)+IFERROR(((HLOOKUP(B87,'EV Forecast WRZ'!$F$116:$T$122,2,FALSE)-HLOOKUP(B87-1,'EV Forecast WRZ'!$F$124:$T$130,2,FALSE)))*C87/78,0)</f>
        <v>224196.04717948716</v>
      </c>
      <c r="BG87" s="560">
        <f ca="1">HLOOKUP(B87,Heating!$R$102:$AD$106,2,FALSE)*INDEX(Weather!$BO$1:$CB$20,MATCH(B87,Weather!$BO$1:$BO$20,0),MATCH(C87,Weather!$BO$1:$CB$1,0))/VLOOKUP(B87,Weather!$BO$2:$CB$20,14,FALSE)*
VLOOKUP('Monthly Data'!$B87,Weather!$BO$3:$CB$20,14,FALSE)/Weather!$CB$14</f>
        <v>759817.293146251</v>
      </c>
      <c r="BH87" s="560">
        <f t="shared" ca="1" si="177"/>
        <v>28378098.263241082</v>
      </c>
      <c r="BI87" s="560">
        <v>6869757.8710445762</v>
      </c>
      <c r="BJ87" s="560">
        <f ca="1">IFERROR(VLOOKUP($B87-1,CDM!$V$4:$AJ$17,12,FALSE)/12,0)+IFERROR(VLOOKUP($B87,CDM!$V$41:$AJ$54,12,FALSE)/24,0)+IFERROR(VLOOKUP($B87,CDM!$V$41:$AJ$54,12,FALSE)/2*$C87/78,0)</f>
        <v>273931.70939899207</v>
      </c>
      <c r="BK87" s="560">
        <f t="shared" ca="1" si="178"/>
        <v>7143689.5804435685</v>
      </c>
      <c r="BL87" s="560">
        <f>IFERROR(HLOOKUP(B87-1,'EV Forecast WRZ'!$F$124:$T$130,3,FALSE)/12,0)+IFERROR(((HLOOKUP(B87,'EV Forecast WRZ'!$F$116:$T$122,3,FALSE)-HLOOKUP(B87-1,'EV Forecast WRZ'!$F$124:$T$130,3,FALSE)))*C87/78,0)</f>
        <v>28070.462564102567</v>
      </c>
      <c r="BM87" s="560">
        <f ca="1">HLOOKUP(B87,Heating!$R$102:$AD$106,4,FALSE)*INDEX(Weather!$BO$1:$CB$20,MATCH(B87,Weather!$BO$1:$BO$20,0),MATCH(C87,Weather!$BO$1:$CB$1,0))/VLOOKUP(B87,Weather!$BO$2:$CB$20,14,FALSE)*
VLOOKUP('Monthly Data'!$B87,Weather!$BO$3:$CB$20,14,FALSE)/Weather!$CB$14</f>
        <v>119002.56079603785</v>
      </c>
      <c r="BN87" s="560">
        <f t="shared" ca="1" si="179"/>
        <v>6996616.5570834279</v>
      </c>
      <c r="BO87" s="560">
        <v>26134336.201741219</v>
      </c>
      <c r="BP87" s="560">
        <f ca="1">IFERROR(VLOOKUP($B87-1,CDM!$V$4:$AJ$17,13,FALSE)/12,0)+IFERROR(VLOOKUP($B87,CDM!$V$41:$AJ$54,13,FALSE)/24,0)+IFERROR(VLOOKUP($B87,CDM!$V$41:$AJ$54,13,FALSE)/2*$C87/78,0)</f>
        <v>2672017.1448257901</v>
      </c>
      <c r="BQ87" s="560">
        <f t="shared" ca="1" si="180"/>
        <v>28806353.346567009</v>
      </c>
      <c r="BR87" s="560">
        <f>IFERROR(HLOOKUP(B87-1,'EV Forecast WRZ'!$F$124:$T$130,4,FALSE)/12,0)+IFERROR(((HLOOKUP(B87,'EV Forecast WRZ'!$F$116:$T$122,4,FALSE)-HLOOKUP(B87-1,'EV Forecast WRZ'!$F$124:$T$130,4,FALSE)))*C87/78,0)</f>
        <v>12611.932512820515</v>
      </c>
      <c r="BS87" s="560">
        <f ca="1">HLOOKUP(B87,Heating!$R$102:$AD$106,5,FALSE)*INDEX(Weather!$BO$1:$CB$20,MATCH(B87,Weather!$BO$1:$BO$20,0),MATCH(C87,Weather!$BO$1:$CB$1,0))/VLOOKUP(B87,Weather!$BO$2:$CB$20,14,FALSE)*
VLOOKUP('Monthly Data'!$B87,Weather!$BO$3:$CB$20,14,FALSE)/Weather!$CB$14</f>
        <v>64266.811338676482</v>
      </c>
      <c r="BT87" s="560">
        <f t="shared" ca="1" si="181"/>
        <v>28729474.602715511</v>
      </c>
      <c r="BU87" s="560">
        <v>6895408.9392478308</v>
      </c>
      <c r="BV87" s="560">
        <f ca="1">IFERROR(VLOOKUP($B87-1,CDM!$V$4:$AJ$17,14,FALSE)/12,0)+IFERROR(VLOOKUP($B87,CDM!$V$41:$AJ$54,14,FALSE)/24,0)+IFERROR(VLOOKUP($B87,CDM!$V$41:$AJ$54,14,FALSE)/2*$C87/78,0)</f>
        <v>601107.73447882337</v>
      </c>
      <c r="BW87" s="560">
        <f t="shared" ca="1" si="182"/>
        <v>7496516.6737266537</v>
      </c>
      <c r="BX87" s="560">
        <f>IFERROR(HLOOKUP(B87-1,'EV Forecast WRZ'!$F$124:$T$130,5,FALSE)/12,0)+IFERROR(((HLOOKUP(B87,'EV Forecast WRZ'!$F$116:$T$122,5,FALSE)-HLOOKUP(B87-1,'EV Forecast WRZ'!$F$124:$T$130,5,FALSE)))*C87/78,0)</f>
        <v>1832.5936410256411</v>
      </c>
      <c r="BY87" s="560">
        <f t="shared" ca="1" si="189"/>
        <v>7494684.0800856277</v>
      </c>
      <c r="BZ87" s="560">
        <v>306107.9969389707</v>
      </c>
      <c r="CA87" s="560">
        <v>2919.0740386454945</v>
      </c>
      <c r="CB87" s="560">
        <v>156072.97685096614</v>
      </c>
      <c r="CC87" s="5">
        <v>67429.72</v>
      </c>
      <c r="CD87" s="5">
        <v>14826.11</v>
      </c>
      <c r="CE87" s="5">
        <v>810</v>
      </c>
      <c r="CF87" s="544">
        <f t="shared" ref="CF87:CF97" si="237">92/12</f>
        <v>7.666666666666667</v>
      </c>
      <c r="CG87" s="565">
        <v>44635.666666666672</v>
      </c>
      <c r="CH87" s="565">
        <v>2419.166666666667</v>
      </c>
      <c r="CI87" s="565">
        <v>380.33333333333337</v>
      </c>
      <c r="CJ87" s="565">
        <v>3</v>
      </c>
      <c r="CK87" s="565">
        <v>13483.833333333332</v>
      </c>
      <c r="CL87" s="565">
        <v>46</v>
      </c>
      <c r="CM87" s="565">
        <v>396</v>
      </c>
      <c r="CN87" s="46">
        <f>Weather!C111</f>
        <v>629.43333333333328</v>
      </c>
      <c r="CO87" s="46">
        <f>Weather!D111</f>
        <v>0</v>
      </c>
      <c r="CP87" s="46">
        <f>Weather!E111</f>
        <v>573.43333333333328</v>
      </c>
      <c r="CQ87" s="46">
        <f>Weather!F111</f>
        <v>0</v>
      </c>
      <c r="CR87" s="46">
        <f>Weather!G111</f>
        <v>517.43333333333328</v>
      </c>
      <c r="CS87" s="46">
        <f>Weather!H111</f>
        <v>0</v>
      </c>
      <c r="CT87" s="46">
        <f>Weather!I111</f>
        <v>461.43333333333328</v>
      </c>
      <c r="CU87" s="46">
        <f>Weather!J111</f>
        <v>0</v>
      </c>
      <c r="CV87" s="46">
        <f>Weather!K111</f>
        <v>405.43333333333328</v>
      </c>
      <c r="CW87" s="46">
        <f>Weather!L111</f>
        <v>0</v>
      </c>
      <c r="CX87" s="46">
        <f>Weather!M111</f>
        <v>349.43333333333328</v>
      </c>
      <c r="CY87" s="46">
        <f>Weather!N111</f>
        <v>0</v>
      </c>
      <c r="CZ87" s="46">
        <f>Weather!O111</f>
        <v>293.51666666666665</v>
      </c>
      <c r="DA87" s="46">
        <f>Weather!P111</f>
        <v>8.3333333333332149E-2</v>
      </c>
      <c r="DB87" s="243">
        <f>'Economic Data'!D113</f>
        <v>7898.9</v>
      </c>
      <c r="DC87" s="243">
        <f>'Economic Data'!E113</f>
        <v>7839</v>
      </c>
      <c r="DD87" s="243">
        <f>'Economic Data'!F113</f>
        <v>238.8</v>
      </c>
      <c r="DE87" s="243">
        <f>'Economic Data'!G113</f>
        <v>239</v>
      </c>
      <c r="DF87" s="243">
        <f>'Economic Data'!H113</f>
        <v>66.400000000000006</v>
      </c>
      <c r="DG87" s="243">
        <f>'Economic Data'!I113</f>
        <v>66.400000000000006</v>
      </c>
      <c r="DH87" s="243">
        <f>'Economic Data'!J113</f>
        <v>865859.6</v>
      </c>
      <c r="DI87" s="243">
        <f>'Economic Data'!K113</f>
        <v>679067</v>
      </c>
      <c r="DJ87" s="243">
        <f>'Economic Data'!L113</f>
        <v>96987.199999999997</v>
      </c>
      <c r="DK87" s="243">
        <f>'Economic Data'!M113</f>
        <v>32826.199999999997</v>
      </c>
      <c r="DL87" s="243">
        <f>'Economic Data'!N113</f>
        <v>867096</v>
      </c>
      <c r="DM87" s="243">
        <f>'Economic Data'!O113</f>
        <v>93889</v>
      </c>
      <c r="DN87" s="243">
        <f>'Economic Data'!P113</f>
        <v>19232</v>
      </c>
      <c r="DO87" s="243">
        <f>'Economic Data'!Q113</f>
        <v>682048</v>
      </c>
      <c r="DP87" s="243">
        <f>'Economic Data'!R113</f>
        <v>32820</v>
      </c>
      <c r="DQ87">
        <v>28</v>
      </c>
      <c r="DR87">
        <v>19</v>
      </c>
      <c r="DS87">
        <v>0</v>
      </c>
      <c r="DT87">
        <v>1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f t="shared" si="185"/>
        <v>86</v>
      </c>
      <c r="EI87">
        <v>0</v>
      </c>
      <c r="EJ87">
        <v>0</v>
      </c>
      <c r="EK87">
        <v>0.25</v>
      </c>
      <c r="EL87">
        <v>0</v>
      </c>
      <c r="EM87" s="47">
        <f t="shared" si="190"/>
        <v>0</v>
      </c>
      <c r="EN87" s="47">
        <f t="shared" si="191"/>
        <v>0</v>
      </c>
      <c r="EO87" s="47">
        <f t="shared" si="192"/>
        <v>0</v>
      </c>
      <c r="EP87" s="47">
        <f t="shared" si="193"/>
        <v>0</v>
      </c>
      <c r="EQ87" s="47">
        <f t="shared" si="194"/>
        <v>0</v>
      </c>
      <c r="ER87" s="47">
        <f t="shared" si="195"/>
        <v>0</v>
      </c>
      <c r="ES87" s="47">
        <f t="shared" si="196"/>
        <v>0</v>
      </c>
      <c r="ET87" s="47">
        <f t="shared" si="197"/>
        <v>0</v>
      </c>
      <c r="EU87" s="47">
        <f t="shared" si="198"/>
        <v>0</v>
      </c>
      <c r="EV87" s="47">
        <f t="shared" si="199"/>
        <v>0</v>
      </c>
      <c r="EW87" s="47">
        <f t="shared" si="200"/>
        <v>0</v>
      </c>
      <c r="EX87" s="47">
        <f t="shared" si="201"/>
        <v>0</v>
      </c>
      <c r="EY87" s="47">
        <f t="shared" si="202"/>
        <v>0</v>
      </c>
      <c r="EZ87" s="47">
        <f t="shared" si="203"/>
        <v>0</v>
      </c>
      <c r="FA87" s="47">
        <f t="shared" si="204"/>
        <v>157.35833333333332</v>
      </c>
      <c r="FB87" s="47">
        <f t="shared" si="205"/>
        <v>0</v>
      </c>
      <c r="FC87" s="47">
        <f t="shared" si="206"/>
        <v>143.35833333333332</v>
      </c>
      <c r="FD87" s="47">
        <f t="shared" si="207"/>
        <v>0</v>
      </c>
      <c r="FE87" s="47">
        <f t="shared" si="208"/>
        <v>129.35833333333332</v>
      </c>
      <c r="FF87" s="47">
        <f t="shared" si="209"/>
        <v>0</v>
      </c>
      <c r="FG87" s="47">
        <f t="shared" si="210"/>
        <v>115.35833333333332</v>
      </c>
      <c r="FH87" s="47">
        <f t="shared" si="211"/>
        <v>0</v>
      </c>
      <c r="FI87" s="47">
        <f t="shared" si="212"/>
        <v>101.35833333333332</v>
      </c>
      <c r="FJ87" s="47">
        <f t="shared" si="213"/>
        <v>0</v>
      </c>
      <c r="FK87" s="47">
        <f t="shared" si="214"/>
        <v>87.35833333333332</v>
      </c>
      <c r="FL87" s="47">
        <f t="shared" si="215"/>
        <v>0</v>
      </c>
      <c r="FM87" s="47">
        <f t="shared" si="216"/>
        <v>73.379166666666663</v>
      </c>
      <c r="FN87" s="47">
        <f t="shared" si="217"/>
        <v>2.0833333333333037E-2</v>
      </c>
      <c r="FO87" s="546">
        <f t="shared" ca="1" si="218"/>
        <v>690.12454099373701</v>
      </c>
      <c r="FP87" s="546">
        <f t="shared" ca="1" si="219"/>
        <v>757.66430420846859</v>
      </c>
      <c r="FQ87" s="546">
        <f t="shared" ca="1" si="220"/>
        <v>2528.8920147157319</v>
      </c>
      <c r="FR87" s="546">
        <f t="shared" ca="1" si="221"/>
        <v>75992.105073415267</v>
      </c>
      <c r="FS87" s="546">
        <f t="shared" ca="1" si="222"/>
        <v>1787504.1298682527</v>
      </c>
      <c r="FT87" s="546">
        <f t="shared" ca="1" si="223"/>
        <v>5951617.6663170727</v>
      </c>
      <c r="FU87" s="546">
        <f t="shared" si="224"/>
        <v>32.724804616544155</v>
      </c>
      <c r="FV87" s="546">
        <f t="shared" si="225"/>
        <v>67.266668801164485</v>
      </c>
      <c r="FW87" s="546">
        <f t="shared" si="226"/>
        <v>473.40693991990082</v>
      </c>
      <c r="FX87" s="546">
        <f t="shared" ca="1" si="227"/>
        <v>657.81725235200895</v>
      </c>
      <c r="FY87" s="546">
        <f t="shared" ca="1" si="228"/>
        <v>2952.9547008378509</v>
      </c>
      <c r="FZ87" s="546">
        <f t="shared" ca="1" si="229"/>
        <v>75739.754636021928</v>
      </c>
      <c r="GA87" s="546">
        <f t="shared" si="230"/>
        <v>102035.9989796569</v>
      </c>
      <c r="GB87" s="546">
        <f t="shared" si="231"/>
        <v>22.701852609097614</v>
      </c>
      <c r="GC87" s="546">
        <f t="shared" si="232"/>
        <v>63.458131274902051</v>
      </c>
      <c r="GD87" s="546">
        <f t="shared" si="233"/>
        <v>394.12367891658113</v>
      </c>
    </row>
    <row r="88" spans="1:186">
      <c r="A88" s="4">
        <v>44986</v>
      </c>
      <c r="B88" s="6">
        <v>2023</v>
      </c>
      <c r="C88" s="5">
        <v>3</v>
      </c>
      <c r="D88" s="7">
        <v>79970586.293025091</v>
      </c>
      <c r="E88" s="7">
        <f ca="1">IFERROR(VLOOKUP($B88-1,CDM!$V$4:$AJ$17,2,FALSE)/12,0)+IFERROR(VLOOKUP($B88,CDM!$V$41:$AJ$54,2,FALSE)/24,0)+IFERROR(VLOOKUP($B88,CDM!$V$41:$AJ$54,2,FALSE)/2*$C88/78,0)</f>
        <v>3848287.5316747217</v>
      </c>
      <c r="F88" s="7">
        <f t="shared" ca="1" si="165"/>
        <v>83818873.824699819</v>
      </c>
      <c r="G88" s="7">
        <f>IFERROR(HLOOKUP(B88-1,'EV Forecast VRZ'!$F$124:$T$130,2,FALSE)/12,0)+IFERROR(((HLOOKUP(B88,'EV Forecast VRZ'!$F$116:$T$122,2,FALSE)-HLOOKUP(B88-1,'EV Forecast VRZ'!$F$124:$T$130,2,FALSE)))*C88/78,0)</f>
        <v>737087.3902638735</v>
      </c>
      <c r="H88" s="7">
        <f ca="1">HLOOKUP(B88,Heating!$C$102:$O$106,2,FALSE)*INDEX(Weather!$BO$1:$CB$20,MATCH(B88,Weather!$BO$1:$BO$20,0),MATCH(C88,Weather!$BO$1:$CB$1,0))/VLOOKUP(B88,Weather!$BO$2:$CB$20,14,FALSE)*
VLOOKUP('Monthly Data'!$B88,Weather!$BO$3:$CB$20,14,FALSE)/Weather!$CB$14</f>
        <v>1628835.8777574284</v>
      </c>
      <c r="I88" s="7">
        <f t="shared" ca="1" si="166"/>
        <v>81452950.556678519</v>
      </c>
      <c r="J88" s="7">
        <v>1103586.8556096165</v>
      </c>
      <c r="K88" s="7">
        <f ca="1">IFERROR(VLOOKUP($B88-1,CDM!$V$4:$AJ$17,3,FALSE)/12,0)+IFERROR(VLOOKUP($B88,CDM!$V$41:$AJ$54,3,FALSE)/24,0)+IFERROR(VLOOKUP($B88,CDM!$V$41:$AJ$54,3,FALSE)/2*$C88/78,0)</f>
        <v>44077.468379354636</v>
      </c>
      <c r="L88" s="7">
        <f t="shared" ca="1" si="167"/>
        <v>1147664.3239889711</v>
      </c>
      <c r="M88" s="7">
        <f>IFERROR(HLOOKUP(B88-1,'EV Forecast VRZ'!$F$124:$T$130,3,FALSE)/12,0)+IFERROR(((HLOOKUP(B88,'EV Forecast VRZ'!$F$116:$T$122,3,FALSE)-HLOOKUP(B88-1,'EV Forecast VRZ'!$F$124:$T$130,3,FALSE)))*C88/78,0)</f>
        <v>10001.643197664995</v>
      </c>
      <c r="N88" s="7">
        <f ca="1">HLOOKUP(B88,Heating!$C$102:$O$106,3,FALSE)*INDEX(Weather!$BO$1:$CB$20,MATCH(B88,Weather!$BO$1:$BO$20,0),MATCH(C88,Weather!$BO$1:$CB$1,0))/VLOOKUP(B88,Weather!$BO$2:$CB$20,14,FALSE)*
VLOOKUP('Monthly Data'!$B88,Weather!$BO$3:$CB$20,14,FALSE)/Weather!$CB$14</f>
        <v>19681.063495047878</v>
      </c>
      <c r="O88" s="7">
        <f t="shared" ca="1" si="168"/>
        <v>1117981.6172962582</v>
      </c>
      <c r="P88" s="7">
        <v>23972363.738819018</v>
      </c>
      <c r="Q88" s="7">
        <f ca="1">IFERROR(VLOOKUP($B88-1,CDM!$V$4:$AJ$17,4,FALSE)/12,0)+IFERROR(VLOOKUP($B88,CDM!$V$41:$AJ$54,4,FALSE)/24,0)+IFERROR(VLOOKUP($B88,CDM!$V$41:$AJ$54,4,FALSE)/2*$C88/78,0)</f>
        <v>1555597.4051483895</v>
      </c>
      <c r="R88" s="7">
        <f t="shared" ca="1" si="169"/>
        <v>25527961.143967409</v>
      </c>
      <c r="S88" s="7">
        <f>IFERROR(HLOOKUP(B88-1,'EV Forecast VRZ'!$F$124:$T$130,4,FALSE)/12,0)+IFERROR(((HLOOKUP(B88,'EV Forecast VRZ'!$F$116:$T$122,4,FALSE)-HLOOKUP(B88-1,'EV Forecast VRZ'!$F$124:$T$130,4,FALSE)))*C88/78,0)</f>
        <v>91574.162307692313</v>
      </c>
      <c r="T88" s="7">
        <f ca="1">HLOOKUP(B88,Heating!$C$102:$O$106,4,FALSE)*INDEX(Weather!$BO$1:$CB$20,MATCH(B88,Weather!$BO$1:$BO$20,0),MATCH(C88,Weather!$BO$1:$CB$1,0))/VLOOKUP(B88,Weather!$BO$2:$CB$20,14,FALSE)*
VLOOKUP('Monthly Data'!$B88,Weather!$BO$3:$CB$20,14,FALSE)/Weather!$CB$14</f>
        <v>400098.21710708353</v>
      </c>
      <c r="U88" s="7">
        <f t="shared" ca="1" si="170"/>
        <v>25036288.764552634</v>
      </c>
      <c r="V88" s="7">
        <v>77053066.470952243</v>
      </c>
      <c r="W88" s="7">
        <f ca="1">IFERROR(VLOOKUP($B88-1,CDM!$V$4:$AJ$17,5,FALSE)/12,0)+IFERROR(VLOOKUP($B88,CDM!$V$41:$AJ$54,5,FALSE)/24,0)+IFERROR(VLOOKUP($B88,CDM!$V$41:$AJ$54,5,FALSE)/2*$C88/78,0)</f>
        <v>6352851.550476227</v>
      </c>
      <c r="X88" s="7">
        <f t="shared" ca="1" si="171"/>
        <v>83405918.021428466</v>
      </c>
      <c r="Y88" s="7">
        <f>IFERROR(HLOOKUP(B88-1,'EV Forecast VRZ'!$F$124:$T$130,5,FALSE)/12,0)+IFERROR(((HLOOKUP(B88,'EV Forecast VRZ'!$F$116:$T$122,5,FALSE)-HLOOKUP(B88-1,'EV Forecast VRZ'!$F$124:$T$130,5,FALSE)))*C88/78,0)</f>
        <v>42093.052525641026</v>
      </c>
      <c r="Z88" s="7">
        <f ca="1">HLOOKUP(B88,Heating!$C$102:$O$106,5,FALSE)*INDEX(Weather!$BO$1:$CB$20,MATCH(B88,Weather!$BO$1:$BO$20,0),MATCH(C88,Weather!$BO$1:$CB$1,0))/VLOOKUP(B88,Weather!$BO$2:$CB$20,14,FALSE)*
VLOOKUP('Monthly Data'!$B88,Weather!$BO$3:$CB$20,14,FALSE)/Weather!$CB$14</f>
        <v>209003.46448873362</v>
      </c>
      <c r="AA88" s="7">
        <f t="shared" ca="1" si="172"/>
        <v>83154821.504414096</v>
      </c>
      <c r="AB88" s="7">
        <v>9554645.4066874888</v>
      </c>
      <c r="AC88" s="7">
        <f ca="1">IFERROR(VLOOKUP($B88-1,CDM!$V$4:$AJ$17,6,FALSE)/12,0)+IFERROR(VLOOKUP($B88,CDM!$V$41:$AJ$54,6,FALSE)/24,0)+IFERROR(VLOOKUP($B88,CDM!$V$41:$AJ$54,6,FALSE)/2*$C88/78,0)</f>
        <v>292918.91353147523</v>
      </c>
      <c r="AD88" s="7">
        <f t="shared" ca="1" si="173"/>
        <v>9847564.3202189635</v>
      </c>
      <c r="AE88" s="7">
        <f>IFERROR(HLOOKUP(B88-1,'EV Forecast VRZ'!$F$124:$T$130,6,FALSE)/12,0)+IFERROR(((HLOOKUP(B88,'EV Forecast VRZ'!$F$116:$T$122,6,FALSE)-HLOOKUP(B88-1,'EV Forecast VRZ'!$F$124:$T$130,6,FALSE)))*C88/78,0)</f>
        <v>5452.0414487179487</v>
      </c>
      <c r="AF88" s="7">
        <f t="shared" ca="1" si="174"/>
        <v>9842112.2787702456</v>
      </c>
      <c r="AG88" s="7">
        <v>26104637.174886715</v>
      </c>
      <c r="AH88" s="7">
        <f ca="1">IFERROR(VLOOKUP($B88-1,CDM!$V$4:$AJ$17,7,FALSE)/12,0)+IFERROR(VLOOKUP($B88,CDM!$V$41:$AJ$54,7,FALSE)/24,0)+IFERROR(VLOOKUP($B88,CDM!$V$41:$AJ$54,7,FALSE)/2*$C88/78,0)</f>
        <v>1821875.7488656635</v>
      </c>
      <c r="AI88" s="7">
        <f t="shared" ca="1" si="175"/>
        <v>27926512.923752379</v>
      </c>
      <c r="AJ88" s="7">
        <f>IFERROR(HLOOKUP(B88-1,'EV Forecast VRZ'!$F$124:$T$130,7,FALSE)/12,0)+IFERROR(((HLOOKUP(B88,'EV Forecast VRZ'!$F$116:$T$122,7,FALSE)-HLOOKUP(B88-1,'EV Forecast VRZ'!$F$124:$T$130,7,FALSE)))*C88/78,0)</f>
        <v>296.15384615384619</v>
      </c>
      <c r="AK88" s="7">
        <f t="shared" ca="1" si="176"/>
        <v>27926216.769906227</v>
      </c>
      <c r="AL88" s="7">
        <v>963535.51803091017</v>
      </c>
      <c r="AM88" s="7">
        <v>16163.060484640338</v>
      </c>
      <c r="AN88" s="7">
        <v>378696.6704827323</v>
      </c>
      <c r="AO88" s="5">
        <v>178603.1</v>
      </c>
      <c r="AP88" s="5">
        <v>19762.2</v>
      </c>
      <c r="AQ88" s="5">
        <v>40851</v>
      </c>
      <c r="AR88" s="5">
        <v>2590.21</v>
      </c>
      <c r="AS88" s="544">
        <f t="shared" si="236"/>
        <v>50.666666666666664</v>
      </c>
      <c r="AT88" s="557">
        <v>115208.75</v>
      </c>
      <c r="AU88" s="557">
        <v>1561.75</v>
      </c>
      <c r="AV88" s="557">
        <v>9481.25</v>
      </c>
      <c r="AW88" s="557">
        <v>1023.7499999999999</v>
      </c>
      <c r="AX88" s="557">
        <v>5</v>
      </c>
      <c r="AY88" s="557">
        <v>4.2499999999999991</v>
      </c>
      <c r="AZ88" s="557">
        <v>31977.249999999996</v>
      </c>
      <c r="BA88" s="557">
        <v>243.99999999999997</v>
      </c>
      <c r="BB88" s="557">
        <v>798.50000000000011</v>
      </c>
      <c r="BC88" s="560">
        <v>28717640.406705562</v>
      </c>
      <c r="BD88" s="560">
        <f ca="1">IFERROR(VLOOKUP($B88-1,CDM!$V$4:$AJ$17,11,FALSE)/12,0)+IFERROR(VLOOKUP($B88,CDM!$V$41:$AJ$54,11,FALSE)/24,0)+IFERROR(VLOOKUP($B88,CDM!$V$41:$AJ$54,11,FALSE)/2*$C88/78,0)</f>
        <v>1704811.7309893263</v>
      </c>
      <c r="BE88" s="560">
        <f t="shared" ca="1" si="188"/>
        <v>30422452.137694888</v>
      </c>
      <c r="BF88" s="560">
        <f>IFERROR(HLOOKUP(B88-1,'EV Forecast WRZ'!$F$124:$T$130,2,FALSE)/12,0)+IFERROR(((HLOOKUP(B88,'EV Forecast WRZ'!$F$116:$T$122,2,FALSE)-HLOOKUP(B88-1,'EV Forecast WRZ'!$F$124:$T$130,2,FALSE)))*C88/78,0)</f>
        <v>233174.11743589741</v>
      </c>
      <c r="BG88" s="560">
        <f ca="1">HLOOKUP(B88,Heating!$R$102:$AD$106,2,FALSE)*INDEX(Weather!$BO$1:$CB$20,MATCH(B88,Weather!$BO$1:$BO$20,0),MATCH(C88,Weather!$BO$1:$CB$1,0))/VLOOKUP(B88,Weather!$BO$2:$CB$20,14,FALSE)*
VLOOKUP('Monthly Data'!$B88,Weather!$BO$3:$CB$20,14,FALSE)/Weather!$CB$14</f>
        <v>730136.58507241064</v>
      </c>
      <c r="BH88" s="560">
        <f t="shared" ca="1" si="177"/>
        <v>29459141.43518658</v>
      </c>
      <c r="BI88" s="560">
        <v>7196407.5691696955</v>
      </c>
      <c r="BJ88" s="560">
        <f ca="1">IFERROR(VLOOKUP($B88-1,CDM!$V$4:$AJ$17,12,FALSE)/12,0)+IFERROR(VLOOKUP($B88,CDM!$V$41:$AJ$54,12,FALSE)/24,0)+IFERROR(VLOOKUP($B88,CDM!$V$41:$AJ$54,12,FALSE)/2*$C88/78,0)</f>
        <v>275396.11132621305</v>
      </c>
      <c r="BK88" s="560">
        <f t="shared" ca="1" si="178"/>
        <v>7471803.6804959085</v>
      </c>
      <c r="BL88" s="560">
        <f>IFERROR(HLOOKUP(B88-1,'EV Forecast WRZ'!$F$124:$T$130,3,FALSE)/12,0)+IFERROR(((HLOOKUP(B88,'EV Forecast WRZ'!$F$116:$T$122,3,FALSE)-HLOOKUP(B88-1,'EV Forecast WRZ'!$F$124:$T$130,3,FALSE)))*C88/78,0)</f>
        <v>29251.140512820515</v>
      </c>
      <c r="BM88" s="560">
        <f ca="1">HLOOKUP(B88,Heating!$R$102:$AD$106,4,FALSE)*INDEX(Weather!$BO$1:$CB$20,MATCH(B88,Weather!$BO$1:$BO$20,0),MATCH(C88,Weather!$BO$1:$CB$1,0))/VLOOKUP(B88,Weather!$BO$2:$CB$20,14,FALSE)*
VLOOKUP('Monthly Data'!$B88,Weather!$BO$3:$CB$20,14,FALSE)/Weather!$CB$14</f>
        <v>114353.96922160684</v>
      </c>
      <c r="BN88" s="560">
        <f t="shared" ca="1" si="179"/>
        <v>7328198.5707614813</v>
      </c>
      <c r="BO88" s="560">
        <v>27477208.670069046</v>
      </c>
      <c r="BP88" s="560">
        <f ca="1">IFERROR(VLOOKUP($B88-1,CDM!$V$4:$AJ$17,13,FALSE)/12,0)+IFERROR(VLOOKUP($B88,CDM!$V$41:$AJ$54,13,FALSE)/24,0)+IFERROR(VLOOKUP($B88,CDM!$V$41:$AJ$54,13,FALSE)/2*$C88/78,0)</f>
        <v>2686864.5903811124</v>
      </c>
      <c r="BQ88" s="560">
        <f t="shared" ca="1" si="180"/>
        <v>30164073.260450158</v>
      </c>
      <c r="BR88" s="560">
        <f>IFERROR(HLOOKUP(B88-1,'EV Forecast WRZ'!$F$124:$T$130,4,FALSE)/12,0)+IFERROR(((HLOOKUP(B88,'EV Forecast WRZ'!$F$116:$T$122,4,FALSE)-HLOOKUP(B88-1,'EV Forecast WRZ'!$F$124:$T$130,4,FALSE)))*C88/78,0)</f>
        <v>13135.641435897436</v>
      </c>
      <c r="BS88" s="560">
        <f ca="1">HLOOKUP(B88,Heating!$R$102:$AD$106,5,FALSE)*INDEX(Weather!$BO$1:$CB$20,MATCH(B88,Weather!$BO$1:$BO$20,0),MATCH(C88,Weather!$BO$1:$CB$1,0))/VLOOKUP(B88,Weather!$BO$2:$CB$20,14,FALSE)*
VLOOKUP('Monthly Data'!$B88,Weather!$BO$3:$CB$20,14,FALSE)/Weather!$CB$14</f>
        <v>61756.359834892828</v>
      </c>
      <c r="BT88" s="560">
        <f t="shared" ca="1" si="181"/>
        <v>30089181.259179365</v>
      </c>
      <c r="BU88" s="560">
        <v>7311583.5679845717</v>
      </c>
      <c r="BV88" s="560">
        <f ca="1">IFERROR(VLOOKUP($B88-1,CDM!$V$4:$AJ$17,14,FALSE)/12,0)+IFERROR(VLOOKUP($B88,CDM!$V$41:$AJ$54,14,FALSE)/24,0)+IFERROR(VLOOKUP($B88,CDM!$V$41:$AJ$54,14,FALSE)/2*$C88/78,0)</f>
        <v>604469.1778109431</v>
      </c>
      <c r="BW88" s="560">
        <f t="shared" ca="1" si="182"/>
        <v>7916052.7457955144</v>
      </c>
      <c r="BX88" s="560">
        <f>IFERROR(HLOOKUP(B88-1,'EV Forecast WRZ'!$F$124:$T$130,5,FALSE)/12,0)+IFERROR(((HLOOKUP(B88,'EV Forecast WRZ'!$F$116:$T$122,5,FALSE)-HLOOKUP(B88-1,'EV Forecast WRZ'!$F$124:$T$130,5,FALSE)))*C88/78,0)</f>
        <v>1918.4544615384616</v>
      </c>
      <c r="BY88" s="560">
        <f t="shared" ca="1" si="189"/>
        <v>7914134.2913339762</v>
      </c>
      <c r="BZ88" s="560">
        <v>301731.00248708628</v>
      </c>
      <c r="CA88" s="560">
        <v>3157.5473502965369</v>
      </c>
      <c r="CB88" s="560">
        <v>155811.97627702312</v>
      </c>
      <c r="CC88" s="5">
        <v>63618.7</v>
      </c>
      <c r="CD88" s="5">
        <v>13381.09</v>
      </c>
      <c r="CE88" s="5">
        <v>812</v>
      </c>
      <c r="CF88" s="544">
        <f t="shared" si="237"/>
        <v>7.666666666666667</v>
      </c>
      <c r="CG88" s="565">
        <v>44704.500000000007</v>
      </c>
      <c r="CH88" s="565">
        <v>2422.7500000000005</v>
      </c>
      <c r="CI88" s="565">
        <v>381.00000000000006</v>
      </c>
      <c r="CJ88" s="565">
        <v>3</v>
      </c>
      <c r="CK88" s="565">
        <v>13499.749999999998</v>
      </c>
      <c r="CL88" s="565">
        <v>46</v>
      </c>
      <c r="CM88" s="565">
        <v>397</v>
      </c>
      <c r="CN88" s="46">
        <f>Weather!C112</f>
        <v>613.0333333333333</v>
      </c>
      <c r="CO88" s="46">
        <f>Weather!D112</f>
        <v>0</v>
      </c>
      <c r="CP88" s="46">
        <f>Weather!E112</f>
        <v>551.03333333333342</v>
      </c>
      <c r="CQ88" s="46">
        <f>Weather!F112</f>
        <v>0</v>
      </c>
      <c r="CR88" s="46">
        <f>Weather!G112</f>
        <v>489.03333333333336</v>
      </c>
      <c r="CS88" s="46">
        <f>Weather!H112</f>
        <v>0</v>
      </c>
      <c r="CT88" s="46">
        <f>Weather!I112</f>
        <v>427.0333333333333</v>
      </c>
      <c r="CU88" s="46">
        <f>Weather!J112</f>
        <v>0</v>
      </c>
      <c r="CV88" s="46">
        <f>Weather!K112</f>
        <v>365.03333333333336</v>
      </c>
      <c r="CW88" s="46">
        <f>Weather!L112</f>
        <v>0</v>
      </c>
      <c r="CX88" s="46">
        <f>Weather!M112</f>
        <v>303.03333333333342</v>
      </c>
      <c r="CY88" s="46">
        <f>Weather!N112</f>
        <v>0</v>
      </c>
      <c r="CZ88" s="46">
        <f>Weather!O112</f>
        <v>241.03333333333333</v>
      </c>
      <c r="DA88" s="46">
        <f>Weather!P112</f>
        <v>0</v>
      </c>
      <c r="DB88" s="243">
        <f>'Economic Data'!D114</f>
        <v>7931.4</v>
      </c>
      <c r="DC88" s="243">
        <f>'Economic Data'!E114</f>
        <v>7848.5</v>
      </c>
      <c r="DD88" s="243">
        <f>'Economic Data'!F114</f>
        <v>235.9</v>
      </c>
      <c r="DE88" s="243">
        <f>'Economic Data'!G114</f>
        <v>235.6</v>
      </c>
      <c r="DF88" s="243">
        <f>'Economic Data'!H114</f>
        <v>67.7</v>
      </c>
      <c r="DG88" s="243">
        <f>'Economic Data'!I114</f>
        <v>67.7</v>
      </c>
      <c r="DH88" s="243">
        <f>'Economic Data'!J114</f>
        <v>865859.6</v>
      </c>
      <c r="DI88" s="243">
        <f>'Economic Data'!K114</f>
        <v>679067</v>
      </c>
      <c r="DJ88" s="243">
        <f>'Economic Data'!L114</f>
        <v>96987.199999999997</v>
      </c>
      <c r="DK88" s="243">
        <f>'Economic Data'!M114</f>
        <v>32826.199999999997</v>
      </c>
      <c r="DL88" s="243">
        <f>'Economic Data'!N114</f>
        <v>867096</v>
      </c>
      <c r="DM88" s="243">
        <f>'Economic Data'!O114</f>
        <v>93889</v>
      </c>
      <c r="DN88" s="243">
        <f>'Economic Data'!P114</f>
        <v>19232</v>
      </c>
      <c r="DO88" s="243">
        <f>'Economic Data'!Q114</f>
        <v>682048</v>
      </c>
      <c r="DP88" s="243">
        <f>'Economic Data'!R114</f>
        <v>32820</v>
      </c>
      <c r="DQ88">
        <v>31</v>
      </c>
      <c r="DR88">
        <v>23</v>
      </c>
      <c r="DS88">
        <v>0</v>
      </c>
      <c r="DT88">
        <v>0</v>
      </c>
      <c r="DU88">
        <v>1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1</v>
      </c>
      <c r="EF88">
        <v>0</v>
      </c>
      <c r="EG88">
        <v>1</v>
      </c>
      <c r="EH88">
        <f t="shared" si="185"/>
        <v>87</v>
      </c>
      <c r="EI88">
        <v>0</v>
      </c>
      <c r="EJ88">
        <v>0</v>
      </c>
      <c r="EK88">
        <v>0.25</v>
      </c>
      <c r="EL88">
        <v>0</v>
      </c>
      <c r="EM88" s="47">
        <f t="shared" si="190"/>
        <v>0</v>
      </c>
      <c r="EN88" s="47">
        <f t="shared" si="191"/>
        <v>0</v>
      </c>
      <c r="EO88" s="47">
        <f t="shared" si="192"/>
        <v>0</v>
      </c>
      <c r="EP88" s="47">
        <f t="shared" si="193"/>
        <v>0</v>
      </c>
      <c r="EQ88" s="47">
        <f t="shared" si="194"/>
        <v>0</v>
      </c>
      <c r="ER88" s="47">
        <f t="shared" si="195"/>
        <v>0</v>
      </c>
      <c r="ES88" s="47">
        <f t="shared" si="196"/>
        <v>0</v>
      </c>
      <c r="ET88" s="47">
        <f t="shared" si="197"/>
        <v>0</v>
      </c>
      <c r="EU88" s="47">
        <f t="shared" si="198"/>
        <v>0</v>
      </c>
      <c r="EV88" s="47">
        <f t="shared" si="199"/>
        <v>0</v>
      </c>
      <c r="EW88" s="47">
        <f t="shared" si="200"/>
        <v>0</v>
      </c>
      <c r="EX88" s="47">
        <f t="shared" si="201"/>
        <v>0</v>
      </c>
      <c r="EY88" s="47">
        <f t="shared" si="202"/>
        <v>0</v>
      </c>
      <c r="EZ88" s="47">
        <f t="shared" si="203"/>
        <v>0</v>
      </c>
      <c r="FA88" s="47">
        <f t="shared" si="204"/>
        <v>153.25833333333333</v>
      </c>
      <c r="FB88" s="47">
        <f t="shared" si="205"/>
        <v>0</v>
      </c>
      <c r="FC88" s="47">
        <f t="shared" si="206"/>
        <v>137.75833333333335</v>
      </c>
      <c r="FD88" s="47">
        <f t="shared" si="207"/>
        <v>0</v>
      </c>
      <c r="FE88" s="47">
        <f t="shared" si="208"/>
        <v>122.25833333333334</v>
      </c>
      <c r="FF88" s="47">
        <f t="shared" si="209"/>
        <v>0</v>
      </c>
      <c r="FG88" s="47">
        <f t="shared" si="210"/>
        <v>106.75833333333333</v>
      </c>
      <c r="FH88" s="47">
        <f t="shared" si="211"/>
        <v>0</v>
      </c>
      <c r="FI88" s="47">
        <f t="shared" si="212"/>
        <v>91.25833333333334</v>
      </c>
      <c r="FJ88" s="47">
        <f t="shared" si="213"/>
        <v>0</v>
      </c>
      <c r="FK88" s="47">
        <f t="shared" si="214"/>
        <v>75.758333333333354</v>
      </c>
      <c r="FL88" s="47">
        <f t="shared" si="215"/>
        <v>0</v>
      </c>
      <c r="FM88" s="47">
        <f t="shared" si="216"/>
        <v>60.258333333333333</v>
      </c>
      <c r="FN88" s="47">
        <f t="shared" si="217"/>
        <v>0</v>
      </c>
      <c r="FO88" s="546">
        <f t="shared" ca="1" si="218"/>
        <v>707.00316214418194</v>
      </c>
      <c r="FP88" s="546">
        <f t="shared" ca="1" si="219"/>
        <v>734.85789914453085</v>
      </c>
      <c r="FQ88" s="546">
        <f t="shared" ca="1" si="220"/>
        <v>2692.4678859820601</v>
      </c>
      <c r="FR88" s="546">
        <f t="shared" ca="1" si="221"/>
        <v>81470.982194313532</v>
      </c>
      <c r="FS88" s="546">
        <f t="shared" ca="1" si="222"/>
        <v>1969512.8640437927</v>
      </c>
      <c r="FT88" s="546">
        <f t="shared" ca="1" si="223"/>
        <v>6570944.2173535023</v>
      </c>
      <c r="FU88" s="546">
        <f t="shared" si="224"/>
        <v>30.13190684098571</v>
      </c>
      <c r="FV88" s="546">
        <f t="shared" si="225"/>
        <v>66.242051166558767</v>
      </c>
      <c r="FW88" s="546">
        <f t="shared" si="226"/>
        <v>474.26007574543797</v>
      </c>
      <c r="FX88" s="546">
        <f t="shared" ca="1" si="227"/>
        <v>680.52326136507247</v>
      </c>
      <c r="FY88" s="546">
        <f t="shared" ca="1" si="228"/>
        <v>3084.0176165497501</v>
      </c>
      <c r="FZ88" s="546">
        <f t="shared" ca="1" si="229"/>
        <v>79170.795959186755</v>
      </c>
      <c r="GA88" s="546">
        <f t="shared" si="230"/>
        <v>100577.00082902877</v>
      </c>
      <c r="GB88" s="546">
        <f t="shared" si="231"/>
        <v>22.350858533460716</v>
      </c>
      <c r="GC88" s="546">
        <f t="shared" si="232"/>
        <v>68.642333702098625</v>
      </c>
      <c r="GD88" s="546">
        <f t="shared" si="233"/>
        <v>392.47349188167033</v>
      </c>
    </row>
    <row r="89" spans="1:186">
      <c r="A89" s="4">
        <v>45017</v>
      </c>
      <c r="B89" s="6">
        <v>2023</v>
      </c>
      <c r="C89" s="5">
        <v>4</v>
      </c>
      <c r="D89" s="7">
        <v>67482967.603741363</v>
      </c>
      <c r="E89" s="7">
        <f ca="1">IFERROR(VLOOKUP($B89-1,CDM!$V$4:$AJ$17,2,FALSE)/12,0)+IFERROR(VLOOKUP($B89,CDM!$V$41:$AJ$54,2,FALSE)/24,0)+IFERROR(VLOOKUP($B89,CDM!$V$41:$AJ$54,2,FALSE)/2*$C89/78,0)</f>
        <v>3848328.740363264</v>
      </c>
      <c r="F89" s="7">
        <f t="shared" ca="1" si="165"/>
        <v>71331296.344104633</v>
      </c>
      <c r="G89" s="7">
        <f>IFERROR(HLOOKUP(B89-1,'EV Forecast VRZ'!$F$124:$T$130,2,FALSE)/12,0)+IFERROR(((HLOOKUP(B89,'EV Forecast VRZ'!$F$116:$T$122,2,FALSE)-HLOOKUP(B89-1,'EV Forecast VRZ'!$F$124:$T$130,2,FALSE)))*C89/78,0)</f>
        <v>763628.26453554572</v>
      </c>
      <c r="H89" s="7">
        <f ca="1">HLOOKUP(B89,Heating!$C$102:$O$106,2,FALSE)*INDEX(Weather!$BO$1:$CB$20,MATCH(B89,Weather!$BO$1:$BO$20,0),MATCH(C89,Weather!$BO$1:$CB$1,0))/VLOOKUP(B89,Weather!$BO$2:$CB$20,14,FALSE)*
VLOOKUP('Monthly Data'!$B89,Weather!$BO$3:$CB$20,14,FALSE)/Weather!$CB$14</f>
        <v>890928.19591571391</v>
      </c>
      <c r="I89" s="7">
        <f t="shared" ca="1" si="166"/>
        <v>69676739.883653373</v>
      </c>
      <c r="J89" s="7">
        <v>826581.61589391239</v>
      </c>
      <c r="K89" s="7">
        <f ca="1">IFERROR(VLOOKUP($B89-1,CDM!$V$4:$AJ$17,3,FALSE)/12,0)+IFERROR(VLOOKUP($B89,CDM!$V$41:$AJ$54,3,FALSE)/24,0)+IFERROR(VLOOKUP($B89,CDM!$V$41:$AJ$54,3,FALSE)/2*$C89/78,0)</f>
        <v>44077.933941726355</v>
      </c>
      <c r="L89" s="7">
        <f t="shared" ca="1" si="167"/>
        <v>870659.54983563873</v>
      </c>
      <c r="M89" s="7">
        <f>IFERROR(HLOOKUP(B89-1,'EV Forecast VRZ'!$F$124:$T$130,3,FALSE)/12,0)+IFERROR(((HLOOKUP(B89,'EV Forecast VRZ'!$F$116:$T$122,3,FALSE)-HLOOKUP(B89-1,'EV Forecast VRZ'!$F$124:$T$130,3,FALSE)))*C89/78,0)</f>
        <v>10361.780079838929</v>
      </c>
      <c r="N89" s="7">
        <f ca="1">HLOOKUP(B89,Heating!$C$102:$O$106,3,FALSE)*INDEX(Weather!$BO$1:$CB$20,MATCH(B89,Weather!$BO$1:$BO$20,0),MATCH(C89,Weather!$BO$1:$CB$1,0))/VLOOKUP(B89,Weather!$BO$2:$CB$20,14,FALSE)*
VLOOKUP('Monthly Data'!$B89,Weather!$BO$3:$CB$20,14,FALSE)/Weather!$CB$14</f>
        <v>10764.997648189634</v>
      </c>
      <c r="O89" s="7">
        <f t="shared" ca="1" si="168"/>
        <v>849532.77210761013</v>
      </c>
      <c r="P89" s="7">
        <v>20282583.720835526</v>
      </c>
      <c r="Q89" s="7">
        <f ca="1">IFERROR(VLOOKUP($B89-1,CDM!$V$4:$AJ$17,4,FALSE)/12,0)+IFERROR(VLOOKUP($B89,CDM!$V$41:$AJ$54,4,FALSE)/24,0)+IFERROR(VLOOKUP($B89,CDM!$V$41:$AJ$54,4,FALSE)/2*$C89/78,0)</f>
        <v>1559495.0468580525</v>
      </c>
      <c r="R89" s="7">
        <f t="shared" ca="1" si="169"/>
        <v>21842078.767693579</v>
      </c>
      <c r="S89" s="7">
        <f>IFERROR(HLOOKUP(B89-1,'EV Forecast VRZ'!$F$124:$T$130,4,FALSE)/12,0)+IFERROR(((HLOOKUP(B89,'EV Forecast VRZ'!$F$116:$T$122,4,FALSE)-HLOOKUP(B89-1,'EV Forecast VRZ'!$F$124:$T$130,4,FALSE)))*C89/78,0)</f>
        <v>95001.88307692307</v>
      </c>
      <c r="T89" s="7">
        <f ca="1">HLOOKUP(B89,Heating!$C$102:$O$106,4,FALSE)*INDEX(Weather!$BO$1:$CB$20,MATCH(B89,Weather!$BO$1:$BO$20,0),MATCH(C89,Weather!$BO$1:$CB$1,0))/VLOOKUP(B89,Weather!$BO$2:$CB$20,14,FALSE)*
VLOOKUP('Monthly Data'!$B89,Weather!$BO$3:$CB$20,14,FALSE)/Weather!$CB$14</f>
        <v>218842.66403014024</v>
      </c>
      <c r="U89" s="7">
        <f t="shared" ca="1" si="170"/>
        <v>21528234.220586516</v>
      </c>
      <c r="V89" s="7">
        <v>68623568.564808816</v>
      </c>
      <c r="W89" s="7">
        <f ca="1">IFERROR(VLOOKUP($B89-1,CDM!$V$4:$AJ$17,5,FALSE)/12,0)+IFERROR(VLOOKUP($B89,CDM!$V$41:$AJ$54,5,FALSE)/24,0)+IFERROR(VLOOKUP($B89,CDM!$V$41:$AJ$54,5,FALSE)/2*$C89/78,0)</f>
        <v>6381043.1195241744</v>
      </c>
      <c r="X89" s="7">
        <f t="shared" ca="1" si="171"/>
        <v>75004611.684332997</v>
      </c>
      <c r="Y89" s="7">
        <f>IFERROR(HLOOKUP(B89-1,'EV Forecast VRZ'!$F$124:$T$130,5,FALSE)/12,0)+IFERROR(((HLOOKUP(B89,'EV Forecast VRZ'!$F$116:$T$122,5,FALSE)-HLOOKUP(B89-1,'EV Forecast VRZ'!$F$124:$T$130,5,FALSE)))*C89/78,0)</f>
        <v>43736.808923076918</v>
      </c>
      <c r="Z89" s="7">
        <f ca="1">HLOOKUP(B89,Heating!$C$102:$O$106,5,FALSE)*INDEX(Weather!$BO$1:$CB$20,MATCH(B89,Weather!$BO$1:$BO$20,0),MATCH(C89,Weather!$BO$1:$CB$1,0))/VLOOKUP(B89,Weather!$BO$2:$CB$20,14,FALSE)*
VLOOKUP('Monthly Data'!$B89,Weather!$BO$3:$CB$20,14,FALSE)/Weather!$CB$14</f>
        <v>114319.1171681767</v>
      </c>
      <c r="AA89" s="7">
        <f t="shared" ca="1" si="172"/>
        <v>74846555.758241743</v>
      </c>
      <c r="AB89" s="7">
        <v>8530137.5968992226</v>
      </c>
      <c r="AC89" s="7">
        <f ca="1">IFERROR(VLOOKUP($B89-1,CDM!$V$4:$AJ$17,6,FALSE)/12,0)+IFERROR(VLOOKUP($B89,CDM!$V$41:$AJ$54,6,FALSE)/24,0)+IFERROR(VLOOKUP($B89,CDM!$V$41:$AJ$54,6,FALSE)/2*$C89/78,0)</f>
        <v>295086.95287691738</v>
      </c>
      <c r="AD89" s="7">
        <f t="shared" ca="1" si="173"/>
        <v>8825224.5497761406</v>
      </c>
      <c r="AE89" s="7">
        <f>IFERROR(HLOOKUP(B89-1,'EV Forecast VRZ'!$F$124:$T$130,6,FALSE)/12,0)+IFERROR(((HLOOKUP(B89,'EV Forecast VRZ'!$F$116:$T$122,6,FALSE)-HLOOKUP(B89-1,'EV Forecast VRZ'!$F$124:$T$130,6,FALSE)))*C89/78,0)</f>
        <v>5665.0941538461539</v>
      </c>
      <c r="AF89" s="7">
        <f t="shared" ca="1" si="174"/>
        <v>8819559.4556222949</v>
      </c>
      <c r="AG89" s="7">
        <v>24272703.813536465</v>
      </c>
      <c r="AH89" s="7">
        <f ca="1">IFERROR(VLOOKUP($B89-1,CDM!$V$4:$AJ$17,7,FALSE)/12,0)+IFERROR(VLOOKUP($B89,CDM!$V$41:$AJ$54,7,FALSE)/24,0)+IFERROR(VLOOKUP($B89,CDM!$V$41:$AJ$54,7,FALSE)/2*$C89/78,0)</f>
        <v>1830524.5033672932</v>
      </c>
      <c r="AI89" s="7">
        <f t="shared" ca="1" si="175"/>
        <v>26103228.316903759</v>
      </c>
      <c r="AJ89" s="7">
        <f>IFERROR(HLOOKUP(B89-1,'EV Forecast VRZ'!$F$124:$T$130,7,FALSE)/12,0)+IFERROR(((HLOOKUP(B89,'EV Forecast VRZ'!$F$116:$T$122,7,FALSE)-HLOOKUP(B89-1,'EV Forecast VRZ'!$F$124:$T$130,7,FALSE)))*C89/78,0)</f>
        <v>336.53846153846155</v>
      </c>
      <c r="AK89" s="7">
        <f t="shared" ca="1" si="176"/>
        <v>26102891.778442219</v>
      </c>
      <c r="AL89" s="7">
        <v>815897.03300896776</v>
      </c>
      <c r="AM89" s="7">
        <v>16325.529479107046</v>
      </c>
      <c r="AN89" s="7">
        <v>378272.22858233162</v>
      </c>
      <c r="AO89" s="5">
        <v>180883.64</v>
      </c>
      <c r="AP89" s="5">
        <v>18818.77</v>
      </c>
      <c r="AQ89" s="5">
        <v>41039</v>
      </c>
      <c r="AR89" s="5">
        <v>2590.21</v>
      </c>
      <c r="AS89" s="544">
        <f t="shared" si="236"/>
        <v>50.666666666666664</v>
      </c>
      <c r="AT89" s="557">
        <v>115346</v>
      </c>
      <c r="AU89" s="557">
        <v>1562</v>
      </c>
      <c r="AV89" s="557">
        <v>9483</v>
      </c>
      <c r="AW89" s="557">
        <v>1025.6666666666665</v>
      </c>
      <c r="AX89" s="557">
        <v>5</v>
      </c>
      <c r="AY89" s="557">
        <v>4.3333333333333321</v>
      </c>
      <c r="AZ89" s="557">
        <v>32021.333333333328</v>
      </c>
      <c r="BA89" s="557">
        <v>243.66666666666663</v>
      </c>
      <c r="BB89" s="557">
        <v>798.33333333333348</v>
      </c>
      <c r="BC89" s="560">
        <v>25481490.434072983</v>
      </c>
      <c r="BD89" s="560">
        <f ca="1">IFERROR(VLOOKUP($B89-1,CDM!$V$4:$AJ$17,11,FALSE)/12,0)+IFERROR(VLOOKUP($B89,CDM!$V$41:$AJ$54,11,FALSE)/24,0)+IFERROR(VLOOKUP($B89,CDM!$V$41:$AJ$54,11,FALSE)/2*$C89/78,0)</f>
        <v>1705161.3144478917</v>
      </c>
      <c r="BE89" s="560">
        <f t="shared" ca="1" si="188"/>
        <v>27186651.748520873</v>
      </c>
      <c r="BF89" s="560">
        <f>IFERROR(HLOOKUP(B89-1,'EV Forecast WRZ'!$F$124:$T$130,2,FALSE)/12,0)+IFERROR(((HLOOKUP(B89,'EV Forecast WRZ'!$F$116:$T$122,2,FALSE)-HLOOKUP(B89-1,'EV Forecast WRZ'!$F$124:$T$130,2,FALSE)))*C89/78,0)</f>
        <v>242152.18769230766</v>
      </c>
      <c r="BG89" s="560">
        <f ca="1">HLOOKUP(B89,Heating!$R$102:$AD$106,2,FALSE)*INDEX(Weather!$BO$1:$CB$20,MATCH(B89,Weather!$BO$1:$BO$20,0),MATCH(C89,Weather!$BO$1:$CB$1,0))/VLOOKUP(B89,Weather!$BO$2:$CB$20,14,FALSE)*
VLOOKUP('Monthly Data'!$B89,Weather!$BO$3:$CB$20,14,FALSE)/Weather!$CB$14</f>
        <v>399364.52738640946</v>
      </c>
      <c r="BH89" s="560">
        <f t="shared" ca="1" si="177"/>
        <v>26545135.033442158</v>
      </c>
      <c r="BI89" s="560">
        <v>6155562.0437535951</v>
      </c>
      <c r="BJ89" s="560">
        <f ca="1">IFERROR(VLOOKUP($B89-1,CDM!$V$4:$AJ$17,12,FALSE)/12,0)+IFERROR(VLOOKUP($B89,CDM!$V$41:$AJ$54,12,FALSE)/24,0)+IFERROR(VLOOKUP($B89,CDM!$V$41:$AJ$54,12,FALSE)/2*$C89/78,0)</f>
        <v>276860.51325343404</v>
      </c>
      <c r="BK89" s="560">
        <f t="shared" ca="1" si="178"/>
        <v>6432422.5570070287</v>
      </c>
      <c r="BL89" s="560">
        <f>IFERROR(HLOOKUP(B89-1,'EV Forecast WRZ'!$F$124:$T$130,3,FALSE)/12,0)+IFERROR(((HLOOKUP(B89,'EV Forecast WRZ'!$F$116:$T$122,3,FALSE)-HLOOKUP(B89-1,'EV Forecast WRZ'!$F$124:$T$130,3,FALSE)))*C89/78,0)</f>
        <v>30431.818461538467</v>
      </c>
      <c r="BM89" s="560">
        <f ca="1">HLOOKUP(B89,Heating!$R$102:$AD$106,4,FALSE)*INDEX(Weather!$BO$1:$CB$20,MATCH(B89,Weather!$BO$1:$BO$20,0),MATCH(C89,Weather!$BO$1:$CB$1,0))/VLOOKUP(B89,Weather!$BO$2:$CB$20,14,FALSE)*
VLOOKUP('Monthly Data'!$B89,Weather!$BO$3:$CB$20,14,FALSE)/Weather!$CB$14</f>
        <v>62548.459845246427</v>
      </c>
      <c r="BN89" s="560">
        <f t="shared" ca="1" si="179"/>
        <v>6339442.2787002437</v>
      </c>
      <c r="BO89" s="560">
        <v>23868061.588712096</v>
      </c>
      <c r="BP89" s="560">
        <f ca="1">IFERROR(VLOOKUP($B89-1,CDM!$V$4:$AJ$17,13,FALSE)/12,0)+IFERROR(VLOOKUP($B89,CDM!$V$41:$AJ$54,13,FALSE)/24,0)+IFERROR(VLOOKUP($B89,CDM!$V$41:$AJ$54,13,FALSE)/2*$C89/78,0)</f>
        <v>2701712.0359364343</v>
      </c>
      <c r="BQ89" s="560">
        <f t="shared" ca="1" si="180"/>
        <v>26569773.62464853</v>
      </c>
      <c r="BR89" s="560">
        <f>IFERROR(HLOOKUP(B89-1,'EV Forecast WRZ'!$F$124:$T$130,4,FALSE)/12,0)+IFERROR(((HLOOKUP(B89,'EV Forecast WRZ'!$F$116:$T$122,4,FALSE)-HLOOKUP(B89-1,'EV Forecast WRZ'!$F$124:$T$130,4,FALSE)))*C89/78,0)</f>
        <v>13659.35035897436</v>
      </c>
      <c r="BS89" s="560">
        <f ca="1">HLOOKUP(B89,Heating!$R$102:$AD$106,5,FALSE)*INDEX(Weather!$BO$1:$CB$20,MATCH(B89,Weather!$BO$1:$BO$20,0),MATCH(C89,Weather!$BO$1:$CB$1,0))/VLOOKUP(B89,Weather!$BO$2:$CB$20,14,FALSE)*
VLOOKUP('Monthly Data'!$B89,Weather!$BO$3:$CB$20,14,FALSE)/Weather!$CB$14</f>
        <v>33779.021573232159</v>
      </c>
      <c r="BT89" s="560">
        <f t="shared" ca="1" si="181"/>
        <v>26522335.252716325</v>
      </c>
      <c r="BU89" s="560">
        <v>6581971.9575699139</v>
      </c>
      <c r="BV89" s="560">
        <f ca="1">IFERROR(VLOOKUP($B89-1,CDM!$V$4:$AJ$17,14,FALSE)/12,0)+IFERROR(VLOOKUP($B89,CDM!$V$41:$AJ$54,14,FALSE)/24,0)+IFERROR(VLOOKUP($B89,CDM!$V$41:$AJ$54,14,FALSE)/2*$C89/78,0)</f>
        <v>607830.62114306272</v>
      </c>
      <c r="BW89" s="560">
        <f t="shared" ca="1" si="182"/>
        <v>7189802.5787129765</v>
      </c>
      <c r="BX89" s="560">
        <f>IFERROR(HLOOKUP(B89-1,'EV Forecast WRZ'!$F$124:$T$130,5,FALSE)/12,0)+IFERROR(((HLOOKUP(B89,'EV Forecast WRZ'!$F$116:$T$122,5,FALSE)-HLOOKUP(B89-1,'EV Forecast WRZ'!$F$124:$T$130,5,FALSE)))*C89/78,0)</f>
        <v>2004.3152820512821</v>
      </c>
      <c r="BY89" s="560">
        <f t="shared" ca="1" si="189"/>
        <v>7187798.2634309251</v>
      </c>
      <c r="BZ89" s="560">
        <v>257546.00153051462</v>
      </c>
      <c r="CA89" s="560">
        <v>1937.0575856131622</v>
      </c>
      <c r="CB89" s="560">
        <v>155718.97838148076</v>
      </c>
      <c r="CC89" s="5">
        <v>62378.54</v>
      </c>
      <c r="CD89" s="5">
        <v>13660.25</v>
      </c>
      <c r="CE89" s="5">
        <v>818</v>
      </c>
      <c r="CF89" s="544">
        <f t="shared" si="237"/>
        <v>7.666666666666667</v>
      </c>
      <c r="CG89" s="565">
        <v>44773.333333333343</v>
      </c>
      <c r="CH89" s="565">
        <v>2426.3333333333339</v>
      </c>
      <c r="CI89" s="565">
        <v>381.66666666666674</v>
      </c>
      <c r="CJ89" s="565">
        <v>3</v>
      </c>
      <c r="CK89" s="565">
        <v>13515.666666666664</v>
      </c>
      <c r="CL89" s="565">
        <v>46</v>
      </c>
      <c r="CM89" s="565">
        <v>398</v>
      </c>
      <c r="CN89" s="46">
        <f>Weather!C113</f>
        <v>361.4</v>
      </c>
      <c r="CO89" s="46">
        <f>Weather!D113</f>
        <v>0</v>
      </c>
      <c r="CP89" s="46">
        <f>Weather!E113</f>
        <v>301.39999999999998</v>
      </c>
      <c r="CQ89" s="46">
        <f>Weather!F113</f>
        <v>0</v>
      </c>
      <c r="CR89" s="46">
        <f>Weather!G113</f>
        <v>243.15833333333336</v>
      </c>
      <c r="CS89" s="46">
        <f>Weather!H113</f>
        <v>1.75833333333334</v>
      </c>
      <c r="CT89" s="46">
        <f>Weather!I113</f>
        <v>193.11666666666667</v>
      </c>
      <c r="CU89" s="46">
        <f>Weather!J113</f>
        <v>11.71666666666667</v>
      </c>
      <c r="CV89" s="46">
        <f>Weather!K113</f>
        <v>144.11666666666667</v>
      </c>
      <c r="CW89" s="46">
        <f>Weather!L113</f>
        <v>22.716666666666676</v>
      </c>
      <c r="CX89" s="46">
        <f>Weather!M113</f>
        <v>98.574999999999989</v>
      </c>
      <c r="CY89" s="46">
        <f>Weather!N113</f>
        <v>37.175000000000004</v>
      </c>
      <c r="CZ89" s="46">
        <f>Weather!O113</f>
        <v>58.116666666666674</v>
      </c>
      <c r="DA89" s="46">
        <f>Weather!P113</f>
        <v>56.716666666666676</v>
      </c>
      <c r="DB89" s="243">
        <f>'Economic Data'!D115</f>
        <v>7962</v>
      </c>
      <c r="DC89" s="243">
        <f>'Economic Data'!E115</f>
        <v>7899.3</v>
      </c>
      <c r="DD89" s="243">
        <f>'Economic Data'!F115</f>
        <v>233.2</v>
      </c>
      <c r="DE89" s="243">
        <f>'Economic Data'!G115</f>
        <v>234.2</v>
      </c>
      <c r="DF89" s="243">
        <f>'Economic Data'!H115</f>
        <v>67.400000000000006</v>
      </c>
      <c r="DG89" s="243">
        <f>'Economic Data'!I115</f>
        <v>67.400000000000006</v>
      </c>
      <c r="DH89" s="243">
        <f>'Economic Data'!J115</f>
        <v>865859.6</v>
      </c>
      <c r="DI89" s="243">
        <f>'Economic Data'!K115</f>
        <v>679067</v>
      </c>
      <c r="DJ89" s="243">
        <f>'Economic Data'!L115</f>
        <v>96987.199999999997</v>
      </c>
      <c r="DK89" s="243">
        <f>'Economic Data'!M115</f>
        <v>32826.199999999997</v>
      </c>
      <c r="DL89" s="243">
        <f>'Economic Data'!N115</f>
        <v>873385</v>
      </c>
      <c r="DM89" s="243">
        <f>'Economic Data'!O115</f>
        <v>96473</v>
      </c>
      <c r="DN89" s="243">
        <f>'Economic Data'!P115</f>
        <v>20451</v>
      </c>
      <c r="DO89" s="243">
        <f>'Economic Data'!Q115</f>
        <v>687199</v>
      </c>
      <c r="DP89" s="243">
        <f>'Economic Data'!R115</f>
        <v>33081</v>
      </c>
      <c r="DQ89">
        <v>30</v>
      </c>
      <c r="DR89">
        <v>19</v>
      </c>
      <c r="DS89">
        <v>0</v>
      </c>
      <c r="DT89">
        <v>0</v>
      </c>
      <c r="DU89">
        <v>0</v>
      </c>
      <c r="DV89">
        <v>1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1</v>
      </c>
      <c r="EF89">
        <v>0</v>
      </c>
      <c r="EG89">
        <v>1</v>
      </c>
      <c r="EH89">
        <f t="shared" si="185"/>
        <v>88</v>
      </c>
      <c r="EI89">
        <v>0</v>
      </c>
      <c r="EJ89">
        <v>0</v>
      </c>
      <c r="EK89">
        <v>0.25</v>
      </c>
      <c r="EL89">
        <v>0</v>
      </c>
      <c r="EM89" s="47">
        <f t="shared" si="190"/>
        <v>0</v>
      </c>
      <c r="EN89" s="47">
        <f t="shared" si="191"/>
        <v>0</v>
      </c>
      <c r="EO89" s="47">
        <f t="shared" si="192"/>
        <v>0</v>
      </c>
      <c r="EP89" s="47">
        <f t="shared" si="193"/>
        <v>0</v>
      </c>
      <c r="EQ89" s="47">
        <f t="shared" si="194"/>
        <v>0</v>
      </c>
      <c r="ER89" s="47">
        <f t="shared" si="195"/>
        <v>0</v>
      </c>
      <c r="ES89" s="47">
        <f t="shared" si="196"/>
        <v>0</v>
      </c>
      <c r="ET89" s="47">
        <f t="shared" si="197"/>
        <v>0</v>
      </c>
      <c r="EU89" s="47">
        <f t="shared" si="198"/>
        <v>0</v>
      </c>
      <c r="EV89" s="47">
        <f t="shared" si="199"/>
        <v>0</v>
      </c>
      <c r="EW89" s="47">
        <f t="shared" si="200"/>
        <v>0</v>
      </c>
      <c r="EX89" s="47">
        <f t="shared" si="201"/>
        <v>0</v>
      </c>
      <c r="EY89" s="47">
        <f t="shared" si="202"/>
        <v>0</v>
      </c>
      <c r="EZ89" s="47">
        <f t="shared" si="203"/>
        <v>0</v>
      </c>
      <c r="FA89" s="47">
        <f t="shared" si="204"/>
        <v>90.35</v>
      </c>
      <c r="FB89" s="47">
        <f t="shared" si="205"/>
        <v>0</v>
      </c>
      <c r="FC89" s="47">
        <f t="shared" si="206"/>
        <v>75.349999999999994</v>
      </c>
      <c r="FD89" s="47">
        <f t="shared" si="207"/>
        <v>0</v>
      </c>
      <c r="FE89" s="47">
        <f t="shared" si="208"/>
        <v>60.78958333333334</v>
      </c>
      <c r="FF89" s="47">
        <f t="shared" si="209"/>
        <v>0.43958333333333499</v>
      </c>
      <c r="FG89" s="47">
        <f t="shared" si="210"/>
        <v>48.279166666666669</v>
      </c>
      <c r="FH89" s="47">
        <f t="shared" si="211"/>
        <v>2.9291666666666676</v>
      </c>
      <c r="FI89" s="47">
        <f t="shared" si="212"/>
        <v>36.029166666666669</v>
      </c>
      <c r="FJ89" s="47">
        <f t="shared" si="213"/>
        <v>5.6791666666666689</v>
      </c>
      <c r="FK89" s="47">
        <f t="shared" si="214"/>
        <v>24.643749999999997</v>
      </c>
      <c r="FL89" s="47">
        <f t="shared" si="215"/>
        <v>9.2937500000000011</v>
      </c>
      <c r="FM89" s="47">
        <f t="shared" si="216"/>
        <v>14.529166666666669</v>
      </c>
      <c r="FN89" s="47">
        <f t="shared" si="217"/>
        <v>14.179166666666669</v>
      </c>
      <c r="FO89" s="546">
        <f t="shared" ca="1" si="218"/>
        <v>604.06724016136991</v>
      </c>
      <c r="FP89" s="546">
        <f t="shared" ca="1" si="219"/>
        <v>557.40048004842424</v>
      </c>
      <c r="FQ89" s="546">
        <f t="shared" ca="1" si="220"/>
        <v>2303.287859084001</v>
      </c>
      <c r="FR89" s="546">
        <f t="shared" ca="1" si="221"/>
        <v>73127.668200519664</v>
      </c>
      <c r="FS89" s="546">
        <f t="shared" ca="1" si="222"/>
        <v>1765044.9099552282</v>
      </c>
      <c r="FT89" s="546">
        <f t="shared" ca="1" si="223"/>
        <v>6023821.9192854846</v>
      </c>
      <c r="FU89" s="546">
        <f t="shared" si="224"/>
        <v>25.47979575102956</v>
      </c>
      <c r="FV89" s="546">
        <f t="shared" si="225"/>
        <v>66.999436986759434</v>
      </c>
      <c r="FW89" s="546">
        <f t="shared" si="226"/>
        <v>473.82742619916269</v>
      </c>
      <c r="FX89" s="546">
        <f t="shared" ca="1" si="227"/>
        <v>607.2063374446293</v>
      </c>
      <c r="FY89" s="546">
        <f t="shared" ca="1" si="228"/>
        <v>2651.0877415882787</v>
      </c>
      <c r="FZ89" s="546">
        <f t="shared" ca="1" si="229"/>
        <v>69615.127400825833</v>
      </c>
      <c r="GA89" s="546">
        <f t="shared" si="230"/>
        <v>85848.667176838208</v>
      </c>
      <c r="GB89" s="546">
        <f t="shared" si="231"/>
        <v>19.055367957963451</v>
      </c>
      <c r="GC89" s="546">
        <f t="shared" si="232"/>
        <v>42.109947513329615</v>
      </c>
      <c r="GD89" s="546">
        <f t="shared" si="233"/>
        <v>391.25371452633357</v>
      </c>
    </row>
    <row r="90" spans="1:186">
      <c r="A90" s="4">
        <v>45047</v>
      </c>
      <c r="B90" s="6">
        <v>2023</v>
      </c>
      <c r="C90" s="5">
        <v>5</v>
      </c>
      <c r="D90" s="7">
        <v>66005952.600992076</v>
      </c>
      <c r="E90" s="7">
        <f ca="1">IFERROR(VLOOKUP($B90-1,CDM!$V$4:$AJ$17,2,FALSE)/12,0)+IFERROR(VLOOKUP($B90,CDM!$V$41:$AJ$54,2,FALSE)/24,0)+IFERROR(VLOOKUP($B90,CDM!$V$41:$AJ$54,2,FALSE)/2*$C90/78,0)</f>
        <v>3848369.9490518062</v>
      </c>
      <c r="F90" s="7">
        <f t="shared" ca="1" si="165"/>
        <v>69854322.550043881</v>
      </c>
      <c r="G90" s="7">
        <f>IFERROR(HLOOKUP(B90-1,'EV Forecast VRZ'!$F$124:$T$130,2,FALSE)/12,0)+IFERROR(((HLOOKUP(B90,'EV Forecast VRZ'!$F$116:$T$122,2,FALSE)-HLOOKUP(B90-1,'EV Forecast VRZ'!$F$124:$T$130,2,FALSE)))*C90/78,0)</f>
        <v>790169.13880721794</v>
      </c>
      <c r="H90" s="7">
        <f ca="1">HLOOKUP(B90,Heating!$C$102:$O$106,2,FALSE)*INDEX(Weather!$BO$1:$CB$20,MATCH(B90,Weather!$BO$1:$BO$20,0),MATCH(C90,Weather!$BO$1:$CB$1,0))/VLOOKUP(B90,Weather!$BO$2:$CB$20,14,FALSE)*
VLOOKUP('Monthly Data'!$B90,Weather!$BO$3:$CB$20,14,FALSE)/Weather!$CB$14</f>
        <v>483490.13910016755</v>
      </c>
      <c r="I90" s="7">
        <f t="shared" ca="1" si="166"/>
        <v>68580663.272136495</v>
      </c>
      <c r="J90" s="7">
        <v>839862.96407174203</v>
      </c>
      <c r="K90" s="7">
        <f ca="1">IFERROR(VLOOKUP($B90-1,CDM!$V$4:$AJ$17,3,FALSE)/12,0)+IFERROR(VLOOKUP($B90,CDM!$V$41:$AJ$54,3,FALSE)/24,0)+IFERROR(VLOOKUP($B90,CDM!$V$41:$AJ$54,3,FALSE)/2*$C90/78,0)</f>
        <v>44078.399504098074</v>
      </c>
      <c r="L90" s="7">
        <f t="shared" ca="1" si="167"/>
        <v>883941.36357584014</v>
      </c>
      <c r="M90" s="7">
        <f>IFERROR(HLOOKUP(B90-1,'EV Forecast VRZ'!$F$124:$T$130,3,FALSE)/12,0)+IFERROR(((HLOOKUP(B90,'EV Forecast VRZ'!$F$116:$T$122,3,FALSE)-HLOOKUP(B90-1,'EV Forecast VRZ'!$F$124:$T$130,3,FALSE)))*C90/78,0)</f>
        <v>10721.91696201286</v>
      </c>
      <c r="N90" s="7">
        <f ca="1">HLOOKUP(B90,Heating!$C$102:$O$106,3,FALSE)*INDEX(Weather!$BO$1:$CB$20,MATCH(B90,Weather!$BO$1:$BO$20,0),MATCH(C90,Weather!$BO$1:$CB$1,0))/VLOOKUP(B90,Weather!$BO$2:$CB$20,14,FALSE)*
VLOOKUP('Monthly Data'!$B90,Weather!$BO$3:$CB$20,14,FALSE)/Weather!$CB$14</f>
        <v>5841.9637342228416</v>
      </c>
      <c r="O90" s="7">
        <f t="shared" ca="1" si="168"/>
        <v>867377.48287960445</v>
      </c>
      <c r="P90" s="7">
        <v>20347014.067668382</v>
      </c>
      <c r="Q90" s="7">
        <f ca="1">IFERROR(VLOOKUP($B90-1,CDM!$V$4:$AJ$17,4,FALSE)/12,0)+IFERROR(VLOOKUP($B90,CDM!$V$41:$AJ$54,4,FALSE)/24,0)+IFERROR(VLOOKUP($B90,CDM!$V$41:$AJ$54,4,FALSE)/2*$C90/78,0)</f>
        <v>1563392.6885677155</v>
      </c>
      <c r="R90" s="7">
        <f t="shared" ca="1" si="169"/>
        <v>21910406.756236099</v>
      </c>
      <c r="S90" s="7">
        <f>IFERROR(HLOOKUP(B90-1,'EV Forecast VRZ'!$F$124:$T$130,4,FALSE)/12,0)+IFERROR(((HLOOKUP(B90,'EV Forecast VRZ'!$F$116:$T$122,4,FALSE)-HLOOKUP(B90-1,'EV Forecast VRZ'!$F$124:$T$130,4,FALSE)))*C90/78,0)</f>
        <v>98429.603846153841</v>
      </c>
      <c r="T90" s="7">
        <f ca="1">HLOOKUP(B90,Heating!$C$102:$O$106,4,FALSE)*INDEX(Weather!$BO$1:$CB$20,MATCH(B90,Weather!$BO$1:$BO$20,0),MATCH(C90,Weather!$BO$1:$CB$1,0))/VLOOKUP(B90,Weather!$BO$2:$CB$20,14,FALSE)*
VLOOKUP('Monthly Data'!$B90,Weather!$BO$3:$CB$20,14,FALSE)/Weather!$CB$14</f>
        <v>118761.83800001061</v>
      </c>
      <c r="U90" s="7">
        <f t="shared" ca="1" si="170"/>
        <v>21693215.314389933</v>
      </c>
      <c r="V90" s="7">
        <v>71328548.624002844</v>
      </c>
      <c r="W90" s="7">
        <f ca="1">IFERROR(VLOOKUP($B90-1,CDM!$V$4:$AJ$17,5,FALSE)/12,0)+IFERROR(VLOOKUP($B90,CDM!$V$41:$AJ$54,5,FALSE)/24,0)+IFERROR(VLOOKUP($B90,CDM!$V$41:$AJ$54,5,FALSE)/2*$C90/78,0)</f>
        <v>6409234.6885721218</v>
      </c>
      <c r="X90" s="7">
        <f t="shared" ca="1" si="171"/>
        <v>77737783.312574968</v>
      </c>
      <c r="Y90" s="7">
        <f>IFERROR(HLOOKUP(B90-1,'EV Forecast VRZ'!$F$124:$T$130,5,FALSE)/12,0)+IFERROR(((HLOOKUP(B90,'EV Forecast VRZ'!$F$116:$T$122,5,FALSE)-HLOOKUP(B90-1,'EV Forecast VRZ'!$F$124:$T$130,5,FALSE)))*C90/78,0)</f>
        <v>45380.565320512818</v>
      </c>
      <c r="Z90" s="7">
        <f ca="1">HLOOKUP(B90,Heating!$C$102:$O$106,5,FALSE)*INDEX(Weather!$BO$1:$CB$20,MATCH(B90,Weather!$BO$1:$BO$20,0),MATCH(C90,Weather!$BO$1:$CB$1,0))/VLOOKUP(B90,Weather!$BO$2:$CB$20,14,FALSE)*
VLOOKUP('Monthly Data'!$B90,Weather!$BO$3:$CB$20,14,FALSE)/Weather!$CB$14</f>
        <v>62038.8557852749</v>
      </c>
      <c r="AA90" s="7">
        <f t="shared" ca="1" si="172"/>
        <v>77630363.891469181</v>
      </c>
      <c r="AB90" s="7">
        <v>9008365.1220640969</v>
      </c>
      <c r="AC90" s="7">
        <f ca="1">IFERROR(VLOOKUP($B90-1,CDM!$V$4:$AJ$17,6,FALSE)/12,0)+IFERROR(VLOOKUP($B90,CDM!$V$41:$AJ$54,6,FALSE)/24,0)+IFERROR(VLOOKUP($B90,CDM!$V$41:$AJ$54,6,FALSE)/2*$C90/78,0)</f>
        <v>297254.99222235958</v>
      </c>
      <c r="AD90" s="7">
        <f t="shared" ca="1" si="173"/>
        <v>9305620.1142864563</v>
      </c>
      <c r="AE90" s="7">
        <f>IFERROR(HLOOKUP(B90-1,'EV Forecast VRZ'!$F$124:$T$130,6,FALSE)/12,0)+IFERROR(((HLOOKUP(B90,'EV Forecast VRZ'!$F$116:$T$122,6,FALSE)-HLOOKUP(B90-1,'EV Forecast VRZ'!$F$124:$T$130,6,FALSE)))*C90/78,0)</f>
        <v>5878.1468589743599</v>
      </c>
      <c r="AF90" s="7">
        <f t="shared" ca="1" si="174"/>
        <v>9299741.967427481</v>
      </c>
      <c r="AG90" s="7">
        <v>23191975.403735757</v>
      </c>
      <c r="AH90" s="7">
        <f ca="1">IFERROR(VLOOKUP($B90-1,CDM!$V$4:$AJ$17,7,FALSE)/12,0)+IFERROR(VLOOKUP($B90,CDM!$V$41:$AJ$54,7,FALSE)/24,0)+IFERROR(VLOOKUP($B90,CDM!$V$41:$AJ$54,7,FALSE)/2*$C90/78,0)</f>
        <v>1839173.2578689225</v>
      </c>
      <c r="AI90" s="7">
        <f t="shared" ca="1" si="175"/>
        <v>25031148.66160468</v>
      </c>
      <c r="AJ90" s="7">
        <f>IFERROR(HLOOKUP(B90-1,'EV Forecast VRZ'!$F$124:$T$130,7,FALSE)/12,0)+IFERROR(((HLOOKUP(B90,'EV Forecast VRZ'!$F$116:$T$122,7,FALSE)-HLOOKUP(B90-1,'EV Forecast VRZ'!$F$124:$T$130,7,FALSE)))*C90/78,0)</f>
        <v>376.92307692307691</v>
      </c>
      <c r="AK90" s="7">
        <f t="shared" ca="1" si="176"/>
        <v>25030771.738527756</v>
      </c>
      <c r="AL90" s="7">
        <v>742896.14577370731</v>
      </c>
      <c r="AM90" s="7">
        <v>16505.895821408129</v>
      </c>
      <c r="AN90" s="7">
        <v>378218.67964128981</v>
      </c>
      <c r="AO90" s="5">
        <v>186224.89</v>
      </c>
      <c r="AP90" s="5">
        <v>19013.72</v>
      </c>
      <c r="AQ90" s="5">
        <v>47217</v>
      </c>
      <c r="AR90" s="5">
        <v>2590.7800000000002</v>
      </c>
      <c r="AS90" s="544">
        <f t="shared" si="236"/>
        <v>50.666666666666664</v>
      </c>
      <c r="AT90" s="557">
        <v>115483.25</v>
      </c>
      <c r="AU90" s="557">
        <v>1562.25</v>
      </c>
      <c r="AV90" s="557">
        <v>9484.75</v>
      </c>
      <c r="AW90" s="557">
        <v>1027.5833333333333</v>
      </c>
      <c r="AX90" s="557">
        <v>5</v>
      </c>
      <c r="AY90" s="557">
        <v>4.4166666666666652</v>
      </c>
      <c r="AZ90" s="557">
        <v>32065.416666666661</v>
      </c>
      <c r="BA90" s="557">
        <v>243.33333333333329</v>
      </c>
      <c r="BB90" s="557">
        <v>798.16666666666686</v>
      </c>
      <c r="BC90" s="560">
        <v>26947823.561813563</v>
      </c>
      <c r="BD90" s="560">
        <f ca="1">IFERROR(VLOOKUP($B90-1,CDM!$V$4:$AJ$17,11,FALSE)/12,0)+IFERROR(VLOOKUP($B90,CDM!$V$41:$AJ$54,11,FALSE)/24,0)+IFERROR(VLOOKUP($B90,CDM!$V$41:$AJ$54,11,FALSE)/2*$C90/78,0)</f>
        <v>1705510.8979064573</v>
      </c>
      <c r="BE90" s="560">
        <f t="shared" ca="1" si="188"/>
        <v>28653334.459720019</v>
      </c>
      <c r="BF90" s="560">
        <f>IFERROR(HLOOKUP(B90-1,'EV Forecast WRZ'!$F$124:$T$130,2,FALSE)/12,0)+IFERROR(((HLOOKUP(B90,'EV Forecast WRZ'!$F$116:$T$122,2,FALSE)-HLOOKUP(B90-1,'EV Forecast WRZ'!$F$124:$T$130,2,FALSE)))*C90/78,0)</f>
        <v>251130.25794871792</v>
      </c>
      <c r="BG90" s="560">
        <f ca="1">HLOOKUP(B90,Heating!$R$102:$AD$106,2,FALSE)*INDEX(Weather!$BO$1:$CB$20,MATCH(B90,Weather!$BO$1:$BO$20,0),MATCH(C90,Weather!$BO$1:$CB$1,0))/VLOOKUP(B90,Weather!$BO$2:$CB$20,14,FALSE)*
VLOOKUP('Monthly Data'!$B90,Weather!$BO$3:$CB$20,14,FALSE)/Weather!$CB$14</f>
        <v>216727.69116849787</v>
      </c>
      <c r="BH90" s="560">
        <f t="shared" ca="1" si="177"/>
        <v>28185476.510602802</v>
      </c>
      <c r="BI90" s="560">
        <v>6313983.8654868752</v>
      </c>
      <c r="BJ90" s="560">
        <f ca="1">IFERROR(VLOOKUP($B90-1,CDM!$V$4:$AJ$17,12,FALSE)/12,0)+IFERROR(VLOOKUP($B90,CDM!$V$41:$AJ$54,12,FALSE)/24,0)+IFERROR(VLOOKUP($B90,CDM!$V$41:$AJ$54,12,FALSE)/2*$C90/78,0)</f>
        <v>278324.91518065496</v>
      </c>
      <c r="BK90" s="560">
        <f t="shared" ca="1" si="178"/>
        <v>6592308.7806675304</v>
      </c>
      <c r="BL90" s="560">
        <f>IFERROR(HLOOKUP(B90-1,'EV Forecast WRZ'!$F$124:$T$130,3,FALSE)/12,0)+IFERROR(((HLOOKUP(B90,'EV Forecast WRZ'!$F$116:$T$122,3,FALSE)-HLOOKUP(B90-1,'EV Forecast WRZ'!$F$124:$T$130,3,FALSE)))*C90/78,0)</f>
        <v>31612.496410256415</v>
      </c>
      <c r="BM90" s="560">
        <f ca="1">HLOOKUP(B90,Heating!$R$102:$AD$106,4,FALSE)*INDEX(Weather!$BO$1:$CB$20,MATCH(B90,Weather!$BO$1:$BO$20,0),MATCH(C90,Weather!$BO$1:$CB$1,0))/VLOOKUP(B90,Weather!$BO$2:$CB$20,14,FALSE)*
VLOOKUP('Monthly Data'!$B90,Weather!$BO$3:$CB$20,14,FALSE)/Weather!$CB$14</f>
        <v>33943.884243102846</v>
      </c>
      <c r="BN90" s="560">
        <f t="shared" ca="1" si="179"/>
        <v>6526752.4000141714</v>
      </c>
      <c r="BO90" s="560">
        <v>24536432.062443707</v>
      </c>
      <c r="BP90" s="560">
        <f ca="1">IFERROR(VLOOKUP($B90-1,CDM!$V$4:$AJ$17,13,FALSE)/12,0)+IFERROR(VLOOKUP($B90,CDM!$V$41:$AJ$54,13,FALSE)/24,0)+IFERROR(VLOOKUP($B90,CDM!$V$41:$AJ$54,13,FALSE)/2*$C90/78,0)</f>
        <v>2716559.4814917566</v>
      </c>
      <c r="BQ90" s="560">
        <f t="shared" ca="1" si="180"/>
        <v>27252991.543935463</v>
      </c>
      <c r="BR90" s="560">
        <f>IFERROR(HLOOKUP(B90-1,'EV Forecast WRZ'!$F$124:$T$130,4,FALSE)/12,0)+IFERROR(((HLOOKUP(B90,'EV Forecast WRZ'!$F$116:$T$122,4,FALSE)-HLOOKUP(B90-1,'EV Forecast WRZ'!$F$124:$T$130,4,FALSE)))*C90/78,0)</f>
        <v>14183.059282051283</v>
      </c>
      <c r="BS90" s="560">
        <f ca="1">HLOOKUP(B90,Heating!$R$102:$AD$106,5,FALSE)*INDEX(Weather!$BO$1:$CB$20,MATCH(B90,Weather!$BO$1:$BO$20,0),MATCH(C90,Weather!$BO$1:$CB$1,0))/VLOOKUP(B90,Weather!$BO$2:$CB$20,14,FALSE)*
VLOOKUP('Monthly Data'!$B90,Weather!$BO$3:$CB$20,14,FALSE)/Weather!$CB$14</f>
        <v>18331.245900600781</v>
      </c>
      <c r="BT90" s="560">
        <f t="shared" ca="1" si="181"/>
        <v>27220477.238752812</v>
      </c>
      <c r="BU90" s="560">
        <v>6738499.9710703958</v>
      </c>
      <c r="BV90" s="560">
        <f ca="1">IFERROR(VLOOKUP($B90-1,CDM!$V$4:$AJ$17,14,FALSE)/12,0)+IFERROR(VLOOKUP($B90,CDM!$V$41:$AJ$54,14,FALSE)/24,0)+IFERROR(VLOOKUP($B90,CDM!$V$41:$AJ$54,14,FALSE)/2*$C90/78,0)</f>
        <v>611192.06447518244</v>
      </c>
      <c r="BW90" s="560">
        <f t="shared" ca="1" si="182"/>
        <v>7349692.0355455782</v>
      </c>
      <c r="BX90" s="560">
        <f>IFERROR(HLOOKUP(B90-1,'EV Forecast WRZ'!$F$124:$T$130,5,FALSE)/12,0)+IFERROR(((HLOOKUP(B90,'EV Forecast WRZ'!$F$116:$T$122,5,FALSE)-HLOOKUP(B90-1,'EV Forecast WRZ'!$F$124:$T$130,5,FALSE)))*C90/78,0)</f>
        <v>2090.1761025641026</v>
      </c>
      <c r="BY90" s="560">
        <f t="shared" ca="1" si="189"/>
        <v>7347601.8594430145</v>
      </c>
      <c r="BZ90" s="560">
        <v>234448.99559977039</v>
      </c>
      <c r="CA90" s="560">
        <v>2403.9602066194752</v>
      </c>
      <c r="CB90" s="560">
        <v>155961.97627702312</v>
      </c>
      <c r="CC90" s="5">
        <v>64813.18</v>
      </c>
      <c r="CD90" s="5">
        <v>11987.27</v>
      </c>
      <c r="CE90" s="5">
        <v>818</v>
      </c>
      <c r="CF90" s="544">
        <f t="shared" si="237"/>
        <v>7.666666666666667</v>
      </c>
      <c r="CG90" s="565">
        <v>44842.166666666679</v>
      </c>
      <c r="CH90" s="565">
        <v>2429.9166666666674</v>
      </c>
      <c r="CI90" s="565">
        <v>382.33333333333343</v>
      </c>
      <c r="CJ90" s="565">
        <v>3</v>
      </c>
      <c r="CK90" s="565">
        <v>13531.58333333333</v>
      </c>
      <c r="CL90" s="565">
        <v>46</v>
      </c>
      <c r="CM90" s="565">
        <v>399</v>
      </c>
      <c r="CN90" s="46">
        <f>Weather!C114</f>
        <v>219.04750000000001</v>
      </c>
      <c r="CO90" s="46">
        <f>Weather!D114</f>
        <v>1.6166666666666636</v>
      </c>
      <c r="CP90" s="46">
        <f>Weather!E114</f>
        <v>163.56416666666669</v>
      </c>
      <c r="CQ90" s="46">
        <f>Weather!F114</f>
        <v>8.1333333333333258</v>
      </c>
      <c r="CR90" s="46">
        <f>Weather!G114</f>
        <v>113.00166666666665</v>
      </c>
      <c r="CS90" s="46">
        <f>Weather!H114</f>
        <v>19.570833333333329</v>
      </c>
      <c r="CT90" s="46">
        <f>Weather!I114</f>
        <v>68.776666666666671</v>
      </c>
      <c r="CU90" s="46">
        <f>Weather!J114</f>
        <v>37.345833333333331</v>
      </c>
      <c r="CV90" s="46">
        <f>Weather!K114</f>
        <v>37.480833333333329</v>
      </c>
      <c r="CW90" s="46">
        <f>Weather!L114</f>
        <v>68.049999999999983</v>
      </c>
      <c r="CX90" s="46">
        <f>Weather!M114</f>
        <v>20.284999999999989</v>
      </c>
      <c r="CY90" s="46">
        <f>Weather!N114</f>
        <v>112.85416666666666</v>
      </c>
      <c r="CZ90" s="46">
        <f>Weather!O114</f>
        <v>7.2058333333333309</v>
      </c>
      <c r="DA90" s="46">
        <f>Weather!P114</f>
        <v>161.77500000000001</v>
      </c>
      <c r="DB90" s="243">
        <f>'Economic Data'!D116</f>
        <v>7978.4</v>
      </c>
      <c r="DC90" s="243">
        <f>'Economic Data'!E116</f>
        <v>7966.2</v>
      </c>
      <c r="DD90" s="243">
        <f>'Economic Data'!F116</f>
        <v>230.7</v>
      </c>
      <c r="DE90" s="243">
        <f>'Economic Data'!G116</f>
        <v>232</v>
      </c>
      <c r="DF90" s="243">
        <f>'Economic Data'!H116</f>
        <v>68.2</v>
      </c>
      <c r="DG90" s="243">
        <f>'Economic Data'!I116</f>
        <v>68.2</v>
      </c>
      <c r="DH90" s="243">
        <f>'Economic Data'!J116</f>
        <v>865859.6</v>
      </c>
      <c r="DI90" s="243">
        <f>'Economic Data'!K116</f>
        <v>679067</v>
      </c>
      <c r="DJ90" s="243">
        <f>'Economic Data'!L116</f>
        <v>96987.199999999997</v>
      </c>
      <c r="DK90" s="243">
        <f>'Economic Data'!M116</f>
        <v>32826.199999999997</v>
      </c>
      <c r="DL90" s="243">
        <f>'Economic Data'!N116</f>
        <v>873385</v>
      </c>
      <c r="DM90" s="243">
        <f>'Economic Data'!O116</f>
        <v>96473</v>
      </c>
      <c r="DN90" s="243">
        <f>'Economic Data'!P116</f>
        <v>20451</v>
      </c>
      <c r="DO90" s="243">
        <f>'Economic Data'!Q116</f>
        <v>687199</v>
      </c>
      <c r="DP90" s="243">
        <f>'Economic Data'!R116</f>
        <v>33081</v>
      </c>
      <c r="DQ90">
        <v>31</v>
      </c>
      <c r="DR90">
        <v>22</v>
      </c>
      <c r="DS90">
        <v>0</v>
      </c>
      <c r="DT90">
        <v>0</v>
      </c>
      <c r="DU90">
        <v>0</v>
      </c>
      <c r="DV90">
        <v>0</v>
      </c>
      <c r="DW90">
        <v>1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1</v>
      </c>
      <c r="EF90">
        <v>0</v>
      </c>
      <c r="EG90">
        <v>1</v>
      </c>
      <c r="EH90">
        <f t="shared" si="185"/>
        <v>89</v>
      </c>
      <c r="EI90">
        <v>0</v>
      </c>
      <c r="EJ90">
        <v>0</v>
      </c>
      <c r="EK90">
        <v>0.25</v>
      </c>
      <c r="EL90">
        <v>0</v>
      </c>
      <c r="EM90" s="47">
        <f t="shared" si="190"/>
        <v>0</v>
      </c>
      <c r="EN90" s="47">
        <f t="shared" si="191"/>
        <v>0</v>
      </c>
      <c r="EO90" s="47">
        <f t="shared" si="192"/>
        <v>0</v>
      </c>
      <c r="EP90" s="47">
        <f t="shared" si="193"/>
        <v>0</v>
      </c>
      <c r="EQ90" s="47">
        <f t="shared" si="194"/>
        <v>0</v>
      </c>
      <c r="ER90" s="47">
        <f t="shared" si="195"/>
        <v>0</v>
      </c>
      <c r="ES90" s="47">
        <f t="shared" si="196"/>
        <v>0</v>
      </c>
      <c r="ET90" s="47">
        <f t="shared" si="197"/>
        <v>0</v>
      </c>
      <c r="EU90" s="47">
        <f t="shared" si="198"/>
        <v>0</v>
      </c>
      <c r="EV90" s="47">
        <f t="shared" si="199"/>
        <v>0</v>
      </c>
      <c r="EW90" s="47">
        <f t="shared" si="200"/>
        <v>0</v>
      </c>
      <c r="EX90" s="47">
        <f t="shared" si="201"/>
        <v>0</v>
      </c>
      <c r="EY90" s="47">
        <f t="shared" si="202"/>
        <v>0</v>
      </c>
      <c r="EZ90" s="47">
        <f t="shared" si="203"/>
        <v>0</v>
      </c>
      <c r="FA90" s="47">
        <f t="shared" si="204"/>
        <v>54.761875000000003</v>
      </c>
      <c r="FB90" s="47">
        <f t="shared" si="205"/>
        <v>0.4041666666666659</v>
      </c>
      <c r="FC90" s="47">
        <f t="shared" si="206"/>
        <v>40.891041666666673</v>
      </c>
      <c r="FD90" s="47">
        <f t="shared" si="207"/>
        <v>2.0333333333333314</v>
      </c>
      <c r="FE90" s="47">
        <f t="shared" si="208"/>
        <v>28.250416666666663</v>
      </c>
      <c r="FF90" s="47">
        <f t="shared" si="209"/>
        <v>4.8927083333333323</v>
      </c>
      <c r="FG90" s="47">
        <f t="shared" si="210"/>
        <v>17.194166666666668</v>
      </c>
      <c r="FH90" s="47">
        <f t="shared" si="211"/>
        <v>9.3364583333333329</v>
      </c>
      <c r="FI90" s="47">
        <f t="shared" si="212"/>
        <v>9.3702083333333324</v>
      </c>
      <c r="FJ90" s="47">
        <f t="shared" si="213"/>
        <v>17.012499999999996</v>
      </c>
      <c r="FK90" s="47">
        <f t="shared" si="214"/>
        <v>5.0712499999999974</v>
      </c>
      <c r="FL90" s="47">
        <f t="shared" si="215"/>
        <v>28.213541666666664</v>
      </c>
      <c r="FM90" s="47">
        <f t="shared" si="216"/>
        <v>1.8014583333333327</v>
      </c>
      <c r="FN90" s="47">
        <f t="shared" si="217"/>
        <v>40.443750000000001</v>
      </c>
      <c r="FO90" s="546">
        <f t="shared" ca="1" si="218"/>
        <v>593.85809866051136</v>
      </c>
      <c r="FP90" s="546">
        <f t="shared" ca="1" si="219"/>
        <v>565.81300276898071</v>
      </c>
      <c r="FQ90" s="546">
        <f t="shared" ca="1" si="220"/>
        <v>2310.0668711601361</v>
      </c>
      <c r="FR90" s="546">
        <f t="shared" ca="1" si="221"/>
        <v>75651.074507412181</v>
      </c>
      <c r="FS90" s="546">
        <f t="shared" ca="1" si="222"/>
        <v>1861124.0228572912</v>
      </c>
      <c r="FT90" s="546">
        <f t="shared" ca="1" si="223"/>
        <v>5667429.8856463442</v>
      </c>
      <c r="FU90" s="546">
        <f t="shared" si="224"/>
        <v>23.168142597254285</v>
      </c>
      <c r="FV90" s="546">
        <f t="shared" si="225"/>
        <v>67.832448581129313</v>
      </c>
      <c r="FW90" s="546">
        <f t="shared" si="226"/>
        <v>473.85927706154484</v>
      </c>
      <c r="FX90" s="546">
        <f t="shared" ca="1" si="227"/>
        <v>638.98193574619154</v>
      </c>
      <c r="FY90" s="546">
        <f t="shared" ca="1" si="228"/>
        <v>2712.9773095102828</v>
      </c>
      <c r="FZ90" s="546">
        <f t="shared" ca="1" si="229"/>
        <v>71280.710228253156</v>
      </c>
      <c r="GA90" s="546">
        <f t="shared" si="230"/>
        <v>78149.66519992346</v>
      </c>
      <c r="GB90" s="546">
        <f t="shared" si="231"/>
        <v>17.32605784736478</v>
      </c>
      <c r="GC90" s="546">
        <f t="shared" si="232"/>
        <v>52.26000449172772</v>
      </c>
      <c r="GD90" s="546">
        <f t="shared" si="233"/>
        <v>390.88214605770207</v>
      </c>
    </row>
    <row r="91" spans="1:186">
      <c r="A91" s="4">
        <v>45078</v>
      </c>
      <c r="B91" s="6">
        <v>2023</v>
      </c>
      <c r="C91" s="5">
        <v>6</v>
      </c>
      <c r="D91" s="7">
        <v>80141807.560961276</v>
      </c>
      <c r="E91" s="7">
        <f ca="1">IFERROR(VLOOKUP($B91-1,CDM!$V$4:$AJ$17,2,FALSE)/12,0)+IFERROR(VLOOKUP($B91,CDM!$V$41:$AJ$54,2,FALSE)/24,0)+IFERROR(VLOOKUP($B91,CDM!$V$41:$AJ$54,2,FALSE)/2*$C91/78,0)</f>
        <v>3848411.1577403485</v>
      </c>
      <c r="F91" s="7">
        <f t="shared" ca="1" si="165"/>
        <v>83990218.718701631</v>
      </c>
      <c r="G91" s="7">
        <f>IFERROR(HLOOKUP(B91-1,'EV Forecast VRZ'!$F$124:$T$130,2,FALSE)/12,0)+IFERROR(((HLOOKUP(B91,'EV Forecast VRZ'!$F$116:$T$122,2,FALSE)-HLOOKUP(B91-1,'EV Forecast VRZ'!$F$124:$T$130,2,FALSE)))*C91/78,0)</f>
        <v>816710.01307889016</v>
      </c>
      <c r="H91" s="7">
        <f ca="1">HLOOKUP(B91,Heating!$C$102:$O$106,2,FALSE)*INDEX(Weather!$BO$1:$CB$20,MATCH(B91,Weather!$BO$1:$BO$20,0),MATCH(C91,Weather!$BO$1:$CB$1,0))/VLOOKUP(B91,Weather!$BO$2:$CB$20,14,FALSE)*
VLOOKUP('Monthly Data'!$B91,Weather!$BO$3:$CB$20,14,FALSE)/Weather!$CB$14</f>
        <v>63380.840745718073</v>
      </c>
      <c r="I91" s="7">
        <f t="shared" ca="1" si="166"/>
        <v>83110127.86487703</v>
      </c>
      <c r="J91" s="7">
        <v>745334.07372638804</v>
      </c>
      <c r="K91" s="7">
        <f ca="1">IFERROR(VLOOKUP($B91-1,CDM!$V$4:$AJ$17,3,FALSE)/12,0)+IFERROR(VLOOKUP($B91,CDM!$V$41:$AJ$54,3,FALSE)/24,0)+IFERROR(VLOOKUP($B91,CDM!$V$41:$AJ$54,3,FALSE)/2*$C91/78,0)</f>
        <v>44078.865066469793</v>
      </c>
      <c r="L91" s="7">
        <f t="shared" ca="1" si="167"/>
        <v>789412.93879285781</v>
      </c>
      <c r="M91" s="7">
        <f>IFERROR(HLOOKUP(B91-1,'EV Forecast VRZ'!$F$124:$T$130,3,FALSE)/12,0)+IFERROR(((HLOOKUP(B91,'EV Forecast VRZ'!$F$116:$T$122,3,FALSE)-HLOOKUP(B91-1,'EV Forecast VRZ'!$F$124:$T$130,3,FALSE)))*C91/78,0)</f>
        <v>11082.053844186794</v>
      </c>
      <c r="N91" s="7">
        <f ca="1">HLOOKUP(B91,Heating!$C$102:$O$106,3,FALSE)*INDEX(Weather!$BO$1:$CB$20,MATCH(B91,Weather!$BO$1:$BO$20,0),MATCH(C91,Weather!$BO$1:$CB$1,0))/VLOOKUP(B91,Weather!$BO$2:$CB$20,14,FALSE)*
VLOOKUP('Monthly Data'!$B91,Weather!$BO$3:$CB$20,14,FALSE)/Weather!$CB$14</f>
        <v>765.82445666865522</v>
      </c>
      <c r="O91" s="7">
        <f t="shared" ca="1" si="168"/>
        <v>777565.06049200229</v>
      </c>
      <c r="P91" s="7">
        <v>21534341.274069738</v>
      </c>
      <c r="Q91" s="7">
        <f ca="1">IFERROR(VLOOKUP($B91-1,CDM!$V$4:$AJ$17,4,FALSE)/12,0)+IFERROR(VLOOKUP($B91,CDM!$V$41:$AJ$54,4,FALSE)/24,0)+IFERROR(VLOOKUP($B91,CDM!$V$41:$AJ$54,4,FALSE)/2*$C91/78,0)</f>
        <v>1567290.3302773784</v>
      </c>
      <c r="R91" s="7">
        <f t="shared" ca="1" si="169"/>
        <v>23101631.604347117</v>
      </c>
      <c r="S91" s="7">
        <f>IFERROR(HLOOKUP(B91-1,'EV Forecast VRZ'!$F$124:$T$130,4,FALSE)/12,0)+IFERROR(((HLOOKUP(B91,'EV Forecast VRZ'!$F$116:$T$122,4,FALSE)-HLOOKUP(B91-1,'EV Forecast VRZ'!$F$124:$T$130,4,FALSE)))*C91/78,0)</f>
        <v>101857.32461538461</v>
      </c>
      <c r="T91" s="7">
        <f ca="1">HLOOKUP(B91,Heating!$C$102:$O$106,4,FALSE)*INDEX(Weather!$BO$1:$CB$20,MATCH(B91,Weather!$BO$1:$BO$20,0),MATCH(C91,Weather!$BO$1:$CB$1,0))/VLOOKUP(B91,Weather!$BO$2:$CB$20,14,FALSE)*
VLOOKUP('Monthly Data'!$B91,Weather!$BO$3:$CB$20,14,FALSE)/Weather!$CB$14</f>
        <v>15568.518429262071</v>
      </c>
      <c r="U91" s="7">
        <f t="shared" ca="1" si="170"/>
        <v>22984205.761302471</v>
      </c>
      <c r="V91" s="7">
        <v>74261684.381700709</v>
      </c>
      <c r="W91" s="7">
        <f ca="1">IFERROR(VLOOKUP($B91-1,CDM!$V$4:$AJ$17,5,FALSE)/12,0)+IFERROR(VLOOKUP($B91,CDM!$V$41:$AJ$54,5,FALSE)/24,0)+IFERROR(VLOOKUP($B91,CDM!$V$41:$AJ$54,5,FALSE)/2*$C91/78,0)</f>
        <v>6437426.2576200692</v>
      </c>
      <c r="X91" s="7">
        <f t="shared" ca="1" si="171"/>
        <v>80699110.639320776</v>
      </c>
      <c r="Y91" s="7">
        <f>IFERROR(HLOOKUP(B91-1,'EV Forecast VRZ'!$F$124:$T$130,5,FALSE)/12,0)+IFERROR(((HLOOKUP(B91,'EV Forecast VRZ'!$F$116:$T$122,5,FALSE)-HLOOKUP(B91-1,'EV Forecast VRZ'!$F$124:$T$130,5,FALSE)))*C91/78,0)</f>
        <v>47024.321717948711</v>
      </c>
      <c r="Z91" s="7">
        <f ca="1">HLOOKUP(B91,Heating!$C$102:$O$106,5,FALSE)*INDEX(Weather!$BO$1:$CB$20,MATCH(B91,Weather!$BO$1:$BO$20,0),MATCH(C91,Weather!$BO$1:$CB$1,0))/VLOOKUP(B91,Weather!$BO$2:$CB$20,14,FALSE)*
VLOOKUP('Monthly Data'!$B91,Weather!$BO$3:$CB$20,14,FALSE)/Weather!$CB$14</f>
        <v>8132.6887987646141</v>
      </c>
      <c r="AA91" s="7">
        <f t="shared" ca="1" si="172"/>
        <v>80643953.628804058</v>
      </c>
      <c r="AB91" s="7">
        <v>9282399.6586833261</v>
      </c>
      <c r="AC91" s="7">
        <f ca="1">IFERROR(VLOOKUP($B91-1,CDM!$V$4:$AJ$17,6,FALSE)/12,0)+IFERROR(VLOOKUP($B91,CDM!$V$41:$AJ$54,6,FALSE)/24,0)+IFERROR(VLOOKUP($B91,CDM!$V$41:$AJ$54,6,FALSE)/2*$C91/78,0)</f>
        <v>299423.03156780178</v>
      </c>
      <c r="AD91" s="7">
        <f t="shared" ca="1" si="173"/>
        <v>9581822.6902511287</v>
      </c>
      <c r="AE91" s="7">
        <f>IFERROR(HLOOKUP(B91-1,'EV Forecast VRZ'!$F$124:$T$130,6,FALSE)/12,0)+IFERROR(((HLOOKUP(B91,'EV Forecast VRZ'!$F$116:$T$122,6,FALSE)-HLOOKUP(B91-1,'EV Forecast VRZ'!$F$124:$T$130,6,FALSE)))*C91/78,0)</f>
        <v>6091.1995641025651</v>
      </c>
      <c r="AF91" s="7">
        <f t="shared" ca="1" si="174"/>
        <v>9575731.4906870257</v>
      </c>
      <c r="AG91" s="7">
        <v>25096662.754612759</v>
      </c>
      <c r="AH91" s="7">
        <f ca="1">IFERROR(VLOOKUP($B91-1,CDM!$V$4:$AJ$17,7,FALSE)/12,0)+IFERROR(VLOOKUP($B91,CDM!$V$41:$AJ$54,7,FALSE)/24,0)+IFERROR(VLOOKUP($B91,CDM!$V$41:$AJ$54,7,FALSE)/2*$C91/78,0)</f>
        <v>1847822.0123705522</v>
      </c>
      <c r="AI91" s="7">
        <f t="shared" ca="1" si="175"/>
        <v>26944484.766983312</v>
      </c>
      <c r="AJ91" s="7">
        <f>IFERROR(HLOOKUP(B91-1,'EV Forecast VRZ'!$F$124:$T$130,7,FALSE)/12,0)+IFERROR(((HLOOKUP(B91,'EV Forecast VRZ'!$F$116:$T$122,7,FALSE)-HLOOKUP(B91-1,'EV Forecast VRZ'!$F$124:$T$130,7,FALSE)))*C91/78,0)</f>
        <v>417.30769230769232</v>
      </c>
      <c r="AK91" s="7">
        <f t="shared" ca="1" si="176"/>
        <v>26944067.459291004</v>
      </c>
      <c r="AL91" s="7">
        <v>670067.68746422429</v>
      </c>
      <c r="AM91" s="7">
        <v>17133.314253005155</v>
      </c>
      <c r="AN91" s="7">
        <v>378124.23201679072</v>
      </c>
      <c r="AO91" s="5">
        <v>193394.53</v>
      </c>
      <c r="AP91" s="5">
        <v>20808.04</v>
      </c>
      <c r="AQ91" s="5">
        <v>46460</v>
      </c>
      <c r="AR91" s="5">
        <v>2602.25</v>
      </c>
      <c r="AS91" s="544">
        <f t="shared" si="236"/>
        <v>50.666666666666664</v>
      </c>
      <c r="AT91" s="557">
        <v>115620.5</v>
      </c>
      <c r="AU91" s="557">
        <v>1562.5</v>
      </c>
      <c r="AV91" s="557">
        <v>9486.5</v>
      </c>
      <c r="AW91" s="557">
        <v>1029.5</v>
      </c>
      <c r="AX91" s="557">
        <v>5</v>
      </c>
      <c r="AY91" s="557">
        <v>4.4999999999999982</v>
      </c>
      <c r="AZ91" s="557">
        <v>32109.499999999993</v>
      </c>
      <c r="BA91" s="557">
        <v>242.99999999999994</v>
      </c>
      <c r="BB91" s="557">
        <v>798.00000000000023</v>
      </c>
      <c r="BC91" s="560">
        <v>34760571.666032143</v>
      </c>
      <c r="BD91" s="560">
        <f ca="1">IFERROR(VLOOKUP($B91-1,CDM!$V$4:$AJ$17,11,FALSE)/12,0)+IFERROR(VLOOKUP($B91,CDM!$V$41:$AJ$54,11,FALSE)/24,0)+IFERROR(VLOOKUP($B91,CDM!$V$41:$AJ$54,11,FALSE)/2*$C91/78,0)</f>
        <v>1705860.4813650227</v>
      </c>
      <c r="BE91" s="560">
        <f t="shared" ca="1" si="188"/>
        <v>36466432.147397168</v>
      </c>
      <c r="BF91" s="560">
        <f>IFERROR(HLOOKUP(B91-1,'EV Forecast WRZ'!$F$124:$T$130,2,FALSE)/12,0)+IFERROR(((HLOOKUP(B91,'EV Forecast WRZ'!$F$116:$T$122,2,FALSE)-HLOOKUP(B91-1,'EV Forecast WRZ'!$F$124:$T$130,2,FALSE)))*C91/78,0)</f>
        <v>260108.3282051282</v>
      </c>
      <c r="BG91" s="560">
        <f ca="1">HLOOKUP(B91,Heating!$R$102:$AD$106,2,FALSE)*INDEX(Weather!$BO$1:$CB$20,MATCH(B91,Weather!$BO$1:$BO$20,0),MATCH(C91,Weather!$BO$1:$CB$1,0))/VLOOKUP(B91,Weather!$BO$2:$CB$20,14,FALSE)*
VLOOKUP('Monthly Data'!$B91,Weather!$BO$3:$CB$20,14,FALSE)/Weather!$CB$14</f>
        <v>28410.886113836295</v>
      </c>
      <c r="BH91" s="560">
        <f t="shared" ca="1" si="177"/>
        <v>36177912.9330782</v>
      </c>
      <c r="BI91" s="560">
        <v>6677659.9140903093</v>
      </c>
      <c r="BJ91" s="560">
        <f ca="1">IFERROR(VLOOKUP($B91-1,CDM!$V$4:$AJ$17,12,FALSE)/12,0)+IFERROR(VLOOKUP($B91,CDM!$V$41:$AJ$54,12,FALSE)/24,0)+IFERROR(VLOOKUP($B91,CDM!$V$41:$AJ$54,12,FALSE)/2*$C91/78,0)</f>
        <v>279789.31710787595</v>
      </c>
      <c r="BK91" s="560">
        <f t="shared" ca="1" si="178"/>
        <v>6957449.2311981851</v>
      </c>
      <c r="BL91" s="560">
        <f>IFERROR(HLOOKUP(B91-1,'EV Forecast WRZ'!$F$124:$T$130,3,FALSE)/12,0)+IFERROR(((HLOOKUP(B91,'EV Forecast WRZ'!$F$116:$T$122,3,FALSE)-HLOOKUP(B91-1,'EV Forecast WRZ'!$F$124:$T$130,3,FALSE)))*C91/78,0)</f>
        <v>32793.174358974364</v>
      </c>
      <c r="BM91" s="560">
        <f ca="1">HLOOKUP(B91,Heating!$R$102:$AD$106,4,FALSE)*INDEX(Weather!$BO$1:$CB$20,MATCH(B91,Weather!$BO$1:$BO$20,0),MATCH(C91,Weather!$BO$1:$CB$1,0))/VLOOKUP(B91,Weather!$BO$2:$CB$20,14,FALSE)*
VLOOKUP('Monthly Data'!$B91,Weather!$BO$3:$CB$20,14,FALSE)/Weather!$CB$14</f>
        <v>4449.7120985904403</v>
      </c>
      <c r="BN91" s="560">
        <f t="shared" ca="1" si="179"/>
        <v>6920206.3447406208</v>
      </c>
      <c r="BO91" s="560">
        <v>25854813.752026416</v>
      </c>
      <c r="BP91" s="560">
        <f ca="1">IFERROR(VLOOKUP($B91-1,CDM!$V$4:$AJ$17,13,FALSE)/12,0)+IFERROR(VLOOKUP($B91,CDM!$V$41:$AJ$54,13,FALSE)/24,0)+IFERROR(VLOOKUP($B91,CDM!$V$41:$AJ$54,13,FALSE)/2*$C91/78,0)</f>
        <v>2731406.9270470785</v>
      </c>
      <c r="BQ91" s="560">
        <f t="shared" ca="1" si="180"/>
        <v>28586220.679073494</v>
      </c>
      <c r="BR91" s="560">
        <f>IFERROR(HLOOKUP(B91-1,'EV Forecast WRZ'!$F$124:$T$130,4,FALSE)/12,0)+IFERROR(((HLOOKUP(B91,'EV Forecast WRZ'!$F$116:$T$122,4,FALSE)-HLOOKUP(B91-1,'EV Forecast WRZ'!$F$124:$T$130,4,FALSE)))*C91/78,0)</f>
        <v>14706.768205128206</v>
      </c>
      <c r="BS91" s="560">
        <f ca="1">HLOOKUP(B91,Heating!$R$102:$AD$106,5,FALSE)*INDEX(Weather!$BO$1:$CB$20,MATCH(B91,Weather!$BO$1:$BO$20,0),MATCH(C91,Weather!$BO$1:$CB$1,0))/VLOOKUP(B91,Weather!$BO$2:$CB$20,14,FALSE)*
VLOOKUP('Monthly Data'!$B91,Weather!$BO$3:$CB$20,14,FALSE)/Weather!$CB$14</f>
        <v>2403.0475145965033</v>
      </c>
      <c r="BT91" s="560">
        <f t="shared" ca="1" si="181"/>
        <v>28569110.86335377</v>
      </c>
      <c r="BU91" s="560">
        <v>6423205.5737704923</v>
      </c>
      <c r="BV91" s="560">
        <f ca="1">IFERROR(VLOOKUP($B91-1,CDM!$V$4:$AJ$17,14,FALSE)/12,0)+IFERROR(VLOOKUP($B91,CDM!$V$41:$AJ$54,14,FALSE)/24,0)+IFERROR(VLOOKUP($B91,CDM!$V$41:$AJ$54,14,FALSE)/2*$C91/78,0)</f>
        <v>614553.50780730206</v>
      </c>
      <c r="BW91" s="560">
        <f t="shared" ca="1" si="182"/>
        <v>7037759.0815777946</v>
      </c>
      <c r="BX91" s="560">
        <f>IFERROR(HLOOKUP(B91-1,'EV Forecast WRZ'!$F$124:$T$130,5,FALSE)/12,0)+IFERROR(((HLOOKUP(B91,'EV Forecast WRZ'!$F$116:$T$122,5,FALSE)-HLOOKUP(B91-1,'EV Forecast WRZ'!$F$124:$T$130,5,FALSE)))*C91/78,0)</f>
        <v>2176.0369230769229</v>
      </c>
      <c r="BY91" s="560">
        <f t="shared" ca="1" si="189"/>
        <v>7035583.0446547177</v>
      </c>
      <c r="BZ91" s="560">
        <v>210944.99713028502</v>
      </c>
      <c r="CA91" s="560">
        <v>2713.3154773292517</v>
      </c>
      <c r="CB91" s="560">
        <v>156669.97321599387</v>
      </c>
      <c r="CC91" s="5">
        <v>66105.919999999998</v>
      </c>
      <c r="CD91" s="5">
        <v>12440.16</v>
      </c>
      <c r="CE91" s="5">
        <v>820</v>
      </c>
      <c r="CF91" s="544">
        <f t="shared" si="237"/>
        <v>7.666666666666667</v>
      </c>
      <c r="CG91" s="565">
        <v>44911.000000000015</v>
      </c>
      <c r="CH91" s="565">
        <v>2433.5000000000009</v>
      </c>
      <c r="CI91" s="565">
        <v>383.00000000000011</v>
      </c>
      <c r="CJ91" s="565">
        <v>3</v>
      </c>
      <c r="CK91" s="565">
        <v>13547.499999999996</v>
      </c>
      <c r="CL91" s="565">
        <v>46</v>
      </c>
      <c r="CM91" s="565">
        <v>400</v>
      </c>
      <c r="CN91" s="46">
        <f>Weather!C115</f>
        <v>55.599999999999994</v>
      </c>
      <c r="CO91" s="46">
        <f>Weather!D115</f>
        <v>21.141666666666666</v>
      </c>
      <c r="CP91" s="46">
        <f>Weather!E115</f>
        <v>21.441666666666659</v>
      </c>
      <c r="CQ91" s="46">
        <f>Weather!F115</f>
        <v>46.983333333333334</v>
      </c>
      <c r="CR91" s="46">
        <f>Weather!G115</f>
        <v>4.2708333333333268</v>
      </c>
      <c r="CS91" s="46">
        <f>Weather!H115</f>
        <v>89.8125</v>
      </c>
      <c r="CT91" s="46">
        <f>Weather!I115</f>
        <v>0</v>
      </c>
      <c r="CU91" s="46">
        <f>Weather!J115</f>
        <v>145.54166666666666</v>
      </c>
      <c r="CV91" s="46">
        <f>Weather!K115</f>
        <v>0</v>
      </c>
      <c r="CW91" s="46">
        <f>Weather!L115</f>
        <v>205.54166666666669</v>
      </c>
      <c r="CX91" s="46">
        <f>Weather!M115</f>
        <v>0</v>
      </c>
      <c r="CY91" s="46">
        <f>Weather!N115</f>
        <v>265.54166666666669</v>
      </c>
      <c r="CZ91" s="46">
        <f>Weather!O115</f>
        <v>0</v>
      </c>
      <c r="DA91" s="46">
        <f>Weather!P115</f>
        <v>325.54166666666669</v>
      </c>
      <c r="DB91" s="243">
        <f>'Economic Data'!D117</f>
        <v>8001.1</v>
      </c>
      <c r="DC91" s="243">
        <f>'Economic Data'!E117</f>
        <v>8058.5</v>
      </c>
      <c r="DD91" s="243">
        <f>'Economic Data'!F117</f>
        <v>232.3</v>
      </c>
      <c r="DE91" s="243">
        <f>'Economic Data'!G117</f>
        <v>234</v>
      </c>
      <c r="DF91" s="243">
        <f>'Economic Data'!H117</f>
        <v>70.5</v>
      </c>
      <c r="DG91" s="243">
        <f>'Economic Data'!I117</f>
        <v>70.5</v>
      </c>
      <c r="DH91" s="243">
        <f>'Economic Data'!J117</f>
        <v>865859.6</v>
      </c>
      <c r="DI91" s="243">
        <f>'Economic Data'!K117</f>
        <v>679067</v>
      </c>
      <c r="DJ91" s="243">
        <f>'Economic Data'!L117</f>
        <v>96987.199999999997</v>
      </c>
      <c r="DK91" s="243">
        <f>'Economic Data'!M117</f>
        <v>32826.199999999997</v>
      </c>
      <c r="DL91" s="243">
        <f>'Economic Data'!N117</f>
        <v>873385</v>
      </c>
      <c r="DM91" s="243">
        <f>'Economic Data'!O117</f>
        <v>96473</v>
      </c>
      <c r="DN91" s="243">
        <f>'Economic Data'!P117</f>
        <v>20451</v>
      </c>
      <c r="DO91" s="243">
        <f>'Economic Data'!Q117</f>
        <v>687199</v>
      </c>
      <c r="DP91" s="243">
        <f>'Economic Data'!R117</f>
        <v>33081</v>
      </c>
      <c r="DQ91">
        <v>30</v>
      </c>
      <c r="DR91">
        <v>22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1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f t="shared" si="185"/>
        <v>90</v>
      </c>
      <c r="EI91">
        <v>0</v>
      </c>
      <c r="EJ91">
        <v>0</v>
      </c>
      <c r="EK91">
        <v>0.25</v>
      </c>
      <c r="EL91">
        <v>0</v>
      </c>
      <c r="EM91" s="47">
        <f t="shared" si="190"/>
        <v>0</v>
      </c>
      <c r="EN91" s="47">
        <f t="shared" si="191"/>
        <v>0</v>
      </c>
      <c r="EO91" s="47">
        <f t="shared" si="192"/>
        <v>0</v>
      </c>
      <c r="EP91" s="47">
        <f t="shared" si="193"/>
        <v>0</v>
      </c>
      <c r="EQ91" s="47">
        <f t="shared" si="194"/>
        <v>0</v>
      </c>
      <c r="ER91" s="47">
        <f t="shared" si="195"/>
        <v>0</v>
      </c>
      <c r="ES91" s="47">
        <f t="shared" si="196"/>
        <v>0</v>
      </c>
      <c r="ET91" s="47">
        <f t="shared" si="197"/>
        <v>0</v>
      </c>
      <c r="EU91" s="47">
        <f t="shared" si="198"/>
        <v>0</v>
      </c>
      <c r="EV91" s="47">
        <f t="shared" si="199"/>
        <v>0</v>
      </c>
      <c r="EW91" s="47">
        <f t="shared" si="200"/>
        <v>0</v>
      </c>
      <c r="EX91" s="47">
        <f t="shared" si="201"/>
        <v>0</v>
      </c>
      <c r="EY91" s="47">
        <f t="shared" si="202"/>
        <v>0</v>
      </c>
      <c r="EZ91" s="47">
        <f t="shared" si="203"/>
        <v>0</v>
      </c>
      <c r="FA91" s="47">
        <f t="shared" si="204"/>
        <v>13.899999999999999</v>
      </c>
      <c r="FB91" s="47">
        <f t="shared" si="205"/>
        <v>5.2854166666666664</v>
      </c>
      <c r="FC91" s="47">
        <f t="shared" si="206"/>
        <v>5.3604166666666648</v>
      </c>
      <c r="FD91" s="47">
        <f t="shared" si="207"/>
        <v>11.745833333333334</v>
      </c>
      <c r="FE91" s="47">
        <f t="shared" si="208"/>
        <v>1.0677083333333317</v>
      </c>
      <c r="FF91" s="47">
        <f t="shared" si="209"/>
        <v>22.453125</v>
      </c>
      <c r="FG91" s="47">
        <f t="shared" si="210"/>
        <v>0</v>
      </c>
      <c r="FH91" s="47">
        <f t="shared" si="211"/>
        <v>36.385416666666664</v>
      </c>
      <c r="FI91" s="47">
        <f t="shared" si="212"/>
        <v>0</v>
      </c>
      <c r="FJ91" s="47">
        <f t="shared" si="213"/>
        <v>51.385416666666671</v>
      </c>
      <c r="FK91" s="47">
        <f t="shared" si="214"/>
        <v>0</v>
      </c>
      <c r="FL91" s="47">
        <f t="shared" si="215"/>
        <v>66.385416666666671</v>
      </c>
      <c r="FM91" s="47">
        <f t="shared" si="216"/>
        <v>0</v>
      </c>
      <c r="FN91" s="47">
        <f t="shared" si="217"/>
        <v>81.385416666666671</v>
      </c>
      <c r="FO91" s="546">
        <f t="shared" ca="1" si="218"/>
        <v>718.81827067757911</v>
      </c>
      <c r="FP91" s="546">
        <f t="shared" ca="1" si="219"/>
        <v>505.22428082742897</v>
      </c>
      <c r="FQ91" s="546">
        <f t="shared" ca="1" si="220"/>
        <v>2435.2112585618634</v>
      </c>
      <c r="FR91" s="546">
        <f t="shared" ca="1" si="221"/>
        <v>78386.702903662721</v>
      </c>
      <c r="FS91" s="546">
        <f t="shared" ca="1" si="222"/>
        <v>1916364.5380502257</v>
      </c>
      <c r="FT91" s="546">
        <f t="shared" ca="1" si="223"/>
        <v>5987663.2815518491</v>
      </c>
      <c r="FU91" s="546">
        <f t="shared" si="224"/>
        <v>20.868206837983291</v>
      </c>
      <c r="FV91" s="546">
        <f t="shared" si="225"/>
        <v>70.507466061749625</v>
      </c>
      <c r="FW91" s="546">
        <f t="shared" si="226"/>
        <v>473.83988974535163</v>
      </c>
      <c r="FX91" s="546">
        <f t="shared" ca="1" si="227"/>
        <v>811.97105714406621</v>
      </c>
      <c r="FY91" s="546">
        <f t="shared" ca="1" si="228"/>
        <v>2859.0298874864116</v>
      </c>
      <c r="FZ91" s="546">
        <f t="shared" ca="1" si="229"/>
        <v>74637.651903586127</v>
      </c>
      <c r="GA91" s="546">
        <f t="shared" si="230"/>
        <v>70314.999043428339</v>
      </c>
      <c r="GB91" s="546">
        <f t="shared" si="231"/>
        <v>15.570769302844441</v>
      </c>
      <c r="GC91" s="546">
        <f t="shared" si="232"/>
        <v>58.985119072375035</v>
      </c>
      <c r="GD91" s="546">
        <f t="shared" si="233"/>
        <v>391.67493303998469</v>
      </c>
    </row>
    <row r="92" spans="1:186">
      <c r="A92" s="4">
        <v>45108</v>
      </c>
      <c r="B92" s="6">
        <v>2023</v>
      </c>
      <c r="C92" s="5">
        <v>7</v>
      </c>
      <c r="D92" s="7">
        <v>102325689.06093302</v>
      </c>
      <c r="E92" s="7">
        <f ca="1">IFERROR(VLOOKUP($B92-1,CDM!$V$4:$AJ$17,2,FALSE)/12,0)+IFERROR(VLOOKUP($B92,CDM!$V$41:$AJ$54,2,FALSE)/24,0)+IFERROR(VLOOKUP($B92,CDM!$V$41:$AJ$54,2,FALSE)/2*$C92/78,0)</f>
        <v>3848452.3664288907</v>
      </c>
      <c r="F92" s="7">
        <f t="shared" ca="1" si="165"/>
        <v>106174141.42736192</v>
      </c>
      <c r="G92" s="7">
        <f>IFERROR(HLOOKUP(B92-1,'EV Forecast VRZ'!$F$124:$T$130,2,FALSE)/12,0)+IFERROR(((HLOOKUP(B92,'EV Forecast VRZ'!$F$116:$T$122,2,FALSE)-HLOOKUP(B92-1,'EV Forecast VRZ'!$F$124:$T$130,2,FALSE)))*C92/78,0)</f>
        <v>843250.88735056238</v>
      </c>
      <c r="H92" s="7">
        <f ca="1">HLOOKUP(B92,Heating!$C$102:$O$106,2,FALSE)*INDEX(Weather!$BO$1:$CB$20,MATCH(B92,Weather!$BO$1:$BO$20,0),MATCH(C92,Weather!$BO$1:$CB$1,0))/VLOOKUP(B92,Weather!$BO$2:$CB$20,14,FALSE)*
VLOOKUP('Monthly Data'!$B92,Weather!$BO$3:$CB$20,14,FALSE)/Weather!$CB$14</f>
        <v>369.49576804731612</v>
      </c>
      <c r="I92" s="7">
        <f t="shared" ca="1" si="166"/>
        <v>105330521.04424332</v>
      </c>
      <c r="J92" s="7">
        <v>1054801.3488933409</v>
      </c>
      <c r="K92" s="7">
        <f ca="1">IFERROR(VLOOKUP($B92-1,CDM!$V$4:$AJ$17,3,FALSE)/12,0)+IFERROR(VLOOKUP($B92,CDM!$V$41:$AJ$54,3,FALSE)/24,0)+IFERROR(VLOOKUP($B92,CDM!$V$41:$AJ$54,3,FALSE)/2*$C92/78,0)</f>
        <v>44079.330628841519</v>
      </c>
      <c r="L92" s="7">
        <f t="shared" ca="1" si="167"/>
        <v>1098880.6795221823</v>
      </c>
      <c r="M92" s="7">
        <f>IFERROR(HLOOKUP(B92-1,'EV Forecast VRZ'!$F$124:$T$130,3,FALSE)/12,0)+IFERROR(((HLOOKUP(B92,'EV Forecast VRZ'!$F$116:$T$122,3,FALSE)-HLOOKUP(B92-1,'EV Forecast VRZ'!$F$124:$T$130,3,FALSE)))*C92/78,0)</f>
        <v>11442.190726360726</v>
      </c>
      <c r="N92" s="7">
        <f ca="1">HLOOKUP(B92,Heating!$C$102:$O$106,3,FALSE)*INDEX(Weather!$BO$1:$CB$20,MATCH(B92,Weather!$BO$1:$BO$20,0),MATCH(C92,Weather!$BO$1:$CB$1,0))/VLOOKUP(B92,Weather!$BO$2:$CB$20,14,FALSE)*
VLOOKUP('Monthly Data'!$B92,Weather!$BO$3:$CB$20,14,FALSE)/Weather!$CB$14</f>
        <v>4.4645809755264301</v>
      </c>
      <c r="O92" s="7">
        <f t="shared" ca="1" si="168"/>
        <v>1087434.0242148461</v>
      </c>
      <c r="P92" s="7">
        <v>24364986.465474147</v>
      </c>
      <c r="Q92" s="7">
        <f ca="1">IFERROR(VLOOKUP($B92-1,CDM!$V$4:$AJ$17,4,FALSE)/12,0)+IFERROR(VLOOKUP($B92,CDM!$V$41:$AJ$54,4,FALSE)/24,0)+IFERROR(VLOOKUP($B92,CDM!$V$41:$AJ$54,4,FALSE)/2*$C92/78,0)</f>
        <v>1571187.9719870414</v>
      </c>
      <c r="R92" s="7">
        <f t="shared" ca="1" si="169"/>
        <v>25936174.43746119</v>
      </c>
      <c r="S92" s="7">
        <f>IFERROR(HLOOKUP(B92-1,'EV Forecast VRZ'!$F$124:$T$130,4,FALSE)/12,0)+IFERROR(((HLOOKUP(B92,'EV Forecast VRZ'!$F$116:$T$122,4,FALSE)-HLOOKUP(B92-1,'EV Forecast VRZ'!$F$124:$T$130,4,FALSE)))*C92/78,0)</f>
        <v>105285.04538461538</v>
      </c>
      <c r="T92" s="7">
        <f ca="1">HLOOKUP(B92,Heating!$C$102:$O$106,4,FALSE)*INDEX(Weather!$BO$1:$CB$20,MATCH(B92,Weather!$BO$1:$BO$20,0),MATCH(C92,Weather!$BO$1:$CB$1,0))/VLOOKUP(B92,Weather!$BO$2:$CB$20,14,FALSE)*
VLOOKUP('Monthly Data'!$B92,Weather!$BO$3:$CB$20,14,FALSE)/Weather!$CB$14</f>
        <v>90.760892514156453</v>
      </c>
      <c r="U92" s="7">
        <f t="shared" ca="1" si="170"/>
        <v>25830798.63118406</v>
      </c>
      <c r="V92" s="7">
        <v>79047903.006231204</v>
      </c>
      <c r="W92" s="7">
        <f ca="1">IFERROR(VLOOKUP($B92-1,CDM!$V$4:$AJ$17,5,FALSE)/12,0)+IFERROR(VLOOKUP($B92,CDM!$V$41:$AJ$54,5,FALSE)/24,0)+IFERROR(VLOOKUP($B92,CDM!$V$41:$AJ$54,5,FALSE)/2*$C92/78,0)</f>
        <v>6465617.8266680166</v>
      </c>
      <c r="X92" s="7">
        <f t="shared" ca="1" si="171"/>
        <v>85513520.832899213</v>
      </c>
      <c r="Y92" s="7">
        <f>IFERROR(HLOOKUP(B92-1,'EV Forecast VRZ'!$F$124:$T$130,5,FALSE)/12,0)+IFERROR(((HLOOKUP(B92,'EV Forecast VRZ'!$F$116:$T$122,5,FALSE)-HLOOKUP(B92-1,'EV Forecast VRZ'!$F$124:$T$130,5,FALSE)))*C92/78,0)</f>
        <v>48668.078115384611</v>
      </c>
      <c r="Z92" s="7">
        <f ca="1">HLOOKUP(B92,Heating!$C$102:$O$106,5,FALSE)*INDEX(Weather!$BO$1:$CB$20,MATCH(B92,Weather!$BO$1:$BO$20,0),MATCH(C92,Weather!$BO$1:$CB$1,0))/VLOOKUP(B92,Weather!$BO$2:$CB$20,14,FALSE)*
VLOOKUP('Monthly Data'!$B92,Weather!$BO$3:$CB$20,14,FALSE)/Weather!$CB$14</f>
        <v>47.411710836170151</v>
      </c>
      <c r="AA92" s="7">
        <f t="shared" ca="1" si="172"/>
        <v>85464805.343072981</v>
      </c>
      <c r="AB92" s="7">
        <v>9181807.5610320456</v>
      </c>
      <c r="AC92" s="7">
        <f ca="1">IFERROR(VLOOKUP($B92-1,CDM!$V$4:$AJ$17,6,FALSE)/12,0)+IFERROR(VLOOKUP($B92,CDM!$V$41:$AJ$54,6,FALSE)/24,0)+IFERROR(VLOOKUP($B92,CDM!$V$41:$AJ$54,6,FALSE)/2*$C92/78,0)</f>
        <v>301591.07091324392</v>
      </c>
      <c r="AD92" s="7">
        <f t="shared" ca="1" si="173"/>
        <v>9483398.6319452897</v>
      </c>
      <c r="AE92" s="7">
        <f>IFERROR(HLOOKUP(B92-1,'EV Forecast VRZ'!$F$124:$T$130,6,FALSE)/12,0)+IFERROR(((HLOOKUP(B92,'EV Forecast VRZ'!$F$116:$T$122,6,FALSE)-HLOOKUP(B92-1,'EV Forecast VRZ'!$F$124:$T$130,6,FALSE)))*C92/78,0)</f>
        <v>6304.2522692307703</v>
      </c>
      <c r="AF92" s="7">
        <f t="shared" ca="1" si="174"/>
        <v>9477094.3796760589</v>
      </c>
      <c r="AG92" s="7">
        <v>23514897.867622361</v>
      </c>
      <c r="AH92" s="7">
        <f ca="1">IFERROR(VLOOKUP($B92-1,CDM!$V$4:$AJ$17,7,FALSE)/12,0)+IFERROR(VLOOKUP($B92,CDM!$V$41:$AJ$54,7,FALSE)/24,0)+IFERROR(VLOOKUP($B92,CDM!$V$41:$AJ$54,7,FALSE)/2*$C92/78,0)</f>
        <v>1856470.7668721818</v>
      </c>
      <c r="AI92" s="7">
        <f t="shared" ca="1" si="175"/>
        <v>25371368.634494543</v>
      </c>
      <c r="AJ92" s="7">
        <f>IFERROR(HLOOKUP(B92-1,'EV Forecast VRZ'!$F$124:$T$130,7,FALSE)/12,0)+IFERROR(((HLOOKUP(B92,'EV Forecast VRZ'!$F$116:$T$122,7,FALSE)-HLOOKUP(B92-1,'EV Forecast VRZ'!$F$124:$T$130,7,FALSE)))*C92/78,0)</f>
        <v>457.69230769230768</v>
      </c>
      <c r="AK92" s="7">
        <f t="shared" ca="1" si="176"/>
        <v>25370910.942186851</v>
      </c>
      <c r="AL92" s="7">
        <v>719278.5823316162</v>
      </c>
      <c r="AM92" s="7">
        <v>16118.488838008016</v>
      </c>
      <c r="AN92" s="7">
        <v>378089.67754245369</v>
      </c>
      <c r="AO92" s="5">
        <v>193998.4</v>
      </c>
      <c r="AP92" s="5">
        <v>19861.12</v>
      </c>
      <c r="AQ92" s="5">
        <v>44343</v>
      </c>
      <c r="AR92" s="5">
        <v>2602.21</v>
      </c>
      <c r="AS92" s="544">
        <f t="shared" si="236"/>
        <v>50.666666666666664</v>
      </c>
      <c r="AT92" s="557">
        <v>115757.75</v>
      </c>
      <c r="AU92" s="557">
        <v>1562.75</v>
      </c>
      <c r="AV92" s="557">
        <v>9488.25</v>
      </c>
      <c r="AW92" s="557">
        <v>1031.4166666666667</v>
      </c>
      <c r="AX92" s="557">
        <v>5</v>
      </c>
      <c r="AY92" s="557">
        <v>4.5833333333333313</v>
      </c>
      <c r="AZ92" s="557">
        <v>32153.583333333325</v>
      </c>
      <c r="BA92" s="557">
        <v>242.6666666666666</v>
      </c>
      <c r="BB92" s="557">
        <v>797.8333333333336</v>
      </c>
      <c r="BC92" s="560">
        <v>43580702.199865691</v>
      </c>
      <c r="BD92" s="560">
        <f ca="1">IFERROR(VLOOKUP($B92-1,CDM!$V$4:$AJ$17,11,FALSE)/12,0)+IFERROR(VLOOKUP($B92,CDM!$V$41:$AJ$54,11,FALSE)/24,0)+IFERROR(VLOOKUP($B92,CDM!$V$41:$AJ$54,11,FALSE)/2*$C92/78,0)</f>
        <v>1706210.0648235881</v>
      </c>
      <c r="BE92" s="560">
        <f t="shared" ca="1" si="188"/>
        <v>45286912.264689282</v>
      </c>
      <c r="BF92" s="560">
        <f>IFERROR(HLOOKUP(B92-1,'EV Forecast WRZ'!$F$124:$T$130,2,FALSE)/12,0)+IFERROR(((HLOOKUP(B92,'EV Forecast WRZ'!$F$116:$T$122,2,FALSE)-HLOOKUP(B92-1,'EV Forecast WRZ'!$F$124:$T$130,2,FALSE)))*C92/78,0)</f>
        <v>269086.39846153843</v>
      </c>
      <c r="BG92" s="560">
        <f ca="1">HLOOKUP(B92,Heating!$R$102:$AD$106,2,FALSE)*INDEX(Weather!$BO$1:$CB$20,MATCH(B92,Weather!$BO$1:$BO$20,0),MATCH(C92,Weather!$BO$1:$CB$1,0))/VLOOKUP(B92,Weather!$BO$2:$CB$20,14,FALSE)*
VLOOKUP('Monthly Data'!$B92,Weather!$BO$3:$CB$20,14,FALSE)/Weather!$CB$14</f>
        <v>165.62895130490966</v>
      </c>
      <c r="BH92" s="560">
        <f t="shared" ca="1" si="177"/>
        <v>45017660.237276442</v>
      </c>
      <c r="BI92" s="560">
        <v>7231746.421149808</v>
      </c>
      <c r="BJ92" s="560">
        <f ca="1">IFERROR(VLOOKUP($B92-1,CDM!$V$4:$AJ$17,12,FALSE)/12,0)+IFERROR(VLOOKUP($B92,CDM!$V$41:$AJ$54,12,FALSE)/24,0)+IFERROR(VLOOKUP($B92,CDM!$V$41:$AJ$54,12,FALSE)/2*$C92/78,0)</f>
        <v>281253.71903509693</v>
      </c>
      <c r="BK92" s="560">
        <f t="shared" ca="1" si="178"/>
        <v>7513000.1401849054</v>
      </c>
      <c r="BL92" s="560">
        <f>IFERROR(HLOOKUP(B92-1,'EV Forecast WRZ'!$F$124:$T$130,3,FALSE)/12,0)+IFERROR(((HLOOKUP(B92,'EV Forecast WRZ'!$F$116:$T$122,3,FALSE)-HLOOKUP(B92-1,'EV Forecast WRZ'!$F$124:$T$130,3,FALSE)))*C92/78,0)</f>
        <v>33973.852307692316</v>
      </c>
      <c r="BM92" s="560">
        <f ca="1">HLOOKUP(B92,Heating!$R$102:$AD$106,4,FALSE)*INDEX(Weather!$BO$1:$CB$20,MATCH(B92,Weather!$BO$1:$BO$20,0),MATCH(C92,Weather!$BO$1:$CB$1,0))/VLOOKUP(B92,Weather!$BO$2:$CB$20,14,FALSE)*
VLOOKUP('Monthly Data'!$B92,Weather!$BO$3:$CB$20,14,FALSE)/Weather!$CB$14</f>
        <v>25.940801196601132</v>
      </c>
      <c r="BN92" s="560">
        <f t="shared" ca="1" si="179"/>
        <v>7479000.3470760165</v>
      </c>
      <c r="BO92" s="560">
        <v>27782777.976583607</v>
      </c>
      <c r="BP92" s="560">
        <f ca="1">IFERROR(VLOOKUP($B92-1,CDM!$V$4:$AJ$17,13,FALSE)/12,0)+IFERROR(VLOOKUP($B92,CDM!$V$41:$AJ$54,13,FALSE)/24,0)+IFERROR(VLOOKUP($B92,CDM!$V$41:$AJ$54,13,FALSE)/2*$C92/78,0)</f>
        <v>2746254.3726024008</v>
      </c>
      <c r="BQ92" s="560">
        <f t="shared" ca="1" si="180"/>
        <v>30529032.349186007</v>
      </c>
      <c r="BR92" s="560">
        <f>IFERROR(HLOOKUP(B92-1,'EV Forecast WRZ'!$F$124:$T$130,4,FALSE)/12,0)+IFERROR(((HLOOKUP(B92,'EV Forecast WRZ'!$F$116:$T$122,4,FALSE)-HLOOKUP(B92-1,'EV Forecast WRZ'!$F$124:$T$130,4,FALSE)))*C92/78,0)</f>
        <v>15230.47712820513</v>
      </c>
      <c r="BS92" s="560">
        <f ca="1">HLOOKUP(B92,Heating!$R$102:$AD$106,5,FALSE)*INDEX(Weather!$BO$1:$CB$20,MATCH(B92,Weather!$BO$1:$BO$20,0),MATCH(C92,Weather!$BO$1:$CB$1,0))/VLOOKUP(B92,Weather!$BO$2:$CB$20,14,FALSE)*
VLOOKUP('Monthly Data'!$B92,Weather!$BO$3:$CB$20,14,FALSE)/Weather!$CB$14</f>
        <v>14.009215980935304</v>
      </c>
      <c r="BT92" s="560">
        <f t="shared" ca="1" si="181"/>
        <v>30513787.862841822</v>
      </c>
      <c r="BU92" s="560">
        <v>6475262.9508196721</v>
      </c>
      <c r="BV92" s="560">
        <f ca="1">IFERROR(VLOOKUP($B92-1,CDM!$V$4:$AJ$17,14,FALSE)/12,0)+IFERROR(VLOOKUP($B92,CDM!$V$41:$AJ$54,14,FALSE)/24,0)+IFERROR(VLOOKUP($B92,CDM!$V$41:$AJ$54,14,FALSE)/2*$C92/78,0)</f>
        <v>617914.95113942178</v>
      </c>
      <c r="BW92" s="560">
        <f t="shared" ca="1" si="182"/>
        <v>7093177.9019590942</v>
      </c>
      <c r="BX92" s="560">
        <f>IFERROR(HLOOKUP(B92-1,'EV Forecast WRZ'!$F$124:$T$130,5,FALSE)/12,0)+IFERROR(((HLOOKUP(B92,'EV Forecast WRZ'!$F$116:$T$122,5,FALSE)-HLOOKUP(B92-1,'EV Forecast WRZ'!$F$124:$T$130,5,FALSE)))*C92/78,0)</f>
        <v>2261.8977435897436</v>
      </c>
      <c r="BY92" s="560">
        <f t="shared" ca="1" si="189"/>
        <v>7090916.004215504</v>
      </c>
      <c r="BZ92" s="560">
        <v>226540.99866079967</v>
      </c>
      <c r="CA92" s="560">
        <v>2048.1155538549833</v>
      </c>
      <c r="CB92" s="560">
        <v>155664.97991199541</v>
      </c>
      <c r="CC92" s="5">
        <v>66051.259999999995</v>
      </c>
      <c r="CD92" s="5">
        <v>13088.99</v>
      </c>
      <c r="CE92" s="5">
        <v>820</v>
      </c>
      <c r="CF92" s="544">
        <f t="shared" si="237"/>
        <v>7.666666666666667</v>
      </c>
      <c r="CG92" s="565">
        <v>44979.83333333335</v>
      </c>
      <c r="CH92" s="565">
        <v>2437.0833333333344</v>
      </c>
      <c r="CI92" s="565">
        <v>383.6666666666668</v>
      </c>
      <c r="CJ92" s="565">
        <v>3</v>
      </c>
      <c r="CK92" s="565">
        <v>13563.416666666662</v>
      </c>
      <c r="CL92" s="565">
        <v>46</v>
      </c>
      <c r="CM92" s="565">
        <v>401</v>
      </c>
      <c r="CN92" s="46">
        <f>Weather!C116</f>
        <v>7.3166666666666593</v>
      </c>
      <c r="CO92" s="46">
        <f>Weather!D116</f>
        <v>45.099999999999966</v>
      </c>
      <c r="CP92" s="46">
        <f>Weather!E116</f>
        <v>0.12499999999999645</v>
      </c>
      <c r="CQ92" s="46">
        <f>Weather!F116</f>
        <v>99.908333333333317</v>
      </c>
      <c r="CR92" s="46">
        <f>Weather!G116</f>
        <v>0</v>
      </c>
      <c r="CS92" s="46">
        <f>Weather!H116</f>
        <v>161.78333333333336</v>
      </c>
      <c r="CT92" s="46">
        <f>Weather!I116</f>
        <v>0</v>
      </c>
      <c r="CU92" s="46">
        <f>Weather!J116</f>
        <v>223.78333333333336</v>
      </c>
      <c r="CV92" s="46">
        <f>Weather!K116</f>
        <v>0</v>
      </c>
      <c r="CW92" s="46">
        <f>Weather!L116</f>
        <v>285.78333333333342</v>
      </c>
      <c r="CX92" s="46">
        <f>Weather!M116</f>
        <v>0</v>
      </c>
      <c r="CY92" s="46">
        <f>Weather!N116</f>
        <v>347.78333333333342</v>
      </c>
      <c r="CZ92" s="46">
        <f>Weather!O116</f>
        <v>0</v>
      </c>
      <c r="DA92" s="46">
        <f>Weather!P116</f>
        <v>409.7833333333333</v>
      </c>
      <c r="DB92" s="243">
        <f>'Economic Data'!D118</f>
        <v>8016.3</v>
      </c>
      <c r="DC92" s="243">
        <f>'Economic Data'!E118</f>
        <v>8107</v>
      </c>
      <c r="DD92" s="243">
        <f>'Economic Data'!F118</f>
        <v>234.3</v>
      </c>
      <c r="DE92" s="243">
        <f>'Economic Data'!G118</f>
        <v>233.8</v>
      </c>
      <c r="DF92" s="243">
        <f>'Economic Data'!H118</f>
        <v>68.8</v>
      </c>
      <c r="DG92" s="243">
        <f>'Economic Data'!I118</f>
        <v>68.8</v>
      </c>
      <c r="DH92" s="243">
        <f>'Economic Data'!J118</f>
        <v>865859.6</v>
      </c>
      <c r="DI92" s="243">
        <f>'Economic Data'!K118</f>
        <v>679067</v>
      </c>
      <c r="DJ92" s="243">
        <f>'Economic Data'!L118</f>
        <v>96987.199999999997</v>
      </c>
      <c r="DK92" s="243">
        <f>'Economic Data'!M118</f>
        <v>32826.199999999997</v>
      </c>
      <c r="DL92" s="243">
        <f>'Economic Data'!N118</f>
        <v>876964</v>
      </c>
      <c r="DM92" s="243">
        <f>'Economic Data'!O118</f>
        <v>93549</v>
      </c>
      <c r="DN92" s="243">
        <f>'Economic Data'!P118</f>
        <v>20113</v>
      </c>
      <c r="DO92" s="243">
        <f>'Economic Data'!Q118</f>
        <v>694489</v>
      </c>
      <c r="DP92" s="243">
        <f>'Economic Data'!R118</f>
        <v>33235</v>
      </c>
      <c r="DQ92">
        <v>31</v>
      </c>
      <c r="DR92">
        <v>20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1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f t="shared" si="185"/>
        <v>91</v>
      </c>
      <c r="EI92">
        <v>0</v>
      </c>
      <c r="EJ92">
        <v>0</v>
      </c>
      <c r="EK92">
        <v>0.25</v>
      </c>
      <c r="EL92">
        <v>0</v>
      </c>
      <c r="EM92" s="47">
        <f t="shared" si="190"/>
        <v>0</v>
      </c>
      <c r="EN92" s="47">
        <f t="shared" si="191"/>
        <v>0</v>
      </c>
      <c r="EO92" s="47">
        <f t="shared" si="192"/>
        <v>0</v>
      </c>
      <c r="EP92" s="47">
        <f t="shared" si="193"/>
        <v>0</v>
      </c>
      <c r="EQ92" s="47">
        <f t="shared" si="194"/>
        <v>0</v>
      </c>
      <c r="ER92" s="47">
        <f t="shared" si="195"/>
        <v>0</v>
      </c>
      <c r="ES92" s="47">
        <f t="shared" si="196"/>
        <v>0</v>
      </c>
      <c r="ET92" s="47">
        <f t="shared" si="197"/>
        <v>0</v>
      </c>
      <c r="EU92" s="47">
        <f t="shared" si="198"/>
        <v>0</v>
      </c>
      <c r="EV92" s="47">
        <f t="shared" si="199"/>
        <v>0</v>
      </c>
      <c r="EW92" s="47">
        <f t="shared" si="200"/>
        <v>0</v>
      </c>
      <c r="EX92" s="47">
        <f t="shared" si="201"/>
        <v>0</v>
      </c>
      <c r="EY92" s="47">
        <f t="shared" si="202"/>
        <v>0</v>
      </c>
      <c r="EZ92" s="47">
        <f t="shared" si="203"/>
        <v>0</v>
      </c>
      <c r="FA92" s="47">
        <f t="shared" si="204"/>
        <v>1.8291666666666648</v>
      </c>
      <c r="FB92" s="47">
        <f t="shared" si="205"/>
        <v>11.274999999999991</v>
      </c>
      <c r="FC92" s="47">
        <f t="shared" si="206"/>
        <v>3.1249999999999112E-2</v>
      </c>
      <c r="FD92" s="47">
        <f t="shared" si="207"/>
        <v>24.977083333333329</v>
      </c>
      <c r="FE92" s="47">
        <f t="shared" si="208"/>
        <v>0</v>
      </c>
      <c r="FF92" s="47">
        <f t="shared" si="209"/>
        <v>40.44583333333334</v>
      </c>
      <c r="FG92" s="47">
        <f t="shared" si="210"/>
        <v>0</v>
      </c>
      <c r="FH92" s="47">
        <f t="shared" si="211"/>
        <v>55.94583333333334</v>
      </c>
      <c r="FI92" s="47">
        <f t="shared" si="212"/>
        <v>0</v>
      </c>
      <c r="FJ92" s="47">
        <f t="shared" si="213"/>
        <v>71.445833333333354</v>
      </c>
      <c r="FK92" s="47">
        <f t="shared" si="214"/>
        <v>0</v>
      </c>
      <c r="FL92" s="47">
        <f t="shared" si="215"/>
        <v>86.945833333333354</v>
      </c>
      <c r="FM92" s="47">
        <f t="shared" si="216"/>
        <v>0</v>
      </c>
      <c r="FN92" s="47">
        <f t="shared" si="217"/>
        <v>102.44583333333333</v>
      </c>
      <c r="FO92" s="546">
        <f t="shared" ca="1" si="218"/>
        <v>909.92197968812729</v>
      </c>
      <c r="FP92" s="546">
        <f t="shared" ca="1" si="219"/>
        <v>703.17112751379443</v>
      </c>
      <c r="FQ92" s="546">
        <f t="shared" ca="1" si="220"/>
        <v>2733.5045385040644</v>
      </c>
      <c r="FR92" s="546">
        <f t="shared" ca="1" si="221"/>
        <v>82908.802617337846</v>
      </c>
      <c r="FS92" s="546">
        <f t="shared" ca="1" si="222"/>
        <v>1896679.7263890579</v>
      </c>
      <c r="FT92" s="546">
        <f t="shared" ca="1" si="223"/>
        <v>5535571.3384351758</v>
      </c>
      <c r="FU92" s="546">
        <f t="shared" si="224"/>
        <v>22.370090912571683</v>
      </c>
      <c r="FV92" s="546">
        <f t="shared" si="225"/>
        <v>66.422344112670416</v>
      </c>
      <c r="FW92" s="546">
        <f t="shared" si="226"/>
        <v>473.89556408078573</v>
      </c>
      <c r="FX92" s="546">
        <f t="shared" ca="1" si="227"/>
        <v>1006.8270357757943</v>
      </c>
      <c r="FY92" s="546">
        <f t="shared" ca="1" si="228"/>
        <v>3082.78343929625</v>
      </c>
      <c r="FZ92" s="546">
        <f t="shared" ca="1" si="229"/>
        <v>79571.761118642913</v>
      </c>
      <c r="GA92" s="546">
        <f t="shared" si="230"/>
        <v>75513.666220266561</v>
      </c>
      <c r="GB92" s="546">
        <f t="shared" si="231"/>
        <v>16.702354888023525</v>
      </c>
      <c r="GC92" s="546">
        <f t="shared" si="232"/>
        <v>44.524251170760508</v>
      </c>
      <c r="GD92" s="546">
        <f t="shared" si="233"/>
        <v>388.19196985535018</v>
      </c>
    </row>
    <row r="93" spans="1:186">
      <c r="A93" s="4">
        <v>45139</v>
      </c>
      <c r="B93" s="6">
        <v>2023</v>
      </c>
      <c r="C93" s="5">
        <v>8</v>
      </c>
      <c r="D93" s="7">
        <v>87974898.963614002</v>
      </c>
      <c r="E93" s="7">
        <f ca="1">IFERROR(VLOOKUP($B93-1,CDM!$V$4:$AJ$17,2,FALSE)/12,0)+IFERROR(VLOOKUP($B93,CDM!$V$41:$AJ$54,2,FALSE)/24,0)+IFERROR(VLOOKUP($B93,CDM!$V$41:$AJ$54,2,FALSE)/2*$C93/78,0)</f>
        <v>3848493.575117433</v>
      </c>
      <c r="F93" s="7">
        <f t="shared" ca="1" si="165"/>
        <v>91823392.538731441</v>
      </c>
      <c r="G93" s="7">
        <f>IFERROR(HLOOKUP(B93-1,'EV Forecast VRZ'!$F$124:$T$130,2,FALSE)/12,0)+IFERROR(((HLOOKUP(B93,'EV Forecast VRZ'!$F$116:$T$122,2,FALSE)-HLOOKUP(B93-1,'EV Forecast VRZ'!$F$124:$T$130,2,FALSE)))*C93/78,0)</f>
        <v>869791.7616222346</v>
      </c>
      <c r="H93" s="7">
        <f ca="1">HLOOKUP(B93,Heating!$C$102:$O$106,2,FALSE)*INDEX(Weather!$BO$1:$CB$20,MATCH(B93,Weather!$BO$1:$BO$20,0),MATCH(C93,Weather!$BO$1:$CB$1,0))/VLOOKUP(B93,Weather!$BO$2:$CB$20,14,FALSE)*
VLOOKUP('Monthly Data'!$B93,Weather!$BO$3:$CB$20,14,FALSE)/Weather!$CB$14</f>
        <v>27416.58598911162</v>
      </c>
      <c r="I93" s="7">
        <f t="shared" ca="1" si="166"/>
        <v>90926184.191120088</v>
      </c>
      <c r="J93" s="7">
        <v>1002464.600114482</v>
      </c>
      <c r="K93" s="7">
        <f ca="1">IFERROR(VLOOKUP($B93-1,CDM!$V$4:$AJ$17,3,FALSE)/12,0)+IFERROR(VLOOKUP($B93,CDM!$V$41:$AJ$54,3,FALSE)/24,0)+IFERROR(VLOOKUP($B93,CDM!$V$41:$AJ$54,3,FALSE)/2*$C93/78,0)</f>
        <v>44079.796191213238</v>
      </c>
      <c r="L93" s="7">
        <f t="shared" ca="1" si="167"/>
        <v>1046544.3963056952</v>
      </c>
      <c r="M93" s="7">
        <f>IFERROR(HLOOKUP(B93-1,'EV Forecast VRZ'!$F$124:$T$130,3,FALSE)/12,0)+IFERROR(((HLOOKUP(B93,'EV Forecast VRZ'!$F$116:$T$122,3,FALSE)-HLOOKUP(B93-1,'EV Forecast VRZ'!$F$124:$T$130,3,FALSE)))*C93/78,0)</f>
        <v>11802.327608534659</v>
      </c>
      <c r="N93" s="7">
        <f ca="1">HLOOKUP(B93,Heating!$C$102:$O$106,3,FALSE)*INDEX(Weather!$BO$1:$CB$20,MATCH(B93,Weather!$BO$1:$BO$20,0),MATCH(C93,Weather!$BO$1:$CB$1,0))/VLOOKUP(B93,Weather!$BO$2:$CB$20,14,FALSE)*
VLOOKUP('Monthly Data'!$B93,Weather!$BO$3:$CB$20,14,FALSE)/Weather!$CB$14</f>
        <v>331.2719083840704</v>
      </c>
      <c r="O93" s="7">
        <f t="shared" ca="1" si="168"/>
        <v>1034410.7967887765</v>
      </c>
      <c r="P93" s="7">
        <v>22013388.033152066</v>
      </c>
      <c r="Q93" s="7">
        <f ca="1">IFERROR(VLOOKUP($B93-1,CDM!$V$4:$AJ$17,4,FALSE)/12,0)+IFERROR(VLOOKUP($B93,CDM!$V$41:$AJ$54,4,FALSE)/24,0)+IFERROR(VLOOKUP($B93,CDM!$V$41:$AJ$54,4,FALSE)/2*$C93/78,0)</f>
        <v>1575085.6136967046</v>
      </c>
      <c r="R93" s="7">
        <f t="shared" ca="1" si="169"/>
        <v>23588473.646848772</v>
      </c>
      <c r="S93" s="7">
        <f>IFERROR(HLOOKUP(B93-1,'EV Forecast VRZ'!$F$124:$T$130,4,FALSE)/12,0)+IFERROR(((HLOOKUP(B93,'EV Forecast VRZ'!$F$116:$T$122,4,FALSE)-HLOOKUP(B93-1,'EV Forecast VRZ'!$F$124:$T$130,4,FALSE)))*C93/78,0)</f>
        <v>108712.76615384615</v>
      </c>
      <c r="T93" s="7">
        <f ca="1">HLOOKUP(B93,Heating!$C$102:$O$106,4,FALSE)*INDEX(Weather!$BO$1:$CB$20,MATCH(B93,Weather!$BO$1:$BO$20,0),MATCH(C93,Weather!$BO$1:$CB$1,0))/VLOOKUP(B93,Weather!$BO$2:$CB$20,14,FALSE)*
VLOOKUP('Monthly Data'!$B93,Weather!$BO$3:$CB$20,14,FALSE)/Weather!$CB$14</f>
        <v>6734.4582245505962</v>
      </c>
      <c r="U93" s="7">
        <f t="shared" ca="1" si="170"/>
        <v>23473026.422470376</v>
      </c>
      <c r="V93" s="7">
        <v>78140781.764020205</v>
      </c>
      <c r="W93" s="7">
        <f ca="1">IFERROR(VLOOKUP($B93-1,CDM!$V$4:$AJ$17,5,FALSE)/12,0)+IFERROR(VLOOKUP($B93,CDM!$V$41:$AJ$54,5,FALSE)/24,0)+IFERROR(VLOOKUP($B93,CDM!$V$41:$AJ$54,5,FALSE)/2*$C93/78,0)</f>
        <v>6493809.395715964</v>
      </c>
      <c r="X93" s="7">
        <f t="shared" ca="1" si="171"/>
        <v>84634591.159736171</v>
      </c>
      <c r="Y93" s="7">
        <f>IFERROR(HLOOKUP(B93-1,'EV Forecast VRZ'!$F$124:$T$130,5,FALSE)/12,0)+IFERROR(((HLOOKUP(B93,'EV Forecast VRZ'!$F$116:$T$122,5,FALSE)-HLOOKUP(B93-1,'EV Forecast VRZ'!$F$124:$T$130,5,FALSE)))*C93/78,0)</f>
        <v>50311.834512820511</v>
      </c>
      <c r="Z93" s="7">
        <f ca="1">HLOOKUP(B93,Heating!$C$102:$O$106,5,FALSE)*INDEX(Weather!$BO$1:$CB$20,MATCH(B93,Weather!$BO$1:$BO$20,0),MATCH(C93,Weather!$BO$1:$CB$1,0))/VLOOKUP(B93,Weather!$BO$2:$CB$20,14,FALSE)*
VLOOKUP('Monthly Data'!$B93,Weather!$BO$3:$CB$20,14,FALSE)/Weather!$CB$14</f>
        <v>3517.9489440439229</v>
      </c>
      <c r="AA93" s="7">
        <f t="shared" ca="1" si="172"/>
        <v>84580761.376279309</v>
      </c>
      <c r="AB93" s="7">
        <v>9385090.352501059</v>
      </c>
      <c r="AC93" s="7">
        <f ca="1">IFERROR(VLOOKUP($B93-1,CDM!$V$4:$AJ$17,6,FALSE)/12,0)+IFERROR(VLOOKUP($B93,CDM!$V$41:$AJ$54,6,FALSE)/24,0)+IFERROR(VLOOKUP($B93,CDM!$V$41:$AJ$54,6,FALSE)/2*$C93/78,0)</f>
        <v>303759.11025868612</v>
      </c>
      <c r="AD93" s="7">
        <f t="shared" ca="1" si="173"/>
        <v>9688849.4627597444</v>
      </c>
      <c r="AE93" s="7">
        <f>IFERROR(HLOOKUP(B93-1,'EV Forecast VRZ'!$F$124:$T$130,6,FALSE)/12,0)+IFERROR(((HLOOKUP(B93,'EV Forecast VRZ'!$F$116:$T$122,6,FALSE)-HLOOKUP(B93-1,'EV Forecast VRZ'!$F$124:$T$130,6,FALSE)))*C93/78,0)</f>
        <v>6517.3049743589754</v>
      </c>
      <c r="AF93" s="7">
        <f t="shared" ca="1" si="174"/>
        <v>9682332.1577853858</v>
      </c>
      <c r="AG93" s="7">
        <v>25583837.275705818</v>
      </c>
      <c r="AH93" s="7">
        <f ca="1">IFERROR(VLOOKUP($B93-1,CDM!$V$4:$AJ$17,7,FALSE)/12,0)+IFERROR(VLOOKUP($B93,CDM!$V$41:$AJ$54,7,FALSE)/24,0)+IFERROR(VLOOKUP($B93,CDM!$V$41:$AJ$54,7,FALSE)/2*$C93/78,0)</f>
        <v>1865119.5213738114</v>
      </c>
      <c r="AI93" s="7">
        <f t="shared" ca="1" si="175"/>
        <v>27448956.79707963</v>
      </c>
      <c r="AJ93" s="7">
        <f>IFERROR(HLOOKUP(B93-1,'EV Forecast VRZ'!$F$124:$T$130,7,FALSE)/12,0)+IFERROR(((HLOOKUP(B93,'EV Forecast VRZ'!$F$116:$T$122,7,FALSE)-HLOOKUP(B93-1,'EV Forecast VRZ'!$F$124:$T$130,7,FALSE)))*C93/78,0)</f>
        <v>498.07692307692309</v>
      </c>
      <c r="AK93" s="7">
        <f t="shared" ca="1" si="176"/>
        <v>27448458.720156554</v>
      </c>
      <c r="AL93" s="7">
        <v>813416.02747567266</v>
      </c>
      <c r="AM93" s="7">
        <v>20563.194046937606</v>
      </c>
      <c r="AN93" s="7">
        <v>378036.6723907651</v>
      </c>
      <c r="AO93" s="5">
        <v>186602.46</v>
      </c>
      <c r="AP93" s="5">
        <v>19735.54</v>
      </c>
      <c r="AQ93" s="5">
        <v>44095.85</v>
      </c>
      <c r="AR93" s="5">
        <v>2602.29</v>
      </c>
      <c r="AS93" s="544">
        <f t="shared" si="236"/>
        <v>50.666666666666664</v>
      </c>
      <c r="AT93" s="557">
        <v>115895</v>
      </c>
      <c r="AU93" s="557">
        <v>1563</v>
      </c>
      <c r="AV93" s="557">
        <v>9490</v>
      </c>
      <c r="AW93" s="557">
        <v>1033.3333333333335</v>
      </c>
      <c r="AX93" s="557">
        <v>5</v>
      </c>
      <c r="AY93" s="557">
        <v>4.6666666666666643</v>
      </c>
      <c r="AZ93" s="557">
        <v>32197.666666666657</v>
      </c>
      <c r="BA93" s="557">
        <v>242.33333333333326</v>
      </c>
      <c r="BB93" s="557">
        <v>797.66666666666697</v>
      </c>
      <c r="BC93" s="560">
        <v>37583435.039458387</v>
      </c>
      <c r="BD93" s="560">
        <f ca="1">IFERROR(VLOOKUP($B93-1,CDM!$V$4:$AJ$17,11,FALSE)/12,0)+IFERROR(VLOOKUP($B93,CDM!$V$41:$AJ$54,11,FALSE)/24,0)+IFERROR(VLOOKUP($B93,CDM!$V$41:$AJ$54,11,FALSE)/2*$C93/78,0)</f>
        <v>1706559.6482821538</v>
      </c>
      <c r="BE93" s="560">
        <f t="shared" ca="1" si="188"/>
        <v>39289994.687740542</v>
      </c>
      <c r="BF93" s="560">
        <f>IFERROR(HLOOKUP(B93-1,'EV Forecast WRZ'!$F$124:$T$130,2,FALSE)/12,0)+IFERROR(((HLOOKUP(B93,'EV Forecast WRZ'!$F$116:$T$122,2,FALSE)-HLOOKUP(B93-1,'EV Forecast WRZ'!$F$124:$T$130,2,FALSE)))*C93/78,0)</f>
        <v>278064.46871794871</v>
      </c>
      <c r="BG93" s="560">
        <f ca="1">HLOOKUP(B93,Heating!$R$102:$AD$106,2,FALSE)*INDEX(Weather!$BO$1:$CB$20,MATCH(B93,Weather!$BO$1:$BO$20,0),MATCH(C93,Weather!$BO$1:$CB$1,0))/VLOOKUP(B93,Weather!$BO$2:$CB$20,14,FALSE)*
VLOOKUP('Monthly Data'!$B93,Weather!$BO$3:$CB$20,14,FALSE)/Weather!$CB$14</f>
        <v>12289.668186824638</v>
      </c>
      <c r="BH93" s="560">
        <f t="shared" ca="1" si="177"/>
        <v>38999640.550835773</v>
      </c>
      <c r="BI93" s="560">
        <v>6966264.4784580059</v>
      </c>
      <c r="BJ93" s="560">
        <f ca="1">IFERROR(VLOOKUP($B93-1,CDM!$V$4:$AJ$17,12,FALSE)/12,0)+IFERROR(VLOOKUP($B93,CDM!$V$41:$AJ$54,12,FALSE)/24,0)+IFERROR(VLOOKUP($B93,CDM!$V$41:$AJ$54,12,FALSE)/2*$C93/78,0)</f>
        <v>282718.12096231792</v>
      </c>
      <c r="BK93" s="560">
        <f t="shared" ca="1" si="178"/>
        <v>7248982.599420324</v>
      </c>
      <c r="BL93" s="560">
        <f>IFERROR(HLOOKUP(B93-1,'EV Forecast WRZ'!$F$124:$T$130,3,FALSE)/12,0)+IFERROR(((HLOOKUP(B93,'EV Forecast WRZ'!$F$116:$T$122,3,FALSE)-HLOOKUP(B93-1,'EV Forecast WRZ'!$F$124:$T$130,3,FALSE)))*C93/78,0)</f>
        <v>35154.53025641026</v>
      </c>
      <c r="BM93" s="560">
        <f ca="1">HLOOKUP(B93,Heating!$R$102:$AD$106,4,FALSE)*INDEX(Weather!$BO$1:$CB$20,MATCH(B93,Weather!$BO$1:$BO$20,0),MATCH(C93,Weather!$BO$1:$CB$1,0))/VLOOKUP(B93,Weather!$BO$2:$CB$20,14,FALSE)*
VLOOKUP('Monthly Data'!$B93,Weather!$BO$3:$CB$20,14,FALSE)/Weather!$CB$14</f>
        <v>1924.8074487878578</v>
      </c>
      <c r="BN93" s="560">
        <f t="shared" ca="1" si="179"/>
        <v>7211903.2617151262</v>
      </c>
      <c r="BO93" s="560">
        <v>27451208.886220351</v>
      </c>
      <c r="BP93" s="560">
        <f ca="1">IFERROR(VLOOKUP($B93-1,CDM!$V$4:$AJ$17,13,FALSE)/12,0)+IFERROR(VLOOKUP($B93,CDM!$V$41:$AJ$54,13,FALSE)/24,0)+IFERROR(VLOOKUP($B93,CDM!$V$41:$AJ$54,13,FALSE)/2*$C93/78,0)</f>
        <v>2761101.8181577227</v>
      </c>
      <c r="BQ93" s="560">
        <f t="shared" ca="1" si="180"/>
        <v>30212310.704378072</v>
      </c>
      <c r="BR93" s="560">
        <f>IFERROR(HLOOKUP(B93-1,'EV Forecast WRZ'!$F$124:$T$130,4,FALSE)/12,0)+IFERROR(((HLOOKUP(B93,'EV Forecast WRZ'!$F$116:$T$122,4,FALSE)-HLOOKUP(B93-1,'EV Forecast WRZ'!$F$124:$T$130,4,FALSE)))*C93/78,0)</f>
        <v>15754.186051282053</v>
      </c>
      <c r="BS93" s="560">
        <f ca="1">HLOOKUP(B93,Heating!$R$102:$AD$106,5,FALSE)*INDEX(Weather!$BO$1:$CB$20,MATCH(B93,Weather!$BO$1:$BO$20,0),MATCH(C93,Weather!$BO$1:$CB$1,0))/VLOOKUP(B93,Weather!$BO$2:$CB$20,14,FALSE)*
VLOOKUP('Monthly Data'!$B93,Weather!$BO$3:$CB$20,14,FALSE)/Weather!$CB$14</f>
        <v>1039.4838257854285</v>
      </c>
      <c r="BT93" s="560">
        <f t="shared" ca="1" si="181"/>
        <v>30195517.034501005</v>
      </c>
      <c r="BU93" s="560">
        <v>7220882.4590163939</v>
      </c>
      <c r="BV93" s="560">
        <f ca="1">IFERROR(VLOOKUP($B93-1,CDM!$V$4:$AJ$17,14,FALSE)/12,0)+IFERROR(VLOOKUP($B93,CDM!$V$41:$AJ$54,14,FALSE)/24,0)+IFERROR(VLOOKUP($B93,CDM!$V$41:$AJ$54,14,FALSE)/2*$C93/78,0)</f>
        <v>621276.3944715414</v>
      </c>
      <c r="BW93" s="560">
        <f t="shared" ca="1" si="182"/>
        <v>7842158.8534879349</v>
      </c>
      <c r="BX93" s="560">
        <f>IFERROR(HLOOKUP(B93-1,'EV Forecast WRZ'!$F$124:$T$130,5,FALSE)/12,0)+IFERROR(((HLOOKUP(B93,'EV Forecast WRZ'!$F$116:$T$122,5,FALSE)-HLOOKUP(B93-1,'EV Forecast WRZ'!$F$124:$T$130,5,FALSE)))*C93/78,0)</f>
        <v>2347.7585641025644</v>
      </c>
      <c r="BY93" s="560">
        <f t="shared" ca="1" si="189"/>
        <v>7839811.0949238325</v>
      </c>
      <c r="BZ93" s="560">
        <v>255988.99942605701</v>
      </c>
      <c r="CA93" s="560">
        <v>2651.0426630954653</v>
      </c>
      <c r="CB93" s="560">
        <v>154836.98105988136</v>
      </c>
      <c r="CC93" s="5">
        <v>63877.3</v>
      </c>
      <c r="CD93" s="5">
        <v>13487.26</v>
      </c>
      <c r="CE93" s="5">
        <v>819</v>
      </c>
      <c r="CF93" s="544">
        <f t="shared" si="237"/>
        <v>7.666666666666667</v>
      </c>
      <c r="CG93" s="565">
        <v>45048.666666666686</v>
      </c>
      <c r="CH93" s="565">
        <v>2440.6666666666679</v>
      </c>
      <c r="CI93" s="565">
        <v>384.33333333333348</v>
      </c>
      <c r="CJ93" s="565">
        <v>3</v>
      </c>
      <c r="CK93" s="565">
        <v>13579.333333333328</v>
      </c>
      <c r="CL93" s="565">
        <v>46</v>
      </c>
      <c r="CM93" s="565">
        <v>402</v>
      </c>
      <c r="CN93" s="46">
        <f>Weather!C117</f>
        <v>32.211775362318839</v>
      </c>
      <c r="CO93" s="46">
        <f>Weather!D117</f>
        <v>12.016666666666676</v>
      </c>
      <c r="CP93" s="46">
        <f>Weather!E117</f>
        <v>9.274999999999995</v>
      </c>
      <c r="CQ93" s="46">
        <f>Weather!F117</f>
        <v>51.079891304347839</v>
      </c>
      <c r="CR93" s="46">
        <f>Weather!G117</f>
        <v>1.6125000000000007</v>
      </c>
      <c r="CS93" s="46">
        <f>Weather!H117</f>
        <v>105.41739130434784</v>
      </c>
      <c r="CT93" s="46">
        <f>Weather!I117</f>
        <v>0</v>
      </c>
      <c r="CU93" s="46">
        <f>Weather!J117</f>
        <v>165.80489130434788</v>
      </c>
      <c r="CV93" s="46">
        <f>Weather!K117</f>
        <v>0</v>
      </c>
      <c r="CW93" s="46">
        <f>Weather!L117</f>
        <v>227.80489130434788</v>
      </c>
      <c r="CX93" s="46">
        <f>Weather!M117</f>
        <v>0</v>
      </c>
      <c r="CY93" s="46">
        <f>Weather!N117</f>
        <v>289.8048913043479</v>
      </c>
      <c r="CZ93" s="46">
        <f>Weather!O117</f>
        <v>0</v>
      </c>
      <c r="DA93" s="46">
        <f>Weather!P117</f>
        <v>351.80489130434785</v>
      </c>
      <c r="DB93" s="243">
        <f>'Economic Data'!D119</f>
        <v>8040</v>
      </c>
      <c r="DC93" s="243">
        <f>'Economic Data'!E119</f>
        <v>8115.6</v>
      </c>
      <c r="DD93" s="243">
        <f>'Economic Data'!F119</f>
        <v>237</v>
      </c>
      <c r="DE93" s="243">
        <f>'Economic Data'!G119</f>
        <v>235.3</v>
      </c>
      <c r="DF93" s="243">
        <f>'Economic Data'!H119</f>
        <v>68.5</v>
      </c>
      <c r="DG93" s="243">
        <f>'Economic Data'!I119</f>
        <v>68.5</v>
      </c>
      <c r="DH93" s="243">
        <f>'Economic Data'!J119</f>
        <v>865859.6</v>
      </c>
      <c r="DI93" s="243">
        <f>'Economic Data'!K119</f>
        <v>679067</v>
      </c>
      <c r="DJ93" s="243">
        <f>'Economic Data'!L119</f>
        <v>96987.199999999997</v>
      </c>
      <c r="DK93" s="243">
        <f>'Economic Data'!M119</f>
        <v>32826.199999999997</v>
      </c>
      <c r="DL93" s="243">
        <f>'Economic Data'!N119</f>
        <v>876964</v>
      </c>
      <c r="DM93" s="243">
        <f>'Economic Data'!O119</f>
        <v>93549</v>
      </c>
      <c r="DN93" s="243">
        <f>'Economic Data'!P119</f>
        <v>20113</v>
      </c>
      <c r="DO93" s="243">
        <f>'Economic Data'!Q119</f>
        <v>694489</v>
      </c>
      <c r="DP93" s="243">
        <f>'Economic Data'!R119</f>
        <v>33235</v>
      </c>
      <c r="DQ93">
        <v>31</v>
      </c>
      <c r="DR93">
        <v>22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1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f t="shared" si="185"/>
        <v>92</v>
      </c>
      <c r="EI93">
        <v>0</v>
      </c>
      <c r="EJ93">
        <v>0</v>
      </c>
      <c r="EK93">
        <v>0.25</v>
      </c>
      <c r="EL93">
        <v>0</v>
      </c>
      <c r="EM93" s="47">
        <f t="shared" si="190"/>
        <v>0</v>
      </c>
      <c r="EN93" s="47">
        <f t="shared" si="191"/>
        <v>0</v>
      </c>
      <c r="EO93" s="47">
        <f t="shared" si="192"/>
        <v>0</v>
      </c>
      <c r="EP93" s="47">
        <f t="shared" si="193"/>
        <v>0</v>
      </c>
      <c r="EQ93" s="47">
        <f t="shared" si="194"/>
        <v>0</v>
      </c>
      <c r="ER93" s="47">
        <f t="shared" si="195"/>
        <v>0</v>
      </c>
      <c r="ES93" s="47">
        <f t="shared" si="196"/>
        <v>0</v>
      </c>
      <c r="ET93" s="47">
        <f t="shared" si="197"/>
        <v>0</v>
      </c>
      <c r="EU93" s="47">
        <f t="shared" si="198"/>
        <v>0</v>
      </c>
      <c r="EV93" s="47">
        <f t="shared" si="199"/>
        <v>0</v>
      </c>
      <c r="EW93" s="47">
        <f t="shared" si="200"/>
        <v>0</v>
      </c>
      <c r="EX93" s="47">
        <f t="shared" si="201"/>
        <v>0</v>
      </c>
      <c r="EY93" s="47">
        <f t="shared" si="202"/>
        <v>0</v>
      </c>
      <c r="EZ93" s="47">
        <f t="shared" si="203"/>
        <v>0</v>
      </c>
      <c r="FA93" s="47">
        <f t="shared" si="204"/>
        <v>8.0529438405797098</v>
      </c>
      <c r="FB93" s="47">
        <f t="shared" si="205"/>
        <v>3.0041666666666691</v>
      </c>
      <c r="FC93" s="47">
        <f t="shared" si="206"/>
        <v>2.3187499999999988</v>
      </c>
      <c r="FD93" s="47">
        <f t="shared" si="207"/>
        <v>12.76997282608696</v>
      </c>
      <c r="FE93" s="47">
        <f t="shared" si="208"/>
        <v>0.40312500000000018</v>
      </c>
      <c r="FF93" s="47">
        <f t="shared" si="209"/>
        <v>26.354347826086961</v>
      </c>
      <c r="FG93" s="47">
        <f t="shared" si="210"/>
        <v>0</v>
      </c>
      <c r="FH93" s="47">
        <f t="shared" si="211"/>
        <v>41.451222826086969</v>
      </c>
      <c r="FI93" s="47">
        <f t="shared" si="212"/>
        <v>0</v>
      </c>
      <c r="FJ93" s="47">
        <f t="shared" si="213"/>
        <v>56.951222826086969</v>
      </c>
      <c r="FK93" s="47">
        <f t="shared" si="214"/>
        <v>0</v>
      </c>
      <c r="FL93" s="47">
        <f t="shared" si="215"/>
        <v>72.451222826086976</v>
      </c>
      <c r="FM93" s="47">
        <f t="shared" si="216"/>
        <v>0</v>
      </c>
      <c r="FN93" s="47">
        <f t="shared" si="217"/>
        <v>87.951222826086962</v>
      </c>
      <c r="FO93" s="546">
        <f t="shared" ca="1" si="218"/>
        <v>784.55657440890536</v>
      </c>
      <c r="FP93" s="546">
        <f t="shared" ca="1" si="219"/>
        <v>669.5741499076745</v>
      </c>
      <c r="FQ93" s="546">
        <f t="shared" ca="1" si="220"/>
        <v>2485.6136614171519</v>
      </c>
      <c r="FR93" s="546">
        <f t="shared" ca="1" si="221"/>
        <v>81904.443057809185</v>
      </c>
      <c r="FS93" s="546">
        <f t="shared" ca="1" si="222"/>
        <v>1937769.8925519488</v>
      </c>
      <c r="FT93" s="546">
        <f t="shared" ca="1" si="223"/>
        <v>5881919.3136599241</v>
      </c>
      <c r="FU93" s="546">
        <f t="shared" si="224"/>
        <v>25.263197979429346</v>
      </c>
      <c r="FV93" s="546">
        <f t="shared" si="225"/>
        <v>84.854996067142835</v>
      </c>
      <c r="FW93" s="546">
        <f t="shared" si="226"/>
        <v>473.92813087016083</v>
      </c>
      <c r="FX93" s="546">
        <f t="shared" ca="1" si="227"/>
        <v>872.16775977995337</v>
      </c>
      <c r="FY93" s="546">
        <f t="shared" ca="1" si="228"/>
        <v>2970.0830098690194</v>
      </c>
      <c r="FZ93" s="546">
        <f t="shared" ca="1" si="229"/>
        <v>78609.654911651494</v>
      </c>
      <c r="GA93" s="546">
        <f t="shared" si="230"/>
        <v>85329.666475352336</v>
      </c>
      <c r="GB93" s="546">
        <f t="shared" si="231"/>
        <v>18.851367231532507</v>
      </c>
      <c r="GC93" s="546">
        <f t="shared" si="232"/>
        <v>57.631362241205764</v>
      </c>
      <c r="GD93" s="546">
        <f t="shared" si="233"/>
        <v>385.16661955194371</v>
      </c>
    </row>
    <row r="94" spans="1:186">
      <c r="A94" s="4">
        <v>45170</v>
      </c>
      <c r="B94" s="6">
        <v>2023</v>
      </c>
      <c r="C94" s="5">
        <v>9</v>
      </c>
      <c r="D94" s="7">
        <v>76739895.077503905</v>
      </c>
      <c r="E94" s="7">
        <f ca="1">IFERROR(VLOOKUP($B94-1,CDM!$V$4:$AJ$17,2,FALSE)/12,0)+IFERROR(VLOOKUP($B94,CDM!$V$41:$AJ$54,2,FALSE)/24,0)+IFERROR(VLOOKUP($B94,CDM!$V$41:$AJ$54,2,FALSE)/2*$C94/78,0)</f>
        <v>3848534.7838059752</v>
      </c>
      <c r="F94" s="7">
        <f t="shared" ca="1" si="165"/>
        <v>80588429.861309886</v>
      </c>
      <c r="G94" s="7">
        <f>IFERROR(HLOOKUP(B94-1,'EV Forecast VRZ'!$F$124:$T$130,2,FALSE)/12,0)+IFERROR(((HLOOKUP(B94,'EV Forecast VRZ'!$F$116:$T$122,2,FALSE)-HLOOKUP(B94-1,'EV Forecast VRZ'!$F$124:$T$130,2,FALSE)))*C94/78,0)</f>
        <v>896332.63589390682</v>
      </c>
      <c r="H94" s="7">
        <f ca="1">HLOOKUP(B94,Heating!$C$102:$O$106,2,FALSE)*INDEX(Weather!$BO$1:$CB$20,MATCH(B94,Weather!$BO$1:$BO$20,0),MATCH(C94,Weather!$BO$1:$CB$1,0))/VLOOKUP(B94,Weather!$BO$2:$CB$20,14,FALSE)*
VLOOKUP('Monthly Data'!$B94,Weather!$BO$3:$CB$20,14,FALSE)/Weather!$CB$14</f>
        <v>140679.35542121885</v>
      </c>
      <c r="I94" s="7">
        <f t="shared" ca="1" si="166"/>
        <v>79551417.86999476</v>
      </c>
      <c r="J94" s="7">
        <v>770093.87931692414</v>
      </c>
      <c r="K94" s="7">
        <f ca="1">IFERROR(VLOOKUP($B94-1,CDM!$V$4:$AJ$17,3,FALSE)/12,0)+IFERROR(VLOOKUP($B94,CDM!$V$41:$AJ$54,3,FALSE)/24,0)+IFERROR(VLOOKUP($B94,CDM!$V$41:$AJ$54,3,FALSE)/2*$C94/78,0)</f>
        <v>44080.261753584957</v>
      </c>
      <c r="L94" s="7">
        <f t="shared" ca="1" si="167"/>
        <v>814174.1410705091</v>
      </c>
      <c r="M94" s="7">
        <f>IFERROR(HLOOKUP(B94-1,'EV Forecast VRZ'!$F$124:$T$130,3,FALSE)/12,0)+IFERROR(((HLOOKUP(B94,'EV Forecast VRZ'!$F$116:$T$122,3,FALSE)-HLOOKUP(B94-1,'EV Forecast VRZ'!$F$124:$T$130,3,FALSE)))*C94/78,0)</f>
        <v>12162.464490708591</v>
      </c>
      <c r="N94" s="7">
        <f ca="1">HLOOKUP(B94,Heating!$C$102:$O$106,3,FALSE)*INDEX(Weather!$BO$1:$CB$20,MATCH(B94,Weather!$BO$1:$BO$20,0),MATCH(C94,Weather!$BO$1:$CB$1,0))/VLOOKUP(B94,Weather!$BO$2:$CB$20,14,FALSE)*
VLOOKUP('Monthly Data'!$B94,Weather!$BO$3:$CB$20,14,FALSE)/Weather!$CB$14</f>
        <v>1699.8147967488117</v>
      </c>
      <c r="O94" s="7">
        <f t="shared" ca="1" si="168"/>
        <v>800311.86178305175</v>
      </c>
      <c r="P94" s="7">
        <v>21145188.522524327</v>
      </c>
      <c r="Q94" s="7">
        <f ca="1">IFERROR(VLOOKUP($B94-1,CDM!$V$4:$AJ$17,4,FALSE)/12,0)+IFERROR(VLOOKUP($B94,CDM!$V$41:$AJ$54,4,FALSE)/24,0)+IFERROR(VLOOKUP($B94,CDM!$V$41:$AJ$54,4,FALSE)/2*$C94/78,0)</f>
        <v>1578983.2554063676</v>
      </c>
      <c r="R94" s="7">
        <f t="shared" ca="1" si="169"/>
        <v>22724171.777930696</v>
      </c>
      <c r="S94" s="7">
        <f>IFERROR(HLOOKUP(B94-1,'EV Forecast VRZ'!$F$124:$T$130,4,FALSE)/12,0)+IFERROR(((HLOOKUP(B94,'EV Forecast VRZ'!$F$116:$T$122,4,FALSE)-HLOOKUP(B94-1,'EV Forecast VRZ'!$F$124:$T$130,4,FALSE)))*C94/78,0)</f>
        <v>112140.48692307691</v>
      </c>
      <c r="T94" s="7">
        <f ca="1">HLOOKUP(B94,Heating!$C$102:$O$106,4,FALSE)*INDEX(Weather!$BO$1:$CB$20,MATCH(B94,Weather!$BO$1:$BO$20,0),MATCH(C94,Weather!$BO$1:$CB$1,0))/VLOOKUP(B94,Weather!$BO$2:$CB$20,14,FALSE)*
VLOOKUP('Monthly Data'!$B94,Weather!$BO$3:$CB$20,14,FALSE)/Weather!$CB$14</f>
        <v>34555.697143224155</v>
      </c>
      <c r="U94" s="7">
        <f t="shared" ca="1" si="170"/>
        <v>22577475.593864396</v>
      </c>
      <c r="V94" s="7">
        <v>73637888.059021324</v>
      </c>
      <c r="W94" s="7">
        <f ca="1">IFERROR(VLOOKUP($B94-1,CDM!$V$4:$AJ$17,5,FALSE)/12,0)+IFERROR(VLOOKUP($B94,CDM!$V$41:$AJ$54,5,FALSE)/24,0)+IFERROR(VLOOKUP($B94,CDM!$V$41:$AJ$54,5,FALSE)/2*$C94/78,0)</f>
        <v>6522000.9647639114</v>
      </c>
      <c r="X94" s="7">
        <f t="shared" ca="1" si="171"/>
        <v>80159889.023785233</v>
      </c>
      <c r="Y94" s="7">
        <f>IFERROR(HLOOKUP(B94-1,'EV Forecast VRZ'!$F$124:$T$130,5,FALSE)/12,0)+IFERROR(((HLOOKUP(B94,'EV Forecast VRZ'!$F$116:$T$122,5,FALSE)-HLOOKUP(B94-1,'EV Forecast VRZ'!$F$124:$T$130,5,FALSE)))*C94/78,0)</f>
        <v>51955.590910256404</v>
      </c>
      <c r="Z94" s="7">
        <f ca="1">HLOOKUP(B94,Heating!$C$102:$O$106,5,FALSE)*INDEX(Weather!$BO$1:$CB$20,MATCH(B94,Weather!$BO$1:$BO$20,0),MATCH(C94,Weather!$BO$1:$CB$1,0))/VLOOKUP(B94,Weather!$BO$2:$CB$20,14,FALSE)*
VLOOKUP('Monthly Data'!$B94,Weather!$BO$3:$CB$20,14,FALSE)/Weather!$CB$14</f>
        <v>18051.218705691699</v>
      </c>
      <c r="AA94" s="7">
        <f t="shared" ca="1" si="172"/>
        <v>80089882.214169279</v>
      </c>
      <c r="AB94" s="7">
        <v>7402741.4285163311</v>
      </c>
      <c r="AC94" s="7">
        <f ca="1">IFERROR(VLOOKUP($B94-1,CDM!$V$4:$AJ$17,6,FALSE)/12,0)+IFERROR(VLOOKUP($B94,CDM!$V$41:$AJ$54,6,FALSE)/24,0)+IFERROR(VLOOKUP($B94,CDM!$V$41:$AJ$54,6,FALSE)/2*$C94/78,0)</f>
        <v>305927.14960412827</v>
      </c>
      <c r="AD94" s="7">
        <f t="shared" ca="1" si="173"/>
        <v>7708668.5781204598</v>
      </c>
      <c r="AE94" s="7">
        <f>IFERROR(HLOOKUP(B94-1,'EV Forecast VRZ'!$F$124:$T$130,6,FALSE)/12,0)+IFERROR(((HLOOKUP(B94,'EV Forecast VRZ'!$F$116:$T$122,6,FALSE)-HLOOKUP(B94-1,'EV Forecast VRZ'!$F$124:$T$130,6,FALSE)))*C94/78,0)</f>
        <v>6730.3576794871806</v>
      </c>
      <c r="AF94" s="7">
        <f t="shared" ca="1" si="174"/>
        <v>7701938.2204409726</v>
      </c>
      <c r="AG94" s="7">
        <v>26199194.13799078</v>
      </c>
      <c r="AH94" s="7">
        <f ca="1">IFERROR(VLOOKUP($B94-1,CDM!$V$4:$AJ$17,7,FALSE)/12,0)+IFERROR(VLOOKUP($B94,CDM!$V$41:$AJ$54,7,FALSE)/24,0)+IFERROR(VLOOKUP($B94,CDM!$V$41:$AJ$54,7,FALSE)/2*$C94/78,0)</f>
        <v>1873768.2758754408</v>
      </c>
      <c r="AI94" s="7">
        <f t="shared" ca="1" si="175"/>
        <v>28072962.413866222</v>
      </c>
      <c r="AJ94" s="7">
        <f>IFERROR(HLOOKUP(B94-1,'EV Forecast VRZ'!$F$124:$T$130,7,FALSE)/12,0)+IFERROR(((HLOOKUP(B94,'EV Forecast VRZ'!$F$116:$T$122,7,FALSE)-HLOOKUP(B94-1,'EV Forecast VRZ'!$F$124:$T$130,7,FALSE)))*C94/78,0)</f>
        <v>538.46153846153845</v>
      </c>
      <c r="AK94" s="7">
        <f t="shared" ca="1" si="176"/>
        <v>28072423.952327762</v>
      </c>
      <c r="AL94" s="7">
        <v>900496.09807288682</v>
      </c>
      <c r="AM94" s="7">
        <v>17109.435222285822</v>
      </c>
      <c r="AN94" s="7">
        <v>377978.22934554477</v>
      </c>
      <c r="AO94" s="5">
        <v>198092.09</v>
      </c>
      <c r="AP94" s="5">
        <v>19774.36</v>
      </c>
      <c r="AQ94" s="5">
        <v>44692.29</v>
      </c>
      <c r="AR94" s="5">
        <v>2610.19</v>
      </c>
      <c r="AS94" s="544">
        <f t="shared" si="236"/>
        <v>50.666666666666664</v>
      </c>
      <c r="AT94" s="557">
        <v>116032.25</v>
      </c>
      <c r="AU94" s="557">
        <v>1563.25</v>
      </c>
      <c r="AV94" s="557">
        <v>9491.75</v>
      </c>
      <c r="AW94" s="557">
        <v>1035.2500000000002</v>
      </c>
      <c r="AX94" s="557">
        <v>5</v>
      </c>
      <c r="AY94" s="557">
        <v>4.7499999999999973</v>
      </c>
      <c r="AZ94" s="557">
        <v>32241.749999999989</v>
      </c>
      <c r="BA94" s="557">
        <v>241.99999999999991</v>
      </c>
      <c r="BB94" s="557">
        <v>797.50000000000034</v>
      </c>
      <c r="BC94" s="560">
        <v>32445353.691993199</v>
      </c>
      <c r="BD94" s="560">
        <f ca="1">IFERROR(VLOOKUP($B94-1,CDM!$V$4:$AJ$17,11,FALSE)/12,0)+IFERROR(VLOOKUP($B94,CDM!$V$41:$AJ$54,11,FALSE)/24,0)+IFERROR(VLOOKUP($B94,CDM!$V$41:$AJ$54,11,FALSE)/2*$C94/78,0)</f>
        <v>1706909.2317407192</v>
      </c>
      <c r="BE94" s="560">
        <f t="shared" ca="1" si="188"/>
        <v>34152262.92373392</v>
      </c>
      <c r="BF94" s="560">
        <f>IFERROR(HLOOKUP(B94-1,'EV Forecast WRZ'!$F$124:$T$130,2,FALSE)/12,0)+IFERROR(((HLOOKUP(B94,'EV Forecast WRZ'!$F$116:$T$122,2,FALSE)-HLOOKUP(B94-1,'EV Forecast WRZ'!$F$124:$T$130,2,FALSE)))*C94/78,0)</f>
        <v>287042.53897435893</v>
      </c>
      <c r="BG94" s="560">
        <f ca="1">HLOOKUP(B94,Heating!$R$102:$AD$106,2,FALSE)*INDEX(Weather!$BO$1:$CB$20,MATCH(B94,Weather!$BO$1:$BO$20,0),MATCH(C94,Weather!$BO$1:$CB$1,0))/VLOOKUP(B94,Weather!$BO$2:$CB$20,14,FALSE)*
VLOOKUP('Monthly Data'!$B94,Weather!$BO$3:$CB$20,14,FALSE)/Weather!$CB$14</f>
        <v>63060.4627268244</v>
      </c>
      <c r="BH94" s="560">
        <f t="shared" ca="1" si="177"/>
        <v>33802159.922032736</v>
      </c>
      <c r="BI94" s="560">
        <v>8250807.613114588</v>
      </c>
      <c r="BJ94" s="560">
        <f ca="1">IFERROR(VLOOKUP($B94-1,CDM!$V$4:$AJ$17,12,FALSE)/12,0)+IFERROR(VLOOKUP($B94,CDM!$V$41:$AJ$54,12,FALSE)/24,0)+IFERROR(VLOOKUP($B94,CDM!$V$41:$AJ$54,12,FALSE)/2*$C94/78,0)</f>
        <v>284182.5228895389</v>
      </c>
      <c r="BK94" s="560">
        <f t="shared" ca="1" si="178"/>
        <v>8534990.1360041276</v>
      </c>
      <c r="BL94" s="560">
        <f>IFERROR(HLOOKUP(B94-1,'EV Forecast WRZ'!$F$124:$T$130,3,FALSE)/12,0)+IFERROR(((HLOOKUP(B94,'EV Forecast WRZ'!$F$116:$T$122,3,FALSE)-HLOOKUP(B94-1,'EV Forecast WRZ'!$F$124:$T$130,3,FALSE)))*C94/78,0)</f>
        <v>36335.208205128205</v>
      </c>
      <c r="BM94" s="560">
        <f ca="1">HLOOKUP(B94,Heating!$R$102:$AD$106,4,FALSE)*INDEX(Weather!$BO$1:$CB$20,MATCH(B94,Weather!$BO$1:$BO$20,0),MATCH(C94,Weather!$BO$1:$CB$1,0))/VLOOKUP(B94,Weather!$BO$2:$CB$20,14,FALSE)*
VLOOKUP('Monthly Data'!$B94,Weather!$BO$3:$CB$20,14,FALSE)/Weather!$CB$14</f>
        <v>9876.5277089195552</v>
      </c>
      <c r="BN94" s="560">
        <f t="shared" ca="1" si="179"/>
        <v>8488778.4000900798</v>
      </c>
      <c r="BO94" s="560">
        <v>26115023.370759532</v>
      </c>
      <c r="BP94" s="560">
        <f ca="1">IFERROR(VLOOKUP($B94-1,CDM!$V$4:$AJ$17,13,FALSE)/12,0)+IFERROR(VLOOKUP($B94,CDM!$V$41:$AJ$54,13,FALSE)/24,0)+IFERROR(VLOOKUP($B94,CDM!$V$41:$AJ$54,13,FALSE)/2*$C94/78,0)</f>
        <v>2775949.263713045</v>
      </c>
      <c r="BQ94" s="560">
        <f t="shared" ca="1" si="180"/>
        <v>28890972.634472579</v>
      </c>
      <c r="BR94" s="560">
        <f>IFERROR(HLOOKUP(B94-1,'EV Forecast WRZ'!$F$124:$T$130,4,FALSE)/12,0)+IFERROR(((HLOOKUP(B94,'EV Forecast WRZ'!$F$116:$T$122,4,FALSE)-HLOOKUP(B94-1,'EV Forecast WRZ'!$F$124:$T$130,4,FALSE)))*C94/78,0)</f>
        <v>16277.894974358976</v>
      </c>
      <c r="BS94" s="560">
        <f ca="1">HLOOKUP(B94,Heating!$R$102:$AD$106,5,FALSE)*INDEX(Weather!$BO$1:$CB$20,MATCH(B94,Weather!$BO$1:$BO$20,0),MATCH(C94,Weather!$BO$1:$CB$1,0))/VLOOKUP(B94,Weather!$BO$2:$CB$20,14,FALSE)*
VLOOKUP('Monthly Data'!$B94,Weather!$BO$3:$CB$20,14,FALSE)/Weather!$CB$14</f>
        <v>5333.7754978082539</v>
      </c>
      <c r="BT94" s="560">
        <f t="shared" ca="1" si="181"/>
        <v>28869360.964000411</v>
      </c>
      <c r="BU94" s="560">
        <v>6866851.8804243021</v>
      </c>
      <c r="BV94" s="560">
        <f ca="1">IFERROR(VLOOKUP($B94-1,CDM!$V$4:$AJ$17,14,FALSE)/12,0)+IFERROR(VLOOKUP($B94,CDM!$V$41:$AJ$54,14,FALSE)/24,0)+IFERROR(VLOOKUP($B94,CDM!$V$41:$AJ$54,14,FALSE)/2*$C94/78,0)</f>
        <v>624637.83780366112</v>
      </c>
      <c r="BW94" s="560">
        <f t="shared" ca="1" si="182"/>
        <v>7491489.718227963</v>
      </c>
      <c r="BX94" s="560">
        <f>IFERROR(HLOOKUP(B94-1,'EV Forecast WRZ'!$F$124:$T$130,5,FALSE)/12,0)+IFERROR(((HLOOKUP(B94,'EV Forecast WRZ'!$F$116:$T$122,5,FALSE)-HLOOKUP(B94-1,'EV Forecast WRZ'!$F$124:$T$130,5,FALSE)))*C94/78,0)</f>
        <v>2433.6193846153847</v>
      </c>
      <c r="BY94" s="560">
        <f t="shared" ca="1" si="189"/>
        <v>7489056.0988433473</v>
      </c>
      <c r="BZ94" s="560">
        <v>283107.00210445758</v>
      </c>
      <c r="CA94" s="560">
        <v>2063.8989860340535</v>
      </c>
      <c r="CB94" s="560">
        <v>155844.98756456858</v>
      </c>
      <c r="CC94" s="5">
        <v>68196.69</v>
      </c>
      <c r="CD94" s="5">
        <v>13985.41</v>
      </c>
      <c r="CE94" s="5">
        <v>821</v>
      </c>
      <c r="CF94" s="544">
        <f t="shared" si="237"/>
        <v>7.666666666666667</v>
      </c>
      <c r="CG94" s="565">
        <v>45117.500000000022</v>
      </c>
      <c r="CH94" s="565">
        <v>2444.2500000000014</v>
      </c>
      <c r="CI94" s="565">
        <v>385.00000000000017</v>
      </c>
      <c r="CJ94" s="565">
        <v>3</v>
      </c>
      <c r="CK94" s="565">
        <v>13595.249999999995</v>
      </c>
      <c r="CL94" s="565">
        <v>46</v>
      </c>
      <c r="CM94" s="565">
        <v>403</v>
      </c>
      <c r="CN94" s="46">
        <f>Weather!C118</f>
        <v>95.22083333333336</v>
      </c>
      <c r="CO94" s="46">
        <f>Weather!D118</f>
        <v>18.212499999999995</v>
      </c>
      <c r="CP94" s="46">
        <f>Weather!E118</f>
        <v>47.591666666666676</v>
      </c>
      <c r="CQ94" s="46">
        <f>Weather!F118</f>
        <v>30.583333333333329</v>
      </c>
      <c r="CR94" s="46">
        <f>Weather!G118</f>
        <v>15.216666666666669</v>
      </c>
      <c r="CS94" s="46">
        <f>Weather!H118</f>
        <v>58.208333333333314</v>
      </c>
      <c r="CT94" s="46">
        <f>Weather!I118</f>
        <v>2.3583333333333378</v>
      </c>
      <c r="CU94" s="46">
        <f>Weather!J118</f>
        <v>105.35</v>
      </c>
      <c r="CV94" s="46">
        <f>Weather!K118</f>
        <v>0</v>
      </c>
      <c r="CW94" s="46">
        <f>Weather!L118</f>
        <v>162.99166666666662</v>
      </c>
      <c r="CX94" s="46">
        <f>Weather!M118</f>
        <v>0</v>
      </c>
      <c r="CY94" s="46">
        <f>Weather!N118</f>
        <v>222.99166666666656</v>
      </c>
      <c r="CZ94" s="46">
        <f>Weather!O118</f>
        <v>0</v>
      </c>
      <c r="DA94" s="46">
        <f>Weather!P118</f>
        <v>282.99166666666656</v>
      </c>
      <c r="DB94" s="243">
        <f>'Economic Data'!D120</f>
        <v>8052.4</v>
      </c>
      <c r="DC94" s="243">
        <f>'Economic Data'!E120</f>
        <v>8068.5</v>
      </c>
      <c r="DD94" s="243">
        <f>'Economic Data'!F120</f>
        <v>236.7</v>
      </c>
      <c r="DE94" s="243">
        <f>'Economic Data'!G120</f>
        <v>233.9</v>
      </c>
      <c r="DF94" s="243">
        <f>'Economic Data'!H120</f>
        <v>64.2</v>
      </c>
      <c r="DG94" s="243">
        <f>'Economic Data'!I120</f>
        <v>64.2</v>
      </c>
      <c r="DH94" s="243">
        <f>'Economic Data'!J120</f>
        <v>865859.6</v>
      </c>
      <c r="DI94" s="243">
        <f>'Economic Data'!K120</f>
        <v>679067</v>
      </c>
      <c r="DJ94" s="243">
        <f>'Economic Data'!L120</f>
        <v>96987.199999999997</v>
      </c>
      <c r="DK94" s="243">
        <f>'Economic Data'!M120</f>
        <v>32826.199999999997</v>
      </c>
      <c r="DL94" s="243">
        <f>'Economic Data'!N120</f>
        <v>876964</v>
      </c>
      <c r="DM94" s="243">
        <f>'Economic Data'!O120</f>
        <v>93549</v>
      </c>
      <c r="DN94" s="243">
        <f>'Economic Data'!P120</f>
        <v>20113</v>
      </c>
      <c r="DO94" s="243">
        <f>'Economic Data'!Q120</f>
        <v>694489</v>
      </c>
      <c r="DP94" s="243">
        <f>'Economic Data'!R120</f>
        <v>33235</v>
      </c>
      <c r="DQ94">
        <v>30</v>
      </c>
      <c r="DR94">
        <v>20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1</v>
      </c>
      <c r="EB94">
        <v>0</v>
      </c>
      <c r="EC94">
        <v>0</v>
      </c>
      <c r="ED94">
        <v>0</v>
      </c>
      <c r="EE94">
        <v>0</v>
      </c>
      <c r="EF94">
        <v>1</v>
      </c>
      <c r="EG94">
        <v>1</v>
      </c>
      <c r="EH94">
        <f t="shared" si="185"/>
        <v>93</v>
      </c>
      <c r="EI94">
        <v>0</v>
      </c>
      <c r="EJ94">
        <v>0</v>
      </c>
      <c r="EK94">
        <v>0.25</v>
      </c>
      <c r="EL94">
        <v>0</v>
      </c>
      <c r="EM94" s="47">
        <f t="shared" si="190"/>
        <v>0</v>
      </c>
      <c r="EN94" s="47">
        <f t="shared" si="191"/>
        <v>0</v>
      </c>
      <c r="EO94" s="47">
        <f t="shared" si="192"/>
        <v>0</v>
      </c>
      <c r="EP94" s="47">
        <f t="shared" si="193"/>
        <v>0</v>
      </c>
      <c r="EQ94" s="47">
        <f t="shared" si="194"/>
        <v>0</v>
      </c>
      <c r="ER94" s="47">
        <f t="shared" si="195"/>
        <v>0</v>
      </c>
      <c r="ES94" s="47">
        <f t="shared" si="196"/>
        <v>0</v>
      </c>
      <c r="ET94" s="47">
        <f t="shared" si="197"/>
        <v>0</v>
      </c>
      <c r="EU94" s="47">
        <f t="shared" si="198"/>
        <v>0</v>
      </c>
      <c r="EV94" s="47">
        <f t="shared" si="199"/>
        <v>0</v>
      </c>
      <c r="EW94" s="47">
        <f t="shared" si="200"/>
        <v>0</v>
      </c>
      <c r="EX94" s="47">
        <f t="shared" si="201"/>
        <v>0</v>
      </c>
      <c r="EY94" s="47">
        <f t="shared" si="202"/>
        <v>0</v>
      </c>
      <c r="EZ94" s="47">
        <f t="shared" si="203"/>
        <v>0</v>
      </c>
      <c r="FA94" s="47">
        <f t="shared" si="204"/>
        <v>23.80520833333334</v>
      </c>
      <c r="FB94" s="47">
        <f t="shared" si="205"/>
        <v>4.5531249999999988</v>
      </c>
      <c r="FC94" s="47">
        <f t="shared" si="206"/>
        <v>11.897916666666669</v>
      </c>
      <c r="FD94" s="47">
        <f t="shared" si="207"/>
        <v>7.6458333333333321</v>
      </c>
      <c r="FE94" s="47">
        <f t="shared" si="208"/>
        <v>3.8041666666666671</v>
      </c>
      <c r="FF94" s="47">
        <f t="shared" si="209"/>
        <v>14.552083333333329</v>
      </c>
      <c r="FG94" s="47">
        <f t="shared" si="210"/>
        <v>0.58958333333333446</v>
      </c>
      <c r="FH94" s="47">
        <f t="shared" si="211"/>
        <v>26.337499999999999</v>
      </c>
      <c r="FI94" s="47">
        <f t="shared" si="212"/>
        <v>0</v>
      </c>
      <c r="FJ94" s="47">
        <f t="shared" si="213"/>
        <v>40.747916666666654</v>
      </c>
      <c r="FK94" s="47">
        <f t="shared" si="214"/>
        <v>0</v>
      </c>
      <c r="FL94" s="47">
        <f t="shared" si="215"/>
        <v>55.74791666666664</v>
      </c>
      <c r="FM94" s="47">
        <f t="shared" si="216"/>
        <v>0</v>
      </c>
      <c r="FN94" s="47">
        <f t="shared" si="217"/>
        <v>70.74791666666664</v>
      </c>
      <c r="FO94" s="546">
        <f t="shared" ca="1" si="218"/>
        <v>685.5974771668632</v>
      </c>
      <c r="FP94" s="546">
        <f t="shared" ca="1" si="219"/>
        <v>520.82145598625243</v>
      </c>
      <c r="FQ94" s="546">
        <f t="shared" ca="1" si="220"/>
        <v>2394.0971662686748</v>
      </c>
      <c r="FR94" s="546">
        <f t="shared" ca="1" si="221"/>
        <v>77430.465128022421</v>
      </c>
      <c r="FS94" s="546">
        <f t="shared" ca="1" si="222"/>
        <v>1541733.7156240919</v>
      </c>
      <c r="FT94" s="546">
        <f t="shared" ca="1" si="223"/>
        <v>5910097.3502876293</v>
      </c>
      <c r="FU94" s="546">
        <f t="shared" si="224"/>
        <v>27.929504387103279</v>
      </c>
      <c r="FV94" s="546">
        <f t="shared" si="225"/>
        <v>70.700145546635653</v>
      </c>
      <c r="FW94" s="546">
        <f t="shared" si="226"/>
        <v>473.95389259629417</v>
      </c>
      <c r="FX94" s="546">
        <f t="shared" ca="1" si="227"/>
        <v>756.96266246431878</v>
      </c>
      <c r="FY94" s="546">
        <f t="shared" ca="1" si="228"/>
        <v>3491.8646357795328</v>
      </c>
      <c r="FZ94" s="546">
        <f t="shared" ca="1" si="229"/>
        <v>75041.487362266402</v>
      </c>
      <c r="GA94" s="546">
        <f t="shared" si="230"/>
        <v>94369.000701485857</v>
      </c>
      <c r="GB94" s="546">
        <f t="shared" si="231"/>
        <v>20.823964407014046</v>
      </c>
      <c r="GC94" s="546">
        <f t="shared" si="232"/>
        <v>44.867369261609859</v>
      </c>
      <c r="GD94" s="546">
        <f t="shared" si="233"/>
        <v>386.71212795178309</v>
      </c>
    </row>
    <row r="95" spans="1:186">
      <c r="A95" s="4">
        <v>45200</v>
      </c>
      <c r="B95" s="6">
        <v>2023</v>
      </c>
      <c r="C95" s="5">
        <v>10</v>
      </c>
      <c r="D95" s="7">
        <v>71485385.587483674</v>
      </c>
      <c r="E95" s="7">
        <f ca="1">IFERROR(VLOOKUP($B95-1,CDM!$V$4:$AJ$17,2,FALSE)/12,0)+IFERROR(VLOOKUP($B95,CDM!$V$41:$AJ$54,2,FALSE)/24,0)+IFERROR(VLOOKUP($B95,CDM!$V$41:$AJ$54,2,FALSE)/2*$C95/78,0)</f>
        <v>3848575.9924945175</v>
      </c>
      <c r="F95" s="7">
        <f t="shared" ca="1" si="165"/>
        <v>75333961.579978198</v>
      </c>
      <c r="G95" s="7">
        <f>IFERROR(HLOOKUP(B95-1,'EV Forecast VRZ'!$F$124:$T$130,2,FALSE)/12,0)+IFERROR(((HLOOKUP(B95,'EV Forecast VRZ'!$F$116:$T$122,2,FALSE)-HLOOKUP(B95-1,'EV Forecast VRZ'!$F$124:$T$130,2,FALSE)))*C95/78,0)</f>
        <v>922873.51016557903</v>
      </c>
      <c r="H95" s="7">
        <f ca="1">HLOOKUP(B95,Heating!$C$102:$O$106,2,FALSE)*INDEX(Weather!$BO$1:$CB$20,MATCH(B95,Weather!$BO$1:$BO$20,0),MATCH(C95,Weather!$BO$1:$CB$1,0))/VLOOKUP(B95,Weather!$BO$2:$CB$20,14,FALSE)*
VLOOKUP('Monthly Data'!$B95,Weather!$BO$3:$CB$20,14,FALSE)/Weather!$CB$14</f>
        <v>612340.70333363116</v>
      </c>
      <c r="I95" s="7">
        <f t="shared" ca="1" si="166"/>
        <v>73798747.366478994</v>
      </c>
      <c r="J95" s="7">
        <v>850548.2569452395</v>
      </c>
      <c r="K95" s="7">
        <f ca="1">IFERROR(VLOOKUP($B95-1,CDM!$V$4:$AJ$17,3,FALSE)/12,0)+IFERROR(VLOOKUP($B95,CDM!$V$41:$AJ$54,3,FALSE)/24,0)+IFERROR(VLOOKUP($B95,CDM!$V$41:$AJ$54,3,FALSE)/2*$C95/78,0)</f>
        <v>44080.727315956676</v>
      </c>
      <c r="L95" s="7">
        <f t="shared" ca="1" si="167"/>
        <v>894628.98426119622</v>
      </c>
      <c r="M95" s="7">
        <f>IFERROR(HLOOKUP(B95-1,'EV Forecast VRZ'!$F$124:$T$130,3,FALSE)/12,0)+IFERROR(((HLOOKUP(B95,'EV Forecast VRZ'!$F$116:$T$122,3,FALSE)-HLOOKUP(B95-1,'EV Forecast VRZ'!$F$124:$T$130,3,FALSE)))*C95/78,0)</f>
        <v>12522.601372882524</v>
      </c>
      <c r="N95" s="7">
        <f ca="1">HLOOKUP(B95,Heating!$C$102:$O$106,3,FALSE)*INDEX(Weather!$BO$1:$CB$20,MATCH(B95,Weather!$BO$1:$BO$20,0),MATCH(C95,Weather!$BO$1:$CB$1,0))/VLOOKUP(B95,Weather!$BO$2:$CB$20,14,FALSE)*
VLOOKUP('Monthly Data'!$B95,Weather!$BO$3:$CB$20,14,FALSE)/Weather!$CB$14</f>
        <v>7398.8524120084621</v>
      </c>
      <c r="O95" s="7">
        <f t="shared" ca="1" si="168"/>
        <v>874707.53047630528</v>
      </c>
      <c r="P95" s="7">
        <v>20260164.454769988</v>
      </c>
      <c r="Q95" s="7">
        <f ca="1">IFERROR(VLOOKUP($B95-1,CDM!$V$4:$AJ$17,4,FALSE)/12,0)+IFERROR(VLOOKUP($B95,CDM!$V$41:$AJ$54,4,FALSE)/24,0)+IFERROR(VLOOKUP($B95,CDM!$V$41:$AJ$54,4,FALSE)/2*$C95/78,0)</f>
        <v>1582880.8971160306</v>
      </c>
      <c r="R95" s="7">
        <f t="shared" ca="1" si="169"/>
        <v>21843045.351886019</v>
      </c>
      <c r="S95" s="7">
        <f>IFERROR(HLOOKUP(B95-1,'EV Forecast VRZ'!$F$124:$T$130,4,FALSE)/12,0)+IFERROR(((HLOOKUP(B95,'EV Forecast VRZ'!$F$116:$T$122,4,FALSE)-HLOOKUP(B95-1,'EV Forecast VRZ'!$F$124:$T$130,4,FALSE)))*C95/78,0)</f>
        <v>115568.20769230768</v>
      </c>
      <c r="T95" s="7">
        <f ca="1">HLOOKUP(B95,Heating!$C$102:$O$106,4,FALSE)*INDEX(Weather!$BO$1:$CB$20,MATCH(B95,Weather!$BO$1:$BO$20,0),MATCH(C95,Weather!$BO$1:$CB$1,0))/VLOOKUP(B95,Weather!$BO$2:$CB$20,14,FALSE)*
VLOOKUP('Monthly Data'!$B95,Weather!$BO$3:$CB$20,14,FALSE)/Weather!$CB$14</f>
        <v>150411.97643754815</v>
      </c>
      <c r="U95" s="7">
        <f t="shared" ca="1" si="170"/>
        <v>21577065.167756166</v>
      </c>
      <c r="V95" s="7">
        <v>72585997.150628164</v>
      </c>
      <c r="W95" s="7">
        <f ca="1">IFERROR(VLOOKUP($B95-1,CDM!$V$4:$AJ$17,5,FALSE)/12,0)+IFERROR(VLOOKUP($B95,CDM!$V$41:$AJ$54,5,FALSE)/24,0)+IFERROR(VLOOKUP($B95,CDM!$V$41:$AJ$54,5,FALSE)/2*$C95/78,0)</f>
        <v>6550192.5338118589</v>
      </c>
      <c r="X95" s="7">
        <f t="shared" ca="1" si="171"/>
        <v>79136189.684440017</v>
      </c>
      <c r="Y95" s="7">
        <f>IFERROR(HLOOKUP(B95-1,'EV Forecast VRZ'!$F$124:$T$130,5,FALSE)/12,0)+IFERROR(((HLOOKUP(B95,'EV Forecast VRZ'!$F$116:$T$122,5,FALSE)-HLOOKUP(B95-1,'EV Forecast VRZ'!$F$124:$T$130,5,FALSE)))*C95/78,0)</f>
        <v>53599.347307692296</v>
      </c>
      <c r="Z95" s="7">
        <f ca="1">HLOOKUP(B95,Heating!$C$102:$O$106,5,FALSE)*INDEX(Weather!$BO$1:$CB$20,MATCH(B95,Weather!$BO$1:$BO$20,0),MATCH(C95,Weather!$BO$1:$CB$1,0))/VLOOKUP(B95,Weather!$BO$2:$CB$20,14,FALSE)*
VLOOKUP('Monthly Data'!$B95,Weather!$BO$3:$CB$20,14,FALSE)/Weather!$CB$14</f>
        <v>78572.267588064613</v>
      </c>
      <c r="AA95" s="7">
        <f t="shared" ca="1" si="172"/>
        <v>79004018.069544256</v>
      </c>
      <c r="AB95" s="7">
        <v>8590094.7009140309</v>
      </c>
      <c r="AC95" s="7">
        <f ca="1">IFERROR(VLOOKUP($B95-1,CDM!$V$4:$AJ$17,6,FALSE)/12,0)+IFERROR(VLOOKUP($B95,CDM!$V$41:$AJ$54,6,FALSE)/24,0)+IFERROR(VLOOKUP($B95,CDM!$V$41:$AJ$54,6,FALSE)/2*$C95/78,0)</f>
        <v>308095.18894957047</v>
      </c>
      <c r="AD95" s="7">
        <f t="shared" ca="1" si="173"/>
        <v>8898189.889863601</v>
      </c>
      <c r="AE95" s="7">
        <f>IFERROR(HLOOKUP(B95-1,'EV Forecast VRZ'!$F$124:$T$130,6,FALSE)/12,0)+IFERROR(((HLOOKUP(B95,'EV Forecast VRZ'!$F$116:$T$122,6,FALSE)-HLOOKUP(B95-1,'EV Forecast VRZ'!$F$124:$T$130,6,FALSE)))*C95/78,0)</f>
        <v>6943.4103846153857</v>
      </c>
      <c r="AF95" s="7">
        <f t="shared" ca="1" si="174"/>
        <v>8891246.4794789851</v>
      </c>
      <c r="AG95" s="7">
        <v>27955350.600693982</v>
      </c>
      <c r="AH95" s="7">
        <f ca="1">IFERROR(VLOOKUP($B95-1,CDM!$V$4:$AJ$17,7,FALSE)/12,0)+IFERROR(VLOOKUP($B95,CDM!$V$41:$AJ$54,7,FALSE)/24,0)+IFERROR(VLOOKUP($B95,CDM!$V$41:$AJ$54,7,FALSE)/2*$C95/78,0)</f>
        <v>1882417.0303770704</v>
      </c>
      <c r="AI95" s="7">
        <f t="shared" ca="1" si="175"/>
        <v>29837767.631071053</v>
      </c>
      <c r="AJ95" s="7">
        <f>IFERROR(HLOOKUP(B95-1,'EV Forecast VRZ'!$F$124:$T$130,7,FALSE)/12,0)+IFERROR(((HLOOKUP(B95,'EV Forecast VRZ'!$F$116:$T$122,7,FALSE)-HLOOKUP(B95-1,'EV Forecast VRZ'!$F$124:$T$130,7,FALSE)))*C95/78,0)</f>
        <v>578.84615384615381</v>
      </c>
      <c r="AK95" s="7">
        <f t="shared" ca="1" si="176"/>
        <v>29837188.784917206</v>
      </c>
      <c r="AL95" s="7">
        <v>1056113.556573173</v>
      </c>
      <c r="AM95" s="7">
        <v>17005.266170578128</v>
      </c>
      <c r="AN95" s="7">
        <v>377589.67754245375</v>
      </c>
      <c r="AO95" s="5">
        <v>189197.01</v>
      </c>
      <c r="AP95" s="5">
        <v>19802.849999999999</v>
      </c>
      <c r="AQ95" s="5">
        <v>44574.62</v>
      </c>
      <c r="AR95" s="5">
        <v>2620.67</v>
      </c>
      <c r="AS95" s="544">
        <f t="shared" si="236"/>
        <v>50.666666666666664</v>
      </c>
      <c r="AT95" s="557">
        <v>116169.5</v>
      </c>
      <c r="AU95" s="557">
        <v>1563.5</v>
      </c>
      <c r="AV95" s="557">
        <v>9493.5</v>
      </c>
      <c r="AW95" s="557">
        <v>1037.166666666667</v>
      </c>
      <c r="AX95" s="557">
        <v>5</v>
      </c>
      <c r="AY95" s="557">
        <v>4.8333333333333304</v>
      </c>
      <c r="AZ95" s="557">
        <v>32285.833333333321</v>
      </c>
      <c r="BA95" s="557">
        <v>241.66666666666657</v>
      </c>
      <c r="BB95" s="557">
        <v>797.33333333333371</v>
      </c>
      <c r="BC95" s="560">
        <v>27910569.867304377</v>
      </c>
      <c r="BD95" s="560">
        <f ca="1">IFERROR(VLOOKUP($B95-1,CDM!$V$4:$AJ$17,11,FALSE)/12,0)+IFERROR(VLOOKUP($B95,CDM!$V$41:$AJ$54,11,FALSE)/24,0)+IFERROR(VLOOKUP($B95,CDM!$V$41:$AJ$54,11,FALSE)/2*$C95/78,0)</f>
        <v>1707258.8151992846</v>
      </c>
      <c r="BE95" s="560">
        <f t="shared" ca="1" si="188"/>
        <v>29617828.682503663</v>
      </c>
      <c r="BF95" s="560">
        <f>IFERROR(HLOOKUP(B95-1,'EV Forecast WRZ'!$F$124:$T$130,2,FALSE)/12,0)+IFERROR(((HLOOKUP(B95,'EV Forecast WRZ'!$F$116:$T$122,2,FALSE)-HLOOKUP(B95-1,'EV Forecast WRZ'!$F$124:$T$130,2,FALSE)))*C95/78,0)</f>
        <v>296020.60923076922</v>
      </c>
      <c r="BG95" s="560">
        <f ca="1">HLOOKUP(B95,Heating!$R$102:$AD$106,2,FALSE)*INDEX(Weather!$BO$1:$CB$20,MATCH(B95,Weather!$BO$1:$BO$20,0),MATCH(C95,Weather!$BO$1:$CB$1,0))/VLOOKUP(B95,Weather!$BO$2:$CB$20,14,FALSE)*
VLOOKUP('Monthly Data'!$B95,Weather!$BO$3:$CB$20,14,FALSE)/Weather!$CB$14</f>
        <v>274485.81906754756</v>
      </c>
      <c r="BH95" s="560">
        <f t="shared" ca="1" si="177"/>
        <v>29047322.254205346</v>
      </c>
      <c r="BI95" s="560">
        <v>8101734.1266787918</v>
      </c>
      <c r="BJ95" s="560">
        <f ca="1">IFERROR(VLOOKUP($B95-1,CDM!$V$4:$AJ$17,12,FALSE)/12,0)+IFERROR(VLOOKUP($B95,CDM!$V$41:$AJ$54,12,FALSE)/24,0)+IFERROR(VLOOKUP($B95,CDM!$V$41:$AJ$54,12,FALSE)/2*$C95/78,0)</f>
        <v>285646.92481675989</v>
      </c>
      <c r="BK95" s="560">
        <f t="shared" ca="1" si="178"/>
        <v>8387381.0514955521</v>
      </c>
      <c r="BL95" s="560">
        <f>IFERROR(HLOOKUP(B95-1,'EV Forecast WRZ'!$F$124:$T$130,3,FALSE)/12,0)+IFERROR(((HLOOKUP(B95,'EV Forecast WRZ'!$F$116:$T$122,3,FALSE)-HLOOKUP(B95-1,'EV Forecast WRZ'!$F$124:$T$130,3,FALSE)))*C95/78,0)</f>
        <v>37515.886153846157</v>
      </c>
      <c r="BM95" s="560">
        <f ca="1">HLOOKUP(B95,Heating!$R$102:$AD$106,4,FALSE)*INDEX(Weather!$BO$1:$CB$20,MATCH(B95,Weather!$BO$1:$BO$20,0),MATCH(C95,Weather!$BO$1:$CB$1,0))/VLOOKUP(B95,Weather!$BO$2:$CB$20,14,FALSE)*
VLOOKUP('Monthly Data'!$B95,Weather!$BO$3:$CB$20,14,FALSE)/Weather!$CB$14</f>
        <v>42989.960436381836</v>
      </c>
      <c r="BN95" s="560">
        <f t="shared" ca="1" si="179"/>
        <v>8306875.2049053246</v>
      </c>
      <c r="BO95" s="560">
        <v>25471471.620534372</v>
      </c>
      <c r="BP95" s="560">
        <f ca="1">IFERROR(VLOOKUP($B95-1,CDM!$V$4:$AJ$17,13,FALSE)/12,0)+IFERROR(VLOOKUP($B95,CDM!$V$41:$AJ$54,13,FALSE)/24,0)+IFERROR(VLOOKUP($B95,CDM!$V$41:$AJ$54,13,FALSE)/2*$C95/78,0)</f>
        <v>2790796.7092683669</v>
      </c>
      <c r="BQ95" s="560">
        <f t="shared" ca="1" si="180"/>
        <v>28262268.329802737</v>
      </c>
      <c r="BR95" s="560">
        <f>IFERROR(HLOOKUP(B95-1,'EV Forecast WRZ'!$F$124:$T$130,4,FALSE)/12,0)+IFERROR(((HLOOKUP(B95,'EV Forecast WRZ'!$F$116:$T$122,4,FALSE)-HLOOKUP(B95-1,'EV Forecast WRZ'!$F$124:$T$130,4,FALSE)))*C95/78,0)</f>
        <v>16801.6038974359</v>
      </c>
      <c r="BS95" s="560">
        <f ca="1">HLOOKUP(B95,Heating!$R$102:$AD$106,5,FALSE)*INDEX(Weather!$BO$1:$CB$20,MATCH(B95,Weather!$BO$1:$BO$20,0),MATCH(C95,Weather!$BO$1:$CB$1,0))/VLOOKUP(B95,Weather!$BO$2:$CB$20,14,FALSE)*
VLOOKUP('Monthly Data'!$B95,Weather!$BO$3:$CB$20,14,FALSE)/Weather!$CB$14</f>
        <v>23216.539697472679</v>
      </c>
      <c r="BT95" s="560">
        <f t="shared" ca="1" si="181"/>
        <v>28222250.186207827</v>
      </c>
      <c r="BU95" s="560">
        <v>7039400.1639344264</v>
      </c>
      <c r="BV95" s="560">
        <f ca="1">IFERROR(VLOOKUP($B95-1,CDM!$V$4:$AJ$17,14,FALSE)/12,0)+IFERROR(VLOOKUP($B95,CDM!$V$41:$AJ$54,14,FALSE)/24,0)+IFERROR(VLOOKUP($B95,CDM!$V$41:$AJ$54,14,FALSE)/2*$C95/78,0)</f>
        <v>627999.28113578074</v>
      </c>
      <c r="BW95" s="560">
        <f t="shared" ca="1" si="182"/>
        <v>7667399.4450702071</v>
      </c>
      <c r="BX95" s="560">
        <f>IFERROR(HLOOKUP(B95-1,'EV Forecast WRZ'!$F$124:$T$130,5,FALSE)/12,0)+IFERROR(((HLOOKUP(B95,'EV Forecast WRZ'!$F$116:$T$122,5,FALSE)-HLOOKUP(B95-1,'EV Forecast WRZ'!$F$124:$T$130,5,FALSE)))*C95/78,0)</f>
        <v>2519.4802051282054</v>
      </c>
      <c r="BY95" s="560">
        <f t="shared" ca="1" si="189"/>
        <v>7664879.9648650791</v>
      </c>
      <c r="BZ95" s="560">
        <v>330701.99923474266</v>
      </c>
      <c r="CA95" s="560">
        <v>2810.5988138511566</v>
      </c>
      <c r="CB95" s="560">
        <v>156852.98450353928</v>
      </c>
      <c r="CC95" s="5">
        <v>65238.96</v>
      </c>
      <c r="CD95" s="5">
        <v>13214.6</v>
      </c>
      <c r="CE95" s="5">
        <v>821</v>
      </c>
      <c r="CF95" s="544">
        <f t="shared" si="237"/>
        <v>7.666666666666667</v>
      </c>
      <c r="CG95" s="565">
        <v>45186.333333333358</v>
      </c>
      <c r="CH95" s="565">
        <v>2447.8333333333348</v>
      </c>
      <c r="CI95" s="565">
        <v>385.66666666666686</v>
      </c>
      <c r="CJ95" s="565">
        <v>3</v>
      </c>
      <c r="CK95" s="565">
        <v>13611.166666666661</v>
      </c>
      <c r="CL95" s="565">
        <v>46</v>
      </c>
      <c r="CM95" s="565">
        <v>404</v>
      </c>
      <c r="CN95" s="46">
        <f>Weather!C119</f>
        <v>261.85000000000002</v>
      </c>
      <c r="CO95" s="46">
        <f>Weather!D119</f>
        <v>0</v>
      </c>
      <c r="CP95" s="46">
        <f>Weather!E119</f>
        <v>207.15416666666667</v>
      </c>
      <c r="CQ95" s="46">
        <f>Weather!F119</f>
        <v>7.3041666666666707</v>
      </c>
      <c r="CR95" s="46">
        <f>Weather!G119</f>
        <v>157.42916666666665</v>
      </c>
      <c r="CS95" s="46">
        <f>Weather!H119</f>
        <v>19.579166666666676</v>
      </c>
      <c r="CT95" s="46">
        <f>Weather!I119</f>
        <v>111.18333333333332</v>
      </c>
      <c r="CU95" s="46">
        <f>Weather!J119</f>
        <v>35.333333333333343</v>
      </c>
      <c r="CV95" s="46">
        <f>Weather!K119</f>
        <v>68.475000000000009</v>
      </c>
      <c r="CW95" s="46">
        <f>Weather!L119</f>
        <v>54.625</v>
      </c>
      <c r="CX95" s="46">
        <f>Weather!M119</f>
        <v>37.779166666666669</v>
      </c>
      <c r="CY95" s="46">
        <f>Weather!N119</f>
        <v>85.929166666666674</v>
      </c>
      <c r="CZ95" s="46">
        <f>Weather!O119</f>
        <v>17.783333333333335</v>
      </c>
      <c r="DA95" s="46">
        <f>Weather!P119</f>
        <v>127.93333333333337</v>
      </c>
      <c r="DB95" s="243">
        <f>'Economic Data'!D121</f>
        <v>8058.3</v>
      </c>
      <c r="DC95" s="243">
        <f>'Economic Data'!E121</f>
        <v>8050.1</v>
      </c>
      <c r="DD95" s="243">
        <f>'Economic Data'!F121</f>
        <v>235.3</v>
      </c>
      <c r="DE95" s="243">
        <f>'Economic Data'!G121</f>
        <v>232.7</v>
      </c>
      <c r="DF95" s="243">
        <f>'Economic Data'!H121</f>
        <v>61.6</v>
      </c>
      <c r="DG95" s="243">
        <f>'Economic Data'!I121</f>
        <v>61.6</v>
      </c>
      <c r="DH95" s="243">
        <f>'Economic Data'!J121</f>
        <v>865859.6</v>
      </c>
      <c r="DI95" s="243">
        <f>'Economic Data'!K121</f>
        <v>679067</v>
      </c>
      <c r="DJ95" s="243">
        <f>'Economic Data'!L121</f>
        <v>96987.199999999997</v>
      </c>
      <c r="DK95" s="243">
        <f>'Economic Data'!M121</f>
        <v>32826.199999999997</v>
      </c>
      <c r="DL95" s="243">
        <f>'Economic Data'!N121</f>
        <v>880255</v>
      </c>
      <c r="DM95" s="243">
        <f>'Economic Data'!O121</f>
        <v>91343</v>
      </c>
      <c r="DN95" s="243">
        <f>'Economic Data'!P121</f>
        <v>18913</v>
      </c>
      <c r="DO95" s="243">
        <f>'Economic Data'!Q121</f>
        <v>700195</v>
      </c>
      <c r="DP95" s="243">
        <f>'Economic Data'!R121</f>
        <v>33925</v>
      </c>
      <c r="DQ95">
        <v>31</v>
      </c>
      <c r="DR95">
        <v>21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1</v>
      </c>
      <c r="EC95">
        <v>0</v>
      </c>
      <c r="ED95">
        <v>0</v>
      </c>
      <c r="EE95">
        <v>0</v>
      </c>
      <c r="EF95">
        <v>1</v>
      </c>
      <c r="EG95">
        <v>1</v>
      </c>
      <c r="EH95">
        <f t="shared" si="185"/>
        <v>94</v>
      </c>
      <c r="EI95">
        <v>0</v>
      </c>
      <c r="EJ95">
        <v>0</v>
      </c>
      <c r="EK95">
        <v>0.25</v>
      </c>
      <c r="EL95">
        <v>0</v>
      </c>
      <c r="EM95" s="47">
        <f t="shared" si="190"/>
        <v>0</v>
      </c>
      <c r="EN95" s="47">
        <f t="shared" si="191"/>
        <v>0</v>
      </c>
      <c r="EO95" s="47">
        <f t="shared" si="192"/>
        <v>0</v>
      </c>
      <c r="EP95" s="47">
        <f t="shared" si="193"/>
        <v>0</v>
      </c>
      <c r="EQ95" s="47">
        <f t="shared" si="194"/>
        <v>0</v>
      </c>
      <c r="ER95" s="47">
        <f t="shared" si="195"/>
        <v>0</v>
      </c>
      <c r="ES95" s="47">
        <f t="shared" si="196"/>
        <v>0</v>
      </c>
      <c r="ET95" s="47">
        <f t="shared" si="197"/>
        <v>0</v>
      </c>
      <c r="EU95" s="47">
        <f t="shared" si="198"/>
        <v>0</v>
      </c>
      <c r="EV95" s="47">
        <f t="shared" si="199"/>
        <v>0</v>
      </c>
      <c r="EW95" s="47">
        <f t="shared" si="200"/>
        <v>0</v>
      </c>
      <c r="EX95" s="47">
        <f t="shared" si="201"/>
        <v>0</v>
      </c>
      <c r="EY95" s="47">
        <f t="shared" si="202"/>
        <v>0</v>
      </c>
      <c r="EZ95" s="47">
        <f t="shared" si="203"/>
        <v>0</v>
      </c>
      <c r="FA95" s="47">
        <f t="shared" si="204"/>
        <v>65.462500000000006</v>
      </c>
      <c r="FB95" s="47">
        <f t="shared" si="205"/>
        <v>0</v>
      </c>
      <c r="FC95" s="47">
        <f t="shared" si="206"/>
        <v>51.788541666666667</v>
      </c>
      <c r="FD95" s="47">
        <f t="shared" si="207"/>
        <v>1.8260416666666677</v>
      </c>
      <c r="FE95" s="47">
        <f t="shared" si="208"/>
        <v>39.357291666666661</v>
      </c>
      <c r="FF95" s="47">
        <f t="shared" si="209"/>
        <v>4.8947916666666691</v>
      </c>
      <c r="FG95" s="47">
        <f t="shared" si="210"/>
        <v>27.795833333333331</v>
      </c>
      <c r="FH95" s="47">
        <f t="shared" si="211"/>
        <v>8.8333333333333357</v>
      </c>
      <c r="FI95" s="47">
        <f t="shared" si="212"/>
        <v>17.118750000000002</v>
      </c>
      <c r="FJ95" s="47">
        <f t="shared" si="213"/>
        <v>13.65625</v>
      </c>
      <c r="FK95" s="47">
        <f t="shared" si="214"/>
        <v>9.4447916666666671</v>
      </c>
      <c r="FL95" s="47">
        <f t="shared" si="215"/>
        <v>21.482291666666669</v>
      </c>
      <c r="FM95" s="47">
        <f t="shared" si="216"/>
        <v>4.4458333333333337</v>
      </c>
      <c r="FN95" s="47">
        <f t="shared" si="217"/>
        <v>31.983333333333341</v>
      </c>
      <c r="FO95" s="546">
        <f t="shared" ca="1" si="218"/>
        <v>635.26784023757523</v>
      </c>
      <c r="FP95" s="546">
        <f t="shared" ca="1" si="219"/>
        <v>572.19634426683479</v>
      </c>
      <c r="FQ95" s="546">
        <f t="shared" ca="1" si="220"/>
        <v>2300.8421922247876</v>
      </c>
      <c r="FR95" s="546">
        <f t="shared" ca="1" si="221"/>
        <v>76300.359650753657</v>
      </c>
      <c r="FS95" s="546">
        <f t="shared" ca="1" si="222"/>
        <v>1779637.9779727203</v>
      </c>
      <c r="FT95" s="546">
        <f t="shared" ca="1" si="223"/>
        <v>6173331.2340147048</v>
      </c>
      <c r="FU95" s="546">
        <f t="shared" si="224"/>
        <v>32.711361223648353</v>
      </c>
      <c r="FV95" s="546">
        <f t="shared" si="225"/>
        <v>70.366618636875046</v>
      </c>
      <c r="FW95" s="546">
        <f t="shared" si="226"/>
        <v>473.56564909170601</v>
      </c>
      <c r="FX95" s="546">
        <f t="shared" ca="1" si="227"/>
        <v>655.45988128793329</v>
      </c>
      <c r="FY95" s="546">
        <f t="shared" ca="1" si="228"/>
        <v>3426.4510321354451</v>
      </c>
      <c r="FZ95" s="546">
        <f t="shared" ca="1" si="229"/>
        <v>73281.594632159176</v>
      </c>
      <c r="GA95" s="546">
        <f t="shared" si="230"/>
        <v>110233.99974491422</v>
      </c>
      <c r="GB95" s="546">
        <f t="shared" si="231"/>
        <v>24.296374244290313</v>
      </c>
      <c r="GC95" s="546">
        <f t="shared" si="232"/>
        <v>61.09997421415558</v>
      </c>
      <c r="GD95" s="546">
        <f t="shared" si="233"/>
        <v>388.24996164242395</v>
      </c>
    </row>
    <row r="96" spans="1:186">
      <c r="A96" s="4">
        <v>45231</v>
      </c>
      <c r="B96" s="6">
        <v>2023</v>
      </c>
      <c r="C96" s="5">
        <v>11</v>
      </c>
      <c r="D96" s="7">
        <v>79615104.513507336</v>
      </c>
      <c r="E96" s="7">
        <f ca="1">IFERROR(VLOOKUP($B96-1,CDM!$V$4:$AJ$17,2,FALSE)/12,0)+IFERROR(VLOOKUP($B96,CDM!$V$41:$AJ$54,2,FALSE)/24,0)+IFERROR(VLOOKUP($B96,CDM!$V$41:$AJ$54,2,FALSE)/2*$C96/78,0)</f>
        <v>3848617.2011830597</v>
      </c>
      <c r="F96" s="7">
        <f t="shared" ca="1" si="165"/>
        <v>83463721.714690402</v>
      </c>
      <c r="G96" s="7">
        <f>IFERROR(HLOOKUP(B96-1,'EV Forecast VRZ'!$F$124:$T$130,2,FALSE)/12,0)+IFERROR(((HLOOKUP(B96,'EV Forecast VRZ'!$F$116:$T$122,2,FALSE)-HLOOKUP(B96-1,'EV Forecast VRZ'!$F$124:$T$130,2,FALSE)))*C96/78,0)</f>
        <v>949414.38443725125</v>
      </c>
      <c r="H96" s="7">
        <f ca="1">HLOOKUP(B96,Heating!$C$102:$O$106,2,FALSE)*INDEX(Weather!$BO$1:$CB$20,MATCH(B96,Weather!$BO$1:$BO$20,0),MATCH(C96,Weather!$BO$1:$CB$1,0))/VLOOKUP(B96,Weather!$BO$2:$CB$20,14,FALSE)*
VLOOKUP('Monthly Data'!$B96,Weather!$BO$3:$CB$20,14,FALSE)/Weather!$CB$14</f>
        <v>1331937.9956147047</v>
      </c>
      <c r="I96" s="7">
        <f t="shared" ca="1" si="166"/>
        <v>81182369.334638447</v>
      </c>
      <c r="J96" s="7">
        <v>967766.43796031293</v>
      </c>
      <c r="K96" s="7">
        <f ca="1">IFERROR(VLOOKUP($B96-1,CDM!$V$4:$AJ$17,3,FALSE)/12,0)+IFERROR(VLOOKUP($B96,CDM!$V$41:$AJ$54,3,FALSE)/24,0)+IFERROR(VLOOKUP($B96,CDM!$V$41:$AJ$54,3,FALSE)/2*$C96/78,0)</f>
        <v>44081.192878328402</v>
      </c>
      <c r="L96" s="7">
        <f t="shared" ca="1" si="167"/>
        <v>1011847.6308386413</v>
      </c>
      <c r="M96" s="7">
        <f>IFERROR(HLOOKUP(B96-1,'EV Forecast VRZ'!$F$124:$T$130,3,FALSE)/12,0)+IFERROR(((HLOOKUP(B96,'EV Forecast VRZ'!$F$116:$T$122,3,FALSE)-HLOOKUP(B96-1,'EV Forecast VRZ'!$F$124:$T$130,3,FALSE)))*C96/78,0)</f>
        <v>12882.738255056458</v>
      </c>
      <c r="N96" s="7">
        <f ca="1">HLOOKUP(B96,Heating!$C$102:$O$106,3,FALSE)*INDEX(Weather!$BO$1:$CB$20,MATCH(B96,Weather!$BO$1:$BO$20,0),MATCH(C96,Weather!$BO$1:$CB$1,0))/VLOOKUP(B96,Weather!$BO$2:$CB$20,14,FALSE)*
VLOOKUP('Monthly Data'!$B96,Weather!$BO$3:$CB$20,14,FALSE)/Weather!$CB$14</f>
        <v>16093.675625104119</v>
      </c>
      <c r="O96" s="7">
        <f t="shared" ca="1" si="168"/>
        <v>982871.21695848077</v>
      </c>
      <c r="P96" s="7">
        <v>21588606.574222475</v>
      </c>
      <c r="Q96" s="7">
        <f ca="1">IFERROR(VLOOKUP($B96-1,CDM!$V$4:$AJ$17,4,FALSE)/12,0)+IFERROR(VLOOKUP($B96,CDM!$V$41:$AJ$54,4,FALSE)/24,0)+IFERROR(VLOOKUP($B96,CDM!$V$41:$AJ$54,4,FALSE)/2*$C96/78,0)</f>
        <v>1586778.5388256935</v>
      </c>
      <c r="R96" s="7">
        <f t="shared" ca="1" si="169"/>
        <v>23175385.11304817</v>
      </c>
      <c r="S96" s="7">
        <f>IFERROR(HLOOKUP(B96-1,'EV Forecast VRZ'!$F$124:$T$130,4,FALSE)/12,0)+IFERROR(((HLOOKUP(B96,'EV Forecast VRZ'!$F$116:$T$122,4,FALSE)-HLOOKUP(B96-1,'EV Forecast VRZ'!$F$124:$T$130,4,FALSE)))*C96/78,0)</f>
        <v>118995.92846153845</v>
      </c>
      <c r="T96" s="7">
        <f ca="1">HLOOKUP(B96,Heating!$C$102:$O$106,4,FALSE)*INDEX(Weather!$BO$1:$CB$20,MATCH(B96,Weather!$BO$1:$BO$20,0),MATCH(C96,Weather!$BO$1:$CB$1,0))/VLOOKUP(B96,Weather!$BO$2:$CB$20,14,FALSE)*
VLOOKUP('Monthly Data'!$B96,Weather!$BO$3:$CB$20,14,FALSE)/Weather!$CB$14</f>
        <v>327169.86690907588</v>
      </c>
      <c r="U96" s="7">
        <f t="shared" ca="1" si="170"/>
        <v>22729219.317677557</v>
      </c>
      <c r="V96" s="7">
        <v>73298512.4264272</v>
      </c>
      <c r="W96" s="7">
        <f ca="1">IFERROR(VLOOKUP($B96-1,CDM!$V$4:$AJ$17,5,FALSE)/12,0)+IFERROR(VLOOKUP($B96,CDM!$V$41:$AJ$54,5,FALSE)/24,0)+IFERROR(VLOOKUP($B96,CDM!$V$41:$AJ$54,5,FALSE)/2*$C96/78,0)</f>
        <v>6578384.1028598063</v>
      </c>
      <c r="X96" s="7">
        <f t="shared" ca="1" si="171"/>
        <v>79876896.52928701</v>
      </c>
      <c r="Y96" s="7">
        <f>IFERROR(HLOOKUP(B96-1,'EV Forecast VRZ'!$F$124:$T$130,5,FALSE)/12,0)+IFERROR(((HLOOKUP(B96,'EV Forecast VRZ'!$F$116:$T$122,5,FALSE)-HLOOKUP(B96-1,'EV Forecast VRZ'!$F$124:$T$130,5,FALSE)))*C96/78,0)</f>
        <v>55243.103705128204</v>
      </c>
      <c r="Z96" s="7">
        <f ca="1">HLOOKUP(B96,Heating!$C$102:$O$106,5,FALSE)*INDEX(Weather!$BO$1:$CB$20,MATCH(B96,Weather!$BO$1:$BO$20,0),MATCH(C96,Weather!$BO$1:$CB$1,0))/VLOOKUP(B96,Weather!$BO$2:$CB$20,14,FALSE)*
VLOOKUP('Monthly Data'!$B96,Weather!$BO$3:$CB$20,14,FALSE)/Weather!$CB$14</f>
        <v>170907.1241425038</v>
      </c>
      <c r="AA96" s="7">
        <f t="shared" ca="1" si="172"/>
        <v>79650746.30143939</v>
      </c>
      <c r="AB96" s="7">
        <v>8425141.8392533418</v>
      </c>
      <c r="AC96" s="7">
        <f ca="1">IFERROR(VLOOKUP($B96-1,CDM!$V$4:$AJ$17,6,FALSE)/12,0)+IFERROR(VLOOKUP($B96,CDM!$V$41:$AJ$54,6,FALSE)/24,0)+IFERROR(VLOOKUP($B96,CDM!$V$41:$AJ$54,6,FALSE)/2*$C96/78,0)</f>
        <v>310263.22829501261</v>
      </c>
      <c r="AD96" s="7">
        <f t="shared" ca="1" si="173"/>
        <v>8735405.0675483551</v>
      </c>
      <c r="AE96" s="7">
        <f>IFERROR(HLOOKUP(B96-1,'EV Forecast VRZ'!$F$124:$T$130,6,FALSE)/12,0)+IFERROR(((HLOOKUP(B96,'EV Forecast VRZ'!$F$116:$T$122,6,FALSE)-HLOOKUP(B96-1,'EV Forecast VRZ'!$F$124:$T$130,6,FALSE)))*C96/78,0)</f>
        <v>7156.4630897435909</v>
      </c>
      <c r="AF96" s="7">
        <f t="shared" ca="1" si="174"/>
        <v>8728248.6044586115</v>
      </c>
      <c r="AG96" s="7">
        <v>26346028.982916232</v>
      </c>
      <c r="AH96" s="7">
        <f ca="1">IFERROR(VLOOKUP($B96-1,CDM!$V$4:$AJ$17,7,FALSE)/12,0)+IFERROR(VLOOKUP($B96,CDM!$V$41:$AJ$54,7,FALSE)/24,0)+IFERROR(VLOOKUP($B96,CDM!$V$41:$AJ$54,7,FALSE)/2*$C96/78,0)</f>
        <v>1891065.7848787</v>
      </c>
      <c r="AI96" s="7">
        <f t="shared" ca="1" si="175"/>
        <v>28237094.767794933</v>
      </c>
      <c r="AJ96" s="7">
        <f>IFERROR(HLOOKUP(B96-1,'EV Forecast VRZ'!$F$124:$T$130,7,FALSE)/12,0)+IFERROR(((HLOOKUP(B96,'EV Forecast VRZ'!$F$116:$T$122,7,FALSE)-HLOOKUP(B96-1,'EV Forecast VRZ'!$F$124:$T$130,7,FALSE)))*C96/78,0)</f>
        <v>619.23076923076928</v>
      </c>
      <c r="AK96" s="7">
        <f t="shared" ca="1" si="176"/>
        <v>28236475.537025701</v>
      </c>
      <c r="AL96" s="7">
        <v>1126113.4325510398</v>
      </c>
      <c r="AM96" s="7">
        <v>17457.91833619538</v>
      </c>
      <c r="AN96" s="7">
        <v>377561.22877313488</v>
      </c>
      <c r="AO96" s="5">
        <v>172902.92</v>
      </c>
      <c r="AP96" s="5">
        <v>18686.18</v>
      </c>
      <c r="AQ96" s="5">
        <v>42324.45</v>
      </c>
      <c r="AR96" s="5">
        <v>2618.92</v>
      </c>
      <c r="AS96" s="544">
        <f t="shared" si="236"/>
        <v>50.666666666666664</v>
      </c>
      <c r="AT96" s="557">
        <v>116306.75</v>
      </c>
      <c r="AU96" s="557">
        <v>1563.75</v>
      </c>
      <c r="AV96" s="557">
        <v>9495.25</v>
      </c>
      <c r="AW96" s="557">
        <v>1039.0833333333337</v>
      </c>
      <c r="AX96" s="557">
        <v>5</v>
      </c>
      <c r="AY96" s="557">
        <v>4.9166666666666634</v>
      </c>
      <c r="AZ96" s="557">
        <v>32329.916666666653</v>
      </c>
      <c r="BA96" s="557">
        <v>241.33333333333323</v>
      </c>
      <c r="BB96" s="557">
        <v>797.16666666666708</v>
      </c>
      <c r="BC96" s="560">
        <v>28041917.459489185</v>
      </c>
      <c r="BD96" s="560">
        <f ca="1">IFERROR(VLOOKUP($B96-1,CDM!$V$4:$AJ$17,11,FALSE)/12,0)+IFERROR(VLOOKUP($B96,CDM!$V$41:$AJ$54,11,FALSE)/24,0)+IFERROR(VLOOKUP($B96,CDM!$V$41:$AJ$54,11,FALSE)/2*$C96/78,0)</f>
        <v>1707608.3986578502</v>
      </c>
      <c r="BE96" s="560">
        <f t="shared" ca="1" si="188"/>
        <v>29749525.858147036</v>
      </c>
      <c r="BF96" s="560">
        <f>IFERROR(HLOOKUP(B96-1,'EV Forecast WRZ'!$F$124:$T$130,2,FALSE)/12,0)+IFERROR(((HLOOKUP(B96,'EV Forecast WRZ'!$F$116:$T$122,2,FALSE)-HLOOKUP(B96-1,'EV Forecast WRZ'!$F$124:$T$130,2,FALSE)))*C96/78,0)</f>
        <v>304998.67948717944</v>
      </c>
      <c r="BG96" s="560">
        <f ca="1">HLOOKUP(B96,Heating!$R$102:$AD$106,2,FALSE)*INDEX(Weather!$BO$1:$CB$20,MATCH(B96,Weather!$BO$1:$BO$20,0),MATCH(C96,Weather!$BO$1:$CB$1,0))/VLOOKUP(B96,Weather!$BO$2:$CB$20,14,FALSE)*
VLOOKUP('Monthly Data'!$B96,Weather!$BO$3:$CB$20,14,FALSE)/Weather!$CB$14</f>
        <v>597050.12206953554</v>
      </c>
      <c r="BH96" s="560">
        <f t="shared" ca="1" si="177"/>
        <v>28847477.056590322</v>
      </c>
      <c r="BI96" s="560">
        <v>6687970.9357088096</v>
      </c>
      <c r="BJ96" s="560">
        <f ca="1">IFERROR(VLOOKUP($B96-1,CDM!$V$4:$AJ$17,12,FALSE)/12,0)+IFERROR(VLOOKUP($B96,CDM!$V$41:$AJ$54,12,FALSE)/24,0)+IFERROR(VLOOKUP($B96,CDM!$V$41:$AJ$54,12,FALSE)/2*$C96/78,0)</f>
        <v>287111.32674398087</v>
      </c>
      <c r="BK96" s="560">
        <f t="shared" ca="1" si="178"/>
        <v>6975082.2624527905</v>
      </c>
      <c r="BL96" s="560">
        <f>IFERROR(HLOOKUP(B96-1,'EV Forecast WRZ'!$F$124:$T$130,3,FALSE)/12,0)+IFERROR(((HLOOKUP(B96,'EV Forecast WRZ'!$F$116:$T$122,3,FALSE)-HLOOKUP(B96-1,'EV Forecast WRZ'!$F$124:$T$130,3,FALSE)))*C96/78,0)</f>
        <v>38696.564102564109</v>
      </c>
      <c r="BM96" s="560">
        <f ca="1">HLOOKUP(B96,Heating!$R$102:$AD$106,4,FALSE)*INDEX(Weather!$BO$1:$CB$20,MATCH(B96,Weather!$BO$1:$BO$20,0),MATCH(C96,Weather!$BO$1:$CB$1,0))/VLOOKUP(B96,Weather!$BO$2:$CB$20,14,FALSE)*
VLOOKUP('Monthly Data'!$B96,Weather!$BO$3:$CB$20,14,FALSE)/Weather!$CB$14</f>
        <v>93509.971529676404</v>
      </c>
      <c r="BN96" s="560">
        <f t="shared" ca="1" si="179"/>
        <v>6842875.7268205499</v>
      </c>
      <c r="BO96" s="560">
        <v>26195991.238667063</v>
      </c>
      <c r="BP96" s="560">
        <f ca="1">IFERROR(VLOOKUP($B96-1,CDM!$V$4:$AJ$17,13,FALSE)/12,0)+IFERROR(VLOOKUP($B96,CDM!$V$41:$AJ$54,13,FALSE)/24,0)+IFERROR(VLOOKUP($B96,CDM!$V$41:$AJ$54,13,FALSE)/2*$C96/78,0)</f>
        <v>2805644.1548236893</v>
      </c>
      <c r="BQ96" s="560">
        <f t="shared" ca="1" si="180"/>
        <v>29001635.393490754</v>
      </c>
      <c r="BR96" s="560">
        <f>IFERROR(HLOOKUP(B96-1,'EV Forecast WRZ'!$F$124:$T$130,4,FALSE)/12,0)+IFERROR(((HLOOKUP(B96,'EV Forecast WRZ'!$F$116:$T$122,4,FALSE)-HLOOKUP(B96-1,'EV Forecast WRZ'!$F$124:$T$130,4,FALSE)))*C96/78,0)</f>
        <v>17325.312820512823</v>
      </c>
      <c r="BS96" s="560">
        <f ca="1">HLOOKUP(B96,Heating!$R$102:$AD$106,5,FALSE)*INDEX(Weather!$BO$1:$CB$20,MATCH(B96,Weather!$BO$1:$BO$20,0),MATCH(C96,Weather!$BO$1:$CB$1,0))/VLOOKUP(B96,Weather!$BO$2:$CB$20,14,FALSE)*
VLOOKUP('Monthly Data'!$B96,Weather!$BO$3:$CB$20,14,FALSE)/Weather!$CB$14</f>
        <v>50499.650246037483</v>
      </c>
      <c r="BT96" s="560">
        <f t="shared" ca="1" si="181"/>
        <v>28933810.430424202</v>
      </c>
      <c r="BU96" s="560">
        <v>6855837.6759884283</v>
      </c>
      <c r="BV96" s="560">
        <f ca="1">IFERROR(VLOOKUP($B96-1,CDM!$V$4:$AJ$17,14,FALSE)/12,0)+IFERROR(VLOOKUP($B96,CDM!$V$41:$AJ$54,14,FALSE)/24,0)+IFERROR(VLOOKUP($B96,CDM!$V$41:$AJ$54,14,FALSE)/2*$C96/78,0)</f>
        <v>631360.72446790047</v>
      </c>
      <c r="BW96" s="560">
        <f t="shared" ca="1" si="182"/>
        <v>7487198.4004563289</v>
      </c>
      <c r="BX96" s="560">
        <f>IFERROR(HLOOKUP(B96-1,'EV Forecast WRZ'!$F$124:$T$130,5,FALSE)/12,0)+IFERROR(((HLOOKUP(B96,'EV Forecast WRZ'!$F$116:$T$122,5,FALSE)-HLOOKUP(B96-1,'EV Forecast WRZ'!$F$124:$T$130,5,FALSE)))*C96/78,0)</f>
        <v>2605.3410256410257</v>
      </c>
      <c r="BY96" s="560">
        <f t="shared" ca="1" si="189"/>
        <v>7484593.0594306877</v>
      </c>
      <c r="BZ96" s="560">
        <v>352859.00133920024</v>
      </c>
      <c r="CA96" s="560">
        <v>2013.1050315668642</v>
      </c>
      <c r="CB96" s="560">
        <v>157860.98144251003</v>
      </c>
      <c r="CC96" s="5">
        <v>61210.29</v>
      </c>
      <c r="CD96" s="5">
        <v>13028.25</v>
      </c>
      <c r="CE96" s="5">
        <v>821</v>
      </c>
      <c r="CF96" s="544">
        <f t="shared" si="237"/>
        <v>7.666666666666667</v>
      </c>
      <c r="CG96" s="565">
        <v>45255.166666666693</v>
      </c>
      <c r="CH96" s="565">
        <v>2451.4166666666683</v>
      </c>
      <c r="CI96" s="565">
        <v>386.33333333333354</v>
      </c>
      <c r="CJ96" s="565">
        <v>3</v>
      </c>
      <c r="CK96" s="565">
        <v>13627.083333333327</v>
      </c>
      <c r="CL96" s="565">
        <v>46</v>
      </c>
      <c r="CM96" s="565">
        <v>405</v>
      </c>
      <c r="CN96" s="46">
        <f>Weather!C120</f>
        <v>510.59311594202899</v>
      </c>
      <c r="CO96" s="46">
        <f>Weather!D120</f>
        <v>0</v>
      </c>
      <c r="CP96" s="46">
        <f>Weather!E120</f>
        <v>450.59311594202899</v>
      </c>
      <c r="CQ96" s="46">
        <f>Weather!F120</f>
        <v>0</v>
      </c>
      <c r="CR96" s="46">
        <f>Weather!G120</f>
        <v>390.59311594202899</v>
      </c>
      <c r="CS96" s="46">
        <f>Weather!H120</f>
        <v>0</v>
      </c>
      <c r="CT96" s="46">
        <f>Weather!I120</f>
        <v>330.59311594202904</v>
      </c>
      <c r="CU96" s="46">
        <f>Weather!J120</f>
        <v>0</v>
      </c>
      <c r="CV96" s="46">
        <f>Weather!K120</f>
        <v>270.59311594202899</v>
      </c>
      <c r="CW96" s="46">
        <f>Weather!L120</f>
        <v>0</v>
      </c>
      <c r="CX96" s="46">
        <f>Weather!M120</f>
        <v>210.95561594202897</v>
      </c>
      <c r="CY96" s="46">
        <f>Weather!N120</f>
        <v>0.36249999999999893</v>
      </c>
      <c r="CZ96" s="46">
        <f>Weather!O120</f>
        <v>153.42644927536227</v>
      </c>
      <c r="DA96" s="46">
        <f>Weather!P120</f>
        <v>2.8333333333333304</v>
      </c>
      <c r="DB96" s="243">
        <f>'Economic Data'!D122</f>
        <v>8062.1</v>
      </c>
      <c r="DC96" s="243">
        <f>'Economic Data'!E122</f>
        <v>8046.2</v>
      </c>
      <c r="DD96" s="243">
        <f>'Economic Data'!F122</f>
        <v>236.9</v>
      </c>
      <c r="DE96" s="243">
        <f>'Economic Data'!G122</f>
        <v>235.3</v>
      </c>
      <c r="DF96" s="243">
        <f>'Economic Data'!H122</f>
        <v>56.9</v>
      </c>
      <c r="DG96" s="243">
        <f>'Economic Data'!I122</f>
        <v>56.9</v>
      </c>
      <c r="DH96" s="243">
        <f>'Economic Data'!J122</f>
        <v>865859.6</v>
      </c>
      <c r="DI96" s="243">
        <f>'Economic Data'!K122</f>
        <v>679067</v>
      </c>
      <c r="DJ96" s="243">
        <f>'Economic Data'!L122</f>
        <v>96987.199999999997</v>
      </c>
      <c r="DK96" s="243">
        <f>'Economic Data'!M122</f>
        <v>32826.199999999997</v>
      </c>
      <c r="DL96" s="243">
        <f>'Economic Data'!N122</f>
        <v>880255</v>
      </c>
      <c r="DM96" s="243">
        <f>'Economic Data'!O122</f>
        <v>91343</v>
      </c>
      <c r="DN96" s="243">
        <f>'Economic Data'!P122</f>
        <v>18913</v>
      </c>
      <c r="DO96" s="243">
        <f>'Economic Data'!Q122</f>
        <v>700195</v>
      </c>
      <c r="DP96" s="243">
        <f>'Economic Data'!R122</f>
        <v>33925</v>
      </c>
      <c r="DQ96">
        <v>30</v>
      </c>
      <c r="DR96">
        <v>22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1</v>
      </c>
      <c r="ED96">
        <v>0</v>
      </c>
      <c r="EE96">
        <v>0</v>
      </c>
      <c r="EF96">
        <v>1</v>
      </c>
      <c r="EG96">
        <v>1</v>
      </c>
      <c r="EH96">
        <f t="shared" si="185"/>
        <v>95</v>
      </c>
      <c r="EI96">
        <v>0</v>
      </c>
      <c r="EJ96">
        <v>0</v>
      </c>
      <c r="EK96">
        <v>0.25</v>
      </c>
      <c r="EL96">
        <v>0</v>
      </c>
      <c r="EM96" s="47">
        <f t="shared" si="190"/>
        <v>0</v>
      </c>
      <c r="EN96" s="47">
        <f t="shared" si="191"/>
        <v>0</v>
      </c>
      <c r="EO96" s="47">
        <f t="shared" si="192"/>
        <v>0</v>
      </c>
      <c r="EP96" s="47">
        <f t="shared" si="193"/>
        <v>0</v>
      </c>
      <c r="EQ96" s="47">
        <f t="shared" si="194"/>
        <v>0</v>
      </c>
      <c r="ER96" s="47">
        <f t="shared" si="195"/>
        <v>0</v>
      </c>
      <c r="ES96" s="47">
        <f t="shared" si="196"/>
        <v>0</v>
      </c>
      <c r="ET96" s="47">
        <f t="shared" si="197"/>
        <v>0</v>
      </c>
      <c r="EU96" s="47">
        <f t="shared" si="198"/>
        <v>0</v>
      </c>
      <c r="EV96" s="47">
        <f t="shared" si="199"/>
        <v>0</v>
      </c>
      <c r="EW96" s="47">
        <f t="shared" si="200"/>
        <v>0</v>
      </c>
      <c r="EX96" s="47">
        <f t="shared" si="201"/>
        <v>0</v>
      </c>
      <c r="EY96" s="47">
        <f t="shared" si="202"/>
        <v>0</v>
      </c>
      <c r="EZ96" s="47">
        <f t="shared" si="203"/>
        <v>0</v>
      </c>
      <c r="FA96" s="47">
        <f t="shared" si="204"/>
        <v>127.64827898550725</v>
      </c>
      <c r="FB96" s="47">
        <f t="shared" si="205"/>
        <v>0</v>
      </c>
      <c r="FC96" s="47">
        <f t="shared" si="206"/>
        <v>112.64827898550725</v>
      </c>
      <c r="FD96" s="47">
        <f t="shared" si="207"/>
        <v>0</v>
      </c>
      <c r="FE96" s="47">
        <f t="shared" si="208"/>
        <v>97.648278985507247</v>
      </c>
      <c r="FF96" s="47">
        <f t="shared" si="209"/>
        <v>0</v>
      </c>
      <c r="FG96" s="47">
        <f t="shared" si="210"/>
        <v>82.648278985507261</v>
      </c>
      <c r="FH96" s="47">
        <f t="shared" si="211"/>
        <v>0</v>
      </c>
      <c r="FI96" s="47">
        <f t="shared" si="212"/>
        <v>67.648278985507247</v>
      </c>
      <c r="FJ96" s="47">
        <f t="shared" si="213"/>
        <v>0</v>
      </c>
      <c r="FK96" s="47">
        <f t="shared" si="214"/>
        <v>52.738903985507243</v>
      </c>
      <c r="FL96" s="47">
        <f t="shared" si="215"/>
        <v>9.0624999999999734E-2</v>
      </c>
      <c r="FM96" s="47">
        <f t="shared" si="216"/>
        <v>38.356612318840568</v>
      </c>
      <c r="FN96" s="47">
        <f t="shared" si="217"/>
        <v>0.70833333333333259</v>
      </c>
      <c r="FO96" s="546">
        <f t="shared" ca="1" si="218"/>
        <v>698.00221685016948</v>
      </c>
      <c r="FP96" s="546">
        <f t="shared" ca="1" si="219"/>
        <v>647.06483187123342</v>
      </c>
      <c r="FQ96" s="546">
        <f t="shared" ca="1" si="220"/>
        <v>2440.7345897209834</v>
      </c>
      <c r="FR96" s="546">
        <f t="shared" ca="1" si="221"/>
        <v>76872.464379777346</v>
      </c>
      <c r="FS96" s="546">
        <f t="shared" ca="1" si="222"/>
        <v>1747081.013509671</v>
      </c>
      <c r="FT96" s="546">
        <f t="shared" ca="1" si="223"/>
        <v>5743137.9188735494</v>
      </c>
      <c r="FU96" s="546">
        <f t="shared" si="224"/>
        <v>34.83193118502853</v>
      </c>
      <c r="FV96" s="546">
        <f t="shared" si="225"/>
        <v>72.339440619594143</v>
      </c>
      <c r="FW96" s="546">
        <f t="shared" si="226"/>
        <v>473.62897190859462</v>
      </c>
      <c r="FX96" s="546">
        <f t="shared" ca="1" si="227"/>
        <v>657.37302609603364</v>
      </c>
      <c r="FY96" s="546">
        <f t="shared" ca="1" si="228"/>
        <v>2845.327094857852</v>
      </c>
      <c r="FZ96" s="546">
        <f t="shared" ca="1" si="229"/>
        <v>75068.944072883707</v>
      </c>
      <c r="GA96" s="546">
        <f t="shared" si="230"/>
        <v>117619.66711306675</v>
      </c>
      <c r="GB96" s="546">
        <f t="shared" si="231"/>
        <v>25.893949035746246</v>
      </c>
      <c r="GC96" s="546">
        <f t="shared" si="232"/>
        <v>43.763152860149219</v>
      </c>
      <c r="GD96" s="546">
        <f t="shared" si="233"/>
        <v>389.78020109261735</v>
      </c>
    </row>
    <row r="97" spans="1:186">
      <c r="A97" s="4">
        <v>45261</v>
      </c>
      <c r="B97" s="6">
        <v>2023</v>
      </c>
      <c r="C97" s="5">
        <v>12</v>
      </c>
      <c r="D97" s="7">
        <v>86927036.956707314</v>
      </c>
      <c r="E97" s="7">
        <f ca="1">IFERROR(VLOOKUP($B97-1,CDM!$V$4:$AJ$17,2,FALSE)/12,0)+IFERROR(VLOOKUP($B97,CDM!$V$41:$AJ$54,2,FALSE)/24,0)+IFERROR(VLOOKUP($B97,CDM!$V$41:$AJ$54,2,FALSE)/2*$C97/78,0)</f>
        <v>3848658.409871602</v>
      </c>
      <c r="F97" s="7">
        <f t="shared" ca="1" si="165"/>
        <v>90775695.366578922</v>
      </c>
      <c r="G97" s="7">
        <f>IFERROR(HLOOKUP(B97-1,'EV Forecast VRZ'!$F$124:$T$130,2,FALSE)/12,0)+IFERROR(((HLOOKUP(B97,'EV Forecast VRZ'!$F$116:$T$122,2,FALSE)-HLOOKUP(B97-1,'EV Forecast VRZ'!$F$124:$T$130,2,FALSE)))*C97/78,0)</f>
        <v>975955.25870892347</v>
      </c>
      <c r="H97" s="7">
        <f ca="1">HLOOKUP(B97,Heating!$C$102:$O$106,2,FALSE)*INDEX(Weather!$BO$1:$CB$20,MATCH(B97,Weather!$BO$1:$BO$20,0),MATCH(C97,Weather!$BO$1:$CB$1,0))/VLOOKUP(B97,Weather!$BO$2:$CB$20,14,FALSE)*
VLOOKUP('Monthly Data'!$B97,Weather!$BO$3:$CB$20,14,FALSE)/Weather!$CB$14</f>
        <v>1447475.038274199</v>
      </c>
      <c r="I97" s="7">
        <f t="shared" ca="1" si="166"/>
        <v>88352265.069595799</v>
      </c>
      <c r="J97" s="7">
        <v>1129486.2762831522</v>
      </c>
      <c r="K97" s="7">
        <f ca="1">IFERROR(VLOOKUP($B97-1,CDM!$V$4:$AJ$17,3,FALSE)/12,0)+IFERROR(VLOOKUP($B97,CDM!$V$41:$AJ$54,3,FALSE)/24,0)+IFERROR(VLOOKUP($B97,CDM!$V$41:$AJ$54,3,FALSE)/2*$C97/78,0)</f>
        <v>44081.658440700121</v>
      </c>
      <c r="L97" s="7">
        <f t="shared" ca="1" si="167"/>
        <v>1173567.9347238522</v>
      </c>
      <c r="M97" s="7">
        <f>IFERROR(HLOOKUP(B97-1,'EV Forecast VRZ'!$F$124:$T$130,3,FALSE)/12,0)+IFERROR(((HLOOKUP(B97,'EV Forecast VRZ'!$F$116:$T$122,3,FALSE)-HLOOKUP(B97-1,'EV Forecast VRZ'!$F$124:$T$130,3,FALSE)))*C97/78,0)</f>
        <v>13242.875137230389</v>
      </c>
      <c r="N97" s="7">
        <f ca="1">HLOOKUP(B97,Heating!$C$102:$O$106,3,FALSE)*INDEX(Weather!$BO$1:$CB$20,MATCH(B97,Weather!$BO$1:$BO$20,0),MATCH(C97,Weather!$BO$1:$CB$1,0))/VLOOKUP(B97,Weather!$BO$2:$CB$20,14,FALSE)*
VLOOKUP('Monthly Data'!$B97,Weather!$BO$3:$CB$20,14,FALSE)/Weather!$CB$14</f>
        <v>17489.698332893586</v>
      </c>
      <c r="O97" s="7">
        <f t="shared" ca="1" si="168"/>
        <v>1142835.3612537282</v>
      </c>
      <c r="P97" s="7">
        <v>21179657.134144247</v>
      </c>
      <c r="Q97" s="7">
        <f ca="1">IFERROR(VLOOKUP($B97-1,CDM!$V$4:$AJ$17,4,FALSE)/12,0)+IFERROR(VLOOKUP($B97,CDM!$V$41:$AJ$54,4,FALSE)/24,0)+IFERROR(VLOOKUP($B97,CDM!$V$41:$AJ$54,4,FALSE)/2*$C97/78,0)</f>
        <v>1590676.1805353565</v>
      </c>
      <c r="R97" s="7">
        <f t="shared" ca="1" si="169"/>
        <v>22770333.314679604</v>
      </c>
      <c r="S97" s="7">
        <f>IFERROR(HLOOKUP(B97-1,'EV Forecast VRZ'!$F$124:$T$130,4,FALSE)/12,0)+IFERROR(((HLOOKUP(B97,'EV Forecast VRZ'!$F$116:$T$122,4,FALSE)-HLOOKUP(B97-1,'EV Forecast VRZ'!$F$124:$T$130,4,FALSE)))*C97/78,0)</f>
        <v>122423.64923076922</v>
      </c>
      <c r="T97" s="7">
        <f ca="1">HLOOKUP(B97,Heating!$C$102:$O$106,4,FALSE)*INDEX(Weather!$BO$1:$CB$20,MATCH(B97,Weather!$BO$1:$BO$20,0),MATCH(C97,Weather!$BO$1:$CB$1,0))/VLOOKUP(B97,Weather!$BO$2:$CB$20,14,FALSE)*
VLOOKUP('Monthly Data'!$B97,Weather!$BO$3:$CB$20,14,FALSE)/Weather!$CB$14</f>
        <v>355549.74569805036</v>
      </c>
      <c r="U97" s="7">
        <f t="shared" ca="1" si="170"/>
        <v>22292359.919750784</v>
      </c>
      <c r="V97" s="7">
        <v>73064701.991202444</v>
      </c>
      <c r="W97" s="7">
        <f ca="1">IFERROR(VLOOKUP($B97-1,CDM!$V$4:$AJ$17,5,FALSE)/12,0)+IFERROR(VLOOKUP($B97,CDM!$V$41:$AJ$54,5,FALSE)/24,0)+IFERROR(VLOOKUP($B97,CDM!$V$41:$AJ$54,5,FALSE)/2*$C97/78,0)</f>
        <v>6606575.6719077537</v>
      </c>
      <c r="X97" s="7">
        <f t="shared" ca="1" si="171"/>
        <v>79671277.663110197</v>
      </c>
      <c r="Y97" s="7">
        <f>IFERROR(HLOOKUP(B97-1,'EV Forecast VRZ'!$F$124:$T$130,5,FALSE)/12,0)+IFERROR(((HLOOKUP(B97,'EV Forecast VRZ'!$F$116:$T$122,5,FALSE)-HLOOKUP(B97-1,'EV Forecast VRZ'!$F$124:$T$130,5,FALSE)))*C97/78,0)</f>
        <v>56886.860102564096</v>
      </c>
      <c r="Z97" s="7">
        <f ca="1">HLOOKUP(B97,Heating!$C$102:$O$106,5,FALSE)*INDEX(Weather!$BO$1:$CB$20,MATCH(B97,Weather!$BO$1:$BO$20,0),MATCH(C97,Weather!$BO$1:$CB$1,0))/VLOOKUP(B97,Weather!$BO$2:$CB$20,14,FALSE)*
VLOOKUP('Monthly Data'!$B97,Weather!$BO$3:$CB$20,14,FALSE)/Weather!$CB$14</f>
        <v>185732.21641997944</v>
      </c>
      <c r="AA97" s="7">
        <f t="shared" ca="1" si="172"/>
        <v>79428658.586587653</v>
      </c>
      <c r="AB97" s="7">
        <v>8323601.7007983318</v>
      </c>
      <c r="AC97" s="7">
        <f ca="1">IFERROR(VLOOKUP($B97-1,CDM!$V$4:$AJ$17,6,FALSE)/12,0)+IFERROR(VLOOKUP($B97,CDM!$V$41:$AJ$54,6,FALSE)/24,0)+IFERROR(VLOOKUP($B97,CDM!$V$41:$AJ$54,6,FALSE)/2*$C97/78,0)</f>
        <v>312431.26764045481</v>
      </c>
      <c r="AD97" s="7">
        <f t="shared" ca="1" si="173"/>
        <v>8636032.9684387874</v>
      </c>
      <c r="AE97" s="7">
        <f>IFERROR(HLOOKUP(B97-1,'EV Forecast VRZ'!$F$124:$T$130,6,FALSE)/12,0)+IFERROR(((HLOOKUP(B97,'EV Forecast VRZ'!$F$116:$T$122,6,FALSE)-HLOOKUP(B97-1,'EV Forecast VRZ'!$F$124:$T$130,6,FALSE)))*C97/78,0)</f>
        <v>7369.515794871797</v>
      </c>
      <c r="AF97" s="7">
        <f t="shared" ca="1" si="174"/>
        <v>8628663.452643916</v>
      </c>
      <c r="AG97" s="7">
        <v>25674838.641355388</v>
      </c>
      <c r="AH97" s="7">
        <f ca="1">IFERROR(VLOOKUP($B97-1,CDM!$V$4:$AJ$17,7,FALSE)/12,0)+IFERROR(VLOOKUP($B97,CDM!$V$41:$AJ$54,7,FALSE)/24,0)+IFERROR(VLOOKUP($B97,CDM!$V$41:$AJ$54,7,FALSE)/2*$C97/78,0)</f>
        <v>1899714.5393803294</v>
      </c>
      <c r="AI97" s="7">
        <f t="shared" ca="1" si="175"/>
        <v>27574553.180735718</v>
      </c>
      <c r="AJ97" s="7">
        <f>IFERROR(HLOOKUP(B97-1,'EV Forecast VRZ'!$F$124:$T$130,7,FALSE)/12,0)+IFERROR(((HLOOKUP(B97,'EV Forecast VRZ'!$F$116:$T$122,7,FALSE)-HLOOKUP(B97-1,'EV Forecast VRZ'!$F$124:$T$130,7,FALSE)))*C97/78,0)</f>
        <v>659.61538461538464</v>
      </c>
      <c r="AK97" s="7">
        <f t="shared" ca="1" si="176"/>
        <v>27573893.565351103</v>
      </c>
      <c r="AL97" s="7">
        <v>1298529.402785728</v>
      </c>
      <c r="AM97" s="7">
        <v>19901.555046746809</v>
      </c>
      <c r="AN97" s="7">
        <v>377411.67716084712</v>
      </c>
      <c r="AO97" s="5">
        <v>174542.84</v>
      </c>
      <c r="AP97" s="5">
        <v>18846.810000000001</v>
      </c>
      <c r="AQ97" s="5">
        <v>42165.07</v>
      </c>
      <c r="AR97" s="5">
        <v>2792.61</v>
      </c>
      <c r="AS97" s="544">
        <f t="shared" si="236"/>
        <v>50.666666666666664</v>
      </c>
      <c r="AT97" s="557">
        <v>116444</v>
      </c>
      <c r="AU97" s="557">
        <v>1564</v>
      </c>
      <c r="AV97" s="557">
        <v>9497</v>
      </c>
      <c r="AW97" s="557">
        <v>1041</v>
      </c>
      <c r="AX97" s="557">
        <v>5</v>
      </c>
      <c r="AY97" s="557">
        <v>5</v>
      </c>
      <c r="AZ97" s="557">
        <v>32374</v>
      </c>
      <c r="BA97" s="557">
        <v>241</v>
      </c>
      <c r="BB97" s="557">
        <v>797</v>
      </c>
      <c r="BC97" s="560">
        <v>31610341.798306961</v>
      </c>
      <c r="BD97" s="560">
        <f ca="1">IFERROR(VLOOKUP($B97-1,CDM!$V$4:$AJ$17,11,FALSE)/12,0)+IFERROR(VLOOKUP($B97,CDM!$V$41:$AJ$54,11,FALSE)/24,0)+IFERROR(VLOOKUP($B97,CDM!$V$41:$AJ$54,11,FALSE)/2*$C97/78,0)</f>
        <v>1707957.9821164156</v>
      </c>
      <c r="BE97" s="560">
        <f t="shared" ca="1" si="188"/>
        <v>33318299.780423377</v>
      </c>
      <c r="BF97" s="560">
        <f>IFERROR(HLOOKUP(B97-1,'EV Forecast WRZ'!$F$124:$T$130,2,FALSE)/12,0)+IFERROR(((HLOOKUP(B97,'EV Forecast WRZ'!$F$116:$T$122,2,FALSE)-HLOOKUP(B97-1,'EV Forecast WRZ'!$F$124:$T$130,2,FALSE)))*C97/78,0)</f>
        <v>313976.74974358972</v>
      </c>
      <c r="BG97" s="560">
        <f ca="1">HLOOKUP(B97,Heating!$R$102:$AD$106,2,FALSE)*INDEX(Weather!$BO$1:$CB$20,MATCH(B97,Weather!$BO$1:$BO$20,0),MATCH(C97,Weather!$BO$1:$CB$1,0))/VLOOKUP(B97,Weather!$BO$2:$CB$20,14,FALSE)*
VLOOKUP('Monthly Data'!$B97,Weather!$BO$3:$CB$20,14,FALSE)/Weather!$CB$14</f>
        <v>648840.37480691494</v>
      </c>
      <c r="BH97" s="560">
        <f t="shared" ca="1" si="177"/>
        <v>32355482.655872874</v>
      </c>
      <c r="BI97" s="560">
        <v>7008998.3874497795</v>
      </c>
      <c r="BJ97" s="560">
        <f ca="1">IFERROR(VLOOKUP($B97-1,CDM!$V$4:$AJ$17,12,FALSE)/12,0)+IFERROR(VLOOKUP($B97,CDM!$V$41:$AJ$54,12,FALSE)/24,0)+IFERROR(VLOOKUP($B97,CDM!$V$41:$AJ$54,12,FALSE)/2*$C97/78,0)</f>
        <v>288575.72867120185</v>
      </c>
      <c r="BK97" s="560">
        <f t="shared" ca="1" si="178"/>
        <v>7297574.1161209811</v>
      </c>
      <c r="BL97" s="560">
        <f>IFERROR(HLOOKUP(B97-1,'EV Forecast WRZ'!$F$124:$T$130,3,FALSE)/12,0)+IFERROR(((HLOOKUP(B97,'EV Forecast WRZ'!$F$116:$T$122,3,FALSE)-HLOOKUP(B97-1,'EV Forecast WRZ'!$F$124:$T$130,3,FALSE)))*C97/78,0)</f>
        <v>39877.242051282054</v>
      </c>
      <c r="BM97" s="560">
        <f ca="1">HLOOKUP(B97,Heating!$R$102:$AD$106,4,FALSE)*INDEX(Weather!$BO$1:$CB$20,MATCH(B97,Weather!$BO$1:$BO$20,0),MATCH(C97,Weather!$BO$1:$CB$1,0))/VLOOKUP(B97,Weather!$BO$2:$CB$20,14,FALSE)*
VLOOKUP('Monthly Data'!$B97,Weather!$BO$3:$CB$20,14,FALSE)/Weather!$CB$14</f>
        <v>101621.35930094139</v>
      </c>
      <c r="BN97" s="560">
        <f t="shared" ca="1" si="179"/>
        <v>7156075.5147687579</v>
      </c>
      <c r="BO97" s="560">
        <v>26878698.135094564</v>
      </c>
      <c r="BP97" s="560">
        <f ca="1">IFERROR(VLOOKUP($B97-1,CDM!$V$4:$AJ$17,13,FALSE)/12,0)+IFERROR(VLOOKUP($B97,CDM!$V$41:$AJ$54,13,FALSE)/24,0)+IFERROR(VLOOKUP($B97,CDM!$V$41:$AJ$54,13,FALSE)/2*$C97/78,0)</f>
        <v>2820491.6003790111</v>
      </c>
      <c r="BQ97" s="560">
        <f t="shared" ca="1" si="180"/>
        <v>29699189.735473577</v>
      </c>
      <c r="BR97" s="560">
        <f>IFERROR(HLOOKUP(B97-1,'EV Forecast WRZ'!$F$124:$T$130,4,FALSE)/12,0)+IFERROR(((HLOOKUP(B97,'EV Forecast WRZ'!$F$116:$T$122,4,FALSE)-HLOOKUP(B97-1,'EV Forecast WRZ'!$F$124:$T$130,4,FALSE)))*C97/78,0)</f>
        <v>17849.021743589743</v>
      </c>
      <c r="BS97" s="560">
        <f ca="1">HLOOKUP(B97,Heating!$R$102:$AD$106,5,FALSE)*INDEX(Weather!$BO$1:$CB$20,MATCH(B97,Weather!$BO$1:$BO$20,0),MATCH(C97,Weather!$BO$1:$CB$1,0))/VLOOKUP(B97,Weather!$BO$2:$CB$20,14,FALSE)*
VLOOKUP('Monthly Data'!$B97,Weather!$BO$3:$CB$20,14,FALSE)/Weather!$CB$14</f>
        <v>54880.169657583552</v>
      </c>
      <c r="BT97" s="560">
        <f t="shared" ca="1" si="181"/>
        <v>29626460.544072405</v>
      </c>
      <c r="BU97" s="560">
        <v>6887316.5284474455</v>
      </c>
      <c r="BV97" s="560">
        <f ca="1">IFERROR(VLOOKUP($B97-1,CDM!$V$4:$AJ$17,14,FALSE)/12,0)+IFERROR(VLOOKUP($B97,CDM!$V$41:$AJ$54,14,FALSE)/24,0)+IFERROR(VLOOKUP($B97,CDM!$V$41:$AJ$54,14,FALSE)/2*$C97/78,0)</f>
        <v>634722.16780002008</v>
      </c>
      <c r="BW97" s="560">
        <f t="shared" ca="1" si="182"/>
        <v>7522038.6962474659</v>
      </c>
      <c r="BX97" s="560">
        <f>IFERROR(HLOOKUP(B97-1,'EV Forecast WRZ'!$F$124:$T$130,5,FALSE)/12,0)+IFERROR(((HLOOKUP(B97,'EV Forecast WRZ'!$F$116:$T$122,5,FALSE)-HLOOKUP(B97-1,'EV Forecast WRZ'!$F$124:$T$130,5,FALSE)))*C97/78,0)</f>
        <v>2691.2018461538464</v>
      </c>
      <c r="BY97" s="560">
        <f t="shared" ca="1" si="189"/>
        <v>7519347.4944013124</v>
      </c>
      <c r="BZ97" s="560">
        <v>381685.0009565716</v>
      </c>
      <c r="CA97" s="560">
        <v>2403.9602066194752</v>
      </c>
      <c r="CB97" s="560">
        <v>159117.97398125118</v>
      </c>
      <c r="CC97" s="5">
        <v>60133.71</v>
      </c>
      <c r="CD97" s="5">
        <v>13799.61</v>
      </c>
      <c r="CE97" s="5">
        <v>821</v>
      </c>
      <c r="CF97" s="544">
        <f t="shared" si="237"/>
        <v>7.666666666666667</v>
      </c>
      <c r="CG97" s="565">
        <v>45324</v>
      </c>
      <c r="CH97" s="565">
        <v>2455</v>
      </c>
      <c r="CI97" s="565">
        <v>387</v>
      </c>
      <c r="CJ97" s="565">
        <v>3</v>
      </c>
      <c r="CK97" s="565">
        <v>13643</v>
      </c>
      <c r="CL97" s="565">
        <v>46</v>
      </c>
      <c r="CM97" s="565">
        <v>406</v>
      </c>
      <c r="CN97" s="46">
        <f>Weather!C121</f>
        <v>551.67916666666667</v>
      </c>
      <c r="CO97" s="46">
        <f>Weather!D121</f>
        <v>0</v>
      </c>
      <c r="CP97" s="46">
        <f>Weather!E121</f>
        <v>489.67916666666667</v>
      </c>
      <c r="CQ97" s="46">
        <f>Weather!F121</f>
        <v>0</v>
      </c>
      <c r="CR97" s="46">
        <f>Weather!G121</f>
        <v>427.67916666666667</v>
      </c>
      <c r="CS97" s="46">
        <f>Weather!H121</f>
        <v>0</v>
      </c>
      <c r="CT97" s="46">
        <f>Weather!I121</f>
        <v>365.67916666666667</v>
      </c>
      <c r="CU97" s="46">
        <f>Weather!J121</f>
        <v>0</v>
      </c>
      <c r="CV97" s="46">
        <f>Weather!K121</f>
        <v>303.67916666666667</v>
      </c>
      <c r="CW97" s="46">
        <f>Weather!L121</f>
        <v>0</v>
      </c>
      <c r="CX97" s="46">
        <f>Weather!M121</f>
        <v>241.67916666666659</v>
      </c>
      <c r="CY97" s="46">
        <f>Weather!N121</f>
        <v>0</v>
      </c>
      <c r="CZ97" s="46">
        <f>Weather!O121</f>
        <v>180.36666666666662</v>
      </c>
      <c r="DA97" s="46">
        <f>Weather!P121</f>
        <v>0.68750000000000178</v>
      </c>
      <c r="DB97" s="243">
        <f>'Economic Data'!D123</f>
        <v>8052.5</v>
      </c>
      <c r="DC97" s="243">
        <f>'Economic Data'!E123</f>
        <v>8049</v>
      </c>
      <c r="DD97" s="243">
        <f>'Economic Data'!F123</f>
        <v>239.3</v>
      </c>
      <c r="DE97" s="243">
        <f>'Economic Data'!G123</f>
        <v>238.8</v>
      </c>
      <c r="DF97" s="243">
        <f>'Economic Data'!H123</f>
        <v>50</v>
      </c>
      <c r="DG97" s="243">
        <f>'Economic Data'!I123</f>
        <v>50</v>
      </c>
      <c r="DH97" s="243">
        <f>'Economic Data'!J123</f>
        <v>865859.6</v>
      </c>
      <c r="DI97" s="243">
        <f>'Economic Data'!K123</f>
        <v>679067</v>
      </c>
      <c r="DJ97" s="243">
        <f>'Economic Data'!L123</f>
        <v>96987.199999999997</v>
      </c>
      <c r="DK97" s="243">
        <f>'Economic Data'!M123</f>
        <v>32826.199999999997</v>
      </c>
      <c r="DL97" s="243">
        <f>'Economic Data'!N123</f>
        <v>880255</v>
      </c>
      <c r="DM97" s="243">
        <f>'Economic Data'!O123</f>
        <v>91343</v>
      </c>
      <c r="DN97" s="243">
        <f>'Economic Data'!P123</f>
        <v>18913</v>
      </c>
      <c r="DO97" s="243">
        <f>'Economic Data'!Q123</f>
        <v>700195</v>
      </c>
      <c r="DP97" s="243">
        <f>'Economic Data'!R123</f>
        <v>33925</v>
      </c>
      <c r="DQ97">
        <v>31</v>
      </c>
      <c r="DR97">
        <v>19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1</v>
      </c>
      <c r="EE97">
        <v>0</v>
      </c>
      <c r="EF97">
        <v>0</v>
      </c>
      <c r="EG97">
        <v>0</v>
      </c>
      <c r="EH97">
        <f t="shared" si="185"/>
        <v>96</v>
      </c>
      <c r="EI97">
        <v>0</v>
      </c>
      <c r="EJ97">
        <v>0</v>
      </c>
      <c r="EK97">
        <v>0.25</v>
      </c>
      <c r="EL97">
        <v>0</v>
      </c>
      <c r="EM97" s="47">
        <f t="shared" si="190"/>
        <v>0</v>
      </c>
      <c r="EN97" s="47">
        <f t="shared" si="191"/>
        <v>0</v>
      </c>
      <c r="EO97" s="47">
        <f t="shared" si="192"/>
        <v>0</v>
      </c>
      <c r="EP97" s="47">
        <f t="shared" si="193"/>
        <v>0</v>
      </c>
      <c r="EQ97" s="47">
        <f t="shared" si="194"/>
        <v>0</v>
      </c>
      <c r="ER97" s="47">
        <f t="shared" si="195"/>
        <v>0</v>
      </c>
      <c r="ES97" s="47">
        <f t="shared" si="196"/>
        <v>0</v>
      </c>
      <c r="ET97" s="47">
        <f t="shared" si="197"/>
        <v>0</v>
      </c>
      <c r="EU97" s="47">
        <f t="shared" si="198"/>
        <v>0</v>
      </c>
      <c r="EV97" s="47">
        <f t="shared" si="199"/>
        <v>0</v>
      </c>
      <c r="EW97" s="47">
        <f t="shared" si="200"/>
        <v>0</v>
      </c>
      <c r="EX97" s="47">
        <f t="shared" si="201"/>
        <v>0</v>
      </c>
      <c r="EY97" s="47">
        <f t="shared" si="202"/>
        <v>0</v>
      </c>
      <c r="EZ97" s="47">
        <f t="shared" si="203"/>
        <v>0</v>
      </c>
      <c r="FA97" s="47">
        <f t="shared" si="204"/>
        <v>137.91979166666667</v>
      </c>
      <c r="FB97" s="47">
        <f t="shared" si="205"/>
        <v>0</v>
      </c>
      <c r="FC97" s="47">
        <f t="shared" si="206"/>
        <v>122.41979166666667</v>
      </c>
      <c r="FD97" s="47">
        <f t="shared" si="207"/>
        <v>0</v>
      </c>
      <c r="FE97" s="47">
        <f t="shared" si="208"/>
        <v>106.91979166666667</v>
      </c>
      <c r="FF97" s="47">
        <f t="shared" si="209"/>
        <v>0</v>
      </c>
      <c r="FG97" s="47">
        <f t="shared" si="210"/>
        <v>91.419791666666669</v>
      </c>
      <c r="FH97" s="47">
        <f t="shared" si="211"/>
        <v>0</v>
      </c>
      <c r="FI97" s="47">
        <f t="shared" si="212"/>
        <v>75.919791666666669</v>
      </c>
      <c r="FJ97" s="47">
        <f t="shared" si="213"/>
        <v>0</v>
      </c>
      <c r="FK97" s="47">
        <f t="shared" si="214"/>
        <v>60.419791666666647</v>
      </c>
      <c r="FL97" s="47">
        <f t="shared" si="215"/>
        <v>0</v>
      </c>
      <c r="FM97" s="47">
        <f t="shared" si="216"/>
        <v>45.091666666666654</v>
      </c>
      <c r="FN97" s="47">
        <f t="shared" si="217"/>
        <v>0.17187500000000044</v>
      </c>
      <c r="FO97" s="546">
        <f t="shared" ca="1" si="218"/>
        <v>758.75326396891035</v>
      </c>
      <c r="FP97" s="546">
        <f t="shared" ca="1" si="219"/>
        <v>750.36312961883129</v>
      </c>
      <c r="FQ97" s="546">
        <f t="shared" ca="1" si="220"/>
        <v>2397.6343387048123</v>
      </c>
      <c r="FR97" s="546">
        <f t="shared" ca="1" si="221"/>
        <v>76533.407937665892</v>
      </c>
      <c r="FS97" s="546">
        <f t="shared" ca="1" si="222"/>
        <v>1727206.5936877574</v>
      </c>
      <c r="FT97" s="546">
        <f t="shared" ca="1" si="223"/>
        <v>5514910.6361471433</v>
      </c>
      <c r="FU97" s="546">
        <f t="shared" si="224"/>
        <v>40.110255229064308</v>
      </c>
      <c r="FV97" s="546">
        <f t="shared" si="225"/>
        <v>82.579066584011656</v>
      </c>
      <c r="FW97" s="546">
        <f t="shared" si="226"/>
        <v>473.54037284924357</v>
      </c>
      <c r="FX97" s="546">
        <f t="shared" ca="1" si="227"/>
        <v>735.11384212389407</v>
      </c>
      <c r="FY97" s="546">
        <f t="shared" ca="1" si="228"/>
        <v>2972.5352815156743</v>
      </c>
      <c r="FZ97" s="546">
        <f t="shared" ca="1" si="229"/>
        <v>76742.092339725001</v>
      </c>
      <c r="GA97" s="546">
        <f t="shared" si="230"/>
        <v>127228.33365219053</v>
      </c>
      <c r="GB97" s="546">
        <f t="shared" si="231"/>
        <v>27.976618115998797</v>
      </c>
      <c r="GC97" s="546">
        <f t="shared" si="232"/>
        <v>52.26000449172772</v>
      </c>
      <c r="GD97" s="546">
        <f t="shared" si="233"/>
        <v>391.91619207204724</v>
      </c>
    </row>
    <row r="98" spans="1:186">
      <c r="A98" s="4">
        <v>45292</v>
      </c>
      <c r="B98" s="6">
        <v>2024</v>
      </c>
      <c r="C98" s="5">
        <v>1</v>
      </c>
      <c r="D98" s="7">
        <v>92826586.736683786</v>
      </c>
      <c r="E98" s="7">
        <f ca="1">IFERROR(VLOOKUP($B98-1,CDM!$V$4:$AJ$17,2,FALSE)/12,0)+IFERROR(VLOOKUP($B98,CDM!$V$41:$AJ$54,2,FALSE)/24,0)+IFERROR(VLOOKUP($B98,CDM!$V$41:$AJ$54,2,FALSE)/2*$C98/78,0)</f>
        <v>3969581.3780945861</v>
      </c>
      <c r="F98" s="7">
        <f t="shared" ca="1" si="165"/>
        <v>96796168.11477837</v>
      </c>
      <c r="G98" s="7">
        <f>IFERROR(HLOOKUP(B98-1,'EV Forecast VRZ'!$F$124:$T$130,2,FALSE)/12,0)+IFERROR(((HLOOKUP(B98,'EV Forecast VRZ'!$F$116:$T$122,2,FALSE)-HLOOKUP(B98-1,'EV Forecast VRZ'!$F$124:$T$130,2,FALSE)))*C98/78,0)</f>
        <v>1034537.6559909475</v>
      </c>
      <c r="H98" s="7">
        <f ca="1">HLOOKUP(B98,Heating!$C$102:$O$106,2,FALSE)*INDEX(Weather!$BO$1:$CB$20,MATCH(B98,Weather!$BO$1:$BO$20,0),MATCH(C98,Weather!$BO$1:$CB$1,0))/VLOOKUP(B98,Weather!$BO$2:$CB$20,14,FALSE)*
VLOOKUP('Monthly Data'!$B98,Weather!$BO$3:$CB$20,14,FALSE)/Weather!$CB$14</f>
        <v>2439159.8056478119</v>
      </c>
      <c r="I98" s="7">
        <f t="shared" ca="1" si="166"/>
        <v>93322470.653139621</v>
      </c>
      <c r="J98" s="7">
        <v>1261309.065962153</v>
      </c>
      <c r="K98" s="7">
        <f ca="1">IFERROR(VLOOKUP($B98-1,CDM!$V$4:$AJ$17,3,FALSE)/12,0)+IFERROR(VLOOKUP($B98,CDM!$V$41:$AJ$54,3,FALSE)/24,0)+IFERROR(VLOOKUP($B98,CDM!$V$41:$AJ$54,3,FALSE)/2*$C98/78,0)</f>
        <v>45466.170795190024</v>
      </c>
      <c r="L98" s="7">
        <f t="shared" ref="L98:L109" ca="1" si="238">J98+K98</f>
        <v>1306775.2367573429</v>
      </c>
      <c r="M98" s="7">
        <f>IFERROR(HLOOKUP(B98-1,'EV Forecast VRZ'!$F$124:$T$130,3,FALSE)/12,0)+IFERROR(((HLOOKUP(B98,'EV Forecast VRZ'!$F$116:$T$122,3,FALSE)-HLOOKUP(B98-1,'EV Forecast VRZ'!$F$124:$T$130,3,FALSE)))*C98/78,0)</f>
        <v>14037.787983411237</v>
      </c>
      <c r="N98" s="7">
        <f ca="1">HLOOKUP(B98,Heating!$C$102:$O$106,3,FALSE)*INDEX(Weather!$BO$1:$CB$20,MATCH(B98,Weather!$BO$1:$BO$20,0),MATCH(C98,Weather!$BO$1:$CB$1,0))/VLOOKUP(B98,Weather!$BO$2:$CB$20,14,FALSE)*
VLOOKUP('Monthly Data'!$B98,Weather!$BO$3:$CB$20,14,FALSE)/Weather!$CB$14</f>
        <v>28818.052490866019</v>
      </c>
      <c r="O98" s="7">
        <f t="shared" ca="1" si="168"/>
        <v>1263919.3962830657</v>
      </c>
      <c r="P98" s="7">
        <v>22885075.832376584</v>
      </c>
      <c r="Q98" s="7">
        <f ca="1">IFERROR(VLOOKUP($B98-1,CDM!$V$4:$AJ$17,4,FALSE)/12,0)+IFERROR(VLOOKUP($B98,CDM!$V$41:$AJ$54,4,FALSE)/24,0)+IFERROR(VLOOKUP($B98,CDM!$V$41:$AJ$54,4,FALSE)/2*$C98/78,0)</f>
        <v>1635835.8597275852</v>
      </c>
      <c r="R98" s="7">
        <f t="shared" ref="R98:R109" ca="1" si="239">P98+Q98</f>
        <v>24520911.692104168</v>
      </c>
      <c r="S98" s="7">
        <f>IFERROR(HLOOKUP(B98-1,'EV Forecast VRZ'!$F$124:$T$130,4,FALSE)/12,0)+IFERROR(((HLOOKUP(B98,'EV Forecast VRZ'!$F$116:$T$122,4,FALSE)-HLOOKUP(B98-1,'EV Forecast VRZ'!$F$124:$T$130,4,FALSE)))*C98/78,0)</f>
        <v>130180.36897435896</v>
      </c>
      <c r="T98" s="7">
        <f ca="1">HLOOKUP(B98,Heating!$C$102:$O$106,4,FALSE)*INDEX(Weather!$BO$1:$CB$20,MATCH(B98,Weather!$BO$1:$BO$20,0),MATCH(C98,Weather!$BO$1:$CB$1,0))/VLOOKUP(B98,Weather!$BO$2:$CB$20,14,FALSE)*
VLOOKUP('Monthly Data'!$B98,Weather!$BO$3:$CB$20,14,FALSE)/Weather!$CB$14</f>
        <v>584360.05349141837</v>
      </c>
      <c r="U98" s="7">
        <f t="shared" ca="1" si="170"/>
        <v>23806371.269638393</v>
      </c>
      <c r="V98" s="7">
        <v>81832264.909859106</v>
      </c>
      <c r="W98" s="7">
        <f ca="1">IFERROR(VLOOKUP($B98-1,CDM!$V$4:$AJ$17,5,FALSE)/12,0)+IFERROR(VLOOKUP($B98,CDM!$V$41:$AJ$54,5,FALSE)/24,0)+IFERROR(VLOOKUP($B98,CDM!$V$41:$AJ$54,5,FALSE)/2*$C98/78,0)</f>
        <v>6772592.9459009636</v>
      </c>
      <c r="X98" s="7">
        <f t="shared" ref="X98:X109" ca="1" si="240">V98+W98</f>
        <v>88604857.855760068</v>
      </c>
      <c r="Y98" s="7">
        <f>IFERROR(HLOOKUP(B98-1,'EV Forecast VRZ'!$F$124:$T$130,5,FALSE)/12,0)+IFERROR(((HLOOKUP(B98,'EV Forecast VRZ'!$F$116:$T$122,5,FALSE)-HLOOKUP(B98-1,'EV Forecast VRZ'!$F$124:$T$130,5,FALSE)))*C98/78,0)</f>
        <v>60698.858346153844</v>
      </c>
      <c r="Z98" s="7">
        <f ca="1">HLOOKUP(B98,Heating!$C$102:$O$106,5,FALSE)*INDEX(Weather!$BO$1:$CB$20,MATCH(B98,Weather!$BO$1:$BO$20,0),MATCH(C98,Weather!$BO$1:$CB$1,0))/VLOOKUP(B98,Weather!$BO$2:$CB$20,14,FALSE)*
VLOOKUP('Monthly Data'!$B98,Weather!$BO$3:$CB$20,14,FALSE)/Weather!$CB$14</f>
        <v>304349.1764150692</v>
      </c>
      <c r="AA98" s="7">
        <f t="shared" ca="1" si="172"/>
        <v>88239809.820998847</v>
      </c>
      <c r="AB98" s="7">
        <v>8375669.3663465595</v>
      </c>
      <c r="AC98" s="7">
        <f ca="1">IFERROR(VLOOKUP($B98-1,CDM!$V$4:$AJ$17,6,FALSE)/12,0)+IFERROR(VLOOKUP($B98,CDM!$V$41:$AJ$54,6,FALSE)/24,0)+IFERROR(VLOOKUP($B98,CDM!$V$41:$AJ$54,6,FALSE)/2*$C98/78,0)</f>
        <v>331777.40266009734</v>
      </c>
      <c r="AD98" s="7">
        <f t="shared" ref="AD98:AD109" ca="1" si="241">AB98+AC98</f>
        <v>8707446.7690066565</v>
      </c>
      <c r="AE98" s="7">
        <f>IFERROR(HLOOKUP(B98-1,'EV Forecast VRZ'!$F$124:$T$130,6,FALSE)/12,0)+IFERROR(((HLOOKUP(B98,'EV Forecast VRZ'!$F$116:$T$122,6,FALSE)-HLOOKUP(B98-1,'EV Forecast VRZ'!$F$124:$T$130,6,FALSE)))*C98/78,0)</f>
        <v>7866.3261410256418</v>
      </c>
      <c r="AF98" s="7">
        <f t="shared" ca="1" si="174"/>
        <v>8699580.4428656306</v>
      </c>
      <c r="AG98" s="7">
        <v>26536637.338150974</v>
      </c>
      <c r="AH98" s="7">
        <f ca="1">IFERROR(VLOOKUP($B98-1,CDM!$V$4:$AJ$17,7,FALSE)/12,0)+IFERROR(VLOOKUP($B98,CDM!$V$41:$AJ$54,7,FALSE)/24,0)+IFERROR(VLOOKUP($B98,CDM!$V$41:$AJ$54,7,FALSE)/2*$C98/78,0)</f>
        <v>1950820.557386925</v>
      </c>
      <c r="AI98" s="7">
        <f t="shared" ref="AI98:AI109" ca="1" si="242">AG98+AH98</f>
        <v>28487457.895537898</v>
      </c>
      <c r="AJ98" s="7">
        <f>IFERROR(HLOOKUP(B98-1,'EV Forecast VRZ'!$F$124:$T$130,7,FALSE)/12,0)+IFERROR(((HLOOKUP(B98,'EV Forecast VRZ'!$F$116:$T$122,7,FALSE)-HLOOKUP(B98-1,'EV Forecast VRZ'!$F$124:$T$130,7,FALSE)))*C98/78,0)</f>
        <v>790.38461538461536</v>
      </c>
      <c r="AK98" s="7">
        <f t="shared" ca="1" si="176"/>
        <v>28486667.510922514</v>
      </c>
      <c r="AL98" s="7">
        <v>1271188.6949055523</v>
      </c>
      <c r="AM98" s="7">
        <v>7279.3073840870065</v>
      </c>
      <c r="AN98" s="7">
        <v>377453.46307956491</v>
      </c>
      <c r="AO98" s="5">
        <v>180418.75</v>
      </c>
      <c r="AP98" s="5">
        <v>17414.82</v>
      </c>
      <c r="AQ98" s="5">
        <v>43245.49</v>
      </c>
      <c r="AR98" s="5">
        <v>2795.94</v>
      </c>
      <c r="AS98" s="544">
        <f>602/12</f>
        <v>50.166666666666664</v>
      </c>
      <c r="AT98" s="557">
        <v>116599.75</v>
      </c>
      <c r="AU98" s="557">
        <v>1563.6666666666667</v>
      </c>
      <c r="AV98" s="557">
        <v>9497.75</v>
      </c>
      <c r="AW98" s="557">
        <v>1043.8333333333333</v>
      </c>
      <c r="AX98" s="557">
        <v>5</v>
      </c>
      <c r="AY98" s="557">
        <v>5</v>
      </c>
      <c r="AZ98" s="557">
        <v>32426.833333333332</v>
      </c>
      <c r="BA98" s="557">
        <v>240.58333333333334</v>
      </c>
      <c r="BB98" s="557">
        <v>792.83333333333337</v>
      </c>
      <c r="BC98" s="560">
        <v>32611180.688930407</v>
      </c>
      <c r="BD98" s="560">
        <f ca="1">IFERROR(VLOOKUP($B98-1,CDM!$V$4:$AJ$17,11,FALSE)/12,0)+IFERROR(VLOOKUP($B98,CDM!$V$41:$AJ$54,11,FALSE)/24,0)+IFERROR(VLOOKUP($B98,CDM!$V$41:$AJ$54,11,FALSE)/2*$C98/78,0)</f>
        <v>1753910.0358925422</v>
      </c>
      <c r="BE98" s="560">
        <f t="shared" ca="1" si="188"/>
        <v>34365090.724822946</v>
      </c>
      <c r="BF98" s="560">
        <f>IFERROR(HLOOKUP(B98-1,'EV Forecast WRZ'!$F$124:$T$130,2,FALSE)/12,0)+IFERROR(((HLOOKUP(B98,'EV Forecast WRZ'!$F$116:$T$122,2,FALSE)-HLOOKUP(B98-1,'EV Forecast WRZ'!$F$124:$T$130,2,FALSE)))*C98/78,0)</f>
        <v>335438.17820512818</v>
      </c>
      <c r="BG98" s="560">
        <f ca="1">HLOOKUP(B98,Heating!$R$102:$AD$106,2,FALSE)*INDEX(Weather!$BO$1:$CB$20,MATCH(B98,Weather!$BO$1:$BO$20,0),MATCH(C98,Weather!$BO$1:$CB$1,0))/VLOOKUP(B98,Weather!$BO$2:$CB$20,14,FALSE)*
VLOOKUP('Monthly Data'!$B98,Weather!$BO$3:$CB$20,14,FALSE)/Weather!$CB$14</f>
        <v>1072314.9058152314</v>
      </c>
      <c r="BH98" s="560">
        <f t="shared" ca="1" si="177"/>
        <v>32957337.640802588</v>
      </c>
      <c r="BI98" s="560">
        <v>8025171.09954473</v>
      </c>
      <c r="BJ98" s="560">
        <f ca="1">IFERROR(VLOOKUP($B98-1,CDM!$V$4:$AJ$17,12,FALSE)/12,0)+IFERROR(VLOOKUP($B98,CDM!$V$41:$AJ$54,12,FALSE)/24,0)+IFERROR(VLOOKUP($B98,CDM!$V$41:$AJ$54,12,FALSE)/2*$C98/78,0)</f>
        <v>300598.06324564136</v>
      </c>
      <c r="BK98" s="560">
        <f t="shared" ref="BK98:BK109" ca="1" si="243">BI98+BJ98</f>
        <v>8325769.1627903711</v>
      </c>
      <c r="BL98" s="560">
        <f>IFERROR(HLOOKUP(B98-1,'EV Forecast WRZ'!$F$124:$T$130,3,FALSE)/12,0)+IFERROR(((HLOOKUP(B98,'EV Forecast WRZ'!$F$116:$T$122,3,FALSE)-HLOOKUP(B98-1,'EV Forecast WRZ'!$F$124:$T$130,3,FALSE)))*C98/78,0)</f>
        <v>43015.351282051284</v>
      </c>
      <c r="BM98" s="560">
        <f ca="1">HLOOKUP(B98,Heating!$R$102:$AD$106,4,FALSE)*INDEX(Weather!$BO$1:$CB$20,MATCH(B98,Weather!$BO$1:$BO$20,0),MATCH(C98,Weather!$BO$1:$CB$1,0))/VLOOKUP(B98,Weather!$BO$2:$CB$20,14,FALSE)*
VLOOKUP('Monthly Data'!$B98,Weather!$BO$3:$CB$20,14,FALSE)/Weather!$CB$14</f>
        <v>170228.98663334688</v>
      </c>
      <c r="BN98" s="560">
        <f t="shared" ca="1" si="179"/>
        <v>8112524.8248749729</v>
      </c>
      <c r="BO98" s="560">
        <v>29046052.082858</v>
      </c>
      <c r="BP98" s="560">
        <f ca="1">IFERROR(VLOOKUP($B98-1,CDM!$V$4:$AJ$17,13,FALSE)/12,0)+IFERROR(VLOOKUP($B98,CDM!$V$41:$AJ$54,13,FALSE)/24,0)+IFERROR(VLOOKUP($B98,CDM!$V$41:$AJ$54,13,FALSE)/2*$C98/78,0)</f>
        <v>2908289.338998571</v>
      </c>
      <c r="BQ98" s="560">
        <f t="shared" ref="BQ98:BQ109" ca="1" si="244">BO98+BP98</f>
        <v>31954341.421856571</v>
      </c>
      <c r="BR98" s="560">
        <f>IFERROR(HLOOKUP(B98-1,'EV Forecast WRZ'!$F$124:$T$130,4,FALSE)/12,0)+IFERROR(((HLOOKUP(B98,'EV Forecast WRZ'!$F$116:$T$122,4,FALSE)-HLOOKUP(B98-1,'EV Forecast WRZ'!$F$124:$T$130,4,FALSE)))*C98/78,0)</f>
        <v>19221.427307692309</v>
      </c>
      <c r="BS98" s="560">
        <f ca="1">HLOOKUP(B98,Heating!$R$102:$AD$106,5,FALSE)*INDEX(Weather!$BO$1:$CB$20,MATCH(B98,Weather!$BO$1:$BO$20,0),MATCH(C98,Weather!$BO$1:$CB$1,0))/VLOOKUP(B98,Weather!$BO$2:$CB$20,14,FALSE)*
VLOOKUP('Monthly Data'!$B98,Weather!$BO$3:$CB$20,14,FALSE)/Weather!$CB$14</f>
        <v>90108.024816185512</v>
      </c>
      <c r="BT98" s="560">
        <f t="shared" ca="1" si="181"/>
        <v>31845011.969732694</v>
      </c>
      <c r="BU98" s="560">
        <v>7171909.6721311482</v>
      </c>
      <c r="BV98" s="560">
        <f ca="1">IFERROR(VLOOKUP($B98-1,CDM!$V$4:$AJ$17,14,FALSE)/12,0)+IFERROR(VLOOKUP($B98,CDM!$V$41:$AJ$54,14,FALSE)/24,0)+IFERROR(VLOOKUP($B98,CDM!$V$41:$AJ$54,14,FALSE)/2*$C98/78,0)</f>
        <v>654798.97052238684</v>
      </c>
      <c r="BW98" s="560">
        <f t="shared" ref="BW98:BW109" ca="1" si="245">BU98+BV98</f>
        <v>7826708.6426535351</v>
      </c>
      <c r="BX98" s="560">
        <f>IFERROR(HLOOKUP(B98-1,'EV Forecast WRZ'!$F$124:$T$130,5,FALSE)/12,0)+IFERROR(((HLOOKUP(B98,'EV Forecast WRZ'!$F$116:$T$122,5,FALSE)-HLOOKUP(B98-1,'EV Forecast WRZ'!$F$124:$T$130,5,FALSE)))*C98/78,0)</f>
        <v>2978.5560256410258</v>
      </c>
      <c r="BY98" s="560">
        <f t="shared" ca="1" si="189"/>
        <v>7823730.0866278941</v>
      </c>
      <c r="BZ98" s="560">
        <v>373203.00363497221</v>
      </c>
      <c r="CA98" s="560">
        <v>511.49799119954082</v>
      </c>
      <c r="CB98" s="560">
        <v>159118.02180983356</v>
      </c>
      <c r="CC98" s="5">
        <v>63430.67</v>
      </c>
      <c r="CD98" s="5">
        <v>15299.73</v>
      </c>
      <c r="CE98" s="5">
        <v>821</v>
      </c>
      <c r="CF98" s="544">
        <f>83/12</f>
        <v>6.916666666666667</v>
      </c>
      <c r="CG98" s="565">
        <v>45354.25</v>
      </c>
      <c r="CH98" s="565">
        <v>2456.5</v>
      </c>
      <c r="CI98" s="565">
        <v>387.25</v>
      </c>
      <c r="CJ98" s="565">
        <v>3</v>
      </c>
      <c r="CK98" s="565">
        <v>13653</v>
      </c>
      <c r="CL98" s="565">
        <v>45.916666666666664</v>
      </c>
      <c r="CM98" s="565">
        <v>404.5</v>
      </c>
      <c r="CN98" s="46">
        <f>Weather!C122</f>
        <v>698.99583333333328</v>
      </c>
      <c r="CO98" s="46">
        <f>Weather!D122</f>
        <v>0</v>
      </c>
      <c r="CP98" s="46">
        <f>Weather!E122</f>
        <v>636.99583333333339</v>
      </c>
      <c r="CQ98" s="46">
        <f>Weather!F122</f>
        <v>0</v>
      </c>
      <c r="CR98" s="46">
        <f>Weather!G122</f>
        <v>574.99583333333339</v>
      </c>
      <c r="CS98" s="46">
        <f>Weather!H122</f>
        <v>0</v>
      </c>
      <c r="CT98" s="46">
        <f>Weather!I122</f>
        <v>512.99583333333328</v>
      </c>
      <c r="CU98" s="46">
        <f>Weather!J122</f>
        <v>0</v>
      </c>
      <c r="CV98" s="46">
        <f>Weather!K122</f>
        <v>450.99583333333322</v>
      </c>
      <c r="CW98" s="46">
        <f>Weather!L122</f>
        <v>0</v>
      </c>
      <c r="CX98" s="46">
        <f>Weather!M122</f>
        <v>388.99583333333317</v>
      </c>
      <c r="CY98" s="46">
        <f>Weather!N122</f>
        <v>0</v>
      </c>
      <c r="CZ98" s="46">
        <f>Weather!O122</f>
        <v>326.99583333333317</v>
      </c>
      <c r="DA98" s="46">
        <f>Weather!P122</f>
        <v>0</v>
      </c>
      <c r="DB98" s="243">
        <f>'Economic Data'!D124</f>
        <v>8051</v>
      </c>
      <c r="DC98" s="243">
        <f>'Economic Data'!E124</f>
        <v>8019.7</v>
      </c>
      <c r="DD98" s="243">
        <f>'Economic Data'!F124</f>
        <v>241.4</v>
      </c>
      <c r="DE98" s="243">
        <f>'Economic Data'!G124</f>
        <v>242.1</v>
      </c>
      <c r="DF98" s="243">
        <f>'Economic Data'!H124</f>
        <v>46.4</v>
      </c>
      <c r="DG98" s="243">
        <f>'Economic Data'!I124</f>
        <v>46.4</v>
      </c>
      <c r="DH98" s="243">
        <f>'Economic Data'!J124</f>
        <v>876619.7</v>
      </c>
      <c r="DI98" s="243">
        <f>'Economic Data'!K124</f>
        <v>694601.3</v>
      </c>
      <c r="DJ98" s="243">
        <f>'Economic Data'!L124</f>
        <v>92436.4</v>
      </c>
      <c r="DK98" s="243">
        <f>'Economic Data'!M124</f>
        <v>33851.4</v>
      </c>
      <c r="DL98" s="243">
        <f>'Economic Data'!N124</f>
        <v>885802</v>
      </c>
      <c r="DM98" s="243">
        <f>'Economic Data'!O124</f>
        <v>90917</v>
      </c>
      <c r="DN98" s="243">
        <f>'Economic Data'!P124</f>
        <v>18172</v>
      </c>
      <c r="DO98" s="243">
        <f>'Economic Data'!Q124</f>
        <v>705815</v>
      </c>
      <c r="DP98" s="243">
        <f>'Economic Data'!R124</f>
        <v>34312</v>
      </c>
      <c r="DQ98">
        <v>31</v>
      </c>
      <c r="DR98">
        <v>22</v>
      </c>
      <c r="DS98">
        <f>DS86</f>
        <v>1</v>
      </c>
      <c r="DT98">
        <f t="shared" ref="DT98:ED98" si="246">DT86</f>
        <v>0</v>
      </c>
      <c r="DU98">
        <f t="shared" si="246"/>
        <v>0</v>
      </c>
      <c r="DV98">
        <f t="shared" si="246"/>
        <v>0</v>
      </c>
      <c r="DW98">
        <f t="shared" si="246"/>
        <v>0</v>
      </c>
      <c r="DX98">
        <f t="shared" si="246"/>
        <v>0</v>
      </c>
      <c r="DY98">
        <f t="shared" si="246"/>
        <v>0</v>
      </c>
      <c r="DZ98">
        <f t="shared" si="246"/>
        <v>0</v>
      </c>
      <c r="EA98">
        <f t="shared" si="246"/>
        <v>0</v>
      </c>
      <c r="EB98">
        <f t="shared" si="246"/>
        <v>0</v>
      </c>
      <c r="EC98">
        <f t="shared" si="246"/>
        <v>0</v>
      </c>
      <c r="ED98">
        <f t="shared" si="246"/>
        <v>0</v>
      </c>
      <c r="EE98">
        <f t="shared" ref="EE98:EF98" si="247">EE86</f>
        <v>0</v>
      </c>
      <c r="EF98">
        <f t="shared" si="247"/>
        <v>0</v>
      </c>
      <c r="EG98">
        <f>EE98+EF98</f>
        <v>0</v>
      </c>
      <c r="EH98">
        <f t="shared" si="185"/>
        <v>97</v>
      </c>
      <c r="EI98">
        <v>0</v>
      </c>
      <c r="EJ98">
        <v>0</v>
      </c>
      <c r="EK98">
        <v>0.25</v>
      </c>
      <c r="EL98">
        <v>0</v>
      </c>
      <c r="EM98" s="47">
        <f t="shared" si="190"/>
        <v>0</v>
      </c>
      <c r="EN98" s="47">
        <f t="shared" si="191"/>
        <v>0</v>
      </c>
      <c r="EO98" s="47">
        <f t="shared" si="192"/>
        <v>0</v>
      </c>
      <c r="EP98" s="47">
        <f t="shared" si="193"/>
        <v>0</v>
      </c>
      <c r="EQ98" s="47">
        <f t="shared" si="194"/>
        <v>0</v>
      </c>
      <c r="ER98" s="47">
        <f t="shared" si="195"/>
        <v>0</v>
      </c>
      <c r="ES98" s="47">
        <f t="shared" si="196"/>
        <v>0</v>
      </c>
      <c r="ET98" s="47">
        <f t="shared" si="197"/>
        <v>0</v>
      </c>
      <c r="EU98" s="47">
        <f t="shared" si="198"/>
        <v>0</v>
      </c>
      <c r="EV98" s="47">
        <f t="shared" si="199"/>
        <v>0</v>
      </c>
      <c r="EW98" s="47">
        <f t="shared" si="200"/>
        <v>0</v>
      </c>
      <c r="EX98" s="47">
        <f t="shared" si="201"/>
        <v>0</v>
      </c>
      <c r="EY98" s="47">
        <f t="shared" si="202"/>
        <v>0</v>
      </c>
      <c r="EZ98" s="47">
        <f t="shared" si="203"/>
        <v>0</v>
      </c>
      <c r="FA98" s="47">
        <f t="shared" si="204"/>
        <v>174.74895833333332</v>
      </c>
      <c r="FB98" s="47">
        <f t="shared" si="205"/>
        <v>0</v>
      </c>
      <c r="FC98" s="47">
        <f t="shared" si="206"/>
        <v>159.24895833333335</v>
      </c>
      <c r="FD98" s="47">
        <f t="shared" si="207"/>
        <v>0</v>
      </c>
      <c r="FE98" s="47">
        <f t="shared" si="208"/>
        <v>143.74895833333335</v>
      </c>
      <c r="FF98" s="47">
        <f t="shared" si="209"/>
        <v>0</v>
      </c>
      <c r="FG98" s="47">
        <f t="shared" si="210"/>
        <v>128.24895833333332</v>
      </c>
      <c r="FH98" s="47">
        <f t="shared" si="211"/>
        <v>0</v>
      </c>
      <c r="FI98" s="47">
        <f t="shared" si="212"/>
        <v>112.74895833333331</v>
      </c>
      <c r="FJ98" s="47">
        <f t="shared" si="213"/>
        <v>0</v>
      </c>
      <c r="FK98" s="47">
        <f t="shared" si="214"/>
        <v>97.248958333333292</v>
      </c>
      <c r="FL98" s="47">
        <f t="shared" si="215"/>
        <v>0</v>
      </c>
      <c r="FM98" s="47">
        <f t="shared" si="216"/>
        <v>81.748958333333292</v>
      </c>
      <c r="FN98" s="47">
        <f t="shared" si="217"/>
        <v>0</v>
      </c>
      <c r="FO98" s="546">
        <f t="shared" ca="1" si="218"/>
        <v>800.36595835874107</v>
      </c>
      <c r="FP98" s="546">
        <f t="shared" ca="1" si="219"/>
        <v>835.71215311703872</v>
      </c>
      <c r="FQ98" s="546">
        <f t="shared" ca="1" si="220"/>
        <v>2581.7600686588053</v>
      </c>
      <c r="FR98" s="546">
        <f t="shared" ca="1" si="221"/>
        <v>84884.104603953441</v>
      </c>
      <c r="FS98" s="546">
        <f t="shared" ca="1" si="222"/>
        <v>1741489.3538013312</v>
      </c>
      <c r="FT98" s="546">
        <f t="shared" ca="1" si="223"/>
        <v>5697491.5791075798</v>
      </c>
      <c r="FU98" s="546">
        <f t="shared" si="224"/>
        <v>39.201752506583098</v>
      </c>
      <c r="FV98" s="546">
        <f t="shared" si="225"/>
        <v>30.256906341892648</v>
      </c>
      <c r="FW98" s="546">
        <f t="shared" si="226"/>
        <v>476.08172765974132</v>
      </c>
      <c r="FX98" s="546">
        <f t="shared" ca="1" si="227"/>
        <v>757.70386953423213</v>
      </c>
      <c r="FY98" s="546">
        <f t="shared" ca="1" si="228"/>
        <v>3389.2811572523392</v>
      </c>
      <c r="FZ98" s="546">
        <f t="shared" ca="1" si="229"/>
        <v>82516.05273558831</v>
      </c>
      <c r="GA98" s="546">
        <f t="shared" si="230"/>
        <v>124401.00121165741</v>
      </c>
      <c r="GB98" s="546">
        <f t="shared" si="231"/>
        <v>27.334871723062491</v>
      </c>
      <c r="GC98" s="546">
        <f t="shared" si="232"/>
        <v>11.139702167685099</v>
      </c>
      <c r="GD98" s="546">
        <f t="shared" si="233"/>
        <v>393.36964600700509</v>
      </c>
    </row>
    <row r="99" spans="1:186">
      <c r="A99" s="4">
        <v>45323</v>
      </c>
      <c r="B99" s="6">
        <v>2024</v>
      </c>
      <c r="C99" s="5">
        <v>2</v>
      </c>
      <c r="D99" s="7">
        <v>80096326.507686049</v>
      </c>
      <c r="E99" s="7">
        <f ca="1">IFERROR(VLOOKUP($B99-1,CDM!$V$4:$AJ$17,2,FALSE)/12,0)+IFERROR(VLOOKUP($B99,CDM!$V$41:$AJ$54,2,FALSE)/24,0)+IFERROR(VLOOKUP($B99,CDM!$V$41:$AJ$54,2,FALSE)/2*$C99/78,0)</f>
        <v>3985734.660229248</v>
      </c>
      <c r="F99" s="7">
        <f t="shared" ca="1" si="165"/>
        <v>84082061.1679153</v>
      </c>
      <c r="G99" s="7">
        <f>IFERROR(HLOOKUP(B99-1,'EV Forecast VRZ'!$F$124:$T$130,2,FALSE)/12,0)+IFERROR(((HLOOKUP(B99,'EV Forecast VRZ'!$F$116:$T$122,2,FALSE)-HLOOKUP(B99-1,'EV Forecast VRZ'!$F$124:$T$130,2,FALSE)))*C99/78,0)</f>
        <v>1066579.1790012997</v>
      </c>
      <c r="H99" s="7">
        <f ca="1">HLOOKUP(B99,Heating!$C$102:$O$106,2,FALSE)*INDEX(Weather!$BO$1:$CB$20,MATCH(B99,Weather!$BO$1:$BO$20,0),MATCH(C99,Weather!$BO$1:$CB$1,0))/VLOOKUP(B99,Weather!$BO$2:$CB$20,14,FALSE)*
VLOOKUP('Monthly Data'!$B99,Weather!$BO$3:$CB$20,14,FALSE)/Weather!$CB$14</f>
        <v>2079106.9577481379</v>
      </c>
      <c r="I99" s="7">
        <f t="shared" ca="1" si="166"/>
        <v>80936375.031165853</v>
      </c>
      <c r="J99" s="7">
        <v>1173326.1126721017</v>
      </c>
      <c r="K99" s="7">
        <f ca="1">IFERROR(VLOOKUP($B99-1,CDM!$V$4:$AJ$17,3,FALSE)/12,0)+IFERROR(VLOOKUP($B99,CDM!$V$41:$AJ$54,3,FALSE)/24,0)+IFERROR(VLOOKUP($B99,CDM!$V$41:$AJ$54,3,FALSE)/2*$C99/78,0)</f>
        <v>45651.113854861273</v>
      </c>
      <c r="L99" s="7">
        <f t="shared" ca="1" si="238"/>
        <v>1218977.2265269631</v>
      </c>
      <c r="M99" s="7">
        <f>IFERROR(HLOOKUP(B99-1,'EV Forecast VRZ'!$F$124:$T$130,3,FALSE)/12,0)+IFERROR(((HLOOKUP(B99,'EV Forecast VRZ'!$F$116:$T$122,3,FALSE)-HLOOKUP(B99-1,'EV Forecast VRZ'!$F$124:$T$130,3,FALSE)))*C99/78,0)</f>
        <v>14472.563947418148</v>
      </c>
      <c r="N99" s="7">
        <f ca="1">HLOOKUP(B99,Heating!$C$102:$O$106,3,FALSE)*INDEX(Weather!$BO$1:$CB$20,MATCH(B99,Weather!$BO$1:$BO$20,0),MATCH(C99,Weather!$BO$1:$CB$1,0))/VLOOKUP(B99,Weather!$BO$2:$CB$20,14,FALSE)*
VLOOKUP('Monthly Data'!$B99,Weather!$BO$3:$CB$20,14,FALSE)/Weather!$CB$14</f>
        <v>24564.11970375089</v>
      </c>
      <c r="O99" s="7">
        <f t="shared" ca="1" si="168"/>
        <v>1179940.542875794</v>
      </c>
      <c r="P99" s="7">
        <v>20585432.460018069</v>
      </c>
      <c r="Q99" s="7">
        <f ca="1">IFERROR(VLOOKUP($B99-1,CDM!$V$4:$AJ$17,4,FALSE)/12,0)+IFERROR(VLOOKUP($B99,CDM!$V$41:$AJ$54,4,FALSE)/24,0)+IFERROR(VLOOKUP($B99,CDM!$V$41:$AJ$54,4,FALSE)/2*$C99/78,0)</f>
        <v>1644715.4208736352</v>
      </c>
      <c r="R99" s="7">
        <f t="shared" ca="1" si="239"/>
        <v>22230147.880891703</v>
      </c>
      <c r="S99" s="7">
        <f>IFERROR(HLOOKUP(B99-1,'EV Forecast VRZ'!$F$124:$T$130,4,FALSE)/12,0)+IFERROR(((HLOOKUP(B99,'EV Forecast VRZ'!$F$116:$T$122,4,FALSE)-HLOOKUP(B99-1,'EV Forecast VRZ'!$F$124:$T$130,4,FALSE)))*C99/78,0)</f>
        <v>134509.36794871793</v>
      </c>
      <c r="T99" s="7">
        <f ca="1">HLOOKUP(B99,Heating!$C$102:$O$106,4,FALSE)*INDEX(Weather!$BO$1:$CB$20,MATCH(B99,Weather!$BO$1:$BO$20,0),MATCH(C99,Weather!$BO$1:$CB$1,0))/VLOOKUP(B99,Weather!$BO$2:$CB$20,14,FALSE)*
VLOOKUP('Monthly Data'!$B99,Weather!$BO$3:$CB$20,14,FALSE)/Weather!$CB$14</f>
        <v>498100.637043503</v>
      </c>
      <c r="U99" s="7">
        <f t="shared" ca="1" si="170"/>
        <v>21597537.875899483</v>
      </c>
      <c r="V99" s="7">
        <v>75275874.803052768</v>
      </c>
      <c r="W99" s="7">
        <f ca="1">IFERROR(VLOOKUP($B99-1,CDM!$V$4:$AJ$17,5,FALSE)/12,0)+IFERROR(VLOOKUP($B99,CDM!$V$41:$AJ$54,5,FALSE)/24,0)+IFERROR(VLOOKUP($B99,CDM!$V$41:$AJ$54,5,FALSE)/2*$C99/78,0)</f>
        <v>6815402.3997352198</v>
      </c>
      <c r="X99" s="7">
        <f t="shared" ca="1" si="240"/>
        <v>82091277.202787995</v>
      </c>
      <c r="Y99" s="7">
        <f>IFERROR(HLOOKUP(B99-1,'EV Forecast VRZ'!$F$124:$T$130,5,FALSE)/12,0)+IFERROR(((HLOOKUP(B99,'EV Forecast VRZ'!$F$116:$T$122,5,FALSE)-HLOOKUP(B99-1,'EV Forecast VRZ'!$F$124:$T$130,5,FALSE)))*C99/78,0)</f>
        <v>62867.100192307684</v>
      </c>
      <c r="Z99" s="7">
        <f ca="1">HLOOKUP(B99,Heating!$C$102:$O$106,5,FALSE)*INDEX(Weather!$BO$1:$CB$20,MATCH(B99,Weather!$BO$1:$BO$20,0),MATCH(C99,Weather!$BO$1:$CB$1,0))/VLOOKUP(B99,Weather!$BO$2:$CB$20,14,FALSE)*
VLOOKUP('Monthly Data'!$B99,Weather!$BO$3:$CB$20,14,FALSE)/Weather!$CB$14</f>
        <v>259423.13775600633</v>
      </c>
      <c r="AA99" s="7">
        <f t="shared" ca="1" si="172"/>
        <v>81768986.964839682</v>
      </c>
      <c r="AB99" s="7">
        <v>7755509.7863396173</v>
      </c>
      <c r="AC99" s="7">
        <f ca="1">IFERROR(VLOOKUP($B99-1,CDM!$V$4:$AJ$17,6,FALSE)/12,0)+IFERROR(VLOOKUP($B99,CDM!$V$41:$AJ$54,6,FALSE)/24,0)+IFERROR(VLOOKUP($B99,CDM!$V$41:$AJ$54,6,FALSE)/2*$C99/78,0)</f>
        <v>335946.78284937399</v>
      </c>
      <c r="AD99" s="7">
        <f t="shared" ca="1" si="241"/>
        <v>8091456.5691889916</v>
      </c>
      <c r="AE99" s="7">
        <f>IFERROR(HLOOKUP(B99-1,'EV Forecast VRZ'!$F$124:$T$130,6,FALSE)/12,0)+IFERROR(((HLOOKUP(B99,'EV Forecast VRZ'!$F$116:$T$122,6,FALSE)-HLOOKUP(B99-1,'EV Forecast VRZ'!$F$124:$T$130,6,FALSE)))*C99/78,0)</f>
        <v>8150.0837820512834</v>
      </c>
      <c r="AF99" s="7">
        <f t="shared" ca="1" si="174"/>
        <v>8083306.4854069399</v>
      </c>
      <c r="AG99" s="7">
        <v>26638351.69214597</v>
      </c>
      <c r="AH99" s="7">
        <f ca="1">IFERROR(VLOOKUP($B99-1,CDM!$V$4:$AJ$17,7,FALSE)/12,0)+IFERROR(VLOOKUP($B99,CDM!$V$41:$AJ$54,7,FALSE)/24,0)+IFERROR(VLOOKUP($B99,CDM!$V$41:$AJ$54,7,FALSE)/2*$C99/78,0)</f>
        <v>1963977.1130889994</v>
      </c>
      <c r="AI99" s="7">
        <f t="shared" ca="1" si="242"/>
        <v>28602328.805234969</v>
      </c>
      <c r="AJ99" s="7">
        <f>IFERROR(HLOOKUP(B99-1,'EV Forecast VRZ'!$F$124:$T$130,7,FALSE)/12,0)+IFERROR(((HLOOKUP(B99,'EV Forecast VRZ'!$F$116:$T$122,7,FALSE)-HLOOKUP(B99-1,'EV Forecast VRZ'!$F$124:$T$130,7,FALSE)))*C99/78,0)</f>
        <v>880.76923076923072</v>
      </c>
      <c r="AK99" s="7">
        <f t="shared" ca="1" si="176"/>
        <v>28601448.036004201</v>
      </c>
      <c r="AL99" s="7">
        <v>1091288.7616867009</v>
      </c>
      <c r="AM99" s="7">
        <v>6809.6928067162753</v>
      </c>
      <c r="AN99" s="7">
        <v>377307.77523373405</v>
      </c>
      <c r="AO99" s="5">
        <v>175436.84</v>
      </c>
      <c r="AP99" s="5">
        <v>18279.34</v>
      </c>
      <c r="AQ99" s="5">
        <v>43475.89</v>
      </c>
      <c r="AR99" s="5">
        <v>2798.27</v>
      </c>
      <c r="AS99" s="544">
        <f>602/12</f>
        <v>50.166666666666664</v>
      </c>
      <c r="AT99" s="557">
        <v>116755.5</v>
      </c>
      <c r="AU99" s="557">
        <v>1563.3333333333335</v>
      </c>
      <c r="AV99" s="557">
        <v>9498.5</v>
      </c>
      <c r="AW99" s="557">
        <v>1046.6666666666665</v>
      </c>
      <c r="AX99" s="557">
        <v>5</v>
      </c>
      <c r="AY99" s="557">
        <v>5</v>
      </c>
      <c r="AZ99" s="557">
        <v>32479.666666666664</v>
      </c>
      <c r="BA99" s="557">
        <v>240.16666666666669</v>
      </c>
      <c r="BB99" s="557">
        <v>788.66666666666674</v>
      </c>
      <c r="BC99" s="560">
        <v>28622669.106820058</v>
      </c>
      <c r="BD99" s="560">
        <f ca="1">IFERROR(VLOOKUP($B99-1,CDM!$V$4:$AJ$17,11,FALSE)/12,0)+IFERROR(VLOOKUP($B99,CDM!$V$41:$AJ$54,11,FALSE)/24,0)+IFERROR(VLOOKUP($B99,CDM!$V$41:$AJ$54,11,FALSE)/2*$C99/78,0)</f>
        <v>1760293.3375989737</v>
      </c>
      <c r="BE99" s="560">
        <f t="shared" ca="1" si="188"/>
        <v>30382962.44441903</v>
      </c>
      <c r="BF99" s="560">
        <f>IFERROR(HLOOKUP(B99-1,'EV Forecast WRZ'!$F$124:$T$130,2,FALSE)/12,0)+IFERROR(((HLOOKUP(B99,'EV Forecast WRZ'!$F$116:$T$122,2,FALSE)-HLOOKUP(B99-1,'EV Forecast WRZ'!$F$124:$T$130,2,FALSE)))*C99/78,0)</f>
        <v>347921.53641025641</v>
      </c>
      <c r="BG99" s="560">
        <f ca="1">HLOOKUP(B99,Heating!$R$102:$AD$106,2,FALSE)*INDEX(Weather!$BO$1:$CB$20,MATCH(B99,Weather!$BO$1:$BO$20,0),MATCH(C99,Weather!$BO$1:$CB$1,0))/VLOOKUP(B99,Weather!$BO$2:$CB$20,14,FALSE)*
VLOOKUP('Monthly Data'!$B99,Weather!$BO$3:$CB$20,14,FALSE)/Weather!$CB$14</f>
        <v>914026.77939150843</v>
      </c>
      <c r="BH99" s="560">
        <f t="shared" ca="1" si="177"/>
        <v>29121014.128617264</v>
      </c>
      <c r="BI99" s="560">
        <v>6820475.3834120957</v>
      </c>
      <c r="BJ99" s="560">
        <f ca="1">IFERROR(VLOOKUP($B99-1,CDM!$V$4:$AJ$17,12,FALSE)/12,0)+IFERROR(VLOOKUP($B99,CDM!$V$41:$AJ$54,12,FALSE)/24,0)+IFERROR(VLOOKUP($B99,CDM!$V$41:$AJ$54,12,FALSE)/2*$C99/78,0)</f>
        <v>303274.93593552872</v>
      </c>
      <c r="BK99" s="560">
        <f t="shared" ca="1" si="243"/>
        <v>7123750.3193476247</v>
      </c>
      <c r="BL99" s="560">
        <f>IFERROR(HLOOKUP(B99-1,'EV Forecast WRZ'!$F$124:$T$130,3,FALSE)/12,0)+IFERROR(((HLOOKUP(B99,'EV Forecast WRZ'!$F$116:$T$122,3,FALSE)-HLOOKUP(B99-1,'EV Forecast WRZ'!$F$124:$T$130,3,FALSE)))*C99/78,0)</f>
        <v>44972.78256410257</v>
      </c>
      <c r="BM99" s="560">
        <f ca="1">HLOOKUP(B99,Heating!$R$102:$AD$106,4,FALSE)*INDEX(Weather!$BO$1:$CB$20,MATCH(B99,Weather!$BO$1:$BO$20,0),MATCH(C99,Weather!$BO$1:$CB$1,0))/VLOOKUP(B99,Weather!$BO$2:$CB$20,14,FALSE)*
VLOOKUP('Monthly Data'!$B99,Weather!$BO$3:$CB$20,14,FALSE)/Weather!$CB$14</f>
        <v>145100.89486564341</v>
      </c>
      <c r="BN99" s="560">
        <f t="shared" ca="1" si="179"/>
        <v>6933676.6419178788</v>
      </c>
      <c r="BO99" s="560">
        <v>25996037.072350644</v>
      </c>
      <c r="BP99" s="560">
        <f ca="1">IFERROR(VLOOKUP($B99-1,CDM!$V$4:$AJ$17,13,FALSE)/12,0)+IFERROR(VLOOKUP($B99,CDM!$V$41:$AJ$54,13,FALSE)/24,0)+IFERROR(VLOOKUP($B99,CDM!$V$41:$AJ$54,13,FALSE)/2*$C99/78,0)</f>
        <v>2930883.8308884152</v>
      </c>
      <c r="BQ99" s="560">
        <f t="shared" ca="1" si="244"/>
        <v>28926920.90323906</v>
      </c>
      <c r="BR99" s="560">
        <f>IFERROR(HLOOKUP(B99-1,'EV Forecast WRZ'!$F$124:$T$130,4,FALSE)/12,0)+IFERROR(((HLOOKUP(B99,'EV Forecast WRZ'!$F$116:$T$122,4,FALSE)-HLOOKUP(B99-1,'EV Forecast WRZ'!$F$124:$T$130,4,FALSE)))*C99/78,0)</f>
        <v>20070.123948717948</v>
      </c>
      <c r="BS99" s="560">
        <f ca="1">HLOOKUP(B99,Heating!$R$102:$AD$106,5,FALSE)*INDEX(Weather!$BO$1:$CB$20,MATCH(B99,Weather!$BO$1:$BO$20,0),MATCH(C99,Weather!$BO$1:$CB$1,0))/VLOOKUP(B99,Weather!$BO$2:$CB$20,14,FALSE)*
VLOOKUP('Monthly Data'!$B99,Weather!$BO$3:$CB$20,14,FALSE)/Weather!$CB$14</f>
        <v>76806.86640968846</v>
      </c>
      <c r="BT99" s="560">
        <f t="shared" ca="1" si="181"/>
        <v>28830043.912880652</v>
      </c>
      <c r="BU99" s="560">
        <v>6741079.9614271941</v>
      </c>
      <c r="BV99" s="560">
        <f ca="1">IFERROR(VLOOKUP($B99-1,CDM!$V$4:$AJ$17,14,FALSE)/12,0)+IFERROR(VLOOKUP($B99,CDM!$V$41:$AJ$54,14,FALSE)/24,0)+IFERROR(VLOOKUP($B99,CDM!$V$41:$AJ$54,14,FALSE)/2*$C99/78,0)</f>
        <v>659940.93599559017</v>
      </c>
      <c r="BW99" s="560">
        <f t="shared" ca="1" si="245"/>
        <v>7401020.897422784</v>
      </c>
      <c r="BX99" s="560">
        <f>IFERROR(HLOOKUP(B99-1,'EV Forecast WRZ'!$F$124:$T$130,5,FALSE)/12,0)+IFERROR(((HLOOKUP(B99,'EV Forecast WRZ'!$F$116:$T$122,5,FALSE)-HLOOKUP(B99-1,'EV Forecast WRZ'!$F$124:$T$130,5,FALSE)))*C99/78,0)</f>
        <v>3180.0493846153845</v>
      </c>
      <c r="BY99" s="560">
        <f t="shared" ca="1" si="189"/>
        <v>7397840.8480381686</v>
      </c>
      <c r="BZ99" s="560">
        <v>320505.99770422798</v>
      </c>
      <c r="CA99" s="560">
        <v>511.49799119954082</v>
      </c>
      <c r="CB99" s="560">
        <v>156093.97359862254</v>
      </c>
      <c r="CC99" s="5">
        <v>60593.27</v>
      </c>
      <c r="CD99" s="5">
        <v>14531.16</v>
      </c>
      <c r="CE99" s="5">
        <v>822</v>
      </c>
      <c r="CF99" s="544">
        <f t="shared" ref="CF99:CF109" si="248">83/12</f>
        <v>6.916666666666667</v>
      </c>
      <c r="CG99" s="565">
        <v>45384.5</v>
      </c>
      <c r="CH99" s="565">
        <v>2458</v>
      </c>
      <c r="CI99" s="565">
        <v>387.5</v>
      </c>
      <c r="CJ99" s="565">
        <v>3</v>
      </c>
      <c r="CK99" s="565">
        <v>13663</v>
      </c>
      <c r="CL99" s="565">
        <v>45.833333333333329</v>
      </c>
      <c r="CM99" s="565">
        <v>403</v>
      </c>
      <c r="CN99" s="46">
        <f>Weather!C123</f>
        <v>600.96666666666647</v>
      </c>
      <c r="CO99" s="46">
        <f>Weather!D123</f>
        <v>0</v>
      </c>
      <c r="CP99" s="46">
        <f>Weather!E123</f>
        <v>542.96666666666658</v>
      </c>
      <c r="CQ99" s="46">
        <f>Weather!F123</f>
        <v>0</v>
      </c>
      <c r="CR99" s="46">
        <f>Weather!G123</f>
        <v>484.96666666666658</v>
      </c>
      <c r="CS99" s="46">
        <f>Weather!H123</f>
        <v>0</v>
      </c>
      <c r="CT99" s="46">
        <f>Weather!I123</f>
        <v>426.96666666666664</v>
      </c>
      <c r="CU99" s="46">
        <f>Weather!J123</f>
        <v>0</v>
      </c>
      <c r="CV99" s="46">
        <f>Weather!K123</f>
        <v>368.96666666666664</v>
      </c>
      <c r="CW99" s="46">
        <f>Weather!L123</f>
        <v>0</v>
      </c>
      <c r="CX99" s="46">
        <f>Weather!M123</f>
        <v>310.9666666666667</v>
      </c>
      <c r="CY99" s="46">
        <f>Weather!N123</f>
        <v>0</v>
      </c>
      <c r="CZ99" s="46">
        <f>Weather!O123</f>
        <v>252.9666666666667</v>
      </c>
      <c r="DA99" s="46">
        <f>Weather!P123</f>
        <v>0</v>
      </c>
      <c r="DB99" s="243">
        <f>'Economic Data'!D125</f>
        <v>8047.9</v>
      </c>
      <c r="DC99" s="243">
        <f>'Economic Data'!E125</f>
        <v>7991.4</v>
      </c>
      <c r="DD99" s="243">
        <f>'Economic Data'!F125</f>
        <v>242.5</v>
      </c>
      <c r="DE99" s="243">
        <f>'Economic Data'!G125</f>
        <v>243.5</v>
      </c>
      <c r="DF99" s="243">
        <f>'Economic Data'!H125</f>
        <v>41.6</v>
      </c>
      <c r="DG99" s="243">
        <f>'Economic Data'!I125</f>
        <v>41.6</v>
      </c>
      <c r="DH99" s="243">
        <f>'Economic Data'!J125</f>
        <v>876619.7</v>
      </c>
      <c r="DI99" s="243">
        <f>'Economic Data'!K125</f>
        <v>694601.3</v>
      </c>
      <c r="DJ99" s="243">
        <f>'Economic Data'!L125</f>
        <v>92436.4</v>
      </c>
      <c r="DK99" s="243">
        <f>'Economic Data'!M125</f>
        <v>33851.4</v>
      </c>
      <c r="DL99" s="243">
        <f>'Economic Data'!N125</f>
        <v>885802</v>
      </c>
      <c r="DM99" s="243">
        <f>'Economic Data'!O125</f>
        <v>90917</v>
      </c>
      <c r="DN99" s="243">
        <f>'Economic Data'!P125</f>
        <v>18172</v>
      </c>
      <c r="DO99" s="243">
        <f>'Economic Data'!Q125</f>
        <v>705815</v>
      </c>
      <c r="DP99" s="243">
        <f>'Economic Data'!R125</f>
        <v>34312</v>
      </c>
      <c r="DQ99">
        <v>29</v>
      </c>
      <c r="DR99">
        <v>20</v>
      </c>
      <c r="DS99">
        <f t="shared" ref="DS99:ED99" si="249">DS87</f>
        <v>0</v>
      </c>
      <c r="DT99">
        <f t="shared" si="249"/>
        <v>1</v>
      </c>
      <c r="DU99">
        <f t="shared" si="249"/>
        <v>0</v>
      </c>
      <c r="DV99">
        <f t="shared" si="249"/>
        <v>0</v>
      </c>
      <c r="DW99">
        <f t="shared" si="249"/>
        <v>0</v>
      </c>
      <c r="DX99">
        <f t="shared" si="249"/>
        <v>0</v>
      </c>
      <c r="DY99">
        <f t="shared" si="249"/>
        <v>0</v>
      </c>
      <c r="DZ99">
        <f t="shared" si="249"/>
        <v>0</v>
      </c>
      <c r="EA99">
        <f t="shared" si="249"/>
        <v>0</v>
      </c>
      <c r="EB99">
        <f t="shared" si="249"/>
        <v>0</v>
      </c>
      <c r="EC99">
        <f t="shared" si="249"/>
        <v>0</v>
      </c>
      <c r="ED99">
        <f t="shared" si="249"/>
        <v>0</v>
      </c>
      <c r="EE99">
        <f t="shared" ref="EE99:EF99" si="250">EE87</f>
        <v>0</v>
      </c>
      <c r="EF99">
        <f t="shared" si="250"/>
        <v>0</v>
      </c>
      <c r="EG99">
        <f t="shared" ref="EG99:EG109" si="251">EE99+EF99</f>
        <v>0</v>
      </c>
      <c r="EH99">
        <f t="shared" si="185"/>
        <v>98</v>
      </c>
      <c r="EI99">
        <v>0</v>
      </c>
      <c r="EJ99">
        <v>0</v>
      </c>
      <c r="EK99">
        <v>0.25</v>
      </c>
      <c r="EL99">
        <v>0</v>
      </c>
      <c r="EM99" s="47">
        <f t="shared" si="190"/>
        <v>0</v>
      </c>
      <c r="EN99" s="47">
        <f t="shared" si="191"/>
        <v>0</v>
      </c>
      <c r="EO99" s="47">
        <f t="shared" si="192"/>
        <v>0</v>
      </c>
      <c r="EP99" s="47">
        <f t="shared" si="193"/>
        <v>0</v>
      </c>
      <c r="EQ99" s="47">
        <f t="shared" si="194"/>
        <v>0</v>
      </c>
      <c r="ER99" s="47">
        <f t="shared" si="195"/>
        <v>0</v>
      </c>
      <c r="ES99" s="47">
        <f t="shared" si="196"/>
        <v>0</v>
      </c>
      <c r="ET99" s="47">
        <f t="shared" si="197"/>
        <v>0</v>
      </c>
      <c r="EU99" s="47">
        <f t="shared" si="198"/>
        <v>0</v>
      </c>
      <c r="EV99" s="47">
        <f t="shared" si="199"/>
        <v>0</v>
      </c>
      <c r="EW99" s="47">
        <f t="shared" si="200"/>
        <v>0</v>
      </c>
      <c r="EX99" s="47">
        <f t="shared" si="201"/>
        <v>0</v>
      </c>
      <c r="EY99" s="47">
        <f t="shared" si="202"/>
        <v>0</v>
      </c>
      <c r="EZ99" s="47">
        <f t="shared" si="203"/>
        <v>0</v>
      </c>
      <c r="FA99" s="47">
        <f t="shared" si="204"/>
        <v>150.24166666666662</v>
      </c>
      <c r="FB99" s="47">
        <f t="shared" si="205"/>
        <v>0</v>
      </c>
      <c r="FC99" s="47">
        <f t="shared" si="206"/>
        <v>135.74166666666665</v>
      </c>
      <c r="FD99" s="47">
        <f t="shared" si="207"/>
        <v>0</v>
      </c>
      <c r="FE99" s="47">
        <f t="shared" si="208"/>
        <v>121.24166666666665</v>
      </c>
      <c r="FF99" s="47">
        <f t="shared" si="209"/>
        <v>0</v>
      </c>
      <c r="FG99" s="47">
        <f t="shared" si="210"/>
        <v>106.74166666666666</v>
      </c>
      <c r="FH99" s="47">
        <f t="shared" si="211"/>
        <v>0</v>
      </c>
      <c r="FI99" s="47">
        <f t="shared" si="212"/>
        <v>92.24166666666666</v>
      </c>
      <c r="FJ99" s="47">
        <f t="shared" si="213"/>
        <v>0</v>
      </c>
      <c r="FK99" s="47">
        <f t="shared" si="214"/>
        <v>77.741666666666674</v>
      </c>
      <c r="FL99" s="47">
        <f t="shared" si="215"/>
        <v>0</v>
      </c>
      <c r="FM99" s="47">
        <f t="shared" si="216"/>
        <v>63.241666666666674</v>
      </c>
      <c r="FN99" s="47">
        <f t="shared" si="217"/>
        <v>0</v>
      </c>
      <c r="FO99" s="546">
        <f t="shared" ca="1" si="218"/>
        <v>693.21252558693902</v>
      </c>
      <c r="FP99" s="546">
        <f t="shared" ca="1" si="219"/>
        <v>779.72956920701256</v>
      </c>
      <c r="FQ99" s="546">
        <f t="shared" ca="1" si="220"/>
        <v>2340.3851008992688</v>
      </c>
      <c r="FR99" s="546">
        <f t="shared" ca="1" si="221"/>
        <v>78431.156563173252</v>
      </c>
      <c r="FS99" s="546">
        <f t="shared" ca="1" si="222"/>
        <v>1618291.3138377983</v>
      </c>
      <c r="FT99" s="546">
        <f t="shared" ca="1" si="223"/>
        <v>5720465.7610469935</v>
      </c>
      <c r="FU99" s="546">
        <f t="shared" si="224"/>
        <v>33.599136742578466</v>
      </c>
      <c r="FV99" s="546">
        <f t="shared" si="225"/>
        <v>28.354029729561173</v>
      </c>
      <c r="FW99" s="546">
        <f t="shared" si="226"/>
        <v>478.41222557109131</v>
      </c>
      <c r="FX99" s="546">
        <f t="shared" ca="1" si="227"/>
        <v>669.45680671636853</v>
      </c>
      <c r="FY99" s="546">
        <f t="shared" ca="1" si="228"/>
        <v>2898.1897149502133</v>
      </c>
      <c r="FZ99" s="546">
        <f t="shared" ca="1" si="229"/>
        <v>74650.118459971767</v>
      </c>
      <c r="GA99" s="546">
        <f t="shared" si="230"/>
        <v>106835.33256807599</v>
      </c>
      <c r="GB99" s="546">
        <f t="shared" si="231"/>
        <v>23.457951965470833</v>
      </c>
      <c r="GC99" s="546">
        <f t="shared" si="232"/>
        <v>11.159956171626346</v>
      </c>
      <c r="GD99" s="546">
        <f t="shared" si="233"/>
        <v>387.32995930179288</v>
      </c>
    </row>
    <row r="100" spans="1:186">
      <c r="A100" s="4">
        <v>45352</v>
      </c>
      <c r="B100" s="6">
        <v>2024</v>
      </c>
      <c r="C100" s="5">
        <v>3</v>
      </c>
      <c r="D100" s="7">
        <v>79371713.763867259</v>
      </c>
      <c r="E100" s="7">
        <f ca="1">IFERROR(VLOOKUP($B100-1,CDM!$V$4:$AJ$17,2,FALSE)/12,0)+IFERROR(VLOOKUP($B100,CDM!$V$41:$AJ$54,2,FALSE)/24,0)+IFERROR(VLOOKUP($B100,CDM!$V$41:$AJ$54,2,FALSE)/2*$C100/78,0)</f>
        <v>4001887.9423639104</v>
      </c>
      <c r="F100" s="7">
        <f t="shared" ca="1" si="165"/>
        <v>83373601.706231177</v>
      </c>
      <c r="G100" s="7">
        <f>IFERROR(HLOOKUP(B100-1,'EV Forecast VRZ'!$F$124:$T$130,2,FALSE)/12,0)+IFERROR(((HLOOKUP(B100,'EV Forecast VRZ'!$F$116:$T$122,2,FALSE)-HLOOKUP(B100-1,'EV Forecast VRZ'!$F$124:$T$130,2,FALSE)))*C100/78,0)</f>
        <v>1098620.7020116516</v>
      </c>
      <c r="H100" s="7">
        <f ca="1">HLOOKUP(B100,Heating!$C$102:$O$106,2,FALSE)*INDEX(Weather!$BO$1:$CB$20,MATCH(B100,Weather!$BO$1:$BO$20,0),MATCH(C100,Weather!$BO$1:$CB$1,0))/VLOOKUP(B100,Weather!$BO$2:$CB$20,14,FALSE)*
VLOOKUP('Monthly Data'!$B100,Weather!$BO$3:$CB$20,14,FALSE)/Weather!$CB$14</f>
        <v>1761844.9875932659</v>
      </c>
      <c r="I100" s="7">
        <f t="shared" ca="1" si="166"/>
        <v>80513136.016626269</v>
      </c>
      <c r="J100" s="7">
        <v>1096849.7009658553</v>
      </c>
      <c r="K100" s="7">
        <f ca="1">IFERROR(VLOOKUP($B100-1,CDM!$V$4:$AJ$17,3,FALSE)/12,0)+IFERROR(VLOOKUP($B100,CDM!$V$41:$AJ$54,3,FALSE)/24,0)+IFERROR(VLOOKUP($B100,CDM!$V$41:$AJ$54,3,FALSE)/2*$C100/78,0)</f>
        <v>45836.056914532521</v>
      </c>
      <c r="L100" s="7">
        <f t="shared" ca="1" si="238"/>
        <v>1142685.7578803878</v>
      </c>
      <c r="M100" s="7">
        <f>IFERROR(HLOOKUP(B100-1,'EV Forecast VRZ'!$F$124:$T$130,3,FALSE)/12,0)+IFERROR(((HLOOKUP(B100,'EV Forecast VRZ'!$F$116:$T$122,3,FALSE)-HLOOKUP(B100-1,'EV Forecast VRZ'!$F$124:$T$130,3,FALSE)))*C100/78,0)</f>
        <v>14907.339911425061</v>
      </c>
      <c r="N100" s="7">
        <f ca="1">HLOOKUP(B100,Heating!$C$102:$O$106,3,FALSE)*INDEX(Weather!$BO$1:$CB$20,MATCH(B100,Weather!$BO$1:$BO$20,0),MATCH(C100,Weather!$BO$1:$CB$1,0))/VLOOKUP(B100,Weather!$BO$2:$CB$20,14,FALSE)*
VLOOKUP('Monthly Data'!$B100,Weather!$BO$3:$CB$20,14,FALSE)/Weather!$CB$14</f>
        <v>20815.750249601722</v>
      </c>
      <c r="O100" s="7">
        <f t="shared" ca="1" si="168"/>
        <v>1106962.6677193611</v>
      </c>
      <c r="P100" s="7">
        <v>20536248.588542148</v>
      </c>
      <c r="Q100" s="7">
        <f ca="1">IFERROR(VLOOKUP($B100-1,CDM!$V$4:$AJ$17,4,FALSE)/12,0)+IFERROR(VLOOKUP($B100,CDM!$V$41:$AJ$54,4,FALSE)/24,0)+IFERROR(VLOOKUP($B100,CDM!$V$41:$AJ$54,4,FALSE)/2*$C100/78,0)</f>
        <v>1653594.9820196852</v>
      </c>
      <c r="R100" s="7">
        <f t="shared" ca="1" si="239"/>
        <v>22189843.570561834</v>
      </c>
      <c r="S100" s="7">
        <f>IFERROR(HLOOKUP(B100-1,'EV Forecast VRZ'!$F$124:$T$130,4,FALSE)/12,0)+IFERROR(((HLOOKUP(B100,'EV Forecast VRZ'!$F$116:$T$122,4,FALSE)-HLOOKUP(B100-1,'EV Forecast VRZ'!$F$124:$T$130,4,FALSE)))*C100/78,0)</f>
        <v>138838.36692307692</v>
      </c>
      <c r="T100" s="7">
        <f ca="1">HLOOKUP(B100,Heating!$C$102:$O$106,4,FALSE)*INDEX(Weather!$BO$1:$CB$20,MATCH(B100,Weather!$BO$1:$BO$20,0),MATCH(C100,Weather!$BO$1:$CB$1,0))/VLOOKUP(B100,Weather!$BO$2:$CB$20,14,FALSE)*
VLOOKUP('Monthly Data'!$B100,Weather!$BO$3:$CB$20,14,FALSE)/Weather!$CB$14</f>
        <v>422092.81606300967</v>
      </c>
      <c r="U100" s="7">
        <f t="shared" ca="1" si="170"/>
        <v>21628912.387575749</v>
      </c>
      <c r="V100" s="7">
        <v>76915541.641207486</v>
      </c>
      <c r="W100" s="7">
        <f ca="1">IFERROR(VLOOKUP($B100-1,CDM!$V$4:$AJ$17,5,FALSE)/12,0)+IFERROR(VLOOKUP($B100,CDM!$V$41:$AJ$54,5,FALSE)/24,0)+IFERROR(VLOOKUP($B100,CDM!$V$41:$AJ$54,5,FALSE)/2*$C100/78,0)</f>
        <v>6858211.8535694759</v>
      </c>
      <c r="X100" s="7">
        <f t="shared" ca="1" si="240"/>
        <v>83773753.494776964</v>
      </c>
      <c r="Y100" s="7">
        <f>IFERROR(HLOOKUP(B100-1,'EV Forecast VRZ'!$F$124:$T$130,5,FALSE)/12,0)+IFERROR(((HLOOKUP(B100,'EV Forecast VRZ'!$F$116:$T$122,5,FALSE)-HLOOKUP(B100-1,'EV Forecast VRZ'!$F$124:$T$130,5,FALSE)))*C100/78,0)</f>
        <v>65035.342038461531</v>
      </c>
      <c r="Z100" s="7">
        <f ca="1">HLOOKUP(B100,Heating!$C$102:$O$106,5,FALSE)*INDEX(Weather!$BO$1:$CB$20,MATCH(B100,Weather!$BO$1:$BO$20,0),MATCH(C100,Weather!$BO$1:$CB$1,0))/VLOOKUP(B100,Weather!$BO$2:$CB$20,14,FALSE)*
VLOOKUP('Monthly Data'!$B100,Weather!$BO$3:$CB$20,14,FALSE)/Weather!$CB$14</f>
        <v>219836.38370205747</v>
      </c>
      <c r="AA100" s="7">
        <f t="shared" ca="1" si="172"/>
        <v>83488881.769036442</v>
      </c>
      <c r="AB100" s="7">
        <v>8334975.3172123851</v>
      </c>
      <c r="AC100" s="7">
        <f ca="1">IFERROR(VLOOKUP($B100-1,CDM!$V$4:$AJ$17,6,FALSE)/12,0)+IFERROR(VLOOKUP($B100,CDM!$V$41:$AJ$54,6,FALSE)/24,0)+IFERROR(VLOOKUP($B100,CDM!$V$41:$AJ$54,6,FALSE)/2*$C100/78,0)</f>
        <v>340116.16303865059</v>
      </c>
      <c r="AD100" s="7">
        <f t="shared" ca="1" si="241"/>
        <v>8675091.4802510366</v>
      </c>
      <c r="AE100" s="7">
        <f>IFERROR(HLOOKUP(B100-1,'EV Forecast VRZ'!$F$124:$T$130,6,FALSE)/12,0)+IFERROR(((HLOOKUP(B100,'EV Forecast VRZ'!$F$116:$T$122,6,FALSE)-HLOOKUP(B100-1,'EV Forecast VRZ'!$F$124:$T$130,6,FALSE)))*C100/78,0)</f>
        <v>8433.8414230769231</v>
      </c>
      <c r="AF100" s="7">
        <f t="shared" ca="1" si="174"/>
        <v>8666657.6388279591</v>
      </c>
      <c r="AG100" s="7">
        <v>27385958.920057841</v>
      </c>
      <c r="AH100" s="7">
        <f ca="1">IFERROR(VLOOKUP($B100-1,CDM!$V$4:$AJ$17,7,FALSE)/12,0)+IFERROR(VLOOKUP($B100,CDM!$V$41:$AJ$54,7,FALSE)/24,0)+IFERROR(VLOOKUP($B100,CDM!$V$41:$AJ$54,7,FALSE)/2*$C100/78,0)</f>
        <v>1977133.6687910736</v>
      </c>
      <c r="AI100" s="7">
        <f t="shared" ca="1" si="242"/>
        <v>29363092.588848915</v>
      </c>
      <c r="AJ100" s="7">
        <f>IFERROR(HLOOKUP(B100-1,'EV Forecast VRZ'!$F$124:$T$130,7,FALSE)/12,0)+IFERROR(((HLOOKUP(B100,'EV Forecast VRZ'!$F$116:$T$122,7,FALSE)-HLOOKUP(B100-1,'EV Forecast VRZ'!$F$124:$T$130,7,FALSE)))*C100/78,0)</f>
        <v>971.15384615384619</v>
      </c>
      <c r="AK100" s="7">
        <f t="shared" ca="1" si="176"/>
        <v>29362121.435002763</v>
      </c>
      <c r="AL100" s="7">
        <v>972874.28925777518</v>
      </c>
      <c r="AM100" s="7">
        <v>7279.2978439229155</v>
      </c>
      <c r="AN100" s="7">
        <v>377459.66418622399</v>
      </c>
      <c r="AO100" s="5">
        <v>174929.31</v>
      </c>
      <c r="AP100" s="5">
        <v>17996.8</v>
      </c>
      <c r="AQ100" s="5">
        <v>43763.49</v>
      </c>
      <c r="AR100" s="5">
        <v>2625.92</v>
      </c>
      <c r="AS100" s="544">
        <f t="shared" ref="AS100:AS109" si="252">602/12</f>
        <v>50.166666666666664</v>
      </c>
      <c r="AT100" s="557">
        <v>116911.25</v>
      </c>
      <c r="AU100" s="557">
        <v>1563.0000000000002</v>
      </c>
      <c r="AV100" s="557">
        <v>9499.25</v>
      </c>
      <c r="AW100" s="557">
        <v>1049.4999999999998</v>
      </c>
      <c r="AX100" s="557">
        <v>5</v>
      </c>
      <c r="AY100" s="557">
        <v>5</v>
      </c>
      <c r="AZ100" s="557">
        <v>32532.499999999996</v>
      </c>
      <c r="BA100" s="557">
        <v>239.75000000000003</v>
      </c>
      <c r="BB100" s="557">
        <v>784.50000000000011</v>
      </c>
      <c r="BC100" s="560">
        <v>28872392.315176144</v>
      </c>
      <c r="BD100" s="560">
        <f ca="1">IFERROR(VLOOKUP($B100-1,CDM!$V$4:$AJ$17,11,FALSE)/12,0)+IFERROR(VLOOKUP($B100,CDM!$V$41:$AJ$54,11,FALSE)/24,0)+IFERROR(VLOOKUP($B100,CDM!$V$41:$AJ$54,11,FALSE)/2*$C100/78,0)</f>
        <v>1766676.6393054053</v>
      </c>
      <c r="BE100" s="560">
        <f t="shared" ca="1" si="188"/>
        <v>30639068.95448155</v>
      </c>
      <c r="BF100" s="560">
        <f>IFERROR(HLOOKUP(B100-1,'EV Forecast WRZ'!$F$124:$T$130,2,FALSE)/12,0)+IFERROR(((HLOOKUP(B100,'EV Forecast WRZ'!$F$116:$T$122,2,FALSE)-HLOOKUP(B100-1,'EV Forecast WRZ'!$F$124:$T$130,2,FALSE)))*C100/78,0)</f>
        <v>360404.89461538463</v>
      </c>
      <c r="BG100" s="560">
        <f ca="1">HLOOKUP(B100,Heating!$R$102:$AD$106,2,FALSE)*INDEX(Weather!$BO$1:$CB$20,MATCH(B100,Weather!$BO$1:$BO$20,0),MATCH(C100,Weather!$BO$1:$CB$1,0))/VLOOKUP(B100,Weather!$BO$2:$CB$20,14,FALSE)*
VLOOKUP('Monthly Data'!$B100,Weather!$BO$3:$CB$20,14,FALSE)/Weather!$CB$14</f>
        <v>774550.57989951887</v>
      </c>
      <c r="BH100" s="560">
        <f t="shared" ca="1" si="177"/>
        <v>29504113.479966644</v>
      </c>
      <c r="BI100" s="560">
        <v>6804410.7169444803</v>
      </c>
      <c r="BJ100" s="560">
        <f ca="1">IFERROR(VLOOKUP($B100-1,CDM!$V$4:$AJ$17,12,FALSE)/12,0)+IFERROR(VLOOKUP($B100,CDM!$V$41:$AJ$54,12,FALSE)/24,0)+IFERROR(VLOOKUP($B100,CDM!$V$41:$AJ$54,12,FALSE)/2*$C100/78,0)</f>
        <v>305951.80862541602</v>
      </c>
      <c r="BK100" s="560">
        <f t="shared" ca="1" si="243"/>
        <v>7110362.5255698962</v>
      </c>
      <c r="BL100" s="560">
        <f>IFERROR(HLOOKUP(B100-1,'EV Forecast WRZ'!$F$124:$T$130,3,FALSE)/12,0)+IFERROR(((HLOOKUP(B100,'EV Forecast WRZ'!$F$116:$T$122,3,FALSE)-HLOOKUP(B100-1,'EV Forecast WRZ'!$F$124:$T$130,3,FALSE)))*C100/78,0)</f>
        <v>46930.213846153856</v>
      </c>
      <c r="BM100" s="560">
        <f ca="1">HLOOKUP(B100,Heating!$R$102:$AD$106,4,FALSE)*INDEX(Weather!$BO$1:$CB$20,MATCH(B100,Weather!$BO$1:$BO$20,0),MATCH(C100,Weather!$BO$1:$CB$1,0))/VLOOKUP(B100,Weather!$BO$2:$CB$20,14,FALSE)*
VLOOKUP('Monthly Data'!$B100,Weather!$BO$3:$CB$20,14,FALSE)/Weather!$CB$14</f>
        <v>122959.17887323044</v>
      </c>
      <c r="BN100" s="560">
        <f t="shared" ca="1" si="179"/>
        <v>6940473.1328505119</v>
      </c>
      <c r="BO100" s="560">
        <v>26327936.115280695</v>
      </c>
      <c r="BP100" s="560">
        <f ca="1">IFERROR(VLOOKUP($B100-1,CDM!$V$4:$AJ$17,13,FALSE)/12,0)+IFERROR(VLOOKUP($B100,CDM!$V$41:$AJ$54,13,FALSE)/24,0)+IFERROR(VLOOKUP($B100,CDM!$V$41:$AJ$54,13,FALSE)/2*$C100/78,0)</f>
        <v>2953478.3227782594</v>
      </c>
      <c r="BQ100" s="560">
        <f t="shared" ca="1" si="244"/>
        <v>29281414.438058954</v>
      </c>
      <c r="BR100" s="560">
        <f>IFERROR(HLOOKUP(B100-1,'EV Forecast WRZ'!$F$124:$T$130,4,FALSE)/12,0)+IFERROR(((HLOOKUP(B100,'EV Forecast WRZ'!$F$116:$T$122,4,FALSE)-HLOOKUP(B100-1,'EV Forecast WRZ'!$F$124:$T$130,4,FALSE)))*C100/78,0)</f>
        <v>20918.820589743591</v>
      </c>
      <c r="BS100" s="560">
        <f ca="1">HLOOKUP(B100,Heating!$R$102:$AD$106,5,FALSE)*INDEX(Weather!$BO$1:$CB$20,MATCH(B100,Weather!$BO$1:$BO$20,0),MATCH(C100,Weather!$BO$1:$CB$1,0))/VLOOKUP(B100,Weather!$BO$2:$CB$20,14,FALSE)*
VLOOKUP('Monthly Data'!$B100,Weather!$BO$3:$CB$20,14,FALSE)/Weather!$CB$14</f>
        <v>65086.498841416527</v>
      </c>
      <c r="BT100" s="560">
        <f t="shared" ca="1" si="181"/>
        <v>29195409.118627794</v>
      </c>
      <c r="BU100" s="560">
        <v>7146589.6721311482</v>
      </c>
      <c r="BV100" s="560">
        <f ca="1">IFERROR(VLOOKUP($B100-1,CDM!$V$4:$AJ$17,14,FALSE)/12,0)+IFERROR(VLOOKUP($B100,CDM!$V$41:$AJ$54,14,FALSE)/24,0)+IFERROR(VLOOKUP($B100,CDM!$V$41:$AJ$54,14,FALSE)/2*$C100/78,0)</f>
        <v>665082.90146879351</v>
      </c>
      <c r="BW100" s="560">
        <f t="shared" ca="1" si="245"/>
        <v>7811672.573599942</v>
      </c>
      <c r="BX100" s="560">
        <f>IFERROR(HLOOKUP(B100-1,'EV Forecast WRZ'!$F$124:$T$130,5,FALSE)/12,0)+IFERROR(((HLOOKUP(B100,'EV Forecast WRZ'!$F$116:$T$122,5,FALSE)-HLOOKUP(B100-1,'EV Forecast WRZ'!$F$124:$T$130,5,FALSE)))*C100/78,0)</f>
        <v>3381.5427435897436</v>
      </c>
      <c r="BY100" s="560">
        <f t="shared" ca="1" si="189"/>
        <v>7808291.0308563523</v>
      </c>
      <c r="BZ100" s="560">
        <v>304496.00153051462</v>
      </c>
      <c r="CA100" s="560">
        <v>478.49626937057582</v>
      </c>
      <c r="CB100" s="560">
        <v>156597.98163382435</v>
      </c>
      <c r="CC100" s="5">
        <v>60427.44</v>
      </c>
      <c r="CD100" s="5">
        <v>13607.04</v>
      </c>
      <c r="CE100" s="5">
        <v>822</v>
      </c>
      <c r="CF100" s="544">
        <f t="shared" si="248"/>
        <v>6.916666666666667</v>
      </c>
      <c r="CG100" s="565">
        <v>45414.75</v>
      </c>
      <c r="CH100" s="565">
        <v>2459.5</v>
      </c>
      <c r="CI100" s="565">
        <v>387.75</v>
      </c>
      <c r="CJ100" s="565">
        <v>3</v>
      </c>
      <c r="CK100" s="565">
        <v>13673</v>
      </c>
      <c r="CL100" s="565">
        <v>45.749999999999993</v>
      </c>
      <c r="CM100" s="565">
        <v>401.5</v>
      </c>
      <c r="CN100" s="46">
        <f>Weather!C124</f>
        <v>522.11249999999995</v>
      </c>
      <c r="CO100" s="46">
        <f>Weather!D124</f>
        <v>0</v>
      </c>
      <c r="CP100" s="46">
        <f>Weather!E124</f>
        <v>460.11250000000001</v>
      </c>
      <c r="CQ100" s="46">
        <f>Weather!F124</f>
        <v>0</v>
      </c>
      <c r="CR100" s="46">
        <f>Weather!G124</f>
        <v>398.11250000000001</v>
      </c>
      <c r="CS100" s="46">
        <f>Weather!H124</f>
        <v>0</v>
      </c>
      <c r="CT100" s="46">
        <f>Weather!I124</f>
        <v>336.11249999999995</v>
      </c>
      <c r="CU100" s="46">
        <f>Weather!J124</f>
        <v>0</v>
      </c>
      <c r="CV100" s="46">
        <f>Weather!K124</f>
        <v>274.11250000000001</v>
      </c>
      <c r="CW100" s="46">
        <f>Weather!L124</f>
        <v>0</v>
      </c>
      <c r="CX100" s="46">
        <f>Weather!M124</f>
        <v>212.11250000000004</v>
      </c>
      <c r="CY100" s="46">
        <f>Weather!N124</f>
        <v>0</v>
      </c>
      <c r="CZ100" s="46">
        <f>Weather!O124</f>
        <v>154.69166666666669</v>
      </c>
      <c r="DA100" s="46">
        <f>Weather!P124</f>
        <v>4.5791666666666657</v>
      </c>
      <c r="DB100" s="243">
        <f>'Economic Data'!D126</f>
        <v>8066</v>
      </c>
      <c r="DC100" s="243">
        <f>'Economic Data'!E126</f>
        <v>7988.6</v>
      </c>
      <c r="DD100" s="243">
        <f>'Economic Data'!F126</f>
        <v>243.6</v>
      </c>
      <c r="DE100" s="243">
        <f>'Economic Data'!G126</f>
        <v>244</v>
      </c>
      <c r="DF100" s="243">
        <f>'Economic Data'!H126</f>
        <v>42.2</v>
      </c>
      <c r="DG100" s="243">
        <f>'Economic Data'!I126</f>
        <v>42.2</v>
      </c>
      <c r="DH100" s="243">
        <f>'Economic Data'!J126</f>
        <v>876619.7</v>
      </c>
      <c r="DI100" s="243">
        <f>'Economic Data'!K126</f>
        <v>694601.3</v>
      </c>
      <c r="DJ100" s="243">
        <f>'Economic Data'!L126</f>
        <v>92436.4</v>
      </c>
      <c r="DK100" s="243">
        <f>'Economic Data'!M126</f>
        <v>33851.4</v>
      </c>
      <c r="DL100" s="243">
        <f>'Economic Data'!N126</f>
        <v>885802</v>
      </c>
      <c r="DM100" s="243">
        <f>'Economic Data'!O126</f>
        <v>90917</v>
      </c>
      <c r="DN100" s="243">
        <f>'Economic Data'!P126</f>
        <v>18172</v>
      </c>
      <c r="DO100" s="243">
        <f>'Economic Data'!Q126</f>
        <v>705815</v>
      </c>
      <c r="DP100" s="243">
        <f>'Economic Data'!R126</f>
        <v>34312</v>
      </c>
      <c r="DQ100">
        <v>31</v>
      </c>
      <c r="DR100">
        <v>20</v>
      </c>
      <c r="DS100">
        <f t="shared" ref="DS100:ED100" si="253">DS88</f>
        <v>0</v>
      </c>
      <c r="DT100">
        <f t="shared" si="253"/>
        <v>0</v>
      </c>
      <c r="DU100">
        <f t="shared" si="253"/>
        <v>1</v>
      </c>
      <c r="DV100">
        <f t="shared" si="253"/>
        <v>0</v>
      </c>
      <c r="DW100">
        <f t="shared" si="253"/>
        <v>0</v>
      </c>
      <c r="DX100">
        <f t="shared" si="253"/>
        <v>0</v>
      </c>
      <c r="DY100">
        <f t="shared" si="253"/>
        <v>0</v>
      </c>
      <c r="DZ100">
        <f t="shared" si="253"/>
        <v>0</v>
      </c>
      <c r="EA100">
        <f t="shared" si="253"/>
        <v>0</v>
      </c>
      <c r="EB100">
        <f t="shared" si="253"/>
        <v>0</v>
      </c>
      <c r="EC100">
        <f t="shared" si="253"/>
        <v>0</v>
      </c>
      <c r="ED100">
        <f t="shared" si="253"/>
        <v>0</v>
      </c>
      <c r="EE100">
        <f t="shared" ref="EE100:EF100" si="254">EE88</f>
        <v>1</v>
      </c>
      <c r="EF100">
        <f t="shared" si="254"/>
        <v>0</v>
      </c>
      <c r="EG100">
        <f t="shared" si="251"/>
        <v>1</v>
      </c>
      <c r="EH100">
        <f t="shared" si="185"/>
        <v>99</v>
      </c>
      <c r="EI100">
        <v>0</v>
      </c>
      <c r="EJ100">
        <v>0</v>
      </c>
      <c r="EK100">
        <v>0.25</v>
      </c>
      <c r="EL100">
        <v>0</v>
      </c>
      <c r="EM100" s="47">
        <f t="shared" si="190"/>
        <v>0</v>
      </c>
      <c r="EN100" s="47">
        <f t="shared" si="191"/>
        <v>0</v>
      </c>
      <c r="EO100" s="47">
        <f t="shared" si="192"/>
        <v>0</v>
      </c>
      <c r="EP100" s="47">
        <f t="shared" si="193"/>
        <v>0</v>
      </c>
      <c r="EQ100" s="47">
        <f t="shared" si="194"/>
        <v>0</v>
      </c>
      <c r="ER100" s="47">
        <f t="shared" si="195"/>
        <v>0</v>
      </c>
      <c r="ES100" s="47">
        <f t="shared" si="196"/>
        <v>0</v>
      </c>
      <c r="ET100" s="47">
        <f t="shared" si="197"/>
        <v>0</v>
      </c>
      <c r="EU100" s="47">
        <f t="shared" si="198"/>
        <v>0</v>
      </c>
      <c r="EV100" s="47">
        <f t="shared" si="199"/>
        <v>0</v>
      </c>
      <c r="EW100" s="47">
        <f t="shared" si="200"/>
        <v>0</v>
      </c>
      <c r="EX100" s="47">
        <f t="shared" si="201"/>
        <v>0</v>
      </c>
      <c r="EY100" s="47">
        <f t="shared" si="202"/>
        <v>0</v>
      </c>
      <c r="EZ100" s="47">
        <f t="shared" si="203"/>
        <v>0</v>
      </c>
      <c r="FA100" s="47">
        <f t="shared" si="204"/>
        <v>130.52812499999999</v>
      </c>
      <c r="FB100" s="47">
        <f t="shared" si="205"/>
        <v>0</v>
      </c>
      <c r="FC100" s="47">
        <f t="shared" si="206"/>
        <v>115.028125</v>
      </c>
      <c r="FD100" s="47">
        <f t="shared" si="207"/>
        <v>0</v>
      </c>
      <c r="FE100" s="47">
        <f t="shared" si="208"/>
        <v>99.528125000000003</v>
      </c>
      <c r="FF100" s="47">
        <f t="shared" si="209"/>
        <v>0</v>
      </c>
      <c r="FG100" s="47">
        <f t="shared" si="210"/>
        <v>84.028124999999989</v>
      </c>
      <c r="FH100" s="47">
        <f t="shared" si="211"/>
        <v>0</v>
      </c>
      <c r="FI100" s="47">
        <f t="shared" si="212"/>
        <v>68.528125000000003</v>
      </c>
      <c r="FJ100" s="47">
        <f t="shared" si="213"/>
        <v>0</v>
      </c>
      <c r="FK100" s="47">
        <f t="shared" si="214"/>
        <v>53.02812500000001</v>
      </c>
      <c r="FL100" s="47">
        <f t="shared" si="215"/>
        <v>0</v>
      </c>
      <c r="FM100" s="47">
        <f t="shared" si="216"/>
        <v>38.672916666666673</v>
      </c>
      <c r="FN100" s="47">
        <f t="shared" si="217"/>
        <v>1.1447916666666664</v>
      </c>
      <c r="FO100" s="546">
        <f t="shared" ca="1" si="218"/>
        <v>688.6688493761402</v>
      </c>
      <c r="FP100" s="546">
        <f t="shared" ca="1" si="219"/>
        <v>731.08493786333179</v>
      </c>
      <c r="FQ100" s="546">
        <f t="shared" ca="1" si="220"/>
        <v>2335.9574251190184</v>
      </c>
      <c r="FR100" s="546">
        <f t="shared" ca="1" si="221"/>
        <v>79822.537870201981</v>
      </c>
      <c r="FS100" s="546">
        <f t="shared" ca="1" si="222"/>
        <v>1735018.2960502072</v>
      </c>
      <c r="FT100" s="546">
        <f t="shared" ca="1" si="223"/>
        <v>5872618.5177697828</v>
      </c>
      <c r="FU100" s="546">
        <f t="shared" si="224"/>
        <v>29.904688826797059</v>
      </c>
      <c r="FV100" s="546">
        <f t="shared" si="225"/>
        <v>30.362034802598185</v>
      </c>
      <c r="FW100" s="546">
        <f t="shared" si="226"/>
        <v>481.14679947256082</v>
      </c>
      <c r="FX100" s="546">
        <f t="shared" ca="1" si="227"/>
        <v>674.65017322525284</v>
      </c>
      <c r="FY100" s="546">
        <f t="shared" ca="1" si="228"/>
        <v>2890.9788678877399</v>
      </c>
      <c r="FZ100" s="546">
        <f t="shared" ca="1" si="229"/>
        <v>75516.220343156558</v>
      </c>
      <c r="GA100" s="546">
        <f t="shared" si="230"/>
        <v>101498.66717683821</v>
      </c>
      <c r="GB100" s="546">
        <f t="shared" si="231"/>
        <v>22.269875047942268</v>
      </c>
      <c r="GC100" s="546">
        <f t="shared" si="232"/>
        <v>10.458934849630074</v>
      </c>
      <c r="GD100" s="546">
        <f t="shared" si="233"/>
        <v>390.0323328364243</v>
      </c>
    </row>
    <row r="101" spans="1:186">
      <c r="A101" s="4">
        <v>45383</v>
      </c>
      <c r="B101" s="6">
        <v>2024</v>
      </c>
      <c r="C101" s="5">
        <v>4</v>
      </c>
      <c r="D101" s="7">
        <v>69399064.360561281</v>
      </c>
      <c r="E101" s="7">
        <f ca="1">IFERROR(VLOOKUP($B101-1,CDM!$V$4:$AJ$17,2,FALSE)/12,0)+IFERROR(VLOOKUP($B101,CDM!$V$41:$AJ$54,2,FALSE)/24,0)+IFERROR(VLOOKUP($B101,CDM!$V$41:$AJ$54,2,FALSE)/2*$C101/78,0)</f>
        <v>4018041.2244985723</v>
      </c>
      <c r="F101" s="7">
        <f t="shared" ca="1" si="165"/>
        <v>73417105.585059851</v>
      </c>
      <c r="G101" s="7">
        <f>IFERROR(HLOOKUP(B101-1,'EV Forecast VRZ'!$F$124:$T$130,2,FALSE)/12,0)+IFERROR(((HLOOKUP(B101,'EV Forecast VRZ'!$F$116:$T$122,2,FALSE)-HLOOKUP(B101-1,'EV Forecast VRZ'!$F$124:$T$130,2,FALSE)))*C101/78,0)</f>
        <v>1130662.2250220038</v>
      </c>
      <c r="H101" s="7">
        <f ca="1">HLOOKUP(B101,Heating!$C$102:$O$106,2,FALSE)*INDEX(Weather!$BO$1:$CB$20,MATCH(B101,Weather!$BO$1:$BO$20,0),MATCH(C101,Weather!$BO$1:$CB$1,0))/VLOOKUP(B101,Weather!$BO$2:$CB$20,14,FALSE)*
VLOOKUP('Monthly Data'!$B101,Weather!$BO$3:$CB$20,14,FALSE)/Weather!$CB$14</f>
        <v>1180522.4573655641</v>
      </c>
      <c r="I101" s="7">
        <f t="shared" ca="1" si="166"/>
        <v>71105920.902672291</v>
      </c>
      <c r="J101" s="7">
        <v>844020.64371050405</v>
      </c>
      <c r="K101" s="7">
        <f ca="1">IFERROR(VLOOKUP($B101-1,CDM!$V$4:$AJ$17,3,FALSE)/12,0)+IFERROR(VLOOKUP($B101,CDM!$V$41:$AJ$54,3,FALSE)/24,0)+IFERROR(VLOOKUP($B101,CDM!$V$41:$AJ$54,3,FALSE)/2*$C101/78,0)</f>
        <v>46020.999974203776</v>
      </c>
      <c r="L101" s="7">
        <f t="shared" ca="1" si="238"/>
        <v>890041.64368470781</v>
      </c>
      <c r="M101" s="7">
        <f>IFERROR(HLOOKUP(B101-1,'EV Forecast VRZ'!$F$124:$T$130,3,FALSE)/12,0)+IFERROR(((HLOOKUP(B101,'EV Forecast VRZ'!$F$116:$T$122,3,FALSE)-HLOOKUP(B101-1,'EV Forecast VRZ'!$F$124:$T$130,3,FALSE)))*C101/78,0)</f>
        <v>15342.115875431971</v>
      </c>
      <c r="N101" s="7">
        <f ca="1">HLOOKUP(B101,Heating!$C$102:$O$106,3,FALSE)*INDEX(Weather!$BO$1:$CB$20,MATCH(B101,Weather!$BO$1:$BO$20,0),MATCH(C101,Weather!$BO$1:$CB$1,0))/VLOOKUP(B101,Weather!$BO$2:$CB$20,14,FALSE)*
VLOOKUP('Monthly Data'!$B101,Weather!$BO$3:$CB$20,14,FALSE)/Weather!$CB$14</f>
        <v>13947.572465007706</v>
      </c>
      <c r="O101" s="7">
        <f t="shared" ca="1" si="168"/>
        <v>860751.95534426824</v>
      </c>
      <c r="P101" s="7">
        <v>18721933.765236143</v>
      </c>
      <c r="Q101" s="7">
        <f ca="1">IFERROR(VLOOKUP($B101-1,CDM!$V$4:$AJ$17,4,FALSE)/12,0)+IFERROR(VLOOKUP($B101,CDM!$V$41:$AJ$54,4,FALSE)/24,0)+IFERROR(VLOOKUP($B101,CDM!$V$41:$AJ$54,4,FALSE)/2*$C101/78,0)</f>
        <v>1662474.5431657354</v>
      </c>
      <c r="R101" s="7">
        <f t="shared" ca="1" si="239"/>
        <v>20384408.308401879</v>
      </c>
      <c r="S101" s="7">
        <f>IFERROR(HLOOKUP(B101-1,'EV Forecast VRZ'!$F$124:$T$130,4,FALSE)/12,0)+IFERROR(((HLOOKUP(B101,'EV Forecast VRZ'!$F$116:$T$122,4,FALSE)-HLOOKUP(B101-1,'EV Forecast VRZ'!$F$124:$T$130,4,FALSE)))*C101/78,0)</f>
        <v>143167.3658974359</v>
      </c>
      <c r="T101" s="7">
        <f ca="1">HLOOKUP(B101,Heating!$C$102:$O$106,4,FALSE)*INDEX(Weather!$BO$1:$CB$20,MATCH(B101,Weather!$BO$1:$BO$20,0),MATCH(C101,Weather!$BO$1:$CB$1,0))/VLOOKUP(B101,Weather!$BO$2:$CB$20,14,FALSE)*
VLOOKUP('Monthly Data'!$B101,Weather!$BO$3:$CB$20,14,FALSE)/Weather!$CB$14</f>
        <v>282822.86578215635</v>
      </c>
      <c r="U101" s="7">
        <f t="shared" ca="1" si="170"/>
        <v>19958418.076722287</v>
      </c>
      <c r="V101" s="7">
        <v>73410702.378436863</v>
      </c>
      <c r="W101" s="7">
        <f ca="1">IFERROR(VLOOKUP($B101-1,CDM!$V$4:$AJ$17,5,FALSE)/12,0)+IFERROR(VLOOKUP($B101,CDM!$V$41:$AJ$54,5,FALSE)/24,0)+IFERROR(VLOOKUP($B101,CDM!$V$41:$AJ$54,5,FALSE)/2*$C101/78,0)</f>
        <v>6901021.3074037321</v>
      </c>
      <c r="X101" s="7">
        <f t="shared" ca="1" si="240"/>
        <v>80311723.685840592</v>
      </c>
      <c r="Y101" s="7">
        <f>IFERROR(HLOOKUP(B101-1,'EV Forecast VRZ'!$F$124:$T$130,5,FALSE)/12,0)+IFERROR(((HLOOKUP(B101,'EV Forecast VRZ'!$F$116:$T$122,5,FALSE)-HLOOKUP(B101-1,'EV Forecast VRZ'!$F$124:$T$130,5,FALSE)))*C101/78,0)</f>
        <v>67203.583884615378</v>
      </c>
      <c r="Z101" s="7">
        <f ca="1">HLOOKUP(B101,Heating!$C$102:$O$106,5,FALSE)*INDEX(Weather!$BO$1:$CB$20,MATCH(B101,Weather!$BO$1:$BO$20,0),MATCH(C101,Weather!$BO$1:$CB$1,0))/VLOOKUP(B101,Weather!$BO$2:$CB$20,14,FALSE)*
VLOOKUP('Monthly Data'!$B101,Weather!$BO$3:$CB$20,14,FALSE)/Weather!$CB$14</f>
        <v>147301.14722568559</v>
      </c>
      <c r="AA101" s="7">
        <f t="shared" ca="1" si="172"/>
        <v>80097218.954730287</v>
      </c>
      <c r="AB101" s="7">
        <v>8152593.5728335036</v>
      </c>
      <c r="AC101" s="7">
        <f ca="1">IFERROR(VLOOKUP($B101-1,CDM!$V$4:$AJ$17,6,FALSE)/12,0)+IFERROR(VLOOKUP($B101,CDM!$V$41:$AJ$54,6,FALSE)/24,0)+IFERROR(VLOOKUP($B101,CDM!$V$41:$AJ$54,6,FALSE)/2*$C101/78,0)</f>
        <v>344285.54322792718</v>
      </c>
      <c r="AD101" s="7">
        <f t="shared" ca="1" si="241"/>
        <v>8496879.1160614304</v>
      </c>
      <c r="AE101" s="7">
        <f>IFERROR(HLOOKUP(B101-1,'EV Forecast VRZ'!$F$124:$T$130,6,FALSE)/12,0)+IFERROR(((HLOOKUP(B101,'EV Forecast VRZ'!$F$116:$T$122,6,FALSE)-HLOOKUP(B101-1,'EV Forecast VRZ'!$F$124:$T$130,6,FALSE)))*C101/78,0)</f>
        <v>8717.5990641025655</v>
      </c>
      <c r="AF101" s="7">
        <f t="shared" ca="1" si="174"/>
        <v>8488161.516997328</v>
      </c>
      <c r="AG101" s="7">
        <v>22364713.277121536</v>
      </c>
      <c r="AH101" s="7">
        <f ca="1">IFERROR(VLOOKUP($B101-1,CDM!$V$4:$AJ$17,7,FALSE)/12,0)+IFERROR(VLOOKUP($B101,CDM!$V$41:$AJ$54,7,FALSE)/24,0)+IFERROR(VLOOKUP($B101,CDM!$V$41:$AJ$54,7,FALSE)/2*$C101/78,0)</f>
        <v>1990290.224493148</v>
      </c>
      <c r="AI101" s="7">
        <f t="shared" ca="1" si="242"/>
        <v>24355003.501614686</v>
      </c>
      <c r="AJ101" s="7">
        <f>IFERROR(HLOOKUP(B101-1,'EV Forecast VRZ'!$F$124:$T$130,7,FALSE)/12,0)+IFERROR(((HLOOKUP(B101,'EV Forecast VRZ'!$F$116:$T$122,7,FALSE)-HLOOKUP(B101-1,'EV Forecast VRZ'!$F$124:$T$130,7,FALSE)))*C101/78,0)</f>
        <v>1061.5384615384614</v>
      </c>
      <c r="AK101" s="7">
        <f t="shared" ca="1" si="176"/>
        <v>24353941.963153146</v>
      </c>
      <c r="AL101" s="7">
        <v>830583.44781530241</v>
      </c>
      <c r="AM101" s="7">
        <v>7044.4857851555043</v>
      </c>
      <c r="AN101" s="7">
        <v>377118.2121732494</v>
      </c>
      <c r="AO101" s="5">
        <v>173823.61</v>
      </c>
      <c r="AP101" s="5">
        <v>17493.3</v>
      </c>
      <c r="AQ101" s="5">
        <v>42085.08</v>
      </c>
      <c r="AR101" s="5">
        <v>2636.85</v>
      </c>
      <c r="AS101" s="544">
        <f t="shared" si="252"/>
        <v>50.166666666666664</v>
      </c>
      <c r="AT101" s="557">
        <v>117067</v>
      </c>
      <c r="AU101" s="557">
        <v>1562.666666666667</v>
      </c>
      <c r="AV101" s="557">
        <v>9500</v>
      </c>
      <c r="AW101" s="557">
        <v>1052.333333333333</v>
      </c>
      <c r="AX101" s="557">
        <v>5</v>
      </c>
      <c r="AY101" s="557">
        <v>5</v>
      </c>
      <c r="AZ101" s="557">
        <v>32585.333333333328</v>
      </c>
      <c r="BA101" s="557">
        <v>239.33333333333337</v>
      </c>
      <c r="BB101" s="557">
        <v>780.33333333333348</v>
      </c>
      <c r="BC101" s="560">
        <v>26120632.779796656</v>
      </c>
      <c r="BD101" s="560">
        <f ca="1">IFERROR(VLOOKUP($B101-1,CDM!$V$4:$AJ$17,11,FALSE)/12,0)+IFERROR(VLOOKUP($B101,CDM!$V$41:$AJ$54,11,FALSE)/24,0)+IFERROR(VLOOKUP($B101,CDM!$V$41:$AJ$54,11,FALSE)/2*$C101/78,0)</f>
        <v>1773059.9410118368</v>
      </c>
      <c r="BE101" s="560">
        <f t="shared" ca="1" si="188"/>
        <v>27893692.720808491</v>
      </c>
      <c r="BF101" s="560">
        <f>IFERROR(HLOOKUP(B101-1,'EV Forecast WRZ'!$F$124:$T$130,2,FALSE)/12,0)+IFERROR(((HLOOKUP(B101,'EV Forecast WRZ'!$F$116:$T$122,2,FALSE)-HLOOKUP(B101-1,'EV Forecast WRZ'!$F$124:$T$130,2,FALSE)))*C101/78,0)</f>
        <v>372888.2528205128</v>
      </c>
      <c r="BG101" s="560">
        <f ca="1">HLOOKUP(B101,Heating!$R$102:$AD$106,2,FALSE)*INDEX(Weather!$BO$1:$CB$20,MATCH(B101,Weather!$BO$1:$BO$20,0),MATCH(C101,Weather!$BO$1:$CB$1,0))/VLOOKUP(B101,Weather!$BO$2:$CB$20,14,FALSE)*
VLOOKUP('Monthly Data'!$B101,Weather!$BO$3:$CB$20,14,FALSE)/Weather!$CB$14</f>
        <v>518986.83503704029</v>
      </c>
      <c r="BH101" s="560">
        <f t="shared" ca="1" si="177"/>
        <v>27001817.632950936</v>
      </c>
      <c r="BI101" s="560">
        <v>6235852.4739643401</v>
      </c>
      <c r="BJ101" s="560">
        <f ca="1">IFERROR(VLOOKUP($B101-1,CDM!$V$4:$AJ$17,12,FALSE)/12,0)+IFERROR(VLOOKUP($B101,CDM!$V$41:$AJ$54,12,FALSE)/24,0)+IFERROR(VLOOKUP($B101,CDM!$V$41:$AJ$54,12,FALSE)/2*$C101/78,0)</f>
        <v>308628.68131530337</v>
      </c>
      <c r="BK101" s="560">
        <f t="shared" ca="1" si="243"/>
        <v>6544481.1552796438</v>
      </c>
      <c r="BL101" s="560">
        <f>IFERROR(HLOOKUP(B101-1,'EV Forecast WRZ'!$F$124:$T$130,3,FALSE)/12,0)+IFERROR(((HLOOKUP(B101,'EV Forecast WRZ'!$F$116:$T$122,3,FALSE)-HLOOKUP(B101-1,'EV Forecast WRZ'!$F$124:$T$130,3,FALSE)))*C101/78,0)</f>
        <v>48887.645128205135</v>
      </c>
      <c r="BM101" s="560">
        <f ca="1">HLOOKUP(B101,Heating!$R$102:$AD$106,4,FALSE)*INDEX(Weather!$BO$1:$CB$20,MATCH(B101,Weather!$BO$1:$BO$20,0),MATCH(C101,Weather!$BO$1:$CB$1,0))/VLOOKUP(B101,Weather!$BO$2:$CB$20,14,FALSE)*
VLOOKUP('Monthly Data'!$B101,Weather!$BO$3:$CB$20,14,FALSE)/Weather!$CB$14</f>
        <v>82388.673817079427</v>
      </c>
      <c r="BN101" s="560">
        <f t="shared" ca="1" si="179"/>
        <v>6413204.8363343589</v>
      </c>
      <c r="BO101" s="560">
        <v>24566014.049834881</v>
      </c>
      <c r="BP101" s="560">
        <f ca="1">IFERROR(VLOOKUP($B101-1,CDM!$V$4:$AJ$17,13,FALSE)/12,0)+IFERROR(VLOOKUP($B101,CDM!$V$41:$AJ$54,13,FALSE)/24,0)+IFERROR(VLOOKUP($B101,CDM!$V$41:$AJ$54,13,FALSE)/2*$C101/78,0)</f>
        <v>2976072.8146681036</v>
      </c>
      <c r="BQ101" s="560">
        <f t="shared" ca="1" si="244"/>
        <v>27542086.864502985</v>
      </c>
      <c r="BR101" s="560">
        <f>IFERROR(HLOOKUP(B101-1,'EV Forecast WRZ'!$F$124:$T$130,4,FALSE)/12,0)+IFERROR(((HLOOKUP(B101,'EV Forecast WRZ'!$F$116:$T$122,4,FALSE)-HLOOKUP(B101-1,'EV Forecast WRZ'!$F$124:$T$130,4,FALSE)))*C101/78,0)</f>
        <v>21767.517230769234</v>
      </c>
      <c r="BS101" s="560">
        <f ca="1">HLOOKUP(B101,Heating!$R$102:$AD$106,5,FALSE)*INDEX(Weather!$BO$1:$CB$20,MATCH(B101,Weather!$BO$1:$BO$20,0),MATCH(C101,Weather!$BO$1:$CB$1,0))/VLOOKUP(B101,Weather!$BO$2:$CB$20,14,FALSE)*
VLOOKUP('Monthly Data'!$B101,Weather!$BO$3:$CB$20,14,FALSE)/Weather!$CB$14</f>
        <v>43611.1429181692</v>
      </c>
      <c r="BT101" s="560">
        <f t="shared" ca="1" si="181"/>
        <v>27476708.204354048</v>
      </c>
      <c r="BU101" s="560">
        <v>6237138.0810028939</v>
      </c>
      <c r="BV101" s="560">
        <f ca="1">IFERROR(VLOOKUP($B101-1,CDM!$V$4:$AJ$17,14,FALSE)/12,0)+IFERROR(VLOOKUP($B101,CDM!$V$41:$AJ$54,14,FALSE)/24,0)+IFERROR(VLOOKUP($B101,CDM!$V$41:$AJ$54,14,FALSE)/2*$C101/78,0)</f>
        <v>670224.86694199685</v>
      </c>
      <c r="BW101" s="560">
        <f t="shared" ca="1" si="245"/>
        <v>6907362.9479448907</v>
      </c>
      <c r="BX101" s="560">
        <f>IFERROR(HLOOKUP(B101-1,'EV Forecast WRZ'!$F$124:$T$130,5,FALSE)/12,0)+IFERROR(((HLOOKUP(B101,'EV Forecast WRZ'!$F$116:$T$122,5,FALSE)-HLOOKUP(B101-1,'EV Forecast WRZ'!$F$124:$T$130,5,FALSE)))*C101/78,0)</f>
        <v>3583.0361025641023</v>
      </c>
      <c r="BY101" s="560">
        <f t="shared" ca="1" si="189"/>
        <v>6903779.9118423266</v>
      </c>
      <c r="BZ101" s="560">
        <v>258883.99655634206</v>
      </c>
      <c r="CA101" s="560">
        <v>511.49799119954082</v>
      </c>
      <c r="CB101" s="560">
        <v>156597.98163382435</v>
      </c>
      <c r="CC101" s="5">
        <v>59149.2</v>
      </c>
      <c r="CD101" s="5">
        <v>13809.42</v>
      </c>
      <c r="CE101" s="5">
        <v>822</v>
      </c>
      <c r="CF101" s="544">
        <f t="shared" si="248"/>
        <v>6.916666666666667</v>
      </c>
      <c r="CG101" s="565">
        <v>45445</v>
      </c>
      <c r="CH101" s="565">
        <v>2461</v>
      </c>
      <c r="CI101" s="565">
        <v>388</v>
      </c>
      <c r="CJ101" s="565">
        <v>3</v>
      </c>
      <c r="CK101" s="565">
        <v>13683</v>
      </c>
      <c r="CL101" s="565">
        <v>45.666666666666657</v>
      </c>
      <c r="CM101" s="565">
        <v>400</v>
      </c>
      <c r="CN101" s="46">
        <f>Weather!C125</f>
        <v>368.29791666666671</v>
      </c>
      <c r="CO101" s="46">
        <f>Weather!D125</f>
        <v>0</v>
      </c>
      <c r="CP101" s="46">
        <f>Weather!E125</f>
        <v>308.29791666666665</v>
      </c>
      <c r="CQ101" s="46">
        <f>Weather!F125</f>
        <v>0</v>
      </c>
      <c r="CR101" s="46">
        <f>Weather!G125</f>
        <v>248.29791666666665</v>
      </c>
      <c r="CS101" s="46">
        <f>Weather!H125</f>
        <v>0</v>
      </c>
      <c r="CT101" s="46">
        <f>Weather!I125</f>
        <v>188.29791666666671</v>
      </c>
      <c r="CU101" s="46">
        <f>Weather!J125</f>
        <v>0</v>
      </c>
      <c r="CV101" s="46">
        <f>Weather!K125</f>
        <v>130.68125000000001</v>
      </c>
      <c r="CW101" s="46">
        <f>Weather!L125</f>
        <v>2.3833333333333346</v>
      </c>
      <c r="CX101" s="46">
        <f>Weather!M125</f>
        <v>78.922916666666652</v>
      </c>
      <c r="CY101" s="46">
        <f>Weather!N125</f>
        <v>10.625</v>
      </c>
      <c r="CZ101" s="46">
        <f>Weather!O125</f>
        <v>41.093749999999993</v>
      </c>
      <c r="DA101" s="46">
        <f>Weather!P125</f>
        <v>32.795833333333334</v>
      </c>
      <c r="DB101" s="243">
        <f>'Economic Data'!D127</f>
        <v>8087.1</v>
      </c>
      <c r="DC101" s="243">
        <f>'Economic Data'!E127</f>
        <v>8033.3</v>
      </c>
      <c r="DD101" s="243">
        <f>'Economic Data'!F127</f>
        <v>247</v>
      </c>
      <c r="DE101" s="243">
        <f>'Economic Data'!G127</f>
        <v>246.5</v>
      </c>
      <c r="DF101" s="243">
        <f>'Economic Data'!H127</f>
        <v>42.5</v>
      </c>
      <c r="DG101" s="243">
        <f>'Economic Data'!I127</f>
        <v>42.5</v>
      </c>
      <c r="DH101" s="243">
        <f>'Economic Data'!J127</f>
        <v>876619.7</v>
      </c>
      <c r="DI101" s="243">
        <f>'Economic Data'!K127</f>
        <v>694601.3</v>
      </c>
      <c r="DJ101" s="243">
        <f>'Economic Data'!L127</f>
        <v>92436.4</v>
      </c>
      <c r="DK101" s="243">
        <f>'Economic Data'!M127</f>
        <v>33851.4</v>
      </c>
      <c r="DL101" s="243">
        <f>'Economic Data'!N127</f>
        <v>888733</v>
      </c>
      <c r="DM101" s="243">
        <f>'Economic Data'!O127</f>
        <v>90108</v>
      </c>
      <c r="DN101" s="243">
        <f>'Economic Data'!P127</f>
        <v>17537</v>
      </c>
      <c r="DO101" s="243">
        <f>'Economic Data'!Q127</f>
        <v>709569</v>
      </c>
      <c r="DP101" s="243">
        <f>'Economic Data'!R127</f>
        <v>34591</v>
      </c>
      <c r="DQ101">
        <v>30</v>
      </c>
      <c r="DR101">
        <v>22</v>
      </c>
      <c r="DS101">
        <f t="shared" ref="DS101:ED101" si="255">DS89</f>
        <v>0</v>
      </c>
      <c r="DT101">
        <f t="shared" si="255"/>
        <v>0</v>
      </c>
      <c r="DU101">
        <f t="shared" si="255"/>
        <v>0</v>
      </c>
      <c r="DV101">
        <f t="shared" si="255"/>
        <v>1</v>
      </c>
      <c r="DW101">
        <f t="shared" si="255"/>
        <v>0</v>
      </c>
      <c r="DX101">
        <f t="shared" si="255"/>
        <v>0</v>
      </c>
      <c r="DY101">
        <f t="shared" si="255"/>
        <v>0</v>
      </c>
      <c r="DZ101">
        <f t="shared" si="255"/>
        <v>0</v>
      </c>
      <c r="EA101">
        <f t="shared" si="255"/>
        <v>0</v>
      </c>
      <c r="EB101">
        <f t="shared" si="255"/>
        <v>0</v>
      </c>
      <c r="EC101">
        <f t="shared" si="255"/>
        <v>0</v>
      </c>
      <c r="ED101">
        <f t="shared" si="255"/>
        <v>0</v>
      </c>
      <c r="EE101">
        <f t="shared" ref="EE101:EF101" si="256">EE89</f>
        <v>1</v>
      </c>
      <c r="EF101">
        <f t="shared" si="256"/>
        <v>0</v>
      </c>
      <c r="EG101">
        <f t="shared" si="251"/>
        <v>1</v>
      </c>
      <c r="EH101">
        <f t="shared" si="185"/>
        <v>100</v>
      </c>
      <c r="EI101">
        <v>0</v>
      </c>
      <c r="EJ101">
        <v>0</v>
      </c>
      <c r="EK101">
        <v>0.25</v>
      </c>
      <c r="EL101">
        <v>0</v>
      </c>
      <c r="EM101" s="47">
        <f t="shared" si="190"/>
        <v>0</v>
      </c>
      <c r="EN101" s="47">
        <f t="shared" si="191"/>
        <v>0</v>
      </c>
      <c r="EO101" s="47">
        <f t="shared" si="192"/>
        <v>0</v>
      </c>
      <c r="EP101" s="47">
        <f t="shared" si="193"/>
        <v>0</v>
      </c>
      <c r="EQ101" s="47">
        <f t="shared" si="194"/>
        <v>0</v>
      </c>
      <c r="ER101" s="47">
        <f t="shared" si="195"/>
        <v>0</v>
      </c>
      <c r="ES101" s="47">
        <f t="shared" si="196"/>
        <v>0</v>
      </c>
      <c r="ET101" s="47">
        <f t="shared" si="197"/>
        <v>0</v>
      </c>
      <c r="EU101" s="47">
        <f t="shared" si="198"/>
        <v>0</v>
      </c>
      <c r="EV101" s="47">
        <f t="shared" si="199"/>
        <v>0</v>
      </c>
      <c r="EW101" s="47">
        <f t="shared" si="200"/>
        <v>0</v>
      </c>
      <c r="EX101" s="47">
        <f t="shared" si="201"/>
        <v>0</v>
      </c>
      <c r="EY101" s="47">
        <f t="shared" si="202"/>
        <v>0</v>
      </c>
      <c r="EZ101" s="47">
        <f t="shared" si="203"/>
        <v>0</v>
      </c>
      <c r="FA101" s="47">
        <f t="shared" si="204"/>
        <v>92.074479166666677</v>
      </c>
      <c r="FB101" s="47">
        <f t="shared" si="205"/>
        <v>0</v>
      </c>
      <c r="FC101" s="47">
        <f t="shared" si="206"/>
        <v>77.074479166666663</v>
      </c>
      <c r="FD101" s="47">
        <f t="shared" si="207"/>
        <v>0</v>
      </c>
      <c r="FE101" s="47">
        <f t="shared" si="208"/>
        <v>62.074479166666663</v>
      </c>
      <c r="FF101" s="47">
        <f t="shared" si="209"/>
        <v>0</v>
      </c>
      <c r="FG101" s="47">
        <f t="shared" si="210"/>
        <v>47.074479166666677</v>
      </c>
      <c r="FH101" s="47">
        <f t="shared" si="211"/>
        <v>0</v>
      </c>
      <c r="FI101" s="47">
        <f t="shared" si="212"/>
        <v>32.670312500000001</v>
      </c>
      <c r="FJ101" s="47">
        <f t="shared" si="213"/>
        <v>0.59583333333333366</v>
      </c>
      <c r="FK101" s="47">
        <f t="shared" si="214"/>
        <v>19.730729166666663</v>
      </c>
      <c r="FL101" s="47">
        <f t="shared" si="215"/>
        <v>2.65625</v>
      </c>
      <c r="FM101" s="47">
        <f t="shared" si="216"/>
        <v>10.273437499999998</v>
      </c>
      <c r="FN101" s="47">
        <f t="shared" si="217"/>
        <v>8.1989583333333336</v>
      </c>
      <c r="FO101" s="546">
        <f t="shared" ca="1" si="218"/>
        <v>607.39508915981696</v>
      </c>
      <c r="FP101" s="546">
        <f t="shared" ca="1" si="219"/>
        <v>569.56589826239826</v>
      </c>
      <c r="FQ101" s="546">
        <f t="shared" ca="1" si="220"/>
        <v>2145.7271903580927</v>
      </c>
      <c r="FR101" s="546">
        <f t="shared" ca="1" si="221"/>
        <v>76317.76086712761</v>
      </c>
      <c r="FS101" s="546">
        <f t="shared" ca="1" si="222"/>
        <v>1699375.823212286</v>
      </c>
      <c r="FT101" s="546">
        <f t="shared" ca="1" si="223"/>
        <v>4871000.7003229372</v>
      </c>
      <c r="FU101" s="546">
        <f t="shared" si="224"/>
        <v>25.489487534738611</v>
      </c>
      <c r="FV101" s="546">
        <f t="shared" si="225"/>
        <v>29.433784617641379</v>
      </c>
      <c r="FW101" s="546">
        <f t="shared" si="226"/>
        <v>483.27835818870057</v>
      </c>
      <c r="FX101" s="546">
        <f t="shared" ca="1" si="227"/>
        <v>613.7901357863019</v>
      </c>
      <c r="FY101" s="546">
        <f t="shared" ca="1" si="228"/>
        <v>2659.2771862168402</v>
      </c>
      <c r="FZ101" s="546">
        <f t="shared" ca="1" si="229"/>
        <v>70984.759960059237</v>
      </c>
      <c r="GA101" s="546">
        <f t="shared" si="230"/>
        <v>86294.66551878069</v>
      </c>
      <c r="GB101" s="546">
        <f t="shared" si="231"/>
        <v>18.92011960508237</v>
      </c>
      <c r="GC101" s="546">
        <f t="shared" si="232"/>
        <v>11.200685938676079</v>
      </c>
      <c r="GD101" s="546">
        <f t="shared" si="233"/>
        <v>391.4949540845609</v>
      </c>
    </row>
    <row r="102" spans="1:186">
      <c r="A102" s="4">
        <v>45413</v>
      </c>
      <c r="B102" s="6">
        <v>2024</v>
      </c>
      <c r="C102" s="5">
        <v>5</v>
      </c>
      <c r="D102" s="7">
        <v>70010680.759579614</v>
      </c>
      <c r="E102" s="7">
        <f ca="1">IFERROR(VLOOKUP($B102-1,CDM!$V$4:$AJ$17,2,FALSE)/12,0)+IFERROR(VLOOKUP($B102,CDM!$V$41:$AJ$54,2,FALSE)/24,0)+IFERROR(VLOOKUP($B102,CDM!$V$41:$AJ$54,2,FALSE)/2*$C102/78,0)</f>
        <v>4034194.5066332347</v>
      </c>
      <c r="F102" s="7">
        <f t="shared" ca="1" si="165"/>
        <v>74044875.266212851</v>
      </c>
      <c r="G102" s="7">
        <f>IFERROR(HLOOKUP(B102-1,'EV Forecast VRZ'!$F$124:$T$130,2,FALSE)/12,0)+IFERROR(((HLOOKUP(B102,'EV Forecast VRZ'!$F$116:$T$122,2,FALSE)-HLOOKUP(B102-1,'EV Forecast VRZ'!$F$124:$T$130,2,FALSE)))*C102/78,0)</f>
        <v>1162703.7480323559</v>
      </c>
      <c r="H102" s="7">
        <f ca="1">HLOOKUP(B102,Heating!$C$102:$O$106,2,FALSE)*INDEX(Weather!$BO$1:$CB$20,MATCH(B102,Weather!$BO$1:$BO$20,0),MATCH(C102,Weather!$BO$1:$CB$1,0))/VLOOKUP(B102,Weather!$BO$2:$CB$20,14,FALSE)*
VLOOKUP('Monthly Data'!$B102,Weather!$BO$3:$CB$20,14,FALSE)/Weather!$CB$14</f>
        <v>342821.62196216953</v>
      </c>
      <c r="I102" s="7">
        <f t="shared" ca="1" si="166"/>
        <v>72539349.896218315</v>
      </c>
      <c r="J102" s="7">
        <v>812558.96621492365</v>
      </c>
      <c r="K102" s="7">
        <f ca="1">IFERROR(VLOOKUP($B102-1,CDM!$V$4:$AJ$17,3,FALSE)/12,0)+IFERROR(VLOOKUP($B102,CDM!$V$41:$AJ$54,3,FALSE)/24,0)+IFERROR(VLOOKUP($B102,CDM!$V$41:$AJ$54,3,FALSE)/2*$C102/78,0)</f>
        <v>46205.943033875024</v>
      </c>
      <c r="L102" s="7">
        <f t="shared" ca="1" si="238"/>
        <v>858764.90924879862</v>
      </c>
      <c r="M102" s="7">
        <f>IFERROR(HLOOKUP(B102-1,'EV Forecast VRZ'!$F$124:$T$130,3,FALSE)/12,0)+IFERROR(((HLOOKUP(B102,'EV Forecast VRZ'!$F$116:$T$122,3,FALSE)-HLOOKUP(B102-1,'EV Forecast VRZ'!$F$124:$T$130,3,FALSE)))*C102/78,0)</f>
        <v>15776.891839438882</v>
      </c>
      <c r="N102" s="7">
        <f ca="1">HLOOKUP(B102,Heating!$C$102:$O$106,3,FALSE)*INDEX(Weather!$BO$1:$CB$20,MATCH(B102,Weather!$BO$1:$BO$20,0),MATCH(C102,Weather!$BO$1:$CB$1,0))/VLOOKUP(B102,Weather!$BO$2:$CB$20,14,FALSE)*
VLOOKUP('Monthly Data'!$B102,Weather!$BO$3:$CB$20,14,FALSE)/Weather!$CB$14</f>
        <v>4050.3502369274916</v>
      </c>
      <c r="O102" s="7">
        <f t="shared" ca="1" si="168"/>
        <v>838937.66717243218</v>
      </c>
      <c r="P102" s="7">
        <v>19055710.70695189</v>
      </c>
      <c r="Q102" s="7">
        <f ca="1">IFERROR(VLOOKUP($B102-1,CDM!$V$4:$AJ$17,4,FALSE)/12,0)+IFERROR(VLOOKUP($B102,CDM!$V$41:$AJ$54,4,FALSE)/24,0)+IFERROR(VLOOKUP($B102,CDM!$V$41:$AJ$54,4,FALSE)/2*$C102/78,0)</f>
        <v>1671354.1043117854</v>
      </c>
      <c r="R102" s="7">
        <f t="shared" ca="1" si="239"/>
        <v>20727064.811263677</v>
      </c>
      <c r="S102" s="7">
        <f>IFERROR(HLOOKUP(B102-1,'EV Forecast VRZ'!$F$124:$T$130,4,FALSE)/12,0)+IFERROR(((HLOOKUP(B102,'EV Forecast VRZ'!$F$116:$T$122,4,FALSE)-HLOOKUP(B102-1,'EV Forecast VRZ'!$F$124:$T$130,4,FALSE)))*C102/78,0)</f>
        <v>147496.36487179485</v>
      </c>
      <c r="T102" s="7">
        <f ca="1">HLOOKUP(B102,Heating!$C$102:$O$106,4,FALSE)*INDEX(Weather!$BO$1:$CB$20,MATCH(B102,Weather!$BO$1:$BO$20,0),MATCH(C102,Weather!$BO$1:$CB$1,0))/VLOOKUP(B102,Weather!$BO$2:$CB$20,14,FALSE)*
VLOOKUP('Monthly Data'!$B102,Weather!$BO$3:$CB$20,14,FALSE)/Weather!$CB$14</f>
        <v>82131.257199288986</v>
      </c>
      <c r="U102" s="7">
        <f t="shared" ca="1" si="170"/>
        <v>20497437.189192593</v>
      </c>
      <c r="V102" s="7">
        <v>76194934.845801011</v>
      </c>
      <c r="W102" s="7">
        <f ca="1">IFERROR(VLOOKUP($B102-1,CDM!$V$4:$AJ$17,5,FALSE)/12,0)+IFERROR(VLOOKUP($B102,CDM!$V$41:$AJ$54,5,FALSE)/24,0)+IFERROR(VLOOKUP($B102,CDM!$V$41:$AJ$54,5,FALSE)/2*$C102/78,0)</f>
        <v>6943830.7612379882</v>
      </c>
      <c r="X102" s="7">
        <f t="shared" ca="1" si="240"/>
        <v>83138765.607039005</v>
      </c>
      <c r="Y102" s="7">
        <f>IFERROR(HLOOKUP(B102-1,'EV Forecast VRZ'!$F$124:$T$130,5,FALSE)/12,0)+IFERROR(((HLOOKUP(B102,'EV Forecast VRZ'!$F$116:$T$122,5,FALSE)-HLOOKUP(B102-1,'EV Forecast VRZ'!$F$124:$T$130,5,FALSE)))*C102/78,0)</f>
        <v>69371.825730769226</v>
      </c>
      <c r="Z102" s="7">
        <f ca="1">HLOOKUP(B102,Heating!$C$102:$O$106,5,FALSE)*INDEX(Weather!$BO$1:$CB$20,MATCH(B102,Weather!$BO$1:$BO$20,0),MATCH(C102,Weather!$BO$1:$CB$1,0))/VLOOKUP(B102,Weather!$BO$2:$CB$20,14,FALSE)*
VLOOKUP('Monthly Data'!$B102,Weather!$BO$3:$CB$20,14,FALSE)/Weather!$CB$14</f>
        <v>42775.991167070621</v>
      </c>
      <c r="AA102" s="7">
        <f t="shared" ca="1" si="172"/>
        <v>83026617.790141165</v>
      </c>
      <c r="AB102" s="7">
        <v>8110102.6360445814</v>
      </c>
      <c r="AC102" s="7">
        <f ca="1">IFERROR(VLOOKUP($B102-1,CDM!$V$4:$AJ$17,6,FALSE)/12,0)+IFERROR(VLOOKUP($B102,CDM!$V$41:$AJ$54,6,FALSE)/24,0)+IFERROR(VLOOKUP($B102,CDM!$V$41:$AJ$54,6,FALSE)/2*$C102/78,0)</f>
        <v>348454.92341720377</v>
      </c>
      <c r="AD102" s="7">
        <f t="shared" ca="1" si="241"/>
        <v>8458557.5594617855</v>
      </c>
      <c r="AE102" s="7">
        <f>IFERROR(HLOOKUP(B102-1,'EV Forecast VRZ'!$F$124:$T$130,6,FALSE)/12,0)+IFERROR(((HLOOKUP(B102,'EV Forecast VRZ'!$F$116:$T$122,6,FALSE)-HLOOKUP(B102-1,'EV Forecast VRZ'!$F$124:$T$130,6,FALSE)))*C102/78,0)</f>
        <v>9001.3567051282062</v>
      </c>
      <c r="AF102" s="7">
        <f t="shared" ca="1" si="174"/>
        <v>8449556.2027566582</v>
      </c>
      <c r="AG102" s="7">
        <v>27072499.504902609</v>
      </c>
      <c r="AH102" s="7">
        <f ca="1">IFERROR(VLOOKUP($B102-1,CDM!$V$4:$AJ$17,7,FALSE)/12,0)+IFERROR(VLOOKUP($B102,CDM!$V$41:$AJ$54,7,FALSE)/24,0)+IFERROR(VLOOKUP($B102,CDM!$V$41:$AJ$54,7,FALSE)/2*$C102/78,0)</f>
        <v>2003446.7801952225</v>
      </c>
      <c r="AI102" s="7">
        <f t="shared" ca="1" si="242"/>
        <v>29075946.28509783</v>
      </c>
      <c r="AJ102" s="7">
        <f>IFERROR(HLOOKUP(B102-1,'EV Forecast VRZ'!$F$124:$T$130,7,FALSE)/12,0)+IFERROR(((HLOOKUP(B102,'EV Forecast VRZ'!$F$116:$T$122,7,FALSE)-HLOOKUP(B102-1,'EV Forecast VRZ'!$F$124:$T$130,7,FALSE)))*C102/78,0)</f>
        <v>1151.9230769230769</v>
      </c>
      <c r="AK102" s="7">
        <f t="shared" ca="1" si="176"/>
        <v>29074794.362020906</v>
      </c>
      <c r="AL102" s="7">
        <v>756089.22915474139</v>
      </c>
      <c r="AM102" s="7">
        <v>7279.2978439229155</v>
      </c>
      <c r="AN102" s="7">
        <v>377146.66094256821</v>
      </c>
      <c r="AO102" s="5">
        <v>185621.21</v>
      </c>
      <c r="AP102" s="5">
        <v>18004.939999999999</v>
      </c>
      <c r="AQ102" s="5">
        <v>45637.32</v>
      </c>
      <c r="AR102" s="5">
        <v>2636.83</v>
      </c>
      <c r="AS102" s="544">
        <f t="shared" si="252"/>
        <v>50.166666666666664</v>
      </c>
      <c r="AT102" s="557">
        <v>117222.75</v>
      </c>
      <c r="AU102" s="557">
        <v>1562.3333333333337</v>
      </c>
      <c r="AV102" s="557">
        <v>9500.75</v>
      </c>
      <c r="AW102" s="557">
        <v>1055.1666666666663</v>
      </c>
      <c r="AX102" s="557">
        <v>5</v>
      </c>
      <c r="AY102" s="557">
        <v>5</v>
      </c>
      <c r="AZ102" s="557">
        <v>32638.166666666661</v>
      </c>
      <c r="BA102" s="557">
        <v>238.91666666666671</v>
      </c>
      <c r="BB102" s="557">
        <v>776.16666666666686</v>
      </c>
      <c r="BC102" s="560">
        <v>28745414.483798049</v>
      </c>
      <c r="BD102" s="560">
        <f ca="1">IFERROR(VLOOKUP($B102-1,CDM!$V$4:$AJ$17,11,FALSE)/12,0)+IFERROR(VLOOKUP($B102,CDM!$V$41:$AJ$54,11,FALSE)/24,0)+IFERROR(VLOOKUP($B102,CDM!$V$41:$AJ$54,11,FALSE)/2*$C102/78,0)</f>
        <v>1779443.2427182684</v>
      </c>
      <c r="BE102" s="560">
        <f t="shared" ca="1" si="188"/>
        <v>30524857.726516318</v>
      </c>
      <c r="BF102" s="560">
        <f>IFERROR(HLOOKUP(B102-1,'EV Forecast WRZ'!$F$124:$T$130,2,FALSE)/12,0)+IFERROR(((HLOOKUP(B102,'EV Forecast WRZ'!$F$116:$T$122,2,FALSE)-HLOOKUP(B102-1,'EV Forecast WRZ'!$F$124:$T$130,2,FALSE)))*C102/78,0)</f>
        <v>385371.61102564097</v>
      </c>
      <c r="BG102" s="560">
        <f ca="1">HLOOKUP(B102,Heating!$R$102:$AD$106,2,FALSE)*INDEX(Weather!$BO$1:$CB$20,MATCH(B102,Weather!$BO$1:$BO$20,0),MATCH(C102,Weather!$BO$1:$CB$1,0))/VLOOKUP(B102,Weather!$BO$2:$CB$20,14,FALSE)*
VLOOKUP('Monthly Data'!$B102,Weather!$BO$3:$CB$20,14,FALSE)/Weather!$CB$14</f>
        <v>150712.85383376307</v>
      </c>
      <c r="BH102" s="560">
        <f t="shared" ca="1" si="177"/>
        <v>29988773.26165691</v>
      </c>
      <c r="BI102" s="560">
        <v>6650382.3697734261</v>
      </c>
      <c r="BJ102" s="560">
        <f ca="1">IFERROR(VLOOKUP($B102-1,CDM!$V$4:$AJ$17,12,FALSE)/12,0)+IFERROR(VLOOKUP($B102,CDM!$V$41:$AJ$54,12,FALSE)/24,0)+IFERROR(VLOOKUP($B102,CDM!$V$41:$AJ$54,12,FALSE)/2*$C102/78,0)</f>
        <v>311305.55400519067</v>
      </c>
      <c r="BK102" s="560">
        <f t="shared" ca="1" si="243"/>
        <v>6961687.9237786168</v>
      </c>
      <c r="BL102" s="560">
        <f>IFERROR(HLOOKUP(B102-1,'EV Forecast WRZ'!$F$124:$T$130,3,FALSE)/12,0)+IFERROR(((HLOOKUP(B102,'EV Forecast WRZ'!$F$116:$T$122,3,FALSE)-HLOOKUP(B102-1,'EV Forecast WRZ'!$F$124:$T$130,3,FALSE)))*C102/78,0)</f>
        <v>50845.076410256414</v>
      </c>
      <c r="BM102" s="560">
        <f ca="1">HLOOKUP(B102,Heating!$R$102:$AD$106,4,FALSE)*INDEX(Weather!$BO$1:$CB$20,MATCH(B102,Weather!$BO$1:$BO$20,0),MATCH(C102,Weather!$BO$1:$CB$1,0))/VLOOKUP(B102,Weather!$BO$2:$CB$20,14,FALSE)*
VLOOKUP('Monthly Data'!$B102,Weather!$BO$3:$CB$20,14,FALSE)/Weather!$CB$14</f>
        <v>23925.524341411987</v>
      </c>
      <c r="BN102" s="560">
        <f t="shared" ca="1" si="179"/>
        <v>6886917.3230269486</v>
      </c>
      <c r="BO102" s="560">
        <v>25232676.399879914</v>
      </c>
      <c r="BP102" s="560">
        <f ca="1">IFERROR(VLOOKUP($B102-1,CDM!$V$4:$AJ$17,13,FALSE)/12,0)+IFERROR(VLOOKUP($B102,CDM!$V$41:$AJ$54,13,FALSE)/24,0)+IFERROR(VLOOKUP($B102,CDM!$V$41:$AJ$54,13,FALSE)/2*$C102/78,0)</f>
        <v>2998667.3065579478</v>
      </c>
      <c r="BQ102" s="560">
        <f t="shared" ca="1" si="244"/>
        <v>28231343.706437863</v>
      </c>
      <c r="BR102" s="560">
        <f>IFERROR(HLOOKUP(B102-1,'EV Forecast WRZ'!$F$124:$T$130,4,FALSE)/12,0)+IFERROR(((HLOOKUP(B102,'EV Forecast WRZ'!$F$116:$T$122,4,FALSE)-HLOOKUP(B102-1,'EV Forecast WRZ'!$F$124:$T$130,4,FALSE)))*C102/78,0)</f>
        <v>22616.213871794876</v>
      </c>
      <c r="BS102" s="560">
        <f ca="1">HLOOKUP(B102,Heating!$R$102:$AD$106,5,FALSE)*INDEX(Weather!$BO$1:$CB$20,MATCH(B102,Weather!$BO$1:$BO$20,0),MATCH(C102,Weather!$BO$1:$CB$1,0))/VLOOKUP(B102,Weather!$BO$2:$CB$20,14,FALSE)*
VLOOKUP('Monthly Data'!$B102,Weather!$BO$3:$CB$20,14,FALSE)/Weather!$CB$14</f>
        <v>12664.598337413099</v>
      </c>
      <c r="BT102" s="560">
        <f t="shared" ca="1" si="181"/>
        <v>28196062.894228656</v>
      </c>
      <c r="BU102" s="560">
        <v>6638311.5718418518</v>
      </c>
      <c r="BV102" s="560">
        <f ca="1">IFERROR(VLOOKUP($B102-1,CDM!$V$4:$AJ$17,14,FALSE)/12,0)+IFERROR(VLOOKUP($B102,CDM!$V$41:$AJ$54,14,FALSE)/24,0)+IFERROR(VLOOKUP($B102,CDM!$V$41:$AJ$54,14,FALSE)/2*$C102/78,0)</f>
        <v>675366.83241520007</v>
      </c>
      <c r="BW102" s="560">
        <f t="shared" ca="1" si="245"/>
        <v>7313678.4042570516</v>
      </c>
      <c r="BX102" s="560">
        <f>IFERROR(HLOOKUP(B102-1,'EV Forecast WRZ'!$F$124:$T$130,5,FALSE)/12,0)+IFERROR(((HLOOKUP(B102,'EV Forecast WRZ'!$F$116:$T$122,5,FALSE)-HLOOKUP(B102-1,'EV Forecast WRZ'!$F$124:$T$130,5,FALSE)))*C102/78,0)</f>
        <v>3784.529461538461</v>
      </c>
      <c r="BY102" s="560">
        <f t="shared" ca="1" si="189"/>
        <v>7309893.8747955132</v>
      </c>
      <c r="BZ102" s="560">
        <v>236251.99923474266</v>
      </c>
      <c r="CA102" s="560">
        <v>494.99713028505835</v>
      </c>
      <c r="CB102" s="560">
        <v>156597.98163382435</v>
      </c>
      <c r="CC102" s="5">
        <v>62047.88</v>
      </c>
      <c r="CD102" s="5">
        <v>12612.2</v>
      </c>
      <c r="CE102" s="5">
        <v>824</v>
      </c>
      <c r="CF102" s="544">
        <f t="shared" si="248"/>
        <v>6.916666666666667</v>
      </c>
      <c r="CG102" s="565">
        <v>45475.25</v>
      </c>
      <c r="CH102" s="565">
        <v>2462.5</v>
      </c>
      <c r="CI102" s="565">
        <v>388.25</v>
      </c>
      <c r="CJ102" s="565">
        <v>3</v>
      </c>
      <c r="CK102" s="565">
        <v>13693</v>
      </c>
      <c r="CL102" s="565">
        <v>45.583333333333321</v>
      </c>
      <c r="CM102" s="565">
        <v>398.5</v>
      </c>
      <c r="CN102" s="46">
        <f>Weather!C126</f>
        <v>143.5708333333333</v>
      </c>
      <c r="CO102" s="46">
        <f>Weather!D126</f>
        <v>2.6999999999999957</v>
      </c>
      <c r="CP102" s="46">
        <f>Weather!E126</f>
        <v>89.52916666666664</v>
      </c>
      <c r="CQ102" s="46">
        <f>Weather!F126</f>
        <v>10.658333333333328</v>
      </c>
      <c r="CR102" s="46">
        <f>Weather!G126</f>
        <v>44.158333333333317</v>
      </c>
      <c r="CS102" s="46">
        <f>Weather!H126</f>
        <v>27.287500000000005</v>
      </c>
      <c r="CT102" s="46">
        <f>Weather!I126</f>
        <v>15.562499999999984</v>
      </c>
      <c r="CU102" s="46">
        <f>Weather!J126</f>
        <v>60.691666666666663</v>
      </c>
      <c r="CV102" s="46">
        <f>Weather!K126</f>
        <v>2.9208333333333272</v>
      </c>
      <c r="CW102" s="46">
        <f>Weather!L126</f>
        <v>110.05000000000001</v>
      </c>
      <c r="CX102" s="46">
        <f>Weather!M126</f>
        <v>0</v>
      </c>
      <c r="CY102" s="46">
        <f>Weather!N126</f>
        <v>169.12916666666669</v>
      </c>
      <c r="CZ102" s="46">
        <f>Weather!O126</f>
        <v>0</v>
      </c>
      <c r="DA102" s="46">
        <f>Weather!P126</f>
        <v>231.12916666666669</v>
      </c>
      <c r="DB102" s="243">
        <f>'Economic Data'!D128</f>
        <v>8119.7</v>
      </c>
      <c r="DC102" s="243">
        <f>'Economic Data'!E128</f>
        <v>8113.6</v>
      </c>
      <c r="DD102" s="243">
        <f>'Economic Data'!F128</f>
        <v>248.1</v>
      </c>
      <c r="DE102" s="243">
        <f>'Economic Data'!G128</f>
        <v>247.1</v>
      </c>
      <c r="DF102" s="243">
        <f>'Economic Data'!H128</f>
        <v>45.7</v>
      </c>
      <c r="DG102" s="243">
        <f>'Economic Data'!I128</f>
        <v>45.7</v>
      </c>
      <c r="DH102" s="243">
        <f>'Economic Data'!J128</f>
        <v>876619.7</v>
      </c>
      <c r="DI102" s="243">
        <f>'Economic Data'!K128</f>
        <v>694601.3</v>
      </c>
      <c r="DJ102" s="243">
        <f>'Economic Data'!L128</f>
        <v>92436.4</v>
      </c>
      <c r="DK102" s="243">
        <f>'Economic Data'!M128</f>
        <v>33851.4</v>
      </c>
      <c r="DL102" s="243">
        <f>'Economic Data'!N128</f>
        <v>888733</v>
      </c>
      <c r="DM102" s="243">
        <f>'Economic Data'!O128</f>
        <v>90108</v>
      </c>
      <c r="DN102" s="243">
        <f>'Economic Data'!P128</f>
        <v>17537</v>
      </c>
      <c r="DO102" s="243">
        <f>'Economic Data'!Q128</f>
        <v>709569</v>
      </c>
      <c r="DP102" s="243">
        <f>'Economic Data'!R128</f>
        <v>34591</v>
      </c>
      <c r="DQ102">
        <v>31</v>
      </c>
      <c r="DR102">
        <v>22</v>
      </c>
      <c r="DS102">
        <f t="shared" ref="DS102:ED102" si="257">DS90</f>
        <v>0</v>
      </c>
      <c r="DT102">
        <f t="shared" si="257"/>
        <v>0</v>
      </c>
      <c r="DU102">
        <f t="shared" si="257"/>
        <v>0</v>
      </c>
      <c r="DV102">
        <f t="shared" si="257"/>
        <v>0</v>
      </c>
      <c r="DW102">
        <f t="shared" si="257"/>
        <v>1</v>
      </c>
      <c r="DX102">
        <f t="shared" si="257"/>
        <v>0</v>
      </c>
      <c r="DY102">
        <f t="shared" si="257"/>
        <v>0</v>
      </c>
      <c r="DZ102">
        <f t="shared" si="257"/>
        <v>0</v>
      </c>
      <c r="EA102">
        <f t="shared" si="257"/>
        <v>0</v>
      </c>
      <c r="EB102">
        <f t="shared" si="257"/>
        <v>0</v>
      </c>
      <c r="EC102">
        <f t="shared" si="257"/>
        <v>0</v>
      </c>
      <c r="ED102">
        <f t="shared" si="257"/>
        <v>0</v>
      </c>
      <c r="EE102">
        <f t="shared" ref="EE102:EF102" si="258">EE90</f>
        <v>1</v>
      </c>
      <c r="EF102">
        <f t="shared" si="258"/>
        <v>0</v>
      </c>
      <c r="EG102">
        <f t="shared" si="251"/>
        <v>1</v>
      </c>
      <c r="EH102">
        <f t="shared" si="185"/>
        <v>101</v>
      </c>
      <c r="EI102">
        <v>0</v>
      </c>
      <c r="EJ102">
        <v>0</v>
      </c>
      <c r="EK102">
        <v>0.25</v>
      </c>
      <c r="EL102">
        <v>0</v>
      </c>
      <c r="EM102" s="47">
        <f t="shared" si="190"/>
        <v>0</v>
      </c>
      <c r="EN102" s="47">
        <f t="shared" si="191"/>
        <v>0</v>
      </c>
      <c r="EO102" s="47">
        <f t="shared" si="192"/>
        <v>0</v>
      </c>
      <c r="EP102" s="47">
        <f t="shared" si="193"/>
        <v>0</v>
      </c>
      <c r="EQ102" s="47">
        <f t="shared" si="194"/>
        <v>0</v>
      </c>
      <c r="ER102" s="47">
        <f t="shared" si="195"/>
        <v>0</v>
      </c>
      <c r="ES102" s="47">
        <f t="shared" si="196"/>
        <v>0</v>
      </c>
      <c r="ET102" s="47">
        <f t="shared" si="197"/>
        <v>0</v>
      </c>
      <c r="EU102" s="47">
        <f t="shared" si="198"/>
        <v>0</v>
      </c>
      <c r="EV102" s="47">
        <f t="shared" si="199"/>
        <v>0</v>
      </c>
      <c r="EW102" s="47">
        <f t="shared" si="200"/>
        <v>0</v>
      </c>
      <c r="EX102" s="47">
        <f t="shared" si="201"/>
        <v>0</v>
      </c>
      <c r="EY102" s="47">
        <f t="shared" si="202"/>
        <v>0</v>
      </c>
      <c r="EZ102" s="47">
        <f t="shared" si="203"/>
        <v>0</v>
      </c>
      <c r="FA102" s="47">
        <f t="shared" si="204"/>
        <v>35.892708333333324</v>
      </c>
      <c r="FB102" s="47">
        <f t="shared" si="205"/>
        <v>0.67499999999999893</v>
      </c>
      <c r="FC102" s="47">
        <f t="shared" si="206"/>
        <v>22.38229166666666</v>
      </c>
      <c r="FD102" s="47">
        <f t="shared" si="207"/>
        <v>2.664583333333332</v>
      </c>
      <c r="FE102" s="47">
        <f t="shared" si="208"/>
        <v>11.039583333333329</v>
      </c>
      <c r="FF102" s="47">
        <f t="shared" si="209"/>
        <v>6.8218750000000012</v>
      </c>
      <c r="FG102" s="47">
        <f t="shared" si="210"/>
        <v>3.890624999999996</v>
      </c>
      <c r="FH102" s="47">
        <f t="shared" si="211"/>
        <v>15.172916666666666</v>
      </c>
      <c r="FI102" s="47">
        <f t="shared" si="212"/>
        <v>0.73020833333333179</v>
      </c>
      <c r="FJ102" s="47">
        <f t="shared" si="213"/>
        <v>27.512500000000003</v>
      </c>
      <c r="FK102" s="47">
        <f t="shared" si="214"/>
        <v>0</v>
      </c>
      <c r="FL102" s="47">
        <f t="shared" si="215"/>
        <v>42.282291666666673</v>
      </c>
      <c r="FM102" s="47">
        <f t="shared" si="216"/>
        <v>0</v>
      </c>
      <c r="FN102" s="47">
        <f t="shared" si="217"/>
        <v>57.782291666666673</v>
      </c>
      <c r="FO102" s="546">
        <f t="shared" ca="1" si="218"/>
        <v>618.81631250092937</v>
      </c>
      <c r="FP102" s="546">
        <f t="shared" ca="1" si="219"/>
        <v>549.66817319103802</v>
      </c>
      <c r="FQ102" s="546">
        <f t="shared" ca="1" si="220"/>
        <v>2181.6240624438783</v>
      </c>
      <c r="FR102" s="546">
        <f t="shared" ca="1" si="221"/>
        <v>78792.069758684913</v>
      </c>
      <c r="FS102" s="546">
        <f t="shared" ca="1" si="222"/>
        <v>1691711.5118923571</v>
      </c>
      <c r="FT102" s="546">
        <f t="shared" ca="1" si="223"/>
        <v>5815189.2570195664</v>
      </c>
      <c r="FU102" s="546">
        <f t="shared" si="224"/>
        <v>23.165799625839121</v>
      </c>
      <c r="FV102" s="546">
        <f t="shared" si="225"/>
        <v>30.467936563332742</v>
      </c>
      <c r="FW102" s="546">
        <f t="shared" si="226"/>
        <v>485.9093763485954</v>
      </c>
      <c r="FX102" s="546">
        <f t="shared" ca="1" si="227"/>
        <v>671.24111965335692</v>
      </c>
      <c r="FY102" s="546">
        <f t="shared" ca="1" si="228"/>
        <v>2827.0813903669509</v>
      </c>
      <c r="FZ102" s="546">
        <f t="shared" ca="1" si="229"/>
        <v>72714.34309449546</v>
      </c>
      <c r="GA102" s="546">
        <f t="shared" si="230"/>
        <v>78750.666411580882</v>
      </c>
      <c r="GB102" s="546">
        <f t="shared" si="231"/>
        <v>17.253487127345554</v>
      </c>
      <c r="GC102" s="546">
        <f t="shared" si="232"/>
        <v>10.859169220147535</v>
      </c>
      <c r="GD102" s="546">
        <f t="shared" si="233"/>
        <v>392.96858628312259</v>
      </c>
    </row>
    <row r="103" spans="1:186">
      <c r="A103" s="4">
        <v>45444</v>
      </c>
      <c r="B103" s="6">
        <v>2024</v>
      </c>
      <c r="C103" s="5">
        <v>6</v>
      </c>
      <c r="D103" s="7">
        <v>86079741.116460398</v>
      </c>
      <c r="E103" s="7">
        <f ca="1">IFERROR(VLOOKUP($B103-1,CDM!$V$4:$AJ$17,2,FALSE)/12,0)+IFERROR(VLOOKUP($B103,CDM!$V$41:$AJ$54,2,FALSE)/24,0)+IFERROR(VLOOKUP($B103,CDM!$V$41:$AJ$54,2,FALSE)/2*$C103/78,0)</f>
        <v>4050347.7887678966</v>
      </c>
      <c r="F103" s="7">
        <f t="shared" ca="1" si="165"/>
        <v>90130088.905228287</v>
      </c>
      <c r="G103" s="7">
        <f>IFERROR(HLOOKUP(B103-1,'EV Forecast VRZ'!$F$124:$T$130,2,FALSE)/12,0)+IFERROR(((HLOOKUP(B103,'EV Forecast VRZ'!$F$116:$T$122,2,FALSE)-HLOOKUP(B103-1,'EV Forecast VRZ'!$F$124:$T$130,2,FALSE)))*C103/78,0)</f>
        <v>1194745.2710427078</v>
      </c>
      <c r="H103" s="7">
        <f ca="1">HLOOKUP(B103,Heating!$C$102:$O$106,2,FALSE)*INDEX(Weather!$BO$1:$CB$20,MATCH(B103,Weather!$BO$1:$BO$20,0),MATCH(C103,Weather!$BO$1:$CB$1,0))/VLOOKUP(B103,Weather!$BO$2:$CB$20,14,FALSE)*
VLOOKUP('Monthly Data'!$B103,Weather!$BO$3:$CB$20,14,FALSE)/Weather!$CB$14</f>
        <v>120889.8138226536</v>
      </c>
      <c r="I103" s="7">
        <f t="shared" ca="1" si="166"/>
        <v>88814453.820362926</v>
      </c>
      <c r="J103" s="7">
        <v>741786.65862688201</v>
      </c>
      <c r="K103" s="7">
        <f ca="1">IFERROR(VLOOKUP($B103-1,CDM!$V$4:$AJ$17,3,FALSE)/12,0)+IFERROR(VLOOKUP($B103,CDM!$V$41:$AJ$54,3,FALSE)/24,0)+IFERROR(VLOOKUP($B103,CDM!$V$41:$AJ$54,3,FALSE)/2*$C103/78,0)</f>
        <v>46390.886093546273</v>
      </c>
      <c r="L103" s="7">
        <f t="shared" ca="1" si="238"/>
        <v>788177.5447204283</v>
      </c>
      <c r="M103" s="7">
        <f>IFERROR(HLOOKUP(B103-1,'EV Forecast VRZ'!$F$124:$T$130,3,FALSE)/12,0)+IFERROR(((HLOOKUP(B103,'EV Forecast VRZ'!$F$116:$T$122,3,FALSE)-HLOOKUP(B103-1,'EV Forecast VRZ'!$F$124:$T$130,3,FALSE)))*C103/78,0)</f>
        <v>16211.667803445793</v>
      </c>
      <c r="N103" s="7">
        <f ca="1">HLOOKUP(B103,Heating!$C$102:$O$106,3,FALSE)*INDEX(Weather!$BO$1:$CB$20,MATCH(B103,Weather!$BO$1:$BO$20,0),MATCH(C103,Weather!$BO$1:$CB$1,0))/VLOOKUP(B103,Weather!$BO$2:$CB$20,14,FALSE)*
VLOOKUP('Monthly Data'!$B103,Weather!$BO$3:$CB$20,14,FALSE)/Weather!$CB$14</f>
        <v>1428.2823914552798</v>
      </c>
      <c r="O103" s="7">
        <f t="shared" ca="1" si="168"/>
        <v>770537.59452552721</v>
      </c>
      <c r="P103" s="7">
        <v>19987165.718999069</v>
      </c>
      <c r="Q103" s="7">
        <f ca="1">IFERROR(VLOOKUP($B103-1,CDM!$V$4:$AJ$17,4,FALSE)/12,0)+IFERROR(VLOOKUP($B103,CDM!$V$41:$AJ$54,4,FALSE)/24,0)+IFERROR(VLOOKUP($B103,CDM!$V$41:$AJ$54,4,FALSE)/2*$C103/78,0)</f>
        <v>1680233.6654578354</v>
      </c>
      <c r="R103" s="7">
        <f t="shared" ca="1" si="239"/>
        <v>21667399.384456903</v>
      </c>
      <c r="S103" s="7">
        <f>IFERROR(HLOOKUP(B103-1,'EV Forecast VRZ'!$F$124:$T$130,4,FALSE)/12,0)+IFERROR(((HLOOKUP(B103,'EV Forecast VRZ'!$F$116:$T$122,4,FALSE)-HLOOKUP(B103-1,'EV Forecast VRZ'!$F$124:$T$130,4,FALSE)))*C103/78,0)</f>
        <v>151825.36384615384</v>
      </c>
      <c r="T103" s="7">
        <f ca="1">HLOOKUP(B103,Heating!$C$102:$O$106,4,FALSE)*INDEX(Weather!$BO$1:$CB$20,MATCH(B103,Weather!$BO$1:$BO$20,0),MATCH(C103,Weather!$BO$1:$CB$1,0))/VLOOKUP(B103,Weather!$BO$2:$CB$20,14,FALSE)*
VLOOKUP('Monthly Data'!$B103,Weather!$BO$3:$CB$20,14,FALSE)/Weather!$CB$14</f>
        <v>28962.095024852821</v>
      </c>
      <c r="U103" s="7">
        <f t="shared" ca="1" si="170"/>
        <v>21486611.925585896</v>
      </c>
      <c r="V103" s="7">
        <v>77307246.554965541</v>
      </c>
      <c r="W103" s="7">
        <f ca="1">IFERROR(VLOOKUP($B103-1,CDM!$V$4:$AJ$17,5,FALSE)/12,0)+IFERROR(VLOOKUP($B103,CDM!$V$41:$AJ$54,5,FALSE)/24,0)+IFERROR(VLOOKUP($B103,CDM!$V$41:$AJ$54,5,FALSE)/2*$C103/78,0)</f>
        <v>6986640.2150722444</v>
      </c>
      <c r="X103" s="7">
        <f t="shared" ca="1" si="240"/>
        <v>84293886.770037785</v>
      </c>
      <c r="Y103" s="7">
        <f>IFERROR(HLOOKUP(B103-1,'EV Forecast VRZ'!$F$124:$T$130,5,FALSE)/12,0)+IFERROR(((HLOOKUP(B103,'EV Forecast VRZ'!$F$116:$T$122,5,FALSE)-HLOOKUP(B103-1,'EV Forecast VRZ'!$F$124:$T$130,5,FALSE)))*C103/78,0)</f>
        <v>71540.067576923073</v>
      </c>
      <c r="Z103" s="7">
        <f ca="1">HLOOKUP(B103,Heating!$C$102:$O$106,5,FALSE)*INDEX(Weather!$BO$1:$CB$20,MATCH(B103,Weather!$BO$1:$BO$20,0),MATCH(C103,Weather!$BO$1:$CB$1,0))/VLOOKUP(B103,Weather!$BO$2:$CB$20,14,FALSE)*
VLOOKUP('Monthly Data'!$B103,Weather!$BO$3:$CB$20,14,FALSE)/Weather!$CB$14</f>
        <v>15084.175784097084</v>
      </c>
      <c r="AA103" s="7">
        <f t="shared" ca="1" si="172"/>
        <v>84207262.526676759</v>
      </c>
      <c r="AB103" s="7">
        <v>7868030.4774576705</v>
      </c>
      <c r="AC103" s="7">
        <f ca="1">IFERROR(VLOOKUP($B103-1,CDM!$V$4:$AJ$17,6,FALSE)/12,0)+IFERROR(VLOOKUP($B103,CDM!$V$41:$AJ$54,6,FALSE)/24,0)+IFERROR(VLOOKUP($B103,CDM!$V$41:$AJ$54,6,FALSE)/2*$C103/78,0)</f>
        <v>352624.30360648042</v>
      </c>
      <c r="AD103" s="7">
        <f t="shared" ca="1" si="241"/>
        <v>8220654.7810641509</v>
      </c>
      <c r="AE103" s="7">
        <f>IFERROR(HLOOKUP(B103-1,'EV Forecast VRZ'!$F$124:$T$130,6,FALSE)/12,0)+IFERROR(((HLOOKUP(B103,'EV Forecast VRZ'!$F$116:$T$122,6,FALSE)-HLOOKUP(B103-1,'EV Forecast VRZ'!$F$124:$T$130,6,FALSE)))*C103/78,0)</f>
        <v>9285.1143461538468</v>
      </c>
      <c r="AF103" s="7">
        <f t="shared" ca="1" si="174"/>
        <v>8211369.6667179968</v>
      </c>
      <c r="AG103" s="7">
        <v>26934569.290462855</v>
      </c>
      <c r="AH103" s="7">
        <f ca="1">IFERROR(VLOOKUP($B103-1,CDM!$V$4:$AJ$17,7,FALSE)/12,0)+IFERROR(VLOOKUP($B103,CDM!$V$41:$AJ$54,7,FALSE)/24,0)+IFERROR(VLOOKUP($B103,CDM!$V$41:$AJ$54,7,FALSE)/2*$C103/78,0)</f>
        <v>2016603.3358972969</v>
      </c>
      <c r="AI103" s="7">
        <f t="shared" ca="1" si="242"/>
        <v>28951172.626360152</v>
      </c>
      <c r="AJ103" s="7">
        <f>IFERROR(HLOOKUP(B103-1,'EV Forecast VRZ'!$F$124:$T$130,7,FALSE)/12,0)+IFERROR(((HLOOKUP(B103,'EV Forecast VRZ'!$F$116:$T$122,7,FALSE)-HLOOKUP(B103-1,'EV Forecast VRZ'!$F$124:$T$130,7,FALSE)))*C103/78,0)</f>
        <v>1242.3076923076924</v>
      </c>
      <c r="AK103" s="7">
        <f t="shared" ca="1" si="176"/>
        <v>28949930.318667844</v>
      </c>
      <c r="AL103" s="7">
        <v>679005.31387139857</v>
      </c>
      <c r="AM103" s="7">
        <v>7044.4857851555043</v>
      </c>
      <c r="AN103" s="7">
        <v>377118.2121732494</v>
      </c>
      <c r="AO103" s="5">
        <v>197056.58</v>
      </c>
      <c r="AP103" s="5">
        <v>18978.3</v>
      </c>
      <c r="AQ103" s="5">
        <v>46998.42</v>
      </c>
      <c r="AR103" s="5">
        <v>2636.98</v>
      </c>
      <c r="AS103" s="544">
        <f t="shared" si="252"/>
        <v>50.166666666666664</v>
      </c>
      <c r="AT103" s="557">
        <v>117378.5</v>
      </c>
      <c r="AU103" s="557">
        <v>1562.0000000000005</v>
      </c>
      <c r="AV103" s="557">
        <v>9501.5</v>
      </c>
      <c r="AW103" s="557">
        <v>1057.9999999999995</v>
      </c>
      <c r="AX103" s="557">
        <v>5</v>
      </c>
      <c r="AY103" s="557">
        <v>5</v>
      </c>
      <c r="AZ103" s="557">
        <v>32690.999999999993</v>
      </c>
      <c r="BA103" s="557">
        <v>238.50000000000006</v>
      </c>
      <c r="BB103" s="557">
        <v>772.00000000000023</v>
      </c>
      <c r="BC103" s="560">
        <v>36723805.876219153</v>
      </c>
      <c r="BD103" s="560">
        <f ca="1">IFERROR(VLOOKUP($B103-1,CDM!$V$4:$AJ$17,11,FALSE)/12,0)+IFERROR(VLOOKUP($B103,CDM!$V$41:$AJ$54,11,FALSE)/24,0)+IFERROR(VLOOKUP($B103,CDM!$V$41:$AJ$54,11,FALSE)/2*$C103/78,0)</f>
        <v>1785826.5444246999</v>
      </c>
      <c r="BE103" s="560">
        <f t="shared" ca="1" si="188"/>
        <v>38509632.420643851</v>
      </c>
      <c r="BF103" s="560">
        <f>IFERROR(HLOOKUP(B103-1,'EV Forecast WRZ'!$F$124:$T$130,2,FALSE)/12,0)+IFERROR(((HLOOKUP(B103,'EV Forecast WRZ'!$F$116:$T$122,2,FALSE)-HLOOKUP(B103-1,'EV Forecast WRZ'!$F$124:$T$130,2,FALSE)))*C103/78,0)</f>
        <v>397854.9692307692</v>
      </c>
      <c r="BG103" s="560">
        <f ca="1">HLOOKUP(B103,Heating!$R$102:$AD$106,2,FALSE)*INDEX(Weather!$BO$1:$CB$20,MATCH(B103,Weather!$BO$1:$BO$20,0),MATCH(C103,Weather!$BO$1:$CB$1,0))/VLOOKUP(B103,Weather!$BO$2:$CB$20,14,FALSE)*
VLOOKUP('Monthly Data'!$B103,Weather!$BO$3:$CB$20,14,FALSE)/Weather!$CB$14</f>
        <v>53146.148531596904</v>
      </c>
      <c r="BH103" s="560">
        <f t="shared" ca="1" si="177"/>
        <v>38058631.302881487</v>
      </c>
      <c r="BI103" s="560">
        <v>7105785.1130213011</v>
      </c>
      <c r="BJ103" s="560">
        <f ca="1">IFERROR(VLOOKUP($B103-1,CDM!$V$4:$AJ$17,12,FALSE)/12,0)+IFERROR(VLOOKUP($B103,CDM!$V$41:$AJ$54,12,FALSE)/24,0)+IFERROR(VLOOKUP($B103,CDM!$V$41:$AJ$54,12,FALSE)/2*$C103/78,0)</f>
        <v>313982.42669507803</v>
      </c>
      <c r="BK103" s="560">
        <f t="shared" ca="1" si="243"/>
        <v>7419767.5397163788</v>
      </c>
      <c r="BL103" s="560">
        <f>IFERROR(HLOOKUP(B103-1,'EV Forecast WRZ'!$F$124:$T$130,3,FALSE)/12,0)+IFERROR(((HLOOKUP(B103,'EV Forecast WRZ'!$F$116:$T$122,3,FALSE)-HLOOKUP(B103-1,'EV Forecast WRZ'!$F$124:$T$130,3,FALSE)))*C103/78,0)</f>
        <v>52802.507692307699</v>
      </c>
      <c r="BM103" s="560">
        <f ca="1">HLOOKUP(B103,Heating!$R$102:$AD$106,4,FALSE)*INDEX(Weather!$BO$1:$CB$20,MATCH(B103,Weather!$BO$1:$BO$20,0),MATCH(C103,Weather!$BO$1:$CB$1,0))/VLOOKUP(B103,Weather!$BO$2:$CB$20,14,FALSE)*
VLOOKUP('Monthly Data'!$B103,Weather!$BO$3:$CB$20,14,FALSE)/Weather!$CB$14</f>
        <v>8436.9012861208448</v>
      </c>
      <c r="BN103" s="560">
        <f t="shared" ca="1" si="179"/>
        <v>7358528.1307379501</v>
      </c>
      <c r="BO103" s="560">
        <v>26291720.915040527</v>
      </c>
      <c r="BP103" s="560">
        <f ca="1">IFERROR(VLOOKUP($B103-1,CDM!$V$4:$AJ$17,13,FALSE)/12,0)+IFERROR(VLOOKUP($B103,CDM!$V$41:$AJ$54,13,FALSE)/24,0)+IFERROR(VLOOKUP($B103,CDM!$V$41:$AJ$54,13,FALSE)/2*$C103/78,0)</f>
        <v>3021261.798447792</v>
      </c>
      <c r="BQ103" s="560">
        <f t="shared" ca="1" si="244"/>
        <v>29312982.713488318</v>
      </c>
      <c r="BR103" s="560">
        <f>IFERROR(HLOOKUP(B103-1,'EV Forecast WRZ'!$F$124:$T$130,4,FALSE)/12,0)+IFERROR(((HLOOKUP(B103,'EV Forecast WRZ'!$F$116:$T$122,4,FALSE)-HLOOKUP(B103-1,'EV Forecast WRZ'!$F$124:$T$130,4,FALSE)))*C103/78,0)</f>
        <v>23464.910512820516</v>
      </c>
      <c r="BS103" s="560">
        <f ca="1">HLOOKUP(B103,Heating!$R$102:$AD$106,5,FALSE)*INDEX(Weather!$BO$1:$CB$20,MATCH(B103,Weather!$BO$1:$BO$20,0),MATCH(C103,Weather!$BO$1:$CB$1,0))/VLOOKUP(B103,Weather!$BO$2:$CB$20,14,FALSE)*
VLOOKUP('Monthly Data'!$B103,Weather!$BO$3:$CB$20,14,FALSE)/Weather!$CB$14</f>
        <v>4465.9404106007833</v>
      </c>
      <c r="BT103" s="560">
        <f t="shared" ca="1" si="181"/>
        <v>29285051.862564899</v>
      </c>
      <c r="BU103" s="560">
        <v>6657206.972034716</v>
      </c>
      <c r="BV103" s="560">
        <f ca="1">IFERROR(VLOOKUP($B103-1,CDM!$V$4:$AJ$17,14,FALSE)/12,0)+IFERROR(VLOOKUP($B103,CDM!$V$41:$AJ$54,14,FALSE)/24,0)+IFERROR(VLOOKUP($B103,CDM!$V$41:$AJ$54,14,FALSE)/2*$C103/78,0)</f>
        <v>680508.79788840341</v>
      </c>
      <c r="BW103" s="560">
        <f t="shared" ca="1" si="245"/>
        <v>7337715.7699231198</v>
      </c>
      <c r="BX103" s="560">
        <f>IFERROR(HLOOKUP(B103-1,'EV Forecast WRZ'!$F$124:$T$130,5,FALSE)/12,0)+IFERROR(((HLOOKUP(B103,'EV Forecast WRZ'!$F$116:$T$122,5,FALSE)-HLOOKUP(B103-1,'EV Forecast WRZ'!$F$124:$T$130,5,FALSE)))*C103/78,0)</f>
        <v>3986.0228205128205</v>
      </c>
      <c r="BY103" s="560">
        <f t="shared" ca="1" si="189"/>
        <v>7333729.747102607</v>
      </c>
      <c r="BZ103" s="560">
        <v>212153.00363497224</v>
      </c>
      <c r="CA103" s="560">
        <v>511.49799119954082</v>
      </c>
      <c r="CB103" s="560">
        <v>156662.98067725272</v>
      </c>
      <c r="CC103" s="5">
        <v>68758.509999999995</v>
      </c>
      <c r="CD103" s="5">
        <v>13609.59</v>
      </c>
      <c r="CE103" s="5">
        <v>824</v>
      </c>
      <c r="CF103" s="544">
        <f t="shared" si="248"/>
        <v>6.916666666666667</v>
      </c>
      <c r="CG103" s="565">
        <v>45505.5</v>
      </c>
      <c r="CH103" s="565">
        <v>2464</v>
      </c>
      <c r="CI103" s="565">
        <v>388.5</v>
      </c>
      <c r="CJ103" s="565">
        <v>3</v>
      </c>
      <c r="CK103" s="565">
        <v>13703</v>
      </c>
      <c r="CL103" s="565">
        <v>45.499999999999986</v>
      </c>
      <c r="CM103" s="565">
        <v>397</v>
      </c>
      <c r="CN103" s="46">
        <f>Weather!C127</f>
        <v>60.86249999999999</v>
      </c>
      <c r="CO103" s="46">
        <f>Weather!D127</f>
        <v>25.01666666666668</v>
      </c>
      <c r="CP103" s="46">
        <f>Weather!E127</f>
        <v>31.570833333333319</v>
      </c>
      <c r="CQ103" s="46">
        <f>Weather!F127</f>
        <v>55.725000000000009</v>
      </c>
      <c r="CR103" s="46">
        <f>Weather!G127</f>
        <v>10.312499999999995</v>
      </c>
      <c r="CS103" s="46">
        <f>Weather!H127</f>
        <v>94.466666666666669</v>
      </c>
      <c r="CT103" s="46">
        <f>Weather!I127</f>
        <v>2.4583333333333321</v>
      </c>
      <c r="CU103" s="46">
        <f>Weather!J127</f>
        <v>146.61250000000007</v>
      </c>
      <c r="CV103" s="46">
        <f>Weather!K127</f>
        <v>0</v>
      </c>
      <c r="CW103" s="46">
        <f>Weather!L127</f>
        <v>204.15416666666667</v>
      </c>
      <c r="CX103" s="46">
        <f>Weather!M127</f>
        <v>0</v>
      </c>
      <c r="CY103" s="46">
        <f>Weather!N127</f>
        <v>264.15416666666664</v>
      </c>
      <c r="CZ103" s="46">
        <f>Weather!O127</f>
        <v>0</v>
      </c>
      <c r="DA103" s="46">
        <f>Weather!P127</f>
        <v>324.1541666666667</v>
      </c>
      <c r="DB103" s="243">
        <f>'Economic Data'!D129</f>
        <v>8140.7</v>
      </c>
      <c r="DC103" s="243">
        <f>'Economic Data'!E129</f>
        <v>8202.2000000000007</v>
      </c>
      <c r="DD103" s="243">
        <f>'Economic Data'!F129</f>
        <v>246.6</v>
      </c>
      <c r="DE103" s="243">
        <f>'Economic Data'!G129</f>
        <v>245.9</v>
      </c>
      <c r="DF103" s="243">
        <f>'Economic Data'!H129</f>
        <v>50.4</v>
      </c>
      <c r="DG103" s="243">
        <f>'Economic Data'!I129</f>
        <v>50.4</v>
      </c>
      <c r="DH103" s="243">
        <f>'Economic Data'!J129</f>
        <v>876619.7</v>
      </c>
      <c r="DI103" s="243">
        <f>'Economic Data'!K129</f>
        <v>694601.3</v>
      </c>
      <c r="DJ103" s="243">
        <f>'Economic Data'!L129</f>
        <v>92436.4</v>
      </c>
      <c r="DK103" s="243">
        <f>'Economic Data'!M129</f>
        <v>33851.4</v>
      </c>
      <c r="DL103" s="243">
        <f>'Economic Data'!N129</f>
        <v>888733</v>
      </c>
      <c r="DM103" s="243">
        <f>'Economic Data'!O129</f>
        <v>90108</v>
      </c>
      <c r="DN103" s="243">
        <f>'Economic Data'!P129</f>
        <v>17537</v>
      </c>
      <c r="DO103" s="243">
        <f>'Economic Data'!Q129</f>
        <v>709569</v>
      </c>
      <c r="DP103" s="243">
        <f>'Economic Data'!R129</f>
        <v>34591</v>
      </c>
      <c r="DQ103">
        <v>30</v>
      </c>
      <c r="DR103">
        <v>20</v>
      </c>
      <c r="DS103">
        <f t="shared" ref="DS103:ED103" si="259">DS91</f>
        <v>0</v>
      </c>
      <c r="DT103">
        <f t="shared" si="259"/>
        <v>0</v>
      </c>
      <c r="DU103">
        <f t="shared" si="259"/>
        <v>0</v>
      </c>
      <c r="DV103">
        <f t="shared" si="259"/>
        <v>0</v>
      </c>
      <c r="DW103">
        <f t="shared" si="259"/>
        <v>0</v>
      </c>
      <c r="DX103">
        <f t="shared" si="259"/>
        <v>1</v>
      </c>
      <c r="DY103">
        <f t="shared" si="259"/>
        <v>0</v>
      </c>
      <c r="DZ103">
        <f t="shared" si="259"/>
        <v>0</v>
      </c>
      <c r="EA103">
        <f t="shared" si="259"/>
        <v>0</v>
      </c>
      <c r="EB103">
        <f t="shared" si="259"/>
        <v>0</v>
      </c>
      <c r="EC103">
        <f t="shared" si="259"/>
        <v>0</v>
      </c>
      <c r="ED103">
        <f t="shared" si="259"/>
        <v>0</v>
      </c>
      <c r="EE103">
        <f t="shared" ref="EE103:EF103" si="260">EE91</f>
        <v>0</v>
      </c>
      <c r="EF103">
        <f t="shared" si="260"/>
        <v>0</v>
      </c>
      <c r="EG103">
        <f t="shared" si="251"/>
        <v>0</v>
      </c>
      <c r="EH103">
        <f t="shared" si="185"/>
        <v>102</v>
      </c>
      <c r="EI103">
        <v>0</v>
      </c>
      <c r="EJ103">
        <v>0</v>
      </c>
      <c r="EK103">
        <v>0.25</v>
      </c>
      <c r="EL103">
        <v>0</v>
      </c>
      <c r="EM103" s="47">
        <f t="shared" si="190"/>
        <v>0</v>
      </c>
      <c r="EN103" s="47">
        <f t="shared" si="191"/>
        <v>0</v>
      </c>
      <c r="EO103" s="47">
        <f t="shared" si="192"/>
        <v>0</v>
      </c>
      <c r="EP103" s="47">
        <f t="shared" si="193"/>
        <v>0</v>
      </c>
      <c r="EQ103" s="47">
        <f t="shared" si="194"/>
        <v>0</v>
      </c>
      <c r="ER103" s="47">
        <f t="shared" si="195"/>
        <v>0</v>
      </c>
      <c r="ES103" s="47">
        <f t="shared" si="196"/>
        <v>0</v>
      </c>
      <c r="ET103" s="47">
        <f t="shared" si="197"/>
        <v>0</v>
      </c>
      <c r="EU103" s="47">
        <f t="shared" si="198"/>
        <v>0</v>
      </c>
      <c r="EV103" s="47">
        <f t="shared" si="199"/>
        <v>0</v>
      </c>
      <c r="EW103" s="47">
        <f t="shared" si="200"/>
        <v>0</v>
      </c>
      <c r="EX103" s="47">
        <f t="shared" si="201"/>
        <v>0</v>
      </c>
      <c r="EY103" s="47">
        <f t="shared" si="202"/>
        <v>0</v>
      </c>
      <c r="EZ103" s="47">
        <f t="shared" si="203"/>
        <v>0</v>
      </c>
      <c r="FA103" s="47">
        <f t="shared" si="204"/>
        <v>15.215624999999998</v>
      </c>
      <c r="FB103" s="47">
        <f t="shared" si="205"/>
        <v>6.25416666666667</v>
      </c>
      <c r="FC103" s="47">
        <f t="shared" si="206"/>
        <v>7.8927083333333297</v>
      </c>
      <c r="FD103" s="47">
        <f t="shared" si="207"/>
        <v>13.931250000000002</v>
      </c>
      <c r="FE103" s="47">
        <f t="shared" si="208"/>
        <v>2.5781249999999987</v>
      </c>
      <c r="FF103" s="47">
        <f t="shared" si="209"/>
        <v>23.616666666666667</v>
      </c>
      <c r="FG103" s="47">
        <f t="shared" si="210"/>
        <v>0.61458333333333304</v>
      </c>
      <c r="FH103" s="47">
        <f t="shared" si="211"/>
        <v>36.653125000000017</v>
      </c>
      <c r="FI103" s="47">
        <f t="shared" si="212"/>
        <v>0</v>
      </c>
      <c r="FJ103" s="47">
        <f t="shared" si="213"/>
        <v>51.038541666666667</v>
      </c>
      <c r="FK103" s="47">
        <f t="shared" si="214"/>
        <v>0</v>
      </c>
      <c r="FL103" s="47">
        <f t="shared" si="215"/>
        <v>66.03854166666666</v>
      </c>
      <c r="FM103" s="47">
        <f t="shared" si="216"/>
        <v>0</v>
      </c>
      <c r="FN103" s="47">
        <f t="shared" si="217"/>
        <v>81.038541666666674</v>
      </c>
      <c r="FO103" s="546">
        <f t="shared" ca="1" si="218"/>
        <v>756.6501004899784</v>
      </c>
      <c r="FP103" s="546">
        <f t="shared" ca="1" si="219"/>
        <v>504.59509905277088</v>
      </c>
      <c r="FQ103" s="546">
        <f t="shared" ca="1" si="220"/>
        <v>2280.4188164454986</v>
      </c>
      <c r="FR103" s="546">
        <f t="shared" ca="1" si="221"/>
        <v>79672.86084124558</v>
      </c>
      <c r="FS103" s="546">
        <f t="shared" ca="1" si="222"/>
        <v>1644130.9562128303</v>
      </c>
      <c r="FT103" s="546">
        <f t="shared" ca="1" si="223"/>
        <v>5790234.5252720304</v>
      </c>
      <c r="FU103" s="546">
        <f t="shared" si="224"/>
        <v>20.770405122859465</v>
      </c>
      <c r="FV103" s="546">
        <f t="shared" si="225"/>
        <v>29.536628030002106</v>
      </c>
      <c r="FW103" s="546">
        <f t="shared" si="226"/>
        <v>488.49509348866491</v>
      </c>
      <c r="FX103" s="546">
        <f t="shared" ca="1" si="227"/>
        <v>846.26325214850624</v>
      </c>
      <c r="FY103" s="546">
        <f t="shared" ca="1" si="228"/>
        <v>3011.2692937160627</v>
      </c>
      <c r="FZ103" s="546">
        <f t="shared" ca="1" si="229"/>
        <v>75451.692956211889</v>
      </c>
      <c r="GA103" s="546">
        <f t="shared" si="230"/>
        <v>70717.667878324079</v>
      </c>
      <c r="GB103" s="546">
        <f t="shared" si="231"/>
        <v>15.482230433844578</v>
      </c>
      <c r="GC103" s="546">
        <f t="shared" si="232"/>
        <v>11.241714092297604</v>
      </c>
      <c r="GD103" s="546">
        <f t="shared" si="233"/>
        <v>394.61707979156859</v>
      </c>
    </row>
    <row r="104" spans="1:186">
      <c r="A104" s="4">
        <v>45474</v>
      </c>
      <c r="B104" s="6">
        <v>2024</v>
      </c>
      <c r="C104" s="5">
        <v>7</v>
      </c>
      <c r="D104" s="7">
        <v>110281170.52246517</v>
      </c>
      <c r="E104" s="7">
        <f ca="1">IFERROR(VLOOKUP($B104-1,CDM!$V$4:$AJ$17,2,FALSE)/12,0)+IFERROR(VLOOKUP($B104,CDM!$V$41:$AJ$54,2,FALSE)/24,0)+IFERROR(VLOOKUP($B104,CDM!$V$41:$AJ$54,2,FALSE)/2*$C104/78,0)</f>
        <v>4066501.070902559</v>
      </c>
      <c r="F104" s="7">
        <f t="shared" ca="1" si="165"/>
        <v>114347671.59336773</v>
      </c>
      <c r="G104" s="7">
        <f>IFERROR(HLOOKUP(B104-1,'EV Forecast VRZ'!$F$124:$T$130,2,FALSE)/12,0)+IFERROR(((HLOOKUP(B104,'EV Forecast VRZ'!$F$116:$T$122,2,FALSE)-HLOOKUP(B104-1,'EV Forecast VRZ'!$F$124:$T$130,2,FALSE)))*C104/78,0)</f>
        <v>1226786.79405306</v>
      </c>
      <c r="H104" s="7">
        <f ca="1">HLOOKUP(B104,Heating!$C$102:$O$106,2,FALSE)*INDEX(Weather!$BO$1:$CB$20,MATCH(B104,Weather!$BO$1:$BO$20,0),MATCH(C104,Weather!$BO$1:$CB$1,0))/VLOOKUP(B104,Weather!$BO$2:$CB$20,14,FALSE)*
VLOOKUP('Monthly Data'!$B104,Weather!$BO$3:$CB$20,14,FALSE)/Weather!$CB$14</f>
        <v>1260.4322676507477</v>
      </c>
      <c r="I104" s="7">
        <f t="shared" ca="1" si="166"/>
        <v>113119624.36704701</v>
      </c>
      <c r="J104" s="7">
        <v>1047764.459532844</v>
      </c>
      <c r="K104" s="7">
        <f ca="1">IFERROR(VLOOKUP($B104-1,CDM!$V$4:$AJ$17,3,FALSE)/12,0)+IFERROR(VLOOKUP($B104,CDM!$V$41:$AJ$54,3,FALSE)/24,0)+IFERROR(VLOOKUP($B104,CDM!$V$41:$AJ$54,3,FALSE)/2*$C104/78,0)</f>
        <v>46575.829153217521</v>
      </c>
      <c r="L104" s="7">
        <f t="shared" ca="1" si="238"/>
        <v>1094340.2886860615</v>
      </c>
      <c r="M104" s="7">
        <f>IFERROR(HLOOKUP(B104-1,'EV Forecast VRZ'!$F$124:$T$130,3,FALSE)/12,0)+IFERROR(((HLOOKUP(B104,'EV Forecast VRZ'!$F$116:$T$122,3,FALSE)-HLOOKUP(B104-1,'EV Forecast VRZ'!$F$124:$T$130,3,FALSE)))*C104/78,0)</f>
        <v>16646.443767452703</v>
      </c>
      <c r="N104" s="7">
        <f ca="1">HLOOKUP(B104,Heating!$C$102:$O$106,3,FALSE)*INDEX(Weather!$BO$1:$CB$20,MATCH(B104,Weather!$BO$1:$BO$20,0),MATCH(C104,Weather!$BO$1:$CB$1,0))/VLOOKUP(B104,Weather!$BO$2:$CB$20,14,FALSE)*
VLOOKUP('Monthly Data'!$B104,Weather!$BO$3:$CB$20,14,FALSE)/Weather!$CB$14</f>
        <v>14.891686541502978</v>
      </c>
      <c r="O104" s="7">
        <f t="shared" ca="1" si="168"/>
        <v>1077678.9532320674</v>
      </c>
      <c r="P104" s="7">
        <v>23022417.865837455</v>
      </c>
      <c r="Q104" s="7">
        <f ca="1">IFERROR(VLOOKUP($B104-1,CDM!$V$4:$AJ$17,4,FALSE)/12,0)+IFERROR(VLOOKUP($B104,CDM!$V$41:$AJ$54,4,FALSE)/24,0)+IFERROR(VLOOKUP($B104,CDM!$V$41:$AJ$54,4,FALSE)/2*$C104/78,0)</f>
        <v>1689113.2266038854</v>
      </c>
      <c r="R104" s="7">
        <f t="shared" ca="1" si="239"/>
        <v>24711531.092441339</v>
      </c>
      <c r="S104" s="7">
        <f>IFERROR(HLOOKUP(B104-1,'EV Forecast VRZ'!$F$124:$T$130,4,FALSE)/12,0)+IFERROR(((HLOOKUP(B104,'EV Forecast VRZ'!$F$116:$T$122,4,FALSE)-HLOOKUP(B104-1,'EV Forecast VRZ'!$F$124:$T$130,4,FALSE)))*C104/78,0)</f>
        <v>156154.36282051282</v>
      </c>
      <c r="T104" s="7">
        <f ca="1">HLOOKUP(B104,Heating!$C$102:$O$106,4,FALSE)*INDEX(Weather!$BO$1:$CB$20,MATCH(B104,Weather!$BO$1:$BO$20,0),MATCH(C104,Weather!$BO$1:$CB$1,0))/VLOOKUP(B104,Weather!$BO$2:$CB$20,14,FALSE)*
VLOOKUP('Monthly Data'!$B104,Weather!$BO$3:$CB$20,14,FALSE)/Weather!$CB$14</f>
        <v>301.96720429766293</v>
      </c>
      <c r="U104" s="7">
        <f t="shared" ca="1" si="170"/>
        <v>24555074.762416527</v>
      </c>
      <c r="V104" s="7">
        <v>84704775.508718401</v>
      </c>
      <c r="W104" s="7">
        <f ca="1">IFERROR(VLOOKUP($B104-1,CDM!$V$4:$AJ$17,5,FALSE)/12,0)+IFERROR(VLOOKUP($B104,CDM!$V$41:$AJ$54,5,FALSE)/24,0)+IFERROR(VLOOKUP($B104,CDM!$V$41:$AJ$54,5,FALSE)/2*$C104/78,0)</f>
        <v>7029449.6689065006</v>
      </c>
      <c r="X104" s="7">
        <f t="shared" ca="1" si="240"/>
        <v>91734225.177624896</v>
      </c>
      <c r="Y104" s="7">
        <f>IFERROR(HLOOKUP(B104-1,'EV Forecast VRZ'!$F$124:$T$130,5,FALSE)/12,0)+IFERROR(((HLOOKUP(B104,'EV Forecast VRZ'!$F$116:$T$122,5,FALSE)-HLOOKUP(B104-1,'EV Forecast VRZ'!$F$124:$T$130,5,FALSE)))*C104/78,0)</f>
        <v>73708.30942307692</v>
      </c>
      <c r="Z104" s="7">
        <f ca="1">HLOOKUP(B104,Heating!$C$102:$O$106,5,FALSE)*INDEX(Weather!$BO$1:$CB$20,MATCH(B104,Weather!$BO$1:$BO$20,0),MATCH(C104,Weather!$BO$1:$CB$1,0))/VLOOKUP(B104,Weather!$BO$2:$CB$20,14,FALSE)*
VLOOKUP('Monthly Data'!$B104,Weather!$BO$3:$CB$20,14,FALSE)/Weather!$CB$14</f>
        <v>157.27199246980067</v>
      </c>
      <c r="AA104" s="7">
        <f t="shared" ca="1" si="172"/>
        <v>91660359.596209347</v>
      </c>
      <c r="AB104" s="7">
        <v>7885325.8513633357</v>
      </c>
      <c r="AC104" s="7">
        <f ca="1">IFERROR(VLOOKUP($B104-1,CDM!$V$4:$AJ$17,6,FALSE)/12,0)+IFERROR(VLOOKUP($B104,CDM!$V$41:$AJ$54,6,FALSE)/24,0)+IFERROR(VLOOKUP($B104,CDM!$V$41:$AJ$54,6,FALSE)/2*$C104/78,0)</f>
        <v>356793.68379575701</v>
      </c>
      <c r="AD104" s="7">
        <f t="shared" ca="1" si="241"/>
        <v>8242119.5351590924</v>
      </c>
      <c r="AE104" s="7">
        <f>IFERROR(HLOOKUP(B104-1,'EV Forecast VRZ'!$F$124:$T$130,6,FALSE)/12,0)+IFERROR(((HLOOKUP(B104,'EV Forecast VRZ'!$F$116:$T$122,6,FALSE)-HLOOKUP(B104-1,'EV Forecast VRZ'!$F$124:$T$130,6,FALSE)))*C104/78,0)</f>
        <v>9568.8719871794874</v>
      </c>
      <c r="AF104" s="7">
        <f t="shared" ca="1" si="174"/>
        <v>8232550.6631719125</v>
      </c>
      <c r="AG104" s="7">
        <v>28057884.191029403</v>
      </c>
      <c r="AH104" s="7">
        <f ca="1">IFERROR(VLOOKUP($B104-1,CDM!$V$4:$AJ$17,7,FALSE)/12,0)+IFERROR(VLOOKUP($B104,CDM!$V$41:$AJ$54,7,FALSE)/24,0)+IFERROR(VLOOKUP($B104,CDM!$V$41:$AJ$54,7,FALSE)/2*$C104/78,0)</f>
        <v>2029759.8915993713</v>
      </c>
      <c r="AI104" s="7">
        <f t="shared" ca="1" si="242"/>
        <v>30087644.082628775</v>
      </c>
      <c r="AJ104" s="7">
        <f>IFERROR(HLOOKUP(B104-1,'EV Forecast VRZ'!$F$124:$T$130,7,FALSE)/12,0)+IFERROR(((HLOOKUP(B104,'EV Forecast VRZ'!$F$116:$T$122,7,FALSE)-HLOOKUP(B104-1,'EV Forecast VRZ'!$F$124:$T$130,7,FALSE)))*C104/78,0)</f>
        <v>1332.6923076923076</v>
      </c>
      <c r="AK104" s="7">
        <f t="shared" ca="1" si="176"/>
        <v>30086311.390321083</v>
      </c>
      <c r="AL104" s="7">
        <v>729873.80270940659</v>
      </c>
      <c r="AM104" s="7">
        <v>7279.2978439229155</v>
      </c>
      <c r="AN104" s="7">
        <v>377146.66094256821</v>
      </c>
      <c r="AO104" s="5">
        <v>202975.04</v>
      </c>
      <c r="AP104" s="5">
        <v>17943.46</v>
      </c>
      <c r="AQ104" s="5">
        <v>45731.49</v>
      </c>
      <c r="AR104" s="5">
        <v>2640.57</v>
      </c>
      <c r="AS104" s="544">
        <f t="shared" si="252"/>
        <v>50.166666666666664</v>
      </c>
      <c r="AT104" s="557">
        <v>117534.25</v>
      </c>
      <c r="AU104" s="557">
        <v>1561.6666666666672</v>
      </c>
      <c r="AV104" s="557">
        <v>9502.25</v>
      </c>
      <c r="AW104" s="557">
        <v>1060.8333333333328</v>
      </c>
      <c r="AX104" s="557">
        <v>5</v>
      </c>
      <c r="AY104" s="557">
        <v>5</v>
      </c>
      <c r="AZ104" s="557">
        <v>32743.833333333325</v>
      </c>
      <c r="BA104" s="557">
        <v>238.0833333333334</v>
      </c>
      <c r="BB104" s="557">
        <v>767.8333333333336</v>
      </c>
      <c r="BC104" s="560">
        <v>46669548.80843737</v>
      </c>
      <c r="BD104" s="560">
        <f ca="1">IFERROR(VLOOKUP($B104-1,CDM!$V$4:$AJ$17,11,FALSE)/12,0)+IFERROR(VLOOKUP($B104,CDM!$V$41:$AJ$54,11,FALSE)/24,0)+IFERROR(VLOOKUP($B104,CDM!$V$41:$AJ$54,11,FALSE)/2*$C104/78,0)</f>
        <v>1792209.8461311315</v>
      </c>
      <c r="BE104" s="560">
        <f t="shared" ca="1" si="188"/>
        <v>48461758.654568501</v>
      </c>
      <c r="BF104" s="560">
        <f>IFERROR(HLOOKUP(B104-1,'EV Forecast WRZ'!$F$124:$T$130,2,FALSE)/12,0)+IFERROR(((HLOOKUP(B104,'EV Forecast WRZ'!$F$116:$T$122,2,FALSE)-HLOOKUP(B104-1,'EV Forecast WRZ'!$F$124:$T$130,2,FALSE)))*C104/78,0)</f>
        <v>410338.32743589743</v>
      </c>
      <c r="BG104" s="560">
        <f ca="1">HLOOKUP(B104,Heating!$R$102:$AD$106,2,FALSE)*INDEX(Weather!$BO$1:$CB$20,MATCH(B104,Weather!$BO$1:$BO$20,0),MATCH(C104,Weather!$BO$1:$CB$1,0))/VLOOKUP(B104,Weather!$BO$2:$CB$20,14,FALSE)*
VLOOKUP('Monthly Data'!$B104,Weather!$BO$3:$CB$20,14,FALSE)/Weather!$CB$14</f>
        <v>554.11716167298277</v>
      </c>
      <c r="BH104" s="560">
        <f t="shared" ca="1" si="177"/>
        <v>48050866.209970929</v>
      </c>
      <c r="BI104" s="560">
        <v>8771340.5992603544</v>
      </c>
      <c r="BJ104" s="560">
        <f ca="1">IFERROR(VLOOKUP($B104-1,CDM!$V$4:$AJ$17,12,FALSE)/12,0)+IFERROR(VLOOKUP($B104,CDM!$V$41:$AJ$54,12,FALSE)/24,0)+IFERROR(VLOOKUP($B104,CDM!$V$41:$AJ$54,12,FALSE)/2*$C104/78,0)</f>
        <v>316659.29938496533</v>
      </c>
      <c r="BK104" s="560">
        <f t="shared" ca="1" si="243"/>
        <v>9087999.898645319</v>
      </c>
      <c r="BL104" s="560">
        <f>IFERROR(HLOOKUP(B104-1,'EV Forecast WRZ'!$F$124:$T$130,3,FALSE)/12,0)+IFERROR(((HLOOKUP(B104,'EV Forecast WRZ'!$F$116:$T$122,3,FALSE)-HLOOKUP(B104-1,'EV Forecast WRZ'!$F$124:$T$130,3,FALSE)))*C104/78,0)</f>
        <v>54759.938974358978</v>
      </c>
      <c r="BM104" s="560">
        <f ca="1">HLOOKUP(B104,Heating!$R$102:$AD$106,4,FALSE)*INDEX(Weather!$BO$1:$CB$20,MATCH(B104,Weather!$BO$1:$BO$20,0),MATCH(C104,Weather!$BO$1:$CB$1,0))/VLOOKUP(B104,Weather!$BO$2:$CB$20,14,FALSE)*
VLOOKUP('Monthly Data'!$B104,Weather!$BO$3:$CB$20,14,FALSE)/Weather!$CB$14</f>
        <v>87.965580256506854</v>
      </c>
      <c r="BN104" s="560">
        <f t="shared" ca="1" si="179"/>
        <v>9033151.9940907042</v>
      </c>
      <c r="BO104" s="560">
        <v>29017273.842089459</v>
      </c>
      <c r="BP104" s="560">
        <f ca="1">IFERROR(VLOOKUP($B104-1,CDM!$V$4:$AJ$17,13,FALSE)/12,0)+IFERROR(VLOOKUP($B104,CDM!$V$41:$AJ$54,13,FALSE)/24,0)+IFERROR(VLOOKUP($B104,CDM!$V$41:$AJ$54,13,FALSE)/2*$C104/78,0)</f>
        <v>3043856.2903376357</v>
      </c>
      <c r="BQ104" s="560">
        <f t="shared" ca="1" si="244"/>
        <v>32061130.132427096</v>
      </c>
      <c r="BR104" s="560">
        <f>IFERROR(HLOOKUP(B104-1,'EV Forecast WRZ'!$F$124:$T$130,4,FALSE)/12,0)+IFERROR(((HLOOKUP(B104,'EV Forecast WRZ'!$F$116:$T$122,4,FALSE)-HLOOKUP(B104-1,'EV Forecast WRZ'!$F$124:$T$130,4,FALSE)))*C104/78,0)</f>
        <v>24313.607153846158</v>
      </c>
      <c r="BS104" s="560">
        <f ca="1">HLOOKUP(B104,Heating!$R$102:$AD$106,5,FALSE)*INDEX(Weather!$BO$1:$CB$20,MATCH(B104,Weather!$BO$1:$BO$20,0),MATCH(C104,Weather!$BO$1:$CB$1,0))/VLOOKUP(B104,Weather!$BO$2:$CB$20,14,FALSE)*
VLOOKUP('Monthly Data'!$B104,Weather!$BO$3:$CB$20,14,FALSE)/Weather!$CB$14</f>
        <v>46.563190238546234</v>
      </c>
      <c r="BT104" s="560">
        <f t="shared" ca="1" si="181"/>
        <v>32036769.962083012</v>
      </c>
      <c r="BU104" s="560">
        <v>7034103.3944069436</v>
      </c>
      <c r="BV104" s="560">
        <f ca="1">IFERROR(VLOOKUP($B104-1,CDM!$V$4:$AJ$17,14,FALSE)/12,0)+IFERROR(VLOOKUP($B104,CDM!$V$41:$AJ$54,14,FALSE)/24,0)+IFERROR(VLOOKUP($B104,CDM!$V$41:$AJ$54,14,FALSE)/2*$C104/78,0)</f>
        <v>685650.76336160675</v>
      </c>
      <c r="BW104" s="560">
        <f t="shared" ca="1" si="245"/>
        <v>7719754.1577685503</v>
      </c>
      <c r="BX104" s="560">
        <f>IFERROR(HLOOKUP(B104-1,'EV Forecast WRZ'!$F$124:$T$130,5,FALSE)/12,0)+IFERROR(((HLOOKUP(B104,'EV Forecast WRZ'!$F$116:$T$122,5,FALSE)-HLOOKUP(B104-1,'EV Forecast WRZ'!$F$124:$T$130,5,FALSE)))*C104/78,0)</f>
        <v>4187.5161794871792</v>
      </c>
      <c r="BY104" s="560">
        <f t="shared" ca="1" si="189"/>
        <v>7715566.6415890632</v>
      </c>
      <c r="BZ104" s="560">
        <v>227738.00459154387</v>
      </c>
      <c r="CA104" s="560">
        <v>494.99713028505835</v>
      </c>
      <c r="CB104" s="560">
        <v>156466.96958102161</v>
      </c>
      <c r="CC104" s="5">
        <v>68525.399999999994</v>
      </c>
      <c r="CD104" s="5">
        <v>13002.33</v>
      </c>
      <c r="CE104" s="5">
        <v>824</v>
      </c>
      <c r="CF104" s="544">
        <f t="shared" si="248"/>
        <v>6.916666666666667</v>
      </c>
      <c r="CG104" s="565">
        <v>45535.75</v>
      </c>
      <c r="CH104" s="565">
        <v>2465.5</v>
      </c>
      <c r="CI104" s="565">
        <v>388.75</v>
      </c>
      <c r="CJ104" s="565">
        <v>3</v>
      </c>
      <c r="CK104" s="565">
        <v>13713</v>
      </c>
      <c r="CL104" s="565">
        <v>45.41666666666665</v>
      </c>
      <c r="CM104" s="565">
        <v>395.5</v>
      </c>
      <c r="CN104" s="46">
        <f>Weather!C128</f>
        <v>5.5666666666666629</v>
      </c>
      <c r="CO104" s="46">
        <f>Weather!D128</f>
        <v>60.708333333333343</v>
      </c>
      <c r="CP104" s="46">
        <f>Weather!E128</f>
        <v>0.32916666666666927</v>
      </c>
      <c r="CQ104" s="46">
        <f>Weather!F128</f>
        <v>117.47083333333335</v>
      </c>
      <c r="CR104" s="46">
        <f>Weather!G128</f>
        <v>0</v>
      </c>
      <c r="CS104" s="46">
        <f>Weather!H128</f>
        <v>179.14166666666668</v>
      </c>
      <c r="CT104" s="46">
        <f>Weather!I128</f>
        <v>0</v>
      </c>
      <c r="CU104" s="46">
        <f>Weather!J128</f>
        <v>241.14166666666668</v>
      </c>
      <c r="CV104" s="46">
        <f>Weather!K128</f>
        <v>0</v>
      </c>
      <c r="CW104" s="46">
        <f>Weather!L128</f>
        <v>303.14166666666665</v>
      </c>
      <c r="CX104" s="46">
        <f>Weather!M128</f>
        <v>0</v>
      </c>
      <c r="CY104" s="46">
        <f>Weather!N128</f>
        <v>365.14166666666671</v>
      </c>
      <c r="CZ104" s="46">
        <f>Weather!O128</f>
        <v>0</v>
      </c>
      <c r="DA104" s="46">
        <f>Weather!P128</f>
        <v>427.14166666666677</v>
      </c>
      <c r="DB104" s="243">
        <f>'Economic Data'!D130</f>
        <v>8161</v>
      </c>
      <c r="DC104" s="243">
        <f>'Economic Data'!E130</f>
        <v>8253.1</v>
      </c>
      <c r="DD104" s="243">
        <f>'Economic Data'!F130</f>
        <v>242.6</v>
      </c>
      <c r="DE104" s="243">
        <f>'Economic Data'!G130</f>
        <v>243</v>
      </c>
      <c r="DF104" s="243">
        <f>'Economic Data'!H130</f>
        <v>52.8</v>
      </c>
      <c r="DG104" s="243">
        <f>'Economic Data'!I130</f>
        <v>52.8</v>
      </c>
      <c r="DH104" s="243">
        <f>'Economic Data'!J130</f>
        <v>876619.7</v>
      </c>
      <c r="DI104" s="243">
        <f>'Economic Data'!K130</f>
        <v>694601.3</v>
      </c>
      <c r="DJ104" s="243">
        <f>'Economic Data'!L130</f>
        <v>92436.4</v>
      </c>
      <c r="DK104" s="243">
        <f>'Economic Data'!M130</f>
        <v>33851.4</v>
      </c>
      <c r="DL104" s="243">
        <f>'Economic Data'!N130</f>
        <v>890079</v>
      </c>
      <c r="DM104" s="243">
        <f>'Economic Data'!O130</f>
        <v>88612</v>
      </c>
      <c r="DN104" s="243">
        <f>'Economic Data'!P130</f>
        <v>17071</v>
      </c>
      <c r="DO104" s="243">
        <f>'Economic Data'!Q130</f>
        <v>712400</v>
      </c>
      <c r="DP104" s="243">
        <f>'Economic Data'!R130</f>
        <v>34427</v>
      </c>
      <c r="DQ104">
        <v>31</v>
      </c>
      <c r="DR104">
        <v>22</v>
      </c>
      <c r="DS104">
        <f t="shared" ref="DS104:ED104" si="261">DS92</f>
        <v>0</v>
      </c>
      <c r="DT104">
        <f t="shared" si="261"/>
        <v>0</v>
      </c>
      <c r="DU104">
        <f t="shared" si="261"/>
        <v>0</v>
      </c>
      <c r="DV104">
        <f t="shared" si="261"/>
        <v>0</v>
      </c>
      <c r="DW104">
        <f t="shared" si="261"/>
        <v>0</v>
      </c>
      <c r="DX104">
        <f t="shared" si="261"/>
        <v>0</v>
      </c>
      <c r="DY104">
        <f t="shared" si="261"/>
        <v>1</v>
      </c>
      <c r="DZ104">
        <f t="shared" si="261"/>
        <v>0</v>
      </c>
      <c r="EA104">
        <f t="shared" si="261"/>
        <v>0</v>
      </c>
      <c r="EB104">
        <f t="shared" si="261"/>
        <v>0</v>
      </c>
      <c r="EC104">
        <f t="shared" si="261"/>
        <v>0</v>
      </c>
      <c r="ED104">
        <f t="shared" si="261"/>
        <v>0</v>
      </c>
      <c r="EE104">
        <f t="shared" ref="EE104:EF104" si="262">EE92</f>
        <v>0</v>
      </c>
      <c r="EF104">
        <f t="shared" si="262"/>
        <v>0</v>
      </c>
      <c r="EG104">
        <f t="shared" si="251"/>
        <v>0</v>
      </c>
      <c r="EH104">
        <f t="shared" si="185"/>
        <v>103</v>
      </c>
      <c r="EI104">
        <v>0</v>
      </c>
      <c r="EJ104">
        <v>0</v>
      </c>
      <c r="EK104">
        <v>0.25</v>
      </c>
      <c r="EL104">
        <v>0</v>
      </c>
      <c r="EM104" s="47">
        <f t="shared" si="190"/>
        <v>0</v>
      </c>
      <c r="EN104" s="47">
        <f t="shared" si="191"/>
        <v>0</v>
      </c>
      <c r="EO104" s="47">
        <f t="shared" si="192"/>
        <v>0</v>
      </c>
      <c r="EP104" s="47">
        <f t="shared" si="193"/>
        <v>0</v>
      </c>
      <c r="EQ104" s="47">
        <f t="shared" si="194"/>
        <v>0</v>
      </c>
      <c r="ER104" s="47">
        <f t="shared" si="195"/>
        <v>0</v>
      </c>
      <c r="ES104" s="47">
        <f t="shared" si="196"/>
        <v>0</v>
      </c>
      <c r="ET104" s="47">
        <f t="shared" si="197"/>
        <v>0</v>
      </c>
      <c r="EU104" s="47">
        <f t="shared" si="198"/>
        <v>0</v>
      </c>
      <c r="EV104" s="47">
        <f t="shared" si="199"/>
        <v>0</v>
      </c>
      <c r="EW104" s="47">
        <f t="shared" si="200"/>
        <v>0</v>
      </c>
      <c r="EX104" s="47">
        <f t="shared" si="201"/>
        <v>0</v>
      </c>
      <c r="EY104" s="47">
        <f t="shared" si="202"/>
        <v>0</v>
      </c>
      <c r="EZ104" s="47">
        <f t="shared" si="203"/>
        <v>0</v>
      </c>
      <c r="FA104" s="47">
        <f t="shared" si="204"/>
        <v>1.3916666666666657</v>
      </c>
      <c r="FB104" s="47">
        <f t="shared" si="205"/>
        <v>15.177083333333336</v>
      </c>
      <c r="FC104" s="47">
        <f t="shared" si="206"/>
        <v>8.2291666666667318E-2</v>
      </c>
      <c r="FD104" s="47">
        <f t="shared" si="207"/>
        <v>29.367708333333336</v>
      </c>
      <c r="FE104" s="47">
        <f t="shared" si="208"/>
        <v>0</v>
      </c>
      <c r="FF104" s="47">
        <f t="shared" si="209"/>
        <v>44.78541666666667</v>
      </c>
      <c r="FG104" s="47">
        <f t="shared" si="210"/>
        <v>0</v>
      </c>
      <c r="FH104" s="47">
        <f t="shared" si="211"/>
        <v>60.28541666666667</v>
      </c>
      <c r="FI104" s="47">
        <f t="shared" si="212"/>
        <v>0</v>
      </c>
      <c r="FJ104" s="47">
        <f t="shared" si="213"/>
        <v>75.785416666666663</v>
      </c>
      <c r="FK104" s="47">
        <f t="shared" si="214"/>
        <v>0</v>
      </c>
      <c r="FL104" s="47">
        <f t="shared" si="215"/>
        <v>91.285416666666677</v>
      </c>
      <c r="FM104" s="47">
        <f t="shared" si="216"/>
        <v>0</v>
      </c>
      <c r="FN104" s="47">
        <f t="shared" si="217"/>
        <v>106.78541666666669</v>
      </c>
      <c r="FO104" s="546">
        <f t="shared" ca="1" si="218"/>
        <v>962.43966645507169</v>
      </c>
      <c r="FP104" s="546">
        <f t="shared" ca="1" si="219"/>
        <v>700.75151890249379</v>
      </c>
      <c r="FQ104" s="546">
        <f t="shared" ca="1" si="220"/>
        <v>2600.5978681303204</v>
      </c>
      <c r="FR104" s="546">
        <f t="shared" ca="1" si="221"/>
        <v>86473.739366182199</v>
      </c>
      <c r="FS104" s="546">
        <f t="shared" ca="1" si="222"/>
        <v>1648423.9070318185</v>
      </c>
      <c r="FT104" s="546">
        <f t="shared" ca="1" si="223"/>
        <v>6017528.8165257555</v>
      </c>
      <c r="FU104" s="546">
        <f t="shared" si="224"/>
        <v>22.290420161844423</v>
      </c>
      <c r="FV104" s="546">
        <f t="shared" si="225"/>
        <v>30.574579673459908</v>
      </c>
      <c r="FW104" s="546">
        <f t="shared" si="226"/>
        <v>491.18297496318831</v>
      </c>
      <c r="FX104" s="546">
        <f t="shared" ca="1" si="227"/>
        <v>1064.2573945651163</v>
      </c>
      <c r="FY104" s="546">
        <f t="shared" ca="1" si="228"/>
        <v>3686.0676936302248</v>
      </c>
      <c r="FZ104" s="546">
        <f t="shared" ca="1" si="229"/>
        <v>82472.360469265841</v>
      </c>
      <c r="GA104" s="546">
        <f t="shared" si="230"/>
        <v>75912.668197181294</v>
      </c>
      <c r="GB104" s="546">
        <f t="shared" si="231"/>
        <v>16.607453116863113</v>
      </c>
      <c r="GC104" s="546">
        <f t="shared" si="232"/>
        <v>10.899019382423306</v>
      </c>
      <c r="GD104" s="546">
        <f t="shared" si="233"/>
        <v>395.61812789133148</v>
      </c>
    </row>
    <row r="105" spans="1:186">
      <c r="A105" s="4">
        <v>45505</v>
      </c>
      <c r="B105" s="6">
        <v>2024</v>
      </c>
      <c r="C105" s="5">
        <v>8</v>
      </c>
      <c r="D105" s="7">
        <v>101130442.64103502</v>
      </c>
      <c r="E105" s="7">
        <f ca="1">IFERROR(VLOOKUP($B105-1,CDM!$V$4:$AJ$17,2,FALSE)/12,0)+IFERROR(VLOOKUP($B105,CDM!$V$41:$AJ$54,2,FALSE)/24,0)+IFERROR(VLOOKUP($B105,CDM!$V$41:$AJ$54,2,FALSE)/2*$C105/78,0)</f>
        <v>4082654.3530372209</v>
      </c>
      <c r="F105" s="7">
        <f t="shared" ca="1" si="165"/>
        <v>105213096.99407224</v>
      </c>
      <c r="G105" s="7">
        <f>IFERROR(HLOOKUP(B105-1,'EV Forecast VRZ'!$F$124:$T$130,2,FALSE)/12,0)+IFERROR(((HLOOKUP(B105,'EV Forecast VRZ'!$F$116:$T$122,2,FALSE)-HLOOKUP(B105-1,'EV Forecast VRZ'!$F$124:$T$130,2,FALSE)))*C105/78,0)</f>
        <v>1258828.3170634122</v>
      </c>
      <c r="H105" s="7">
        <f ca="1">HLOOKUP(B105,Heating!$C$102:$O$106,2,FALSE)*INDEX(Weather!$BO$1:$CB$20,MATCH(B105,Weather!$BO$1:$BO$20,0),MATCH(C105,Weather!$BO$1:$CB$1,0))/VLOOKUP(B105,Weather!$BO$2:$CB$20,14,FALSE)*
VLOOKUP('Monthly Data'!$B105,Weather!$BO$3:$CB$20,14,FALSE)/Weather!$CB$14</f>
        <v>31526.761530099502</v>
      </c>
      <c r="I105" s="7">
        <f t="shared" ca="1" si="166"/>
        <v>103922741.91547874</v>
      </c>
      <c r="J105" s="7">
        <v>1074959.4891657406</v>
      </c>
      <c r="K105" s="7">
        <f ca="1">IFERROR(VLOOKUP($B105-1,CDM!$V$4:$AJ$17,3,FALSE)/12,0)+IFERROR(VLOOKUP($B105,CDM!$V$41:$AJ$54,3,FALSE)/24,0)+IFERROR(VLOOKUP($B105,CDM!$V$41:$AJ$54,3,FALSE)/2*$C105/78,0)</f>
        <v>46760.772212888769</v>
      </c>
      <c r="L105" s="7">
        <f t="shared" ca="1" si="238"/>
        <v>1121720.2613786294</v>
      </c>
      <c r="M105" s="7">
        <f>IFERROR(HLOOKUP(B105-1,'EV Forecast VRZ'!$F$124:$T$130,3,FALSE)/12,0)+IFERROR(((HLOOKUP(B105,'EV Forecast VRZ'!$F$116:$T$122,3,FALSE)-HLOOKUP(B105-1,'EV Forecast VRZ'!$F$124:$T$130,3,FALSE)))*C105/78,0)</f>
        <v>17081.219731459616</v>
      </c>
      <c r="N105" s="7">
        <f ca="1">HLOOKUP(B105,Heating!$C$102:$O$106,3,FALSE)*INDEX(Weather!$BO$1:$CB$20,MATCH(B105,Weather!$BO$1:$BO$20,0),MATCH(C105,Weather!$BO$1:$CB$1,0))/VLOOKUP(B105,Weather!$BO$2:$CB$20,14,FALSE)*
VLOOKUP('Monthly Data'!$B105,Weather!$BO$3:$CB$20,14,FALSE)/Weather!$CB$14</f>
        <v>372.48066589885673</v>
      </c>
      <c r="O105" s="7">
        <f t="shared" ca="1" si="168"/>
        <v>1104266.5609812709</v>
      </c>
      <c r="P105" s="7">
        <v>21847262.681568429</v>
      </c>
      <c r="Q105" s="7">
        <f ca="1">IFERROR(VLOOKUP($B105-1,CDM!$V$4:$AJ$17,4,FALSE)/12,0)+IFERROR(VLOOKUP($B105,CDM!$V$41:$AJ$54,4,FALSE)/24,0)+IFERROR(VLOOKUP($B105,CDM!$V$41:$AJ$54,4,FALSE)/2*$C105/78,0)</f>
        <v>1697992.7877499354</v>
      </c>
      <c r="R105" s="7">
        <f t="shared" ca="1" si="239"/>
        <v>23545255.469318364</v>
      </c>
      <c r="S105" s="7">
        <f>IFERROR(HLOOKUP(B105-1,'EV Forecast VRZ'!$F$124:$T$130,4,FALSE)/12,0)+IFERROR(((HLOOKUP(B105,'EV Forecast VRZ'!$F$116:$T$122,4,FALSE)-HLOOKUP(B105-1,'EV Forecast VRZ'!$F$124:$T$130,4,FALSE)))*C105/78,0)</f>
        <v>160483.36179487177</v>
      </c>
      <c r="T105" s="7">
        <f ca="1">HLOOKUP(B105,Heating!$C$102:$O$106,4,FALSE)*INDEX(Weather!$BO$1:$CB$20,MATCH(B105,Weather!$BO$1:$BO$20,0),MATCH(C105,Weather!$BO$1:$CB$1,0))/VLOOKUP(B105,Weather!$BO$2:$CB$20,14,FALSE)*
VLOOKUP('Monthly Data'!$B105,Weather!$BO$3:$CB$20,14,FALSE)/Weather!$CB$14</f>
        <v>7553.002477116177</v>
      </c>
      <c r="U105" s="7">
        <f t="shared" ca="1" si="170"/>
        <v>23377219.105046377</v>
      </c>
      <c r="V105" s="7">
        <v>81963884.185533434</v>
      </c>
      <c r="W105" s="7">
        <f ca="1">IFERROR(VLOOKUP($B105-1,CDM!$V$4:$AJ$17,5,FALSE)/12,0)+IFERROR(VLOOKUP($B105,CDM!$V$41:$AJ$54,5,FALSE)/24,0)+IFERROR(VLOOKUP($B105,CDM!$V$41:$AJ$54,5,FALSE)/2*$C105/78,0)</f>
        <v>7072259.1227407567</v>
      </c>
      <c r="X105" s="7">
        <f t="shared" ca="1" si="240"/>
        <v>89036143.308274195</v>
      </c>
      <c r="Y105" s="7">
        <f>IFERROR(HLOOKUP(B105-1,'EV Forecast VRZ'!$F$124:$T$130,5,FALSE)/12,0)+IFERROR(((HLOOKUP(B105,'EV Forecast VRZ'!$F$116:$T$122,5,FALSE)-HLOOKUP(B105-1,'EV Forecast VRZ'!$F$124:$T$130,5,FALSE)))*C105/78,0)</f>
        <v>75876.551269230753</v>
      </c>
      <c r="Z105" s="7">
        <f ca="1">HLOOKUP(B105,Heating!$C$102:$O$106,5,FALSE)*INDEX(Weather!$BO$1:$CB$20,MATCH(B105,Weather!$BO$1:$BO$20,0),MATCH(C105,Weather!$BO$1:$CB$1,0))/VLOOKUP(B105,Weather!$BO$2:$CB$20,14,FALSE)*
VLOOKUP('Monthly Data'!$B105,Weather!$BO$3:$CB$20,14,FALSE)/Weather!$CB$14</f>
        <v>3933.7905964597981</v>
      </c>
      <c r="AA105" s="7">
        <f t="shared" ca="1" si="172"/>
        <v>88956332.966408506</v>
      </c>
      <c r="AB105" s="7">
        <v>7274531.0848856475</v>
      </c>
      <c r="AC105" s="7">
        <f ca="1">IFERROR(VLOOKUP($B105-1,CDM!$V$4:$AJ$17,6,FALSE)/12,0)+IFERROR(VLOOKUP($B105,CDM!$V$41:$AJ$54,6,FALSE)/24,0)+IFERROR(VLOOKUP($B105,CDM!$V$41:$AJ$54,6,FALSE)/2*$C105/78,0)</f>
        <v>360963.0639850336</v>
      </c>
      <c r="AD105" s="7">
        <f t="shared" ca="1" si="241"/>
        <v>7635494.1488706814</v>
      </c>
      <c r="AE105" s="7">
        <f>IFERROR(HLOOKUP(B105-1,'EV Forecast VRZ'!$F$124:$T$130,6,FALSE)/12,0)+IFERROR(((HLOOKUP(B105,'EV Forecast VRZ'!$F$116:$T$122,6,FALSE)-HLOOKUP(B105-1,'EV Forecast VRZ'!$F$124:$T$130,6,FALSE)))*C105/78,0)</f>
        <v>9852.629628205128</v>
      </c>
      <c r="AF105" s="7">
        <f t="shared" ca="1" si="174"/>
        <v>7625641.5192424767</v>
      </c>
      <c r="AG105" s="7">
        <v>27259513.625459239</v>
      </c>
      <c r="AH105" s="7">
        <f ca="1">IFERROR(VLOOKUP($B105-1,CDM!$V$4:$AJ$17,7,FALSE)/12,0)+IFERROR(VLOOKUP($B105,CDM!$V$41:$AJ$54,7,FALSE)/24,0)+IFERROR(VLOOKUP($B105,CDM!$V$41:$AJ$54,7,FALSE)/2*$C105/78,0)</f>
        <v>2042916.4473014455</v>
      </c>
      <c r="AI105" s="7">
        <f t="shared" ca="1" si="242"/>
        <v>29302430.072760686</v>
      </c>
      <c r="AJ105" s="7">
        <f>IFERROR(HLOOKUP(B105-1,'EV Forecast VRZ'!$F$124:$T$130,7,FALSE)/12,0)+IFERROR(((HLOOKUP(B105,'EV Forecast VRZ'!$F$116:$T$122,7,FALSE)-HLOOKUP(B105-1,'EV Forecast VRZ'!$F$124:$T$130,7,FALSE)))*C105/78,0)</f>
        <v>1423.0769230769231</v>
      </c>
      <c r="AK105" s="7">
        <f t="shared" ca="1" si="176"/>
        <v>29301006.99583761</v>
      </c>
      <c r="AL105" s="7">
        <v>826827.28486929974</v>
      </c>
      <c r="AM105" s="7">
        <v>7279.2978439229155</v>
      </c>
      <c r="AN105" s="7">
        <v>377146.66094256821</v>
      </c>
      <c r="AO105" s="5">
        <v>195085.47</v>
      </c>
      <c r="AP105" s="5">
        <v>16877.849999999999</v>
      </c>
      <c r="AQ105" s="5">
        <v>45522.49</v>
      </c>
      <c r="AR105" s="5">
        <v>2645.23</v>
      </c>
      <c r="AS105" s="544">
        <f t="shared" si="252"/>
        <v>50.166666666666664</v>
      </c>
      <c r="AT105" s="557">
        <v>117690</v>
      </c>
      <c r="AU105" s="557">
        <v>1561.3333333333339</v>
      </c>
      <c r="AV105" s="557">
        <v>9503</v>
      </c>
      <c r="AW105" s="557">
        <v>1063.6666666666661</v>
      </c>
      <c r="AX105" s="557">
        <v>5</v>
      </c>
      <c r="AY105" s="557">
        <v>5</v>
      </c>
      <c r="AZ105" s="557">
        <v>32796.666666666657</v>
      </c>
      <c r="BA105" s="557">
        <v>237.66666666666674</v>
      </c>
      <c r="BB105" s="557">
        <v>763.66666666666697</v>
      </c>
      <c r="BC105" s="560">
        <v>42239255.018021896</v>
      </c>
      <c r="BD105" s="560">
        <f ca="1">IFERROR(VLOOKUP($B105-1,CDM!$V$4:$AJ$17,11,FALSE)/12,0)+IFERROR(VLOOKUP($B105,CDM!$V$41:$AJ$54,11,FALSE)/24,0)+IFERROR(VLOOKUP($B105,CDM!$V$41:$AJ$54,11,FALSE)/2*$C105/78,0)</f>
        <v>1798593.147837563</v>
      </c>
      <c r="BE105" s="560">
        <f t="shared" ca="1" si="188"/>
        <v>44037848.165859461</v>
      </c>
      <c r="BF105" s="560">
        <f>IFERROR(HLOOKUP(B105-1,'EV Forecast WRZ'!$F$124:$T$130,2,FALSE)/12,0)+IFERROR(((HLOOKUP(B105,'EV Forecast WRZ'!$F$116:$T$122,2,FALSE)-HLOOKUP(B105-1,'EV Forecast WRZ'!$F$124:$T$130,2,FALSE)))*C105/78,0)</f>
        <v>422821.6856410256</v>
      </c>
      <c r="BG105" s="560">
        <f ca="1">HLOOKUP(B105,Heating!$R$102:$AD$106,2,FALSE)*INDEX(Weather!$BO$1:$CB$20,MATCH(B105,Weather!$BO$1:$BO$20,0),MATCH(C105,Weather!$BO$1:$CB$1,0))/VLOOKUP(B105,Weather!$BO$2:$CB$20,14,FALSE)*
VLOOKUP('Monthly Data'!$B105,Weather!$BO$3:$CB$20,14,FALSE)/Weather!$CB$14</f>
        <v>13859.943183111478</v>
      </c>
      <c r="BH105" s="560">
        <f t="shared" ca="1" si="177"/>
        <v>43601166.537035324</v>
      </c>
      <c r="BI105" s="560">
        <v>7428674.4781983336</v>
      </c>
      <c r="BJ105" s="560">
        <f ca="1">IFERROR(VLOOKUP($B105-1,CDM!$V$4:$AJ$17,12,FALSE)/12,0)+IFERROR(VLOOKUP($B105,CDM!$V$41:$AJ$54,12,FALSE)/24,0)+IFERROR(VLOOKUP($B105,CDM!$V$41:$AJ$54,12,FALSE)/2*$C105/78,0)</f>
        <v>319336.17207485269</v>
      </c>
      <c r="BK105" s="560">
        <f t="shared" ca="1" si="243"/>
        <v>7748010.6502731862</v>
      </c>
      <c r="BL105" s="560">
        <f>IFERROR(HLOOKUP(B105-1,'EV Forecast WRZ'!$F$124:$T$130,3,FALSE)/12,0)+IFERROR(((HLOOKUP(B105,'EV Forecast WRZ'!$F$116:$T$122,3,FALSE)-HLOOKUP(B105-1,'EV Forecast WRZ'!$F$124:$T$130,3,FALSE)))*C105/78,0)</f>
        <v>56717.370256410264</v>
      </c>
      <c r="BM105" s="560">
        <f ca="1">HLOOKUP(B105,Heating!$R$102:$AD$106,4,FALSE)*INDEX(Weather!$BO$1:$CB$20,MATCH(B105,Weather!$BO$1:$BO$20,0),MATCH(C105,Weather!$BO$1:$CB$1,0))/VLOOKUP(B105,Weather!$BO$2:$CB$20,14,FALSE)*
VLOOKUP('Monthly Data'!$B105,Weather!$BO$3:$CB$20,14,FALSE)/Weather!$CB$14</f>
        <v>2200.2529947703338</v>
      </c>
      <c r="BN105" s="560">
        <f t="shared" ca="1" si="179"/>
        <v>7689093.027022006</v>
      </c>
      <c r="BO105" s="560">
        <v>28724099.688982286</v>
      </c>
      <c r="BP105" s="560">
        <f ca="1">IFERROR(VLOOKUP($B105-1,CDM!$V$4:$AJ$17,13,FALSE)/12,0)+IFERROR(VLOOKUP($B105,CDM!$V$41:$AJ$54,13,FALSE)/24,0)+IFERROR(VLOOKUP($B105,CDM!$V$41:$AJ$54,13,FALSE)/2*$C105/78,0)</f>
        <v>3066450.7822274799</v>
      </c>
      <c r="BQ105" s="560">
        <f t="shared" ca="1" si="244"/>
        <v>31790550.471209764</v>
      </c>
      <c r="BR105" s="560">
        <f>IFERROR(HLOOKUP(B105-1,'EV Forecast WRZ'!$F$124:$T$130,4,FALSE)/12,0)+IFERROR(((HLOOKUP(B105,'EV Forecast WRZ'!$F$116:$T$122,4,FALSE)-HLOOKUP(B105-1,'EV Forecast WRZ'!$F$124:$T$130,4,FALSE)))*C105/78,0)</f>
        <v>25162.303794871797</v>
      </c>
      <c r="BS105" s="560">
        <f ca="1">HLOOKUP(B105,Heating!$R$102:$AD$106,5,FALSE)*INDEX(Weather!$BO$1:$CB$20,MATCH(B105,Weather!$BO$1:$BO$20,0),MATCH(C105,Weather!$BO$1:$CB$1,0))/VLOOKUP(B105,Weather!$BO$2:$CB$20,14,FALSE)*
VLOOKUP('Monthly Data'!$B105,Weather!$BO$3:$CB$20,14,FALSE)/Weather!$CB$14</f>
        <v>1164.669163435022</v>
      </c>
      <c r="BT105" s="560">
        <f t="shared" ca="1" si="181"/>
        <v>31764223.498251457</v>
      </c>
      <c r="BU105" s="560">
        <v>6830413.413693347</v>
      </c>
      <c r="BV105" s="560">
        <f ca="1">IFERROR(VLOOKUP($B105-1,CDM!$V$4:$AJ$17,14,FALSE)/12,0)+IFERROR(VLOOKUP($B105,CDM!$V$41:$AJ$54,14,FALSE)/24,0)+IFERROR(VLOOKUP($B105,CDM!$V$41:$AJ$54,14,FALSE)/2*$C105/78,0)</f>
        <v>690792.72883481008</v>
      </c>
      <c r="BW105" s="560">
        <f t="shared" ca="1" si="245"/>
        <v>7521206.1425281567</v>
      </c>
      <c r="BX105" s="560">
        <f>IFERROR(HLOOKUP(B105-1,'EV Forecast WRZ'!$F$124:$T$130,5,FALSE)/12,0)+IFERROR(((HLOOKUP(B105,'EV Forecast WRZ'!$F$116:$T$122,5,FALSE)-HLOOKUP(B105-1,'EV Forecast WRZ'!$F$124:$T$130,5,FALSE)))*C105/78,0)</f>
        <v>4389.0095384615379</v>
      </c>
      <c r="BY105" s="560">
        <f t="shared" ca="1" si="189"/>
        <v>7516817.1329896953</v>
      </c>
      <c r="BZ105" s="560">
        <v>257164.00420891523</v>
      </c>
      <c r="CA105" s="560">
        <v>511.49799119954082</v>
      </c>
      <c r="CB105" s="560">
        <v>156513.96594604934</v>
      </c>
      <c r="CC105" s="5">
        <v>68808.41</v>
      </c>
      <c r="CD105" s="5">
        <v>13304.84</v>
      </c>
      <c r="CE105" s="5">
        <v>823</v>
      </c>
      <c r="CF105" s="544">
        <f t="shared" si="248"/>
        <v>6.916666666666667</v>
      </c>
      <c r="CG105" s="565">
        <v>45566</v>
      </c>
      <c r="CH105" s="565">
        <v>2467</v>
      </c>
      <c r="CI105" s="565">
        <v>389</v>
      </c>
      <c r="CJ105" s="565">
        <v>3</v>
      </c>
      <c r="CK105" s="565">
        <v>13723</v>
      </c>
      <c r="CL105" s="565">
        <v>45.333333333333314</v>
      </c>
      <c r="CM105" s="565">
        <v>394</v>
      </c>
      <c r="CN105" s="46">
        <f>Weather!C129</f>
        <v>26.975000000000016</v>
      </c>
      <c r="CO105" s="46">
        <f>Weather!D129</f>
        <v>41.841666666666654</v>
      </c>
      <c r="CP105" s="46">
        <f>Weather!E129</f>
        <v>8.2333333333333432</v>
      </c>
      <c r="CQ105" s="46">
        <f>Weather!F129</f>
        <v>85.09999999999998</v>
      </c>
      <c r="CR105" s="46">
        <f>Weather!G129</f>
        <v>1.7583333333333346</v>
      </c>
      <c r="CS105" s="46">
        <f>Weather!H129</f>
        <v>140.625</v>
      </c>
      <c r="CT105" s="46">
        <f>Weather!I129</f>
        <v>0</v>
      </c>
      <c r="CU105" s="46">
        <f>Weather!J129</f>
        <v>200.86666666666665</v>
      </c>
      <c r="CV105" s="46">
        <f>Weather!K129</f>
        <v>0</v>
      </c>
      <c r="CW105" s="46">
        <f>Weather!L129</f>
        <v>262.86666666666667</v>
      </c>
      <c r="CX105" s="46">
        <f>Weather!M129</f>
        <v>0</v>
      </c>
      <c r="CY105" s="46">
        <f>Weather!N129</f>
        <v>324.86666666666667</v>
      </c>
      <c r="CZ105" s="46">
        <f>Weather!O129</f>
        <v>0</v>
      </c>
      <c r="DA105" s="46">
        <f>Weather!P129</f>
        <v>386.86666666666656</v>
      </c>
      <c r="DB105" s="243">
        <f>'Economic Data'!D131</f>
        <v>8167</v>
      </c>
      <c r="DC105" s="243">
        <f>'Economic Data'!E131</f>
        <v>8245.1</v>
      </c>
      <c r="DD105" s="243">
        <f>'Economic Data'!F131</f>
        <v>239.3</v>
      </c>
      <c r="DE105" s="243">
        <f>'Economic Data'!G131</f>
        <v>239.1</v>
      </c>
      <c r="DF105" s="243">
        <f>'Economic Data'!H131</f>
        <v>53.7</v>
      </c>
      <c r="DG105" s="243">
        <f>'Economic Data'!I131</f>
        <v>53.7</v>
      </c>
      <c r="DH105" s="243">
        <f>'Economic Data'!J131</f>
        <v>876619.7</v>
      </c>
      <c r="DI105" s="243">
        <f>'Economic Data'!K131</f>
        <v>694601.3</v>
      </c>
      <c r="DJ105" s="243">
        <f>'Economic Data'!L131</f>
        <v>92436.4</v>
      </c>
      <c r="DK105" s="243">
        <f>'Economic Data'!M131</f>
        <v>33851.4</v>
      </c>
      <c r="DL105" s="243">
        <f>'Economic Data'!N131</f>
        <v>890079</v>
      </c>
      <c r="DM105" s="243">
        <f>'Economic Data'!O131</f>
        <v>88612</v>
      </c>
      <c r="DN105" s="243">
        <f>'Economic Data'!P131</f>
        <v>17071</v>
      </c>
      <c r="DO105" s="243">
        <f>'Economic Data'!Q131</f>
        <v>712400</v>
      </c>
      <c r="DP105" s="243">
        <f>'Economic Data'!R131</f>
        <v>34427</v>
      </c>
      <c r="DQ105">
        <v>31</v>
      </c>
      <c r="DR105">
        <v>21</v>
      </c>
      <c r="DS105">
        <f t="shared" ref="DS105:ED105" si="263">DS93</f>
        <v>0</v>
      </c>
      <c r="DT105">
        <f t="shared" si="263"/>
        <v>0</v>
      </c>
      <c r="DU105">
        <f t="shared" si="263"/>
        <v>0</v>
      </c>
      <c r="DV105">
        <f t="shared" si="263"/>
        <v>0</v>
      </c>
      <c r="DW105">
        <f t="shared" si="263"/>
        <v>0</v>
      </c>
      <c r="DX105">
        <f t="shared" si="263"/>
        <v>0</v>
      </c>
      <c r="DY105">
        <f t="shared" si="263"/>
        <v>0</v>
      </c>
      <c r="DZ105">
        <f t="shared" si="263"/>
        <v>1</v>
      </c>
      <c r="EA105">
        <f t="shared" si="263"/>
        <v>0</v>
      </c>
      <c r="EB105">
        <f t="shared" si="263"/>
        <v>0</v>
      </c>
      <c r="EC105">
        <f t="shared" si="263"/>
        <v>0</v>
      </c>
      <c r="ED105">
        <f t="shared" si="263"/>
        <v>0</v>
      </c>
      <c r="EE105">
        <f t="shared" ref="EE105:EF105" si="264">EE93</f>
        <v>0</v>
      </c>
      <c r="EF105">
        <f t="shared" si="264"/>
        <v>0</v>
      </c>
      <c r="EG105">
        <f t="shared" si="251"/>
        <v>0</v>
      </c>
      <c r="EH105">
        <f t="shared" si="185"/>
        <v>104</v>
      </c>
      <c r="EI105">
        <v>0</v>
      </c>
      <c r="EJ105">
        <v>0</v>
      </c>
      <c r="EK105">
        <v>0.25</v>
      </c>
      <c r="EL105">
        <v>0</v>
      </c>
      <c r="EM105" s="47">
        <f t="shared" si="190"/>
        <v>0</v>
      </c>
      <c r="EN105" s="47">
        <f t="shared" si="191"/>
        <v>0</v>
      </c>
      <c r="EO105" s="47">
        <f t="shared" si="192"/>
        <v>0</v>
      </c>
      <c r="EP105" s="47">
        <f t="shared" si="193"/>
        <v>0</v>
      </c>
      <c r="EQ105" s="47">
        <f t="shared" si="194"/>
        <v>0</v>
      </c>
      <c r="ER105" s="47">
        <f t="shared" si="195"/>
        <v>0</v>
      </c>
      <c r="ES105" s="47">
        <f t="shared" si="196"/>
        <v>0</v>
      </c>
      <c r="ET105" s="47">
        <f t="shared" si="197"/>
        <v>0</v>
      </c>
      <c r="EU105" s="47">
        <f t="shared" si="198"/>
        <v>0</v>
      </c>
      <c r="EV105" s="47">
        <f t="shared" si="199"/>
        <v>0</v>
      </c>
      <c r="EW105" s="47">
        <f t="shared" si="200"/>
        <v>0</v>
      </c>
      <c r="EX105" s="47">
        <f t="shared" si="201"/>
        <v>0</v>
      </c>
      <c r="EY105" s="47">
        <f t="shared" si="202"/>
        <v>0</v>
      </c>
      <c r="EZ105" s="47">
        <f t="shared" si="203"/>
        <v>0</v>
      </c>
      <c r="FA105" s="47">
        <f t="shared" si="204"/>
        <v>6.7437500000000039</v>
      </c>
      <c r="FB105" s="47">
        <f t="shared" si="205"/>
        <v>10.460416666666664</v>
      </c>
      <c r="FC105" s="47">
        <f t="shared" si="206"/>
        <v>2.0583333333333358</v>
      </c>
      <c r="FD105" s="47">
        <f t="shared" si="207"/>
        <v>21.274999999999995</v>
      </c>
      <c r="FE105" s="47">
        <f t="shared" si="208"/>
        <v>0.43958333333333366</v>
      </c>
      <c r="FF105" s="47">
        <f t="shared" si="209"/>
        <v>35.15625</v>
      </c>
      <c r="FG105" s="47">
        <f t="shared" si="210"/>
        <v>0</v>
      </c>
      <c r="FH105" s="47">
        <f t="shared" si="211"/>
        <v>50.216666666666661</v>
      </c>
      <c r="FI105" s="47">
        <f t="shared" si="212"/>
        <v>0</v>
      </c>
      <c r="FJ105" s="47">
        <f t="shared" si="213"/>
        <v>65.716666666666669</v>
      </c>
      <c r="FK105" s="47">
        <f t="shared" si="214"/>
        <v>0</v>
      </c>
      <c r="FL105" s="47">
        <f t="shared" si="215"/>
        <v>81.216666666666669</v>
      </c>
      <c r="FM105" s="47">
        <f t="shared" si="216"/>
        <v>0</v>
      </c>
      <c r="FN105" s="47">
        <f t="shared" si="217"/>
        <v>96.71666666666664</v>
      </c>
      <c r="FO105" s="546">
        <f t="shared" ca="1" si="218"/>
        <v>883.0210036152497</v>
      </c>
      <c r="FP105" s="546">
        <f t="shared" ca="1" si="219"/>
        <v>718.43740054139346</v>
      </c>
      <c r="FQ105" s="546">
        <f t="shared" ca="1" si="220"/>
        <v>2477.6655234471605</v>
      </c>
      <c r="FR105" s="546">
        <f t="shared" ca="1" si="221"/>
        <v>83706.809753940062</v>
      </c>
      <c r="FS105" s="546">
        <f t="shared" ca="1" si="222"/>
        <v>1527098.8297741362</v>
      </c>
      <c r="FT105" s="546">
        <f t="shared" ca="1" si="223"/>
        <v>5860486.0145521369</v>
      </c>
      <c r="FU105" s="546">
        <f t="shared" si="224"/>
        <v>25.210710993067384</v>
      </c>
      <c r="FV105" s="546">
        <f t="shared" si="225"/>
        <v>30.628181671484906</v>
      </c>
      <c r="FW105" s="546">
        <f t="shared" si="226"/>
        <v>493.86293445120219</v>
      </c>
      <c r="FX105" s="546">
        <f t="shared" ca="1" si="227"/>
        <v>966.46289263616427</v>
      </c>
      <c r="FY105" s="546">
        <f t="shared" ca="1" si="228"/>
        <v>3140.6609851127628</v>
      </c>
      <c r="FZ105" s="546">
        <f t="shared" ca="1" si="229"/>
        <v>81723.780131644642</v>
      </c>
      <c r="GA105" s="546">
        <f t="shared" si="230"/>
        <v>85721.334736305071</v>
      </c>
      <c r="GB105" s="546">
        <f t="shared" si="231"/>
        <v>18.739634497479795</v>
      </c>
      <c r="GC105" s="546">
        <f t="shared" si="232"/>
        <v>11.283043923519287</v>
      </c>
      <c r="GD105" s="546">
        <f t="shared" si="233"/>
        <v>397.24356839098817</v>
      </c>
    </row>
    <row r="106" spans="1:186">
      <c r="A106" s="4">
        <v>45536</v>
      </c>
      <c r="B106" s="6">
        <v>2024</v>
      </c>
      <c r="C106" s="5">
        <v>9</v>
      </c>
      <c r="D106" s="7">
        <v>78833522.245828032</v>
      </c>
      <c r="E106" s="7">
        <f ca="1">IFERROR(VLOOKUP($B106-1,CDM!$V$4:$AJ$17,2,FALSE)/12,0)+IFERROR(VLOOKUP($B106,CDM!$V$41:$AJ$54,2,FALSE)/24,0)+IFERROR(VLOOKUP($B106,CDM!$V$41:$AJ$54,2,FALSE)/2*$C106/78,0)</f>
        <v>4098807.6351718833</v>
      </c>
      <c r="F106" s="7">
        <f t="shared" ca="1" si="165"/>
        <v>82932329.880999923</v>
      </c>
      <c r="G106" s="7">
        <f>IFERROR(HLOOKUP(B106-1,'EV Forecast VRZ'!$F$124:$T$130,2,FALSE)/12,0)+IFERROR(((HLOOKUP(B106,'EV Forecast VRZ'!$F$116:$T$122,2,FALSE)-HLOOKUP(B106-1,'EV Forecast VRZ'!$F$124:$T$130,2,FALSE)))*C106/78,0)</f>
        <v>1290869.8400737641</v>
      </c>
      <c r="H106" s="7">
        <f ca="1">HLOOKUP(B106,Heating!$C$102:$O$106,2,FALSE)*INDEX(Weather!$BO$1:$CB$20,MATCH(B106,Weather!$BO$1:$BO$20,0),MATCH(C106,Weather!$BO$1:$CB$1,0))/VLOOKUP(B106,Weather!$BO$2:$CB$20,14,FALSE)*
VLOOKUP('Monthly Data'!$B106,Weather!$BO$3:$CB$20,14,FALSE)/Weather!$CB$14</f>
        <v>112449.70408104299</v>
      </c>
      <c r="I106" s="7">
        <f t="shared" ca="1" si="166"/>
        <v>81529010.336845115</v>
      </c>
      <c r="J106" s="7">
        <v>780659.6748793741</v>
      </c>
      <c r="K106" s="7">
        <f ca="1">IFERROR(VLOOKUP($B106-1,CDM!$V$4:$AJ$17,3,FALSE)/12,0)+IFERROR(VLOOKUP($B106,CDM!$V$41:$AJ$54,3,FALSE)/24,0)+IFERROR(VLOOKUP($B106,CDM!$V$41:$AJ$54,3,FALSE)/2*$C106/78,0)</f>
        <v>46945.715272560017</v>
      </c>
      <c r="L106" s="7">
        <f t="shared" ca="1" si="238"/>
        <v>827605.39015193412</v>
      </c>
      <c r="M106" s="7">
        <f>IFERROR(HLOOKUP(B106-1,'EV Forecast VRZ'!$F$124:$T$130,3,FALSE)/12,0)+IFERROR(((HLOOKUP(B106,'EV Forecast VRZ'!$F$116:$T$122,3,FALSE)-HLOOKUP(B106-1,'EV Forecast VRZ'!$F$124:$T$130,3,FALSE)))*C106/78,0)</f>
        <v>17515.995695466525</v>
      </c>
      <c r="N106" s="7">
        <f ca="1">HLOOKUP(B106,Heating!$C$102:$O$106,3,FALSE)*INDEX(Weather!$BO$1:$CB$20,MATCH(B106,Weather!$BO$1:$BO$20,0),MATCH(C106,Weather!$BO$1:$CB$1,0))/VLOOKUP(B106,Weather!$BO$2:$CB$20,14,FALSE)*
VLOOKUP('Monthly Data'!$B106,Weather!$BO$3:$CB$20,14,FALSE)/Weather!$CB$14</f>
        <v>1328.5646423355965</v>
      </c>
      <c r="O106" s="7">
        <f t="shared" ca="1" si="168"/>
        <v>808760.82981413195</v>
      </c>
      <c r="P106" s="7">
        <v>19324555.184355758</v>
      </c>
      <c r="Q106" s="7">
        <f ca="1">IFERROR(VLOOKUP($B106-1,CDM!$V$4:$AJ$17,4,FALSE)/12,0)+IFERROR(VLOOKUP($B106,CDM!$V$41:$AJ$54,4,FALSE)/24,0)+IFERROR(VLOOKUP($B106,CDM!$V$41:$AJ$54,4,FALSE)/2*$C106/78,0)</f>
        <v>1706872.3488959854</v>
      </c>
      <c r="R106" s="7">
        <f t="shared" ca="1" si="239"/>
        <v>21031427.533251744</v>
      </c>
      <c r="S106" s="7">
        <f>IFERROR(HLOOKUP(B106-1,'EV Forecast VRZ'!$F$124:$T$130,4,FALSE)/12,0)+IFERROR(((HLOOKUP(B106,'EV Forecast VRZ'!$F$116:$T$122,4,FALSE)-HLOOKUP(B106-1,'EV Forecast VRZ'!$F$124:$T$130,4,FALSE)))*C106/78,0)</f>
        <v>164812.36076923076</v>
      </c>
      <c r="T106" s="7">
        <f ca="1">HLOOKUP(B106,Heating!$C$102:$O$106,4,FALSE)*INDEX(Weather!$BO$1:$CB$20,MATCH(B106,Weather!$BO$1:$BO$20,0),MATCH(C106,Weather!$BO$1:$CB$1,0))/VLOOKUP(B106,Weather!$BO$2:$CB$20,14,FALSE)*
VLOOKUP('Monthly Data'!$B106,Weather!$BO$3:$CB$20,14,FALSE)/Weather!$CB$14</f>
        <v>26940.061466960899</v>
      </c>
      <c r="U106" s="7">
        <f t="shared" ca="1" si="170"/>
        <v>20839675.111015551</v>
      </c>
      <c r="V106" s="7">
        <v>76947474.964620784</v>
      </c>
      <c r="W106" s="7">
        <f ca="1">IFERROR(VLOOKUP($B106-1,CDM!$V$4:$AJ$17,5,FALSE)/12,0)+IFERROR(VLOOKUP($B106,CDM!$V$41:$AJ$54,5,FALSE)/24,0)+IFERROR(VLOOKUP($B106,CDM!$V$41:$AJ$54,5,FALSE)/2*$C106/78,0)</f>
        <v>7115068.5765750129</v>
      </c>
      <c r="X106" s="7">
        <f t="shared" ca="1" si="240"/>
        <v>84062543.541195795</v>
      </c>
      <c r="Y106" s="7">
        <f>IFERROR(HLOOKUP(B106-1,'EV Forecast VRZ'!$F$124:$T$130,5,FALSE)/12,0)+IFERROR(((HLOOKUP(B106,'EV Forecast VRZ'!$F$116:$T$122,5,FALSE)-HLOOKUP(B106-1,'EV Forecast VRZ'!$F$124:$T$130,5,FALSE)))*C106/78,0)</f>
        <v>78044.793115384615</v>
      </c>
      <c r="Z106" s="7">
        <f ca="1">HLOOKUP(B106,Heating!$C$102:$O$106,5,FALSE)*INDEX(Weather!$BO$1:$CB$20,MATCH(B106,Weather!$BO$1:$BO$20,0),MATCH(C106,Weather!$BO$1:$CB$1,0))/VLOOKUP(B106,Weather!$BO$2:$CB$20,14,FALSE)*
VLOOKUP('Monthly Data'!$B106,Weather!$BO$3:$CB$20,14,FALSE)/Weather!$CB$14</f>
        <v>14031.050669963872</v>
      </c>
      <c r="AA106" s="7">
        <f t="shared" ca="1" si="172"/>
        <v>83970467.697410449</v>
      </c>
      <c r="AB106" s="7">
        <v>7410718.539087506</v>
      </c>
      <c r="AC106" s="7">
        <f ca="1">IFERROR(VLOOKUP($B106-1,CDM!$V$4:$AJ$17,6,FALSE)/12,0)+IFERROR(VLOOKUP($B106,CDM!$V$41:$AJ$54,6,FALSE)/24,0)+IFERROR(VLOOKUP($B106,CDM!$V$41:$AJ$54,6,FALSE)/2*$C106/78,0)</f>
        <v>365132.44417431025</v>
      </c>
      <c r="AD106" s="7">
        <f t="shared" ca="1" si="241"/>
        <v>7775850.9832618162</v>
      </c>
      <c r="AE106" s="7">
        <f>IFERROR(HLOOKUP(B106-1,'EV Forecast VRZ'!$F$124:$T$130,6,FALSE)/12,0)+IFERROR(((HLOOKUP(B106,'EV Forecast VRZ'!$F$116:$T$122,6,FALSE)-HLOOKUP(B106-1,'EV Forecast VRZ'!$F$124:$T$130,6,FALSE)))*C106/78,0)</f>
        <v>10136.38726923077</v>
      </c>
      <c r="AF106" s="7">
        <f t="shared" ca="1" si="174"/>
        <v>7765714.5959925856</v>
      </c>
      <c r="AG106" s="7">
        <v>27283153.813612446</v>
      </c>
      <c r="AH106" s="7">
        <f ca="1">IFERROR(VLOOKUP($B106-1,CDM!$V$4:$AJ$17,7,FALSE)/12,0)+IFERROR(VLOOKUP($B106,CDM!$V$41:$AJ$54,7,FALSE)/24,0)+IFERROR(VLOOKUP($B106,CDM!$V$41:$AJ$54,7,FALSE)/2*$C106/78,0)</f>
        <v>2056073.00300352</v>
      </c>
      <c r="AI106" s="7">
        <f t="shared" ca="1" si="242"/>
        <v>29339226.816615965</v>
      </c>
      <c r="AJ106" s="7">
        <f>IFERROR(HLOOKUP(B106-1,'EV Forecast VRZ'!$F$124:$T$130,7,FALSE)/12,0)+IFERROR(((HLOOKUP(B106,'EV Forecast VRZ'!$F$116:$T$122,7,FALSE)-HLOOKUP(B106-1,'EV Forecast VRZ'!$F$124:$T$130,7,FALSE)))*C106/78,0)</f>
        <v>1513.4615384615386</v>
      </c>
      <c r="AK106" s="7">
        <f t="shared" ca="1" si="176"/>
        <v>29337713.355077505</v>
      </c>
      <c r="AL106" s="7">
        <v>912137.58824651781</v>
      </c>
      <c r="AM106" s="7">
        <v>7044.4857851555043</v>
      </c>
      <c r="AN106" s="7">
        <v>377118.2121732494</v>
      </c>
      <c r="AO106" s="5">
        <v>187610.8</v>
      </c>
      <c r="AP106" s="5">
        <v>18573.919999999998</v>
      </c>
      <c r="AQ106" s="5">
        <v>45353.26</v>
      </c>
      <c r="AR106" s="5">
        <v>2643.95</v>
      </c>
      <c r="AS106" s="544">
        <f t="shared" si="252"/>
        <v>50.166666666666664</v>
      </c>
      <c r="AT106" s="557">
        <v>117845.75</v>
      </c>
      <c r="AU106" s="557">
        <v>1561.0000000000007</v>
      </c>
      <c r="AV106" s="557">
        <v>9503.75</v>
      </c>
      <c r="AW106" s="557">
        <v>1066.4999999999993</v>
      </c>
      <c r="AX106" s="557">
        <v>5</v>
      </c>
      <c r="AY106" s="557">
        <v>5</v>
      </c>
      <c r="AZ106" s="557">
        <v>32849.499999999993</v>
      </c>
      <c r="BA106" s="557">
        <v>237.25000000000009</v>
      </c>
      <c r="BB106" s="557">
        <v>759.50000000000034</v>
      </c>
      <c r="BC106" s="560">
        <v>33551861.071688607</v>
      </c>
      <c r="BD106" s="560">
        <f ca="1">IFERROR(VLOOKUP($B106-1,CDM!$V$4:$AJ$17,11,FALSE)/12,0)+IFERROR(VLOOKUP($B106,CDM!$V$41:$AJ$54,11,FALSE)/24,0)+IFERROR(VLOOKUP($B106,CDM!$V$41:$AJ$54,11,FALSE)/2*$C106/78,0)</f>
        <v>1804976.4495439946</v>
      </c>
      <c r="BE106" s="560">
        <f t="shared" ref="BE106:BE109" ca="1" si="265">BC106+BD106</f>
        <v>35356837.521232605</v>
      </c>
      <c r="BF106" s="560">
        <f>IFERROR(HLOOKUP(B106-1,'EV Forecast WRZ'!$F$124:$T$130,2,FALSE)/12,0)+IFERROR(((HLOOKUP(B106,'EV Forecast WRZ'!$F$116:$T$122,2,FALSE)-HLOOKUP(B106-1,'EV Forecast WRZ'!$F$124:$T$130,2,FALSE)))*C106/78,0)</f>
        <v>435305.04384615377</v>
      </c>
      <c r="BG106" s="560">
        <f ca="1">HLOOKUP(B106,Heating!$R$102:$AD$106,2,FALSE)*INDEX(Weather!$BO$1:$CB$20,MATCH(B106,Weather!$BO$1:$BO$20,0),MATCH(C106,Weather!$BO$1:$CB$1,0))/VLOOKUP(B106,Weather!$BO$2:$CB$20,14,FALSE)*
VLOOKUP('Monthly Data'!$B106,Weather!$BO$3:$CB$20,14,FALSE)/Weather!$CB$14</f>
        <v>49435.667790774067</v>
      </c>
      <c r="BH106" s="560">
        <f t="shared" ca="1" si="177"/>
        <v>34872096.809595682</v>
      </c>
      <c r="BI106" s="560">
        <v>6646587.9930072082</v>
      </c>
      <c r="BJ106" s="560">
        <f ca="1">IFERROR(VLOOKUP($B106-1,CDM!$V$4:$AJ$17,12,FALSE)/12,0)+IFERROR(VLOOKUP($B106,CDM!$V$41:$AJ$54,12,FALSE)/24,0)+IFERROR(VLOOKUP($B106,CDM!$V$41:$AJ$54,12,FALSE)/2*$C106/78,0)</f>
        <v>322013.04476473999</v>
      </c>
      <c r="BK106" s="560">
        <f t="shared" ca="1" si="243"/>
        <v>6968601.0377719486</v>
      </c>
      <c r="BL106" s="560">
        <f>IFERROR(HLOOKUP(B106-1,'EV Forecast WRZ'!$F$124:$T$130,3,FALSE)/12,0)+IFERROR(((HLOOKUP(B106,'EV Forecast WRZ'!$F$116:$T$122,3,FALSE)-HLOOKUP(B106-1,'EV Forecast WRZ'!$F$124:$T$130,3,FALSE)))*C106/78,0)</f>
        <v>58674.801538461543</v>
      </c>
      <c r="BM106" s="560">
        <f ca="1">HLOOKUP(B106,Heating!$R$102:$AD$106,4,FALSE)*INDEX(Weather!$BO$1:$CB$20,MATCH(B106,Weather!$BO$1:$BO$20,0),MATCH(C106,Weather!$BO$1:$CB$1,0))/VLOOKUP(B106,Weather!$BO$2:$CB$20,14,FALSE)*
VLOOKUP('Monthly Data'!$B106,Weather!$BO$3:$CB$20,14,FALSE)/Weather!$CB$14</f>
        <v>7847.8659449095594</v>
      </c>
      <c r="BN106" s="560">
        <f t="shared" ca="1" si="179"/>
        <v>6902078.3702885769</v>
      </c>
      <c r="BO106" s="560">
        <v>26766335.49084359</v>
      </c>
      <c r="BP106" s="560">
        <f ca="1">IFERROR(VLOOKUP($B106-1,CDM!$V$4:$AJ$17,13,FALSE)/12,0)+IFERROR(VLOOKUP($B106,CDM!$V$41:$AJ$54,13,FALSE)/24,0)+IFERROR(VLOOKUP($B106,CDM!$V$41:$AJ$54,13,FALSE)/2*$C106/78,0)</f>
        <v>3089045.274117324</v>
      </c>
      <c r="BQ106" s="560">
        <f t="shared" ca="1" si="244"/>
        <v>29855380.764960915</v>
      </c>
      <c r="BR106" s="560">
        <f>IFERROR(HLOOKUP(B106-1,'EV Forecast WRZ'!$F$124:$T$130,4,FALSE)/12,0)+IFERROR(((HLOOKUP(B106,'EV Forecast WRZ'!$F$116:$T$122,4,FALSE)-HLOOKUP(B106-1,'EV Forecast WRZ'!$F$124:$T$130,4,FALSE)))*C106/78,0)</f>
        <v>26011.00043589744</v>
      </c>
      <c r="BS106" s="560">
        <f ca="1">HLOOKUP(B106,Heating!$R$102:$AD$106,5,FALSE)*INDEX(Weather!$BO$1:$CB$20,MATCH(B106,Weather!$BO$1:$BO$20,0),MATCH(C106,Weather!$BO$1:$CB$1,0))/VLOOKUP(B106,Weather!$BO$2:$CB$20,14,FALSE)*
VLOOKUP('Monthly Data'!$B106,Weather!$BO$3:$CB$20,14,FALSE)/Weather!$CB$14</f>
        <v>4154.1438582439396</v>
      </c>
      <c r="BT106" s="560">
        <f t="shared" ca="1" si="181"/>
        <v>29825215.620666776</v>
      </c>
      <c r="BU106" s="560">
        <v>6405318.5438765679</v>
      </c>
      <c r="BV106" s="560">
        <f ca="1">IFERROR(VLOOKUP($B106-1,CDM!$V$4:$AJ$17,14,FALSE)/12,0)+IFERROR(VLOOKUP($B106,CDM!$V$41:$AJ$54,14,FALSE)/24,0)+IFERROR(VLOOKUP($B106,CDM!$V$41:$AJ$54,14,FALSE)/2*$C106/78,0)</f>
        <v>695934.69430801342</v>
      </c>
      <c r="BW106" s="560">
        <f t="shared" ca="1" si="245"/>
        <v>7101253.2381845815</v>
      </c>
      <c r="BX106" s="560">
        <f>IFERROR(HLOOKUP(B106-1,'EV Forecast WRZ'!$F$124:$T$130,5,FALSE)/12,0)+IFERROR(((HLOOKUP(B106,'EV Forecast WRZ'!$F$116:$T$122,5,FALSE)-HLOOKUP(B106-1,'EV Forecast WRZ'!$F$124:$T$130,5,FALSE)))*C106/78,0)</f>
        <v>4590.5028974358975</v>
      </c>
      <c r="BY106" s="560">
        <f t="shared" ref="BY106:BY109" ca="1" si="266">BW106-BX106</f>
        <v>7096662.7352871457</v>
      </c>
      <c r="BZ106" s="560">
        <v>283872.99598239909</v>
      </c>
      <c r="CA106" s="560">
        <v>511.49799119954082</v>
      </c>
      <c r="CB106" s="560">
        <v>156009.96747656399</v>
      </c>
      <c r="CC106" s="5">
        <v>65390.09</v>
      </c>
      <c r="CD106" s="5">
        <v>12014.52</v>
      </c>
      <c r="CE106" s="5">
        <v>823</v>
      </c>
      <c r="CF106" s="544">
        <f t="shared" si="248"/>
        <v>6.916666666666667</v>
      </c>
      <c r="CG106" s="565">
        <v>45596.25</v>
      </c>
      <c r="CH106" s="565">
        <v>2468.5</v>
      </c>
      <c r="CI106" s="565">
        <v>389.25</v>
      </c>
      <c r="CJ106" s="565">
        <v>3</v>
      </c>
      <c r="CK106" s="565">
        <v>13733</v>
      </c>
      <c r="CL106" s="565">
        <v>45.249999999999979</v>
      </c>
      <c r="CM106" s="565">
        <v>392.5</v>
      </c>
      <c r="CN106" s="46">
        <f>Weather!C130</f>
        <v>69.33750000000002</v>
      </c>
      <c r="CO106" s="46">
        <f>Weather!D130</f>
        <v>0.63750000000000284</v>
      </c>
      <c r="CP106" s="46">
        <f>Weather!E130</f>
        <v>29.36666666666666</v>
      </c>
      <c r="CQ106" s="46">
        <f>Weather!F130</f>
        <v>20.666666666666679</v>
      </c>
      <c r="CR106" s="46">
        <f>Weather!G130</f>
        <v>10.920833333333333</v>
      </c>
      <c r="CS106" s="46">
        <f>Weather!H130</f>
        <v>62.220833333333331</v>
      </c>
      <c r="CT106" s="46">
        <f>Weather!I130</f>
        <v>2.5625000000000036</v>
      </c>
      <c r="CU106" s="46">
        <f>Weather!J130</f>
        <v>113.86250000000001</v>
      </c>
      <c r="CV106" s="46">
        <f>Weather!K130</f>
        <v>0</v>
      </c>
      <c r="CW106" s="46">
        <f>Weather!L130</f>
        <v>171.29999999999998</v>
      </c>
      <c r="CX106" s="46">
        <f>Weather!M130</f>
        <v>0</v>
      </c>
      <c r="CY106" s="46">
        <f>Weather!N130</f>
        <v>231.3</v>
      </c>
      <c r="CZ106" s="46">
        <f>Weather!O130</f>
        <v>0</v>
      </c>
      <c r="DA106" s="46">
        <f>Weather!P130</f>
        <v>291.30000000000007</v>
      </c>
      <c r="DB106" s="243">
        <f>'Economic Data'!D132</f>
        <v>8182.9</v>
      </c>
      <c r="DC106" s="243">
        <f>'Economic Data'!E132</f>
        <v>8217.2000000000007</v>
      </c>
      <c r="DD106" s="243">
        <f>'Economic Data'!F132</f>
        <v>239.6</v>
      </c>
      <c r="DE106" s="243">
        <f>'Economic Data'!G132</f>
        <v>239.6</v>
      </c>
      <c r="DF106" s="243">
        <f>'Economic Data'!H132</f>
        <v>51.7</v>
      </c>
      <c r="DG106" s="243">
        <f>'Economic Data'!I132</f>
        <v>51.7</v>
      </c>
      <c r="DH106" s="243">
        <f>'Economic Data'!J132</f>
        <v>876619.7</v>
      </c>
      <c r="DI106" s="243">
        <f>'Economic Data'!K132</f>
        <v>694601.3</v>
      </c>
      <c r="DJ106" s="243">
        <f>'Economic Data'!L132</f>
        <v>92436.4</v>
      </c>
      <c r="DK106" s="243">
        <f>'Economic Data'!M132</f>
        <v>33851.4</v>
      </c>
      <c r="DL106" s="243">
        <f>'Economic Data'!N132</f>
        <v>890079</v>
      </c>
      <c r="DM106" s="243">
        <f>'Economic Data'!O132</f>
        <v>88612</v>
      </c>
      <c r="DN106" s="243">
        <f>'Economic Data'!P132</f>
        <v>17071</v>
      </c>
      <c r="DO106" s="243">
        <f>'Economic Data'!Q132</f>
        <v>712400</v>
      </c>
      <c r="DP106" s="243">
        <f>'Economic Data'!R132</f>
        <v>34427</v>
      </c>
      <c r="DQ106">
        <v>30</v>
      </c>
      <c r="DR106">
        <v>20</v>
      </c>
      <c r="DS106">
        <f t="shared" ref="DS106:ED106" si="267">DS94</f>
        <v>0</v>
      </c>
      <c r="DT106">
        <f t="shared" si="267"/>
        <v>0</v>
      </c>
      <c r="DU106">
        <f t="shared" si="267"/>
        <v>0</v>
      </c>
      <c r="DV106">
        <f t="shared" si="267"/>
        <v>0</v>
      </c>
      <c r="DW106">
        <f t="shared" si="267"/>
        <v>0</v>
      </c>
      <c r="DX106">
        <f t="shared" si="267"/>
        <v>0</v>
      </c>
      <c r="DY106">
        <f t="shared" si="267"/>
        <v>0</v>
      </c>
      <c r="DZ106">
        <f t="shared" si="267"/>
        <v>0</v>
      </c>
      <c r="EA106">
        <f t="shared" si="267"/>
        <v>1</v>
      </c>
      <c r="EB106">
        <f t="shared" si="267"/>
        <v>0</v>
      </c>
      <c r="EC106">
        <f t="shared" si="267"/>
        <v>0</v>
      </c>
      <c r="ED106">
        <f t="shared" si="267"/>
        <v>0</v>
      </c>
      <c r="EE106">
        <f t="shared" ref="EE106:EF106" si="268">EE94</f>
        <v>0</v>
      </c>
      <c r="EF106">
        <f t="shared" si="268"/>
        <v>1</v>
      </c>
      <c r="EG106">
        <f t="shared" si="251"/>
        <v>1</v>
      </c>
      <c r="EH106">
        <f t="shared" si="185"/>
        <v>105</v>
      </c>
      <c r="EI106">
        <v>0</v>
      </c>
      <c r="EJ106">
        <v>0</v>
      </c>
      <c r="EK106">
        <v>0.25</v>
      </c>
      <c r="EL106">
        <v>0</v>
      </c>
      <c r="EM106" s="47">
        <f t="shared" si="190"/>
        <v>0</v>
      </c>
      <c r="EN106" s="47">
        <f t="shared" si="191"/>
        <v>0</v>
      </c>
      <c r="EO106" s="47">
        <f t="shared" si="192"/>
        <v>0</v>
      </c>
      <c r="EP106" s="47">
        <f t="shared" si="193"/>
        <v>0</v>
      </c>
      <c r="EQ106" s="47">
        <f t="shared" si="194"/>
        <v>0</v>
      </c>
      <c r="ER106" s="47">
        <f t="shared" si="195"/>
        <v>0</v>
      </c>
      <c r="ES106" s="47">
        <f t="shared" si="196"/>
        <v>0</v>
      </c>
      <c r="ET106" s="47">
        <f t="shared" si="197"/>
        <v>0</v>
      </c>
      <c r="EU106" s="47">
        <f t="shared" si="198"/>
        <v>0</v>
      </c>
      <c r="EV106" s="47">
        <f t="shared" si="199"/>
        <v>0</v>
      </c>
      <c r="EW106" s="47">
        <f t="shared" si="200"/>
        <v>0</v>
      </c>
      <c r="EX106" s="47">
        <f t="shared" si="201"/>
        <v>0</v>
      </c>
      <c r="EY106" s="47">
        <f t="shared" si="202"/>
        <v>0</v>
      </c>
      <c r="EZ106" s="47">
        <f t="shared" si="203"/>
        <v>0</v>
      </c>
      <c r="FA106" s="47">
        <f t="shared" si="204"/>
        <v>17.334375000000005</v>
      </c>
      <c r="FB106" s="47">
        <f t="shared" si="205"/>
        <v>0.15937500000000071</v>
      </c>
      <c r="FC106" s="47">
        <f t="shared" si="206"/>
        <v>7.341666666666665</v>
      </c>
      <c r="FD106" s="47">
        <f t="shared" si="207"/>
        <v>5.1666666666666696</v>
      </c>
      <c r="FE106" s="47">
        <f t="shared" si="208"/>
        <v>2.7302083333333331</v>
      </c>
      <c r="FF106" s="47">
        <f t="shared" si="209"/>
        <v>15.555208333333333</v>
      </c>
      <c r="FG106" s="47">
        <f t="shared" si="210"/>
        <v>0.64062500000000089</v>
      </c>
      <c r="FH106" s="47">
        <f t="shared" si="211"/>
        <v>28.465625000000003</v>
      </c>
      <c r="FI106" s="47">
        <f t="shared" si="212"/>
        <v>0</v>
      </c>
      <c r="FJ106" s="47">
        <f t="shared" si="213"/>
        <v>42.824999999999996</v>
      </c>
      <c r="FK106" s="47">
        <f t="shared" si="214"/>
        <v>0</v>
      </c>
      <c r="FL106" s="47">
        <f t="shared" si="215"/>
        <v>57.825000000000003</v>
      </c>
      <c r="FM106" s="47">
        <f t="shared" si="216"/>
        <v>0</v>
      </c>
      <c r="FN106" s="47">
        <f t="shared" si="217"/>
        <v>72.825000000000017</v>
      </c>
      <c r="FO106" s="546">
        <f t="shared" ca="1" si="218"/>
        <v>691.82817655151007</v>
      </c>
      <c r="FP106" s="546">
        <f t="shared" ca="1" si="219"/>
        <v>530.17641905953474</v>
      </c>
      <c r="FQ106" s="546">
        <f t="shared" ca="1" si="220"/>
        <v>2212.9609399712476</v>
      </c>
      <c r="FR106" s="546">
        <f t="shared" ca="1" si="221"/>
        <v>78820.950343362259</v>
      </c>
      <c r="FS106" s="546">
        <f t="shared" ca="1" si="222"/>
        <v>1555170.1966523633</v>
      </c>
      <c r="FT106" s="546">
        <f t="shared" ca="1" si="223"/>
        <v>5867845.363323193</v>
      </c>
      <c r="FU106" s="546">
        <f t="shared" si="224"/>
        <v>27.767168092254618</v>
      </c>
      <c r="FV106" s="546">
        <f t="shared" si="225"/>
        <v>29.692247777262388</v>
      </c>
      <c r="FW106" s="546">
        <f t="shared" si="226"/>
        <v>496.53484157109841</v>
      </c>
      <c r="FX106" s="546">
        <f t="shared" ca="1" si="227"/>
        <v>775.43301304893726</v>
      </c>
      <c r="FY106" s="546">
        <f t="shared" ca="1" si="228"/>
        <v>2823.0103454615955</v>
      </c>
      <c r="FZ106" s="546">
        <f t="shared" ca="1" si="229"/>
        <v>76699.757906129511</v>
      </c>
      <c r="GA106" s="546">
        <f t="shared" si="230"/>
        <v>94624.331994133026</v>
      </c>
      <c r="GB106" s="546">
        <f t="shared" si="231"/>
        <v>20.670865505162681</v>
      </c>
      <c r="GC106" s="546">
        <f t="shared" si="232"/>
        <v>11.303823009934609</v>
      </c>
      <c r="GD106" s="546">
        <f t="shared" si="233"/>
        <v>397.4776241441121</v>
      </c>
    </row>
    <row r="107" spans="1:186">
      <c r="A107" s="4">
        <v>45566</v>
      </c>
      <c r="B107" s="6">
        <v>2024</v>
      </c>
      <c r="C107" s="5">
        <v>10</v>
      </c>
      <c r="D107" s="7">
        <v>69555556.295595959</v>
      </c>
      <c r="E107" s="7">
        <f ca="1">IFERROR(VLOOKUP($B107-1,CDM!$V$4:$AJ$17,2,FALSE)/12,0)+IFERROR(VLOOKUP($B107,CDM!$V$41:$AJ$54,2,FALSE)/24,0)+IFERROR(VLOOKUP($B107,CDM!$V$41:$AJ$54,2,FALSE)/2*$C107/78,0)</f>
        <v>4114960.9173065452</v>
      </c>
      <c r="F107" s="7">
        <f t="shared" ref="F107:F109" ca="1" si="269">D107+E107</f>
        <v>73670517.212902501</v>
      </c>
      <c r="G107" s="7">
        <f>IFERROR(HLOOKUP(B107-1,'EV Forecast VRZ'!$F$124:$T$130,2,FALSE)/12,0)+IFERROR(((HLOOKUP(B107,'EV Forecast VRZ'!$F$116:$T$122,2,FALSE)-HLOOKUP(B107-1,'EV Forecast VRZ'!$F$124:$T$130,2,FALSE)))*C107/78,0)</f>
        <v>1322911.3630841163</v>
      </c>
      <c r="H107" s="7">
        <f ca="1">HLOOKUP(B107,Heating!$C$102:$O$106,2,FALSE)*INDEX(Weather!$BO$1:$CB$20,MATCH(B107,Weather!$BO$1:$BO$20,0),MATCH(C107,Weather!$BO$1:$CB$1,0))/VLOOKUP(B107,Weather!$BO$2:$CB$20,14,FALSE)*
VLOOKUP('Monthly Data'!$B107,Weather!$BO$3:$CB$20,14,FALSE)/Weather!$CB$14</f>
        <v>895800.38100656052</v>
      </c>
      <c r="I107" s="7">
        <f t="shared" ref="I107:I121" ca="1" si="270">F107-G107-H107</f>
        <v>71451805.468811825</v>
      </c>
      <c r="J107" s="7">
        <v>886658.96138064028</v>
      </c>
      <c r="K107" s="7">
        <f ca="1">IFERROR(VLOOKUP($B107-1,CDM!$V$4:$AJ$17,3,FALSE)/12,0)+IFERROR(VLOOKUP($B107,CDM!$V$41:$AJ$54,3,FALSE)/24,0)+IFERROR(VLOOKUP($B107,CDM!$V$41:$AJ$54,3,FALSE)/2*$C107/78,0)</f>
        <v>47130.658332231273</v>
      </c>
      <c r="L107" s="7">
        <f t="shared" ca="1" si="238"/>
        <v>933789.6197128715</v>
      </c>
      <c r="M107" s="7">
        <f>IFERROR(HLOOKUP(B107-1,'EV Forecast VRZ'!$F$124:$T$130,3,FALSE)/12,0)+IFERROR(((HLOOKUP(B107,'EV Forecast VRZ'!$F$116:$T$122,3,FALSE)-HLOOKUP(B107-1,'EV Forecast VRZ'!$F$124:$T$130,3,FALSE)))*C107/78,0)</f>
        <v>17950.771659473437</v>
      </c>
      <c r="N107" s="7">
        <f ca="1">HLOOKUP(B107,Heating!$C$102:$O$106,3,FALSE)*INDEX(Weather!$BO$1:$CB$20,MATCH(B107,Weather!$BO$1:$BO$20,0),MATCH(C107,Weather!$BO$1:$CB$1,0))/VLOOKUP(B107,Weather!$BO$2:$CB$20,14,FALSE)*
VLOOKUP('Monthly Data'!$B107,Weather!$BO$3:$CB$20,14,FALSE)/Weather!$CB$14</f>
        <v>10583.653576698978</v>
      </c>
      <c r="O107" s="7">
        <f t="shared" ref="O107:O109" ca="1" si="271">L107-M107-N107</f>
        <v>905255.19447669911</v>
      </c>
      <c r="P107" s="7">
        <v>18544443.760308955</v>
      </c>
      <c r="Q107" s="7">
        <f ca="1">IFERROR(VLOOKUP($B107-1,CDM!$V$4:$AJ$17,4,FALSE)/12,0)+IFERROR(VLOOKUP($B107,CDM!$V$41:$AJ$54,4,FALSE)/24,0)+IFERROR(VLOOKUP($B107,CDM!$V$41:$AJ$54,4,FALSE)/2*$C107/78,0)</f>
        <v>1715751.9100420354</v>
      </c>
      <c r="R107" s="7">
        <f t="shared" ca="1" si="239"/>
        <v>20260195.670350991</v>
      </c>
      <c r="S107" s="7">
        <f>IFERROR(HLOOKUP(B107-1,'EV Forecast VRZ'!$F$124:$T$130,4,FALSE)/12,0)+IFERROR(((HLOOKUP(B107,'EV Forecast VRZ'!$F$116:$T$122,4,FALSE)-HLOOKUP(B107-1,'EV Forecast VRZ'!$F$124:$T$130,4,FALSE)))*C107/78,0)</f>
        <v>169141.35974358974</v>
      </c>
      <c r="T107" s="7">
        <f ca="1">HLOOKUP(B107,Heating!$C$102:$O$106,4,FALSE)*INDEX(Weather!$BO$1:$CB$20,MATCH(B107,Weather!$BO$1:$BO$20,0),MATCH(C107,Weather!$BO$1:$CB$1,0))/VLOOKUP(B107,Weather!$BO$2:$CB$20,14,FALSE)*
VLOOKUP('Monthly Data'!$B107,Weather!$BO$3:$CB$20,14,FALSE)/Weather!$CB$14</f>
        <v>214610.76775311952</v>
      </c>
      <c r="U107" s="7">
        <f t="shared" ref="U107:U109" ca="1" si="272">R107-S107-T107</f>
        <v>19876443.542854279</v>
      </c>
      <c r="V107" s="7">
        <v>74114451.023548096</v>
      </c>
      <c r="W107" s="7">
        <f ca="1">IFERROR(VLOOKUP($B107-1,CDM!$V$4:$AJ$17,5,FALSE)/12,0)+IFERROR(VLOOKUP($B107,CDM!$V$41:$AJ$54,5,FALSE)/24,0)+IFERROR(VLOOKUP($B107,CDM!$V$41:$AJ$54,5,FALSE)/2*$C107/78,0)</f>
        <v>7157878.030409269</v>
      </c>
      <c r="X107" s="7">
        <f t="shared" ca="1" si="240"/>
        <v>81272329.053957373</v>
      </c>
      <c r="Y107" s="7">
        <f>IFERROR(HLOOKUP(B107-1,'EV Forecast VRZ'!$F$124:$T$130,5,FALSE)/12,0)+IFERROR(((HLOOKUP(B107,'EV Forecast VRZ'!$F$116:$T$122,5,FALSE)-HLOOKUP(B107-1,'EV Forecast VRZ'!$F$124:$T$130,5,FALSE)))*C107/78,0)</f>
        <v>80213.034961538448</v>
      </c>
      <c r="Z107" s="7">
        <f ca="1">HLOOKUP(B107,Heating!$C$102:$O$106,5,FALSE)*INDEX(Weather!$BO$1:$CB$20,MATCH(B107,Weather!$BO$1:$BO$20,0),MATCH(C107,Weather!$BO$1:$CB$1,0))/VLOOKUP(B107,Weather!$BO$2:$CB$20,14,FALSE)*
VLOOKUP('Monthly Data'!$B107,Weather!$BO$3:$CB$20,14,FALSE)/Weather!$CB$14</f>
        <v>111774.59859758677</v>
      </c>
      <c r="AA107" s="7">
        <f t="shared" ref="AA107:AA109" ca="1" si="273">X107-Y107-Z107</f>
        <v>81080341.42039825</v>
      </c>
      <c r="AB107" s="7">
        <v>7881947.3273169016</v>
      </c>
      <c r="AC107" s="7">
        <f ca="1">IFERROR(VLOOKUP($B107-1,CDM!$V$4:$AJ$17,6,FALSE)/12,0)+IFERROR(VLOOKUP($B107,CDM!$V$41:$AJ$54,6,FALSE)/24,0)+IFERROR(VLOOKUP($B107,CDM!$V$41:$AJ$54,6,FALSE)/2*$C107/78,0)</f>
        <v>369301.82436358684</v>
      </c>
      <c r="AD107" s="7">
        <f t="shared" ca="1" si="241"/>
        <v>8251249.1516804881</v>
      </c>
      <c r="AE107" s="7">
        <f>IFERROR(HLOOKUP(B107-1,'EV Forecast VRZ'!$F$124:$T$130,6,FALSE)/12,0)+IFERROR(((HLOOKUP(B107,'EV Forecast VRZ'!$F$116:$T$122,6,FALSE)-HLOOKUP(B107-1,'EV Forecast VRZ'!$F$124:$T$130,6,FALSE)))*C107/78,0)</f>
        <v>10420.144910256411</v>
      </c>
      <c r="AF107" s="7">
        <f t="shared" ref="AF107:AF109" ca="1" si="274">AD107-AE107</f>
        <v>8240829.0067702318</v>
      </c>
      <c r="AG107" s="7">
        <v>27025613.003958929</v>
      </c>
      <c r="AH107" s="7">
        <f ca="1">IFERROR(VLOOKUP($B107-1,CDM!$V$4:$AJ$17,7,FALSE)/12,0)+IFERROR(VLOOKUP($B107,CDM!$V$41:$AJ$54,7,FALSE)/24,0)+IFERROR(VLOOKUP($B107,CDM!$V$41:$AJ$54,7,FALSE)/2*$C107/78,0)</f>
        <v>2069229.5587055944</v>
      </c>
      <c r="AI107" s="7">
        <f t="shared" ca="1" si="242"/>
        <v>29094842.562664524</v>
      </c>
      <c r="AJ107" s="7">
        <f>IFERROR(HLOOKUP(B107-1,'EV Forecast VRZ'!$F$124:$T$130,7,FALSE)/12,0)+IFERROR(((HLOOKUP(B107,'EV Forecast VRZ'!$F$116:$T$122,7,FALSE)-HLOOKUP(B107-1,'EV Forecast VRZ'!$F$124:$T$130,7,FALSE)))*C107/78,0)</f>
        <v>1603.8461538461538</v>
      </c>
      <c r="AK107" s="7">
        <f t="shared" ref="AK107:AK109" ca="1" si="275">AI107-AJ107</f>
        <v>29093238.716510676</v>
      </c>
      <c r="AL107" s="7">
        <v>1065482.4270177446</v>
      </c>
      <c r="AM107" s="7">
        <v>7279.2978439229155</v>
      </c>
      <c r="AN107" s="7">
        <v>377146.66094256821</v>
      </c>
      <c r="AO107" s="5">
        <v>180281.22</v>
      </c>
      <c r="AP107" s="5">
        <v>17525.32</v>
      </c>
      <c r="AQ107" s="5">
        <v>44208.15</v>
      </c>
      <c r="AR107" s="5">
        <v>2643.95</v>
      </c>
      <c r="AS107" s="544">
        <f t="shared" si="252"/>
        <v>50.166666666666664</v>
      </c>
      <c r="AT107" s="557">
        <v>118001.5</v>
      </c>
      <c r="AU107" s="557">
        <v>1560.6666666666674</v>
      </c>
      <c r="AV107" s="557">
        <v>9504.5</v>
      </c>
      <c r="AW107" s="557">
        <v>1069.3333333333326</v>
      </c>
      <c r="AX107" s="557">
        <v>5</v>
      </c>
      <c r="AY107" s="557">
        <v>5</v>
      </c>
      <c r="AZ107" s="557">
        <v>32902.333333333328</v>
      </c>
      <c r="BA107" s="557">
        <v>236.83333333333343</v>
      </c>
      <c r="BB107" s="557">
        <v>755.33333333333371</v>
      </c>
      <c r="BC107" s="560">
        <v>27080447.729677927</v>
      </c>
      <c r="BD107" s="560">
        <f ca="1">IFERROR(VLOOKUP($B107-1,CDM!$V$4:$AJ$17,11,FALSE)/12,0)+IFERROR(VLOOKUP($B107,CDM!$V$41:$AJ$54,11,FALSE)/24,0)+IFERROR(VLOOKUP($B107,CDM!$V$41:$AJ$54,11,FALSE)/2*$C107/78,0)</f>
        <v>1811359.7512504261</v>
      </c>
      <c r="BE107" s="560">
        <f t="shared" ca="1" si="265"/>
        <v>28891807.480928354</v>
      </c>
      <c r="BF107" s="560">
        <f>IFERROR(HLOOKUP(B107-1,'EV Forecast WRZ'!$F$124:$T$130,2,FALSE)/12,0)+IFERROR(((HLOOKUP(B107,'EV Forecast WRZ'!$F$116:$T$122,2,FALSE)-HLOOKUP(B107-1,'EV Forecast WRZ'!$F$124:$T$130,2,FALSE)))*C107/78,0)</f>
        <v>447788.402051282</v>
      </c>
      <c r="BG107" s="560">
        <f ca="1">HLOOKUP(B107,Heating!$R$102:$AD$106,2,FALSE)*INDEX(Weather!$BO$1:$CB$20,MATCH(B107,Weather!$BO$1:$BO$20,0),MATCH(C107,Weather!$BO$1:$CB$1,0))/VLOOKUP(B107,Weather!$BO$2:$CB$20,14,FALSE)*
VLOOKUP('Monthly Data'!$B107,Weather!$BO$3:$CB$20,14,FALSE)/Weather!$CB$14</f>
        <v>393815.97669988655</v>
      </c>
      <c r="BH107" s="560">
        <f t="shared" ref="BH107:BH109" ca="1" si="276">BE107-BF107-BG107</f>
        <v>28050203.102177188</v>
      </c>
      <c r="BI107" s="560">
        <v>6337538.7924003629</v>
      </c>
      <c r="BJ107" s="560">
        <f ca="1">IFERROR(VLOOKUP($B107-1,CDM!$V$4:$AJ$17,12,FALSE)/12,0)+IFERROR(VLOOKUP($B107,CDM!$V$41:$AJ$54,12,FALSE)/24,0)+IFERROR(VLOOKUP($B107,CDM!$V$41:$AJ$54,12,FALSE)/2*$C107/78,0)</f>
        <v>324689.91745462734</v>
      </c>
      <c r="BK107" s="560">
        <f t="shared" ca="1" si="243"/>
        <v>6662228.7098549902</v>
      </c>
      <c r="BL107" s="560">
        <f>IFERROR(HLOOKUP(B107-1,'EV Forecast WRZ'!$F$124:$T$130,3,FALSE)/12,0)+IFERROR(((HLOOKUP(B107,'EV Forecast WRZ'!$F$116:$T$122,3,FALSE)-HLOOKUP(B107-1,'EV Forecast WRZ'!$F$124:$T$130,3,FALSE)))*C107/78,0)</f>
        <v>60632.232820512829</v>
      </c>
      <c r="BM107" s="560">
        <f ca="1">HLOOKUP(B107,Heating!$R$102:$AD$106,4,FALSE)*INDEX(Weather!$BO$1:$CB$20,MATCH(B107,Weather!$BO$1:$BO$20,0),MATCH(C107,Weather!$BO$1:$CB$1,0))/VLOOKUP(B107,Weather!$BO$2:$CB$20,14,FALSE)*
VLOOKUP('Monthly Data'!$B107,Weather!$BO$3:$CB$20,14,FALSE)/Weather!$CB$14</f>
        <v>62517.91733014927</v>
      </c>
      <c r="BN107" s="560">
        <f t="shared" ref="BN107:BN109" ca="1" si="277">BK107-BL107-BM107</f>
        <v>6539078.559704328</v>
      </c>
      <c r="BO107" s="560">
        <v>26205011.962773941</v>
      </c>
      <c r="BP107" s="560">
        <f ca="1">IFERROR(VLOOKUP($B107-1,CDM!$V$4:$AJ$17,13,FALSE)/12,0)+IFERROR(VLOOKUP($B107,CDM!$V$41:$AJ$54,13,FALSE)/24,0)+IFERROR(VLOOKUP($B107,CDM!$V$41:$AJ$54,13,FALSE)/2*$C107/78,0)</f>
        <v>3111639.7660071682</v>
      </c>
      <c r="BQ107" s="560">
        <f t="shared" ca="1" si="244"/>
        <v>29316651.728781112</v>
      </c>
      <c r="BR107" s="560">
        <f>IFERROR(HLOOKUP(B107-1,'EV Forecast WRZ'!$F$124:$T$130,4,FALSE)/12,0)+IFERROR(((HLOOKUP(B107,'EV Forecast WRZ'!$F$116:$T$122,4,FALSE)-HLOOKUP(B107-1,'EV Forecast WRZ'!$F$124:$T$130,4,FALSE)))*C107/78,0)</f>
        <v>26859.697076923083</v>
      </c>
      <c r="BS107" s="560">
        <f ca="1">HLOOKUP(B107,Heating!$R$102:$AD$106,5,FALSE)*INDEX(Weather!$BO$1:$CB$20,MATCH(B107,Weather!$BO$1:$BO$20,0),MATCH(C107,Weather!$BO$1:$CB$1,0))/VLOOKUP(B107,Weather!$BO$2:$CB$20,14,FALSE)*
VLOOKUP('Monthly Data'!$B107,Weather!$BO$3:$CB$20,14,FALSE)/Weather!$CB$14</f>
        <v>33092.871887764501</v>
      </c>
      <c r="BT107" s="560">
        <f t="shared" ref="BT107:BT109" ca="1" si="278">BQ107-BR107-BS107</f>
        <v>29256699.159816422</v>
      </c>
      <c r="BU107" s="560">
        <v>6086716.4513018327</v>
      </c>
      <c r="BV107" s="560">
        <f ca="1">IFERROR(VLOOKUP($B107-1,CDM!$V$4:$AJ$17,14,FALSE)/12,0)+IFERROR(VLOOKUP($B107,CDM!$V$41:$AJ$54,14,FALSE)/24,0)+IFERROR(VLOOKUP($B107,CDM!$V$41:$AJ$54,14,FALSE)/2*$C107/78,0)</f>
        <v>701076.65978121676</v>
      </c>
      <c r="BW107" s="560">
        <f t="shared" ca="1" si="245"/>
        <v>6787793.1110830493</v>
      </c>
      <c r="BX107" s="560">
        <f>IFERROR(HLOOKUP(B107-1,'EV Forecast WRZ'!$F$124:$T$130,5,FALSE)/12,0)+IFERROR(((HLOOKUP(B107,'EV Forecast WRZ'!$F$116:$T$122,5,FALSE)-HLOOKUP(B107-1,'EV Forecast WRZ'!$F$124:$T$130,5,FALSE)))*C107/78,0)</f>
        <v>4791.9962564102552</v>
      </c>
      <c r="BY107" s="560">
        <f t="shared" ca="1" si="266"/>
        <v>6783001.1148266392</v>
      </c>
      <c r="BZ107" s="560">
        <v>331946.00153051456</v>
      </c>
      <c r="CA107" s="560">
        <v>494.99713028505835</v>
      </c>
      <c r="CB107" s="560">
        <v>155505.96900707862</v>
      </c>
      <c r="CC107" s="5">
        <v>62355.4</v>
      </c>
      <c r="CD107" s="5">
        <v>11923.16</v>
      </c>
      <c r="CE107" s="5">
        <v>824</v>
      </c>
      <c r="CF107" s="544">
        <f t="shared" si="248"/>
        <v>6.916666666666667</v>
      </c>
      <c r="CG107" s="565">
        <v>45626.5</v>
      </c>
      <c r="CH107" s="565">
        <v>2470</v>
      </c>
      <c r="CI107" s="565">
        <v>389.5</v>
      </c>
      <c r="CJ107" s="565">
        <v>3</v>
      </c>
      <c r="CK107" s="565">
        <v>13743</v>
      </c>
      <c r="CL107" s="565">
        <v>45.166666666666643</v>
      </c>
      <c r="CM107" s="565">
        <v>391</v>
      </c>
      <c r="CN107" s="46">
        <f>Weather!C131</f>
        <v>295.94166666666661</v>
      </c>
      <c r="CO107" s="46">
        <f>Weather!D131</f>
        <v>0</v>
      </c>
      <c r="CP107" s="46">
        <f>Weather!E131</f>
        <v>233.94166666666658</v>
      </c>
      <c r="CQ107" s="46">
        <f>Weather!F131</f>
        <v>0</v>
      </c>
      <c r="CR107" s="46">
        <f>Weather!G131</f>
        <v>174.98749999999998</v>
      </c>
      <c r="CS107" s="46">
        <f>Weather!H131</f>
        <v>3.0458333333333378</v>
      </c>
      <c r="CT107" s="46">
        <f>Weather!I131</f>
        <v>122.06250000000001</v>
      </c>
      <c r="CU107" s="46">
        <f>Weather!J131</f>
        <v>12.120833333333337</v>
      </c>
      <c r="CV107" s="46">
        <f>Weather!K131</f>
        <v>79.04583333333332</v>
      </c>
      <c r="CW107" s="46">
        <f>Weather!L131</f>
        <v>31.104166666666679</v>
      </c>
      <c r="CX107" s="46">
        <f>Weather!M131</f>
        <v>46.029166666666669</v>
      </c>
      <c r="CY107" s="46">
        <f>Weather!N131</f>
        <v>60.087500000000006</v>
      </c>
      <c r="CZ107" s="46">
        <f>Weather!O131</f>
        <v>18.616666666666671</v>
      </c>
      <c r="DA107" s="46">
        <f>Weather!P131</f>
        <v>94.675000000000011</v>
      </c>
      <c r="DB107" s="243">
        <f>'Economic Data'!D133</f>
        <v>8184.5</v>
      </c>
      <c r="DC107" s="243">
        <f>'Economic Data'!E133</f>
        <v>8197.6</v>
      </c>
      <c r="DD107" s="243">
        <f>'Economic Data'!F133</f>
        <v>240.3</v>
      </c>
      <c r="DE107" s="243">
        <f>'Economic Data'!G133</f>
        <v>239.7</v>
      </c>
      <c r="DF107" s="243">
        <f>'Economic Data'!H133</f>
        <v>46.4</v>
      </c>
      <c r="DG107" s="243">
        <f>'Economic Data'!I133</f>
        <v>46.4</v>
      </c>
      <c r="DH107" s="243">
        <f>'Economic Data'!J133</f>
        <v>876619.7</v>
      </c>
      <c r="DI107" s="243">
        <f>'Economic Data'!K133</f>
        <v>694601.3</v>
      </c>
      <c r="DJ107" s="243">
        <f>'Economic Data'!L133</f>
        <v>92436.4</v>
      </c>
      <c r="DK107" s="243">
        <f>'Economic Data'!M133</f>
        <v>33851.4</v>
      </c>
      <c r="DL107" s="243">
        <f>'Economic Data'!N133</f>
        <v>893201</v>
      </c>
      <c r="DM107" s="243">
        <f>'Economic Data'!O133</f>
        <v>88445</v>
      </c>
      <c r="DN107" s="243">
        <f>'Economic Data'!P133</f>
        <v>17031</v>
      </c>
      <c r="DO107" s="243">
        <f>'Economic Data'!Q133</f>
        <v>714829</v>
      </c>
      <c r="DP107" s="243">
        <f>'Economic Data'!R133</f>
        <v>34392</v>
      </c>
      <c r="DQ107">
        <v>31</v>
      </c>
      <c r="DR107">
        <v>22</v>
      </c>
      <c r="DS107">
        <f t="shared" ref="DS107:ED107" si="279">DS95</f>
        <v>0</v>
      </c>
      <c r="DT107">
        <f t="shared" si="279"/>
        <v>0</v>
      </c>
      <c r="DU107">
        <f t="shared" si="279"/>
        <v>0</v>
      </c>
      <c r="DV107">
        <f t="shared" si="279"/>
        <v>0</v>
      </c>
      <c r="DW107">
        <f t="shared" si="279"/>
        <v>0</v>
      </c>
      <c r="DX107">
        <f t="shared" si="279"/>
        <v>0</v>
      </c>
      <c r="DY107">
        <f t="shared" si="279"/>
        <v>0</v>
      </c>
      <c r="DZ107">
        <f t="shared" si="279"/>
        <v>0</v>
      </c>
      <c r="EA107">
        <f t="shared" si="279"/>
        <v>0</v>
      </c>
      <c r="EB107">
        <f t="shared" si="279"/>
        <v>1</v>
      </c>
      <c r="EC107">
        <f t="shared" si="279"/>
        <v>0</v>
      </c>
      <c r="ED107">
        <f t="shared" si="279"/>
        <v>0</v>
      </c>
      <c r="EE107">
        <f t="shared" ref="EE107:EF107" si="280">EE95</f>
        <v>0</v>
      </c>
      <c r="EF107">
        <f t="shared" si="280"/>
        <v>1</v>
      </c>
      <c r="EG107">
        <f t="shared" si="251"/>
        <v>1</v>
      </c>
      <c r="EH107">
        <f t="shared" si="185"/>
        <v>106</v>
      </c>
      <c r="EI107">
        <v>0</v>
      </c>
      <c r="EJ107">
        <v>0</v>
      </c>
      <c r="EK107">
        <v>0.25</v>
      </c>
      <c r="EL107">
        <v>0</v>
      </c>
      <c r="EM107" s="47">
        <f t="shared" si="190"/>
        <v>0</v>
      </c>
      <c r="EN107" s="47">
        <f t="shared" si="191"/>
        <v>0</v>
      </c>
      <c r="EO107" s="47">
        <f t="shared" si="192"/>
        <v>0</v>
      </c>
      <c r="EP107" s="47">
        <f t="shared" si="193"/>
        <v>0</v>
      </c>
      <c r="EQ107" s="47">
        <f t="shared" si="194"/>
        <v>0</v>
      </c>
      <c r="ER107" s="47">
        <f t="shared" si="195"/>
        <v>0</v>
      </c>
      <c r="ES107" s="47">
        <f t="shared" si="196"/>
        <v>0</v>
      </c>
      <c r="ET107" s="47">
        <f t="shared" si="197"/>
        <v>0</v>
      </c>
      <c r="EU107" s="47">
        <f t="shared" si="198"/>
        <v>0</v>
      </c>
      <c r="EV107" s="47">
        <f t="shared" si="199"/>
        <v>0</v>
      </c>
      <c r="EW107" s="47">
        <f t="shared" si="200"/>
        <v>0</v>
      </c>
      <c r="EX107" s="47">
        <f t="shared" si="201"/>
        <v>0</v>
      </c>
      <c r="EY107" s="47">
        <f t="shared" si="202"/>
        <v>0</v>
      </c>
      <c r="EZ107" s="47">
        <f t="shared" si="203"/>
        <v>0</v>
      </c>
      <c r="FA107" s="47">
        <f t="shared" si="204"/>
        <v>73.985416666666652</v>
      </c>
      <c r="FB107" s="47">
        <f t="shared" si="205"/>
        <v>0</v>
      </c>
      <c r="FC107" s="47">
        <f t="shared" si="206"/>
        <v>58.485416666666644</v>
      </c>
      <c r="FD107" s="47">
        <f t="shared" si="207"/>
        <v>0</v>
      </c>
      <c r="FE107" s="47">
        <f t="shared" si="208"/>
        <v>43.746874999999996</v>
      </c>
      <c r="FF107" s="47">
        <f t="shared" si="209"/>
        <v>0.76145833333333446</v>
      </c>
      <c r="FG107" s="47">
        <f t="shared" si="210"/>
        <v>30.515625000000004</v>
      </c>
      <c r="FH107" s="47">
        <f t="shared" si="211"/>
        <v>3.0302083333333343</v>
      </c>
      <c r="FI107" s="47">
        <f t="shared" si="212"/>
        <v>19.76145833333333</v>
      </c>
      <c r="FJ107" s="47">
        <f t="shared" si="213"/>
        <v>7.7760416666666696</v>
      </c>
      <c r="FK107" s="47">
        <f t="shared" si="214"/>
        <v>11.507291666666667</v>
      </c>
      <c r="FL107" s="47">
        <f t="shared" si="215"/>
        <v>15.021875000000001</v>
      </c>
      <c r="FM107" s="47">
        <f t="shared" si="216"/>
        <v>4.6541666666666677</v>
      </c>
      <c r="FN107" s="47">
        <f t="shared" si="217"/>
        <v>23.668750000000003</v>
      </c>
      <c r="FO107" s="546">
        <f t="shared" ca="1" si="218"/>
        <v>605.51607792114362</v>
      </c>
      <c r="FP107" s="546">
        <f t="shared" ca="1" si="219"/>
        <v>598.327394091972</v>
      </c>
      <c r="FQ107" s="546">
        <f t="shared" ca="1" si="220"/>
        <v>2131.6424504551519</v>
      </c>
      <c r="FR107" s="546">
        <f t="shared" ca="1" si="221"/>
        <v>76002.801484374155</v>
      </c>
      <c r="FS107" s="546">
        <f t="shared" ca="1" si="222"/>
        <v>1650249.8303360976</v>
      </c>
      <c r="FT107" s="546">
        <f t="shared" ca="1" si="223"/>
        <v>5818968.5125329047</v>
      </c>
      <c r="FU107" s="546">
        <f t="shared" si="224"/>
        <v>32.38318742392368</v>
      </c>
      <c r="FV107" s="546">
        <f t="shared" si="225"/>
        <v>30.735951487359237</v>
      </c>
      <c r="FW107" s="546">
        <f t="shared" si="226"/>
        <v>499.31155464594178</v>
      </c>
      <c r="FX107" s="546">
        <f t="shared" ca="1" si="227"/>
        <v>633.22427714000321</v>
      </c>
      <c r="FY107" s="546">
        <f t="shared" ca="1" si="228"/>
        <v>2697.2585869858258</v>
      </c>
      <c r="FZ107" s="546">
        <f t="shared" ca="1" si="229"/>
        <v>75267.398533455998</v>
      </c>
      <c r="GA107" s="546">
        <f t="shared" si="230"/>
        <v>110648.66717683819</v>
      </c>
      <c r="GB107" s="546">
        <f t="shared" si="231"/>
        <v>24.153823876192575</v>
      </c>
      <c r="GC107" s="546">
        <f t="shared" si="232"/>
        <v>10.959346057971777</v>
      </c>
      <c r="GD107" s="546">
        <f t="shared" si="233"/>
        <v>397.71347572142867</v>
      </c>
    </row>
    <row r="108" spans="1:186">
      <c r="A108" s="4">
        <v>45597</v>
      </c>
      <c r="B108" s="6">
        <v>2024</v>
      </c>
      <c r="C108" s="5">
        <v>11</v>
      </c>
      <c r="D108" s="7">
        <v>73869093.169131055</v>
      </c>
      <c r="E108" s="7">
        <f ca="1">IFERROR(VLOOKUP($B108-1,CDM!$V$4:$AJ$17,2,FALSE)/12,0)+IFERROR(VLOOKUP($B108,CDM!$V$41:$AJ$54,2,FALSE)/24,0)+IFERROR(VLOOKUP($B108,CDM!$V$41:$AJ$54,2,FALSE)/2*$C108/78,0)</f>
        <v>4131114.1994412076</v>
      </c>
      <c r="F108" s="7">
        <f t="shared" ca="1" si="269"/>
        <v>78000207.368572265</v>
      </c>
      <c r="G108" s="7">
        <f>IFERROR(HLOOKUP(B108-1,'EV Forecast VRZ'!$F$124:$T$130,2,FALSE)/12,0)+IFERROR(((HLOOKUP(B108,'EV Forecast VRZ'!$F$116:$T$122,2,FALSE)-HLOOKUP(B108-1,'EV Forecast VRZ'!$F$124:$T$130,2,FALSE)))*C108/78,0)</f>
        <v>1354952.8860944682</v>
      </c>
      <c r="H108" s="7">
        <f ca="1">HLOOKUP(B108,Heating!$C$102:$O$106,2,FALSE)*INDEX(Weather!$BO$1:$CB$20,MATCH(B108,Weather!$BO$1:$BO$20,0),MATCH(C108,Weather!$BO$1:$CB$1,0))/VLOOKUP(B108,Weather!$BO$2:$CB$20,14,FALSE)*
VLOOKUP('Monthly Data'!$B108,Weather!$BO$3:$CB$20,14,FALSE)/Weather!$CB$14</f>
        <v>1402589.8816351434</v>
      </c>
      <c r="I108" s="7">
        <f t="shared" ca="1" si="270"/>
        <v>75242664.600842655</v>
      </c>
      <c r="J108" s="7">
        <v>865931.50661536399</v>
      </c>
      <c r="K108" s="7">
        <f ca="1">IFERROR(VLOOKUP($B108-1,CDM!$V$4:$AJ$17,3,FALSE)/12,0)+IFERROR(VLOOKUP($B108,CDM!$V$41:$AJ$54,3,FALSE)/24,0)+IFERROR(VLOOKUP($B108,CDM!$V$41:$AJ$54,3,FALSE)/2*$C108/78,0)</f>
        <v>47315.601391902521</v>
      </c>
      <c r="L108" s="7">
        <f t="shared" ca="1" si="238"/>
        <v>913247.10800726654</v>
      </c>
      <c r="M108" s="7">
        <f>IFERROR(HLOOKUP(B108-1,'EV Forecast VRZ'!$F$124:$T$130,3,FALSE)/12,0)+IFERROR(((HLOOKUP(B108,'EV Forecast VRZ'!$F$116:$T$122,3,FALSE)-HLOOKUP(B108-1,'EV Forecast VRZ'!$F$124:$T$130,3,FALSE)))*C108/78,0)</f>
        <v>18385.54762348035</v>
      </c>
      <c r="N108" s="7">
        <f ca="1">HLOOKUP(B108,Heating!$C$102:$O$106,3,FALSE)*INDEX(Weather!$BO$1:$CB$20,MATCH(B108,Weather!$BO$1:$BO$20,0),MATCH(C108,Weather!$BO$1:$CB$1,0))/VLOOKUP(B108,Weather!$BO$2:$CB$20,14,FALSE)*
VLOOKUP('Monthly Data'!$B108,Weather!$BO$3:$CB$20,14,FALSE)/Weather!$CB$14</f>
        <v>16571.242580550839</v>
      </c>
      <c r="O108" s="7">
        <f t="shared" ca="1" si="271"/>
        <v>878290.31780323538</v>
      </c>
      <c r="P108" s="7">
        <v>19072345.384018313</v>
      </c>
      <c r="Q108" s="7">
        <f ca="1">IFERROR(VLOOKUP($B108-1,CDM!$V$4:$AJ$17,4,FALSE)/12,0)+IFERROR(VLOOKUP($B108,CDM!$V$41:$AJ$54,4,FALSE)/24,0)+IFERROR(VLOOKUP($B108,CDM!$V$41:$AJ$54,4,FALSE)/2*$C108/78,0)</f>
        <v>1724631.4711880854</v>
      </c>
      <c r="R108" s="7">
        <f t="shared" ca="1" si="239"/>
        <v>20796976.8552064</v>
      </c>
      <c r="S108" s="7">
        <f>IFERROR(HLOOKUP(B108-1,'EV Forecast VRZ'!$F$124:$T$130,4,FALSE)/12,0)+IFERROR(((HLOOKUP(B108,'EV Forecast VRZ'!$F$116:$T$122,4,FALSE)-HLOOKUP(B108-1,'EV Forecast VRZ'!$F$124:$T$130,4,FALSE)))*C108/78,0)</f>
        <v>173470.35871794869</v>
      </c>
      <c r="T108" s="7">
        <f ca="1">HLOOKUP(B108,Heating!$C$102:$O$106,4,FALSE)*INDEX(Weather!$BO$1:$CB$20,MATCH(B108,Weather!$BO$1:$BO$20,0),MATCH(C108,Weather!$BO$1:$CB$1,0))/VLOOKUP(B108,Weather!$BO$2:$CB$20,14,FALSE)*
VLOOKUP('Monthly Data'!$B108,Weather!$BO$3:$CB$20,14,FALSE)/Weather!$CB$14</f>
        <v>336024.51809882704</v>
      </c>
      <c r="U108" s="7">
        <f t="shared" ca="1" si="272"/>
        <v>20287481.978389625</v>
      </c>
      <c r="V108" s="7">
        <v>72204018.0134947</v>
      </c>
      <c r="W108" s="7">
        <f ca="1">IFERROR(VLOOKUP($B108-1,CDM!$V$4:$AJ$17,5,FALSE)/12,0)+IFERROR(VLOOKUP($B108,CDM!$V$41:$AJ$54,5,FALSE)/24,0)+IFERROR(VLOOKUP($B108,CDM!$V$41:$AJ$54,5,FALSE)/2*$C108/78,0)</f>
        <v>7200687.4842435261</v>
      </c>
      <c r="X108" s="7">
        <f t="shared" ca="1" si="240"/>
        <v>79404705.497738227</v>
      </c>
      <c r="Y108" s="7">
        <f>IFERROR(HLOOKUP(B108-1,'EV Forecast VRZ'!$F$124:$T$130,5,FALSE)/12,0)+IFERROR(((HLOOKUP(B108,'EV Forecast VRZ'!$F$116:$T$122,5,FALSE)-HLOOKUP(B108-1,'EV Forecast VRZ'!$F$124:$T$130,5,FALSE)))*C108/78,0)</f>
        <v>82381.276807692295</v>
      </c>
      <c r="Z108" s="7">
        <f ca="1">HLOOKUP(B108,Heating!$C$102:$O$106,5,FALSE)*INDEX(Weather!$BO$1:$CB$20,MATCH(B108,Weather!$BO$1:$BO$20,0),MATCH(C108,Weather!$BO$1:$CB$1,0))/VLOOKUP(B108,Weather!$BO$2:$CB$20,14,FALSE)*
VLOOKUP('Monthly Data'!$B108,Weather!$BO$3:$CB$20,14,FALSE)/Weather!$CB$14</f>
        <v>175009.88427873503</v>
      </c>
      <c r="AA108" s="7">
        <f t="shared" ca="1" si="273"/>
        <v>79147314.336651802</v>
      </c>
      <c r="AB108" s="7">
        <v>7780321.5415172176</v>
      </c>
      <c r="AC108" s="7">
        <f ca="1">IFERROR(VLOOKUP($B108-1,CDM!$V$4:$AJ$17,6,FALSE)/12,0)+IFERROR(VLOOKUP($B108,CDM!$V$41:$AJ$54,6,FALSE)/24,0)+IFERROR(VLOOKUP($B108,CDM!$V$41:$AJ$54,6,FALSE)/2*$C108/78,0)</f>
        <v>373471.20455286343</v>
      </c>
      <c r="AD108" s="7">
        <f t="shared" ca="1" si="241"/>
        <v>8153792.7460700814</v>
      </c>
      <c r="AE108" s="7">
        <f>IFERROR(HLOOKUP(B108-1,'EV Forecast VRZ'!$F$124:$T$130,6,FALSE)/12,0)+IFERROR(((HLOOKUP(B108,'EV Forecast VRZ'!$F$116:$T$122,6,FALSE)-HLOOKUP(B108-1,'EV Forecast VRZ'!$F$124:$T$130,6,FALSE)))*C108/78,0)</f>
        <v>10703.902551282052</v>
      </c>
      <c r="AF108" s="7">
        <f t="shared" ca="1" si="274"/>
        <v>8143088.8435187992</v>
      </c>
      <c r="AG108" s="7">
        <v>26783359.53124994</v>
      </c>
      <c r="AH108" s="7">
        <f ca="1">IFERROR(VLOOKUP($B108-1,CDM!$V$4:$AJ$17,7,FALSE)/12,0)+IFERROR(VLOOKUP($B108,CDM!$V$41:$AJ$54,7,FALSE)/24,0)+IFERROR(VLOOKUP($B108,CDM!$V$41:$AJ$54,7,FALSE)/2*$C108/78,0)</f>
        <v>2082386.1144076688</v>
      </c>
      <c r="AI108" s="7">
        <f t="shared" ca="1" si="242"/>
        <v>28865745.64565761</v>
      </c>
      <c r="AJ108" s="7">
        <f>IFERROR(HLOOKUP(B108-1,'EV Forecast VRZ'!$F$124:$T$130,7,FALSE)/12,0)+IFERROR(((HLOOKUP(B108,'EV Forecast VRZ'!$F$116:$T$122,7,FALSE)-HLOOKUP(B108-1,'EV Forecast VRZ'!$F$124:$T$130,7,FALSE)))*C108/78,0)</f>
        <v>1694.2307692307693</v>
      </c>
      <c r="AK108" s="7">
        <f t="shared" ca="1" si="275"/>
        <v>28864051.414888378</v>
      </c>
      <c r="AL108" s="7">
        <v>1137228.2675062011</v>
      </c>
      <c r="AM108" s="7">
        <v>7044.4857851555043</v>
      </c>
      <c r="AN108" s="7">
        <v>376612.21141003625</v>
      </c>
      <c r="AO108" s="5">
        <v>173300.67</v>
      </c>
      <c r="AP108" s="5">
        <v>18097.650000000001</v>
      </c>
      <c r="AQ108" s="5">
        <v>44209</v>
      </c>
      <c r="AR108" s="5">
        <v>2644.8</v>
      </c>
      <c r="AS108" s="544">
        <f t="shared" si="252"/>
        <v>50.166666666666664</v>
      </c>
      <c r="AT108" s="557">
        <v>118157.25</v>
      </c>
      <c r="AU108" s="557">
        <v>1560.3333333333342</v>
      </c>
      <c r="AV108" s="557">
        <v>9505.25</v>
      </c>
      <c r="AW108" s="557">
        <v>1072.1666666666658</v>
      </c>
      <c r="AX108" s="557">
        <v>5</v>
      </c>
      <c r="AY108" s="557">
        <v>5</v>
      </c>
      <c r="AZ108" s="557">
        <v>32955.166666666664</v>
      </c>
      <c r="BA108" s="557">
        <v>236.41666666666677</v>
      </c>
      <c r="BB108" s="557">
        <v>751.16666666666708</v>
      </c>
      <c r="BC108" s="560">
        <v>27817470.270755176</v>
      </c>
      <c r="BD108" s="560">
        <f ca="1">IFERROR(VLOOKUP($B108-1,CDM!$V$4:$AJ$17,11,FALSE)/12,0)+IFERROR(VLOOKUP($B108,CDM!$V$41:$AJ$54,11,FALSE)/24,0)+IFERROR(VLOOKUP($B108,CDM!$V$41:$AJ$54,11,FALSE)/2*$C108/78,0)</f>
        <v>1817743.0529568577</v>
      </c>
      <c r="BE108" s="560">
        <f t="shared" ca="1" si="265"/>
        <v>29635213.323712032</v>
      </c>
      <c r="BF108" s="560">
        <f>IFERROR(HLOOKUP(B108-1,'EV Forecast WRZ'!$F$124:$T$130,2,FALSE)/12,0)+IFERROR(((HLOOKUP(B108,'EV Forecast WRZ'!$F$116:$T$122,2,FALSE)-HLOOKUP(B108-1,'EV Forecast WRZ'!$F$124:$T$130,2,FALSE)))*C108/78,0)</f>
        <v>460271.76025641023</v>
      </c>
      <c r="BG108" s="560">
        <f ca="1">HLOOKUP(B108,Heating!$R$102:$AD$106,2,FALSE)*INDEX(Weather!$BO$1:$CB$20,MATCH(B108,Weather!$BO$1:$BO$20,0),MATCH(C108,Weather!$BO$1:$CB$1,0))/VLOOKUP(B108,Weather!$BO$2:$CB$20,14,FALSE)*
VLOOKUP('Monthly Data'!$B108,Weather!$BO$3:$CB$20,14,FALSE)/Weather!$CB$14</f>
        <v>616613.16054014594</v>
      </c>
      <c r="BH108" s="560">
        <f t="shared" ca="1" si="276"/>
        <v>28558328.402915478</v>
      </c>
      <c r="BI108" s="560">
        <v>6394978.024629469</v>
      </c>
      <c r="BJ108" s="560">
        <f ca="1">IFERROR(VLOOKUP($B108-1,CDM!$V$4:$AJ$17,12,FALSE)/12,0)+IFERROR(VLOOKUP($B108,CDM!$V$41:$AJ$54,12,FALSE)/24,0)+IFERROR(VLOOKUP($B108,CDM!$V$41:$AJ$54,12,FALSE)/2*$C108/78,0)</f>
        <v>327366.79014451464</v>
      </c>
      <c r="BK108" s="560">
        <f t="shared" ca="1" si="243"/>
        <v>6722344.8147739833</v>
      </c>
      <c r="BL108" s="560">
        <f>IFERROR(HLOOKUP(B108-1,'EV Forecast WRZ'!$F$124:$T$130,3,FALSE)/12,0)+IFERROR(((HLOOKUP(B108,'EV Forecast WRZ'!$F$116:$T$122,3,FALSE)-HLOOKUP(B108-1,'EV Forecast WRZ'!$F$124:$T$130,3,FALSE)))*C108/78,0)</f>
        <v>62589.664102564107</v>
      </c>
      <c r="BM108" s="560">
        <f ca="1">HLOOKUP(B108,Heating!$R$102:$AD$106,4,FALSE)*INDEX(Weather!$BO$1:$CB$20,MATCH(B108,Weather!$BO$1:$BO$20,0),MATCH(C108,Weather!$BO$1:$CB$1,0))/VLOOKUP(B108,Weather!$BO$2:$CB$20,14,FALSE)*
VLOOKUP('Monthly Data'!$B108,Weather!$BO$3:$CB$20,14,FALSE)/Weather!$CB$14</f>
        <v>97886.761523410809</v>
      </c>
      <c r="BN108" s="560">
        <f t="shared" ca="1" si="277"/>
        <v>6561868.3891480081</v>
      </c>
      <c r="BO108" s="560">
        <v>26286107.283098169</v>
      </c>
      <c r="BP108" s="560">
        <f ca="1">IFERROR(VLOOKUP($B108-1,CDM!$V$4:$AJ$17,13,FALSE)/12,0)+IFERROR(VLOOKUP($B108,CDM!$V$41:$AJ$54,13,FALSE)/24,0)+IFERROR(VLOOKUP($B108,CDM!$V$41:$AJ$54,13,FALSE)/2*$C108/78,0)</f>
        <v>3134234.2578970124</v>
      </c>
      <c r="BQ108" s="560">
        <f t="shared" ca="1" si="244"/>
        <v>29420341.540995181</v>
      </c>
      <c r="BR108" s="560">
        <f>IFERROR(HLOOKUP(B108-1,'EV Forecast WRZ'!$F$124:$T$130,4,FALSE)/12,0)+IFERROR(((HLOOKUP(B108,'EV Forecast WRZ'!$F$116:$T$122,4,FALSE)-HLOOKUP(B108-1,'EV Forecast WRZ'!$F$124:$T$130,4,FALSE)))*C108/78,0)</f>
        <v>27708.393717948726</v>
      </c>
      <c r="BS108" s="560">
        <f ca="1">HLOOKUP(B108,Heating!$R$102:$AD$106,5,FALSE)*INDEX(Weather!$BO$1:$CB$20,MATCH(B108,Weather!$BO$1:$BO$20,0),MATCH(C108,Weather!$BO$1:$CB$1,0))/VLOOKUP(B108,Weather!$BO$2:$CB$20,14,FALSE)*
VLOOKUP('Monthly Data'!$B108,Weather!$BO$3:$CB$20,14,FALSE)/Weather!$CB$14</f>
        <v>51814.810808488197</v>
      </c>
      <c r="BT108" s="560">
        <f t="shared" ca="1" si="278"/>
        <v>29340818.336468745</v>
      </c>
      <c r="BU108" s="560">
        <v>5736456.4223722275</v>
      </c>
      <c r="BV108" s="560">
        <f ca="1">IFERROR(VLOOKUP($B108-1,CDM!$V$4:$AJ$17,14,FALSE)/12,0)+IFERROR(VLOOKUP($B108,CDM!$V$41:$AJ$54,14,FALSE)/24,0)+IFERROR(VLOOKUP($B108,CDM!$V$41:$AJ$54,14,FALSE)/2*$C108/78,0)</f>
        <v>706218.6252544201</v>
      </c>
      <c r="BW108" s="560">
        <f t="shared" ca="1" si="245"/>
        <v>6442675.0476266481</v>
      </c>
      <c r="BX108" s="560">
        <f>IFERROR(HLOOKUP(B108-1,'EV Forecast WRZ'!$F$124:$T$130,5,FALSE)/12,0)+IFERROR(((HLOOKUP(B108,'EV Forecast WRZ'!$F$116:$T$122,5,FALSE)-HLOOKUP(B108-1,'EV Forecast WRZ'!$F$124:$T$130,5,FALSE)))*C108/78,0)</f>
        <v>4993.4896153846148</v>
      </c>
      <c r="BY108" s="560">
        <f t="shared" ca="1" si="266"/>
        <v>6437681.5580112636</v>
      </c>
      <c r="BZ108" s="560">
        <v>355342.99789554236</v>
      </c>
      <c r="CA108" s="560">
        <v>511.49799119954082</v>
      </c>
      <c r="CB108" s="560">
        <v>155001.97053759324</v>
      </c>
      <c r="CC108" s="5">
        <v>61348.87</v>
      </c>
      <c r="CD108" s="5">
        <v>12281.29</v>
      </c>
      <c r="CE108" s="5">
        <v>827</v>
      </c>
      <c r="CF108" s="544">
        <f t="shared" si="248"/>
        <v>6.916666666666667</v>
      </c>
      <c r="CG108" s="565">
        <v>45656.75</v>
      </c>
      <c r="CH108" s="565">
        <v>2471.5</v>
      </c>
      <c r="CI108" s="565">
        <v>389.75</v>
      </c>
      <c r="CJ108" s="565">
        <v>3</v>
      </c>
      <c r="CK108" s="565">
        <v>13753</v>
      </c>
      <c r="CL108" s="565">
        <v>45.083333333333307</v>
      </c>
      <c r="CM108" s="565">
        <v>389.5</v>
      </c>
      <c r="CN108" s="46">
        <f>Weather!C132</f>
        <v>426.29166666666663</v>
      </c>
      <c r="CO108" s="46">
        <f>Weather!D132</f>
        <v>0</v>
      </c>
      <c r="CP108" s="46">
        <f>Weather!E132</f>
        <v>366.29166666666663</v>
      </c>
      <c r="CQ108" s="46">
        <f>Weather!F132</f>
        <v>0</v>
      </c>
      <c r="CR108" s="46">
        <f>Weather!G132</f>
        <v>307.79583333333329</v>
      </c>
      <c r="CS108" s="46">
        <f>Weather!H132</f>
        <v>1.5041666666666629</v>
      </c>
      <c r="CT108" s="46">
        <f>Weather!I132</f>
        <v>251.79583333333335</v>
      </c>
      <c r="CU108" s="46">
        <f>Weather!J132</f>
        <v>5.5041666666666629</v>
      </c>
      <c r="CV108" s="46">
        <f>Weather!K132</f>
        <v>195.79583333333335</v>
      </c>
      <c r="CW108" s="46">
        <f>Weather!L132</f>
        <v>9.5041666666666629</v>
      </c>
      <c r="CX108" s="46">
        <f>Weather!M132</f>
        <v>141.32083333333335</v>
      </c>
      <c r="CY108" s="46">
        <f>Weather!N132</f>
        <v>15.029166666666661</v>
      </c>
      <c r="CZ108" s="46">
        <f>Weather!O132</f>
        <v>93.433333333333351</v>
      </c>
      <c r="DA108" s="46">
        <f>Weather!P132</f>
        <v>27.141666666666666</v>
      </c>
      <c r="DB108" s="243">
        <f>'Economic Data'!D134</f>
        <v>8185.4</v>
      </c>
      <c r="DC108" s="243">
        <f>'Economic Data'!E134</f>
        <v>8185.1</v>
      </c>
      <c r="DD108" s="243">
        <f>'Economic Data'!F134</f>
        <v>239.1</v>
      </c>
      <c r="DE108" s="243">
        <f>'Economic Data'!G134</f>
        <v>239.7</v>
      </c>
      <c r="DF108" s="243">
        <f>'Economic Data'!H134</f>
        <v>41.7</v>
      </c>
      <c r="DG108" s="243">
        <f>'Economic Data'!I134</f>
        <v>41.7</v>
      </c>
      <c r="DH108" s="243">
        <f>'Economic Data'!J134</f>
        <v>876619.7</v>
      </c>
      <c r="DI108" s="243">
        <f>'Economic Data'!K134</f>
        <v>694601.3</v>
      </c>
      <c r="DJ108" s="243">
        <f>'Economic Data'!L134</f>
        <v>92436.4</v>
      </c>
      <c r="DK108" s="243">
        <f>'Economic Data'!M134</f>
        <v>33851.4</v>
      </c>
      <c r="DL108" s="243">
        <f>'Economic Data'!N134</f>
        <v>893201</v>
      </c>
      <c r="DM108" s="243">
        <f>'Economic Data'!O134</f>
        <v>88445</v>
      </c>
      <c r="DN108" s="243">
        <f>'Economic Data'!P134</f>
        <v>17031</v>
      </c>
      <c r="DO108" s="243">
        <f>'Economic Data'!Q134</f>
        <v>714829</v>
      </c>
      <c r="DP108" s="243">
        <f>'Economic Data'!R134</f>
        <v>34392</v>
      </c>
      <c r="DQ108">
        <v>30</v>
      </c>
      <c r="DR108">
        <v>21</v>
      </c>
      <c r="DS108">
        <f t="shared" ref="DS108:ED108" si="281">DS96</f>
        <v>0</v>
      </c>
      <c r="DT108">
        <f t="shared" si="281"/>
        <v>0</v>
      </c>
      <c r="DU108">
        <f t="shared" si="281"/>
        <v>0</v>
      </c>
      <c r="DV108">
        <f t="shared" si="281"/>
        <v>0</v>
      </c>
      <c r="DW108">
        <f t="shared" si="281"/>
        <v>0</v>
      </c>
      <c r="DX108">
        <f t="shared" si="281"/>
        <v>0</v>
      </c>
      <c r="DY108">
        <f t="shared" si="281"/>
        <v>0</v>
      </c>
      <c r="DZ108">
        <f t="shared" si="281"/>
        <v>0</v>
      </c>
      <c r="EA108">
        <f t="shared" si="281"/>
        <v>0</v>
      </c>
      <c r="EB108">
        <f t="shared" si="281"/>
        <v>0</v>
      </c>
      <c r="EC108">
        <f t="shared" si="281"/>
        <v>1</v>
      </c>
      <c r="ED108">
        <f t="shared" si="281"/>
        <v>0</v>
      </c>
      <c r="EE108">
        <f t="shared" ref="EE108:EF108" si="282">EE96</f>
        <v>0</v>
      </c>
      <c r="EF108">
        <f t="shared" si="282"/>
        <v>1</v>
      </c>
      <c r="EG108">
        <f t="shared" si="251"/>
        <v>1</v>
      </c>
      <c r="EH108">
        <f t="shared" si="185"/>
        <v>107</v>
      </c>
      <c r="EI108">
        <v>0</v>
      </c>
      <c r="EJ108">
        <v>0</v>
      </c>
      <c r="EK108">
        <v>0.25</v>
      </c>
      <c r="EL108">
        <v>0</v>
      </c>
      <c r="EM108" s="47">
        <f t="shared" si="190"/>
        <v>0</v>
      </c>
      <c r="EN108" s="47">
        <f t="shared" si="191"/>
        <v>0</v>
      </c>
      <c r="EO108" s="47">
        <f t="shared" si="192"/>
        <v>0</v>
      </c>
      <c r="EP108" s="47">
        <f t="shared" si="193"/>
        <v>0</v>
      </c>
      <c r="EQ108" s="47">
        <f t="shared" si="194"/>
        <v>0</v>
      </c>
      <c r="ER108" s="47">
        <f t="shared" si="195"/>
        <v>0</v>
      </c>
      <c r="ES108" s="47">
        <f t="shared" si="196"/>
        <v>0</v>
      </c>
      <c r="ET108" s="47">
        <f t="shared" si="197"/>
        <v>0</v>
      </c>
      <c r="EU108" s="47">
        <f t="shared" si="198"/>
        <v>0</v>
      </c>
      <c r="EV108" s="47">
        <f t="shared" si="199"/>
        <v>0</v>
      </c>
      <c r="EW108" s="47">
        <f t="shared" si="200"/>
        <v>0</v>
      </c>
      <c r="EX108" s="47">
        <f t="shared" si="201"/>
        <v>0</v>
      </c>
      <c r="EY108" s="47">
        <f t="shared" si="202"/>
        <v>0</v>
      </c>
      <c r="EZ108" s="47">
        <f t="shared" si="203"/>
        <v>0</v>
      </c>
      <c r="FA108" s="47">
        <f t="shared" si="204"/>
        <v>106.57291666666666</v>
      </c>
      <c r="FB108" s="47">
        <f t="shared" si="205"/>
        <v>0</v>
      </c>
      <c r="FC108" s="47">
        <f t="shared" si="206"/>
        <v>91.572916666666657</v>
      </c>
      <c r="FD108" s="47">
        <f t="shared" si="207"/>
        <v>0</v>
      </c>
      <c r="FE108" s="47">
        <f t="shared" si="208"/>
        <v>76.948958333333323</v>
      </c>
      <c r="FF108" s="47">
        <f t="shared" si="209"/>
        <v>0.37604166666666572</v>
      </c>
      <c r="FG108" s="47">
        <f t="shared" si="210"/>
        <v>62.948958333333337</v>
      </c>
      <c r="FH108" s="47">
        <f t="shared" si="211"/>
        <v>1.3760416666666657</v>
      </c>
      <c r="FI108" s="47">
        <f t="shared" si="212"/>
        <v>48.948958333333337</v>
      </c>
      <c r="FJ108" s="47">
        <f t="shared" si="213"/>
        <v>2.3760416666666657</v>
      </c>
      <c r="FK108" s="47">
        <f t="shared" si="214"/>
        <v>35.330208333333339</v>
      </c>
      <c r="FL108" s="47">
        <f t="shared" si="215"/>
        <v>3.7572916666666654</v>
      </c>
      <c r="FM108" s="47">
        <f t="shared" si="216"/>
        <v>23.358333333333338</v>
      </c>
      <c r="FN108" s="47">
        <f t="shared" si="217"/>
        <v>6.7854166666666664</v>
      </c>
      <c r="FO108" s="546">
        <f t="shared" ca="1" si="218"/>
        <v>636.801081616597</v>
      </c>
      <c r="FP108" s="546">
        <f t="shared" ca="1" si="219"/>
        <v>585.28975091258235</v>
      </c>
      <c r="FQ108" s="546">
        <f t="shared" ca="1" si="220"/>
        <v>2187.9463302076642</v>
      </c>
      <c r="FR108" s="546">
        <f t="shared" ca="1" si="221"/>
        <v>74060.039326353144</v>
      </c>
      <c r="FS108" s="546">
        <f t="shared" ca="1" si="222"/>
        <v>1630758.5492140162</v>
      </c>
      <c r="FT108" s="546">
        <f t="shared" ca="1" si="223"/>
        <v>5773149.129131522</v>
      </c>
      <c r="FU108" s="546">
        <f t="shared" si="224"/>
        <v>34.508345201497015</v>
      </c>
      <c r="FV108" s="546">
        <f t="shared" si="225"/>
        <v>29.796908502596409</v>
      </c>
      <c r="FW108" s="546">
        <f t="shared" si="226"/>
        <v>501.36970678061152</v>
      </c>
      <c r="FX108" s="546">
        <f t="shared" ca="1" si="227"/>
        <v>649.08722858530302</v>
      </c>
      <c r="FY108" s="546">
        <f t="shared" ca="1" si="228"/>
        <v>2719.945302356457</v>
      </c>
      <c r="FZ108" s="546">
        <f t="shared" ca="1" si="229"/>
        <v>75485.161105824707</v>
      </c>
      <c r="GA108" s="546">
        <f t="shared" si="230"/>
        <v>118447.66596518079</v>
      </c>
      <c r="GB108" s="546">
        <f t="shared" si="231"/>
        <v>25.837489849163262</v>
      </c>
      <c r="GC108" s="546">
        <f t="shared" si="232"/>
        <v>11.345611634740283</v>
      </c>
      <c r="GD108" s="546">
        <f t="shared" si="233"/>
        <v>397.95114387058595</v>
      </c>
    </row>
    <row r="109" spans="1:186">
      <c r="A109" s="4">
        <v>45627</v>
      </c>
      <c r="B109" s="6">
        <v>2024</v>
      </c>
      <c r="C109" s="5">
        <v>12</v>
      </c>
      <c r="D109" s="7">
        <v>93095592.686732963</v>
      </c>
      <c r="E109" s="7">
        <f ca="1">IFERROR(VLOOKUP($B109-1,CDM!$V$4:$AJ$17,2,FALSE)/12,0)+IFERROR(VLOOKUP($B109,CDM!$V$41:$AJ$54,2,FALSE)/24,0)+IFERROR(VLOOKUP($B109,CDM!$V$41:$AJ$54,2,FALSE)/2*$C109/78,0)</f>
        <v>4147267.4815758695</v>
      </c>
      <c r="F109" s="7">
        <f t="shared" ca="1" si="269"/>
        <v>97242860.168308839</v>
      </c>
      <c r="G109" s="7">
        <f>IFERROR(HLOOKUP(B109-1,'EV Forecast VRZ'!$F$124:$T$130,2,FALSE)/12,0)+IFERROR(((HLOOKUP(B109,'EV Forecast VRZ'!$F$116:$T$122,2,FALSE)-HLOOKUP(B109-1,'EV Forecast VRZ'!$F$124:$T$130,2,FALSE)))*C109/78,0)</f>
        <v>1386994.4091048203</v>
      </c>
      <c r="H109" s="7">
        <f ca="1">HLOOKUP(B109,Heating!$C$102:$O$106,2,FALSE)*INDEX(Weather!$BO$1:$CB$20,MATCH(B109,Weather!$BO$1:$BO$20,0),MATCH(C109,Weather!$BO$1:$CB$1,0))/VLOOKUP(B109,Weather!$BO$2:$CB$20,14,FALSE)*
VLOOKUP('Monthly Data'!$B109,Weather!$BO$3:$CB$20,14,FALSE)/Weather!$CB$14</f>
        <v>2292040.2367869574</v>
      </c>
      <c r="I109" s="7">
        <f t="shared" ca="1" si="270"/>
        <v>93563825.522417054</v>
      </c>
      <c r="J109" s="7">
        <v>1082476.2321901717</v>
      </c>
      <c r="K109" s="7">
        <f ca="1">IFERROR(VLOOKUP($B109-1,CDM!$V$4:$AJ$17,3,FALSE)/12,0)+IFERROR(VLOOKUP($B109,CDM!$V$41:$AJ$54,3,FALSE)/24,0)+IFERROR(VLOOKUP($B109,CDM!$V$41:$AJ$54,3,FALSE)/2*$C109/78,0)</f>
        <v>47500.544451573769</v>
      </c>
      <c r="L109" s="7">
        <f t="shared" ca="1" si="238"/>
        <v>1129976.7766417456</v>
      </c>
      <c r="M109" s="7">
        <f>IFERROR(HLOOKUP(B109-1,'EV Forecast VRZ'!$F$124:$T$130,3,FALSE)/12,0)+IFERROR(((HLOOKUP(B109,'EV Forecast VRZ'!$F$116:$T$122,3,FALSE)-HLOOKUP(B109-1,'EV Forecast VRZ'!$F$124:$T$130,3,FALSE)))*C109/78,0)</f>
        <v>18820.323587487259</v>
      </c>
      <c r="N109" s="7">
        <f ca="1">HLOOKUP(B109,Heating!$C$102:$O$106,3,FALSE)*INDEX(Weather!$BO$1:$CB$20,MATCH(B109,Weather!$BO$1:$BO$20,0),MATCH(C109,Weather!$BO$1:$CB$1,0))/VLOOKUP(B109,Weather!$BO$2:$CB$20,14,FALSE)*
VLOOKUP('Monthly Data'!$B109,Weather!$BO$3:$CB$20,14,FALSE)/Weather!$CB$14</f>
        <v>27079.872217458451</v>
      </c>
      <c r="O109" s="7">
        <f t="shared" ca="1" si="271"/>
        <v>1084076.5808367999</v>
      </c>
      <c r="P109" s="7">
        <v>22105922.192172457</v>
      </c>
      <c r="Q109" s="7">
        <f ca="1">IFERROR(VLOOKUP($B109-1,CDM!$V$4:$AJ$17,4,FALSE)/12,0)+IFERROR(VLOOKUP($B109,CDM!$V$41:$AJ$54,4,FALSE)/24,0)+IFERROR(VLOOKUP($B109,CDM!$V$41:$AJ$54,4,FALSE)/2*$C109/78,0)</f>
        <v>1733511.0323341356</v>
      </c>
      <c r="R109" s="7">
        <f t="shared" ca="1" si="239"/>
        <v>23839433.224506591</v>
      </c>
      <c r="S109" s="7">
        <f>IFERROR(HLOOKUP(B109-1,'EV Forecast VRZ'!$F$124:$T$130,4,FALSE)/12,0)+IFERROR(((HLOOKUP(B109,'EV Forecast VRZ'!$F$116:$T$122,4,FALSE)-HLOOKUP(B109-1,'EV Forecast VRZ'!$F$124:$T$130,4,FALSE)))*C109/78,0)</f>
        <v>177799.35769230768</v>
      </c>
      <c r="T109" s="7">
        <f ca="1">HLOOKUP(B109,Heating!$C$102:$O$106,4,FALSE)*INDEX(Weather!$BO$1:$CB$20,MATCH(B109,Weather!$BO$1:$BO$20,0),MATCH(C109,Weather!$BO$1:$CB$1,0))/VLOOKUP(B109,Weather!$BO$2:$CB$20,14,FALSE)*
VLOOKUP('Monthly Data'!$B109,Weather!$BO$3:$CB$20,14,FALSE)/Weather!$CB$14</f>
        <v>549113.98272143432</v>
      </c>
      <c r="U109" s="7">
        <f t="shared" ca="1" si="272"/>
        <v>23112519.884092849</v>
      </c>
      <c r="V109" s="7">
        <v>75828360.959933221</v>
      </c>
      <c r="W109" s="7">
        <f ca="1">IFERROR(VLOOKUP($B109-1,CDM!$V$4:$AJ$17,5,FALSE)/12,0)+IFERROR(VLOOKUP($B109,CDM!$V$41:$AJ$54,5,FALSE)/24,0)+IFERROR(VLOOKUP($B109,CDM!$V$41:$AJ$54,5,FALSE)/2*$C109/78,0)</f>
        <v>7243496.9380777823</v>
      </c>
      <c r="X109" s="7">
        <f t="shared" ca="1" si="240"/>
        <v>83071857.898010999</v>
      </c>
      <c r="Y109" s="7">
        <f>IFERROR(HLOOKUP(B109-1,'EV Forecast VRZ'!$F$124:$T$130,5,FALSE)/12,0)+IFERROR(((HLOOKUP(B109,'EV Forecast VRZ'!$F$116:$T$122,5,FALSE)-HLOOKUP(B109-1,'EV Forecast VRZ'!$F$124:$T$130,5,FALSE)))*C109/78,0)</f>
        <v>84549.518653846142</v>
      </c>
      <c r="Z109" s="7">
        <f ca="1">HLOOKUP(B109,Heating!$C$102:$O$106,5,FALSE)*INDEX(Weather!$BO$1:$CB$20,MATCH(B109,Weather!$BO$1:$BO$20,0),MATCH(C109,Weather!$BO$1:$CB$1,0))/VLOOKUP(B109,Weather!$BO$2:$CB$20,14,FALSE)*
VLOOKUP('Monthly Data'!$B109,Weather!$BO$3:$CB$20,14,FALSE)/Weather!$CB$14</f>
        <v>285992.15055982838</v>
      </c>
      <c r="AA109" s="7">
        <f t="shared" ca="1" si="273"/>
        <v>82701316.228797331</v>
      </c>
      <c r="AB109" s="7">
        <v>7850196.0449689515</v>
      </c>
      <c r="AC109" s="7">
        <f ca="1">IFERROR(VLOOKUP($B109-1,CDM!$V$4:$AJ$17,6,FALSE)/12,0)+IFERROR(VLOOKUP($B109,CDM!$V$41:$AJ$54,6,FALSE)/24,0)+IFERROR(VLOOKUP($B109,CDM!$V$41:$AJ$54,6,FALSE)/2*$C109/78,0)</f>
        <v>377640.58474214002</v>
      </c>
      <c r="AD109" s="7">
        <f t="shared" ca="1" si="241"/>
        <v>8227836.6297110915</v>
      </c>
      <c r="AE109" s="7">
        <f>IFERROR(HLOOKUP(B109-1,'EV Forecast VRZ'!$F$124:$T$130,6,FALSE)/12,0)+IFERROR(((HLOOKUP(B109,'EV Forecast VRZ'!$F$116:$T$122,6,FALSE)-HLOOKUP(B109-1,'EV Forecast VRZ'!$F$124:$T$130,6,FALSE)))*C109/78,0)</f>
        <v>10987.660192307692</v>
      </c>
      <c r="AF109" s="7">
        <f t="shared" ca="1" si="274"/>
        <v>8216848.9695187835</v>
      </c>
      <c r="AG109" s="7">
        <v>26297394.392010696</v>
      </c>
      <c r="AH109" s="7">
        <f ca="1">IFERROR(VLOOKUP($B109-1,CDM!$V$4:$AJ$17,7,FALSE)/12,0)+IFERROR(VLOOKUP($B109,CDM!$V$41:$AJ$54,7,FALSE)/24,0)+IFERROR(VLOOKUP($B109,CDM!$V$41:$AJ$54,7,FALSE)/2*$C109/78,0)</f>
        <v>2095542.6701097433</v>
      </c>
      <c r="AI109" s="7">
        <f t="shared" ca="1" si="242"/>
        <v>28392937.062120438</v>
      </c>
      <c r="AJ109" s="7">
        <f>IFERROR(HLOOKUP(B109-1,'EV Forecast VRZ'!$F$124:$T$130,7,FALSE)/12,0)+IFERROR(((HLOOKUP(B109,'EV Forecast VRZ'!$F$116:$T$122,7,FALSE)-HLOOKUP(B109-1,'EV Forecast VRZ'!$F$124:$T$130,7,FALSE)))*C109/78,0)</f>
        <v>1784.6153846153845</v>
      </c>
      <c r="AK109" s="7">
        <f t="shared" ca="1" si="275"/>
        <v>28391152.446735822</v>
      </c>
      <c r="AL109" s="7">
        <v>1313372.5529479107</v>
      </c>
      <c r="AM109" s="7">
        <v>7279.2978439229155</v>
      </c>
      <c r="AN109" s="7">
        <v>377188.65674489603</v>
      </c>
      <c r="AO109" s="5">
        <v>176053.89</v>
      </c>
      <c r="AP109" s="5">
        <v>18474.150000000001</v>
      </c>
      <c r="AQ109" s="5">
        <v>42280.01</v>
      </c>
      <c r="AR109" s="5">
        <v>2824.56</v>
      </c>
      <c r="AS109" s="544">
        <f t="shared" si="252"/>
        <v>50.166666666666664</v>
      </c>
      <c r="AT109" s="557">
        <v>118313</v>
      </c>
      <c r="AU109" s="557">
        <v>1560</v>
      </c>
      <c r="AV109" s="557">
        <v>9506</v>
      </c>
      <c r="AW109" s="557">
        <v>1075</v>
      </c>
      <c r="AX109" s="557">
        <v>5</v>
      </c>
      <c r="AY109" s="557">
        <v>5</v>
      </c>
      <c r="AZ109" s="557">
        <v>33008</v>
      </c>
      <c r="BA109" s="557">
        <v>236</v>
      </c>
      <c r="BB109" s="557">
        <v>747</v>
      </c>
      <c r="BC109" s="560">
        <v>33860346.467262372</v>
      </c>
      <c r="BD109" s="560">
        <f ca="1">IFERROR(VLOOKUP($B109-1,CDM!$V$4:$AJ$17,11,FALSE)/12,0)+IFERROR(VLOOKUP($B109,CDM!$V$41:$AJ$54,11,FALSE)/24,0)+IFERROR(VLOOKUP($B109,CDM!$V$41:$AJ$54,11,FALSE)/2*$C109/78,0)</f>
        <v>1824126.3546632892</v>
      </c>
      <c r="BE109" s="560">
        <f t="shared" ca="1" si="265"/>
        <v>35684472.821925662</v>
      </c>
      <c r="BF109" s="560">
        <f>IFERROR(HLOOKUP(B109-1,'EV Forecast WRZ'!$F$124:$T$130,2,FALSE)/12,0)+IFERROR(((HLOOKUP(B109,'EV Forecast WRZ'!$F$116:$T$122,2,FALSE)-HLOOKUP(B109-1,'EV Forecast WRZ'!$F$124:$T$130,2,FALSE)))*C109/78,0)</f>
        <v>472755.1184615384</v>
      </c>
      <c r="BG109" s="560">
        <f ca="1">HLOOKUP(B109,Heating!$R$102:$AD$106,2,FALSE)*INDEX(Weather!$BO$1:$CB$20,MATCH(B109,Weather!$BO$1:$BO$20,0),MATCH(C109,Weather!$BO$1:$CB$1,0))/VLOOKUP(B109,Weather!$BO$2:$CB$20,14,FALSE)*
VLOOKUP('Monthly Data'!$B109,Weather!$BO$3:$CB$20,14,FALSE)/Weather!$CB$14</f>
        <v>1007637.5090078065</v>
      </c>
      <c r="BH109" s="560">
        <f t="shared" ca="1" si="276"/>
        <v>34204080.194456317</v>
      </c>
      <c r="BI109" s="560">
        <v>7348075.8760096058</v>
      </c>
      <c r="BJ109" s="560">
        <f ca="1">IFERROR(VLOOKUP($B109-1,CDM!$V$4:$AJ$17,12,FALSE)/12,0)+IFERROR(VLOOKUP($B109,CDM!$V$41:$AJ$54,12,FALSE)/24,0)+IFERROR(VLOOKUP($B109,CDM!$V$41:$AJ$54,12,FALSE)/2*$C109/78,0)</f>
        <v>330043.662834402</v>
      </c>
      <c r="BK109" s="560">
        <f t="shared" ca="1" si="243"/>
        <v>7678119.538844008</v>
      </c>
      <c r="BL109" s="560">
        <f>IFERROR(HLOOKUP(B109-1,'EV Forecast WRZ'!$F$124:$T$130,3,FALSE)/12,0)+IFERROR(((HLOOKUP(B109,'EV Forecast WRZ'!$F$116:$T$122,3,FALSE)-HLOOKUP(B109-1,'EV Forecast WRZ'!$F$124:$T$130,3,FALSE)))*C109/78,0)</f>
        <v>64547.095384615393</v>
      </c>
      <c r="BM109" s="560">
        <f ca="1">HLOOKUP(B109,Heating!$R$102:$AD$106,4,FALSE)*INDEX(Weather!$BO$1:$CB$20,MATCH(B109,Weather!$BO$1:$BO$20,0),MATCH(C109,Weather!$BO$1:$CB$1,0))/VLOOKUP(B109,Weather!$BO$2:$CB$20,14,FALSE)*
VLOOKUP('Monthly Data'!$B109,Weather!$BO$3:$CB$20,14,FALSE)/Weather!$CB$14</f>
        <v>159961.51048720453</v>
      </c>
      <c r="BN109" s="560">
        <f t="shared" ca="1" si="277"/>
        <v>7453610.9329721881</v>
      </c>
      <c r="BO109" s="560">
        <v>28997753.342539776</v>
      </c>
      <c r="BP109" s="560">
        <f ca="1">IFERROR(VLOOKUP($B109-1,CDM!$V$4:$AJ$17,13,FALSE)/12,0)+IFERROR(VLOOKUP($B109,CDM!$V$41:$AJ$54,13,FALSE)/24,0)+IFERROR(VLOOKUP($B109,CDM!$V$41:$AJ$54,13,FALSE)/2*$C109/78,0)</f>
        <v>3156828.7497868566</v>
      </c>
      <c r="BQ109" s="560">
        <f t="shared" ca="1" si="244"/>
        <v>32154582.092326634</v>
      </c>
      <c r="BR109" s="560">
        <f>IFERROR(HLOOKUP(B109-1,'EV Forecast WRZ'!$F$124:$T$130,4,FALSE)/12,0)+IFERROR(((HLOOKUP(B109,'EV Forecast WRZ'!$F$116:$T$122,4,FALSE)-HLOOKUP(B109-1,'EV Forecast WRZ'!$F$124:$T$130,4,FALSE)))*C109/78,0)</f>
        <v>28557.090358974368</v>
      </c>
      <c r="BS109" s="560">
        <f ca="1">HLOOKUP(B109,Heating!$R$102:$AD$106,5,FALSE)*INDEX(Weather!$BO$1:$CB$20,MATCH(B109,Weather!$BO$1:$BO$20,0),MATCH(C109,Weather!$BO$1:$CB$1,0))/VLOOKUP(B109,Weather!$BO$2:$CB$20,14,FALSE)*
VLOOKUP('Monthly Data'!$B109,Weather!$BO$3:$CB$20,14,FALSE)/Weather!$CB$14</f>
        <v>84673.098522645843</v>
      </c>
      <c r="BT109" s="560">
        <f t="shared" ca="1" si="278"/>
        <v>32041351.903445017</v>
      </c>
      <c r="BU109" s="560">
        <v>6806745.409836066</v>
      </c>
      <c r="BV109" s="560">
        <f ca="1">IFERROR(VLOOKUP($B109-1,CDM!$V$4:$AJ$17,14,FALSE)/12,0)+IFERROR(VLOOKUP($B109,CDM!$V$41:$AJ$54,14,FALSE)/24,0)+IFERROR(VLOOKUP($B109,CDM!$V$41:$AJ$54,14,FALSE)/2*$C109/78,0)</f>
        <v>711360.59072762332</v>
      </c>
      <c r="BW109" s="560">
        <f t="shared" ca="1" si="245"/>
        <v>7518106.0005636895</v>
      </c>
      <c r="BX109" s="560">
        <f>IFERROR(HLOOKUP(B109-1,'EV Forecast WRZ'!$F$124:$T$130,5,FALSE)/12,0)+IFERROR(((HLOOKUP(B109,'EV Forecast WRZ'!$F$116:$T$122,5,FALSE)-HLOOKUP(B109-1,'EV Forecast WRZ'!$F$124:$T$130,5,FALSE)))*C109/78,0)</f>
        <v>5194.9829743589744</v>
      </c>
      <c r="BY109" s="560">
        <f t="shared" ca="1" si="266"/>
        <v>7512911.0175893307</v>
      </c>
      <c r="BZ109" s="560">
        <v>385507.9969389707</v>
      </c>
      <c r="CA109" s="560">
        <v>494.99713028505835</v>
      </c>
      <c r="CB109" s="560">
        <v>155505.96900707862</v>
      </c>
      <c r="CC109" s="5">
        <v>65101.88</v>
      </c>
      <c r="CD109" s="5">
        <v>14382.65</v>
      </c>
      <c r="CE109" s="5">
        <v>830</v>
      </c>
      <c r="CF109" s="544">
        <f t="shared" si="248"/>
        <v>6.916666666666667</v>
      </c>
      <c r="CG109" s="565">
        <v>45687</v>
      </c>
      <c r="CH109" s="565">
        <v>2473</v>
      </c>
      <c r="CI109" s="565">
        <v>390</v>
      </c>
      <c r="CJ109" s="565">
        <v>3</v>
      </c>
      <c r="CK109" s="565">
        <v>13763</v>
      </c>
      <c r="CL109" s="565">
        <v>45</v>
      </c>
      <c r="CM109" s="565">
        <v>388</v>
      </c>
      <c r="CN109" s="46">
        <f>Weather!C133</f>
        <v>660.57500000000016</v>
      </c>
      <c r="CO109" s="46">
        <f>Weather!D133</f>
        <v>0</v>
      </c>
      <c r="CP109" s="46">
        <f>Weather!E133</f>
        <v>598.57499999999993</v>
      </c>
      <c r="CQ109" s="46">
        <f>Weather!F133</f>
        <v>0</v>
      </c>
      <c r="CR109" s="46">
        <f>Weather!G133</f>
        <v>536.57500000000005</v>
      </c>
      <c r="CS109" s="46">
        <f>Weather!H133</f>
        <v>0</v>
      </c>
      <c r="CT109" s="46">
        <f>Weather!I133</f>
        <v>474.57499999999999</v>
      </c>
      <c r="CU109" s="46">
        <f>Weather!J133</f>
        <v>0</v>
      </c>
      <c r="CV109" s="46">
        <f>Weather!K133</f>
        <v>412.57499999999999</v>
      </c>
      <c r="CW109" s="46">
        <f>Weather!L133</f>
        <v>0</v>
      </c>
      <c r="CX109" s="46">
        <f>Weather!M133</f>
        <v>350.57499999999993</v>
      </c>
      <c r="CY109" s="46">
        <f>Weather!N133</f>
        <v>0</v>
      </c>
      <c r="CZ109" s="46">
        <f>Weather!O133</f>
        <v>288.57499999999993</v>
      </c>
      <c r="DA109" s="46">
        <f>Weather!P133</f>
        <v>0</v>
      </c>
      <c r="DB109" s="243">
        <f>'Economic Data'!D135</f>
        <v>8187.7</v>
      </c>
      <c r="DC109" s="243">
        <f>'Economic Data'!E135</f>
        <v>8176.6</v>
      </c>
      <c r="DD109" s="243">
        <f>'Economic Data'!F135</f>
        <v>238.2</v>
      </c>
      <c r="DE109" s="243">
        <f>'Economic Data'!G135</f>
        <v>239.7</v>
      </c>
      <c r="DF109" s="243">
        <f>'Economic Data'!H135</f>
        <v>35.1</v>
      </c>
      <c r="DG109" s="243">
        <f>'Economic Data'!I135</f>
        <v>35.1</v>
      </c>
      <c r="DH109" s="243">
        <f>'Economic Data'!J135</f>
        <v>876619.7</v>
      </c>
      <c r="DI109" s="243">
        <f>'Economic Data'!K135</f>
        <v>694601.3</v>
      </c>
      <c r="DJ109" s="243">
        <f>'Economic Data'!L135</f>
        <v>92436.4</v>
      </c>
      <c r="DK109" s="243">
        <f>'Economic Data'!M135</f>
        <v>33851.4</v>
      </c>
      <c r="DL109" s="243">
        <f>'Economic Data'!N135</f>
        <v>893201</v>
      </c>
      <c r="DM109" s="243">
        <f>'Economic Data'!O135</f>
        <v>88445</v>
      </c>
      <c r="DN109" s="243">
        <f>'Economic Data'!P135</f>
        <v>17031</v>
      </c>
      <c r="DO109" s="243">
        <f>'Economic Data'!Q135</f>
        <v>714829</v>
      </c>
      <c r="DP109" s="243">
        <f>'Economic Data'!R135</f>
        <v>34392</v>
      </c>
      <c r="DQ109">
        <f>DQ61</f>
        <v>31</v>
      </c>
      <c r="DR109">
        <v>20</v>
      </c>
      <c r="DS109">
        <f t="shared" ref="DS109:ED109" si="283">DS97</f>
        <v>0</v>
      </c>
      <c r="DT109">
        <f t="shared" si="283"/>
        <v>0</v>
      </c>
      <c r="DU109">
        <f t="shared" si="283"/>
        <v>0</v>
      </c>
      <c r="DV109">
        <f t="shared" si="283"/>
        <v>0</v>
      </c>
      <c r="DW109">
        <f t="shared" si="283"/>
        <v>0</v>
      </c>
      <c r="DX109">
        <f t="shared" si="283"/>
        <v>0</v>
      </c>
      <c r="DY109">
        <f t="shared" si="283"/>
        <v>0</v>
      </c>
      <c r="DZ109">
        <f t="shared" si="283"/>
        <v>0</v>
      </c>
      <c r="EA109">
        <f t="shared" si="283"/>
        <v>0</v>
      </c>
      <c r="EB109">
        <f t="shared" si="283"/>
        <v>0</v>
      </c>
      <c r="EC109">
        <f t="shared" si="283"/>
        <v>0</v>
      </c>
      <c r="ED109">
        <f t="shared" si="283"/>
        <v>1</v>
      </c>
      <c r="EE109">
        <f t="shared" ref="EE109:EF109" si="284">EE97</f>
        <v>0</v>
      </c>
      <c r="EF109">
        <f t="shared" si="284"/>
        <v>0</v>
      </c>
      <c r="EG109">
        <f t="shared" si="251"/>
        <v>0</v>
      </c>
      <c r="EH109">
        <f t="shared" si="185"/>
        <v>108</v>
      </c>
      <c r="EI109">
        <v>0</v>
      </c>
      <c r="EJ109">
        <v>0</v>
      </c>
      <c r="EK109">
        <v>0.25</v>
      </c>
      <c r="EL109">
        <v>0</v>
      </c>
      <c r="EM109" s="47">
        <f t="shared" si="190"/>
        <v>0</v>
      </c>
      <c r="EN109" s="47">
        <f t="shared" si="191"/>
        <v>0</v>
      </c>
      <c r="EO109" s="47">
        <f t="shared" si="192"/>
        <v>0</v>
      </c>
      <c r="EP109" s="47">
        <f t="shared" si="193"/>
        <v>0</v>
      </c>
      <c r="EQ109" s="47">
        <f t="shared" si="194"/>
        <v>0</v>
      </c>
      <c r="ER109" s="47">
        <f t="shared" si="195"/>
        <v>0</v>
      </c>
      <c r="ES109" s="47">
        <f t="shared" si="196"/>
        <v>0</v>
      </c>
      <c r="ET109" s="47">
        <f t="shared" si="197"/>
        <v>0</v>
      </c>
      <c r="EU109" s="47">
        <f t="shared" si="198"/>
        <v>0</v>
      </c>
      <c r="EV109" s="47">
        <f t="shared" si="199"/>
        <v>0</v>
      </c>
      <c r="EW109" s="47">
        <f t="shared" si="200"/>
        <v>0</v>
      </c>
      <c r="EX109" s="47">
        <f t="shared" si="201"/>
        <v>0</v>
      </c>
      <c r="EY109" s="47">
        <f t="shared" si="202"/>
        <v>0</v>
      </c>
      <c r="EZ109" s="47">
        <f t="shared" si="203"/>
        <v>0</v>
      </c>
      <c r="FA109" s="47">
        <f t="shared" si="204"/>
        <v>165.14375000000004</v>
      </c>
      <c r="FB109" s="47">
        <f t="shared" si="205"/>
        <v>0</v>
      </c>
      <c r="FC109" s="47">
        <f t="shared" si="206"/>
        <v>149.64374999999998</v>
      </c>
      <c r="FD109" s="47">
        <f t="shared" si="207"/>
        <v>0</v>
      </c>
      <c r="FE109" s="47">
        <f t="shared" si="208"/>
        <v>134.14375000000001</v>
      </c>
      <c r="FF109" s="47">
        <f t="shared" si="209"/>
        <v>0</v>
      </c>
      <c r="FG109" s="47">
        <f t="shared" si="210"/>
        <v>118.64375</v>
      </c>
      <c r="FH109" s="47">
        <f t="shared" si="211"/>
        <v>0</v>
      </c>
      <c r="FI109" s="47">
        <f t="shared" si="212"/>
        <v>103.14375</v>
      </c>
      <c r="FJ109" s="47">
        <f t="shared" si="213"/>
        <v>0</v>
      </c>
      <c r="FK109" s="47">
        <f t="shared" si="214"/>
        <v>87.643749999999983</v>
      </c>
      <c r="FL109" s="47">
        <f t="shared" si="215"/>
        <v>0</v>
      </c>
      <c r="FM109" s="47">
        <f t="shared" si="216"/>
        <v>72.143749999999983</v>
      </c>
      <c r="FN109" s="47">
        <f t="shared" si="217"/>
        <v>0</v>
      </c>
      <c r="FO109" s="546">
        <f t="shared" ca="1" si="218"/>
        <v>790.81610239294969</v>
      </c>
      <c r="FP109" s="546">
        <f t="shared" ca="1" si="219"/>
        <v>724.3440875908625</v>
      </c>
      <c r="FQ109" s="546">
        <f t="shared" ca="1" si="220"/>
        <v>2507.8301309180088</v>
      </c>
      <c r="FR109" s="546">
        <f t="shared" ca="1" si="221"/>
        <v>77276.146881870693</v>
      </c>
      <c r="FS109" s="546">
        <f t="shared" ca="1" si="222"/>
        <v>1645567.3259422183</v>
      </c>
      <c r="FT109" s="546">
        <f t="shared" ca="1" si="223"/>
        <v>5678587.4124240875</v>
      </c>
      <c r="FU109" s="546">
        <f t="shared" si="224"/>
        <v>39.789522326342421</v>
      </c>
      <c r="FV109" s="546">
        <f t="shared" si="225"/>
        <v>30.844482389503881</v>
      </c>
      <c r="FW109" s="546">
        <f t="shared" si="226"/>
        <v>504.93796083654087</v>
      </c>
      <c r="FX109" s="546">
        <f t="shared" ca="1" si="227"/>
        <v>781.06404057884436</v>
      </c>
      <c r="FY109" s="546">
        <f t="shared" ca="1" si="228"/>
        <v>3104.7794334185232</v>
      </c>
      <c r="FZ109" s="546">
        <f t="shared" ca="1" si="229"/>
        <v>82447.646390581111</v>
      </c>
      <c r="GA109" s="546">
        <f t="shared" si="230"/>
        <v>128502.66564632357</v>
      </c>
      <c r="GB109" s="546">
        <f t="shared" si="231"/>
        <v>28.010462612727654</v>
      </c>
      <c r="GC109" s="546">
        <f t="shared" si="232"/>
        <v>10.999936228556852</v>
      </c>
      <c r="GD109" s="546">
        <f t="shared" si="233"/>
        <v>400.78857991515105</v>
      </c>
    </row>
    <row r="110" spans="1:186">
      <c r="A110" s="4">
        <v>45658</v>
      </c>
      <c r="B110" s="6">
        <f>B98+1</f>
        <v>2025</v>
      </c>
      <c r="C110" s="5">
        <f>C98</f>
        <v>1</v>
      </c>
      <c r="D110" s="7">
        <v>96055156.743321911</v>
      </c>
      <c r="E110" s="7">
        <f ca="1">IFERROR(VLOOKUP($B110-1,CDM!$V$4:$AJ$17,2,FALSE)/12,0)+IFERROR(VLOOKUP($B110,CDM!$V$41:$AJ$54,2,FALSE)/24,0)+IFERROR(VLOOKUP($B110,CDM!$V$41:$AJ$54,2,FALSE)/2*$C110/78,0)</f>
        <v>4297709.8485617181</v>
      </c>
      <c r="F110" s="7">
        <f t="shared" ref="F110:F121" ca="1" si="285">D110+E110</f>
        <v>100352866.59188363</v>
      </c>
      <c r="G110" s="7">
        <f>IFERROR(HLOOKUP(B110-1,'EV Forecast VRZ'!$F$124:$T$130,2,FALSE)/12,0)+IFERROR(((HLOOKUP(B110,'EV Forecast VRZ'!$F$116:$T$122,2,FALSE)-HLOOKUP(B110-1,'EV Forecast VRZ'!$F$124:$T$130,2,FALSE)))*C110/78,0)</f>
        <v>1445380.3623484408</v>
      </c>
      <c r="H110" s="7">
        <f ca="1">HLOOKUP(B110,Heating!$C$102:$O$106,2,FALSE)*INDEX(Weather!$BO$1:$CB$20,MATCH(B110,Weather!$BO$1:$BO$20,0),MATCH(C110,Weather!$BO$1:$CB$1,0))/VLOOKUP(B110,Weather!$BO$2:$CB$20,14,FALSE)*
VLOOKUP('Monthly Data'!$B110,Weather!$BO$3:$CB$20,14,FALSE)/Weather!$CB$14</f>
        <v>3483794.9362935061</v>
      </c>
      <c r="I110" s="7">
        <f t="shared" ca="1" si="270"/>
        <v>95423691.29324168</v>
      </c>
      <c r="J110" s="7">
        <v>1471230.897099789</v>
      </c>
      <c r="K110" s="7">
        <f ca="1">IFERROR(VLOOKUP($B110-1,CDM!$V$4:$AJ$17,3,FALSE)/12,0)+IFERROR(VLOOKUP($B110,CDM!$V$41:$AJ$54,3,FALSE)/24,0)+IFERROR(VLOOKUP($B110,CDM!$V$41:$AJ$54,3,FALSE)/2*$C110/78,0)</f>
        <v>49222.906547442304</v>
      </c>
      <c r="L110" s="7">
        <f t="shared" ref="L110:L121" ca="1" si="286">J110+K110</f>
        <v>1520453.8036472313</v>
      </c>
      <c r="M110" s="7">
        <f>IFERROR(HLOOKUP(B110-1,'EV Forecast VRZ'!$F$124:$T$130,3,FALSE)/12,0)+IFERROR(((HLOOKUP(B110,'EV Forecast VRZ'!$F$116:$T$122,3,FALSE)-HLOOKUP(B110-1,'EV Forecast VRZ'!$F$124:$T$130,3,FALSE)))*C110/78,0)</f>
        <v>19612.570856687176</v>
      </c>
      <c r="N110" s="7">
        <f ca="1">HLOOKUP(B110,Heating!$C$102:$O$106,3,FALSE)*INDEX(Weather!$BO$1:$CB$20,MATCH(B110,Weather!$BO$1:$BO$20,0),MATCH(C110,Weather!$BO$1:$CB$1,0))/VLOOKUP(B110,Weather!$BO$2:$CB$20,14,FALSE)*
VLOOKUP('Monthly Data'!$B110,Weather!$BO$3:$CB$20,14,FALSE)/Weather!$CB$14</f>
        <v>40240.128326123879</v>
      </c>
      <c r="O110" s="7">
        <f t="shared" ref="O110:O121" ca="1" si="287">L110-M110-N110</f>
        <v>1460601.1044644204</v>
      </c>
      <c r="P110" s="7">
        <v>24010569.432455599</v>
      </c>
      <c r="Q110" s="7">
        <f ca="1">IFERROR(VLOOKUP($B110-1,CDM!$V$4:$AJ$17,4,FALSE)/12,0)+IFERROR(VLOOKUP($B110,CDM!$V$41:$AJ$54,4,FALSE)/24,0)+IFERROR(VLOOKUP($B110,CDM!$V$41:$AJ$54,4,FALSE)/2*$C110/78,0)</f>
        <v>1791379.6086323946</v>
      </c>
      <c r="R110" s="7">
        <f t="shared" ref="R110:R121" ca="1" si="288">P110+Q110</f>
        <v>25801949.041087992</v>
      </c>
      <c r="S110" s="7">
        <f>IFERROR(HLOOKUP(B110-1,'EV Forecast VRZ'!$F$124:$T$130,4,FALSE)/12,0)+IFERROR(((HLOOKUP(B110,'EV Forecast VRZ'!$F$116:$T$122,4,FALSE)-HLOOKUP(B110-1,'EV Forecast VRZ'!$F$124:$T$130,4,FALSE)))*C110/78,0)</f>
        <v>186155.8428205128</v>
      </c>
      <c r="T110" s="7">
        <f ca="1">HLOOKUP(B110,Heating!$C$102:$O$106,4,FALSE)*INDEX(Weather!$BO$1:$CB$20,MATCH(B110,Weather!$BO$1:$BO$20,0),MATCH(C110,Weather!$BO$1:$CB$1,0))/VLOOKUP(B110,Weather!$BO$2:$CB$20,14,FALSE)*
VLOOKUP('Monthly Data'!$B110,Weather!$BO$3:$CB$20,14,FALSE)/Weather!$CB$14</f>
        <v>807501.53045221057</v>
      </c>
      <c r="U110" s="7">
        <f t="shared" ref="U110:U121" ca="1" si="289">R110-S110-T110</f>
        <v>24808291.667815268</v>
      </c>
      <c r="V110" s="7">
        <v>82045921.407225132</v>
      </c>
      <c r="W110" s="7">
        <f ca="1">IFERROR(VLOOKUP($B110-1,CDM!$V$4:$AJ$17,5,FALSE)/12,0)+IFERROR(VLOOKUP($B110,CDM!$V$41:$AJ$54,5,FALSE)/24,0)+IFERROR(VLOOKUP($B110,CDM!$V$41:$AJ$54,5,FALSE)/2*$C110/78,0)</f>
        <v>7611570.0398381623</v>
      </c>
      <c r="X110" s="7">
        <f t="shared" ref="X110:X121" ca="1" si="290">V110+W110</f>
        <v>89657491.447063297</v>
      </c>
      <c r="Y110" s="7">
        <f>IFERROR(HLOOKUP(B110-1,'EV Forecast VRZ'!$F$124:$T$130,5,FALSE)/12,0)+IFERROR(((HLOOKUP(B110,'EV Forecast VRZ'!$F$116:$T$122,5,FALSE)-HLOOKUP(B110-1,'EV Forecast VRZ'!$F$124:$T$130,5,FALSE)))*C110/78,0)</f>
        <v>88828.526705128214</v>
      </c>
      <c r="Z110" s="7">
        <f ca="1">HLOOKUP(B110,Heating!$C$102:$O$106,5,FALSE)*INDEX(Weather!$BO$1:$CB$20,MATCH(B110,Weather!$BO$1:$BO$20,0),MATCH(C110,Weather!$BO$1:$CB$1,0))/VLOOKUP(B110,Weather!$BO$2:$CB$20,14,FALSE)*
VLOOKUP('Monthly Data'!$B110,Weather!$BO$3:$CB$20,14,FALSE)/Weather!$CB$14</f>
        <v>424110.63510227395</v>
      </c>
      <c r="AA110" s="7">
        <f t="shared" ref="AA110:AA121" ca="1" si="291">X110-Y110-Z110</f>
        <v>89144552.285255894</v>
      </c>
      <c r="AB110" s="7">
        <v>8463107.2833506856</v>
      </c>
      <c r="AC110" s="7">
        <f ca="1">IFERROR(VLOOKUP($B110-1,CDM!$V$4:$AJ$17,6,FALSE)/12,0)+IFERROR(VLOOKUP($B110,CDM!$V$41:$AJ$54,6,FALSE)/24,0)+IFERROR(VLOOKUP($B110,CDM!$V$41:$AJ$54,6,FALSE)/2*$C110/78,0)</f>
        <v>402712.54215481767</v>
      </c>
      <c r="AD110" s="7">
        <f t="shared" ref="AD110:AD121" ca="1" si="292">AB110+AC110</f>
        <v>8865819.8255055025</v>
      </c>
      <c r="AE110" s="7">
        <f>IFERROR(HLOOKUP(B110-1,'EV Forecast VRZ'!$F$124:$T$130,6,FALSE)/12,0)+IFERROR(((HLOOKUP(B110,'EV Forecast VRZ'!$F$116:$T$122,6,FALSE)-HLOOKUP(B110-1,'EV Forecast VRZ'!$F$124:$T$130,6,FALSE)))*C110/78,0)</f>
        <v>11636.574192307693</v>
      </c>
      <c r="AF110" s="7">
        <f t="shared" ref="AF110:AF121" ca="1" si="293">AD110-AE110</f>
        <v>8854183.2513131946</v>
      </c>
      <c r="AG110" s="7">
        <v>26106914.887487274</v>
      </c>
      <c r="AH110" s="7">
        <f ca="1">IFERROR(VLOOKUP($B110-1,CDM!$V$4:$AJ$17,7,FALSE)/12,0)+IFERROR(VLOOKUP($B110,CDM!$V$41:$AJ$54,7,FALSE)/24,0)+IFERROR(VLOOKUP($B110,CDM!$V$41:$AJ$54,7,FALSE)/2*$C110/78,0)</f>
        <v>2243360.8103035036</v>
      </c>
      <c r="AI110" s="7">
        <f t="shared" ref="AI110:AI121" ca="1" si="294">AG110+AH110</f>
        <v>28350275.697790779</v>
      </c>
      <c r="AJ110" s="7">
        <f>IFERROR(HLOOKUP(B110-1,'EV Forecast VRZ'!$F$124:$T$130,7,FALSE)/12,0)+IFERROR(((HLOOKUP(B110,'EV Forecast VRZ'!$F$116:$T$122,7,FALSE)-HLOOKUP(B110-1,'EV Forecast VRZ'!$F$124:$T$130,7,FALSE)))*C110/78,0)</f>
        <v>1989.4230769230769</v>
      </c>
      <c r="AK110" s="7">
        <f t="shared" ref="AK110:AK121" ca="1" si="295">AI110-AJ110</f>
        <v>28348286.274713855</v>
      </c>
      <c r="AL110" s="7">
        <v>1285245.687845831</v>
      </c>
      <c r="AM110" s="7">
        <v>7279.2978439229155</v>
      </c>
      <c r="AN110" s="7">
        <v>376640.45983590919</v>
      </c>
      <c r="AO110" s="3">
        <v>180494.72</v>
      </c>
      <c r="AP110" s="3">
        <v>19223.689999999999</v>
      </c>
      <c r="AQ110" s="3">
        <v>42563.61</v>
      </c>
      <c r="AR110" s="3">
        <v>2826.9</v>
      </c>
      <c r="AS110" s="3">
        <f>602/SUM($AM$98:$AM$109)*(SUM($AM$110:$AM$121)/12)</f>
        <v>49.343669810839387</v>
      </c>
      <c r="AT110" s="576">
        <f>(AT$121-AT$109)/12+AT109</f>
        <v>118404.66666666667</v>
      </c>
      <c r="AU110" s="576">
        <f t="shared" ref="AU110:BB120" si="296">(AU$121-AU$109)/12+AU109</f>
        <v>1559</v>
      </c>
      <c r="AV110" s="576">
        <f t="shared" si="296"/>
        <v>9505.9166666666661</v>
      </c>
      <c r="AW110" s="576">
        <f t="shared" si="296"/>
        <v>1077</v>
      </c>
      <c r="AX110" s="576">
        <f t="shared" si="296"/>
        <v>5</v>
      </c>
      <c r="AY110" s="576">
        <f t="shared" si="296"/>
        <v>5</v>
      </c>
      <c r="AZ110" s="576">
        <f t="shared" si="296"/>
        <v>33029.583333333336</v>
      </c>
      <c r="BA110" s="576">
        <f t="shared" si="296"/>
        <v>235.25</v>
      </c>
      <c r="BB110" s="576">
        <f t="shared" si="296"/>
        <v>751.33333333333337</v>
      </c>
      <c r="BC110" s="562">
        <v>34152728.529691979</v>
      </c>
      <c r="BD110" s="560">
        <f ca="1">IFERROR(VLOOKUP($B110-1,CDM!$V$4:$AJ$17,11,FALSE)/12,0)+IFERROR(VLOOKUP($B110,CDM!$V$41:$AJ$54,11,FALSE)/24,0)+IFERROR(VLOOKUP($B110,CDM!$V$41:$AJ$54,11,FALSE)/2*$C110/78,0)</f>
        <v>1882178.7380479414</v>
      </c>
      <c r="BE110" s="560">
        <f t="shared" ref="BE110:BE121" ca="1" si="297">BC110+BD110</f>
        <v>36034907.267739922</v>
      </c>
      <c r="BF110" s="560">
        <f>IFERROR(HLOOKUP(B110-1,'EV Forecast WRZ'!$F$124:$T$130,2,FALSE)/12,0)+IFERROR(((HLOOKUP(B110,'EV Forecast WRZ'!$F$116:$T$122,2,FALSE)-HLOOKUP(B110-1,'EV Forecast WRZ'!$F$124:$T$130,2,FALSE)))*C110/78,0)</f>
        <v>493298.54692307685</v>
      </c>
      <c r="BG110" s="560">
        <f ca="1">HLOOKUP(B110,Heating!$R$102:$AD$106,2,FALSE)*INDEX(Weather!$BO$1:$CB$20,MATCH(B110,Weather!$BO$1:$BO$20,0),MATCH(C110,Weather!$BO$1:$CB$1,0))/VLOOKUP(B110,Weather!$BO$2:$CB$20,14,FALSE)*
VLOOKUP('Monthly Data'!$B110,Weather!$BO$3:$CB$20,14,FALSE)/Weather!$CB$14</f>
        <v>1483005.7184368758</v>
      </c>
      <c r="BH110" s="560">
        <f t="shared" ref="BH110:BH121" ca="1" si="298">BE110-BF110-BG110</f>
        <v>34058603.002379969</v>
      </c>
      <c r="BI110" s="562">
        <v>7882910.779280656</v>
      </c>
      <c r="BJ110" s="560">
        <f ca="1">IFERROR(VLOOKUP($B110-1,CDM!$V$4:$AJ$17,12,FALSE)/12,0)+IFERROR(VLOOKUP($B110,CDM!$V$41:$AJ$54,12,FALSE)/24,0)+IFERROR(VLOOKUP($B110,CDM!$V$41:$AJ$54,12,FALSE)/2*$C110/78,0)</f>
        <v>328190.28252967418</v>
      </c>
      <c r="BK110" s="560">
        <f t="shared" ref="BK110:BK121" ca="1" si="299">BI110+BJ110</f>
        <v>8211101.0618103305</v>
      </c>
      <c r="BL110" s="560">
        <f>IFERROR(HLOOKUP(B110-1,'EV Forecast WRZ'!$F$124:$T$130,3,FALSE)/12,0)+IFERROR(((HLOOKUP(B110,'EV Forecast WRZ'!$F$116:$T$122,3,FALSE)-HLOOKUP(B110-1,'EV Forecast WRZ'!$F$124:$T$130,3,FALSE)))*C110/78,0)</f>
        <v>67621.435384615397</v>
      </c>
      <c r="BM110" s="560">
        <f ca="1">HLOOKUP(B110,Heating!$R$102:$AD$106,4,FALSE)*INDEX(Weather!$BO$1:$CB$20,MATCH(B110,Weather!$BO$1:$BO$20,0),MATCH(C110,Weather!$BO$1:$CB$1,0))/VLOOKUP(B110,Weather!$BO$2:$CB$20,14,FALSE)*
VLOOKUP('Monthly Data'!$B110,Weather!$BO$3:$CB$20,14,FALSE)/Weather!$CB$14</f>
        <v>235961.77881295391</v>
      </c>
      <c r="BN110" s="560">
        <f t="shared" ref="BN110:BN121" ca="1" si="300">BK110-BL110-BM110</f>
        <v>7907517.847612761</v>
      </c>
      <c r="BO110" s="562">
        <v>31145304.670069046</v>
      </c>
      <c r="BP110" s="560">
        <f ca="1">IFERROR(VLOOKUP($B110-1,CDM!$V$4:$AJ$17,13,FALSE)/12,0)+IFERROR(VLOOKUP($B110,CDM!$V$41:$AJ$54,13,FALSE)/24,0)+IFERROR(VLOOKUP($B110,CDM!$V$41:$AJ$54,13,FALSE)/2*$C110/78,0)</f>
        <v>3295943.0383252422</v>
      </c>
      <c r="BQ110" s="560">
        <f t="shared" ref="BQ110:BQ121" ca="1" si="301">BO110+BP110</f>
        <v>34441247.708394289</v>
      </c>
      <c r="BR110" s="560">
        <f>IFERROR(HLOOKUP(B110-1,'EV Forecast WRZ'!$F$124:$T$130,4,FALSE)/12,0)+IFERROR(((HLOOKUP(B110,'EV Forecast WRZ'!$F$116:$T$122,4,FALSE)-HLOOKUP(B110-1,'EV Forecast WRZ'!$F$124:$T$130,4,FALSE)))*C110/78,0)</f>
        <v>29900.222846153847</v>
      </c>
      <c r="BS110" s="560">
        <f ca="1">HLOOKUP(B110,Heating!$R$102:$AD$106,5,FALSE)*INDEX(Weather!$BO$1:$CB$20,MATCH(B110,Weather!$BO$1:$BO$20,0),MATCH(C110,Weather!$BO$1:$CB$1,0))/VLOOKUP(B110,Weather!$BO$2:$CB$20,14,FALSE)*
VLOOKUP('Monthly Data'!$B110,Weather!$BO$3:$CB$20,14,FALSE)/Weather!$CB$14</f>
        <v>125867.57049504336</v>
      </c>
      <c r="BT110" s="560">
        <f t="shared" ref="BT110:BT121" ca="1" si="302">BQ110-BR110-BS110</f>
        <v>34285479.915053092</v>
      </c>
      <c r="BU110" s="562">
        <v>6768753.5679845717</v>
      </c>
      <c r="BV110" s="560">
        <f ca="1">IFERROR(VLOOKUP($B110-1,CDM!$V$4:$AJ$17,14,FALSE)/12,0)+IFERROR(VLOOKUP($B110,CDM!$V$41:$AJ$54,14,FALSE)/24,0)+IFERROR(VLOOKUP($B110,CDM!$V$41:$AJ$54,14,FALSE)/2*$C110/78,0)</f>
        <v>742971.38523691089</v>
      </c>
      <c r="BW110" s="560">
        <f t="shared" ref="BW110:BW121" ca="1" si="303">BU110+BV110</f>
        <v>7511724.9532214822</v>
      </c>
      <c r="BX110" s="560">
        <f>IFERROR(HLOOKUP(B110-1,'EV Forecast WRZ'!$F$124:$T$130,5,FALSE)/12,0)+IFERROR(((HLOOKUP(B110,'EV Forecast WRZ'!$F$116:$T$122,5,FALSE)-HLOOKUP(B110-1,'EV Forecast WRZ'!$F$124:$T$130,5,FALSE)))*C110/78,0)</f>
        <v>5490.3025384615394</v>
      </c>
      <c r="BY110" s="560">
        <f t="shared" ref="BY110:BY121" ca="1" si="304">BW110-BX110</f>
        <v>7506234.6506830202</v>
      </c>
      <c r="BZ110" s="562">
        <v>377157.00210445758</v>
      </c>
      <c r="CA110" s="562">
        <v>511.49799119954082</v>
      </c>
      <c r="CB110" s="562">
        <v>155352.00880045912</v>
      </c>
      <c r="CC110" s="3">
        <v>65670.22</v>
      </c>
      <c r="CD110" s="3">
        <v>14017.55</v>
      </c>
      <c r="CE110" s="3">
        <v>830</v>
      </c>
      <c r="CF110" s="3">
        <f>SUM($CF$98:$CF$109)/SUM($CA$98:$CA$109)*(SUM($CA$110:$CA$121)/12)</f>
        <v>6.8977675926717925</v>
      </c>
      <c r="CG110" s="576">
        <f>(CG$121-CG$109)/12+CG109</f>
        <v>45715</v>
      </c>
      <c r="CH110" s="576">
        <f t="shared" ref="CH110:CH120" si="305">(CH$121-CH$109)/12+CH109</f>
        <v>2473</v>
      </c>
      <c r="CI110" s="576">
        <f t="shared" ref="CI110:CI120" si="306">(CI$121-CI$109)/12+CI109</f>
        <v>391</v>
      </c>
      <c r="CJ110" s="576">
        <f t="shared" ref="CJ110:CJ120" si="307">(CJ$121-CJ$109)/12+CJ109</f>
        <v>3</v>
      </c>
      <c r="CK110" s="576">
        <f t="shared" ref="CK110:CK120" si="308">(CK$121-CK$109)/12+CK109</f>
        <v>13777.083333333334</v>
      </c>
      <c r="CL110" s="576">
        <f t="shared" ref="CL110:CL120" si="309">(CL$121-CL$109)/12+CL109</f>
        <v>44.916666666666664</v>
      </c>
      <c r="CM110" s="576">
        <f t="shared" ref="CM110:CM120" si="310">(CM$121-CM$109)/12+CM109</f>
        <v>388.33333333333331</v>
      </c>
      <c r="CN110" s="46">
        <f>Weather!C134</f>
        <v>794.42499999999995</v>
      </c>
      <c r="CO110" s="46">
        <f>Weather!D134</f>
        <v>0</v>
      </c>
      <c r="CP110" s="46">
        <f>Weather!E134</f>
        <v>732.42499999999995</v>
      </c>
      <c r="CQ110" s="46">
        <f>Weather!F134</f>
        <v>0</v>
      </c>
      <c r="CR110" s="46">
        <f>Weather!G134</f>
        <v>670.42499999999995</v>
      </c>
      <c r="CS110" s="46">
        <f>Weather!H134</f>
        <v>0</v>
      </c>
      <c r="CT110" s="46">
        <f>Weather!I134</f>
        <v>608.42499999999984</v>
      </c>
      <c r="CU110" s="46">
        <f>Weather!J134</f>
        <v>0</v>
      </c>
      <c r="CV110" s="46">
        <f>Weather!K134</f>
        <v>546.42499999999984</v>
      </c>
      <c r="CW110" s="46">
        <f>Weather!L134</f>
        <v>0</v>
      </c>
      <c r="CX110" s="46">
        <f>Weather!M134</f>
        <v>484.42500000000007</v>
      </c>
      <c r="CY110" s="46">
        <f>Weather!N134</f>
        <v>0</v>
      </c>
      <c r="CZ110" s="46">
        <f>Weather!O134</f>
        <v>422.42500000000007</v>
      </c>
      <c r="DA110" s="46">
        <f>Weather!P134</f>
        <v>0</v>
      </c>
      <c r="DB110" s="243">
        <f>'Economic Data'!D136</f>
        <v>8205.7000000000007</v>
      </c>
      <c r="DC110" s="243">
        <f>'Economic Data'!E136</f>
        <v>8161.4</v>
      </c>
      <c r="DD110" s="243">
        <f>'Economic Data'!F136</f>
        <v>241</v>
      </c>
      <c r="DE110" s="243">
        <f>'Economic Data'!G136</f>
        <v>243.4</v>
      </c>
      <c r="DF110" s="243">
        <f>'Economic Data'!H136</f>
        <v>29.7</v>
      </c>
      <c r="DG110" s="243">
        <f>'Economic Data'!I136</f>
        <v>29.7</v>
      </c>
      <c r="DH110" s="243">
        <f>'Economic Data'!J136</f>
        <v>888015.75609999988</v>
      </c>
      <c r="DI110" s="243">
        <f>'Economic Data'!K136</f>
        <v>703631.11690000002</v>
      </c>
      <c r="DJ110" s="243">
        <f>'Economic Data'!L136</f>
        <v>93638.073199999984</v>
      </c>
      <c r="DK110" s="243">
        <f>'Economic Data'!M136</f>
        <v>34291.468199999996</v>
      </c>
      <c r="DL110" s="243">
        <f>'Economic Data'!N136</f>
        <v>897872</v>
      </c>
      <c r="DM110" s="243">
        <f>'Economic Data'!O136</f>
        <v>89295</v>
      </c>
      <c r="DN110" s="243">
        <f>'Economic Data'!P136</f>
        <v>17234</v>
      </c>
      <c r="DO110" s="243">
        <f>'Economic Data'!Q136</f>
        <v>719111</v>
      </c>
      <c r="DP110" s="243">
        <f>'Economic Data'!R136</f>
        <v>34233</v>
      </c>
      <c r="DQ110">
        <f t="shared" ref="DQ110:DQ121" si="311">DQ62</f>
        <v>31</v>
      </c>
      <c r="DR110">
        <v>22</v>
      </c>
      <c r="DS110">
        <f t="shared" ref="DS110:EF110" si="312">DS98</f>
        <v>1</v>
      </c>
      <c r="DT110">
        <f t="shared" si="312"/>
        <v>0</v>
      </c>
      <c r="DU110">
        <f t="shared" si="312"/>
        <v>0</v>
      </c>
      <c r="DV110">
        <f t="shared" si="312"/>
        <v>0</v>
      </c>
      <c r="DW110">
        <f t="shared" si="312"/>
        <v>0</v>
      </c>
      <c r="DX110">
        <f t="shared" si="312"/>
        <v>0</v>
      </c>
      <c r="DY110">
        <f t="shared" si="312"/>
        <v>0</v>
      </c>
      <c r="DZ110">
        <f t="shared" si="312"/>
        <v>0</v>
      </c>
      <c r="EA110">
        <f t="shared" si="312"/>
        <v>0</v>
      </c>
      <c r="EB110">
        <f t="shared" si="312"/>
        <v>0</v>
      </c>
      <c r="EC110">
        <f t="shared" si="312"/>
        <v>0</v>
      </c>
      <c r="ED110">
        <f t="shared" si="312"/>
        <v>0</v>
      </c>
      <c r="EE110">
        <f t="shared" si="312"/>
        <v>0</v>
      </c>
      <c r="EF110">
        <f t="shared" si="312"/>
        <v>0</v>
      </c>
      <c r="EG110">
        <f t="shared" ref="EG110:EG121" si="313">EE110+EF110</f>
        <v>0</v>
      </c>
      <c r="EH110">
        <f t="shared" si="185"/>
        <v>109</v>
      </c>
      <c r="EI110">
        <v>0</v>
      </c>
      <c r="EJ110">
        <v>0</v>
      </c>
      <c r="EK110">
        <v>0.25</v>
      </c>
      <c r="EL110">
        <v>0</v>
      </c>
      <c r="EM110" s="47">
        <f t="shared" ref="EM110:EM121" si="314">$EJ110*CN110</f>
        <v>0</v>
      </c>
      <c r="EN110" s="47">
        <f t="shared" ref="EN110:EN121" si="315">$EJ110*CO110</f>
        <v>0</v>
      </c>
      <c r="EO110" s="47">
        <f t="shared" ref="EO110:EO121" si="316">$EJ110*CP110</f>
        <v>0</v>
      </c>
      <c r="EP110" s="47">
        <f t="shared" ref="EP110:EP121" si="317">$EJ110*CQ110</f>
        <v>0</v>
      </c>
      <c r="EQ110" s="47">
        <f t="shared" ref="EQ110:EQ121" si="318">$EJ110*CR110</f>
        <v>0</v>
      </c>
      <c r="ER110" s="47">
        <f t="shared" ref="ER110:ER121" si="319">$EJ110*CS110</f>
        <v>0</v>
      </c>
      <c r="ES110" s="47">
        <f t="shared" ref="ES110:ES121" si="320">$EJ110*CT110</f>
        <v>0</v>
      </c>
      <c r="ET110" s="47">
        <f t="shared" ref="ET110:ET121" si="321">$EJ110*CU110</f>
        <v>0</v>
      </c>
      <c r="EU110" s="47">
        <f t="shared" ref="EU110:EU121" si="322">$EJ110*CV110</f>
        <v>0</v>
      </c>
      <c r="EV110" s="47">
        <f t="shared" ref="EV110:EV121" si="323">$EJ110*CW110</f>
        <v>0</v>
      </c>
      <c r="EW110" s="47">
        <f t="shared" ref="EW110:EW121" si="324">$EJ110*CX110</f>
        <v>0</v>
      </c>
      <c r="EX110" s="47">
        <f t="shared" ref="EX110:EX121" si="325">$EJ110*CY110</f>
        <v>0</v>
      </c>
      <c r="EY110" s="47">
        <f t="shared" ref="EY110:EY121" si="326">$EJ110*CZ110</f>
        <v>0</v>
      </c>
      <c r="EZ110" s="47">
        <f t="shared" ref="EZ110:EZ121" si="327">$EJ110*DA110</f>
        <v>0</v>
      </c>
      <c r="FA110" s="47">
        <f t="shared" ref="FA110:FA121" si="328">$EK110*CN110</f>
        <v>198.60624999999999</v>
      </c>
      <c r="FB110" s="47">
        <f t="shared" ref="FB110:FB121" si="329">$EK110*CO110</f>
        <v>0</v>
      </c>
      <c r="FC110" s="47">
        <f t="shared" ref="FC110:FC121" si="330">$EK110*CP110</f>
        <v>183.10624999999999</v>
      </c>
      <c r="FD110" s="47">
        <f t="shared" ref="FD110:FD121" si="331">$EK110*CQ110</f>
        <v>0</v>
      </c>
      <c r="FE110" s="47">
        <f t="shared" ref="FE110:FE121" si="332">$EK110*CR110</f>
        <v>167.60624999999999</v>
      </c>
      <c r="FF110" s="47">
        <f t="shared" ref="FF110:FF121" si="333">$EK110*CS110</f>
        <v>0</v>
      </c>
      <c r="FG110" s="47">
        <f t="shared" ref="FG110:FG121" si="334">$EK110*CT110</f>
        <v>152.10624999999996</v>
      </c>
      <c r="FH110" s="47">
        <f t="shared" ref="FH110:FH121" si="335">$EK110*CU110</f>
        <v>0</v>
      </c>
      <c r="FI110" s="47">
        <f t="shared" ref="FI110:FI121" si="336">$EK110*CV110</f>
        <v>136.60624999999996</v>
      </c>
      <c r="FJ110" s="47">
        <f t="shared" ref="FJ110:FJ121" si="337">$EK110*CW110</f>
        <v>0</v>
      </c>
      <c r="FK110" s="47">
        <f t="shared" ref="FK110:FK121" si="338">$EK110*CX110</f>
        <v>121.10625000000002</v>
      </c>
      <c r="FL110" s="47">
        <f t="shared" ref="FL110:FL121" si="339">$EK110*CY110</f>
        <v>0</v>
      </c>
      <c r="FM110" s="47">
        <f t="shared" ref="FM110:FM121" si="340">$EK110*CZ110</f>
        <v>105.60625000000002</v>
      </c>
      <c r="FN110" s="47">
        <f t="shared" ref="FN110:FN121" si="341">$EK110*DA110</f>
        <v>0</v>
      </c>
      <c r="FO110" s="546">
        <f t="shared" ref="FO110:FO121" ca="1" si="342">I110/AT110</f>
        <v>805.91157409258938</v>
      </c>
      <c r="FP110" s="546">
        <f t="shared" ref="FP110:FP121" ca="1" si="343">L110/AU110</f>
        <v>975.27505044722989</v>
      </c>
      <c r="FQ110" s="546">
        <f t="shared" ref="FQ110:FQ121" ca="1" si="344">R110/AV110</f>
        <v>2714.3041482327317</v>
      </c>
      <c r="FR110" s="546">
        <f t="shared" ref="FR110:FR121" ca="1" si="345">X110/AW110</f>
        <v>83247.438669510957</v>
      </c>
      <c r="FS110" s="546">
        <f t="shared" ref="FS110:FS121" ca="1" si="346">AD110/AX110</f>
        <v>1773163.9651011005</v>
      </c>
      <c r="FT110" s="546">
        <f t="shared" ref="FT110:FT121" ca="1" si="347">AI110/AY110</f>
        <v>5670055.139558156</v>
      </c>
      <c r="FU110" s="546">
        <f t="shared" ref="FU110:FU121" si="348">AL110/AZ110</f>
        <v>38.911955832902251</v>
      </c>
      <c r="FV110" s="546">
        <f t="shared" ref="FV110:FV121" si="349">AM110/BA110</f>
        <v>30.942817614975198</v>
      </c>
      <c r="FW110" s="546">
        <f t="shared" ref="FW110:FW121" si="350">AN110/BB110</f>
        <v>501.29608673812226</v>
      </c>
      <c r="FX110" s="546">
        <f t="shared" ref="FX110:FX121" ca="1" si="351">BE110/CG110</f>
        <v>788.25128005555996</v>
      </c>
      <c r="FY110" s="546">
        <f t="shared" ref="FY110:FY121" ca="1" si="352">BK110/CH110</f>
        <v>3320.2996610636192</v>
      </c>
      <c r="FZ110" s="546">
        <f t="shared" ref="FZ110:FZ121" ca="1" si="353">BQ110/CI110</f>
        <v>88085.032502287184</v>
      </c>
      <c r="GA110" s="546">
        <f t="shared" ref="GA110:GA121" si="354">BZ110/CJ110</f>
        <v>125719.00070148586</v>
      </c>
      <c r="GB110" s="546">
        <f t="shared" ref="GB110:GB121" si="355">BZ110/CK110</f>
        <v>27.375678362337762</v>
      </c>
      <c r="GC110" s="546">
        <f t="shared" ref="GC110:GC121" si="356">CA110/CL110</f>
        <v>11.387710379210557</v>
      </c>
      <c r="GD110" s="546">
        <f t="shared" ref="GD110:GD121" si="357">CB110/CM110</f>
        <v>400.0480913316544</v>
      </c>
    </row>
    <row r="111" spans="1:186">
      <c r="A111" s="4">
        <v>45689</v>
      </c>
      <c r="B111" s="6">
        <f t="shared" ref="B111:B121" si="358">B99+1</f>
        <v>2025</v>
      </c>
      <c r="C111" s="5">
        <f t="shared" ref="C111:C121" si="359">C99</f>
        <v>2</v>
      </c>
      <c r="D111" s="7">
        <v>85342808.997986972</v>
      </c>
      <c r="E111" s="7">
        <f ca="1">IFERROR(VLOOKUP($B111-1,CDM!$V$4:$AJ$17,2,FALSE)/12,0)+IFERROR(VLOOKUP($B111,CDM!$V$41:$AJ$54,2,FALSE)/24,0)+IFERROR(VLOOKUP($B111,CDM!$V$41:$AJ$54,2,FALSE)/2*$C111/78,0)</f>
        <v>4329614.5710585834</v>
      </c>
      <c r="F111" s="7">
        <f t="shared" ca="1" si="285"/>
        <v>89672423.569045559</v>
      </c>
      <c r="G111" s="7">
        <f>IFERROR(HLOOKUP(B111-1,'EV Forecast VRZ'!$F$124:$T$130,2,FALSE)/12,0)+IFERROR(((HLOOKUP(B111,'EV Forecast VRZ'!$F$116:$T$122,2,FALSE)-HLOOKUP(B111-1,'EV Forecast VRZ'!$F$124:$T$130,2,FALSE)))*C111/78,0)</f>
        <v>1471724.7925817093</v>
      </c>
      <c r="H111" s="7">
        <f ca="1">HLOOKUP(B111,Heating!$C$102:$O$106,2,FALSE)*INDEX(Weather!$BO$1:$CB$20,MATCH(B111,Weather!$BO$1:$BO$20,0),MATCH(C111,Weather!$BO$1:$CB$1,0))/VLOOKUP(B111,Weather!$BO$2:$CB$20,14,FALSE)*
VLOOKUP('Monthly Data'!$B111,Weather!$BO$3:$CB$20,14,FALSE)/Weather!$CB$14</f>
        <v>3164315.2718622722</v>
      </c>
      <c r="I111" s="7">
        <f t="shared" ca="1" si="270"/>
        <v>85036383.504601583</v>
      </c>
      <c r="J111" s="7">
        <v>1309984.5100267113</v>
      </c>
      <c r="K111" s="7">
        <f ca="1">IFERROR(VLOOKUP($B111-1,CDM!$V$4:$AJ$17,3,FALSE)/12,0)+IFERROR(VLOOKUP($B111,CDM!$V$41:$AJ$54,3,FALSE)/24,0)+IFERROR(VLOOKUP($B111,CDM!$V$41:$AJ$54,3,FALSE)/2*$C111/78,0)</f>
        <v>49588.179737317019</v>
      </c>
      <c r="L111" s="7">
        <f t="shared" ca="1" si="286"/>
        <v>1359572.6897640282</v>
      </c>
      <c r="M111" s="7">
        <f>IFERROR(HLOOKUP(B111-1,'EV Forecast VRZ'!$F$124:$T$130,3,FALSE)/12,0)+IFERROR(((HLOOKUP(B111,'EV Forecast VRZ'!$F$116:$T$122,3,FALSE)-HLOOKUP(B111-1,'EV Forecast VRZ'!$F$124:$T$130,3,FALSE)))*C111/78,0)</f>
        <v>19970.042161880177</v>
      </c>
      <c r="N111" s="7">
        <f ca="1">HLOOKUP(B111,Heating!$C$102:$O$106,3,FALSE)*INDEX(Weather!$BO$1:$CB$20,MATCH(B111,Weather!$BO$1:$BO$20,0),MATCH(C111,Weather!$BO$1:$CB$1,0))/VLOOKUP(B111,Weather!$BO$2:$CB$20,14,FALSE)*
VLOOKUP('Monthly Data'!$B111,Weather!$BO$3:$CB$20,14,FALSE)/Weather!$CB$14</f>
        <v>36549.927573958601</v>
      </c>
      <c r="O111" s="7">
        <f t="shared" ca="1" si="287"/>
        <v>1303052.7200281892</v>
      </c>
      <c r="P111" s="7">
        <v>21623529.036510158</v>
      </c>
      <c r="Q111" s="7">
        <f ca="1">IFERROR(VLOOKUP($B111-1,CDM!$V$4:$AJ$17,4,FALSE)/12,0)+IFERROR(VLOOKUP($B111,CDM!$V$41:$AJ$54,4,FALSE)/24,0)+IFERROR(VLOOKUP($B111,CDM!$V$41:$AJ$54,4,FALSE)/2*$C111/78,0)</f>
        <v>1805607.0969792658</v>
      </c>
      <c r="R111" s="7">
        <f t="shared" ca="1" si="288"/>
        <v>23429136.133489423</v>
      </c>
      <c r="S111" s="7">
        <f>IFERROR(HLOOKUP(B111-1,'EV Forecast VRZ'!$F$124:$T$130,4,FALSE)/12,0)+IFERROR(((HLOOKUP(B111,'EV Forecast VRZ'!$F$116:$T$122,4,FALSE)-HLOOKUP(B111-1,'EV Forecast VRZ'!$F$124:$T$130,4,FALSE)))*C111/78,0)</f>
        <v>190183.32897435897</v>
      </c>
      <c r="T111" s="7">
        <f ca="1">HLOOKUP(B111,Heating!$C$102:$O$106,4,FALSE)*INDEX(Weather!$BO$1:$CB$20,MATCH(B111,Weather!$BO$1:$BO$20,0),MATCH(C111,Weather!$BO$1:$CB$1,0))/VLOOKUP(B111,Weather!$BO$2:$CB$20,14,FALSE)*
VLOOKUP('Monthly Data'!$B111,Weather!$BO$3:$CB$20,14,FALSE)/Weather!$CB$14</f>
        <v>733450.00827764429</v>
      </c>
      <c r="U111" s="7">
        <f t="shared" ca="1" si="289"/>
        <v>22505502.79623742</v>
      </c>
      <c r="V111" s="7">
        <v>74412184.105877668</v>
      </c>
      <c r="W111" s="7">
        <f ca="1">IFERROR(VLOOKUP($B111-1,CDM!$V$4:$AJ$17,5,FALSE)/12,0)+IFERROR(VLOOKUP($B111,CDM!$V$41:$AJ$54,5,FALSE)/24,0)+IFERROR(VLOOKUP($B111,CDM!$V$41:$AJ$54,5,FALSE)/2*$C111/78,0)</f>
        <v>7692040.0528846681</v>
      </c>
      <c r="X111" s="7">
        <f t="shared" ca="1" si="290"/>
        <v>82104224.158762336</v>
      </c>
      <c r="Y111" s="7">
        <f>IFERROR(HLOOKUP(B111-1,'EV Forecast VRZ'!$F$124:$T$130,5,FALSE)/12,0)+IFERROR(((HLOOKUP(B111,'EV Forecast VRZ'!$F$116:$T$122,5,FALSE)-HLOOKUP(B111-1,'EV Forecast VRZ'!$F$124:$T$130,5,FALSE)))*C111/78,0)</f>
        <v>90939.292910256409</v>
      </c>
      <c r="Z111" s="7">
        <f ca="1">HLOOKUP(B111,Heating!$C$102:$O$106,5,FALSE)*INDEX(Weather!$BO$1:$CB$20,MATCH(B111,Weather!$BO$1:$BO$20,0),MATCH(C111,Weather!$BO$1:$CB$1,0))/VLOOKUP(B111,Weather!$BO$2:$CB$20,14,FALSE)*
VLOOKUP('Monthly Data'!$B111,Weather!$BO$3:$CB$20,14,FALSE)/Weather!$CB$14</f>
        <v>385217.78237646219</v>
      </c>
      <c r="AA111" s="7">
        <f t="shared" ca="1" si="291"/>
        <v>81628067.083475605</v>
      </c>
      <c r="AB111" s="7">
        <v>7949750.2603262737</v>
      </c>
      <c r="AC111" s="7">
        <f ca="1">IFERROR(VLOOKUP($B111-1,CDM!$V$4:$AJ$17,6,FALSE)/12,0)+IFERROR(VLOOKUP($B111,CDM!$V$41:$AJ$54,6,FALSE)/24,0)+IFERROR(VLOOKUP($B111,CDM!$V$41:$AJ$54,6,FALSE)/2*$C111/78,0)</f>
        <v>409113.01528197748</v>
      </c>
      <c r="AD111" s="7">
        <f t="shared" ca="1" si="292"/>
        <v>8358863.2756082509</v>
      </c>
      <c r="AE111" s="7">
        <f>IFERROR(HLOOKUP(B111-1,'EV Forecast VRZ'!$F$124:$T$130,6,FALSE)/12,0)+IFERROR(((HLOOKUP(B111,'EV Forecast VRZ'!$F$116:$T$122,6,FALSE)-HLOOKUP(B111-1,'EV Forecast VRZ'!$F$124:$T$130,6,FALSE)))*C111/78,0)</f>
        <v>12001.730551282053</v>
      </c>
      <c r="AF111" s="7">
        <f t="shared" ca="1" si="293"/>
        <v>8346861.5450569689</v>
      </c>
      <c r="AG111" s="7">
        <v>24964221.487958334</v>
      </c>
      <c r="AH111" s="7">
        <f ca="1">IFERROR(VLOOKUP($B111-1,CDM!$V$4:$AJ$17,7,FALSE)/12,0)+IFERROR(VLOOKUP($B111,CDM!$V$41:$AJ$54,7,FALSE)/24,0)+IFERROR(VLOOKUP($B111,CDM!$V$41:$AJ$54,7,FALSE)/2*$C111/78,0)</f>
        <v>2272718.0365108596</v>
      </c>
      <c r="AI111" s="7">
        <f t="shared" ca="1" si="294"/>
        <v>27236939.524469193</v>
      </c>
      <c r="AJ111" s="7">
        <f>IFERROR(HLOOKUP(B111-1,'EV Forecast VRZ'!$F$124:$T$130,7,FALSE)/12,0)+IFERROR(((HLOOKUP(B111,'EV Forecast VRZ'!$F$116:$T$122,7,FALSE)-HLOOKUP(B111-1,'EV Forecast VRZ'!$F$124:$T$130,7,FALSE)))*C111/78,0)</f>
        <v>2103.8461538461538</v>
      </c>
      <c r="AK111" s="7">
        <f t="shared" ca="1" si="295"/>
        <v>27234835.678315345</v>
      </c>
      <c r="AL111" s="7">
        <v>1070201.1925205113</v>
      </c>
      <c r="AM111" s="7">
        <v>6574.8521274565919</v>
      </c>
      <c r="AN111" s="7">
        <v>375888.33237931691</v>
      </c>
      <c r="AO111" s="3">
        <v>180261.32</v>
      </c>
      <c r="AP111" s="3">
        <v>18829.689999999999</v>
      </c>
      <c r="AQ111" s="3">
        <v>43915</v>
      </c>
      <c r="AR111" s="3">
        <v>2831.33</v>
      </c>
      <c r="AS111" s="3">
        <f t="shared" ref="AS111:AS121" si="360">602/SUM($AM$98:$AM$109)*(SUM($AM$110:$AM$121)/12)</f>
        <v>49.343669810839387</v>
      </c>
      <c r="AT111" s="576">
        <f t="shared" ref="AT111:AT120" si="361">(AT$121-AT$109)/12+AT110</f>
        <v>118496.33333333334</v>
      </c>
      <c r="AU111" s="576">
        <f t="shared" si="296"/>
        <v>1558</v>
      </c>
      <c r="AV111" s="576">
        <f t="shared" si="296"/>
        <v>9505.8333333333321</v>
      </c>
      <c r="AW111" s="576">
        <f t="shared" si="296"/>
        <v>1079</v>
      </c>
      <c r="AX111" s="576">
        <f t="shared" si="296"/>
        <v>5</v>
      </c>
      <c r="AY111" s="576">
        <f t="shared" si="296"/>
        <v>5</v>
      </c>
      <c r="AZ111" s="576">
        <f t="shared" si="296"/>
        <v>33051.166666666672</v>
      </c>
      <c r="BA111" s="576">
        <f t="shared" si="296"/>
        <v>234.5</v>
      </c>
      <c r="BB111" s="576">
        <f t="shared" si="296"/>
        <v>755.66666666666674</v>
      </c>
      <c r="BC111" s="562">
        <v>30247666.760551002</v>
      </c>
      <c r="BD111" s="560">
        <f ca="1">IFERROR(VLOOKUP($B111-1,CDM!$V$4:$AJ$17,11,FALSE)/12,0)+IFERROR(VLOOKUP($B111,CDM!$V$41:$AJ$54,11,FALSE)/24,0)+IFERROR(VLOOKUP($B111,CDM!$V$41:$AJ$54,11,FALSE)/2*$C111/78,0)</f>
        <v>1894600.1437506115</v>
      </c>
      <c r="BE111" s="560">
        <f t="shared" ca="1" si="297"/>
        <v>32142266.904301614</v>
      </c>
      <c r="BF111" s="560">
        <f>IFERROR(HLOOKUP(B111-1,'EV Forecast WRZ'!$F$124:$T$130,2,FALSE)/12,0)+IFERROR(((HLOOKUP(B111,'EV Forecast WRZ'!$F$116:$T$122,2,FALSE)-HLOOKUP(B111-1,'EV Forecast WRZ'!$F$124:$T$130,2,FALSE)))*C111/78,0)</f>
        <v>501358.61717948713</v>
      </c>
      <c r="BG111" s="560">
        <f ca="1">HLOOKUP(B111,Heating!$R$102:$AD$106,2,FALSE)*INDEX(Weather!$BO$1:$CB$20,MATCH(B111,Weather!$BO$1:$BO$20,0),MATCH(C111,Weather!$BO$1:$CB$1,0))/VLOOKUP(B111,Weather!$BO$2:$CB$20,14,FALSE)*
VLOOKUP('Monthly Data'!$B111,Weather!$BO$3:$CB$20,14,FALSE)/Weather!$CB$14</f>
        <v>1347007.4240654251</v>
      </c>
      <c r="BH111" s="560">
        <f t="shared" ca="1" si="298"/>
        <v>30293900.863056701</v>
      </c>
      <c r="BI111" s="562">
        <v>7058368.5780466748</v>
      </c>
      <c r="BJ111" s="560">
        <f ca="1">IFERROR(VLOOKUP($B111-1,CDM!$V$4:$AJ$17,12,FALSE)/12,0)+IFERROR(VLOOKUP($B111,CDM!$V$41:$AJ$54,12,FALSE)/24,0)+IFERROR(VLOOKUP($B111,CDM!$V$41:$AJ$54,12,FALSE)/2*$C111/78,0)</f>
        <v>329906.20512829447</v>
      </c>
      <c r="BK111" s="560">
        <f t="shared" ca="1" si="299"/>
        <v>7388274.7831749693</v>
      </c>
      <c r="BL111" s="560">
        <f>IFERROR(HLOOKUP(B111-1,'EV Forecast WRZ'!$F$124:$T$130,3,FALSE)/12,0)+IFERROR(((HLOOKUP(B111,'EV Forecast WRZ'!$F$116:$T$122,3,FALSE)-HLOOKUP(B111-1,'EV Forecast WRZ'!$F$124:$T$130,3,FALSE)))*C111/78,0)</f>
        <v>68738.344102564108</v>
      </c>
      <c r="BM111" s="560">
        <f ca="1">HLOOKUP(B111,Heating!$R$102:$AD$106,4,FALSE)*INDEX(Weather!$BO$1:$CB$20,MATCH(B111,Weather!$BO$1:$BO$20,0),MATCH(C111,Weather!$BO$1:$CB$1,0))/VLOOKUP(B111,Weather!$BO$2:$CB$20,14,FALSE)*
VLOOKUP('Monthly Data'!$B111,Weather!$BO$3:$CB$20,14,FALSE)/Weather!$CB$14</f>
        <v>214323.02243024801</v>
      </c>
      <c r="BN111" s="560">
        <f t="shared" ca="1" si="300"/>
        <v>7105213.4166421574</v>
      </c>
      <c r="BO111" s="562">
        <v>28020457.481837284</v>
      </c>
      <c r="BP111" s="560">
        <f ca="1">IFERROR(VLOOKUP($B111-1,CDM!$V$4:$AJ$17,13,FALSE)/12,0)+IFERROR(VLOOKUP($B111,CDM!$V$41:$AJ$54,13,FALSE)/24,0)+IFERROR(VLOOKUP($B111,CDM!$V$41:$AJ$54,13,FALSE)/2*$C111/78,0)</f>
        <v>3331060.9041829123</v>
      </c>
      <c r="BQ111" s="560">
        <f t="shared" ca="1" si="301"/>
        <v>31351518.386020195</v>
      </c>
      <c r="BR111" s="560">
        <f>IFERROR(HLOOKUP(B111-1,'EV Forecast WRZ'!$F$124:$T$130,4,FALSE)/12,0)+IFERROR(((HLOOKUP(B111,'EV Forecast WRZ'!$F$116:$T$122,4,FALSE)-HLOOKUP(B111-1,'EV Forecast WRZ'!$F$124:$T$130,4,FALSE)))*C111/78,0)</f>
        <v>30394.658692307694</v>
      </c>
      <c r="BS111" s="560">
        <f ca="1">HLOOKUP(B111,Heating!$R$102:$AD$106,5,FALSE)*INDEX(Weather!$BO$1:$CB$20,MATCH(B111,Weather!$BO$1:$BO$20,0),MATCH(C111,Weather!$BO$1:$CB$1,0))/VLOOKUP(B111,Weather!$BO$2:$CB$20,14,FALSE)*
VLOOKUP('Monthly Data'!$B111,Weather!$BO$3:$CB$20,14,FALSE)/Weather!$CB$14</f>
        <v>114324.94817660292</v>
      </c>
      <c r="BT111" s="560">
        <f t="shared" ca="1" si="302"/>
        <v>31206798.779151283</v>
      </c>
      <c r="BU111" s="562">
        <v>6406399.4406943107</v>
      </c>
      <c r="BV111" s="560">
        <f ca="1">IFERROR(VLOOKUP($B111-1,CDM!$V$4:$AJ$17,14,FALSE)/12,0)+IFERROR(VLOOKUP($B111,CDM!$V$41:$AJ$54,14,FALSE)/24,0)+IFERROR(VLOOKUP($B111,CDM!$V$41:$AJ$54,14,FALSE)/2*$C111/78,0)</f>
        <v>750956.93251849839</v>
      </c>
      <c r="BW111" s="560">
        <f t="shared" ca="1" si="303"/>
        <v>7157356.3732128087</v>
      </c>
      <c r="BX111" s="560">
        <f>IFERROR(HLOOKUP(B111-1,'EV Forecast WRZ'!$F$124:$T$130,5,FALSE)/12,0)+IFERROR(((HLOOKUP(B111,'EV Forecast WRZ'!$F$116:$T$122,5,FALSE)-HLOOKUP(B111-1,'EV Forecast WRZ'!$F$124:$T$130,5,FALSE)))*C111/78,0)</f>
        <v>5584.1287435897439</v>
      </c>
      <c r="BY111" s="560">
        <f t="shared" ca="1" si="304"/>
        <v>7151772.2444692189</v>
      </c>
      <c r="BZ111" s="562">
        <v>314518.99751291366</v>
      </c>
      <c r="CA111" s="562">
        <v>511.49799119954082</v>
      </c>
      <c r="CB111" s="562">
        <v>155351.97053759327</v>
      </c>
      <c r="CC111" s="3">
        <v>64138.07</v>
      </c>
      <c r="CD111" s="3">
        <v>13357.48</v>
      </c>
      <c r="CE111" s="3">
        <v>833</v>
      </c>
      <c r="CF111" s="3">
        <f t="shared" ref="CF111:CF120" si="362">SUM($CF$98:$CF$109)/SUM($CA$98:$CA$109)*(SUM($CA$110:$CA$121)/12)</f>
        <v>6.8977675926717925</v>
      </c>
      <c r="CG111" s="576">
        <f t="shared" ref="CG111:CG120" si="363">(CG$121-CG$109)/12+CG110</f>
        <v>45743</v>
      </c>
      <c r="CH111" s="576">
        <f t="shared" si="305"/>
        <v>2473</v>
      </c>
      <c r="CI111" s="576">
        <f t="shared" si="306"/>
        <v>392</v>
      </c>
      <c r="CJ111" s="576">
        <f t="shared" si="307"/>
        <v>3</v>
      </c>
      <c r="CK111" s="576">
        <f t="shared" si="308"/>
        <v>13791.166666666668</v>
      </c>
      <c r="CL111" s="576">
        <f t="shared" si="309"/>
        <v>44.833333333333329</v>
      </c>
      <c r="CM111" s="576">
        <f t="shared" si="310"/>
        <v>388.66666666666663</v>
      </c>
      <c r="CN111" s="46">
        <f>Weather!C135</f>
        <v>721.25833333333333</v>
      </c>
      <c r="CO111" s="46">
        <f>Weather!D135</f>
        <v>0</v>
      </c>
      <c r="CP111" s="46">
        <f>Weather!E135</f>
        <v>665.25833333333344</v>
      </c>
      <c r="CQ111" s="46">
        <f>Weather!F135</f>
        <v>0</v>
      </c>
      <c r="CR111" s="46">
        <f>Weather!G135</f>
        <v>609.25833333333344</v>
      </c>
      <c r="CS111" s="46">
        <f>Weather!H135</f>
        <v>0</v>
      </c>
      <c r="CT111" s="46">
        <f>Weather!I135</f>
        <v>553.25833333333333</v>
      </c>
      <c r="CU111" s="46">
        <f>Weather!J135</f>
        <v>0</v>
      </c>
      <c r="CV111" s="46">
        <f>Weather!K135</f>
        <v>497.25833333333333</v>
      </c>
      <c r="CW111" s="46">
        <f>Weather!L135</f>
        <v>0</v>
      </c>
      <c r="CX111" s="46">
        <f>Weather!M135</f>
        <v>441.25833333333333</v>
      </c>
      <c r="CY111" s="46">
        <f>Weather!N135</f>
        <v>0</v>
      </c>
      <c r="CZ111" s="46">
        <f>Weather!O135</f>
        <v>385.25833333333333</v>
      </c>
      <c r="DA111" s="46">
        <f>Weather!P135</f>
        <v>0</v>
      </c>
      <c r="DB111" s="243">
        <f>'Economic Data'!D137</f>
        <v>8230</v>
      </c>
      <c r="DC111" s="243">
        <f>'Economic Data'!E137</f>
        <v>8165.5</v>
      </c>
      <c r="DD111" s="243">
        <f>'Economic Data'!F137</f>
        <v>243.8</v>
      </c>
      <c r="DE111" s="243">
        <f>'Economic Data'!G137</f>
        <v>246.7</v>
      </c>
      <c r="DF111" s="243">
        <f>'Economic Data'!H137</f>
        <v>27.9</v>
      </c>
      <c r="DG111" s="243">
        <f>'Economic Data'!I137</f>
        <v>27.9</v>
      </c>
      <c r="DH111" s="243">
        <f>'Economic Data'!J137</f>
        <v>888015.75609999988</v>
      </c>
      <c r="DI111" s="243">
        <f>'Economic Data'!K137</f>
        <v>703631.11690000002</v>
      </c>
      <c r="DJ111" s="243">
        <f>'Economic Data'!L137</f>
        <v>93638.073199999984</v>
      </c>
      <c r="DK111" s="243">
        <f>'Economic Data'!M137</f>
        <v>34291.468199999996</v>
      </c>
      <c r="DL111" s="243">
        <f>'Economic Data'!N137</f>
        <v>897872</v>
      </c>
      <c r="DM111" s="243">
        <f>'Economic Data'!O137</f>
        <v>89295</v>
      </c>
      <c r="DN111" s="243">
        <f>'Economic Data'!P137</f>
        <v>17234</v>
      </c>
      <c r="DO111" s="243">
        <f>'Economic Data'!Q137</f>
        <v>719111</v>
      </c>
      <c r="DP111" s="243">
        <f>'Economic Data'!R137</f>
        <v>34233</v>
      </c>
      <c r="DQ111">
        <f t="shared" si="311"/>
        <v>28</v>
      </c>
      <c r="DR111">
        <v>19</v>
      </c>
      <c r="DS111">
        <f t="shared" ref="DS111:EF111" si="364">DS99</f>
        <v>0</v>
      </c>
      <c r="DT111">
        <f t="shared" si="364"/>
        <v>1</v>
      </c>
      <c r="DU111">
        <f t="shared" si="364"/>
        <v>0</v>
      </c>
      <c r="DV111">
        <f t="shared" si="364"/>
        <v>0</v>
      </c>
      <c r="DW111">
        <f t="shared" si="364"/>
        <v>0</v>
      </c>
      <c r="DX111">
        <f t="shared" si="364"/>
        <v>0</v>
      </c>
      <c r="DY111">
        <f t="shared" si="364"/>
        <v>0</v>
      </c>
      <c r="DZ111">
        <f t="shared" si="364"/>
        <v>0</v>
      </c>
      <c r="EA111">
        <f t="shared" si="364"/>
        <v>0</v>
      </c>
      <c r="EB111">
        <f t="shared" si="364"/>
        <v>0</v>
      </c>
      <c r="EC111">
        <f t="shared" si="364"/>
        <v>0</v>
      </c>
      <c r="ED111">
        <f t="shared" si="364"/>
        <v>0</v>
      </c>
      <c r="EE111">
        <f t="shared" si="364"/>
        <v>0</v>
      </c>
      <c r="EF111">
        <f t="shared" si="364"/>
        <v>0</v>
      </c>
      <c r="EG111">
        <f t="shared" si="313"/>
        <v>0</v>
      </c>
      <c r="EH111">
        <f t="shared" si="185"/>
        <v>110</v>
      </c>
      <c r="EI111">
        <v>0</v>
      </c>
      <c r="EJ111">
        <v>0</v>
      </c>
      <c r="EK111">
        <v>0.25</v>
      </c>
      <c r="EL111">
        <v>0</v>
      </c>
      <c r="EM111" s="47">
        <f t="shared" si="314"/>
        <v>0</v>
      </c>
      <c r="EN111" s="47">
        <f t="shared" si="315"/>
        <v>0</v>
      </c>
      <c r="EO111" s="47">
        <f t="shared" si="316"/>
        <v>0</v>
      </c>
      <c r="EP111" s="47">
        <f t="shared" si="317"/>
        <v>0</v>
      </c>
      <c r="EQ111" s="47">
        <f t="shared" si="318"/>
        <v>0</v>
      </c>
      <c r="ER111" s="47">
        <f t="shared" si="319"/>
        <v>0</v>
      </c>
      <c r="ES111" s="47">
        <f t="shared" si="320"/>
        <v>0</v>
      </c>
      <c r="ET111" s="47">
        <f t="shared" si="321"/>
        <v>0</v>
      </c>
      <c r="EU111" s="47">
        <f t="shared" si="322"/>
        <v>0</v>
      </c>
      <c r="EV111" s="47">
        <f t="shared" si="323"/>
        <v>0</v>
      </c>
      <c r="EW111" s="47">
        <f t="shared" si="324"/>
        <v>0</v>
      </c>
      <c r="EX111" s="47">
        <f t="shared" si="325"/>
        <v>0</v>
      </c>
      <c r="EY111" s="47">
        <f t="shared" si="326"/>
        <v>0</v>
      </c>
      <c r="EZ111" s="47">
        <f t="shared" si="327"/>
        <v>0</v>
      </c>
      <c r="FA111" s="47">
        <f t="shared" si="328"/>
        <v>180.31458333333333</v>
      </c>
      <c r="FB111" s="47">
        <f t="shared" si="329"/>
        <v>0</v>
      </c>
      <c r="FC111" s="47">
        <f t="shared" si="330"/>
        <v>166.31458333333336</v>
      </c>
      <c r="FD111" s="47">
        <f t="shared" si="331"/>
        <v>0</v>
      </c>
      <c r="FE111" s="47">
        <f t="shared" si="332"/>
        <v>152.31458333333336</v>
      </c>
      <c r="FF111" s="47">
        <f t="shared" si="333"/>
        <v>0</v>
      </c>
      <c r="FG111" s="47">
        <f t="shared" si="334"/>
        <v>138.31458333333333</v>
      </c>
      <c r="FH111" s="47">
        <f t="shared" si="335"/>
        <v>0</v>
      </c>
      <c r="FI111" s="47">
        <f t="shared" si="336"/>
        <v>124.31458333333333</v>
      </c>
      <c r="FJ111" s="47">
        <f t="shared" si="337"/>
        <v>0</v>
      </c>
      <c r="FK111" s="47">
        <f t="shared" si="338"/>
        <v>110.31458333333333</v>
      </c>
      <c r="FL111" s="47">
        <f t="shared" si="339"/>
        <v>0</v>
      </c>
      <c r="FM111" s="47">
        <f t="shared" si="340"/>
        <v>96.314583333333331</v>
      </c>
      <c r="FN111" s="47">
        <f t="shared" si="341"/>
        <v>0</v>
      </c>
      <c r="FO111" s="546">
        <f t="shared" ca="1" si="342"/>
        <v>717.62881696425131</v>
      </c>
      <c r="FP111" s="546">
        <f t="shared" ca="1" si="343"/>
        <v>872.63972385367663</v>
      </c>
      <c r="FQ111" s="546">
        <f t="shared" ca="1" si="344"/>
        <v>2464.7114368534508</v>
      </c>
      <c r="FR111" s="546">
        <f t="shared" ca="1" si="345"/>
        <v>76092.88615269911</v>
      </c>
      <c r="FS111" s="546">
        <f t="shared" ca="1" si="346"/>
        <v>1671772.6551216501</v>
      </c>
      <c r="FT111" s="546">
        <f t="shared" ca="1" si="347"/>
        <v>5447387.9048938388</v>
      </c>
      <c r="FU111" s="546">
        <f t="shared" si="348"/>
        <v>32.380133606595166</v>
      </c>
      <c r="FV111" s="546">
        <f t="shared" si="349"/>
        <v>28.037748944377789</v>
      </c>
      <c r="FW111" s="546">
        <f t="shared" si="350"/>
        <v>497.42611254430994</v>
      </c>
      <c r="FX111" s="546">
        <f t="shared" ca="1" si="351"/>
        <v>702.6707234834098</v>
      </c>
      <c r="FY111" s="546">
        <f t="shared" ca="1" si="352"/>
        <v>2987.575731166587</v>
      </c>
      <c r="FZ111" s="546">
        <f t="shared" ca="1" si="353"/>
        <v>79978.36322964335</v>
      </c>
      <c r="GA111" s="546">
        <f t="shared" si="354"/>
        <v>104839.66583763789</v>
      </c>
      <c r="GB111" s="546">
        <f t="shared" si="355"/>
        <v>22.805829638264612</v>
      </c>
      <c r="GC111" s="546">
        <f t="shared" si="356"/>
        <v>11.408877127127306</v>
      </c>
      <c r="GD111" s="546">
        <f t="shared" si="357"/>
        <v>399.70489846722114</v>
      </c>
    </row>
    <row r="112" spans="1:186">
      <c r="A112" s="4">
        <v>45717</v>
      </c>
      <c r="B112" s="6">
        <f t="shared" si="358"/>
        <v>2025</v>
      </c>
      <c r="C112" s="5">
        <f t="shared" si="359"/>
        <v>3</v>
      </c>
      <c r="D112" s="7">
        <v>82309570.818498299</v>
      </c>
      <c r="E112" s="7">
        <f ca="1">IFERROR(VLOOKUP($B112-1,CDM!$V$4:$AJ$17,2,FALSE)/12,0)+IFERROR(VLOOKUP($B112,CDM!$V$41:$AJ$54,2,FALSE)/24,0)+IFERROR(VLOOKUP($B112,CDM!$V$41:$AJ$54,2,FALSE)/2*$C112/78,0)</f>
        <v>4361519.2935554488</v>
      </c>
      <c r="F112" s="7">
        <f t="shared" ca="1" si="285"/>
        <v>86671090.112053752</v>
      </c>
      <c r="G112" s="7">
        <f>IFERROR(HLOOKUP(B112-1,'EV Forecast VRZ'!$F$124:$T$130,2,FALSE)/12,0)+IFERROR(((HLOOKUP(B112,'EV Forecast VRZ'!$F$116:$T$122,2,FALSE)-HLOOKUP(B112-1,'EV Forecast VRZ'!$F$124:$T$130,2,FALSE)))*C112/78,0)</f>
        <v>1498069.2228149779</v>
      </c>
      <c r="H112" s="7">
        <f ca="1">HLOOKUP(B112,Heating!$C$102:$O$106,2,FALSE)*INDEX(Weather!$BO$1:$CB$20,MATCH(B112,Weather!$BO$1:$BO$20,0),MATCH(C112,Weather!$BO$1:$CB$1,0))/VLOOKUP(B112,Weather!$BO$2:$CB$20,14,FALSE)*
VLOOKUP('Monthly Data'!$B112,Weather!$BO$3:$CB$20,14,FALSE)/Weather!$CB$14</f>
        <v>2466870.5528176329</v>
      </c>
      <c r="I112" s="7">
        <f t="shared" ca="1" si="270"/>
        <v>82706150.336421147</v>
      </c>
      <c r="J112" s="7">
        <v>1044420.0181930928</v>
      </c>
      <c r="K112" s="7">
        <f ca="1">IFERROR(VLOOKUP($B112-1,CDM!$V$4:$AJ$17,3,FALSE)/12,0)+IFERROR(VLOOKUP($B112,CDM!$V$41:$AJ$54,3,FALSE)/24,0)+IFERROR(VLOOKUP($B112,CDM!$V$41:$AJ$54,3,FALSE)/2*$C112/78,0)</f>
        <v>49953.452927191742</v>
      </c>
      <c r="L112" s="7">
        <f t="shared" ca="1" si="286"/>
        <v>1094373.4711202844</v>
      </c>
      <c r="M112" s="7">
        <f>IFERROR(HLOOKUP(B112-1,'EV Forecast VRZ'!$F$124:$T$130,3,FALSE)/12,0)+IFERROR(((HLOOKUP(B112,'EV Forecast VRZ'!$F$116:$T$122,3,FALSE)-HLOOKUP(B112-1,'EV Forecast VRZ'!$F$124:$T$130,3,FALSE)))*C112/78,0)</f>
        <v>20327.513467073179</v>
      </c>
      <c r="N112" s="7">
        <f ca="1">HLOOKUP(B112,Heating!$C$102:$O$106,3,FALSE)*INDEX(Weather!$BO$1:$CB$20,MATCH(B112,Weather!$BO$1:$BO$20,0),MATCH(C112,Weather!$BO$1:$CB$1,0))/VLOOKUP(B112,Weather!$BO$2:$CB$20,14,FALSE)*
VLOOKUP('Monthly Data'!$B112,Weather!$BO$3:$CB$20,14,FALSE)/Weather!$CB$14</f>
        <v>28493.981254513918</v>
      </c>
      <c r="O112" s="7">
        <f t="shared" ca="1" si="287"/>
        <v>1045551.9763986972</v>
      </c>
      <c r="P112" s="7">
        <v>21365620.189038325</v>
      </c>
      <c r="Q112" s="7">
        <f ca="1">IFERROR(VLOOKUP($B112-1,CDM!$V$4:$AJ$17,4,FALSE)/12,0)+IFERROR(VLOOKUP($B112,CDM!$V$41:$AJ$54,4,FALSE)/24,0)+IFERROR(VLOOKUP($B112,CDM!$V$41:$AJ$54,4,FALSE)/2*$C112/78,0)</f>
        <v>1819834.585326137</v>
      </c>
      <c r="R112" s="7">
        <f t="shared" ca="1" si="288"/>
        <v>23185454.774364464</v>
      </c>
      <c r="S112" s="7">
        <f>IFERROR(HLOOKUP(B112-1,'EV Forecast VRZ'!$F$124:$T$130,4,FALSE)/12,0)+IFERROR(((HLOOKUP(B112,'EV Forecast VRZ'!$F$116:$T$122,4,FALSE)-HLOOKUP(B112-1,'EV Forecast VRZ'!$F$124:$T$130,4,FALSE)))*C112/78,0)</f>
        <v>194210.81512820511</v>
      </c>
      <c r="T112" s="7">
        <f ca="1">HLOOKUP(B112,Heating!$C$102:$O$106,4,FALSE)*INDEX(Weather!$BO$1:$CB$20,MATCH(B112,Weather!$BO$1:$BO$20,0),MATCH(C112,Weather!$BO$1:$CB$1,0))/VLOOKUP(B112,Weather!$BO$2:$CB$20,14,FALSE)*
VLOOKUP('Monthly Data'!$B112,Weather!$BO$3:$CB$20,14,FALSE)/Weather!$CB$14</f>
        <v>571790.75785300613</v>
      </c>
      <c r="U112" s="7">
        <f t="shared" ca="1" si="289"/>
        <v>22419453.201383255</v>
      </c>
      <c r="V112" s="7">
        <v>78087172.550091863</v>
      </c>
      <c r="W112" s="7">
        <f ca="1">IFERROR(VLOOKUP($B112-1,CDM!$V$4:$AJ$17,5,FALSE)/12,0)+IFERROR(VLOOKUP($B112,CDM!$V$41:$AJ$54,5,FALSE)/24,0)+IFERROR(VLOOKUP($B112,CDM!$V$41:$AJ$54,5,FALSE)/2*$C112/78,0)</f>
        <v>7772510.065931173</v>
      </c>
      <c r="X112" s="7">
        <f t="shared" ca="1" si="290"/>
        <v>85859682.616023034</v>
      </c>
      <c r="Y112" s="7">
        <f>IFERROR(HLOOKUP(B112-1,'EV Forecast VRZ'!$F$124:$T$130,5,FALSE)/12,0)+IFERROR(((HLOOKUP(B112,'EV Forecast VRZ'!$F$116:$T$122,5,FALSE)-HLOOKUP(B112-1,'EV Forecast VRZ'!$F$124:$T$130,5,FALSE)))*C112/78,0)</f>
        <v>93050.059115384618</v>
      </c>
      <c r="Z112" s="7">
        <f ca="1">HLOOKUP(B112,Heating!$C$102:$O$106,5,FALSE)*INDEX(Weather!$BO$1:$CB$20,MATCH(B112,Weather!$BO$1:$BO$20,0),MATCH(C112,Weather!$BO$1:$CB$1,0))/VLOOKUP(B112,Weather!$BO$2:$CB$20,14,FALSE)*
VLOOKUP('Monthly Data'!$B112,Weather!$BO$3:$CB$20,14,FALSE)/Weather!$CB$14</f>
        <v>300312.17565971002</v>
      </c>
      <c r="AA112" s="7">
        <f t="shared" ca="1" si="291"/>
        <v>85466320.381247938</v>
      </c>
      <c r="AB112" s="7">
        <v>8551237.4272050578</v>
      </c>
      <c r="AC112" s="7">
        <f ca="1">IFERROR(VLOOKUP($B112-1,CDM!$V$4:$AJ$17,6,FALSE)/12,0)+IFERROR(VLOOKUP($B112,CDM!$V$41:$AJ$54,6,FALSE)/24,0)+IFERROR(VLOOKUP($B112,CDM!$V$41:$AJ$54,6,FALSE)/2*$C112/78,0)</f>
        <v>415513.48840913735</v>
      </c>
      <c r="AD112" s="7">
        <f t="shared" ca="1" si="292"/>
        <v>8966750.9156141952</v>
      </c>
      <c r="AE112" s="7">
        <f>IFERROR(HLOOKUP(B112-1,'EV Forecast VRZ'!$F$124:$T$130,6,FALSE)/12,0)+IFERROR(((HLOOKUP(B112,'EV Forecast VRZ'!$F$116:$T$122,6,FALSE)-HLOOKUP(B112-1,'EV Forecast VRZ'!$F$124:$T$130,6,FALSE)))*C112/78,0)</f>
        <v>12366.886910256411</v>
      </c>
      <c r="AF112" s="7">
        <f t="shared" ca="1" si="293"/>
        <v>8954384.0287039392</v>
      </c>
      <c r="AG112" s="7">
        <v>27116619.073274631</v>
      </c>
      <c r="AH112" s="7">
        <f ca="1">IFERROR(VLOOKUP($B112-1,CDM!$V$4:$AJ$17,7,FALSE)/12,0)+IFERROR(VLOOKUP($B112,CDM!$V$41:$AJ$54,7,FALSE)/24,0)+IFERROR(VLOOKUP($B112,CDM!$V$41:$AJ$54,7,FALSE)/2*$C112/78,0)</f>
        <v>2302075.2627182156</v>
      </c>
      <c r="AI112" s="7">
        <f t="shared" ca="1" si="294"/>
        <v>29418694.335992847</v>
      </c>
      <c r="AJ112" s="7">
        <f>IFERROR(HLOOKUP(B112-1,'EV Forecast VRZ'!$F$124:$T$130,7,FALSE)/12,0)+IFERROR(((HLOOKUP(B112,'EV Forecast VRZ'!$F$116:$T$122,7,FALSE)-HLOOKUP(B112-1,'EV Forecast VRZ'!$F$124:$T$130,7,FALSE)))*C112/78,0)</f>
        <v>2218.2692307692309</v>
      </c>
      <c r="AK112" s="7">
        <f t="shared" ca="1" si="295"/>
        <v>29416476.066762079</v>
      </c>
      <c r="AL112" s="7">
        <v>989128.42014882655</v>
      </c>
      <c r="AM112" s="7">
        <v>7279.2978439229155</v>
      </c>
      <c r="AN112" s="7">
        <v>376262.65979774855</v>
      </c>
      <c r="AO112" s="3">
        <v>180056.41</v>
      </c>
      <c r="AP112" s="3">
        <v>18261.759999999998</v>
      </c>
      <c r="AQ112" s="3">
        <v>43416.74</v>
      </c>
      <c r="AR112" s="3">
        <v>2659.04</v>
      </c>
      <c r="AS112" s="3">
        <f t="shared" si="360"/>
        <v>49.343669810839387</v>
      </c>
      <c r="AT112" s="576">
        <f t="shared" si="361"/>
        <v>118588.00000000001</v>
      </c>
      <c r="AU112" s="576">
        <f t="shared" si="296"/>
        <v>1557</v>
      </c>
      <c r="AV112" s="576">
        <f t="shared" si="296"/>
        <v>9505.7499999999982</v>
      </c>
      <c r="AW112" s="576">
        <f t="shared" si="296"/>
        <v>1081</v>
      </c>
      <c r="AX112" s="576">
        <f t="shared" si="296"/>
        <v>5</v>
      </c>
      <c r="AY112" s="576">
        <f t="shared" si="296"/>
        <v>5</v>
      </c>
      <c r="AZ112" s="576">
        <f t="shared" si="296"/>
        <v>33072.750000000007</v>
      </c>
      <c r="BA112" s="576">
        <f t="shared" si="296"/>
        <v>233.75</v>
      </c>
      <c r="BB112" s="576">
        <f t="shared" si="296"/>
        <v>760.00000000000011</v>
      </c>
      <c r="BC112" s="562">
        <v>30100233.983786102</v>
      </c>
      <c r="BD112" s="560">
        <f ca="1">IFERROR(VLOOKUP($B112-1,CDM!$V$4:$AJ$17,11,FALSE)/12,0)+IFERROR(VLOOKUP($B112,CDM!$V$41:$AJ$54,11,FALSE)/24,0)+IFERROR(VLOOKUP($B112,CDM!$V$41:$AJ$54,11,FALSE)/2*$C112/78,0)</f>
        <v>1907021.5494532816</v>
      </c>
      <c r="BE112" s="560">
        <f t="shared" ca="1" si="297"/>
        <v>32007255.533239383</v>
      </c>
      <c r="BF112" s="560">
        <f>IFERROR(HLOOKUP(B112-1,'EV Forecast WRZ'!$F$124:$T$130,2,FALSE)/12,0)+IFERROR(((HLOOKUP(B112,'EV Forecast WRZ'!$F$116:$T$122,2,FALSE)-HLOOKUP(B112-1,'EV Forecast WRZ'!$F$124:$T$130,2,FALSE)))*C112/78,0)</f>
        <v>509418.68743589736</v>
      </c>
      <c r="BG112" s="560">
        <f ca="1">HLOOKUP(B112,Heating!$R$102:$AD$106,2,FALSE)*INDEX(Weather!$BO$1:$CB$20,MATCH(B112,Weather!$BO$1:$BO$20,0),MATCH(C112,Weather!$BO$1:$CB$1,0))/VLOOKUP(B112,Weather!$BO$2:$CB$20,14,FALSE)*
VLOOKUP('Monthly Data'!$B112,Weather!$BO$3:$CB$20,14,FALSE)/Weather!$CB$14</f>
        <v>1050114.373369039</v>
      </c>
      <c r="BH112" s="560">
        <f t="shared" ca="1" si="298"/>
        <v>30447722.472434446</v>
      </c>
      <c r="BI112" s="562">
        <v>6978329.466768709</v>
      </c>
      <c r="BJ112" s="560">
        <f ca="1">IFERROR(VLOOKUP($B112-1,CDM!$V$4:$AJ$17,12,FALSE)/12,0)+IFERROR(VLOOKUP($B112,CDM!$V$41:$AJ$54,12,FALSE)/24,0)+IFERROR(VLOOKUP($B112,CDM!$V$41:$AJ$54,12,FALSE)/2*$C112/78,0)</f>
        <v>331622.12772691483</v>
      </c>
      <c r="BK112" s="560">
        <f t="shared" ca="1" si="299"/>
        <v>7309951.5944956243</v>
      </c>
      <c r="BL112" s="560">
        <f>IFERROR(HLOOKUP(B112-1,'EV Forecast WRZ'!$F$124:$T$130,3,FALSE)/12,0)+IFERROR(((HLOOKUP(B112,'EV Forecast WRZ'!$F$116:$T$122,3,FALSE)-HLOOKUP(B112-1,'EV Forecast WRZ'!$F$124:$T$130,3,FALSE)))*C112/78,0)</f>
        <v>69855.252820512833</v>
      </c>
      <c r="BM112" s="560">
        <f ca="1">HLOOKUP(B112,Heating!$R$102:$AD$106,4,FALSE)*INDEX(Weather!$BO$1:$CB$20,MATCH(B112,Weather!$BO$1:$BO$20,0),MATCH(C112,Weather!$BO$1:$CB$1,0))/VLOOKUP(B112,Weather!$BO$2:$CB$20,14,FALSE)*
VLOOKUP('Monthly Data'!$B112,Weather!$BO$3:$CB$20,14,FALSE)/Weather!$CB$14</f>
        <v>167084.22119800202</v>
      </c>
      <c r="BN112" s="560">
        <f t="shared" ca="1" si="300"/>
        <v>7073012.1204771092</v>
      </c>
      <c r="BO112" s="562">
        <v>28775835.379165415</v>
      </c>
      <c r="BP112" s="560">
        <f ca="1">IFERROR(VLOOKUP($B112-1,CDM!$V$4:$AJ$17,13,FALSE)/12,0)+IFERROR(VLOOKUP($B112,CDM!$V$41:$AJ$54,13,FALSE)/24,0)+IFERROR(VLOOKUP($B112,CDM!$V$41:$AJ$54,13,FALSE)/2*$C112/78,0)</f>
        <v>3366178.7700405829</v>
      </c>
      <c r="BQ112" s="560">
        <f t="shared" ca="1" si="301"/>
        <v>32142014.149205998</v>
      </c>
      <c r="BR112" s="560">
        <f>IFERROR(HLOOKUP(B112-1,'EV Forecast WRZ'!$F$124:$T$130,4,FALSE)/12,0)+IFERROR(((HLOOKUP(B112,'EV Forecast WRZ'!$F$116:$T$122,4,FALSE)-HLOOKUP(B112-1,'EV Forecast WRZ'!$F$124:$T$130,4,FALSE)))*C112/78,0)</f>
        <v>30889.094538461537</v>
      </c>
      <c r="BS112" s="560">
        <f ca="1">HLOOKUP(B112,Heating!$R$102:$AD$106,5,FALSE)*INDEX(Weather!$BO$1:$CB$20,MATCH(B112,Weather!$BO$1:$BO$20,0),MATCH(C112,Weather!$BO$1:$CB$1,0))/VLOOKUP(B112,Weather!$BO$2:$CB$20,14,FALSE)*
VLOOKUP('Monthly Data'!$B112,Weather!$BO$3:$CB$20,14,FALSE)/Weather!$CB$14</f>
        <v>89126.658970136559</v>
      </c>
      <c r="BT112" s="560">
        <f t="shared" ca="1" si="302"/>
        <v>32021998.3956974</v>
      </c>
      <c r="BU112" s="562">
        <v>6867913.0472516883</v>
      </c>
      <c r="BV112" s="560">
        <f ca="1">IFERROR(VLOOKUP($B112-1,CDM!$V$4:$AJ$17,14,FALSE)/12,0)+IFERROR(VLOOKUP($B112,CDM!$V$41:$AJ$54,14,FALSE)/24,0)+IFERROR(VLOOKUP($B112,CDM!$V$41:$AJ$54,14,FALSE)/2*$C112/78,0)</f>
        <v>758942.47980008577</v>
      </c>
      <c r="BW112" s="560">
        <f t="shared" ca="1" si="303"/>
        <v>7626855.5270517739</v>
      </c>
      <c r="BX112" s="560">
        <f>IFERROR(HLOOKUP(B112-1,'EV Forecast WRZ'!$F$124:$T$130,5,FALSE)/12,0)+IFERROR(((HLOOKUP(B112,'EV Forecast WRZ'!$F$116:$T$122,5,FALSE)-HLOOKUP(B112-1,'EV Forecast WRZ'!$F$124:$T$130,5,FALSE)))*C112/78,0)</f>
        <v>5677.9549487179493</v>
      </c>
      <c r="BY112" s="560">
        <f t="shared" ca="1" si="304"/>
        <v>7621177.5721030561</v>
      </c>
      <c r="BZ112" s="562">
        <v>309525.9996173713</v>
      </c>
      <c r="CA112" s="562">
        <v>461.99540845609334</v>
      </c>
      <c r="CB112" s="562">
        <v>154847.97206810789</v>
      </c>
      <c r="CC112" s="3">
        <v>63751.67</v>
      </c>
      <c r="CD112" s="3">
        <v>12601.72</v>
      </c>
      <c r="CE112" s="3">
        <v>833</v>
      </c>
      <c r="CF112" s="3">
        <f t="shared" si="362"/>
        <v>6.8977675926717925</v>
      </c>
      <c r="CG112" s="576">
        <f t="shared" si="363"/>
        <v>45771</v>
      </c>
      <c r="CH112" s="576">
        <f t="shared" si="305"/>
        <v>2473</v>
      </c>
      <c r="CI112" s="576">
        <f t="shared" si="306"/>
        <v>393</v>
      </c>
      <c r="CJ112" s="576">
        <f t="shared" si="307"/>
        <v>3</v>
      </c>
      <c r="CK112" s="576">
        <f t="shared" si="308"/>
        <v>13805.250000000002</v>
      </c>
      <c r="CL112" s="576">
        <f t="shared" si="309"/>
        <v>44.749999999999993</v>
      </c>
      <c r="CM112" s="576">
        <f t="shared" si="310"/>
        <v>388.99999999999994</v>
      </c>
      <c r="CN112" s="46">
        <f>Weather!C136</f>
        <v>580.62916666666672</v>
      </c>
      <c r="CO112" s="46">
        <f>Weather!D136</f>
        <v>0</v>
      </c>
      <c r="CP112" s="46">
        <f>Weather!E136</f>
        <v>518.62916666666672</v>
      </c>
      <c r="CQ112" s="46">
        <f>Weather!F136</f>
        <v>0</v>
      </c>
      <c r="CR112" s="46">
        <f>Weather!G136</f>
        <v>456.62916666666672</v>
      </c>
      <c r="CS112" s="46">
        <f>Weather!H136</f>
        <v>0</v>
      </c>
      <c r="CT112" s="46">
        <f>Weather!I136</f>
        <v>394.62916666666666</v>
      </c>
      <c r="CU112" s="46">
        <f>Weather!J136</f>
        <v>0</v>
      </c>
      <c r="CV112" s="46">
        <f>Weather!K136</f>
        <v>332.62916666666672</v>
      </c>
      <c r="CW112" s="46">
        <f>Weather!L136</f>
        <v>0</v>
      </c>
      <c r="CX112" s="46">
        <f>Weather!M136</f>
        <v>272.45416666666665</v>
      </c>
      <c r="CY112" s="46">
        <f>Weather!N136</f>
        <v>1.8249999999999993</v>
      </c>
      <c r="CZ112" s="46">
        <f>Weather!O136</f>
        <v>216.0958333333333</v>
      </c>
      <c r="DA112" s="46">
        <f>Weather!P136</f>
        <v>7.4666666666666668</v>
      </c>
      <c r="DB112" s="243">
        <f>'Economic Data'!D138</f>
        <v>8233.7999999999993</v>
      </c>
      <c r="DC112" s="243">
        <f>'Economic Data'!E138</f>
        <v>8155.5</v>
      </c>
      <c r="DD112" s="243">
        <f>'Economic Data'!F138</f>
        <v>246.1</v>
      </c>
      <c r="DE112" s="243">
        <f>'Economic Data'!G138</f>
        <v>247.3</v>
      </c>
      <c r="DF112" s="243">
        <f>'Economic Data'!H138</f>
        <v>31.7</v>
      </c>
      <c r="DG112" s="243">
        <f>'Economic Data'!I138</f>
        <v>31.7</v>
      </c>
      <c r="DH112" s="243">
        <f>'Economic Data'!J138</f>
        <v>888015.75609999988</v>
      </c>
      <c r="DI112" s="243">
        <f>'Economic Data'!K138</f>
        <v>703631.11690000002</v>
      </c>
      <c r="DJ112" s="243">
        <f>'Economic Data'!L138</f>
        <v>93638.073199999984</v>
      </c>
      <c r="DK112" s="243">
        <f>'Economic Data'!M138</f>
        <v>34291.468199999996</v>
      </c>
      <c r="DL112" s="243">
        <f>'Economic Data'!N138</f>
        <v>897872</v>
      </c>
      <c r="DM112" s="243">
        <f>'Economic Data'!O138</f>
        <v>89295</v>
      </c>
      <c r="DN112" s="243">
        <f>'Economic Data'!P138</f>
        <v>17234</v>
      </c>
      <c r="DO112" s="243">
        <f>'Economic Data'!Q138</f>
        <v>719111</v>
      </c>
      <c r="DP112" s="243">
        <f>'Economic Data'!R138</f>
        <v>34233</v>
      </c>
      <c r="DQ112">
        <f t="shared" si="311"/>
        <v>31</v>
      </c>
      <c r="DR112">
        <v>21</v>
      </c>
      <c r="DS112">
        <f t="shared" ref="DS112:EF112" si="365">DS100</f>
        <v>0</v>
      </c>
      <c r="DT112">
        <f t="shared" si="365"/>
        <v>0</v>
      </c>
      <c r="DU112">
        <f t="shared" si="365"/>
        <v>1</v>
      </c>
      <c r="DV112">
        <f t="shared" si="365"/>
        <v>0</v>
      </c>
      <c r="DW112">
        <f t="shared" si="365"/>
        <v>0</v>
      </c>
      <c r="DX112">
        <f t="shared" si="365"/>
        <v>0</v>
      </c>
      <c r="DY112">
        <f t="shared" si="365"/>
        <v>0</v>
      </c>
      <c r="DZ112">
        <f t="shared" si="365"/>
        <v>0</v>
      </c>
      <c r="EA112">
        <f t="shared" si="365"/>
        <v>0</v>
      </c>
      <c r="EB112">
        <f t="shared" si="365"/>
        <v>0</v>
      </c>
      <c r="EC112">
        <f t="shared" si="365"/>
        <v>0</v>
      </c>
      <c r="ED112">
        <f t="shared" si="365"/>
        <v>0</v>
      </c>
      <c r="EE112">
        <f t="shared" si="365"/>
        <v>1</v>
      </c>
      <c r="EF112">
        <f t="shared" si="365"/>
        <v>0</v>
      </c>
      <c r="EG112">
        <f t="shared" si="313"/>
        <v>1</v>
      </c>
      <c r="EH112">
        <f t="shared" si="185"/>
        <v>111</v>
      </c>
      <c r="EI112">
        <v>0</v>
      </c>
      <c r="EJ112">
        <v>0</v>
      </c>
      <c r="EK112">
        <v>0.25</v>
      </c>
      <c r="EL112">
        <v>0</v>
      </c>
      <c r="EM112" s="47">
        <f t="shared" si="314"/>
        <v>0</v>
      </c>
      <c r="EN112" s="47">
        <f t="shared" si="315"/>
        <v>0</v>
      </c>
      <c r="EO112" s="47">
        <f t="shared" si="316"/>
        <v>0</v>
      </c>
      <c r="EP112" s="47">
        <f t="shared" si="317"/>
        <v>0</v>
      </c>
      <c r="EQ112" s="47">
        <f t="shared" si="318"/>
        <v>0</v>
      </c>
      <c r="ER112" s="47">
        <f t="shared" si="319"/>
        <v>0</v>
      </c>
      <c r="ES112" s="47">
        <f t="shared" si="320"/>
        <v>0</v>
      </c>
      <c r="ET112" s="47">
        <f t="shared" si="321"/>
        <v>0</v>
      </c>
      <c r="EU112" s="47">
        <f t="shared" si="322"/>
        <v>0</v>
      </c>
      <c r="EV112" s="47">
        <f t="shared" si="323"/>
        <v>0</v>
      </c>
      <c r="EW112" s="47">
        <f t="shared" si="324"/>
        <v>0</v>
      </c>
      <c r="EX112" s="47">
        <f t="shared" si="325"/>
        <v>0</v>
      </c>
      <c r="EY112" s="47">
        <f t="shared" si="326"/>
        <v>0</v>
      </c>
      <c r="EZ112" s="47">
        <f t="shared" si="327"/>
        <v>0</v>
      </c>
      <c r="FA112" s="47">
        <f t="shared" si="328"/>
        <v>145.15729166666668</v>
      </c>
      <c r="FB112" s="47">
        <f t="shared" si="329"/>
        <v>0</v>
      </c>
      <c r="FC112" s="47">
        <f t="shared" si="330"/>
        <v>129.65729166666668</v>
      </c>
      <c r="FD112" s="47">
        <f t="shared" si="331"/>
        <v>0</v>
      </c>
      <c r="FE112" s="47">
        <f t="shared" si="332"/>
        <v>114.15729166666668</v>
      </c>
      <c r="FF112" s="47">
        <f t="shared" si="333"/>
        <v>0</v>
      </c>
      <c r="FG112" s="47">
        <f t="shared" si="334"/>
        <v>98.657291666666666</v>
      </c>
      <c r="FH112" s="47">
        <f t="shared" si="335"/>
        <v>0</v>
      </c>
      <c r="FI112" s="47">
        <f t="shared" si="336"/>
        <v>83.15729166666668</v>
      </c>
      <c r="FJ112" s="47">
        <f t="shared" si="337"/>
        <v>0</v>
      </c>
      <c r="FK112" s="47">
        <f t="shared" si="338"/>
        <v>68.113541666666663</v>
      </c>
      <c r="FL112" s="47">
        <f t="shared" si="339"/>
        <v>0.45624999999999982</v>
      </c>
      <c r="FM112" s="47">
        <f t="shared" si="340"/>
        <v>54.023958333333326</v>
      </c>
      <c r="FN112" s="47">
        <f t="shared" si="341"/>
        <v>1.8666666666666667</v>
      </c>
      <c r="FO112" s="546">
        <f t="shared" ca="1" si="342"/>
        <v>697.42427848029422</v>
      </c>
      <c r="FP112" s="546">
        <f t="shared" ca="1" si="343"/>
        <v>702.87313495201306</v>
      </c>
      <c r="FQ112" s="546">
        <f t="shared" ca="1" si="344"/>
        <v>2439.0978906834775</v>
      </c>
      <c r="FR112" s="546">
        <f t="shared" ca="1" si="345"/>
        <v>79426.163382074956</v>
      </c>
      <c r="FS112" s="546">
        <f t="shared" ca="1" si="346"/>
        <v>1793350.1831228391</v>
      </c>
      <c r="FT112" s="546">
        <f t="shared" ca="1" si="347"/>
        <v>5883738.8671985697</v>
      </c>
      <c r="FU112" s="546">
        <f t="shared" si="348"/>
        <v>29.907655702922387</v>
      </c>
      <c r="FV112" s="546">
        <f t="shared" si="349"/>
        <v>31.141381150472366</v>
      </c>
      <c r="FW112" s="546">
        <f t="shared" si="350"/>
        <v>495.08244710230065</v>
      </c>
      <c r="FX112" s="546">
        <f t="shared" ca="1" si="351"/>
        <v>699.29115669833266</v>
      </c>
      <c r="FY112" s="546">
        <f t="shared" ca="1" si="352"/>
        <v>2955.9044053763141</v>
      </c>
      <c r="FZ112" s="546">
        <f t="shared" ca="1" si="353"/>
        <v>81786.295545053435</v>
      </c>
      <c r="GA112" s="546">
        <f t="shared" si="354"/>
        <v>103175.33320579043</v>
      </c>
      <c r="GB112" s="546">
        <f t="shared" si="355"/>
        <v>22.420890575496369</v>
      </c>
      <c r="GC112" s="546">
        <f t="shared" si="356"/>
        <v>10.323919742035606</v>
      </c>
      <c r="GD112" s="546">
        <f t="shared" si="357"/>
        <v>398.06676624192266</v>
      </c>
    </row>
    <row r="113" spans="1:186">
      <c r="A113" s="4">
        <v>45748</v>
      </c>
      <c r="B113" s="6">
        <f t="shared" si="358"/>
        <v>2025</v>
      </c>
      <c r="C113" s="5">
        <f t="shared" si="359"/>
        <v>4</v>
      </c>
      <c r="D113" s="7">
        <v>71494107.937626392</v>
      </c>
      <c r="E113" s="7">
        <f ca="1">IFERROR(VLOOKUP($B113-1,CDM!$V$4:$AJ$17,2,FALSE)/12,0)+IFERROR(VLOOKUP($B113,CDM!$V$41:$AJ$54,2,FALSE)/24,0)+IFERROR(VLOOKUP($B113,CDM!$V$41:$AJ$54,2,FALSE)/2*$C113/78,0)</f>
        <v>4393424.0160523141</v>
      </c>
      <c r="F113" s="7">
        <f t="shared" ca="1" si="285"/>
        <v>75887531.953678712</v>
      </c>
      <c r="G113" s="7">
        <f>IFERROR(HLOOKUP(B113-1,'EV Forecast VRZ'!$F$124:$T$130,2,FALSE)/12,0)+IFERROR(((HLOOKUP(B113,'EV Forecast VRZ'!$F$116:$T$122,2,FALSE)-HLOOKUP(B113-1,'EV Forecast VRZ'!$F$124:$T$130,2,FALSE)))*C113/78,0)</f>
        <v>1524413.6530482464</v>
      </c>
      <c r="H113" s="7">
        <f ca="1">HLOOKUP(B113,Heating!$C$102:$O$106,2,FALSE)*INDEX(Weather!$BO$1:$CB$20,MATCH(B113,Weather!$BO$1:$BO$20,0),MATCH(C113,Weather!$BO$1:$CB$1,0))/VLOOKUP(B113,Weather!$BO$2:$CB$20,14,FALSE)*
VLOOKUP('Monthly Data'!$B113,Weather!$BO$3:$CB$20,14,FALSE)/Weather!$CB$14</f>
        <v>1673542.2967681342</v>
      </c>
      <c r="I113" s="7">
        <f t="shared" ca="1" si="270"/>
        <v>72689576.003862336</v>
      </c>
      <c r="J113" s="7">
        <v>766292.33664377034</v>
      </c>
      <c r="K113" s="7">
        <f ca="1">IFERROR(VLOOKUP($B113-1,CDM!$V$4:$AJ$17,3,FALSE)/12,0)+IFERROR(VLOOKUP($B113,CDM!$V$41:$AJ$54,3,FALSE)/24,0)+IFERROR(VLOOKUP($B113,CDM!$V$41:$AJ$54,3,FALSE)/2*$C113/78,0)</f>
        <v>50318.726117066464</v>
      </c>
      <c r="L113" s="7">
        <f t="shared" ca="1" si="286"/>
        <v>816611.06276083679</v>
      </c>
      <c r="M113" s="7">
        <f>IFERROR(HLOOKUP(B113-1,'EV Forecast VRZ'!$F$124:$T$130,3,FALSE)/12,0)+IFERROR(((HLOOKUP(B113,'EV Forecast VRZ'!$F$116:$T$122,3,FALSE)-HLOOKUP(B113-1,'EV Forecast VRZ'!$F$124:$T$130,3,FALSE)))*C113/78,0)</f>
        <v>20684.98477226618</v>
      </c>
      <c r="N113" s="7">
        <f ca="1">HLOOKUP(B113,Heating!$C$102:$O$106,3,FALSE)*INDEX(Weather!$BO$1:$CB$20,MATCH(B113,Weather!$BO$1:$BO$20,0),MATCH(C113,Weather!$BO$1:$CB$1,0))/VLOOKUP(B113,Weather!$BO$2:$CB$20,14,FALSE)*
VLOOKUP('Monthly Data'!$B113,Weather!$BO$3:$CB$20,14,FALSE)/Weather!$CB$14</f>
        <v>19330.516868135255</v>
      </c>
      <c r="O113" s="7">
        <f t="shared" ca="1" si="287"/>
        <v>776595.56112043525</v>
      </c>
      <c r="P113" s="7">
        <v>19173534.548807446</v>
      </c>
      <c r="Q113" s="7">
        <f ca="1">IFERROR(VLOOKUP($B113-1,CDM!$V$4:$AJ$17,4,FALSE)/12,0)+IFERROR(VLOOKUP($B113,CDM!$V$41:$AJ$54,4,FALSE)/24,0)+IFERROR(VLOOKUP($B113,CDM!$V$41:$AJ$54,4,FALSE)/2*$C113/78,0)</f>
        <v>1834062.0736730082</v>
      </c>
      <c r="R113" s="7">
        <f t="shared" ca="1" si="288"/>
        <v>21007596.622480456</v>
      </c>
      <c r="S113" s="7">
        <f>IFERROR(HLOOKUP(B113-1,'EV Forecast VRZ'!$F$124:$T$130,4,FALSE)/12,0)+IFERROR(((HLOOKUP(B113,'EV Forecast VRZ'!$F$116:$T$122,4,FALSE)-HLOOKUP(B113-1,'EV Forecast VRZ'!$F$124:$T$130,4,FALSE)))*C113/78,0)</f>
        <v>198238.30128205128</v>
      </c>
      <c r="T113" s="7">
        <f ca="1">HLOOKUP(B113,Heating!$C$102:$O$106,4,FALSE)*INDEX(Weather!$BO$1:$CB$20,MATCH(B113,Weather!$BO$1:$BO$20,0),MATCH(C113,Weather!$BO$1:$CB$1,0))/VLOOKUP(B113,Weather!$BO$2:$CB$20,14,FALSE)*
VLOOKUP('Monthly Data'!$B113,Weather!$BO$3:$CB$20,14,FALSE)/Weather!$CB$14</f>
        <v>387906.86324222927</v>
      </c>
      <c r="U113" s="7">
        <f t="shared" ca="1" si="289"/>
        <v>20421451.457956176</v>
      </c>
      <c r="V113" s="7">
        <v>72843964.214959681</v>
      </c>
      <c r="W113" s="7">
        <f ca="1">IFERROR(VLOOKUP($B113-1,CDM!$V$4:$AJ$17,5,FALSE)/12,0)+IFERROR(VLOOKUP($B113,CDM!$V$41:$AJ$54,5,FALSE)/24,0)+IFERROR(VLOOKUP($B113,CDM!$V$41:$AJ$54,5,FALSE)/2*$C113/78,0)</f>
        <v>7852980.078977678</v>
      </c>
      <c r="X113" s="7">
        <f t="shared" ca="1" si="290"/>
        <v>80696944.293937355</v>
      </c>
      <c r="Y113" s="7">
        <f>IFERROR(HLOOKUP(B113-1,'EV Forecast VRZ'!$F$124:$T$130,5,FALSE)/12,0)+IFERROR(((HLOOKUP(B113,'EV Forecast VRZ'!$F$116:$T$122,5,FALSE)-HLOOKUP(B113-1,'EV Forecast VRZ'!$F$124:$T$130,5,FALSE)))*C113/78,0)</f>
        <v>95160.825320512813</v>
      </c>
      <c r="Z113" s="7">
        <f ca="1">HLOOKUP(B113,Heating!$C$102:$O$106,5,FALSE)*INDEX(Weather!$BO$1:$CB$20,MATCH(B113,Weather!$BO$1:$BO$20,0),MATCH(C113,Weather!$BO$1:$CB$1,0))/VLOOKUP(B113,Weather!$BO$2:$CB$20,14,FALSE)*
VLOOKUP('Monthly Data'!$B113,Weather!$BO$3:$CB$20,14,FALSE)/Weather!$CB$14</f>
        <v>203733.88770924328</v>
      </c>
      <c r="AA113" s="7">
        <f t="shared" ca="1" si="291"/>
        <v>80398049.580907598</v>
      </c>
      <c r="AB113" s="7">
        <v>8036002.1115353443</v>
      </c>
      <c r="AC113" s="7">
        <f ca="1">IFERROR(VLOOKUP($B113-1,CDM!$V$4:$AJ$17,6,FALSE)/12,0)+IFERROR(VLOOKUP($B113,CDM!$V$41:$AJ$54,6,FALSE)/24,0)+IFERROR(VLOOKUP($B113,CDM!$V$41:$AJ$54,6,FALSE)/2*$C113/78,0)</f>
        <v>421913.96153629723</v>
      </c>
      <c r="AD113" s="7">
        <f t="shared" ca="1" si="292"/>
        <v>8457916.0730716418</v>
      </c>
      <c r="AE113" s="7">
        <f>IFERROR(HLOOKUP(B113-1,'EV Forecast VRZ'!$F$124:$T$130,6,FALSE)/12,0)+IFERROR(((HLOOKUP(B113,'EV Forecast VRZ'!$F$116:$T$122,6,FALSE)-HLOOKUP(B113-1,'EV Forecast VRZ'!$F$124:$T$130,6,FALSE)))*C113/78,0)</f>
        <v>12732.04326923077</v>
      </c>
      <c r="AF113" s="7">
        <f t="shared" ca="1" si="293"/>
        <v>8445184.0298024118</v>
      </c>
      <c r="AG113" s="7">
        <v>23189419.770418372</v>
      </c>
      <c r="AH113" s="7">
        <f ca="1">IFERROR(VLOOKUP($B113-1,CDM!$V$4:$AJ$17,7,FALSE)/12,0)+IFERROR(VLOOKUP($B113,CDM!$V$41:$AJ$54,7,FALSE)/24,0)+IFERROR(VLOOKUP($B113,CDM!$V$41:$AJ$54,7,FALSE)/2*$C113/78,0)</f>
        <v>2331432.4889255716</v>
      </c>
      <c r="AI113" s="7">
        <f t="shared" ca="1" si="294"/>
        <v>25520852.259343944</v>
      </c>
      <c r="AJ113" s="7">
        <f>IFERROR(HLOOKUP(B113-1,'EV Forecast VRZ'!$F$124:$T$130,7,FALSE)/12,0)+IFERROR(((HLOOKUP(B113,'EV Forecast VRZ'!$F$116:$T$122,7,FALSE)-HLOOKUP(B113-1,'EV Forecast VRZ'!$F$124:$T$130,7,FALSE)))*C113/78,0)</f>
        <v>2332.6923076923076</v>
      </c>
      <c r="AK113" s="7">
        <f t="shared" ca="1" si="295"/>
        <v>25518519.567036252</v>
      </c>
      <c r="AL113" s="7">
        <v>837489.64892196143</v>
      </c>
      <c r="AM113" s="7">
        <v>7044.4857851555043</v>
      </c>
      <c r="AN113" s="7">
        <v>376050.20988361002</v>
      </c>
      <c r="AO113" s="3">
        <v>181233.38</v>
      </c>
      <c r="AP113" s="3">
        <v>18434.05</v>
      </c>
      <c r="AQ113" s="3">
        <v>43869.9</v>
      </c>
      <c r="AR113" s="3">
        <v>2658.79</v>
      </c>
      <c r="AS113" s="3">
        <f t="shared" si="360"/>
        <v>49.343669810839387</v>
      </c>
      <c r="AT113" s="576">
        <f t="shared" si="361"/>
        <v>118679.66666666669</v>
      </c>
      <c r="AU113" s="576">
        <f t="shared" si="296"/>
        <v>1556</v>
      </c>
      <c r="AV113" s="576">
        <f t="shared" si="296"/>
        <v>9505.6666666666642</v>
      </c>
      <c r="AW113" s="576">
        <f t="shared" si="296"/>
        <v>1083</v>
      </c>
      <c r="AX113" s="576">
        <f t="shared" si="296"/>
        <v>5</v>
      </c>
      <c r="AY113" s="576">
        <f t="shared" si="296"/>
        <v>5</v>
      </c>
      <c r="AZ113" s="576">
        <f t="shared" si="296"/>
        <v>33094.333333333343</v>
      </c>
      <c r="BA113" s="576">
        <f t="shared" si="296"/>
        <v>233</v>
      </c>
      <c r="BB113" s="576">
        <f t="shared" si="296"/>
        <v>764.33333333333348</v>
      </c>
      <c r="BC113" s="562">
        <v>26798875.188865453</v>
      </c>
      <c r="BD113" s="560">
        <f ca="1">IFERROR(VLOOKUP($B113-1,CDM!$V$4:$AJ$17,11,FALSE)/12,0)+IFERROR(VLOOKUP($B113,CDM!$V$41:$AJ$54,11,FALSE)/24,0)+IFERROR(VLOOKUP($B113,CDM!$V$41:$AJ$54,11,FALSE)/2*$C113/78,0)</f>
        <v>1919442.9551559517</v>
      </c>
      <c r="BE113" s="560">
        <f t="shared" ca="1" si="297"/>
        <v>28718318.144021403</v>
      </c>
      <c r="BF113" s="560">
        <f>IFERROR(HLOOKUP(B113-1,'EV Forecast WRZ'!$F$124:$T$130,2,FALSE)/12,0)+IFERROR(((HLOOKUP(B113,'EV Forecast WRZ'!$F$116:$T$122,2,FALSE)-HLOOKUP(B113-1,'EV Forecast WRZ'!$F$124:$T$130,2,FALSE)))*C113/78,0)</f>
        <v>517478.75769230764</v>
      </c>
      <c r="BG113" s="560">
        <f ca="1">HLOOKUP(B113,Heating!$R$102:$AD$106,2,FALSE)*INDEX(Weather!$BO$1:$CB$20,MATCH(B113,Weather!$BO$1:$BO$20,0),MATCH(C113,Weather!$BO$1:$CB$1,0))/VLOOKUP(B113,Weather!$BO$2:$CB$20,14,FALSE)*
VLOOKUP('Monthly Data'!$B113,Weather!$BO$3:$CB$20,14,FALSE)/Weather!$CB$14</f>
        <v>712404.96112370223</v>
      </c>
      <c r="BH113" s="560">
        <f t="shared" ca="1" si="298"/>
        <v>27488434.425205395</v>
      </c>
      <c r="BI113" s="562">
        <v>6283429.5890472615</v>
      </c>
      <c r="BJ113" s="560">
        <f ca="1">IFERROR(VLOOKUP($B113-1,CDM!$V$4:$AJ$17,12,FALSE)/12,0)+IFERROR(VLOOKUP($B113,CDM!$V$41:$AJ$54,12,FALSE)/24,0)+IFERROR(VLOOKUP($B113,CDM!$V$41:$AJ$54,12,FALSE)/2*$C113/78,0)</f>
        <v>333338.05032553518</v>
      </c>
      <c r="BK113" s="560">
        <f t="shared" ca="1" si="299"/>
        <v>6616767.6393727968</v>
      </c>
      <c r="BL113" s="560">
        <f>IFERROR(HLOOKUP(B113-1,'EV Forecast WRZ'!$F$124:$T$130,3,FALSE)/12,0)+IFERROR(((HLOOKUP(B113,'EV Forecast WRZ'!$F$116:$T$122,3,FALSE)-HLOOKUP(B113-1,'EV Forecast WRZ'!$F$124:$T$130,3,FALSE)))*C113/78,0)</f>
        <v>70972.161538461543</v>
      </c>
      <c r="BM113" s="560">
        <f ca="1">HLOOKUP(B113,Heating!$R$102:$AD$106,4,FALSE)*INDEX(Weather!$BO$1:$CB$20,MATCH(B113,Weather!$BO$1:$BO$20,0),MATCH(C113,Weather!$BO$1:$CB$1,0))/VLOOKUP(B113,Weather!$BO$2:$CB$20,14,FALSE)*
VLOOKUP('Monthly Data'!$B113,Weather!$BO$3:$CB$20,14,FALSE)/Weather!$CB$14</f>
        <v>113351.10834171559</v>
      </c>
      <c r="BN113" s="560">
        <f t="shared" ca="1" si="300"/>
        <v>6432444.3694926202</v>
      </c>
      <c r="BO113" s="562">
        <v>26291584.34584209</v>
      </c>
      <c r="BP113" s="560">
        <f ca="1">IFERROR(VLOOKUP($B113-1,CDM!$V$4:$AJ$17,13,FALSE)/12,0)+IFERROR(VLOOKUP($B113,CDM!$V$41:$AJ$54,13,FALSE)/24,0)+IFERROR(VLOOKUP($B113,CDM!$V$41:$AJ$54,13,FALSE)/2*$C113/78,0)</f>
        <v>3401296.6358982534</v>
      </c>
      <c r="BQ113" s="560">
        <f t="shared" ca="1" si="301"/>
        <v>29692880.981740344</v>
      </c>
      <c r="BR113" s="560">
        <f>IFERROR(HLOOKUP(B113-1,'EV Forecast WRZ'!$F$124:$T$130,4,FALSE)/12,0)+IFERROR(((HLOOKUP(B113,'EV Forecast WRZ'!$F$116:$T$122,4,FALSE)-HLOOKUP(B113-1,'EV Forecast WRZ'!$F$124:$T$130,4,FALSE)))*C113/78,0)</f>
        <v>31383.530384615384</v>
      </c>
      <c r="BS113" s="560">
        <f ca="1">HLOOKUP(B113,Heating!$R$102:$AD$106,5,FALSE)*INDEX(Weather!$BO$1:$CB$20,MATCH(B113,Weather!$BO$1:$BO$20,0),MATCH(C113,Weather!$BO$1:$CB$1,0))/VLOOKUP(B113,Weather!$BO$2:$CB$20,14,FALSE)*
VLOOKUP('Monthly Data'!$B113,Weather!$BO$3:$CB$20,14,FALSE)/Weather!$CB$14</f>
        <v>60464.150981001738</v>
      </c>
      <c r="BT113" s="560">
        <f t="shared" ca="1" si="302"/>
        <v>29601033.300374728</v>
      </c>
      <c r="BU113" s="562">
        <v>6374373.2304725172</v>
      </c>
      <c r="BV113" s="560">
        <f ca="1">IFERROR(VLOOKUP($B113-1,CDM!$V$4:$AJ$17,14,FALSE)/12,0)+IFERROR(VLOOKUP($B113,CDM!$V$41:$AJ$54,14,FALSE)/24,0)+IFERROR(VLOOKUP($B113,CDM!$V$41:$AJ$54,14,FALSE)/2*$C113/78,0)</f>
        <v>766928.02708167327</v>
      </c>
      <c r="BW113" s="560">
        <f t="shared" ca="1" si="303"/>
        <v>7141301.2575541902</v>
      </c>
      <c r="BX113" s="560">
        <f>IFERROR(HLOOKUP(B113-1,'EV Forecast WRZ'!$F$124:$T$130,5,FALSE)/12,0)+IFERROR(((HLOOKUP(B113,'EV Forecast WRZ'!$F$116:$T$122,5,FALSE)-HLOOKUP(B113-1,'EV Forecast WRZ'!$F$124:$T$130,5,FALSE)))*C113/78,0)</f>
        <v>5771.7811538461547</v>
      </c>
      <c r="BY113" s="560">
        <f t="shared" ca="1" si="304"/>
        <v>7135529.4764003437</v>
      </c>
      <c r="BZ113" s="562">
        <v>262672.00114788592</v>
      </c>
      <c r="CA113" s="562">
        <v>511.49799119954082</v>
      </c>
      <c r="CB113" s="562">
        <v>154847.97206810789</v>
      </c>
      <c r="CC113" s="3">
        <v>64885.96</v>
      </c>
      <c r="CD113" s="3">
        <v>12666.4</v>
      </c>
      <c r="CE113" s="3">
        <v>834</v>
      </c>
      <c r="CF113" s="3">
        <f t="shared" si="362"/>
        <v>6.8977675926717925</v>
      </c>
      <c r="CG113" s="576">
        <f t="shared" si="363"/>
        <v>45799</v>
      </c>
      <c r="CH113" s="576">
        <f t="shared" si="305"/>
        <v>2473</v>
      </c>
      <c r="CI113" s="576">
        <f t="shared" si="306"/>
        <v>394</v>
      </c>
      <c r="CJ113" s="576">
        <f t="shared" si="307"/>
        <v>3</v>
      </c>
      <c r="CK113" s="576">
        <f t="shared" si="308"/>
        <v>13819.333333333336</v>
      </c>
      <c r="CL113" s="576">
        <f t="shared" si="309"/>
        <v>44.666666666666657</v>
      </c>
      <c r="CM113" s="576">
        <f t="shared" si="310"/>
        <v>389.33333333333326</v>
      </c>
      <c r="CN113" s="46">
        <f>Weather!C137</f>
        <v>411.84166666666653</v>
      </c>
      <c r="CO113" s="46">
        <f>Weather!D137</f>
        <v>0</v>
      </c>
      <c r="CP113" s="46">
        <f>Weather!E137</f>
        <v>351.84166666666653</v>
      </c>
      <c r="CQ113" s="46">
        <f>Weather!F137</f>
        <v>0</v>
      </c>
      <c r="CR113" s="46">
        <f>Weather!G137</f>
        <v>291.84166666666658</v>
      </c>
      <c r="CS113" s="46">
        <f>Weather!H137</f>
        <v>0</v>
      </c>
      <c r="CT113" s="46">
        <f>Weather!I137</f>
        <v>231.95833333333334</v>
      </c>
      <c r="CU113" s="46">
        <f>Weather!J137</f>
        <v>0.11666666666666714</v>
      </c>
      <c r="CV113" s="46">
        <f>Weather!K137</f>
        <v>177.05</v>
      </c>
      <c r="CW113" s="46">
        <f>Weather!L137</f>
        <v>5.2083333333333321</v>
      </c>
      <c r="CX113" s="46">
        <f>Weather!M137</f>
        <v>129.10416666666666</v>
      </c>
      <c r="CY113" s="46">
        <f>Weather!N137</f>
        <v>17.262499999999992</v>
      </c>
      <c r="CZ113" s="46">
        <f>Weather!O137</f>
        <v>89.212499999999991</v>
      </c>
      <c r="DA113" s="46">
        <f>Weather!P137</f>
        <v>37.370833333333316</v>
      </c>
      <c r="DB113" s="243">
        <f>'Economic Data'!D139</f>
        <v>8220.2999999999993</v>
      </c>
      <c r="DC113" s="243">
        <f>'Economic Data'!E139</f>
        <v>8165.3</v>
      </c>
      <c r="DD113" s="243">
        <f>'Economic Data'!F139</f>
        <v>242.5</v>
      </c>
      <c r="DE113" s="243">
        <f>'Economic Data'!G139</f>
        <v>242.7</v>
      </c>
      <c r="DF113" s="243">
        <f>'Economic Data'!H139</f>
        <v>41.2</v>
      </c>
      <c r="DG113" s="243">
        <f>'Economic Data'!I139</f>
        <v>41.2</v>
      </c>
      <c r="DH113" s="243">
        <f>'Economic Data'!J139</f>
        <v>888015.75609999988</v>
      </c>
      <c r="DI113" s="243">
        <f>'Economic Data'!K139</f>
        <v>703631.11690000002</v>
      </c>
      <c r="DJ113" s="243">
        <f>'Economic Data'!L139</f>
        <v>93638.073199999984</v>
      </c>
      <c r="DK113" s="243">
        <f>'Economic Data'!M139</f>
        <v>34291.468199999996</v>
      </c>
      <c r="DL113" s="243">
        <f>'Economic Data'!N139</f>
        <v>894654</v>
      </c>
      <c r="DM113" s="243">
        <f>'Economic Data'!O139</f>
        <v>86682</v>
      </c>
      <c r="DN113" s="243">
        <f>'Economic Data'!P139</f>
        <v>16755</v>
      </c>
      <c r="DO113" s="243">
        <f>'Economic Data'!Q139</f>
        <v>719404</v>
      </c>
      <c r="DP113" s="243">
        <f>'Economic Data'!R139</f>
        <v>34377</v>
      </c>
      <c r="DQ113">
        <f t="shared" si="311"/>
        <v>30</v>
      </c>
      <c r="DR113">
        <v>21</v>
      </c>
      <c r="DS113">
        <f t="shared" ref="DS113:EF113" si="366">DS101</f>
        <v>0</v>
      </c>
      <c r="DT113">
        <f t="shared" si="366"/>
        <v>0</v>
      </c>
      <c r="DU113">
        <f t="shared" si="366"/>
        <v>0</v>
      </c>
      <c r="DV113">
        <f t="shared" si="366"/>
        <v>1</v>
      </c>
      <c r="DW113">
        <f t="shared" si="366"/>
        <v>0</v>
      </c>
      <c r="DX113">
        <f t="shared" si="366"/>
        <v>0</v>
      </c>
      <c r="DY113">
        <f t="shared" si="366"/>
        <v>0</v>
      </c>
      <c r="DZ113">
        <f t="shared" si="366"/>
        <v>0</v>
      </c>
      <c r="EA113">
        <f t="shared" si="366"/>
        <v>0</v>
      </c>
      <c r="EB113">
        <f t="shared" si="366"/>
        <v>0</v>
      </c>
      <c r="EC113">
        <f t="shared" si="366"/>
        <v>0</v>
      </c>
      <c r="ED113">
        <f t="shared" si="366"/>
        <v>0</v>
      </c>
      <c r="EE113">
        <f t="shared" si="366"/>
        <v>1</v>
      </c>
      <c r="EF113">
        <f t="shared" si="366"/>
        <v>0</v>
      </c>
      <c r="EG113">
        <f t="shared" si="313"/>
        <v>1</v>
      </c>
      <c r="EH113">
        <f t="shared" si="185"/>
        <v>112</v>
      </c>
      <c r="EI113">
        <v>0</v>
      </c>
      <c r="EJ113">
        <v>0</v>
      </c>
      <c r="EK113">
        <v>0.25</v>
      </c>
      <c r="EL113">
        <v>0</v>
      </c>
      <c r="EM113" s="47">
        <f t="shared" si="314"/>
        <v>0</v>
      </c>
      <c r="EN113" s="47">
        <f t="shared" si="315"/>
        <v>0</v>
      </c>
      <c r="EO113" s="47">
        <f t="shared" si="316"/>
        <v>0</v>
      </c>
      <c r="EP113" s="47">
        <f t="shared" si="317"/>
        <v>0</v>
      </c>
      <c r="EQ113" s="47">
        <f t="shared" si="318"/>
        <v>0</v>
      </c>
      <c r="ER113" s="47">
        <f t="shared" si="319"/>
        <v>0</v>
      </c>
      <c r="ES113" s="47">
        <f t="shared" si="320"/>
        <v>0</v>
      </c>
      <c r="ET113" s="47">
        <f t="shared" si="321"/>
        <v>0</v>
      </c>
      <c r="EU113" s="47">
        <f t="shared" si="322"/>
        <v>0</v>
      </c>
      <c r="EV113" s="47">
        <f t="shared" si="323"/>
        <v>0</v>
      </c>
      <c r="EW113" s="47">
        <f t="shared" si="324"/>
        <v>0</v>
      </c>
      <c r="EX113" s="47">
        <f t="shared" si="325"/>
        <v>0</v>
      </c>
      <c r="EY113" s="47">
        <f t="shared" si="326"/>
        <v>0</v>
      </c>
      <c r="EZ113" s="47">
        <f t="shared" si="327"/>
        <v>0</v>
      </c>
      <c r="FA113" s="47">
        <f t="shared" si="328"/>
        <v>102.96041666666663</v>
      </c>
      <c r="FB113" s="47">
        <f t="shared" si="329"/>
        <v>0</v>
      </c>
      <c r="FC113" s="47">
        <f t="shared" si="330"/>
        <v>87.960416666666632</v>
      </c>
      <c r="FD113" s="47">
        <f t="shared" si="331"/>
        <v>0</v>
      </c>
      <c r="FE113" s="47">
        <f t="shared" si="332"/>
        <v>72.960416666666646</v>
      </c>
      <c r="FF113" s="47">
        <f t="shared" si="333"/>
        <v>0</v>
      </c>
      <c r="FG113" s="47">
        <f t="shared" si="334"/>
        <v>57.989583333333336</v>
      </c>
      <c r="FH113" s="47">
        <f t="shared" si="335"/>
        <v>2.9166666666666785E-2</v>
      </c>
      <c r="FI113" s="47">
        <f t="shared" si="336"/>
        <v>44.262500000000003</v>
      </c>
      <c r="FJ113" s="47">
        <f t="shared" si="337"/>
        <v>1.302083333333333</v>
      </c>
      <c r="FK113" s="47">
        <f t="shared" si="338"/>
        <v>32.276041666666664</v>
      </c>
      <c r="FL113" s="47">
        <f t="shared" si="339"/>
        <v>4.315624999999998</v>
      </c>
      <c r="FM113" s="47">
        <f t="shared" si="340"/>
        <v>22.303124999999998</v>
      </c>
      <c r="FN113" s="47">
        <f t="shared" si="341"/>
        <v>9.342708333333329</v>
      </c>
      <c r="FO113" s="546">
        <f t="shared" ca="1" si="342"/>
        <v>612.48550864255594</v>
      </c>
      <c r="FP113" s="546">
        <f t="shared" ca="1" si="343"/>
        <v>524.81430768691314</v>
      </c>
      <c r="FQ113" s="546">
        <f t="shared" ca="1" si="344"/>
        <v>2210.0077100480898</v>
      </c>
      <c r="FR113" s="546">
        <f t="shared" ca="1" si="345"/>
        <v>74512.4139371536</v>
      </c>
      <c r="FS113" s="546">
        <f t="shared" ca="1" si="346"/>
        <v>1691583.2146143285</v>
      </c>
      <c r="FT113" s="546">
        <f t="shared" ca="1" si="347"/>
        <v>5104170.4518687893</v>
      </c>
      <c r="FU113" s="546">
        <f t="shared" si="348"/>
        <v>25.306134451677362</v>
      </c>
      <c r="FV113" s="546">
        <f t="shared" si="349"/>
        <v>30.233844571482852</v>
      </c>
      <c r="FW113" s="546">
        <f t="shared" si="350"/>
        <v>491.99765793756205</v>
      </c>
      <c r="FX113" s="546">
        <f t="shared" ca="1" si="351"/>
        <v>627.05120513595068</v>
      </c>
      <c r="FY113" s="546">
        <f t="shared" ca="1" si="352"/>
        <v>2675.6035743521215</v>
      </c>
      <c r="FZ113" s="546">
        <f t="shared" ca="1" si="353"/>
        <v>75362.642085635394</v>
      </c>
      <c r="GA113" s="546">
        <f t="shared" si="354"/>
        <v>87557.33371596197</v>
      </c>
      <c r="GB113" s="546">
        <f t="shared" si="355"/>
        <v>19.007574013306421</v>
      </c>
      <c r="GC113" s="546">
        <f t="shared" si="356"/>
        <v>11.451447564168827</v>
      </c>
      <c r="GD113" s="546">
        <f t="shared" si="357"/>
        <v>397.72595565438678</v>
      </c>
    </row>
    <row r="114" spans="1:186">
      <c r="A114" s="4">
        <v>45778</v>
      </c>
      <c r="B114" s="6">
        <f t="shared" si="358"/>
        <v>2025</v>
      </c>
      <c r="C114" s="5">
        <f t="shared" si="359"/>
        <v>5</v>
      </c>
      <c r="D114" s="7">
        <v>67023639.712755226</v>
      </c>
      <c r="E114" s="7">
        <f ca="1">IFERROR(VLOOKUP($B114-1,CDM!$V$4:$AJ$17,2,FALSE)/12,0)+IFERROR(VLOOKUP($B114,CDM!$V$41:$AJ$54,2,FALSE)/24,0)+IFERROR(VLOOKUP($B114,CDM!$V$41:$AJ$54,2,FALSE)/2*$C114/78,0)</f>
        <v>4425328.7385491803</v>
      </c>
      <c r="F114" s="7">
        <f t="shared" ca="1" si="285"/>
        <v>71448968.451304406</v>
      </c>
      <c r="G114" s="7">
        <f>IFERROR(HLOOKUP(B114-1,'EV Forecast VRZ'!$F$124:$T$130,2,FALSE)/12,0)+IFERROR(((HLOOKUP(B114,'EV Forecast VRZ'!$F$116:$T$122,2,FALSE)-HLOOKUP(B114-1,'EV Forecast VRZ'!$F$124:$T$130,2,FALSE)))*C114/78,0)</f>
        <v>1550758.0832815149</v>
      </c>
      <c r="H114" s="7">
        <f ca="1">HLOOKUP(B114,Heating!$C$102:$O$106,2,FALSE)*INDEX(Weather!$BO$1:$CB$20,MATCH(B114,Weather!$BO$1:$BO$20,0),MATCH(C114,Weather!$BO$1:$CB$1,0))/VLOOKUP(B114,Weather!$BO$2:$CB$20,14,FALSE)*
VLOOKUP('Monthly Data'!$B114,Weather!$BO$3:$CB$20,14,FALSE)/Weather!$CB$14</f>
        <v>757832.71765022085</v>
      </c>
      <c r="I114" s="7">
        <f t="shared" ca="1" si="270"/>
        <v>69140377.650372669</v>
      </c>
      <c r="J114" s="7">
        <v>850940.45957832469</v>
      </c>
      <c r="K114" s="7">
        <f ca="1">IFERROR(VLOOKUP($B114-1,CDM!$V$4:$AJ$17,3,FALSE)/12,0)+IFERROR(VLOOKUP($B114,CDM!$V$41:$AJ$54,3,FALSE)/24,0)+IFERROR(VLOOKUP($B114,CDM!$V$41:$AJ$54,3,FALSE)/2*$C114/78,0)</f>
        <v>50683.999306941187</v>
      </c>
      <c r="L114" s="7">
        <f t="shared" ca="1" si="286"/>
        <v>901624.45888526586</v>
      </c>
      <c r="M114" s="7">
        <f>IFERROR(HLOOKUP(B114-1,'EV Forecast VRZ'!$F$124:$T$130,3,FALSE)/12,0)+IFERROR(((HLOOKUP(B114,'EV Forecast VRZ'!$F$116:$T$122,3,FALSE)-HLOOKUP(B114-1,'EV Forecast VRZ'!$F$124:$T$130,3,FALSE)))*C114/78,0)</f>
        <v>21042.456077459181</v>
      </c>
      <c r="N114" s="7">
        <f ca="1">HLOOKUP(B114,Heating!$C$102:$O$106,3,FALSE)*INDEX(Weather!$BO$1:$CB$20,MATCH(B114,Weather!$BO$1:$BO$20,0),MATCH(C114,Weather!$BO$1:$CB$1,0))/VLOOKUP(B114,Weather!$BO$2:$CB$20,14,FALSE)*
VLOOKUP('Monthly Data'!$B114,Weather!$BO$3:$CB$20,14,FALSE)/Weather!$CB$14</f>
        <v>8753.4675162094245</v>
      </c>
      <c r="O114" s="7">
        <f t="shared" ca="1" si="287"/>
        <v>871828.53529159725</v>
      </c>
      <c r="P114" s="7">
        <v>18330032.948225532</v>
      </c>
      <c r="Q114" s="7">
        <f ca="1">IFERROR(VLOOKUP($B114-1,CDM!$V$4:$AJ$17,4,FALSE)/12,0)+IFERROR(VLOOKUP($B114,CDM!$V$41:$AJ$54,4,FALSE)/24,0)+IFERROR(VLOOKUP($B114,CDM!$V$41:$AJ$54,4,FALSE)/2*$C114/78,0)</f>
        <v>1848289.5620198795</v>
      </c>
      <c r="R114" s="7">
        <f t="shared" ca="1" si="288"/>
        <v>20178322.510245413</v>
      </c>
      <c r="S114" s="7">
        <f>IFERROR(HLOOKUP(B114-1,'EV Forecast VRZ'!$F$124:$T$130,4,FALSE)/12,0)+IFERROR(((HLOOKUP(B114,'EV Forecast VRZ'!$F$116:$T$122,4,FALSE)-HLOOKUP(B114-1,'EV Forecast VRZ'!$F$124:$T$130,4,FALSE)))*C114/78,0)</f>
        <v>202265.78743589742</v>
      </c>
      <c r="T114" s="7">
        <f ca="1">HLOOKUP(B114,Heating!$C$102:$O$106,4,FALSE)*INDEX(Weather!$BO$1:$CB$20,MATCH(B114,Weather!$BO$1:$BO$20,0),MATCH(C114,Weather!$BO$1:$CB$1,0))/VLOOKUP(B114,Weather!$BO$2:$CB$20,14,FALSE)*
VLOOKUP('Monthly Data'!$B114,Weather!$BO$3:$CB$20,14,FALSE)/Weather!$CB$14</f>
        <v>175656.45812103417</v>
      </c>
      <c r="U114" s="7">
        <f t="shared" ca="1" si="289"/>
        <v>19800400.264688481</v>
      </c>
      <c r="V114" s="7">
        <v>72923936.316059619</v>
      </c>
      <c r="W114" s="7">
        <f ca="1">IFERROR(VLOOKUP($B114-1,CDM!$V$4:$AJ$17,5,FALSE)/12,0)+IFERROR(VLOOKUP($B114,CDM!$V$41:$AJ$54,5,FALSE)/24,0)+IFERROR(VLOOKUP($B114,CDM!$V$41:$AJ$54,5,FALSE)/2*$C114/78,0)</f>
        <v>7933450.0920241829</v>
      </c>
      <c r="X114" s="7">
        <f t="shared" ca="1" si="290"/>
        <v>80857386.408083797</v>
      </c>
      <c r="Y114" s="7">
        <f>IFERROR(HLOOKUP(B114-1,'EV Forecast VRZ'!$F$124:$T$130,5,FALSE)/12,0)+IFERROR(((HLOOKUP(B114,'EV Forecast VRZ'!$F$116:$T$122,5,FALSE)-HLOOKUP(B114-1,'EV Forecast VRZ'!$F$124:$T$130,5,FALSE)))*C114/78,0)</f>
        <v>97271.591525641023</v>
      </c>
      <c r="Z114" s="7">
        <f ca="1">HLOOKUP(B114,Heating!$C$102:$O$106,5,FALSE)*INDEX(Weather!$BO$1:$CB$20,MATCH(B114,Weather!$BO$1:$BO$20,0),MATCH(C114,Weather!$BO$1:$CB$1,0))/VLOOKUP(B114,Weather!$BO$2:$CB$20,14,FALSE)*
VLOOKUP('Monthly Data'!$B114,Weather!$BO$3:$CB$20,14,FALSE)/Weather!$CB$14</f>
        <v>92257.127948485941</v>
      </c>
      <c r="AA114" s="7">
        <f t="shared" ca="1" si="291"/>
        <v>80667857.68860966</v>
      </c>
      <c r="AB114" s="7">
        <v>8159533.6206564065</v>
      </c>
      <c r="AC114" s="7">
        <f ca="1">IFERROR(VLOOKUP($B114-1,CDM!$V$4:$AJ$17,6,FALSE)/12,0)+IFERROR(VLOOKUP($B114,CDM!$V$41:$AJ$54,6,FALSE)/24,0)+IFERROR(VLOOKUP($B114,CDM!$V$41:$AJ$54,6,FALSE)/2*$C114/78,0)</f>
        <v>428314.43466345704</v>
      </c>
      <c r="AD114" s="7">
        <f t="shared" ca="1" si="292"/>
        <v>8587848.0553198643</v>
      </c>
      <c r="AE114" s="7">
        <f>IFERROR(HLOOKUP(B114-1,'EV Forecast VRZ'!$F$124:$T$130,6,FALSE)/12,0)+IFERROR(((HLOOKUP(B114,'EV Forecast VRZ'!$F$116:$T$122,6,FALSE)-HLOOKUP(B114-1,'EV Forecast VRZ'!$F$124:$T$130,6,FALSE)))*C114/78,0)</f>
        <v>13097.19962820513</v>
      </c>
      <c r="AF114" s="7">
        <f t="shared" ca="1" si="293"/>
        <v>8574750.8556916583</v>
      </c>
      <c r="AG114" s="7">
        <v>27433239.177484326</v>
      </c>
      <c r="AH114" s="7">
        <f ca="1">IFERROR(VLOOKUP($B114-1,CDM!$V$4:$AJ$17,7,FALSE)/12,0)+IFERROR(VLOOKUP($B114,CDM!$V$41:$AJ$54,7,FALSE)/24,0)+IFERROR(VLOOKUP($B114,CDM!$V$41:$AJ$54,7,FALSE)/2*$C114/78,0)</f>
        <v>2360789.7151329275</v>
      </c>
      <c r="AI114" s="7">
        <f t="shared" ca="1" si="294"/>
        <v>29794028.892617255</v>
      </c>
      <c r="AJ114" s="7">
        <f>IFERROR(HLOOKUP(B114-1,'EV Forecast VRZ'!$F$124:$T$130,7,FALSE)/12,0)+IFERROR(((HLOOKUP(B114,'EV Forecast VRZ'!$F$116:$T$122,7,FALSE)-HLOOKUP(B114-1,'EV Forecast VRZ'!$F$124:$T$130,7,FALSE)))*C114/78,0)</f>
        <v>2447.1153846153848</v>
      </c>
      <c r="AK114" s="7">
        <f t="shared" ca="1" si="295"/>
        <v>29791581.777232639</v>
      </c>
      <c r="AL114" s="7">
        <v>763405.69547796214</v>
      </c>
      <c r="AM114" s="7">
        <v>7279.2978439229155</v>
      </c>
      <c r="AN114" s="7">
        <v>375999.65655409277</v>
      </c>
      <c r="AO114" s="3">
        <v>177831.03</v>
      </c>
      <c r="AP114" s="3">
        <v>18699</v>
      </c>
      <c r="AQ114" s="3">
        <v>44597.3</v>
      </c>
      <c r="AR114" s="3">
        <v>2662.36</v>
      </c>
      <c r="AS114" s="3">
        <f t="shared" si="360"/>
        <v>49.343669810839387</v>
      </c>
      <c r="AT114" s="576">
        <f t="shared" si="361"/>
        <v>118771.33333333336</v>
      </c>
      <c r="AU114" s="576">
        <f t="shared" si="296"/>
        <v>1555</v>
      </c>
      <c r="AV114" s="576">
        <f t="shared" si="296"/>
        <v>9505.5833333333303</v>
      </c>
      <c r="AW114" s="576">
        <f t="shared" si="296"/>
        <v>1085</v>
      </c>
      <c r="AX114" s="576">
        <f t="shared" si="296"/>
        <v>5</v>
      </c>
      <c r="AY114" s="576">
        <f t="shared" si="296"/>
        <v>5</v>
      </c>
      <c r="AZ114" s="576">
        <f t="shared" si="296"/>
        <v>33115.916666666679</v>
      </c>
      <c r="BA114" s="576">
        <f t="shared" si="296"/>
        <v>232.25</v>
      </c>
      <c r="BB114" s="576">
        <f t="shared" si="296"/>
        <v>768.66666666666686</v>
      </c>
      <c r="BC114" s="562">
        <v>27177126.341151681</v>
      </c>
      <c r="BD114" s="560">
        <f ca="1">IFERROR(VLOOKUP($B114-1,CDM!$V$4:$AJ$17,11,FALSE)/12,0)+IFERROR(VLOOKUP($B114,CDM!$V$41:$AJ$54,11,FALSE)/24,0)+IFERROR(VLOOKUP($B114,CDM!$V$41:$AJ$54,11,FALSE)/2*$C114/78,0)</f>
        <v>1931864.3608586218</v>
      </c>
      <c r="BE114" s="560">
        <f t="shared" ca="1" si="297"/>
        <v>29108990.702010304</v>
      </c>
      <c r="BF114" s="560">
        <f>IFERROR(HLOOKUP(B114-1,'EV Forecast WRZ'!$F$124:$T$130,2,FALSE)/12,0)+IFERROR(((HLOOKUP(B114,'EV Forecast WRZ'!$F$116:$T$122,2,FALSE)-HLOOKUP(B114-1,'EV Forecast WRZ'!$F$124:$T$130,2,FALSE)))*C114/78,0)</f>
        <v>525538.82794871787</v>
      </c>
      <c r="BG114" s="560">
        <f ca="1">HLOOKUP(B114,Heating!$R$102:$AD$106,2,FALSE)*INDEX(Weather!$BO$1:$CB$20,MATCH(B114,Weather!$BO$1:$BO$20,0),MATCH(C114,Weather!$BO$1:$CB$1,0))/VLOOKUP(B114,Weather!$BO$2:$CB$20,14,FALSE)*
VLOOKUP('Monthly Data'!$B114,Weather!$BO$3:$CB$20,14,FALSE)/Weather!$CB$14</f>
        <v>322599.4280505926</v>
      </c>
      <c r="BH114" s="560">
        <f t="shared" ca="1" si="298"/>
        <v>28260852.446010992</v>
      </c>
      <c r="BI114" s="562">
        <v>6125312.3594126655</v>
      </c>
      <c r="BJ114" s="560">
        <f ca="1">IFERROR(VLOOKUP($B114-1,CDM!$V$4:$AJ$17,12,FALSE)/12,0)+IFERROR(VLOOKUP($B114,CDM!$V$41:$AJ$54,12,FALSE)/24,0)+IFERROR(VLOOKUP($B114,CDM!$V$41:$AJ$54,12,FALSE)/2*$C114/78,0)</f>
        <v>335053.97292415547</v>
      </c>
      <c r="BK114" s="560">
        <f t="shared" ca="1" si="299"/>
        <v>6460366.3323368207</v>
      </c>
      <c r="BL114" s="560">
        <f>IFERROR(HLOOKUP(B114-1,'EV Forecast WRZ'!$F$124:$T$130,3,FALSE)/12,0)+IFERROR(((HLOOKUP(B114,'EV Forecast WRZ'!$F$116:$T$122,3,FALSE)-HLOOKUP(B114-1,'EV Forecast WRZ'!$F$124:$T$130,3,FALSE)))*C114/78,0)</f>
        <v>72089.070256410268</v>
      </c>
      <c r="BM114" s="560">
        <f ca="1">HLOOKUP(B114,Heating!$R$102:$AD$106,4,FALSE)*INDEX(Weather!$BO$1:$CB$20,MATCH(B114,Weather!$BO$1:$BO$20,0),MATCH(C114,Weather!$BO$1:$CB$1,0))/VLOOKUP(B114,Weather!$BO$2:$CB$20,14,FALSE)*
VLOOKUP('Monthly Data'!$B114,Weather!$BO$3:$CB$20,14,FALSE)/Weather!$CB$14</f>
        <v>51328.955742053979</v>
      </c>
      <c r="BN114" s="560">
        <f t="shared" ca="1" si="300"/>
        <v>6336948.3063383568</v>
      </c>
      <c r="BO114" s="562">
        <v>25919412.337436203</v>
      </c>
      <c r="BP114" s="560">
        <f ca="1">IFERROR(VLOOKUP($B114-1,CDM!$V$4:$AJ$17,13,FALSE)/12,0)+IFERROR(VLOOKUP($B114,CDM!$V$41:$AJ$54,13,FALSE)/24,0)+IFERROR(VLOOKUP($B114,CDM!$V$41:$AJ$54,13,FALSE)/2*$C114/78,0)</f>
        <v>3436414.501755924</v>
      </c>
      <c r="BQ114" s="560">
        <f t="shared" ca="1" si="301"/>
        <v>29355826.839192126</v>
      </c>
      <c r="BR114" s="560">
        <f>IFERROR(HLOOKUP(B114-1,'EV Forecast WRZ'!$F$124:$T$130,4,FALSE)/12,0)+IFERROR(((HLOOKUP(B114,'EV Forecast WRZ'!$F$116:$T$122,4,FALSE)-HLOOKUP(B114-1,'EV Forecast WRZ'!$F$124:$T$130,4,FALSE)))*C114/78,0)</f>
        <v>31877.966230769231</v>
      </c>
      <c r="BS114" s="560">
        <f ca="1">HLOOKUP(B114,Heating!$R$102:$AD$106,5,FALSE)*INDEX(Weather!$BO$1:$CB$20,MATCH(B114,Weather!$BO$1:$BO$20,0),MATCH(C114,Weather!$BO$1:$CB$1,0))/VLOOKUP(B114,Weather!$BO$2:$CB$20,14,FALSE)*
VLOOKUP('Monthly Data'!$B114,Weather!$BO$3:$CB$20,14,FALSE)/Weather!$CB$14</f>
        <v>27380.073958593421</v>
      </c>
      <c r="BT114" s="560">
        <f t="shared" ca="1" si="302"/>
        <v>29296568.799002763</v>
      </c>
      <c r="BU114" s="562">
        <v>6447923.2497589206</v>
      </c>
      <c r="BV114" s="560">
        <f ca="1">IFERROR(VLOOKUP($B114-1,CDM!$V$4:$AJ$17,14,FALSE)/12,0)+IFERROR(VLOOKUP($B114,CDM!$V$41:$AJ$54,14,FALSE)/24,0)+IFERROR(VLOOKUP($B114,CDM!$V$41:$AJ$54,14,FALSE)/2*$C114/78,0)</f>
        <v>774913.57436326065</v>
      </c>
      <c r="BW114" s="560">
        <f t="shared" ca="1" si="303"/>
        <v>7222836.8241221812</v>
      </c>
      <c r="BX114" s="560">
        <f>IFERROR(HLOOKUP(B114-1,'EV Forecast WRZ'!$F$124:$T$130,5,FALSE)/12,0)+IFERROR(((HLOOKUP(B114,'EV Forecast WRZ'!$F$116:$T$122,5,FALSE)-HLOOKUP(B114-1,'EV Forecast WRZ'!$F$124:$T$130,5,FALSE)))*C114/78,0)</f>
        <v>5865.6073589743592</v>
      </c>
      <c r="BY114" s="560">
        <f t="shared" ca="1" si="304"/>
        <v>7216971.2167632068</v>
      </c>
      <c r="BZ114" s="562">
        <v>239196.99636502774</v>
      </c>
      <c r="CA114" s="562">
        <v>494.99713028505835</v>
      </c>
      <c r="CB114" s="562">
        <v>155351.97053759327</v>
      </c>
      <c r="CC114" s="3">
        <v>61419.85</v>
      </c>
      <c r="CD114" s="3">
        <v>11298.83</v>
      </c>
      <c r="CE114" s="3">
        <v>835</v>
      </c>
      <c r="CF114" s="3">
        <f t="shared" si="362"/>
        <v>6.8977675926717925</v>
      </c>
      <c r="CG114" s="576">
        <f t="shared" si="363"/>
        <v>45827</v>
      </c>
      <c r="CH114" s="576">
        <f t="shared" si="305"/>
        <v>2473</v>
      </c>
      <c r="CI114" s="576">
        <f t="shared" si="306"/>
        <v>395</v>
      </c>
      <c r="CJ114" s="576">
        <f t="shared" si="307"/>
        <v>3</v>
      </c>
      <c r="CK114" s="576">
        <f t="shared" si="308"/>
        <v>13833.41666666667</v>
      </c>
      <c r="CL114" s="576">
        <f t="shared" si="309"/>
        <v>44.583333333333321</v>
      </c>
      <c r="CM114" s="576">
        <f t="shared" si="310"/>
        <v>389.66666666666657</v>
      </c>
      <c r="CN114" s="46">
        <f>Weather!C138</f>
        <v>221.07083333333333</v>
      </c>
      <c r="CO114" s="46">
        <f>Weather!D138</f>
        <v>0</v>
      </c>
      <c r="CP114" s="46">
        <f>Weather!E138</f>
        <v>159.32500000000002</v>
      </c>
      <c r="CQ114" s="46">
        <f>Weather!F138</f>
        <v>0.25416666666666643</v>
      </c>
      <c r="CR114" s="46">
        <f>Weather!G138</f>
        <v>104.65416666666668</v>
      </c>
      <c r="CS114" s="46">
        <f>Weather!H138</f>
        <v>7.5833333333333321</v>
      </c>
      <c r="CT114" s="46">
        <f>Weather!I138</f>
        <v>62.479166666666679</v>
      </c>
      <c r="CU114" s="46">
        <f>Weather!J138</f>
        <v>27.408333333333335</v>
      </c>
      <c r="CV114" s="46">
        <f>Weather!K138</f>
        <v>31.741666666666674</v>
      </c>
      <c r="CW114" s="46">
        <f>Weather!L138</f>
        <v>58.67083333333332</v>
      </c>
      <c r="CX114" s="46">
        <f>Weather!M138</f>
        <v>9.9166666666666732</v>
      </c>
      <c r="CY114" s="46">
        <f>Weather!N138</f>
        <v>98.845833333333317</v>
      </c>
      <c r="CZ114" s="46">
        <f>Weather!O138</f>
        <v>0</v>
      </c>
      <c r="DA114" s="46">
        <f>Weather!P138</f>
        <v>150.92916666666665</v>
      </c>
      <c r="DB114" s="243">
        <f>'Economic Data'!D140</f>
        <v>8204.4</v>
      </c>
      <c r="DC114" s="243">
        <f>'Economic Data'!E140</f>
        <v>8198.1</v>
      </c>
      <c r="DD114" s="243">
        <f>'Economic Data'!F140</f>
        <v>241.8</v>
      </c>
      <c r="DE114" s="243">
        <f>'Economic Data'!G140</f>
        <v>240.7</v>
      </c>
      <c r="DF114" s="243">
        <f>'Economic Data'!H140</f>
        <v>48.5</v>
      </c>
      <c r="DG114" s="243">
        <f>'Economic Data'!I140</f>
        <v>48.5</v>
      </c>
      <c r="DH114" s="243">
        <f>'Economic Data'!J140</f>
        <v>888015.75609999988</v>
      </c>
      <c r="DI114" s="243">
        <f>'Economic Data'!K140</f>
        <v>703631.11690000002</v>
      </c>
      <c r="DJ114" s="243">
        <f>'Economic Data'!L140</f>
        <v>93638.073199999984</v>
      </c>
      <c r="DK114" s="243">
        <f>'Economic Data'!M140</f>
        <v>34291.468199999996</v>
      </c>
      <c r="DL114" s="243">
        <f>'Economic Data'!N140</f>
        <v>894654</v>
      </c>
      <c r="DM114" s="243">
        <f>'Economic Data'!O140</f>
        <v>86682</v>
      </c>
      <c r="DN114" s="243">
        <f>'Economic Data'!P140</f>
        <v>16755</v>
      </c>
      <c r="DO114" s="243">
        <f>'Economic Data'!Q140</f>
        <v>719404</v>
      </c>
      <c r="DP114" s="243">
        <f>'Economic Data'!R140</f>
        <v>34377</v>
      </c>
      <c r="DQ114">
        <f t="shared" si="311"/>
        <v>31</v>
      </c>
      <c r="DR114">
        <v>21</v>
      </c>
      <c r="DS114">
        <f t="shared" ref="DS114:EF114" si="367">DS102</f>
        <v>0</v>
      </c>
      <c r="DT114">
        <f t="shared" si="367"/>
        <v>0</v>
      </c>
      <c r="DU114">
        <f t="shared" si="367"/>
        <v>0</v>
      </c>
      <c r="DV114">
        <f t="shared" si="367"/>
        <v>0</v>
      </c>
      <c r="DW114">
        <f t="shared" si="367"/>
        <v>1</v>
      </c>
      <c r="DX114">
        <f t="shared" si="367"/>
        <v>0</v>
      </c>
      <c r="DY114">
        <f t="shared" si="367"/>
        <v>0</v>
      </c>
      <c r="DZ114">
        <f t="shared" si="367"/>
        <v>0</v>
      </c>
      <c r="EA114">
        <f t="shared" si="367"/>
        <v>0</v>
      </c>
      <c r="EB114">
        <f t="shared" si="367"/>
        <v>0</v>
      </c>
      <c r="EC114">
        <f t="shared" si="367"/>
        <v>0</v>
      </c>
      <c r="ED114">
        <f t="shared" si="367"/>
        <v>0</v>
      </c>
      <c r="EE114">
        <f t="shared" si="367"/>
        <v>1</v>
      </c>
      <c r="EF114">
        <f t="shared" si="367"/>
        <v>0</v>
      </c>
      <c r="EG114">
        <f t="shared" si="313"/>
        <v>1</v>
      </c>
      <c r="EH114">
        <f t="shared" si="185"/>
        <v>113</v>
      </c>
      <c r="EI114">
        <v>0</v>
      </c>
      <c r="EJ114">
        <v>0</v>
      </c>
      <c r="EK114">
        <v>0.25</v>
      </c>
      <c r="EL114">
        <v>0</v>
      </c>
      <c r="EM114" s="47">
        <f t="shared" si="314"/>
        <v>0</v>
      </c>
      <c r="EN114" s="47">
        <f t="shared" si="315"/>
        <v>0</v>
      </c>
      <c r="EO114" s="47">
        <f t="shared" si="316"/>
        <v>0</v>
      </c>
      <c r="EP114" s="47">
        <f t="shared" si="317"/>
        <v>0</v>
      </c>
      <c r="EQ114" s="47">
        <f t="shared" si="318"/>
        <v>0</v>
      </c>
      <c r="ER114" s="47">
        <f t="shared" si="319"/>
        <v>0</v>
      </c>
      <c r="ES114" s="47">
        <f t="shared" si="320"/>
        <v>0</v>
      </c>
      <c r="ET114" s="47">
        <f t="shared" si="321"/>
        <v>0</v>
      </c>
      <c r="EU114" s="47">
        <f t="shared" si="322"/>
        <v>0</v>
      </c>
      <c r="EV114" s="47">
        <f t="shared" si="323"/>
        <v>0</v>
      </c>
      <c r="EW114" s="47">
        <f t="shared" si="324"/>
        <v>0</v>
      </c>
      <c r="EX114" s="47">
        <f t="shared" si="325"/>
        <v>0</v>
      </c>
      <c r="EY114" s="47">
        <f t="shared" si="326"/>
        <v>0</v>
      </c>
      <c r="EZ114" s="47">
        <f t="shared" si="327"/>
        <v>0</v>
      </c>
      <c r="FA114" s="47">
        <f t="shared" si="328"/>
        <v>55.267708333333331</v>
      </c>
      <c r="FB114" s="47">
        <f t="shared" si="329"/>
        <v>0</v>
      </c>
      <c r="FC114" s="47">
        <f t="shared" si="330"/>
        <v>39.831250000000004</v>
      </c>
      <c r="FD114" s="47">
        <f t="shared" si="331"/>
        <v>6.3541666666666607E-2</v>
      </c>
      <c r="FE114" s="47">
        <f t="shared" si="332"/>
        <v>26.163541666666671</v>
      </c>
      <c r="FF114" s="47">
        <f t="shared" si="333"/>
        <v>1.895833333333333</v>
      </c>
      <c r="FG114" s="47">
        <f t="shared" si="334"/>
        <v>15.61979166666667</v>
      </c>
      <c r="FH114" s="47">
        <f t="shared" si="335"/>
        <v>6.8520833333333337</v>
      </c>
      <c r="FI114" s="47">
        <f t="shared" si="336"/>
        <v>7.9354166666666686</v>
      </c>
      <c r="FJ114" s="47">
        <f t="shared" si="337"/>
        <v>14.66770833333333</v>
      </c>
      <c r="FK114" s="47">
        <f t="shared" si="338"/>
        <v>2.4791666666666683</v>
      </c>
      <c r="FL114" s="47">
        <f t="shared" si="339"/>
        <v>24.711458333333329</v>
      </c>
      <c r="FM114" s="47">
        <f t="shared" si="340"/>
        <v>0</v>
      </c>
      <c r="FN114" s="47">
        <f t="shared" si="341"/>
        <v>37.732291666666661</v>
      </c>
      <c r="FO114" s="546">
        <f t="shared" ca="1" si="342"/>
        <v>582.13017998483906</v>
      </c>
      <c r="FP114" s="546">
        <f t="shared" ca="1" si="343"/>
        <v>579.82280314165007</v>
      </c>
      <c r="FQ114" s="546">
        <f t="shared" ca="1" si="344"/>
        <v>2122.786345945322</v>
      </c>
      <c r="FR114" s="546">
        <f t="shared" ca="1" si="345"/>
        <v>74522.93678164405</v>
      </c>
      <c r="FS114" s="546">
        <f t="shared" ca="1" si="346"/>
        <v>1717569.6110639728</v>
      </c>
      <c r="FT114" s="546">
        <f t="shared" ca="1" si="347"/>
        <v>5958805.7785234507</v>
      </c>
      <c r="FU114" s="546">
        <f t="shared" si="348"/>
        <v>23.052530997771822</v>
      </c>
      <c r="FV114" s="546">
        <f t="shared" si="349"/>
        <v>31.342509554027622</v>
      </c>
      <c r="FW114" s="546">
        <f t="shared" si="350"/>
        <v>489.15826958468256</v>
      </c>
      <c r="FX114" s="546">
        <f t="shared" ca="1" si="351"/>
        <v>635.19302380715089</v>
      </c>
      <c r="FY114" s="546">
        <f t="shared" ca="1" si="352"/>
        <v>2612.360021163292</v>
      </c>
      <c r="FZ114" s="546">
        <f t="shared" ca="1" si="353"/>
        <v>74318.548959980064</v>
      </c>
      <c r="GA114" s="546">
        <f t="shared" si="354"/>
        <v>79732.332121675907</v>
      </c>
      <c r="GB114" s="546">
        <f t="shared" si="355"/>
        <v>17.291244970694947</v>
      </c>
      <c r="GC114" s="546">
        <f t="shared" si="356"/>
        <v>11.102739370879817</v>
      </c>
      <c r="GD114" s="546">
        <f t="shared" si="357"/>
        <v>398.67913739331044</v>
      </c>
    </row>
    <row r="115" spans="1:186">
      <c r="A115" s="4">
        <v>45809</v>
      </c>
      <c r="B115" s="6">
        <f t="shared" si="358"/>
        <v>2025</v>
      </c>
      <c r="C115" s="5">
        <f t="shared" si="359"/>
        <v>6</v>
      </c>
      <c r="D115" s="7">
        <v>87940671.388637513</v>
      </c>
      <c r="E115" s="7">
        <f ca="1">IFERROR(VLOOKUP($B115-1,CDM!$V$4:$AJ$17,2,FALSE)/12,0)+IFERROR(VLOOKUP($B115,CDM!$V$41:$AJ$54,2,FALSE)/24,0)+IFERROR(VLOOKUP($B115,CDM!$V$41:$AJ$54,2,FALSE)/2*$C115/78,0)</f>
        <v>4457233.4610460456</v>
      </c>
      <c r="F115" s="7">
        <f t="shared" ca="1" si="285"/>
        <v>92397904.849683553</v>
      </c>
      <c r="G115" s="7">
        <f>IFERROR(HLOOKUP(B115-1,'EV Forecast VRZ'!$F$124:$T$130,2,FALSE)/12,0)+IFERROR(((HLOOKUP(B115,'EV Forecast VRZ'!$F$116:$T$122,2,FALSE)-HLOOKUP(B115-1,'EV Forecast VRZ'!$F$124:$T$130,2,FALSE)))*C115/78,0)</f>
        <v>1577102.5135147835</v>
      </c>
      <c r="H115" s="7">
        <f ca="1">HLOOKUP(B115,Heating!$C$102:$O$106,2,FALSE)*INDEX(Weather!$BO$1:$CB$20,MATCH(B115,Weather!$BO$1:$BO$20,0),MATCH(C115,Weather!$BO$1:$CB$1,0))/VLOOKUP(B115,Weather!$BO$2:$CB$20,14,FALSE)*
VLOOKUP('Monthly Data'!$B115,Weather!$BO$3:$CB$20,14,FALSE)/Weather!$CB$14</f>
        <v>106803.71660173225</v>
      </c>
      <c r="I115" s="7">
        <f t="shared" ca="1" si="270"/>
        <v>90713998.619567037</v>
      </c>
      <c r="J115" s="7">
        <v>845710.63911467255</v>
      </c>
      <c r="K115" s="7">
        <f ca="1">IFERROR(VLOOKUP($B115-1,CDM!$V$4:$AJ$17,3,FALSE)/12,0)+IFERROR(VLOOKUP($B115,CDM!$V$41:$AJ$54,3,FALSE)/24,0)+IFERROR(VLOOKUP($B115,CDM!$V$41:$AJ$54,3,FALSE)/2*$C115/78,0)</f>
        <v>51049.272496815902</v>
      </c>
      <c r="L115" s="7">
        <f t="shared" ca="1" si="286"/>
        <v>896759.91161148844</v>
      </c>
      <c r="M115" s="7">
        <f>IFERROR(HLOOKUP(B115-1,'EV Forecast VRZ'!$F$124:$T$130,3,FALSE)/12,0)+IFERROR(((HLOOKUP(B115,'EV Forecast VRZ'!$F$116:$T$122,3,FALSE)-HLOOKUP(B115-1,'EV Forecast VRZ'!$F$124:$T$130,3,FALSE)))*C115/78,0)</f>
        <v>21399.927382652186</v>
      </c>
      <c r="N115" s="7">
        <f ca="1">HLOOKUP(B115,Heating!$C$102:$O$106,3,FALSE)*INDEX(Weather!$BO$1:$CB$20,MATCH(B115,Weather!$BO$1:$BO$20,0),MATCH(C115,Weather!$BO$1:$CB$1,0))/VLOOKUP(B115,Weather!$BO$2:$CB$20,14,FALSE)*
VLOOKUP('Monthly Data'!$B115,Weather!$BO$3:$CB$20,14,FALSE)/Weather!$CB$14</f>
        <v>1233.6533407827962</v>
      </c>
      <c r="O115" s="7">
        <f t="shared" ca="1" si="287"/>
        <v>874126.3308880534</v>
      </c>
      <c r="P115" s="7">
        <v>20304984.90865289</v>
      </c>
      <c r="Q115" s="7">
        <f ca="1">IFERROR(VLOOKUP($B115-1,CDM!$V$4:$AJ$17,4,FALSE)/12,0)+IFERROR(VLOOKUP($B115,CDM!$V$41:$AJ$54,4,FALSE)/24,0)+IFERROR(VLOOKUP($B115,CDM!$V$41:$AJ$54,4,FALSE)/2*$C115/78,0)</f>
        <v>1862517.0503667507</v>
      </c>
      <c r="R115" s="7">
        <f t="shared" ca="1" si="288"/>
        <v>22167501.959019642</v>
      </c>
      <c r="S115" s="7">
        <f>IFERROR(HLOOKUP(B115-1,'EV Forecast VRZ'!$F$124:$T$130,4,FALSE)/12,0)+IFERROR(((HLOOKUP(B115,'EV Forecast VRZ'!$F$116:$T$122,4,FALSE)-HLOOKUP(B115-1,'EV Forecast VRZ'!$F$124:$T$130,4,FALSE)))*C115/78,0)</f>
        <v>206293.27358974359</v>
      </c>
      <c r="T115" s="7">
        <f ca="1">HLOOKUP(B115,Heating!$C$102:$O$106,4,FALSE)*INDEX(Weather!$BO$1:$CB$20,MATCH(B115,Weather!$BO$1:$BO$20,0),MATCH(C115,Weather!$BO$1:$CB$1,0))/VLOOKUP(B115,Weather!$BO$2:$CB$20,14,FALSE)*
VLOOKUP('Monthly Data'!$B115,Weather!$BO$3:$CB$20,14,FALSE)/Weather!$CB$14</f>
        <v>24755.809739375825</v>
      </c>
      <c r="U115" s="7">
        <f t="shared" ca="1" si="289"/>
        <v>21936452.87569052</v>
      </c>
      <c r="V115" s="7">
        <v>77366233.063266605</v>
      </c>
      <c r="W115" s="7">
        <f ca="1">IFERROR(VLOOKUP($B115-1,CDM!$V$4:$AJ$17,5,FALSE)/12,0)+IFERROR(VLOOKUP($B115,CDM!$V$41:$AJ$54,5,FALSE)/24,0)+IFERROR(VLOOKUP($B115,CDM!$V$41:$AJ$54,5,FALSE)/2*$C115/78,0)</f>
        <v>8013920.1050706888</v>
      </c>
      <c r="X115" s="7">
        <f t="shared" ca="1" si="290"/>
        <v>85380153.1683373</v>
      </c>
      <c r="Y115" s="7">
        <f>IFERROR(HLOOKUP(B115-1,'EV Forecast VRZ'!$F$124:$T$130,5,FALSE)/12,0)+IFERROR(((HLOOKUP(B115,'EV Forecast VRZ'!$F$116:$T$122,5,FALSE)-HLOOKUP(B115-1,'EV Forecast VRZ'!$F$124:$T$130,5,FALSE)))*C115/78,0)</f>
        <v>99382.357730769218</v>
      </c>
      <c r="Z115" s="7">
        <f ca="1">HLOOKUP(B115,Heating!$C$102:$O$106,5,FALSE)*INDEX(Weather!$BO$1:$CB$20,MATCH(B115,Weather!$BO$1:$BO$20,0),MATCH(C115,Weather!$BO$1:$CB$1,0))/VLOOKUP(B115,Weather!$BO$2:$CB$20,14,FALSE)*
VLOOKUP('Monthly Data'!$B115,Weather!$BO$3:$CB$20,14,FALSE)/Weather!$CB$14</f>
        <v>13002.083333709672</v>
      </c>
      <c r="AA115" s="7">
        <f t="shared" ca="1" si="291"/>
        <v>85267768.727272809</v>
      </c>
      <c r="AB115" s="7">
        <v>8042373.2307454953</v>
      </c>
      <c r="AC115" s="7">
        <f ca="1">IFERROR(VLOOKUP($B115-1,CDM!$V$4:$AJ$17,6,FALSE)/12,0)+IFERROR(VLOOKUP($B115,CDM!$V$41:$AJ$54,6,FALSE)/24,0)+IFERROR(VLOOKUP($B115,CDM!$V$41:$AJ$54,6,FALSE)/2*$C115/78,0)</f>
        <v>434714.90779061691</v>
      </c>
      <c r="AD115" s="7">
        <f t="shared" ca="1" si="292"/>
        <v>8477088.1385361124</v>
      </c>
      <c r="AE115" s="7">
        <f>IFERROR(HLOOKUP(B115-1,'EV Forecast VRZ'!$F$124:$T$130,6,FALSE)/12,0)+IFERROR(((HLOOKUP(B115,'EV Forecast VRZ'!$F$116:$T$122,6,FALSE)-HLOOKUP(B115-1,'EV Forecast VRZ'!$F$124:$T$130,6,FALSE)))*C115/78,0)</f>
        <v>13462.355987179488</v>
      </c>
      <c r="AF115" s="7">
        <f t="shared" ca="1" si="293"/>
        <v>8463625.7825489324</v>
      </c>
      <c r="AG115" s="7">
        <v>28224718.364065059</v>
      </c>
      <c r="AH115" s="7">
        <f ca="1">IFERROR(VLOOKUP($B115-1,CDM!$V$4:$AJ$17,7,FALSE)/12,0)+IFERROR(VLOOKUP($B115,CDM!$V$41:$AJ$54,7,FALSE)/24,0)+IFERROR(VLOOKUP($B115,CDM!$V$41:$AJ$54,7,FALSE)/2*$C115/78,0)</f>
        <v>2390146.941340283</v>
      </c>
      <c r="AI115" s="7">
        <f t="shared" ca="1" si="294"/>
        <v>30614865.305405341</v>
      </c>
      <c r="AJ115" s="7">
        <f>IFERROR(HLOOKUP(B115-1,'EV Forecast VRZ'!$F$124:$T$130,7,FALSE)/12,0)+IFERROR(((HLOOKUP(B115,'EV Forecast VRZ'!$F$116:$T$122,7,FALSE)-HLOOKUP(B115-1,'EV Forecast VRZ'!$F$124:$T$130,7,FALSE)))*C115/78,0)</f>
        <v>2561.5384615384614</v>
      </c>
      <c r="AK115" s="7">
        <f t="shared" ca="1" si="295"/>
        <v>30612303.766943801</v>
      </c>
      <c r="AL115" s="7">
        <v>685688.86662850599</v>
      </c>
      <c r="AM115" s="7">
        <v>7044.4857851555043</v>
      </c>
      <c r="AN115" s="7">
        <v>376426.22591108561</v>
      </c>
      <c r="AO115" s="3">
        <v>203287.16</v>
      </c>
      <c r="AP115" s="3">
        <v>19047.77</v>
      </c>
      <c r="AQ115" s="3">
        <v>48173.09</v>
      </c>
      <c r="AR115" s="3">
        <v>2662.96</v>
      </c>
      <c r="AS115" s="3">
        <f t="shared" si="360"/>
        <v>49.343669810839387</v>
      </c>
      <c r="AT115" s="576">
        <f t="shared" si="361"/>
        <v>118863.00000000003</v>
      </c>
      <c r="AU115" s="576">
        <f t="shared" si="296"/>
        <v>1554</v>
      </c>
      <c r="AV115" s="576">
        <f t="shared" si="296"/>
        <v>9505.4999999999964</v>
      </c>
      <c r="AW115" s="576">
        <f t="shared" si="296"/>
        <v>1087</v>
      </c>
      <c r="AX115" s="576">
        <f t="shared" si="296"/>
        <v>5</v>
      </c>
      <c r="AY115" s="576">
        <f t="shared" si="296"/>
        <v>5</v>
      </c>
      <c r="AZ115" s="576">
        <f t="shared" si="296"/>
        <v>33137.500000000015</v>
      </c>
      <c r="BA115" s="576">
        <f t="shared" si="296"/>
        <v>231.5</v>
      </c>
      <c r="BB115" s="576">
        <f t="shared" si="296"/>
        <v>773.00000000000023</v>
      </c>
      <c r="BC115" s="562">
        <v>37651081.528132714</v>
      </c>
      <c r="BD115" s="560">
        <f ca="1">IFERROR(VLOOKUP($B115-1,CDM!$V$4:$AJ$17,11,FALSE)/12,0)+IFERROR(VLOOKUP($B115,CDM!$V$41:$AJ$54,11,FALSE)/24,0)+IFERROR(VLOOKUP($B115,CDM!$V$41:$AJ$54,11,FALSE)/2*$C115/78,0)</f>
        <v>1944285.7665612919</v>
      </c>
      <c r="BE115" s="560">
        <f t="shared" ca="1" si="297"/>
        <v>39595367.294694006</v>
      </c>
      <c r="BF115" s="560">
        <f>IFERROR(HLOOKUP(B115-1,'EV Forecast WRZ'!$F$124:$T$130,2,FALSE)/12,0)+IFERROR(((HLOOKUP(B115,'EV Forecast WRZ'!$F$116:$T$122,2,FALSE)-HLOOKUP(B115-1,'EV Forecast WRZ'!$F$124:$T$130,2,FALSE)))*C115/78,0)</f>
        <v>533598.89820512815</v>
      </c>
      <c r="BG115" s="560">
        <f ca="1">HLOOKUP(B115,Heating!$R$102:$AD$106,2,FALSE)*INDEX(Weather!$BO$1:$CB$20,MATCH(B115,Weather!$BO$1:$BO$20,0),MATCH(C115,Weather!$BO$1:$CB$1,0))/VLOOKUP(B115,Weather!$BO$2:$CB$20,14,FALSE)*
VLOOKUP('Monthly Data'!$B115,Weather!$BO$3:$CB$20,14,FALSE)/Weather!$CB$14</f>
        <v>45464.938484351762</v>
      </c>
      <c r="BH115" s="560">
        <f t="shared" ca="1" si="298"/>
        <v>39016303.458004527</v>
      </c>
      <c r="BI115" s="562">
        <v>6859592.2271857653</v>
      </c>
      <c r="BJ115" s="560">
        <f ca="1">IFERROR(VLOOKUP($B115-1,CDM!$V$4:$AJ$17,12,FALSE)/12,0)+IFERROR(VLOOKUP($B115,CDM!$V$41:$AJ$54,12,FALSE)/24,0)+IFERROR(VLOOKUP($B115,CDM!$V$41:$AJ$54,12,FALSE)/2*$C115/78,0)</f>
        <v>336769.89552277583</v>
      </c>
      <c r="BK115" s="560">
        <f t="shared" ca="1" si="299"/>
        <v>7196362.1227085413</v>
      </c>
      <c r="BL115" s="560">
        <f>IFERROR(HLOOKUP(B115-1,'EV Forecast WRZ'!$F$124:$T$130,3,FALSE)/12,0)+IFERROR(((HLOOKUP(B115,'EV Forecast WRZ'!$F$116:$T$122,3,FALSE)-HLOOKUP(B115-1,'EV Forecast WRZ'!$F$124:$T$130,3,FALSE)))*C115/78,0)</f>
        <v>73205.978974358979</v>
      </c>
      <c r="BM115" s="560">
        <f ca="1">HLOOKUP(B115,Heating!$R$102:$AD$106,4,FALSE)*INDEX(Weather!$BO$1:$CB$20,MATCH(B115,Weather!$BO$1:$BO$20,0),MATCH(C115,Weather!$BO$1:$CB$1,0))/VLOOKUP(B115,Weather!$BO$2:$CB$20,14,FALSE)*
VLOOKUP('Monthly Data'!$B115,Weather!$BO$3:$CB$20,14,FALSE)/Weather!$CB$14</f>
        <v>7233.9490165261986</v>
      </c>
      <c r="BN115" s="560">
        <f t="shared" ca="1" si="300"/>
        <v>7115922.1947176559</v>
      </c>
      <c r="BO115" s="562">
        <v>27521349.312518761</v>
      </c>
      <c r="BP115" s="560">
        <f ca="1">IFERROR(VLOOKUP($B115-1,CDM!$V$4:$AJ$17,13,FALSE)/12,0)+IFERROR(VLOOKUP($B115,CDM!$V$41:$AJ$54,13,FALSE)/24,0)+IFERROR(VLOOKUP($B115,CDM!$V$41:$AJ$54,13,FALSE)/2*$C115/78,0)</f>
        <v>3471532.367613594</v>
      </c>
      <c r="BQ115" s="560">
        <f t="shared" ca="1" si="301"/>
        <v>30992881.680132356</v>
      </c>
      <c r="BR115" s="560">
        <f>IFERROR(HLOOKUP(B115-1,'EV Forecast WRZ'!$F$124:$T$130,4,FALSE)/12,0)+IFERROR(((HLOOKUP(B115,'EV Forecast WRZ'!$F$116:$T$122,4,FALSE)-HLOOKUP(B115-1,'EV Forecast WRZ'!$F$124:$T$130,4,FALSE)))*C115/78,0)</f>
        <v>32372.402076923077</v>
      </c>
      <c r="BS115" s="560">
        <f ca="1">HLOOKUP(B115,Heating!$R$102:$AD$106,5,FALSE)*INDEX(Weather!$BO$1:$CB$20,MATCH(B115,Weather!$BO$1:$BO$20,0),MATCH(C115,Weather!$BO$1:$CB$1,0))/VLOOKUP(B115,Weather!$BO$2:$CB$20,14,FALSE)*
VLOOKUP('Monthly Data'!$B115,Weather!$BO$3:$CB$20,14,FALSE)/Weather!$CB$14</f>
        <v>3858.7587887143645</v>
      </c>
      <c r="BT115" s="560">
        <f t="shared" ca="1" si="302"/>
        <v>30956650.519266717</v>
      </c>
      <c r="BU115" s="562">
        <v>6134329.1899710707</v>
      </c>
      <c r="BV115" s="560">
        <f ca="1">IFERROR(VLOOKUP($B115-1,CDM!$V$4:$AJ$17,14,FALSE)/12,0)+IFERROR(VLOOKUP($B115,CDM!$V$41:$AJ$54,14,FALSE)/24,0)+IFERROR(VLOOKUP($B115,CDM!$V$41:$AJ$54,14,FALSE)/2*$C115/78,0)</f>
        <v>782899.12164484814</v>
      </c>
      <c r="BW115" s="560">
        <f t="shared" ca="1" si="303"/>
        <v>6917228.3116159188</v>
      </c>
      <c r="BX115" s="560">
        <f>IFERROR(HLOOKUP(B115-1,'EV Forecast WRZ'!$F$124:$T$130,5,FALSE)/12,0)+IFERROR(((HLOOKUP(B115,'EV Forecast WRZ'!$F$116:$T$122,5,FALSE)-HLOOKUP(B115-1,'EV Forecast WRZ'!$F$124:$T$130,5,FALSE)))*C115/78,0)</f>
        <v>5959.4335641025646</v>
      </c>
      <c r="BY115" s="560">
        <f t="shared" ca="1" si="304"/>
        <v>6911268.8780518165</v>
      </c>
      <c r="BZ115" s="562">
        <v>214787.00019131429</v>
      </c>
      <c r="CA115" s="562">
        <v>511.49799119954082</v>
      </c>
      <c r="CB115" s="562">
        <v>156421.97245073653</v>
      </c>
      <c r="CC115" s="3">
        <v>72655.33</v>
      </c>
      <c r="CD115" s="3">
        <v>10992.76</v>
      </c>
      <c r="CE115" s="3">
        <v>835</v>
      </c>
      <c r="CF115" s="3">
        <f t="shared" si="362"/>
        <v>6.8977675926717925</v>
      </c>
      <c r="CG115" s="576">
        <f t="shared" si="363"/>
        <v>45855</v>
      </c>
      <c r="CH115" s="576">
        <f t="shared" si="305"/>
        <v>2473</v>
      </c>
      <c r="CI115" s="576">
        <f t="shared" si="306"/>
        <v>396</v>
      </c>
      <c r="CJ115" s="576">
        <f t="shared" si="307"/>
        <v>3</v>
      </c>
      <c r="CK115" s="576">
        <f t="shared" si="308"/>
        <v>13847.500000000004</v>
      </c>
      <c r="CL115" s="576">
        <f t="shared" si="309"/>
        <v>44.499999999999986</v>
      </c>
      <c r="CM115" s="576">
        <f t="shared" si="310"/>
        <v>389.99999999999989</v>
      </c>
      <c r="CN115" s="46">
        <f>Weather!C139</f>
        <v>49.987500000000011</v>
      </c>
      <c r="CO115" s="46">
        <f>Weather!D139</f>
        <v>33.229166666666671</v>
      </c>
      <c r="CP115" s="46">
        <f>Weather!E139</f>
        <v>22.454166666666659</v>
      </c>
      <c r="CQ115" s="46">
        <f>Weather!F139</f>
        <v>65.695833333333326</v>
      </c>
      <c r="CR115" s="46">
        <f>Weather!G139</f>
        <v>10.320833333333331</v>
      </c>
      <c r="CS115" s="46">
        <f>Weather!H139</f>
        <v>113.56249999999999</v>
      </c>
      <c r="CT115" s="46">
        <f>Weather!I139</f>
        <v>4.9291666666666671</v>
      </c>
      <c r="CU115" s="46">
        <f>Weather!J139</f>
        <v>168.17083333333329</v>
      </c>
      <c r="CV115" s="46">
        <f>Weather!K139</f>
        <v>1.1875</v>
      </c>
      <c r="CW115" s="46">
        <f>Weather!L139</f>
        <v>224.42916666666662</v>
      </c>
      <c r="CX115" s="46">
        <f>Weather!M139</f>
        <v>0</v>
      </c>
      <c r="CY115" s="46">
        <f>Weather!N139</f>
        <v>283.24166666666662</v>
      </c>
      <c r="CZ115" s="46">
        <f>Weather!O139</f>
        <v>0</v>
      </c>
      <c r="DA115" s="46">
        <f>Weather!P139</f>
        <v>343.24166666666662</v>
      </c>
      <c r="DB115" s="243">
        <f>'Economic Data'!D141</f>
        <v>8200</v>
      </c>
      <c r="DC115" s="243">
        <f>'Economic Data'!E141</f>
        <v>8270</v>
      </c>
      <c r="DD115" s="243">
        <f>'Economic Data'!F141</f>
        <v>241</v>
      </c>
      <c r="DE115" s="243">
        <f>'Economic Data'!G141</f>
        <v>240</v>
      </c>
      <c r="DF115" s="243">
        <f>'Economic Data'!H141</f>
        <v>55.2</v>
      </c>
      <c r="DG115" s="243">
        <f>'Economic Data'!I141</f>
        <v>55.2</v>
      </c>
      <c r="DH115" s="243">
        <f>'Economic Data'!J141</f>
        <v>888015.75609999988</v>
      </c>
      <c r="DI115" s="243">
        <f>'Economic Data'!K141</f>
        <v>703631.11690000002</v>
      </c>
      <c r="DJ115" s="243">
        <f>'Economic Data'!L141</f>
        <v>93638.073199999984</v>
      </c>
      <c r="DK115" s="243">
        <f>'Economic Data'!M141</f>
        <v>34291.468199999996</v>
      </c>
      <c r="DL115" s="243">
        <f>'Economic Data'!N141</f>
        <v>894654</v>
      </c>
      <c r="DM115" s="243">
        <f>'Economic Data'!O141</f>
        <v>86682</v>
      </c>
      <c r="DN115" s="243">
        <f>'Economic Data'!P141</f>
        <v>16755</v>
      </c>
      <c r="DO115" s="243">
        <f>'Economic Data'!Q141</f>
        <v>719404</v>
      </c>
      <c r="DP115" s="243">
        <f>'Economic Data'!R141</f>
        <v>34377</v>
      </c>
      <c r="DQ115">
        <f t="shared" si="311"/>
        <v>30</v>
      </c>
      <c r="DR115">
        <v>21</v>
      </c>
      <c r="DS115">
        <f t="shared" ref="DS115:EF115" si="368">DS103</f>
        <v>0</v>
      </c>
      <c r="DT115">
        <f t="shared" si="368"/>
        <v>0</v>
      </c>
      <c r="DU115">
        <f t="shared" si="368"/>
        <v>0</v>
      </c>
      <c r="DV115">
        <f t="shared" si="368"/>
        <v>0</v>
      </c>
      <c r="DW115">
        <f t="shared" si="368"/>
        <v>0</v>
      </c>
      <c r="DX115">
        <f t="shared" si="368"/>
        <v>1</v>
      </c>
      <c r="DY115">
        <f t="shared" si="368"/>
        <v>0</v>
      </c>
      <c r="DZ115">
        <f t="shared" si="368"/>
        <v>0</v>
      </c>
      <c r="EA115">
        <f t="shared" si="368"/>
        <v>0</v>
      </c>
      <c r="EB115">
        <f t="shared" si="368"/>
        <v>0</v>
      </c>
      <c r="EC115">
        <f t="shared" si="368"/>
        <v>0</v>
      </c>
      <c r="ED115">
        <f t="shared" si="368"/>
        <v>0</v>
      </c>
      <c r="EE115">
        <f t="shared" si="368"/>
        <v>0</v>
      </c>
      <c r="EF115">
        <f t="shared" si="368"/>
        <v>0</v>
      </c>
      <c r="EG115">
        <f t="shared" si="313"/>
        <v>0</v>
      </c>
      <c r="EH115">
        <f t="shared" si="185"/>
        <v>114</v>
      </c>
      <c r="EI115">
        <v>0</v>
      </c>
      <c r="EJ115">
        <v>0</v>
      </c>
      <c r="EK115">
        <v>0.25</v>
      </c>
      <c r="EL115">
        <v>0</v>
      </c>
      <c r="EM115" s="47">
        <f t="shared" si="314"/>
        <v>0</v>
      </c>
      <c r="EN115" s="47">
        <f t="shared" si="315"/>
        <v>0</v>
      </c>
      <c r="EO115" s="47">
        <f t="shared" si="316"/>
        <v>0</v>
      </c>
      <c r="EP115" s="47">
        <f t="shared" si="317"/>
        <v>0</v>
      </c>
      <c r="EQ115" s="47">
        <f t="shared" si="318"/>
        <v>0</v>
      </c>
      <c r="ER115" s="47">
        <f t="shared" si="319"/>
        <v>0</v>
      </c>
      <c r="ES115" s="47">
        <f t="shared" si="320"/>
        <v>0</v>
      </c>
      <c r="ET115" s="47">
        <f t="shared" si="321"/>
        <v>0</v>
      </c>
      <c r="EU115" s="47">
        <f t="shared" si="322"/>
        <v>0</v>
      </c>
      <c r="EV115" s="47">
        <f t="shared" si="323"/>
        <v>0</v>
      </c>
      <c r="EW115" s="47">
        <f t="shared" si="324"/>
        <v>0</v>
      </c>
      <c r="EX115" s="47">
        <f t="shared" si="325"/>
        <v>0</v>
      </c>
      <c r="EY115" s="47">
        <f t="shared" si="326"/>
        <v>0</v>
      </c>
      <c r="EZ115" s="47">
        <f t="shared" si="327"/>
        <v>0</v>
      </c>
      <c r="FA115" s="47">
        <f t="shared" si="328"/>
        <v>12.496875000000003</v>
      </c>
      <c r="FB115" s="47">
        <f t="shared" si="329"/>
        <v>8.3072916666666679</v>
      </c>
      <c r="FC115" s="47">
        <f t="shared" si="330"/>
        <v>5.6135416666666647</v>
      </c>
      <c r="FD115" s="47">
        <f t="shared" si="331"/>
        <v>16.423958333333331</v>
      </c>
      <c r="FE115" s="47">
        <f t="shared" si="332"/>
        <v>2.5802083333333328</v>
      </c>
      <c r="FF115" s="47">
        <f t="shared" si="333"/>
        <v>28.390624999999996</v>
      </c>
      <c r="FG115" s="47">
        <f t="shared" si="334"/>
        <v>1.2322916666666668</v>
      </c>
      <c r="FH115" s="47">
        <f t="shared" si="335"/>
        <v>42.042708333333323</v>
      </c>
      <c r="FI115" s="47">
        <f t="shared" si="336"/>
        <v>0.296875</v>
      </c>
      <c r="FJ115" s="47">
        <f t="shared" si="337"/>
        <v>56.107291666666654</v>
      </c>
      <c r="FK115" s="47">
        <f t="shared" si="338"/>
        <v>0</v>
      </c>
      <c r="FL115" s="47">
        <f t="shared" si="339"/>
        <v>70.810416666666654</v>
      </c>
      <c r="FM115" s="47">
        <f t="shared" si="340"/>
        <v>0</v>
      </c>
      <c r="FN115" s="47">
        <f t="shared" si="341"/>
        <v>85.810416666666654</v>
      </c>
      <c r="FO115" s="546">
        <f t="shared" ca="1" si="342"/>
        <v>763.18112970030211</v>
      </c>
      <c r="FP115" s="546">
        <f t="shared" ca="1" si="343"/>
        <v>577.065580187573</v>
      </c>
      <c r="FQ115" s="546">
        <f t="shared" ca="1" si="344"/>
        <v>2332.0711124106729</v>
      </c>
      <c r="FR115" s="546">
        <f t="shared" ca="1" si="345"/>
        <v>78546.599050908277</v>
      </c>
      <c r="FS115" s="546">
        <f t="shared" ca="1" si="346"/>
        <v>1695417.6277072225</v>
      </c>
      <c r="FT115" s="546">
        <f t="shared" ca="1" si="347"/>
        <v>6122973.0610810686</v>
      </c>
      <c r="FU115" s="546">
        <f t="shared" si="348"/>
        <v>20.692232866948494</v>
      </c>
      <c r="FV115" s="546">
        <f t="shared" si="349"/>
        <v>30.429744212334793</v>
      </c>
      <c r="FW115" s="546">
        <f t="shared" si="350"/>
        <v>486.96795072585445</v>
      </c>
      <c r="FX115" s="546">
        <f t="shared" ca="1" si="351"/>
        <v>863.49072717684021</v>
      </c>
      <c r="FY115" s="546">
        <f t="shared" ca="1" si="352"/>
        <v>2909.9725526520588</v>
      </c>
      <c r="FZ115" s="546">
        <f t="shared" ca="1" si="353"/>
        <v>78264.852727606965</v>
      </c>
      <c r="GA115" s="546">
        <f t="shared" si="354"/>
        <v>71595.666730438097</v>
      </c>
      <c r="GB115" s="546">
        <f t="shared" si="355"/>
        <v>15.510886455411752</v>
      </c>
      <c r="GC115" s="546">
        <f t="shared" si="356"/>
        <v>11.494336880888561</v>
      </c>
      <c r="GD115" s="546">
        <f t="shared" si="357"/>
        <v>401.08198064291429</v>
      </c>
    </row>
    <row r="116" spans="1:186">
      <c r="A116" s="4">
        <v>45839</v>
      </c>
      <c r="B116" s="6">
        <f t="shared" si="358"/>
        <v>2025</v>
      </c>
      <c r="C116" s="5">
        <f t="shared" si="359"/>
        <v>7</v>
      </c>
      <c r="D116" s="7">
        <v>118949644.13914311</v>
      </c>
      <c r="E116" s="7">
        <f ca="1">IFERROR(VLOOKUP($B116-1,CDM!$V$4:$AJ$17,2,FALSE)/12,0)+IFERROR(VLOOKUP($B116,CDM!$V$41:$AJ$54,2,FALSE)/24,0)+IFERROR(VLOOKUP($B116,CDM!$V$41:$AJ$54,2,FALSE)/2*$C116/78,0)</f>
        <v>4489138.183542911</v>
      </c>
      <c r="F116" s="7">
        <f t="shared" ca="1" si="285"/>
        <v>123438782.32268602</v>
      </c>
      <c r="G116" s="7">
        <f>IFERROR(HLOOKUP(B116-1,'EV Forecast VRZ'!$F$124:$T$130,2,FALSE)/12,0)+IFERROR(((HLOOKUP(B116,'EV Forecast VRZ'!$F$116:$T$122,2,FALSE)-HLOOKUP(B116-1,'EV Forecast VRZ'!$F$124:$T$130,2,FALSE)))*C116/78,0)</f>
        <v>1603446.943748052</v>
      </c>
      <c r="H116" s="7">
        <f ca="1">HLOOKUP(B116,Heating!$C$102:$O$106,2,FALSE)*INDEX(Weather!$BO$1:$CB$20,MATCH(B116,Weather!$BO$1:$BO$20,0),MATCH(C116,Weather!$BO$1:$CB$1,0))/VLOOKUP(B116,Weather!$BO$2:$CB$20,14,FALSE)*
VLOOKUP('Monthly Data'!$B116,Weather!$BO$3:$CB$20,14,FALSE)/Weather!$CB$14</f>
        <v>3587.2096316410184</v>
      </c>
      <c r="I116" s="7">
        <f t="shared" ca="1" si="270"/>
        <v>121831748.16930632</v>
      </c>
      <c r="J116" s="7">
        <v>1140410.2001049407</v>
      </c>
      <c r="K116" s="7">
        <f ca="1">IFERROR(VLOOKUP($B116-1,CDM!$V$4:$AJ$17,3,FALSE)/12,0)+IFERROR(VLOOKUP($B116,CDM!$V$41:$AJ$54,3,FALSE)/24,0)+IFERROR(VLOOKUP($B116,CDM!$V$41:$AJ$54,3,FALSE)/2*$C116/78,0)</f>
        <v>51414.545686690624</v>
      </c>
      <c r="L116" s="7">
        <f t="shared" ca="1" si="286"/>
        <v>1191824.7457916313</v>
      </c>
      <c r="M116" s="7">
        <f>IFERROR(HLOOKUP(B116-1,'EV Forecast VRZ'!$F$124:$T$130,3,FALSE)/12,0)+IFERROR(((HLOOKUP(B116,'EV Forecast VRZ'!$F$116:$T$122,3,FALSE)-HLOOKUP(B116-1,'EV Forecast VRZ'!$F$124:$T$130,3,FALSE)))*C116/78,0)</f>
        <v>21757.398687845187</v>
      </c>
      <c r="N116" s="7">
        <f ca="1">HLOOKUP(B116,Heating!$C$102:$O$106,3,FALSE)*INDEX(Weather!$BO$1:$CB$20,MATCH(B116,Weather!$BO$1:$BO$20,0),MATCH(C116,Weather!$BO$1:$CB$1,0))/VLOOKUP(B116,Weather!$BO$2:$CB$20,14,FALSE)*
VLOOKUP('Monthly Data'!$B116,Weather!$BO$3:$CB$20,14,FALSE)/Weather!$CB$14</f>
        <v>41.434636237091311</v>
      </c>
      <c r="O116" s="7">
        <f t="shared" ca="1" si="287"/>
        <v>1170025.9124675491</v>
      </c>
      <c r="P116" s="7">
        <v>23894893.695735514</v>
      </c>
      <c r="Q116" s="7">
        <f ca="1">IFERROR(VLOOKUP($B116-1,CDM!$V$4:$AJ$17,4,FALSE)/12,0)+IFERROR(VLOOKUP($B116,CDM!$V$41:$AJ$54,4,FALSE)/24,0)+IFERROR(VLOOKUP($B116,CDM!$V$41:$AJ$54,4,FALSE)/2*$C116/78,0)</f>
        <v>1876744.5387136217</v>
      </c>
      <c r="R116" s="7">
        <f t="shared" ca="1" si="288"/>
        <v>25771638.234449137</v>
      </c>
      <c r="S116" s="7">
        <f>IFERROR(HLOOKUP(B116-1,'EV Forecast VRZ'!$F$124:$T$130,4,FALSE)/12,0)+IFERROR(((HLOOKUP(B116,'EV Forecast VRZ'!$F$116:$T$122,4,FALSE)-HLOOKUP(B116-1,'EV Forecast VRZ'!$F$124:$T$130,4,FALSE)))*C116/78,0)</f>
        <v>210320.75974358973</v>
      </c>
      <c r="T116" s="7">
        <f ca="1">HLOOKUP(B116,Heating!$C$102:$O$106,4,FALSE)*INDEX(Weather!$BO$1:$CB$20,MATCH(B116,Weather!$BO$1:$BO$20,0),MATCH(C116,Weather!$BO$1:$CB$1,0))/VLOOKUP(B116,Weather!$BO$2:$CB$20,14,FALSE)*
VLOOKUP('Monthly Data'!$B116,Weather!$BO$3:$CB$20,14,FALSE)/Weather!$CB$14</f>
        <v>831.47180605437063</v>
      </c>
      <c r="U116" s="7">
        <f t="shared" ca="1" si="289"/>
        <v>25560486.002899494</v>
      </c>
      <c r="V116" s="7">
        <v>85572706.423558652</v>
      </c>
      <c r="W116" s="7">
        <f ca="1">IFERROR(VLOOKUP($B116-1,CDM!$V$4:$AJ$17,5,FALSE)/12,0)+IFERROR(VLOOKUP($B116,CDM!$V$41:$AJ$54,5,FALSE)/24,0)+IFERROR(VLOOKUP($B116,CDM!$V$41:$AJ$54,5,FALSE)/2*$C116/78,0)</f>
        <v>8094390.1181171937</v>
      </c>
      <c r="X116" s="7">
        <f t="shared" ca="1" si="290"/>
        <v>93667096.541675851</v>
      </c>
      <c r="Y116" s="7">
        <f>IFERROR(HLOOKUP(B116-1,'EV Forecast VRZ'!$F$124:$T$130,5,FALSE)/12,0)+IFERROR(((HLOOKUP(B116,'EV Forecast VRZ'!$F$116:$T$122,5,FALSE)-HLOOKUP(B116-1,'EV Forecast VRZ'!$F$124:$T$130,5,FALSE)))*C116/78,0)</f>
        <v>101493.12393589743</v>
      </c>
      <c r="Z116" s="7">
        <f ca="1">HLOOKUP(B116,Heating!$C$102:$O$106,5,FALSE)*INDEX(Weather!$BO$1:$CB$20,MATCH(B116,Weather!$BO$1:$BO$20,0),MATCH(C116,Weather!$BO$1:$CB$1,0))/VLOOKUP(B116,Weather!$BO$2:$CB$20,14,FALSE)*
VLOOKUP('Monthly Data'!$B116,Weather!$BO$3:$CB$20,14,FALSE)/Weather!$CB$14</f>
        <v>436.70014537046575</v>
      </c>
      <c r="AA116" s="7">
        <f t="shared" ca="1" si="291"/>
        <v>93565166.717594594</v>
      </c>
      <c r="AB116" s="7">
        <v>7950699.8341625184</v>
      </c>
      <c r="AC116" s="7">
        <f ca="1">IFERROR(VLOOKUP($B116-1,CDM!$V$4:$AJ$17,6,FALSE)/12,0)+IFERROR(VLOOKUP($B116,CDM!$V$41:$AJ$54,6,FALSE)/24,0)+IFERROR(VLOOKUP($B116,CDM!$V$41:$AJ$54,6,FALSE)/2*$C116/78,0)</f>
        <v>441115.38091777673</v>
      </c>
      <c r="AD116" s="7">
        <f t="shared" ca="1" si="292"/>
        <v>8391815.2150802948</v>
      </c>
      <c r="AE116" s="7">
        <f>IFERROR(HLOOKUP(B116-1,'EV Forecast VRZ'!$F$124:$T$130,6,FALSE)/12,0)+IFERROR(((HLOOKUP(B116,'EV Forecast VRZ'!$F$116:$T$122,6,FALSE)-HLOOKUP(B116-1,'EV Forecast VRZ'!$F$124:$T$130,6,FALSE)))*C116/78,0)</f>
        <v>13827.512346153848</v>
      </c>
      <c r="AF116" s="7">
        <f t="shared" ca="1" si="293"/>
        <v>8377987.7027341407</v>
      </c>
      <c r="AG116" s="7">
        <v>29307714.010320965</v>
      </c>
      <c r="AH116" s="7">
        <f ca="1">IFERROR(VLOOKUP($B116-1,CDM!$V$4:$AJ$17,7,FALSE)/12,0)+IFERROR(VLOOKUP($B116,CDM!$V$41:$AJ$54,7,FALSE)/24,0)+IFERROR(VLOOKUP($B116,CDM!$V$41:$AJ$54,7,FALSE)/2*$C116/78,0)</f>
        <v>2419504.167547639</v>
      </c>
      <c r="AI116" s="7">
        <f t="shared" ca="1" si="294"/>
        <v>31727218.177868605</v>
      </c>
      <c r="AJ116" s="7">
        <f>IFERROR(HLOOKUP(B116-1,'EV Forecast VRZ'!$F$124:$T$130,7,FALSE)/12,0)+IFERROR(((HLOOKUP(B116,'EV Forecast VRZ'!$F$116:$T$122,7,FALSE)-HLOOKUP(B116-1,'EV Forecast VRZ'!$F$124:$T$130,7,FALSE)))*C116/78,0)</f>
        <v>2675.9615384615386</v>
      </c>
      <c r="AK116" s="7">
        <f t="shared" ca="1" si="295"/>
        <v>31724542.216330145</v>
      </c>
      <c r="AL116" s="7">
        <v>736061.46727723721</v>
      </c>
      <c r="AM116" s="7">
        <v>7279.2978439229155</v>
      </c>
      <c r="AN116" s="7">
        <v>376133.66723907652</v>
      </c>
      <c r="AO116" s="3">
        <v>200262.08</v>
      </c>
      <c r="AP116" s="3">
        <v>19011.61</v>
      </c>
      <c r="AQ116" s="3">
        <v>48883</v>
      </c>
      <c r="AR116" s="3">
        <v>2662.96</v>
      </c>
      <c r="AS116" s="3">
        <f t="shared" si="360"/>
        <v>49.343669810839387</v>
      </c>
      <c r="AT116" s="576">
        <f t="shared" si="361"/>
        <v>118954.6666666667</v>
      </c>
      <c r="AU116" s="576">
        <f t="shared" si="296"/>
        <v>1553</v>
      </c>
      <c r="AV116" s="576">
        <f t="shared" si="296"/>
        <v>9505.4166666666624</v>
      </c>
      <c r="AW116" s="576">
        <f t="shared" si="296"/>
        <v>1089</v>
      </c>
      <c r="AX116" s="576">
        <f t="shared" si="296"/>
        <v>5</v>
      </c>
      <c r="AY116" s="576">
        <f t="shared" si="296"/>
        <v>5</v>
      </c>
      <c r="AZ116" s="576">
        <f t="shared" si="296"/>
        <v>33159.08333333335</v>
      </c>
      <c r="BA116" s="576">
        <f t="shared" si="296"/>
        <v>230.75</v>
      </c>
      <c r="BB116" s="576">
        <f t="shared" si="296"/>
        <v>777.3333333333336</v>
      </c>
      <c r="BC116" s="562">
        <v>50247038.62509089</v>
      </c>
      <c r="BD116" s="560">
        <f ca="1">IFERROR(VLOOKUP($B116-1,CDM!$V$4:$AJ$17,11,FALSE)/12,0)+IFERROR(VLOOKUP($B116,CDM!$V$41:$AJ$54,11,FALSE)/24,0)+IFERROR(VLOOKUP($B116,CDM!$V$41:$AJ$54,11,FALSE)/2*$C116/78,0)</f>
        <v>1956707.172263962</v>
      </c>
      <c r="BE116" s="560">
        <f t="shared" ca="1" si="297"/>
        <v>52203745.797354855</v>
      </c>
      <c r="BF116" s="560">
        <f>IFERROR(HLOOKUP(B116-1,'EV Forecast WRZ'!$F$124:$T$130,2,FALSE)/12,0)+IFERROR(((HLOOKUP(B116,'EV Forecast WRZ'!$F$116:$T$122,2,FALSE)-HLOOKUP(B116-1,'EV Forecast WRZ'!$F$124:$T$130,2,FALSE)))*C116/78,0)</f>
        <v>541658.96846153843</v>
      </c>
      <c r="BG116" s="560">
        <f ca="1">HLOOKUP(B116,Heating!$R$102:$AD$106,2,FALSE)*INDEX(Weather!$BO$1:$CB$20,MATCH(B116,Weather!$BO$1:$BO$20,0),MATCH(C116,Weather!$BO$1:$CB$1,0))/VLOOKUP(B116,Weather!$BO$2:$CB$20,14,FALSE)*
VLOOKUP('Monthly Data'!$B116,Weather!$BO$3:$CB$20,14,FALSE)/Weather!$CB$14</f>
        <v>1527.0279951136818</v>
      </c>
      <c r="BH116" s="560">
        <f t="shared" ca="1" si="298"/>
        <v>51660559.800898202</v>
      </c>
      <c r="BI116" s="562">
        <v>8049259.1950162593</v>
      </c>
      <c r="BJ116" s="560">
        <f ca="1">IFERROR(VLOOKUP($B116-1,CDM!$V$4:$AJ$17,12,FALSE)/12,0)+IFERROR(VLOOKUP($B116,CDM!$V$41:$AJ$54,12,FALSE)/24,0)+IFERROR(VLOOKUP($B116,CDM!$V$41:$AJ$54,12,FALSE)/2*$C116/78,0)</f>
        <v>338485.81812139618</v>
      </c>
      <c r="BK116" s="560">
        <f t="shared" ca="1" si="299"/>
        <v>8387745.0131376553</v>
      </c>
      <c r="BL116" s="560">
        <f>IFERROR(HLOOKUP(B116-1,'EV Forecast WRZ'!$F$124:$T$130,3,FALSE)/12,0)+IFERROR(((HLOOKUP(B116,'EV Forecast WRZ'!$F$116:$T$122,3,FALSE)-HLOOKUP(B116-1,'EV Forecast WRZ'!$F$124:$T$130,3,FALSE)))*C116/78,0)</f>
        <v>74322.887692307704</v>
      </c>
      <c r="BM116" s="560">
        <f ca="1">HLOOKUP(B116,Heating!$R$102:$AD$106,4,FALSE)*INDEX(Weather!$BO$1:$CB$20,MATCH(B116,Weather!$BO$1:$BO$20,0),MATCH(C116,Weather!$BO$1:$CB$1,0))/VLOOKUP(B116,Weather!$BO$2:$CB$20,14,FALSE)*
VLOOKUP('Monthly Data'!$B116,Weather!$BO$3:$CB$20,14,FALSE)/Weather!$CB$14</f>
        <v>242.96618519043159</v>
      </c>
      <c r="BN116" s="560">
        <f t="shared" ca="1" si="300"/>
        <v>8313179.1592601566</v>
      </c>
      <c r="BO116" s="562">
        <v>31093514.673071146</v>
      </c>
      <c r="BP116" s="560">
        <f ca="1">IFERROR(VLOOKUP($B116-1,CDM!$V$4:$AJ$17,13,FALSE)/12,0)+IFERROR(VLOOKUP($B116,CDM!$V$41:$AJ$54,13,FALSE)/24,0)+IFERROR(VLOOKUP($B116,CDM!$V$41:$AJ$54,13,FALSE)/2*$C116/78,0)</f>
        <v>3506650.2334712646</v>
      </c>
      <c r="BQ116" s="560">
        <f t="shared" ca="1" si="301"/>
        <v>34600164.906542413</v>
      </c>
      <c r="BR116" s="560">
        <f>IFERROR(HLOOKUP(B116-1,'EV Forecast WRZ'!$F$124:$T$130,4,FALSE)/12,0)+IFERROR(((HLOOKUP(B116,'EV Forecast WRZ'!$F$116:$T$122,4,FALSE)-HLOOKUP(B116-1,'EV Forecast WRZ'!$F$124:$T$130,4,FALSE)))*C116/78,0)</f>
        <v>32866.837923076921</v>
      </c>
      <c r="BS116" s="560">
        <f ca="1">HLOOKUP(B116,Heating!$R$102:$AD$106,5,FALSE)*INDEX(Weather!$BO$1:$CB$20,MATCH(B116,Weather!$BO$1:$BO$20,0),MATCH(C116,Weather!$BO$1:$CB$1,0))/VLOOKUP(B116,Weather!$BO$2:$CB$20,14,FALSE)*
VLOOKUP('Monthly Data'!$B116,Weather!$BO$3:$CB$20,14,FALSE)/Weather!$CB$14</f>
        <v>129.60388583360489</v>
      </c>
      <c r="BT116" s="560">
        <f t="shared" ca="1" si="302"/>
        <v>34567168.464733496</v>
      </c>
      <c r="BU116" s="562">
        <v>6925965.8630665382</v>
      </c>
      <c r="BV116" s="560">
        <f ca="1">IFERROR(VLOOKUP($B116-1,CDM!$V$4:$AJ$17,14,FALSE)/12,0)+IFERROR(VLOOKUP($B116,CDM!$V$41:$AJ$54,14,FALSE)/24,0)+IFERROR(VLOOKUP($B116,CDM!$V$41:$AJ$54,14,FALSE)/2*$C116/78,0)</f>
        <v>790884.66892643552</v>
      </c>
      <c r="BW116" s="560">
        <f t="shared" ca="1" si="303"/>
        <v>7716850.5319929738</v>
      </c>
      <c r="BX116" s="560">
        <f>IFERROR(HLOOKUP(B116-1,'EV Forecast WRZ'!$F$124:$T$130,5,FALSE)/12,0)+IFERROR(((HLOOKUP(B116,'EV Forecast WRZ'!$F$116:$T$122,5,FALSE)-HLOOKUP(B116-1,'EV Forecast WRZ'!$F$124:$T$130,5,FALSE)))*C116/78,0)</f>
        <v>6053.25976923077</v>
      </c>
      <c r="BY116" s="560">
        <f t="shared" ca="1" si="304"/>
        <v>7710797.2722237427</v>
      </c>
      <c r="BZ116" s="562">
        <v>230566.00344365792</v>
      </c>
      <c r="CA116" s="562">
        <v>494.99713028505835</v>
      </c>
      <c r="CB116" s="562">
        <v>156421.97245073653</v>
      </c>
      <c r="CC116" s="3">
        <v>72210.81</v>
      </c>
      <c r="CD116" s="3">
        <v>12529.25</v>
      </c>
      <c r="CE116" s="3">
        <v>835</v>
      </c>
      <c r="CF116" s="3">
        <f t="shared" si="362"/>
        <v>6.8977675926717925</v>
      </c>
      <c r="CG116" s="576">
        <f t="shared" si="363"/>
        <v>45883</v>
      </c>
      <c r="CH116" s="576">
        <f t="shared" si="305"/>
        <v>2473</v>
      </c>
      <c r="CI116" s="576">
        <f t="shared" si="306"/>
        <v>397</v>
      </c>
      <c r="CJ116" s="576">
        <f t="shared" si="307"/>
        <v>3</v>
      </c>
      <c r="CK116" s="576">
        <f t="shared" si="308"/>
        <v>13861.583333333338</v>
      </c>
      <c r="CL116" s="576">
        <f t="shared" si="309"/>
        <v>44.41666666666665</v>
      </c>
      <c r="CM116" s="576">
        <f t="shared" si="310"/>
        <v>390.3333333333332</v>
      </c>
      <c r="CN116" s="46">
        <f>Weather!C140</f>
        <v>6.8416666666666615</v>
      </c>
      <c r="CO116" s="46">
        <f>Weather!D140</f>
        <v>94.156250000000028</v>
      </c>
      <c r="CP116" s="46">
        <f>Weather!E140</f>
        <v>0.75416666666666288</v>
      </c>
      <c r="CQ116" s="46">
        <f>Weather!F140</f>
        <v>150.06875000000005</v>
      </c>
      <c r="CR116" s="46">
        <f>Weather!G140</f>
        <v>0</v>
      </c>
      <c r="CS116" s="46">
        <f>Weather!H140</f>
        <v>211.31458333333339</v>
      </c>
      <c r="CT116" s="46">
        <f>Weather!I140</f>
        <v>0</v>
      </c>
      <c r="CU116" s="46">
        <f>Weather!J140</f>
        <v>273.3145833333333</v>
      </c>
      <c r="CV116" s="46">
        <f>Weather!K140</f>
        <v>0</v>
      </c>
      <c r="CW116" s="46">
        <f>Weather!L140</f>
        <v>335.3145833333333</v>
      </c>
      <c r="CX116" s="46">
        <f>Weather!M140</f>
        <v>0</v>
      </c>
      <c r="CY116" s="46">
        <f>Weather!N140</f>
        <v>397.31458333333319</v>
      </c>
      <c r="CZ116" s="46">
        <f>Weather!O140</f>
        <v>0</v>
      </c>
      <c r="DA116" s="46">
        <f>Weather!P140</f>
        <v>459.31458333333325</v>
      </c>
      <c r="DB116" s="243">
        <f>'Economic Data'!D142</f>
        <v>8207.5</v>
      </c>
      <c r="DC116" s="243">
        <f>'Economic Data'!E142</f>
        <v>8308.4</v>
      </c>
      <c r="DD116" s="243">
        <f>'Economic Data'!F142</f>
        <v>244.8</v>
      </c>
      <c r="DE116" s="243">
        <f>'Economic Data'!G142</f>
        <v>244.1</v>
      </c>
      <c r="DF116" s="243">
        <f>'Economic Data'!H142</f>
        <v>56.7</v>
      </c>
      <c r="DG116" s="243">
        <f>'Economic Data'!I142</f>
        <v>56.7</v>
      </c>
      <c r="DH116" s="243">
        <f>'Economic Data'!J142</f>
        <v>888015.75609999988</v>
      </c>
      <c r="DI116" s="243">
        <f>'Economic Data'!K142</f>
        <v>703631.11690000002</v>
      </c>
      <c r="DJ116" s="243">
        <f>'Economic Data'!L142</f>
        <v>93638.073199999984</v>
      </c>
      <c r="DK116" s="243">
        <f>'Economic Data'!M142</f>
        <v>34291.468199999996</v>
      </c>
      <c r="DL116" s="243">
        <f>'Economic Data'!N142</f>
        <v>899254</v>
      </c>
      <c r="DM116" s="243">
        <f>'Economic Data'!O142</f>
        <v>87517</v>
      </c>
      <c r="DN116" s="243">
        <f>'Economic Data'!P142</f>
        <v>17050</v>
      </c>
      <c r="DO116" s="243">
        <f>'Economic Data'!Q142</f>
        <v>722638</v>
      </c>
      <c r="DP116" s="243">
        <f>'Economic Data'!R142</f>
        <v>34268</v>
      </c>
      <c r="DQ116">
        <f t="shared" si="311"/>
        <v>31</v>
      </c>
      <c r="DR116">
        <v>22</v>
      </c>
      <c r="DS116">
        <f t="shared" ref="DS116:EF116" si="369">DS104</f>
        <v>0</v>
      </c>
      <c r="DT116">
        <f t="shared" si="369"/>
        <v>0</v>
      </c>
      <c r="DU116">
        <f t="shared" si="369"/>
        <v>0</v>
      </c>
      <c r="DV116">
        <f t="shared" si="369"/>
        <v>0</v>
      </c>
      <c r="DW116">
        <f t="shared" si="369"/>
        <v>0</v>
      </c>
      <c r="DX116">
        <f t="shared" si="369"/>
        <v>0</v>
      </c>
      <c r="DY116">
        <f t="shared" si="369"/>
        <v>1</v>
      </c>
      <c r="DZ116">
        <f t="shared" si="369"/>
        <v>0</v>
      </c>
      <c r="EA116">
        <f t="shared" si="369"/>
        <v>0</v>
      </c>
      <c r="EB116">
        <f t="shared" si="369"/>
        <v>0</v>
      </c>
      <c r="EC116">
        <f t="shared" si="369"/>
        <v>0</v>
      </c>
      <c r="ED116">
        <f t="shared" si="369"/>
        <v>0</v>
      </c>
      <c r="EE116">
        <f t="shared" si="369"/>
        <v>0</v>
      </c>
      <c r="EF116">
        <f t="shared" si="369"/>
        <v>0</v>
      </c>
      <c r="EG116">
        <f t="shared" si="313"/>
        <v>0</v>
      </c>
      <c r="EH116">
        <f t="shared" si="185"/>
        <v>115</v>
      </c>
      <c r="EI116">
        <v>0</v>
      </c>
      <c r="EJ116">
        <v>0</v>
      </c>
      <c r="EK116">
        <v>0.25</v>
      </c>
      <c r="EL116">
        <v>0</v>
      </c>
      <c r="EM116" s="47">
        <f t="shared" si="314"/>
        <v>0</v>
      </c>
      <c r="EN116" s="47">
        <f t="shared" si="315"/>
        <v>0</v>
      </c>
      <c r="EO116" s="47">
        <f t="shared" si="316"/>
        <v>0</v>
      </c>
      <c r="EP116" s="47">
        <f t="shared" si="317"/>
        <v>0</v>
      </c>
      <c r="EQ116" s="47">
        <f t="shared" si="318"/>
        <v>0</v>
      </c>
      <c r="ER116" s="47">
        <f t="shared" si="319"/>
        <v>0</v>
      </c>
      <c r="ES116" s="47">
        <f t="shared" si="320"/>
        <v>0</v>
      </c>
      <c r="ET116" s="47">
        <f t="shared" si="321"/>
        <v>0</v>
      </c>
      <c r="EU116" s="47">
        <f t="shared" si="322"/>
        <v>0</v>
      </c>
      <c r="EV116" s="47">
        <f t="shared" si="323"/>
        <v>0</v>
      </c>
      <c r="EW116" s="47">
        <f t="shared" si="324"/>
        <v>0</v>
      </c>
      <c r="EX116" s="47">
        <f t="shared" si="325"/>
        <v>0</v>
      </c>
      <c r="EY116" s="47">
        <f t="shared" si="326"/>
        <v>0</v>
      </c>
      <c r="EZ116" s="47">
        <f t="shared" si="327"/>
        <v>0</v>
      </c>
      <c r="FA116" s="47">
        <f t="shared" si="328"/>
        <v>1.7104166666666654</v>
      </c>
      <c r="FB116" s="47">
        <f t="shared" si="329"/>
        <v>23.539062500000007</v>
      </c>
      <c r="FC116" s="47">
        <f t="shared" si="330"/>
        <v>0.18854166666666572</v>
      </c>
      <c r="FD116" s="47">
        <f t="shared" si="331"/>
        <v>37.517187500000013</v>
      </c>
      <c r="FE116" s="47">
        <f t="shared" si="332"/>
        <v>0</v>
      </c>
      <c r="FF116" s="47">
        <f t="shared" si="333"/>
        <v>52.828645833333347</v>
      </c>
      <c r="FG116" s="47">
        <f t="shared" si="334"/>
        <v>0</v>
      </c>
      <c r="FH116" s="47">
        <f t="shared" si="335"/>
        <v>68.328645833333326</v>
      </c>
      <c r="FI116" s="47">
        <f t="shared" si="336"/>
        <v>0</v>
      </c>
      <c r="FJ116" s="47">
        <f t="shared" si="337"/>
        <v>83.828645833333326</v>
      </c>
      <c r="FK116" s="47">
        <f t="shared" si="338"/>
        <v>0</v>
      </c>
      <c r="FL116" s="47">
        <f t="shared" si="339"/>
        <v>99.328645833333297</v>
      </c>
      <c r="FM116" s="47">
        <f t="shared" si="340"/>
        <v>0</v>
      </c>
      <c r="FN116" s="47">
        <f t="shared" si="341"/>
        <v>114.82864583333331</v>
      </c>
      <c r="FO116" s="546">
        <f t="shared" ca="1" si="342"/>
        <v>1024.186369339353</v>
      </c>
      <c r="FP116" s="546">
        <f t="shared" ca="1" si="343"/>
        <v>767.43383502358745</v>
      </c>
      <c r="FQ116" s="546">
        <f t="shared" ca="1" si="344"/>
        <v>2711.2581318843622</v>
      </c>
      <c r="FR116" s="546">
        <f t="shared" ca="1" si="345"/>
        <v>86012.026209068732</v>
      </c>
      <c r="FS116" s="546">
        <f t="shared" ca="1" si="346"/>
        <v>1678363.0430160589</v>
      </c>
      <c r="FT116" s="546">
        <f t="shared" ca="1" si="347"/>
        <v>6345443.6355737206</v>
      </c>
      <c r="FU116" s="546">
        <f t="shared" si="348"/>
        <v>22.197883454073274</v>
      </c>
      <c r="FV116" s="546">
        <f t="shared" si="349"/>
        <v>31.546252844736362</v>
      </c>
      <c r="FW116" s="546">
        <f t="shared" si="350"/>
        <v>483.87693041047561</v>
      </c>
      <c r="FX116" s="546">
        <f t="shared" ca="1" si="351"/>
        <v>1137.7579015616864</v>
      </c>
      <c r="FY116" s="546">
        <f t="shared" ca="1" si="352"/>
        <v>3391.7286749444625</v>
      </c>
      <c r="FZ116" s="546">
        <f t="shared" ca="1" si="353"/>
        <v>87154.067774666022</v>
      </c>
      <c r="GA116" s="546">
        <f t="shared" si="354"/>
        <v>76855.33448121931</v>
      </c>
      <c r="GB116" s="546">
        <f t="shared" si="355"/>
        <v>16.633453617755873</v>
      </c>
      <c r="GC116" s="546">
        <f t="shared" si="356"/>
        <v>11.144400681839967</v>
      </c>
      <c r="GD116" s="546">
        <f t="shared" si="357"/>
        <v>400.73946827686569</v>
      </c>
    </row>
    <row r="117" spans="1:186">
      <c r="A117" s="4">
        <v>45870</v>
      </c>
      <c r="B117" s="6">
        <f t="shared" si="358"/>
        <v>2025</v>
      </c>
      <c r="C117" s="5">
        <f t="shared" si="359"/>
        <v>8</v>
      </c>
      <c r="D117" s="7">
        <v>101600986.40014292</v>
      </c>
      <c r="E117" s="7">
        <f ca="1">IFERROR(VLOOKUP($B117-1,CDM!$V$4:$AJ$17,2,FALSE)/12,0)+IFERROR(VLOOKUP($B117,CDM!$V$41:$AJ$54,2,FALSE)/24,0)+IFERROR(VLOOKUP($B117,CDM!$V$41:$AJ$54,2,FALSE)/2*$C117/78,0)</f>
        <v>4521042.9060397763</v>
      </c>
      <c r="F117" s="7">
        <f t="shared" ca="1" si="285"/>
        <v>106122029.3061827</v>
      </c>
      <c r="G117" s="7">
        <f>IFERROR(HLOOKUP(B117-1,'EV Forecast VRZ'!$F$124:$T$130,2,FALSE)/12,0)+IFERROR(((HLOOKUP(B117,'EV Forecast VRZ'!$F$116:$T$122,2,FALSE)-HLOOKUP(B117-1,'EV Forecast VRZ'!$F$124:$T$130,2,FALSE)))*C117/78,0)</f>
        <v>1629791.3739813205</v>
      </c>
      <c r="H117" s="7">
        <f ca="1">HLOOKUP(B117,Heating!$C$102:$O$106,2,FALSE)*INDEX(Weather!$BO$1:$CB$20,MATCH(B117,Weather!$BO$1:$BO$20,0),MATCH(C117,Weather!$BO$1:$CB$1,0))/VLOOKUP(B117,Weather!$BO$2:$CB$20,14,FALSE)*
VLOOKUP('Monthly Data'!$B117,Weather!$BO$3:$CB$20,14,FALSE)/Weather!$CB$14</f>
        <v>81633.792667013433</v>
      </c>
      <c r="I117" s="7">
        <f t="shared" ca="1" si="270"/>
        <v>104410604.13953435</v>
      </c>
      <c r="J117" s="7">
        <v>1186401.2925300517</v>
      </c>
      <c r="K117" s="7">
        <f ca="1">IFERROR(VLOOKUP($B117-1,CDM!$V$4:$AJ$17,3,FALSE)/12,0)+IFERROR(VLOOKUP($B117,CDM!$V$41:$AJ$54,3,FALSE)/24,0)+IFERROR(VLOOKUP($B117,CDM!$V$41:$AJ$54,3,FALSE)/2*$C117/78,0)</f>
        <v>51779.818876565347</v>
      </c>
      <c r="L117" s="7">
        <f t="shared" ca="1" si="286"/>
        <v>1238181.1114066171</v>
      </c>
      <c r="M117" s="7">
        <f>IFERROR(HLOOKUP(B117-1,'EV Forecast VRZ'!$F$124:$T$130,3,FALSE)/12,0)+IFERROR(((HLOOKUP(B117,'EV Forecast VRZ'!$F$116:$T$122,3,FALSE)-HLOOKUP(B117-1,'EV Forecast VRZ'!$F$124:$T$130,3,FALSE)))*C117/78,0)</f>
        <v>22114.869993038188</v>
      </c>
      <c r="N117" s="7">
        <f ca="1">HLOOKUP(B117,Heating!$C$102:$O$106,3,FALSE)*INDEX(Weather!$BO$1:$CB$20,MATCH(B117,Weather!$BO$1:$BO$20,0),MATCH(C117,Weather!$BO$1:$CB$1,0))/VLOOKUP(B117,Weather!$BO$2:$CB$20,14,FALSE)*
VLOOKUP('Monthly Data'!$B117,Weather!$BO$3:$CB$20,14,FALSE)/Weather!$CB$14</f>
        <v>942.92412519657455</v>
      </c>
      <c r="O117" s="7">
        <f t="shared" ca="1" si="287"/>
        <v>1215123.3172883822</v>
      </c>
      <c r="P117" s="7">
        <v>21826674.46380458</v>
      </c>
      <c r="Q117" s="7">
        <f ca="1">IFERROR(VLOOKUP($B117-1,CDM!$V$4:$AJ$17,4,FALSE)/12,0)+IFERROR(VLOOKUP($B117,CDM!$V$41:$AJ$54,4,FALSE)/24,0)+IFERROR(VLOOKUP($B117,CDM!$V$41:$AJ$54,4,FALSE)/2*$C117/78,0)</f>
        <v>1890972.0270604929</v>
      </c>
      <c r="R117" s="7">
        <f t="shared" ca="1" si="288"/>
        <v>23717646.490865074</v>
      </c>
      <c r="S117" s="7">
        <f>IFERROR(HLOOKUP(B117-1,'EV Forecast VRZ'!$F$124:$T$130,4,FALSE)/12,0)+IFERROR(((HLOOKUP(B117,'EV Forecast VRZ'!$F$116:$T$122,4,FALSE)-HLOOKUP(B117-1,'EV Forecast VRZ'!$F$124:$T$130,4,FALSE)))*C117/78,0)</f>
        <v>214348.24589743587</v>
      </c>
      <c r="T117" s="7">
        <f ca="1">HLOOKUP(B117,Heating!$C$102:$O$106,4,FALSE)*INDEX(Weather!$BO$1:$CB$20,MATCH(B117,Weather!$BO$1:$BO$20,0),MATCH(C117,Weather!$BO$1:$CB$1,0))/VLOOKUP(B117,Weather!$BO$2:$CB$20,14,FALSE)*
VLOOKUP('Monthly Data'!$B117,Weather!$BO$3:$CB$20,14,FALSE)/Weather!$CB$14</f>
        <v>18921.725796342376</v>
      </c>
      <c r="U117" s="7">
        <f t="shared" ca="1" si="289"/>
        <v>23484376.519171298</v>
      </c>
      <c r="V117" s="7">
        <v>81437091.894640401</v>
      </c>
      <c r="W117" s="7">
        <f ca="1">IFERROR(VLOOKUP($B117-1,CDM!$V$4:$AJ$17,5,FALSE)/12,0)+IFERROR(VLOOKUP($B117,CDM!$V$41:$AJ$54,5,FALSE)/24,0)+IFERROR(VLOOKUP($B117,CDM!$V$41:$AJ$54,5,FALSE)/2*$C117/78,0)</f>
        <v>8174860.1311636986</v>
      </c>
      <c r="X117" s="7">
        <f t="shared" ca="1" si="290"/>
        <v>89611952.025804102</v>
      </c>
      <c r="Y117" s="7">
        <f>IFERROR(HLOOKUP(B117-1,'EV Forecast VRZ'!$F$124:$T$130,5,FALSE)/12,0)+IFERROR(((HLOOKUP(B117,'EV Forecast VRZ'!$F$116:$T$122,5,FALSE)-HLOOKUP(B117-1,'EV Forecast VRZ'!$F$124:$T$130,5,FALSE)))*C117/78,0)</f>
        <v>103603.89014102562</v>
      </c>
      <c r="Z117" s="7">
        <f ca="1">HLOOKUP(B117,Heating!$C$102:$O$106,5,FALSE)*INDEX(Weather!$BO$1:$CB$20,MATCH(B117,Weather!$BO$1:$BO$20,0),MATCH(C117,Weather!$BO$1:$CB$1,0))/VLOOKUP(B117,Weather!$BO$2:$CB$20,14,FALSE)*
VLOOKUP('Monthly Data'!$B117,Weather!$BO$3:$CB$20,14,FALSE)/Weather!$CB$14</f>
        <v>9937.9441921599864</v>
      </c>
      <c r="AA117" s="7">
        <f t="shared" ca="1" si="291"/>
        <v>89498410.191470921</v>
      </c>
      <c r="AB117" s="7">
        <v>7663095.2312082974</v>
      </c>
      <c r="AC117" s="7">
        <f ca="1">IFERROR(VLOOKUP($B117-1,CDM!$V$4:$AJ$17,6,FALSE)/12,0)+IFERROR(VLOOKUP($B117,CDM!$V$41:$AJ$54,6,FALSE)/24,0)+IFERROR(VLOOKUP($B117,CDM!$V$41:$AJ$54,6,FALSE)/2*$C117/78,0)</f>
        <v>447515.8540449366</v>
      </c>
      <c r="AD117" s="7">
        <f t="shared" ca="1" si="292"/>
        <v>8110611.085253234</v>
      </c>
      <c r="AE117" s="7">
        <f>IFERROR(HLOOKUP(B117-1,'EV Forecast VRZ'!$F$124:$T$130,6,FALSE)/12,0)+IFERROR(((HLOOKUP(B117,'EV Forecast VRZ'!$F$116:$T$122,6,FALSE)-HLOOKUP(B117-1,'EV Forecast VRZ'!$F$124:$T$130,6,FALSE)))*C117/78,0)</f>
        <v>14192.668705128206</v>
      </c>
      <c r="AF117" s="7">
        <f t="shared" ca="1" si="293"/>
        <v>8096418.4165481059</v>
      </c>
      <c r="AG117" s="7">
        <v>28127124.699076809</v>
      </c>
      <c r="AH117" s="7">
        <f ca="1">IFERROR(VLOOKUP($B117-1,CDM!$V$4:$AJ$17,7,FALSE)/12,0)+IFERROR(VLOOKUP($B117,CDM!$V$41:$AJ$54,7,FALSE)/24,0)+IFERROR(VLOOKUP($B117,CDM!$V$41:$AJ$54,7,FALSE)/2*$C117/78,0)</f>
        <v>2448861.393754995</v>
      </c>
      <c r="AI117" s="7">
        <f t="shared" ca="1" si="294"/>
        <v>30575986.092831805</v>
      </c>
      <c r="AJ117" s="7">
        <f>IFERROR(HLOOKUP(B117-1,'EV Forecast VRZ'!$F$124:$T$130,7,FALSE)/12,0)+IFERROR(((HLOOKUP(B117,'EV Forecast VRZ'!$F$116:$T$122,7,FALSE)-HLOOKUP(B117-1,'EV Forecast VRZ'!$F$124:$T$130,7,FALSE)))*C117/78,0)</f>
        <v>2790.3846153846152</v>
      </c>
      <c r="AK117" s="7">
        <f t="shared" ca="1" si="295"/>
        <v>30573195.708216421</v>
      </c>
      <c r="AL117" s="7">
        <v>832368.56515932071</v>
      </c>
      <c r="AM117" s="7">
        <v>7041.2135088723526</v>
      </c>
      <c r="AN117" s="7">
        <v>376045.66876550275</v>
      </c>
      <c r="AO117" s="3">
        <v>197435.06</v>
      </c>
      <c r="AP117" s="3">
        <v>17466.48</v>
      </c>
      <c r="AQ117" s="3">
        <v>47075</v>
      </c>
      <c r="AR117" s="3">
        <v>2662.96</v>
      </c>
      <c r="AS117" s="3">
        <f t="shared" si="360"/>
        <v>49.343669810839387</v>
      </c>
      <c r="AT117" s="576">
        <f t="shared" si="361"/>
        <v>119046.33333333337</v>
      </c>
      <c r="AU117" s="576">
        <f t="shared" si="296"/>
        <v>1552</v>
      </c>
      <c r="AV117" s="576">
        <f t="shared" si="296"/>
        <v>9505.3333333333285</v>
      </c>
      <c r="AW117" s="576">
        <f t="shared" si="296"/>
        <v>1091</v>
      </c>
      <c r="AX117" s="576">
        <f t="shared" si="296"/>
        <v>5</v>
      </c>
      <c r="AY117" s="576">
        <f t="shared" si="296"/>
        <v>5</v>
      </c>
      <c r="AZ117" s="576">
        <f t="shared" si="296"/>
        <v>33180.666666666686</v>
      </c>
      <c r="BA117" s="576">
        <f t="shared" si="296"/>
        <v>230</v>
      </c>
      <c r="BB117" s="576">
        <f t="shared" si="296"/>
        <v>781.66666666666697</v>
      </c>
      <c r="BC117" s="562">
        <v>42812495.394069269</v>
      </c>
      <c r="BD117" s="560">
        <f ca="1">IFERROR(VLOOKUP($B117-1,CDM!$V$4:$AJ$17,11,FALSE)/12,0)+IFERROR(VLOOKUP($B117,CDM!$V$41:$AJ$54,11,FALSE)/24,0)+IFERROR(VLOOKUP($B117,CDM!$V$41:$AJ$54,11,FALSE)/2*$C117/78,0)</f>
        <v>1969128.5779666321</v>
      </c>
      <c r="BE117" s="560">
        <f t="shared" ca="1" si="297"/>
        <v>44781623.9720359</v>
      </c>
      <c r="BF117" s="560">
        <f>IFERROR(HLOOKUP(B117-1,'EV Forecast WRZ'!$F$124:$T$130,2,FALSE)/12,0)+IFERROR(((HLOOKUP(B117,'EV Forecast WRZ'!$F$116:$T$122,2,FALSE)-HLOOKUP(B117-1,'EV Forecast WRZ'!$F$124:$T$130,2,FALSE)))*C117/78,0)</f>
        <v>549719.0387179486</v>
      </c>
      <c r="BG117" s="560">
        <f ca="1">HLOOKUP(B117,Heating!$R$102:$AD$106,2,FALSE)*INDEX(Weather!$BO$1:$CB$20,MATCH(B117,Weather!$BO$1:$BO$20,0),MATCH(C117,Weather!$BO$1:$CB$1,0))/VLOOKUP(B117,Weather!$BO$2:$CB$20,14,FALSE)*
VLOOKUP('Monthly Data'!$B117,Weather!$BO$3:$CB$20,14,FALSE)/Weather!$CB$14</f>
        <v>34750.432662283354</v>
      </c>
      <c r="BH117" s="560">
        <f t="shared" ca="1" si="298"/>
        <v>44197154.500655666</v>
      </c>
      <c r="BI117" s="562">
        <v>7378346.4697436308</v>
      </c>
      <c r="BJ117" s="560">
        <f ca="1">IFERROR(VLOOKUP($B117-1,CDM!$V$4:$AJ$17,12,FALSE)/12,0)+IFERROR(VLOOKUP($B117,CDM!$V$41:$AJ$54,12,FALSE)/24,0)+IFERROR(VLOOKUP($B117,CDM!$V$41:$AJ$54,12,FALSE)/2*$C117/78,0)</f>
        <v>340201.74072001647</v>
      </c>
      <c r="BK117" s="560">
        <f t="shared" ca="1" si="299"/>
        <v>7718548.2104636477</v>
      </c>
      <c r="BL117" s="560">
        <f>IFERROR(HLOOKUP(B117-1,'EV Forecast WRZ'!$F$124:$T$130,3,FALSE)/12,0)+IFERROR(((HLOOKUP(B117,'EV Forecast WRZ'!$F$116:$T$122,3,FALSE)-HLOOKUP(B117-1,'EV Forecast WRZ'!$F$124:$T$130,3,FALSE)))*C117/78,0)</f>
        <v>75439.796410256415</v>
      </c>
      <c r="BM117" s="560">
        <f ca="1">HLOOKUP(B117,Heating!$R$102:$AD$106,4,FALSE)*INDEX(Weather!$BO$1:$CB$20,MATCH(B117,Weather!$BO$1:$BO$20,0),MATCH(C117,Weather!$BO$1:$CB$1,0))/VLOOKUP(B117,Weather!$BO$2:$CB$20,14,FALSE)*
VLOOKUP('Monthly Data'!$B117,Weather!$BO$3:$CB$20,14,FALSE)/Weather!$CB$14</f>
        <v>5529.1586563502369</v>
      </c>
      <c r="BN117" s="560">
        <f t="shared" ca="1" si="300"/>
        <v>7637579.2553970413</v>
      </c>
      <c r="BO117" s="562">
        <v>29694709.442209549</v>
      </c>
      <c r="BP117" s="560">
        <f ca="1">IFERROR(VLOOKUP($B117-1,CDM!$V$4:$AJ$17,13,FALSE)/12,0)+IFERROR(VLOOKUP($B117,CDM!$V$41:$AJ$54,13,FALSE)/24,0)+IFERROR(VLOOKUP($B117,CDM!$V$41:$AJ$54,13,FALSE)/2*$C117/78,0)</f>
        <v>3541768.0993289351</v>
      </c>
      <c r="BQ117" s="560">
        <f t="shared" ca="1" si="301"/>
        <v>33236477.541538484</v>
      </c>
      <c r="BR117" s="560">
        <f>IFERROR(HLOOKUP(B117-1,'EV Forecast WRZ'!$F$124:$T$130,4,FALSE)/12,0)+IFERROR(((HLOOKUP(B117,'EV Forecast WRZ'!$F$116:$T$122,4,FALSE)-HLOOKUP(B117-1,'EV Forecast WRZ'!$F$124:$T$130,4,FALSE)))*C117/78,0)</f>
        <v>33361.273769230771</v>
      </c>
      <c r="BS117" s="560">
        <f ca="1">HLOOKUP(B117,Heating!$R$102:$AD$106,5,FALSE)*INDEX(Weather!$BO$1:$CB$20,MATCH(B117,Weather!$BO$1:$BO$20,0),MATCH(C117,Weather!$BO$1:$CB$1,0))/VLOOKUP(B117,Weather!$BO$2:$CB$20,14,FALSE)*
VLOOKUP('Monthly Data'!$B117,Weather!$BO$3:$CB$20,14,FALSE)/Weather!$CB$14</f>
        <v>2949.3834571747029</v>
      </c>
      <c r="BT117" s="560">
        <f t="shared" ca="1" si="302"/>
        <v>33200166.884312078</v>
      </c>
      <c r="BU117" s="562">
        <v>6586373.095467696</v>
      </c>
      <c r="BV117" s="560">
        <f ca="1">IFERROR(VLOOKUP($B117-1,CDM!$V$4:$AJ$17,14,FALSE)/12,0)+IFERROR(VLOOKUP($B117,CDM!$V$41:$AJ$54,14,FALSE)/24,0)+IFERROR(VLOOKUP($B117,CDM!$V$41:$AJ$54,14,FALSE)/2*$C117/78,0)</f>
        <v>798870.21620802302</v>
      </c>
      <c r="BW117" s="560">
        <f t="shared" ca="1" si="303"/>
        <v>7385243.311675719</v>
      </c>
      <c r="BX117" s="560">
        <f>IFERROR(HLOOKUP(B117-1,'EV Forecast WRZ'!$F$124:$T$130,5,FALSE)/12,0)+IFERROR(((HLOOKUP(B117,'EV Forecast WRZ'!$F$116:$T$122,5,FALSE)-HLOOKUP(B117-1,'EV Forecast WRZ'!$F$124:$T$130,5,FALSE)))*C117/78,0)</f>
        <v>6147.0859743589745</v>
      </c>
      <c r="BY117" s="560">
        <f t="shared" ca="1" si="304"/>
        <v>7379096.22570136</v>
      </c>
      <c r="BZ117" s="562">
        <v>260733.99655634206</v>
      </c>
      <c r="CA117" s="562">
        <v>511.49799119954082</v>
      </c>
      <c r="CB117" s="562">
        <v>157152.97493782282</v>
      </c>
      <c r="CC117" s="3">
        <v>71497.22</v>
      </c>
      <c r="CD117" s="3">
        <v>11551.99</v>
      </c>
      <c r="CE117" s="3">
        <v>835</v>
      </c>
      <c r="CF117" s="3">
        <f t="shared" si="362"/>
        <v>6.8977675926717925</v>
      </c>
      <c r="CG117" s="576">
        <f t="shared" si="363"/>
        <v>45911</v>
      </c>
      <c r="CH117" s="576">
        <f t="shared" si="305"/>
        <v>2473</v>
      </c>
      <c r="CI117" s="576">
        <f t="shared" si="306"/>
        <v>398</v>
      </c>
      <c r="CJ117" s="576">
        <f t="shared" si="307"/>
        <v>3</v>
      </c>
      <c r="CK117" s="576">
        <f t="shared" si="308"/>
        <v>13875.666666666672</v>
      </c>
      <c r="CL117" s="576">
        <f t="shared" si="309"/>
        <v>44.333333333333314</v>
      </c>
      <c r="CM117" s="576">
        <f t="shared" si="310"/>
        <v>390.66666666666652</v>
      </c>
      <c r="CN117" s="46">
        <f>Weather!C141</f>
        <v>38.787499999999994</v>
      </c>
      <c r="CO117" s="46">
        <f>Weather!D141</f>
        <v>50.675000000000011</v>
      </c>
      <c r="CP117" s="46">
        <f>Weather!E141</f>
        <v>17.162500000000001</v>
      </c>
      <c r="CQ117" s="46">
        <f>Weather!F141</f>
        <v>91.05000000000004</v>
      </c>
      <c r="CR117" s="46">
        <f>Weather!G141</f>
        <v>4.2333333333333343</v>
      </c>
      <c r="CS117" s="46">
        <f>Weather!H141</f>
        <v>140.12083333333339</v>
      </c>
      <c r="CT117" s="46">
        <f>Weather!I141</f>
        <v>0.65416666666666856</v>
      </c>
      <c r="CU117" s="46">
        <f>Weather!J141</f>
        <v>198.54166666666663</v>
      </c>
      <c r="CV117" s="46">
        <f>Weather!K141</f>
        <v>0</v>
      </c>
      <c r="CW117" s="46">
        <f>Weather!L141</f>
        <v>259.88749999999993</v>
      </c>
      <c r="CX117" s="46">
        <f>Weather!M141</f>
        <v>0</v>
      </c>
      <c r="CY117" s="46">
        <f>Weather!N141</f>
        <v>321.88749999999999</v>
      </c>
      <c r="CZ117" s="46">
        <f>Weather!O141</f>
        <v>0</v>
      </c>
      <c r="DA117" s="46">
        <f>Weather!P141</f>
        <v>383.88749999999999</v>
      </c>
      <c r="DB117" s="243">
        <f>'Economic Data'!D143</f>
        <v>8204.9</v>
      </c>
      <c r="DC117" s="243">
        <f>'Economic Data'!E143</f>
        <v>8291.7000000000007</v>
      </c>
      <c r="DD117" s="243">
        <f>'Economic Data'!F143</f>
        <v>248.5</v>
      </c>
      <c r="DE117" s="243">
        <f>'Economic Data'!G143</f>
        <v>247.4</v>
      </c>
      <c r="DF117" s="243">
        <f>'Economic Data'!H143</f>
        <v>55.6</v>
      </c>
      <c r="DG117" s="243">
        <f>'Economic Data'!I143</f>
        <v>55.6</v>
      </c>
      <c r="DH117" s="243">
        <f>'Economic Data'!J143</f>
        <v>888015.75609999988</v>
      </c>
      <c r="DI117" s="243">
        <f>'Economic Data'!K143</f>
        <v>703631.11690000002</v>
      </c>
      <c r="DJ117" s="243">
        <f>'Economic Data'!L143</f>
        <v>93638.073199999984</v>
      </c>
      <c r="DK117" s="243">
        <f>'Economic Data'!M143</f>
        <v>34291.468199999996</v>
      </c>
      <c r="DL117" s="243">
        <f>'Economic Data'!N143</f>
        <v>899254</v>
      </c>
      <c r="DM117" s="243">
        <f>'Economic Data'!O143</f>
        <v>87517</v>
      </c>
      <c r="DN117" s="243">
        <f>'Economic Data'!P143</f>
        <v>17050</v>
      </c>
      <c r="DO117" s="243">
        <f>'Economic Data'!Q143</f>
        <v>722638</v>
      </c>
      <c r="DP117" s="243">
        <f>'Economic Data'!R143</f>
        <v>34268</v>
      </c>
      <c r="DQ117">
        <f t="shared" si="311"/>
        <v>31</v>
      </c>
      <c r="DR117">
        <v>21</v>
      </c>
      <c r="DS117">
        <f t="shared" ref="DS117:EF117" si="370">DS105</f>
        <v>0</v>
      </c>
      <c r="DT117">
        <f t="shared" si="370"/>
        <v>0</v>
      </c>
      <c r="DU117">
        <f t="shared" si="370"/>
        <v>0</v>
      </c>
      <c r="DV117">
        <f t="shared" si="370"/>
        <v>0</v>
      </c>
      <c r="DW117">
        <f t="shared" si="370"/>
        <v>0</v>
      </c>
      <c r="DX117">
        <f t="shared" si="370"/>
        <v>0</v>
      </c>
      <c r="DY117">
        <f t="shared" si="370"/>
        <v>0</v>
      </c>
      <c r="DZ117">
        <f t="shared" si="370"/>
        <v>1</v>
      </c>
      <c r="EA117">
        <f t="shared" si="370"/>
        <v>0</v>
      </c>
      <c r="EB117">
        <f t="shared" si="370"/>
        <v>0</v>
      </c>
      <c r="EC117">
        <f t="shared" si="370"/>
        <v>0</v>
      </c>
      <c r="ED117">
        <f t="shared" si="370"/>
        <v>0</v>
      </c>
      <c r="EE117">
        <f t="shared" si="370"/>
        <v>0</v>
      </c>
      <c r="EF117">
        <f t="shared" si="370"/>
        <v>0</v>
      </c>
      <c r="EG117">
        <f t="shared" si="313"/>
        <v>0</v>
      </c>
      <c r="EH117">
        <f t="shared" si="185"/>
        <v>116</v>
      </c>
      <c r="EI117">
        <v>0</v>
      </c>
      <c r="EJ117">
        <v>0</v>
      </c>
      <c r="EK117">
        <v>0.25</v>
      </c>
      <c r="EL117">
        <v>0</v>
      </c>
      <c r="EM117" s="47">
        <f t="shared" si="314"/>
        <v>0</v>
      </c>
      <c r="EN117" s="47">
        <f t="shared" si="315"/>
        <v>0</v>
      </c>
      <c r="EO117" s="47">
        <f t="shared" si="316"/>
        <v>0</v>
      </c>
      <c r="EP117" s="47">
        <f t="shared" si="317"/>
        <v>0</v>
      </c>
      <c r="EQ117" s="47">
        <f t="shared" si="318"/>
        <v>0</v>
      </c>
      <c r="ER117" s="47">
        <f t="shared" si="319"/>
        <v>0</v>
      </c>
      <c r="ES117" s="47">
        <f t="shared" si="320"/>
        <v>0</v>
      </c>
      <c r="ET117" s="47">
        <f t="shared" si="321"/>
        <v>0</v>
      </c>
      <c r="EU117" s="47">
        <f t="shared" si="322"/>
        <v>0</v>
      </c>
      <c r="EV117" s="47">
        <f t="shared" si="323"/>
        <v>0</v>
      </c>
      <c r="EW117" s="47">
        <f t="shared" si="324"/>
        <v>0</v>
      </c>
      <c r="EX117" s="47">
        <f t="shared" si="325"/>
        <v>0</v>
      </c>
      <c r="EY117" s="47">
        <f t="shared" si="326"/>
        <v>0</v>
      </c>
      <c r="EZ117" s="47">
        <f t="shared" si="327"/>
        <v>0</v>
      </c>
      <c r="FA117" s="47">
        <f t="shared" si="328"/>
        <v>9.6968749999999986</v>
      </c>
      <c r="FB117" s="47">
        <f t="shared" si="329"/>
        <v>12.668750000000003</v>
      </c>
      <c r="FC117" s="47">
        <f t="shared" si="330"/>
        <v>4.2906250000000004</v>
      </c>
      <c r="FD117" s="47">
        <f t="shared" si="331"/>
        <v>22.76250000000001</v>
      </c>
      <c r="FE117" s="47">
        <f t="shared" si="332"/>
        <v>1.0583333333333336</v>
      </c>
      <c r="FF117" s="47">
        <f t="shared" si="333"/>
        <v>35.030208333333348</v>
      </c>
      <c r="FG117" s="47">
        <f t="shared" si="334"/>
        <v>0.16354166666666714</v>
      </c>
      <c r="FH117" s="47">
        <f t="shared" si="335"/>
        <v>49.635416666666657</v>
      </c>
      <c r="FI117" s="47">
        <f t="shared" si="336"/>
        <v>0</v>
      </c>
      <c r="FJ117" s="47">
        <f t="shared" si="337"/>
        <v>64.971874999999983</v>
      </c>
      <c r="FK117" s="47">
        <f t="shared" si="338"/>
        <v>0</v>
      </c>
      <c r="FL117" s="47">
        <f t="shared" si="339"/>
        <v>80.471874999999997</v>
      </c>
      <c r="FM117" s="47">
        <f t="shared" si="340"/>
        <v>0</v>
      </c>
      <c r="FN117" s="47">
        <f t="shared" si="341"/>
        <v>95.971874999999997</v>
      </c>
      <c r="FO117" s="546">
        <f t="shared" ca="1" si="342"/>
        <v>877.0585470043959</v>
      </c>
      <c r="FP117" s="546">
        <f t="shared" ca="1" si="343"/>
        <v>797.79710786508838</v>
      </c>
      <c r="FQ117" s="546">
        <f t="shared" ca="1" si="344"/>
        <v>2495.1935570414944</v>
      </c>
      <c r="FR117" s="546">
        <f t="shared" ca="1" si="345"/>
        <v>82137.444569939602</v>
      </c>
      <c r="FS117" s="546">
        <f t="shared" ca="1" si="346"/>
        <v>1622122.2170506469</v>
      </c>
      <c r="FT117" s="546">
        <f t="shared" ca="1" si="347"/>
        <v>6115197.2185663609</v>
      </c>
      <c r="FU117" s="546">
        <f t="shared" si="348"/>
        <v>25.085950608566844</v>
      </c>
      <c r="FV117" s="546">
        <f t="shared" si="349"/>
        <v>30.613971777705881</v>
      </c>
      <c r="FW117" s="546">
        <f t="shared" si="350"/>
        <v>481.08187901770054</v>
      </c>
      <c r="FX117" s="546">
        <f t="shared" ca="1" si="351"/>
        <v>975.40075302293349</v>
      </c>
      <c r="FY117" s="546">
        <f t="shared" ca="1" si="352"/>
        <v>3121.1274607616851</v>
      </c>
      <c r="FZ117" s="546">
        <f t="shared" ca="1" si="353"/>
        <v>83508.737541553986</v>
      </c>
      <c r="GA117" s="546">
        <f t="shared" si="354"/>
        <v>86911.332185447347</v>
      </c>
      <c r="GB117" s="546">
        <f t="shared" si="355"/>
        <v>18.790736533236263</v>
      </c>
      <c r="GC117" s="546">
        <f t="shared" si="356"/>
        <v>11.537548673673857</v>
      </c>
      <c r="GD117" s="546">
        <f t="shared" si="357"/>
        <v>402.26870717872748</v>
      </c>
    </row>
    <row r="118" spans="1:186">
      <c r="A118" s="4">
        <v>45901</v>
      </c>
      <c r="B118" s="6">
        <f t="shared" si="358"/>
        <v>2025</v>
      </c>
      <c r="C118" s="5">
        <f t="shared" si="359"/>
        <v>9</v>
      </c>
      <c r="D118" s="7">
        <v>73315661.379441008</v>
      </c>
      <c r="E118" s="7">
        <f ca="1">IFERROR(VLOOKUP($B118-1,CDM!$V$4:$AJ$17,2,FALSE)/12,0)+IFERROR(VLOOKUP($B118,CDM!$V$41:$AJ$54,2,FALSE)/24,0)+IFERROR(VLOOKUP($B118,CDM!$V$41:$AJ$54,2,FALSE)/2*$C118/78,0)</f>
        <v>4552947.6285366416</v>
      </c>
      <c r="F118" s="7">
        <f t="shared" ca="1" si="285"/>
        <v>77868609.00797765</v>
      </c>
      <c r="G118" s="7">
        <f>IFERROR(HLOOKUP(B118-1,'EV Forecast VRZ'!$F$124:$T$130,2,FALSE)/12,0)+IFERROR(((HLOOKUP(B118,'EV Forecast VRZ'!$F$116:$T$122,2,FALSE)-HLOOKUP(B118-1,'EV Forecast VRZ'!$F$124:$T$130,2,FALSE)))*C118/78,0)</f>
        <v>1656135.8042145893</v>
      </c>
      <c r="H118" s="7">
        <f ca="1">HLOOKUP(B118,Heating!$C$102:$O$106,2,FALSE)*INDEX(Weather!$BO$1:$CB$20,MATCH(B118,Weather!$BO$1:$BO$20,0),MATCH(C118,Weather!$BO$1:$CB$1,0))/VLOOKUP(B118,Weather!$BO$2:$CB$20,14,FALSE)*
VLOOKUP('Monthly Data'!$B118,Weather!$BO$3:$CB$20,14,FALSE)/Weather!$CB$14</f>
        <v>176784.03267534825</v>
      </c>
      <c r="I118" s="7">
        <f t="shared" ca="1" si="270"/>
        <v>76035689.171087712</v>
      </c>
      <c r="J118" s="7">
        <v>751315.43091013143</v>
      </c>
      <c r="K118" s="7">
        <f ca="1">IFERROR(VLOOKUP($B118-1,CDM!$V$4:$AJ$17,3,FALSE)/12,0)+IFERROR(VLOOKUP($B118,CDM!$V$41:$AJ$54,3,FALSE)/24,0)+IFERROR(VLOOKUP($B118,CDM!$V$41:$AJ$54,3,FALSE)/2*$C118/78,0)</f>
        <v>52145.092066440062</v>
      </c>
      <c r="L118" s="7">
        <f t="shared" ca="1" si="286"/>
        <v>803460.52297657146</v>
      </c>
      <c r="M118" s="7">
        <f>IFERROR(HLOOKUP(B118-1,'EV Forecast VRZ'!$F$124:$T$130,3,FALSE)/12,0)+IFERROR(((HLOOKUP(B118,'EV Forecast VRZ'!$F$116:$T$122,3,FALSE)-HLOOKUP(B118-1,'EV Forecast VRZ'!$F$124:$T$130,3,FALSE)))*C118/78,0)</f>
        <v>22472.341298231189</v>
      </c>
      <c r="N118" s="7">
        <f ca="1">HLOOKUP(B118,Heating!$C$102:$O$106,3,FALSE)*INDEX(Weather!$BO$1:$CB$20,MATCH(B118,Weather!$BO$1:$BO$20,0),MATCH(C118,Weather!$BO$1:$CB$1,0))/VLOOKUP(B118,Weather!$BO$2:$CB$20,14,FALSE)*
VLOOKUP('Monthly Data'!$B118,Weather!$BO$3:$CB$20,14,FALSE)/Weather!$CB$14</f>
        <v>2041.9721283693718</v>
      </c>
      <c r="O118" s="7">
        <f t="shared" ca="1" si="287"/>
        <v>778946.20954997092</v>
      </c>
      <c r="P118" s="7">
        <v>18789107.248769291</v>
      </c>
      <c r="Q118" s="7">
        <f ca="1">IFERROR(VLOOKUP($B118-1,CDM!$V$4:$AJ$17,4,FALSE)/12,0)+IFERROR(VLOOKUP($B118,CDM!$V$41:$AJ$54,4,FALSE)/24,0)+IFERROR(VLOOKUP($B118,CDM!$V$41:$AJ$54,4,FALSE)/2*$C118/78,0)</f>
        <v>1905199.5154073641</v>
      </c>
      <c r="R118" s="7">
        <f t="shared" ca="1" si="288"/>
        <v>20694306.764176656</v>
      </c>
      <c r="S118" s="7">
        <f>IFERROR(HLOOKUP(B118-1,'EV Forecast VRZ'!$F$124:$T$130,4,FALSE)/12,0)+IFERROR(((HLOOKUP(B118,'EV Forecast VRZ'!$F$116:$T$122,4,FALSE)-HLOOKUP(B118-1,'EV Forecast VRZ'!$F$124:$T$130,4,FALSE)))*C118/78,0)</f>
        <v>218375.73205128204</v>
      </c>
      <c r="T118" s="7">
        <f ca="1">HLOOKUP(B118,Heating!$C$102:$O$106,4,FALSE)*INDEX(Weather!$BO$1:$CB$20,MATCH(B118,Weather!$BO$1:$BO$20,0),MATCH(C118,Weather!$BO$1:$CB$1,0))/VLOOKUP(B118,Weather!$BO$2:$CB$20,14,FALSE)*
VLOOKUP('Monthly Data'!$B118,Weather!$BO$3:$CB$20,14,FALSE)/Weather!$CB$14</f>
        <v>40976.400607762553</v>
      </c>
      <c r="U118" s="7">
        <f t="shared" ca="1" si="289"/>
        <v>20434954.631517611</v>
      </c>
      <c r="V118" s="7">
        <v>75643718.516599759</v>
      </c>
      <c r="W118" s="7">
        <f ca="1">IFERROR(VLOOKUP($B118-1,CDM!$V$4:$AJ$17,5,FALSE)/12,0)+IFERROR(VLOOKUP($B118,CDM!$V$41:$AJ$54,5,FALSE)/24,0)+IFERROR(VLOOKUP($B118,CDM!$V$41:$AJ$54,5,FALSE)/2*$C118/78,0)</f>
        <v>8255330.1442102036</v>
      </c>
      <c r="X118" s="7">
        <f t="shared" ca="1" si="290"/>
        <v>83899048.660809964</v>
      </c>
      <c r="Y118" s="7">
        <f>IFERROR(HLOOKUP(B118-1,'EV Forecast VRZ'!$F$124:$T$130,5,FALSE)/12,0)+IFERROR(((HLOOKUP(B118,'EV Forecast VRZ'!$F$116:$T$122,5,FALSE)-HLOOKUP(B118-1,'EV Forecast VRZ'!$F$124:$T$130,5,FALSE)))*C118/78,0)</f>
        <v>105714.65634615383</v>
      </c>
      <c r="Z118" s="7">
        <f ca="1">HLOOKUP(B118,Heating!$C$102:$O$106,5,FALSE)*INDEX(Weather!$BO$1:$CB$20,MATCH(B118,Weather!$BO$1:$BO$20,0),MATCH(C118,Weather!$BO$1:$CB$1,0))/VLOOKUP(B118,Weather!$BO$2:$CB$20,14,FALSE)*
VLOOKUP('Monthly Data'!$B118,Weather!$BO$3:$CB$20,14,FALSE)/Weather!$CB$14</f>
        <v>21521.355230412006</v>
      </c>
      <c r="AA118" s="7">
        <f t="shared" ca="1" si="291"/>
        <v>83771812.649233401</v>
      </c>
      <c r="AB118" s="7">
        <v>7301250.7134868279</v>
      </c>
      <c r="AC118" s="7">
        <f ca="1">IFERROR(VLOOKUP($B118-1,CDM!$V$4:$AJ$17,6,FALSE)/12,0)+IFERROR(VLOOKUP($B118,CDM!$V$41:$AJ$54,6,FALSE)/24,0)+IFERROR(VLOOKUP($B118,CDM!$V$41:$AJ$54,6,FALSE)/2*$C118/78,0)</f>
        <v>453916.32717209647</v>
      </c>
      <c r="AD118" s="7">
        <f t="shared" ca="1" si="292"/>
        <v>7755167.0406589247</v>
      </c>
      <c r="AE118" s="7">
        <f>IFERROR(HLOOKUP(B118-1,'EV Forecast VRZ'!$F$124:$T$130,6,FALSE)/12,0)+IFERROR(((HLOOKUP(B118,'EV Forecast VRZ'!$F$116:$T$122,6,FALSE)-HLOOKUP(B118-1,'EV Forecast VRZ'!$F$124:$T$130,6,FALSE)))*C118/78,0)</f>
        <v>14557.825064102566</v>
      </c>
      <c r="AF118" s="7">
        <f t="shared" ca="1" si="293"/>
        <v>7740609.2155948225</v>
      </c>
      <c r="AG118" s="7">
        <v>26754395.077005759</v>
      </c>
      <c r="AH118" s="7">
        <f ca="1">IFERROR(VLOOKUP($B118-1,CDM!$V$4:$AJ$17,7,FALSE)/12,0)+IFERROR(VLOOKUP($B118,CDM!$V$41:$AJ$54,7,FALSE)/24,0)+IFERROR(VLOOKUP($B118,CDM!$V$41:$AJ$54,7,FALSE)/2*$C118/78,0)</f>
        <v>2478218.6199623509</v>
      </c>
      <c r="AI118" s="7">
        <f t="shared" ca="1" si="294"/>
        <v>29232613.696968108</v>
      </c>
      <c r="AJ118" s="7">
        <f>IFERROR(HLOOKUP(B118-1,'EV Forecast VRZ'!$F$124:$T$130,7,FALSE)/12,0)+IFERROR(((HLOOKUP(B118,'EV Forecast VRZ'!$F$116:$T$122,7,FALSE)-HLOOKUP(B118-1,'EV Forecast VRZ'!$F$124:$T$130,7,FALSE)))*C118/78,0)</f>
        <v>2904.8076923076924</v>
      </c>
      <c r="AK118" s="7">
        <f t="shared" ca="1" si="295"/>
        <v>29229708.8892758</v>
      </c>
      <c r="AL118" s="7">
        <v>918646.02175157412</v>
      </c>
      <c r="AM118" s="7">
        <v>6814.0812821980544</v>
      </c>
      <c r="AN118" s="7">
        <v>375822.21904216747</v>
      </c>
      <c r="AO118" s="3">
        <v>182934.32</v>
      </c>
      <c r="AP118" s="3">
        <v>17047.84</v>
      </c>
      <c r="AQ118" s="3">
        <v>44848</v>
      </c>
      <c r="AR118" s="3">
        <v>2662.83</v>
      </c>
      <c r="AS118" s="3">
        <f t="shared" si="360"/>
        <v>49.343669810839387</v>
      </c>
      <c r="AT118" s="576">
        <f t="shared" si="361"/>
        <v>119138.00000000004</v>
      </c>
      <c r="AU118" s="576">
        <f t="shared" si="296"/>
        <v>1551</v>
      </c>
      <c r="AV118" s="576">
        <f t="shared" si="296"/>
        <v>9505.2499999999945</v>
      </c>
      <c r="AW118" s="576">
        <f t="shared" si="296"/>
        <v>1093</v>
      </c>
      <c r="AX118" s="576">
        <f t="shared" si="296"/>
        <v>5</v>
      </c>
      <c r="AY118" s="576">
        <f t="shared" si="296"/>
        <v>5</v>
      </c>
      <c r="AZ118" s="576">
        <f t="shared" si="296"/>
        <v>33202.250000000022</v>
      </c>
      <c r="BA118" s="576">
        <f t="shared" si="296"/>
        <v>229.25</v>
      </c>
      <c r="BB118" s="576">
        <f t="shared" si="296"/>
        <v>786.00000000000034</v>
      </c>
      <c r="BC118" s="562">
        <v>31288190.428725846</v>
      </c>
      <c r="BD118" s="560">
        <f ca="1">IFERROR(VLOOKUP($B118-1,CDM!$V$4:$AJ$17,11,FALSE)/12,0)+IFERROR(VLOOKUP($B118,CDM!$V$41:$AJ$54,11,FALSE)/24,0)+IFERROR(VLOOKUP($B118,CDM!$V$41:$AJ$54,11,FALSE)/2*$C118/78,0)</f>
        <v>1981549.9836693022</v>
      </c>
      <c r="BE118" s="560">
        <f t="shared" ca="1" si="297"/>
        <v>33269740.412395149</v>
      </c>
      <c r="BF118" s="560">
        <f>IFERROR(HLOOKUP(B118-1,'EV Forecast WRZ'!$F$124:$T$130,2,FALSE)/12,0)+IFERROR(((HLOOKUP(B118,'EV Forecast WRZ'!$F$116:$T$122,2,FALSE)-HLOOKUP(B118-1,'EV Forecast WRZ'!$F$124:$T$130,2,FALSE)))*C118/78,0)</f>
        <v>557779.10897435888</v>
      </c>
      <c r="BG118" s="560">
        <f ca="1">HLOOKUP(B118,Heating!$R$102:$AD$106,2,FALSE)*INDEX(Weather!$BO$1:$CB$20,MATCH(B118,Weather!$BO$1:$BO$20,0),MATCH(C118,Weather!$BO$1:$CB$1,0))/VLOOKUP(B118,Weather!$BO$2:$CB$20,14,FALSE)*
VLOOKUP('Monthly Data'!$B118,Weather!$BO$3:$CB$20,14,FALSE)/Weather!$CB$14</f>
        <v>75254.639317205001</v>
      </c>
      <c r="BH118" s="560">
        <f t="shared" ca="1" si="298"/>
        <v>32636706.664103586</v>
      </c>
      <c r="BI118" s="562">
        <v>6403608.3357183812</v>
      </c>
      <c r="BJ118" s="560">
        <f ca="1">IFERROR(VLOOKUP($B118-1,CDM!$V$4:$AJ$17,12,FALSE)/12,0)+IFERROR(VLOOKUP($B118,CDM!$V$41:$AJ$54,12,FALSE)/24,0)+IFERROR(VLOOKUP($B118,CDM!$V$41:$AJ$54,12,FALSE)/2*$C118/78,0)</f>
        <v>341917.66331863683</v>
      </c>
      <c r="BK118" s="560">
        <f t="shared" ca="1" si="299"/>
        <v>6745525.999037018</v>
      </c>
      <c r="BL118" s="560">
        <f>IFERROR(HLOOKUP(B118-1,'EV Forecast WRZ'!$F$124:$T$130,3,FALSE)/12,0)+IFERROR(((HLOOKUP(B118,'EV Forecast WRZ'!$F$116:$T$122,3,FALSE)-HLOOKUP(B118-1,'EV Forecast WRZ'!$F$124:$T$130,3,FALSE)))*C118/78,0)</f>
        <v>76556.70512820514</v>
      </c>
      <c r="BM118" s="560">
        <f ca="1">HLOOKUP(B118,Heating!$R$102:$AD$106,4,FALSE)*INDEX(Weather!$BO$1:$CB$20,MATCH(B118,Weather!$BO$1:$BO$20,0),MATCH(C118,Weather!$BO$1:$CB$1,0))/VLOOKUP(B118,Weather!$BO$2:$CB$20,14,FALSE)*
VLOOKUP('Monthly Data'!$B118,Weather!$BO$3:$CB$20,14,FALSE)/Weather!$CB$14</f>
        <v>11973.803159661105</v>
      </c>
      <c r="BN118" s="560">
        <f t="shared" ca="1" si="300"/>
        <v>6656995.4907491524</v>
      </c>
      <c r="BO118" s="562">
        <v>27616006.916841786</v>
      </c>
      <c r="BP118" s="560">
        <f ca="1">IFERROR(VLOOKUP($B118-1,CDM!$V$4:$AJ$17,13,FALSE)/12,0)+IFERROR(VLOOKUP($B118,CDM!$V$41:$AJ$54,13,FALSE)/24,0)+IFERROR(VLOOKUP($B118,CDM!$V$41:$AJ$54,13,FALSE)/2*$C118/78,0)</f>
        <v>3576885.9651866052</v>
      </c>
      <c r="BQ118" s="560">
        <f t="shared" ca="1" si="301"/>
        <v>31192892.882028393</v>
      </c>
      <c r="BR118" s="560">
        <f>IFERROR(HLOOKUP(B118-1,'EV Forecast WRZ'!$F$124:$T$130,4,FALSE)/12,0)+IFERROR(((HLOOKUP(B118,'EV Forecast WRZ'!$F$116:$T$122,4,FALSE)-HLOOKUP(B118-1,'EV Forecast WRZ'!$F$124:$T$130,4,FALSE)))*C118/78,0)</f>
        <v>33855.709615384614</v>
      </c>
      <c r="BS118" s="560">
        <f ca="1">HLOOKUP(B118,Heating!$R$102:$AD$106,5,FALSE)*INDEX(Weather!$BO$1:$CB$20,MATCH(B118,Weather!$BO$1:$BO$20,0),MATCH(C118,Weather!$BO$1:$CB$1,0))/VLOOKUP(B118,Weather!$BO$2:$CB$20,14,FALSE)*
VLOOKUP('Monthly Data'!$B118,Weather!$BO$3:$CB$20,14,FALSE)/Weather!$CB$14</f>
        <v>6387.1086278218845</v>
      </c>
      <c r="BT118" s="560">
        <f t="shared" ca="1" si="302"/>
        <v>31152650.063785188</v>
      </c>
      <c r="BU118" s="562">
        <v>6443399.9614271941</v>
      </c>
      <c r="BV118" s="560">
        <f ca="1">IFERROR(VLOOKUP($B118-1,CDM!$V$4:$AJ$17,14,FALSE)/12,0)+IFERROR(VLOOKUP($B118,CDM!$V$41:$AJ$54,14,FALSE)/24,0)+IFERROR(VLOOKUP($B118,CDM!$V$41:$AJ$54,14,FALSE)/2*$C118/78,0)</f>
        <v>806855.7634896104</v>
      </c>
      <c r="BW118" s="560">
        <f t="shared" ca="1" si="303"/>
        <v>7250255.7249168046</v>
      </c>
      <c r="BX118" s="560">
        <f>IFERROR(HLOOKUP(B118-1,'EV Forecast WRZ'!$F$124:$T$130,5,FALSE)/12,0)+IFERROR(((HLOOKUP(B118,'EV Forecast WRZ'!$F$116:$T$122,5,FALSE)-HLOOKUP(B118-1,'EV Forecast WRZ'!$F$124:$T$130,5,FALSE)))*C118/78,0)</f>
        <v>6240.9121794871799</v>
      </c>
      <c r="BY118" s="560">
        <f t="shared" ca="1" si="304"/>
        <v>7244014.8127373178</v>
      </c>
      <c r="BZ118" s="562">
        <v>289020.99674765638</v>
      </c>
      <c r="CA118" s="562">
        <v>511.49799119954082</v>
      </c>
      <c r="CB118" s="562">
        <v>157494.97799885209</v>
      </c>
      <c r="CC118" s="3">
        <v>65765.5</v>
      </c>
      <c r="CD118" s="3">
        <v>11419.04</v>
      </c>
      <c r="CE118" s="3">
        <v>838</v>
      </c>
      <c r="CF118" s="3">
        <f t="shared" si="362"/>
        <v>6.8977675926717925</v>
      </c>
      <c r="CG118" s="576">
        <f t="shared" si="363"/>
        <v>45939</v>
      </c>
      <c r="CH118" s="576">
        <f t="shared" si="305"/>
        <v>2473</v>
      </c>
      <c r="CI118" s="576">
        <f t="shared" si="306"/>
        <v>399</v>
      </c>
      <c r="CJ118" s="576">
        <f t="shared" si="307"/>
        <v>3</v>
      </c>
      <c r="CK118" s="576">
        <f t="shared" si="308"/>
        <v>13889.750000000005</v>
      </c>
      <c r="CL118" s="576">
        <f t="shared" si="309"/>
        <v>44.249999999999979</v>
      </c>
      <c r="CM118" s="576">
        <f t="shared" si="310"/>
        <v>390.99999999999983</v>
      </c>
      <c r="CN118" s="46">
        <f>Weather!C142</f>
        <v>88.308333333333323</v>
      </c>
      <c r="CO118" s="46">
        <f>Weather!D142</f>
        <v>0.41666666666666075</v>
      </c>
      <c r="CP118" s="46">
        <f>Weather!E142</f>
        <v>37.166666666666657</v>
      </c>
      <c r="CQ118" s="46">
        <f>Weather!F142</f>
        <v>9.2749999999999808</v>
      </c>
      <c r="CR118" s="46">
        <f>Weather!G142</f>
        <v>13.245833333333335</v>
      </c>
      <c r="CS118" s="46">
        <f>Weather!H142</f>
        <v>45.354166666666657</v>
      </c>
      <c r="CT118" s="46">
        <f>Weather!I142</f>
        <v>2.7291666666666696</v>
      </c>
      <c r="CU118" s="46">
        <f>Weather!J142</f>
        <v>94.837499999999977</v>
      </c>
      <c r="CV118" s="46">
        <f>Weather!K142</f>
        <v>0</v>
      </c>
      <c r="CW118" s="46">
        <f>Weather!L142</f>
        <v>152.10833333333332</v>
      </c>
      <c r="CX118" s="46">
        <f>Weather!M142</f>
        <v>0</v>
      </c>
      <c r="CY118" s="46">
        <f>Weather!N142</f>
        <v>212.10833333333332</v>
      </c>
      <c r="CZ118" s="46">
        <f>Weather!O142</f>
        <v>0</v>
      </c>
      <c r="DA118" s="46">
        <f>Weather!P142</f>
        <v>272.10833333333335</v>
      </c>
      <c r="DB118" s="243">
        <f>'Economic Data'!D144</f>
        <v>8202.2000000000007</v>
      </c>
      <c r="DC118" s="243">
        <f>'Economic Data'!E144</f>
        <v>8234.2999999999993</v>
      </c>
      <c r="DD118" s="243">
        <f>'Economic Data'!F144</f>
        <v>253.8</v>
      </c>
      <c r="DE118" s="243">
        <f>'Economic Data'!G144</f>
        <v>253.3</v>
      </c>
      <c r="DF118" s="243">
        <f>'Economic Data'!H144</f>
        <v>54.9</v>
      </c>
      <c r="DG118" s="243">
        <f>'Economic Data'!I144</f>
        <v>54.9</v>
      </c>
      <c r="DH118" s="243">
        <f>'Economic Data'!J144</f>
        <v>888015.75609999988</v>
      </c>
      <c r="DI118" s="243">
        <f>'Economic Data'!K144</f>
        <v>703631.11690000002</v>
      </c>
      <c r="DJ118" s="243">
        <f>'Economic Data'!L144</f>
        <v>93638.073199999984</v>
      </c>
      <c r="DK118" s="243">
        <f>'Economic Data'!M144</f>
        <v>34291.468199999996</v>
      </c>
      <c r="DL118" s="243">
        <f>'Economic Data'!N144</f>
        <v>899254</v>
      </c>
      <c r="DM118" s="243">
        <f>'Economic Data'!O144</f>
        <v>87517</v>
      </c>
      <c r="DN118" s="243">
        <f>'Economic Data'!P144</f>
        <v>17050</v>
      </c>
      <c r="DO118" s="243">
        <f>'Economic Data'!Q144</f>
        <v>722638</v>
      </c>
      <c r="DP118" s="243">
        <f>'Economic Data'!R144</f>
        <v>34268</v>
      </c>
      <c r="DQ118">
        <f t="shared" si="311"/>
        <v>30</v>
      </c>
      <c r="DR118">
        <v>21</v>
      </c>
      <c r="DS118">
        <f t="shared" ref="DS118:EF118" si="371">DS106</f>
        <v>0</v>
      </c>
      <c r="DT118">
        <f t="shared" si="371"/>
        <v>0</v>
      </c>
      <c r="DU118">
        <f t="shared" si="371"/>
        <v>0</v>
      </c>
      <c r="DV118">
        <f t="shared" si="371"/>
        <v>0</v>
      </c>
      <c r="DW118">
        <f t="shared" si="371"/>
        <v>0</v>
      </c>
      <c r="DX118">
        <f t="shared" si="371"/>
        <v>0</v>
      </c>
      <c r="DY118">
        <f t="shared" si="371"/>
        <v>0</v>
      </c>
      <c r="DZ118">
        <f t="shared" si="371"/>
        <v>0</v>
      </c>
      <c r="EA118">
        <f t="shared" si="371"/>
        <v>1</v>
      </c>
      <c r="EB118">
        <f t="shared" si="371"/>
        <v>0</v>
      </c>
      <c r="EC118">
        <f t="shared" si="371"/>
        <v>0</v>
      </c>
      <c r="ED118">
        <f t="shared" si="371"/>
        <v>0</v>
      </c>
      <c r="EE118">
        <f t="shared" si="371"/>
        <v>0</v>
      </c>
      <c r="EF118">
        <f t="shared" si="371"/>
        <v>1</v>
      </c>
      <c r="EG118">
        <f t="shared" si="313"/>
        <v>1</v>
      </c>
      <c r="EH118">
        <f t="shared" si="185"/>
        <v>117</v>
      </c>
      <c r="EI118">
        <v>0</v>
      </c>
      <c r="EJ118">
        <v>0</v>
      </c>
      <c r="EK118">
        <v>0.25</v>
      </c>
      <c r="EL118">
        <v>0</v>
      </c>
      <c r="EM118" s="47">
        <f t="shared" si="314"/>
        <v>0</v>
      </c>
      <c r="EN118" s="47">
        <f t="shared" si="315"/>
        <v>0</v>
      </c>
      <c r="EO118" s="47">
        <f t="shared" si="316"/>
        <v>0</v>
      </c>
      <c r="EP118" s="47">
        <f t="shared" si="317"/>
        <v>0</v>
      </c>
      <c r="EQ118" s="47">
        <f t="shared" si="318"/>
        <v>0</v>
      </c>
      <c r="ER118" s="47">
        <f t="shared" si="319"/>
        <v>0</v>
      </c>
      <c r="ES118" s="47">
        <f t="shared" si="320"/>
        <v>0</v>
      </c>
      <c r="ET118" s="47">
        <f t="shared" si="321"/>
        <v>0</v>
      </c>
      <c r="EU118" s="47">
        <f t="shared" si="322"/>
        <v>0</v>
      </c>
      <c r="EV118" s="47">
        <f t="shared" si="323"/>
        <v>0</v>
      </c>
      <c r="EW118" s="47">
        <f t="shared" si="324"/>
        <v>0</v>
      </c>
      <c r="EX118" s="47">
        <f t="shared" si="325"/>
        <v>0</v>
      </c>
      <c r="EY118" s="47">
        <f t="shared" si="326"/>
        <v>0</v>
      </c>
      <c r="EZ118" s="47">
        <f t="shared" si="327"/>
        <v>0</v>
      </c>
      <c r="FA118" s="47">
        <f t="shared" si="328"/>
        <v>22.077083333333331</v>
      </c>
      <c r="FB118" s="47">
        <f t="shared" si="329"/>
        <v>0.10416666666666519</v>
      </c>
      <c r="FC118" s="47">
        <f t="shared" si="330"/>
        <v>9.2916666666666643</v>
      </c>
      <c r="FD118" s="47">
        <f t="shared" si="331"/>
        <v>2.3187499999999952</v>
      </c>
      <c r="FE118" s="47">
        <f t="shared" si="332"/>
        <v>3.3114583333333338</v>
      </c>
      <c r="FF118" s="47">
        <f t="shared" si="333"/>
        <v>11.338541666666664</v>
      </c>
      <c r="FG118" s="47">
        <f t="shared" si="334"/>
        <v>0.68229166666666741</v>
      </c>
      <c r="FH118" s="47">
        <f t="shared" si="335"/>
        <v>23.709374999999994</v>
      </c>
      <c r="FI118" s="47">
        <f t="shared" si="336"/>
        <v>0</v>
      </c>
      <c r="FJ118" s="47">
        <f t="shared" si="337"/>
        <v>38.02708333333333</v>
      </c>
      <c r="FK118" s="47">
        <f t="shared" si="338"/>
        <v>0</v>
      </c>
      <c r="FL118" s="47">
        <f t="shared" si="339"/>
        <v>53.02708333333333</v>
      </c>
      <c r="FM118" s="47">
        <f t="shared" si="340"/>
        <v>0</v>
      </c>
      <c r="FN118" s="47">
        <f t="shared" si="341"/>
        <v>68.027083333333337</v>
      </c>
      <c r="FO118" s="546">
        <f t="shared" ca="1" si="342"/>
        <v>638.21525601477015</v>
      </c>
      <c r="FP118" s="546">
        <f t="shared" ca="1" si="343"/>
        <v>518.02741649037489</v>
      </c>
      <c r="FQ118" s="546">
        <f t="shared" ca="1" si="344"/>
        <v>2177.1449214041363</v>
      </c>
      <c r="FR118" s="546">
        <f t="shared" ca="1" si="345"/>
        <v>76760.337292598313</v>
      </c>
      <c r="FS118" s="546">
        <f t="shared" ca="1" si="346"/>
        <v>1551033.408131785</v>
      </c>
      <c r="FT118" s="546">
        <f t="shared" ca="1" si="347"/>
        <v>5846522.7393936217</v>
      </c>
      <c r="FU118" s="546">
        <f t="shared" si="348"/>
        <v>27.668185793178882</v>
      </c>
      <c r="FV118" s="546">
        <f t="shared" si="349"/>
        <v>29.723364371638187</v>
      </c>
      <c r="FW118" s="546">
        <f t="shared" si="350"/>
        <v>478.1453168475411</v>
      </c>
      <c r="FX118" s="546">
        <f t="shared" ca="1" si="351"/>
        <v>724.21559921624657</v>
      </c>
      <c r="FY118" s="546">
        <f t="shared" ca="1" si="352"/>
        <v>2727.6692272693158</v>
      </c>
      <c r="FZ118" s="546">
        <f t="shared" ca="1" si="353"/>
        <v>78177.676396061142</v>
      </c>
      <c r="GA118" s="546">
        <f t="shared" si="354"/>
        <v>96340.332249218787</v>
      </c>
      <c r="GB118" s="546">
        <f t="shared" si="355"/>
        <v>20.808221656088573</v>
      </c>
      <c r="GC118" s="546">
        <f t="shared" si="356"/>
        <v>11.559276637277764</v>
      </c>
      <c r="GD118" s="546">
        <f t="shared" si="357"/>
        <v>402.80045524003111</v>
      </c>
    </row>
    <row r="119" spans="1:186">
      <c r="A119" s="4">
        <v>45931</v>
      </c>
      <c r="B119" s="6">
        <f t="shared" si="358"/>
        <v>2025</v>
      </c>
      <c r="C119" s="5">
        <f t="shared" si="359"/>
        <v>10</v>
      </c>
      <c r="D119" s="7">
        <v>69827814.735193655</v>
      </c>
      <c r="E119" s="7">
        <f ca="1">IFERROR(VLOOKUP($B119-1,CDM!$V$4:$AJ$17,2,FALSE)/12,0)+IFERROR(VLOOKUP($B119,CDM!$V$41:$AJ$54,2,FALSE)/24,0)+IFERROR(VLOOKUP($B119,CDM!$V$41:$AJ$54,2,FALSE)/2*$C119/78,0)</f>
        <v>4584852.3510335069</v>
      </c>
      <c r="F119" s="7">
        <f t="shared" ca="1" si="285"/>
        <v>74412667.086227164</v>
      </c>
      <c r="G119" s="7">
        <f>IFERROR(HLOOKUP(B119-1,'EV Forecast VRZ'!$F$124:$T$130,2,FALSE)/12,0)+IFERROR(((HLOOKUP(B119,'EV Forecast VRZ'!$F$116:$T$122,2,FALSE)-HLOOKUP(B119-1,'EV Forecast VRZ'!$F$124:$T$130,2,FALSE)))*C119/78,0)</f>
        <v>1682480.2344478578</v>
      </c>
      <c r="H119" s="7">
        <f ca="1">HLOOKUP(B119,Heating!$C$102:$O$106,2,FALSE)*INDEX(Weather!$BO$1:$CB$20,MATCH(B119,Weather!$BO$1:$BO$20,0),MATCH(C119,Weather!$BO$1:$CB$1,0))/VLOOKUP(B119,Weather!$BO$2:$CB$20,14,FALSE)*
VLOOKUP('Monthly Data'!$B119,Weather!$BO$3:$CB$20,14,FALSE)/Weather!$CB$14</f>
        <v>1047207.5675485124</v>
      </c>
      <c r="I119" s="7">
        <f t="shared" ca="1" si="270"/>
        <v>71682979.284230798</v>
      </c>
      <c r="J119" s="7">
        <v>904992.74967563467</v>
      </c>
      <c r="K119" s="7">
        <f ca="1">IFERROR(VLOOKUP($B119-1,CDM!$V$4:$AJ$17,3,FALSE)/12,0)+IFERROR(VLOOKUP($B119,CDM!$V$41:$AJ$54,3,FALSE)/24,0)+IFERROR(VLOOKUP($B119,CDM!$V$41:$AJ$54,3,FALSE)/2*$C119/78,0)</f>
        <v>52510.365256314784</v>
      </c>
      <c r="L119" s="7">
        <f t="shared" ca="1" si="286"/>
        <v>957503.11493194941</v>
      </c>
      <c r="M119" s="7">
        <f>IFERROR(HLOOKUP(B119-1,'EV Forecast VRZ'!$F$124:$T$130,3,FALSE)/12,0)+IFERROR(((HLOOKUP(B119,'EV Forecast VRZ'!$F$116:$T$122,3,FALSE)-HLOOKUP(B119-1,'EV Forecast VRZ'!$F$124:$T$130,3,FALSE)))*C119/78,0)</f>
        <v>22829.81260342419</v>
      </c>
      <c r="N119" s="7">
        <f ca="1">HLOOKUP(B119,Heating!$C$102:$O$106,3,FALSE)*INDEX(Weather!$BO$1:$CB$20,MATCH(B119,Weather!$BO$1:$BO$20,0),MATCH(C119,Weather!$BO$1:$CB$1,0))/VLOOKUP(B119,Weather!$BO$2:$CB$20,14,FALSE)*
VLOOKUP('Monthly Data'!$B119,Weather!$BO$3:$CB$20,14,FALSE)/Weather!$CB$14</f>
        <v>12095.937812882205</v>
      </c>
      <c r="O119" s="7">
        <f t="shared" ca="1" si="287"/>
        <v>922577.36451564298</v>
      </c>
      <c r="P119" s="7">
        <v>18355622.76203968</v>
      </c>
      <c r="Q119" s="7">
        <f ca="1">IFERROR(VLOOKUP($B119-1,CDM!$V$4:$AJ$17,4,FALSE)/12,0)+IFERROR(VLOOKUP($B119,CDM!$V$41:$AJ$54,4,FALSE)/24,0)+IFERROR(VLOOKUP($B119,CDM!$V$41:$AJ$54,4,FALSE)/2*$C119/78,0)</f>
        <v>1919427.0037542353</v>
      </c>
      <c r="R119" s="7">
        <f t="shared" ca="1" si="288"/>
        <v>20275049.765793916</v>
      </c>
      <c r="S119" s="7">
        <f>IFERROR(HLOOKUP(B119-1,'EV Forecast VRZ'!$F$124:$T$130,4,FALSE)/12,0)+IFERROR(((HLOOKUP(B119,'EV Forecast VRZ'!$F$116:$T$122,4,FALSE)-HLOOKUP(B119-1,'EV Forecast VRZ'!$F$124:$T$130,4,FALSE)))*C119/78,0)</f>
        <v>222403.21820512819</v>
      </c>
      <c r="T119" s="7">
        <f ca="1">HLOOKUP(B119,Heating!$C$102:$O$106,4,FALSE)*INDEX(Weather!$BO$1:$CB$20,MATCH(B119,Weather!$BO$1:$BO$20,0),MATCH(C119,Weather!$BO$1:$CB$1,0))/VLOOKUP(B119,Weather!$BO$2:$CB$20,14,FALSE)*
VLOOKUP('Monthly Data'!$B119,Weather!$BO$3:$CB$20,14,FALSE)/Weather!$CB$14</f>
        <v>242730.04839838186</v>
      </c>
      <c r="U119" s="7">
        <f t="shared" ca="1" si="289"/>
        <v>19809916.499190405</v>
      </c>
      <c r="V119" s="7">
        <v>73883704.480805114</v>
      </c>
      <c r="W119" s="7">
        <f ca="1">IFERROR(VLOOKUP($B119-1,CDM!$V$4:$AJ$17,5,FALSE)/12,0)+IFERROR(VLOOKUP($B119,CDM!$V$41:$AJ$54,5,FALSE)/24,0)+IFERROR(VLOOKUP($B119,CDM!$V$41:$AJ$54,5,FALSE)/2*$C119/78,0)</f>
        <v>8335800.1572567094</v>
      </c>
      <c r="X119" s="7">
        <f t="shared" ca="1" si="290"/>
        <v>82219504.638061821</v>
      </c>
      <c r="Y119" s="7">
        <f>IFERROR(HLOOKUP(B119-1,'EV Forecast VRZ'!$F$124:$T$130,5,FALSE)/12,0)+IFERROR(((HLOOKUP(B119,'EV Forecast VRZ'!$F$116:$T$122,5,FALSE)-HLOOKUP(B119-1,'EV Forecast VRZ'!$F$124:$T$130,5,FALSE)))*C119/78,0)</f>
        <v>107825.42255128204</v>
      </c>
      <c r="Z119" s="7">
        <f ca="1">HLOOKUP(B119,Heating!$C$102:$O$106,5,FALSE)*INDEX(Weather!$BO$1:$CB$20,MATCH(B119,Weather!$BO$1:$BO$20,0),MATCH(C119,Weather!$BO$1:$CB$1,0))/VLOOKUP(B119,Weather!$BO$2:$CB$20,14,FALSE)*
VLOOKUP('Monthly Data'!$B119,Weather!$BO$3:$CB$20,14,FALSE)/Weather!$CB$14</f>
        <v>127485.07724436552</v>
      </c>
      <c r="AA119" s="7">
        <f t="shared" ca="1" si="291"/>
        <v>81984194.138266161</v>
      </c>
      <c r="AB119" s="7">
        <v>7780885.9481661441</v>
      </c>
      <c r="AC119" s="7">
        <f ca="1">IFERROR(VLOOKUP($B119-1,CDM!$V$4:$AJ$17,6,FALSE)/12,0)+IFERROR(VLOOKUP($B119,CDM!$V$41:$AJ$54,6,FALSE)/24,0)+IFERROR(VLOOKUP($B119,CDM!$V$41:$AJ$54,6,FALSE)/2*$C119/78,0)</f>
        <v>460316.80029925628</v>
      </c>
      <c r="AD119" s="7">
        <f t="shared" ca="1" si="292"/>
        <v>8241202.7484654002</v>
      </c>
      <c r="AE119" s="7">
        <f>IFERROR(HLOOKUP(B119-1,'EV Forecast VRZ'!$F$124:$T$130,6,FALSE)/12,0)+IFERROR(((HLOOKUP(B119,'EV Forecast VRZ'!$F$116:$T$122,6,FALSE)-HLOOKUP(B119-1,'EV Forecast VRZ'!$F$124:$T$130,6,FALSE)))*C119/78,0)</f>
        <v>14922.981423076924</v>
      </c>
      <c r="AF119" s="7">
        <f t="shared" ca="1" si="293"/>
        <v>8226279.767042323</v>
      </c>
      <c r="AG119" s="7">
        <v>26265982.732311282</v>
      </c>
      <c r="AH119" s="7">
        <f ca="1">IFERROR(VLOOKUP($B119-1,CDM!$V$4:$AJ$17,7,FALSE)/12,0)+IFERROR(VLOOKUP($B119,CDM!$V$41:$AJ$54,7,FALSE)/24,0)+IFERROR(VLOOKUP($B119,CDM!$V$41:$AJ$54,7,FALSE)/2*$C119/78,0)</f>
        <v>2507575.8461697069</v>
      </c>
      <c r="AI119" s="7">
        <f t="shared" ca="1" si="294"/>
        <v>28773558.578480989</v>
      </c>
      <c r="AJ119" s="7">
        <f>IFERROR(HLOOKUP(B119-1,'EV Forecast VRZ'!$F$124:$T$130,7,FALSE)/12,0)+IFERROR(((HLOOKUP(B119,'EV Forecast VRZ'!$F$116:$T$122,7,FALSE)-HLOOKUP(B119-1,'EV Forecast VRZ'!$F$124:$T$130,7,FALSE)))*C119/78,0)</f>
        <v>3019.2307692307695</v>
      </c>
      <c r="AK119" s="7">
        <f t="shared" ca="1" si="295"/>
        <v>28770539.347711757</v>
      </c>
      <c r="AL119" s="7">
        <v>1073055.7336386186</v>
      </c>
      <c r="AM119" s="7">
        <v>7041.2135088723526</v>
      </c>
      <c r="AN119" s="7">
        <v>375449.67563442088</v>
      </c>
      <c r="AO119" s="3">
        <v>182653.18</v>
      </c>
      <c r="AP119" s="3">
        <v>17309.98</v>
      </c>
      <c r="AQ119" s="3">
        <v>44980</v>
      </c>
      <c r="AR119" s="3">
        <v>2662.76</v>
      </c>
      <c r="AS119" s="3">
        <f t="shared" si="360"/>
        <v>49.343669810839387</v>
      </c>
      <c r="AT119" s="576">
        <f t="shared" si="361"/>
        <v>119229.66666666672</v>
      </c>
      <c r="AU119" s="576">
        <f t="shared" si="296"/>
        <v>1550</v>
      </c>
      <c r="AV119" s="576">
        <f t="shared" si="296"/>
        <v>9505.1666666666606</v>
      </c>
      <c r="AW119" s="576">
        <f t="shared" si="296"/>
        <v>1095</v>
      </c>
      <c r="AX119" s="576">
        <f t="shared" si="296"/>
        <v>5</v>
      </c>
      <c r="AY119" s="576">
        <f t="shared" si="296"/>
        <v>5</v>
      </c>
      <c r="AZ119" s="576">
        <f t="shared" si="296"/>
        <v>33223.833333333358</v>
      </c>
      <c r="BA119" s="576">
        <f t="shared" si="296"/>
        <v>228.5</v>
      </c>
      <c r="BB119" s="576">
        <f t="shared" si="296"/>
        <v>790.33333333333371</v>
      </c>
      <c r="BC119" s="562">
        <v>27883561.171427179</v>
      </c>
      <c r="BD119" s="560">
        <f ca="1">IFERROR(VLOOKUP($B119-1,CDM!$V$4:$AJ$17,11,FALSE)/12,0)+IFERROR(VLOOKUP($B119,CDM!$V$41:$AJ$54,11,FALSE)/24,0)+IFERROR(VLOOKUP($B119,CDM!$V$41:$AJ$54,11,FALSE)/2*$C119/78,0)</f>
        <v>1993971.3893719723</v>
      </c>
      <c r="BE119" s="560">
        <f t="shared" ca="1" si="297"/>
        <v>29877532.560799152</v>
      </c>
      <c r="BF119" s="560">
        <f>IFERROR(HLOOKUP(B119-1,'EV Forecast WRZ'!$F$124:$T$130,2,FALSE)/12,0)+IFERROR(((HLOOKUP(B119,'EV Forecast WRZ'!$F$116:$T$122,2,FALSE)-HLOOKUP(B119-1,'EV Forecast WRZ'!$F$124:$T$130,2,FALSE)))*C119/78,0)</f>
        <v>565839.17923076916</v>
      </c>
      <c r="BG119" s="560">
        <f ca="1">HLOOKUP(B119,Heating!$R$102:$AD$106,2,FALSE)*INDEX(Weather!$BO$1:$CB$20,MATCH(B119,Weather!$BO$1:$BO$20,0),MATCH(C119,Weather!$BO$1:$CB$1,0))/VLOOKUP(B119,Weather!$BO$2:$CB$20,14,FALSE)*
VLOOKUP('Monthly Data'!$B119,Weather!$BO$3:$CB$20,14,FALSE)/Weather!$CB$14</f>
        <v>445782.4985293494</v>
      </c>
      <c r="BH119" s="560">
        <f t="shared" ca="1" si="298"/>
        <v>28865910.883039035</v>
      </c>
      <c r="BI119" s="562">
        <v>6327131.4393533543</v>
      </c>
      <c r="BJ119" s="560">
        <f ca="1">IFERROR(VLOOKUP($B119-1,CDM!$V$4:$AJ$17,12,FALSE)/12,0)+IFERROR(VLOOKUP($B119,CDM!$V$41:$AJ$54,12,FALSE)/24,0)+IFERROR(VLOOKUP($B119,CDM!$V$41:$AJ$54,12,FALSE)/2*$C119/78,0)</f>
        <v>343633.58591725718</v>
      </c>
      <c r="BK119" s="560">
        <f t="shared" ca="1" si="299"/>
        <v>6670765.025270611</v>
      </c>
      <c r="BL119" s="560">
        <f>IFERROR(HLOOKUP(B119-1,'EV Forecast WRZ'!$F$124:$T$130,3,FALSE)/12,0)+IFERROR(((HLOOKUP(B119,'EV Forecast WRZ'!$F$116:$T$122,3,FALSE)-HLOOKUP(B119-1,'EV Forecast WRZ'!$F$124:$T$130,3,FALSE)))*C119/78,0)</f>
        <v>77673.61384615385</v>
      </c>
      <c r="BM119" s="560">
        <f ca="1">HLOOKUP(B119,Heating!$R$102:$AD$106,4,FALSE)*INDEX(Weather!$BO$1:$CB$20,MATCH(B119,Weather!$BO$1:$BO$20,0),MATCH(C119,Weather!$BO$1:$CB$1,0))/VLOOKUP(B119,Weather!$BO$2:$CB$20,14,FALSE)*
VLOOKUP('Monthly Data'!$B119,Weather!$BO$3:$CB$20,14,FALSE)/Weather!$CB$14</f>
        <v>70928.675465620341</v>
      </c>
      <c r="BN119" s="560">
        <f t="shared" ca="1" si="300"/>
        <v>6522162.735958837</v>
      </c>
      <c r="BO119" s="562">
        <v>27419138.651456017</v>
      </c>
      <c r="BP119" s="560">
        <f ca="1">IFERROR(VLOOKUP($B119-1,CDM!$V$4:$AJ$17,13,FALSE)/12,0)+IFERROR(VLOOKUP($B119,CDM!$V$41:$AJ$54,13,FALSE)/24,0)+IFERROR(VLOOKUP($B119,CDM!$V$41:$AJ$54,13,FALSE)/2*$C119/78,0)</f>
        <v>3612003.8310442758</v>
      </c>
      <c r="BQ119" s="560">
        <f t="shared" ca="1" si="301"/>
        <v>31031142.482500292</v>
      </c>
      <c r="BR119" s="560">
        <f>IFERROR(HLOOKUP(B119-1,'EV Forecast WRZ'!$F$124:$T$130,4,FALSE)/12,0)+IFERROR(((HLOOKUP(B119,'EV Forecast WRZ'!$F$116:$T$122,4,FALSE)-HLOOKUP(B119-1,'EV Forecast WRZ'!$F$124:$T$130,4,FALSE)))*C119/78,0)</f>
        <v>34350.145461538457</v>
      </c>
      <c r="BS119" s="560">
        <f ca="1">HLOOKUP(B119,Heating!$R$102:$AD$106,5,FALSE)*INDEX(Weather!$BO$1:$CB$20,MATCH(B119,Weather!$BO$1:$BO$20,0),MATCH(C119,Weather!$BO$1:$CB$1,0))/VLOOKUP(B119,Weather!$BO$2:$CB$20,14,FALSE)*
VLOOKUP('Monthly Data'!$B119,Weather!$BO$3:$CB$20,14,FALSE)/Weather!$CB$14</f>
        <v>37835.026097026981</v>
      </c>
      <c r="BT119" s="560">
        <f t="shared" ca="1" si="302"/>
        <v>30958957.31094173</v>
      </c>
      <c r="BU119" s="562">
        <v>6800443.4329797495</v>
      </c>
      <c r="BV119" s="560">
        <f ca="1">IFERROR(VLOOKUP($B119-1,CDM!$V$4:$AJ$17,14,FALSE)/12,0)+IFERROR(VLOOKUP($B119,CDM!$V$41:$AJ$54,14,FALSE)/24,0)+IFERROR(VLOOKUP($B119,CDM!$V$41:$AJ$54,14,FALSE)/2*$C119/78,0)</f>
        <v>814841.3107711979</v>
      </c>
      <c r="BW119" s="560">
        <f t="shared" ca="1" si="303"/>
        <v>7615284.7437509475</v>
      </c>
      <c r="BX119" s="560">
        <f>IFERROR(HLOOKUP(B119-1,'EV Forecast WRZ'!$F$124:$T$130,5,FALSE)/12,0)+IFERROR(((HLOOKUP(B119,'EV Forecast WRZ'!$F$116:$T$122,5,FALSE)-HLOOKUP(B119-1,'EV Forecast WRZ'!$F$124:$T$130,5,FALSE)))*C119/78,0)</f>
        <v>6334.7383846153843</v>
      </c>
      <c r="BY119" s="560">
        <f t="shared" ca="1" si="304"/>
        <v>7608950.0053663319</v>
      </c>
      <c r="BZ119" s="562">
        <v>337642.00306102925</v>
      </c>
      <c r="CA119" s="562">
        <v>494.99713028505835</v>
      </c>
      <c r="CB119" s="562">
        <v>155982.98259039599</v>
      </c>
      <c r="CC119" s="3">
        <v>66085.58</v>
      </c>
      <c r="CD119" s="3">
        <v>12351.61</v>
      </c>
      <c r="CE119" s="3">
        <v>838</v>
      </c>
      <c r="CF119" s="3">
        <f t="shared" si="362"/>
        <v>6.8977675926717925</v>
      </c>
      <c r="CG119" s="576">
        <f t="shared" si="363"/>
        <v>45967</v>
      </c>
      <c r="CH119" s="576">
        <f t="shared" si="305"/>
        <v>2473</v>
      </c>
      <c r="CI119" s="576">
        <f t="shared" si="306"/>
        <v>400</v>
      </c>
      <c r="CJ119" s="576">
        <f t="shared" si="307"/>
        <v>3</v>
      </c>
      <c r="CK119" s="576">
        <f t="shared" si="308"/>
        <v>13903.833333333339</v>
      </c>
      <c r="CL119" s="576">
        <f t="shared" si="309"/>
        <v>44.166666666666643</v>
      </c>
      <c r="CM119" s="576">
        <f t="shared" si="310"/>
        <v>391.33333333333314</v>
      </c>
      <c r="CN119" s="46">
        <f>Weather!C143</f>
        <v>281.52083333333331</v>
      </c>
      <c r="CO119" s="46">
        <f>Weather!D143</f>
        <v>0</v>
      </c>
      <c r="CP119" s="46">
        <f>Weather!E143</f>
        <v>220.16250000000002</v>
      </c>
      <c r="CQ119" s="46">
        <f>Weather!F143</f>
        <v>0.64166666666666927</v>
      </c>
      <c r="CR119" s="46">
        <f>Weather!G143</f>
        <v>166.80416666666662</v>
      </c>
      <c r="CS119" s="46">
        <f>Weather!H143</f>
        <v>9.283333333333335</v>
      </c>
      <c r="CT119" s="46">
        <f>Weather!I143</f>
        <v>117.42083333333332</v>
      </c>
      <c r="CU119" s="46">
        <f>Weather!J143</f>
        <v>21.899999999999995</v>
      </c>
      <c r="CV119" s="46">
        <f>Weather!K143</f>
        <v>77.612499999999997</v>
      </c>
      <c r="CW119" s="46">
        <f>Weather!L143</f>
        <v>44.091666666666669</v>
      </c>
      <c r="CX119" s="46">
        <f>Weather!M143</f>
        <v>43.8125</v>
      </c>
      <c r="CY119" s="46">
        <f>Weather!N143</f>
        <v>72.291666666666686</v>
      </c>
      <c r="CZ119" s="46">
        <f>Weather!O143</f>
        <v>17.445833333333326</v>
      </c>
      <c r="DA119" s="46">
        <f>Weather!P143</f>
        <v>107.925</v>
      </c>
      <c r="DB119" s="243">
        <f>'Economic Data'!D145</f>
        <v>8214.2999999999993</v>
      </c>
      <c r="DC119" s="243">
        <f>'Economic Data'!E145</f>
        <v>8223.9</v>
      </c>
      <c r="DD119" s="243">
        <f>'Economic Data'!F145</f>
        <v>257.10000000000002</v>
      </c>
      <c r="DE119" s="243">
        <f>'Economic Data'!G145</f>
        <v>256.39999999999998</v>
      </c>
      <c r="DF119" s="243">
        <f>'Economic Data'!H145</f>
        <v>56.3</v>
      </c>
      <c r="DG119" s="243">
        <f>'Economic Data'!I145</f>
        <v>56.3</v>
      </c>
      <c r="DH119" s="243">
        <f>'Economic Data'!J145</f>
        <v>888015.75609999988</v>
      </c>
      <c r="DI119" s="243">
        <f>'Economic Data'!K145</f>
        <v>703631.11690000002</v>
      </c>
      <c r="DJ119" s="243">
        <f>'Economic Data'!L145</f>
        <v>93638.073199999984</v>
      </c>
      <c r="DK119" s="243">
        <f>'Economic Data'!M145</f>
        <v>34291.468199999996</v>
      </c>
      <c r="DL119" s="243">
        <f>'Economic Data'!N145</f>
        <v>904812.6129999999</v>
      </c>
      <c r="DM119" s="243">
        <f>'Economic Data'!O145</f>
        <v>89594.784999999989</v>
      </c>
      <c r="DN119" s="243">
        <f>'Economic Data'!P145</f>
        <v>17252.402999999998</v>
      </c>
      <c r="DO119" s="243">
        <f>'Economic Data'!Q145</f>
        <v>724121.77699999989</v>
      </c>
      <c r="DP119" s="243">
        <f>'Economic Data'!R145</f>
        <v>34839.095999999998</v>
      </c>
      <c r="DQ119">
        <f t="shared" si="311"/>
        <v>31</v>
      </c>
      <c r="DR119">
        <v>22</v>
      </c>
      <c r="DS119">
        <f t="shared" ref="DS119:EF119" si="372">DS107</f>
        <v>0</v>
      </c>
      <c r="DT119">
        <f t="shared" si="372"/>
        <v>0</v>
      </c>
      <c r="DU119">
        <f t="shared" si="372"/>
        <v>0</v>
      </c>
      <c r="DV119">
        <f t="shared" si="372"/>
        <v>0</v>
      </c>
      <c r="DW119">
        <f t="shared" si="372"/>
        <v>0</v>
      </c>
      <c r="DX119">
        <f t="shared" si="372"/>
        <v>0</v>
      </c>
      <c r="DY119">
        <f t="shared" si="372"/>
        <v>0</v>
      </c>
      <c r="DZ119">
        <f t="shared" si="372"/>
        <v>0</v>
      </c>
      <c r="EA119">
        <f t="shared" si="372"/>
        <v>0</v>
      </c>
      <c r="EB119">
        <f t="shared" si="372"/>
        <v>1</v>
      </c>
      <c r="EC119">
        <f t="shared" si="372"/>
        <v>0</v>
      </c>
      <c r="ED119">
        <f t="shared" si="372"/>
        <v>0</v>
      </c>
      <c r="EE119">
        <f t="shared" si="372"/>
        <v>0</v>
      </c>
      <c r="EF119">
        <f t="shared" si="372"/>
        <v>1</v>
      </c>
      <c r="EG119">
        <f t="shared" si="313"/>
        <v>1</v>
      </c>
      <c r="EH119">
        <f t="shared" si="185"/>
        <v>118</v>
      </c>
      <c r="EI119">
        <v>0</v>
      </c>
      <c r="EJ119">
        <v>0</v>
      </c>
      <c r="EK119">
        <v>0.25</v>
      </c>
      <c r="EL119">
        <v>0</v>
      </c>
      <c r="EM119" s="47">
        <f t="shared" si="314"/>
        <v>0</v>
      </c>
      <c r="EN119" s="47">
        <f t="shared" si="315"/>
        <v>0</v>
      </c>
      <c r="EO119" s="47">
        <f t="shared" si="316"/>
        <v>0</v>
      </c>
      <c r="EP119" s="47">
        <f t="shared" si="317"/>
        <v>0</v>
      </c>
      <c r="EQ119" s="47">
        <f t="shared" si="318"/>
        <v>0</v>
      </c>
      <c r="ER119" s="47">
        <f t="shared" si="319"/>
        <v>0</v>
      </c>
      <c r="ES119" s="47">
        <f t="shared" si="320"/>
        <v>0</v>
      </c>
      <c r="ET119" s="47">
        <f t="shared" si="321"/>
        <v>0</v>
      </c>
      <c r="EU119" s="47">
        <f t="shared" si="322"/>
        <v>0</v>
      </c>
      <c r="EV119" s="47">
        <f t="shared" si="323"/>
        <v>0</v>
      </c>
      <c r="EW119" s="47">
        <f t="shared" si="324"/>
        <v>0</v>
      </c>
      <c r="EX119" s="47">
        <f t="shared" si="325"/>
        <v>0</v>
      </c>
      <c r="EY119" s="47">
        <f t="shared" si="326"/>
        <v>0</v>
      </c>
      <c r="EZ119" s="47">
        <f t="shared" si="327"/>
        <v>0</v>
      </c>
      <c r="FA119" s="47">
        <f t="shared" si="328"/>
        <v>70.380208333333329</v>
      </c>
      <c r="FB119" s="47">
        <f t="shared" si="329"/>
        <v>0</v>
      </c>
      <c r="FC119" s="47">
        <f t="shared" si="330"/>
        <v>55.040625000000006</v>
      </c>
      <c r="FD119" s="47">
        <f t="shared" si="331"/>
        <v>0.16041666666666732</v>
      </c>
      <c r="FE119" s="47">
        <f t="shared" si="332"/>
        <v>41.701041666666654</v>
      </c>
      <c r="FF119" s="47">
        <f t="shared" si="333"/>
        <v>2.3208333333333337</v>
      </c>
      <c r="FG119" s="47">
        <f t="shared" si="334"/>
        <v>29.35520833333333</v>
      </c>
      <c r="FH119" s="47">
        <f t="shared" si="335"/>
        <v>5.4749999999999988</v>
      </c>
      <c r="FI119" s="47">
        <f t="shared" si="336"/>
        <v>19.403124999999999</v>
      </c>
      <c r="FJ119" s="47">
        <f t="shared" si="337"/>
        <v>11.022916666666667</v>
      </c>
      <c r="FK119" s="47">
        <f t="shared" si="338"/>
        <v>10.953125</v>
      </c>
      <c r="FL119" s="47">
        <f t="shared" si="339"/>
        <v>18.072916666666671</v>
      </c>
      <c r="FM119" s="47">
        <f t="shared" si="340"/>
        <v>4.3614583333333314</v>
      </c>
      <c r="FN119" s="47">
        <f t="shared" si="341"/>
        <v>26.981249999999999</v>
      </c>
      <c r="FO119" s="546">
        <f t="shared" ca="1" si="342"/>
        <v>601.21764396638503</v>
      </c>
      <c r="FP119" s="546">
        <f t="shared" ca="1" si="343"/>
        <v>617.74394511738672</v>
      </c>
      <c r="FQ119" s="546">
        <f t="shared" ca="1" si="344"/>
        <v>2133.0556819056928</v>
      </c>
      <c r="FR119" s="546">
        <f t="shared" ca="1" si="345"/>
        <v>75086.305605535905</v>
      </c>
      <c r="FS119" s="546">
        <f t="shared" ca="1" si="346"/>
        <v>1648240.5496930801</v>
      </c>
      <c r="FT119" s="546">
        <f t="shared" ca="1" si="347"/>
        <v>5754711.7156961979</v>
      </c>
      <c r="FU119" s="546">
        <f t="shared" si="348"/>
        <v>32.297770184213675</v>
      </c>
      <c r="FV119" s="546">
        <f t="shared" si="349"/>
        <v>30.814938769682069</v>
      </c>
      <c r="FW119" s="546">
        <f t="shared" si="350"/>
        <v>475.05230995498192</v>
      </c>
      <c r="FX119" s="546">
        <f t="shared" ca="1" si="351"/>
        <v>649.97786587767644</v>
      </c>
      <c r="FY119" s="546">
        <f t="shared" ca="1" si="352"/>
        <v>2697.4383442258841</v>
      </c>
      <c r="FZ119" s="546">
        <f t="shared" ca="1" si="353"/>
        <v>77577.856206250726</v>
      </c>
      <c r="GA119" s="546">
        <f t="shared" si="354"/>
        <v>112547.33435367642</v>
      </c>
      <c r="GB119" s="546">
        <f t="shared" si="355"/>
        <v>24.284094534674786</v>
      </c>
      <c r="GC119" s="546">
        <f t="shared" si="356"/>
        <v>11.207482195133403</v>
      </c>
      <c r="GD119" s="546">
        <f t="shared" si="357"/>
        <v>398.59365227528804</v>
      </c>
    </row>
    <row r="120" spans="1:186">
      <c r="A120" s="4">
        <v>45962</v>
      </c>
      <c r="B120" s="6">
        <f t="shared" si="358"/>
        <v>2025</v>
      </c>
      <c r="C120" s="5">
        <f t="shared" si="359"/>
        <v>11</v>
      </c>
      <c r="D120" s="7">
        <v>78874824.723936364</v>
      </c>
      <c r="E120" s="7">
        <f ca="1">IFERROR(VLOOKUP($B120-1,CDM!$V$4:$AJ$17,2,FALSE)/12,0)+IFERROR(VLOOKUP($B120,CDM!$V$41:$AJ$54,2,FALSE)/24,0)+IFERROR(VLOOKUP($B120,CDM!$V$41:$AJ$54,2,FALSE)/2*$C120/78,0)</f>
        <v>4616757.0735303722</v>
      </c>
      <c r="F120" s="7">
        <f t="shared" ca="1" si="285"/>
        <v>83491581.79746674</v>
      </c>
      <c r="G120" s="7">
        <f>IFERROR(HLOOKUP(B120-1,'EV Forecast VRZ'!$F$124:$T$130,2,FALSE)/12,0)+IFERROR(((HLOOKUP(B120,'EV Forecast VRZ'!$F$116:$T$122,2,FALSE)-HLOOKUP(B120-1,'EV Forecast VRZ'!$F$124:$T$130,2,FALSE)))*C120/78,0)</f>
        <v>1708824.6646811264</v>
      </c>
      <c r="H120" s="7">
        <f ca="1">HLOOKUP(B120,Heating!$C$102:$O$106,2,FALSE)*INDEX(Weather!$BO$1:$CB$20,MATCH(B120,Weather!$BO$1:$BO$20,0),MATCH(C120,Weather!$BO$1:$CB$1,0))/VLOOKUP(B120,Weather!$BO$2:$CB$20,14,FALSE)*
VLOOKUP('Monthly Data'!$B120,Weather!$BO$3:$CB$20,14,FALSE)/Weather!$CB$14</f>
        <v>2190913.0560719436</v>
      </c>
      <c r="I120" s="7">
        <f t="shared" ca="1" si="270"/>
        <v>79591844.076713681</v>
      </c>
      <c r="J120" s="7">
        <v>1017061.904197672</v>
      </c>
      <c r="K120" s="7">
        <f ca="1">IFERROR(VLOOKUP($B120-1,CDM!$V$4:$AJ$17,3,FALSE)/12,0)+IFERROR(VLOOKUP($B120,CDM!$V$41:$AJ$54,3,FALSE)/24,0)+IFERROR(VLOOKUP($B120,CDM!$V$41:$AJ$54,3,FALSE)/2*$C120/78,0)</f>
        <v>52875.638446189507</v>
      </c>
      <c r="L120" s="7">
        <f t="shared" ca="1" si="286"/>
        <v>1069937.5426438616</v>
      </c>
      <c r="M120" s="7">
        <f>IFERROR(HLOOKUP(B120-1,'EV Forecast VRZ'!$F$124:$T$130,3,FALSE)/12,0)+IFERROR(((HLOOKUP(B120,'EV Forecast VRZ'!$F$116:$T$122,3,FALSE)-HLOOKUP(B120-1,'EV Forecast VRZ'!$F$124:$T$130,3,FALSE)))*C120/78,0)</f>
        <v>23187.283908617192</v>
      </c>
      <c r="N120" s="7">
        <f ca="1">HLOOKUP(B120,Heating!$C$102:$O$106,3,FALSE)*INDEX(Weather!$BO$1:$CB$20,MATCH(B120,Weather!$BO$1:$BO$20,0),MATCH(C120,Weather!$BO$1:$CB$1,0))/VLOOKUP(B120,Weather!$BO$2:$CB$20,14,FALSE)*
VLOOKUP('Monthly Data'!$B120,Weather!$BO$3:$CB$20,14,FALSE)/Weather!$CB$14</f>
        <v>25306.490232606397</v>
      </c>
      <c r="O120" s="7">
        <f t="shared" ca="1" si="287"/>
        <v>1021443.768502638</v>
      </c>
      <c r="P120" s="7">
        <v>19727949.75668763</v>
      </c>
      <c r="Q120" s="7">
        <f ca="1">IFERROR(VLOOKUP($B120-1,CDM!$V$4:$AJ$17,4,FALSE)/12,0)+IFERROR(VLOOKUP($B120,CDM!$V$41:$AJ$54,4,FALSE)/24,0)+IFERROR(VLOOKUP($B120,CDM!$V$41:$AJ$54,4,FALSE)/2*$C120/78,0)</f>
        <v>1933654.4921011066</v>
      </c>
      <c r="R120" s="7">
        <f t="shared" ca="1" si="288"/>
        <v>21661604.248788737</v>
      </c>
      <c r="S120" s="7">
        <f>IFERROR(HLOOKUP(B120-1,'EV Forecast VRZ'!$F$124:$T$130,4,FALSE)/12,0)+IFERROR(((HLOOKUP(B120,'EV Forecast VRZ'!$F$116:$T$122,4,FALSE)-HLOOKUP(B120-1,'EV Forecast VRZ'!$F$124:$T$130,4,FALSE)))*C120/78,0)</f>
        <v>226430.70435897436</v>
      </c>
      <c r="T120" s="7">
        <f ca="1">HLOOKUP(B120,Heating!$C$102:$O$106,4,FALSE)*INDEX(Weather!$BO$1:$CB$20,MATCH(B120,Weather!$BO$1:$BO$20,0),MATCH(C120,Weather!$BO$1:$CB$1,0))/VLOOKUP(B120,Weather!$BO$2:$CB$20,14,FALSE)*
VLOOKUP('Monthly Data'!$B120,Weather!$BO$3:$CB$20,14,FALSE)/Weather!$CB$14</f>
        <v>507827.14775631489</v>
      </c>
      <c r="U120" s="7">
        <f t="shared" ca="1" si="289"/>
        <v>20927346.396673448</v>
      </c>
      <c r="V120" s="7">
        <v>74492817.385965168</v>
      </c>
      <c r="W120" s="7">
        <f ca="1">IFERROR(VLOOKUP($B120-1,CDM!$V$4:$AJ$17,5,FALSE)/12,0)+IFERROR(VLOOKUP($B120,CDM!$V$41:$AJ$54,5,FALSE)/24,0)+IFERROR(VLOOKUP($B120,CDM!$V$41:$AJ$54,5,FALSE)/2*$C120/78,0)</f>
        <v>8416270.1703032143</v>
      </c>
      <c r="X120" s="7">
        <f t="shared" ca="1" si="290"/>
        <v>82909087.556268379</v>
      </c>
      <c r="Y120" s="7">
        <f>IFERROR(HLOOKUP(B120-1,'EV Forecast VRZ'!$F$124:$T$130,5,FALSE)/12,0)+IFERROR(((HLOOKUP(B120,'EV Forecast VRZ'!$F$116:$T$122,5,FALSE)-HLOOKUP(B120-1,'EV Forecast VRZ'!$F$124:$T$130,5,FALSE)))*C120/78,0)</f>
        <v>109936.18875641024</v>
      </c>
      <c r="Z120" s="7">
        <f ca="1">HLOOKUP(B120,Heating!$C$102:$O$106,5,FALSE)*INDEX(Weather!$BO$1:$CB$20,MATCH(B120,Weather!$BO$1:$BO$20,0),MATCH(C120,Weather!$BO$1:$CB$1,0))/VLOOKUP(B120,Weather!$BO$2:$CB$20,14,FALSE)*
VLOOKUP('Monthly Data'!$B120,Weather!$BO$3:$CB$20,14,FALSE)/Weather!$CB$14</f>
        <v>266717.62966999522</v>
      </c>
      <c r="AA120" s="7">
        <f t="shared" ca="1" si="291"/>
        <v>82532433.737841979</v>
      </c>
      <c r="AB120" s="7">
        <v>7298795.2485633828</v>
      </c>
      <c r="AC120" s="7">
        <f ca="1">IFERROR(VLOOKUP($B120-1,CDM!$V$4:$AJ$17,6,FALSE)/12,0)+IFERROR(VLOOKUP($B120,CDM!$V$41:$AJ$54,6,FALSE)/24,0)+IFERROR(VLOOKUP($B120,CDM!$V$41:$AJ$54,6,FALSE)/2*$C120/78,0)</f>
        <v>466717.27342641616</v>
      </c>
      <c r="AD120" s="7">
        <f t="shared" ca="1" si="292"/>
        <v>7765512.5219897991</v>
      </c>
      <c r="AE120" s="7">
        <f>IFERROR(HLOOKUP(B120-1,'EV Forecast VRZ'!$F$124:$T$130,6,FALSE)/12,0)+IFERROR(((HLOOKUP(B120,'EV Forecast VRZ'!$F$116:$T$122,6,FALSE)-HLOOKUP(B120-1,'EV Forecast VRZ'!$F$124:$T$130,6,FALSE)))*C120/78,0)</f>
        <v>15288.137782051283</v>
      </c>
      <c r="AF120" s="7">
        <f t="shared" ca="1" si="293"/>
        <v>7750224.3842077479</v>
      </c>
      <c r="AG120" s="7">
        <v>26100024.255011078</v>
      </c>
      <c r="AH120" s="7">
        <f ca="1">IFERROR(VLOOKUP($B120-1,CDM!$V$4:$AJ$17,7,FALSE)/12,0)+IFERROR(VLOOKUP($B120,CDM!$V$41:$AJ$54,7,FALSE)/24,0)+IFERROR(VLOOKUP($B120,CDM!$V$41:$AJ$54,7,FALSE)/2*$C120/78,0)</f>
        <v>2536933.0723770629</v>
      </c>
      <c r="AI120" s="7">
        <f t="shared" ca="1" si="294"/>
        <v>28636957.327388141</v>
      </c>
      <c r="AJ120" s="7">
        <f>IFERROR(HLOOKUP(B120-1,'EV Forecast VRZ'!$F$124:$T$130,7,FALSE)/12,0)+IFERROR(((HLOOKUP(B120,'EV Forecast VRZ'!$F$116:$T$122,7,FALSE)-HLOOKUP(B120-1,'EV Forecast VRZ'!$F$124:$T$130,7,FALSE)))*C120/78,0)</f>
        <v>3133.6538461538462</v>
      </c>
      <c r="AK120" s="7">
        <f t="shared" ca="1" si="295"/>
        <v>28633823.673541989</v>
      </c>
      <c r="AL120" s="7">
        <v>1144696.2697958404</v>
      </c>
      <c r="AM120" s="7">
        <v>6814.0812821980544</v>
      </c>
      <c r="AN120" s="7">
        <v>375270.22514787252</v>
      </c>
      <c r="AO120" s="3">
        <v>174086.48</v>
      </c>
      <c r="AP120" s="3">
        <v>16728.72</v>
      </c>
      <c r="AQ120" s="3">
        <v>42955</v>
      </c>
      <c r="AR120" s="3">
        <v>2662.18</v>
      </c>
      <c r="AS120" s="3">
        <f t="shared" si="360"/>
        <v>49.343669810839387</v>
      </c>
      <c r="AT120" s="576">
        <f t="shared" si="361"/>
        <v>119321.33333333339</v>
      </c>
      <c r="AU120" s="576">
        <f t="shared" si="296"/>
        <v>1549</v>
      </c>
      <c r="AV120" s="576">
        <f t="shared" si="296"/>
        <v>9505.0833333333267</v>
      </c>
      <c r="AW120" s="576">
        <f t="shared" si="296"/>
        <v>1097</v>
      </c>
      <c r="AX120" s="576">
        <f t="shared" si="296"/>
        <v>5</v>
      </c>
      <c r="AY120" s="576">
        <f t="shared" si="296"/>
        <v>5</v>
      </c>
      <c r="AZ120" s="576">
        <f t="shared" si="296"/>
        <v>33245.416666666693</v>
      </c>
      <c r="BA120" s="576">
        <f t="shared" si="296"/>
        <v>227.75</v>
      </c>
      <c r="BB120" s="576">
        <f t="shared" si="296"/>
        <v>794.66666666666708</v>
      </c>
      <c r="BC120" s="562">
        <v>29488543.120948911</v>
      </c>
      <c r="BD120" s="560">
        <f ca="1">IFERROR(VLOOKUP($B120-1,CDM!$V$4:$AJ$17,11,FALSE)/12,0)+IFERROR(VLOOKUP($B120,CDM!$V$41:$AJ$54,11,FALSE)/24,0)+IFERROR(VLOOKUP($B120,CDM!$V$41:$AJ$54,11,FALSE)/2*$C120/78,0)</f>
        <v>2006392.7950746424</v>
      </c>
      <c r="BE120" s="560">
        <f t="shared" ca="1" si="297"/>
        <v>31494935.916023552</v>
      </c>
      <c r="BF120" s="560">
        <f>IFERROR(HLOOKUP(B120-1,'EV Forecast WRZ'!$F$124:$T$130,2,FALSE)/12,0)+IFERROR(((HLOOKUP(B120,'EV Forecast WRZ'!$F$116:$T$122,2,FALSE)-HLOOKUP(B120-1,'EV Forecast WRZ'!$F$124:$T$130,2,FALSE)))*C120/78,0)</f>
        <v>573899.24948717933</v>
      </c>
      <c r="BG120" s="560">
        <f ca="1">HLOOKUP(B120,Heating!$R$102:$AD$106,2,FALSE)*INDEX(Weather!$BO$1:$CB$20,MATCH(B120,Weather!$BO$1:$BO$20,0),MATCH(C120,Weather!$BO$1:$CB$1,0))/VLOOKUP(B120,Weather!$BO$2:$CB$20,14,FALSE)*
VLOOKUP('Monthly Data'!$B120,Weather!$BO$3:$CB$20,14,FALSE)/Weather!$CB$14</f>
        <v>932642.89378913306</v>
      </c>
      <c r="BH120" s="560">
        <f t="shared" ca="1" si="298"/>
        <v>29988393.772747241</v>
      </c>
      <c r="BI120" s="562">
        <v>6676562.2063516341</v>
      </c>
      <c r="BJ120" s="560">
        <f ca="1">IFERROR(VLOOKUP($B120-1,CDM!$V$4:$AJ$17,12,FALSE)/12,0)+IFERROR(VLOOKUP($B120,CDM!$V$41:$AJ$54,12,FALSE)/24,0)+IFERROR(VLOOKUP($B120,CDM!$V$41:$AJ$54,12,FALSE)/2*$C120/78,0)</f>
        <v>345349.50851587747</v>
      </c>
      <c r="BK120" s="560">
        <f t="shared" ca="1" si="299"/>
        <v>7021911.7148675118</v>
      </c>
      <c r="BL120" s="560">
        <f>IFERROR(HLOOKUP(B120-1,'EV Forecast WRZ'!$F$124:$T$130,3,FALSE)/12,0)+IFERROR(((HLOOKUP(B120,'EV Forecast WRZ'!$F$116:$T$122,3,FALSE)-HLOOKUP(B120-1,'EV Forecast WRZ'!$F$124:$T$130,3,FALSE)))*C120/78,0)</f>
        <v>78790.522564102575</v>
      </c>
      <c r="BM120" s="560">
        <f ca="1">HLOOKUP(B120,Heating!$R$102:$AD$106,4,FALSE)*INDEX(Weather!$BO$1:$CB$20,MATCH(B120,Weather!$BO$1:$BO$20,0),MATCH(C120,Weather!$BO$1:$CB$1,0))/VLOOKUP(B120,Weather!$BO$2:$CB$20,14,FALSE)*
VLOOKUP('Monthly Data'!$B120,Weather!$BO$3:$CB$20,14,FALSE)/Weather!$CB$14</f>
        <v>148393.27554832477</v>
      </c>
      <c r="BN120" s="560">
        <f t="shared" ca="1" si="300"/>
        <v>6794727.9167550839</v>
      </c>
      <c r="BO120" s="562">
        <v>27686230.297208045</v>
      </c>
      <c r="BP120" s="560">
        <f ca="1">IFERROR(VLOOKUP($B120-1,CDM!$V$4:$AJ$17,13,FALSE)/12,0)+IFERROR(VLOOKUP($B120,CDM!$V$41:$AJ$54,13,FALSE)/24,0)+IFERROR(VLOOKUP($B120,CDM!$V$41:$AJ$54,13,FALSE)/2*$C120/78,0)</f>
        <v>3647121.6969019463</v>
      </c>
      <c r="BQ120" s="560">
        <f t="shared" ca="1" si="301"/>
        <v>31333351.994109992</v>
      </c>
      <c r="BR120" s="560">
        <f>IFERROR(HLOOKUP(B120-1,'EV Forecast WRZ'!$F$124:$T$130,4,FALSE)/12,0)+IFERROR(((HLOOKUP(B120,'EV Forecast WRZ'!$F$116:$T$122,4,FALSE)-HLOOKUP(B120-1,'EV Forecast WRZ'!$F$124:$T$130,4,FALSE)))*C120/78,0)</f>
        <v>34844.581307692308</v>
      </c>
      <c r="BS120" s="560">
        <f ca="1">HLOOKUP(B120,Heating!$R$102:$AD$106,5,FALSE)*INDEX(Weather!$BO$1:$CB$20,MATCH(B120,Weather!$BO$1:$BO$20,0),MATCH(C120,Weather!$BO$1:$CB$1,0))/VLOOKUP(B120,Weather!$BO$2:$CB$20,14,FALSE)*
VLOOKUP('Monthly Data'!$B120,Weather!$BO$3:$CB$20,14,FALSE)/Weather!$CB$14</f>
        <v>79156.468327334791</v>
      </c>
      <c r="BT120" s="560">
        <f t="shared" ca="1" si="302"/>
        <v>31219350.944474965</v>
      </c>
      <c r="BU120" s="562">
        <v>6660370.5689488919</v>
      </c>
      <c r="BV120" s="560">
        <f ca="1">IFERROR(VLOOKUP($B120-1,CDM!$V$4:$AJ$17,14,FALSE)/12,0)+IFERROR(VLOOKUP($B120,CDM!$V$41:$AJ$54,14,FALSE)/24,0)+IFERROR(VLOOKUP($B120,CDM!$V$41:$AJ$54,14,FALSE)/2*$C120/78,0)</f>
        <v>822826.85805278528</v>
      </c>
      <c r="BW120" s="560">
        <f t="shared" ca="1" si="303"/>
        <v>7483197.4270016775</v>
      </c>
      <c r="BX120" s="560">
        <f>IFERROR(HLOOKUP(B120-1,'EV Forecast WRZ'!$F$124:$T$130,5,FALSE)/12,0)+IFERROR(((HLOOKUP(B120,'EV Forecast WRZ'!$F$116:$T$122,5,FALSE)-HLOOKUP(B120-1,'EV Forecast WRZ'!$F$124:$T$130,5,FALSE)))*C120/78,0)</f>
        <v>6428.5645897435897</v>
      </c>
      <c r="BY120" s="560">
        <f t="shared" ca="1" si="304"/>
        <v>7476768.862411934</v>
      </c>
      <c r="BZ120" s="562">
        <v>360262.99980868562</v>
      </c>
      <c r="CA120" s="562">
        <v>511.49799119954082</v>
      </c>
      <c r="CB120" s="562">
        <v>155982.98259039599</v>
      </c>
      <c r="CC120" s="3">
        <v>63269.95</v>
      </c>
      <c r="CD120" s="3">
        <v>13123.97</v>
      </c>
      <c r="CE120" s="3">
        <v>838</v>
      </c>
      <c r="CF120" s="3">
        <f t="shared" si="362"/>
        <v>6.8977675926717925</v>
      </c>
      <c r="CG120" s="576">
        <f t="shared" si="363"/>
        <v>45995</v>
      </c>
      <c r="CH120" s="576">
        <f t="shared" si="305"/>
        <v>2473</v>
      </c>
      <c r="CI120" s="576">
        <f t="shared" si="306"/>
        <v>401</v>
      </c>
      <c r="CJ120" s="576">
        <f t="shared" si="307"/>
        <v>3</v>
      </c>
      <c r="CK120" s="576">
        <f t="shared" si="308"/>
        <v>13917.916666666673</v>
      </c>
      <c r="CL120" s="576">
        <f t="shared" si="309"/>
        <v>44.083333333333307</v>
      </c>
      <c r="CM120" s="576">
        <f t="shared" si="310"/>
        <v>391.66666666666646</v>
      </c>
      <c r="CN120" s="46">
        <f>Weather!C144</f>
        <v>520.61249999999995</v>
      </c>
      <c r="CO120" s="46">
        <f>Weather!D144</f>
        <v>0</v>
      </c>
      <c r="CP120" s="46">
        <f>Weather!E144</f>
        <v>460.61250000000013</v>
      </c>
      <c r="CQ120" s="46">
        <f>Weather!F144</f>
        <v>0</v>
      </c>
      <c r="CR120" s="46">
        <f>Weather!G144</f>
        <v>400.61250000000013</v>
      </c>
      <c r="CS120" s="46">
        <f>Weather!H144</f>
        <v>0</v>
      </c>
      <c r="CT120" s="46">
        <f>Weather!I144</f>
        <v>340.61250000000007</v>
      </c>
      <c r="CU120" s="46">
        <f>Weather!J144</f>
        <v>0</v>
      </c>
      <c r="CV120" s="46">
        <f>Weather!K144</f>
        <v>280.61250000000001</v>
      </c>
      <c r="CW120" s="46">
        <f>Weather!L144</f>
        <v>0</v>
      </c>
      <c r="CX120" s="46">
        <f>Weather!M144</f>
        <v>220.61249999999995</v>
      </c>
      <c r="CY120" s="46">
        <f>Weather!N144</f>
        <v>0</v>
      </c>
      <c r="CZ120" s="46">
        <f>Weather!O144</f>
        <v>160.61250000000001</v>
      </c>
      <c r="DA120" s="46">
        <f>Weather!P144</f>
        <v>0</v>
      </c>
      <c r="DB120" s="243">
        <f>'Economic Data'!D146</f>
        <v>8236.4</v>
      </c>
      <c r="DC120" s="243">
        <f>'Economic Data'!E146</f>
        <v>8231.2999999999993</v>
      </c>
      <c r="DD120" s="243">
        <f>'Economic Data'!F146</f>
        <v>259.60000000000002</v>
      </c>
      <c r="DE120" s="243">
        <f>'Economic Data'!G146</f>
        <v>260.2</v>
      </c>
      <c r="DF120" s="243">
        <f>'Economic Data'!H146</f>
        <v>57.7</v>
      </c>
      <c r="DG120" s="243">
        <f>'Economic Data'!I146</f>
        <v>57.7</v>
      </c>
      <c r="DH120" s="243">
        <f>'Economic Data'!J146</f>
        <v>888015.75609999988</v>
      </c>
      <c r="DI120" s="243">
        <f>'Economic Data'!K146</f>
        <v>703631.11690000002</v>
      </c>
      <c r="DJ120" s="243">
        <f>'Economic Data'!L146</f>
        <v>93638.073199999984</v>
      </c>
      <c r="DK120" s="243">
        <f>'Economic Data'!M146</f>
        <v>34291.468199999996</v>
      </c>
      <c r="DL120" s="243">
        <f>'Economic Data'!N146</f>
        <v>904812.6129999999</v>
      </c>
      <c r="DM120" s="243">
        <f>'Economic Data'!O146</f>
        <v>89594.784999999989</v>
      </c>
      <c r="DN120" s="243">
        <f>'Economic Data'!P146</f>
        <v>17252.402999999998</v>
      </c>
      <c r="DO120" s="243">
        <f>'Economic Data'!Q146</f>
        <v>724121.77699999989</v>
      </c>
      <c r="DP120" s="243">
        <f>'Economic Data'!R146</f>
        <v>34839.095999999998</v>
      </c>
      <c r="DQ120">
        <f t="shared" si="311"/>
        <v>30</v>
      </c>
      <c r="DR120">
        <v>20</v>
      </c>
      <c r="DS120">
        <f t="shared" ref="DS120:EF120" si="373">DS108</f>
        <v>0</v>
      </c>
      <c r="DT120">
        <f t="shared" si="373"/>
        <v>0</v>
      </c>
      <c r="DU120">
        <f t="shared" si="373"/>
        <v>0</v>
      </c>
      <c r="DV120">
        <f t="shared" si="373"/>
        <v>0</v>
      </c>
      <c r="DW120">
        <f t="shared" si="373"/>
        <v>0</v>
      </c>
      <c r="DX120">
        <f t="shared" si="373"/>
        <v>0</v>
      </c>
      <c r="DY120">
        <f t="shared" si="373"/>
        <v>0</v>
      </c>
      <c r="DZ120">
        <f t="shared" si="373"/>
        <v>0</v>
      </c>
      <c r="EA120">
        <f t="shared" si="373"/>
        <v>0</v>
      </c>
      <c r="EB120">
        <f t="shared" si="373"/>
        <v>0</v>
      </c>
      <c r="EC120">
        <f t="shared" si="373"/>
        <v>1</v>
      </c>
      <c r="ED120">
        <f t="shared" si="373"/>
        <v>0</v>
      </c>
      <c r="EE120">
        <f t="shared" si="373"/>
        <v>0</v>
      </c>
      <c r="EF120">
        <f t="shared" si="373"/>
        <v>1</v>
      </c>
      <c r="EG120">
        <f t="shared" si="313"/>
        <v>1</v>
      </c>
      <c r="EH120">
        <f t="shared" ref="EH120:EH121" si="374">EH119+1</f>
        <v>119</v>
      </c>
      <c r="EI120">
        <v>0</v>
      </c>
      <c r="EJ120">
        <v>0</v>
      </c>
      <c r="EK120">
        <v>0.25</v>
      </c>
      <c r="EL120">
        <v>0</v>
      </c>
      <c r="EM120" s="47">
        <f t="shared" si="314"/>
        <v>0</v>
      </c>
      <c r="EN120" s="47">
        <f t="shared" si="315"/>
        <v>0</v>
      </c>
      <c r="EO120" s="47">
        <f t="shared" si="316"/>
        <v>0</v>
      </c>
      <c r="EP120" s="47">
        <f t="shared" si="317"/>
        <v>0</v>
      </c>
      <c r="EQ120" s="47">
        <f t="shared" si="318"/>
        <v>0</v>
      </c>
      <c r="ER120" s="47">
        <f t="shared" si="319"/>
        <v>0</v>
      </c>
      <c r="ES120" s="47">
        <f t="shared" si="320"/>
        <v>0</v>
      </c>
      <c r="ET120" s="47">
        <f t="shared" si="321"/>
        <v>0</v>
      </c>
      <c r="EU120" s="47">
        <f t="shared" si="322"/>
        <v>0</v>
      </c>
      <c r="EV120" s="47">
        <f t="shared" si="323"/>
        <v>0</v>
      </c>
      <c r="EW120" s="47">
        <f t="shared" si="324"/>
        <v>0</v>
      </c>
      <c r="EX120" s="47">
        <f t="shared" si="325"/>
        <v>0</v>
      </c>
      <c r="EY120" s="47">
        <f t="shared" si="326"/>
        <v>0</v>
      </c>
      <c r="EZ120" s="47">
        <f t="shared" si="327"/>
        <v>0</v>
      </c>
      <c r="FA120" s="47">
        <f t="shared" si="328"/>
        <v>130.15312499999999</v>
      </c>
      <c r="FB120" s="47">
        <f t="shared" si="329"/>
        <v>0</v>
      </c>
      <c r="FC120" s="47">
        <f t="shared" si="330"/>
        <v>115.15312500000003</v>
      </c>
      <c r="FD120" s="47">
        <f t="shared" si="331"/>
        <v>0</v>
      </c>
      <c r="FE120" s="47">
        <f t="shared" si="332"/>
        <v>100.15312500000003</v>
      </c>
      <c r="FF120" s="47">
        <f t="shared" si="333"/>
        <v>0</v>
      </c>
      <c r="FG120" s="47">
        <f t="shared" si="334"/>
        <v>85.153125000000017</v>
      </c>
      <c r="FH120" s="47">
        <f t="shared" si="335"/>
        <v>0</v>
      </c>
      <c r="FI120" s="47">
        <f t="shared" si="336"/>
        <v>70.153125000000003</v>
      </c>
      <c r="FJ120" s="47">
        <f t="shared" si="337"/>
        <v>0</v>
      </c>
      <c r="FK120" s="47">
        <f t="shared" si="338"/>
        <v>55.153124999999989</v>
      </c>
      <c r="FL120" s="47">
        <f t="shared" si="339"/>
        <v>0</v>
      </c>
      <c r="FM120" s="47">
        <f t="shared" si="340"/>
        <v>40.153125000000003</v>
      </c>
      <c r="FN120" s="47">
        <f t="shared" si="341"/>
        <v>0</v>
      </c>
      <c r="FO120" s="546">
        <f t="shared" ca="1" si="342"/>
        <v>667.03783684990935</v>
      </c>
      <c r="FP120" s="546">
        <f t="shared" ca="1" si="343"/>
        <v>690.72791649054977</v>
      </c>
      <c r="FQ120" s="546">
        <f t="shared" ca="1" si="344"/>
        <v>2278.9494304404225</v>
      </c>
      <c r="FR120" s="546">
        <f t="shared" ca="1" si="345"/>
        <v>75578.019650199072</v>
      </c>
      <c r="FS120" s="546">
        <f t="shared" ca="1" si="346"/>
        <v>1553102.5043979599</v>
      </c>
      <c r="FT120" s="546">
        <f t="shared" ca="1" si="347"/>
        <v>5727391.4654776286</v>
      </c>
      <c r="FU120" s="546">
        <f t="shared" si="348"/>
        <v>34.431701707127736</v>
      </c>
      <c r="FV120" s="546">
        <f t="shared" si="349"/>
        <v>29.91912747397609</v>
      </c>
      <c r="FW120" s="546">
        <f t="shared" si="350"/>
        <v>472.2360215786984</v>
      </c>
      <c r="FX120" s="546">
        <f t="shared" ca="1" si="351"/>
        <v>684.74694892974355</v>
      </c>
      <c r="FY120" s="546">
        <f t="shared" ca="1" si="352"/>
        <v>2839.4305357329204</v>
      </c>
      <c r="FZ120" s="546">
        <f t="shared" ca="1" si="353"/>
        <v>78138.034898029902</v>
      </c>
      <c r="GA120" s="546">
        <f t="shared" si="354"/>
        <v>120087.6666028952</v>
      </c>
      <c r="GB120" s="546">
        <f t="shared" si="355"/>
        <v>25.884836677569233</v>
      </c>
      <c r="GC120" s="546">
        <f t="shared" si="356"/>
        <v>11.602979006416811</v>
      </c>
      <c r="GD120" s="546">
        <f t="shared" si="357"/>
        <v>398.2544236350538</v>
      </c>
    </row>
    <row r="121" spans="1:186">
      <c r="A121" s="4">
        <v>45992</v>
      </c>
      <c r="B121" s="6">
        <f t="shared" si="358"/>
        <v>2025</v>
      </c>
      <c r="C121" s="5">
        <f t="shared" si="359"/>
        <v>12</v>
      </c>
      <c r="D121" s="7">
        <v>96290948.59897919</v>
      </c>
      <c r="E121" s="7">
        <f ca="1">IFERROR(VLOOKUP($B121-1,CDM!$V$4:$AJ$17,2,FALSE)/12,0)+IFERROR(VLOOKUP($B121,CDM!$V$41:$AJ$54,2,FALSE)/24,0)+IFERROR(VLOOKUP($B121,CDM!$V$41:$AJ$54,2,FALSE)/2*$C121/78,0)</f>
        <v>4648661.7960272375</v>
      </c>
      <c r="F121" s="7">
        <f t="shared" ca="1" si="285"/>
        <v>100939610.39500643</v>
      </c>
      <c r="G121" s="7">
        <f>IFERROR(HLOOKUP(B121-1,'EV Forecast VRZ'!$F$124:$T$130,2,FALSE)/12,0)+IFERROR(((HLOOKUP(B121,'EV Forecast VRZ'!$F$116:$T$122,2,FALSE)-HLOOKUP(B121-1,'EV Forecast VRZ'!$F$124:$T$130,2,FALSE)))*C121/78,0)</f>
        <v>1735169.0949143949</v>
      </c>
      <c r="H121" s="7">
        <f ca="1">HLOOKUP(B121,Heating!$C$102:$O$106,2,FALSE)*INDEX(Weather!$BO$1:$CB$20,MATCH(B121,Weather!$BO$1:$BO$20,0),MATCH(C121,Weather!$BO$1:$CB$1,0))/VLOOKUP(B121,Weather!$BO$2:$CB$20,14,FALSE)*
VLOOKUP('Monthly Data'!$B121,Weather!$BO$3:$CB$20,14,FALSE)/Weather!$CB$14</f>
        <v>3244898.6661288603</v>
      </c>
      <c r="I121" s="7">
        <f t="shared" ca="1" si="270"/>
        <v>95959542.633963183</v>
      </c>
      <c r="J121" s="7">
        <v>1415249.35056287</v>
      </c>
      <c r="K121" s="7">
        <f ca="1">IFERROR(VLOOKUP($B121-1,CDM!$V$4:$AJ$17,3,FALSE)/12,0)+IFERROR(VLOOKUP($B121,CDM!$V$41:$AJ$54,3,FALSE)/24,0)+IFERROR(VLOOKUP($B121,CDM!$V$41:$AJ$54,3,FALSE)/2*$C121/78,0)</f>
        <v>53240.911636064229</v>
      </c>
      <c r="L121" s="7">
        <f t="shared" ca="1" si="286"/>
        <v>1468490.2621989343</v>
      </c>
      <c r="M121" s="7">
        <f>IFERROR(HLOOKUP(B121-1,'EV Forecast VRZ'!$F$124:$T$130,3,FALSE)/12,0)+IFERROR(((HLOOKUP(B121,'EV Forecast VRZ'!$F$116:$T$122,3,FALSE)-HLOOKUP(B121-1,'EV Forecast VRZ'!$F$124:$T$130,3,FALSE)))*C121/78,0)</f>
        <v>23544.755213810193</v>
      </c>
      <c r="N121" s="7">
        <f ca="1">HLOOKUP(B121,Heating!$C$102:$O$106,3,FALSE)*INDEX(Weather!$BO$1:$CB$20,MATCH(B121,Weather!$BO$1:$BO$20,0),MATCH(C121,Weather!$BO$1:$CB$1,0))/VLOOKUP(B121,Weather!$BO$2:$CB$20,14,FALSE)*
VLOOKUP('Monthly Data'!$B121,Weather!$BO$3:$CB$20,14,FALSE)/Weather!$CB$14</f>
        <v>37480.718905118898</v>
      </c>
      <c r="O121" s="7">
        <f t="shared" ca="1" si="287"/>
        <v>1407464.7880800052</v>
      </c>
      <c r="P121" s="7">
        <v>22975939.489992373</v>
      </c>
      <c r="Q121" s="7">
        <f ca="1">IFERROR(VLOOKUP($B121-1,CDM!$V$4:$AJ$17,4,FALSE)/12,0)+IFERROR(VLOOKUP($B121,CDM!$V$41:$AJ$54,4,FALSE)/24,0)+IFERROR(VLOOKUP($B121,CDM!$V$41:$AJ$54,4,FALSE)/2*$C121/78,0)</f>
        <v>1947881.9804479778</v>
      </c>
      <c r="R121" s="7">
        <f t="shared" ca="1" si="288"/>
        <v>24923821.47044035</v>
      </c>
      <c r="S121" s="7">
        <f>IFERROR(HLOOKUP(B121-1,'EV Forecast VRZ'!$F$124:$T$130,4,FALSE)/12,0)+IFERROR(((HLOOKUP(B121,'EV Forecast VRZ'!$F$116:$T$122,4,FALSE)-HLOOKUP(B121-1,'EV Forecast VRZ'!$F$124:$T$130,4,FALSE)))*C121/78,0)</f>
        <v>230458.1905128205</v>
      </c>
      <c r="T121" s="7">
        <f ca="1">HLOOKUP(B121,Heating!$C$102:$O$106,4,FALSE)*INDEX(Weather!$BO$1:$CB$20,MATCH(B121,Weather!$BO$1:$BO$20,0),MATCH(C121,Weather!$BO$1:$CB$1,0))/VLOOKUP(B121,Weather!$BO$2:$CB$20,14,FALSE)*
VLOOKUP('Monthly Data'!$B121,Weather!$BO$3:$CB$20,14,FALSE)/Weather!$CB$14</f>
        <v>752128.26442911988</v>
      </c>
      <c r="U121" s="7">
        <f t="shared" ca="1" si="289"/>
        <v>23941235.015498411</v>
      </c>
      <c r="V121" s="7">
        <v>80060804.204022691</v>
      </c>
      <c r="W121" s="7">
        <f ca="1">IFERROR(VLOOKUP($B121-1,CDM!$V$4:$AJ$17,5,FALSE)/12,0)+IFERROR(VLOOKUP($B121,CDM!$V$41:$AJ$54,5,FALSE)/24,0)+IFERROR(VLOOKUP($B121,CDM!$V$41:$AJ$54,5,FALSE)/2*$C121/78,0)</f>
        <v>8496740.1833497193</v>
      </c>
      <c r="X121" s="7">
        <f t="shared" ca="1" si="290"/>
        <v>88557544.387372404</v>
      </c>
      <c r="Y121" s="7">
        <f>IFERROR(HLOOKUP(B121-1,'EV Forecast VRZ'!$F$124:$T$130,5,FALSE)/12,0)+IFERROR(((HLOOKUP(B121,'EV Forecast VRZ'!$F$116:$T$122,5,FALSE)-HLOOKUP(B121-1,'EV Forecast VRZ'!$F$124:$T$130,5,FALSE)))*C121/78,0)</f>
        <v>112046.95496153845</v>
      </c>
      <c r="Z121" s="7">
        <f ca="1">HLOOKUP(B121,Heating!$C$102:$O$106,5,FALSE)*INDEX(Weather!$BO$1:$CB$20,MATCH(B121,Weather!$BO$1:$BO$20,0),MATCH(C121,Weather!$BO$1:$CB$1,0))/VLOOKUP(B121,Weather!$BO$2:$CB$20,14,FALSE)*
VLOOKUP('Monthly Data'!$B121,Weather!$BO$3:$CB$20,14,FALSE)/Weather!$CB$14</f>
        <v>395027.8530453922</v>
      </c>
      <c r="AA121" s="7">
        <f t="shared" ca="1" si="291"/>
        <v>88050469.579365477</v>
      </c>
      <c r="AB121" s="7">
        <v>7816186.7503567412</v>
      </c>
      <c r="AC121" s="7">
        <f ca="1">IFERROR(VLOOKUP($B121-1,CDM!$V$4:$AJ$17,6,FALSE)/12,0)+IFERROR(VLOOKUP($B121,CDM!$V$41:$AJ$54,6,FALSE)/24,0)+IFERROR(VLOOKUP($B121,CDM!$V$41:$AJ$54,6,FALSE)/2*$C121/78,0)</f>
        <v>473117.74655357603</v>
      </c>
      <c r="AD121" s="7">
        <f t="shared" ca="1" si="292"/>
        <v>8289304.4969103169</v>
      </c>
      <c r="AE121" s="7">
        <f>IFERROR(HLOOKUP(B121-1,'EV Forecast VRZ'!$F$124:$T$130,6,FALSE)/12,0)+IFERROR(((HLOOKUP(B121,'EV Forecast VRZ'!$F$116:$T$122,6,FALSE)-HLOOKUP(B121-1,'EV Forecast VRZ'!$F$124:$T$130,6,FALSE)))*C121/78,0)</f>
        <v>15653.294141025643</v>
      </c>
      <c r="AF121" s="7">
        <f t="shared" ca="1" si="293"/>
        <v>8273651.2027692916</v>
      </c>
      <c r="AG121" s="7">
        <v>26653055.202017762</v>
      </c>
      <c r="AH121" s="7">
        <f ca="1">IFERROR(VLOOKUP($B121-1,CDM!$V$4:$AJ$17,7,FALSE)/12,0)+IFERROR(VLOOKUP($B121,CDM!$V$41:$AJ$54,7,FALSE)/24,0)+IFERROR(VLOOKUP($B121,CDM!$V$41:$AJ$54,7,FALSE)/2*$C121/78,0)</f>
        <v>2566290.2985844188</v>
      </c>
      <c r="AI121" s="7">
        <f t="shared" ca="1" si="294"/>
        <v>29219345.500602182</v>
      </c>
      <c r="AJ121" s="7">
        <f>IFERROR(HLOOKUP(B121-1,'EV Forecast VRZ'!$F$124:$T$130,7,FALSE)/12,0)+IFERROR(((HLOOKUP(B121,'EV Forecast VRZ'!$F$116:$T$122,7,FALSE)-HLOOKUP(B121-1,'EV Forecast VRZ'!$F$124:$T$130,7,FALSE)))*C121/78,0)</f>
        <v>3248.0769230769229</v>
      </c>
      <c r="AK121" s="7">
        <f t="shared" ca="1" si="295"/>
        <v>29216097.423679106</v>
      </c>
      <c r="AL121" s="7">
        <v>1318624.4514405646</v>
      </c>
      <c r="AM121" s="7">
        <v>7041.2135088723526</v>
      </c>
      <c r="AN121" s="7">
        <v>375298.67391719139</v>
      </c>
      <c r="AO121" s="3">
        <v>183045.05</v>
      </c>
      <c r="AP121" s="3">
        <v>19367.37</v>
      </c>
      <c r="AQ121" s="3">
        <v>43852</v>
      </c>
      <c r="AR121" s="3">
        <v>2835.85</v>
      </c>
      <c r="AS121" s="3">
        <f t="shared" si="360"/>
        <v>49.343669810839387</v>
      </c>
      <c r="AT121" s="576">
        <v>119413</v>
      </c>
      <c r="AU121" s="576">
        <v>1548</v>
      </c>
      <c r="AV121" s="576">
        <v>9505</v>
      </c>
      <c r="AW121" s="576">
        <v>1099</v>
      </c>
      <c r="AX121" s="576">
        <v>5</v>
      </c>
      <c r="AY121" s="576">
        <v>5</v>
      </c>
      <c r="AZ121" s="576">
        <v>33267</v>
      </c>
      <c r="BA121" s="576">
        <v>227</v>
      </c>
      <c r="BB121" s="576">
        <v>799</v>
      </c>
      <c r="BC121" s="562">
        <v>34833186.137038395</v>
      </c>
      <c r="BD121" s="560">
        <f ca="1">IFERROR(VLOOKUP($B121-1,CDM!$V$4:$AJ$17,11,FALSE)/12,0)+IFERROR(VLOOKUP($B121,CDM!$V$41:$AJ$54,11,FALSE)/24,0)+IFERROR(VLOOKUP($B121,CDM!$V$41:$AJ$54,11,FALSE)/2*$C121/78,0)</f>
        <v>2018814.2007773125</v>
      </c>
      <c r="BE121" s="560">
        <f t="shared" ca="1" si="297"/>
        <v>36852000.337815709</v>
      </c>
      <c r="BF121" s="560">
        <f>IFERROR(HLOOKUP(B121-1,'EV Forecast WRZ'!$F$124:$T$130,2,FALSE)/12,0)+IFERROR(((HLOOKUP(B121,'EV Forecast WRZ'!$F$116:$T$122,2,FALSE)-HLOOKUP(B121-1,'EV Forecast WRZ'!$F$124:$T$130,2,FALSE)))*C121/78,0)</f>
        <v>581959.31974358961</v>
      </c>
      <c r="BG121" s="560">
        <f ca="1">HLOOKUP(B121,Heating!$R$102:$AD$106,2,FALSE)*INDEX(Weather!$BO$1:$CB$20,MATCH(B121,Weather!$BO$1:$BO$20,0),MATCH(C121,Weather!$BO$1:$CB$1,0))/VLOOKUP(B121,Weather!$BO$2:$CB$20,14,FALSE)*
VLOOKUP('Monthly Data'!$B121,Weather!$BO$3:$CB$20,14,FALSE)/Weather!$CB$14</f>
        <v>1381310.715933559</v>
      </c>
      <c r="BH121" s="560">
        <f t="shared" ca="1" si="298"/>
        <v>34888730.30213856</v>
      </c>
      <c r="BI121" s="562">
        <v>8071615.7163191075</v>
      </c>
      <c r="BJ121" s="560">
        <f ca="1">IFERROR(VLOOKUP($B121-1,CDM!$V$4:$AJ$17,12,FALSE)/12,0)+IFERROR(VLOOKUP($B121,CDM!$V$41:$AJ$54,12,FALSE)/24,0)+IFERROR(VLOOKUP($B121,CDM!$V$41:$AJ$54,12,FALSE)/2*$C121/78,0)</f>
        <v>347065.43111449783</v>
      </c>
      <c r="BK121" s="560">
        <f t="shared" ca="1" si="299"/>
        <v>8418681.147433605</v>
      </c>
      <c r="BL121" s="560">
        <f>IFERROR(HLOOKUP(B121-1,'EV Forecast WRZ'!$F$124:$T$130,3,FALSE)/12,0)+IFERROR(((HLOOKUP(B121,'EV Forecast WRZ'!$F$116:$T$122,3,FALSE)-HLOOKUP(B121-1,'EV Forecast WRZ'!$F$124:$T$130,3,FALSE)))*C121/78,0)</f>
        <v>79907.431282051286</v>
      </c>
      <c r="BM121" s="560">
        <f ca="1">HLOOKUP(B121,Heating!$R$102:$AD$106,4,FALSE)*INDEX(Weather!$BO$1:$CB$20,MATCH(B121,Weather!$BO$1:$BO$20,0),MATCH(C121,Weather!$BO$1:$CB$1,0))/VLOOKUP(B121,Weather!$BO$2:$CB$20,14,FALSE)*
VLOOKUP('Monthly Data'!$B121,Weather!$BO$3:$CB$20,14,FALSE)/Weather!$CB$14</f>
        <v>219781.0362920397</v>
      </c>
      <c r="BN121" s="560">
        <f t="shared" ca="1" si="300"/>
        <v>8118992.6798595143</v>
      </c>
      <c r="BO121" s="562">
        <v>30469264.100870606</v>
      </c>
      <c r="BP121" s="560">
        <f ca="1">IFERROR(VLOOKUP($B121-1,CDM!$V$4:$AJ$17,13,FALSE)/12,0)+IFERROR(VLOOKUP($B121,CDM!$V$41:$AJ$54,13,FALSE)/24,0)+IFERROR(VLOOKUP($B121,CDM!$V$41:$AJ$54,13,FALSE)/2*$C121/78,0)</f>
        <v>3682239.5627596169</v>
      </c>
      <c r="BQ121" s="560">
        <f t="shared" ca="1" si="301"/>
        <v>34151503.663630225</v>
      </c>
      <c r="BR121" s="560">
        <f>IFERROR(HLOOKUP(B121-1,'EV Forecast WRZ'!$F$124:$T$130,4,FALSE)/12,0)+IFERROR(((HLOOKUP(B121,'EV Forecast WRZ'!$F$116:$T$122,4,FALSE)-HLOOKUP(B121-1,'EV Forecast WRZ'!$F$124:$T$130,4,FALSE)))*C121/78,0)</f>
        <v>35339.017153846151</v>
      </c>
      <c r="BS121" s="560">
        <f ca="1">HLOOKUP(B121,Heating!$R$102:$AD$106,5,FALSE)*INDEX(Weather!$BO$1:$CB$20,MATCH(B121,Weather!$BO$1:$BO$20,0),MATCH(C121,Weather!$BO$1:$CB$1,0))/VLOOKUP(B121,Weather!$BO$2:$CB$20,14,FALSE)*
VLOOKUP('Monthly Data'!$B121,Weather!$BO$3:$CB$20,14,FALSE)/Weather!$CB$14</f>
        <v>117236.38132466612</v>
      </c>
      <c r="BT121" s="560">
        <f t="shared" ca="1" si="302"/>
        <v>33998928.265151717</v>
      </c>
      <c r="BU121" s="562">
        <v>7450792.96</v>
      </c>
      <c r="BV121" s="560">
        <f ca="1">IFERROR(VLOOKUP($B121-1,CDM!$V$4:$AJ$17,14,FALSE)/12,0)+IFERROR(VLOOKUP($B121,CDM!$V$41:$AJ$54,14,FALSE)/24,0)+IFERROR(VLOOKUP($B121,CDM!$V$41:$AJ$54,14,FALSE)/2*$C121/78,0)</f>
        <v>830812.40533437277</v>
      </c>
      <c r="BW121" s="560">
        <f t="shared" ca="1" si="303"/>
        <v>8281605.365334373</v>
      </c>
      <c r="BX121" s="560">
        <f>IFERROR(HLOOKUP(B121-1,'EV Forecast WRZ'!$F$124:$T$130,5,FALSE)/12,0)+IFERROR(((HLOOKUP(B121,'EV Forecast WRZ'!$F$116:$T$122,5,FALSE)-HLOOKUP(B121-1,'EV Forecast WRZ'!$F$124:$T$130,5,FALSE)))*C121/78,0)</f>
        <v>6522.3907948717952</v>
      </c>
      <c r="BY121" s="560">
        <f t="shared" ca="1" si="304"/>
        <v>8275082.9745395016</v>
      </c>
      <c r="BZ121" s="562">
        <v>389518.00267840055</v>
      </c>
      <c r="CA121" s="562">
        <v>494.99713028505835</v>
      </c>
      <c r="CB121" s="562">
        <v>155982.98259039599</v>
      </c>
      <c r="CC121" s="3">
        <v>65576.899999999994</v>
      </c>
      <c r="CD121" s="3">
        <v>14337.98</v>
      </c>
      <c r="CE121" s="3">
        <v>838</v>
      </c>
      <c r="CF121" s="3">
        <f>SUM($CF$98:$CF$109)/SUM($CA$98:$CA$109)*(SUM($CA$110:$CA$121)/12)</f>
        <v>6.8977675926717925</v>
      </c>
      <c r="CG121" s="577">
        <v>46023</v>
      </c>
      <c r="CH121" s="577">
        <v>2473</v>
      </c>
      <c r="CI121" s="577">
        <v>402</v>
      </c>
      <c r="CJ121" s="577">
        <v>3</v>
      </c>
      <c r="CK121" s="577">
        <v>13932</v>
      </c>
      <c r="CL121" s="577">
        <v>44</v>
      </c>
      <c r="CM121" s="577">
        <v>392</v>
      </c>
      <c r="CN121" s="46">
        <f>Weather!C145</f>
        <v>744.19999999999993</v>
      </c>
      <c r="CO121" s="46">
        <f>Weather!D145</f>
        <v>0</v>
      </c>
      <c r="CP121" s="46">
        <f>Weather!E145</f>
        <v>682.2</v>
      </c>
      <c r="CQ121" s="46">
        <f>Weather!F145</f>
        <v>0</v>
      </c>
      <c r="CR121" s="46">
        <f>Weather!G145</f>
        <v>620.20000000000005</v>
      </c>
      <c r="CS121" s="46">
        <f>Weather!H145</f>
        <v>0</v>
      </c>
      <c r="CT121" s="46">
        <f>Weather!I145</f>
        <v>558.20000000000005</v>
      </c>
      <c r="CU121" s="46">
        <f>Weather!J145</f>
        <v>0</v>
      </c>
      <c r="CV121" s="46">
        <f>Weather!K145</f>
        <v>496.20000000000005</v>
      </c>
      <c r="CW121" s="46">
        <f>Weather!L145</f>
        <v>0</v>
      </c>
      <c r="CX121" s="46">
        <f>Weather!M145</f>
        <v>434.20000000000005</v>
      </c>
      <c r="CY121" s="46">
        <f>Weather!N145</f>
        <v>0</v>
      </c>
      <c r="CZ121" s="46">
        <f>Weather!O145</f>
        <v>372.20000000000005</v>
      </c>
      <c r="DA121" s="46">
        <f>Weather!P145</f>
        <v>0</v>
      </c>
      <c r="DB121" s="243">
        <f>'Economic Data'!D147</f>
        <v>8261.1</v>
      </c>
      <c r="DC121" s="243">
        <f>'Economic Data'!E147</f>
        <v>8248.1</v>
      </c>
      <c r="DD121" s="243">
        <f>'Economic Data'!F147</f>
        <v>256.8</v>
      </c>
      <c r="DE121" s="243">
        <f>'Economic Data'!G147</f>
        <v>258.2</v>
      </c>
      <c r="DF121" s="243">
        <f>'Economic Data'!H147</f>
        <v>55.4</v>
      </c>
      <c r="DG121" s="243">
        <f>'Economic Data'!I147</f>
        <v>55.4</v>
      </c>
      <c r="DH121" s="243">
        <f>'Economic Data'!J147</f>
        <v>888015.75609999988</v>
      </c>
      <c r="DI121" s="243">
        <f>'Economic Data'!K147</f>
        <v>703631.11690000002</v>
      </c>
      <c r="DJ121" s="243">
        <f>'Economic Data'!L147</f>
        <v>93638.073199999984</v>
      </c>
      <c r="DK121" s="243">
        <f>'Economic Data'!M147</f>
        <v>34291.468199999996</v>
      </c>
      <c r="DL121" s="243">
        <f>'Economic Data'!N147</f>
        <v>904812.6129999999</v>
      </c>
      <c r="DM121" s="243">
        <f>'Economic Data'!O147</f>
        <v>89594.784999999989</v>
      </c>
      <c r="DN121" s="243">
        <f>'Economic Data'!P147</f>
        <v>17252.402999999998</v>
      </c>
      <c r="DO121" s="243">
        <f>'Economic Data'!Q147</f>
        <v>724121.77699999989</v>
      </c>
      <c r="DP121" s="243">
        <f>'Economic Data'!R147</f>
        <v>34839.095999999998</v>
      </c>
      <c r="DQ121">
        <f t="shared" si="311"/>
        <v>31</v>
      </c>
      <c r="DR121">
        <v>21</v>
      </c>
      <c r="DS121">
        <f t="shared" ref="DS121:EF121" si="375">DS109</f>
        <v>0</v>
      </c>
      <c r="DT121">
        <f t="shared" si="375"/>
        <v>0</v>
      </c>
      <c r="DU121">
        <f t="shared" si="375"/>
        <v>0</v>
      </c>
      <c r="DV121">
        <f t="shared" si="375"/>
        <v>0</v>
      </c>
      <c r="DW121">
        <f t="shared" si="375"/>
        <v>0</v>
      </c>
      <c r="DX121">
        <f t="shared" si="375"/>
        <v>0</v>
      </c>
      <c r="DY121">
        <f t="shared" si="375"/>
        <v>0</v>
      </c>
      <c r="DZ121">
        <f t="shared" si="375"/>
        <v>0</v>
      </c>
      <c r="EA121">
        <f t="shared" si="375"/>
        <v>0</v>
      </c>
      <c r="EB121">
        <f t="shared" si="375"/>
        <v>0</v>
      </c>
      <c r="EC121">
        <f t="shared" si="375"/>
        <v>0</v>
      </c>
      <c r="ED121">
        <f t="shared" si="375"/>
        <v>1</v>
      </c>
      <c r="EE121">
        <f t="shared" si="375"/>
        <v>0</v>
      </c>
      <c r="EF121">
        <f t="shared" si="375"/>
        <v>0</v>
      </c>
      <c r="EG121">
        <f t="shared" si="313"/>
        <v>0</v>
      </c>
      <c r="EH121">
        <f t="shared" si="374"/>
        <v>120</v>
      </c>
      <c r="EI121">
        <v>0</v>
      </c>
      <c r="EJ121">
        <v>0</v>
      </c>
      <c r="EK121">
        <v>0.25</v>
      </c>
      <c r="EL121">
        <v>0</v>
      </c>
      <c r="EM121" s="47">
        <f t="shared" si="314"/>
        <v>0</v>
      </c>
      <c r="EN121" s="47">
        <f t="shared" si="315"/>
        <v>0</v>
      </c>
      <c r="EO121" s="47">
        <f t="shared" si="316"/>
        <v>0</v>
      </c>
      <c r="EP121" s="47">
        <f t="shared" si="317"/>
        <v>0</v>
      </c>
      <c r="EQ121" s="47">
        <f t="shared" si="318"/>
        <v>0</v>
      </c>
      <c r="ER121" s="47">
        <f t="shared" si="319"/>
        <v>0</v>
      </c>
      <c r="ES121" s="47">
        <f t="shared" si="320"/>
        <v>0</v>
      </c>
      <c r="ET121" s="47">
        <f t="shared" si="321"/>
        <v>0</v>
      </c>
      <c r="EU121" s="47">
        <f t="shared" si="322"/>
        <v>0</v>
      </c>
      <c r="EV121" s="47">
        <f t="shared" si="323"/>
        <v>0</v>
      </c>
      <c r="EW121" s="47">
        <f t="shared" si="324"/>
        <v>0</v>
      </c>
      <c r="EX121" s="47">
        <f t="shared" si="325"/>
        <v>0</v>
      </c>
      <c r="EY121" s="47">
        <f t="shared" si="326"/>
        <v>0</v>
      </c>
      <c r="EZ121" s="47">
        <f t="shared" si="327"/>
        <v>0</v>
      </c>
      <c r="FA121" s="47">
        <f t="shared" si="328"/>
        <v>186.04999999999998</v>
      </c>
      <c r="FB121" s="47">
        <f t="shared" si="329"/>
        <v>0</v>
      </c>
      <c r="FC121" s="47">
        <f t="shared" si="330"/>
        <v>170.55</v>
      </c>
      <c r="FD121" s="47">
        <f t="shared" si="331"/>
        <v>0</v>
      </c>
      <c r="FE121" s="47">
        <f t="shared" si="332"/>
        <v>155.05000000000001</v>
      </c>
      <c r="FF121" s="47">
        <f t="shared" si="333"/>
        <v>0</v>
      </c>
      <c r="FG121" s="47">
        <f t="shared" si="334"/>
        <v>139.55000000000001</v>
      </c>
      <c r="FH121" s="47">
        <f t="shared" si="335"/>
        <v>0</v>
      </c>
      <c r="FI121" s="47">
        <f t="shared" si="336"/>
        <v>124.05000000000001</v>
      </c>
      <c r="FJ121" s="47">
        <f t="shared" si="337"/>
        <v>0</v>
      </c>
      <c r="FK121" s="47">
        <f t="shared" si="338"/>
        <v>108.55000000000001</v>
      </c>
      <c r="FL121" s="47">
        <f t="shared" si="339"/>
        <v>0</v>
      </c>
      <c r="FM121" s="47">
        <f t="shared" si="340"/>
        <v>93.050000000000011</v>
      </c>
      <c r="FN121" s="47">
        <f t="shared" si="341"/>
        <v>0</v>
      </c>
      <c r="FO121" s="546">
        <f t="shared" ca="1" si="342"/>
        <v>803.59376813213953</v>
      </c>
      <c r="FP121" s="546">
        <f t="shared" ca="1" si="343"/>
        <v>948.63712028354928</v>
      </c>
      <c r="FQ121" s="546">
        <f t="shared" ca="1" si="344"/>
        <v>2622.1800600147658</v>
      </c>
      <c r="FR121" s="546">
        <f t="shared" ca="1" si="345"/>
        <v>80580.113182322486</v>
      </c>
      <c r="FS121" s="546">
        <f t="shared" ca="1" si="346"/>
        <v>1657860.8993820634</v>
      </c>
      <c r="FT121" s="546">
        <f t="shared" ca="1" si="347"/>
        <v>5843869.1001204364</v>
      </c>
      <c r="FU121" s="546">
        <f t="shared" si="348"/>
        <v>39.637612391876772</v>
      </c>
      <c r="FV121" s="546">
        <f t="shared" si="349"/>
        <v>31.018561713094066</v>
      </c>
      <c r="FW121" s="546">
        <f t="shared" si="350"/>
        <v>469.71048049711061</v>
      </c>
      <c r="FX121" s="546">
        <f t="shared" ca="1" si="351"/>
        <v>800.73007708788452</v>
      </c>
      <c r="FY121" s="546">
        <f t="shared" ca="1" si="352"/>
        <v>3404.2382318777213</v>
      </c>
      <c r="FZ121" s="546">
        <f t="shared" ca="1" si="353"/>
        <v>84953.989213010515</v>
      </c>
      <c r="GA121" s="546">
        <f t="shared" si="354"/>
        <v>129839.33422613352</v>
      </c>
      <c r="GB121" s="546">
        <f t="shared" si="355"/>
        <v>27.958512968590334</v>
      </c>
      <c r="GC121" s="546">
        <f t="shared" si="356"/>
        <v>11.249934779205871</v>
      </c>
      <c r="GD121" s="546">
        <f t="shared" si="357"/>
        <v>397.91577191427547</v>
      </c>
    </row>
    <row r="122" spans="1:186">
      <c r="C122" s="47"/>
      <c r="G122" s="552"/>
      <c r="H122" s="552"/>
      <c r="I122" s="552"/>
      <c r="J122" s="552"/>
      <c r="L122" s="552"/>
      <c r="M122" s="552"/>
      <c r="N122" s="552"/>
      <c r="O122" s="552"/>
      <c r="P122" s="552"/>
      <c r="R122" s="552"/>
      <c r="S122" s="552"/>
      <c r="T122" s="552"/>
      <c r="U122" s="552"/>
      <c r="V122" s="552"/>
      <c r="W122" s="552"/>
      <c r="X122" s="553"/>
      <c r="Y122" s="553"/>
      <c r="Z122" s="553"/>
      <c r="AA122" s="553"/>
      <c r="AB122" s="554"/>
      <c r="CA122" s="562"/>
      <c r="CB122" s="562"/>
    </row>
    <row r="123" spans="1:186">
      <c r="C123" s="47"/>
      <c r="G123" s="552"/>
      <c r="H123" s="552"/>
      <c r="I123" s="552"/>
      <c r="J123" s="552"/>
      <c r="L123" s="552"/>
      <c r="M123" s="552"/>
      <c r="N123" s="552"/>
      <c r="O123" s="552"/>
      <c r="P123" s="552"/>
      <c r="R123" s="552"/>
      <c r="S123" s="552"/>
      <c r="T123" s="552"/>
      <c r="U123" s="552"/>
      <c r="V123" s="552"/>
      <c r="W123" s="552"/>
      <c r="X123" s="553"/>
      <c r="Y123" s="553"/>
      <c r="Z123" s="553"/>
      <c r="AA123" s="553"/>
      <c r="AB123" s="554"/>
      <c r="CA123" s="562"/>
      <c r="CB123" s="562"/>
    </row>
    <row r="124" spans="1:186">
      <c r="C124" s="47"/>
      <c r="G124" s="552"/>
      <c r="H124" s="552"/>
      <c r="I124" s="552"/>
      <c r="J124" s="552"/>
      <c r="L124" s="552"/>
      <c r="M124" s="552"/>
      <c r="N124" s="552"/>
      <c r="O124" s="552"/>
      <c r="P124" s="552"/>
      <c r="R124" s="552"/>
      <c r="S124" s="552"/>
      <c r="T124" s="552"/>
      <c r="U124" s="552"/>
      <c r="V124" s="552"/>
      <c r="W124" s="552"/>
      <c r="X124" s="553"/>
      <c r="Y124" s="553"/>
      <c r="Z124" s="553"/>
      <c r="AA124" s="553"/>
      <c r="AB124" s="554"/>
      <c r="CA124" s="563"/>
      <c r="CB124" s="563"/>
    </row>
    <row r="125" spans="1:186">
      <c r="C125" s="47"/>
      <c r="G125" s="552"/>
      <c r="H125" s="552"/>
      <c r="I125" s="552"/>
      <c r="J125" s="552"/>
      <c r="L125" s="552"/>
      <c r="M125" s="552"/>
      <c r="N125" s="552"/>
      <c r="O125" s="552"/>
      <c r="P125" s="552"/>
      <c r="R125" s="552"/>
      <c r="S125" s="552"/>
      <c r="T125" s="552"/>
      <c r="U125" s="552"/>
      <c r="V125" s="552"/>
      <c r="W125" s="552"/>
      <c r="X125" s="553"/>
      <c r="Y125" s="553"/>
      <c r="Z125" s="553"/>
      <c r="AA125" s="553"/>
      <c r="AB125" s="554"/>
    </row>
    <row r="126" spans="1:186">
      <c r="C126" s="47"/>
      <c r="G126" s="552"/>
      <c r="H126" s="552"/>
      <c r="I126" s="552"/>
      <c r="J126" s="552"/>
      <c r="L126" s="552"/>
      <c r="M126" s="552"/>
      <c r="N126" s="552"/>
      <c r="O126" s="552"/>
      <c r="P126" s="552"/>
      <c r="R126" s="552"/>
      <c r="S126" s="552"/>
      <c r="T126" s="552"/>
      <c r="U126" s="552"/>
      <c r="V126" s="552"/>
      <c r="W126" s="552"/>
      <c r="X126" s="553"/>
      <c r="Y126" s="553"/>
      <c r="Z126" s="553"/>
      <c r="AA126" s="553"/>
      <c r="AB126" s="554"/>
    </row>
    <row r="127" spans="1:186">
      <c r="G127" s="553"/>
      <c r="H127" s="552"/>
      <c r="I127" s="552"/>
      <c r="J127" s="552"/>
      <c r="L127" s="552"/>
      <c r="M127" s="552"/>
      <c r="N127" s="552"/>
      <c r="O127" s="552"/>
      <c r="P127" s="552"/>
    </row>
    <row r="128" spans="1:186">
      <c r="G128" s="553"/>
      <c r="H128" s="552"/>
      <c r="I128" s="552"/>
      <c r="J128" s="552"/>
    </row>
    <row r="129" spans="7:10">
      <c r="H129" s="552"/>
      <c r="I129" s="552"/>
      <c r="J129" s="552"/>
    </row>
    <row r="130" spans="7:10">
      <c r="H130" s="552"/>
      <c r="I130" s="552"/>
      <c r="J130" s="552"/>
    </row>
    <row r="131" spans="7:10">
      <c r="H131" s="552"/>
      <c r="I131" s="552"/>
      <c r="J131" s="552"/>
    </row>
    <row r="132" spans="7:10">
      <c r="G132" s="552"/>
      <c r="H132" s="552"/>
      <c r="I132" s="552"/>
      <c r="J132" s="552"/>
    </row>
    <row r="133" spans="7:10">
      <c r="G133" s="555"/>
      <c r="H133" s="552"/>
      <c r="I133" s="552"/>
      <c r="J133" s="55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2F3C7-F7BF-412B-992A-CE43EAB4DC5C}">
  <sheetPr codeName="Sheet23">
    <tabColor theme="3" tint="0.499984740745262"/>
  </sheetPr>
  <dimension ref="B1:AD106"/>
  <sheetViews>
    <sheetView topLeftCell="A98" workbookViewId="0">
      <selection activeCell="J20" sqref="J20"/>
    </sheetView>
  </sheetViews>
  <sheetFormatPr defaultColWidth="8.81640625" defaultRowHeight="14.5"/>
  <cols>
    <col min="1" max="1" width="8.81640625" style="165"/>
    <col min="2" max="5" width="24.54296875" style="165" customWidth="1"/>
    <col min="6" max="6" width="12.54296875" style="165" bestFit="1" customWidth="1"/>
    <col min="7" max="7" width="17.1796875" style="165" customWidth="1"/>
    <col min="8" max="8" width="12.1796875" style="165" customWidth="1"/>
    <col min="9" max="9" width="13.453125" style="165" bestFit="1" customWidth="1"/>
    <col min="10" max="10" width="12.453125" style="165" customWidth="1"/>
    <col min="11" max="11" width="13.453125" style="165" customWidth="1"/>
    <col min="12" max="12" width="13.1796875" style="165" bestFit="1" customWidth="1"/>
    <col min="13" max="13" width="12" style="165" customWidth="1"/>
    <col min="14" max="14" width="14.1796875" style="165" customWidth="1"/>
    <col min="15" max="15" width="13" style="165" customWidth="1"/>
    <col min="16" max="16" width="10.81640625" style="165" customWidth="1"/>
    <col min="17" max="17" width="24.453125" style="165" customWidth="1"/>
    <col min="18" max="18" width="12.1796875" style="165" customWidth="1"/>
    <col min="19" max="19" width="11.81640625" style="165" customWidth="1"/>
    <col min="20" max="22" width="11.1796875" style="165" bestFit="1" customWidth="1"/>
    <col min="23" max="23" width="12" style="165" bestFit="1" customWidth="1"/>
    <col min="24" max="24" width="13.81640625" style="165" bestFit="1" customWidth="1"/>
    <col min="25" max="25" width="12" style="165" bestFit="1" customWidth="1"/>
    <col min="26" max="28" width="11.1796875" style="165" bestFit="1" customWidth="1"/>
    <col min="29" max="29" width="10.1796875" style="165" bestFit="1" customWidth="1"/>
    <col min="30" max="30" width="10.81640625" style="165" customWidth="1"/>
    <col min="31" max="16384" width="8.81640625" style="165"/>
  </cols>
  <sheetData>
    <row r="1" spans="3:25">
      <c r="D1" s="186" t="s">
        <v>12</v>
      </c>
      <c r="E1" s="186" t="s">
        <v>14</v>
      </c>
      <c r="V1" s="165" t="s">
        <v>12</v>
      </c>
      <c r="X1" s="165" t="s">
        <v>507</v>
      </c>
    </row>
    <row r="2" spans="3:25">
      <c r="C2" s="165" t="s">
        <v>508</v>
      </c>
      <c r="D2" s="426">
        <v>2263</v>
      </c>
      <c r="E2" s="143">
        <f>Y15</f>
        <v>6955</v>
      </c>
      <c r="F2" s="165" t="s">
        <v>509</v>
      </c>
      <c r="G2" s="165" t="s">
        <v>510</v>
      </c>
      <c r="Q2" s="820" t="s">
        <v>511</v>
      </c>
      <c r="R2" s="820"/>
      <c r="S2" s="820"/>
      <c r="V2" s="425" t="s">
        <v>512</v>
      </c>
      <c r="W2" s="165" t="s">
        <v>513</v>
      </c>
      <c r="X2" s="425" t="s">
        <v>512</v>
      </c>
      <c r="Y2" s="165" t="s">
        <v>513</v>
      </c>
    </row>
    <row r="3" spans="3:25">
      <c r="C3" s="165" t="s">
        <v>514</v>
      </c>
      <c r="D3" s="165">
        <v>3.4299999999999997E-2</v>
      </c>
      <c r="E3" s="165">
        <f>D3</f>
        <v>3.4299999999999997E-2</v>
      </c>
      <c r="F3" s="165" t="s">
        <v>515</v>
      </c>
      <c r="G3" s="165" t="s">
        <v>516</v>
      </c>
      <c r="Q3" s="165" t="s">
        <v>217</v>
      </c>
      <c r="R3" s="434">
        <f ca="1">Weather!BU46</f>
        <v>690.78750000000002</v>
      </c>
      <c r="S3" s="437">
        <f t="shared" ref="S3:S14" ca="1" si="0">R3/$R$15</f>
        <v>0.18671552695483548</v>
      </c>
      <c r="T3" s="824">
        <f ca="1">SUM(S3:S9)</f>
        <v>0.64025220238896174</v>
      </c>
      <c r="V3" s="424">
        <v>419</v>
      </c>
      <c r="W3" s="143">
        <f t="shared" ref="W3:W14" si="1">MAX(V3-$V$9,0)</f>
        <v>368</v>
      </c>
      <c r="X3" s="426">
        <v>1640</v>
      </c>
      <c r="Y3" s="143">
        <f t="shared" ref="Y3:Y14" si="2">MAX(X3-$X$9,0)</f>
        <v>1491</v>
      </c>
    </row>
    <row r="4" spans="3:25">
      <c r="C4" s="165" t="s">
        <v>517</v>
      </c>
      <c r="D4" s="165">
        <v>277</v>
      </c>
      <c r="E4" s="165">
        <f>D4</f>
        <v>277</v>
      </c>
      <c r="F4" s="165" t="s">
        <v>518</v>
      </c>
      <c r="G4" s="165" t="s">
        <v>516</v>
      </c>
      <c r="Q4" s="165" t="s">
        <v>218</v>
      </c>
      <c r="R4" s="434">
        <f ca="1">Weather!BU47</f>
        <v>604.19541666666657</v>
      </c>
      <c r="S4" s="437">
        <f t="shared" ca="1" si="0"/>
        <v>0.1633102301454688</v>
      </c>
      <c r="T4" s="824"/>
      <c r="V4" s="424">
        <v>404</v>
      </c>
      <c r="W4" s="143">
        <f t="shared" si="1"/>
        <v>353</v>
      </c>
      <c r="X4" s="426">
        <v>1463</v>
      </c>
      <c r="Y4" s="143">
        <f t="shared" si="2"/>
        <v>1314</v>
      </c>
    </row>
    <row r="5" spans="3:25">
      <c r="C5" s="165" t="s">
        <v>519</v>
      </c>
      <c r="D5" s="165">
        <f>D3*D4</f>
        <v>9.5010999999999992</v>
      </c>
      <c r="E5" s="165">
        <f>E3*E4</f>
        <v>9.5010999999999992</v>
      </c>
      <c r="F5" s="165" t="s">
        <v>520</v>
      </c>
      <c r="Q5" s="165" t="s">
        <v>219</v>
      </c>
      <c r="R5" s="434">
        <f ca="1">Weather!BU48</f>
        <v>534.21590579710141</v>
      </c>
      <c r="S5" s="437">
        <f t="shared" ca="1" si="0"/>
        <v>0.14439520743869938</v>
      </c>
      <c r="T5" s="824"/>
      <c r="V5" s="424">
        <v>354</v>
      </c>
      <c r="W5" s="143">
        <f t="shared" si="1"/>
        <v>303</v>
      </c>
      <c r="X5" s="426">
        <v>1262</v>
      </c>
      <c r="Y5" s="143">
        <f t="shared" si="2"/>
        <v>1113</v>
      </c>
    </row>
    <row r="6" spans="3:25">
      <c r="C6" s="165" t="s">
        <v>521</v>
      </c>
      <c r="D6" s="422">
        <f>D2*D5</f>
        <v>21500.989299999997</v>
      </c>
      <c r="E6" s="422">
        <f>E2*E5</f>
        <v>66080.150499999989</v>
      </c>
      <c r="F6" s="165" t="s">
        <v>522</v>
      </c>
      <c r="H6" s="143"/>
      <c r="Q6" s="165" t="s">
        <v>220</v>
      </c>
      <c r="R6" s="434">
        <f ca="1">Weather!BU49</f>
        <v>352.92312500000003</v>
      </c>
      <c r="S6" s="437">
        <f t="shared" ca="1" si="0"/>
        <v>9.5392906297410249E-2</v>
      </c>
      <c r="T6" s="824"/>
      <c r="V6" s="424">
        <v>252</v>
      </c>
      <c r="W6" s="143">
        <f t="shared" si="1"/>
        <v>201</v>
      </c>
      <c r="X6" s="426">
        <v>679</v>
      </c>
      <c r="Y6" s="143">
        <f t="shared" si="2"/>
        <v>530</v>
      </c>
    </row>
    <row r="7" spans="3:25">
      <c r="C7" s="165" t="s">
        <v>523</v>
      </c>
      <c r="D7" s="165">
        <v>2.5499999999999998</v>
      </c>
      <c r="E7" s="165">
        <v>2.5499999999999998</v>
      </c>
      <c r="F7" s="165" t="s">
        <v>524</v>
      </c>
      <c r="G7" s="427" t="s">
        <v>525</v>
      </c>
      <c r="Q7" s="165" t="s">
        <v>151</v>
      </c>
      <c r="R7" s="434">
        <f ca="1">Weather!BU50</f>
        <v>155.24720841877425</v>
      </c>
      <c r="S7" s="437">
        <f t="shared" ca="1" si="0"/>
        <v>4.1962346348448122E-2</v>
      </c>
      <c r="T7" s="824"/>
      <c r="V7" s="424">
        <v>158</v>
      </c>
      <c r="W7" s="143">
        <f>MAX(V7-$V$9,0)</f>
        <v>107</v>
      </c>
      <c r="X7" s="426">
        <v>331</v>
      </c>
      <c r="Y7" s="143">
        <f t="shared" si="2"/>
        <v>182</v>
      </c>
    </row>
    <row r="8" spans="3:25">
      <c r="C8" s="165" t="s">
        <v>526</v>
      </c>
      <c r="D8" s="195">
        <v>0.5</v>
      </c>
      <c r="E8" s="195">
        <f>D8</f>
        <v>0.5</v>
      </c>
      <c r="F8" s="165" t="s">
        <v>527</v>
      </c>
      <c r="Q8" s="165" t="s">
        <v>212</v>
      </c>
      <c r="R8" s="434">
        <f ca="1">Weather!BU51</f>
        <v>30.273840492840492</v>
      </c>
      <c r="S8" s="437">
        <f t="shared" ca="1" si="0"/>
        <v>8.1828291342378786E-3</v>
      </c>
      <c r="T8" s="824"/>
      <c r="V8" s="424">
        <v>69</v>
      </c>
      <c r="W8" s="143">
        <f t="shared" si="1"/>
        <v>18</v>
      </c>
      <c r="X8" s="426">
        <v>82</v>
      </c>
      <c r="Y8" s="143">
        <f t="shared" si="2"/>
        <v>0</v>
      </c>
    </row>
    <row r="9" spans="3:25">
      <c r="C9" s="165" t="s">
        <v>528</v>
      </c>
      <c r="D9" s="178">
        <f>D6/D7*D8</f>
        <v>4215.8802549019601</v>
      </c>
      <c r="E9" s="178">
        <f>E6/E7*E8</f>
        <v>12956.892254901959</v>
      </c>
      <c r="F9" s="165" t="s">
        <v>522</v>
      </c>
      <c r="Q9" s="165" t="s">
        <v>213</v>
      </c>
      <c r="R9" s="434">
        <f ca="1">Weather!BU52</f>
        <v>1.0845833333333317</v>
      </c>
      <c r="S9" s="437">
        <f t="shared" ca="1" si="0"/>
        <v>2.9315606986195469E-4</v>
      </c>
      <c r="T9" s="824"/>
      <c r="V9" s="424">
        <v>51</v>
      </c>
      <c r="W9" s="143">
        <f t="shared" si="1"/>
        <v>0</v>
      </c>
      <c r="X9" s="426">
        <v>149</v>
      </c>
      <c r="Y9" s="143">
        <f t="shared" si="2"/>
        <v>0</v>
      </c>
    </row>
    <row r="10" spans="3:25">
      <c r="Q10" s="165" t="s">
        <v>214</v>
      </c>
      <c r="R10" s="434">
        <f ca="1">Weather!BU53</f>
        <v>6.4245833333333335</v>
      </c>
      <c r="S10" s="437">
        <f t="shared" ca="1" si="0"/>
        <v>1.7365245644262335E-3</v>
      </c>
      <c r="T10" s="824">
        <f ca="1">SUM(S10:S14)</f>
        <v>0.35974779761103803</v>
      </c>
      <c r="V10" s="424">
        <v>54</v>
      </c>
      <c r="W10" s="143">
        <f t="shared" si="1"/>
        <v>3</v>
      </c>
      <c r="X10" s="426">
        <v>166</v>
      </c>
      <c r="Y10" s="143">
        <f t="shared" si="2"/>
        <v>17</v>
      </c>
    </row>
    <row r="11" spans="3:25">
      <c r="Q11" s="165" t="s">
        <v>221</v>
      </c>
      <c r="R11" s="434">
        <f ca="1">Weather!BU54</f>
        <v>54.412952898550728</v>
      </c>
      <c r="S11" s="437">
        <f t="shared" ca="1" si="0"/>
        <v>1.4707479758422876E-2</v>
      </c>
      <c r="T11" s="824"/>
      <c r="V11" s="424">
        <v>58</v>
      </c>
      <c r="W11" s="143">
        <f t="shared" si="1"/>
        <v>7</v>
      </c>
      <c r="X11" s="426">
        <v>193</v>
      </c>
      <c r="Y11" s="143">
        <f t="shared" si="2"/>
        <v>44</v>
      </c>
    </row>
    <row r="12" spans="3:25">
      <c r="Q12" s="165" t="s">
        <v>222</v>
      </c>
      <c r="R12" s="434">
        <f ca="1">Weather!BU55</f>
        <v>232.21431159420285</v>
      </c>
      <c r="S12" s="437">
        <f t="shared" ca="1" si="0"/>
        <v>6.2766071412360458E-2</v>
      </c>
      <c r="T12" s="824"/>
      <c r="V12" s="424">
        <v>91</v>
      </c>
      <c r="W12" s="143">
        <f t="shared" si="1"/>
        <v>40</v>
      </c>
      <c r="X12" s="426">
        <v>407</v>
      </c>
      <c r="Y12" s="143">
        <f t="shared" si="2"/>
        <v>258</v>
      </c>
    </row>
    <row r="13" spans="3:25">
      <c r="Q13" s="165" t="s">
        <v>223</v>
      </c>
      <c r="R13" s="434">
        <f ca="1">Weather!BU56</f>
        <v>435.51408055712398</v>
      </c>
      <c r="S13" s="437">
        <f t="shared" ca="1" si="0"/>
        <v>0.1177167233736483</v>
      </c>
      <c r="T13" s="824"/>
      <c r="V13" s="424">
        <v>174</v>
      </c>
      <c r="W13" s="143">
        <f t="shared" si="1"/>
        <v>123</v>
      </c>
      <c r="X13" s="426">
        <v>919</v>
      </c>
      <c r="Y13" s="143">
        <f t="shared" si="2"/>
        <v>770</v>
      </c>
    </row>
    <row r="14" spans="3:25">
      <c r="Q14" s="165" t="s">
        <v>224</v>
      </c>
      <c r="R14" s="434">
        <f ca="1">Weather!BU57</f>
        <v>602.38541666666674</v>
      </c>
      <c r="S14" s="437">
        <f t="shared" ca="1" si="0"/>
        <v>0.16282099850218021</v>
      </c>
      <c r="T14" s="824"/>
      <c r="V14" s="424">
        <v>316</v>
      </c>
      <c r="W14" s="143">
        <f t="shared" si="1"/>
        <v>265</v>
      </c>
      <c r="X14" s="426">
        <v>1385</v>
      </c>
      <c r="Y14" s="143">
        <f t="shared" si="2"/>
        <v>1236</v>
      </c>
    </row>
    <row r="15" spans="3:25">
      <c r="Q15" s="165" t="s">
        <v>290</v>
      </c>
      <c r="R15" s="432">
        <f ca="1">SUM(R3:R14)</f>
        <v>3699.6789247585939</v>
      </c>
      <c r="S15" s="431">
        <f ca="1">SUM(S3:S14)</f>
        <v>0.99999999999999978</v>
      </c>
      <c r="T15" s="433"/>
      <c r="V15" s="426">
        <f>SUM(V3:V14)</f>
        <v>2400</v>
      </c>
      <c r="W15" s="426">
        <f>SUM(W3:W14)</f>
        <v>1788</v>
      </c>
      <c r="X15" s="426">
        <f>SUM(X3:X14)</f>
        <v>8676</v>
      </c>
      <c r="Y15" s="426">
        <f>SUM(Y3:Y14)</f>
        <v>6955</v>
      </c>
    </row>
    <row r="16" spans="3:25">
      <c r="R16" s="432"/>
      <c r="S16" s="431"/>
      <c r="T16" s="433"/>
      <c r="V16" s="426"/>
      <c r="W16" s="426"/>
      <c r="X16" s="426"/>
      <c r="Y16" s="426"/>
    </row>
    <row r="17" spans="2:30" ht="16">
      <c r="B17" s="825" t="s">
        <v>362</v>
      </c>
      <c r="C17" s="825"/>
      <c r="D17" s="825"/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Q17" s="825" t="s">
        <v>363</v>
      </c>
      <c r="R17" s="825"/>
      <c r="S17" s="825"/>
      <c r="T17" s="825"/>
      <c r="U17" s="825"/>
      <c r="V17" s="825"/>
      <c r="W17" s="825"/>
      <c r="X17" s="825"/>
      <c r="Y17" s="825"/>
      <c r="Z17" s="825"/>
      <c r="AA17" s="825"/>
      <c r="AB17" s="825"/>
    </row>
    <row r="18" spans="2:30" ht="18.5">
      <c r="B18" s="442"/>
      <c r="C18" s="442"/>
      <c r="D18" s="442"/>
      <c r="E18" s="442"/>
      <c r="F18" s="442"/>
      <c r="G18" s="442"/>
      <c r="H18" s="442"/>
      <c r="I18" s="442"/>
      <c r="J18" s="442"/>
      <c r="K18" s="442"/>
      <c r="L18" s="442"/>
      <c r="T18" s="433"/>
    </row>
    <row r="19" spans="2:30" s="159" customFormat="1">
      <c r="B19" s="159" t="s">
        <v>12</v>
      </c>
      <c r="C19" s="159">
        <v>2019</v>
      </c>
      <c r="D19" s="159">
        <v>2020</v>
      </c>
      <c r="E19" s="159">
        <v>2021</v>
      </c>
      <c r="F19" s="159">
        <v>2022</v>
      </c>
      <c r="G19" s="159">
        <v>2023</v>
      </c>
      <c r="H19" s="159">
        <v>2024</v>
      </c>
      <c r="I19" s="159">
        <v>2025</v>
      </c>
      <c r="J19" s="159">
        <v>2026</v>
      </c>
      <c r="K19" s="159">
        <v>2027</v>
      </c>
      <c r="L19" s="159">
        <v>2028</v>
      </c>
      <c r="M19" s="159">
        <v>2029</v>
      </c>
      <c r="N19" s="159">
        <v>2030</v>
      </c>
      <c r="O19" s="159">
        <v>2031</v>
      </c>
      <c r="Q19" s="159" t="s">
        <v>12</v>
      </c>
      <c r="R19" s="159">
        <v>2019</v>
      </c>
      <c r="S19" s="159">
        <v>2020</v>
      </c>
      <c r="T19" s="159">
        <v>2021</v>
      </c>
      <c r="U19" s="159">
        <v>2022</v>
      </c>
      <c r="V19" s="159">
        <v>2023</v>
      </c>
      <c r="W19" s="159">
        <v>2024</v>
      </c>
      <c r="X19" s="159">
        <v>2025</v>
      </c>
      <c r="Y19" s="159">
        <v>2026</v>
      </c>
      <c r="Z19" s="159">
        <v>2027</v>
      </c>
      <c r="AA19" s="159">
        <v>2028</v>
      </c>
      <c r="AB19" s="159">
        <v>2029</v>
      </c>
      <c r="AC19" s="159">
        <v>2030</v>
      </c>
      <c r="AD19" s="159">
        <v>2031</v>
      </c>
    </row>
    <row r="20" spans="2:30">
      <c r="B20" s="165" t="s">
        <v>529</v>
      </c>
      <c r="C20" s="175">
        <f ca="1">OFFSET('Customer Count'!$C$9,COLUMN()-COLUMN(Heating!$E$20),0)</f>
        <v>110960.875</v>
      </c>
      <c r="D20" s="175">
        <f ca="1">OFFSET('Customer Count'!$C$9,COLUMN()-COLUMN(Heating!$E$20),0)</f>
        <v>112218.375</v>
      </c>
      <c r="E20" s="175">
        <f ca="1">OFFSET('Customer Count'!$C$9,COLUMN()-COLUMN(Heating!$E$20),0)</f>
        <v>113059.29166666664</v>
      </c>
      <c r="F20" s="175">
        <f ca="1">OFFSET('Customer Count'!$C$9,COLUMN()-COLUMN(Heating!$E$20),0)</f>
        <v>114160.83333333336</v>
      </c>
      <c r="G20" s="175">
        <f ca="1">OFFSET('Customer Count'!$C$9,COLUMN()-COLUMN(Heating!$E$20),0)</f>
        <v>115689.125</v>
      </c>
      <c r="H20" s="175">
        <f ca="1">OFFSET('Customer Count'!$C$9,COLUMN()-COLUMN(Heating!$E$20),0)</f>
        <v>117456.375</v>
      </c>
      <c r="I20" s="175">
        <f ca="1">OFFSET('Customer Count'!$C$9,COLUMN()-COLUMN(Heating!$E$20),0)</f>
        <v>118908.83333333337</v>
      </c>
      <c r="J20" s="175">
        <f ca="1">OFFSET('Customer Count'!$C$9,COLUMN()-COLUMN(Heating!$E$20),0)</f>
        <v>120549.84671692953</v>
      </c>
      <c r="K20" s="175">
        <f ca="1">OFFSET('Customer Count'!$C$9,COLUMN()-COLUMN(Heating!$E$20),0)</f>
        <v>122282.04983393001</v>
      </c>
      <c r="L20" s="175">
        <f ca="1">OFFSET('Customer Count'!$C$9,COLUMN()-COLUMN(Heating!$E$20),0)</f>
        <v>124108.11114771535</v>
      </c>
      <c r="M20" s="175">
        <f ca="1">OFFSET('Customer Count'!$C$9,COLUMN()-COLUMN(Heating!$E$20),0)</f>
        <v>126024.56251198032</v>
      </c>
      <c r="N20" s="175">
        <f ca="1">OFFSET('Customer Count'!$C$9,COLUMN()-COLUMN(Heating!$E$20),0)</f>
        <v>128017.98706491762</v>
      </c>
      <c r="O20" s="175">
        <f ca="1">OFFSET('Customer Count'!$C$9,COLUMN()-COLUMN(Heating!$E$20),0)</f>
        <v>129909.19591068925</v>
      </c>
      <c r="Q20" s="165" t="s">
        <v>529</v>
      </c>
      <c r="R20" s="175">
        <f ca="1">OFFSET('Customer Count'!$AT$9,COLUMN()-COLUMN(Heating!$T$20),0)</f>
        <v>40903.041666666679</v>
      </c>
      <c r="S20" s="175">
        <f ca="1">OFFSET('Customer Count'!$AT$9,COLUMN()-COLUMN(Heating!$T$20),0)</f>
        <v>41880.625</v>
      </c>
      <c r="T20" s="175">
        <f ca="1">OFFSET('Customer Count'!$AT$9,COLUMN()-COLUMN(Heating!$T$20),0)</f>
        <v>42897.875</v>
      </c>
      <c r="U20" s="175">
        <f ca="1">OFFSET('Customer Count'!$AT$9,COLUMN()-COLUMN(Heating!$T$20),0)</f>
        <v>44013.541666666686</v>
      </c>
      <c r="V20" s="175">
        <f ca="1">OFFSET('Customer Count'!$AT$9,COLUMN()-COLUMN(Heating!$T$20),0)</f>
        <v>44945.416666666686</v>
      </c>
      <c r="W20" s="175">
        <f ca="1">OFFSET('Customer Count'!$AT$9,COLUMN()-COLUMN(Heating!$T$20),0)</f>
        <v>45520.625</v>
      </c>
      <c r="X20" s="175">
        <f ca="1">OFFSET('Customer Count'!$AT$9,COLUMN()-COLUMN(Heating!$T$20),0)</f>
        <v>45869</v>
      </c>
      <c r="Y20" s="175">
        <f ca="1">OFFSET('Customer Count'!$AT$9,COLUMN()-COLUMN(Heating!$T$20),0)</f>
        <v>46497.492198288273</v>
      </c>
      <c r="Z20" s="175">
        <f ca="1">OFFSET('Customer Count'!$AT$9,COLUMN()-COLUMN(Heating!$T$20),0)</f>
        <v>47176.766343092844</v>
      </c>
      <c r="AA20" s="175">
        <f ca="1">OFFSET('Customer Count'!$AT$9,COLUMN()-COLUMN(Heating!$T$20),0)</f>
        <v>47930.479613112941</v>
      </c>
      <c r="AB20" s="175">
        <f ca="1">OFFSET('Customer Count'!$AT$9,COLUMN()-COLUMN(Heating!$T$20),0)</f>
        <v>48757.224403053908</v>
      </c>
      <c r="AC20" s="175">
        <f ca="1">OFFSET('Customer Count'!$AT$9,COLUMN()-COLUMN(Heating!$T$20),0)</f>
        <v>49613.688345034083</v>
      </c>
      <c r="AD20" s="175">
        <f ca="1">OFFSET('Customer Count'!$AT$9,COLUMN()-COLUMN(Heating!$T$20),0)</f>
        <v>50394.096755453822</v>
      </c>
    </row>
    <row r="21" spans="2:30">
      <c r="B21" s="165" t="s">
        <v>530</v>
      </c>
      <c r="C21" s="426"/>
      <c r="D21" s="426">
        <f t="shared" ref="D21:E21" ca="1" si="3">D20-C20</f>
        <v>1257.5</v>
      </c>
      <c r="E21" s="426">
        <f t="shared" ca="1" si="3"/>
        <v>840.91666666664241</v>
      </c>
      <c r="F21" s="426">
        <f ca="1">F20-E20</f>
        <v>1101.5416666667152</v>
      </c>
      <c r="G21" s="426">
        <f t="shared" ref="G21:J21" ca="1" si="4">G20-F20</f>
        <v>1528.2916666666424</v>
      </c>
      <c r="H21" s="426">
        <f t="shared" ca="1" si="4"/>
        <v>1767.25</v>
      </c>
      <c r="I21" s="426">
        <f t="shared" ca="1" si="4"/>
        <v>1452.4583333333721</v>
      </c>
      <c r="J21" s="426">
        <f t="shared" ca="1" si="4"/>
        <v>1641.0133835961606</v>
      </c>
      <c r="K21" s="426">
        <f t="shared" ref="K21" ca="1" si="5">K20-J20</f>
        <v>1732.2031170004775</v>
      </c>
      <c r="L21" s="426">
        <f t="shared" ref="L21" ca="1" si="6">L20-K20</f>
        <v>1826.0613137853361</v>
      </c>
      <c r="M21" s="426">
        <f t="shared" ref="M21" ca="1" si="7">M20-L20</f>
        <v>1916.451364264969</v>
      </c>
      <c r="N21" s="426">
        <f t="shared" ref="N21" ca="1" si="8">N20-M20</f>
        <v>1993.4245529373002</v>
      </c>
      <c r="O21" s="426">
        <f t="shared" ref="O21" ca="1" si="9">O20-N20</f>
        <v>1891.2088457716309</v>
      </c>
      <c r="Q21" s="165" t="s">
        <v>530</v>
      </c>
      <c r="R21" s="426"/>
      <c r="S21" s="426">
        <f t="shared" ref="S21:T21" ca="1" si="10">S20-R20</f>
        <v>977.58333333332121</v>
      </c>
      <c r="T21" s="426">
        <f t="shared" ca="1" si="10"/>
        <v>1017.25</v>
      </c>
      <c r="U21" s="426">
        <f ca="1">U20-T20</f>
        <v>1115.6666666666861</v>
      </c>
      <c r="V21" s="426">
        <f t="shared" ref="V21" ca="1" si="11">V20-U20</f>
        <v>931.875</v>
      </c>
      <c r="W21" s="426">
        <f t="shared" ref="W21" ca="1" si="12">W20-V20</f>
        <v>575.20833333331393</v>
      </c>
      <c r="X21" s="426">
        <f t="shared" ref="X21" ca="1" si="13">X20-W20</f>
        <v>348.375</v>
      </c>
      <c r="Y21" s="426">
        <f t="shared" ref="Y21" ca="1" si="14">Y20-X20</f>
        <v>628.49219828827336</v>
      </c>
      <c r="Z21" s="426">
        <f t="shared" ref="Z21" ca="1" si="15">Z20-Y20</f>
        <v>679.27414480457082</v>
      </c>
      <c r="AA21" s="426">
        <f t="shared" ref="AA21" ca="1" si="16">AA20-Z20</f>
        <v>753.71327002009639</v>
      </c>
      <c r="AB21" s="426">
        <f t="shared" ref="AB21" ca="1" si="17">AB20-AA20</f>
        <v>826.74478994096717</v>
      </c>
      <c r="AC21" s="426">
        <f t="shared" ref="AC21" ca="1" si="18">AC20-AB20</f>
        <v>856.46394198017515</v>
      </c>
      <c r="AD21" s="426">
        <f t="shared" ref="AD21" ca="1" si="19">AD20-AC20</f>
        <v>780.40841041973908</v>
      </c>
    </row>
    <row r="22" spans="2:30">
      <c r="B22" s="165" t="s">
        <v>531</v>
      </c>
      <c r="C22" s="174">
        <f>C23/20</f>
        <v>4.2444739702862545E-3</v>
      </c>
      <c r="D22" s="174">
        <f t="shared" ref="D22:F22" si="20">D23/20</f>
        <v>4.8653300412871839E-3</v>
      </c>
      <c r="E22" s="174">
        <f t="shared" si="20"/>
        <v>4.7057362801092625E-3</v>
      </c>
      <c r="F22" s="174">
        <f t="shared" si="20"/>
        <v>5.1274469820554768E-3</v>
      </c>
      <c r="G22" s="303">
        <f t="shared" ref="G22:I22" si="21">G23/20</f>
        <v>5.3580781369669591E-3</v>
      </c>
      <c r="H22" s="303">
        <f t="shared" si="21"/>
        <v>5.6070106643799633E-3</v>
      </c>
      <c r="I22" s="303">
        <f t="shared" si="21"/>
        <v>5.8559431917929675E-3</v>
      </c>
      <c r="J22" s="303">
        <f>J23/20</f>
        <v>6.1048757192058824E-3</v>
      </c>
      <c r="K22" s="303">
        <f t="shared" ref="K22:O22" si="22">K23/20</f>
        <v>6.3538082466188858E-3</v>
      </c>
      <c r="L22" s="303">
        <f t="shared" si="22"/>
        <v>6.60274077403189E-3</v>
      </c>
      <c r="M22" s="303">
        <f t="shared" si="22"/>
        <v>6.8516733014448048E-3</v>
      </c>
      <c r="N22" s="303">
        <f t="shared" si="22"/>
        <v>7.1006058288578091E-3</v>
      </c>
      <c r="O22" s="303">
        <f t="shared" si="22"/>
        <v>7.3495383562708124E-3</v>
      </c>
      <c r="P22" s="435"/>
      <c r="Q22" s="165" t="s">
        <v>531</v>
      </c>
      <c r="R22" s="437">
        <f>C22</f>
        <v>4.2444739702862545E-3</v>
      </c>
      <c r="S22" s="437">
        <f t="shared" ref="S22:U23" si="23">D22</f>
        <v>4.8653300412871839E-3</v>
      </c>
      <c r="T22" s="437">
        <f t="shared" si="23"/>
        <v>4.7057362801092625E-3</v>
      </c>
      <c r="U22" s="437">
        <f t="shared" si="23"/>
        <v>5.1274469820554768E-3</v>
      </c>
      <c r="V22" s="437">
        <f>V23/20</f>
        <v>5.3580781369669591E-3</v>
      </c>
      <c r="W22" s="437">
        <f t="shared" ref="W22" si="24">W23/20</f>
        <v>5.6070106643799633E-3</v>
      </c>
      <c r="X22" s="437">
        <f t="shared" ref="X22" si="25">X23/20</f>
        <v>5.8559431917929675E-3</v>
      </c>
      <c r="Y22" s="437">
        <f>Y23/20</f>
        <v>6.1048757192058824E-3</v>
      </c>
      <c r="Z22" s="437">
        <f t="shared" ref="Z22" si="26">Z23/20</f>
        <v>6.3538082466188858E-3</v>
      </c>
      <c r="AA22" s="437">
        <f t="shared" ref="AA22" si="27">AA23/20</f>
        <v>6.60274077403189E-3</v>
      </c>
      <c r="AB22" s="437">
        <f t="shared" ref="AB22" si="28">AB23/20</f>
        <v>6.8516733014448048E-3</v>
      </c>
      <c r="AC22" s="437">
        <f t="shared" ref="AC22" si="29">AC23/20</f>
        <v>7.1006058288578091E-3</v>
      </c>
      <c r="AD22" s="437">
        <f t="shared" ref="AD22" si="30">AD23/20</f>
        <v>7.3495383562708124E-3</v>
      </c>
    </row>
    <row r="23" spans="2:30">
      <c r="B23" s="165" t="s">
        <v>532</v>
      </c>
      <c r="C23" s="173">
        <f>'Heating (data)'!U81</f>
        <v>8.4889479405725096E-2</v>
      </c>
      <c r="D23" s="173">
        <f>'Heating (data)'!V81</f>
        <v>9.7306600825743675E-2</v>
      </c>
      <c r="E23" s="173">
        <f>'Heating (data)'!W81</f>
        <v>9.4114725602185242E-2</v>
      </c>
      <c r="F23" s="173">
        <f>'Heating (data)'!X81</f>
        <v>0.10254893964110953</v>
      </c>
      <c r="G23" s="303" cm="1">
        <f t="array" ref="G23">TREND($C$23:$F$23,$C$19:$F$19,G19)</f>
        <v>0.10716156273933919</v>
      </c>
      <c r="H23" s="303" cm="1">
        <f t="array" ref="H23">TREND($C$23:$F$23,$C$19:$F$19,H19)</f>
        <v>0.11214021328759927</v>
      </c>
      <c r="I23" s="303" cm="1">
        <f t="array" ref="I23">TREND($C$23:$F$23,$C$19:$F$19,I19)</f>
        <v>0.11711886383585934</v>
      </c>
      <c r="J23" s="303" cm="1">
        <f t="array" ref="J23">TREND($C$23:$F$23,$C$19:$F$19,J19)</f>
        <v>0.12209751438411764</v>
      </c>
      <c r="K23" s="303" cm="1">
        <f t="array" ref="K23">TREND($C$23:$F$23,$C$19:$F$19,K19)</f>
        <v>0.12707616493237772</v>
      </c>
      <c r="L23" s="303" cm="1">
        <f t="array" ref="L23">TREND($C$23:$F$23,$C$19:$F$19,L19)</f>
        <v>0.1320548154806378</v>
      </c>
      <c r="M23" s="303" cm="1">
        <f t="array" ref="M23">TREND($C$23:$F$23,$C$19:$F$19,M19)</f>
        <v>0.1370334660288961</v>
      </c>
      <c r="N23" s="303" cm="1">
        <f t="array" ref="N23">TREND($C$23:$F$23,$C$19:$F$19,N19)</f>
        <v>0.14201211657715618</v>
      </c>
      <c r="O23" s="303" cm="1">
        <f t="array" ref="O23">TREND($C$23:$F$23,$C$19:$F$19,O19)</f>
        <v>0.14699076712541626</v>
      </c>
      <c r="Q23" s="165" t="s">
        <v>532</v>
      </c>
      <c r="R23" s="443">
        <f>C23</f>
        <v>8.4889479405725096E-2</v>
      </c>
      <c r="S23" s="443">
        <f t="shared" si="23"/>
        <v>9.7306600825743675E-2</v>
      </c>
      <c r="T23" s="443">
        <f t="shared" si="23"/>
        <v>9.4114725602185242E-2</v>
      </c>
      <c r="U23" s="443">
        <f t="shared" si="23"/>
        <v>0.10254893964110953</v>
      </c>
      <c r="V23" s="443">
        <f t="shared" ref="V23:AD23" si="31">G23</f>
        <v>0.10716156273933919</v>
      </c>
      <c r="W23" s="443">
        <f t="shared" si="31"/>
        <v>0.11214021328759927</v>
      </c>
      <c r="X23" s="443">
        <f t="shared" si="31"/>
        <v>0.11711886383585934</v>
      </c>
      <c r="Y23" s="443">
        <f t="shared" si="31"/>
        <v>0.12209751438411764</v>
      </c>
      <c r="Z23" s="443">
        <f t="shared" si="31"/>
        <v>0.12707616493237772</v>
      </c>
      <c r="AA23" s="443">
        <f t="shared" si="31"/>
        <v>0.1320548154806378</v>
      </c>
      <c r="AB23" s="443">
        <f t="shared" si="31"/>
        <v>0.1370334660288961</v>
      </c>
      <c r="AC23" s="443">
        <f t="shared" si="31"/>
        <v>0.14201211657715618</v>
      </c>
      <c r="AD23" s="443">
        <f t="shared" si="31"/>
        <v>0.14699076712541626</v>
      </c>
    </row>
    <row r="24" spans="2:30">
      <c r="B24" s="165" t="s">
        <v>533</v>
      </c>
      <c r="C24" s="426">
        <f t="shared" ref="C24:E24" ca="1" si="32">C22*(C20-C21)</f>
        <v>470.97054565768678</v>
      </c>
      <c r="D24" s="426">
        <f t="shared" ca="1" si="32"/>
        <v>539.86127854501206</v>
      </c>
      <c r="E24" s="426">
        <f t="shared" ca="1" si="32"/>
        <v>528.07007853240623</v>
      </c>
      <c r="F24" s="426">
        <f ca="1">F22*(F20-F21)</f>
        <v>579.70552384957978</v>
      </c>
      <c r="G24" s="426">
        <f ca="1">G22*(G20-G21)</f>
        <v>611.68266518126234</v>
      </c>
      <c r="H24" s="426">
        <f t="shared" ref="H24:J24" ca="1" si="33">H22*(H20-H21)</f>
        <v>648.67015762778658</v>
      </c>
      <c r="I24" s="426">
        <f t="shared" ca="1" si="33"/>
        <v>687.81785951393169</v>
      </c>
      <c r="J24" s="426">
        <f t="shared" ca="1" si="33"/>
        <v>725.92364941576602</v>
      </c>
      <c r="K24" s="426">
        <f t="shared" ref="K24:O24" ca="1" si="34">K22*(K20-K21)</f>
        <v>765.95061019866944</v>
      </c>
      <c r="L24" s="426">
        <f t="shared" ca="1" si="34"/>
        <v>807.39667637068919</v>
      </c>
      <c r="M24" s="426">
        <f t="shared" ca="1" si="34"/>
        <v>850.34823164354555</v>
      </c>
      <c r="N24" s="426">
        <f t="shared" ca="1" si="34"/>
        <v>894.85074315182271</v>
      </c>
      <c r="O24" s="426">
        <f t="shared" ca="1" si="34"/>
        <v>940.8731062261927</v>
      </c>
      <c r="Q24" s="165" t="s">
        <v>533</v>
      </c>
      <c r="R24" s="426">
        <f t="shared" ref="R24:T24" ca="1" si="35">R22*(R20-R21)</f>
        <v>173.61189565970082</v>
      </c>
      <c r="S24" s="426">
        <f t="shared" ca="1" si="35"/>
        <v>199.00679740085479</v>
      </c>
      <c r="T24" s="426">
        <f t="shared" ca="1" si="35"/>
        <v>197.07917649615098</v>
      </c>
      <c r="U24" s="426">
        <f ca="1">U22*(U20-U21)</f>
        <v>219.95657970534307</v>
      </c>
      <c r="V24" s="426">
        <f ca="1">V22*(V20-V21)</f>
        <v>235.82799533465106</v>
      </c>
      <c r="W24" s="426">
        <f t="shared" ref="W24:AD24" ca="1" si="36">W22*(W20-W21)</f>
        <v>252.00943056500105</v>
      </c>
      <c r="X24" s="426">
        <f t="shared" ca="1" si="36"/>
        <v>266.56619405491074</v>
      </c>
      <c r="Y24" s="426">
        <f t="shared" ca="1" si="36"/>
        <v>280.02454436425461</v>
      </c>
      <c r="Z24" s="426">
        <f t="shared" ca="1" si="36"/>
        <v>295.43614937658134</v>
      </c>
      <c r="AA24" s="426">
        <f t="shared" ca="1" si="36"/>
        <v>311.49595872051447</v>
      </c>
      <c r="AB24" s="426">
        <f t="shared" ca="1" si="36"/>
        <v>328.40398749061046</v>
      </c>
      <c r="AC24" s="426">
        <f t="shared" ca="1" si="36"/>
        <v>346.20583179525278</v>
      </c>
      <c r="AD24" s="426">
        <f t="shared" ca="1" si="36"/>
        <v>364.63770548789415</v>
      </c>
    </row>
    <row r="25" spans="2:30">
      <c r="B25" s="165" t="s">
        <v>534</v>
      </c>
      <c r="C25" s="426">
        <f t="shared" ref="C25:E25" si="37">C23*C21</f>
        <v>0</v>
      </c>
      <c r="D25" s="426">
        <f t="shared" ca="1" si="37"/>
        <v>122.36305053837268</v>
      </c>
      <c r="E25" s="426">
        <f t="shared" ca="1" si="37"/>
        <v>79.142641337635325</v>
      </c>
      <c r="F25" s="426">
        <f ca="1">F23*F21</f>
        <v>112.96192988717218</v>
      </c>
      <c r="G25" s="426">
        <f ca="1">G23*G21</f>
        <v>163.77412332150666</v>
      </c>
      <c r="H25" s="426">
        <f t="shared" ref="H25:I25" ca="1" si="38">H23*H21</f>
        <v>198.1797919325098</v>
      </c>
      <c r="I25" s="426">
        <f t="shared" ca="1" si="38"/>
        <v>170.11026976893041</v>
      </c>
      <c r="J25" s="426">
        <f ca="1">J23*J21</f>
        <v>200.36365520816179</v>
      </c>
      <c r="K25" s="426">
        <f t="shared" ref="K25:O25" ca="1" si="39">K23*K21</f>
        <v>220.12172899233147</v>
      </c>
      <c r="L25" s="426">
        <f t="shared" ca="1" si="39"/>
        <v>241.14018984825361</v>
      </c>
      <c r="M25" s="426">
        <f t="shared" ca="1" si="39"/>
        <v>262.61797292103523</v>
      </c>
      <c r="N25" s="426">
        <f t="shared" ca="1" si="39"/>
        <v>283.09043999949733</v>
      </c>
      <c r="O25" s="426">
        <f t="shared" ca="1" si="39"/>
        <v>277.99023903434505</v>
      </c>
      <c r="Q25" s="165" t="s">
        <v>534</v>
      </c>
      <c r="R25" s="426">
        <f t="shared" ref="R25:T25" si="40">R23*R21</f>
        <v>0</v>
      </c>
      <c r="S25" s="426">
        <f t="shared" ca="1" si="40"/>
        <v>95.125311190565412</v>
      </c>
      <c r="T25" s="426">
        <f t="shared" ca="1" si="40"/>
        <v>95.738204618822934</v>
      </c>
      <c r="U25" s="426">
        <f ca="1">U23*U21</f>
        <v>114.41043365959986</v>
      </c>
      <c r="V25" s="426">
        <f ca="1">V23*V21</f>
        <v>99.861181277721712</v>
      </c>
      <c r="W25" s="426">
        <f t="shared" ref="W25:X25" ca="1" si="41">W23*W21</f>
        <v>64.503985184802318</v>
      </c>
      <c r="X25" s="426">
        <f t="shared" ca="1" si="41"/>
        <v>40.801284188817498</v>
      </c>
      <c r="Y25" s="426">
        <f ca="1">Y23*Y21</f>
        <v>76.737335220808177</v>
      </c>
      <c r="Z25" s="426">
        <f t="shared" ref="Z25:AD25" ca="1" si="42">Z23*Z21</f>
        <v>86.319553259485474</v>
      </c>
      <c r="AA25" s="426">
        <f t="shared" ca="1" si="42"/>
        <v>99.531466797811959</v>
      </c>
      <c r="AB25" s="426">
        <f t="shared" ca="1" si="42"/>
        <v>113.29170408694236</v>
      </c>
      <c r="AC25" s="426">
        <f t="shared" ca="1" si="42"/>
        <v>121.62825717261936</v>
      </c>
      <c r="AD25" s="426">
        <f t="shared" ca="1" si="42"/>
        <v>114.71283091872414</v>
      </c>
    </row>
    <row r="26" spans="2:30">
      <c r="B26" s="165" t="s">
        <v>535</v>
      </c>
      <c r="C26" s="426">
        <f t="shared" ref="C26:E26" ca="1" si="43">C24+C25</f>
        <v>470.97054565768678</v>
      </c>
      <c r="D26" s="426">
        <f t="shared" ca="1" si="43"/>
        <v>662.22432908338476</v>
      </c>
      <c r="E26" s="426">
        <f t="shared" ca="1" si="43"/>
        <v>607.21271987004161</v>
      </c>
      <c r="F26" s="426">
        <f t="shared" ref="F26:J26" ca="1" si="44">F24+F25</f>
        <v>692.6674537367519</v>
      </c>
      <c r="G26" s="426">
        <f t="shared" ca="1" si="44"/>
        <v>775.45678850276897</v>
      </c>
      <c r="H26" s="426">
        <f t="shared" ca="1" si="44"/>
        <v>846.84994956029641</v>
      </c>
      <c r="I26" s="426">
        <f t="shared" ca="1" si="44"/>
        <v>857.92812928286207</v>
      </c>
      <c r="J26" s="426">
        <f t="shared" ca="1" si="44"/>
        <v>926.28730462392787</v>
      </c>
      <c r="K26" s="426">
        <f t="shared" ref="K26:O26" ca="1" si="45">K24+K25</f>
        <v>986.07233919100088</v>
      </c>
      <c r="L26" s="426">
        <f t="shared" ca="1" si="45"/>
        <v>1048.5368662189428</v>
      </c>
      <c r="M26" s="426">
        <f t="shared" ca="1" si="45"/>
        <v>1112.9662045645807</v>
      </c>
      <c r="N26" s="426">
        <f t="shared" ca="1" si="45"/>
        <v>1177.94118315132</v>
      </c>
      <c r="O26" s="426">
        <f t="shared" ca="1" si="45"/>
        <v>1218.8633452605377</v>
      </c>
      <c r="Q26" s="165" t="s">
        <v>535</v>
      </c>
      <c r="R26" s="426">
        <f t="shared" ref="R26:T26" ca="1" si="46">R24+R25</f>
        <v>173.61189565970082</v>
      </c>
      <c r="S26" s="426">
        <f t="shared" ca="1" si="46"/>
        <v>294.13210859142021</v>
      </c>
      <c r="T26" s="426">
        <f t="shared" ca="1" si="46"/>
        <v>292.8173811149739</v>
      </c>
      <c r="U26" s="426">
        <f t="shared" ref="U26:AD26" ca="1" si="47">U24+U25</f>
        <v>334.36701336494292</v>
      </c>
      <c r="V26" s="426">
        <f t="shared" ca="1" si="47"/>
        <v>335.68917661237276</v>
      </c>
      <c r="W26" s="426">
        <f t="shared" ca="1" si="47"/>
        <v>316.51341574980336</v>
      </c>
      <c r="X26" s="426">
        <f t="shared" ca="1" si="47"/>
        <v>307.36747824372821</v>
      </c>
      <c r="Y26" s="426">
        <f t="shared" ca="1" si="47"/>
        <v>356.76187958506279</v>
      </c>
      <c r="Z26" s="426">
        <f t="shared" ca="1" si="47"/>
        <v>381.75570263606681</v>
      </c>
      <c r="AA26" s="426">
        <f t="shared" ca="1" si="47"/>
        <v>411.02742551832642</v>
      </c>
      <c r="AB26" s="426">
        <f t="shared" ca="1" si="47"/>
        <v>441.69569157755279</v>
      </c>
      <c r="AC26" s="426">
        <f t="shared" ca="1" si="47"/>
        <v>467.83408896787216</v>
      </c>
      <c r="AD26" s="426">
        <f t="shared" ca="1" si="47"/>
        <v>479.35053640661829</v>
      </c>
    </row>
    <row r="27" spans="2:30">
      <c r="B27" s="165" t="s">
        <v>522</v>
      </c>
      <c r="C27" s="426">
        <f t="shared" ref="C27:O27" si="48">$D$9</f>
        <v>4215.8802549019601</v>
      </c>
      <c r="D27" s="426">
        <f t="shared" si="48"/>
        <v>4215.8802549019601</v>
      </c>
      <c r="E27" s="426">
        <f t="shared" si="48"/>
        <v>4215.8802549019601</v>
      </c>
      <c r="F27" s="426">
        <f t="shared" si="48"/>
        <v>4215.8802549019601</v>
      </c>
      <c r="G27" s="426">
        <f t="shared" si="48"/>
        <v>4215.8802549019601</v>
      </c>
      <c r="H27" s="426">
        <f t="shared" si="48"/>
        <v>4215.8802549019601</v>
      </c>
      <c r="I27" s="426">
        <f t="shared" si="48"/>
        <v>4215.8802549019601</v>
      </c>
      <c r="J27" s="426">
        <f t="shared" si="48"/>
        <v>4215.8802549019601</v>
      </c>
      <c r="K27" s="426">
        <f t="shared" si="48"/>
        <v>4215.8802549019601</v>
      </c>
      <c r="L27" s="426">
        <f t="shared" si="48"/>
        <v>4215.8802549019601</v>
      </c>
      <c r="M27" s="426">
        <f t="shared" si="48"/>
        <v>4215.8802549019601</v>
      </c>
      <c r="N27" s="426">
        <f t="shared" si="48"/>
        <v>4215.8802549019601</v>
      </c>
      <c r="O27" s="426">
        <f t="shared" si="48"/>
        <v>4215.8802549019601</v>
      </c>
      <c r="Q27" s="165" t="s">
        <v>522</v>
      </c>
      <c r="R27" s="426">
        <f t="shared" ref="R27:AD27" si="49">$D$9</f>
        <v>4215.8802549019601</v>
      </c>
      <c r="S27" s="426">
        <f t="shared" si="49"/>
        <v>4215.8802549019601</v>
      </c>
      <c r="T27" s="426">
        <f t="shared" si="49"/>
        <v>4215.8802549019601</v>
      </c>
      <c r="U27" s="426">
        <f t="shared" si="49"/>
        <v>4215.8802549019601</v>
      </c>
      <c r="V27" s="426">
        <f t="shared" si="49"/>
        <v>4215.8802549019601</v>
      </c>
      <c r="W27" s="426">
        <f t="shared" si="49"/>
        <v>4215.8802549019601</v>
      </c>
      <c r="X27" s="426">
        <f t="shared" si="49"/>
        <v>4215.8802549019601</v>
      </c>
      <c r="Y27" s="426">
        <f t="shared" si="49"/>
        <v>4215.8802549019601</v>
      </c>
      <c r="Z27" s="426">
        <f t="shared" si="49"/>
        <v>4215.8802549019601</v>
      </c>
      <c r="AA27" s="426">
        <f t="shared" si="49"/>
        <v>4215.8802549019601</v>
      </c>
      <c r="AB27" s="426">
        <f t="shared" si="49"/>
        <v>4215.8802549019601</v>
      </c>
      <c r="AC27" s="426">
        <f t="shared" si="49"/>
        <v>4215.8802549019601</v>
      </c>
      <c r="AD27" s="426">
        <f t="shared" si="49"/>
        <v>4215.8802549019601</v>
      </c>
    </row>
    <row r="28" spans="2:30">
      <c r="B28" s="159" t="s">
        <v>21</v>
      </c>
      <c r="C28" s="441">
        <f t="shared" ref="C28:E28" ca="1" si="50">C26*C27</f>
        <v>1985555.4240786438</v>
      </c>
      <c r="D28" s="441">
        <f t="shared" ca="1" si="50"/>
        <v>2791858.4732983396</v>
      </c>
      <c r="E28" s="441">
        <f t="shared" ca="1" si="50"/>
        <v>2559936.1162254238</v>
      </c>
      <c r="F28" s="441">
        <f t="shared" ref="F28:I28" ca="1" si="51">F26*F27</f>
        <v>2920203.0414219894</v>
      </c>
      <c r="G28" s="441">
        <f t="shared" ca="1" si="51"/>
        <v>3269232.9631785089</v>
      </c>
      <c r="H28" s="441">
        <f t="shared" ca="1" si="51"/>
        <v>3570217.9812159743</v>
      </c>
      <c r="I28" s="441">
        <f t="shared" ca="1" si="51"/>
        <v>3616922.2603685944</v>
      </c>
      <c r="J28" s="441">
        <f ca="1">J26*J27</f>
        <v>3905116.3579303748</v>
      </c>
      <c r="K28" s="441">
        <f t="shared" ref="K28:O28" ca="1" si="52">K26*K27</f>
        <v>4157162.9047003291</v>
      </c>
      <c r="L28" s="441">
        <f t="shared" ca="1" si="52"/>
        <v>4420505.870829219</v>
      </c>
      <c r="M28" s="441">
        <f t="shared" ca="1" si="52"/>
        <v>4692132.2461969918</v>
      </c>
      <c r="N28" s="441">
        <f t="shared" ca="1" si="52"/>
        <v>4966058.9754835041</v>
      </c>
      <c r="O28" s="441">
        <f t="shared" ca="1" si="52"/>
        <v>5138581.9107076516</v>
      </c>
      <c r="Q28" s="159" t="s">
        <v>21</v>
      </c>
      <c r="R28" s="441">
        <f t="shared" ref="R28:T28" ca="1" si="53">R26*R27</f>
        <v>731926.96292783204</v>
      </c>
      <c r="S28" s="441">
        <f t="shared" ca="1" si="53"/>
        <v>1240025.7489432476</v>
      </c>
      <c r="T28" s="441">
        <f t="shared" ca="1" si="53"/>
        <v>1234483.0153347205</v>
      </c>
      <c r="U28" s="441">
        <f t="shared" ref="U28:AD28" ca="1" si="54">U26*U27</f>
        <v>1409651.2895358028</v>
      </c>
      <c r="V28" s="441">
        <f t="shared" ca="1" si="54"/>
        <v>1415225.3714643992</v>
      </c>
      <c r="W28" s="441">
        <f t="shared" ca="1" si="54"/>
        <v>1334382.659871171</v>
      </c>
      <c r="X28" s="441">
        <f t="shared" ca="1" si="54"/>
        <v>1295824.4825267417</v>
      </c>
      <c r="Y28" s="441">
        <f t="shared" ca="1" si="54"/>
        <v>1504065.363844377</v>
      </c>
      <c r="Z28" s="441">
        <f t="shared" ca="1" si="54"/>
        <v>1609436.3289396183</v>
      </c>
      <c r="AA28" s="441">
        <f t="shared" ca="1" si="54"/>
        <v>1732842.4074658984</v>
      </c>
      <c r="AB28" s="441">
        <f t="shared" ca="1" si="54"/>
        <v>1862136.1447970709</v>
      </c>
      <c r="AC28" s="441">
        <f t="shared" ca="1" si="54"/>
        <v>1972332.4982496991</v>
      </c>
      <c r="AD28" s="441">
        <f t="shared" ca="1" si="54"/>
        <v>2020884.4616133252</v>
      </c>
    </row>
    <row r="29" spans="2:30">
      <c r="F29" s="426"/>
      <c r="G29" s="426"/>
      <c r="H29" s="426"/>
      <c r="I29" s="426"/>
      <c r="J29" s="426"/>
      <c r="K29" s="426"/>
      <c r="L29" s="426"/>
      <c r="U29" s="426"/>
      <c r="V29" s="426"/>
      <c r="W29" s="426"/>
      <c r="X29" s="426"/>
      <c r="Y29" s="426"/>
      <c r="Z29" s="426"/>
      <c r="AA29" s="426"/>
    </row>
    <row r="30" spans="2:30">
      <c r="B30" s="159" t="s">
        <v>13</v>
      </c>
      <c r="C30" s="165">
        <v>2019</v>
      </c>
      <c r="D30" s="165">
        <v>2020</v>
      </c>
      <c r="E30" s="165">
        <v>2021</v>
      </c>
      <c r="F30" s="165">
        <v>2022</v>
      </c>
      <c r="G30" s="165">
        <v>2023</v>
      </c>
      <c r="H30" s="165">
        <v>2024</v>
      </c>
      <c r="I30" s="165">
        <v>2025</v>
      </c>
      <c r="J30" s="165">
        <v>2026</v>
      </c>
      <c r="K30" s="165">
        <v>2027</v>
      </c>
      <c r="L30" s="165">
        <v>2028</v>
      </c>
      <c r="M30" s="165">
        <v>2029</v>
      </c>
      <c r="N30" s="165">
        <v>2030</v>
      </c>
      <c r="O30" s="165">
        <v>2031</v>
      </c>
      <c r="Q30" s="159"/>
      <c r="T30" s="159"/>
    </row>
    <row r="31" spans="2:30">
      <c r="B31" s="165" t="s">
        <v>529</v>
      </c>
      <c r="C31" s="175">
        <f ca="1">OFFSET('Customer Count'!$G$9,COLUMN()-COLUMN(Heating!$E$20),0)</f>
        <v>1565.125</v>
      </c>
      <c r="D31" s="175">
        <f ca="1">OFFSET('Customer Count'!$G$9,COLUMN()-COLUMN(Heating!$E$20),0)</f>
        <v>1561</v>
      </c>
      <c r="E31" s="175">
        <f ca="1">OFFSET('Customer Count'!$G$9,COLUMN()-COLUMN(Heating!$E$20),0)</f>
        <v>1558.8333333333339</v>
      </c>
      <c r="F31" s="175">
        <f ca="1">OFFSET('Customer Count'!$G$9,COLUMN()-COLUMN(Heating!$E$20),0)</f>
        <v>1559.1666666666661</v>
      </c>
      <c r="G31" s="175">
        <f ca="1">OFFSET('Customer Count'!$G$9,COLUMN()-COLUMN(Heating!$E$20),0)</f>
        <v>1562.625</v>
      </c>
      <c r="H31" s="175">
        <f ca="1">OFFSET('Customer Count'!$G$9,COLUMN()-COLUMN(Heating!$E$20),0)</f>
        <v>1561.8333333333339</v>
      </c>
      <c r="I31" s="175">
        <f ca="1">OFFSET('Customer Count'!$G$9,COLUMN()-COLUMN(Heating!$E$20),0)</f>
        <v>1553.5</v>
      </c>
      <c r="J31" s="175">
        <f ca="1">OFFSET('Customer Count'!$G$9,COLUMN()-COLUMN(Heating!$E$20),0)</f>
        <v>1549.9573994549814</v>
      </c>
      <c r="K31" s="175">
        <f ca="1">OFFSET('Customer Count'!$G$9,COLUMN()-COLUMN(Heating!$E$20),0)</f>
        <v>1546.4228774542962</v>
      </c>
      <c r="L31" s="175">
        <f ca="1">OFFSET('Customer Count'!$G$9,COLUMN()-COLUMN(Heating!$E$20),0)</f>
        <v>1542.896415575636</v>
      </c>
      <c r="M31" s="175">
        <f ca="1">OFFSET('Customer Count'!$G$9,COLUMN()-COLUMN(Heating!$E$20),0)</f>
        <v>1539.377995438703</v>
      </c>
      <c r="N31" s="175">
        <f ca="1">OFFSET('Customer Count'!$G$9,COLUMN()-COLUMN(Heating!$E$20),0)</f>
        <v>1535.867598705114</v>
      </c>
      <c r="O31" s="175">
        <f ca="1">OFFSET('Customer Count'!$G$9,COLUMN()-COLUMN(Heating!$E$20),0)</f>
        <v>1532.3652070783044</v>
      </c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</row>
    <row r="32" spans="2:30">
      <c r="B32" s="165" t="s">
        <v>530</v>
      </c>
      <c r="C32" s="426"/>
      <c r="D32" s="426">
        <f ca="1">D31-C31</f>
        <v>-4.125</v>
      </c>
      <c r="E32" s="426">
        <f t="shared" ref="E32" ca="1" si="55">E31-D31</f>
        <v>-2.1666666666660603</v>
      </c>
      <c r="F32" s="426">
        <f ca="1">F31-E31</f>
        <v>0.33333333333212067</v>
      </c>
      <c r="G32" s="426">
        <f t="shared" ref="G32" ca="1" si="56">G31-F31</f>
        <v>3.4583333333339397</v>
      </c>
      <c r="H32" s="426">
        <f t="shared" ref="H32" ca="1" si="57">H31-G31</f>
        <v>-0.79166666666606034</v>
      </c>
      <c r="I32" s="426">
        <f t="shared" ref="I32" ca="1" si="58">I31-H31</f>
        <v>-8.3333333333339397</v>
      </c>
      <c r="J32" s="426">
        <f t="shared" ref="J32" ca="1" si="59">J31-I31</f>
        <v>-3.5426005450185585</v>
      </c>
      <c r="K32" s="426">
        <f t="shared" ref="K32" ca="1" si="60">K31-J31</f>
        <v>-3.5345220006852287</v>
      </c>
      <c r="L32" s="426">
        <f t="shared" ref="L32" ca="1" si="61">L31-K31</f>
        <v>-3.5264618786602568</v>
      </c>
      <c r="M32" s="426">
        <f t="shared" ref="M32" ca="1" si="62">M31-L31</f>
        <v>-3.5184201369329458</v>
      </c>
      <c r="N32" s="426">
        <f t="shared" ref="N32" ca="1" si="63">N31-M31</f>
        <v>-3.5103967335890047</v>
      </c>
      <c r="O32" s="426">
        <f t="shared" ref="O32" ca="1" si="64">O31-N31</f>
        <v>-3.50239162680964</v>
      </c>
      <c r="W32" s="426"/>
      <c r="X32" s="426"/>
      <c r="Y32" s="426"/>
      <c r="Z32" s="426"/>
      <c r="AA32" s="426"/>
      <c r="AB32" s="426"/>
      <c r="AC32" s="426"/>
      <c r="AD32" s="426"/>
    </row>
    <row r="33" spans="2:30">
      <c r="B33" s="165" t="s">
        <v>531</v>
      </c>
      <c r="C33" s="152">
        <f>C34/20</f>
        <v>4.2444739702862545E-3</v>
      </c>
      <c r="D33" s="152">
        <f t="shared" ref="D33" si="65">D34/20</f>
        <v>4.8653300412871839E-3</v>
      </c>
      <c r="E33" s="152">
        <f t="shared" ref="E33" si="66">E34/20</f>
        <v>4.7057362801092625E-3</v>
      </c>
      <c r="F33" s="152">
        <f t="shared" ref="F33:I33" si="67">F34/20</f>
        <v>5.1274469820554768E-3</v>
      </c>
      <c r="G33" s="437">
        <f t="shared" si="67"/>
        <v>5.3580781369669591E-3</v>
      </c>
      <c r="H33" s="437">
        <f t="shared" si="67"/>
        <v>5.6070106643799633E-3</v>
      </c>
      <c r="I33" s="437">
        <f t="shared" si="67"/>
        <v>5.8559431917929675E-3</v>
      </c>
      <c r="J33" s="437">
        <f>J34/20</f>
        <v>6.1048757192058824E-3</v>
      </c>
      <c r="K33" s="437">
        <f t="shared" ref="K33:O33" si="68">K34/20</f>
        <v>6.3538082466188858E-3</v>
      </c>
      <c r="L33" s="437">
        <f t="shared" si="68"/>
        <v>6.60274077403189E-3</v>
      </c>
      <c r="M33" s="437">
        <f t="shared" si="68"/>
        <v>6.8516733014448048E-3</v>
      </c>
      <c r="N33" s="437">
        <f t="shared" si="68"/>
        <v>7.1006058288578091E-3</v>
      </c>
      <c r="O33" s="437">
        <f t="shared" si="68"/>
        <v>7.3495383562708124E-3</v>
      </c>
      <c r="W33" s="152"/>
      <c r="X33" s="152"/>
      <c r="Y33" s="152"/>
      <c r="Z33" s="152"/>
      <c r="AA33" s="152"/>
      <c r="AB33" s="152"/>
      <c r="AC33" s="152"/>
      <c r="AD33" s="152"/>
    </row>
    <row r="34" spans="2:30">
      <c r="B34" s="165" t="s">
        <v>532</v>
      </c>
      <c r="C34" s="428">
        <f>C23</f>
        <v>8.4889479405725096E-2</v>
      </c>
      <c r="D34" s="428">
        <f t="shared" ref="D34:O34" si="69">D23</f>
        <v>9.7306600825743675E-2</v>
      </c>
      <c r="E34" s="428">
        <f t="shared" si="69"/>
        <v>9.4114725602185242E-2</v>
      </c>
      <c r="F34" s="428">
        <f t="shared" si="69"/>
        <v>0.10254893964110953</v>
      </c>
      <c r="G34" s="428">
        <f t="shared" si="69"/>
        <v>0.10716156273933919</v>
      </c>
      <c r="H34" s="428">
        <f t="shared" si="69"/>
        <v>0.11214021328759927</v>
      </c>
      <c r="I34" s="428">
        <f t="shared" si="69"/>
        <v>0.11711886383585934</v>
      </c>
      <c r="J34" s="428">
        <f t="shared" si="69"/>
        <v>0.12209751438411764</v>
      </c>
      <c r="K34" s="428">
        <f t="shared" si="69"/>
        <v>0.12707616493237772</v>
      </c>
      <c r="L34" s="428">
        <f t="shared" si="69"/>
        <v>0.1320548154806378</v>
      </c>
      <c r="M34" s="428">
        <f t="shared" si="69"/>
        <v>0.1370334660288961</v>
      </c>
      <c r="N34" s="428">
        <f t="shared" si="69"/>
        <v>0.14201211657715618</v>
      </c>
      <c r="O34" s="428">
        <f t="shared" si="69"/>
        <v>0.14699076712541626</v>
      </c>
      <c r="W34" s="428"/>
      <c r="X34" s="428"/>
      <c r="Y34" s="428"/>
      <c r="Z34" s="428"/>
      <c r="AA34" s="428"/>
      <c r="AB34" s="428"/>
      <c r="AC34" s="428"/>
      <c r="AD34" s="428"/>
    </row>
    <row r="35" spans="2:30">
      <c r="B35" s="165" t="s">
        <v>533</v>
      </c>
      <c r="C35" s="426">
        <f t="shared" ref="C35:E35" ca="1" si="70">C33*(C31-C32)</f>
        <v>6.6431323227442745</v>
      </c>
      <c r="D35" s="426">
        <f ca="1">D33*(D31-D32)</f>
        <v>7.6148496808696038</v>
      </c>
      <c r="E35" s="426">
        <f t="shared" ca="1" si="70"/>
        <v>7.3456543332505584</v>
      </c>
      <c r="F35" s="426">
        <f ca="1">F33*(F31-F32)</f>
        <v>7.9928352705274825</v>
      </c>
      <c r="G35" s="426">
        <f ca="1">G33*(G31-G32)</f>
        <v>8.3541368285543136</v>
      </c>
      <c r="H35" s="426">
        <f t="shared" ref="H35:O35" ca="1" si="71">H33*(H31-H32)</f>
        <v>8.7616550394267403</v>
      </c>
      <c r="I35" s="426">
        <f t="shared" ca="1" si="71"/>
        <v>9.1460072750486532</v>
      </c>
      <c r="J35" s="426">
        <f ca="1">J33*(J31-J32)</f>
        <v>9.4839244297863381</v>
      </c>
      <c r="K35" s="426">
        <f t="shared" ca="1" si="71"/>
        <v>9.8481321065650231</v>
      </c>
      <c r="L35" s="426">
        <f t="shared" ca="1" si="71"/>
        <v>10.210629386863202</v>
      </c>
      <c r="M35" s="426">
        <f t="shared" ca="1" si="71"/>
        <v>10.571422177494473</v>
      </c>
      <c r="N35" s="426">
        <f t="shared" ca="1" si="71"/>
        <v>10.930516367227504</v>
      </c>
      <c r="O35" s="426">
        <f t="shared" ca="1" si="71"/>
        <v>11.287917826836784</v>
      </c>
      <c r="W35" s="426"/>
      <c r="X35" s="426"/>
      <c r="Y35" s="426"/>
      <c r="Z35" s="426"/>
      <c r="AA35" s="426"/>
      <c r="AB35" s="426"/>
      <c r="AC35" s="426"/>
      <c r="AD35" s="426"/>
    </row>
    <row r="36" spans="2:30">
      <c r="B36" s="165" t="s">
        <v>534</v>
      </c>
      <c r="C36" s="426">
        <f t="shared" ref="C36" si="72">MAX(C34*C32,0)</f>
        <v>0</v>
      </c>
      <c r="D36" s="426">
        <f ca="1">MAX(D34*D32,0)</f>
        <v>0</v>
      </c>
      <c r="E36" s="426">
        <f ca="1">MAX(E34*E32,0)</f>
        <v>0</v>
      </c>
      <c r="F36" s="426">
        <f ca="1">MAX(F34*F32,0)</f>
        <v>3.418297988024549E-2</v>
      </c>
      <c r="G36" s="426">
        <f ca="1">MAX(G34*G32,0)</f>
        <v>0.37060040447361298</v>
      </c>
      <c r="H36" s="426">
        <f t="shared" ref="H36:O36" ca="1" si="73">MAX(H34*H32,0)</f>
        <v>0</v>
      </c>
      <c r="I36" s="426">
        <f t="shared" ca="1" si="73"/>
        <v>0</v>
      </c>
      <c r="J36" s="426">
        <f t="shared" ca="1" si="73"/>
        <v>0</v>
      </c>
      <c r="K36" s="426">
        <f t="shared" ca="1" si="73"/>
        <v>0</v>
      </c>
      <c r="L36" s="426">
        <f t="shared" ca="1" si="73"/>
        <v>0</v>
      </c>
      <c r="M36" s="426">
        <f t="shared" ca="1" si="73"/>
        <v>0</v>
      </c>
      <c r="N36" s="426">
        <f t="shared" ca="1" si="73"/>
        <v>0</v>
      </c>
      <c r="O36" s="426">
        <f t="shared" ca="1" si="73"/>
        <v>0</v>
      </c>
      <c r="U36" s="426"/>
      <c r="V36" s="426"/>
      <c r="W36" s="426"/>
      <c r="X36" s="426"/>
      <c r="Y36" s="426"/>
      <c r="Z36" s="426"/>
      <c r="AA36" s="426"/>
      <c r="AB36" s="426"/>
      <c r="AC36" s="426"/>
      <c r="AD36" s="426"/>
    </row>
    <row r="37" spans="2:30">
      <c r="B37" s="165" t="s">
        <v>535</v>
      </c>
      <c r="C37" s="426">
        <f t="shared" ref="C37:E37" ca="1" si="74">C35+C36</f>
        <v>6.6431323227442745</v>
      </c>
      <c r="D37" s="426">
        <f t="shared" ca="1" si="74"/>
        <v>7.6148496808696038</v>
      </c>
      <c r="E37" s="426">
        <f t="shared" ca="1" si="74"/>
        <v>7.3456543332505584</v>
      </c>
      <c r="F37" s="426">
        <f t="shared" ref="F37:O37" ca="1" si="75">F35+F36</f>
        <v>8.0270182504077283</v>
      </c>
      <c r="G37" s="426">
        <f t="shared" ca="1" si="75"/>
        <v>8.7247372330279269</v>
      </c>
      <c r="H37" s="426">
        <f t="shared" ca="1" si="75"/>
        <v>8.7616550394267403</v>
      </c>
      <c r="I37" s="426">
        <f t="shared" ca="1" si="75"/>
        <v>9.1460072750486532</v>
      </c>
      <c r="J37" s="426">
        <f t="shared" ca="1" si="75"/>
        <v>9.4839244297863381</v>
      </c>
      <c r="K37" s="426">
        <f t="shared" ca="1" si="75"/>
        <v>9.8481321065650231</v>
      </c>
      <c r="L37" s="426">
        <f t="shared" ca="1" si="75"/>
        <v>10.210629386863202</v>
      </c>
      <c r="M37" s="426">
        <f t="shared" ca="1" si="75"/>
        <v>10.571422177494473</v>
      </c>
      <c r="N37" s="426">
        <f t="shared" ca="1" si="75"/>
        <v>10.930516367227504</v>
      </c>
      <c r="O37" s="426">
        <f t="shared" ca="1" si="75"/>
        <v>11.287917826836784</v>
      </c>
      <c r="U37" s="426"/>
      <c r="V37" s="426"/>
      <c r="W37" s="426"/>
      <c r="X37" s="426"/>
      <c r="Y37" s="426"/>
      <c r="Z37" s="426"/>
      <c r="AA37" s="426"/>
      <c r="AB37" s="426"/>
      <c r="AC37" s="426"/>
      <c r="AD37" s="426"/>
    </row>
    <row r="38" spans="2:30">
      <c r="B38" s="165" t="s">
        <v>522</v>
      </c>
      <c r="C38" s="426">
        <f t="shared" ref="C38:O38" si="76">$D$9</f>
        <v>4215.8802549019601</v>
      </c>
      <c r="D38" s="426">
        <f t="shared" si="76"/>
        <v>4215.8802549019601</v>
      </c>
      <c r="E38" s="426">
        <f t="shared" si="76"/>
        <v>4215.8802549019601</v>
      </c>
      <c r="F38" s="426">
        <f t="shared" si="76"/>
        <v>4215.8802549019601</v>
      </c>
      <c r="G38" s="426">
        <f t="shared" si="76"/>
        <v>4215.8802549019601</v>
      </c>
      <c r="H38" s="426">
        <f t="shared" si="76"/>
        <v>4215.8802549019601</v>
      </c>
      <c r="I38" s="426">
        <f t="shared" si="76"/>
        <v>4215.8802549019601</v>
      </c>
      <c r="J38" s="426">
        <f t="shared" si="76"/>
        <v>4215.8802549019601</v>
      </c>
      <c r="K38" s="426">
        <f t="shared" si="76"/>
        <v>4215.8802549019601</v>
      </c>
      <c r="L38" s="426">
        <f t="shared" si="76"/>
        <v>4215.8802549019601</v>
      </c>
      <c r="M38" s="426">
        <f t="shared" si="76"/>
        <v>4215.8802549019601</v>
      </c>
      <c r="N38" s="426">
        <f t="shared" si="76"/>
        <v>4215.8802549019601</v>
      </c>
      <c r="O38" s="426">
        <f t="shared" si="76"/>
        <v>4215.8802549019601</v>
      </c>
      <c r="U38" s="426"/>
      <c r="V38" s="426"/>
      <c r="W38" s="426"/>
      <c r="X38" s="426"/>
      <c r="Y38" s="426"/>
      <c r="Z38" s="426"/>
      <c r="AA38" s="426"/>
      <c r="AB38" s="426"/>
      <c r="AC38" s="426"/>
      <c r="AD38" s="426"/>
    </row>
    <row r="39" spans="2:30">
      <c r="B39" s="159" t="s">
        <v>21</v>
      </c>
      <c r="C39" s="441">
        <f t="shared" ref="C39:E39" ca="1" si="77">C37*C38</f>
        <v>28006.650390158582</v>
      </c>
      <c r="D39" s="441">
        <f t="shared" ca="1" si="77"/>
        <v>32103.294413624655</v>
      </c>
      <c r="E39" s="441">
        <f t="shared" ca="1" si="77"/>
        <v>30968.399062886052</v>
      </c>
      <c r="F39" s="441">
        <f t="shared" ref="F39:O39" ca="1" si="78">F37*F38</f>
        <v>33840.947747631617</v>
      </c>
      <c r="G39" s="441">
        <f t="shared" ca="1" si="78"/>
        <v>36782.447429930398</v>
      </c>
      <c r="H39" s="441">
        <f t="shared" ca="1" si="78"/>
        <v>36938.088480981452</v>
      </c>
      <c r="I39" s="441">
        <f t="shared" ca="1" si="78"/>
        <v>38558.471482067296</v>
      </c>
      <c r="J39" s="441">
        <f t="shared" ca="1" si="78"/>
        <v>39983.089742518554</v>
      </c>
      <c r="K39" s="441">
        <f t="shared" ca="1" si="78"/>
        <v>41518.545695733526</v>
      </c>
      <c r="L39" s="441">
        <f t="shared" ca="1" si="78"/>
        <v>43046.79082219828</v>
      </c>
      <c r="M39" s="441">
        <f t="shared" ca="1" si="78"/>
        <v>44567.85002433163</v>
      </c>
      <c r="N39" s="441">
        <f t="shared" ca="1" si="78"/>
        <v>46081.748128477135</v>
      </c>
      <c r="O39" s="441">
        <f t="shared" ca="1" si="78"/>
        <v>47588.509885117041</v>
      </c>
      <c r="Q39" s="159"/>
      <c r="T39" s="159"/>
      <c r="U39" s="441"/>
      <c r="V39" s="441"/>
      <c r="W39" s="441"/>
      <c r="X39" s="441"/>
      <c r="Y39" s="441"/>
      <c r="Z39" s="441"/>
      <c r="AA39" s="441"/>
      <c r="AB39" s="441"/>
      <c r="AC39" s="441"/>
      <c r="AD39" s="441"/>
    </row>
    <row r="40" spans="2:30">
      <c r="F40" s="426"/>
      <c r="G40" s="426"/>
      <c r="H40" s="426"/>
      <c r="I40" s="426"/>
      <c r="J40" s="426"/>
      <c r="K40" s="426"/>
      <c r="L40" s="426"/>
      <c r="U40" s="426"/>
      <c r="V40" s="426"/>
      <c r="W40" s="426"/>
      <c r="X40" s="426"/>
      <c r="Y40" s="426"/>
      <c r="Z40" s="426"/>
      <c r="AA40" s="426"/>
    </row>
    <row r="41" spans="2:30">
      <c r="B41" s="159" t="s">
        <v>14</v>
      </c>
      <c r="C41" s="159"/>
      <c r="D41" s="159"/>
      <c r="E41" s="159"/>
      <c r="F41" s="426"/>
      <c r="G41" s="426"/>
      <c r="H41" s="426"/>
      <c r="I41" s="426"/>
      <c r="J41" s="426"/>
      <c r="K41" s="426"/>
      <c r="L41" s="426"/>
      <c r="Q41" s="159" t="s">
        <v>14</v>
      </c>
      <c r="T41" s="159"/>
      <c r="U41" s="426"/>
      <c r="V41" s="426"/>
      <c r="W41" s="426"/>
      <c r="X41" s="426"/>
      <c r="Y41" s="426"/>
      <c r="Z41" s="426"/>
      <c r="AA41" s="426"/>
    </row>
    <row r="42" spans="2:30">
      <c r="B42" s="165" t="s">
        <v>529</v>
      </c>
      <c r="C42" s="175">
        <f ca="1">OFFSET('Customer Count'!$K$9,COLUMN()-COLUMN(Heating!$E$20),0)</f>
        <v>9207.0416666666697</v>
      </c>
      <c r="D42" s="175">
        <f ca="1">OFFSET('Customer Count'!$K$9,COLUMN()-COLUMN(Heating!$E$20),0)</f>
        <v>9277.75</v>
      </c>
      <c r="E42" s="175">
        <f ca="1">OFFSET('Customer Count'!$K$9,COLUMN()-COLUMN(Heating!$E$20),0)</f>
        <v>9314.7083333333303</v>
      </c>
      <c r="F42" s="175">
        <f ca="1">OFFSET('Customer Count'!$K$9,COLUMN()-COLUMN(Heating!$E$20),0)</f>
        <v>9413.2083333333303</v>
      </c>
      <c r="G42" s="175">
        <f ca="1">OFFSET('Customer Count'!$K$9,COLUMN()-COLUMN(Heating!$E$20),0)</f>
        <v>9487.375</v>
      </c>
      <c r="H42" s="175">
        <f ca="1">OFFSET('Customer Count'!$K$9,COLUMN()-COLUMN(Heating!$E$20),0)</f>
        <v>9501.875</v>
      </c>
      <c r="I42" s="175">
        <f ca="1">OFFSET('Customer Count'!$K$9,COLUMN()-COLUMN(Heating!$E$20),0)</f>
        <v>9505.4583333333303</v>
      </c>
      <c r="J42" s="175">
        <f ca="1">OFFSET('Customer Count'!$K$9,COLUMN()-COLUMN(Heating!$E$20),0)</f>
        <v>9568.8600587040273</v>
      </c>
      <c r="K42" s="175">
        <f ca="1">OFFSET('Customer Count'!$K$9,COLUMN()-COLUMN(Heating!$E$20),0)</f>
        <v>9632.6846757059357</v>
      </c>
      <c r="L42" s="175">
        <f ca="1">OFFSET('Customer Count'!$K$9,COLUMN()-COLUMN(Heating!$E$20),0)</f>
        <v>9696.9350050403937</v>
      </c>
      <c r="M42" s="175">
        <f ca="1">OFFSET('Customer Count'!$K$9,COLUMN()-COLUMN(Heating!$E$20),0)</f>
        <v>9761.6138862229145</v>
      </c>
      <c r="N42" s="175">
        <f ca="1">OFFSET('Customer Count'!$K$9,COLUMN()-COLUMN(Heating!$E$20),0)</f>
        <v>9826.7241777086765</v>
      </c>
      <c r="O42" s="175">
        <f ca="1">OFFSET('Customer Count'!$K$9,COLUMN()-COLUMN(Heating!$E$20),0)</f>
        <v>9892.2687570188464</v>
      </c>
      <c r="Q42" s="165" t="s">
        <v>529</v>
      </c>
      <c r="R42" s="175">
        <f ca="1">OFFSET('Customer Count'!$AX$9,COLUMN()-COLUMN(Heating!$T$20),0)</f>
        <v>2261.0416666666674</v>
      </c>
      <c r="S42" s="175">
        <f ca="1">OFFSET('Customer Count'!$AX$9,COLUMN()-COLUMN(Heating!$T$20),0)</f>
        <v>2284.3333333333326</v>
      </c>
      <c r="T42" s="175">
        <f ca="1">OFFSET('Customer Count'!$AX$9,COLUMN()-COLUMN(Heating!$T$20),0)</f>
        <v>2326.625</v>
      </c>
      <c r="U42" s="175">
        <f ca="1">OFFSET('Customer Count'!$AX$9,COLUMN()-COLUMN(Heating!$T$20),0)</f>
        <v>2383.5833333333326</v>
      </c>
      <c r="V42" s="175">
        <f ca="1">OFFSET('Customer Count'!$AX$9,COLUMN()-COLUMN(Heating!$T$20),0)</f>
        <v>2435.2916666666674</v>
      </c>
      <c r="W42" s="175">
        <f ca="1">OFFSET('Customer Count'!$AX$9,COLUMN()-COLUMN(Heating!$T$20),0)</f>
        <v>2464.75</v>
      </c>
      <c r="X42" s="175">
        <f ca="1">OFFSET('Customer Count'!$AX$9,COLUMN()-COLUMN(Heating!$T$20),0)</f>
        <v>2473</v>
      </c>
      <c r="Y42" s="175">
        <f ca="1">OFFSET('Customer Count'!$AX$9,COLUMN()-COLUMN(Heating!$T$20),0)</f>
        <v>2505.1989668447673</v>
      </c>
      <c r="Z42" s="175">
        <f ca="1">OFFSET('Customer Count'!$AX$9,COLUMN()-COLUMN(Heating!$T$20),0)</f>
        <v>2537.8171708370764</v>
      </c>
      <c r="AA42" s="175">
        <f ca="1">OFFSET('Customer Count'!$AX$9,COLUMN()-COLUMN(Heating!$T$20),0)</f>
        <v>2570.8600705305112</v>
      </c>
      <c r="AB42" s="175">
        <f ca="1">OFFSET('Customer Count'!$AX$9,COLUMN()-COLUMN(Heating!$T$20),0)</f>
        <v>2604.3331955501426</v>
      </c>
      <c r="AC42" s="175">
        <f ca="1">OFFSET('Customer Count'!$AX$9,COLUMN()-COLUMN(Heating!$T$20),0)</f>
        <v>2638.2421475178926</v>
      </c>
      <c r="AD42" s="175">
        <f ca="1">OFFSET('Customer Count'!$AX$9,COLUMN()-COLUMN(Heating!$T$20),0)</f>
        <v>2672.5926009899495</v>
      </c>
    </row>
    <row r="43" spans="2:30">
      <c r="B43" s="165" t="s">
        <v>530</v>
      </c>
      <c r="C43" s="426"/>
      <c r="D43" s="426">
        <f t="shared" ref="D43:E43" ca="1" si="79">D42-C42</f>
        <v>70.708333333330302</v>
      </c>
      <c r="E43" s="426">
        <f t="shared" ca="1" si="79"/>
        <v>36.958333333330302</v>
      </c>
      <c r="F43" s="426">
        <f ca="1">F42-E42</f>
        <v>98.5</v>
      </c>
      <c r="G43" s="426">
        <f t="shared" ref="G43:J43" ca="1" si="80">G42-F42</f>
        <v>74.166666666669698</v>
      </c>
      <c r="H43" s="426">
        <f t="shared" ca="1" si="80"/>
        <v>14.5</v>
      </c>
      <c r="I43" s="426">
        <f t="shared" ca="1" si="80"/>
        <v>3.5833333333303017</v>
      </c>
      <c r="J43" s="426">
        <f t="shared" ca="1" si="80"/>
        <v>63.401725370697022</v>
      </c>
      <c r="K43" s="426">
        <f t="shared" ref="K43" ca="1" si="81">K42-J42</f>
        <v>63.824617001908337</v>
      </c>
      <c r="L43" s="426">
        <f t="shared" ref="L43" ca="1" si="82">L42-K42</f>
        <v>64.250329334458002</v>
      </c>
      <c r="M43" s="426">
        <f t="shared" ref="M43" ca="1" si="83">M42-L42</f>
        <v>64.678881182520854</v>
      </c>
      <c r="N43" s="426">
        <f t="shared" ref="N43" ca="1" si="84">N42-M42</f>
        <v>65.110291485761991</v>
      </c>
      <c r="O43" s="426">
        <f t="shared" ref="O43" ca="1" si="85">O42-N42</f>
        <v>65.544579310169865</v>
      </c>
      <c r="Q43" s="165" t="s">
        <v>530</v>
      </c>
      <c r="R43" s="426"/>
      <c r="S43" s="426">
        <f t="shared" ref="S43:T43" ca="1" si="86">S42-R42</f>
        <v>23.291666666665151</v>
      </c>
      <c r="T43" s="426">
        <f t="shared" ca="1" si="86"/>
        <v>42.291666666667425</v>
      </c>
      <c r="U43" s="426">
        <f ca="1">U42-T42</f>
        <v>56.958333333332575</v>
      </c>
      <c r="V43" s="426">
        <f t="shared" ref="V43" ca="1" si="87">V42-U42</f>
        <v>51.708333333334849</v>
      </c>
      <c r="W43" s="426">
        <f t="shared" ref="W43" ca="1" si="88">W42-V42</f>
        <v>29.458333333332575</v>
      </c>
      <c r="X43" s="426">
        <f t="shared" ref="X43" ca="1" si="89">X42-W42</f>
        <v>8.25</v>
      </c>
      <c r="Y43" s="426">
        <f t="shared" ref="Y43" ca="1" si="90">Y42-X42</f>
        <v>32.198966844767256</v>
      </c>
      <c r="Z43" s="426">
        <f t="shared" ref="Z43" ca="1" si="91">Z42-Y42</f>
        <v>32.618203992309191</v>
      </c>
      <c r="AA43" s="426">
        <f t="shared" ref="AA43" ca="1" si="92">AA42-Z42</f>
        <v>33.04289969343472</v>
      </c>
      <c r="AB43" s="426">
        <f t="shared" ref="AB43" ca="1" si="93">AB42-AA42</f>
        <v>33.473125019631425</v>
      </c>
      <c r="AC43" s="426">
        <f t="shared" ref="AC43" ca="1" si="94">AC42-AB42</f>
        <v>33.908951967749999</v>
      </c>
      <c r="AD43" s="426">
        <f t="shared" ref="AD43" ca="1" si="95">AD42-AC42</f>
        <v>34.35045347205687</v>
      </c>
    </row>
    <row r="44" spans="2:30">
      <c r="B44" s="165" t="s">
        <v>531</v>
      </c>
      <c r="C44" s="152">
        <f>C45/20</f>
        <v>4.2444739702862545E-3</v>
      </c>
      <c r="D44" s="152">
        <f t="shared" ref="D44" si="96">D45/20</f>
        <v>4.8653300412871839E-3</v>
      </c>
      <c r="E44" s="152">
        <f t="shared" ref="E44" si="97">E45/20</f>
        <v>4.7057362801092625E-3</v>
      </c>
      <c r="F44" s="152">
        <f>F45/20</f>
        <v>5.1274469820554768E-3</v>
      </c>
      <c r="G44" s="437">
        <f>G45/20</f>
        <v>5.3580781369669591E-3</v>
      </c>
      <c r="H44" s="437">
        <f t="shared" ref="H44:I44" si="98">H45/20</f>
        <v>5.6070106643799633E-3</v>
      </c>
      <c r="I44" s="437">
        <f t="shared" si="98"/>
        <v>5.8559431917929675E-3</v>
      </c>
      <c r="J44" s="437">
        <f>J45/20</f>
        <v>6.1048757192058824E-3</v>
      </c>
      <c r="K44" s="437">
        <f t="shared" ref="K44:O44" si="99">K45/20</f>
        <v>6.3538082466188858E-3</v>
      </c>
      <c r="L44" s="437">
        <f t="shared" si="99"/>
        <v>6.60274077403189E-3</v>
      </c>
      <c r="M44" s="437">
        <f t="shared" si="99"/>
        <v>6.8516733014448048E-3</v>
      </c>
      <c r="N44" s="437">
        <f t="shared" si="99"/>
        <v>7.1006058288578091E-3</v>
      </c>
      <c r="O44" s="437">
        <f t="shared" si="99"/>
        <v>7.3495383562708124E-3</v>
      </c>
      <c r="Q44" s="165" t="s">
        <v>531</v>
      </c>
      <c r="R44" s="152">
        <f t="shared" ref="R44:T44" si="100">R22</f>
        <v>4.2444739702862545E-3</v>
      </c>
      <c r="S44" s="152">
        <f t="shared" si="100"/>
        <v>4.8653300412871839E-3</v>
      </c>
      <c r="T44" s="152">
        <f t="shared" si="100"/>
        <v>4.7057362801092625E-3</v>
      </c>
      <c r="U44" s="152">
        <f>U22</f>
        <v>5.1274469820554768E-3</v>
      </c>
      <c r="V44" s="437">
        <f t="shared" ref="V44" si="101">V45/20</f>
        <v>5.3580781369669591E-3</v>
      </c>
      <c r="W44" s="437">
        <f t="shared" ref="W44" si="102">W45/20</f>
        <v>5.6070106643799633E-3</v>
      </c>
      <c r="X44" s="437">
        <f t="shared" ref="X44" si="103">X45/20</f>
        <v>5.8559431917929675E-3</v>
      </c>
      <c r="Y44" s="437">
        <f>Y45/20</f>
        <v>6.1048757192058824E-3</v>
      </c>
      <c r="Z44" s="437">
        <f t="shared" ref="Z44" si="104">Z45/20</f>
        <v>6.3538082466188858E-3</v>
      </c>
      <c r="AA44" s="437">
        <f t="shared" ref="AA44" si="105">AA45/20</f>
        <v>6.60274077403189E-3</v>
      </c>
      <c r="AB44" s="437">
        <f t="shared" ref="AB44" si="106">AB45/20</f>
        <v>6.8516733014448048E-3</v>
      </c>
      <c r="AC44" s="437">
        <f t="shared" ref="AC44" si="107">AC45/20</f>
        <v>7.1006058288578091E-3</v>
      </c>
      <c r="AD44" s="437">
        <f t="shared" ref="AD44" si="108">AD45/20</f>
        <v>7.3495383562708124E-3</v>
      </c>
    </row>
    <row r="45" spans="2:30">
      <c r="B45" s="165" t="s">
        <v>532</v>
      </c>
      <c r="C45" s="443">
        <f>C34</f>
        <v>8.4889479405725096E-2</v>
      </c>
      <c r="D45" s="443">
        <f t="shared" ref="D45:O45" si="109">D34</f>
        <v>9.7306600825743675E-2</v>
      </c>
      <c r="E45" s="443">
        <f t="shared" si="109"/>
        <v>9.4114725602185242E-2</v>
      </c>
      <c r="F45" s="443">
        <f t="shared" si="109"/>
        <v>0.10254893964110953</v>
      </c>
      <c r="G45" s="443">
        <f t="shared" si="109"/>
        <v>0.10716156273933919</v>
      </c>
      <c r="H45" s="443">
        <f t="shared" si="109"/>
        <v>0.11214021328759927</v>
      </c>
      <c r="I45" s="443">
        <f t="shared" si="109"/>
        <v>0.11711886383585934</v>
      </c>
      <c r="J45" s="443">
        <f t="shared" si="109"/>
        <v>0.12209751438411764</v>
      </c>
      <c r="K45" s="443">
        <f t="shared" si="109"/>
        <v>0.12707616493237772</v>
      </c>
      <c r="L45" s="443">
        <f t="shared" si="109"/>
        <v>0.1320548154806378</v>
      </c>
      <c r="M45" s="443">
        <f t="shared" si="109"/>
        <v>0.1370334660288961</v>
      </c>
      <c r="N45" s="443">
        <f t="shared" si="109"/>
        <v>0.14201211657715618</v>
      </c>
      <c r="O45" s="443">
        <f t="shared" si="109"/>
        <v>0.14699076712541626</v>
      </c>
      <c r="Q45" s="165" t="s">
        <v>532</v>
      </c>
      <c r="R45" s="443">
        <f>C45</f>
        <v>8.4889479405725096E-2</v>
      </c>
      <c r="S45" s="443">
        <f t="shared" ref="S45:AD45" si="110">D45</f>
        <v>9.7306600825743675E-2</v>
      </c>
      <c r="T45" s="443">
        <f t="shared" si="110"/>
        <v>9.4114725602185242E-2</v>
      </c>
      <c r="U45" s="443">
        <f t="shared" si="110"/>
        <v>0.10254893964110953</v>
      </c>
      <c r="V45" s="443">
        <f t="shared" si="110"/>
        <v>0.10716156273933919</v>
      </c>
      <c r="W45" s="443">
        <f t="shared" si="110"/>
        <v>0.11214021328759927</v>
      </c>
      <c r="X45" s="443">
        <f t="shared" si="110"/>
        <v>0.11711886383585934</v>
      </c>
      <c r="Y45" s="443">
        <f t="shared" si="110"/>
        <v>0.12209751438411764</v>
      </c>
      <c r="Z45" s="443">
        <f t="shared" si="110"/>
        <v>0.12707616493237772</v>
      </c>
      <c r="AA45" s="443">
        <f t="shared" si="110"/>
        <v>0.1320548154806378</v>
      </c>
      <c r="AB45" s="443">
        <f t="shared" si="110"/>
        <v>0.1370334660288961</v>
      </c>
      <c r="AC45" s="443">
        <f t="shared" si="110"/>
        <v>0.14201211657715618</v>
      </c>
      <c r="AD45" s="443">
        <f t="shared" si="110"/>
        <v>0.14699076712541626</v>
      </c>
    </row>
    <row r="46" spans="2:30">
      <c r="B46" s="165" t="s">
        <v>533</v>
      </c>
      <c r="C46" s="426">
        <f t="shared" ref="C46:E46" ca="1" si="111">C44*(C42-C43)</f>
        <v>39.079048697507652</v>
      </c>
      <c r="D46" s="426">
        <f t="shared" ca="1" si="111"/>
        <v>44.795296412216167</v>
      </c>
      <c r="E46" s="426">
        <f t="shared" ca="1" si="111"/>
        <v>43.65864477278371</v>
      </c>
      <c r="F46" s="426">
        <f ca="1">F44*(F42-F43)</f>
        <v>47.760673132476981</v>
      </c>
      <c r="G46" s="426">
        <f t="shared" ref="G46:J46" ca="1" si="112">G44*(G42-G43)</f>
        <v>50.436705769548503</v>
      </c>
      <c r="H46" s="426">
        <f t="shared" ca="1" si="112"/>
        <v>53.195812801971854</v>
      </c>
      <c r="I46" s="426">
        <f t="shared" ca="1" si="112"/>
        <v>55.642440215517802</v>
      </c>
      <c r="J46" s="426">
        <f t="shared" ca="1" si="112"/>
        <v>58.029641779089864</v>
      </c>
      <c r="K46" s="426">
        <f t="shared" ref="K46:O46" ca="1" si="113">K44*(K42-K43)</f>
        <v>60.798701951735723</v>
      </c>
      <c r="L46" s="426">
        <f t="shared" ca="1" si="113"/>
        <v>63.602119871675733</v>
      </c>
      <c r="M46" s="426">
        <f t="shared" ca="1" si="113"/>
        <v>66.440230679880813</v>
      </c>
      <c r="N46" s="426">
        <f t="shared" ca="1" si="113"/>
        <v>69.313372459573756</v>
      </c>
      <c r="O46" s="426">
        <f t="shared" ca="1" si="113"/>
        <v>72.221886260563679</v>
      </c>
      <c r="Q46" s="165" t="s">
        <v>533</v>
      </c>
      <c r="R46" s="426">
        <f t="shared" ref="R46:T46" ca="1" si="114">R44*(R42-R43)</f>
        <v>9.5969324998993191</v>
      </c>
      <c r="S46" s="426">
        <f t="shared" ca="1" si="114"/>
        <v>11.000713945435381</v>
      </c>
      <c r="T46" s="426">
        <f t="shared" ca="1" si="114"/>
        <v>10.749470242529588</v>
      </c>
      <c r="U46" s="426">
        <f ca="1">U44*(U42-U43)</f>
        <v>11.929646334624824</v>
      </c>
      <c r="V46" s="426">
        <f t="shared" ref="V46:AD46" ca="1" si="115">V44*(V42-V43)</f>
        <v>12.771425745972158</v>
      </c>
      <c r="W46" s="426">
        <f t="shared" ca="1" si="115"/>
        <v>13.65470634587566</v>
      </c>
      <c r="X46" s="426">
        <f t="shared" ca="1" si="115"/>
        <v>14.433435981971718</v>
      </c>
      <c r="Y46" s="426">
        <f t="shared" ca="1" si="115"/>
        <v>15.097357653596147</v>
      </c>
      <c r="Z46" s="426">
        <f t="shared" ca="1" si="115"/>
        <v>15.917553854959396</v>
      </c>
      <c r="AA46" s="426">
        <f t="shared" ca="1" si="115"/>
        <v>16.75654891092422</v>
      </c>
      <c r="AB46" s="426">
        <f t="shared" ca="1" si="115"/>
        <v>17.614693307004412</v>
      </c>
      <c r="AC46" s="426">
        <f t="shared" ca="1" si="115"/>
        <v>18.492343468611228</v>
      </c>
      <c r="AD46" s="426">
        <f t="shared" ca="1" si="115"/>
        <v>19.389861856313029</v>
      </c>
    </row>
    <row r="47" spans="2:30">
      <c r="B47" s="165" t="s">
        <v>534</v>
      </c>
      <c r="C47" s="426">
        <f t="shared" ref="C47:E47" si="116">MAX(C45*C43,0)</f>
        <v>0</v>
      </c>
      <c r="D47" s="426">
        <f t="shared" ca="1" si="116"/>
        <v>6.880387566719997</v>
      </c>
      <c r="E47" s="426">
        <f t="shared" ca="1" si="116"/>
        <v>3.4783234003804777</v>
      </c>
      <c r="F47" s="426">
        <f ca="1">MAX(F45*F43,0)</f>
        <v>10.101070554649288</v>
      </c>
      <c r="G47" s="426">
        <f t="shared" ref="G47:O47" ca="1" si="117">MAX(G45*G43,0)</f>
        <v>7.9478159031679816</v>
      </c>
      <c r="H47" s="426">
        <f t="shared" ca="1" si="117"/>
        <v>1.6260330926701894</v>
      </c>
      <c r="I47" s="426">
        <f t="shared" ca="1" si="117"/>
        <v>0.41967592874480758</v>
      </c>
      <c r="J47" s="426">
        <f t="shared" ca="1" si="117"/>
        <v>7.7411930754265565</v>
      </c>
      <c r="K47" s="426">
        <f t="shared" ca="1" si="117"/>
        <v>8.1105875568803434</v>
      </c>
      <c r="L47" s="426">
        <f t="shared" ca="1" si="117"/>
        <v>8.4845653848320612</v>
      </c>
      <c r="M47" s="426">
        <f t="shared" ca="1" si="117"/>
        <v>8.8631712673119782</v>
      </c>
      <c r="N47" s="426">
        <f t="shared" ca="1" si="117"/>
        <v>9.2464503048486506</v>
      </c>
      <c r="O47" s="426">
        <f t="shared" ca="1" si="117"/>
        <v>9.6344479937145557</v>
      </c>
      <c r="Q47" s="165" t="s">
        <v>534</v>
      </c>
      <c r="R47" s="426">
        <f t="shared" ref="R47:T47" si="118">MAX(R45*R43,0)</f>
        <v>0</v>
      </c>
      <c r="S47" s="426">
        <f t="shared" ca="1" si="118"/>
        <v>2.2664329108994656</v>
      </c>
      <c r="T47" s="426">
        <f t="shared" ca="1" si="118"/>
        <v>3.980268603592489</v>
      </c>
      <c r="U47" s="426">
        <f ca="1">MAX(U45*U43,0)</f>
        <v>5.8410166870581195</v>
      </c>
      <c r="V47" s="426">
        <f t="shared" ref="V47:AD47" ca="1" si="119">MAX(V45*V43,0)</f>
        <v>5.541145806646826</v>
      </c>
      <c r="W47" s="426">
        <f t="shared" ca="1" si="119"/>
        <v>3.3034637830971101</v>
      </c>
      <c r="X47" s="426">
        <f t="shared" ca="1" si="119"/>
        <v>0.96623062664583959</v>
      </c>
      <c r="Y47" s="426">
        <f t="shared" ca="1" si="119"/>
        <v>3.9314138174826971</v>
      </c>
      <c r="Z47" s="426">
        <f t="shared" ca="1" si="119"/>
        <v>4.1449962703246239</v>
      </c>
      <c r="AA47" s="426">
        <f t="shared" ca="1" si="119"/>
        <v>4.3634740219617454</v>
      </c>
      <c r="AB47" s="426">
        <f t="shared" ca="1" si="119"/>
        <v>4.586938340258655</v>
      </c>
      <c r="AC47" s="426">
        <f t="shared" ca="1" si="119"/>
        <v>4.8154820398533023</v>
      </c>
      <c r="AD47" s="426">
        <f t="shared" ca="1" si="119"/>
        <v>5.049199506963558</v>
      </c>
    </row>
    <row r="48" spans="2:30">
      <c r="B48" s="165" t="s">
        <v>535</v>
      </c>
      <c r="C48" s="426">
        <f t="shared" ref="C48:E48" ca="1" si="120">C46+C47</f>
        <v>39.079048697507652</v>
      </c>
      <c r="D48" s="426">
        <f t="shared" ca="1" si="120"/>
        <v>51.675683978936163</v>
      </c>
      <c r="E48" s="426">
        <f t="shared" ca="1" si="120"/>
        <v>47.136968173164185</v>
      </c>
      <c r="F48" s="426">
        <f t="shared" ref="F48:J48" ca="1" si="121">F46+F47</f>
        <v>57.861743687126271</v>
      </c>
      <c r="G48" s="426">
        <f t="shared" ca="1" si="121"/>
        <v>58.384521672716488</v>
      </c>
      <c r="H48" s="426">
        <f t="shared" ca="1" si="121"/>
        <v>54.821845894642045</v>
      </c>
      <c r="I48" s="426">
        <f t="shared" ca="1" si="121"/>
        <v>56.06211614426261</v>
      </c>
      <c r="J48" s="426">
        <f t="shared" ca="1" si="121"/>
        <v>65.770834854516423</v>
      </c>
      <c r="K48" s="426">
        <f t="shared" ref="K48:O48" ca="1" si="122">K46+K47</f>
        <v>68.909289508616069</v>
      </c>
      <c r="L48" s="426">
        <f t="shared" ca="1" si="122"/>
        <v>72.086685256507792</v>
      </c>
      <c r="M48" s="426">
        <f t="shared" ca="1" si="122"/>
        <v>75.303401947192796</v>
      </c>
      <c r="N48" s="426">
        <f t="shared" ca="1" si="122"/>
        <v>78.559822764422407</v>
      </c>
      <c r="O48" s="426">
        <f t="shared" ca="1" si="122"/>
        <v>81.856334254278238</v>
      </c>
      <c r="Q48" s="165" t="s">
        <v>535</v>
      </c>
      <c r="R48" s="426">
        <f t="shared" ref="R48:T48" ca="1" si="123">R46+R47</f>
        <v>9.5969324998993191</v>
      </c>
      <c r="S48" s="426">
        <f t="shared" ca="1" si="123"/>
        <v>13.267146856334847</v>
      </c>
      <c r="T48" s="426">
        <f t="shared" ca="1" si="123"/>
        <v>14.729738846122077</v>
      </c>
      <c r="U48" s="426">
        <f t="shared" ref="U48:AD48" ca="1" si="124">U46+U47</f>
        <v>17.770663021682942</v>
      </c>
      <c r="V48" s="426">
        <f t="shared" ca="1" si="124"/>
        <v>18.312571552618984</v>
      </c>
      <c r="W48" s="426">
        <f t="shared" ca="1" si="124"/>
        <v>16.958170128972771</v>
      </c>
      <c r="X48" s="426">
        <f t="shared" ca="1" si="124"/>
        <v>15.399666608617558</v>
      </c>
      <c r="Y48" s="426">
        <f t="shared" ca="1" si="124"/>
        <v>19.028771471078844</v>
      </c>
      <c r="Z48" s="426">
        <f t="shared" ca="1" si="124"/>
        <v>20.062550125284019</v>
      </c>
      <c r="AA48" s="426">
        <f t="shared" ca="1" si="124"/>
        <v>21.120022932885966</v>
      </c>
      <c r="AB48" s="426">
        <f t="shared" ca="1" si="124"/>
        <v>22.201631647263067</v>
      </c>
      <c r="AC48" s="426">
        <f t="shared" ca="1" si="124"/>
        <v>23.307825508464532</v>
      </c>
      <c r="AD48" s="426">
        <f t="shared" ca="1" si="124"/>
        <v>24.439061363276586</v>
      </c>
    </row>
    <row r="49" spans="2:30">
      <c r="B49" s="165" t="s">
        <v>522</v>
      </c>
      <c r="C49" s="426">
        <f t="shared" ref="C49:D49" si="125">D49</f>
        <v>12956.892254901959</v>
      </c>
      <c r="D49" s="426">
        <f t="shared" si="125"/>
        <v>12956.892254901959</v>
      </c>
      <c r="E49" s="426">
        <f>F49</f>
        <v>12956.892254901959</v>
      </c>
      <c r="F49" s="426">
        <f>E9</f>
        <v>12956.892254901959</v>
      </c>
      <c r="G49" s="426">
        <f>F49</f>
        <v>12956.892254901959</v>
      </c>
      <c r="H49" s="426">
        <f>G49</f>
        <v>12956.892254901959</v>
      </c>
      <c r="I49" s="426">
        <f>H49</f>
        <v>12956.892254901959</v>
      </c>
      <c r="J49" s="426">
        <f t="shared" ref="J49:K49" si="126">I49</f>
        <v>12956.892254901959</v>
      </c>
      <c r="K49" s="426">
        <f t="shared" si="126"/>
        <v>12956.892254901959</v>
      </c>
      <c r="L49" s="426">
        <f t="shared" ref="L49:M49" si="127">K49</f>
        <v>12956.892254901959</v>
      </c>
      <c r="M49" s="426">
        <f t="shared" si="127"/>
        <v>12956.892254901959</v>
      </c>
      <c r="N49" s="426">
        <f t="shared" ref="N49:O49" si="128">M49</f>
        <v>12956.892254901959</v>
      </c>
      <c r="O49" s="426">
        <f t="shared" si="128"/>
        <v>12956.892254901959</v>
      </c>
      <c r="Q49" s="165" t="s">
        <v>522</v>
      </c>
      <c r="R49" s="426">
        <f>S49</f>
        <v>12956.892254901959</v>
      </c>
      <c r="S49" s="426">
        <f>T49</f>
        <v>12956.892254901959</v>
      </c>
      <c r="T49" s="426">
        <f>U49</f>
        <v>12956.892254901959</v>
      </c>
      <c r="U49" s="426">
        <f>E9</f>
        <v>12956.892254901959</v>
      </c>
      <c r="V49" s="426">
        <f>U49</f>
        <v>12956.892254901959</v>
      </c>
      <c r="W49" s="426">
        <f>V49</f>
        <v>12956.892254901959</v>
      </c>
      <c r="X49" s="426">
        <f>W49</f>
        <v>12956.892254901959</v>
      </c>
      <c r="Y49" s="426">
        <f t="shared" ref="Y49" si="129">X49</f>
        <v>12956.892254901959</v>
      </c>
      <c r="Z49" s="426">
        <f t="shared" ref="Z49" si="130">Y49</f>
        <v>12956.892254901959</v>
      </c>
      <c r="AA49" s="426">
        <f t="shared" ref="AA49" si="131">Z49</f>
        <v>12956.892254901959</v>
      </c>
      <c r="AB49" s="426">
        <f t="shared" ref="AB49" si="132">AA49</f>
        <v>12956.892254901959</v>
      </c>
      <c r="AC49" s="426">
        <f t="shared" ref="AC49" si="133">AB49</f>
        <v>12956.892254901959</v>
      </c>
      <c r="AD49" s="426">
        <f t="shared" ref="AD49" si="134">AC49</f>
        <v>12956.892254901959</v>
      </c>
    </row>
    <row r="50" spans="2:30">
      <c r="B50" s="159" t="s">
        <v>21</v>
      </c>
      <c r="C50" s="441">
        <f t="shared" ref="C50:E50" ca="1" si="135">C48*C49</f>
        <v>506343.02339767339</v>
      </c>
      <c r="D50" s="441">
        <f t="shared" ca="1" si="135"/>
        <v>669556.26951343927</v>
      </c>
      <c r="E50" s="441">
        <f t="shared" ca="1" si="135"/>
        <v>610748.61784243118</v>
      </c>
      <c r="F50" s="441">
        <f t="shared" ref="F50:J50" ca="1" si="136">F48*F49</f>
        <v>749708.37863484875</v>
      </c>
      <c r="G50" s="441">
        <f t="shared" ca="1" si="136"/>
        <v>756481.95666737587</v>
      </c>
      <c r="H50" s="441">
        <f t="shared" ca="1" si="136"/>
        <v>710320.75047171628</v>
      </c>
      <c r="I50" s="441">
        <f t="shared" ca="1" si="136"/>
        <v>726390.79846301035</v>
      </c>
      <c r="J50" s="441">
        <f t="shared" ca="1" si="136"/>
        <v>852185.6207249196</v>
      </c>
      <c r="K50" s="441">
        <f t="shared" ref="K50:O50" ca="1" si="137">K48*K49</f>
        <v>892850.23952498438</v>
      </c>
      <c r="L50" s="441">
        <f t="shared" ca="1" si="137"/>
        <v>934019.41388160107</v>
      </c>
      <c r="M50" s="441">
        <f t="shared" ca="1" si="137"/>
        <v>975698.06545735139</v>
      </c>
      <c r="N50" s="441">
        <f t="shared" ca="1" si="137"/>
        <v>1017891.1591228152</v>
      </c>
      <c r="O50" s="441">
        <f t="shared" ca="1" si="137"/>
        <v>1060603.7033139237</v>
      </c>
      <c r="Q50" s="159" t="s">
        <v>21</v>
      </c>
      <c r="R50" s="441">
        <f t="shared" ref="R50:T50" ca="1" si="138">R48*R49</f>
        <v>124346.42037876238</v>
      </c>
      <c r="S50" s="441">
        <f t="shared" ca="1" si="138"/>
        <v>171900.99234749185</v>
      </c>
      <c r="T50" s="441">
        <f t="shared" ca="1" si="138"/>
        <v>190851.63917204764</v>
      </c>
      <c r="U50" s="441">
        <f ca="1">U48*U49</f>
        <v>230252.56607011636</v>
      </c>
      <c r="V50" s="441">
        <f t="shared" ref="V50:AD50" ca="1" si="139">V48*V49</f>
        <v>237274.01651746684</v>
      </c>
      <c r="W50" s="441">
        <f t="shared" ca="1" si="139"/>
        <v>219725.18320139704</v>
      </c>
      <c r="X50" s="441">
        <f t="shared" ca="1" si="139"/>
        <v>199531.82100926916</v>
      </c>
      <c r="Y50" s="441">
        <f t="shared" ca="1" si="139"/>
        <v>246553.74169392083</v>
      </c>
      <c r="Z50" s="441">
        <f t="shared" ca="1" si="139"/>
        <v>259948.30033187484</v>
      </c>
      <c r="AA50" s="441">
        <f t="shared" ca="1" si="139"/>
        <v>273649.86156246194</v>
      </c>
      <c r="AB50" s="441">
        <f t="shared" ca="1" si="139"/>
        <v>287664.14913660905</v>
      </c>
      <c r="AC50" s="441">
        <f t="shared" ca="1" si="139"/>
        <v>301996.98380923038</v>
      </c>
      <c r="AD50" s="441">
        <f t="shared" ca="1" si="139"/>
        <v>316654.2848949121</v>
      </c>
    </row>
    <row r="51" spans="2:30">
      <c r="F51" s="426"/>
      <c r="G51" s="428"/>
      <c r="H51" s="428"/>
      <c r="I51" s="428"/>
      <c r="U51" s="426"/>
      <c r="V51" s="428"/>
      <c r="W51" s="428"/>
      <c r="X51" s="428"/>
    </row>
    <row r="52" spans="2:30">
      <c r="B52" s="159" t="s">
        <v>536</v>
      </c>
      <c r="C52" s="159"/>
      <c r="D52" s="159"/>
      <c r="F52" s="426"/>
      <c r="G52" s="428"/>
      <c r="H52" s="428"/>
      <c r="I52" s="428"/>
      <c r="Q52" s="159" t="s">
        <v>537</v>
      </c>
      <c r="U52" s="426"/>
      <c r="V52" s="428"/>
      <c r="W52" s="428"/>
      <c r="X52" s="428"/>
    </row>
    <row r="53" spans="2:30">
      <c r="B53" s="165" t="s">
        <v>529</v>
      </c>
      <c r="C53" s="439">
        <f ca="1">OFFSET('Customer Count'!$O$9,COLUMN()-COLUMN(Heating!$E$20),0)</f>
        <v>1029.0833333333337</v>
      </c>
      <c r="D53" s="439">
        <f ca="1">OFFSET('Customer Count'!$O$9,COLUMN()-COLUMN(Heating!$E$20),0)</f>
        <v>1032</v>
      </c>
      <c r="E53" s="439">
        <f ca="1">OFFSET('Customer Count'!$O$9,COLUMN()-COLUMN(Heating!$E$20),0)</f>
        <v>1052.2083333333337</v>
      </c>
      <c r="F53" s="439">
        <f ca="1">OFFSET('Customer Count'!$O$9,COLUMN()-COLUMN(Heating!$E$20),0)</f>
        <v>1037.25</v>
      </c>
      <c r="G53" s="439">
        <f ca="1">OFFSET('Customer Count'!$O$9,COLUMN()-COLUMN(Heating!$E$20),0)</f>
        <v>1030.4583333333335</v>
      </c>
      <c r="H53" s="439">
        <f ca="1">OFFSET('Customer Count'!$O$9,COLUMN()-COLUMN(Heating!$E$20),0)</f>
        <v>1059.4166666666663</v>
      </c>
      <c r="I53" s="439">
        <f ca="1">OFFSET('Customer Count'!$O$9,COLUMN()-COLUMN(Heating!$E$20),0)</f>
        <v>1088</v>
      </c>
      <c r="J53" s="439">
        <f ca="1">OFFSET('Customer Count'!$O$9,COLUMN()-COLUMN(Heating!$E$20),0)</f>
        <v>1091.6100978431068</v>
      </c>
      <c r="K53" s="439">
        <f ca="1">OFFSET('Customer Count'!$O$9,COLUMN()-COLUMN(Heating!$E$20),0)</f>
        <v>1095.2321743686005</v>
      </c>
      <c r="L53" s="439">
        <f ca="1">OFFSET('Customer Count'!$O$9,COLUMN()-COLUMN(Heating!$E$20),0)</f>
        <v>1098.8662693230024</v>
      </c>
      <c r="M53" s="439">
        <f ca="1">OFFSET('Customer Count'!$O$9,COLUMN()-COLUMN(Heating!$E$20),0)</f>
        <v>1102.5124225847171</v>
      </c>
      <c r="N53" s="439">
        <f ca="1">OFFSET('Customer Count'!$O$9,COLUMN()-COLUMN(Heating!$E$20),0)</f>
        <v>1106.1706741644703</v>
      </c>
      <c r="O53" s="439">
        <f ca="1">OFFSET('Customer Count'!$O$9,COLUMN()-COLUMN(Heating!$E$20),0)</f>
        <v>1109.841064205747</v>
      </c>
      <c r="Q53" s="165" t="s">
        <v>529</v>
      </c>
      <c r="R53" s="439">
        <f ca="1">OFFSET('Customer Count'!$BB$9,COLUMN()-COLUMN(Heating!$T$20),0)</f>
        <v>377</v>
      </c>
      <c r="S53" s="439">
        <f ca="1">OFFSET('Customer Count'!$BB$9,COLUMN()-COLUMN(Heating!$T$20),0)</f>
        <v>381.875</v>
      </c>
      <c r="T53" s="439">
        <f ca="1">OFFSET('Customer Count'!$BB$9,COLUMN()-COLUMN(Heating!$T$20),0)</f>
        <v>390.875</v>
      </c>
      <c r="U53" s="439">
        <f ca="1">OFFSET('Customer Count'!$BB$9,COLUMN()-COLUMN(Heating!$T$20),0)</f>
        <v>386.33333333333348</v>
      </c>
      <c r="V53" s="439">
        <f ca="1">OFFSET('Customer Count'!$BB$9,COLUMN()-COLUMN(Heating!$T$20),0)</f>
        <v>383.33333333333348</v>
      </c>
      <c r="W53" s="439">
        <f ca="1">OFFSET('Customer Count'!$BB$9,COLUMN()-COLUMN(Heating!$T$20),0)</f>
        <v>388.625</v>
      </c>
      <c r="X53" s="439">
        <f ca="1">OFFSET('Customer Count'!$BB$9,COLUMN()-COLUMN(Heating!$T$20),0)</f>
        <v>396.5</v>
      </c>
      <c r="Y53" s="439">
        <f ca="1">OFFSET('Customer Count'!$BB$9,COLUMN()-COLUMN(Heating!$T$20),0)</f>
        <v>399.91070322198391</v>
      </c>
      <c r="Z53" s="439">
        <f ca="1">OFFSET('Customer Count'!$BB$9,COLUMN()-COLUMN(Heating!$T$20),0)</f>
        <v>403.35074540101311</v>
      </c>
      <c r="AA53" s="439">
        <f ca="1">OFFSET('Customer Count'!$BB$9,COLUMN()-COLUMN(Heating!$T$20),0)</f>
        <v>406.82037891155244</v>
      </c>
      <c r="AB53" s="439">
        <f ca="1">OFFSET('Customer Count'!$BB$9,COLUMN()-COLUMN(Heating!$T$20),0)</f>
        <v>410.31985829899844</v>
      </c>
      <c r="AC53" s="439">
        <f ca="1">OFFSET('Customer Count'!$BB$9,COLUMN()-COLUMN(Heating!$T$20),0)</f>
        <v>413.84944029835373</v>
      </c>
      <c r="AD53" s="439">
        <f ca="1">OFFSET('Customer Count'!$BB$9,COLUMN()-COLUMN(Heating!$T$20),0)</f>
        <v>417.40938385306202</v>
      </c>
    </row>
    <row r="54" spans="2:30">
      <c r="B54" s="165" t="s">
        <v>530</v>
      </c>
      <c r="C54" s="426"/>
      <c r="D54" s="426">
        <f t="shared" ref="D54:E54" ca="1" si="140">D53-C53</f>
        <v>2.9166666666662877</v>
      </c>
      <c r="E54" s="426">
        <f t="shared" ca="1" si="140"/>
        <v>20.208333333333712</v>
      </c>
      <c r="F54" s="426">
        <f ca="1">F53-E53</f>
        <v>-14.958333333333712</v>
      </c>
      <c r="G54" s="426">
        <f t="shared" ref="G54" ca="1" si="141">G53-F53</f>
        <v>-6.7916666666665151</v>
      </c>
      <c r="H54" s="426">
        <f t="shared" ref="H54" ca="1" si="142">H53-G53</f>
        <v>28.958333333332803</v>
      </c>
      <c r="I54" s="426">
        <f t="shared" ref="I54" ca="1" si="143">I53-H53</f>
        <v>28.583333333333712</v>
      </c>
      <c r="J54" s="426">
        <f t="shared" ref="J54" ca="1" si="144">J53-I53</f>
        <v>3.6100978431068143</v>
      </c>
      <c r="K54" s="426">
        <f t="shared" ref="K54" ca="1" si="145">K53-J53</f>
        <v>3.6220765254936396</v>
      </c>
      <c r="L54" s="426">
        <f t="shared" ref="L54" ca="1" si="146">L53-K53</f>
        <v>3.6340949544019168</v>
      </c>
      <c r="M54" s="426">
        <f t="shared" ref="M54" ca="1" si="147">M53-L53</f>
        <v>3.6461532617147441</v>
      </c>
      <c r="N54" s="426">
        <f t="shared" ref="N54" ca="1" si="148">N53-M53</f>
        <v>3.6582515797531414</v>
      </c>
      <c r="O54" s="426">
        <f t="shared" ref="O54" ca="1" si="149">O53-N53</f>
        <v>3.6703900412767325</v>
      </c>
      <c r="Q54" s="165" t="s">
        <v>530</v>
      </c>
      <c r="R54" s="426"/>
      <c r="S54" s="426">
        <f t="shared" ref="S54:T54" ca="1" si="150">S53-R53</f>
        <v>4.875</v>
      </c>
      <c r="T54" s="426">
        <f t="shared" ca="1" si="150"/>
        <v>9</v>
      </c>
      <c r="U54" s="426">
        <f ca="1">U53-T53</f>
        <v>-4.5416666666665151</v>
      </c>
      <c r="V54" s="426">
        <f t="shared" ref="V54" ca="1" si="151">V53-U53</f>
        <v>-3</v>
      </c>
      <c r="W54" s="426">
        <f t="shared" ref="W54" ca="1" si="152">W53-V53</f>
        <v>5.2916666666665151</v>
      </c>
      <c r="X54" s="426">
        <f t="shared" ref="X54" ca="1" si="153">X53-W53</f>
        <v>7.875</v>
      </c>
      <c r="Y54" s="426">
        <f t="shared" ref="Y54" ca="1" si="154">Y53-X53</f>
        <v>3.4107032219839084</v>
      </c>
      <c r="Z54" s="426">
        <f t="shared" ref="Z54" ca="1" si="155">Z53-Y53</f>
        <v>3.4400421790292057</v>
      </c>
      <c r="AA54" s="426">
        <f t="shared" ref="AA54" ca="1" si="156">AA53-Z53</f>
        <v>3.4696335105393246</v>
      </c>
      <c r="AB54" s="426">
        <f t="shared" ref="AB54" ca="1" si="157">AB53-AA53</f>
        <v>3.4994793874460015</v>
      </c>
      <c r="AC54" s="426">
        <f t="shared" ref="AC54" ca="1" si="158">AC53-AB53</f>
        <v>3.5295819993552868</v>
      </c>
      <c r="AD54" s="426">
        <f t="shared" ref="AD54" ca="1" si="159">AD53-AC53</f>
        <v>3.5599435547082976</v>
      </c>
    </row>
    <row r="55" spans="2:30">
      <c r="B55" s="165" t="s">
        <v>531</v>
      </c>
      <c r="C55" s="396">
        <f>C44</f>
        <v>4.2444739702862545E-3</v>
      </c>
      <c r="D55" s="396">
        <f t="shared" ref="D55:E55" si="160">D44</f>
        <v>4.8653300412871839E-3</v>
      </c>
      <c r="E55" s="396">
        <f t="shared" si="160"/>
        <v>4.7057362801092625E-3</v>
      </c>
      <c r="F55" s="396">
        <f>F44</f>
        <v>5.1274469820554768E-3</v>
      </c>
      <c r="G55" s="396">
        <f t="shared" ref="G55:O55" si="161">G44</f>
        <v>5.3580781369669591E-3</v>
      </c>
      <c r="H55" s="396">
        <f t="shared" si="161"/>
        <v>5.6070106643799633E-3</v>
      </c>
      <c r="I55" s="396">
        <f t="shared" si="161"/>
        <v>5.8559431917929675E-3</v>
      </c>
      <c r="J55" s="396">
        <f t="shared" si="161"/>
        <v>6.1048757192058824E-3</v>
      </c>
      <c r="K55" s="396">
        <f t="shared" si="161"/>
        <v>6.3538082466188858E-3</v>
      </c>
      <c r="L55" s="396">
        <f t="shared" si="161"/>
        <v>6.60274077403189E-3</v>
      </c>
      <c r="M55" s="396">
        <f t="shared" si="161"/>
        <v>6.8516733014448048E-3</v>
      </c>
      <c r="N55" s="396">
        <f t="shared" si="161"/>
        <v>7.1006058288578091E-3</v>
      </c>
      <c r="O55" s="396">
        <f t="shared" si="161"/>
        <v>7.3495383562708124E-3</v>
      </c>
      <c r="Q55" s="165" t="s">
        <v>531</v>
      </c>
      <c r="R55" s="396">
        <f t="shared" ref="R55:T55" si="162">R44</f>
        <v>4.2444739702862545E-3</v>
      </c>
      <c r="S55" s="396">
        <f t="shared" si="162"/>
        <v>4.8653300412871839E-3</v>
      </c>
      <c r="T55" s="396">
        <f t="shared" si="162"/>
        <v>4.7057362801092625E-3</v>
      </c>
      <c r="U55" s="396">
        <f>U44</f>
        <v>5.1274469820554768E-3</v>
      </c>
      <c r="V55" s="396">
        <f t="shared" ref="V55:AD55" si="163">V44</f>
        <v>5.3580781369669591E-3</v>
      </c>
      <c r="W55" s="396">
        <f t="shared" si="163"/>
        <v>5.6070106643799633E-3</v>
      </c>
      <c r="X55" s="396">
        <f t="shared" si="163"/>
        <v>5.8559431917929675E-3</v>
      </c>
      <c r="Y55" s="396">
        <f t="shared" si="163"/>
        <v>6.1048757192058824E-3</v>
      </c>
      <c r="Z55" s="396">
        <f t="shared" si="163"/>
        <v>6.3538082466188858E-3</v>
      </c>
      <c r="AA55" s="396">
        <f t="shared" si="163"/>
        <v>6.60274077403189E-3</v>
      </c>
      <c r="AB55" s="396">
        <f t="shared" si="163"/>
        <v>6.8516733014448048E-3</v>
      </c>
      <c r="AC55" s="396">
        <f t="shared" si="163"/>
        <v>7.1006058288578091E-3</v>
      </c>
      <c r="AD55" s="396">
        <f t="shared" si="163"/>
        <v>7.3495383562708124E-3</v>
      </c>
    </row>
    <row r="56" spans="2:30">
      <c r="B56" s="165" t="s">
        <v>532</v>
      </c>
      <c r="C56" s="426"/>
      <c r="D56" s="426"/>
      <c r="E56" s="426"/>
      <c r="F56" s="426"/>
      <c r="G56" s="428"/>
      <c r="H56" s="428"/>
      <c r="I56" s="428"/>
      <c r="Q56" s="165" t="s">
        <v>532</v>
      </c>
      <c r="R56" s="426"/>
      <c r="S56" s="426"/>
      <c r="T56" s="426"/>
      <c r="U56" s="426"/>
      <c r="V56" s="428"/>
      <c r="W56" s="428"/>
      <c r="X56" s="428"/>
    </row>
    <row r="57" spans="2:30">
      <c r="B57" s="165" t="s">
        <v>533</v>
      </c>
      <c r="C57" s="426">
        <f t="shared" ref="C57:E57" ca="1" si="164">C55*(C53-C54)</f>
        <v>4.3679174215887482</v>
      </c>
      <c r="D57" s="426">
        <f t="shared" ca="1" si="164"/>
        <v>5.0068300566546213</v>
      </c>
      <c r="E57" s="426">
        <f t="shared" ca="1" si="164"/>
        <v>4.856319841072759</v>
      </c>
      <c r="F57" s="426">
        <f ca="1">F55*(F53-F54)</f>
        <v>5.3951424432436248</v>
      </c>
      <c r="G57" s="426">
        <f t="shared" ref="G57:O57" ca="1" si="165">G55*(G53-G54)</f>
        <v>5.5576665475689779</v>
      </c>
      <c r="H57" s="426">
        <f t="shared" ca="1" si="165"/>
        <v>5.7777908641992042</v>
      </c>
      <c r="I57" s="426">
        <f t="shared" ca="1" si="165"/>
        <v>6.2038838164386645</v>
      </c>
      <c r="J57" s="426">
        <f t="shared" ca="1" si="165"/>
        <v>6.6421047824960002</v>
      </c>
      <c r="K57" s="426">
        <f t="shared" ca="1" si="165"/>
        <v>6.9358812417679809</v>
      </c>
      <c r="L57" s="426">
        <f t="shared" ca="1" si="165"/>
        <v>7.2315341347351625</v>
      </c>
      <c r="M57" s="426">
        <f t="shared" ca="1" si="165"/>
        <v>7.5290726793786718</v>
      </c>
      <c r="N57" s="426">
        <f t="shared" ca="1" si="165"/>
        <v>7.8285061341931863</v>
      </c>
      <c r="O57" s="426">
        <f t="shared" ca="1" si="165"/>
        <v>8.1298437983537166</v>
      </c>
      <c r="Q57" s="165" t="s">
        <v>533</v>
      </c>
      <c r="R57" s="426">
        <f t="shared" ref="R57:T57" ca="1" si="166">R55*(R53-R54)</f>
        <v>1.6001666867979178</v>
      </c>
      <c r="S57" s="426">
        <f t="shared" ca="1" si="166"/>
        <v>1.8342294255652682</v>
      </c>
      <c r="T57" s="426">
        <f t="shared" ca="1" si="166"/>
        <v>1.7970030419667247</v>
      </c>
      <c r="U57" s="426">
        <f ca="1">U55*(U53-U54)</f>
        <v>2.0041908391109344</v>
      </c>
      <c r="V57" s="426">
        <f t="shared" ref="V57:AD57" ca="1" si="167">V55*(V53-V54)</f>
        <v>2.0700041869149026</v>
      </c>
      <c r="W57" s="426">
        <f t="shared" ca="1" si="167"/>
        <v>2.1493540880123203</v>
      </c>
      <c r="X57" s="426">
        <f t="shared" ca="1" si="167"/>
        <v>2.275765922910542</v>
      </c>
      <c r="Y57" s="426">
        <f t="shared" ca="1" si="167"/>
        <v>2.4205832226651323</v>
      </c>
      <c r="Z57" s="426">
        <f t="shared" ca="1" si="167"/>
        <v>2.5409559240429993</v>
      </c>
      <c r="AA57" s="426">
        <f t="shared" ca="1" si="167"/>
        <v>2.6632204128954253</v>
      </c>
      <c r="AB57" s="426">
        <f t="shared" ca="1" si="167"/>
        <v>2.7874003286719429</v>
      </c>
      <c r="AC57" s="426">
        <f t="shared" ca="1" si="167"/>
        <v>2.9135195775339784</v>
      </c>
      <c r="AD57" s="426">
        <f t="shared" ca="1" si="167"/>
        <v>3.0416023351939585</v>
      </c>
    </row>
    <row r="58" spans="2:30">
      <c r="B58" s="165" t="s">
        <v>534</v>
      </c>
      <c r="C58" s="426"/>
      <c r="D58" s="426"/>
      <c r="E58" s="426"/>
      <c r="F58" s="426"/>
      <c r="G58" s="428"/>
      <c r="H58" s="428"/>
      <c r="I58" s="428"/>
      <c r="Q58" s="165" t="s">
        <v>534</v>
      </c>
      <c r="R58" s="426"/>
      <c r="S58" s="426"/>
      <c r="T58" s="426"/>
      <c r="U58" s="426"/>
      <c r="V58" s="428"/>
      <c r="W58" s="428"/>
      <c r="X58" s="428"/>
    </row>
    <row r="59" spans="2:30">
      <c r="B59" s="165" t="s">
        <v>535</v>
      </c>
      <c r="C59" s="426">
        <f t="shared" ref="C59:E59" ca="1" si="168">C57</f>
        <v>4.3679174215887482</v>
      </c>
      <c r="D59" s="426">
        <f t="shared" ca="1" si="168"/>
        <v>5.0068300566546213</v>
      </c>
      <c r="E59" s="426">
        <f t="shared" ca="1" si="168"/>
        <v>4.856319841072759</v>
      </c>
      <c r="F59" s="426">
        <f ca="1">F57</f>
        <v>5.3951424432436248</v>
      </c>
      <c r="G59" s="426">
        <f t="shared" ref="G59:O59" ca="1" si="169">G57</f>
        <v>5.5576665475689779</v>
      </c>
      <c r="H59" s="426">
        <f t="shared" ca="1" si="169"/>
        <v>5.7777908641992042</v>
      </c>
      <c r="I59" s="426">
        <f t="shared" ca="1" si="169"/>
        <v>6.2038838164386645</v>
      </c>
      <c r="J59" s="426">
        <f t="shared" ca="1" si="169"/>
        <v>6.6421047824960002</v>
      </c>
      <c r="K59" s="426">
        <f t="shared" ca="1" si="169"/>
        <v>6.9358812417679809</v>
      </c>
      <c r="L59" s="426">
        <f t="shared" ca="1" si="169"/>
        <v>7.2315341347351625</v>
      </c>
      <c r="M59" s="426">
        <f t="shared" ca="1" si="169"/>
        <v>7.5290726793786718</v>
      </c>
      <c r="N59" s="426">
        <f t="shared" ca="1" si="169"/>
        <v>7.8285061341931863</v>
      </c>
      <c r="O59" s="426">
        <f t="shared" ca="1" si="169"/>
        <v>8.1298437983537166</v>
      </c>
      <c r="Q59" s="165" t="s">
        <v>535</v>
      </c>
      <c r="R59" s="426">
        <f t="shared" ref="R59:T59" ca="1" si="170">R57</f>
        <v>1.6001666867979178</v>
      </c>
      <c r="S59" s="426">
        <f t="shared" ca="1" si="170"/>
        <v>1.8342294255652682</v>
      </c>
      <c r="T59" s="426">
        <f t="shared" ca="1" si="170"/>
        <v>1.7970030419667247</v>
      </c>
      <c r="U59" s="426">
        <f ca="1">U57</f>
        <v>2.0041908391109344</v>
      </c>
      <c r="V59" s="426">
        <f t="shared" ref="V59:AD59" ca="1" si="171">V57</f>
        <v>2.0700041869149026</v>
      </c>
      <c r="W59" s="426">
        <f t="shared" ca="1" si="171"/>
        <v>2.1493540880123203</v>
      </c>
      <c r="X59" s="426">
        <f t="shared" ca="1" si="171"/>
        <v>2.275765922910542</v>
      </c>
      <c r="Y59" s="426">
        <f t="shared" ca="1" si="171"/>
        <v>2.4205832226651323</v>
      </c>
      <c r="Z59" s="426">
        <f t="shared" ca="1" si="171"/>
        <v>2.5409559240429993</v>
      </c>
      <c r="AA59" s="426">
        <f t="shared" ca="1" si="171"/>
        <v>2.6632204128954253</v>
      </c>
      <c r="AB59" s="426">
        <f t="shared" ca="1" si="171"/>
        <v>2.7874003286719429</v>
      </c>
      <c r="AC59" s="426">
        <f t="shared" ca="1" si="171"/>
        <v>2.9135195775339784</v>
      </c>
      <c r="AD59" s="426">
        <f t="shared" ca="1" si="171"/>
        <v>3.0416023351939585</v>
      </c>
    </row>
    <row r="60" spans="2:30">
      <c r="B60" s="165" t="s">
        <v>522</v>
      </c>
      <c r="C60" s="430">
        <v>68366.08396233058</v>
      </c>
      <c r="D60" s="430">
        <v>68172.865863276864</v>
      </c>
      <c r="E60" s="430">
        <v>66863.562416411543</v>
      </c>
      <c r="F60" s="430">
        <v>67827.811589203877</v>
      </c>
      <c r="G60" s="430">
        <v>68274.859152547055</v>
      </c>
      <c r="H60" s="430">
        <v>66408.61880365145</v>
      </c>
      <c r="I60" s="430">
        <v>65424.828646338785</v>
      </c>
      <c r="J60" s="430">
        <v>65385.852792143211</v>
      </c>
      <c r="K60" s="430">
        <v>65346.900157224511</v>
      </c>
      <c r="L60" s="430">
        <v>65307.970727750137</v>
      </c>
      <c r="M60" s="430">
        <v>65269.064489895805</v>
      </c>
      <c r="N60" s="430">
        <v>65230.181429845456</v>
      </c>
      <c r="O60" s="430">
        <v>65191.321533791255</v>
      </c>
      <c r="Q60" s="165" t="s">
        <v>522</v>
      </c>
      <c r="R60" s="430">
        <v>55347.455157993892</v>
      </c>
      <c r="S60" s="430">
        <v>54640.8919006578</v>
      </c>
      <c r="T60" s="430">
        <v>53382.770948675912</v>
      </c>
      <c r="U60" s="430">
        <v>54010.329407843885</v>
      </c>
      <c r="V60" s="430">
        <v>54433.018942340059</v>
      </c>
      <c r="W60" s="430">
        <v>53691.838133325691</v>
      </c>
      <c r="X60" s="430">
        <v>53342.609508265981</v>
      </c>
      <c r="Y60" s="430">
        <v>52995.65237617059</v>
      </c>
      <c r="Z60" s="430">
        <v>52650.951962533887</v>
      </c>
      <c r="AA60" s="430">
        <v>52308.49358894828</v>
      </c>
      <c r="AB60" s="430">
        <v>51968.262672479155</v>
      </c>
      <c r="AC60" s="430">
        <v>51630.244725043922</v>
      </c>
      <c r="AD60" s="430">
        <v>51294.425352795013</v>
      </c>
    </row>
    <row r="61" spans="2:30">
      <c r="B61" s="159" t="s">
        <v>21</v>
      </c>
      <c r="C61" s="441">
        <f t="shared" ref="C61:E61" ca="1" si="172">C59*C60</f>
        <v>298617.40918486286</v>
      </c>
      <c r="D61" s="441">
        <f t="shared" ca="1" si="172"/>
        <v>341329.95385253843</v>
      </c>
      <c r="E61" s="441">
        <f t="shared" ca="1" si="172"/>
        <v>324710.84480762621</v>
      </c>
      <c r="F61" s="441">
        <f t="shared" ref="F61:O61" ca="1" si="173">F59*F60</f>
        <v>365940.70513724565</v>
      </c>
      <c r="G61" s="441">
        <f t="shared" ca="1" si="173"/>
        <v>379448.9007520944</v>
      </c>
      <c r="H61" s="441">
        <f t="shared" ca="1" si="173"/>
        <v>383695.11102782481</v>
      </c>
      <c r="I61" s="441">
        <f t="shared" ca="1" si="173"/>
        <v>405888.0356322939</v>
      </c>
      <c r="J61" s="441">
        <f t="shared" ca="1" si="173"/>
        <v>434299.68553827389</v>
      </c>
      <c r="K61" s="441">
        <f t="shared" ca="1" si="173"/>
        <v>453238.33900817862</v>
      </c>
      <c r="L61" s="441">
        <f t="shared" ca="1" si="173"/>
        <v>472276.81958800991</v>
      </c>
      <c r="M61" s="441">
        <f t="shared" ca="1" si="173"/>
        <v>491415.53025947913</v>
      </c>
      <c r="N61" s="441">
        <f t="shared" ca="1" si="173"/>
        <v>510654.87545807962</v>
      </c>
      <c r="O61" s="441">
        <f t="shared" ca="1" si="173"/>
        <v>529995.26107797597</v>
      </c>
      <c r="Q61" s="159" t="s">
        <v>21</v>
      </c>
      <c r="R61" s="441">
        <f t="shared" ref="R61:T61" ca="1" si="174">R59*R60</f>
        <v>88565.153942863413</v>
      </c>
      <c r="S61" s="441">
        <f t="shared" ca="1" si="174"/>
        <v>100223.93176331748</v>
      </c>
      <c r="T61" s="441">
        <f t="shared" ca="1" si="174"/>
        <v>95929.001783383515</v>
      </c>
      <c r="U61" s="441">
        <f t="shared" ref="U61:AD61" ca="1" si="175">U59*U60</f>
        <v>108247.00741656461</v>
      </c>
      <c r="V61" s="441">
        <f t="shared" ca="1" si="175"/>
        <v>112676.57711706213</v>
      </c>
      <c r="W61" s="441">
        <f t="shared" ca="1" si="175"/>
        <v>115402.77178475936</v>
      </c>
      <c r="X61" s="441">
        <f t="shared" ca="1" si="175"/>
        <v>121395.29295803558</v>
      </c>
      <c r="Y61" s="441">
        <f t="shared" ca="1" si="175"/>
        <v>128280.38701595209</v>
      </c>
      <c r="Z61" s="441">
        <f t="shared" ca="1" si="175"/>
        <v>133783.74829570387</v>
      </c>
      <c r="AA61" s="441">
        <f t="shared" ca="1" si="175"/>
        <v>139309.04789389655</v>
      </c>
      <c r="AB61" s="441">
        <f t="shared" ca="1" si="175"/>
        <v>144856.35245377827</v>
      </c>
      <c r="AC61" s="441">
        <f t="shared" ca="1" si="175"/>
        <v>150425.72879928589</v>
      </c>
      <c r="AD61" s="441">
        <f t="shared" ca="1" si="175"/>
        <v>156017.24393549349</v>
      </c>
    </row>
    <row r="62" spans="2:30">
      <c r="C62" s="426"/>
      <c r="D62" s="426"/>
      <c r="E62" s="426"/>
      <c r="F62" s="426"/>
      <c r="G62" s="428"/>
      <c r="H62" s="428"/>
      <c r="I62" s="428"/>
      <c r="U62" s="426"/>
      <c r="V62" s="428"/>
      <c r="W62" s="428"/>
      <c r="X62" s="428"/>
    </row>
    <row r="64" spans="2:30">
      <c r="N64" s="157"/>
      <c r="O64" s="429"/>
      <c r="AC64" s="157"/>
      <c r="AD64" s="429"/>
    </row>
    <row r="65" spans="2:30">
      <c r="C65" s="165">
        <v>2019</v>
      </c>
      <c r="D65" s="165">
        <v>2020</v>
      </c>
      <c r="E65" s="165">
        <v>2021</v>
      </c>
      <c r="F65" s="165">
        <v>2022</v>
      </c>
      <c r="G65" s="165">
        <v>2023</v>
      </c>
      <c r="H65" s="165">
        <v>2024</v>
      </c>
      <c r="I65" s="165">
        <v>2025</v>
      </c>
      <c r="J65" s="165">
        <v>2026</v>
      </c>
      <c r="K65" s="165">
        <v>2027</v>
      </c>
      <c r="L65" s="165">
        <v>2028</v>
      </c>
      <c r="M65" s="165">
        <v>2029</v>
      </c>
      <c r="N65" s="165">
        <v>2030</v>
      </c>
      <c r="O65" s="165">
        <v>2031</v>
      </c>
      <c r="R65" s="165">
        <v>2019</v>
      </c>
      <c r="S65" s="165">
        <v>2020</v>
      </c>
      <c r="T65" s="165">
        <v>2021</v>
      </c>
      <c r="U65" s="165">
        <v>2022</v>
      </c>
      <c r="V65" s="165">
        <v>2023</v>
      </c>
      <c r="W65" s="165">
        <v>2024</v>
      </c>
      <c r="X65" s="165">
        <v>2025</v>
      </c>
      <c r="Y65" s="165">
        <v>2026</v>
      </c>
      <c r="Z65" s="165">
        <v>2027</v>
      </c>
      <c r="AA65" s="165">
        <v>2028</v>
      </c>
      <c r="AB65" s="165">
        <v>2029</v>
      </c>
      <c r="AC65" s="165">
        <v>2030</v>
      </c>
      <c r="AD65" s="165">
        <v>2031</v>
      </c>
    </row>
    <row r="66" spans="2:30">
      <c r="B66" s="165" t="s">
        <v>538</v>
      </c>
      <c r="C66" s="143">
        <f t="shared" ref="C66:E66" ca="1" si="176">C28</f>
        <v>1985555.4240786438</v>
      </c>
      <c r="D66" s="143">
        <f t="shared" ca="1" si="176"/>
        <v>2791858.4732983396</v>
      </c>
      <c r="E66" s="143">
        <f t="shared" ca="1" si="176"/>
        <v>2559936.1162254238</v>
      </c>
      <c r="F66" s="143">
        <f ca="1">F28</f>
        <v>2920203.0414219894</v>
      </c>
      <c r="G66" s="143">
        <f ca="1">G28</f>
        <v>3269232.9631785089</v>
      </c>
      <c r="H66" s="143">
        <f t="shared" ref="H66:K66" ca="1" si="177">H28</f>
        <v>3570217.9812159743</v>
      </c>
      <c r="I66" s="143">
        <f t="shared" ca="1" si="177"/>
        <v>3616922.2603685944</v>
      </c>
      <c r="J66" s="143">
        <f t="shared" ca="1" si="177"/>
        <v>3905116.3579303748</v>
      </c>
      <c r="K66" s="143">
        <f t="shared" ca="1" si="177"/>
        <v>4157162.9047003291</v>
      </c>
      <c r="L66" s="143">
        <f t="shared" ref="L66:O66" ca="1" si="178">L28</f>
        <v>4420505.870829219</v>
      </c>
      <c r="M66" s="143">
        <f t="shared" ca="1" si="178"/>
        <v>4692132.2461969918</v>
      </c>
      <c r="N66" s="143">
        <f t="shared" ca="1" si="178"/>
        <v>4966058.9754835041</v>
      </c>
      <c r="O66" s="143">
        <f t="shared" ca="1" si="178"/>
        <v>5138581.9107076516</v>
      </c>
      <c r="P66" s="143"/>
      <c r="Q66" s="165" t="s">
        <v>538</v>
      </c>
      <c r="R66" s="143">
        <f t="shared" ref="R66:T66" ca="1" si="179">R28</f>
        <v>731926.96292783204</v>
      </c>
      <c r="S66" s="143">
        <f t="shared" ca="1" si="179"/>
        <v>1240025.7489432476</v>
      </c>
      <c r="T66" s="143">
        <f t="shared" ca="1" si="179"/>
        <v>1234483.0153347205</v>
      </c>
      <c r="U66" s="143">
        <f ca="1">U28</f>
        <v>1409651.2895358028</v>
      </c>
      <c r="V66" s="143">
        <f ca="1">V28</f>
        <v>1415225.3714643992</v>
      </c>
      <c r="W66" s="143">
        <f t="shared" ref="W66:AD66" ca="1" si="180">W28</f>
        <v>1334382.659871171</v>
      </c>
      <c r="X66" s="143">
        <f t="shared" ca="1" si="180"/>
        <v>1295824.4825267417</v>
      </c>
      <c r="Y66" s="143">
        <f t="shared" ca="1" si="180"/>
        <v>1504065.363844377</v>
      </c>
      <c r="Z66" s="143">
        <f t="shared" ca="1" si="180"/>
        <v>1609436.3289396183</v>
      </c>
      <c r="AA66" s="143">
        <f t="shared" ca="1" si="180"/>
        <v>1732842.4074658984</v>
      </c>
      <c r="AB66" s="143">
        <f t="shared" ca="1" si="180"/>
        <v>1862136.1447970709</v>
      </c>
      <c r="AC66" s="143">
        <f t="shared" ca="1" si="180"/>
        <v>1972332.4982496991</v>
      </c>
      <c r="AD66" s="143">
        <f t="shared" ca="1" si="180"/>
        <v>2020884.4616133252</v>
      </c>
    </row>
    <row r="67" spans="2:30">
      <c r="B67" s="165" t="s">
        <v>539</v>
      </c>
      <c r="C67" s="426"/>
      <c r="D67" s="426">
        <f t="shared" ref="D67:E67" ca="1" si="181">C66*$T$3</f>
        <v>1271256.2332317005</v>
      </c>
      <c r="E67" s="426">
        <f t="shared" ca="1" si="181"/>
        <v>1787493.5362875464</v>
      </c>
      <c r="F67" s="426">
        <f ca="1">E66*$T$3</f>
        <v>1639004.7363883727</v>
      </c>
      <c r="G67" s="426">
        <f ca="1">F66*$T$3</f>
        <v>1869666.4286933732</v>
      </c>
      <c r="H67" s="426">
        <f ca="1">G66*$T$3</f>
        <v>2093133.6047976317</v>
      </c>
      <c r="I67" s="426">
        <f ca="1">H66*$T$3</f>
        <v>2285839.9254822005</v>
      </c>
      <c r="J67" s="426">
        <f t="shared" ref="J67:K67" ca="1" si="182">I66*$T$3</f>
        <v>2315742.4430706543</v>
      </c>
      <c r="K67" s="426">
        <f t="shared" ca="1" si="182"/>
        <v>2500259.3487500837</v>
      </c>
      <c r="L67" s="426">
        <f t="shared" ref="L67" ca="1" si="183">K66*$T$3</f>
        <v>2661632.7054240792</v>
      </c>
      <c r="M67" s="426">
        <f t="shared" ref="M67" ca="1" si="184">L66*$T$3</f>
        <v>2830238.6194717428</v>
      </c>
      <c r="N67" s="426">
        <f t="shared" ref="N67" ca="1" si="185">M66*$T$3</f>
        <v>3004148.0045278901</v>
      </c>
      <c r="O67" s="426">
        <f t="shared" ref="O67" ca="1" si="186">N66*$T$3</f>
        <v>3179530.1962467846</v>
      </c>
      <c r="P67" s="426"/>
      <c r="Q67" s="165" t="s">
        <v>539</v>
      </c>
      <c r="R67" s="426"/>
      <c r="S67" s="426">
        <f t="shared" ref="S67:T67" ca="1" si="187">R66*$T$3</f>
        <v>468617.85000240844</v>
      </c>
      <c r="T67" s="426">
        <f t="shared" ca="1" si="187"/>
        <v>793929.21677993599</v>
      </c>
      <c r="U67" s="426">
        <f ca="1">T66*$T$3</f>
        <v>790380.46937982121</v>
      </c>
      <c r="V67" s="426">
        <f ca="1">U66*$T$3</f>
        <v>902532.34272573772</v>
      </c>
      <c r="W67" s="426">
        <f ca="1">V66*$T$3</f>
        <v>906101.16095681803</v>
      </c>
      <c r="X67" s="426">
        <f ca="1">W66*$T$3</f>
        <v>854341.43681215809</v>
      </c>
      <c r="Y67" s="426">
        <f t="shared" ref="Y67" ca="1" si="188">X66*$T$3</f>
        <v>829654.47884728306</v>
      </c>
      <c r="Z67" s="426">
        <f t="shared" ref="Z67" ca="1" si="189">Y66*$T$3</f>
        <v>962981.16173831746</v>
      </c>
      <c r="AA67" s="426">
        <f t="shared" ref="AA67" ca="1" si="190">Z66*$T$3</f>
        <v>1030445.1542083961</v>
      </c>
      <c r="AB67" s="426">
        <f t="shared" ref="AB67" ca="1" si="191">AA66*$T$3</f>
        <v>1109456.1677730321</v>
      </c>
      <c r="AC67" s="426">
        <f t="shared" ref="AC67" ca="1" si="192">AB66*$T$3</f>
        <v>1192236.7678544151</v>
      </c>
      <c r="AD67" s="426">
        <f t="shared" ref="AD67" ca="1" si="193">AC66*$T$3</f>
        <v>1262790.2258476929</v>
      </c>
    </row>
    <row r="68" spans="2:30">
      <c r="B68" s="165" t="s">
        <v>540</v>
      </c>
      <c r="C68" s="426">
        <f t="shared" ref="C68:E68" ca="1" si="194">C66*$T$10</f>
        <v>714299.19084694271</v>
      </c>
      <c r="D68" s="426">
        <f t="shared" ca="1" si="194"/>
        <v>1004364.9370107927</v>
      </c>
      <c r="E68" s="426">
        <f t="shared" ca="1" si="194"/>
        <v>920931.37983705045</v>
      </c>
      <c r="F68" s="426">
        <f t="shared" ref="F68:K68" ca="1" si="195">F66*$T$10</f>
        <v>1050536.6127286155</v>
      </c>
      <c r="G68" s="426">
        <f t="shared" ca="1" si="195"/>
        <v>1176099.3583808765</v>
      </c>
      <c r="H68" s="426">
        <f t="shared" ca="1" si="195"/>
        <v>1284378.0557337732</v>
      </c>
      <c r="I68" s="426">
        <f t="shared" ca="1" si="195"/>
        <v>1301179.8172979392</v>
      </c>
      <c r="J68" s="426">
        <f t="shared" ca="1" si="195"/>
        <v>1404857.0091802904</v>
      </c>
      <c r="K68" s="426">
        <f t="shared" ca="1" si="195"/>
        <v>1495530.1992762489</v>
      </c>
      <c r="L68" s="426">
        <f t="shared" ref="L68:O68" ca="1" si="196">L66*$T$10</f>
        <v>1590267.2513574753</v>
      </c>
      <c r="M68" s="426">
        <f t="shared" ca="1" si="196"/>
        <v>1687984.2416691007</v>
      </c>
      <c r="N68" s="426">
        <f t="shared" ca="1" si="196"/>
        <v>1786528.7792367185</v>
      </c>
      <c r="O68" s="426">
        <f t="shared" ca="1" si="196"/>
        <v>1848593.5252209974</v>
      </c>
      <c r="P68" s="426"/>
      <c r="Q68" s="165" t="s">
        <v>540</v>
      </c>
      <c r="R68" s="426">
        <f t="shared" ref="R68:T68" ca="1" si="197">R66*$T$10</f>
        <v>263309.11292542348</v>
      </c>
      <c r="S68" s="426">
        <f t="shared" ca="1" si="197"/>
        <v>446096.53216331132</v>
      </c>
      <c r="T68" s="426">
        <f t="shared" ca="1" si="197"/>
        <v>444102.54595489899</v>
      </c>
      <c r="U68" s="426">
        <f t="shared" ref="U68:AD68" ca="1" si="198">U66*$T$10</f>
        <v>507118.94681006478</v>
      </c>
      <c r="V68" s="426">
        <f t="shared" ca="1" si="198"/>
        <v>509124.21050758078</v>
      </c>
      <c r="W68" s="426">
        <f t="shared" ca="1" si="198"/>
        <v>480041.22305901261</v>
      </c>
      <c r="X68" s="426">
        <f t="shared" ca="1" si="198"/>
        <v>466170.00367945834</v>
      </c>
      <c r="Y68" s="426">
        <f t="shared" ca="1" si="198"/>
        <v>541084.20210605918</v>
      </c>
      <c r="Z68" s="426">
        <f t="shared" ca="1" si="198"/>
        <v>578991.17473122186</v>
      </c>
      <c r="AA68" s="426">
        <f t="shared" ca="1" si="198"/>
        <v>623386.23969286599</v>
      </c>
      <c r="AB68" s="426">
        <f t="shared" ca="1" si="198"/>
        <v>669899.3769426553</v>
      </c>
      <c r="AC68" s="426">
        <f t="shared" ca="1" si="198"/>
        <v>709542.27240200574</v>
      </c>
      <c r="AD68" s="426">
        <f t="shared" ca="1" si="198"/>
        <v>727008.73429176211</v>
      </c>
    </row>
    <row r="69" spans="2:30">
      <c r="B69" s="159" t="s">
        <v>541</v>
      </c>
      <c r="C69" s="185">
        <f t="shared" ref="C69:E69" ca="1" si="199">C67+C68</f>
        <v>714299.19084694271</v>
      </c>
      <c r="D69" s="185">
        <f t="shared" ca="1" si="199"/>
        <v>2275621.170242493</v>
      </c>
      <c r="E69" s="185">
        <f t="shared" ca="1" si="199"/>
        <v>2708424.9161245967</v>
      </c>
      <c r="F69" s="185">
        <f t="shared" ref="F69:G69" ca="1" si="200">F67+F68</f>
        <v>2689541.3491169885</v>
      </c>
      <c r="G69" s="185">
        <f t="shared" ca="1" si="200"/>
        <v>3045765.7870742497</v>
      </c>
      <c r="H69" s="185">
        <f ca="1">H67+H68</f>
        <v>3377511.6605314049</v>
      </c>
      <c r="I69" s="185">
        <f ca="1">I67+I68</f>
        <v>3587019.7427801397</v>
      </c>
      <c r="J69" s="185">
        <f t="shared" ref="J69:K69" ca="1" si="201">J67+J68</f>
        <v>3720599.4522509445</v>
      </c>
      <c r="K69" s="185">
        <f t="shared" ca="1" si="201"/>
        <v>3995789.5480263326</v>
      </c>
      <c r="L69" s="185">
        <f t="shared" ref="L69:O69" ca="1" si="202">L67+L68</f>
        <v>4251899.956781555</v>
      </c>
      <c r="M69" s="185">
        <f t="shared" ca="1" si="202"/>
        <v>4518222.8611408435</v>
      </c>
      <c r="N69" s="185">
        <f t="shared" ca="1" si="202"/>
        <v>4790676.7837646082</v>
      </c>
      <c r="O69" s="185">
        <f t="shared" ca="1" si="202"/>
        <v>5028123.7214677818</v>
      </c>
      <c r="P69" s="185"/>
      <c r="Q69" s="159" t="s">
        <v>541</v>
      </c>
      <c r="R69" s="185">
        <f t="shared" ref="R69:T69" ca="1" si="203">R67+R68</f>
        <v>263309.11292542348</v>
      </c>
      <c r="S69" s="185">
        <f t="shared" ca="1" si="203"/>
        <v>914714.38216571975</v>
      </c>
      <c r="T69" s="185">
        <f t="shared" ca="1" si="203"/>
        <v>1238031.762734835</v>
      </c>
      <c r="U69" s="185">
        <f t="shared" ref="U69:V69" ca="1" si="204">U67+U68</f>
        <v>1297499.4161898859</v>
      </c>
      <c r="V69" s="185">
        <f t="shared" ca="1" si="204"/>
        <v>1411656.5532333185</v>
      </c>
      <c r="W69" s="185">
        <f ca="1">W67+W68</f>
        <v>1386142.3840158307</v>
      </c>
      <c r="X69" s="185">
        <f ca="1">X67+X68</f>
        <v>1320511.4404916165</v>
      </c>
      <c r="Y69" s="185">
        <f t="shared" ref="Y69:AD69" ca="1" si="205">Y67+Y68</f>
        <v>1370738.6809533422</v>
      </c>
      <c r="Z69" s="185">
        <f t="shared" ca="1" si="205"/>
        <v>1541972.3364695394</v>
      </c>
      <c r="AA69" s="185">
        <f t="shared" ca="1" si="205"/>
        <v>1653831.393901262</v>
      </c>
      <c r="AB69" s="185">
        <f t="shared" ca="1" si="205"/>
        <v>1779355.5447156874</v>
      </c>
      <c r="AC69" s="185">
        <f t="shared" ca="1" si="205"/>
        <v>1901779.0402564208</v>
      </c>
      <c r="AD69" s="185">
        <f t="shared" ca="1" si="205"/>
        <v>1989798.960139455</v>
      </c>
    </row>
    <row r="70" spans="2:30">
      <c r="B70" s="165" t="s">
        <v>542</v>
      </c>
      <c r="C70" s="143">
        <f t="shared" ref="C70:E70" ca="1" si="206">C39</f>
        <v>28006.650390158582</v>
      </c>
      <c r="D70" s="143">
        <f t="shared" ca="1" si="206"/>
        <v>32103.294413624655</v>
      </c>
      <c r="E70" s="143">
        <f t="shared" ca="1" si="206"/>
        <v>30968.399062886052</v>
      </c>
      <c r="F70" s="143">
        <f ca="1">F39</f>
        <v>33840.947747631617</v>
      </c>
      <c r="G70" s="143">
        <f t="shared" ref="G70:K70" ca="1" si="207">G39</f>
        <v>36782.447429930398</v>
      </c>
      <c r="H70" s="143">
        <f t="shared" ca="1" si="207"/>
        <v>36938.088480981452</v>
      </c>
      <c r="I70" s="143">
        <f t="shared" ca="1" si="207"/>
        <v>38558.471482067296</v>
      </c>
      <c r="J70" s="143">
        <f t="shared" ca="1" si="207"/>
        <v>39983.089742518554</v>
      </c>
      <c r="K70" s="143">
        <f t="shared" ca="1" si="207"/>
        <v>41518.545695733526</v>
      </c>
      <c r="L70" s="143">
        <f t="shared" ref="L70:O70" ca="1" si="208">L39</f>
        <v>43046.79082219828</v>
      </c>
      <c r="M70" s="143">
        <f t="shared" ca="1" si="208"/>
        <v>44567.85002433163</v>
      </c>
      <c r="N70" s="143">
        <f t="shared" ca="1" si="208"/>
        <v>46081.748128477135</v>
      </c>
      <c r="O70" s="143">
        <f t="shared" ca="1" si="208"/>
        <v>47588.509885117041</v>
      </c>
      <c r="P70" s="143"/>
      <c r="R70" s="143"/>
      <c r="S70" s="143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</row>
    <row r="71" spans="2:30">
      <c r="B71" s="165" t="s">
        <v>539</v>
      </c>
      <c r="C71" s="426"/>
      <c r="D71" s="426">
        <f t="shared" ref="D71:E71" ca="1" si="209">C70*$T$3</f>
        <v>17931.319593836706</v>
      </c>
      <c r="E71" s="426">
        <f t="shared" ca="1" si="209"/>
        <v>20554.204952264437</v>
      </c>
      <c r="F71" s="426">
        <f ca="1">E70*$T$3</f>
        <v>19827.585704473055</v>
      </c>
      <c r="G71" s="426">
        <f t="shared" ref="G71:O71" ca="1" si="210">F70*$T$3</f>
        <v>21666.741326350919</v>
      </c>
      <c r="H71" s="426">
        <f t="shared" ca="1" si="210"/>
        <v>23550.042976269142</v>
      </c>
      <c r="I71" s="426">
        <f t="shared" ca="1" si="210"/>
        <v>23649.692501986712</v>
      </c>
      <c r="J71" s="426">
        <f t="shared" ca="1" si="210"/>
        <v>24687.146287145559</v>
      </c>
      <c r="K71" s="426">
        <f t="shared" ca="1" si="210"/>
        <v>25599.26126596301</v>
      </c>
      <c r="L71" s="426">
        <f t="shared" ca="1" si="210"/>
        <v>26582.340321680138</v>
      </c>
      <c r="M71" s="426">
        <f t="shared" ca="1" si="210"/>
        <v>27560.802629689395</v>
      </c>
      <c r="N71" s="426">
        <f t="shared" ca="1" si="210"/>
        <v>28534.664133819268</v>
      </c>
      <c r="O71" s="426">
        <f t="shared" ca="1" si="210"/>
        <v>29503.940729190901</v>
      </c>
      <c r="P71" s="426"/>
      <c r="R71" s="426"/>
      <c r="S71" s="426"/>
      <c r="T71" s="426"/>
      <c r="U71" s="426"/>
      <c r="V71" s="426"/>
      <c r="W71" s="426"/>
      <c r="X71" s="426"/>
      <c r="Y71" s="426"/>
      <c r="Z71" s="426"/>
      <c r="AA71" s="426"/>
      <c r="AB71" s="426"/>
      <c r="AC71" s="426"/>
      <c r="AD71" s="426"/>
    </row>
    <row r="72" spans="2:30">
      <c r="B72" s="165" t="s">
        <v>540</v>
      </c>
      <c r="C72" s="426">
        <f t="shared" ref="C72:E72" ca="1" si="211">C70*$T$10</f>
        <v>10075.330796321869</v>
      </c>
      <c r="D72" s="426">
        <f t="shared" ca="1" si="211"/>
        <v>11549.08946136021</v>
      </c>
      <c r="E72" s="426">
        <f t="shared" ca="1" si="211"/>
        <v>11140.813358412992</v>
      </c>
      <c r="F72" s="426">
        <f t="shared" ref="F72:K72" ca="1" si="212">F70*$T$10</f>
        <v>12174.206421280693</v>
      </c>
      <c r="G72" s="426">
        <f t="shared" ca="1" si="212"/>
        <v>13232.404453661247</v>
      </c>
      <c r="H72" s="426">
        <f t="shared" ca="1" si="212"/>
        <v>13288.395978994731</v>
      </c>
      <c r="I72" s="426">
        <f t="shared" ca="1" si="212"/>
        <v>13871.325194921727</v>
      </c>
      <c r="J72" s="426">
        <f t="shared" ca="1" si="212"/>
        <v>14383.828476555536</v>
      </c>
      <c r="K72" s="426">
        <f t="shared" ca="1" si="212"/>
        <v>14936.205374053379</v>
      </c>
      <c r="L72" s="426">
        <f t="shared" ref="L72:O72" ca="1" si="213">L70*$T$10</f>
        <v>15485.988192508876</v>
      </c>
      <c r="M72" s="426">
        <f t="shared" ca="1" si="213"/>
        <v>16033.185890512352</v>
      </c>
      <c r="N72" s="426">
        <f t="shared" ca="1" si="213"/>
        <v>16577.807399286223</v>
      </c>
      <c r="O72" s="426">
        <f t="shared" ca="1" si="213"/>
        <v>17119.861622761968</v>
      </c>
      <c r="P72" s="426"/>
      <c r="R72" s="426"/>
      <c r="S72" s="426"/>
      <c r="T72" s="426"/>
      <c r="U72" s="426"/>
      <c r="V72" s="426"/>
      <c r="W72" s="426"/>
      <c r="X72" s="426"/>
      <c r="Y72" s="426"/>
      <c r="Z72" s="426"/>
      <c r="AA72" s="426"/>
      <c r="AB72" s="426"/>
      <c r="AC72" s="426"/>
      <c r="AD72" s="426"/>
    </row>
    <row r="73" spans="2:30">
      <c r="B73" s="159" t="s">
        <v>541</v>
      </c>
      <c r="C73" s="185">
        <f t="shared" ref="C73:E73" ca="1" si="214">C71+C72</f>
        <v>10075.330796321869</v>
      </c>
      <c r="D73" s="185">
        <f t="shared" ca="1" si="214"/>
        <v>29480.409055196917</v>
      </c>
      <c r="E73" s="185">
        <f t="shared" ca="1" si="214"/>
        <v>31695.018310677428</v>
      </c>
      <c r="F73" s="185">
        <f t="shared" ref="F73:K73" ca="1" si="215">F71+F72</f>
        <v>32001.792125753745</v>
      </c>
      <c r="G73" s="185">
        <f t="shared" ca="1" si="215"/>
        <v>34899.145780012164</v>
      </c>
      <c r="H73" s="185">
        <f ca="1">H71+H72</f>
        <v>36838.438955263875</v>
      </c>
      <c r="I73" s="185">
        <f t="shared" ca="1" si="215"/>
        <v>37521.017696908442</v>
      </c>
      <c r="J73" s="185">
        <f t="shared" ca="1" si="215"/>
        <v>39070.974763701095</v>
      </c>
      <c r="K73" s="185">
        <f t="shared" ca="1" si="215"/>
        <v>40535.466640016391</v>
      </c>
      <c r="L73" s="185">
        <f t="shared" ref="L73:O73" ca="1" si="216">L71+L72</f>
        <v>42068.328514189016</v>
      </c>
      <c r="M73" s="185">
        <f t="shared" ca="1" si="216"/>
        <v>43593.988520201747</v>
      </c>
      <c r="N73" s="185">
        <f t="shared" ca="1" si="216"/>
        <v>45112.47153310549</v>
      </c>
      <c r="O73" s="185">
        <f t="shared" ca="1" si="216"/>
        <v>46623.802351952865</v>
      </c>
      <c r="P73" s="185"/>
      <c r="Q73" s="159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</row>
    <row r="74" spans="2:30">
      <c r="B74" s="165" t="s">
        <v>543</v>
      </c>
      <c r="C74" s="143">
        <f t="shared" ref="C74:E74" ca="1" si="217">C50</f>
        <v>506343.02339767339</v>
      </c>
      <c r="D74" s="143">
        <f t="shared" ca="1" si="217"/>
        <v>669556.26951343927</v>
      </c>
      <c r="E74" s="143">
        <f t="shared" ca="1" si="217"/>
        <v>610748.61784243118</v>
      </c>
      <c r="F74" s="143">
        <f t="shared" ref="F74:K74" ca="1" si="218">F50</f>
        <v>749708.37863484875</v>
      </c>
      <c r="G74" s="143">
        <f t="shared" ca="1" si="218"/>
        <v>756481.95666737587</v>
      </c>
      <c r="H74" s="143">
        <f t="shared" ca="1" si="218"/>
        <v>710320.75047171628</v>
      </c>
      <c r="I74" s="143">
        <f t="shared" ca="1" si="218"/>
        <v>726390.79846301035</v>
      </c>
      <c r="J74" s="143">
        <f t="shared" ca="1" si="218"/>
        <v>852185.6207249196</v>
      </c>
      <c r="K74" s="143">
        <f t="shared" ca="1" si="218"/>
        <v>892850.23952498438</v>
      </c>
      <c r="L74" s="143">
        <f t="shared" ref="L74:O74" ca="1" si="219">L50</f>
        <v>934019.41388160107</v>
      </c>
      <c r="M74" s="143">
        <f t="shared" ca="1" si="219"/>
        <v>975698.06545735139</v>
      </c>
      <c r="N74" s="143">
        <f t="shared" ca="1" si="219"/>
        <v>1017891.1591228152</v>
      </c>
      <c r="O74" s="143">
        <f t="shared" ca="1" si="219"/>
        <v>1060603.7033139237</v>
      </c>
      <c r="P74" s="143"/>
      <c r="Q74" s="165" t="s">
        <v>543</v>
      </c>
      <c r="R74" s="143">
        <f t="shared" ref="R74:T74" ca="1" si="220">R50</f>
        <v>124346.42037876238</v>
      </c>
      <c r="S74" s="143">
        <f t="shared" ca="1" si="220"/>
        <v>171900.99234749185</v>
      </c>
      <c r="T74" s="143">
        <f t="shared" ca="1" si="220"/>
        <v>190851.63917204764</v>
      </c>
      <c r="U74" s="143">
        <f ca="1">U50</f>
        <v>230252.56607011636</v>
      </c>
      <c r="V74" s="143">
        <f t="shared" ref="V74:AD74" ca="1" si="221">V50</f>
        <v>237274.01651746684</v>
      </c>
      <c r="W74" s="143">
        <f t="shared" ca="1" si="221"/>
        <v>219725.18320139704</v>
      </c>
      <c r="X74" s="143">
        <f t="shared" ca="1" si="221"/>
        <v>199531.82100926916</v>
      </c>
      <c r="Y74" s="143">
        <f t="shared" ca="1" si="221"/>
        <v>246553.74169392083</v>
      </c>
      <c r="Z74" s="143">
        <f t="shared" ca="1" si="221"/>
        <v>259948.30033187484</v>
      </c>
      <c r="AA74" s="143">
        <f t="shared" ca="1" si="221"/>
        <v>273649.86156246194</v>
      </c>
      <c r="AB74" s="143">
        <f t="shared" ca="1" si="221"/>
        <v>287664.14913660905</v>
      </c>
      <c r="AC74" s="143">
        <f t="shared" ca="1" si="221"/>
        <v>301996.98380923038</v>
      </c>
      <c r="AD74" s="143">
        <f t="shared" ca="1" si="221"/>
        <v>316654.2848949121</v>
      </c>
    </row>
    <row r="75" spans="2:30">
      <c r="B75" s="165" t="s">
        <v>539</v>
      </c>
      <c r="C75" s="426"/>
      <c r="D75" s="426">
        <f t="shared" ref="D75:E75" ca="1" si="222">C74*$T$3</f>
        <v>324187.23589464597</v>
      </c>
      <c r="E75" s="426">
        <f t="shared" ca="1" si="222"/>
        <v>428684.87617931672</v>
      </c>
      <c r="F75" s="426">
        <f ca="1">E74*$T$3</f>
        <v>391033.1476796309</v>
      </c>
      <c r="G75" s="426">
        <f ca="1">F74*$T$3</f>
        <v>480002.44057041954</v>
      </c>
      <c r="H75" s="426">
        <f ca="1">G74*$T$3</f>
        <v>484339.23882379854</v>
      </c>
      <c r="I75" s="426">
        <f ca="1">H74*$T$3</f>
        <v>454784.42489209649</v>
      </c>
      <c r="J75" s="426">
        <f t="shared" ref="J75:K75" ca="1" si="223">I74*$T$3</f>
        <v>465073.30851101881</v>
      </c>
      <c r="K75" s="426">
        <f t="shared" ca="1" si="223"/>
        <v>545613.72051333426</v>
      </c>
      <c r="L75" s="426">
        <f t="shared" ref="L75" ca="1" si="224">K74*$T$3</f>
        <v>571649.33225938329</v>
      </c>
      <c r="M75" s="426">
        <f t="shared" ref="M75" ca="1" si="225">L74*$T$3</f>
        <v>598007.9868117423</v>
      </c>
      <c r="N75" s="426">
        <f t="shared" ref="N75" ca="1" si="226">M74*$T$3</f>
        <v>624692.83527571859</v>
      </c>
      <c r="O75" s="426">
        <f t="shared" ref="O75" ca="1" si="227">N74*$T$3</f>
        <v>651707.05642063555</v>
      </c>
      <c r="P75" s="426"/>
      <c r="Q75" s="165" t="s">
        <v>539</v>
      </c>
      <c r="R75" s="426"/>
      <c r="S75" s="426">
        <f t="shared" ref="S75:T75" ca="1" si="228">R74*$T$3</f>
        <v>79613.069506686297</v>
      </c>
      <c r="T75" s="426">
        <f t="shared" ca="1" si="228"/>
        <v>110059.98894332972</v>
      </c>
      <c r="U75" s="426">
        <f ca="1">T74*$T$3</f>
        <v>122193.18230944694</v>
      </c>
      <c r="V75" s="426">
        <f ca="1">U74*$T$3</f>
        <v>147419.71253210193</v>
      </c>
      <c r="W75" s="426">
        <f ca="1">V74*$T$3</f>
        <v>151915.21164498304</v>
      </c>
      <c r="X75" s="426">
        <f ca="1">W74*$T$3</f>
        <v>140679.53246501257</v>
      </c>
      <c r="Y75" s="426">
        <f t="shared" ref="Y75" ca="1" si="229">X74*$T$3</f>
        <v>127750.68784786468</v>
      </c>
      <c r="Z75" s="426">
        <f t="shared" ref="Z75" ca="1" si="230">Y74*$T$3</f>
        <v>157856.57612677201</v>
      </c>
      <c r="AA75" s="426">
        <f t="shared" ref="AA75" ca="1" si="231">Z74*$T$3</f>
        <v>166432.47179475013</v>
      </c>
      <c r="AB75" s="426">
        <f t="shared" ref="AB75" ca="1" si="232">AA74*$T$3</f>
        <v>175204.92654880075</v>
      </c>
      <c r="AC75" s="426">
        <f t="shared" ref="AC75" ca="1" si="233">AB74*$T$3</f>
        <v>184177.60503306068</v>
      </c>
      <c r="AD75" s="426">
        <f t="shared" ref="AD75" ca="1" si="234">AC74*$T$3</f>
        <v>193354.23399868337</v>
      </c>
    </row>
    <row r="76" spans="2:30">
      <c r="B76" s="165" t="s">
        <v>540</v>
      </c>
      <c r="C76" s="426">
        <f t="shared" ref="C76:E76" ca="1" si="235">C74*$T$10</f>
        <v>182155.7875030273</v>
      </c>
      <c r="D76" s="426">
        <f t="shared" ca="1" si="235"/>
        <v>240871.39333412237</v>
      </c>
      <c r="E76" s="426">
        <f t="shared" ca="1" si="235"/>
        <v>219715.47016280013</v>
      </c>
      <c r="F76" s="426">
        <f t="shared" ref="F76:K76" ca="1" si="236">F74*$T$10</f>
        <v>269705.93806442904</v>
      </c>
      <c r="G76" s="426">
        <f t="shared" ca="1" si="236"/>
        <v>272142.71784357715</v>
      </c>
      <c r="H76" s="426">
        <f t="shared" ca="1" si="236"/>
        <v>255536.32557961965</v>
      </c>
      <c r="I76" s="426">
        <f t="shared" ca="1" si="236"/>
        <v>261317.48995199136</v>
      </c>
      <c r="J76" s="426">
        <f t="shared" ca="1" si="236"/>
        <v>306571.90021158522</v>
      </c>
      <c r="K76" s="426">
        <f t="shared" ca="1" si="236"/>
        <v>321200.90726560092</v>
      </c>
      <c r="L76" s="426">
        <f t="shared" ref="L76:O76" ca="1" si="237">L74*$T$10</f>
        <v>336011.42706985859</v>
      </c>
      <c r="M76" s="426">
        <f t="shared" ca="1" si="237"/>
        <v>351005.23018163256</v>
      </c>
      <c r="N76" s="426">
        <f t="shared" ca="1" si="237"/>
        <v>366184.10270217946</v>
      </c>
      <c r="O76" s="426">
        <f t="shared" ca="1" si="237"/>
        <v>381549.84640529484</v>
      </c>
      <c r="P76" s="426"/>
      <c r="Q76" s="165" t="s">
        <v>540</v>
      </c>
      <c r="R76" s="426">
        <f t="shared" ref="R76:T76" ca="1" si="238">R74*$T$10</f>
        <v>44733.350872076066</v>
      </c>
      <c r="S76" s="426">
        <f t="shared" ca="1" si="238"/>
        <v>61841.003404162097</v>
      </c>
      <c r="T76" s="426">
        <f t="shared" ca="1" si="238"/>
        <v>68658.456862600651</v>
      </c>
      <c r="U76" s="426">
        <f t="shared" ref="U76:AD76" ca="1" si="239">U74*$T$10</f>
        <v>82832.853538014388</v>
      </c>
      <c r="V76" s="426">
        <f t="shared" ca="1" si="239"/>
        <v>85358.804872483757</v>
      </c>
      <c r="W76" s="426">
        <f t="shared" ca="1" si="239"/>
        <v>79045.650736384443</v>
      </c>
      <c r="X76" s="426">
        <f t="shared" ca="1" si="239"/>
        <v>71781.133161404432</v>
      </c>
      <c r="Y76" s="426">
        <f t="shared" ca="1" si="239"/>
        <v>88697.165567148782</v>
      </c>
      <c r="Z76" s="426">
        <f t="shared" ca="1" si="239"/>
        <v>93515.828537124646</v>
      </c>
      <c r="AA76" s="426">
        <f t="shared" ca="1" si="239"/>
        <v>98444.935013661132</v>
      </c>
      <c r="AB76" s="426">
        <f t="shared" ca="1" si="239"/>
        <v>103486.54410354829</v>
      </c>
      <c r="AC76" s="426">
        <f t="shared" ca="1" si="239"/>
        <v>108642.74981054694</v>
      </c>
      <c r="AD76" s="426">
        <f t="shared" ca="1" si="239"/>
        <v>113915.68159504281</v>
      </c>
    </row>
    <row r="77" spans="2:30">
      <c r="B77" s="159" t="s">
        <v>541</v>
      </c>
      <c r="C77" s="185">
        <f t="shared" ref="C77:E77" ca="1" si="240">C75+C76</f>
        <v>182155.7875030273</v>
      </c>
      <c r="D77" s="185">
        <f t="shared" ca="1" si="240"/>
        <v>565058.6292287684</v>
      </c>
      <c r="E77" s="185">
        <f t="shared" ca="1" si="240"/>
        <v>648400.34634211683</v>
      </c>
      <c r="F77" s="185">
        <f t="shared" ref="F77:G77" ca="1" si="241">F75+F76</f>
        <v>660739.08574405988</v>
      </c>
      <c r="G77" s="185">
        <f t="shared" ca="1" si="241"/>
        <v>752145.15841399669</v>
      </c>
      <c r="H77" s="185">
        <f ca="1">H75+H76</f>
        <v>739875.56440341822</v>
      </c>
      <c r="I77" s="185">
        <f ca="1">I75+I76</f>
        <v>716101.91484408779</v>
      </c>
      <c r="J77" s="185">
        <f t="shared" ref="J77:K77" ca="1" si="242">J75+J76</f>
        <v>771645.20872260397</v>
      </c>
      <c r="K77" s="185">
        <f t="shared" ca="1" si="242"/>
        <v>866814.62777893525</v>
      </c>
      <c r="L77" s="185">
        <f t="shared" ref="L77:O77" ca="1" si="243">L75+L76</f>
        <v>907660.75932924193</v>
      </c>
      <c r="M77" s="185">
        <f t="shared" ca="1" si="243"/>
        <v>949013.21699337487</v>
      </c>
      <c r="N77" s="185">
        <f t="shared" ca="1" si="243"/>
        <v>990876.93797789805</v>
      </c>
      <c r="O77" s="185">
        <f t="shared" ca="1" si="243"/>
        <v>1033256.9028259304</v>
      </c>
      <c r="P77" s="185"/>
      <c r="Q77" s="159" t="s">
        <v>541</v>
      </c>
      <c r="R77" s="185">
        <f t="shared" ref="R77:T77" ca="1" si="244">R75+R76</f>
        <v>44733.350872076066</v>
      </c>
      <c r="S77" s="185">
        <f t="shared" ca="1" si="244"/>
        <v>141454.07291084839</v>
      </c>
      <c r="T77" s="185">
        <f t="shared" ca="1" si="244"/>
        <v>178718.44580593036</v>
      </c>
      <c r="U77" s="185">
        <f t="shared" ref="U77:V77" ca="1" si="245">U75+U76</f>
        <v>205026.03584746132</v>
      </c>
      <c r="V77" s="185">
        <f t="shared" ca="1" si="245"/>
        <v>232778.51740458567</v>
      </c>
      <c r="W77" s="185">
        <f ca="1">W75+W76</f>
        <v>230960.86238136748</v>
      </c>
      <c r="X77" s="185">
        <f ca="1">X75+X76</f>
        <v>212460.665626417</v>
      </c>
      <c r="Y77" s="185">
        <f t="shared" ref="Y77:AD77" ca="1" si="246">Y75+Y76</f>
        <v>216447.85341501347</v>
      </c>
      <c r="Z77" s="185">
        <f t="shared" ca="1" si="246"/>
        <v>251372.40466389665</v>
      </c>
      <c r="AA77" s="185">
        <f t="shared" ca="1" si="246"/>
        <v>264877.40680841124</v>
      </c>
      <c r="AB77" s="185">
        <f t="shared" ca="1" si="246"/>
        <v>278691.47065234906</v>
      </c>
      <c r="AC77" s="185">
        <f t="shared" ca="1" si="246"/>
        <v>292820.35484360764</v>
      </c>
      <c r="AD77" s="185">
        <f t="shared" ca="1" si="246"/>
        <v>307269.91559372621</v>
      </c>
    </row>
    <row r="78" spans="2:30">
      <c r="B78" s="165" t="s">
        <v>544</v>
      </c>
      <c r="C78" s="185">
        <f t="shared" ref="C78:E78" ca="1" si="247">C61</f>
        <v>298617.40918486286</v>
      </c>
      <c r="D78" s="185">
        <f t="shared" ca="1" si="247"/>
        <v>341329.95385253843</v>
      </c>
      <c r="E78" s="185">
        <f t="shared" ca="1" si="247"/>
        <v>324710.84480762621</v>
      </c>
      <c r="F78" s="185">
        <f ca="1">F61</f>
        <v>365940.70513724565</v>
      </c>
      <c r="G78" s="185">
        <f t="shared" ref="G78:O78" ca="1" si="248">G61</f>
        <v>379448.9007520944</v>
      </c>
      <c r="H78" s="185">
        <f t="shared" ca="1" si="248"/>
        <v>383695.11102782481</v>
      </c>
      <c r="I78" s="185">
        <f t="shared" ca="1" si="248"/>
        <v>405888.0356322939</v>
      </c>
      <c r="J78" s="185">
        <f t="shared" ca="1" si="248"/>
        <v>434299.68553827389</v>
      </c>
      <c r="K78" s="185">
        <f t="shared" ca="1" si="248"/>
        <v>453238.33900817862</v>
      </c>
      <c r="L78" s="185">
        <f t="shared" ca="1" si="248"/>
        <v>472276.81958800991</v>
      </c>
      <c r="M78" s="185">
        <f t="shared" ca="1" si="248"/>
        <v>491415.53025947913</v>
      </c>
      <c r="N78" s="185">
        <f t="shared" ca="1" si="248"/>
        <v>510654.87545807962</v>
      </c>
      <c r="O78" s="185">
        <f t="shared" ca="1" si="248"/>
        <v>529995.26107797597</v>
      </c>
      <c r="P78" s="185"/>
      <c r="Q78" s="165" t="s">
        <v>544</v>
      </c>
      <c r="R78" s="185">
        <f t="shared" ref="R78:T78" ca="1" si="249">R61</f>
        <v>88565.153942863413</v>
      </c>
      <c r="S78" s="185">
        <f t="shared" ca="1" si="249"/>
        <v>100223.93176331748</v>
      </c>
      <c r="T78" s="185">
        <f t="shared" ca="1" si="249"/>
        <v>95929.001783383515</v>
      </c>
      <c r="U78" s="185">
        <f ca="1">U61</f>
        <v>108247.00741656461</v>
      </c>
      <c r="V78" s="185">
        <f t="shared" ref="V78:AD78" ca="1" si="250">V61</f>
        <v>112676.57711706213</v>
      </c>
      <c r="W78" s="185">
        <f t="shared" ca="1" si="250"/>
        <v>115402.77178475936</v>
      </c>
      <c r="X78" s="185">
        <f t="shared" ca="1" si="250"/>
        <v>121395.29295803558</v>
      </c>
      <c r="Y78" s="185">
        <f t="shared" ca="1" si="250"/>
        <v>128280.38701595209</v>
      </c>
      <c r="Z78" s="185">
        <f t="shared" ca="1" si="250"/>
        <v>133783.74829570387</v>
      </c>
      <c r="AA78" s="185">
        <f t="shared" ca="1" si="250"/>
        <v>139309.04789389655</v>
      </c>
      <c r="AB78" s="185">
        <f t="shared" ca="1" si="250"/>
        <v>144856.35245377827</v>
      </c>
      <c r="AC78" s="185">
        <f t="shared" ca="1" si="250"/>
        <v>150425.72879928589</v>
      </c>
      <c r="AD78" s="185">
        <f t="shared" ca="1" si="250"/>
        <v>156017.24393549349</v>
      </c>
    </row>
    <row r="79" spans="2:30">
      <c r="B79" s="165" t="s">
        <v>539</v>
      </c>
      <c r="C79" s="426"/>
      <c r="D79" s="426">
        <f t="shared" ref="D79:E79" ca="1" si="251">C78*$T$3</f>
        <v>191190.45390229422</v>
      </c>
      <c r="E79" s="426">
        <f t="shared" ca="1" si="251"/>
        <v>218537.2546954104</v>
      </c>
      <c r="F79" s="426">
        <f ca="1">E78*$T$3</f>
        <v>207896.83352766305</v>
      </c>
      <c r="G79" s="426">
        <f ca="1">F78*$T$3</f>
        <v>234294.34240789118</v>
      </c>
      <c r="H79" s="426">
        <f ca="1">G78*$T$3</f>
        <v>242942.99440059901</v>
      </c>
      <c r="I79" s="426">
        <f ca="1">H78*$T$3</f>
        <v>245661.63988144204</v>
      </c>
      <c r="J79" s="426">
        <f t="shared" ref="J79" ca="1" si="252">I78*$T$3</f>
        <v>259870.70873690557</v>
      </c>
      <c r="K79" s="426">
        <f t="shared" ref="K79" ca="1" si="253">J78*$T$3</f>
        <v>278061.33016271336</v>
      </c>
      <c r="L79" s="426">
        <f t="shared" ref="L79" ca="1" si="254">K78*$T$3</f>
        <v>290186.84475710121</v>
      </c>
      <c r="M79" s="426">
        <f t="shared" ref="M79" ca="1" si="255">L78*$T$3</f>
        <v>302376.27387847769</v>
      </c>
      <c r="N79" s="426">
        <f t="shared" ref="N79" ca="1" si="256">M78*$T$3</f>
        <v>314629.87553677097</v>
      </c>
      <c r="O79" s="426">
        <f t="shared" ref="O79" ca="1" si="257">N78*$T$3</f>
        <v>326947.90867269645</v>
      </c>
      <c r="P79" s="185"/>
      <c r="Q79" s="165" t="s">
        <v>539</v>
      </c>
      <c r="R79" s="426"/>
      <c r="S79" s="426">
        <f t="shared" ref="S79:T79" ca="1" si="258">R78*$T$3</f>
        <v>56704.03486683574</v>
      </c>
      <c r="T79" s="426">
        <f t="shared" ca="1" si="258"/>
        <v>64168.593043545035</v>
      </c>
      <c r="U79" s="426">
        <f ca="1">T78*$T$3</f>
        <v>61418.754664785934</v>
      </c>
      <c r="V79" s="426">
        <f ca="1">U78*$T$3</f>
        <v>69305.384900469769</v>
      </c>
      <c r="W79" s="426">
        <f ca="1">V78*$T$3</f>
        <v>72141.426656848722</v>
      </c>
      <c r="X79" s="426">
        <f ca="1">W78*$T$3</f>
        <v>73886.878796982914</v>
      </c>
      <c r="Y79" s="426">
        <f t="shared" ref="Y79" ca="1" si="259">X78*$T$3</f>
        <v>77723.603676035505</v>
      </c>
      <c r="Z79" s="426">
        <f t="shared" ref="Z79" ca="1" si="260">Y78*$T$3</f>
        <v>82131.80031027169</v>
      </c>
      <c r="AA79" s="426">
        <f t="shared" ref="AA79" ca="1" si="261">Z78*$T$3</f>
        <v>85655.339490174912</v>
      </c>
      <c r="AB79" s="426">
        <f t="shared" ref="AB79" ca="1" si="262">AA78*$T$3</f>
        <v>89192.924726776619</v>
      </c>
      <c r="AC79" s="426">
        <f t="shared" ref="AC79" ca="1" si="263">AB78*$T$3</f>
        <v>92744.598688563216</v>
      </c>
      <c r="AD79" s="426">
        <f t="shared" ref="AD79" ca="1" si="264">AC78*$T$3</f>
        <v>96310.404159707468</v>
      </c>
    </row>
    <row r="80" spans="2:30">
      <c r="B80" s="165" t="s">
        <v>540</v>
      </c>
      <c r="C80" s="426">
        <f t="shared" ref="C80:E80" ca="1" si="265">C78*$T$10</f>
        <v>107426.95528256857</v>
      </c>
      <c r="D80" s="426">
        <f t="shared" ca="1" si="265"/>
        <v>122792.69915712795</v>
      </c>
      <c r="E80" s="426">
        <f t="shared" ca="1" si="265"/>
        <v>116814.0112799631</v>
      </c>
      <c r="F80" s="426">
        <f t="shared" ref="F80:O80" ca="1" si="266">F78*$T$10</f>
        <v>131646.36272935438</v>
      </c>
      <c r="G80" s="426">
        <f t="shared" ca="1" si="266"/>
        <v>136505.9063514953</v>
      </c>
      <c r="H80" s="426">
        <f t="shared" ca="1" si="266"/>
        <v>138033.47114638268</v>
      </c>
      <c r="I80" s="426">
        <f t="shared" ca="1" si="266"/>
        <v>146017.32689538825</v>
      </c>
      <c r="J80" s="426">
        <f t="shared" ca="1" si="266"/>
        <v>156238.35537556041</v>
      </c>
      <c r="K80" s="426">
        <f t="shared" ca="1" si="266"/>
        <v>163051.4942510773</v>
      </c>
      <c r="L80" s="426">
        <f t="shared" ca="1" si="266"/>
        <v>169900.5457095321</v>
      </c>
      <c r="M80" s="426">
        <f t="shared" ca="1" si="266"/>
        <v>176785.65472270804</v>
      </c>
      <c r="N80" s="426">
        <f t="shared" ca="1" si="266"/>
        <v>183706.96678538306</v>
      </c>
      <c r="O80" s="426">
        <f t="shared" ca="1" si="266"/>
        <v>190664.62791708898</v>
      </c>
      <c r="P80" s="185"/>
      <c r="Q80" s="165" t="s">
        <v>540</v>
      </c>
      <c r="R80" s="426">
        <f t="shared" ref="R80:T80" ca="1" si="267">R78*$T$10</f>
        <v>31861.119076027655</v>
      </c>
      <c r="S80" s="426">
        <f t="shared" ca="1" si="267"/>
        <v>36055.338719772422</v>
      </c>
      <c r="T80" s="426">
        <f t="shared" ca="1" si="267"/>
        <v>34510.247118597559</v>
      </c>
      <c r="U80" s="426">
        <f t="shared" ref="U80:AD80" ca="1" si="268">U78*$T$10</f>
        <v>38941.622516094816</v>
      </c>
      <c r="V80" s="426">
        <f t="shared" ca="1" si="268"/>
        <v>40535.150460213386</v>
      </c>
      <c r="W80" s="426">
        <f t="shared" ca="1" si="268"/>
        <v>41515.892987776424</v>
      </c>
      <c r="X80" s="426">
        <f t="shared" ca="1" si="268"/>
        <v>43671.689282000058</v>
      </c>
      <c r="Y80" s="426">
        <f t="shared" ca="1" si="268"/>
        <v>46148.586705680362</v>
      </c>
      <c r="Z80" s="426">
        <f t="shared" ca="1" si="268"/>
        <v>48128.408805528932</v>
      </c>
      <c r="AA80" s="426">
        <f t="shared" ca="1" si="268"/>
        <v>50116.123167119898</v>
      </c>
      <c r="AB80" s="426">
        <f t="shared" ca="1" si="268"/>
        <v>52111.753765215013</v>
      </c>
      <c r="AC80" s="426">
        <f t="shared" ca="1" si="268"/>
        <v>54115.324639578394</v>
      </c>
      <c r="AD80" s="426">
        <f t="shared" ca="1" si="268"/>
        <v>56126.859895137866</v>
      </c>
    </row>
    <row r="81" spans="2:30">
      <c r="B81" s="159" t="s">
        <v>541</v>
      </c>
      <c r="C81" s="185">
        <f t="shared" ref="C81:E81" ca="1" si="269">C79+C80</f>
        <v>107426.95528256857</v>
      </c>
      <c r="D81" s="185">
        <f t="shared" ca="1" si="269"/>
        <v>313983.15305942215</v>
      </c>
      <c r="E81" s="185">
        <f t="shared" ca="1" si="269"/>
        <v>335351.26597537351</v>
      </c>
      <c r="F81" s="185">
        <f t="shared" ref="F81:G81" ca="1" si="270">F79+F80</f>
        <v>339543.19625701744</v>
      </c>
      <c r="G81" s="185">
        <f t="shared" ca="1" si="270"/>
        <v>370800.24875938648</v>
      </c>
      <c r="H81" s="185">
        <f ca="1">H79+H80</f>
        <v>380976.46554698166</v>
      </c>
      <c r="I81" s="185">
        <f ca="1">I79+I80</f>
        <v>391678.96677683026</v>
      </c>
      <c r="J81" s="185">
        <f t="shared" ref="J81:O81" ca="1" si="271">J79+J80</f>
        <v>416109.06411246595</v>
      </c>
      <c r="K81" s="185">
        <f t="shared" ca="1" si="271"/>
        <v>441112.82441379066</v>
      </c>
      <c r="L81" s="185">
        <f t="shared" ca="1" si="271"/>
        <v>460087.39046663331</v>
      </c>
      <c r="M81" s="185">
        <f t="shared" ca="1" si="271"/>
        <v>479161.92860118573</v>
      </c>
      <c r="N81" s="185">
        <f t="shared" ca="1" si="271"/>
        <v>498336.84232215403</v>
      </c>
      <c r="O81" s="185">
        <f t="shared" ca="1" si="271"/>
        <v>517612.53658978542</v>
      </c>
      <c r="P81" s="185"/>
      <c r="Q81" s="159" t="s">
        <v>541</v>
      </c>
      <c r="R81" s="185">
        <f t="shared" ref="R81:T81" ca="1" si="272">R79+R80</f>
        <v>31861.119076027655</v>
      </c>
      <c r="S81" s="185">
        <f t="shared" ca="1" si="272"/>
        <v>92759.373586608155</v>
      </c>
      <c r="T81" s="185">
        <f t="shared" ca="1" si="272"/>
        <v>98678.840162142587</v>
      </c>
      <c r="U81" s="185">
        <f t="shared" ref="U81:V81" ca="1" si="273">U79+U80</f>
        <v>100360.37718088075</v>
      </c>
      <c r="V81" s="185">
        <f t="shared" ca="1" si="273"/>
        <v>109840.53536068316</v>
      </c>
      <c r="W81" s="185">
        <f ca="1">W79+W80</f>
        <v>113657.31964462515</v>
      </c>
      <c r="X81" s="185">
        <f ca="1">X79+X80</f>
        <v>117558.56807898296</v>
      </c>
      <c r="Y81" s="185">
        <f t="shared" ref="Y81:AD81" ca="1" si="274">Y79+Y80</f>
        <v>123872.19038171586</v>
      </c>
      <c r="Z81" s="185">
        <f t="shared" ca="1" si="274"/>
        <v>130260.20911580062</v>
      </c>
      <c r="AA81" s="185">
        <f t="shared" ca="1" si="274"/>
        <v>135771.46265729482</v>
      </c>
      <c r="AB81" s="185">
        <f t="shared" ca="1" si="274"/>
        <v>141304.67849199162</v>
      </c>
      <c r="AC81" s="185">
        <f t="shared" ca="1" si="274"/>
        <v>146859.92332814162</v>
      </c>
      <c r="AD81" s="185">
        <f t="shared" ca="1" si="274"/>
        <v>152437.26405484532</v>
      </c>
    </row>
    <row r="85" spans="2:30" ht="29">
      <c r="F85" s="440" t="s">
        <v>490</v>
      </c>
      <c r="G85" s="440" t="s">
        <v>491</v>
      </c>
      <c r="H85" s="440" t="s">
        <v>492</v>
      </c>
      <c r="I85" s="440" t="s">
        <v>493</v>
      </c>
      <c r="J85" s="440" t="s">
        <v>494</v>
      </c>
      <c r="K85" s="440" t="s">
        <v>495</v>
      </c>
      <c r="L85" s="440" t="s">
        <v>496</v>
      </c>
      <c r="M85" s="440" t="s">
        <v>497</v>
      </c>
      <c r="U85" s="440" t="s">
        <v>490</v>
      </c>
      <c r="V85" s="440" t="s">
        <v>491</v>
      </c>
      <c r="W85" s="440" t="s">
        <v>492</v>
      </c>
      <c r="X85" s="440" t="s">
        <v>493</v>
      </c>
      <c r="Y85" s="440" t="s">
        <v>494</v>
      </c>
      <c r="Z85" s="440" t="s">
        <v>495</v>
      </c>
      <c r="AA85" s="440" t="s">
        <v>496</v>
      </c>
      <c r="AB85" s="440" t="s">
        <v>497</v>
      </c>
    </row>
    <row r="86" spans="2:30">
      <c r="E86" s="165" t="s">
        <v>12</v>
      </c>
      <c r="F86" s="178">
        <f ca="1">H67</f>
        <v>2093133.6047976317</v>
      </c>
      <c r="G86" s="178">
        <f ca="1">I69</f>
        <v>3587019.7427801397</v>
      </c>
      <c r="H86" s="178">
        <f t="shared" ref="H86:I86" ca="1" si="275">J69</f>
        <v>3720599.4522509445</v>
      </c>
      <c r="I86" s="178">
        <f t="shared" ca="1" si="275"/>
        <v>3995789.5480263326</v>
      </c>
      <c r="J86" s="178">
        <f t="shared" ref="J86" ca="1" si="276">L69</f>
        <v>4251899.956781555</v>
      </c>
      <c r="K86" s="178">
        <f t="shared" ref="K86" ca="1" si="277">M69</f>
        <v>4518222.8611408435</v>
      </c>
      <c r="L86" s="178">
        <f t="shared" ref="L86" ca="1" si="278">N69</f>
        <v>4790676.7837646082</v>
      </c>
      <c r="M86" s="178">
        <f ca="1">O69</f>
        <v>5028123.7214677818</v>
      </c>
      <c r="T86" s="165" t="s">
        <v>12</v>
      </c>
      <c r="U86" s="178">
        <f ca="1">W67</f>
        <v>906101.16095681803</v>
      </c>
      <c r="V86" s="178">
        <f ca="1">X69</f>
        <v>1320511.4404916165</v>
      </c>
      <c r="W86" s="178">
        <f t="shared" ref="W86" ca="1" si="279">Y69</f>
        <v>1370738.6809533422</v>
      </c>
      <c r="X86" s="178">
        <f t="shared" ref="X86" ca="1" si="280">Z69</f>
        <v>1541972.3364695394</v>
      </c>
      <c r="Y86" s="178">
        <f t="shared" ref="Y86" ca="1" si="281">AA69</f>
        <v>1653831.393901262</v>
      </c>
      <c r="Z86" s="178">
        <f t="shared" ref="Z86" ca="1" si="282">AB69</f>
        <v>1779355.5447156874</v>
      </c>
      <c r="AA86" s="178">
        <f t="shared" ref="AA86" ca="1" si="283">AC69</f>
        <v>1901779.0402564208</v>
      </c>
      <c r="AB86" s="178">
        <f t="shared" ref="AB86" ca="1" si="284">AD69</f>
        <v>1989798.960139455</v>
      </c>
    </row>
    <row r="87" spans="2:30">
      <c r="E87" s="165" t="s">
        <v>13</v>
      </c>
      <c r="F87" s="178">
        <f t="shared" ref="F87:L87" ca="1" si="285">H73</f>
        <v>36838.438955263875</v>
      </c>
      <c r="G87" s="178">
        <f t="shared" ca="1" si="285"/>
        <v>37521.017696908442</v>
      </c>
      <c r="H87" s="178">
        <f t="shared" ca="1" si="285"/>
        <v>39070.974763701095</v>
      </c>
      <c r="I87" s="178">
        <f t="shared" ca="1" si="285"/>
        <v>40535.466640016391</v>
      </c>
      <c r="J87" s="178">
        <f t="shared" ca="1" si="285"/>
        <v>42068.328514189016</v>
      </c>
      <c r="K87" s="178">
        <f t="shared" ca="1" si="285"/>
        <v>43593.988520201747</v>
      </c>
      <c r="L87" s="178">
        <f t="shared" ca="1" si="285"/>
        <v>45112.47153310549</v>
      </c>
      <c r="M87" s="178">
        <f ca="1">O73</f>
        <v>46623.802351952865</v>
      </c>
      <c r="U87" s="178"/>
      <c r="V87" s="178"/>
      <c r="W87" s="178"/>
      <c r="X87" s="178"/>
      <c r="Y87" s="178"/>
      <c r="Z87" s="178"/>
      <c r="AA87" s="178"/>
      <c r="AB87" s="178"/>
    </row>
    <row r="88" spans="2:30">
      <c r="E88" s="165" t="s">
        <v>545</v>
      </c>
      <c r="F88" s="178">
        <f ca="1">H75</f>
        <v>484339.23882379854</v>
      </c>
      <c r="G88" s="178">
        <f ca="1">I77</f>
        <v>716101.91484408779</v>
      </c>
      <c r="H88" s="178">
        <f t="shared" ref="H88:I88" ca="1" si="286">J77</f>
        <v>771645.20872260397</v>
      </c>
      <c r="I88" s="178">
        <f t="shared" ca="1" si="286"/>
        <v>866814.62777893525</v>
      </c>
      <c r="J88" s="178">
        <f t="shared" ref="J88" ca="1" si="287">L77</f>
        <v>907660.75932924193</v>
      </c>
      <c r="K88" s="178">
        <f t="shared" ref="K88" ca="1" si="288">M77</f>
        <v>949013.21699337487</v>
      </c>
      <c r="L88" s="178">
        <f t="shared" ref="L88" ca="1" si="289">N77</f>
        <v>990876.93797789805</v>
      </c>
      <c r="M88" s="178">
        <f ca="1">O77</f>
        <v>1033256.9028259304</v>
      </c>
      <c r="T88" s="165" t="s">
        <v>545</v>
      </c>
      <c r="U88" s="178">
        <f ca="1">W75</f>
        <v>151915.21164498304</v>
      </c>
      <c r="V88" s="178">
        <f ca="1">X77</f>
        <v>212460.665626417</v>
      </c>
      <c r="W88" s="178">
        <f t="shared" ref="W88" ca="1" si="290">Y77</f>
        <v>216447.85341501347</v>
      </c>
      <c r="X88" s="178">
        <f t="shared" ref="X88" ca="1" si="291">Z77</f>
        <v>251372.40466389665</v>
      </c>
      <c r="Y88" s="178">
        <f t="shared" ref="Y88" ca="1" si="292">AA77</f>
        <v>264877.40680841124</v>
      </c>
      <c r="Z88" s="178">
        <f t="shared" ref="Z88" ca="1" si="293">AB77</f>
        <v>278691.47065234906</v>
      </c>
      <c r="AA88" s="178">
        <f t="shared" ref="AA88" ca="1" si="294">AC77</f>
        <v>292820.35484360764</v>
      </c>
      <c r="AB88" s="178">
        <f ca="1">AD77</f>
        <v>307269.91559372621</v>
      </c>
    </row>
    <row r="89" spans="2:30">
      <c r="E89" s="165" t="s">
        <v>546</v>
      </c>
      <c r="F89" s="178">
        <f t="shared" ref="F89:L89" ca="1" si="295">H81</f>
        <v>380976.46554698166</v>
      </c>
      <c r="G89" s="178">
        <f t="shared" ca="1" si="295"/>
        <v>391678.96677683026</v>
      </c>
      <c r="H89" s="178">
        <f t="shared" ca="1" si="295"/>
        <v>416109.06411246595</v>
      </c>
      <c r="I89" s="178">
        <f t="shared" ca="1" si="295"/>
        <v>441112.82441379066</v>
      </c>
      <c r="J89" s="178">
        <f t="shared" ca="1" si="295"/>
        <v>460087.39046663331</v>
      </c>
      <c r="K89" s="178">
        <f t="shared" ca="1" si="295"/>
        <v>479161.92860118573</v>
      </c>
      <c r="L89" s="178">
        <f t="shared" ca="1" si="295"/>
        <v>498336.84232215403</v>
      </c>
      <c r="M89" s="178">
        <f ca="1">O81</f>
        <v>517612.53658978542</v>
      </c>
      <c r="T89" s="165" t="s">
        <v>546</v>
      </c>
      <c r="U89" s="178">
        <f t="shared" ref="U89:AA89" ca="1" si="296">W81</f>
        <v>113657.31964462515</v>
      </c>
      <c r="V89" s="178">
        <f t="shared" ca="1" si="296"/>
        <v>117558.56807898296</v>
      </c>
      <c r="W89" s="178">
        <f t="shared" ca="1" si="296"/>
        <v>123872.19038171586</v>
      </c>
      <c r="X89" s="178">
        <f t="shared" ca="1" si="296"/>
        <v>130260.20911580062</v>
      </c>
      <c r="Y89" s="178">
        <f t="shared" ca="1" si="296"/>
        <v>135771.46265729482</v>
      </c>
      <c r="Z89" s="178">
        <f t="shared" ca="1" si="296"/>
        <v>141304.67849199162</v>
      </c>
      <c r="AA89" s="178">
        <f t="shared" ca="1" si="296"/>
        <v>146859.92332814162</v>
      </c>
      <c r="AB89" s="178">
        <f ca="1">AD81</f>
        <v>152437.26405484532</v>
      </c>
    </row>
    <row r="90" spans="2:30">
      <c r="E90" s="165" t="s">
        <v>290</v>
      </c>
      <c r="F90" s="176">
        <f ca="1">SUM(F86:F88)</f>
        <v>2614311.2825766942</v>
      </c>
      <c r="G90" s="176">
        <f ca="1">SUM(G86:G88)</f>
        <v>4340642.6753211357</v>
      </c>
      <c r="H90" s="176">
        <f t="shared" ref="H90:I90" ca="1" si="297">SUM(H86:H88)</f>
        <v>4531315.6357372496</v>
      </c>
      <c r="I90" s="176">
        <f t="shared" ca="1" si="297"/>
        <v>4903139.6424452849</v>
      </c>
      <c r="J90" s="176">
        <f t="shared" ref="J90:K90" ca="1" si="298">SUM(J86:J88)</f>
        <v>5201629.0446249861</v>
      </c>
      <c r="K90" s="176">
        <f t="shared" ca="1" si="298"/>
        <v>5510830.0666544195</v>
      </c>
      <c r="L90" s="176">
        <f t="shared" ref="L90" ca="1" si="299">SUM(L86:L88)</f>
        <v>5826666.1932756118</v>
      </c>
      <c r="M90" s="176">
        <f ca="1">SUM(M86:M89)</f>
        <v>6625616.96323545</v>
      </c>
      <c r="T90" s="165" t="s">
        <v>290</v>
      </c>
      <c r="U90" s="176">
        <f ca="1">SUM(U86:U88)</f>
        <v>1058016.3726018011</v>
      </c>
      <c r="V90" s="176">
        <f ca="1">SUM(V86:V88)</f>
        <v>1532972.1061180334</v>
      </c>
      <c r="W90" s="176">
        <f t="shared" ref="W90:AB90" ca="1" si="300">SUM(W86:W88)</f>
        <v>1587186.5343683558</v>
      </c>
      <c r="X90" s="176">
        <f t="shared" ca="1" si="300"/>
        <v>1793344.7411334361</v>
      </c>
      <c r="Y90" s="176">
        <f t="shared" ca="1" si="300"/>
        <v>1918708.8007096732</v>
      </c>
      <c r="Z90" s="176">
        <f t="shared" ca="1" si="300"/>
        <v>2058047.0153680365</v>
      </c>
      <c r="AA90" s="176">
        <f t="shared" ca="1" si="300"/>
        <v>2194599.3951000283</v>
      </c>
      <c r="AB90" s="176">
        <f t="shared" ca="1" si="300"/>
        <v>2297068.8757331814</v>
      </c>
    </row>
    <row r="93" spans="2:30">
      <c r="F93" s="186">
        <v>2024</v>
      </c>
      <c r="G93" s="186">
        <v>2025</v>
      </c>
      <c r="H93" s="186">
        <v>2026</v>
      </c>
      <c r="I93" s="186">
        <v>2027</v>
      </c>
      <c r="J93" s="186">
        <v>2028</v>
      </c>
      <c r="K93" s="186">
        <v>2029</v>
      </c>
      <c r="L93" s="186">
        <v>2030</v>
      </c>
      <c r="M93" s="186">
        <v>2031</v>
      </c>
      <c r="U93" s="165">
        <v>2024</v>
      </c>
      <c r="V93" s="186">
        <v>2025</v>
      </c>
      <c r="W93" s="165">
        <v>2026</v>
      </c>
      <c r="X93" s="165">
        <v>2027</v>
      </c>
      <c r="Y93" s="165">
        <v>2028</v>
      </c>
      <c r="Z93" s="165">
        <v>2029</v>
      </c>
      <c r="AA93" s="165">
        <v>2030</v>
      </c>
      <c r="AB93" s="165">
        <v>2031</v>
      </c>
    </row>
    <row r="94" spans="2:30">
      <c r="E94" s="165" t="str">
        <f>E86</f>
        <v>Residential</v>
      </c>
      <c r="F94" s="178">
        <f ca="1">SUM($F86:F86)</f>
        <v>2093133.6047976317</v>
      </c>
      <c r="G94" s="178">
        <f ca="1">SUM($F86:G86)</f>
        <v>5680153.3475777712</v>
      </c>
      <c r="H94" s="178">
        <f ca="1">SUM($F86:H86)</f>
        <v>9400752.7998287156</v>
      </c>
      <c r="I94" s="178">
        <f ca="1">SUM($F86:I86)</f>
        <v>13396542.347855048</v>
      </c>
      <c r="J94" s="178">
        <f ca="1">SUM($F86:J86)</f>
        <v>17648442.304636605</v>
      </c>
      <c r="K94" s="178">
        <f ca="1">SUM($F86:K86)</f>
        <v>22166665.165777449</v>
      </c>
      <c r="L94" s="178">
        <f ca="1">SUM($F86:L86)</f>
        <v>26957341.949542057</v>
      </c>
      <c r="M94" s="178">
        <f ca="1">SUM($F86:M86)</f>
        <v>31985465.671009839</v>
      </c>
      <c r="T94" s="165" t="str">
        <f>T86</f>
        <v>Residential</v>
      </c>
      <c r="U94" s="178">
        <f ca="1">SUM($U86:U86)</f>
        <v>906101.16095681803</v>
      </c>
      <c r="V94" s="178">
        <f ca="1">SUM($U86:V86)</f>
        <v>2226612.6014484344</v>
      </c>
      <c r="W94" s="178">
        <f ca="1">SUM($U86:W86)</f>
        <v>3597351.2824017769</v>
      </c>
      <c r="X94" s="178">
        <f ca="1">SUM($U86:X86)</f>
        <v>5139323.6188713163</v>
      </c>
      <c r="Y94" s="178">
        <f ca="1">SUM($U86:Y86)</f>
        <v>6793155.0127725787</v>
      </c>
      <c r="Z94" s="178">
        <f ca="1">SUM($U86:Z86)</f>
        <v>8572510.5574882664</v>
      </c>
      <c r="AA94" s="178">
        <f ca="1">SUM($U86:AA86)</f>
        <v>10474289.597744687</v>
      </c>
      <c r="AB94" s="178">
        <f ca="1">SUM($U86:AB86)</f>
        <v>12464088.557884142</v>
      </c>
    </row>
    <row r="95" spans="2:30">
      <c r="E95" s="165" t="str">
        <f>E87</f>
        <v>Residential Seasonal</v>
      </c>
      <c r="F95" s="178">
        <f ca="1">SUM($F87:F87)</f>
        <v>36838.438955263875</v>
      </c>
      <c r="G95" s="178">
        <f ca="1">SUM($F87:G87)</f>
        <v>74359.456652172317</v>
      </c>
      <c r="H95" s="178">
        <f ca="1">SUM($F87:H87)</f>
        <v>113430.43141587341</v>
      </c>
      <c r="I95" s="178">
        <f ca="1">SUM($F87:I87)</f>
        <v>153965.89805588979</v>
      </c>
      <c r="J95" s="178">
        <f ca="1">SUM($F87:J87)</f>
        <v>196034.22657007881</v>
      </c>
      <c r="K95" s="178">
        <f ca="1">SUM($F87:K87)</f>
        <v>239628.21509028057</v>
      </c>
      <c r="L95" s="178">
        <f ca="1">SUM($F87:L87)</f>
        <v>284740.68662338605</v>
      </c>
      <c r="M95" s="178">
        <f ca="1">SUM($F87:M87)</f>
        <v>331364.48897533893</v>
      </c>
      <c r="U95" s="178"/>
      <c r="V95" s="178"/>
      <c r="W95" s="178"/>
      <c r="X95" s="178"/>
      <c r="Y95" s="178"/>
      <c r="Z95" s="178"/>
      <c r="AA95" s="178"/>
      <c r="AB95" s="178"/>
    </row>
    <row r="96" spans="2:30">
      <c r="E96" s="165" t="str">
        <f>E88</f>
        <v>GS &lt; 50</v>
      </c>
      <c r="F96" s="178">
        <f ca="1">SUM($F88:F88)</f>
        <v>484339.23882379854</v>
      </c>
      <c r="G96" s="178">
        <f ca="1">SUM($F88:G88)</f>
        <v>1200441.1536678863</v>
      </c>
      <c r="H96" s="178">
        <f ca="1">SUM($F88:H88)</f>
        <v>1972086.3623904902</v>
      </c>
      <c r="I96" s="178">
        <f ca="1">SUM($F88:I88)</f>
        <v>2838900.9901694255</v>
      </c>
      <c r="J96" s="178">
        <f ca="1">SUM($F88:J88)</f>
        <v>3746561.7494986672</v>
      </c>
      <c r="K96" s="178">
        <f ca="1">SUM($F88:K88)</f>
        <v>4695574.9664920419</v>
      </c>
      <c r="L96" s="178">
        <f ca="1">SUM($F88:L88)</f>
        <v>5686451.9044699399</v>
      </c>
      <c r="M96" s="178">
        <f ca="1">SUM($F88:M88)</f>
        <v>6719708.80729587</v>
      </c>
      <c r="T96" s="165" t="str">
        <f>T88</f>
        <v>GS &lt; 50</v>
      </c>
      <c r="U96" s="178">
        <f ca="1">SUM($U88:U88)</f>
        <v>151915.21164498304</v>
      </c>
      <c r="V96" s="178">
        <f ca="1">SUM($U88:V88)</f>
        <v>364375.87727140007</v>
      </c>
      <c r="W96" s="178">
        <f ca="1">SUM($U88:W88)</f>
        <v>580823.73068641359</v>
      </c>
      <c r="X96" s="178">
        <f ca="1">SUM($U88:X88)</f>
        <v>832196.13535031024</v>
      </c>
      <c r="Y96" s="178">
        <f ca="1">SUM($U88:Y88)</f>
        <v>1097073.5421587215</v>
      </c>
      <c r="Z96" s="178">
        <f ca="1">SUM($U88:Z88)</f>
        <v>1375765.0128110705</v>
      </c>
      <c r="AA96" s="178">
        <f ca="1">SUM($U88:AA88)</f>
        <v>1668585.3676546782</v>
      </c>
      <c r="AB96" s="178">
        <f ca="1">SUM($U88:AB88)</f>
        <v>1975855.2832484045</v>
      </c>
    </row>
    <row r="97" spans="2:30">
      <c r="E97" s="165" t="str">
        <f>E89</f>
        <v xml:space="preserve">GS 50-2,999 </v>
      </c>
      <c r="F97" s="178">
        <f ca="1">SUM($F89:F89)</f>
        <v>380976.46554698166</v>
      </c>
      <c r="G97" s="178">
        <f ca="1">SUM($F89:G89)</f>
        <v>772655.43232381193</v>
      </c>
      <c r="H97" s="178">
        <f ca="1">SUM($F89:H89)</f>
        <v>1188764.4964362779</v>
      </c>
      <c r="I97" s="178">
        <f ca="1">SUM($F89:I89)</f>
        <v>1629877.3208500685</v>
      </c>
      <c r="J97" s="178">
        <f ca="1">SUM($F89:J89)</f>
        <v>2089964.7113167017</v>
      </c>
      <c r="K97" s="178">
        <f ca="1">SUM($F89:K89)</f>
        <v>2569126.6399178873</v>
      </c>
      <c r="L97" s="178">
        <f ca="1">SUM($F89:L89)</f>
        <v>3067463.4822400413</v>
      </c>
      <c r="M97" s="178">
        <f ca="1">SUM($F89:M89)</f>
        <v>3585076.0188298267</v>
      </c>
      <c r="T97" s="165" t="str">
        <f>T89</f>
        <v xml:space="preserve">GS 50-2,999 </v>
      </c>
      <c r="U97" s="178">
        <f ca="1">SUM($U89:U89)</f>
        <v>113657.31964462515</v>
      </c>
      <c r="V97" s="178">
        <f ca="1">SUM($U89:V89)</f>
        <v>231215.88772360812</v>
      </c>
      <c r="W97" s="178">
        <f ca="1">SUM($U89:W89)</f>
        <v>355088.07810532395</v>
      </c>
      <c r="X97" s="178">
        <f ca="1">SUM($U89:X89)</f>
        <v>485348.28722112457</v>
      </c>
      <c r="Y97" s="178">
        <f ca="1">SUM($U89:Y89)</f>
        <v>621119.74987841933</v>
      </c>
      <c r="Z97" s="178">
        <f ca="1">SUM($U89:Z89)</f>
        <v>762424.42837041093</v>
      </c>
      <c r="AA97" s="178">
        <f ca="1">SUM($U89:AA89)</f>
        <v>909284.35169855249</v>
      </c>
      <c r="AB97" s="178">
        <f ca="1">SUM($U89:AB89)</f>
        <v>1061721.6157533978</v>
      </c>
    </row>
    <row r="98" spans="2:30">
      <c r="E98" s="159" t="s">
        <v>290</v>
      </c>
      <c r="F98" s="176">
        <f ca="1">F94+F96</f>
        <v>2577472.8436214305</v>
      </c>
      <c r="G98" s="176">
        <f t="shared" ref="G98:I98" ca="1" si="301">G94+G96</f>
        <v>6880594.501245657</v>
      </c>
      <c r="H98" s="176">
        <f t="shared" ca="1" si="301"/>
        <v>11372839.162219206</v>
      </c>
      <c r="I98" s="176">
        <f t="shared" ca="1" si="301"/>
        <v>16235443.338024475</v>
      </c>
      <c r="J98" s="176">
        <f t="shared" ref="J98:K98" ca="1" si="302">J94+J96</f>
        <v>21395004.05413527</v>
      </c>
      <c r="K98" s="176">
        <f t="shared" ca="1" si="302"/>
        <v>26862240.132269491</v>
      </c>
      <c r="L98" s="176">
        <f t="shared" ref="L98:M98" ca="1" si="303">L94+L96</f>
        <v>32643793.854011998</v>
      </c>
      <c r="M98" s="176">
        <f t="shared" ca="1" si="303"/>
        <v>38705174.478305712</v>
      </c>
      <c r="T98" s="159" t="s">
        <v>290</v>
      </c>
      <c r="U98" s="176">
        <f ca="1">U94+U96</f>
        <v>1058016.3726018011</v>
      </c>
      <c r="V98" s="176">
        <f t="shared" ref="V98:AB98" ca="1" si="304">V94+V96</f>
        <v>2590988.4787198342</v>
      </c>
      <c r="W98" s="176">
        <f t="shared" ca="1" si="304"/>
        <v>4178175.0130881905</v>
      </c>
      <c r="X98" s="176">
        <f t="shared" ca="1" si="304"/>
        <v>5971519.7542216266</v>
      </c>
      <c r="Y98" s="176">
        <f t="shared" ca="1" si="304"/>
        <v>7890228.5549312998</v>
      </c>
      <c r="Z98" s="176">
        <f t="shared" ca="1" si="304"/>
        <v>9948275.5702993367</v>
      </c>
      <c r="AA98" s="176">
        <f t="shared" ca="1" si="304"/>
        <v>12142874.965399364</v>
      </c>
      <c r="AB98" s="176">
        <f t="shared" ca="1" si="304"/>
        <v>14439943.841132546</v>
      </c>
    </row>
    <row r="102" spans="2:30">
      <c r="B102" s="165" t="s">
        <v>436</v>
      </c>
      <c r="C102" s="352">
        <f>C19</f>
        <v>2019</v>
      </c>
      <c r="D102" s="352">
        <f t="shared" ref="D102:O102" si="305">D19</f>
        <v>2020</v>
      </c>
      <c r="E102" s="352">
        <f t="shared" si="305"/>
        <v>2021</v>
      </c>
      <c r="F102" s="352">
        <f t="shared" si="305"/>
        <v>2022</v>
      </c>
      <c r="G102" s="352">
        <f t="shared" si="305"/>
        <v>2023</v>
      </c>
      <c r="H102" s="352">
        <f t="shared" si="305"/>
        <v>2024</v>
      </c>
      <c r="I102" s="352">
        <f t="shared" si="305"/>
        <v>2025</v>
      </c>
      <c r="J102" s="352">
        <f t="shared" si="305"/>
        <v>2026</v>
      </c>
      <c r="K102" s="352">
        <f t="shared" si="305"/>
        <v>2027</v>
      </c>
      <c r="L102" s="352">
        <f t="shared" si="305"/>
        <v>2028</v>
      </c>
      <c r="M102" s="352">
        <f t="shared" si="305"/>
        <v>2029</v>
      </c>
      <c r="N102" s="352">
        <f t="shared" si="305"/>
        <v>2030</v>
      </c>
      <c r="O102" s="352">
        <f t="shared" si="305"/>
        <v>2031</v>
      </c>
      <c r="Q102" s="165" t="s">
        <v>436</v>
      </c>
      <c r="R102" s="352">
        <f>R19</f>
        <v>2019</v>
      </c>
      <c r="S102" s="352">
        <f t="shared" ref="S102:AD102" si="306">S19</f>
        <v>2020</v>
      </c>
      <c r="T102" s="352">
        <f t="shared" si="306"/>
        <v>2021</v>
      </c>
      <c r="U102" s="352">
        <f t="shared" si="306"/>
        <v>2022</v>
      </c>
      <c r="V102" s="352">
        <f t="shared" si="306"/>
        <v>2023</v>
      </c>
      <c r="W102" s="352">
        <f t="shared" si="306"/>
        <v>2024</v>
      </c>
      <c r="X102" s="352">
        <f t="shared" si="306"/>
        <v>2025</v>
      </c>
      <c r="Y102" s="352">
        <f t="shared" si="306"/>
        <v>2026</v>
      </c>
      <c r="Z102" s="352">
        <f t="shared" si="306"/>
        <v>2027</v>
      </c>
      <c r="AA102" s="352">
        <f t="shared" si="306"/>
        <v>2028</v>
      </c>
      <c r="AB102" s="352">
        <f t="shared" si="306"/>
        <v>2029</v>
      </c>
      <c r="AC102" s="352">
        <f t="shared" si="306"/>
        <v>2030</v>
      </c>
      <c r="AD102" s="352">
        <f t="shared" si="306"/>
        <v>2031</v>
      </c>
    </row>
    <row r="103" spans="2:30">
      <c r="B103" s="165" t="str">
        <f>B66</f>
        <v>Residential kWh</v>
      </c>
      <c r="C103" s="143">
        <f ca="1">SUM($C69:C69)</f>
        <v>714299.19084694271</v>
      </c>
      <c r="D103" s="143">
        <f ca="1">SUM($C69:D69)</f>
        <v>2989920.3610894359</v>
      </c>
      <c r="E103" s="143">
        <f ca="1">SUM($C69:E69)</f>
        <v>5698345.2772140326</v>
      </c>
      <c r="F103" s="143">
        <f ca="1">SUM($C69:F69)</f>
        <v>8387886.6263310211</v>
      </c>
      <c r="G103" s="143">
        <f ca="1">SUM($C69:G69)</f>
        <v>11433652.413405271</v>
      </c>
      <c r="H103" s="143">
        <f ca="1">SUM($C69:H69)</f>
        <v>14811164.073936677</v>
      </c>
      <c r="I103" s="143">
        <f ca="1">SUM($C69:I69)</f>
        <v>18398183.816716816</v>
      </c>
      <c r="J103" s="143">
        <f ca="1">SUM($C69:J69)</f>
        <v>22118783.268967763</v>
      </c>
      <c r="K103" s="143">
        <f ca="1">SUM($C69:K69)</f>
        <v>26114572.816994093</v>
      </c>
      <c r="L103" s="143">
        <f ca="1">SUM($C69:L69)</f>
        <v>30366472.773775648</v>
      </c>
      <c r="M103" s="143">
        <f ca="1">SUM($C69:M69)</f>
        <v>34884695.634916492</v>
      </c>
      <c r="N103" s="143">
        <f ca="1">SUM($C69:N69)</f>
        <v>39675372.4186811</v>
      </c>
      <c r="O103" s="143">
        <f ca="1">SUM($C69:O69)</f>
        <v>44703496.140148878</v>
      </c>
      <c r="Q103" s="165" t="str">
        <f>Q66</f>
        <v>Residential kWh</v>
      </c>
      <c r="R103" s="143">
        <f ca="1">SUM($R69:R69)</f>
        <v>263309.11292542348</v>
      </c>
      <c r="S103" s="143">
        <f ca="1">SUM($R69:S69)</f>
        <v>1178023.4950911433</v>
      </c>
      <c r="T103" s="143">
        <f ca="1">SUM($R69:T69)</f>
        <v>2416055.2578259781</v>
      </c>
      <c r="U103" s="143">
        <f ca="1">SUM($R69:U69)</f>
        <v>3713554.6740158638</v>
      </c>
      <c r="V103" s="143">
        <f ca="1">SUM($R69:V69)</f>
        <v>5125211.2272491828</v>
      </c>
      <c r="W103" s="143">
        <f ca="1">SUM($R69:W69)</f>
        <v>6511353.611265013</v>
      </c>
      <c r="X103" s="143">
        <f ca="1">SUM($R69:X69)</f>
        <v>7831865.0517566297</v>
      </c>
      <c r="Y103" s="143">
        <f ca="1">SUM($R69:Y69)</f>
        <v>9202603.7327099722</v>
      </c>
      <c r="Z103" s="143">
        <f ca="1">SUM($R69:Z69)</f>
        <v>10744576.069179513</v>
      </c>
      <c r="AA103" s="143">
        <f ca="1">SUM($R69:AA69)</f>
        <v>12398407.463080775</v>
      </c>
      <c r="AB103" s="143">
        <f ca="1">SUM($R69:AB69)</f>
        <v>14177763.007796463</v>
      </c>
      <c r="AC103" s="143">
        <f ca="1">SUM($R69:AC69)</f>
        <v>16079542.048052883</v>
      </c>
      <c r="AD103" s="143">
        <f ca="1">SUM($R69:AD69)</f>
        <v>18069341.008192338</v>
      </c>
    </row>
    <row r="104" spans="2:30">
      <c r="B104" s="165" t="str">
        <f>B70</f>
        <v>Residential Seasonal kWh</v>
      </c>
      <c r="C104" s="143">
        <f ca="1">SUM($C73:C73)</f>
        <v>10075.330796321869</v>
      </c>
      <c r="D104" s="143">
        <f ca="1">SUM($C73:D73)</f>
        <v>39555.739851518782</v>
      </c>
      <c r="E104" s="143">
        <f ca="1">SUM($C73:E73)</f>
        <v>71250.758162196202</v>
      </c>
      <c r="F104" s="143">
        <f ca="1">SUM($C73:F73)</f>
        <v>103252.55028794994</v>
      </c>
      <c r="G104" s="143">
        <f ca="1">SUM($C73:G73)</f>
        <v>138151.6960679621</v>
      </c>
      <c r="H104" s="143">
        <f ca="1">SUM($C73:H73)</f>
        <v>174990.13502322597</v>
      </c>
      <c r="I104" s="143">
        <f ca="1">SUM($C73:I73)</f>
        <v>212511.15272013441</v>
      </c>
      <c r="J104" s="143">
        <f ca="1">SUM($C73:J73)</f>
        <v>251582.1274838355</v>
      </c>
      <c r="K104" s="143">
        <f ca="1">SUM($C73:K73)</f>
        <v>292117.59412385192</v>
      </c>
      <c r="L104" s="143">
        <f ca="1">SUM($C73:L73)</f>
        <v>334185.92263804091</v>
      </c>
      <c r="M104" s="143">
        <f ca="1">SUM($C73:M73)</f>
        <v>377779.91115824267</v>
      </c>
      <c r="N104" s="143">
        <f ca="1">SUM($C73:N73)</f>
        <v>422892.38269134815</v>
      </c>
      <c r="O104" s="143">
        <f ca="1">SUM($C73:O73)</f>
        <v>469516.18504330103</v>
      </c>
      <c r="R104" s="143"/>
      <c r="S104" s="143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</row>
    <row r="105" spans="2:30">
      <c r="B105" s="165" t="str">
        <f>B74</f>
        <v>GS &lt; 50 kWh</v>
      </c>
      <c r="C105" s="143">
        <f ca="1">SUM($C77:C77)</f>
        <v>182155.7875030273</v>
      </c>
      <c r="D105" s="143">
        <f ca="1">SUM($C77:D77)</f>
        <v>747214.41673179576</v>
      </c>
      <c r="E105" s="143">
        <f ca="1">SUM($C77:E77)</f>
        <v>1395614.7630739126</v>
      </c>
      <c r="F105" s="143">
        <f ca="1">SUM($C77:F77)</f>
        <v>2056353.8488179725</v>
      </c>
      <c r="G105" s="143">
        <f ca="1">SUM($C77:G77)</f>
        <v>2808499.0072319694</v>
      </c>
      <c r="H105" s="143">
        <f ca="1">SUM($C77:H77)</f>
        <v>3548374.5716353878</v>
      </c>
      <c r="I105" s="143">
        <f ca="1">SUM($C77:I77)</f>
        <v>4264476.4864794761</v>
      </c>
      <c r="J105" s="143">
        <f ca="1">SUM($C77:J77)</f>
        <v>5036121.6952020805</v>
      </c>
      <c r="K105" s="143">
        <f ca="1">SUM($C77:K77)</f>
        <v>5902936.3229810158</v>
      </c>
      <c r="L105" s="143">
        <f ca="1">SUM($C77:L77)</f>
        <v>6810597.0823102575</v>
      </c>
      <c r="M105" s="143">
        <f ca="1">SUM($C77:M77)</f>
        <v>7759610.2993036322</v>
      </c>
      <c r="N105" s="143">
        <f ca="1">SUM($C77:N77)</f>
        <v>8750487.2372815311</v>
      </c>
      <c r="O105" s="143">
        <f ca="1">SUM($C77:O77)</f>
        <v>9783744.1401074622</v>
      </c>
      <c r="Q105" s="165" t="str">
        <f>Q74</f>
        <v>GS &lt; 50 kWh</v>
      </c>
      <c r="R105" s="143">
        <f ca="1">SUM($R77:R77)</f>
        <v>44733.350872076066</v>
      </c>
      <c r="S105" s="143">
        <f ca="1">SUM($R77:S77)</f>
        <v>186187.42378292445</v>
      </c>
      <c r="T105" s="143">
        <f ca="1">SUM($R77:T77)</f>
        <v>364905.86958885484</v>
      </c>
      <c r="U105" s="143">
        <f ca="1">SUM($R77:U77)</f>
        <v>569931.90543631616</v>
      </c>
      <c r="V105" s="143">
        <f ca="1">SUM($R77:V77)</f>
        <v>802710.42284090188</v>
      </c>
      <c r="W105" s="143">
        <f ca="1">SUM($R77:W77)</f>
        <v>1033671.2852222694</v>
      </c>
      <c r="X105" s="143">
        <f ca="1">SUM($R77:X77)</f>
        <v>1246131.9508486863</v>
      </c>
      <c r="Y105" s="143">
        <f ca="1">SUM($R77:Y77)</f>
        <v>1462579.8042636998</v>
      </c>
      <c r="Z105" s="143">
        <f ca="1">SUM($R77:Z77)</f>
        <v>1713952.2089275965</v>
      </c>
      <c r="AA105" s="143">
        <f ca="1">SUM($R77:AA77)</f>
        <v>1978829.6157360077</v>
      </c>
      <c r="AB105" s="143">
        <f ca="1">SUM($R77:AB77)</f>
        <v>2257521.086388357</v>
      </c>
      <c r="AC105" s="143">
        <f ca="1">SUM($R77:AC77)</f>
        <v>2550341.4412319646</v>
      </c>
      <c r="AD105" s="143">
        <f ca="1">SUM($R77:AD77)</f>
        <v>2857611.3568256907</v>
      </c>
    </row>
    <row r="106" spans="2:30">
      <c r="B106" s="165" t="str">
        <f>B78</f>
        <v>GS 50-2,999 kWh</v>
      </c>
      <c r="C106" s="143">
        <f ca="1">SUM($C81:C81)</f>
        <v>107426.95528256857</v>
      </c>
      <c r="D106" s="143">
        <f ca="1">SUM($C81:D81)</f>
        <v>421410.10834199074</v>
      </c>
      <c r="E106" s="143">
        <f ca="1">SUM($C81:E81)</f>
        <v>756761.3743173643</v>
      </c>
      <c r="F106" s="143">
        <f ca="1">SUM($C81:F81)</f>
        <v>1096304.5705743819</v>
      </c>
      <c r="G106" s="143">
        <f ca="1">SUM($C81:G81)</f>
        <v>1467104.8193337684</v>
      </c>
      <c r="H106" s="143">
        <f ca="1">SUM($C81:H81)</f>
        <v>1848081.2848807501</v>
      </c>
      <c r="I106" s="143">
        <f ca="1">SUM($C81:I81)</f>
        <v>2239760.2516575805</v>
      </c>
      <c r="J106" s="143">
        <f ca="1">SUM($C81:J81)</f>
        <v>2655869.3157700463</v>
      </c>
      <c r="K106" s="143">
        <f ca="1">SUM($C81:K81)</f>
        <v>3096982.1401838372</v>
      </c>
      <c r="L106" s="143">
        <f ca="1">SUM($C81:L81)</f>
        <v>3557069.5306504704</v>
      </c>
      <c r="M106" s="143">
        <f ca="1">SUM($C81:M81)</f>
        <v>4036231.4592516562</v>
      </c>
      <c r="N106" s="143">
        <f ca="1">SUM($C81:N81)</f>
        <v>4534568.3015738102</v>
      </c>
      <c r="O106" s="143">
        <f ca="1">SUM($C81:O81)</f>
        <v>5052180.8381635956</v>
      </c>
      <c r="Q106" s="165" t="str">
        <f>Q78</f>
        <v>GS 50-2,999 kWh</v>
      </c>
      <c r="R106" s="143">
        <f ca="1">SUM($R81:R81)</f>
        <v>31861.119076027655</v>
      </c>
      <c r="S106" s="143">
        <f ca="1">SUM($R81:S81)</f>
        <v>124620.49266263581</v>
      </c>
      <c r="T106" s="143">
        <f ca="1">SUM($R81:T81)</f>
        <v>223299.33282477839</v>
      </c>
      <c r="U106" s="143">
        <f ca="1">SUM($R81:U81)</f>
        <v>323659.71000565914</v>
      </c>
      <c r="V106" s="143">
        <f ca="1">SUM($R81:V81)</f>
        <v>433500.24536634231</v>
      </c>
      <c r="W106" s="143">
        <f ca="1">SUM($R81:W81)</f>
        <v>547157.56501096743</v>
      </c>
      <c r="X106" s="143">
        <f ca="1">SUM($R81:X81)</f>
        <v>664716.13308995042</v>
      </c>
      <c r="Y106" s="143">
        <f ca="1">SUM($R81:Y81)</f>
        <v>788588.32347166631</v>
      </c>
      <c r="Z106" s="143">
        <f ca="1">SUM($R81:Z81)</f>
        <v>918848.53258746699</v>
      </c>
      <c r="AA106" s="143">
        <f ca="1">SUM($R81:AA81)</f>
        <v>1054619.9952447619</v>
      </c>
      <c r="AB106" s="143">
        <f ca="1">SUM($R81:AB81)</f>
        <v>1195924.6737367536</v>
      </c>
      <c r="AC106" s="143">
        <f ca="1">SUM($R81:AC81)</f>
        <v>1342784.5970648953</v>
      </c>
      <c r="AD106" s="143">
        <f ca="1">SUM($R81:AD81)</f>
        <v>1495221.8611197406</v>
      </c>
    </row>
  </sheetData>
  <mergeCells count="5">
    <mergeCell ref="Q2:S2"/>
    <mergeCell ref="T3:T9"/>
    <mergeCell ref="T10:T14"/>
    <mergeCell ref="B17:O17"/>
    <mergeCell ref="Q17:AB17"/>
  </mergeCells>
  <phoneticPr fontId="191" type="noConversion"/>
  <hyperlinks>
    <hyperlink ref="G7" r:id="rId1" xr:uid="{89F55069-8187-4D70-83BE-C5763C75DE86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104-5798-4690-9AE7-8583CF5C98EF}">
  <sheetPr codeName="Sheet55">
    <tabColor theme="3" tint="0.499984740745262"/>
  </sheetPr>
  <dimension ref="A1:AW144"/>
  <sheetViews>
    <sheetView topLeftCell="A53" workbookViewId="0">
      <selection activeCell="X87" sqref="X87"/>
    </sheetView>
  </sheetViews>
  <sheetFormatPr defaultRowHeight="14.5"/>
  <cols>
    <col min="1" max="1" width="36.1796875" customWidth="1"/>
    <col min="2" max="2" width="14.453125" customWidth="1"/>
    <col min="18" max="24" width="9.453125" bestFit="1" customWidth="1"/>
    <col min="26" max="26" width="33.1796875" customWidth="1"/>
  </cols>
  <sheetData>
    <row r="1" spans="1:49">
      <c r="A1" s="319"/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19"/>
    </row>
    <row r="2" spans="1:49">
      <c r="A2" s="319"/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</row>
    <row r="3" spans="1:49" ht="15.5">
      <c r="A3" s="312"/>
      <c r="B3" s="310"/>
      <c r="C3" s="311"/>
      <c r="D3" s="311"/>
      <c r="E3" s="311"/>
    </row>
    <row r="4" spans="1:49" ht="15.5">
      <c r="A4" s="312"/>
      <c r="B4" s="310"/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</row>
    <row r="5" spans="1:49" ht="18">
      <c r="A5" s="319"/>
      <c r="B5" s="319"/>
      <c r="C5" s="319"/>
      <c r="D5" s="319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35" t="s">
        <v>547</v>
      </c>
      <c r="Z5" s="333"/>
      <c r="AA5" s="333"/>
      <c r="AB5" s="333"/>
      <c r="AC5" s="333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333"/>
      <c r="AO5" s="333"/>
      <c r="AP5" s="333"/>
      <c r="AQ5" s="333"/>
      <c r="AR5" s="333"/>
      <c r="AS5" s="333"/>
      <c r="AT5" s="333"/>
      <c r="AU5" s="333"/>
      <c r="AV5" s="333"/>
      <c r="AW5" s="333"/>
    </row>
    <row r="6" spans="1:49" ht="18">
      <c r="A6" s="319"/>
      <c r="B6" s="319"/>
      <c r="C6" s="319"/>
      <c r="D6" s="319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19"/>
      <c r="P6" s="319"/>
      <c r="Q6" s="319"/>
      <c r="R6" s="319"/>
      <c r="S6" s="319"/>
      <c r="T6" s="319"/>
      <c r="U6" s="319"/>
      <c r="V6" s="319"/>
      <c r="W6" s="319"/>
      <c r="X6" s="319"/>
      <c r="Y6" s="335"/>
      <c r="Z6" s="333"/>
      <c r="AA6" s="333"/>
      <c r="AB6" s="333"/>
      <c r="AC6" s="333"/>
      <c r="AD6" s="336"/>
      <c r="AE6" s="336"/>
      <c r="AF6" s="336"/>
      <c r="AG6" s="336"/>
      <c r="AH6" s="336"/>
      <c r="AI6" s="336"/>
      <c r="AJ6" s="336"/>
      <c r="AK6" s="336"/>
      <c r="AL6" s="336"/>
      <c r="AM6" s="336"/>
      <c r="AN6" s="333"/>
      <c r="AO6" s="333"/>
      <c r="AP6" s="333"/>
      <c r="AQ6" s="333"/>
      <c r="AR6" s="333"/>
      <c r="AS6" s="333"/>
      <c r="AT6" s="333"/>
      <c r="AU6" s="333"/>
      <c r="AV6" s="333"/>
      <c r="AW6" s="333"/>
    </row>
    <row r="7" spans="1:49" ht="15.5">
      <c r="A7" s="351" t="s">
        <v>233</v>
      </c>
      <c r="B7" s="321"/>
      <c r="C7" s="321"/>
      <c r="D7" s="321"/>
      <c r="E7" s="319"/>
      <c r="F7" s="319"/>
      <c r="G7" s="319"/>
      <c r="H7" s="319"/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37" t="s">
        <v>233</v>
      </c>
      <c r="Z7" s="333"/>
      <c r="AA7" s="336"/>
      <c r="AB7" s="336"/>
      <c r="AC7" s="336"/>
      <c r="AD7" s="333"/>
      <c r="AE7" s="333"/>
      <c r="AF7" s="333"/>
      <c r="AG7" s="333"/>
      <c r="AH7" s="333"/>
      <c r="AI7" s="333"/>
      <c r="AJ7" s="333"/>
      <c r="AK7" s="333"/>
      <c r="AL7" s="333"/>
      <c r="AM7" s="333"/>
      <c r="AN7" s="333"/>
      <c r="AO7" s="333"/>
      <c r="AP7" s="333"/>
      <c r="AQ7" s="333"/>
      <c r="AR7" s="333"/>
      <c r="AS7" s="333"/>
      <c r="AT7" s="333"/>
      <c r="AU7" s="333"/>
      <c r="AV7" s="333"/>
      <c r="AW7" s="333"/>
    </row>
    <row r="8" spans="1:49" ht="15.5">
      <c r="A8" s="351" t="s">
        <v>548</v>
      </c>
      <c r="B8" s="322"/>
      <c r="C8" s="322"/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37" t="s">
        <v>549</v>
      </c>
      <c r="Z8" s="334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</row>
    <row r="9" spans="1:49" ht="15.5">
      <c r="A9" s="319"/>
      <c r="B9" s="323"/>
      <c r="C9" s="323"/>
      <c r="D9" s="319"/>
      <c r="E9" s="319"/>
      <c r="F9" s="319"/>
      <c r="G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33"/>
      <c r="Z9" s="333"/>
      <c r="AA9" s="339"/>
      <c r="AB9" s="339"/>
      <c r="AC9" s="333"/>
      <c r="AD9" s="333"/>
      <c r="AE9" s="333"/>
      <c r="AF9" s="333"/>
      <c r="AG9" s="333"/>
      <c r="AH9" s="333"/>
      <c r="AI9" s="333"/>
      <c r="AJ9" s="333"/>
      <c r="AK9" s="333"/>
      <c r="AL9" s="333"/>
      <c r="AM9" s="333"/>
      <c r="AN9" s="333"/>
      <c r="AO9" s="333"/>
      <c r="AP9" s="333"/>
      <c r="AQ9" s="333"/>
      <c r="AR9" s="333"/>
      <c r="AS9" s="333"/>
      <c r="AT9" s="333"/>
      <c r="AU9" s="333"/>
      <c r="AV9" s="333"/>
      <c r="AW9" s="333"/>
    </row>
    <row r="10" spans="1:49">
      <c r="A10" s="319"/>
      <c r="B10" s="319"/>
      <c r="C10" s="319"/>
      <c r="D10" s="319"/>
      <c r="E10" s="319"/>
      <c r="F10" s="319"/>
      <c r="G10" s="319"/>
      <c r="H10" s="319"/>
      <c r="I10" s="319"/>
      <c r="J10" s="319"/>
      <c r="K10" s="319"/>
      <c r="L10" s="319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33"/>
      <c r="Z10" s="333"/>
      <c r="AA10" s="333"/>
      <c r="AB10" s="333"/>
      <c r="AC10" s="333"/>
      <c r="AD10" s="333"/>
      <c r="AE10" s="333"/>
      <c r="AF10" s="333"/>
      <c r="AG10" s="333"/>
      <c r="AH10" s="333"/>
      <c r="AI10" s="333"/>
      <c r="AJ10" s="333"/>
      <c r="AK10" s="333"/>
      <c r="AL10" s="333"/>
      <c r="AM10" s="333"/>
      <c r="AN10" s="333"/>
      <c r="AO10" s="333"/>
      <c r="AP10" s="333"/>
      <c r="AQ10" s="333"/>
      <c r="AR10" s="333"/>
      <c r="AS10" s="333"/>
      <c r="AT10" s="333"/>
      <c r="AU10" s="333"/>
      <c r="AV10" s="333"/>
      <c r="AW10" s="333"/>
    </row>
    <row r="11" spans="1:49" ht="15" thickBot="1">
      <c r="A11" s="319"/>
      <c r="B11" s="644">
        <v>2000</v>
      </c>
      <c r="C11" s="644">
        <v>2001</v>
      </c>
      <c r="D11" s="644">
        <v>2002</v>
      </c>
      <c r="E11" s="644">
        <v>2003</v>
      </c>
      <c r="F11" s="644">
        <v>2004</v>
      </c>
      <c r="G11" s="644">
        <v>2005</v>
      </c>
      <c r="H11" s="644">
        <v>2006</v>
      </c>
      <c r="I11" s="644">
        <v>2007</v>
      </c>
      <c r="J11" s="644">
        <v>2008</v>
      </c>
      <c r="K11" s="644">
        <v>2009</v>
      </c>
      <c r="L11" s="644">
        <v>2010</v>
      </c>
      <c r="M11" s="644">
        <v>2011</v>
      </c>
      <c r="N11" s="644">
        <v>2012</v>
      </c>
      <c r="O11" s="644">
        <v>2013</v>
      </c>
      <c r="P11" s="644">
        <v>2014</v>
      </c>
      <c r="Q11" s="644">
        <v>2015</v>
      </c>
      <c r="R11" s="644">
        <v>2016</v>
      </c>
      <c r="S11" s="644">
        <v>2017</v>
      </c>
      <c r="T11" s="644">
        <v>2018</v>
      </c>
      <c r="U11" s="644">
        <v>2019</v>
      </c>
      <c r="V11" s="644">
        <v>2020</v>
      </c>
      <c r="W11" s="644">
        <v>2021</v>
      </c>
      <c r="X11" s="644">
        <v>2022</v>
      </c>
      <c r="Y11" s="333"/>
      <c r="Z11" s="333"/>
      <c r="AA11" s="645">
        <v>2000</v>
      </c>
      <c r="AB11" s="645">
        <v>2001</v>
      </c>
      <c r="AC11" s="645">
        <v>2002</v>
      </c>
      <c r="AD11" s="645">
        <v>2003</v>
      </c>
      <c r="AE11" s="645">
        <v>2004</v>
      </c>
      <c r="AF11" s="645">
        <v>2005</v>
      </c>
      <c r="AG11" s="645">
        <v>2006</v>
      </c>
      <c r="AH11" s="645">
        <v>2007</v>
      </c>
      <c r="AI11" s="645">
        <v>2008</v>
      </c>
      <c r="AJ11" s="645">
        <v>2009</v>
      </c>
      <c r="AK11" s="645">
        <v>2010</v>
      </c>
      <c r="AL11" s="645">
        <v>2011</v>
      </c>
      <c r="AM11" s="645">
        <v>2012</v>
      </c>
      <c r="AN11" s="645">
        <v>2013</v>
      </c>
      <c r="AO11" s="645">
        <v>2014</v>
      </c>
      <c r="AP11" s="645">
        <v>2015</v>
      </c>
      <c r="AQ11" s="645">
        <v>2016</v>
      </c>
      <c r="AR11" s="645">
        <v>2017</v>
      </c>
      <c r="AS11" s="645">
        <v>2018</v>
      </c>
      <c r="AT11" s="645">
        <v>2019</v>
      </c>
      <c r="AU11" s="645">
        <v>2020</v>
      </c>
      <c r="AV11" s="645">
        <v>2021</v>
      </c>
      <c r="AW11" s="645">
        <v>2022</v>
      </c>
    </row>
    <row r="12" spans="1:49">
      <c r="A12" s="319"/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33"/>
      <c r="Z12" s="333"/>
      <c r="AA12" s="333"/>
      <c r="AB12" s="333"/>
      <c r="AC12" s="333"/>
      <c r="AD12" s="333"/>
      <c r="AE12" s="333"/>
      <c r="AF12" s="333"/>
      <c r="AG12" s="333"/>
      <c r="AH12" s="333"/>
      <c r="AI12" s="333"/>
      <c r="AJ12" s="333"/>
      <c r="AK12" s="333"/>
      <c r="AL12" s="333"/>
      <c r="AM12" s="333"/>
      <c r="AN12" s="333"/>
      <c r="AO12" s="333"/>
      <c r="AP12" s="333"/>
      <c r="AQ12" s="333"/>
      <c r="AR12" s="333"/>
      <c r="AS12" s="333"/>
      <c r="AT12" s="333"/>
      <c r="AU12" s="333"/>
      <c r="AV12" s="333"/>
      <c r="AW12" s="333"/>
    </row>
    <row r="13" spans="1:49">
      <c r="A13" s="324" t="s">
        <v>550</v>
      </c>
      <c r="B13" s="325">
        <v>4467.2939999999999</v>
      </c>
      <c r="C13" s="325">
        <v>4534.0559999999996</v>
      </c>
      <c r="D13" s="325">
        <v>4612.9399999999996</v>
      </c>
      <c r="E13" s="325">
        <v>4686.9399999999996</v>
      </c>
      <c r="F13" s="325">
        <v>4769.5309999999999</v>
      </c>
      <c r="G13" s="325">
        <v>4848.1959999999999</v>
      </c>
      <c r="H13" s="325">
        <v>4919.777</v>
      </c>
      <c r="I13" s="325">
        <v>4982.0910000000003</v>
      </c>
      <c r="J13" s="325">
        <v>5047.1670000000004</v>
      </c>
      <c r="K13" s="325">
        <v>5100.1130000000003</v>
      </c>
      <c r="L13" s="325">
        <v>5158.7560000000003</v>
      </c>
      <c r="M13" s="325">
        <v>5216.2709999999997</v>
      </c>
      <c r="N13" s="325">
        <v>5271.4549999999999</v>
      </c>
      <c r="O13" s="325">
        <v>5326.8689999999997</v>
      </c>
      <c r="P13" s="325">
        <v>5379.9949999999999</v>
      </c>
      <c r="Q13" s="325">
        <v>5449.1880000000001</v>
      </c>
      <c r="R13" s="325">
        <v>5509.35</v>
      </c>
      <c r="S13" s="325">
        <v>5574.9070000000002</v>
      </c>
      <c r="T13" s="325">
        <v>5651.0529999999999</v>
      </c>
      <c r="U13" s="325">
        <v>5733.8459999999995</v>
      </c>
      <c r="V13" s="325">
        <v>5831.4520000000002</v>
      </c>
      <c r="W13" s="325">
        <v>5936.1570000000002</v>
      </c>
      <c r="X13" s="325">
        <v>6034.2359999999999</v>
      </c>
      <c r="Y13" s="340"/>
      <c r="Z13" s="341" t="s">
        <v>551</v>
      </c>
      <c r="AA13" s="342">
        <v>345.828734</v>
      </c>
      <c r="AB13" s="342">
        <v>317.54042800000002</v>
      </c>
      <c r="AC13" s="342">
        <v>333.99524600000001</v>
      </c>
      <c r="AD13" s="342">
        <v>367.09275300000002</v>
      </c>
      <c r="AE13" s="342">
        <v>353.83854500000001</v>
      </c>
      <c r="AF13" s="342">
        <v>361.13932999999997</v>
      </c>
      <c r="AG13" s="342">
        <v>327.19678900000002</v>
      </c>
      <c r="AH13" s="342">
        <v>369.84122400000001</v>
      </c>
      <c r="AI13" s="342">
        <v>379.481426</v>
      </c>
      <c r="AJ13" s="342">
        <v>360.72497399999997</v>
      </c>
      <c r="AK13" s="342">
        <v>339.53877399999999</v>
      </c>
      <c r="AL13" s="342">
        <v>368.48313000000002</v>
      </c>
      <c r="AM13" s="342">
        <v>325.95219800000001</v>
      </c>
      <c r="AN13" s="342">
        <v>377.92504300000002</v>
      </c>
      <c r="AO13" s="342">
        <v>389.421492</v>
      </c>
      <c r="AP13" s="342">
        <v>381.45646299999999</v>
      </c>
      <c r="AQ13" s="342">
        <v>328.78009500000002</v>
      </c>
      <c r="AR13" s="342">
        <v>335.43244700000002</v>
      </c>
      <c r="AS13" s="342">
        <v>345.93352800000002</v>
      </c>
      <c r="AT13" s="342">
        <v>354.90658500000001</v>
      </c>
      <c r="AU13" s="342">
        <v>319.50675100000001</v>
      </c>
      <c r="AV13" s="342">
        <v>308.09489100000002</v>
      </c>
      <c r="AW13" s="342">
        <v>325.35679099999999</v>
      </c>
    </row>
    <row r="14" spans="1:49">
      <c r="A14" s="330" t="s">
        <v>552</v>
      </c>
      <c r="B14" s="326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/>
      <c r="U14" s="326"/>
      <c r="V14" s="326"/>
      <c r="W14" s="326"/>
      <c r="X14" s="326"/>
      <c r="Y14" s="333"/>
      <c r="Z14" s="343" t="s">
        <v>553</v>
      </c>
      <c r="AA14" s="344"/>
      <c r="AB14" s="344"/>
      <c r="AC14" s="344"/>
      <c r="AD14" s="344"/>
      <c r="AE14" s="344"/>
      <c r="AF14" s="344"/>
      <c r="AG14" s="344"/>
      <c r="AH14" s="344"/>
      <c r="AI14" s="344"/>
      <c r="AJ14" s="344"/>
      <c r="AK14" s="344"/>
      <c r="AL14" s="344"/>
      <c r="AM14" s="344"/>
      <c r="AN14" s="344"/>
      <c r="AO14" s="344"/>
      <c r="AP14" s="344"/>
      <c r="AQ14" s="344"/>
      <c r="AR14" s="344"/>
      <c r="AS14" s="344"/>
      <c r="AT14" s="344"/>
      <c r="AU14" s="344"/>
      <c r="AV14" s="344"/>
      <c r="AW14" s="344"/>
    </row>
    <row r="15" spans="1:49">
      <c r="A15" s="320" t="s">
        <v>554</v>
      </c>
      <c r="B15" s="326">
        <v>2516.4389999999999</v>
      </c>
      <c r="C15" s="326">
        <v>2555.9949999999999</v>
      </c>
      <c r="D15" s="326">
        <v>2600.8069999999998</v>
      </c>
      <c r="E15" s="326">
        <v>2644.8969999999999</v>
      </c>
      <c r="F15" s="326">
        <v>2690.4740000000002</v>
      </c>
      <c r="G15" s="326">
        <v>2730.9110000000001</v>
      </c>
      <c r="H15" s="326">
        <v>2767.9259999999999</v>
      </c>
      <c r="I15" s="326">
        <v>2801.4560000000001</v>
      </c>
      <c r="J15" s="326">
        <v>2833.085</v>
      </c>
      <c r="K15" s="326">
        <v>2855.1190000000001</v>
      </c>
      <c r="L15" s="326">
        <v>2879.7539999999999</v>
      </c>
      <c r="M15" s="326">
        <v>2901.6260000000002</v>
      </c>
      <c r="N15" s="326">
        <v>2925.0169999999998</v>
      </c>
      <c r="O15" s="326">
        <v>2945.2109999999998</v>
      </c>
      <c r="P15" s="326">
        <v>2965.1379999999999</v>
      </c>
      <c r="Q15" s="326">
        <v>2982.3820000000001</v>
      </c>
      <c r="R15" s="326">
        <v>3002.9760000000001</v>
      </c>
      <c r="S15" s="326">
        <v>3028.4189999999999</v>
      </c>
      <c r="T15" s="326">
        <v>3057.6860000000001</v>
      </c>
      <c r="U15" s="326">
        <v>3104.8220000000001</v>
      </c>
      <c r="V15" s="326">
        <v>3155.598</v>
      </c>
      <c r="W15" s="326">
        <v>3206.3629999999998</v>
      </c>
      <c r="X15" s="326">
        <v>3257.8780000000002</v>
      </c>
      <c r="Y15" s="333"/>
      <c r="Z15" s="345" t="s">
        <v>555</v>
      </c>
      <c r="AA15" s="344">
        <v>12.840814</v>
      </c>
      <c r="AB15" s="344">
        <v>9.7472080000000005</v>
      </c>
      <c r="AC15" s="344">
        <v>8.6933620000000005</v>
      </c>
      <c r="AD15" s="344">
        <v>6.6265710000000002</v>
      </c>
      <c r="AE15" s="344">
        <v>4.3880189999999999</v>
      </c>
      <c r="AF15" s="344">
        <v>3.1334680000000001</v>
      </c>
      <c r="AG15" s="344">
        <v>1.7511589999999999</v>
      </c>
      <c r="AH15" s="344">
        <v>1.075861</v>
      </c>
      <c r="AI15" s="344">
        <v>0.60162800000000005</v>
      </c>
      <c r="AJ15" s="344">
        <v>0.36391499999999999</v>
      </c>
      <c r="AK15" s="344">
        <v>0</v>
      </c>
      <c r="AL15" s="344">
        <v>0</v>
      </c>
      <c r="AM15" s="344">
        <v>0</v>
      </c>
      <c r="AN15" s="344">
        <v>0</v>
      </c>
      <c r="AO15" s="344">
        <v>0</v>
      </c>
      <c r="AP15" s="344">
        <v>0</v>
      </c>
      <c r="AQ15" s="344">
        <v>0</v>
      </c>
      <c r="AR15" s="344">
        <v>0</v>
      </c>
      <c r="AS15" s="344">
        <v>0</v>
      </c>
      <c r="AT15" s="344">
        <v>0</v>
      </c>
      <c r="AU15" s="344">
        <v>0</v>
      </c>
      <c r="AV15" s="344">
        <v>0</v>
      </c>
      <c r="AW15" s="344">
        <v>0</v>
      </c>
    </row>
    <row r="16" spans="1:49">
      <c r="A16" s="320" t="s">
        <v>556</v>
      </c>
      <c r="B16" s="326">
        <v>630.89400000000001</v>
      </c>
      <c r="C16" s="326">
        <v>650.73599999999999</v>
      </c>
      <c r="D16" s="326">
        <v>668.93899999999996</v>
      </c>
      <c r="E16" s="326">
        <v>685.43</v>
      </c>
      <c r="F16" s="326">
        <v>703.90800000000002</v>
      </c>
      <c r="G16" s="326">
        <v>720.53</v>
      </c>
      <c r="H16" s="326">
        <v>736.71</v>
      </c>
      <c r="I16" s="326">
        <v>751.39800000000002</v>
      </c>
      <c r="J16" s="326">
        <v>765.21600000000001</v>
      </c>
      <c r="K16" s="326">
        <v>777.64099999999996</v>
      </c>
      <c r="L16" s="326">
        <v>789.70799999999997</v>
      </c>
      <c r="M16" s="326">
        <v>801.75199999999995</v>
      </c>
      <c r="N16" s="326">
        <v>813.81899999999996</v>
      </c>
      <c r="O16" s="326">
        <v>827.08500000000004</v>
      </c>
      <c r="P16" s="326">
        <v>839.46400000000006</v>
      </c>
      <c r="Q16" s="326">
        <v>849.99699999999996</v>
      </c>
      <c r="R16" s="326">
        <v>861.89499999999998</v>
      </c>
      <c r="S16" s="326">
        <v>876.274</v>
      </c>
      <c r="T16" s="326">
        <v>893.43100000000004</v>
      </c>
      <c r="U16" s="326">
        <v>906.68499999999995</v>
      </c>
      <c r="V16" s="326">
        <v>921.88300000000004</v>
      </c>
      <c r="W16" s="326">
        <v>937.09100000000001</v>
      </c>
      <c r="X16" s="326">
        <v>950.84400000000005</v>
      </c>
      <c r="Y16" s="333"/>
      <c r="Z16" s="345" t="s">
        <v>557</v>
      </c>
      <c r="AA16" s="344">
        <v>12.746309</v>
      </c>
      <c r="AB16" s="344">
        <v>12.773652999999999</v>
      </c>
      <c r="AC16" s="344">
        <v>15.267744</v>
      </c>
      <c r="AD16" s="344">
        <v>15.594333000000001</v>
      </c>
      <c r="AE16" s="344">
        <v>15.594003000000001</v>
      </c>
      <c r="AF16" s="344">
        <v>19.796581</v>
      </c>
      <c r="AG16" s="344">
        <v>17.907692999999998</v>
      </c>
      <c r="AH16" s="344">
        <v>17.903884999999999</v>
      </c>
      <c r="AI16" s="344">
        <v>15.938632999999999</v>
      </c>
      <c r="AJ16" s="344">
        <v>16.931581000000001</v>
      </c>
      <c r="AK16" s="344">
        <v>16.811568999999999</v>
      </c>
      <c r="AL16" s="344">
        <v>13.845713</v>
      </c>
      <c r="AM16" s="344">
        <v>11.518276999999999</v>
      </c>
      <c r="AN16" s="344">
        <v>12.555542000000001</v>
      </c>
      <c r="AO16" s="344">
        <v>11.188264999999999</v>
      </c>
      <c r="AP16" s="344">
        <v>10.072514999999999</v>
      </c>
      <c r="AQ16" s="344">
        <v>7.3003600000000004</v>
      </c>
      <c r="AR16" s="344">
        <v>6.1538399999999998</v>
      </c>
      <c r="AS16" s="344">
        <v>5.9196059999999999</v>
      </c>
      <c r="AT16" s="344">
        <v>4.7742199999999997</v>
      </c>
      <c r="AU16" s="344">
        <v>3.7040860000000002</v>
      </c>
      <c r="AV16" s="344">
        <v>3.2173639999999999</v>
      </c>
      <c r="AW16" s="344">
        <v>3.2230379999999998</v>
      </c>
    </row>
    <row r="17" spans="1:49">
      <c r="A17" s="320" t="s">
        <v>558</v>
      </c>
      <c r="B17" s="326">
        <v>1294.7070000000001</v>
      </c>
      <c r="C17" s="326">
        <v>1302.1310000000001</v>
      </c>
      <c r="D17" s="326">
        <v>1317.8989999999999</v>
      </c>
      <c r="E17" s="326">
        <v>1331.1669999999999</v>
      </c>
      <c r="F17" s="326">
        <v>1349.5129999999999</v>
      </c>
      <c r="G17" s="326">
        <v>1370.953</v>
      </c>
      <c r="H17" s="326">
        <v>1389.1890000000001</v>
      </c>
      <c r="I17" s="326">
        <v>1403.153</v>
      </c>
      <c r="J17" s="326">
        <v>1422.6610000000001</v>
      </c>
      <c r="K17" s="326">
        <v>1441.0930000000001</v>
      </c>
      <c r="L17" s="326">
        <v>1462.9570000000001</v>
      </c>
      <c r="M17" s="326">
        <v>1486.4390000000001</v>
      </c>
      <c r="N17" s="326">
        <v>1506.02</v>
      </c>
      <c r="O17" s="326">
        <v>1527.8520000000001</v>
      </c>
      <c r="P17" s="326">
        <v>1548.556</v>
      </c>
      <c r="Q17" s="326">
        <v>1589.876</v>
      </c>
      <c r="R17" s="326">
        <v>1617.434</v>
      </c>
      <c r="S17" s="326">
        <v>1643.037</v>
      </c>
      <c r="T17" s="326">
        <v>1672.646</v>
      </c>
      <c r="U17" s="326">
        <v>1694.962</v>
      </c>
      <c r="V17" s="326">
        <v>1726.518</v>
      </c>
      <c r="W17" s="326">
        <v>1765.15</v>
      </c>
      <c r="X17" s="326">
        <v>1797.8689999999999</v>
      </c>
      <c r="Y17" s="333"/>
      <c r="Z17" s="345" t="s">
        <v>559</v>
      </c>
      <c r="AA17" s="344">
        <v>0</v>
      </c>
      <c r="AB17" s="344">
        <v>0</v>
      </c>
      <c r="AC17" s="344">
        <v>0</v>
      </c>
      <c r="AD17" s="344">
        <v>0</v>
      </c>
      <c r="AE17" s="344">
        <v>0</v>
      </c>
      <c r="AF17" s="344">
        <v>0</v>
      </c>
      <c r="AG17" s="344">
        <v>0</v>
      </c>
      <c r="AH17" s="344">
        <v>0</v>
      </c>
      <c r="AI17" s="344">
        <v>0</v>
      </c>
      <c r="AJ17" s="344">
        <v>0</v>
      </c>
      <c r="AK17" s="344">
        <v>0</v>
      </c>
      <c r="AL17" s="344">
        <v>0</v>
      </c>
      <c r="AM17" s="344">
        <v>0</v>
      </c>
      <c r="AN17" s="344">
        <v>0</v>
      </c>
      <c r="AO17" s="344">
        <v>0</v>
      </c>
      <c r="AP17" s="344">
        <v>0</v>
      </c>
      <c r="AQ17" s="344">
        <v>0</v>
      </c>
      <c r="AR17" s="344">
        <v>0</v>
      </c>
      <c r="AS17" s="344">
        <v>0</v>
      </c>
      <c r="AT17" s="344">
        <v>0</v>
      </c>
      <c r="AU17" s="344">
        <v>0</v>
      </c>
      <c r="AV17" s="344">
        <v>0</v>
      </c>
      <c r="AW17" s="344">
        <v>0</v>
      </c>
    </row>
    <row r="18" spans="1:49">
      <c r="A18" s="320" t="s">
        <v>560</v>
      </c>
      <c r="B18" s="326">
        <v>25.254000000000001</v>
      </c>
      <c r="C18" s="326">
        <v>25.195</v>
      </c>
      <c r="D18" s="326">
        <v>25.295999999999999</v>
      </c>
      <c r="E18" s="326">
        <v>25.445</v>
      </c>
      <c r="F18" s="326">
        <v>25.635999999999999</v>
      </c>
      <c r="G18" s="326">
        <v>25.803000000000001</v>
      </c>
      <c r="H18" s="326">
        <v>25.952999999999999</v>
      </c>
      <c r="I18" s="326">
        <v>26.084</v>
      </c>
      <c r="J18" s="326">
        <v>26.204999999999998</v>
      </c>
      <c r="K18" s="326">
        <v>26.259</v>
      </c>
      <c r="L18" s="326">
        <v>26.337</v>
      </c>
      <c r="M18" s="326">
        <v>26.452999999999999</v>
      </c>
      <c r="N18" s="326">
        <v>26.599</v>
      </c>
      <c r="O18" s="326">
        <v>26.721</v>
      </c>
      <c r="P18" s="326">
        <v>26.837</v>
      </c>
      <c r="Q18" s="326">
        <v>26.933</v>
      </c>
      <c r="R18" s="326">
        <v>27.045000000000002</v>
      </c>
      <c r="S18" s="326">
        <v>27.177</v>
      </c>
      <c r="T18" s="326">
        <v>27.29</v>
      </c>
      <c r="U18" s="326">
        <v>27.376000000000001</v>
      </c>
      <c r="V18" s="326">
        <v>27.454000000000001</v>
      </c>
      <c r="W18" s="326">
        <v>27.553000000000001</v>
      </c>
      <c r="X18" s="326">
        <v>27.645</v>
      </c>
      <c r="Y18" s="333"/>
      <c r="Z18" s="345" t="s">
        <v>561</v>
      </c>
      <c r="AA18" s="344">
        <v>135.39663400000001</v>
      </c>
      <c r="AB18" s="344">
        <v>117.74520800000001</v>
      </c>
      <c r="AC18" s="344">
        <v>115.32059099999999</v>
      </c>
      <c r="AD18" s="344">
        <v>118.870547</v>
      </c>
      <c r="AE18" s="344">
        <v>102.66807799999999</v>
      </c>
      <c r="AF18" s="344">
        <v>93.243594000000002</v>
      </c>
      <c r="AG18" s="344">
        <v>73.962457999999998</v>
      </c>
      <c r="AH18" s="344">
        <v>74.078830999999994</v>
      </c>
      <c r="AI18" s="344">
        <v>65.612737999999993</v>
      </c>
      <c r="AJ18" s="344">
        <v>50.769674000000002</v>
      </c>
      <c r="AK18" s="344">
        <v>38.905523000000002</v>
      </c>
      <c r="AL18" s="344">
        <v>34.965696000000001</v>
      </c>
      <c r="AM18" s="344">
        <v>22.913575000000002</v>
      </c>
      <c r="AN18" s="344">
        <v>19.405626000000002</v>
      </c>
      <c r="AO18" s="344">
        <v>12.845027999999999</v>
      </c>
      <c r="AP18" s="344">
        <v>6.640466</v>
      </c>
      <c r="AQ18" s="344">
        <v>1.5194350000000001</v>
      </c>
      <c r="AR18" s="344">
        <v>0.73156299999999996</v>
      </c>
      <c r="AS18" s="344">
        <v>0.24324200000000001</v>
      </c>
      <c r="AT18" s="344">
        <v>1.5980999999999999E-2</v>
      </c>
      <c r="AU18" s="344">
        <v>0</v>
      </c>
      <c r="AV18" s="344">
        <v>0</v>
      </c>
      <c r="AW18" s="344">
        <v>0</v>
      </c>
    </row>
    <row r="19" spans="1:49">
      <c r="B19" s="326"/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33"/>
      <c r="Z19" s="345" t="s">
        <v>562</v>
      </c>
      <c r="AA19" s="344">
        <v>64.966541000000007</v>
      </c>
      <c r="AB19" s="344">
        <v>63.259751000000001</v>
      </c>
      <c r="AC19" s="344">
        <v>70.820719999999994</v>
      </c>
      <c r="AD19" s="344">
        <v>83.311751000000001</v>
      </c>
      <c r="AE19" s="344">
        <v>82.907929999999993</v>
      </c>
      <c r="AF19" s="344">
        <v>86.939098999999999</v>
      </c>
      <c r="AG19" s="344">
        <v>80.464951999999997</v>
      </c>
      <c r="AH19" s="344">
        <v>95.074313000000004</v>
      </c>
      <c r="AI19" s="344">
        <v>99.318485999999993</v>
      </c>
      <c r="AJ19" s="344">
        <v>92.498146000000006</v>
      </c>
      <c r="AK19" s="344">
        <v>85.841931000000002</v>
      </c>
      <c r="AL19" s="344">
        <v>95.851887000000005</v>
      </c>
      <c r="AM19" s="344">
        <v>82.010548</v>
      </c>
      <c r="AN19" s="344">
        <v>94.903122999999994</v>
      </c>
      <c r="AO19" s="344">
        <v>95.383077</v>
      </c>
      <c r="AP19" s="344">
        <v>91.135075000000001</v>
      </c>
      <c r="AQ19" s="344">
        <v>72.582854999999995</v>
      </c>
      <c r="AR19" s="344">
        <v>68.204930000000004</v>
      </c>
      <c r="AS19" s="344">
        <v>66.869562999999999</v>
      </c>
      <c r="AT19" s="344">
        <v>63.499648000000001</v>
      </c>
      <c r="AU19" s="344">
        <v>51.269939999999998</v>
      </c>
      <c r="AV19" s="344">
        <v>43.912953000000002</v>
      </c>
      <c r="AW19" s="344">
        <v>41.412241000000002</v>
      </c>
    </row>
    <row r="20" spans="1:49">
      <c r="A20" s="330" t="s">
        <v>563</v>
      </c>
      <c r="B20" s="326"/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26"/>
      <c r="Y20" s="333"/>
      <c r="Z20" s="345" t="s">
        <v>564</v>
      </c>
      <c r="AA20" s="344">
        <v>46.016390999999999</v>
      </c>
      <c r="AB20" s="344">
        <v>47.512551000000002</v>
      </c>
      <c r="AC20" s="344">
        <v>56.351543999999997</v>
      </c>
      <c r="AD20" s="344">
        <v>70.156392999999994</v>
      </c>
      <c r="AE20" s="344">
        <v>74.391396</v>
      </c>
      <c r="AF20" s="344">
        <v>82.947552000000002</v>
      </c>
      <c r="AG20" s="344">
        <v>82.166027</v>
      </c>
      <c r="AH20" s="344">
        <v>102.698117</v>
      </c>
      <c r="AI20" s="344">
        <v>114.64100000000001</v>
      </c>
      <c r="AJ20" s="344">
        <v>113.749358</v>
      </c>
      <c r="AK20" s="344">
        <v>114.05541100000001</v>
      </c>
      <c r="AL20" s="344">
        <v>136.97308699999999</v>
      </c>
      <c r="AM20" s="344">
        <v>126.159761</v>
      </c>
      <c r="AN20" s="344">
        <v>158.29558</v>
      </c>
      <c r="AO20" s="344">
        <v>173.39553000000001</v>
      </c>
      <c r="AP20" s="344">
        <v>182.29415700000001</v>
      </c>
      <c r="AQ20" s="344">
        <v>161.020172</v>
      </c>
      <c r="AR20" s="344">
        <v>169.545716</v>
      </c>
      <c r="AS20" s="344">
        <v>187.68649099999999</v>
      </c>
      <c r="AT20" s="344">
        <v>202.398055</v>
      </c>
      <c r="AU20" s="344">
        <v>187.15285399999999</v>
      </c>
      <c r="AV20" s="344">
        <v>183.924386</v>
      </c>
      <c r="AW20" s="344">
        <v>199.40167199999999</v>
      </c>
    </row>
    <row r="21" spans="1:49">
      <c r="A21" s="320" t="s">
        <v>554</v>
      </c>
      <c r="B21" s="326">
        <v>56.330275999999998</v>
      </c>
      <c r="C21" s="326">
        <v>56.373241999999998</v>
      </c>
      <c r="D21" s="326">
        <v>56.380668999999997</v>
      </c>
      <c r="E21" s="326">
        <v>56.431226000000002</v>
      </c>
      <c r="F21" s="326">
        <v>56.409618000000002</v>
      </c>
      <c r="G21" s="326">
        <v>56.328381999999998</v>
      </c>
      <c r="H21" s="326">
        <v>56.261194000000003</v>
      </c>
      <c r="I21" s="326">
        <v>56.230522999999998</v>
      </c>
      <c r="J21" s="326">
        <v>56.132193000000001</v>
      </c>
      <c r="K21" s="326">
        <v>55.981487999999999</v>
      </c>
      <c r="L21" s="326">
        <v>55.822637999999998</v>
      </c>
      <c r="M21" s="326">
        <v>55.626449000000001</v>
      </c>
      <c r="N21" s="326">
        <v>55.487839999999998</v>
      </c>
      <c r="O21" s="326">
        <v>55.289720000000003</v>
      </c>
      <c r="P21" s="326">
        <v>55.114142999999999</v>
      </c>
      <c r="Q21" s="326">
        <v>54.73075</v>
      </c>
      <c r="R21" s="326">
        <v>54.506903999999999</v>
      </c>
      <c r="S21" s="326">
        <v>54.322313999999999</v>
      </c>
      <c r="T21" s="326">
        <v>54.108244999999997</v>
      </c>
      <c r="U21" s="326">
        <v>54.149042000000001</v>
      </c>
      <c r="V21" s="326">
        <v>54.113405999999998</v>
      </c>
      <c r="W21" s="326">
        <v>54.014113999999999</v>
      </c>
      <c r="X21" s="326">
        <v>53.989896999999999</v>
      </c>
      <c r="Y21" s="333"/>
      <c r="Z21" s="345" t="s">
        <v>565</v>
      </c>
      <c r="AA21" s="344">
        <v>36.591341999999997</v>
      </c>
      <c r="AB21" s="344">
        <v>34.028616</v>
      </c>
      <c r="AC21" s="344">
        <v>34.440798999999998</v>
      </c>
      <c r="AD21" s="344">
        <v>38.767947999999997</v>
      </c>
      <c r="AE21" s="344">
        <v>39.992429999999999</v>
      </c>
      <c r="AF21" s="344">
        <v>37.279423000000001</v>
      </c>
      <c r="AG21" s="344">
        <v>34.407780000000002</v>
      </c>
      <c r="AH21" s="344">
        <v>37.993859999999998</v>
      </c>
      <c r="AI21" s="344">
        <v>40.799646000000003</v>
      </c>
      <c r="AJ21" s="344">
        <v>43.372664999999998</v>
      </c>
      <c r="AK21" s="344">
        <v>41.753506000000002</v>
      </c>
      <c r="AL21" s="344">
        <v>42.543052000000003</v>
      </c>
      <c r="AM21" s="344">
        <v>40.407133000000002</v>
      </c>
      <c r="AN21" s="344">
        <v>47.931671000000001</v>
      </c>
      <c r="AO21" s="344">
        <v>51.487955999999997</v>
      </c>
      <c r="AP21" s="344">
        <v>48.494557999999998</v>
      </c>
      <c r="AQ21" s="344">
        <v>42.775139000000003</v>
      </c>
      <c r="AR21" s="344">
        <v>45.150902000000002</v>
      </c>
      <c r="AS21" s="344">
        <v>43.549480000000003</v>
      </c>
      <c r="AT21" s="344">
        <v>46.155273999999999</v>
      </c>
      <c r="AU21" s="344">
        <v>42.069766000000001</v>
      </c>
      <c r="AV21" s="344">
        <v>41.207534000000003</v>
      </c>
      <c r="AW21" s="344">
        <v>42.214314000000002</v>
      </c>
    </row>
    <row r="22" spans="1:49">
      <c r="A22" s="320" t="s">
        <v>556</v>
      </c>
      <c r="B22" s="326">
        <v>14.122507000000001</v>
      </c>
      <c r="C22" s="326">
        <v>14.352179</v>
      </c>
      <c r="D22" s="326">
        <v>14.501355999999999</v>
      </c>
      <c r="E22" s="326">
        <v>14.624253</v>
      </c>
      <c r="F22" s="326">
        <v>14.758431</v>
      </c>
      <c r="G22" s="326">
        <v>14.861814000000001</v>
      </c>
      <c r="H22" s="326">
        <v>14.974456</v>
      </c>
      <c r="I22" s="326">
        <v>15.08198</v>
      </c>
      <c r="J22" s="326">
        <v>15.161296</v>
      </c>
      <c r="K22" s="326">
        <v>15.247522999999999</v>
      </c>
      <c r="L22" s="326">
        <v>15.308108000000001</v>
      </c>
      <c r="M22" s="326">
        <v>15.370210999999999</v>
      </c>
      <c r="N22" s="326">
        <v>15.438221</v>
      </c>
      <c r="O22" s="326">
        <v>15.526661000000001</v>
      </c>
      <c r="P22" s="326">
        <v>15.603432</v>
      </c>
      <c r="Q22" s="326">
        <v>15.598597</v>
      </c>
      <c r="R22" s="326">
        <v>15.644221</v>
      </c>
      <c r="S22" s="326">
        <v>15.718178999999999</v>
      </c>
      <c r="T22" s="326">
        <v>15.809989</v>
      </c>
      <c r="U22" s="326">
        <v>15.812859</v>
      </c>
      <c r="V22" s="326">
        <v>15.808804</v>
      </c>
      <c r="W22" s="326">
        <v>15.786155000000001</v>
      </c>
      <c r="X22" s="326">
        <v>15.757486</v>
      </c>
      <c r="Y22" s="333"/>
      <c r="Z22" s="345" t="s">
        <v>566</v>
      </c>
      <c r="AA22" s="344">
        <v>1.7700629999999999</v>
      </c>
      <c r="AB22" s="344">
        <v>1.654226</v>
      </c>
      <c r="AC22" s="344">
        <v>1.637853</v>
      </c>
      <c r="AD22" s="344">
        <v>1.8311789999999999</v>
      </c>
      <c r="AE22" s="344">
        <v>1.9288689999999999</v>
      </c>
      <c r="AF22" s="344">
        <v>1.773798</v>
      </c>
      <c r="AG22" s="344">
        <v>1.6296139999999999</v>
      </c>
      <c r="AH22" s="344">
        <v>1.790583</v>
      </c>
      <c r="AI22" s="344">
        <v>1.817706</v>
      </c>
      <c r="AJ22" s="344">
        <v>1.8942300000000001</v>
      </c>
      <c r="AK22" s="344">
        <v>1.843243</v>
      </c>
      <c r="AL22" s="344">
        <v>1.7680279999999999</v>
      </c>
      <c r="AM22" s="344">
        <v>1.7415909999999999</v>
      </c>
      <c r="AN22" s="344">
        <v>1.890733</v>
      </c>
      <c r="AO22" s="344">
        <v>2.0847359999999999</v>
      </c>
      <c r="AP22" s="344">
        <v>1.9444349999999999</v>
      </c>
      <c r="AQ22" s="344">
        <v>1.7646059999999999</v>
      </c>
      <c r="AR22" s="344">
        <v>2.0276190000000001</v>
      </c>
      <c r="AS22" s="344">
        <v>2.0768559999999998</v>
      </c>
      <c r="AT22" s="344">
        <v>2.3119040000000002</v>
      </c>
      <c r="AU22" s="344">
        <v>2.2790849999999998</v>
      </c>
      <c r="AV22" s="344">
        <v>2.4023850000000002</v>
      </c>
      <c r="AW22" s="344">
        <v>2.6340050000000002</v>
      </c>
    </row>
    <row r="23" spans="1:49" ht="15.5">
      <c r="A23" s="320" t="s">
        <v>558</v>
      </c>
      <c r="B23" s="326">
        <v>28.981914</v>
      </c>
      <c r="C23" s="326">
        <v>28.718903999999998</v>
      </c>
      <c r="D23" s="326">
        <v>28.569614999999999</v>
      </c>
      <c r="E23" s="326">
        <v>28.401633</v>
      </c>
      <c r="F23" s="326">
        <v>28.294454000000002</v>
      </c>
      <c r="G23" s="326">
        <v>28.277585999999999</v>
      </c>
      <c r="H23" s="326">
        <v>28.236823999999999</v>
      </c>
      <c r="I23" s="326">
        <v>28.163948000000001</v>
      </c>
      <c r="J23" s="326">
        <v>28.187314000000001</v>
      </c>
      <c r="K23" s="326">
        <v>28.256108000000001</v>
      </c>
      <c r="L23" s="326">
        <v>28.358726000000001</v>
      </c>
      <c r="M23" s="326">
        <v>28.496206999999998</v>
      </c>
      <c r="N23" s="326">
        <v>28.569348999999999</v>
      </c>
      <c r="O23" s="326">
        <v>28.681996999999999</v>
      </c>
      <c r="P23" s="326">
        <v>28.783602999999999</v>
      </c>
      <c r="Q23" s="326">
        <v>29.176390999999999</v>
      </c>
      <c r="R23" s="326">
        <v>29.357990000000001</v>
      </c>
      <c r="S23" s="326">
        <v>29.472014000000001</v>
      </c>
      <c r="T23" s="326">
        <v>29.598842999999999</v>
      </c>
      <c r="U23" s="326">
        <v>29.560658</v>
      </c>
      <c r="V23" s="326">
        <v>29.607005000000001</v>
      </c>
      <c r="W23" s="326">
        <v>29.735575999999998</v>
      </c>
      <c r="X23" s="326">
        <v>29.794483</v>
      </c>
      <c r="Y23" s="333"/>
      <c r="Z23" s="345" t="s">
        <v>567</v>
      </c>
      <c r="AA23" s="344">
        <v>4.761393</v>
      </c>
      <c r="AB23" s="344">
        <v>4.4197139999999999</v>
      </c>
      <c r="AC23" s="344">
        <v>4.327839</v>
      </c>
      <c r="AD23" s="344">
        <v>4.9125889999999997</v>
      </c>
      <c r="AE23" s="344">
        <v>4.8947770000000004</v>
      </c>
      <c r="AF23" s="344">
        <v>6.424919</v>
      </c>
      <c r="AG23" s="344">
        <v>7.4087100000000001</v>
      </c>
      <c r="AH23" s="344">
        <v>8.3963669999999997</v>
      </c>
      <c r="AI23" s="344">
        <v>9.1543849999999996</v>
      </c>
      <c r="AJ23" s="344">
        <v>8.2323509999999995</v>
      </c>
      <c r="AK23" s="344">
        <v>8.7335840000000005</v>
      </c>
      <c r="AL23" s="344">
        <v>10.425242000000001</v>
      </c>
      <c r="AM23" s="344">
        <v>12.032135</v>
      </c>
      <c r="AN23" s="344">
        <v>8.5112509999999997</v>
      </c>
      <c r="AO23" s="344">
        <v>7.7245629999999998</v>
      </c>
      <c r="AP23" s="344">
        <v>7.5827</v>
      </c>
      <c r="AQ23" s="344">
        <v>10.468502000000001</v>
      </c>
      <c r="AR23" s="344">
        <v>10.826319</v>
      </c>
      <c r="AS23" s="344">
        <v>8.0661129999999996</v>
      </c>
      <c r="AT23" s="344">
        <v>8.242661</v>
      </c>
      <c r="AU23" s="344">
        <v>8.2407710000000005</v>
      </c>
      <c r="AV23" s="344">
        <v>9.4562069999999991</v>
      </c>
      <c r="AW23" s="344">
        <v>10.165279</v>
      </c>
    </row>
    <row r="24" spans="1:49">
      <c r="A24" s="320" t="s">
        <v>560</v>
      </c>
      <c r="B24" s="326">
        <v>0.565303</v>
      </c>
      <c r="C24" s="326">
        <v>0.55567500000000003</v>
      </c>
      <c r="D24" s="326">
        <v>0.54835999999999996</v>
      </c>
      <c r="E24" s="326">
        <v>0.54288800000000004</v>
      </c>
      <c r="F24" s="326">
        <v>0.53749800000000003</v>
      </c>
      <c r="G24" s="326">
        <v>0.532219</v>
      </c>
      <c r="H24" s="326">
        <v>0.52752699999999997</v>
      </c>
      <c r="I24" s="326">
        <v>0.52354999999999996</v>
      </c>
      <c r="J24" s="326">
        <v>0.51919800000000005</v>
      </c>
      <c r="K24" s="326">
        <v>0.51488100000000003</v>
      </c>
      <c r="L24" s="326">
        <v>0.51052799999999998</v>
      </c>
      <c r="M24" s="326">
        <v>0.50713200000000003</v>
      </c>
      <c r="N24" s="326">
        <v>0.50458899999999995</v>
      </c>
      <c r="O24" s="326">
        <v>0.50162300000000004</v>
      </c>
      <c r="P24" s="326">
        <v>0.49882199999999999</v>
      </c>
      <c r="Q24" s="326">
        <v>0.49426199999999998</v>
      </c>
      <c r="R24" s="326">
        <v>0.49088599999999999</v>
      </c>
      <c r="S24" s="326">
        <v>0.48749300000000001</v>
      </c>
      <c r="T24" s="326">
        <v>0.48292299999999999</v>
      </c>
      <c r="U24" s="326">
        <v>0.47744199999999998</v>
      </c>
      <c r="V24" s="326">
        <v>0.47078500000000001</v>
      </c>
      <c r="W24" s="326">
        <v>0.46415499999999998</v>
      </c>
      <c r="X24" s="326">
        <v>0.45813300000000001</v>
      </c>
      <c r="Y24" s="333"/>
      <c r="Z24" s="345" t="s">
        <v>568</v>
      </c>
      <c r="AA24" s="344">
        <v>3.170963</v>
      </c>
      <c r="AB24" s="344">
        <v>2.5160429999999998</v>
      </c>
      <c r="AC24" s="344">
        <v>2.4678420000000001</v>
      </c>
      <c r="AD24" s="344">
        <v>2.5248919999999999</v>
      </c>
      <c r="AE24" s="344">
        <v>2.5500020000000001</v>
      </c>
      <c r="AF24" s="344">
        <v>2.7553070000000002</v>
      </c>
      <c r="AG24" s="344">
        <v>2.5116149999999999</v>
      </c>
      <c r="AH24" s="344">
        <v>3.083825</v>
      </c>
      <c r="AI24" s="344">
        <v>3.2666520000000001</v>
      </c>
      <c r="AJ24" s="344">
        <v>3.2614350000000001</v>
      </c>
      <c r="AK24" s="344">
        <v>2.9367930000000002</v>
      </c>
      <c r="AL24" s="344">
        <v>3.0228670000000002</v>
      </c>
      <c r="AM24" s="344">
        <v>2.6794159999999998</v>
      </c>
      <c r="AN24" s="344">
        <v>3.0323289999999998</v>
      </c>
      <c r="AO24" s="344">
        <v>2.991034</v>
      </c>
      <c r="AP24" s="344">
        <v>2.6056879999999998</v>
      </c>
      <c r="AQ24" s="344">
        <v>2.3830429999999998</v>
      </c>
      <c r="AR24" s="344">
        <v>2.3423780000000001</v>
      </c>
      <c r="AS24" s="344">
        <v>1.983328</v>
      </c>
      <c r="AT24" s="344">
        <v>1.502623</v>
      </c>
      <c r="AU24" s="344">
        <v>1.2884599999999999</v>
      </c>
      <c r="AV24" s="344">
        <v>1.170372</v>
      </c>
      <c r="AW24" s="344">
        <v>1.2108570000000001</v>
      </c>
    </row>
    <row r="25" spans="1:49">
      <c r="A25" s="320"/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33"/>
      <c r="Z25" s="343" t="s">
        <v>569</v>
      </c>
      <c r="AA25" s="344"/>
      <c r="AB25" s="344"/>
      <c r="AC25" s="344"/>
      <c r="AD25" s="344"/>
      <c r="AE25" s="344"/>
      <c r="AF25" s="344"/>
      <c r="AG25" s="344"/>
      <c r="AH25" s="344"/>
      <c r="AI25" s="344"/>
      <c r="AJ25" s="344"/>
      <c r="AK25" s="344"/>
      <c r="AL25" s="344"/>
      <c r="AM25" s="344"/>
      <c r="AN25" s="344"/>
      <c r="AO25" s="344"/>
      <c r="AP25" s="344"/>
      <c r="AQ25" s="344"/>
      <c r="AR25" s="344"/>
      <c r="AS25" s="344"/>
      <c r="AT25" s="344"/>
      <c r="AU25" s="344"/>
      <c r="AV25" s="344"/>
      <c r="AW25" s="344"/>
    </row>
    <row r="26" spans="1:49">
      <c r="A26" s="327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  <c r="O26" s="326"/>
      <c r="P26" s="326"/>
      <c r="Q26" s="326"/>
      <c r="R26" s="326"/>
      <c r="S26" s="326"/>
      <c r="T26" s="326"/>
      <c r="U26" s="326"/>
      <c r="V26" s="326"/>
      <c r="W26" s="326"/>
      <c r="X26" s="326"/>
      <c r="Y26" s="333"/>
      <c r="Z26" s="346" t="s">
        <v>570</v>
      </c>
      <c r="AA26" s="344">
        <v>16.439945000000002</v>
      </c>
      <c r="AB26" s="344">
        <v>13.696706000000001</v>
      </c>
      <c r="AC26" s="344">
        <v>13.152473000000001</v>
      </c>
      <c r="AD26" s="344">
        <v>12.694981</v>
      </c>
      <c r="AE26" s="344">
        <v>12.915241</v>
      </c>
      <c r="AF26" s="344">
        <v>13.096674999999999</v>
      </c>
      <c r="AG26" s="344">
        <v>12.291886</v>
      </c>
      <c r="AH26" s="344">
        <v>14.245537000000001</v>
      </c>
      <c r="AI26" s="344">
        <v>15.350094</v>
      </c>
      <c r="AJ26" s="344">
        <v>15.960623999999999</v>
      </c>
      <c r="AK26" s="344">
        <v>15.070176</v>
      </c>
      <c r="AL26" s="344">
        <v>16.361391999999999</v>
      </c>
      <c r="AM26" s="344">
        <v>15.278661</v>
      </c>
      <c r="AN26" s="344">
        <v>18.351533</v>
      </c>
      <c r="AO26" s="344">
        <v>19.40804</v>
      </c>
      <c r="AP26" s="344">
        <v>18.231943000000001</v>
      </c>
      <c r="AQ26" s="344">
        <v>18.297999000000001</v>
      </c>
      <c r="AR26" s="344">
        <v>19.852253999999999</v>
      </c>
      <c r="AS26" s="344">
        <v>18.65202</v>
      </c>
      <c r="AT26" s="344">
        <v>15.917406</v>
      </c>
      <c r="AU26" s="344">
        <v>14.433206</v>
      </c>
      <c r="AV26" s="344">
        <v>13.847243000000001</v>
      </c>
      <c r="AW26" s="344">
        <v>15.106559000000001</v>
      </c>
    </row>
    <row r="27" spans="1:49">
      <c r="A27" s="330" t="s">
        <v>571</v>
      </c>
      <c r="B27" s="326"/>
      <c r="C27" s="326"/>
      <c r="D27" s="326"/>
      <c r="E27" s="326"/>
      <c r="F27" s="326"/>
      <c r="G27" s="326"/>
      <c r="H27" s="326"/>
      <c r="I27" s="326"/>
      <c r="J27" s="326"/>
      <c r="K27" s="326"/>
      <c r="L27" s="326"/>
      <c r="M27" s="326"/>
      <c r="N27" s="326"/>
      <c r="O27" s="326"/>
      <c r="P27" s="326"/>
      <c r="Q27" s="326"/>
      <c r="R27" s="326"/>
      <c r="S27" s="326"/>
      <c r="T27" s="326"/>
      <c r="U27" s="326"/>
      <c r="V27" s="326"/>
      <c r="W27" s="326"/>
      <c r="X27" s="326"/>
      <c r="Y27" s="333"/>
      <c r="Z27" s="346" t="s">
        <v>572</v>
      </c>
      <c r="AA27" s="344">
        <v>8.5556160000000006</v>
      </c>
      <c r="AB27" s="344">
        <v>7.7479509999999996</v>
      </c>
      <c r="AC27" s="344">
        <v>8.7904070000000001</v>
      </c>
      <c r="AD27" s="344">
        <v>8.7758350000000007</v>
      </c>
      <c r="AE27" s="344">
        <v>8.6168800000000001</v>
      </c>
      <c r="AF27" s="344">
        <v>10.458575</v>
      </c>
      <c r="AG27" s="344">
        <v>9.6553120000000003</v>
      </c>
      <c r="AH27" s="344">
        <v>10.104253</v>
      </c>
      <c r="AI27" s="344">
        <v>9.5425400000000007</v>
      </c>
      <c r="AJ27" s="344">
        <v>10.232784000000001</v>
      </c>
      <c r="AK27" s="344">
        <v>10.205185999999999</v>
      </c>
      <c r="AL27" s="344">
        <v>9.2253240000000005</v>
      </c>
      <c r="AM27" s="344">
        <v>8.1046689999999995</v>
      </c>
      <c r="AN27" s="344">
        <v>9.3570840000000004</v>
      </c>
      <c r="AO27" s="344">
        <v>9.1070489999999999</v>
      </c>
      <c r="AP27" s="344">
        <v>8.6622470000000007</v>
      </c>
      <c r="AQ27" s="344">
        <v>7.4571040000000002</v>
      </c>
      <c r="AR27" s="344">
        <v>7.3582910000000004</v>
      </c>
      <c r="AS27" s="344">
        <v>7.4333559999999999</v>
      </c>
      <c r="AT27" s="344">
        <v>6.5369890000000002</v>
      </c>
      <c r="AU27" s="344">
        <v>5.8607779999999998</v>
      </c>
      <c r="AV27" s="344">
        <v>5.8268800000000001</v>
      </c>
      <c r="AW27" s="344">
        <v>6.6111880000000003</v>
      </c>
    </row>
    <row r="28" spans="1:49">
      <c r="A28" s="320" t="s">
        <v>555</v>
      </c>
      <c r="B28" s="326">
        <v>175.94</v>
      </c>
      <c r="C28" s="326">
        <v>147.08099999999999</v>
      </c>
      <c r="D28" s="326">
        <v>115.075</v>
      </c>
      <c r="E28" s="326">
        <v>91.933000000000007</v>
      </c>
      <c r="F28" s="326">
        <v>69.040000000000006</v>
      </c>
      <c r="G28" s="326">
        <v>47.238</v>
      </c>
      <c r="H28" s="326">
        <v>31.797999999999998</v>
      </c>
      <c r="I28" s="326">
        <v>19.146999999999998</v>
      </c>
      <c r="J28" s="326">
        <v>11.75</v>
      </c>
      <c r="K28" s="326">
        <v>6.367</v>
      </c>
      <c r="L28" s="326">
        <v>0</v>
      </c>
      <c r="M28" s="326">
        <v>0</v>
      </c>
      <c r="N28" s="326">
        <v>0</v>
      </c>
      <c r="O28" s="326">
        <v>0</v>
      </c>
      <c r="P28" s="326">
        <v>0</v>
      </c>
      <c r="Q28" s="326">
        <v>0</v>
      </c>
      <c r="R28" s="326">
        <v>0</v>
      </c>
      <c r="S28" s="326">
        <v>0</v>
      </c>
      <c r="T28" s="326">
        <v>0</v>
      </c>
      <c r="U28" s="326">
        <v>0</v>
      </c>
      <c r="V28" s="326">
        <v>0</v>
      </c>
      <c r="W28" s="326">
        <v>0</v>
      </c>
      <c r="X28" s="326">
        <v>0</v>
      </c>
      <c r="Y28" s="333"/>
      <c r="Z28" s="346" t="s">
        <v>573</v>
      </c>
      <c r="AA28" s="344">
        <v>1.6702699999999999</v>
      </c>
      <c r="AB28" s="344">
        <v>1.575237</v>
      </c>
      <c r="AC28" s="344">
        <v>1.6941550000000001</v>
      </c>
      <c r="AD28" s="344">
        <v>1.9499789999999999</v>
      </c>
      <c r="AE28" s="344">
        <v>1.9212629999999999</v>
      </c>
      <c r="AF28" s="344">
        <v>1.972828</v>
      </c>
      <c r="AG28" s="344">
        <v>1.815599</v>
      </c>
      <c r="AH28" s="344">
        <v>2.1269550000000002</v>
      </c>
      <c r="AI28" s="344">
        <v>2.2533799999999999</v>
      </c>
      <c r="AJ28" s="344">
        <v>2.1688079999999998</v>
      </c>
      <c r="AK28" s="344">
        <v>2.0741770000000002</v>
      </c>
      <c r="AL28" s="344">
        <v>2.3606769999999999</v>
      </c>
      <c r="AM28" s="344">
        <v>2.1089340000000001</v>
      </c>
      <c r="AN28" s="344">
        <v>2.5473370000000002</v>
      </c>
      <c r="AO28" s="344">
        <v>2.7073390000000002</v>
      </c>
      <c r="AP28" s="344">
        <v>2.7398920000000002</v>
      </c>
      <c r="AQ28" s="344">
        <v>2.3672740000000001</v>
      </c>
      <c r="AR28" s="344">
        <v>2.4390049999999999</v>
      </c>
      <c r="AS28" s="344">
        <v>2.6139920000000001</v>
      </c>
      <c r="AT28" s="344">
        <v>2.7634110000000001</v>
      </c>
      <c r="AU28" s="344">
        <v>2.4995530000000001</v>
      </c>
      <c r="AV28" s="344">
        <v>2.41133</v>
      </c>
      <c r="AW28" s="344">
        <v>2.5625110000000002</v>
      </c>
    </row>
    <row r="29" spans="1:49">
      <c r="A29" s="320" t="s">
        <v>557</v>
      </c>
      <c r="B29" s="326">
        <v>207.92</v>
      </c>
      <c r="C29" s="326">
        <v>225.12200000000001</v>
      </c>
      <c r="D29" s="326">
        <v>228.179</v>
      </c>
      <c r="E29" s="326">
        <v>234.095</v>
      </c>
      <c r="F29" s="326">
        <v>244.7</v>
      </c>
      <c r="G29" s="326">
        <v>249.87899999999999</v>
      </c>
      <c r="H29" s="326">
        <v>249.351</v>
      </c>
      <c r="I29" s="326">
        <v>248.58500000000001</v>
      </c>
      <c r="J29" s="326">
        <v>247.774</v>
      </c>
      <c r="K29" s="326">
        <v>246.64099999999999</v>
      </c>
      <c r="L29" s="326">
        <v>244.40600000000001</v>
      </c>
      <c r="M29" s="326">
        <v>241.059</v>
      </c>
      <c r="N29" s="326">
        <v>236.43700000000001</v>
      </c>
      <c r="O29" s="326">
        <v>230.22399999999999</v>
      </c>
      <c r="P29" s="326">
        <v>222.05699999999999</v>
      </c>
      <c r="Q29" s="326">
        <v>211.85400000000001</v>
      </c>
      <c r="R29" s="326">
        <v>199.61199999999999</v>
      </c>
      <c r="S29" s="326">
        <v>184.87799999999999</v>
      </c>
      <c r="T29" s="326">
        <v>168.86099999999999</v>
      </c>
      <c r="U29" s="326">
        <v>151.74700000000001</v>
      </c>
      <c r="V29" s="326">
        <v>134.09800000000001</v>
      </c>
      <c r="W29" s="326">
        <v>116.04600000000001</v>
      </c>
      <c r="X29" s="326">
        <v>101.863</v>
      </c>
      <c r="Y29" s="333"/>
      <c r="Z29" s="346" t="s">
        <v>574</v>
      </c>
      <c r="AA29" s="344">
        <v>0.90245399999999998</v>
      </c>
      <c r="AB29" s="344">
        <v>0.86356500000000003</v>
      </c>
      <c r="AC29" s="344">
        <v>1.029917</v>
      </c>
      <c r="AD29" s="344">
        <v>1.0757559999999999</v>
      </c>
      <c r="AE29" s="344">
        <v>1.069655</v>
      </c>
      <c r="AF29" s="344">
        <v>1.3175110000000001</v>
      </c>
      <c r="AG29" s="344">
        <v>1.223984</v>
      </c>
      <c r="AH29" s="344">
        <v>1.2688360000000001</v>
      </c>
      <c r="AI29" s="344">
        <v>1.184537</v>
      </c>
      <c r="AJ29" s="344">
        <v>1.2894030000000001</v>
      </c>
      <c r="AK29" s="344">
        <v>1.3076749999999999</v>
      </c>
      <c r="AL29" s="344">
        <v>1.140166</v>
      </c>
      <c r="AM29" s="344">
        <v>0.997498</v>
      </c>
      <c r="AN29" s="344">
        <v>1.143235</v>
      </c>
      <c r="AO29" s="344">
        <v>1.0988739999999999</v>
      </c>
      <c r="AP29" s="344">
        <v>1.0527869999999999</v>
      </c>
      <c r="AQ29" s="344">
        <v>0.84360800000000002</v>
      </c>
      <c r="AR29" s="344">
        <v>0.79962999999999995</v>
      </c>
      <c r="AS29" s="344">
        <v>0.83947899999999998</v>
      </c>
      <c r="AT29" s="344">
        <v>0.78841300000000003</v>
      </c>
      <c r="AU29" s="344">
        <v>0.70825199999999999</v>
      </c>
      <c r="AV29" s="344">
        <v>0.71823800000000004</v>
      </c>
      <c r="AW29" s="344">
        <v>0.81512799999999996</v>
      </c>
    </row>
    <row r="30" spans="1:49">
      <c r="A30" s="320" t="s">
        <v>559</v>
      </c>
      <c r="B30" s="326">
        <v>0</v>
      </c>
      <c r="C30" s="326">
        <v>0</v>
      </c>
      <c r="D30" s="326">
        <v>0</v>
      </c>
      <c r="E30" s="326">
        <v>0</v>
      </c>
      <c r="F30" s="326">
        <v>0</v>
      </c>
      <c r="G30" s="326">
        <v>0</v>
      </c>
      <c r="H30" s="326">
        <v>0</v>
      </c>
      <c r="I30" s="326">
        <v>0</v>
      </c>
      <c r="J30" s="326">
        <v>0</v>
      </c>
      <c r="K30" s="326">
        <v>0</v>
      </c>
      <c r="L30" s="326">
        <v>0</v>
      </c>
      <c r="M30" s="326">
        <v>0</v>
      </c>
      <c r="N30" s="326">
        <v>0</v>
      </c>
      <c r="O30" s="326">
        <v>0</v>
      </c>
      <c r="P30" s="326">
        <v>0</v>
      </c>
      <c r="Q30" s="326">
        <v>0</v>
      </c>
      <c r="R30" s="326">
        <v>0</v>
      </c>
      <c r="S30" s="326">
        <v>0</v>
      </c>
      <c r="T30" s="326">
        <v>0</v>
      </c>
      <c r="U30" s="326">
        <v>0</v>
      </c>
      <c r="V30" s="326">
        <v>0</v>
      </c>
      <c r="W30" s="326">
        <v>0</v>
      </c>
      <c r="X30" s="326">
        <v>0</v>
      </c>
      <c r="Y30" s="333"/>
      <c r="Z30" s="347"/>
      <c r="AA30" s="344"/>
      <c r="AB30" s="344"/>
      <c r="AC30" s="344"/>
      <c r="AD30" s="344"/>
      <c r="AE30" s="344"/>
      <c r="AF30" s="344"/>
      <c r="AG30" s="344"/>
      <c r="AH30" s="344"/>
      <c r="AI30" s="344"/>
      <c r="AJ30" s="344"/>
      <c r="AK30" s="344"/>
      <c r="AL30" s="344"/>
      <c r="AM30" s="344"/>
      <c r="AN30" s="344"/>
      <c r="AO30" s="344"/>
      <c r="AP30" s="344"/>
      <c r="AQ30" s="344"/>
      <c r="AR30" s="344"/>
      <c r="AS30" s="344"/>
      <c r="AT30" s="344"/>
      <c r="AU30" s="344"/>
      <c r="AV30" s="344"/>
      <c r="AW30" s="344"/>
    </row>
    <row r="31" spans="1:49">
      <c r="A31" s="320" t="s">
        <v>561</v>
      </c>
      <c r="B31" s="326">
        <v>1423.404</v>
      </c>
      <c r="C31" s="326">
        <v>1347.3989999999999</v>
      </c>
      <c r="D31" s="326">
        <v>1264.72</v>
      </c>
      <c r="E31" s="326">
        <v>1173.181</v>
      </c>
      <c r="F31" s="326">
        <v>1073.037</v>
      </c>
      <c r="G31" s="326">
        <v>969.23299999999995</v>
      </c>
      <c r="H31" s="326">
        <v>859.71699999999998</v>
      </c>
      <c r="I31" s="326">
        <v>750.05399999999997</v>
      </c>
      <c r="J31" s="326">
        <v>646</v>
      </c>
      <c r="K31" s="326">
        <v>542.274</v>
      </c>
      <c r="L31" s="326">
        <v>447.07600000000002</v>
      </c>
      <c r="M31" s="326">
        <v>357.78500000000003</v>
      </c>
      <c r="N31" s="326">
        <v>273.17899999999997</v>
      </c>
      <c r="O31" s="326">
        <v>198.11799999999999</v>
      </c>
      <c r="P31" s="326">
        <v>131.001</v>
      </c>
      <c r="Q31" s="326">
        <v>74.667000000000002</v>
      </c>
      <c r="R31" s="326">
        <v>29.882999999999999</v>
      </c>
      <c r="S31" s="326">
        <v>14.983000000000001</v>
      </c>
      <c r="T31" s="326">
        <v>5.3929999999999998</v>
      </c>
      <c r="U31" s="326">
        <v>0.28699999999999998</v>
      </c>
      <c r="V31" s="326">
        <v>0</v>
      </c>
      <c r="W31" s="326">
        <v>0</v>
      </c>
      <c r="X31" s="326">
        <v>0</v>
      </c>
      <c r="Y31" s="333"/>
      <c r="Z31" s="343" t="s">
        <v>563</v>
      </c>
      <c r="AA31" s="344"/>
      <c r="AB31" s="344"/>
      <c r="AC31" s="344"/>
      <c r="AD31" s="344"/>
      <c r="AE31" s="344"/>
      <c r="AF31" s="344"/>
      <c r="AG31" s="344"/>
      <c r="AH31" s="344"/>
      <c r="AI31" s="344"/>
      <c r="AJ31" s="344"/>
      <c r="AK31" s="344"/>
      <c r="AL31" s="344"/>
      <c r="AM31" s="344"/>
      <c r="AN31" s="344"/>
      <c r="AO31" s="344"/>
      <c r="AP31" s="344"/>
      <c r="AQ31" s="344"/>
      <c r="AR31" s="344"/>
      <c r="AS31" s="344"/>
      <c r="AT31" s="344"/>
      <c r="AU31" s="344"/>
      <c r="AV31" s="344"/>
      <c r="AW31" s="344"/>
    </row>
    <row r="32" spans="1:49">
      <c r="A32" s="320" t="s">
        <v>562</v>
      </c>
      <c r="B32" s="326">
        <v>863.05100000000004</v>
      </c>
      <c r="C32" s="326">
        <v>924.99300000000005</v>
      </c>
      <c r="D32" s="326">
        <v>992.39</v>
      </c>
      <c r="E32" s="326">
        <v>1050.068</v>
      </c>
      <c r="F32" s="326">
        <v>1105.2270000000001</v>
      </c>
      <c r="G32" s="326">
        <v>1152.67</v>
      </c>
      <c r="H32" s="326">
        <v>1191.383</v>
      </c>
      <c r="I32" s="326">
        <v>1223.8150000000001</v>
      </c>
      <c r="J32" s="326">
        <v>1239.691</v>
      </c>
      <c r="K32" s="326">
        <v>1245.8409999999999</v>
      </c>
      <c r="L32" s="326">
        <v>1235.1579999999999</v>
      </c>
      <c r="M32" s="326">
        <v>1219.5640000000001</v>
      </c>
      <c r="N32" s="326">
        <v>1198.4849999999999</v>
      </c>
      <c r="O32" s="326">
        <v>1167.077</v>
      </c>
      <c r="P32" s="326">
        <v>1126.3409999999999</v>
      </c>
      <c r="Q32" s="326">
        <v>1075.7</v>
      </c>
      <c r="R32" s="326">
        <v>1015.235</v>
      </c>
      <c r="S32" s="326">
        <v>943.75699999999995</v>
      </c>
      <c r="T32" s="326">
        <v>869.28599999999994</v>
      </c>
      <c r="U32" s="326">
        <v>795.85299999999995</v>
      </c>
      <c r="V32" s="326">
        <v>725.524</v>
      </c>
      <c r="W32" s="326">
        <v>658.43700000000001</v>
      </c>
      <c r="X32" s="326">
        <v>593.78300000000002</v>
      </c>
      <c r="Y32" s="333"/>
      <c r="Z32" s="345" t="s">
        <v>555</v>
      </c>
      <c r="AA32" s="344">
        <v>3.7130559999999999</v>
      </c>
      <c r="AB32" s="344">
        <v>3.0695960000000002</v>
      </c>
      <c r="AC32" s="344">
        <v>2.60284</v>
      </c>
      <c r="AD32" s="344">
        <v>1.8051489999999999</v>
      </c>
      <c r="AE32" s="344">
        <v>1.240119</v>
      </c>
      <c r="AF32" s="344">
        <v>0.86766200000000004</v>
      </c>
      <c r="AG32" s="344">
        <v>0.53520100000000004</v>
      </c>
      <c r="AH32" s="344">
        <v>0.29089799999999999</v>
      </c>
      <c r="AI32" s="344">
        <v>0.15853900000000001</v>
      </c>
      <c r="AJ32" s="344">
        <v>0.100884</v>
      </c>
      <c r="AK32" s="344">
        <v>0</v>
      </c>
      <c r="AL32" s="344">
        <v>0</v>
      </c>
      <c r="AM32" s="344">
        <v>0</v>
      </c>
      <c r="AN32" s="344">
        <v>0</v>
      </c>
      <c r="AO32" s="344">
        <v>0</v>
      </c>
      <c r="AP32" s="344">
        <v>0</v>
      </c>
      <c r="AQ32" s="344">
        <v>0</v>
      </c>
      <c r="AR32" s="344">
        <v>0</v>
      </c>
      <c r="AS32" s="344">
        <v>0</v>
      </c>
      <c r="AT32" s="344">
        <v>0</v>
      </c>
      <c r="AU32" s="344">
        <v>0</v>
      </c>
      <c r="AV32" s="344">
        <v>0</v>
      </c>
      <c r="AW32" s="344">
        <v>0</v>
      </c>
    </row>
    <row r="33" spans="1:49">
      <c r="A33" s="320" t="s">
        <v>564</v>
      </c>
      <c r="B33" s="326">
        <v>690.13699999999994</v>
      </c>
      <c r="C33" s="326">
        <v>774.53899999999999</v>
      </c>
      <c r="D33" s="326">
        <v>880.63300000000004</v>
      </c>
      <c r="E33" s="326">
        <v>985.97299999999996</v>
      </c>
      <c r="F33" s="326">
        <v>1105.7660000000001</v>
      </c>
      <c r="G33" s="326">
        <v>1227.7</v>
      </c>
      <c r="H33" s="326">
        <v>1358.7080000000001</v>
      </c>
      <c r="I33" s="326">
        <v>1476.63</v>
      </c>
      <c r="J33" s="326">
        <v>1599.3119999999999</v>
      </c>
      <c r="K33" s="326">
        <v>1713.691</v>
      </c>
      <c r="L33" s="326">
        <v>1838.8109999999999</v>
      </c>
      <c r="M33" s="326">
        <v>1957.8440000000001</v>
      </c>
      <c r="N33" s="326">
        <v>2073.7379999999998</v>
      </c>
      <c r="O33" s="326">
        <v>2194.7289999999998</v>
      </c>
      <c r="P33" s="326">
        <v>2313.4540000000002</v>
      </c>
      <c r="Q33" s="326">
        <v>2444.8739999999998</v>
      </c>
      <c r="R33" s="326">
        <v>2567.5050000000001</v>
      </c>
      <c r="S33" s="326">
        <v>2681.4589999999998</v>
      </c>
      <c r="T33" s="326">
        <v>2798.107</v>
      </c>
      <c r="U33" s="326">
        <v>2911.1930000000002</v>
      </c>
      <c r="V33" s="326">
        <v>3042.723</v>
      </c>
      <c r="W33" s="326">
        <v>3174.096</v>
      </c>
      <c r="X33" s="326">
        <v>3294.18</v>
      </c>
      <c r="Y33" s="333"/>
      <c r="Z33" s="345" t="s">
        <v>557</v>
      </c>
      <c r="AA33" s="344">
        <v>3.6857289999999998</v>
      </c>
      <c r="AB33" s="344">
        <v>4.0226860000000002</v>
      </c>
      <c r="AC33" s="344">
        <v>4.5712460000000004</v>
      </c>
      <c r="AD33" s="344">
        <v>4.2480630000000001</v>
      </c>
      <c r="AE33" s="344">
        <v>4.4070960000000001</v>
      </c>
      <c r="AF33" s="344">
        <v>5.4817020000000003</v>
      </c>
      <c r="AG33" s="344">
        <v>5.4730650000000001</v>
      </c>
      <c r="AH33" s="344">
        <v>4.8409649999999997</v>
      </c>
      <c r="AI33" s="344">
        <v>4.2001090000000003</v>
      </c>
      <c r="AJ33" s="344">
        <v>4.693765</v>
      </c>
      <c r="AK33" s="344">
        <v>4.9512960000000001</v>
      </c>
      <c r="AL33" s="344">
        <v>3.7574890000000001</v>
      </c>
      <c r="AM33" s="344">
        <v>3.5337320000000001</v>
      </c>
      <c r="AN33" s="344">
        <v>3.3222309999999999</v>
      </c>
      <c r="AO33" s="344">
        <v>2.8730479999999998</v>
      </c>
      <c r="AP33" s="344">
        <v>2.6405409999999998</v>
      </c>
      <c r="AQ33" s="344">
        <v>2.2204389999999998</v>
      </c>
      <c r="AR33" s="344">
        <v>1.8345990000000001</v>
      </c>
      <c r="AS33" s="344">
        <v>1.711198</v>
      </c>
      <c r="AT33" s="344">
        <v>1.345205</v>
      </c>
      <c r="AU33" s="344">
        <v>1.159314</v>
      </c>
      <c r="AV33" s="344">
        <v>1.0442769999999999</v>
      </c>
      <c r="AW33" s="344">
        <v>0.99061600000000005</v>
      </c>
    </row>
    <row r="34" spans="1:49">
      <c r="A34" s="320" t="s">
        <v>565</v>
      </c>
      <c r="B34" s="326">
        <v>729.67200000000003</v>
      </c>
      <c r="C34" s="326">
        <v>733.76</v>
      </c>
      <c r="D34" s="326">
        <v>744.005</v>
      </c>
      <c r="E34" s="326">
        <v>754.02700000000004</v>
      </c>
      <c r="F34" s="326">
        <v>765.94299999999998</v>
      </c>
      <c r="G34" s="326">
        <v>784.21199999999999</v>
      </c>
      <c r="H34" s="326">
        <v>804.62</v>
      </c>
      <c r="I34" s="326">
        <v>827.12900000000002</v>
      </c>
      <c r="J34" s="326">
        <v>857.15300000000002</v>
      </c>
      <c r="K34" s="326">
        <v>888.80600000000004</v>
      </c>
      <c r="L34" s="326">
        <v>923.78099999999995</v>
      </c>
      <c r="M34" s="326">
        <v>960.03899999999999</v>
      </c>
      <c r="N34" s="326">
        <v>993.99400000000003</v>
      </c>
      <c r="O34" s="326">
        <v>1031.277</v>
      </c>
      <c r="P34" s="326">
        <v>1065.4880000000001</v>
      </c>
      <c r="Q34" s="326">
        <v>1104.6279999999999</v>
      </c>
      <c r="R34" s="326">
        <v>1140.5740000000001</v>
      </c>
      <c r="S34" s="326">
        <v>1172.412</v>
      </c>
      <c r="T34" s="326">
        <v>1208.932</v>
      </c>
      <c r="U34" s="326">
        <v>1248.643</v>
      </c>
      <c r="V34" s="326">
        <v>1279.558</v>
      </c>
      <c r="W34" s="326">
        <v>1313.05</v>
      </c>
      <c r="X34" s="326">
        <v>1344.5889999999999</v>
      </c>
      <c r="Y34" s="333"/>
      <c r="Z34" s="345" t="s">
        <v>559</v>
      </c>
      <c r="AA34" s="344">
        <v>0</v>
      </c>
      <c r="AB34" s="344">
        <v>0</v>
      </c>
      <c r="AC34" s="344">
        <v>0</v>
      </c>
      <c r="AD34" s="344">
        <v>0</v>
      </c>
      <c r="AE34" s="344">
        <v>0</v>
      </c>
      <c r="AF34" s="344">
        <v>0</v>
      </c>
      <c r="AG34" s="344">
        <v>0</v>
      </c>
      <c r="AH34" s="344">
        <v>0</v>
      </c>
      <c r="AI34" s="344">
        <v>0</v>
      </c>
      <c r="AJ34" s="344">
        <v>0</v>
      </c>
      <c r="AK34" s="344">
        <v>0</v>
      </c>
      <c r="AL34" s="344">
        <v>0</v>
      </c>
      <c r="AM34" s="344">
        <v>0</v>
      </c>
      <c r="AN34" s="344">
        <v>0</v>
      </c>
      <c r="AO34" s="344">
        <v>0</v>
      </c>
      <c r="AP34" s="344">
        <v>0</v>
      </c>
      <c r="AQ34" s="344">
        <v>0</v>
      </c>
      <c r="AR34" s="344">
        <v>0</v>
      </c>
      <c r="AS34" s="344">
        <v>0</v>
      </c>
      <c r="AT34" s="344">
        <v>0</v>
      </c>
      <c r="AU34" s="344">
        <v>0</v>
      </c>
      <c r="AV34" s="344">
        <v>0</v>
      </c>
      <c r="AW34" s="344">
        <v>0</v>
      </c>
    </row>
    <row r="35" spans="1:49">
      <c r="A35" s="583" t="s">
        <v>566</v>
      </c>
      <c r="B35" s="584">
        <v>53.073</v>
      </c>
      <c r="C35" s="584">
        <v>53.738</v>
      </c>
      <c r="D35" s="584">
        <v>53.576000000000001</v>
      </c>
      <c r="E35" s="584">
        <v>54.103999999999999</v>
      </c>
      <c r="F35" s="584">
        <v>56.101999999999997</v>
      </c>
      <c r="G35" s="584">
        <v>56.514000000000003</v>
      </c>
      <c r="H35" s="584">
        <v>57.764000000000003</v>
      </c>
      <c r="I35" s="584">
        <v>58.988</v>
      </c>
      <c r="J35" s="584">
        <v>58.1</v>
      </c>
      <c r="K35" s="584">
        <v>58.963999999999999</v>
      </c>
      <c r="L35" s="584">
        <v>61.265999999999998</v>
      </c>
      <c r="M35" s="584">
        <v>60.389000000000003</v>
      </c>
      <c r="N35" s="584">
        <v>64.305000000000007</v>
      </c>
      <c r="O35" s="584">
        <v>61.564</v>
      </c>
      <c r="P35" s="584">
        <v>64.757999999999996</v>
      </c>
      <c r="Q35" s="584">
        <v>66.009</v>
      </c>
      <c r="R35" s="584">
        <v>70.278999999999996</v>
      </c>
      <c r="S35" s="584">
        <v>77.867000000000004</v>
      </c>
      <c r="T35" s="584">
        <v>84.881</v>
      </c>
      <c r="U35" s="584">
        <v>91.909000000000006</v>
      </c>
      <c r="V35" s="584">
        <v>101.407</v>
      </c>
      <c r="W35" s="584">
        <v>111.261</v>
      </c>
      <c r="X35" s="584">
        <v>121.319</v>
      </c>
      <c r="Y35" s="333"/>
      <c r="Z35" s="345" t="s">
        <v>561</v>
      </c>
      <c r="AA35" s="344">
        <v>39.151355000000002</v>
      </c>
      <c r="AB35" s="344">
        <v>37.080382999999998</v>
      </c>
      <c r="AC35" s="344">
        <v>34.527614</v>
      </c>
      <c r="AD35" s="344">
        <v>32.381610999999999</v>
      </c>
      <c r="AE35" s="344">
        <v>29.015515000000001</v>
      </c>
      <c r="AF35" s="344">
        <v>25.819285000000001</v>
      </c>
      <c r="AG35" s="344">
        <v>22.604884999999999</v>
      </c>
      <c r="AH35" s="344">
        <v>20.029900999999999</v>
      </c>
      <c r="AI35" s="344">
        <v>17.290105000000001</v>
      </c>
      <c r="AJ35" s="344">
        <v>14.074344</v>
      </c>
      <c r="AK35" s="344">
        <v>11.458345</v>
      </c>
      <c r="AL35" s="344">
        <v>9.4890899999999991</v>
      </c>
      <c r="AM35" s="344">
        <v>7.0297349999999996</v>
      </c>
      <c r="AN35" s="344">
        <v>5.1347820000000004</v>
      </c>
      <c r="AO35" s="344">
        <v>3.2984900000000001</v>
      </c>
      <c r="AP35" s="344">
        <v>1.7408189999999999</v>
      </c>
      <c r="AQ35" s="344">
        <v>0.46214300000000003</v>
      </c>
      <c r="AR35" s="344">
        <v>0.21809600000000001</v>
      </c>
      <c r="AS35" s="344">
        <v>7.0315000000000003E-2</v>
      </c>
      <c r="AT35" s="344">
        <v>4.5030000000000001E-3</v>
      </c>
      <c r="AU35" s="344">
        <v>0</v>
      </c>
      <c r="AV35" s="344">
        <v>0</v>
      </c>
      <c r="AW35" s="344">
        <v>0</v>
      </c>
    </row>
    <row r="36" spans="1:49" ht="15.5">
      <c r="A36" s="320" t="s">
        <v>567</v>
      </c>
      <c r="B36" s="326">
        <v>56.47</v>
      </c>
      <c r="C36" s="326">
        <v>56.269000000000005</v>
      </c>
      <c r="D36" s="326">
        <v>56.472999999999999</v>
      </c>
      <c r="E36" s="326">
        <v>56.675999999999995</v>
      </c>
      <c r="F36" s="326">
        <v>57.617000000000004</v>
      </c>
      <c r="G36" s="326">
        <v>59.746000000000002</v>
      </c>
      <c r="H36" s="326">
        <v>62.954000000000001</v>
      </c>
      <c r="I36" s="326">
        <v>67.352000000000004</v>
      </c>
      <c r="J36" s="326">
        <v>73.453999999999994</v>
      </c>
      <c r="K36" s="326">
        <v>81.116</v>
      </c>
      <c r="L36" s="326">
        <v>90.603999999999999</v>
      </c>
      <c r="M36" s="326">
        <v>100.706</v>
      </c>
      <c r="N36" s="326">
        <v>111.42400000000001</v>
      </c>
      <c r="O36" s="326">
        <v>122.84699999999999</v>
      </c>
      <c r="P36" s="326">
        <v>134.792</v>
      </c>
      <c r="Q36" s="326">
        <v>147.90899999999999</v>
      </c>
      <c r="R36" s="326">
        <v>161.495</v>
      </c>
      <c r="S36" s="326">
        <v>175.321</v>
      </c>
      <c r="T36" s="326">
        <v>190.905</v>
      </c>
      <c r="U36" s="326">
        <v>208.23</v>
      </c>
      <c r="V36" s="326">
        <v>218.839</v>
      </c>
      <c r="W36" s="326">
        <v>230.386</v>
      </c>
      <c r="X36" s="326">
        <v>242.20100000000002</v>
      </c>
      <c r="Y36" s="333"/>
      <c r="Z36" s="345" t="s">
        <v>562</v>
      </c>
      <c r="AA36" s="344">
        <v>18.785755999999999</v>
      </c>
      <c r="AB36" s="344">
        <v>19.921793999999998</v>
      </c>
      <c r="AC36" s="344">
        <v>21.20411</v>
      </c>
      <c r="AD36" s="344">
        <v>22.695014</v>
      </c>
      <c r="AE36" s="344">
        <v>23.431006</v>
      </c>
      <c r="AF36" s="344">
        <v>24.073561999999999</v>
      </c>
      <c r="AG36" s="344">
        <v>24.592219</v>
      </c>
      <c r="AH36" s="344">
        <v>25.706792</v>
      </c>
      <c r="AI36" s="344">
        <v>26.172160000000002</v>
      </c>
      <c r="AJ36" s="344">
        <v>25.642291</v>
      </c>
      <c r="AK36" s="344">
        <v>25.281922999999999</v>
      </c>
      <c r="AL36" s="344">
        <v>26.012557999999999</v>
      </c>
      <c r="AM36" s="344">
        <v>25.160298999999998</v>
      </c>
      <c r="AN36" s="344">
        <v>25.111626000000001</v>
      </c>
      <c r="AO36" s="344">
        <v>24.493531999999998</v>
      </c>
      <c r="AP36" s="344">
        <v>23.891344</v>
      </c>
      <c r="AQ36" s="344">
        <v>22.076414</v>
      </c>
      <c r="AR36" s="344">
        <v>20.333431999999998</v>
      </c>
      <c r="AS36" s="344">
        <v>19.330176999999999</v>
      </c>
      <c r="AT36" s="344">
        <v>17.891933000000002</v>
      </c>
      <c r="AU36" s="344">
        <v>16.046589999999998</v>
      </c>
      <c r="AV36" s="344">
        <v>14.253061000000001</v>
      </c>
      <c r="AW36" s="344">
        <v>12.728255000000001</v>
      </c>
    </row>
    <row r="37" spans="1:49">
      <c r="A37" s="320" t="s">
        <v>568</v>
      </c>
      <c r="B37" s="326">
        <v>42.101999999999997</v>
      </c>
      <c r="C37" s="326">
        <v>40.96</v>
      </c>
      <c r="D37" s="326">
        <v>42.707000000000001</v>
      </c>
      <c r="E37" s="326">
        <v>46.47</v>
      </c>
      <c r="F37" s="326">
        <v>46.838999999999999</v>
      </c>
      <c r="G37" s="326">
        <v>50.548000000000002</v>
      </c>
      <c r="H37" s="326">
        <v>49.512999999999998</v>
      </c>
      <c r="I37" s="326">
        <v>52.805</v>
      </c>
      <c r="J37" s="326">
        <v>52.551000000000002</v>
      </c>
      <c r="K37" s="326">
        <v>51.232999999999997</v>
      </c>
      <c r="L37" s="326">
        <v>49.311</v>
      </c>
      <c r="M37" s="326">
        <v>47.241999999999997</v>
      </c>
      <c r="N37" s="326">
        <v>44.866999999999997</v>
      </c>
      <c r="O37" s="326">
        <v>42.381</v>
      </c>
      <c r="P37" s="326">
        <v>39.732999999999997</v>
      </c>
      <c r="Q37" s="326">
        <v>37.277999999999999</v>
      </c>
      <c r="R37" s="326">
        <v>34.463999999999999</v>
      </c>
      <c r="S37" s="326">
        <v>31.565999999999999</v>
      </c>
      <c r="T37" s="326">
        <v>28.949000000000002</v>
      </c>
      <c r="U37" s="326">
        <v>26.364999999999998</v>
      </c>
      <c r="V37" s="326">
        <v>25.356999999999999</v>
      </c>
      <c r="W37" s="326">
        <v>24.475000000000001</v>
      </c>
      <c r="X37" s="326">
        <v>23.53</v>
      </c>
      <c r="Y37" s="333"/>
      <c r="Z37" s="345" t="s">
        <v>564</v>
      </c>
      <c r="AA37" s="344">
        <v>13.306120999999999</v>
      </c>
      <c r="AB37" s="344">
        <v>14.962678</v>
      </c>
      <c r="AC37" s="344">
        <v>16.871960000000001</v>
      </c>
      <c r="AD37" s="344">
        <v>19.111353000000001</v>
      </c>
      <c r="AE37" s="344">
        <v>21.024107999999998</v>
      </c>
      <c r="AF37" s="344">
        <v>22.968295999999999</v>
      </c>
      <c r="AG37" s="344">
        <v>25.112113000000001</v>
      </c>
      <c r="AH37" s="344">
        <v>27.768163999999999</v>
      </c>
      <c r="AI37" s="344">
        <v>30.209911000000002</v>
      </c>
      <c r="AJ37" s="344">
        <v>31.533541</v>
      </c>
      <c r="AK37" s="344">
        <v>33.591276999999998</v>
      </c>
      <c r="AL37" s="344">
        <v>37.172145999999998</v>
      </c>
      <c r="AM37" s="344">
        <v>38.704988999999998</v>
      </c>
      <c r="AN37" s="344">
        <v>41.885443000000002</v>
      </c>
      <c r="AO37" s="344">
        <v>44.526440999999998</v>
      </c>
      <c r="AP37" s="344">
        <v>47.788981</v>
      </c>
      <c r="AQ37" s="344">
        <v>48.975037</v>
      </c>
      <c r="AR37" s="344">
        <v>50.545413000000003</v>
      </c>
      <c r="AS37" s="344">
        <v>54.255074</v>
      </c>
      <c r="AT37" s="344">
        <v>57.028542999999999</v>
      </c>
      <c r="AU37" s="344">
        <v>58.575555999999999</v>
      </c>
      <c r="AV37" s="344">
        <v>59.697318000000003</v>
      </c>
      <c r="AW37" s="344">
        <v>61.287078000000001</v>
      </c>
    </row>
    <row r="38" spans="1:49">
      <c r="A38" s="330" t="s">
        <v>569</v>
      </c>
      <c r="B38" s="328"/>
      <c r="C38" s="328"/>
      <c r="D38" s="328"/>
      <c r="E38" s="328"/>
      <c r="F38" s="328"/>
      <c r="G38" s="328"/>
      <c r="H38" s="328"/>
      <c r="I38" s="328"/>
      <c r="J38" s="328"/>
      <c r="K38" s="328"/>
      <c r="L38" s="328"/>
      <c r="M38" s="328"/>
      <c r="N38" s="328"/>
      <c r="O38" s="328"/>
      <c r="P38" s="328"/>
      <c r="Q38" s="328"/>
      <c r="R38" s="328"/>
      <c r="S38" s="328"/>
      <c r="T38" s="328"/>
      <c r="U38" s="328"/>
      <c r="V38" s="328"/>
      <c r="W38" s="328"/>
      <c r="X38" s="328"/>
      <c r="Y38" s="333"/>
      <c r="Z38" s="345" t="s">
        <v>565</v>
      </c>
      <c r="AA38" s="344">
        <v>10.580769999999999</v>
      </c>
      <c r="AB38" s="344">
        <v>10.71631</v>
      </c>
      <c r="AC38" s="344">
        <v>10.311762999999999</v>
      </c>
      <c r="AD38" s="344">
        <v>10.560805</v>
      </c>
      <c r="AE38" s="344">
        <v>11.302452000000001</v>
      </c>
      <c r="AF38" s="344">
        <v>10.322725999999999</v>
      </c>
      <c r="AG38" s="344">
        <v>10.515928000000001</v>
      </c>
      <c r="AH38" s="344">
        <v>10.273019</v>
      </c>
      <c r="AI38" s="344">
        <v>10.751421000000001</v>
      </c>
      <c r="AJ38" s="344">
        <v>12.023749</v>
      </c>
      <c r="AK38" s="344">
        <v>12.297124999999999</v>
      </c>
      <c r="AL38" s="344">
        <v>11.545453999999999</v>
      </c>
      <c r="AM38" s="344">
        <v>12.396644</v>
      </c>
      <c r="AN38" s="344">
        <v>12.682850999999999</v>
      </c>
      <c r="AO38" s="344">
        <v>13.221652000000001</v>
      </c>
      <c r="AP38" s="344">
        <v>12.712999</v>
      </c>
      <c r="AQ38" s="344">
        <v>13.010258</v>
      </c>
      <c r="AR38" s="344">
        <v>13.460504999999999</v>
      </c>
      <c r="AS38" s="344">
        <v>12.588972999999999</v>
      </c>
      <c r="AT38" s="344">
        <v>13.004908</v>
      </c>
      <c r="AU38" s="344">
        <v>13.167097999999999</v>
      </c>
      <c r="AV38" s="344">
        <v>13.374949000000001</v>
      </c>
      <c r="AW38" s="344">
        <v>12.974776</v>
      </c>
    </row>
    <row r="39" spans="1:49">
      <c r="A39" s="327" t="s">
        <v>570</v>
      </c>
      <c r="B39" s="326">
        <v>100.306</v>
      </c>
      <c r="C39" s="326">
        <v>102.105</v>
      </c>
      <c r="D39" s="326">
        <v>104.047</v>
      </c>
      <c r="E39" s="326">
        <v>106.1</v>
      </c>
      <c r="F39" s="326">
        <v>107.977</v>
      </c>
      <c r="G39" s="326">
        <v>110.012</v>
      </c>
      <c r="H39" s="326">
        <v>111.28400000000001</v>
      </c>
      <c r="I39" s="326">
        <v>112.60299999999999</v>
      </c>
      <c r="J39" s="326">
        <v>114.004</v>
      </c>
      <c r="K39" s="326">
        <v>115.41</v>
      </c>
      <c r="L39" s="326">
        <v>116.538</v>
      </c>
      <c r="M39" s="326">
        <v>117.74</v>
      </c>
      <c r="N39" s="326">
        <v>118.979</v>
      </c>
      <c r="O39" s="326">
        <v>120.324</v>
      </c>
      <c r="P39" s="326">
        <v>121.709</v>
      </c>
      <c r="Q39" s="326">
        <v>123.172</v>
      </c>
      <c r="R39" s="326">
        <v>124.693</v>
      </c>
      <c r="S39" s="326">
        <v>125.462</v>
      </c>
      <c r="T39" s="326">
        <v>126.551</v>
      </c>
      <c r="U39" s="326">
        <v>128.001</v>
      </c>
      <c r="V39" s="326">
        <v>129.65</v>
      </c>
      <c r="W39" s="326">
        <v>131.35400000000001</v>
      </c>
      <c r="X39" s="326">
        <v>133.02000000000001</v>
      </c>
      <c r="Y39" s="333"/>
      <c r="Z39" s="345" t="s">
        <v>566</v>
      </c>
      <c r="AA39" s="344">
        <v>0.51183199999999995</v>
      </c>
      <c r="AB39" s="344">
        <v>0.52095000000000002</v>
      </c>
      <c r="AC39" s="344">
        <v>0.49038199999999998</v>
      </c>
      <c r="AD39" s="344">
        <v>0.49883300000000003</v>
      </c>
      <c r="AE39" s="344">
        <v>0.54512700000000003</v>
      </c>
      <c r="AF39" s="344">
        <v>0.49116700000000002</v>
      </c>
      <c r="AG39" s="344">
        <v>0.49805300000000002</v>
      </c>
      <c r="AH39" s="344">
        <v>0.484149</v>
      </c>
      <c r="AI39" s="344">
        <v>0.47899700000000001</v>
      </c>
      <c r="AJ39" s="344">
        <v>0.52511799999999997</v>
      </c>
      <c r="AK39" s="344">
        <v>0.54286699999999999</v>
      </c>
      <c r="AL39" s="344">
        <v>0.47981200000000002</v>
      </c>
      <c r="AM39" s="344">
        <v>0.53430900000000003</v>
      </c>
      <c r="AN39" s="344">
        <v>0.50029299999999999</v>
      </c>
      <c r="AO39" s="344">
        <v>0.53534199999999998</v>
      </c>
      <c r="AP39" s="344">
        <v>0.50973999999999997</v>
      </c>
      <c r="AQ39" s="344">
        <v>0.536713</v>
      </c>
      <c r="AR39" s="344">
        <v>0.60447899999999999</v>
      </c>
      <c r="AS39" s="344">
        <v>0.60036299999999998</v>
      </c>
      <c r="AT39" s="344">
        <v>0.65141199999999999</v>
      </c>
      <c r="AU39" s="344">
        <v>0.713314</v>
      </c>
      <c r="AV39" s="344">
        <v>0.77975499999999998</v>
      </c>
      <c r="AW39" s="344">
        <v>0.80957400000000002</v>
      </c>
    </row>
    <row r="40" spans="1:49" ht="15.5">
      <c r="A40" s="327" t="s">
        <v>572</v>
      </c>
      <c r="B40" s="326">
        <v>91.421000000000006</v>
      </c>
      <c r="C40" s="326">
        <v>93.078999999999994</v>
      </c>
      <c r="D40" s="326">
        <v>94.866</v>
      </c>
      <c r="E40" s="326">
        <v>96.757999999999996</v>
      </c>
      <c r="F40" s="326">
        <v>98.492000000000004</v>
      </c>
      <c r="G40" s="326">
        <v>100.36799999999999</v>
      </c>
      <c r="H40" s="326">
        <v>101.55500000000001</v>
      </c>
      <c r="I40" s="326">
        <v>102.78700000000001</v>
      </c>
      <c r="J40" s="326">
        <v>104.095</v>
      </c>
      <c r="K40" s="326">
        <v>105.40300000000001</v>
      </c>
      <c r="L40" s="326">
        <v>106.46</v>
      </c>
      <c r="M40" s="326">
        <v>107.58199999999999</v>
      </c>
      <c r="N40" s="326">
        <v>108.738</v>
      </c>
      <c r="O40" s="326">
        <v>109.994</v>
      </c>
      <c r="P40" s="326">
        <v>111.28400000000001</v>
      </c>
      <c r="Q40" s="326">
        <v>112.645</v>
      </c>
      <c r="R40" s="326">
        <v>114.06</v>
      </c>
      <c r="S40" s="326">
        <v>114.801</v>
      </c>
      <c r="T40" s="326">
        <v>115.83</v>
      </c>
      <c r="U40" s="326">
        <v>117.185</v>
      </c>
      <c r="V40" s="326">
        <v>118.72</v>
      </c>
      <c r="W40" s="326">
        <v>120.303</v>
      </c>
      <c r="X40" s="326">
        <v>121.85299999999999</v>
      </c>
      <c r="Y40" s="333"/>
      <c r="Z40" s="345" t="s">
        <v>567</v>
      </c>
      <c r="AA40" s="344">
        <v>1.3768069999999999</v>
      </c>
      <c r="AB40" s="344">
        <v>1.391859</v>
      </c>
      <c r="AC40" s="344">
        <v>1.295779</v>
      </c>
      <c r="AD40" s="344">
        <v>1.3382419999999999</v>
      </c>
      <c r="AE40" s="344">
        <v>1.3833359999999999</v>
      </c>
      <c r="AF40" s="344">
        <v>1.779069</v>
      </c>
      <c r="AG40" s="344">
        <v>2.2642980000000001</v>
      </c>
      <c r="AH40" s="344">
        <v>2.2702629999999999</v>
      </c>
      <c r="AI40" s="344">
        <v>2.4123410000000001</v>
      </c>
      <c r="AJ40" s="344">
        <v>2.282168</v>
      </c>
      <c r="AK40" s="344">
        <v>2.57219</v>
      </c>
      <c r="AL40" s="344">
        <v>2.8292320000000002</v>
      </c>
      <c r="AM40" s="344">
        <v>3.6913800000000001</v>
      </c>
      <c r="AN40" s="344">
        <v>2.2521</v>
      </c>
      <c r="AO40" s="344">
        <v>1.9835989999999999</v>
      </c>
      <c r="AP40" s="344">
        <v>1.9878279999999999</v>
      </c>
      <c r="AQ40" s="344">
        <v>3.1840440000000001</v>
      </c>
      <c r="AR40" s="344">
        <v>3.2275710000000002</v>
      </c>
      <c r="AS40" s="344">
        <v>2.3316949999999999</v>
      </c>
      <c r="AT40" s="344">
        <v>2.3224870000000002</v>
      </c>
      <c r="AU40" s="344">
        <v>2.5792160000000002</v>
      </c>
      <c r="AV40" s="344">
        <v>3.069251</v>
      </c>
      <c r="AW40" s="344">
        <v>3.1243479999999999</v>
      </c>
    </row>
    <row r="41" spans="1:49">
      <c r="A41" s="327" t="s">
        <v>573</v>
      </c>
      <c r="B41" s="326">
        <v>20.454000000000001</v>
      </c>
      <c r="C41" s="326">
        <v>21.227</v>
      </c>
      <c r="D41" s="326">
        <v>22.024000000000001</v>
      </c>
      <c r="E41" s="326">
        <v>22.84</v>
      </c>
      <c r="F41" s="326">
        <v>23.626000000000001</v>
      </c>
      <c r="G41" s="326">
        <v>24.44</v>
      </c>
      <c r="H41" s="326">
        <v>25.114999999999998</v>
      </c>
      <c r="I41" s="326">
        <v>25.795000000000002</v>
      </c>
      <c r="J41" s="326">
        <v>26.488</v>
      </c>
      <c r="K41" s="326">
        <v>27.18</v>
      </c>
      <c r="L41" s="326">
        <v>27.806999999999999</v>
      </c>
      <c r="M41" s="326">
        <v>28.431999999999999</v>
      </c>
      <c r="N41" s="326">
        <v>29.065000000000001</v>
      </c>
      <c r="O41" s="326">
        <v>29.719000000000001</v>
      </c>
      <c r="P41" s="326">
        <v>30.384</v>
      </c>
      <c r="Q41" s="326">
        <v>31.07</v>
      </c>
      <c r="R41" s="326">
        <v>31.768000000000001</v>
      </c>
      <c r="S41" s="326">
        <v>32.314</v>
      </c>
      <c r="T41" s="326">
        <v>32.926000000000002</v>
      </c>
      <c r="U41" s="326">
        <v>33.606999999999999</v>
      </c>
      <c r="V41" s="326">
        <v>34.335000000000001</v>
      </c>
      <c r="W41" s="326">
        <v>35.078000000000003</v>
      </c>
      <c r="X41" s="326">
        <v>35.808999999999997</v>
      </c>
      <c r="Y41" s="333"/>
      <c r="Z41" s="345" t="s">
        <v>568</v>
      </c>
      <c r="AA41" s="344">
        <v>0.91691699999999998</v>
      </c>
      <c r="AB41" s="344">
        <v>0.79235299999999997</v>
      </c>
      <c r="AC41" s="344">
        <v>0.73888500000000001</v>
      </c>
      <c r="AD41" s="344">
        <v>0.68780799999999997</v>
      </c>
      <c r="AE41" s="344">
        <v>0.72066799999999998</v>
      </c>
      <c r="AF41" s="344">
        <v>0.76294799999999996</v>
      </c>
      <c r="AG41" s="344">
        <v>0.76761599999999997</v>
      </c>
      <c r="AH41" s="344">
        <v>0.83382400000000001</v>
      </c>
      <c r="AI41" s="344">
        <v>0.86082000000000003</v>
      </c>
      <c r="AJ41" s="344">
        <v>0.90413299999999996</v>
      </c>
      <c r="AK41" s="344">
        <v>0.86493600000000004</v>
      </c>
      <c r="AL41" s="344">
        <v>0.82035400000000003</v>
      </c>
      <c r="AM41" s="344">
        <v>0.82202699999999995</v>
      </c>
      <c r="AN41" s="344">
        <v>0.80236300000000005</v>
      </c>
      <c r="AO41" s="344">
        <v>0.76807099999999995</v>
      </c>
      <c r="AP41" s="344">
        <v>0.68308899999999995</v>
      </c>
      <c r="AQ41" s="344">
        <v>0.72481399999999996</v>
      </c>
      <c r="AR41" s="344">
        <v>0.69831600000000005</v>
      </c>
      <c r="AS41" s="344">
        <v>0.573326</v>
      </c>
      <c r="AT41" s="344">
        <v>0.42338599999999998</v>
      </c>
      <c r="AU41" s="344">
        <v>0.40326499999999998</v>
      </c>
      <c r="AV41" s="344">
        <v>0.37987399999999999</v>
      </c>
      <c r="AW41" s="344">
        <v>0.37216300000000002</v>
      </c>
    </row>
    <row r="42" spans="1:49">
      <c r="A42" s="327" t="s">
        <v>574</v>
      </c>
      <c r="B42" s="326">
        <v>13.345000000000001</v>
      </c>
      <c r="C42" s="326">
        <v>13.787000000000001</v>
      </c>
      <c r="D42" s="326">
        <v>14.244</v>
      </c>
      <c r="E42" s="326">
        <v>14.715</v>
      </c>
      <c r="F42" s="326">
        <v>15.166</v>
      </c>
      <c r="G42" s="326">
        <v>15.635</v>
      </c>
      <c r="H42" s="326">
        <v>16.015999999999998</v>
      </c>
      <c r="I42" s="326">
        <v>16.401</v>
      </c>
      <c r="J42" s="326">
        <v>16.794</v>
      </c>
      <c r="K42" s="326">
        <v>17.187000000000001</v>
      </c>
      <c r="L42" s="326">
        <v>17.536999999999999</v>
      </c>
      <c r="M42" s="326">
        <v>17.888000000000002</v>
      </c>
      <c r="N42" s="326">
        <v>18.245000000000001</v>
      </c>
      <c r="O42" s="326">
        <v>18.614999999999998</v>
      </c>
      <c r="P42" s="326">
        <v>18.992999999999999</v>
      </c>
      <c r="Q42" s="326">
        <v>19.382999999999999</v>
      </c>
      <c r="R42" s="326">
        <v>19.782</v>
      </c>
      <c r="S42" s="326">
        <v>20.087</v>
      </c>
      <c r="T42" s="326">
        <v>20.433</v>
      </c>
      <c r="U42" s="326">
        <v>20.824000000000002</v>
      </c>
      <c r="V42" s="326">
        <v>21.242000000000001</v>
      </c>
      <c r="W42" s="326">
        <v>21.669</v>
      </c>
      <c r="X42" s="326">
        <v>22.088000000000001</v>
      </c>
      <c r="Y42" s="333"/>
      <c r="Z42" s="343" t="s">
        <v>569</v>
      </c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  <c r="AU42" s="344"/>
      <c r="AV42" s="344"/>
      <c r="AW42" s="344"/>
    </row>
    <row r="43" spans="1:49">
      <c r="B43" s="329"/>
      <c r="C43" s="329"/>
      <c r="D43" s="329"/>
      <c r="E43" s="329"/>
      <c r="F43" s="329"/>
      <c r="G43" s="329"/>
      <c r="H43" s="329"/>
      <c r="I43" s="329"/>
      <c r="J43" s="329"/>
      <c r="K43" s="329"/>
      <c r="L43" s="329"/>
      <c r="M43" s="329"/>
      <c r="N43" s="329"/>
      <c r="O43" s="329"/>
      <c r="P43" s="329"/>
      <c r="Q43" s="329"/>
      <c r="R43" s="329"/>
      <c r="S43" s="329"/>
      <c r="T43" s="329"/>
      <c r="U43" s="329"/>
      <c r="V43" s="329"/>
      <c r="W43" s="329"/>
      <c r="X43" s="329"/>
      <c r="Y43" s="333"/>
      <c r="Z43" s="346" t="s">
        <v>570</v>
      </c>
      <c r="AA43" s="344">
        <v>4.7537820000000002</v>
      </c>
      <c r="AB43" s="344">
        <v>4.3133739999999996</v>
      </c>
      <c r="AC43" s="344">
        <v>3.9379219999999999</v>
      </c>
      <c r="AD43" s="344">
        <v>3.4582489999999999</v>
      </c>
      <c r="AE43" s="344">
        <v>3.6500379999999999</v>
      </c>
      <c r="AF43" s="344">
        <v>3.6264880000000002</v>
      </c>
      <c r="AG43" s="344">
        <v>3.756726</v>
      </c>
      <c r="AH43" s="344">
        <v>3.8517980000000001</v>
      </c>
      <c r="AI43" s="344">
        <v>4.0450179999999998</v>
      </c>
      <c r="AJ43" s="344">
        <v>4.4245960000000002</v>
      </c>
      <c r="AK43" s="344">
        <v>4.4384259999999998</v>
      </c>
      <c r="AL43" s="344">
        <v>4.4402010000000001</v>
      </c>
      <c r="AM43" s="344">
        <v>4.6873930000000001</v>
      </c>
      <c r="AN43" s="344">
        <v>4.8558659999999998</v>
      </c>
      <c r="AO43" s="344">
        <v>4.9838129999999996</v>
      </c>
      <c r="AP43" s="344">
        <v>4.7795610000000002</v>
      </c>
      <c r="AQ43" s="344">
        <v>5.5654219999999999</v>
      </c>
      <c r="AR43" s="344">
        <v>5.9184060000000001</v>
      </c>
      <c r="AS43" s="344">
        <v>5.3917929999999998</v>
      </c>
      <c r="AT43" s="344">
        <v>4.4849569999999996</v>
      </c>
      <c r="AU43" s="344">
        <v>4.5173399999999999</v>
      </c>
      <c r="AV43" s="344">
        <v>4.4944730000000002</v>
      </c>
      <c r="AW43" s="344">
        <v>4.6430749999999996</v>
      </c>
    </row>
    <row r="44" spans="1:49">
      <c r="A44" s="330" t="s">
        <v>563</v>
      </c>
      <c r="B44" s="329"/>
      <c r="C44" s="329"/>
      <c r="D44" s="329"/>
      <c r="E44" s="329"/>
      <c r="F44" s="329"/>
      <c r="G44" s="329"/>
      <c r="H44" s="329"/>
      <c r="I44" s="329"/>
      <c r="J44" s="329"/>
      <c r="K44" s="329"/>
      <c r="L44" s="329"/>
      <c r="M44" s="329"/>
      <c r="N44" s="329"/>
      <c r="O44" s="329"/>
      <c r="P44" s="329"/>
      <c r="Q44" s="329"/>
      <c r="R44" s="329"/>
      <c r="S44" s="329"/>
      <c r="T44" s="329"/>
      <c r="U44" s="329"/>
      <c r="V44" s="329"/>
      <c r="W44" s="329"/>
      <c r="X44" s="329"/>
      <c r="Y44" s="333"/>
      <c r="Z44" s="346" t="s">
        <v>572</v>
      </c>
      <c r="AA44" s="344">
        <v>2.4739460000000002</v>
      </c>
      <c r="AB44" s="344">
        <v>2.4399890000000002</v>
      </c>
      <c r="AC44" s="344">
        <v>2.6318959999999998</v>
      </c>
      <c r="AD44" s="344">
        <v>2.390631</v>
      </c>
      <c r="AE44" s="344">
        <v>2.4352580000000001</v>
      </c>
      <c r="AF44" s="344">
        <v>2.895994</v>
      </c>
      <c r="AG44" s="344">
        <v>2.9509189999999998</v>
      </c>
      <c r="AH44" s="344">
        <v>2.7320509999999998</v>
      </c>
      <c r="AI44" s="344">
        <v>2.5146259999999998</v>
      </c>
      <c r="AJ44" s="344">
        <v>2.8367270000000002</v>
      </c>
      <c r="AK44" s="344">
        <v>3.0056029999999998</v>
      </c>
      <c r="AL44" s="344">
        <v>2.5035949999999998</v>
      </c>
      <c r="AM44" s="344">
        <v>2.486459</v>
      </c>
      <c r="AN44" s="344">
        <v>2.4759099999999998</v>
      </c>
      <c r="AO44" s="344">
        <v>2.3386100000000001</v>
      </c>
      <c r="AP44" s="344">
        <v>2.2708349999999999</v>
      </c>
      <c r="AQ44" s="344">
        <v>2.268113</v>
      </c>
      <c r="AR44" s="344">
        <v>2.193673</v>
      </c>
      <c r="AS44" s="344">
        <v>2.1487820000000002</v>
      </c>
      <c r="AT44" s="344">
        <v>1.84189</v>
      </c>
      <c r="AU44" s="344">
        <v>1.8343210000000001</v>
      </c>
      <c r="AV44" s="344">
        <v>1.8912610000000001</v>
      </c>
      <c r="AW44" s="344">
        <v>2.031981</v>
      </c>
    </row>
    <row r="45" spans="1:49">
      <c r="A45" s="320" t="s">
        <v>555</v>
      </c>
      <c r="B45" s="329">
        <v>3.9384009999999998</v>
      </c>
      <c r="C45" s="329">
        <v>3.2439209999999998</v>
      </c>
      <c r="D45" s="329">
        <v>2.494618</v>
      </c>
      <c r="E45" s="329">
        <v>1.9614640000000001</v>
      </c>
      <c r="F45" s="329">
        <v>1.447522</v>
      </c>
      <c r="G45" s="329">
        <v>0.97434399999999999</v>
      </c>
      <c r="H45" s="329">
        <v>0.64632999999999996</v>
      </c>
      <c r="I45" s="329">
        <v>0.384322</v>
      </c>
      <c r="J45" s="329">
        <v>0.23281099999999999</v>
      </c>
      <c r="K45" s="329">
        <v>0.124836</v>
      </c>
      <c r="L45" s="329">
        <v>0</v>
      </c>
      <c r="M45" s="329">
        <v>0</v>
      </c>
      <c r="N45" s="329">
        <v>0</v>
      </c>
      <c r="O45" s="329">
        <v>0</v>
      </c>
      <c r="P45" s="329">
        <v>0</v>
      </c>
      <c r="Q45" s="329">
        <v>0</v>
      </c>
      <c r="R45" s="329">
        <v>0</v>
      </c>
      <c r="S45" s="329">
        <v>0</v>
      </c>
      <c r="T45" s="329">
        <v>0</v>
      </c>
      <c r="U45" s="329">
        <v>0</v>
      </c>
      <c r="V45" s="329">
        <v>0</v>
      </c>
      <c r="W45" s="329">
        <v>0</v>
      </c>
      <c r="X45" s="329">
        <v>0</v>
      </c>
      <c r="Y45" s="333"/>
      <c r="Z45" s="346" t="s">
        <v>573</v>
      </c>
      <c r="AA45" s="344">
        <v>0.48297600000000002</v>
      </c>
      <c r="AB45" s="344">
        <v>0.49607400000000001</v>
      </c>
      <c r="AC45" s="344">
        <v>0.507239</v>
      </c>
      <c r="AD45" s="344">
        <v>0.53119499999999997</v>
      </c>
      <c r="AE45" s="344">
        <v>0.54297700000000004</v>
      </c>
      <c r="AF45" s="344">
        <v>0.54627899999999996</v>
      </c>
      <c r="AG45" s="344">
        <v>0.55489500000000003</v>
      </c>
      <c r="AH45" s="344">
        <v>0.57509900000000003</v>
      </c>
      <c r="AI45" s="344">
        <v>0.59380500000000003</v>
      </c>
      <c r="AJ45" s="344">
        <v>0.60123599999999999</v>
      </c>
      <c r="AK45" s="344">
        <v>0.61088100000000001</v>
      </c>
      <c r="AL45" s="344">
        <v>0.64064699999999997</v>
      </c>
      <c r="AM45" s="344">
        <v>0.647007</v>
      </c>
      <c r="AN45" s="344">
        <v>0.67403199999999996</v>
      </c>
      <c r="AO45" s="344">
        <v>0.69522099999999998</v>
      </c>
      <c r="AP45" s="344">
        <v>0.71827099999999999</v>
      </c>
      <c r="AQ45" s="344">
        <v>0.72001800000000005</v>
      </c>
      <c r="AR45" s="344">
        <v>0.72712299999999996</v>
      </c>
      <c r="AS45" s="344">
        <v>0.75563400000000003</v>
      </c>
      <c r="AT45" s="344">
        <v>0.77863099999999996</v>
      </c>
      <c r="AU45" s="344">
        <v>0.78231600000000001</v>
      </c>
      <c r="AV45" s="344">
        <v>0.78265799999999996</v>
      </c>
      <c r="AW45" s="344">
        <v>0.78759999999999997</v>
      </c>
    </row>
    <row r="46" spans="1:49">
      <c r="A46" s="320" t="s">
        <v>557</v>
      </c>
      <c r="B46" s="329">
        <v>4.6542640000000004</v>
      </c>
      <c r="C46" s="329">
        <v>4.9651350000000001</v>
      </c>
      <c r="D46" s="329">
        <v>4.9465019999999997</v>
      </c>
      <c r="E46" s="329">
        <v>4.9946229999999998</v>
      </c>
      <c r="F46" s="329">
        <v>5.1304879999999997</v>
      </c>
      <c r="G46" s="329">
        <v>5.1540699999999999</v>
      </c>
      <c r="H46" s="329">
        <v>5.0683360000000004</v>
      </c>
      <c r="I46" s="329">
        <v>4.9895800000000001</v>
      </c>
      <c r="J46" s="329">
        <v>4.9091769999999997</v>
      </c>
      <c r="K46" s="329">
        <v>4.8359909999999999</v>
      </c>
      <c r="L46" s="329">
        <v>4.7376969999999998</v>
      </c>
      <c r="M46" s="329">
        <v>4.621289</v>
      </c>
      <c r="N46" s="329">
        <v>4.4852359999999996</v>
      </c>
      <c r="O46" s="329">
        <v>4.3219399999999997</v>
      </c>
      <c r="P46" s="329">
        <v>4.1274550000000003</v>
      </c>
      <c r="Q46" s="329">
        <v>3.887813</v>
      </c>
      <c r="R46" s="329">
        <v>3.6231439999999999</v>
      </c>
      <c r="S46" s="329">
        <v>3.3162440000000002</v>
      </c>
      <c r="T46" s="329">
        <v>2.9881319999999998</v>
      </c>
      <c r="U46" s="329">
        <v>2.646509</v>
      </c>
      <c r="V46" s="329">
        <v>2.2995709999999998</v>
      </c>
      <c r="W46" s="329">
        <v>1.954907</v>
      </c>
      <c r="X46" s="329">
        <v>1.6880900000000001</v>
      </c>
      <c r="Y46" s="333"/>
      <c r="Z46" s="346" t="s">
        <v>574</v>
      </c>
      <c r="AA46" s="344">
        <v>0.26095400000000002</v>
      </c>
      <c r="AB46" s="344">
        <v>0.27195399999999997</v>
      </c>
      <c r="AC46" s="344">
        <v>0.308363</v>
      </c>
      <c r="AD46" s="344">
        <v>0.293047</v>
      </c>
      <c r="AE46" s="344">
        <v>0.30230000000000001</v>
      </c>
      <c r="AF46" s="344">
        <v>0.36482100000000001</v>
      </c>
      <c r="AG46" s="344">
        <v>0.37408200000000003</v>
      </c>
      <c r="AH46" s="344">
        <v>0.34307599999999999</v>
      </c>
      <c r="AI46" s="344">
        <v>0.31214599999999998</v>
      </c>
      <c r="AJ46" s="344">
        <v>0.35744799999999999</v>
      </c>
      <c r="AK46" s="344">
        <v>0.385133</v>
      </c>
      <c r="AL46" s="344">
        <v>0.309421</v>
      </c>
      <c r="AM46" s="344">
        <v>0.30602600000000002</v>
      </c>
      <c r="AN46" s="344">
        <v>0.30250300000000002</v>
      </c>
      <c r="AO46" s="344">
        <v>0.28218100000000002</v>
      </c>
      <c r="AP46" s="344">
        <v>0.27599099999999999</v>
      </c>
      <c r="AQ46" s="344">
        <v>0.25658700000000001</v>
      </c>
      <c r="AR46" s="344">
        <v>0.23838799999999999</v>
      </c>
      <c r="AS46" s="344">
        <v>0.242671</v>
      </c>
      <c r="AT46" s="344">
        <v>0.22214700000000001</v>
      </c>
      <c r="AU46" s="344">
        <v>0.22167000000000001</v>
      </c>
      <c r="AV46" s="344">
        <v>0.233122</v>
      </c>
      <c r="AW46" s="344">
        <v>0.25053399999999998</v>
      </c>
    </row>
    <row r="47" spans="1:49">
      <c r="A47" s="320" t="s">
        <v>559</v>
      </c>
      <c r="B47" s="329">
        <v>0</v>
      </c>
      <c r="C47" s="329">
        <v>0</v>
      </c>
      <c r="D47" s="329">
        <v>0</v>
      </c>
      <c r="E47" s="329">
        <v>0</v>
      </c>
      <c r="F47" s="329">
        <v>0</v>
      </c>
      <c r="G47" s="329">
        <v>0</v>
      </c>
      <c r="H47" s="329">
        <v>0</v>
      </c>
      <c r="I47" s="329">
        <v>0</v>
      </c>
      <c r="J47" s="329">
        <v>0</v>
      </c>
      <c r="K47" s="329">
        <v>0</v>
      </c>
      <c r="L47" s="329">
        <v>0</v>
      </c>
      <c r="M47" s="329">
        <v>0</v>
      </c>
      <c r="N47" s="329">
        <v>0</v>
      </c>
      <c r="O47" s="329">
        <v>0</v>
      </c>
      <c r="P47" s="329">
        <v>0</v>
      </c>
      <c r="Q47" s="329">
        <v>0</v>
      </c>
      <c r="R47" s="329">
        <v>0</v>
      </c>
      <c r="S47" s="329">
        <v>0</v>
      </c>
      <c r="T47" s="329">
        <v>0</v>
      </c>
      <c r="U47" s="329">
        <v>0</v>
      </c>
      <c r="V47" s="329">
        <v>0</v>
      </c>
      <c r="W47" s="329">
        <v>0</v>
      </c>
      <c r="X47" s="329">
        <v>0</v>
      </c>
      <c r="Y47" s="333"/>
      <c r="Z47" s="347"/>
      <c r="AA47" s="344"/>
      <c r="AB47" s="344"/>
      <c r="AC47" s="344"/>
      <c r="AD47" s="344"/>
      <c r="AE47" s="344"/>
      <c r="AF47" s="344"/>
      <c r="AG47" s="344"/>
      <c r="AH47" s="344"/>
      <c r="AI47" s="344"/>
      <c r="AJ47" s="344"/>
      <c r="AK47" s="344"/>
      <c r="AL47" s="344"/>
      <c r="AM47" s="344"/>
      <c r="AN47" s="344"/>
      <c r="AO47" s="344"/>
      <c r="AP47" s="344"/>
      <c r="AQ47" s="344"/>
      <c r="AR47" s="344"/>
      <c r="AS47" s="344"/>
      <c r="AT47" s="344"/>
      <c r="AU47" s="344"/>
      <c r="AV47" s="344"/>
      <c r="AW47" s="344"/>
    </row>
    <row r="48" spans="1:49">
      <c r="A48" s="320" t="s">
        <v>561</v>
      </c>
      <c r="B48" s="329">
        <v>31.862779</v>
      </c>
      <c r="C48" s="329">
        <v>29.717299000000001</v>
      </c>
      <c r="D48" s="329">
        <v>27.416791</v>
      </c>
      <c r="E48" s="329">
        <v>25.030850999999998</v>
      </c>
      <c r="F48" s="329">
        <v>22.497741000000001</v>
      </c>
      <c r="G48" s="329">
        <v>19.991613000000001</v>
      </c>
      <c r="H48" s="329">
        <v>17.474723000000001</v>
      </c>
      <c r="I48" s="329">
        <v>15.054995999999999</v>
      </c>
      <c r="J48" s="329">
        <v>12.799262000000001</v>
      </c>
      <c r="K48" s="329">
        <v>10.632588</v>
      </c>
      <c r="L48" s="329">
        <v>8.6663610000000002</v>
      </c>
      <c r="M48" s="329">
        <v>6.8590260000000001</v>
      </c>
      <c r="N48" s="329">
        <v>5.1822220000000003</v>
      </c>
      <c r="O48" s="329">
        <v>3.7192189999999998</v>
      </c>
      <c r="P48" s="329">
        <v>2.434971</v>
      </c>
      <c r="Q48" s="329">
        <v>1.3702449999999999</v>
      </c>
      <c r="R48" s="329">
        <v>0.54240600000000005</v>
      </c>
      <c r="S48" s="329">
        <v>0.26875700000000002</v>
      </c>
      <c r="T48" s="329">
        <v>9.5439999999999997E-2</v>
      </c>
      <c r="U48" s="329">
        <v>5.0080000000000003E-3</v>
      </c>
      <c r="V48" s="329">
        <v>0</v>
      </c>
      <c r="W48" s="329">
        <v>0</v>
      </c>
      <c r="X48" s="329">
        <v>0</v>
      </c>
      <c r="Y48" s="333"/>
      <c r="Z48" s="348" t="s">
        <v>575</v>
      </c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344"/>
      <c r="AV48" s="344"/>
      <c r="AW48" s="344"/>
    </row>
    <row r="49" spans="1:49" ht="15.5">
      <c r="A49" s="320" t="s">
        <v>562</v>
      </c>
      <c r="B49" s="329">
        <v>19.319317000000002</v>
      </c>
      <c r="C49" s="329">
        <v>20.400993</v>
      </c>
      <c r="D49" s="329">
        <v>21.513176000000001</v>
      </c>
      <c r="E49" s="329">
        <v>22.404129000000001</v>
      </c>
      <c r="F49" s="329">
        <v>23.172649</v>
      </c>
      <c r="G49" s="329">
        <v>23.775241999999999</v>
      </c>
      <c r="H49" s="329">
        <v>24.216187000000001</v>
      </c>
      <c r="I49" s="329">
        <v>24.564295000000001</v>
      </c>
      <c r="J49" s="329">
        <v>24.562124000000001</v>
      </c>
      <c r="K49" s="329">
        <v>24.427720999999998</v>
      </c>
      <c r="L49" s="329">
        <v>23.942944000000001</v>
      </c>
      <c r="M49" s="329">
        <v>23.379992000000001</v>
      </c>
      <c r="N49" s="329">
        <v>22.735371000000001</v>
      </c>
      <c r="O49" s="329">
        <v>21.909251999999999</v>
      </c>
      <c r="P49" s="329">
        <v>20.935722999999999</v>
      </c>
      <c r="Q49" s="329">
        <v>19.740549999999999</v>
      </c>
      <c r="R49" s="329">
        <v>18.427496999999999</v>
      </c>
      <c r="S49" s="329">
        <v>16.928659</v>
      </c>
      <c r="T49" s="329">
        <v>15.382720000000001</v>
      </c>
      <c r="U49" s="329">
        <v>13.879922000000001</v>
      </c>
      <c r="V49" s="329">
        <v>12.441559</v>
      </c>
      <c r="W49" s="329">
        <v>11.091977</v>
      </c>
      <c r="X49" s="329">
        <v>9.8402390000000004</v>
      </c>
      <c r="Y49" s="333"/>
      <c r="Z49" s="349" t="s">
        <v>576</v>
      </c>
      <c r="AA49" s="344">
        <v>597.25400000000002</v>
      </c>
      <c r="AB49" s="344">
        <v>610.02099999999996</v>
      </c>
      <c r="AC49" s="344">
        <v>624.34500000000003</v>
      </c>
      <c r="AD49" s="344">
        <v>638.04399999999998</v>
      </c>
      <c r="AE49" s="344">
        <v>652.423</v>
      </c>
      <c r="AF49" s="344">
        <v>665.85400000000004</v>
      </c>
      <c r="AG49" s="344">
        <v>679.221</v>
      </c>
      <c r="AH49" s="344">
        <v>691.20899999999995</v>
      </c>
      <c r="AI49" s="344">
        <v>703.41800000000001</v>
      </c>
      <c r="AJ49" s="344">
        <v>713.34500000000003</v>
      </c>
      <c r="AK49" s="344">
        <v>724.07799999999997</v>
      </c>
      <c r="AL49" s="344">
        <v>735.20399999999995</v>
      </c>
      <c r="AM49" s="344">
        <v>747.06500000000005</v>
      </c>
      <c r="AN49" s="344">
        <v>758.62199999999996</v>
      </c>
      <c r="AO49" s="344">
        <v>769.82600000000002</v>
      </c>
      <c r="AP49" s="344">
        <v>782.39</v>
      </c>
      <c r="AQ49" s="344">
        <v>794.19299999999998</v>
      </c>
      <c r="AR49" s="344">
        <v>807.28200000000004</v>
      </c>
      <c r="AS49" s="344">
        <v>822.12199999999996</v>
      </c>
      <c r="AT49" s="344">
        <v>839.49</v>
      </c>
      <c r="AU49" s="344">
        <v>858.25</v>
      </c>
      <c r="AV49" s="344">
        <v>877.85799999999995</v>
      </c>
      <c r="AW49" s="344">
        <v>896.697</v>
      </c>
    </row>
    <row r="50" spans="1:49">
      <c r="A50" s="320" t="s">
        <v>564</v>
      </c>
      <c r="B50" s="329">
        <v>15.448661</v>
      </c>
      <c r="C50" s="329">
        <v>17.082684</v>
      </c>
      <c r="D50" s="329">
        <v>19.090485999999999</v>
      </c>
      <c r="E50" s="329">
        <v>21.036614</v>
      </c>
      <c r="F50" s="329">
        <v>23.183965000000001</v>
      </c>
      <c r="G50" s="329">
        <v>25.322821999999999</v>
      </c>
      <c r="H50" s="329">
        <v>27.617265</v>
      </c>
      <c r="I50" s="329">
        <v>29.638767999999999</v>
      </c>
      <c r="J50" s="329">
        <v>31.687314000000001</v>
      </c>
      <c r="K50" s="329">
        <v>33.601041000000002</v>
      </c>
      <c r="L50" s="329">
        <v>35.644466000000001</v>
      </c>
      <c r="M50" s="329">
        <v>37.533403999999997</v>
      </c>
      <c r="N50" s="329">
        <v>39.338999999999999</v>
      </c>
      <c r="O50" s="329">
        <v>41.201101999999999</v>
      </c>
      <c r="P50" s="329">
        <v>43.001044</v>
      </c>
      <c r="Q50" s="329">
        <v>44.866764000000003</v>
      </c>
      <c r="R50" s="329">
        <v>46.602679999999999</v>
      </c>
      <c r="S50" s="329">
        <v>48.098728999999999</v>
      </c>
      <c r="T50" s="329">
        <v>49.514780000000002</v>
      </c>
      <c r="U50" s="329">
        <v>50.772089999999999</v>
      </c>
      <c r="V50" s="329">
        <v>52.177788</v>
      </c>
      <c r="W50" s="329">
        <v>53.470556000000002</v>
      </c>
      <c r="X50" s="329">
        <v>54.591504999999998</v>
      </c>
      <c r="Y50" s="333"/>
      <c r="Z50" s="347"/>
      <c r="AA50" s="344"/>
      <c r="AB50" s="344"/>
      <c r="AC50" s="344"/>
      <c r="AD50" s="344"/>
      <c r="AE50" s="344"/>
      <c r="AF50" s="344"/>
      <c r="AG50" s="344"/>
      <c r="AH50" s="344"/>
      <c r="AI50" s="344"/>
      <c r="AJ50" s="344"/>
      <c r="AK50" s="344"/>
      <c r="AL50" s="344"/>
      <c r="AM50" s="344"/>
      <c r="AN50" s="344"/>
      <c r="AO50" s="344"/>
      <c r="AP50" s="344"/>
      <c r="AQ50" s="344"/>
      <c r="AR50" s="344"/>
      <c r="AS50" s="344"/>
      <c r="AT50" s="344"/>
      <c r="AU50" s="344"/>
      <c r="AV50" s="344"/>
      <c r="AW50" s="344"/>
    </row>
    <row r="51" spans="1:49" ht="15.5">
      <c r="A51" s="320" t="s">
        <v>565</v>
      </c>
      <c r="B51" s="329">
        <v>16.333639000000002</v>
      </c>
      <c r="C51" s="329">
        <v>16.183298000000001</v>
      </c>
      <c r="D51" s="329">
        <v>16.128648999999999</v>
      </c>
      <c r="E51" s="329">
        <v>16.087824000000001</v>
      </c>
      <c r="F51" s="329">
        <v>16.059076999999998</v>
      </c>
      <c r="G51" s="329">
        <v>16.175341</v>
      </c>
      <c r="H51" s="329">
        <v>16.354813</v>
      </c>
      <c r="I51" s="329">
        <v>16.602042999999998</v>
      </c>
      <c r="J51" s="329">
        <v>16.982849999999999</v>
      </c>
      <c r="K51" s="329">
        <v>17.427185999999999</v>
      </c>
      <c r="L51" s="329">
        <v>17.907053000000001</v>
      </c>
      <c r="M51" s="329">
        <v>18.404700999999999</v>
      </c>
      <c r="N51" s="329">
        <v>18.856164</v>
      </c>
      <c r="O51" s="329">
        <v>19.359901000000001</v>
      </c>
      <c r="P51" s="329">
        <v>19.804634</v>
      </c>
      <c r="Q51" s="329">
        <v>20.271419999999999</v>
      </c>
      <c r="R51" s="329">
        <v>20.702521000000001</v>
      </c>
      <c r="S51" s="329">
        <v>21.030162000000001</v>
      </c>
      <c r="T51" s="329">
        <v>21.393034</v>
      </c>
      <c r="U51" s="329">
        <v>21.776712</v>
      </c>
      <c r="V51" s="329">
        <v>21.942356</v>
      </c>
      <c r="W51" s="329">
        <v>22.119536</v>
      </c>
      <c r="X51" s="329">
        <v>22.282672999999999</v>
      </c>
      <c r="Y51" s="340"/>
      <c r="Z51" s="348" t="s">
        <v>577</v>
      </c>
      <c r="AA51" s="350">
        <v>0.57903099999999996</v>
      </c>
      <c r="AB51" s="350">
        <v>0.52054</v>
      </c>
      <c r="AC51" s="350">
        <v>0.53495300000000001</v>
      </c>
      <c r="AD51" s="350">
        <v>0.57534099999999999</v>
      </c>
      <c r="AE51" s="350">
        <v>0.54234499999999997</v>
      </c>
      <c r="AF51" s="350">
        <v>0.54237000000000002</v>
      </c>
      <c r="AG51" s="350">
        <v>0.48172399999999999</v>
      </c>
      <c r="AH51" s="350">
        <v>0.53506399999999998</v>
      </c>
      <c r="AI51" s="350">
        <v>0.53948200000000002</v>
      </c>
      <c r="AJ51" s="350">
        <v>0.50568100000000005</v>
      </c>
      <c r="AK51" s="350">
        <v>0.46892600000000001</v>
      </c>
      <c r="AL51" s="350">
        <v>0.50119800000000003</v>
      </c>
      <c r="AM51" s="350">
        <v>0.43630999999999998</v>
      </c>
      <c r="AN51" s="350">
        <v>0.49817299999999998</v>
      </c>
      <c r="AO51" s="350">
        <v>0.50585599999999997</v>
      </c>
      <c r="AP51" s="350">
        <v>0.48755300000000001</v>
      </c>
      <c r="AQ51" s="350">
        <v>0.41398000000000001</v>
      </c>
      <c r="AR51" s="350">
        <v>0.41550900000000002</v>
      </c>
      <c r="AS51" s="350">
        <v>0.42078100000000002</v>
      </c>
      <c r="AT51" s="350">
        <v>0.422765</v>
      </c>
      <c r="AU51" s="350">
        <v>0.37227700000000002</v>
      </c>
      <c r="AV51" s="350">
        <v>0.350962</v>
      </c>
      <c r="AW51" s="350">
        <v>0.36283900000000002</v>
      </c>
    </row>
    <row r="52" spans="1:49">
      <c r="A52" s="583" t="s">
        <v>566</v>
      </c>
      <c r="B52" s="585">
        <v>1.1880329999999999</v>
      </c>
      <c r="C52" s="585">
        <v>1.1852100000000001</v>
      </c>
      <c r="D52" s="585">
        <v>1.161435</v>
      </c>
      <c r="E52" s="585">
        <v>1.154363</v>
      </c>
      <c r="F52" s="585">
        <v>1.1762619999999999</v>
      </c>
      <c r="G52" s="585">
        <v>1.1656740000000001</v>
      </c>
      <c r="H52" s="585">
        <v>1.1741109999999999</v>
      </c>
      <c r="I52" s="585">
        <v>1.183996</v>
      </c>
      <c r="J52" s="585">
        <v>1.151143</v>
      </c>
      <c r="K52" s="585">
        <v>1.156129</v>
      </c>
      <c r="L52" s="585">
        <v>1.1876180000000001</v>
      </c>
      <c r="M52" s="585">
        <v>1.1576960000000001</v>
      </c>
      <c r="N52" s="585">
        <v>1.219873</v>
      </c>
      <c r="O52" s="585">
        <v>1.1557249999999999</v>
      </c>
      <c r="P52" s="585">
        <v>1.203676</v>
      </c>
      <c r="Q52" s="585">
        <v>1.211357</v>
      </c>
      <c r="R52" s="585">
        <v>1.2756400000000001</v>
      </c>
      <c r="S52" s="585">
        <v>1.3967430000000001</v>
      </c>
      <c r="T52" s="585">
        <v>1.5020359999999999</v>
      </c>
      <c r="U52" s="585">
        <v>1.6029260000000001</v>
      </c>
      <c r="V52" s="585">
        <v>1.7389619999999999</v>
      </c>
      <c r="W52" s="585">
        <v>1.8742859999999999</v>
      </c>
      <c r="X52" s="585">
        <v>2.0105089999999999</v>
      </c>
      <c r="Y52" s="340"/>
      <c r="Z52" s="341"/>
      <c r="AA52" s="342"/>
      <c r="AB52" s="342"/>
      <c r="AC52" s="342"/>
      <c r="AD52" s="342"/>
      <c r="AE52" s="342"/>
      <c r="AF52" s="342"/>
      <c r="AG52" s="342"/>
      <c r="AH52" s="342"/>
      <c r="AI52" s="342"/>
      <c r="AJ52" s="342"/>
      <c r="AK52" s="342"/>
      <c r="AL52" s="342"/>
      <c r="AM52" s="342"/>
      <c r="AN52" s="342"/>
      <c r="AO52" s="342"/>
      <c r="AP52" s="342"/>
      <c r="AQ52" s="342"/>
      <c r="AR52" s="342"/>
      <c r="AS52" s="342"/>
      <c r="AT52" s="342"/>
      <c r="AU52" s="342"/>
      <c r="AV52" s="342"/>
      <c r="AW52" s="342"/>
    </row>
    <row r="53" spans="1:49" ht="15.5">
      <c r="A53" s="320" t="s">
        <v>567</v>
      </c>
      <c r="B53" s="329">
        <v>1.2640880000000001</v>
      </c>
      <c r="C53" s="329">
        <v>1.241023</v>
      </c>
      <c r="D53" s="329">
        <v>1.2242310000000001</v>
      </c>
      <c r="E53" s="329">
        <v>1.209222</v>
      </c>
      <c r="F53" s="329">
        <v>1.2080230000000001</v>
      </c>
      <c r="G53" s="329">
        <v>1.232345</v>
      </c>
      <c r="H53" s="329">
        <v>1.2796139999999998</v>
      </c>
      <c r="I53" s="329">
        <v>1.3518810000000001</v>
      </c>
      <c r="J53" s="329">
        <v>1.4553609999999999</v>
      </c>
      <c r="K53" s="329">
        <v>1.5904850000000001</v>
      </c>
      <c r="L53" s="329">
        <v>1.7563</v>
      </c>
      <c r="M53" s="329">
        <v>1.9306300000000001</v>
      </c>
      <c r="N53" s="329">
        <v>2.113721</v>
      </c>
      <c r="O53" s="329">
        <v>2.3061739999999999</v>
      </c>
      <c r="P53" s="329">
        <v>2.5054370000000001</v>
      </c>
      <c r="Q53" s="329">
        <v>2.7143230000000003</v>
      </c>
      <c r="R53" s="329">
        <v>2.9312930000000001</v>
      </c>
      <c r="S53" s="329">
        <v>3.1448309999999999</v>
      </c>
      <c r="T53" s="329">
        <v>3.378212</v>
      </c>
      <c r="U53" s="329">
        <v>3.6315840000000001</v>
      </c>
      <c r="V53" s="329">
        <v>3.7527359999999996</v>
      </c>
      <c r="W53" s="329">
        <v>3.881062</v>
      </c>
      <c r="X53" s="329">
        <v>4.013795</v>
      </c>
      <c r="Y53" s="340"/>
      <c r="Z53" s="341"/>
      <c r="AA53" s="342"/>
      <c r="AB53" s="342"/>
      <c r="AC53" s="342"/>
      <c r="AD53" s="342"/>
      <c r="AE53" s="342"/>
      <c r="AF53" s="342"/>
      <c r="AG53" s="342"/>
      <c r="AH53" s="342"/>
      <c r="AI53" s="342"/>
      <c r="AJ53" s="342"/>
      <c r="AK53" s="342"/>
      <c r="AL53" s="342"/>
      <c r="AM53" s="342"/>
      <c r="AN53" s="342"/>
      <c r="AO53" s="342"/>
      <c r="AP53" s="342"/>
      <c r="AQ53" s="342"/>
      <c r="AR53" s="342"/>
      <c r="AS53" s="342"/>
      <c r="AT53" s="342"/>
      <c r="AU53" s="342"/>
      <c r="AV53" s="342"/>
      <c r="AW53" s="342"/>
    </row>
    <row r="54" spans="1:49">
      <c r="A54" s="320" t="s">
        <v>568</v>
      </c>
      <c r="B54" s="329">
        <v>0.94244000000000006</v>
      </c>
      <c r="C54" s="329">
        <v>0.90338399999999996</v>
      </c>
      <c r="D54" s="329">
        <v>0.925813</v>
      </c>
      <c r="E54" s="329">
        <v>0.99147700000000005</v>
      </c>
      <c r="F54" s="329">
        <v>0.982043</v>
      </c>
      <c r="G54" s="329">
        <v>1.042608</v>
      </c>
      <c r="H54" s="329">
        <v>1.0064090000000001</v>
      </c>
      <c r="I54" s="329">
        <v>1.0598920000000001</v>
      </c>
      <c r="J54" s="329">
        <v>1.0411900000000001</v>
      </c>
      <c r="K54" s="329">
        <v>1.004537</v>
      </c>
      <c r="L54" s="329">
        <v>0.95587299999999997</v>
      </c>
      <c r="M54" s="329">
        <v>0.905663</v>
      </c>
      <c r="N54" s="329">
        <v>0.85113099999999997</v>
      </c>
      <c r="O54" s="329">
        <v>0.79561199999999999</v>
      </c>
      <c r="P54" s="329">
        <v>0.738537</v>
      </c>
      <c r="Q54" s="329">
        <v>0.68409600000000004</v>
      </c>
      <c r="R54" s="329">
        <v>0.625556</v>
      </c>
      <c r="S54" s="329">
        <v>0.56621200000000005</v>
      </c>
      <c r="T54" s="329">
        <v>0.51227800000000001</v>
      </c>
      <c r="U54" s="329">
        <v>0.45982000000000001</v>
      </c>
      <c r="V54" s="329">
        <v>0.43483300000000003</v>
      </c>
      <c r="W54" s="329">
        <v>0.41230600000000001</v>
      </c>
      <c r="X54" s="329">
        <v>0.38994099999999998</v>
      </c>
      <c r="Y54" s="333"/>
      <c r="Z54" s="340" t="s">
        <v>578</v>
      </c>
      <c r="AA54" s="342">
        <v>32.530194000000002</v>
      </c>
      <c r="AB54" s="342">
        <v>30.373819000000001</v>
      </c>
      <c r="AC54" s="342">
        <v>30.737109</v>
      </c>
      <c r="AD54" s="342">
        <v>34.238486000000002</v>
      </c>
      <c r="AE54" s="342">
        <v>34.251553999999999</v>
      </c>
      <c r="AF54" s="342">
        <v>31.768395000000002</v>
      </c>
      <c r="AG54" s="342">
        <v>28.500568999999999</v>
      </c>
      <c r="AH54" s="342">
        <v>30.953598</v>
      </c>
      <c r="AI54" s="342">
        <v>32.431722000000001</v>
      </c>
      <c r="AJ54" s="342">
        <v>33.406863000000001</v>
      </c>
      <c r="AK54" s="342">
        <v>30.680671</v>
      </c>
      <c r="AL54" s="342">
        <v>31.337277</v>
      </c>
      <c r="AM54" s="342">
        <v>28.796544000000001</v>
      </c>
      <c r="AN54" s="342">
        <v>33.664247000000003</v>
      </c>
      <c r="AO54" s="342">
        <v>35.746985000000002</v>
      </c>
      <c r="AP54" s="342">
        <v>33.963441000000003</v>
      </c>
      <c r="AQ54" s="342">
        <v>30.098921000000001</v>
      </c>
      <c r="AR54" s="342">
        <v>31.944057999999998</v>
      </c>
      <c r="AS54" s="342">
        <v>31.954768999999999</v>
      </c>
      <c r="AT54" s="342">
        <v>34.465533999999998</v>
      </c>
      <c r="AU54" s="342">
        <v>31.398477</v>
      </c>
      <c r="AV54" s="342">
        <v>30.72308</v>
      </c>
      <c r="AW54" s="342">
        <v>31.703327000000002</v>
      </c>
    </row>
    <row r="55" spans="1:49">
      <c r="A55" s="330" t="s">
        <v>569</v>
      </c>
      <c r="B55" s="329"/>
      <c r="C55" s="329"/>
      <c r="D55" s="329"/>
      <c r="E55" s="329"/>
      <c r="F55" s="329"/>
      <c r="G55" s="329"/>
      <c r="H55" s="329"/>
      <c r="I55" s="329"/>
      <c r="J55" s="329"/>
      <c r="K55" s="329"/>
      <c r="L55" s="329"/>
      <c r="M55" s="329"/>
      <c r="N55" s="329"/>
      <c r="O55" s="329"/>
      <c r="P55" s="329"/>
      <c r="Q55" s="329"/>
      <c r="R55" s="329"/>
      <c r="S55" s="329"/>
      <c r="T55" s="329"/>
      <c r="U55" s="329"/>
      <c r="V55" s="329"/>
      <c r="W55" s="329"/>
      <c r="X55" s="329"/>
      <c r="Y55" s="340"/>
      <c r="Z55" s="341"/>
      <c r="AA55" s="342"/>
      <c r="AB55" s="342"/>
      <c r="AC55" s="342"/>
      <c r="AD55" s="342"/>
      <c r="AE55" s="342"/>
      <c r="AF55" s="342"/>
      <c r="AG55" s="342"/>
      <c r="AH55" s="342"/>
      <c r="AI55" s="342"/>
      <c r="AJ55" s="342"/>
      <c r="AK55" s="342"/>
      <c r="AL55" s="342"/>
      <c r="AM55" s="342"/>
      <c r="AN55" s="342"/>
      <c r="AO55" s="342"/>
      <c r="AP55" s="342"/>
      <c r="AQ55" s="342"/>
      <c r="AR55" s="342"/>
      <c r="AS55" s="342"/>
      <c r="AT55" s="342"/>
      <c r="AU55" s="342"/>
      <c r="AV55" s="342"/>
      <c r="AW55" s="342"/>
    </row>
    <row r="56" spans="1:49">
      <c r="A56" s="327" t="s">
        <v>570</v>
      </c>
      <c r="B56" s="329">
        <v>2.2453500000000002</v>
      </c>
      <c r="C56" s="329">
        <v>2.2519499999999999</v>
      </c>
      <c r="D56" s="329">
        <v>2.2555559999999999</v>
      </c>
      <c r="E56" s="329">
        <v>2.2637450000000001</v>
      </c>
      <c r="F56" s="329">
        <v>2.2638859999999998</v>
      </c>
      <c r="G56" s="329">
        <v>2.2691330000000001</v>
      </c>
      <c r="H56" s="329">
        <v>2.2619720000000001</v>
      </c>
      <c r="I56" s="329">
        <v>2.2601550000000001</v>
      </c>
      <c r="J56" s="329">
        <v>2.2587760000000001</v>
      </c>
      <c r="K56" s="329">
        <v>2.2628979999999999</v>
      </c>
      <c r="L56" s="329">
        <v>2.2590330000000001</v>
      </c>
      <c r="M56" s="329">
        <v>2.2571629999999998</v>
      </c>
      <c r="N56" s="329">
        <v>2.257047</v>
      </c>
      <c r="O56" s="329">
        <v>2.2588119999999998</v>
      </c>
      <c r="P56" s="329">
        <v>2.2622550000000001</v>
      </c>
      <c r="Q56" s="329">
        <v>2.2603689999999999</v>
      </c>
      <c r="R56" s="329">
        <v>2.26329</v>
      </c>
      <c r="S56" s="329">
        <v>2.25047</v>
      </c>
      <c r="T56" s="329">
        <v>2.2394240000000001</v>
      </c>
      <c r="U56" s="329">
        <v>2.232383</v>
      </c>
      <c r="V56" s="329">
        <v>2.2232880000000002</v>
      </c>
      <c r="W56" s="329">
        <v>2.2127849999999998</v>
      </c>
      <c r="X56" s="329">
        <v>2.2044250000000001</v>
      </c>
      <c r="Y56" s="340"/>
      <c r="Z56" s="341" t="s">
        <v>579</v>
      </c>
      <c r="AA56" s="350">
        <v>0.93614200000000003</v>
      </c>
      <c r="AB56" s="350">
        <v>0.84164399999999995</v>
      </c>
      <c r="AC56" s="350">
        <v>0.89355700000000005</v>
      </c>
      <c r="AD56" s="350">
        <v>0.96407200000000004</v>
      </c>
      <c r="AE56" s="350">
        <v>0.930566</v>
      </c>
      <c r="AF56" s="350">
        <v>0.92401800000000001</v>
      </c>
      <c r="AG56" s="350">
        <v>0.82673300000000005</v>
      </c>
      <c r="AH56" s="350">
        <v>0.90995499999999996</v>
      </c>
      <c r="AI56" s="350">
        <v>0.93591800000000003</v>
      </c>
      <c r="AJ56" s="350">
        <v>0.93668399999999996</v>
      </c>
      <c r="AK56" s="350">
        <v>0.84901700000000002</v>
      </c>
      <c r="AL56" s="350">
        <v>0.870448</v>
      </c>
      <c r="AM56" s="350">
        <v>0.78945799999999999</v>
      </c>
      <c r="AN56" s="350">
        <v>0.91546000000000005</v>
      </c>
      <c r="AO56" s="350">
        <v>0.99540499999999998</v>
      </c>
      <c r="AP56" s="350">
        <v>0.91982799999999998</v>
      </c>
      <c r="AQ56" s="350">
        <v>0.88200100000000003</v>
      </c>
      <c r="AR56" s="350">
        <v>0.91991000000000001</v>
      </c>
      <c r="AS56" s="350">
        <v>0.92142900000000005</v>
      </c>
      <c r="AT56" s="350">
        <v>0.95598499999999997</v>
      </c>
      <c r="AU56" s="350">
        <v>0.84004599999999996</v>
      </c>
      <c r="AV56" s="350">
        <v>0.78918600000000005</v>
      </c>
      <c r="AW56" s="350">
        <v>0.87178699999999998</v>
      </c>
    </row>
    <row r="57" spans="1:49">
      <c r="A57" s="327" t="s">
        <v>572</v>
      </c>
      <c r="B57" s="329">
        <v>2.0464540000000002</v>
      </c>
      <c r="C57" s="329">
        <v>2.0528770000000001</v>
      </c>
      <c r="D57" s="329">
        <v>2.0565180000000001</v>
      </c>
      <c r="E57" s="329">
        <v>2.0644200000000001</v>
      </c>
      <c r="F57" s="329">
        <v>2.0650270000000002</v>
      </c>
      <c r="G57" s="329">
        <v>2.0702189999999998</v>
      </c>
      <c r="H57" s="329">
        <v>2.0642160000000001</v>
      </c>
      <c r="I57" s="329">
        <v>2.0631219999999999</v>
      </c>
      <c r="J57" s="329">
        <v>2.0624370000000001</v>
      </c>
      <c r="K57" s="329">
        <v>2.0666720000000001</v>
      </c>
      <c r="L57" s="329">
        <v>2.063672</v>
      </c>
      <c r="M57" s="329">
        <v>2.0624349999999998</v>
      </c>
      <c r="N57" s="329">
        <v>2.0627749999999998</v>
      </c>
      <c r="O57" s="329">
        <v>2.0648970000000002</v>
      </c>
      <c r="P57" s="329">
        <v>2.0684849999999999</v>
      </c>
      <c r="Q57" s="329">
        <v>2.0671819999999999</v>
      </c>
      <c r="R57" s="329">
        <v>2.0702910000000001</v>
      </c>
      <c r="S57" s="329">
        <v>2.05924</v>
      </c>
      <c r="T57" s="329">
        <v>2.049715</v>
      </c>
      <c r="U57" s="329">
        <v>2.043739</v>
      </c>
      <c r="V57" s="329">
        <v>2.0358499999999999</v>
      </c>
      <c r="W57" s="329">
        <v>2.0266199999999999</v>
      </c>
      <c r="X57" s="329">
        <v>2.019355</v>
      </c>
    </row>
    <row r="58" spans="1:49">
      <c r="A58" s="327" t="s">
        <v>573</v>
      </c>
      <c r="B58" s="329">
        <v>0.45785500000000001</v>
      </c>
      <c r="C58" s="329">
        <v>0.46815899999999999</v>
      </c>
      <c r="D58" s="329">
        <v>0.477439</v>
      </c>
      <c r="E58" s="329">
        <v>0.48731600000000003</v>
      </c>
      <c r="F58" s="329">
        <v>0.49534400000000001</v>
      </c>
      <c r="G58" s="329">
        <v>0.50409999999999999</v>
      </c>
      <c r="H58" s="329">
        <v>0.51048400000000005</v>
      </c>
      <c r="I58" s="329">
        <v>0.51775400000000005</v>
      </c>
      <c r="J58" s="329">
        <v>0.52480400000000005</v>
      </c>
      <c r="K58" s="329">
        <v>0.53293000000000001</v>
      </c>
      <c r="L58" s="329">
        <v>0.53903100000000004</v>
      </c>
      <c r="M58" s="329">
        <v>0.54506500000000002</v>
      </c>
      <c r="N58" s="329">
        <v>0.55135900000000004</v>
      </c>
      <c r="O58" s="329">
        <v>0.55790300000000004</v>
      </c>
      <c r="P58" s="329">
        <v>0.56475799999999998</v>
      </c>
      <c r="Q58" s="329">
        <v>0.57017099999999998</v>
      </c>
      <c r="R58" s="329">
        <v>0.57661700000000005</v>
      </c>
      <c r="S58" s="329">
        <v>0.57963900000000002</v>
      </c>
      <c r="T58" s="329">
        <v>0.58265</v>
      </c>
      <c r="U58" s="329">
        <v>0.58612399999999998</v>
      </c>
      <c r="V58" s="329">
        <v>0.58878600000000003</v>
      </c>
      <c r="W58" s="329">
        <v>0.590924</v>
      </c>
      <c r="X58" s="329">
        <v>0.59342799999999996</v>
      </c>
    </row>
    <row r="59" spans="1:49">
      <c r="A59" s="327" t="s">
        <v>574</v>
      </c>
      <c r="B59" s="329">
        <v>0.29871900000000001</v>
      </c>
      <c r="C59" s="329">
        <v>0.30407000000000001</v>
      </c>
      <c r="D59" s="329">
        <v>0.308786</v>
      </c>
      <c r="E59" s="329">
        <v>0.31395000000000001</v>
      </c>
      <c r="F59" s="329">
        <v>0.31797300000000001</v>
      </c>
      <c r="G59" s="329">
        <v>0.32248900000000003</v>
      </c>
      <c r="H59" s="329">
        <v>0.32553900000000002</v>
      </c>
      <c r="I59" s="329">
        <v>0.32919599999999999</v>
      </c>
      <c r="J59" s="329">
        <v>0.33274999999999999</v>
      </c>
      <c r="K59" s="329">
        <v>0.33698800000000001</v>
      </c>
      <c r="L59" s="329">
        <v>0.33995300000000001</v>
      </c>
      <c r="M59" s="329">
        <v>0.34293600000000002</v>
      </c>
      <c r="N59" s="329">
        <v>0.34610000000000002</v>
      </c>
      <c r="O59" s="329">
        <v>0.34946300000000002</v>
      </c>
      <c r="P59" s="329">
        <v>0.35302499999999998</v>
      </c>
      <c r="Q59" s="329">
        <v>0.35571000000000003</v>
      </c>
      <c r="R59" s="329">
        <v>0.35906399999999999</v>
      </c>
      <c r="S59" s="329">
        <v>0.36031200000000002</v>
      </c>
      <c r="T59" s="329">
        <v>0.36158000000000001</v>
      </c>
      <c r="U59" s="329">
        <v>0.36318299999999998</v>
      </c>
      <c r="V59" s="329">
        <v>0.36427100000000001</v>
      </c>
      <c r="W59" s="329">
        <v>0.36503999999999998</v>
      </c>
      <c r="X59" s="329">
        <v>0.36604100000000001</v>
      </c>
    </row>
    <row r="60" spans="1:49">
      <c r="A60" s="319"/>
      <c r="B60" s="329"/>
      <c r="C60" s="329"/>
      <c r="D60" s="329"/>
      <c r="E60" s="329"/>
      <c r="F60" s="329"/>
      <c r="G60" s="329"/>
      <c r="H60" s="329"/>
      <c r="I60" s="329"/>
      <c r="J60" s="329"/>
      <c r="K60" s="329"/>
      <c r="L60" s="329"/>
      <c r="M60" s="329"/>
      <c r="N60" s="329"/>
      <c r="O60" s="319"/>
      <c r="P60" s="319"/>
      <c r="Q60" s="319"/>
      <c r="R60" s="319"/>
      <c r="S60" s="319"/>
      <c r="T60" s="319"/>
      <c r="U60" s="319"/>
      <c r="V60" s="319"/>
      <c r="W60" s="319"/>
      <c r="X60" s="319"/>
    </row>
    <row r="61" spans="1:49">
      <c r="A61" s="319" t="str">
        <f>A28</f>
        <v>Heating Oil – Normal Efficiency</v>
      </c>
      <c r="B61" s="329"/>
      <c r="C61" s="326">
        <f t="shared" ref="C61:W69" si="0">C28-B28</f>
        <v>-28.859000000000009</v>
      </c>
      <c r="D61" s="326">
        <f t="shared" si="0"/>
        <v>-32.005999999999986</v>
      </c>
      <c r="E61" s="326">
        <f t="shared" si="0"/>
        <v>-23.141999999999996</v>
      </c>
      <c r="F61" s="326">
        <f t="shared" si="0"/>
        <v>-22.893000000000001</v>
      </c>
      <c r="G61" s="326">
        <f t="shared" si="0"/>
        <v>-21.802000000000007</v>
      </c>
      <c r="H61" s="326">
        <f t="shared" si="0"/>
        <v>-15.440000000000001</v>
      </c>
      <c r="I61" s="326">
        <f t="shared" si="0"/>
        <v>-12.651</v>
      </c>
      <c r="J61" s="326">
        <f t="shared" si="0"/>
        <v>-7.3969999999999985</v>
      </c>
      <c r="K61" s="326">
        <f t="shared" si="0"/>
        <v>-5.383</v>
      </c>
      <c r="L61" s="326">
        <f t="shared" si="0"/>
        <v>-6.367</v>
      </c>
      <c r="M61" s="326">
        <f t="shared" si="0"/>
        <v>0</v>
      </c>
      <c r="N61" s="326">
        <f t="shared" si="0"/>
        <v>0</v>
      </c>
      <c r="O61" s="326">
        <f t="shared" si="0"/>
        <v>0</v>
      </c>
      <c r="P61" s="326">
        <f t="shared" si="0"/>
        <v>0</v>
      </c>
      <c r="Q61" s="326">
        <f t="shared" si="0"/>
        <v>0</v>
      </c>
      <c r="R61" s="326">
        <f t="shared" si="0"/>
        <v>0</v>
      </c>
      <c r="S61" s="326">
        <f>S28-R28</f>
        <v>0</v>
      </c>
      <c r="T61" s="326">
        <f t="shared" si="0"/>
        <v>0</v>
      </c>
      <c r="U61" s="326">
        <f t="shared" si="0"/>
        <v>0</v>
      </c>
      <c r="V61" s="326">
        <f t="shared" si="0"/>
        <v>0</v>
      </c>
      <c r="W61" s="326">
        <f t="shared" si="0"/>
        <v>0</v>
      </c>
      <c r="X61" s="326">
        <f>X28-W28</f>
        <v>0</v>
      </c>
      <c r="Z61" s="319" t="str">
        <f>Z15</f>
        <v>Heating Oil – Normal Efficiency</v>
      </c>
      <c r="AA61" s="329"/>
      <c r="AB61" s="326">
        <f>AB15-AA15</f>
        <v>-3.0936059999999994</v>
      </c>
      <c r="AC61" s="326">
        <f t="shared" ref="AC61:AW73" si="1">AC15-AB15</f>
        <v>-1.0538460000000001</v>
      </c>
      <c r="AD61" s="326">
        <f t="shared" si="1"/>
        <v>-2.0667910000000003</v>
      </c>
      <c r="AE61" s="326">
        <f t="shared" si="1"/>
        <v>-2.2385520000000003</v>
      </c>
      <c r="AF61" s="326">
        <f t="shared" si="1"/>
        <v>-1.2545509999999997</v>
      </c>
      <c r="AG61" s="326">
        <f t="shared" si="1"/>
        <v>-1.3823090000000002</v>
      </c>
      <c r="AH61" s="326">
        <f t="shared" si="1"/>
        <v>-0.67529799999999995</v>
      </c>
      <c r="AI61" s="326">
        <f t="shared" si="1"/>
        <v>-0.4742329999999999</v>
      </c>
      <c r="AJ61" s="326">
        <f t="shared" si="1"/>
        <v>-0.23771300000000006</v>
      </c>
      <c r="AK61" s="326">
        <f t="shared" si="1"/>
        <v>-0.36391499999999999</v>
      </c>
      <c r="AL61" s="326">
        <f t="shared" si="1"/>
        <v>0</v>
      </c>
      <c r="AM61" s="326">
        <f t="shared" si="1"/>
        <v>0</v>
      </c>
      <c r="AN61" s="326">
        <f t="shared" si="1"/>
        <v>0</v>
      </c>
      <c r="AO61" s="326">
        <f t="shared" si="1"/>
        <v>0</v>
      </c>
      <c r="AP61" s="326">
        <f t="shared" si="1"/>
        <v>0</v>
      </c>
      <c r="AQ61" s="326">
        <f t="shared" si="1"/>
        <v>0</v>
      </c>
      <c r="AR61" s="326">
        <f t="shared" si="1"/>
        <v>0</v>
      </c>
      <c r="AS61" s="326">
        <f t="shared" si="1"/>
        <v>0</v>
      </c>
      <c r="AT61" s="326">
        <f t="shared" si="1"/>
        <v>0</v>
      </c>
      <c r="AU61" s="326">
        <f t="shared" si="1"/>
        <v>0</v>
      </c>
      <c r="AV61" s="326">
        <f t="shared" si="1"/>
        <v>0</v>
      </c>
      <c r="AW61" s="326">
        <f t="shared" si="1"/>
        <v>0</v>
      </c>
    </row>
    <row r="62" spans="1:49">
      <c r="A62" s="319" t="str">
        <f t="shared" ref="A62:A75" si="2">A29</f>
        <v>Heating Oil – Medium Efficiency</v>
      </c>
      <c r="C62" s="326">
        <f t="shared" si="0"/>
        <v>17.202000000000027</v>
      </c>
      <c r="D62" s="326">
        <f t="shared" si="0"/>
        <v>3.0569999999999879</v>
      </c>
      <c r="E62" s="326">
        <f t="shared" si="0"/>
        <v>5.9159999999999968</v>
      </c>
      <c r="F62" s="326">
        <f t="shared" si="0"/>
        <v>10.60499999999999</v>
      </c>
      <c r="G62" s="326">
        <f t="shared" si="0"/>
        <v>5.179000000000002</v>
      </c>
      <c r="H62" s="326">
        <f t="shared" si="0"/>
        <v>-0.52799999999999159</v>
      </c>
      <c r="I62" s="326">
        <f t="shared" si="0"/>
        <v>-0.76599999999999113</v>
      </c>
      <c r="J62" s="326">
        <f t="shared" si="0"/>
        <v>-0.81100000000000705</v>
      </c>
      <c r="K62" s="326">
        <f t="shared" si="0"/>
        <v>-1.1330000000000098</v>
      </c>
      <c r="L62" s="326">
        <f t="shared" si="0"/>
        <v>-2.2349999999999852</v>
      </c>
      <c r="M62" s="326">
        <f t="shared" si="0"/>
        <v>-3.3470000000000084</v>
      </c>
      <c r="N62" s="326">
        <f t="shared" si="0"/>
        <v>-4.6219999999999857</v>
      </c>
      <c r="O62" s="326">
        <f t="shared" si="0"/>
        <v>-6.2130000000000223</v>
      </c>
      <c r="P62" s="326">
        <f t="shared" si="0"/>
        <v>-8.1670000000000016</v>
      </c>
      <c r="Q62" s="326">
        <f t="shared" si="0"/>
        <v>-10.202999999999975</v>
      </c>
      <c r="R62" s="326">
        <f t="shared" si="0"/>
        <v>-12.242000000000019</v>
      </c>
      <c r="S62" s="326">
        <f t="shared" si="0"/>
        <v>-14.734000000000009</v>
      </c>
      <c r="T62" s="326">
        <f t="shared" si="0"/>
        <v>-16.016999999999996</v>
      </c>
      <c r="U62" s="326">
        <f t="shared" si="0"/>
        <v>-17.113999999999976</v>
      </c>
      <c r="V62" s="326">
        <f t="shared" si="0"/>
        <v>-17.649000000000001</v>
      </c>
      <c r="W62" s="326">
        <f t="shared" si="0"/>
        <v>-18.052000000000007</v>
      </c>
      <c r="X62" s="326">
        <f t="shared" ref="X62:X69" si="3">X29-W29</f>
        <v>-14.183000000000007</v>
      </c>
      <c r="Z62" s="319" t="str">
        <f t="shared" ref="Z62:Z75" si="4">Z16</f>
        <v>Heating Oil – Medium Efficiency</v>
      </c>
      <c r="AB62" s="326">
        <f t="shared" ref="AB62:AQ75" si="5">AB16-AA16</f>
        <v>2.7343999999999369E-2</v>
      </c>
      <c r="AC62" s="326">
        <f t="shared" si="5"/>
        <v>2.4940910000000009</v>
      </c>
      <c r="AD62" s="326">
        <f t="shared" si="5"/>
        <v>0.32658900000000024</v>
      </c>
      <c r="AE62" s="326">
        <f t="shared" si="5"/>
        <v>-3.2999999999994145E-4</v>
      </c>
      <c r="AF62" s="326">
        <f t="shared" si="5"/>
        <v>4.202577999999999</v>
      </c>
      <c r="AG62" s="326">
        <f t="shared" si="5"/>
        <v>-1.8888880000000015</v>
      </c>
      <c r="AH62" s="326">
        <f t="shared" si="5"/>
        <v>-3.8079999999993674E-3</v>
      </c>
      <c r="AI62" s="326">
        <f t="shared" si="5"/>
        <v>-1.9652519999999996</v>
      </c>
      <c r="AJ62" s="326">
        <f t="shared" si="5"/>
        <v>0.99294800000000194</v>
      </c>
      <c r="AK62" s="326">
        <f t="shared" si="5"/>
        <v>-0.12001200000000267</v>
      </c>
      <c r="AL62" s="326">
        <f t="shared" si="5"/>
        <v>-2.9658559999999987</v>
      </c>
      <c r="AM62" s="326">
        <f t="shared" si="5"/>
        <v>-2.3274360000000005</v>
      </c>
      <c r="AN62" s="326">
        <f t="shared" si="5"/>
        <v>1.0372650000000014</v>
      </c>
      <c r="AO62" s="326">
        <f t="shared" si="5"/>
        <v>-1.3672770000000014</v>
      </c>
      <c r="AP62" s="326">
        <f t="shared" si="5"/>
        <v>-1.1157500000000002</v>
      </c>
      <c r="AQ62" s="326">
        <f t="shared" si="5"/>
        <v>-2.7721549999999988</v>
      </c>
      <c r="AR62" s="326">
        <f t="shared" si="1"/>
        <v>-1.1465200000000006</v>
      </c>
      <c r="AS62" s="326">
        <f t="shared" si="1"/>
        <v>-0.23423399999999983</v>
      </c>
      <c r="AT62" s="326">
        <f t="shared" si="1"/>
        <v>-1.1453860000000002</v>
      </c>
      <c r="AU62" s="326">
        <f t="shared" si="1"/>
        <v>-1.0701339999999995</v>
      </c>
      <c r="AV62" s="326">
        <f t="shared" si="1"/>
        <v>-0.48672200000000032</v>
      </c>
      <c r="AW62" s="326">
        <f>AW16-AV16</f>
        <v>5.6739999999999569E-3</v>
      </c>
    </row>
    <row r="63" spans="1:49">
      <c r="A63" s="319" t="str">
        <f t="shared" si="2"/>
        <v>Heating Oil – High Efficiency</v>
      </c>
      <c r="C63" s="326">
        <f t="shared" si="0"/>
        <v>0</v>
      </c>
      <c r="D63" s="326">
        <f t="shared" si="0"/>
        <v>0</v>
      </c>
      <c r="E63" s="326">
        <f t="shared" si="0"/>
        <v>0</v>
      </c>
      <c r="F63" s="326">
        <f t="shared" si="0"/>
        <v>0</v>
      </c>
      <c r="G63" s="326">
        <f t="shared" si="0"/>
        <v>0</v>
      </c>
      <c r="H63" s="326">
        <f t="shared" si="0"/>
        <v>0</v>
      </c>
      <c r="I63" s="326">
        <f t="shared" si="0"/>
        <v>0</v>
      </c>
      <c r="J63" s="326">
        <f t="shared" si="0"/>
        <v>0</v>
      </c>
      <c r="K63" s="326">
        <f t="shared" si="0"/>
        <v>0</v>
      </c>
      <c r="L63" s="326">
        <f t="shared" si="0"/>
        <v>0</v>
      </c>
      <c r="M63" s="326">
        <f t="shared" si="0"/>
        <v>0</v>
      </c>
      <c r="N63" s="326">
        <f t="shared" si="0"/>
        <v>0</v>
      </c>
      <c r="O63" s="326">
        <f t="shared" si="0"/>
        <v>0</v>
      </c>
      <c r="P63" s="326">
        <f t="shared" si="0"/>
        <v>0</v>
      </c>
      <c r="Q63" s="326">
        <f t="shared" si="0"/>
        <v>0</v>
      </c>
      <c r="R63" s="326">
        <f t="shared" si="0"/>
        <v>0</v>
      </c>
      <c r="S63" s="326">
        <f t="shared" si="0"/>
        <v>0</v>
      </c>
      <c r="T63" s="326">
        <f t="shared" si="0"/>
        <v>0</v>
      </c>
      <c r="U63" s="326">
        <f t="shared" si="0"/>
        <v>0</v>
      </c>
      <c r="V63" s="326">
        <f t="shared" si="0"/>
        <v>0</v>
      </c>
      <c r="W63" s="326">
        <f t="shared" si="0"/>
        <v>0</v>
      </c>
      <c r="X63" s="326">
        <f t="shared" si="3"/>
        <v>0</v>
      </c>
      <c r="Z63" s="319" t="str">
        <f t="shared" si="4"/>
        <v>Heating Oil – High Efficiency</v>
      </c>
      <c r="AB63" s="326">
        <f t="shared" si="5"/>
        <v>0</v>
      </c>
      <c r="AC63" s="326">
        <f t="shared" si="1"/>
        <v>0</v>
      </c>
      <c r="AD63" s="326">
        <f t="shared" si="1"/>
        <v>0</v>
      </c>
      <c r="AE63" s="326">
        <f t="shared" si="1"/>
        <v>0</v>
      </c>
      <c r="AF63" s="326">
        <f t="shared" si="1"/>
        <v>0</v>
      </c>
      <c r="AG63" s="326">
        <f t="shared" si="1"/>
        <v>0</v>
      </c>
      <c r="AH63" s="326">
        <f t="shared" si="1"/>
        <v>0</v>
      </c>
      <c r="AI63" s="326">
        <f t="shared" si="1"/>
        <v>0</v>
      </c>
      <c r="AJ63" s="326">
        <f t="shared" si="1"/>
        <v>0</v>
      </c>
      <c r="AK63" s="326">
        <f t="shared" si="1"/>
        <v>0</v>
      </c>
      <c r="AL63" s="326">
        <f t="shared" si="1"/>
        <v>0</v>
      </c>
      <c r="AM63" s="326">
        <f t="shared" si="1"/>
        <v>0</v>
      </c>
      <c r="AN63" s="326">
        <f t="shared" si="1"/>
        <v>0</v>
      </c>
      <c r="AO63" s="326">
        <f t="shared" si="1"/>
        <v>0</v>
      </c>
      <c r="AP63" s="326">
        <f t="shared" si="1"/>
        <v>0</v>
      </c>
      <c r="AQ63" s="326">
        <f t="shared" si="1"/>
        <v>0</v>
      </c>
      <c r="AR63" s="326">
        <f t="shared" si="1"/>
        <v>0</v>
      </c>
      <c r="AS63" s="326">
        <f t="shared" si="1"/>
        <v>0</v>
      </c>
      <c r="AT63" s="326">
        <f t="shared" si="1"/>
        <v>0</v>
      </c>
      <c r="AU63" s="326">
        <f t="shared" si="1"/>
        <v>0</v>
      </c>
      <c r="AV63" s="326">
        <f t="shared" si="1"/>
        <v>0</v>
      </c>
      <c r="AW63" s="326">
        <f t="shared" si="1"/>
        <v>0</v>
      </c>
    </row>
    <row r="64" spans="1:49">
      <c r="A64" s="319" t="str">
        <f t="shared" si="2"/>
        <v>Natural Gas – Normal Efficiency</v>
      </c>
      <c r="C64" s="326">
        <f t="shared" si="0"/>
        <v>-76.005000000000109</v>
      </c>
      <c r="D64" s="326">
        <f t="shared" si="0"/>
        <v>-82.67899999999986</v>
      </c>
      <c r="E64" s="326">
        <f t="shared" si="0"/>
        <v>-91.538999999999987</v>
      </c>
      <c r="F64" s="326">
        <f t="shared" si="0"/>
        <v>-100.14400000000001</v>
      </c>
      <c r="G64" s="326">
        <f t="shared" si="0"/>
        <v>-103.80400000000009</v>
      </c>
      <c r="H64" s="326">
        <f t="shared" si="0"/>
        <v>-109.51599999999996</v>
      </c>
      <c r="I64" s="326">
        <f t="shared" si="0"/>
        <v>-109.66300000000001</v>
      </c>
      <c r="J64" s="326">
        <f t="shared" si="0"/>
        <v>-104.05399999999997</v>
      </c>
      <c r="K64" s="326">
        <f t="shared" si="0"/>
        <v>-103.726</v>
      </c>
      <c r="L64" s="326">
        <f t="shared" si="0"/>
        <v>-95.197999999999979</v>
      </c>
      <c r="M64" s="326">
        <f t="shared" si="0"/>
        <v>-89.290999999999997</v>
      </c>
      <c r="N64" s="326">
        <f t="shared" si="0"/>
        <v>-84.606000000000051</v>
      </c>
      <c r="O64" s="326">
        <f t="shared" si="0"/>
        <v>-75.060999999999979</v>
      </c>
      <c r="P64" s="326">
        <f t="shared" si="0"/>
        <v>-67.11699999999999</v>
      </c>
      <c r="Q64" s="326">
        <f t="shared" si="0"/>
        <v>-56.334000000000003</v>
      </c>
      <c r="R64" s="326">
        <f t="shared" si="0"/>
        <v>-44.784000000000006</v>
      </c>
      <c r="S64" s="326">
        <f t="shared" si="0"/>
        <v>-14.899999999999999</v>
      </c>
      <c r="T64" s="326">
        <f t="shared" si="0"/>
        <v>-9.59</v>
      </c>
      <c r="U64" s="326">
        <f t="shared" si="0"/>
        <v>-5.1059999999999999</v>
      </c>
      <c r="V64" s="326">
        <f t="shared" si="0"/>
        <v>-0.28699999999999998</v>
      </c>
      <c r="W64" s="326">
        <f t="shared" si="0"/>
        <v>0</v>
      </c>
      <c r="X64" s="326">
        <f t="shared" si="3"/>
        <v>0</v>
      </c>
      <c r="Z64" s="319" t="str">
        <f t="shared" si="4"/>
        <v>Natural Gas – Normal Efficiency</v>
      </c>
      <c r="AB64" s="326">
        <f t="shared" si="5"/>
        <v>-17.651426000000001</v>
      </c>
      <c r="AC64" s="326">
        <f t="shared" si="1"/>
        <v>-2.424617000000012</v>
      </c>
      <c r="AD64" s="326">
        <f t="shared" si="1"/>
        <v>3.5499560000000088</v>
      </c>
      <c r="AE64" s="326">
        <f t="shared" si="1"/>
        <v>-16.202469000000008</v>
      </c>
      <c r="AF64" s="326">
        <f t="shared" si="1"/>
        <v>-9.4244839999999925</v>
      </c>
      <c r="AG64" s="326">
        <f t="shared" si="1"/>
        <v>-19.281136000000004</v>
      </c>
      <c r="AH64" s="326">
        <f t="shared" si="1"/>
        <v>0.11637299999999584</v>
      </c>
      <c r="AI64" s="326">
        <f t="shared" si="1"/>
        <v>-8.4660930000000008</v>
      </c>
      <c r="AJ64" s="326">
        <f t="shared" si="1"/>
        <v>-14.843063999999991</v>
      </c>
      <c r="AK64" s="326">
        <f t="shared" si="1"/>
        <v>-11.864151</v>
      </c>
      <c r="AL64" s="326">
        <f t="shared" si="1"/>
        <v>-3.9398270000000011</v>
      </c>
      <c r="AM64" s="326">
        <f t="shared" si="1"/>
        <v>-12.052121</v>
      </c>
      <c r="AN64" s="326">
        <f t="shared" si="1"/>
        <v>-3.507949</v>
      </c>
      <c r="AO64" s="326">
        <f t="shared" si="1"/>
        <v>-6.5605980000000024</v>
      </c>
      <c r="AP64" s="326">
        <f t="shared" si="1"/>
        <v>-6.2045619999999992</v>
      </c>
      <c r="AQ64" s="326">
        <f t="shared" si="1"/>
        <v>-5.1210310000000003</v>
      </c>
      <c r="AR64" s="326">
        <f t="shared" si="1"/>
        <v>-0.78787200000000013</v>
      </c>
      <c r="AS64" s="326">
        <f t="shared" si="1"/>
        <v>-0.48832099999999995</v>
      </c>
      <c r="AT64" s="326">
        <f t="shared" si="1"/>
        <v>-0.22726100000000002</v>
      </c>
      <c r="AU64" s="326">
        <f t="shared" si="1"/>
        <v>-1.5980999999999999E-2</v>
      </c>
      <c r="AV64" s="326">
        <f t="shared" si="1"/>
        <v>0</v>
      </c>
      <c r="AW64" s="326">
        <f t="shared" si="1"/>
        <v>0</v>
      </c>
    </row>
    <row r="65" spans="1:49">
      <c r="A65" s="319" t="str">
        <f t="shared" si="2"/>
        <v>Natural Gas – Medium Efficiency</v>
      </c>
      <c r="C65" s="326">
        <f t="shared" si="0"/>
        <v>61.942000000000007</v>
      </c>
      <c r="D65" s="326">
        <f t="shared" si="0"/>
        <v>67.396999999999935</v>
      </c>
      <c r="E65" s="326">
        <f t="shared" si="0"/>
        <v>57.677999999999997</v>
      </c>
      <c r="F65" s="326">
        <f t="shared" si="0"/>
        <v>55.159000000000106</v>
      </c>
      <c r="G65" s="326">
        <f t="shared" si="0"/>
        <v>47.442999999999984</v>
      </c>
      <c r="H65" s="326">
        <f t="shared" si="0"/>
        <v>38.712999999999965</v>
      </c>
      <c r="I65" s="326">
        <f t="shared" si="0"/>
        <v>32.432000000000016</v>
      </c>
      <c r="J65" s="326">
        <f t="shared" si="0"/>
        <v>15.875999999999976</v>
      </c>
      <c r="K65" s="326">
        <f t="shared" si="0"/>
        <v>6.1499999999998636</v>
      </c>
      <c r="L65" s="326">
        <f t="shared" si="0"/>
        <v>-10.682999999999993</v>
      </c>
      <c r="M65" s="326">
        <f t="shared" si="0"/>
        <v>-15.593999999999824</v>
      </c>
      <c r="N65" s="326">
        <f t="shared" si="0"/>
        <v>-21.079000000000178</v>
      </c>
      <c r="O65" s="326">
        <f t="shared" si="0"/>
        <v>-31.407999999999902</v>
      </c>
      <c r="P65" s="326">
        <f t="shared" si="0"/>
        <v>-40.736000000000104</v>
      </c>
      <c r="Q65" s="326">
        <f t="shared" si="0"/>
        <v>-50.640999999999849</v>
      </c>
      <c r="R65" s="326">
        <f t="shared" si="0"/>
        <v>-60.465000000000032</v>
      </c>
      <c r="S65" s="326">
        <f t="shared" si="0"/>
        <v>-71.478000000000065</v>
      </c>
      <c r="T65" s="326">
        <f t="shared" si="0"/>
        <v>-74.471000000000004</v>
      </c>
      <c r="U65" s="326">
        <f t="shared" si="0"/>
        <v>-73.432999999999993</v>
      </c>
      <c r="V65" s="326">
        <f t="shared" si="0"/>
        <v>-70.328999999999951</v>
      </c>
      <c r="W65" s="326">
        <f t="shared" si="0"/>
        <v>-67.086999999999989</v>
      </c>
      <c r="X65" s="326">
        <f t="shared" si="3"/>
        <v>-64.653999999999996</v>
      </c>
      <c r="Z65" s="319" t="str">
        <f t="shared" si="4"/>
        <v>Natural Gas – Medium Efficiency</v>
      </c>
      <c r="AB65" s="326">
        <f t="shared" si="5"/>
        <v>-1.7067900000000051</v>
      </c>
      <c r="AC65" s="326">
        <f t="shared" si="1"/>
        <v>7.5609689999999929</v>
      </c>
      <c r="AD65" s="326">
        <f t="shared" si="1"/>
        <v>12.491031000000007</v>
      </c>
      <c r="AE65" s="326">
        <f t="shared" si="1"/>
        <v>-0.40382100000000776</v>
      </c>
      <c r="AF65" s="326">
        <f t="shared" si="1"/>
        <v>4.0311690000000056</v>
      </c>
      <c r="AG65" s="326">
        <f t="shared" si="1"/>
        <v>-6.4741470000000021</v>
      </c>
      <c r="AH65" s="326">
        <f t="shared" si="1"/>
        <v>14.609361000000007</v>
      </c>
      <c r="AI65" s="326">
        <f t="shared" si="1"/>
        <v>4.2441729999999893</v>
      </c>
      <c r="AJ65" s="326">
        <f t="shared" si="1"/>
        <v>-6.8203399999999874</v>
      </c>
      <c r="AK65" s="326">
        <f t="shared" si="1"/>
        <v>-6.6562150000000031</v>
      </c>
      <c r="AL65" s="326">
        <f t="shared" si="1"/>
        <v>10.009956000000003</v>
      </c>
      <c r="AM65" s="326">
        <f t="shared" si="1"/>
        <v>-13.841339000000005</v>
      </c>
      <c r="AN65" s="326">
        <f t="shared" si="1"/>
        <v>12.892574999999994</v>
      </c>
      <c r="AO65" s="326">
        <f t="shared" si="1"/>
        <v>0.47995400000000643</v>
      </c>
      <c r="AP65" s="326">
        <f t="shared" si="1"/>
        <v>-4.2480019999999996</v>
      </c>
      <c r="AQ65" s="326">
        <f t="shared" si="1"/>
        <v>-18.552220000000005</v>
      </c>
      <c r="AR65" s="326">
        <f t="shared" si="1"/>
        <v>-4.3779249999999905</v>
      </c>
      <c r="AS65" s="326">
        <f t="shared" si="1"/>
        <v>-1.3353670000000051</v>
      </c>
      <c r="AT65" s="326">
        <f t="shared" si="1"/>
        <v>-3.3699149999999989</v>
      </c>
      <c r="AU65" s="326">
        <f t="shared" si="1"/>
        <v>-12.229708000000002</v>
      </c>
      <c r="AV65" s="326">
        <f t="shared" si="1"/>
        <v>-7.3569869999999966</v>
      </c>
      <c r="AW65" s="326">
        <f t="shared" si="1"/>
        <v>-2.500712</v>
      </c>
    </row>
    <row r="66" spans="1:49">
      <c r="A66" s="319" t="str">
        <f t="shared" si="2"/>
        <v>Natural Gas – High Efficiency</v>
      </c>
      <c r="C66" s="326">
        <f t="shared" si="0"/>
        <v>84.402000000000044</v>
      </c>
      <c r="D66" s="326">
        <f t="shared" si="0"/>
        <v>106.09400000000005</v>
      </c>
      <c r="E66" s="326">
        <f t="shared" si="0"/>
        <v>105.33999999999992</v>
      </c>
      <c r="F66" s="326">
        <f t="shared" si="0"/>
        <v>119.79300000000012</v>
      </c>
      <c r="G66" s="326">
        <f t="shared" si="0"/>
        <v>121.93399999999997</v>
      </c>
      <c r="H66" s="326">
        <f t="shared" si="0"/>
        <v>131.00800000000004</v>
      </c>
      <c r="I66" s="326">
        <f t="shared" si="0"/>
        <v>117.92200000000003</v>
      </c>
      <c r="J66" s="326">
        <f t="shared" si="0"/>
        <v>122.68199999999979</v>
      </c>
      <c r="K66" s="326">
        <f t="shared" si="0"/>
        <v>114.37900000000013</v>
      </c>
      <c r="L66" s="326">
        <f t="shared" si="0"/>
        <v>125.11999999999989</v>
      </c>
      <c r="M66" s="326">
        <f t="shared" si="0"/>
        <v>119.03300000000013</v>
      </c>
      <c r="N66" s="326">
        <f t="shared" si="0"/>
        <v>115.89399999999978</v>
      </c>
      <c r="O66" s="326">
        <f t="shared" si="0"/>
        <v>120.99099999999999</v>
      </c>
      <c r="P66" s="326">
        <f t="shared" si="0"/>
        <v>118.72500000000036</v>
      </c>
      <c r="Q66" s="326">
        <f t="shared" si="0"/>
        <v>131.41999999999962</v>
      </c>
      <c r="R66" s="326">
        <f t="shared" si="0"/>
        <v>122.63100000000031</v>
      </c>
      <c r="S66" s="326">
        <f t="shared" si="0"/>
        <v>113.95399999999972</v>
      </c>
      <c r="T66" s="326">
        <f t="shared" si="0"/>
        <v>116.64800000000014</v>
      </c>
      <c r="U66" s="326">
        <f t="shared" si="0"/>
        <v>113.08600000000024</v>
      </c>
      <c r="V66" s="326">
        <f t="shared" si="0"/>
        <v>131.52999999999975</v>
      </c>
      <c r="W66" s="326">
        <f t="shared" si="0"/>
        <v>131.37300000000005</v>
      </c>
      <c r="X66" s="326">
        <f>X33-W33</f>
        <v>120.08399999999983</v>
      </c>
      <c r="Z66" s="319" t="str">
        <f t="shared" si="4"/>
        <v>Natural Gas – High Efficiency</v>
      </c>
      <c r="AB66" s="326">
        <f t="shared" si="5"/>
        <v>1.4961600000000033</v>
      </c>
      <c r="AC66" s="326">
        <f t="shared" si="1"/>
        <v>8.838992999999995</v>
      </c>
      <c r="AD66" s="326">
        <f t="shared" si="1"/>
        <v>13.804848999999997</v>
      </c>
      <c r="AE66" s="326">
        <f t="shared" si="1"/>
        <v>4.2350030000000061</v>
      </c>
      <c r="AF66" s="326">
        <f t="shared" si="1"/>
        <v>8.5561560000000014</v>
      </c>
      <c r="AG66" s="326">
        <f t="shared" si="1"/>
        <v>-0.78152500000000202</v>
      </c>
      <c r="AH66" s="326">
        <f t="shared" si="1"/>
        <v>20.532089999999997</v>
      </c>
      <c r="AI66" s="326">
        <f t="shared" si="1"/>
        <v>11.942883000000009</v>
      </c>
      <c r="AJ66" s="326">
        <f t="shared" si="1"/>
        <v>-0.89164200000000449</v>
      </c>
      <c r="AK66" s="326">
        <f t="shared" si="1"/>
        <v>0.30605300000000568</v>
      </c>
      <c r="AL66" s="326">
        <f t="shared" si="1"/>
        <v>22.917675999999986</v>
      </c>
      <c r="AM66" s="326">
        <f t="shared" si="1"/>
        <v>-10.813325999999989</v>
      </c>
      <c r="AN66" s="326">
        <f t="shared" si="1"/>
        <v>32.135818999999998</v>
      </c>
      <c r="AO66" s="326">
        <f t="shared" si="1"/>
        <v>15.099950000000007</v>
      </c>
      <c r="AP66" s="326">
        <f t="shared" si="1"/>
        <v>8.8986270000000047</v>
      </c>
      <c r="AQ66" s="326">
        <f t="shared" si="1"/>
        <v>-21.27398500000001</v>
      </c>
      <c r="AR66" s="326">
        <f t="shared" si="1"/>
        <v>8.5255439999999965</v>
      </c>
      <c r="AS66" s="326">
        <f t="shared" si="1"/>
        <v>18.140774999999991</v>
      </c>
      <c r="AT66" s="326">
        <f t="shared" si="1"/>
        <v>14.71156400000001</v>
      </c>
      <c r="AU66" s="326">
        <f t="shared" si="1"/>
        <v>-15.245201000000009</v>
      </c>
      <c r="AV66" s="326">
        <f t="shared" si="1"/>
        <v>-3.2284679999999923</v>
      </c>
      <c r="AW66" s="326">
        <f t="shared" si="1"/>
        <v>15.477285999999992</v>
      </c>
    </row>
    <row r="67" spans="1:49">
      <c r="A67" s="319" t="str">
        <f t="shared" si="2"/>
        <v>Electric</v>
      </c>
      <c r="C67" s="326">
        <f t="shared" si="0"/>
        <v>4.0879999999999654</v>
      </c>
      <c r="D67" s="326">
        <f t="shared" si="0"/>
        <v>10.245000000000005</v>
      </c>
      <c r="E67" s="326">
        <f t="shared" si="0"/>
        <v>10.022000000000048</v>
      </c>
      <c r="F67" s="326">
        <f t="shared" si="0"/>
        <v>11.91599999999994</v>
      </c>
      <c r="G67" s="326">
        <f t="shared" si="0"/>
        <v>18.269000000000005</v>
      </c>
      <c r="H67" s="326">
        <f t="shared" si="0"/>
        <v>20.408000000000015</v>
      </c>
      <c r="I67" s="326">
        <f t="shared" si="0"/>
        <v>22.509000000000015</v>
      </c>
      <c r="J67" s="326">
        <f t="shared" si="0"/>
        <v>30.024000000000001</v>
      </c>
      <c r="K67" s="326">
        <f t="shared" si="0"/>
        <v>31.65300000000002</v>
      </c>
      <c r="L67" s="326">
        <f t="shared" si="0"/>
        <v>34.974999999999909</v>
      </c>
      <c r="M67" s="326">
        <f t="shared" si="0"/>
        <v>36.258000000000038</v>
      </c>
      <c r="N67" s="326">
        <f t="shared" si="0"/>
        <v>33.955000000000041</v>
      </c>
      <c r="O67" s="326">
        <f t="shared" si="0"/>
        <v>37.283000000000015</v>
      </c>
      <c r="P67" s="326">
        <f t="shared" si="0"/>
        <v>34.211000000000013</v>
      </c>
      <c r="Q67" s="326">
        <f t="shared" si="0"/>
        <v>39.139999999999873</v>
      </c>
      <c r="R67" s="326">
        <f t="shared" si="0"/>
        <v>35.94600000000014</v>
      </c>
      <c r="S67" s="326">
        <f t="shared" si="0"/>
        <v>31.837999999999965</v>
      </c>
      <c r="T67" s="326">
        <f t="shared" si="0"/>
        <v>36.519999999999982</v>
      </c>
      <c r="U67" s="326">
        <f t="shared" si="0"/>
        <v>39.711000000000013</v>
      </c>
      <c r="V67" s="326">
        <f t="shared" si="0"/>
        <v>30.914999999999964</v>
      </c>
      <c r="W67" s="326">
        <f t="shared" si="0"/>
        <v>33.491999999999962</v>
      </c>
      <c r="X67" s="326">
        <f t="shared" si="3"/>
        <v>31.538999999999987</v>
      </c>
      <c r="Z67" s="319" t="str">
        <f t="shared" si="4"/>
        <v>Electric</v>
      </c>
      <c r="AB67" s="326">
        <f t="shared" si="5"/>
        <v>-2.5627259999999978</v>
      </c>
      <c r="AC67" s="326">
        <f t="shared" si="1"/>
        <v>0.41218299999999886</v>
      </c>
      <c r="AD67" s="326">
        <f t="shared" si="1"/>
        <v>4.3271489999999986</v>
      </c>
      <c r="AE67" s="326">
        <f t="shared" si="1"/>
        <v>1.2244820000000018</v>
      </c>
      <c r="AF67" s="326">
        <f t="shared" si="1"/>
        <v>-2.7130069999999975</v>
      </c>
      <c r="AG67" s="326">
        <f t="shared" si="1"/>
        <v>-2.8716429999999988</v>
      </c>
      <c r="AH67" s="326">
        <f t="shared" si="1"/>
        <v>3.5860799999999955</v>
      </c>
      <c r="AI67" s="326">
        <f t="shared" si="1"/>
        <v>2.8057860000000048</v>
      </c>
      <c r="AJ67" s="326">
        <f t="shared" si="1"/>
        <v>2.5730189999999951</v>
      </c>
      <c r="AK67" s="326">
        <f t="shared" si="1"/>
        <v>-1.6191589999999962</v>
      </c>
      <c r="AL67" s="326">
        <f t="shared" si="1"/>
        <v>0.78954600000000141</v>
      </c>
      <c r="AM67" s="326">
        <f t="shared" si="1"/>
        <v>-2.1359190000000012</v>
      </c>
      <c r="AN67" s="326">
        <f t="shared" si="1"/>
        <v>7.5245379999999997</v>
      </c>
      <c r="AO67" s="326">
        <f t="shared" si="1"/>
        <v>3.5562849999999955</v>
      </c>
      <c r="AP67" s="326">
        <f t="shared" si="1"/>
        <v>-2.9933979999999991</v>
      </c>
      <c r="AQ67" s="326">
        <f t="shared" si="1"/>
        <v>-5.7194189999999949</v>
      </c>
      <c r="AR67" s="326">
        <f t="shared" si="1"/>
        <v>2.3757629999999992</v>
      </c>
      <c r="AS67" s="326">
        <f t="shared" si="1"/>
        <v>-1.6014219999999995</v>
      </c>
      <c r="AT67" s="326">
        <f t="shared" si="1"/>
        <v>2.6057939999999959</v>
      </c>
      <c r="AU67" s="326">
        <f t="shared" si="1"/>
        <v>-4.0855079999999973</v>
      </c>
      <c r="AV67" s="326">
        <f t="shared" si="1"/>
        <v>-0.86223199999999878</v>
      </c>
      <c r="AW67" s="326">
        <f t="shared" si="1"/>
        <v>1.0067799999999991</v>
      </c>
    </row>
    <row r="68" spans="1:49">
      <c r="A68" s="586" t="str">
        <f t="shared" si="2"/>
        <v>Heat Pump</v>
      </c>
      <c r="B68" s="587"/>
      <c r="C68" s="584">
        <f t="shared" si="0"/>
        <v>0.66499999999999915</v>
      </c>
      <c r="D68" s="584">
        <f t="shared" si="0"/>
        <v>-0.16199999999999903</v>
      </c>
      <c r="E68" s="584">
        <f t="shared" si="0"/>
        <v>0.52799999999999869</v>
      </c>
      <c r="F68" s="584">
        <f t="shared" si="0"/>
        <v>1.9979999999999976</v>
      </c>
      <c r="G68" s="584">
        <f t="shared" si="0"/>
        <v>0.41200000000000614</v>
      </c>
      <c r="H68" s="584">
        <f t="shared" si="0"/>
        <v>1.25</v>
      </c>
      <c r="I68" s="584">
        <f t="shared" si="0"/>
        <v>1.2239999999999966</v>
      </c>
      <c r="J68" s="584">
        <f t="shared" si="0"/>
        <v>-0.88799999999999812</v>
      </c>
      <c r="K68" s="584">
        <f t="shared" si="0"/>
        <v>0.86399999999999721</v>
      </c>
      <c r="L68" s="584">
        <f t="shared" si="0"/>
        <v>2.3019999999999996</v>
      </c>
      <c r="M68" s="584">
        <f t="shared" si="0"/>
        <v>-0.87699999999999534</v>
      </c>
      <c r="N68" s="584">
        <f t="shared" si="0"/>
        <v>3.9160000000000039</v>
      </c>
      <c r="O68" s="584">
        <f t="shared" si="0"/>
        <v>-2.7410000000000068</v>
      </c>
      <c r="P68" s="584">
        <f t="shared" si="0"/>
        <v>3.1939999999999955</v>
      </c>
      <c r="Q68" s="584">
        <f t="shared" si="0"/>
        <v>1.2510000000000048</v>
      </c>
      <c r="R68" s="584">
        <f t="shared" si="0"/>
        <v>4.269999999999996</v>
      </c>
      <c r="S68" s="584">
        <f t="shared" si="0"/>
        <v>7.5880000000000081</v>
      </c>
      <c r="T68" s="584">
        <f t="shared" si="0"/>
        <v>7.0139999999999958</v>
      </c>
      <c r="U68" s="584">
        <f t="shared" si="0"/>
        <v>7.0280000000000058</v>
      </c>
      <c r="V68" s="584">
        <f t="shared" si="0"/>
        <v>9.4979999999999905</v>
      </c>
      <c r="W68" s="584">
        <f t="shared" si="0"/>
        <v>9.8539999999999992</v>
      </c>
      <c r="X68" s="584">
        <f t="shared" si="3"/>
        <v>10.058000000000007</v>
      </c>
      <c r="Z68" s="319" t="str">
        <f t="shared" si="4"/>
        <v>Heat Pump</v>
      </c>
      <c r="AB68" s="326">
        <f t="shared" si="5"/>
        <v>-0.11583699999999997</v>
      </c>
      <c r="AC68" s="326">
        <f t="shared" si="1"/>
        <v>-1.6372999999999971E-2</v>
      </c>
      <c r="AD68" s="326">
        <f t="shared" si="1"/>
        <v>0.19332599999999989</v>
      </c>
      <c r="AE68" s="326">
        <f t="shared" si="1"/>
        <v>9.7690000000000055E-2</v>
      </c>
      <c r="AF68" s="326">
        <f t="shared" si="1"/>
        <v>-0.15507099999999996</v>
      </c>
      <c r="AG68" s="326">
        <f t="shared" si="1"/>
        <v>-0.14418400000000009</v>
      </c>
      <c r="AH68" s="326">
        <f t="shared" si="1"/>
        <v>0.16096900000000014</v>
      </c>
      <c r="AI68" s="326">
        <f t="shared" si="1"/>
        <v>2.7123000000000008E-2</v>
      </c>
      <c r="AJ68" s="326">
        <f t="shared" si="1"/>
        <v>7.6524000000000036E-2</v>
      </c>
      <c r="AK68" s="326">
        <f t="shared" si="1"/>
        <v>-5.0987000000000116E-2</v>
      </c>
      <c r="AL68" s="326">
        <f t="shared" si="1"/>
        <v>-7.5215000000000032E-2</v>
      </c>
      <c r="AM68" s="326">
        <f t="shared" si="1"/>
        <v>-2.6437000000000044E-2</v>
      </c>
      <c r="AN68" s="326">
        <f t="shared" si="1"/>
        <v>0.14914200000000011</v>
      </c>
      <c r="AO68" s="326">
        <f t="shared" si="1"/>
        <v>0.19400299999999993</v>
      </c>
      <c r="AP68" s="326">
        <f t="shared" si="1"/>
        <v>-0.14030100000000001</v>
      </c>
      <c r="AQ68" s="326">
        <f t="shared" si="1"/>
        <v>-0.17982900000000002</v>
      </c>
      <c r="AR68" s="326">
        <f t="shared" si="1"/>
        <v>0.26301300000000016</v>
      </c>
      <c r="AS68" s="326">
        <f t="shared" si="1"/>
        <v>4.9236999999999753E-2</v>
      </c>
      <c r="AT68" s="326">
        <f t="shared" si="1"/>
        <v>0.23504800000000037</v>
      </c>
      <c r="AU68" s="326">
        <f t="shared" si="1"/>
        <v>-3.2819000000000376E-2</v>
      </c>
      <c r="AV68" s="326">
        <f t="shared" si="1"/>
        <v>0.12330000000000041</v>
      </c>
      <c r="AW68" s="326">
        <f t="shared" si="1"/>
        <v>0.23161999999999994</v>
      </c>
    </row>
    <row r="69" spans="1:49">
      <c r="A69" s="319" t="str">
        <f t="shared" si="2"/>
        <v>Other1</v>
      </c>
      <c r="C69" s="326">
        <f t="shared" si="0"/>
        <v>-0.20099999999999341</v>
      </c>
      <c r="D69" s="326">
        <f t="shared" si="0"/>
        <v>0.20399999999999352</v>
      </c>
      <c r="E69" s="326">
        <f t="shared" si="0"/>
        <v>0.20299999999999585</v>
      </c>
      <c r="F69" s="326">
        <f t="shared" si="0"/>
        <v>0.94100000000000961</v>
      </c>
      <c r="G69" s="326">
        <f t="shared" si="0"/>
        <v>2.1289999999999978</v>
      </c>
      <c r="H69" s="326">
        <f t="shared" si="0"/>
        <v>3.2079999999999984</v>
      </c>
      <c r="I69" s="326">
        <f t="shared" si="0"/>
        <v>4.3980000000000032</v>
      </c>
      <c r="J69" s="326">
        <f t="shared" si="0"/>
        <v>6.1019999999999897</v>
      </c>
      <c r="K69" s="326">
        <f t="shared" si="0"/>
        <v>7.6620000000000061</v>
      </c>
      <c r="L69" s="326">
        <f t="shared" si="0"/>
        <v>9.4879999999999995</v>
      </c>
      <c r="M69" s="326">
        <f t="shared" si="0"/>
        <v>10.102000000000004</v>
      </c>
      <c r="N69" s="326">
        <f t="shared" si="0"/>
        <v>10.718000000000004</v>
      </c>
      <c r="O69" s="326">
        <f t="shared" si="0"/>
        <v>11.422999999999988</v>
      </c>
      <c r="P69" s="326">
        <f t="shared" si="0"/>
        <v>11.945000000000007</v>
      </c>
      <c r="Q69" s="326">
        <f t="shared" si="0"/>
        <v>13.11699999999999</v>
      </c>
      <c r="R69" s="326">
        <f t="shared" si="0"/>
        <v>13.586000000000013</v>
      </c>
      <c r="S69" s="326">
        <f t="shared" si="0"/>
        <v>13.825999999999993</v>
      </c>
      <c r="T69" s="326">
        <f t="shared" si="0"/>
        <v>15.584000000000003</v>
      </c>
      <c r="U69" s="326">
        <f t="shared" si="0"/>
        <v>17.324999999999989</v>
      </c>
      <c r="V69" s="326">
        <f t="shared" si="0"/>
        <v>10.609000000000009</v>
      </c>
      <c r="W69" s="326">
        <f t="shared" si="0"/>
        <v>11.546999999999997</v>
      </c>
      <c r="X69" s="326">
        <f t="shared" si="3"/>
        <v>11.815000000000026</v>
      </c>
      <c r="Z69" s="319" t="str">
        <f t="shared" si="4"/>
        <v>Other1</v>
      </c>
      <c r="AB69" s="326">
        <f t="shared" si="5"/>
        <v>-0.34167900000000007</v>
      </c>
      <c r="AC69" s="326">
        <f t="shared" si="1"/>
        <v>-9.1874999999999929E-2</v>
      </c>
      <c r="AD69" s="326">
        <f t="shared" si="1"/>
        <v>0.58474999999999966</v>
      </c>
      <c r="AE69" s="326">
        <f t="shared" si="1"/>
        <v>-1.7811999999999273E-2</v>
      </c>
      <c r="AF69" s="326">
        <f t="shared" si="1"/>
        <v>1.5301419999999997</v>
      </c>
      <c r="AG69" s="326">
        <f t="shared" si="1"/>
        <v>0.98379100000000008</v>
      </c>
      <c r="AH69" s="326">
        <f t="shared" si="1"/>
        <v>0.98765699999999956</v>
      </c>
      <c r="AI69" s="326">
        <f t="shared" si="1"/>
        <v>0.75801799999999986</v>
      </c>
      <c r="AJ69" s="326">
        <f t="shared" si="1"/>
        <v>-0.92203400000000002</v>
      </c>
      <c r="AK69" s="326">
        <f t="shared" si="1"/>
        <v>0.50123300000000093</v>
      </c>
      <c r="AL69" s="326">
        <f t="shared" si="1"/>
        <v>1.6916580000000003</v>
      </c>
      <c r="AM69" s="326">
        <f t="shared" si="1"/>
        <v>1.6068929999999995</v>
      </c>
      <c r="AN69" s="326">
        <f t="shared" si="1"/>
        <v>-3.5208840000000006</v>
      </c>
      <c r="AO69" s="326">
        <f t="shared" si="1"/>
        <v>-0.78668799999999983</v>
      </c>
      <c r="AP69" s="326">
        <f t="shared" si="1"/>
        <v>-0.14186299999999985</v>
      </c>
      <c r="AQ69" s="326">
        <f t="shared" si="1"/>
        <v>2.8858020000000009</v>
      </c>
      <c r="AR69" s="326">
        <f t="shared" si="1"/>
        <v>0.35781699999999894</v>
      </c>
      <c r="AS69" s="326">
        <f t="shared" si="1"/>
        <v>-2.7602060000000002</v>
      </c>
      <c r="AT69" s="326">
        <f t="shared" si="1"/>
        <v>0.17654800000000037</v>
      </c>
      <c r="AU69" s="326">
        <f t="shared" si="1"/>
        <v>-1.8899999999995032E-3</v>
      </c>
      <c r="AV69" s="326">
        <f t="shared" si="1"/>
        <v>1.2154359999999986</v>
      </c>
      <c r="AW69" s="326">
        <f t="shared" si="1"/>
        <v>0.70907200000000081</v>
      </c>
    </row>
    <row r="70" spans="1:49">
      <c r="A70" s="319" t="str">
        <f t="shared" si="2"/>
        <v>Wood</v>
      </c>
      <c r="C70" s="326">
        <f t="shared" ref="C70:W70" si="6">C37-B37</f>
        <v>-1.1419999999999959</v>
      </c>
      <c r="D70" s="326">
        <f t="shared" si="6"/>
        <v>1.7469999999999999</v>
      </c>
      <c r="E70" s="326">
        <f t="shared" si="6"/>
        <v>3.7629999999999981</v>
      </c>
      <c r="F70" s="326">
        <f t="shared" si="6"/>
        <v>0.36899999999999977</v>
      </c>
      <c r="G70" s="326">
        <f t="shared" si="6"/>
        <v>3.7090000000000032</v>
      </c>
      <c r="H70" s="326">
        <f t="shared" si="6"/>
        <v>-1.0350000000000037</v>
      </c>
      <c r="I70" s="326">
        <f t="shared" si="6"/>
        <v>3.2920000000000016</v>
      </c>
      <c r="J70" s="326">
        <f t="shared" si="6"/>
        <v>-0.25399999999999778</v>
      </c>
      <c r="K70" s="326">
        <f t="shared" si="6"/>
        <v>-1.3180000000000049</v>
      </c>
      <c r="L70" s="326">
        <f t="shared" si="6"/>
        <v>-1.921999999999997</v>
      </c>
      <c r="M70" s="326">
        <f t="shared" si="6"/>
        <v>-2.0690000000000026</v>
      </c>
      <c r="N70" s="326">
        <f t="shared" si="6"/>
        <v>-2.375</v>
      </c>
      <c r="O70" s="326">
        <f t="shared" si="6"/>
        <v>-2.4859999999999971</v>
      </c>
      <c r="P70" s="326">
        <f t="shared" si="6"/>
        <v>-2.6480000000000032</v>
      </c>
      <c r="Q70" s="326">
        <f t="shared" si="6"/>
        <v>-2.4549999999999983</v>
      </c>
      <c r="R70" s="326">
        <f t="shared" si="6"/>
        <v>-2.8140000000000001</v>
      </c>
      <c r="S70" s="326">
        <f t="shared" si="6"/>
        <v>-2.8979999999999997</v>
      </c>
      <c r="T70" s="326">
        <f t="shared" si="6"/>
        <v>-2.6169999999999973</v>
      </c>
      <c r="U70" s="326">
        <f t="shared" si="6"/>
        <v>-2.5840000000000032</v>
      </c>
      <c r="V70" s="326">
        <f t="shared" si="6"/>
        <v>-1.0079999999999991</v>
      </c>
      <c r="W70" s="326">
        <f t="shared" si="6"/>
        <v>-0.8819999999999979</v>
      </c>
      <c r="X70" s="326">
        <f>X37-W37</f>
        <v>-0.94500000000000028</v>
      </c>
      <c r="Z70" s="319" t="str">
        <f t="shared" si="4"/>
        <v>Wood</v>
      </c>
      <c r="AB70" s="326">
        <f t="shared" si="5"/>
        <v>-0.65492000000000017</v>
      </c>
      <c r="AC70" s="326">
        <f t="shared" si="1"/>
        <v>-4.8200999999999716E-2</v>
      </c>
      <c r="AD70" s="326">
        <f t="shared" si="1"/>
        <v>5.7049999999999823E-2</v>
      </c>
      <c r="AE70" s="326">
        <f t="shared" si="1"/>
        <v>2.5110000000000188E-2</v>
      </c>
      <c r="AF70" s="326">
        <f t="shared" si="1"/>
        <v>0.20530500000000007</v>
      </c>
      <c r="AG70" s="326">
        <f t="shared" si="1"/>
        <v>-0.24369200000000024</v>
      </c>
      <c r="AH70" s="326">
        <f t="shared" si="1"/>
        <v>0.57221000000000011</v>
      </c>
      <c r="AI70" s="326">
        <f t="shared" si="1"/>
        <v>0.18282700000000007</v>
      </c>
      <c r="AJ70" s="326">
        <f t="shared" si="1"/>
        <v>-5.2170000000000272E-3</v>
      </c>
      <c r="AK70" s="326">
        <f t="shared" si="1"/>
        <v>-0.32464199999999988</v>
      </c>
      <c r="AL70" s="326">
        <f t="shared" si="1"/>
        <v>8.6073999999999984E-2</v>
      </c>
      <c r="AM70" s="326">
        <f t="shared" si="1"/>
        <v>-0.34345100000000039</v>
      </c>
      <c r="AN70" s="326">
        <f t="shared" si="1"/>
        <v>0.35291300000000003</v>
      </c>
      <c r="AO70" s="326">
        <f t="shared" si="1"/>
        <v>-4.129499999999986E-2</v>
      </c>
      <c r="AP70" s="326">
        <f t="shared" si="1"/>
        <v>-0.38534600000000019</v>
      </c>
      <c r="AQ70" s="326">
        <f t="shared" si="1"/>
        <v>-0.22264499999999998</v>
      </c>
      <c r="AR70" s="326">
        <f t="shared" si="1"/>
        <v>-4.0664999999999729E-2</v>
      </c>
      <c r="AS70" s="326">
        <f t="shared" si="1"/>
        <v>-0.35905000000000009</v>
      </c>
      <c r="AT70" s="326">
        <f t="shared" si="1"/>
        <v>-0.48070499999999994</v>
      </c>
      <c r="AU70" s="326">
        <f t="shared" si="1"/>
        <v>-0.2141630000000001</v>
      </c>
      <c r="AV70" s="326">
        <f t="shared" si="1"/>
        <v>-0.11808799999999997</v>
      </c>
      <c r="AW70" s="326">
        <f t="shared" si="1"/>
        <v>4.0485000000000104E-2</v>
      </c>
    </row>
    <row r="71" spans="1:49">
      <c r="A71" s="319" t="str">
        <f t="shared" si="2"/>
        <v>Dual Systems</v>
      </c>
      <c r="C71" s="326"/>
      <c r="D71" s="326"/>
      <c r="E71" s="326"/>
      <c r="F71" s="326"/>
      <c r="G71" s="326"/>
      <c r="H71" s="326"/>
      <c r="I71" s="326"/>
      <c r="J71" s="326"/>
      <c r="K71" s="326"/>
      <c r="L71" s="326"/>
      <c r="M71" s="326"/>
      <c r="N71" s="326"/>
      <c r="O71" s="326"/>
      <c r="P71" s="326"/>
      <c r="Q71" s="326"/>
      <c r="R71" s="326"/>
      <c r="S71" s="326"/>
      <c r="T71" s="326"/>
      <c r="U71" s="326"/>
      <c r="V71" s="326"/>
      <c r="W71" s="326"/>
      <c r="X71" s="326"/>
      <c r="Z71" s="319" t="str">
        <f t="shared" si="4"/>
        <v>Dual Systems</v>
      </c>
      <c r="AB71" s="326">
        <f t="shared" si="5"/>
        <v>0</v>
      </c>
      <c r="AC71" s="326">
        <f t="shared" si="1"/>
        <v>0</v>
      </c>
      <c r="AD71" s="326">
        <f t="shared" si="1"/>
        <v>0</v>
      </c>
      <c r="AE71" s="326">
        <f t="shared" si="1"/>
        <v>0</v>
      </c>
      <c r="AF71" s="326">
        <f t="shared" si="1"/>
        <v>0</v>
      </c>
      <c r="AG71" s="326">
        <f t="shared" si="1"/>
        <v>0</v>
      </c>
      <c r="AH71" s="326">
        <f t="shared" si="1"/>
        <v>0</v>
      </c>
      <c r="AI71" s="326">
        <f t="shared" si="1"/>
        <v>0</v>
      </c>
      <c r="AJ71" s="326">
        <f t="shared" si="1"/>
        <v>0</v>
      </c>
      <c r="AK71" s="326">
        <f t="shared" si="1"/>
        <v>0</v>
      </c>
      <c r="AL71" s="326">
        <f t="shared" si="1"/>
        <v>0</v>
      </c>
      <c r="AM71" s="326">
        <f t="shared" si="1"/>
        <v>0</v>
      </c>
      <c r="AN71" s="326">
        <f t="shared" si="1"/>
        <v>0</v>
      </c>
      <c r="AO71" s="326">
        <f t="shared" si="1"/>
        <v>0</v>
      </c>
      <c r="AP71" s="326">
        <f t="shared" si="1"/>
        <v>0</v>
      </c>
      <c r="AQ71" s="326">
        <f t="shared" si="1"/>
        <v>0</v>
      </c>
      <c r="AR71" s="326">
        <f t="shared" si="1"/>
        <v>0</v>
      </c>
      <c r="AS71" s="326">
        <f t="shared" si="1"/>
        <v>0</v>
      </c>
      <c r="AT71" s="326">
        <f t="shared" si="1"/>
        <v>0</v>
      </c>
      <c r="AU71" s="326">
        <f t="shared" si="1"/>
        <v>0</v>
      </c>
      <c r="AV71" s="326">
        <f t="shared" si="1"/>
        <v>0</v>
      </c>
      <c r="AW71" s="326">
        <f t="shared" si="1"/>
        <v>0</v>
      </c>
    </row>
    <row r="72" spans="1:49">
      <c r="A72" s="319" t="str">
        <f t="shared" si="2"/>
        <v>Wood/Electric</v>
      </c>
      <c r="C72" s="326">
        <f t="shared" ref="C72:X72" si="7">C39-B39</f>
        <v>1.7990000000000066</v>
      </c>
      <c r="D72" s="326">
        <f t="shared" si="7"/>
        <v>1.9419999999999931</v>
      </c>
      <c r="E72" s="326">
        <f t="shared" si="7"/>
        <v>2.0529999999999973</v>
      </c>
      <c r="F72" s="326">
        <f t="shared" si="7"/>
        <v>1.8770000000000095</v>
      </c>
      <c r="G72" s="326">
        <f t="shared" si="7"/>
        <v>2.0349999999999966</v>
      </c>
      <c r="H72" s="326">
        <f t="shared" si="7"/>
        <v>1.2720000000000056</v>
      </c>
      <c r="I72" s="326">
        <f t="shared" si="7"/>
        <v>1.3189999999999884</v>
      </c>
      <c r="J72" s="326">
        <f t="shared" si="7"/>
        <v>1.4010000000000105</v>
      </c>
      <c r="K72" s="326">
        <f t="shared" si="7"/>
        <v>1.4059999999999917</v>
      </c>
      <c r="L72" s="326">
        <f t="shared" si="7"/>
        <v>1.1280000000000001</v>
      </c>
      <c r="M72" s="326">
        <f t="shared" si="7"/>
        <v>1.2019999999999982</v>
      </c>
      <c r="N72" s="326">
        <f t="shared" si="7"/>
        <v>1.2390000000000043</v>
      </c>
      <c r="O72" s="326">
        <f t="shared" si="7"/>
        <v>1.3449999999999989</v>
      </c>
      <c r="P72" s="326">
        <f t="shared" si="7"/>
        <v>1.3850000000000051</v>
      </c>
      <c r="Q72" s="326">
        <f t="shared" si="7"/>
        <v>1.4629999999999939</v>
      </c>
      <c r="R72" s="326">
        <f t="shared" si="7"/>
        <v>1.5210000000000008</v>
      </c>
      <c r="S72" s="326">
        <f t="shared" si="7"/>
        <v>0.76900000000000546</v>
      </c>
      <c r="T72" s="326">
        <f t="shared" si="7"/>
        <v>1.0889999999999986</v>
      </c>
      <c r="U72" s="326">
        <f t="shared" si="7"/>
        <v>1.4500000000000028</v>
      </c>
      <c r="V72" s="326">
        <f t="shared" si="7"/>
        <v>1.6490000000000009</v>
      </c>
      <c r="W72" s="326">
        <f t="shared" si="7"/>
        <v>1.7040000000000077</v>
      </c>
      <c r="X72" s="326">
        <f t="shared" si="7"/>
        <v>1.6659999999999968</v>
      </c>
      <c r="Z72" s="319" t="str">
        <f t="shared" si="4"/>
        <v>Wood/Electric</v>
      </c>
      <c r="AB72" s="326">
        <f t="shared" si="5"/>
        <v>-2.7432390000000009</v>
      </c>
      <c r="AC72" s="326">
        <f t="shared" si="1"/>
        <v>-0.54423300000000019</v>
      </c>
      <c r="AD72" s="326">
        <f t="shared" si="1"/>
        <v>-0.45749200000000023</v>
      </c>
      <c r="AE72" s="326">
        <f t="shared" si="1"/>
        <v>0.22025999999999968</v>
      </c>
      <c r="AF72" s="326">
        <f t="shared" si="1"/>
        <v>0.18143399999999943</v>
      </c>
      <c r="AG72" s="326">
        <f t="shared" si="1"/>
        <v>-0.80478899999999953</v>
      </c>
      <c r="AH72" s="326">
        <f t="shared" si="1"/>
        <v>1.9536510000000007</v>
      </c>
      <c r="AI72" s="326">
        <f t="shared" si="1"/>
        <v>1.1045569999999998</v>
      </c>
      <c r="AJ72" s="326">
        <f t="shared" si="1"/>
        <v>0.61052999999999891</v>
      </c>
      <c r="AK72" s="326">
        <f t="shared" si="1"/>
        <v>-0.89044799999999924</v>
      </c>
      <c r="AL72" s="326">
        <f t="shared" si="1"/>
        <v>1.2912159999999986</v>
      </c>
      <c r="AM72" s="326">
        <f t="shared" si="1"/>
        <v>-1.082730999999999</v>
      </c>
      <c r="AN72" s="326">
        <f t="shared" si="1"/>
        <v>3.0728720000000003</v>
      </c>
      <c r="AO72" s="326">
        <f t="shared" si="1"/>
        <v>1.0565069999999999</v>
      </c>
      <c r="AP72" s="326">
        <f t="shared" si="1"/>
        <v>-1.1760969999999986</v>
      </c>
      <c r="AQ72" s="326">
        <f t="shared" si="1"/>
        <v>6.6055999999999671E-2</v>
      </c>
      <c r="AR72" s="326">
        <f t="shared" si="1"/>
        <v>1.5542549999999977</v>
      </c>
      <c r="AS72" s="326">
        <f t="shared" si="1"/>
        <v>-1.2002339999999982</v>
      </c>
      <c r="AT72" s="326">
        <f t="shared" si="1"/>
        <v>-2.7346140000000005</v>
      </c>
      <c r="AU72" s="326">
        <f t="shared" si="1"/>
        <v>-1.4841999999999995</v>
      </c>
      <c r="AV72" s="326">
        <f t="shared" si="1"/>
        <v>-0.58596299999999957</v>
      </c>
      <c r="AW72" s="326">
        <f t="shared" si="1"/>
        <v>1.2593160000000001</v>
      </c>
    </row>
    <row r="73" spans="1:49">
      <c r="A73" s="319" t="str">
        <f t="shared" si="2"/>
        <v>Wood/Heating Oil</v>
      </c>
      <c r="C73" s="326">
        <f t="shared" ref="C73:X73" si="8">C40-B40</f>
        <v>1.657999999999987</v>
      </c>
      <c r="D73" s="326">
        <f t="shared" si="8"/>
        <v>1.7870000000000061</v>
      </c>
      <c r="E73" s="326">
        <f t="shared" si="8"/>
        <v>1.8919999999999959</v>
      </c>
      <c r="F73" s="326">
        <f t="shared" si="8"/>
        <v>1.7340000000000089</v>
      </c>
      <c r="G73" s="326">
        <f t="shared" si="8"/>
        <v>1.8759999999999906</v>
      </c>
      <c r="H73" s="326">
        <f t="shared" si="8"/>
        <v>1.1870000000000118</v>
      </c>
      <c r="I73" s="326">
        <f t="shared" si="8"/>
        <v>1.2319999999999993</v>
      </c>
      <c r="J73" s="326">
        <f t="shared" si="8"/>
        <v>1.3079999999999927</v>
      </c>
      <c r="K73" s="326">
        <f t="shared" si="8"/>
        <v>1.3080000000000069</v>
      </c>
      <c r="L73" s="326">
        <f t="shared" si="8"/>
        <v>1.0569999999999879</v>
      </c>
      <c r="M73" s="326">
        <f t="shared" si="8"/>
        <v>1.1219999999999999</v>
      </c>
      <c r="N73" s="326">
        <f t="shared" si="8"/>
        <v>1.1560000000000059</v>
      </c>
      <c r="O73" s="326">
        <f t="shared" si="8"/>
        <v>1.2560000000000002</v>
      </c>
      <c r="P73" s="326">
        <f t="shared" si="8"/>
        <v>1.2900000000000063</v>
      </c>
      <c r="Q73" s="326">
        <f t="shared" si="8"/>
        <v>1.36099999999999</v>
      </c>
      <c r="R73" s="326">
        <f t="shared" si="8"/>
        <v>1.4150000000000063</v>
      </c>
      <c r="S73" s="326">
        <f t="shared" si="8"/>
        <v>0.74099999999999966</v>
      </c>
      <c r="T73" s="326">
        <f t="shared" si="8"/>
        <v>1.0289999999999964</v>
      </c>
      <c r="U73" s="326">
        <f t="shared" si="8"/>
        <v>1.355000000000004</v>
      </c>
      <c r="V73" s="326">
        <f t="shared" si="8"/>
        <v>1.5349999999999966</v>
      </c>
      <c r="W73" s="326">
        <f t="shared" si="8"/>
        <v>1.5829999999999984</v>
      </c>
      <c r="X73" s="326">
        <f t="shared" si="8"/>
        <v>1.5499999999999972</v>
      </c>
      <c r="Z73" s="319" t="str">
        <f t="shared" si="4"/>
        <v>Wood/Heating Oil</v>
      </c>
      <c r="AB73" s="326">
        <f t="shared" si="5"/>
        <v>-0.80766500000000097</v>
      </c>
      <c r="AC73" s="326">
        <f t="shared" si="1"/>
        <v>1.0424560000000005</v>
      </c>
      <c r="AD73" s="326">
        <f t="shared" si="1"/>
        <v>-1.4571999999999363E-2</v>
      </c>
      <c r="AE73" s="326">
        <f t="shared" si="1"/>
        <v>-0.15895500000000062</v>
      </c>
      <c r="AF73" s="326">
        <f t="shared" si="1"/>
        <v>1.8416949999999996</v>
      </c>
      <c r="AG73" s="326">
        <f t="shared" si="1"/>
        <v>-0.80326299999999939</v>
      </c>
      <c r="AH73" s="326">
        <f t="shared" si="1"/>
        <v>0.44894099999999959</v>
      </c>
      <c r="AI73" s="326">
        <f t="shared" si="1"/>
        <v>-0.56171299999999924</v>
      </c>
      <c r="AJ73" s="326">
        <f t="shared" si="1"/>
        <v>0.69024399999999986</v>
      </c>
      <c r="AK73" s="326">
        <f t="shared" si="1"/>
        <v>-2.7598000000001122E-2</v>
      </c>
      <c r="AL73" s="326">
        <f t="shared" si="1"/>
        <v>-0.9798619999999989</v>
      </c>
      <c r="AM73" s="326">
        <f t="shared" si="1"/>
        <v>-1.1206550000000011</v>
      </c>
      <c r="AN73" s="326">
        <f t="shared" si="1"/>
        <v>1.2524150000000009</v>
      </c>
      <c r="AO73" s="326">
        <f t="shared" si="1"/>
        <v>-0.25003500000000045</v>
      </c>
      <c r="AP73" s="326">
        <f t="shared" si="1"/>
        <v>-0.44480199999999925</v>
      </c>
      <c r="AQ73" s="326">
        <f t="shared" si="1"/>
        <v>-1.2051430000000005</v>
      </c>
      <c r="AR73" s="326">
        <f t="shared" si="1"/>
        <v>-9.8812999999999818E-2</v>
      </c>
      <c r="AS73" s="326">
        <f t="shared" si="1"/>
        <v>7.5064999999999493E-2</v>
      </c>
      <c r="AT73" s="326">
        <f t="shared" si="1"/>
        <v>-0.89636699999999969</v>
      </c>
      <c r="AU73" s="326">
        <f t="shared" ref="AC73:AW75" si="9">AU27-AT27</f>
        <v>-0.67621100000000034</v>
      </c>
      <c r="AV73" s="326">
        <f t="shared" si="9"/>
        <v>-3.3897999999999762E-2</v>
      </c>
      <c r="AW73" s="326">
        <f t="shared" si="9"/>
        <v>0.78430800000000023</v>
      </c>
    </row>
    <row r="74" spans="1:49">
      <c r="A74" s="319" t="str">
        <f t="shared" si="2"/>
        <v>Natural Gas/Electric</v>
      </c>
      <c r="C74" s="326">
        <f t="shared" ref="C74:X74" si="10">C41-B41</f>
        <v>0.77299999999999969</v>
      </c>
      <c r="D74" s="326">
        <f t="shared" si="10"/>
        <v>0.7970000000000006</v>
      </c>
      <c r="E74" s="326">
        <f t="shared" si="10"/>
        <v>0.81599999999999895</v>
      </c>
      <c r="F74" s="326">
        <f t="shared" si="10"/>
        <v>0.78600000000000136</v>
      </c>
      <c r="G74" s="326">
        <f t="shared" si="10"/>
        <v>0.81400000000000006</v>
      </c>
      <c r="H74" s="326">
        <f t="shared" si="10"/>
        <v>0.67499999999999716</v>
      </c>
      <c r="I74" s="326">
        <f t="shared" si="10"/>
        <v>0.68000000000000327</v>
      </c>
      <c r="J74" s="326">
        <f t="shared" si="10"/>
        <v>0.69299999999999784</v>
      </c>
      <c r="K74" s="326">
        <f t="shared" si="10"/>
        <v>0.69200000000000017</v>
      </c>
      <c r="L74" s="326">
        <f t="shared" si="10"/>
        <v>0.62699999999999889</v>
      </c>
      <c r="M74" s="326">
        <f t="shared" si="10"/>
        <v>0.625</v>
      </c>
      <c r="N74" s="326">
        <f t="shared" si="10"/>
        <v>0.63300000000000267</v>
      </c>
      <c r="O74" s="326">
        <f t="shared" si="10"/>
        <v>0.65399999999999991</v>
      </c>
      <c r="P74" s="326">
        <f t="shared" si="10"/>
        <v>0.66499999999999915</v>
      </c>
      <c r="Q74" s="326">
        <f t="shared" si="10"/>
        <v>0.68599999999999994</v>
      </c>
      <c r="R74" s="326">
        <f t="shared" si="10"/>
        <v>0.6980000000000004</v>
      </c>
      <c r="S74" s="326">
        <f t="shared" si="10"/>
        <v>0.54599999999999937</v>
      </c>
      <c r="T74" s="326">
        <f t="shared" si="10"/>
        <v>0.61200000000000188</v>
      </c>
      <c r="U74" s="326">
        <f t="shared" si="10"/>
        <v>0.68099999999999739</v>
      </c>
      <c r="V74" s="326">
        <f t="shared" si="10"/>
        <v>0.72800000000000153</v>
      </c>
      <c r="W74" s="326">
        <f t="shared" si="10"/>
        <v>0.7430000000000021</v>
      </c>
      <c r="X74" s="326">
        <f t="shared" si="10"/>
        <v>0.73099999999999454</v>
      </c>
      <c r="Z74" s="319" t="str">
        <f t="shared" si="4"/>
        <v>Natural Gas/Electric</v>
      </c>
      <c r="AB74" s="326">
        <f t="shared" si="5"/>
        <v>-9.5032999999999923E-2</v>
      </c>
      <c r="AC74" s="326">
        <f t="shared" si="9"/>
        <v>0.11891800000000008</v>
      </c>
      <c r="AD74" s="326">
        <f t="shared" si="9"/>
        <v>0.25582399999999983</v>
      </c>
      <c r="AE74" s="326">
        <f t="shared" si="9"/>
        <v>-2.8715999999999964E-2</v>
      </c>
      <c r="AF74" s="326">
        <f t="shared" si="9"/>
        <v>5.1565000000000083E-2</v>
      </c>
      <c r="AG74" s="326">
        <f t="shared" si="9"/>
        <v>-0.15722900000000006</v>
      </c>
      <c r="AH74" s="326">
        <f t="shared" si="9"/>
        <v>0.31135600000000019</v>
      </c>
      <c r="AI74" s="326">
        <f t="shared" si="9"/>
        <v>0.12642499999999979</v>
      </c>
      <c r="AJ74" s="326">
        <f t="shared" si="9"/>
        <v>-8.4572000000000092E-2</v>
      </c>
      <c r="AK74" s="326">
        <f t="shared" si="9"/>
        <v>-9.4630999999999688E-2</v>
      </c>
      <c r="AL74" s="326">
        <f t="shared" si="9"/>
        <v>0.28649999999999975</v>
      </c>
      <c r="AM74" s="326">
        <f t="shared" si="9"/>
        <v>-0.25174299999999983</v>
      </c>
      <c r="AN74" s="326">
        <f t="shared" si="9"/>
        <v>0.4384030000000001</v>
      </c>
      <c r="AO74" s="326">
        <f t="shared" si="9"/>
        <v>0.16000199999999998</v>
      </c>
      <c r="AP74" s="326">
        <f t="shared" si="9"/>
        <v>3.2553000000000054E-2</v>
      </c>
      <c r="AQ74" s="326">
        <f t="shared" si="9"/>
        <v>-0.37261800000000012</v>
      </c>
      <c r="AR74" s="326">
        <f t="shared" si="9"/>
        <v>7.1730999999999767E-2</v>
      </c>
      <c r="AS74" s="326">
        <f t="shared" si="9"/>
        <v>0.17498700000000023</v>
      </c>
      <c r="AT74" s="326">
        <f t="shared" si="9"/>
        <v>0.14941899999999997</v>
      </c>
      <c r="AU74" s="326">
        <f t="shared" si="9"/>
        <v>-0.26385799999999993</v>
      </c>
      <c r="AV74" s="326">
        <f t="shared" si="9"/>
        <v>-8.8223000000000162E-2</v>
      </c>
      <c r="AW74" s="326">
        <f t="shared" si="9"/>
        <v>0.15118100000000023</v>
      </c>
    </row>
    <row r="75" spans="1:49">
      <c r="A75" s="319" t="str">
        <f t="shared" si="2"/>
        <v>Heating Oil/Electric</v>
      </c>
      <c r="C75" s="326">
        <f t="shared" ref="C75:X75" si="11">C42-B42</f>
        <v>0.44200000000000017</v>
      </c>
      <c r="D75" s="326">
        <f t="shared" si="11"/>
        <v>0.45699999999999896</v>
      </c>
      <c r="E75" s="326">
        <f t="shared" si="11"/>
        <v>0.47100000000000009</v>
      </c>
      <c r="F75" s="326">
        <f t="shared" si="11"/>
        <v>0.45100000000000051</v>
      </c>
      <c r="G75" s="326">
        <f t="shared" si="11"/>
        <v>0.46899999999999942</v>
      </c>
      <c r="H75" s="326">
        <f t="shared" si="11"/>
        <v>0.38099999999999845</v>
      </c>
      <c r="I75" s="326">
        <f t="shared" si="11"/>
        <v>0.38500000000000156</v>
      </c>
      <c r="J75" s="326">
        <f t="shared" si="11"/>
        <v>0.39300000000000068</v>
      </c>
      <c r="K75" s="326">
        <f t="shared" si="11"/>
        <v>0.39300000000000068</v>
      </c>
      <c r="L75" s="326">
        <f t="shared" si="11"/>
        <v>0.34999999999999787</v>
      </c>
      <c r="M75" s="326">
        <f t="shared" si="11"/>
        <v>0.35100000000000264</v>
      </c>
      <c r="N75" s="326">
        <f t="shared" si="11"/>
        <v>0.35699999999999932</v>
      </c>
      <c r="O75" s="326">
        <f t="shared" si="11"/>
        <v>0.36999999999999744</v>
      </c>
      <c r="P75" s="326">
        <f t="shared" si="11"/>
        <v>0.37800000000000011</v>
      </c>
      <c r="Q75" s="326">
        <f t="shared" si="11"/>
        <v>0.39000000000000057</v>
      </c>
      <c r="R75" s="326">
        <f t="shared" si="11"/>
        <v>0.39900000000000091</v>
      </c>
      <c r="S75" s="326">
        <f t="shared" si="11"/>
        <v>0.30499999999999972</v>
      </c>
      <c r="T75" s="326">
        <f t="shared" si="11"/>
        <v>0.34600000000000009</v>
      </c>
      <c r="U75" s="326">
        <f t="shared" si="11"/>
        <v>0.39100000000000179</v>
      </c>
      <c r="V75" s="326">
        <f t="shared" si="11"/>
        <v>0.41799999999999926</v>
      </c>
      <c r="W75" s="326">
        <f t="shared" si="11"/>
        <v>0.4269999999999996</v>
      </c>
      <c r="X75" s="326">
        <f t="shared" si="11"/>
        <v>0.41900000000000048</v>
      </c>
      <c r="Z75" s="319" t="str">
        <f t="shared" si="4"/>
        <v>Heating Oil/Electric</v>
      </c>
      <c r="AB75" s="326">
        <f t="shared" si="5"/>
        <v>-3.8888999999999951E-2</v>
      </c>
      <c r="AC75" s="326">
        <f t="shared" si="9"/>
        <v>0.16635199999999994</v>
      </c>
      <c r="AD75" s="326">
        <f t="shared" si="9"/>
        <v>4.5838999999999963E-2</v>
      </c>
      <c r="AE75" s="326">
        <f t="shared" si="9"/>
        <v>-6.100999999999912E-3</v>
      </c>
      <c r="AF75" s="326">
        <f t="shared" si="9"/>
        <v>0.24785600000000008</v>
      </c>
      <c r="AG75" s="326">
        <f t="shared" si="9"/>
        <v>-9.3527000000000138E-2</v>
      </c>
      <c r="AH75" s="326">
        <f t="shared" si="9"/>
        <v>4.4852000000000114E-2</v>
      </c>
      <c r="AI75" s="326">
        <f t="shared" si="9"/>
        <v>-8.4299000000000124E-2</v>
      </c>
      <c r="AJ75" s="326">
        <f t="shared" si="9"/>
        <v>0.10486600000000013</v>
      </c>
      <c r="AK75" s="326">
        <f t="shared" si="9"/>
        <v>1.8271999999999844E-2</v>
      </c>
      <c r="AL75" s="326">
        <f t="shared" si="9"/>
        <v>-0.16750899999999991</v>
      </c>
      <c r="AM75" s="326">
        <f t="shared" si="9"/>
        <v>-0.14266800000000002</v>
      </c>
      <c r="AN75" s="326">
        <f t="shared" si="9"/>
        <v>0.14573700000000001</v>
      </c>
      <c r="AO75" s="326">
        <f t="shared" si="9"/>
        <v>-4.4361000000000095E-2</v>
      </c>
      <c r="AP75" s="326">
        <f t="shared" si="9"/>
        <v>-4.6086999999999989E-2</v>
      </c>
      <c r="AQ75" s="326">
        <f t="shared" si="9"/>
        <v>-0.20917899999999989</v>
      </c>
      <c r="AR75" s="326">
        <f t="shared" si="9"/>
        <v>-4.3978000000000073E-2</v>
      </c>
      <c r="AS75" s="326">
        <f t="shared" si="9"/>
        <v>3.9849000000000023E-2</v>
      </c>
      <c r="AT75" s="326">
        <f t="shared" si="9"/>
        <v>-5.1065999999999945E-2</v>
      </c>
      <c r="AU75" s="326">
        <f t="shared" si="9"/>
        <v>-8.0161000000000038E-2</v>
      </c>
      <c r="AV75" s="326">
        <f t="shared" si="9"/>
        <v>9.9860000000000504E-3</v>
      </c>
      <c r="AW75" s="326">
        <f t="shared" si="9"/>
        <v>9.6889999999999921E-2</v>
      </c>
    </row>
    <row r="76" spans="1:49">
      <c r="A76" s="319"/>
      <c r="Z76" s="319"/>
      <c r="AB76" s="326"/>
      <c r="AC76" s="326"/>
      <c r="AD76" s="326"/>
      <c r="AE76" s="326"/>
      <c r="AF76" s="326"/>
      <c r="AG76" s="326"/>
      <c r="AH76" s="326"/>
      <c r="AI76" s="326"/>
      <c r="AJ76" s="326"/>
      <c r="AK76" s="326"/>
      <c r="AL76" s="326"/>
      <c r="AM76" s="326"/>
      <c r="AN76" s="326"/>
      <c r="AO76" s="326"/>
      <c r="AP76" s="326"/>
      <c r="AQ76" s="326"/>
      <c r="AR76" s="326"/>
      <c r="AS76" s="326"/>
      <c r="AT76" s="326"/>
      <c r="AU76" s="326"/>
      <c r="AV76" s="326"/>
      <c r="AW76" s="326"/>
    </row>
    <row r="77" spans="1:49">
      <c r="A77" s="288" t="s">
        <v>290</v>
      </c>
      <c r="B77" s="288"/>
      <c r="C77" s="332">
        <f t="shared" ref="C77:W77" si="12">SUM(C61:C75)</f>
        <v>66.763999999999925</v>
      </c>
      <c r="D77" s="332">
        <f>SUM(D61:D75)</f>
        <v>78.880000000000123</v>
      </c>
      <c r="E77" s="332">
        <f t="shared" si="12"/>
        <v>74.000999999999976</v>
      </c>
      <c r="F77" s="332">
        <f t="shared" si="12"/>
        <v>82.592000000000155</v>
      </c>
      <c r="G77" s="332">
        <f t="shared" si="12"/>
        <v>78.662999999999869</v>
      </c>
      <c r="H77" s="332">
        <f t="shared" si="12"/>
        <v>71.583000000000084</v>
      </c>
      <c r="I77" s="332">
        <f t="shared" si="12"/>
        <v>62.313000000000059</v>
      </c>
      <c r="J77" s="332">
        <f t="shared" si="12"/>
        <v>65.07499999999979</v>
      </c>
      <c r="K77" s="332">
        <f t="shared" si="12"/>
        <v>52.94700000000001</v>
      </c>
      <c r="L77" s="332">
        <f t="shared" si="12"/>
        <v>58.641999999999825</v>
      </c>
      <c r="M77" s="332">
        <f t="shared" si="12"/>
        <v>57.515000000000342</v>
      </c>
      <c r="N77" s="332">
        <f t="shared" si="12"/>
        <v>55.185999999999623</v>
      </c>
      <c r="O77" s="332">
        <f t="shared" si="12"/>
        <v>55.413000000000075</v>
      </c>
      <c r="P77" s="332">
        <f t="shared" si="12"/>
        <v>53.125000000000291</v>
      </c>
      <c r="Q77" s="332">
        <f t="shared" si="12"/>
        <v>69.194999999999638</v>
      </c>
      <c r="R77" s="332">
        <f t="shared" si="12"/>
        <v>60.161000000000413</v>
      </c>
      <c r="S77" s="332">
        <f>SUM(S61:S75)</f>
        <v>65.556999999999618</v>
      </c>
      <c r="T77" s="332">
        <f t="shared" si="12"/>
        <v>76.147000000000105</v>
      </c>
      <c r="U77" s="332">
        <f t="shared" si="12"/>
        <v>82.79000000000029</v>
      </c>
      <c r="V77" s="332">
        <f t="shared" si="12"/>
        <v>97.608999999999753</v>
      </c>
      <c r="W77" s="332">
        <f t="shared" si="12"/>
        <v>104.702</v>
      </c>
      <c r="X77" s="332">
        <f>SUM(X61:X75)</f>
        <v>98.079999999999842</v>
      </c>
      <c r="Z77" s="288" t="s">
        <v>290</v>
      </c>
      <c r="AA77" s="288"/>
      <c r="AB77" s="332">
        <f t="shared" ref="AB77:AV77" si="13">SUM(AB61:AB75)</f>
        <v>-28.288306000000002</v>
      </c>
      <c r="AC77" s="332">
        <f t="shared" si="13"/>
        <v>16.454816999999977</v>
      </c>
      <c r="AD77" s="332">
        <f t="shared" si="13"/>
        <v>33.097508000000005</v>
      </c>
      <c r="AE77" s="332">
        <f t="shared" si="13"/>
        <v>-13.254211000000007</v>
      </c>
      <c r="AF77" s="332">
        <f t="shared" si="13"/>
        <v>7.3007870000000157</v>
      </c>
      <c r="AG77" s="332">
        <f t="shared" si="13"/>
        <v>-33.942541000000013</v>
      </c>
      <c r="AH77" s="332">
        <f t="shared" si="13"/>
        <v>42.644433999999997</v>
      </c>
      <c r="AI77" s="332">
        <f t="shared" si="13"/>
        <v>9.6402020000000022</v>
      </c>
      <c r="AJ77" s="332">
        <f t="shared" si="13"/>
        <v>-18.756450999999991</v>
      </c>
      <c r="AK77" s="332">
        <f t="shared" si="13"/>
        <v>-21.186199999999996</v>
      </c>
      <c r="AL77" s="332">
        <f t="shared" si="13"/>
        <v>28.944356999999989</v>
      </c>
      <c r="AM77" s="332">
        <f t="shared" si="13"/>
        <v>-42.530932999999997</v>
      </c>
      <c r="AN77" s="332">
        <f t="shared" si="13"/>
        <v>51.972845999999983</v>
      </c>
      <c r="AO77" s="332">
        <f t="shared" si="13"/>
        <v>11.496447000000005</v>
      </c>
      <c r="AP77" s="332">
        <f t="shared" si="13"/>
        <v>-7.9650279999999913</v>
      </c>
      <c r="AQ77" s="332">
        <f t="shared" si="13"/>
        <v>-52.676366000000016</v>
      </c>
      <c r="AR77" s="332">
        <f t="shared" si="13"/>
        <v>6.6523500000000011</v>
      </c>
      <c r="AS77" s="332">
        <f>SUM(AS61:AS75)</f>
        <v>10.501078999999988</v>
      </c>
      <c r="AT77" s="332">
        <f t="shared" si="13"/>
        <v>8.9730590000000063</v>
      </c>
      <c r="AU77" s="332">
        <f t="shared" si="13"/>
        <v>-35.399834000000013</v>
      </c>
      <c r="AV77" s="332">
        <f t="shared" si="13"/>
        <v>-11.411858999999987</v>
      </c>
      <c r="AW77" s="332">
        <f>SUM(AW61:AW75)</f>
        <v>17.26189999999999</v>
      </c>
    </row>
    <row r="78" spans="1:49">
      <c r="A78" t="s">
        <v>580</v>
      </c>
      <c r="B78" s="288"/>
      <c r="C78" s="332"/>
      <c r="D78" s="18">
        <f>SUM(D61:D63)/D$77</f>
        <v>-0.36700050709939086</v>
      </c>
      <c r="E78" s="18">
        <f t="shared" ref="E78:R78" si="14">SUM(E61:E63)/E$77</f>
        <v>-0.23278063809948521</v>
      </c>
      <c r="F78" s="18">
        <f t="shared" si="14"/>
        <v>-0.1487795428128631</v>
      </c>
      <c r="G78" s="18">
        <f t="shared" si="14"/>
        <v>-0.21131917165630643</v>
      </c>
      <c r="H78" s="18">
        <f t="shared" si="14"/>
        <v>-0.22306972325831517</v>
      </c>
      <c r="I78" s="18">
        <f t="shared" si="14"/>
        <v>-0.21531622614863638</v>
      </c>
      <c r="J78" s="18">
        <f t="shared" si="14"/>
        <v>-0.12613138686131437</v>
      </c>
      <c r="K78" s="18">
        <f t="shared" si="14"/>
        <v>-0.12306646268910436</v>
      </c>
      <c r="L78" s="18">
        <f t="shared" si="14"/>
        <v>-0.14668667507929489</v>
      </c>
      <c r="M78" s="18">
        <f t="shared" si="14"/>
        <v>-5.819351473528625E-2</v>
      </c>
      <c r="N78" s="18">
        <f t="shared" si="14"/>
        <v>-8.3753125792773844E-2</v>
      </c>
      <c r="O78" s="18">
        <f t="shared" si="14"/>
        <v>-0.11212170429321665</v>
      </c>
      <c r="P78" s="18">
        <f t="shared" si="14"/>
        <v>-0.15373176470588154</v>
      </c>
      <c r="Q78" s="18">
        <f t="shared" si="14"/>
        <v>-0.14745285063949748</v>
      </c>
      <c r="R78" s="18">
        <f t="shared" si="14"/>
        <v>-0.20348730905403725</v>
      </c>
      <c r="S78" s="18">
        <f>SUM(S61:S63)/S$77</f>
        <v>-0.22475098006315258</v>
      </c>
      <c r="T78" s="18">
        <f t="shared" ref="T78:X78" si="15">SUM(T61:T63)/T$77</f>
        <v>-0.21034315206114454</v>
      </c>
      <c r="U78" s="18">
        <f t="shared" si="15"/>
        <v>-0.20671578693078774</v>
      </c>
      <c r="V78" s="18">
        <f t="shared" si="15"/>
        <v>-0.18081324468030657</v>
      </c>
      <c r="W78" s="18">
        <f t="shared" si="15"/>
        <v>-0.17241313441959091</v>
      </c>
      <c r="X78" s="18">
        <f t="shared" si="15"/>
        <v>-0.14460644371941303</v>
      </c>
      <c r="Z78" s="288"/>
      <c r="AA78" s="288"/>
      <c r="AB78" s="332"/>
      <c r="AC78" s="332"/>
      <c r="AD78" s="332"/>
      <c r="AE78" s="332"/>
      <c r="AF78" s="332"/>
      <c r="AG78" s="332"/>
      <c r="AH78" s="332"/>
      <c r="AI78" s="332"/>
      <c r="AJ78" s="332"/>
      <c r="AK78" s="332"/>
      <c r="AL78" s="332"/>
      <c r="AM78" s="332"/>
      <c r="AN78" s="332"/>
      <c r="AO78" s="332"/>
      <c r="AP78" s="332"/>
      <c r="AQ78" s="332"/>
      <c r="AR78" s="332"/>
      <c r="AS78" s="332"/>
      <c r="AT78" s="332"/>
      <c r="AU78" s="332"/>
      <c r="AV78" s="332"/>
      <c r="AW78" s="332"/>
    </row>
    <row r="79" spans="1:49">
      <c r="A79" t="s">
        <v>581</v>
      </c>
      <c r="B79" s="288"/>
      <c r="C79" s="332"/>
      <c r="D79" s="18">
        <f>SUM(D64:D66)/D$77</f>
        <v>1.1512677484787017</v>
      </c>
      <c r="E79" s="18">
        <f t="shared" ref="E79:R79" si="16">SUM(E64:E66)/E$77</f>
        <v>0.96591937946784434</v>
      </c>
      <c r="F79" s="18">
        <f t="shared" si="16"/>
        <v>0.90575358388221716</v>
      </c>
      <c r="G79" s="18">
        <f t="shared" si="16"/>
        <v>0.83359393870053233</v>
      </c>
      <c r="H79" s="18">
        <f t="shared" si="16"/>
        <v>0.84105164634061114</v>
      </c>
      <c r="I79" s="18">
        <f t="shared" si="16"/>
        <v>0.65300980533756992</v>
      </c>
      <c r="J79" s="18">
        <f t="shared" si="16"/>
        <v>0.53021897810218832</v>
      </c>
      <c r="K79" s="18">
        <f t="shared" si="16"/>
        <v>0.31735509093999648</v>
      </c>
      <c r="L79" s="18">
        <f t="shared" si="16"/>
        <v>0.32807544081034029</v>
      </c>
      <c r="M79" s="18">
        <f t="shared" si="16"/>
        <v>0.24598800312962227</v>
      </c>
      <c r="N79" s="18">
        <f t="shared" si="16"/>
        <v>0.18499257057948787</v>
      </c>
      <c r="O79" s="18">
        <f t="shared" si="16"/>
        <v>0.26206846768808917</v>
      </c>
      <c r="P79" s="18">
        <f t="shared" si="16"/>
        <v>0.20464941176470985</v>
      </c>
      <c r="Q79" s="18">
        <f t="shared" si="16"/>
        <v>0.35327697087939725</v>
      </c>
      <c r="R79" s="18">
        <f t="shared" si="16"/>
        <v>0.28892471867156722</v>
      </c>
      <c r="S79" s="18">
        <f>SUM(S64:S66)/S$77</f>
        <v>0.42064157908384786</v>
      </c>
      <c r="T79" s="18">
        <f t="shared" ref="T79:X79" si="17">SUM(T64:T66)/T$77</f>
        <v>0.42794857315455748</v>
      </c>
      <c r="U79" s="18">
        <f t="shared" si="17"/>
        <v>0.41728469621935177</v>
      </c>
      <c r="V79" s="18">
        <f t="shared" si="17"/>
        <v>0.62406130582220842</v>
      </c>
      <c r="W79" s="18">
        <f t="shared" si="17"/>
        <v>0.61399018165842156</v>
      </c>
      <c r="X79" s="18">
        <f t="shared" si="17"/>
        <v>0.56515089722675294</v>
      </c>
      <c r="Z79" s="288"/>
      <c r="AA79" s="288"/>
      <c r="AB79" s="332"/>
      <c r="AC79" s="332"/>
      <c r="AD79" s="332"/>
      <c r="AE79" s="332"/>
      <c r="AF79" s="332"/>
      <c r="AG79" s="332"/>
      <c r="AH79" s="332"/>
      <c r="AI79" s="332"/>
      <c r="AJ79" s="332"/>
      <c r="AK79" s="332"/>
      <c r="AL79" s="332"/>
      <c r="AM79" s="332"/>
      <c r="AN79" s="332"/>
      <c r="AO79" s="332"/>
      <c r="AP79" s="332"/>
      <c r="AQ79" s="332"/>
      <c r="AR79" s="332"/>
      <c r="AS79" s="332"/>
      <c r="AT79" s="332"/>
      <c r="AU79" s="332"/>
      <c r="AV79" s="332"/>
      <c r="AW79" s="332"/>
    </row>
    <row r="80" spans="1:49">
      <c r="A80" t="str">
        <f>A67</f>
        <v>Electric</v>
      </c>
      <c r="D80" s="18">
        <f t="shared" ref="D80:X80" si="18">D67/D$77</f>
        <v>0.12988083164300188</v>
      </c>
      <c r="E80" s="18">
        <f t="shared" si="18"/>
        <v>0.13543060228915896</v>
      </c>
      <c r="F80" s="18">
        <f t="shared" si="18"/>
        <v>0.14427547462223844</v>
      </c>
      <c r="G80" s="18">
        <f t="shared" si="18"/>
        <v>0.23224387577387126</v>
      </c>
      <c r="H80" s="18">
        <f t="shared" si="18"/>
        <v>0.28509562326250637</v>
      </c>
      <c r="I80" s="18">
        <f t="shared" si="18"/>
        <v>0.36122478455538959</v>
      </c>
      <c r="J80" s="18">
        <f t="shared" si="18"/>
        <v>0.46137533615059695</v>
      </c>
      <c r="K80" s="18">
        <f t="shared" si="18"/>
        <v>0.59782423933367357</v>
      </c>
      <c r="L80" s="18">
        <f t="shared" si="18"/>
        <v>0.59641553835135253</v>
      </c>
      <c r="M80" s="18">
        <f t="shared" si="18"/>
        <v>0.6304094584021529</v>
      </c>
      <c r="N80" s="18">
        <f t="shared" si="18"/>
        <v>0.61528286159533707</v>
      </c>
      <c r="O80" s="18">
        <f t="shared" si="18"/>
        <v>0.67282045729341422</v>
      </c>
      <c r="P80" s="18">
        <f t="shared" si="18"/>
        <v>0.64397176470587902</v>
      </c>
      <c r="Q80" s="18">
        <f t="shared" si="18"/>
        <v>0.56564780692246663</v>
      </c>
      <c r="R80" s="18">
        <f t="shared" si="18"/>
        <v>0.59749671714233299</v>
      </c>
      <c r="S80" s="18">
        <f t="shared" si="18"/>
        <v>0.48565370593529528</v>
      </c>
      <c r="T80" s="18">
        <f t="shared" si="18"/>
        <v>0.47959867099163372</v>
      </c>
      <c r="U80" s="18">
        <f t="shared" si="18"/>
        <v>0.47965937915206996</v>
      </c>
      <c r="V80" s="18">
        <f t="shared" si="18"/>
        <v>0.31672284318044486</v>
      </c>
      <c r="W80" s="18">
        <f t="shared" si="18"/>
        <v>0.31987927642260855</v>
      </c>
      <c r="X80" s="18">
        <f t="shared" si="18"/>
        <v>0.32156402936378503</v>
      </c>
      <c r="Z80" t="str">
        <f>Z67</f>
        <v>Electric</v>
      </c>
      <c r="AC80" s="18">
        <f t="shared" ref="AC80:AV80" si="19">AC67/AC$77</f>
        <v>2.5049382196107039E-2</v>
      </c>
      <c r="AD80" s="18">
        <f t="shared" si="19"/>
        <v>0.1307394200191748</v>
      </c>
      <c r="AE80" s="18">
        <f t="shared" si="19"/>
        <v>-9.2384375048805339E-2</v>
      </c>
      <c r="AF80" s="18">
        <f t="shared" si="19"/>
        <v>-0.37160473247610043</v>
      </c>
      <c r="AG80" s="18">
        <f t="shared" si="19"/>
        <v>8.4603064926694727E-2</v>
      </c>
      <c r="AH80" s="18">
        <f t="shared" si="19"/>
        <v>8.409256879807564E-2</v>
      </c>
      <c r="AI80" s="18">
        <f t="shared" si="19"/>
        <v>0.29105054022726951</v>
      </c>
      <c r="AJ80" s="18">
        <f t="shared" si="19"/>
        <v>-0.13718048259769378</v>
      </c>
      <c r="AK80" s="18">
        <f t="shared" si="19"/>
        <v>7.6425172989964998E-2</v>
      </c>
      <c r="AL80" s="18">
        <f t="shared" si="19"/>
        <v>2.727806321626014E-2</v>
      </c>
      <c r="AM80" s="18">
        <f t="shared" si="19"/>
        <v>5.0220365492569877E-2</v>
      </c>
      <c r="AN80" s="18">
        <f t="shared" si="19"/>
        <v>0.14477825593772567</v>
      </c>
      <c r="AO80" s="18">
        <f t="shared" si="19"/>
        <v>0.30933774582703627</v>
      </c>
      <c r="AP80" s="18">
        <f t="shared" si="19"/>
        <v>0.37581763679926827</v>
      </c>
      <c r="AQ80" s="18">
        <f t="shared" si="19"/>
        <v>0.10857656733571927</v>
      </c>
      <c r="AR80" s="18">
        <f t="shared" si="19"/>
        <v>0.35713138965929314</v>
      </c>
      <c r="AS80" s="18">
        <f t="shared" si="19"/>
        <v>-0.15250070968897589</v>
      </c>
      <c r="AT80" s="18">
        <f t="shared" si="19"/>
        <v>0.29040196882690666</v>
      </c>
      <c r="AU80" s="18">
        <f t="shared" si="19"/>
        <v>0.11541037169835304</v>
      </c>
      <c r="AV80" s="18">
        <f t="shared" si="19"/>
        <v>7.5555788062225418E-2</v>
      </c>
      <c r="AW80" s="18">
        <f>AW67/AW$77</f>
        <v>5.8323822985882186E-2</v>
      </c>
    </row>
    <row r="81" spans="1:49">
      <c r="A81" t="str">
        <f>A68</f>
        <v>Heat Pump</v>
      </c>
      <c r="D81" s="392">
        <f t="shared" ref="D81:X81" si="20">D68/D$77</f>
        <v>-2.0537525354969418E-3</v>
      </c>
      <c r="E81" s="392">
        <f t="shared" si="20"/>
        <v>7.1350387156930159E-3</v>
      </c>
      <c r="F81" s="392">
        <f t="shared" si="20"/>
        <v>2.4191204959318018E-2</v>
      </c>
      <c r="G81" s="392">
        <f t="shared" si="20"/>
        <v>5.2375322578595632E-3</v>
      </c>
      <c r="H81" s="392">
        <f t="shared" si="20"/>
        <v>1.7462246622801481E-2</v>
      </c>
      <c r="I81" s="392">
        <f t="shared" si="20"/>
        <v>1.9642771171344591E-2</v>
      </c>
      <c r="J81" s="392">
        <f t="shared" si="20"/>
        <v>-1.3645793315405316E-2</v>
      </c>
      <c r="K81" s="392">
        <f t="shared" si="20"/>
        <v>1.6318204997450226E-2</v>
      </c>
      <c r="L81" s="392">
        <f t="shared" si="20"/>
        <v>3.925514136625638E-2</v>
      </c>
      <c r="M81" s="392">
        <f t="shared" si="20"/>
        <v>-1.5248196122750416E-2</v>
      </c>
      <c r="N81" s="392">
        <f t="shared" si="20"/>
        <v>7.0960026093575018E-2</v>
      </c>
      <c r="O81" s="392">
        <f t="shared" si="20"/>
        <v>-4.9464927002688952E-2</v>
      </c>
      <c r="P81" s="392">
        <f t="shared" si="20"/>
        <v>6.0122352941176058E-2</v>
      </c>
      <c r="Q81" s="392">
        <f t="shared" si="20"/>
        <v>1.8079340992846468E-2</v>
      </c>
      <c r="R81" s="392">
        <f t="shared" si="20"/>
        <v>7.0976213826232384E-2</v>
      </c>
      <c r="S81" s="392">
        <f t="shared" si="20"/>
        <v>0.11574660219351179</v>
      </c>
      <c r="T81" s="392">
        <f t="shared" si="20"/>
        <v>9.2111311016848801E-2</v>
      </c>
      <c r="U81" s="392">
        <f t="shared" si="20"/>
        <v>8.4889479405725096E-2</v>
      </c>
      <c r="V81" s="392">
        <f t="shared" si="20"/>
        <v>9.7306600825743675E-2</v>
      </c>
      <c r="W81" s="392">
        <f t="shared" si="20"/>
        <v>9.4114725602185242E-2</v>
      </c>
      <c r="X81" s="392">
        <f t="shared" si="20"/>
        <v>0.10254893964110953</v>
      </c>
      <c r="Z81" t="str">
        <f>Z68</f>
        <v>Heat Pump</v>
      </c>
      <c r="AC81" s="392">
        <f t="shared" ref="AC81:AQ81" si="21">AC68/AC$77</f>
        <v>-9.9502777818799158E-4</v>
      </c>
      <c r="AD81" s="392">
        <f t="shared" si="21"/>
        <v>5.8411044118487666E-3</v>
      </c>
      <c r="AE81" s="392">
        <f t="shared" si="21"/>
        <v>-7.3704877642282894E-3</v>
      </c>
      <c r="AF81" s="392">
        <f t="shared" si="21"/>
        <v>-2.1240312859421816E-2</v>
      </c>
      <c r="AG81" s="392">
        <f t="shared" si="21"/>
        <v>4.2478846825286312E-3</v>
      </c>
      <c r="AH81" s="392">
        <f t="shared" si="21"/>
        <v>3.7746778395511158E-3</v>
      </c>
      <c r="AI81" s="392">
        <f t="shared" si="21"/>
        <v>2.813530255901277E-3</v>
      </c>
      <c r="AJ81" s="392">
        <f t="shared" si="21"/>
        <v>-4.079876304957695E-3</v>
      </c>
      <c r="AK81" s="392">
        <f t="shared" si="21"/>
        <v>2.4066137391320825E-3</v>
      </c>
      <c r="AL81" s="392">
        <f t="shared" si="21"/>
        <v>-2.5986066990536382E-3</v>
      </c>
      <c r="AM81" s="392">
        <f t="shared" si="21"/>
        <v>6.2159464030568168E-4</v>
      </c>
      <c r="AN81" s="392">
        <f t="shared" si="21"/>
        <v>2.8696138749069113E-3</v>
      </c>
      <c r="AO81" s="392">
        <f t="shared" si="21"/>
        <v>1.6875039740538954E-2</v>
      </c>
      <c r="AP81" s="392">
        <f t="shared" si="21"/>
        <v>1.7614627343431832E-2</v>
      </c>
      <c r="AQ81" s="392">
        <f t="shared" si="21"/>
        <v>3.4138459741129439E-3</v>
      </c>
      <c r="AR81" s="392">
        <f>AR68/AR$77</f>
        <v>3.9536855396964998E-2</v>
      </c>
      <c r="AS81" s="392">
        <f>AS68/AS$77</f>
        <v>4.6887562697128368E-3</v>
      </c>
      <c r="AT81" s="392">
        <f>AT68/AT$77</f>
        <v>2.619485729448566E-2</v>
      </c>
      <c r="AU81" s="392">
        <f>AU68/AU$77</f>
        <v>9.2709474287366335E-4</v>
      </c>
      <c r="AV81" s="392">
        <f>AV68/AV$77</f>
        <v>-1.0804549898487227E-2</v>
      </c>
      <c r="AW81" s="392">
        <f>AW68/AW$77</f>
        <v>1.3417989908411013E-2</v>
      </c>
    </row>
    <row r="82" spans="1:49">
      <c r="A82" t="s">
        <v>569</v>
      </c>
      <c r="D82" s="18">
        <f>SUM(D72:D75)/D$77</f>
        <v>6.3171906693711852E-2</v>
      </c>
      <c r="E82" s="18">
        <f t="shared" ref="E82:X82" si="22">SUM(E72:E75)/E$77</f>
        <v>7.0701747273685403E-2</v>
      </c>
      <c r="F82" s="18">
        <f t="shared" si="22"/>
        <v>5.8698179000387582E-2</v>
      </c>
      <c r="G82" s="18">
        <f t="shared" si="22"/>
        <v>6.6028501328451686E-2</v>
      </c>
      <c r="H82" s="18">
        <f t="shared" si="22"/>
        <v>4.9103837503317954E-2</v>
      </c>
      <c r="I82" s="18">
        <f t="shared" si="22"/>
        <v>5.8029624636913468E-2</v>
      </c>
      <c r="J82" s="18">
        <f t="shared" si="22"/>
        <v>5.8317326162120847E-2</v>
      </c>
      <c r="K82" s="18">
        <f t="shared" si="22"/>
        <v>7.1750996279298138E-2</v>
      </c>
      <c r="L82" s="18">
        <f t="shared" si="22"/>
        <v>5.3920398349305863E-2</v>
      </c>
      <c r="M82" s="18">
        <f t="shared" si="22"/>
        <v>5.7376336607841104E-2</v>
      </c>
      <c r="N82" s="18">
        <f t="shared" si="22"/>
        <v>6.1338020512449451E-2</v>
      </c>
      <c r="O82" s="18">
        <f t="shared" si="22"/>
        <v>6.5417862234493557E-2</v>
      </c>
      <c r="P82" s="18">
        <f t="shared" si="22"/>
        <v>6.9985882352940995E-2</v>
      </c>
      <c r="Q82" s="18">
        <f t="shared" si="22"/>
        <v>5.6362453934532909E-2</v>
      </c>
      <c r="R82" s="18">
        <f t="shared" si="22"/>
        <v>6.7036784627914778E-2</v>
      </c>
      <c r="S82" s="18">
        <f t="shared" si="22"/>
        <v>3.6014460698323869E-2</v>
      </c>
      <c r="T82" s="18">
        <f t="shared" si="22"/>
        <v>4.0395550711124439E-2</v>
      </c>
      <c r="U82" s="18">
        <f t="shared" si="22"/>
        <v>4.6829327213431485E-2</v>
      </c>
      <c r="V82" s="18">
        <f t="shared" si="22"/>
        <v>4.4360663463410228E-2</v>
      </c>
      <c r="W82" s="18">
        <f t="shared" si="22"/>
        <v>4.256843231265886E-2</v>
      </c>
      <c r="X82" s="18">
        <f t="shared" si="22"/>
        <v>4.451468189233275E-2</v>
      </c>
      <c r="Z82" t="str">
        <f>Z72</f>
        <v>Wood/Electric</v>
      </c>
      <c r="AC82" s="18">
        <f t="shared" ref="AC82:AV82" si="23">AC73/AC$77</f>
        <v>6.3352634064541821E-2</v>
      </c>
      <c r="AD82" s="18">
        <f t="shared" si="23"/>
        <v>-4.4027483881866155E-4</v>
      </c>
      <c r="AE82" s="18">
        <f t="shared" si="23"/>
        <v>1.1992792328415516E-2</v>
      </c>
      <c r="AF82" s="18">
        <f t="shared" si="23"/>
        <v>0.25225979062257203</v>
      </c>
      <c r="AG82" s="18">
        <f t="shared" si="23"/>
        <v>2.3665376142581639E-2</v>
      </c>
      <c r="AH82" s="18">
        <f t="shared" si="23"/>
        <v>1.0527540358490855E-2</v>
      </c>
      <c r="AI82" s="18">
        <f t="shared" si="23"/>
        <v>-5.8267762439002745E-2</v>
      </c>
      <c r="AJ82" s="18">
        <f t="shared" si="23"/>
        <v>-3.6800352049542857E-2</v>
      </c>
      <c r="AK82" s="18">
        <f t="shared" si="23"/>
        <v>1.3026403979949743E-3</v>
      </c>
      <c r="AL82" s="18">
        <f t="shared" si="23"/>
        <v>-3.3853299971389909E-2</v>
      </c>
      <c r="AM82" s="18">
        <f t="shared" si="23"/>
        <v>2.6349175081581237E-2</v>
      </c>
      <c r="AN82" s="18">
        <f t="shared" si="23"/>
        <v>2.4097487368692515E-2</v>
      </c>
      <c r="AO82" s="18">
        <f t="shared" si="23"/>
        <v>-2.1748893375492476E-2</v>
      </c>
      <c r="AP82" s="18">
        <f t="shared" si="23"/>
        <v>5.584437367954008E-2</v>
      </c>
      <c r="AQ82" s="18">
        <f t="shared" si="23"/>
        <v>2.2878248662787409E-2</v>
      </c>
      <c r="AR82" s="18">
        <f t="shared" si="23"/>
        <v>-1.4853848639954271E-2</v>
      </c>
      <c r="AS82" s="18">
        <f t="shared" si="23"/>
        <v>7.1483130447832621E-3</v>
      </c>
      <c r="AT82" s="18">
        <f t="shared" si="23"/>
        <v>-9.9895364557393312E-2</v>
      </c>
      <c r="AU82" s="18">
        <f t="shared" si="23"/>
        <v>1.9102095224514334E-2</v>
      </c>
      <c r="AV82" s="18">
        <f t="shared" si="23"/>
        <v>2.970418754735736E-3</v>
      </c>
      <c r="AW82" s="18">
        <f>AW73/AW$77</f>
        <v>4.5435786327113509E-2</v>
      </c>
    </row>
    <row r="83" spans="1:49">
      <c r="A83" t="s">
        <v>248</v>
      </c>
      <c r="D83" s="18">
        <f>D69/D$77</f>
        <v>2.5862068965516378E-3</v>
      </c>
      <c r="E83" s="18">
        <f t="shared" ref="E83:X83" si="24">E69/E$77</f>
        <v>2.7432061728895002E-3</v>
      </c>
      <c r="F83" s="18">
        <f t="shared" si="24"/>
        <v>1.1393355288647905E-2</v>
      </c>
      <c r="G83" s="18">
        <f t="shared" si="24"/>
        <v>2.7064820817919496E-2</v>
      </c>
      <c r="H83" s="18">
        <f t="shared" si="24"/>
        <v>4.4815109732757701E-2</v>
      </c>
      <c r="I83" s="18">
        <f t="shared" si="24"/>
        <v>7.0579172885272726E-2</v>
      </c>
      <c r="J83" s="18">
        <f t="shared" si="24"/>
        <v>9.3768728390319009E-2</v>
      </c>
      <c r="K83" s="18">
        <f t="shared" si="24"/>
        <v>0.14471074848433349</v>
      </c>
      <c r="L83" s="18">
        <f t="shared" si="24"/>
        <v>0.16179530029671613</v>
      </c>
      <c r="M83" s="18">
        <f t="shared" si="24"/>
        <v>0.17564113709466997</v>
      </c>
      <c r="N83" s="18">
        <f t="shared" si="24"/>
        <v>0.19421592432863546</v>
      </c>
      <c r="O83" s="18">
        <f t="shared" si="24"/>
        <v>0.20614296284265374</v>
      </c>
      <c r="P83" s="18">
        <f t="shared" si="24"/>
        <v>0.22484705882352832</v>
      </c>
      <c r="Q83" s="18">
        <f t="shared" si="24"/>
        <v>0.18956572006647965</v>
      </c>
      <c r="R83" s="18">
        <f t="shared" si="24"/>
        <v>0.22582736324196603</v>
      </c>
      <c r="S83" s="18">
        <f t="shared" si="24"/>
        <v>0.21090043778696516</v>
      </c>
      <c r="T83" s="18">
        <f t="shared" si="24"/>
        <v>0.20465678227638623</v>
      </c>
      <c r="U83" s="18">
        <f t="shared" si="24"/>
        <v>0.20926440391351525</v>
      </c>
      <c r="V83" s="18">
        <f t="shared" si="24"/>
        <v>0.10868874796381518</v>
      </c>
      <c r="W83" s="18">
        <f t="shared" si="24"/>
        <v>0.11028442627647989</v>
      </c>
      <c r="X83" s="18">
        <f t="shared" si="24"/>
        <v>0.12046288743882591</v>
      </c>
    </row>
    <row r="84" spans="1:49">
      <c r="A84" t="s">
        <v>568</v>
      </c>
      <c r="D84" s="18">
        <f>D70/D$77</f>
        <v>2.2147565922920855E-2</v>
      </c>
      <c r="E84" s="18">
        <f t="shared" ref="E84:X84" si="25">E70/E$77</f>
        <v>5.0850664180213771E-2</v>
      </c>
      <c r="F84" s="18">
        <f t="shared" si="25"/>
        <v>4.4677450600542311E-3</v>
      </c>
      <c r="G84" s="18">
        <f t="shared" si="25"/>
        <v>4.7150502777671958E-2</v>
      </c>
      <c r="H84" s="18">
        <f t="shared" si="25"/>
        <v>-1.4458740203679678E-2</v>
      </c>
      <c r="I84" s="18">
        <f t="shared" si="25"/>
        <v>5.2830067562145915E-2</v>
      </c>
      <c r="J84" s="18">
        <f t="shared" si="25"/>
        <v>-3.903188628505549E-3</v>
      </c>
      <c r="K84" s="18">
        <f t="shared" si="25"/>
        <v>-2.4892817345647623E-2</v>
      </c>
      <c r="L84" s="18">
        <f t="shared" si="25"/>
        <v>-3.2775144094676217E-2</v>
      </c>
      <c r="M84" s="18">
        <f t="shared" si="25"/>
        <v>-3.5973224376249509E-2</v>
      </c>
      <c r="N84" s="18">
        <f t="shared" si="25"/>
        <v>-4.3036277316711051E-2</v>
      </c>
      <c r="O84" s="18">
        <f t="shared" si="25"/>
        <v>-4.486311876274509E-2</v>
      </c>
      <c r="P84" s="18">
        <f t="shared" si="25"/>
        <v>-4.9844705882352729E-2</v>
      </c>
      <c r="Q84" s="18">
        <f t="shared" si="25"/>
        <v>-3.5479442156225324E-2</v>
      </c>
      <c r="R84" s="18">
        <f t="shared" si="25"/>
        <v>-4.6774488455976142E-2</v>
      </c>
      <c r="S84" s="18">
        <f t="shared" si="25"/>
        <v>-4.4205805634791352E-2</v>
      </c>
      <c r="T84" s="18">
        <f t="shared" si="25"/>
        <v>-3.4367736089405937E-2</v>
      </c>
      <c r="U84" s="18">
        <f t="shared" si="25"/>
        <v>-3.1211498973305885E-2</v>
      </c>
      <c r="V84" s="18">
        <f t="shared" si="25"/>
        <v>-1.0326916575315818E-2</v>
      </c>
      <c r="W84" s="18">
        <f t="shared" si="25"/>
        <v>-8.4239078527630594E-3</v>
      </c>
      <c r="X84" s="18">
        <f t="shared" si="25"/>
        <v>-9.6349918433931668E-3</v>
      </c>
    </row>
    <row r="89" spans="1:49" ht="18">
      <c r="A89" s="309" t="s">
        <v>582</v>
      </c>
      <c r="B89" s="357"/>
      <c r="C89" s="311"/>
      <c r="D89" s="311"/>
      <c r="E89" s="311"/>
      <c r="F89" s="311"/>
      <c r="G89" s="311"/>
      <c r="H89" s="311"/>
      <c r="M89" s="311"/>
    </row>
    <row r="90" spans="1:49">
      <c r="A90" s="315"/>
      <c r="B90" s="357"/>
      <c r="C90" s="311"/>
      <c r="D90" s="311"/>
      <c r="E90" s="311"/>
    </row>
    <row r="91" spans="1:49" ht="18">
      <c r="A91" s="358" t="s">
        <v>583</v>
      </c>
      <c r="B91" s="315"/>
      <c r="C91" s="275"/>
      <c r="D91" s="275"/>
      <c r="E91" s="275"/>
      <c r="F91" s="315"/>
      <c r="G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</row>
    <row r="92" spans="1:49" ht="15.5">
      <c r="A92" s="312" t="s">
        <v>584</v>
      </c>
      <c r="B92" s="315"/>
      <c r="C92" s="275"/>
      <c r="D92" s="275"/>
      <c r="E92" s="275"/>
      <c r="F92" s="315"/>
      <c r="G92" s="315"/>
      <c r="H92" s="315"/>
      <c r="I92" s="315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</row>
    <row r="93" spans="1:49" ht="15.5">
      <c r="B93" s="357"/>
      <c r="C93" s="314"/>
      <c r="D93" s="314"/>
      <c r="E93" s="314"/>
    </row>
    <row r="94" spans="1:49">
      <c r="B94" s="357"/>
      <c r="C94" s="311"/>
      <c r="D94" s="311"/>
      <c r="E94" s="311"/>
    </row>
    <row r="95" spans="1:49" ht="15" thickBot="1">
      <c r="A95" s="357"/>
      <c r="B95" s="646">
        <v>2000</v>
      </c>
      <c r="C95" s="646">
        <v>2001</v>
      </c>
      <c r="D95" s="646">
        <v>2002</v>
      </c>
      <c r="E95" s="646">
        <v>2003</v>
      </c>
      <c r="F95" s="646">
        <v>2004</v>
      </c>
      <c r="G95" s="646">
        <v>2005</v>
      </c>
      <c r="H95" s="646">
        <v>2006</v>
      </c>
      <c r="I95" s="646">
        <v>2007</v>
      </c>
      <c r="J95" s="646">
        <v>2008</v>
      </c>
      <c r="K95" s="646">
        <v>2009</v>
      </c>
      <c r="L95" s="646">
        <v>2010</v>
      </c>
      <c r="M95" s="646">
        <v>2011</v>
      </c>
      <c r="N95" s="646">
        <v>2012</v>
      </c>
      <c r="O95" s="646">
        <v>2013</v>
      </c>
      <c r="P95" s="646">
        <v>2014</v>
      </c>
      <c r="Q95" s="646">
        <v>2015</v>
      </c>
      <c r="R95" s="646">
        <v>2016</v>
      </c>
      <c r="S95" s="646">
        <v>2017</v>
      </c>
      <c r="T95" s="646">
        <v>2018</v>
      </c>
      <c r="U95" s="646">
        <v>2019</v>
      </c>
      <c r="V95" s="646">
        <v>2020</v>
      </c>
      <c r="W95" s="646">
        <v>2021</v>
      </c>
      <c r="X95" s="646">
        <v>2022</v>
      </c>
    </row>
    <row r="96" spans="1:49">
      <c r="A96" s="357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M96" s="311"/>
      <c r="N96" s="311"/>
      <c r="O96" s="311"/>
    </row>
    <row r="97" spans="1:24">
      <c r="A97" s="315" t="s">
        <v>551</v>
      </c>
      <c r="B97" s="359">
        <v>232.096151418483</v>
      </c>
      <c r="C97" s="359">
        <v>231.53419595152999</v>
      </c>
      <c r="D97" s="359">
        <v>225.691762721652</v>
      </c>
      <c r="E97" s="359">
        <v>239.21995747167</v>
      </c>
      <c r="F97" s="359">
        <v>233.18548081555099</v>
      </c>
      <c r="G97" s="359">
        <v>226.458287322654</v>
      </c>
      <c r="H97" s="359">
        <v>199.33222962449599</v>
      </c>
      <c r="I97" s="359">
        <v>213.31203115442099</v>
      </c>
      <c r="J97" s="359">
        <v>215.74946173196099</v>
      </c>
      <c r="K97" s="359">
        <v>202.798138875201</v>
      </c>
      <c r="L97" s="359">
        <v>196.84940487985099</v>
      </c>
      <c r="M97" s="359">
        <v>217.020479914357</v>
      </c>
      <c r="N97" s="359">
        <v>192.30130683658601</v>
      </c>
      <c r="O97" s="359">
        <v>225.99434207956901</v>
      </c>
      <c r="P97" s="359">
        <v>255.98640305451801</v>
      </c>
      <c r="Q97" s="359">
        <v>245.23301963997699</v>
      </c>
      <c r="R97" s="359">
        <v>301.679091539284</v>
      </c>
      <c r="S97" s="359">
        <v>303.27074453076102</v>
      </c>
      <c r="T97" s="359">
        <v>313.64947495765603</v>
      </c>
      <c r="U97" s="359">
        <v>317.60165690699398</v>
      </c>
      <c r="V97" s="359">
        <v>282.24483347385802</v>
      </c>
      <c r="W97" s="359">
        <v>254.859207061841</v>
      </c>
      <c r="X97" s="359">
        <v>265.045950738263</v>
      </c>
    </row>
    <row r="98" spans="1:24">
      <c r="A98" s="318" t="s">
        <v>585</v>
      </c>
      <c r="B98" s="360"/>
      <c r="C98" s="360"/>
      <c r="D98" s="360"/>
      <c r="E98" s="360"/>
      <c r="F98" s="360"/>
      <c r="G98" s="360"/>
      <c r="H98" s="360"/>
      <c r="I98" s="360"/>
      <c r="J98" s="360"/>
      <c r="K98" s="360"/>
      <c r="L98" s="360"/>
      <c r="M98" s="360"/>
      <c r="N98" s="360"/>
      <c r="O98" s="360"/>
      <c r="P98" s="360"/>
      <c r="Q98" s="360"/>
      <c r="R98" s="360"/>
      <c r="S98" s="360"/>
      <c r="T98" s="360"/>
      <c r="U98" s="360"/>
      <c r="V98" s="360"/>
      <c r="W98" s="360"/>
      <c r="X98" s="360"/>
    </row>
    <row r="99" spans="1:24">
      <c r="A99" s="310" t="s">
        <v>586</v>
      </c>
      <c r="B99" s="360">
        <v>11.8340103791156</v>
      </c>
      <c r="C99" s="360">
        <v>2.7796886301469099</v>
      </c>
      <c r="D99" s="360">
        <v>10.7113158248331</v>
      </c>
      <c r="E99" s="360">
        <v>9.7167319455203902</v>
      </c>
      <c r="F99" s="360">
        <v>10.174698784057</v>
      </c>
      <c r="G99" s="360">
        <v>6.0071591016562902</v>
      </c>
      <c r="H99" s="360">
        <v>4.47570482820056</v>
      </c>
      <c r="I99" s="360">
        <v>3.1663114283405802</v>
      </c>
      <c r="J99" s="360">
        <v>6.7020312330006799</v>
      </c>
      <c r="K99" s="360">
        <v>7.4698982290191704</v>
      </c>
      <c r="L99" s="360">
        <v>11.875972393883099</v>
      </c>
      <c r="M99" s="360">
        <v>17.737940008700399</v>
      </c>
      <c r="N99" s="360">
        <v>8.6867183307098692</v>
      </c>
      <c r="O99" s="360">
        <v>22.1665316236367</v>
      </c>
      <c r="P99" s="360">
        <v>28.528736217110101</v>
      </c>
      <c r="Q99" s="360">
        <v>27.002200152358501</v>
      </c>
      <c r="R99" s="360">
        <v>29.6162426520462</v>
      </c>
      <c r="S99" s="360">
        <v>30.255773689457399</v>
      </c>
      <c r="T99" s="360">
        <v>27.045412296657702</v>
      </c>
      <c r="U99" s="360">
        <v>22.294581537495301</v>
      </c>
      <c r="V99" s="360">
        <v>21.180597319621899</v>
      </c>
      <c r="W99" s="360">
        <v>28.856596415775002</v>
      </c>
      <c r="X99" s="360">
        <v>30.825322164449201</v>
      </c>
    </row>
    <row r="100" spans="1:24">
      <c r="A100" s="310" t="s">
        <v>581</v>
      </c>
      <c r="B100" s="360">
        <v>197.538476550626</v>
      </c>
      <c r="C100" s="360">
        <v>204.76444772029299</v>
      </c>
      <c r="D100" s="360">
        <v>192.98739313139501</v>
      </c>
      <c r="E100" s="360">
        <v>205.00774118866201</v>
      </c>
      <c r="F100" s="360">
        <v>197.22933116474101</v>
      </c>
      <c r="G100" s="360">
        <v>200.14523555543801</v>
      </c>
      <c r="H100" s="360">
        <v>178.33393996025501</v>
      </c>
      <c r="I100" s="360">
        <v>191.850977425878</v>
      </c>
      <c r="J100" s="360">
        <v>193.567424892394</v>
      </c>
      <c r="K100" s="360">
        <v>184.84865549232401</v>
      </c>
      <c r="L100" s="360">
        <v>174.074431866113</v>
      </c>
      <c r="M100" s="360">
        <v>186.322127510896</v>
      </c>
      <c r="N100" s="360">
        <v>168.786059220738</v>
      </c>
      <c r="O100" s="360">
        <v>191.226177585735</v>
      </c>
      <c r="P100" s="360">
        <v>213.44482108875599</v>
      </c>
      <c r="Q100" s="360">
        <v>203.71609920211199</v>
      </c>
      <c r="R100" s="360">
        <v>253.77745102464399</v>
      </c>
      <c r="S100" s="360">
        <v>256.72992289667798</v>
      </c>
      <c r="T100" s="360">
        <v>274.40127326371299</v>
      </c>
      <c r="U100" s="360">
        <v>284.58579332730397</v>
      </c>
      <c r="V100" s="360">
        <v>251.07490905216599</v>
      </c>
      <c r="W100" s="360">
        <v>212.98754455347901</v>
      </c>
      <c r="X100" s="360">
        <v>221.68944532445701</v>
      </c>
    </row>
    <row r="101" spans="1:24">
      <c r="A101" s="310" t="s">
        <v>587</v>
      </c>
      <c r="B101" s="360">
        <v>15.555441243710201</v>
      </c>
      <c r="C101" s="360">
        <v>13.213050361982299</v>
      </c>
      <c r="D101" s="360">
        <v>12.463478199293901</v>
      </c>
      <c r="E101" s="360">
        <v>11.720978623171099</v>
      </c>
      <c r="F101" s="360">
        <v>14.1444162984524</v>
      </c>
      <c r="G101" s="360">
        <v>9.9426605466437703</v>
      </c>
      <c r="H101" s="360">
        <v>6.2296611261985904</v>
      </c>
      <c r="I101" s="360">
        <v>7.2944978708945998</v>
      </c>
      <c r="J101" s="360">
        <v>4.5929555665589703</v>
      </c>
      <c r="K101" s="360">
        <v>1.9154680710145799</v>
      </c>
      <c r="L101" s="360">
        <v>2.21494397368865</v>
      </c>
      <c r="M101" s="360">
        <v>2.1567074997410001</v>
      </c>
      <c r="N101" s="360">
        <v>1.7074496375366399</v>
      </c>
      <c r="O101" s="360">
        <v>1.8663341686154</v>
      </c>
      <c r="P101" s="360">
        <v>4.2501134974860104</v>
      </c>
      <c r="Q101" s="360">
        <v>3.3621551986551399</v>
      </c>
      <c r="R101" s="360">
        <v>3.1243977228342801</v>
      </c>
      <c r="S101" s="360">
        <v>2.5950328171547401</v>
      </c>
      <c r="T101" s="360">
        <v>2.9255981082604401</v>
      </c>
      <c r="U101" s="360">
        <v>2.4776993761841801</v>
      </c>
      <c r="V101" s="360">
        <v>2.17156243753865</v>
      </c>
      <c r="W101" s="360">
        <v>0.57359695658071197</v>
      </c>
      <c r="X101" s="360">
        <v>0.55440489970289197</v>
      </c>
    </row>
    <row r="102" spans="1:24">
      <c r="A102" s="310" t="s">
        <v>588</v>
      </c>
      <c r="B102" s="360">
        <v>2.8966416442156802</v>
      </c>
      <c r="C102" s="360">
        <v>5.5239542551652496</v>
      </c>
      <c r="D102" s="360">
        <v>3.8126252178506501</v>
      </c>
      <c r="E102" s="360">
        <v>6.1905729519188899</v>
      </c>
      <c r="F102" s="360">
        <v>4.2979604905607101</v>
      </c>
      <c r="G102" s="360">
        <v>3.4650190081538601</v>
      </c>
      <c r="H102" s="360">
        <v>2.2440540614612301</v>
      </c>
      <c r="I102" s="360">
        <v>1.55176130213924</v>
      </c>
      <c r="J102" s="360">
        <v>0.99470376962486196</v>
      </c>
      <c r="K102" s="360">
        <v>0.66040696883100802</v>
      </c>
      <c r="L102" s="360">
        <v>0.43999999666912998</v>
      </c>
      <c r="M102" s="360">
        <v>0.51198934135228102</v>
      </c>
      <c r="N102" s="360">
        <v>0.39739170975643701</v>
      </c>
      <c r="O102" s="360">
        <v>0.43917098023831203</v>
      </c>
      <c r="P102" s="360">
        <v>0.44129464620471498</v>
      </c>
      <c r="Q102" s="360">
        <v>0.374003889116581</v>
      </c>
      <c r="R102" s="360">
        <v>5.4016502171931997E-2</v>
      </c>
      <c r="S102" s="360">
        <v>4.3729895031458001E-2</v>
      </c>
      <c r="T102" s="360">
        <v>5.8279882145686003E-2</v>
      </c>
      <c r="U102" s="360">
        <v>6.5742804171003005E-2</v>
      </c>
      <c r="V102" s="360">
        <v>2.8446301677460002E-3</v>
      </c>
      <c r="W102" s="360">
        <v>0</v>
      </c>
      <c r="X102" s="360">
        <v>6.0000000000000001E-3</v>
      </c>
    </row>
    <row r="103" spans="1:24">
      <c r="A103" s="310" t="s">
        <v>589</v>
      </c>
      <c r="B103" s="360">
        <v>0.30299999999999999</v>
      </c>
      <c r="C103" s="360">
        <v>0.314</v>
      </c>
      <c r="D103" s="360">
        <v>0.307</v>
      </c>
      <c r="E103" s="360">
        <v>0.33700000000000002</v>
      </c>
      <c r="F103" s="360">
        <v>0.49899999988888999</v>
      </c>
      <c r="G103" s="360">
        <v>0.48499999999999999</v>
      </c>
      <c r="H103" s="360">
        <v>0.34100000000000003</v>
      </c>
      <c r="I103" s="360">
        <v>0.51</v>
      </c>
      <c r="J103" s="360">
        <v>0.47699999999999998</v>
      </c>
      <c r="K103" s="360">
        <v>0</v>
      </c>
      <c r="L103" s="360">
        <v>0</v>
      </c>
      <c r="M103" s="360">
        <v>0</v>
      </c>
      <c r="N103" s="360">
        <v>0</v>
      </c>
      <c r="O103" s="360">
        <v>0.26800000000000002</v>
      </c>
      <c r="P103" s="360">
        <v>0.52900000000000003</v>
      </c>
      <c r="Q103" s="360">
        <v>2.2599999999999998</v>
      </c>
      <c r="R103" s="360">
        <v>1.954</v>
      </c>
      <c r="S103" s="360">
        <v>1.444</v>
      </c>
      <c r="T103" s="360">
        <v>1.304</v>
      </c>
      <c r="U103" s="360">
        <v>0.29199999999999998</v>
      </c>
      <c r="V103" s="360">
        <v>0.42499999999999999</v>
      </c>
      <c r="W103" s="360">
        <v>0.44700000000000001</v>
      </c>
      <c r="X103" s="360">
        <v>0.47900000000000298</v>
      </c>
    </row>
    <row r="104" spans="1:24" ht="15.5">
      <c r="A104" s="310" t="s">
        <v>590</v>
      </c>
      <c r="B104" s="360">
        <v>3.9685816008147898</v>
      </c>
      <c r="C104" s="360">
        <v>4.9390549839423503</v>
      </c>
      <c r="D104" s="360">
        <v>5.40995034827941</v>
      </c>
      <c r="E104" s="360">
        <v>6.2469327623978304</v>
      </c>
      <c r="F104" s="360">
        <v>6.8400740778509697</v>
      </c>
      <c r="G104" s="360">
        <v>6.4132131107621602</v>
      </c>
      <c r="H104" s="360">
        <v>7.7078696483811502</v>
      </c>
      <c r="I104" s="360">
        <v>8.9384831271684</v>
      </c>
      <c r="J104" s="360">
        <v>9.4153462703820097</v>
      </c>
      <c r="K104" s="360">
        <v>7.9037101140128803</v>
      </c>
      <c r="L104" s="360">
        <v>8.2440566494971996</v>
      </c>
      <c r="M104" s="360">
        <v>10.2917155536674</v>
      </c>
      <c r="N104" s="360">
        <v>12.7236879378443</v>
      </c>
      <c r="O104" s="360">
        <v>10.0281277213432</v>
      </c>
      <c r="P104" s="360">
        <v>8.7924376049615702</v>
      </c>
      <c r="Q104" s="360">
        <v>8.5185611977345701</v>
      </c>
      <c r="R104" s="360">
        <v>13.152983637587599</v>
      </c>
      <c r="S104" s="360">
        <v>12.2022852324393</v>
      </c>
      <c r="T104" s="360">
        <v>7.9149114068790096</v>
      </c>
      <c r="U104" s="360">
        <v>7.8858398618398802</v>
      </c>
      <c r="V104" s="360">
        <v>7.38992003436356</v>
      </c>
      <c r="W104" s="360">
        <v>11.994469136005799</v>
      </c>
      <c r="X104" s="360">
        <v>11.4917783496544</v>
      </c>
    </row>
    <row r="105" spans="1:24">
      <c r="A105" s="357"/>
      <c r="B105" s="360"/>
      <c r="C105" s="360"/>
      <c r="D105" s="360"/>
      <c r="E105" s="360"/>
      <c r="F105" s="360"/>
      <c r="G105" s="360"/>
      <c r="H105" s="360"/>
      <c r="I105" s="360"/>
      <c r="J105" s="360"/>
      <c r="K105" s="360"/>
      <c r="L105" s="360"/>
      <c r="M105" s="360"/>
      <c r="N105" s="360"/>
      <c r="O105" s="360"/>
      <c r="P105" s="360"/>
      <c r="Q105" s="360"/>
      <c r="R105" s="360"/>
      <c r="S105" s="360"/>
      <c r="T105" s="360"/>
      <c r="U105" s="360"/>
      <c r="V105" s="360"/>
      <c r="W105" s="360"/>
      <c r="X105" s="360"/>
    </row>
    <row r="106" spans="1:24">
      <c r="A106" s="318" t="s">
        <v>563</v>
      </c>
      <c r="B106" s="360"/>
      <c r="C106" s="360"/>
      <c r="D106" s="360"/>
      <c r="E106" s="360"/>
      <c r="F106" s="360"/>
      <c r="G106" s="360"/>
      <c r="H106" s="360"/>
      <c r="I106" s="360"/>
      <c r="J106" s="360"/>
      <c r="K106" s="360"/>
      <c r="L106" s="360"/>
      <c r="M106" s="360"/>
      <c r="N106" s="360"/>
      <c r="O106" s="360"/>
      <c r="P106" s="360"/>
      <c r="Q106" s="360"/>
      <c r="R106" s="360"/>
      <c r="S106" s="360"/>
      <c r="T106" s="360"/>
      <c r="U106" s="360"/>
      <c r="V106" s="360"/>
      <c r="W106" s="360"/>
      <c r="X106" s="360"/>
    </row>
    <row r="107" spans="1:24">
      <c r="A107" s="310" t="s">
        <v>586</v>
      </c>
      <c r="B107" s="360">
        <v>5.0987533859526</v>
      </c>
      <c r="C107" s="360">
        <v>1.20055209068505</v>
      </c>
      <c r="D107" s="360">
        <v>4.7459932501141102</v>
      </c>
      <c r="E107" s="360">
        <v>4.06184001043101</v>
      </c>
      <c r="F107" s="360">
        <v>4.3633500458397796</v>
      </c>
      <c r="G107" s="360">
        <v>2.6526558920307299</v>
      </c>
      <c r="H107" s="360">
        <v>2.2453493028357299</v>
      </c>
      <c r="I107" s="360">
        <v>1.4843567009347001</v>
      </c>
      <c r="J107" s="360">
        <v>3.1063953435615099</v>
      </c>
      <c r="K107" s="360">
        <v>3.6834155729683502</v>
      </c>
      <c r="L107" s="360">
        <v>6.0330242812426604</v>
      </c>
      <c r="M107" s="360">
        <v>8.1733945182041499</v>
      </c>
      <c r="N107" s="360">
        <v>4.5172435245547602</v>
      </c>
      <c r="O107" s="360">
        <v>9.8084453883505596</v>
      </c>
      <c r="P107" s="360">
        <v>11.1446295102768</v>
      </c>
      <c r="Q107" s="360">
        <v>11.0108337743424</v>
      </c>
      <c r="R107" s="360">
        <v>9.8171346582000698</v>
      </c>
      <c r="S107" s="360">
        <v>9.9764894026527209</v>
      </c>
      <c r="T107" s="360">
        <v>8.6228144651952494</v>
      </c>
      <c r="U107" s="360">
        <v>7.0196678929871004</v>
      </c>
      <c r="V107" s="360">
        <v>7.5043348212727103</v>
      </c>
      <c r="W107" s="360">
        <v>11.322563837677199</v>
      </c>
      <c r="X107" s="360">
        <v>11.630180381397199</v>
      </c>
    </row>
    <row r="108" spans="1:24">
      <c r="A108" s="310" t="s">
        <v>581</v>
      </c>
      <c r="B108" s="360">
        <v>85.110621327991396</v>
      </c>
      <c r="C108" s="360">
        <v>88.438101714858107</v>
      </c>
      <c r="D108" s="360">
        <v>85.509276370625898</v>
      </c>
      <c r="E108" s="360">
        <v>85.698427236339597</v>
      </c>
      <c r="F108" s="360">
        <v>84.580450924707705</v>
      </c>
      <c r="G108" s="360">
        <v>88.380618753984606</v>
      </c>
      <c r="H108" s="360">
        <v>89.4656826425921</v>
      </c>
      <c r="I108" s="360">
        <v>89.9391264466434</v>
      </c>
      <c r="J108" s="360">
        <v>89.718613125846502</v>
      </c>
      <c r="K108" s="360">
        <v>91.149088703460194</v>
      </c>
      <c r="L108" s="360">
        <v>88.430255591761096</v>
      </c>
      <c r="M108" s="360">
        <v>85.854628827852693</v>
      </c>
      <c r="N108" s="360">
        <v>87.771665204631105</v>
      </c>
      <c r="O108" s="360">
        <v>84.615471266270703</v>
      </c>
      <c r="P108" s="360">
        <v>83.381311875106803</v>
      </c>
      <c r="Q108" s="360">
        <v>83.070419921911295</v>
      </c>
      <c r="R108" s="360">
        <v>84.121657132343103</v>
      </c>
      <c r="S108" s="360">
        <v>84.653705484815603</v>
      </c>
      <c r="T108" s="360">
        <v>87.486603732003204</v>
      </c>
      <c r="U108" s="360">
        <v>89.604631190775294</v>
      </c>
      <c r="V108" s="360">
        <v>88.956423386726399</v>
      </c>
      <c r="W108" s="360">
        <v>83.570669079967104</v>
      </c>
      <c r="X108" s="360">
        <v>83.641891040764506</v>
      </c>
    </row>
    <row r="109" spans="1:24">
      <c r="A109" s="310" t="s">
        <v>587</v>
      </c>
      <c r="B109" s="360">
        <v>6.7021538912391598</v>
      </c>
      <c r="C109" s="360">
        <v>5.7067381808034696</v>
      </c>
      <c r="D109" s="360">
        <v>5.5223451884086998</v>
      </c>
      <c r="E109" s="360">
        <v>4.8996658753102302</v>
      </c>
      <c r="F109" s="360">
        <v>6.0657362752531698</v>
      </c>
      <c r="G109" s="360">
        <v>4.3905041693076097</v>
      </c>
      <c r="H109" s="360">
        <v>3.1252653612183301</v>
      </c>
      <c r="I109" s="360">
        <v>3.4196373413246102</v>
      </c>
      <c r="J109" s="360">
        <v>2.1288375552311098</v>
      </c>
      <c r="K109" s="360">
        <v>0.94451955113519404</v>
      </c>
      <c r="L109" s="360">
        <v>1.1251971907360101</v>
      </c>
      <c r="M109" s="360">
        <v>0.99378063332644995</v>
      </c>
      <c r="N109" s="360">
        <v>0.88790329385935995</v>
      </c>
      <c r="O109" s="360">
        <v>0.82583225378195202</v>
      </c>
      <c r="P109" s="360">
        <v>1.66028876798618</v>
      </c>
      <c r="Q109" s="360">
        <v>1.3710042813937</v>
      </c>
      <c r="R109" s="360">
        <v>1.03566929577133</v>
      </c>
      <c r="S109" s="360">
        <v>0.85568188292277403</v>
      </c>
      <c r="T109" s="360">
        <v>0.93276040352224798</v>
      </c>
      <c r="U109" s="360">
        <v>0.78012797550037505</v>
      </c>
      <c r="V109" s="360">
        <v>0.76938961497050296</v>
      </c>
      <c r="W109" s="360">
        <v>0.225064247508833</v>
      </c>
      <c r="X109" s="360">
        <v>0.20917312570089999</v>
      </c>
    </row>
    <row r="110" spans="1:24">
      <c r="A110" s="310" t="s">
        <v>588</v>
      </c>
      <c r="B110" s="360">
        <v>1.24803518994714</v>
      </c>
      <c r="C110" s="360">
        <v>2.3858049272003199</v>
      </c>
      <c r="D110" s="360">
        <v>1.68930632286868</v>
      </c>
      <c r="E110" s="360">
        <v>2.5878162580360802</v>
      </c>
      <c r="F110" s="360">
        <v>1.8431509867290501</v>
      </c>
      <c r="G110" s="360">
        <v>1.53009150122951</v>
      </c>
      <c r="H110" s="360">
        <v>1.1257858629728801</v>
      </c>
      <c r="I110" s="360">
        <v>0.72746075021707801</v>
      </c>
      <c r="J110" s="360">
        <v>0.46104577116425999</v>
      </c>
      <c r="K110" s="360">
        <v>0.32564745046176702</v>
      </c>
      <c r="L110" s="360">
        <v>0.223521121101528</v>
      </c>
      <c r="M110" s="360">
        <v>0.23591752333896199</v>
      </c>
      <c r="N110" s="360">
        <v>0.206650550791177</v>
      </c>
      <c r="O110" s="360">
        <v>0.19432830760147399</v>
      </c>
      <c r="P110" s="360">
        <v>0.17238987732904301</v>
      </c>
      <c r="Q110" s="360">
        <v>0.15250959665450101</v>
      </c>
      <c r="R110" s="360">
        <v>1.7905285346863E-2</v>
      </c>
      <c r="S110" s="360">
        <v>1.4419424168038E-2</v>
      </c>
      <c r="T110" s="360">
        <v>1.8581214635719E-2</v>
      </c>
      <c r="U110" s="360">
        <v>2.0699767378812999E-2</v>
      </c>
      <c r="V110" s="360">
        <v>1.0078590749510001E-3</v>
      </c>
      <c r="W110" s="360">
        <v>0</v>
      </c>
      <c r="X110" s="360">
        <v>2.263758409924E-3</v>
      </c>
    </row>
    <row r="111" spans="1:24">
      <c r="A111" s="310" t="s">
        <v>589</v>
      </c>
      <c r="B111" s="360">
        <v>0.13054934265311099</v>
      </c>
      <c r="C111" s="360">
        <v>0.135617116387306</v>
      </c>
      <c r="D111" s="360">
        <v>0.13602623166120001</v>
      </c>
      <c r="E111" s="360">
        <v>0.14087453386488799</v>
      </c>
      <c r="F111" s="360">
        <v>0.21399274008985</v>
      </c>
      <c r="G111" s="360">
        <v>0.214167476816151</v>
      </c>
      <c r="H111" s="360">
        <v>0.171071181334989</v>
      </c>
      <c r="I111" s="360">
        <v>0.23908637372207101</v>
      </c>
      <c r="J111" s="360">
        <v>0.22108977522855</v>
      </c>
      <c r="K111" s="360">
        <v>0</v>
      </c>
      <c r="L111" s="360">
        <v>0</v>
      </c>
      <c r="M111" s="360">
        <v>0</v>
      </c>
      <c r="N111" s="360">
        <v>0</v>
      </c>
      <c r="O111" s="360">
        <v>0.118587039628471</v>
      </c>
      <c r="P111" s="360">
        <v>0.20665160090059001</v>
      </c>
      <c r="Q111" s="360">
        <v>0.92157247148767896</v>
      </c>
      <c r="R111" s="360">
        <v>0.64770812920110898</v>
      </c>
      <c r="S111" s="360">
        <v>0.47614220166018301</v>
      </c>
      <c r="T111" s="360">
        <v>0.41575073580979</v>
      </c>
      <c r="U111" s="360">
        <v>9.1939066956917004E-2</v>
      </c>
      <c r="V111" s="360">
        <v>0.15057848704230201</v>
      </c>
      <c r="W111" s="360">
        <v>0.17539095610995001</v>
      </c>
      <c r="X111" s="360">
        <v>0.180723379725587</v>
      </c>
    </row>
    <row r="112" spans="1:24" ht="15.5">
      <c r="A112" s="310" t="s">
        <v>590</v>
      </c>
      <c r="B112" s="360">
        <v>1.70988686221651</v>
      </c>
      <c r="C112" s="360">
        <v>2.1331859700656501</v>
      </c>
      <c r="D112" s="360">
        <v>2.3970526363213098</v>
      </c>
      <c r="E112" s="360">
        <v>2.6113760860180699</v>
      </c>
      <c r="F112" s="360">
        <v>2.93331902738037</v>
      </c>
      <c r="G112" s="360">
        <v>2.8319622066313199</v>
      </c>
      <c r="H112" s="360">
        <v>3.86684564904595</v>
      </c>
      <c r="I112" s="360">
        <v>4.1903323871580502</v>
      </c>
      <c r="J112" s="360">
        <v>4.36401842896798</v>
      </c>
      <c r="K112" s="360">
        <v>3.8973287219744499</v>
      </c>
      <c r="L112" s="360">
        <v>4.1880018151586702</v>
      </c>
      <c r="M112" s="360">
        <v>4.7422784972777201</v>
      </c>
      <c r="N112" s="360">
        <v>6.6165374261635499</v>
      </c>
      <c r="O112" s="360">
        <v>4.4373357443667603</v>
      </c>
      <c r="P112" s="360">
        <v>3.4347283684004899</v>
      </c>
      <c r="Q112" s="360">
        <v>3.4736599542103002</v>
      </c>
      <c r="R112" s="360">
        <v>4.3599254991374901</v>
      </c>
      <c r="S112" s="360">
        <v>4.0235616037806103</v>
      </c>
      <c r="T112" s="360">
        <v>2.52348944883378</v>
      </c>
      <c r="U112" s="360">
        <v>2.4829341064014399</v>
      </c>
      <c r="V112" s="360">
        <v>2.6182658309130802</v>
      </c>
      <c r="W112" s="360">
        <v>4.7063118787368001</v>
      </c>
      <c r="X112" s="360">
        <v>4.3357683140018004</v>
      </c>
    </row>
    <row r="113" spans="1:24">
      <c r="A113" s="310"/>
      <c r="B113" s="361"/>
      <c r="C113" s="361"/>
      <c r="D113" s="361"/>
      <c r="E113" s="361"/>
      <c r="F113" s="361"/>
      <c r="G113" s="361"/>
      <c r="H113" s="361"/>
      <c r="I113" s="361"/>
      <c r="J113" s="361"/>
      <c r="K113" s="361"/>
      <c r="L113" s="361"/>
      <c r="M113" s="361"/>
      <c r="N113" s="361"/>
      <c r="O113" s="361"/>
      <c r="P113" s="361"/>
      <c r="Q113" s="361"/>
      <c r="R113" s="361"/>
      <c r="S113" s="361"/>
      <c r="T113" s="361"/>
      <c r="U113" s="361"/>
      <c r="V113" s="361"/>
      <c r="W113" s="361"/>
      <c r="X113" s="361"/>
    </row>
    <row r="114" spans="1:24">
      <c r="A114" s="315" t="s">
        <v>591</v>
      </c>
      <c r="B114" s="361"/>
      <c r="C114" s="361"/>
      <c r="D114" s="361"/>
      <c r="E114" s="361"/>
      <c r="F114" s="361"/>
      <c r="G114" s="361"/>
      <c r="H114" s="361"/>
      <c r="I114" s="361"/>
      <c r="J114" s="361"/>
      <c r="K114" s="361"/>
      <c r="L114" s="361"/>
      <c r="M114" s="361"/>
      <c r="N114" s="361"/>
      <c r="O114" s="361"/>
      <c r="P114" s="361"/>
      <c r="Q114" s="361"/>
      <c r="R114" s="361"/>
      <c r="S114" s="361"/>
      <c r="T114" s="361"/>
      <c r="U114" s="361"/>
      <c r="V114" s="361"/>
      <c r="W114" s="361"/>
      <c r="X114" s="361"/>
    </row>
    <row r="115" spans="1:24" ht="15.5">
      <c r="A115" s="310" t="s">
        <v>592</v>
      </c>
      <c r="B115" s="362">
        <v>227.20659999999901</v>
      </c>
      <c r="C115" s="362">
        <v>230.68289999999899</v>
      </c>
      <c r="D115" s="362">
        <v>235.01739999999899</v>
      </c>
      <c r="E115" s="362">
        <v>239.498199999999</v>
      </c>
      <c r="F115" s="362">
        <v>244.32479999999899</v>
      </c>
      <c r="G115" s="362">
        <v>249.3588</v>
      </c>
      <c r="H115" s="362">
        <v>254.63629999999901</v>
      </c>
      <c r="I115" s="362">
        <v>259.8811</v>
      </c>
      <c r="J115" s="362">
        <v>265.68229999999897</v>
      </c>
      <c r="K115" s="362">
        <v>268.91379999999901</v>
      </c>
      <c r="L115" s="362">
        <v>272.31839999999897</v>
      </c>
      <c r="M115" s="362">
        <v>275.90579999999898</v>
      </c>
      <c r="N115" s="362">
        <v>280.18889999999902</v>
      </c>
      <c r="O115" s="362">
        <v>283.2201</v>
      </c>
      <c r="P115" s="362">
        <v>285.143699999999</v>
      </c>
      <c r="Q115" s="362">
        <v>287.35039999999901</v>
      </c>
      <c r="R115" s="362">
        <v>288.78640000000001</v>
      </c>
      <c r="S115" s="362">
        <v>291.35910000000001</v>
      </c>
      <c r="T115" s="362">
        <v>293.37659999999897</v>
      </c>
      <c r="U115" s="362">
        <v>295.54879999999901</v>
      </c>
      <c r="V115" s="362">
        <v>297.80919999999901</v>
      </c>
      <c r="W115" s="362">
        <v>298.7509</v>
      </c>
      <c r="X115" s="362">
        <v>301.860399999999</v>
      </c>
    </row>
    <row r="116" spans="1:24">
      <c r="A116" s="310"/>
      <c r="B116" s="361"/>
      <c r="C116" s="361"/>
      <c r="D116" s="361"/>
      <c r="E116" s="361"/>
      <c r="F116" s="361"/>
      <c r="G116" s="361"/>
      <c r="H116" s="361"/>
      <c r="I116" s="361"/>
      <c r="J116" s="361"/>
      <c r="K116" s="361"/>
      <c r="L116" s="361"/>
      <c r="M116" s="361"/>
      <c r="N116" s="361"/>
      <c r="O116" s="361"/>
      <c r="P116" s="361"/>
      <c r="Q116" s="361"/>
      <c r="R116" s="361"/>
      <c r="S116" s="361"/>
      <c r="T116" s="361"/>
      <c r="U116" s="361"/>
      <c r="V116" s="361"/>
      <c r="W116" s="361"/>
      <c r="X116" s="361"/>
    </row>
    <row r="117" spans="1:24" ht="15.5">
      <c r="A117" s="315" t="s">
        <v>593</v>
      </c>
      <c r="B117" s="363">
        <v>1.02152028778426</v>
      </c>
      <c r="C117" s="363">
        <v>1.0036903296756201</v>
      </c>
      <c r="D117" s="363">
        <v>0.96031937516818899</v>
      </c>
      <c r="E117" s="363">
        <v>0.99883822705837</v>
      </c>
      <c r="F117" s="363">
        <v>0.95440774254415095</v>
      </c>
      <c r="G117" s="363">
        <v>0.90816240422497596</v>
      </c>
      <c r="H117" s="363">
        <v>0.78281152225545603</v>
      </c>
      <c r="I117" s="363">
        <v>0.82080625006751695</v>
      </c>
      <c r="J117" s="363">
        <v>0.81205809243581994</v>
      </c>
      <c r="K117" s="363">
        <v>0.75413808765188595</v>
      </c>
      <c r="L117" s="363">
        <v>0.72286487023958401</v>
      </c>
      <c r="M117" s="363">
        <v>0.78657454795933002</v>
      </c>
      <c r="N117" s="363">
        <v>0.68632735571104397</v>
      </c>
      <c r="O117" s="363">
        <v>0.79794598645918602</v>
      </c>
      <c r="P117" s="363">
        <v>0.89774525284801499</v>
      </c>
      <c r="Q117" s="363">
        <v>0.85342849580156199</v>
      </c>
      <c r="R117" s="363">
        <v>1.0446443860904899</v>
      </c>
      <c r="S117" s="363">
        <v>1.0408830358508101</v>
      </c>
      <c r="T117" s="363">
        <v>1.0691018811918001</v>
      </c>
      <c r="U117" s="363">
        <v>1.07461663490765</v>
      </c>
      <c r="V117" s="363">
        <v>0.947737119853444</v>
      </c>
      <c r="W117" s="363">
        <v>0.85308264196640604</v>
      </c>
      <c r="X117" s="363">
        <v>0.87804147459641502</v>
      </c>
    </row>
    <row r="118" spans="1:24">
      <c r="A118" s="357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  <c r="N118" s="311"/>
      <c r="O118" s="311"/>
      <c r="P118" s="311"/>
      <c r="Q118" s="311"/>
      <c r="R118" s="311"/>
      <c r="S118" s="311"/>
      <c r="T118" s="311"/>
      <c r="U118" s="311"/>
      <c r="V118" s="311"/>
      <c r="W118" s="311"/>
      <c r="X118" s="311"/>
    </row>
    <row r="119" spans="1:24">
      <c r="A119" s="357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  <c r="N119" s="311"/>
      <c r="O119" s="311"/>
      <c r="P119" s="311"/>
      <c r="Q119" s="311"/>
      <c r="R119" s="311"/>
      <c r="S119" s="311"/>
      <c r="T119" s="311"/>
      <c r="U119" s="311"/>
      <c r="V119" s="311"/>
      <c r="W119" s="311"/>
      <c r="X119" s="311"/>
    </row>
    <row r="120" spans="1:24" ht="15">
      <c r="A120" s="315" t="s">
        <v>594</v>
      </c>
      <c r="B120" s="359">
        <v>11.386548556798401</v>
      </c>
      <c r="C120" s="359">
        <v>11.817930952797999</v>
      </c>
      <c r="D120" s="359">
        <v>11.0568757966203</v>
      </c>
      <c r="E120" s="359">
        <v>11.7812593972405</v>
      </c>
      <c r="F120" s="359">
        <v>11.4321158012281</v>
      </c>
      <c r="G120" s="359">
        <v>11.168865197064999</v>
      </c>
      <c r="H120" s="359">
        <v>9.78094785709653</v>
      </c>
      <c r="I120" s="359">
        <v>10.5423969120195</v>
      </c>
      <c r="J120" s="359">
        <v>10.4322376772248</v>
      </c>
      <c r="K120" s="359">
        <v>9.6853631793488493</v>
      </c>
      <c r="L120" s="359">
        <v>9.1924559230329397</v>
      </c>
      <c r="M120" s="359">
        <v>9.9173538472824099</v>
      </c>
      <c r="N120" s="359">
        <v>9.2032808950321296</v>
      </c>
      <c r="O120" s="359">
        <v>10.1646731682852</v>
      </c>
      <c r="P120" s="359">
        <v>11.3071337281464</v>
      </c>
      <c r="Q120" s="359">
        <v>10.791540711558</v>
      </c>
      <c r="R120" s="359">
        <v>13.551545655397</v>
      </c>
      <c r="S120" s="359">
        <v>13.6093177299836</v>
      </c>
      <c r="T120" s="359">
        <v>14.1885195831807</v>
      </c>
      <c r="U120" s="359">
        <v>14.6572935761602</v>
      </c>
      <c r="V120" s="359">
        <v>12.9525523324905</v>
      </c>
      <c r="W120" s="359">
        <v>11.2284652835281</v>
      </c>
      <c r="X120" s="359">
        <v>11.626832770516399</v>
      </c>
    </row>
    <row r="121" spans="1:24" ht="15">
      <c r="A121" s="318" t="s">
        <v>595</v>
      </c>
      <c r="B121" s="360"/>
      <c r="C121" s="360"/>
      <c r="D121" s="360"/>
      <c r="E121" s="360"/>
      <c r="F121" s="360"/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360"/>
      <c r="S121" s="360"/>
      <c r="T121" s="360"/>
      <c r="U121" s="360"/>
      <c r="V121" s="360"/>
      <c r="W121" s="360"/>
      <c r="X121" s="360"/>
    </row>
    <row r="122" spans="1:24">
      <c r="A122" s="310" t="s">
        <v>586</v>
      </c>
      <c r="B122" s="360" t="s">
        <v>596</v>
      </c>
      <c r="C122" s="360" t="s">
        <v>596</v>
      </c>
      <c r="D122" s="360" t="s">
        <v>596</v>
      </c>
      <c r="E122" s="360" t="s">
        <v>596</v>
      </c>
      <c r="F122" s="360" t="s">
        <v>596</v>
      </c>
      <c r="G122" s="360" t="s">
        <v>596</v>
      </c>
      <c r="H122" s="360" t="s">
        <v>596</v>
      </c>
      <c r="I122" s="360" t="s">
        <v>596</v>
      </c>
      <c r="J122" s="360" t="s">
        <v>596</v>
      </c>
      <c r="K122" s="360" t="s">
        <v>596</v>
      </c>
      <c r="L122" s="360" t="s">
        <v>596</v>
      </c>
      <c r="M122" s="360" t="s">
        <v>596</v>
      </c>
      <c r="N122" s="360" t="s">
        <v>596</v>
      </c>
      <c r="O122" s="360" t="s">
        <v>596</v>
      </c>
      <c r="P122" s="360" t="s">
        <v>596</v>
      </c>
      <c r="Q122" s="360" t="s">
        <v>596</v>
      </c>
      <c r="R122" s="360" t="s">
        <v>596</v>
      </c>
      <c r="S122" s="360" t="s">
        <v>596</v>
      </c>
      <c r="T122" s="360" t="s">
        <v>596</v>
      </c>
      <c r="U122" s="360" t="s">
        <v>596</v>
      </c>
      <c r="V122" s="360" t="s">
        <v>596</v>
      </c>
      <c r="W122" s="360" t="s">
        <v>596</v>
      </c>
      <c r="X122" s="360" t="s">
        <v>596</v>
      </c>
    </row>
    <row r="123" spans="1:24">
      <c r="A123" s="310" t="s">
        <v>581</v>
      </c>
      <c r="B123" s="360">
        <v>9.8240310031734204</v>
      </c>
      <c r="C123" s="360">
        <v>10.165786129145999</v>
      </c>
      <c r="D123" s="360">
        <v>9.5569700319200503</v>
      </c>
      <c r="E123" s="360">
        <v>10.1054331656999</v>
      </c>
      <c r="F123" s="360">
        <v>9.6898943086959193</v>
      </c>
      <c r="G123" s="360">
        <v>9.8132479961807793</v>
      </c>
      <c r="H123" s="360">
        <v>8.7003850568922196</v>
      </c>
      <c r="I123" s="360">
        <v>9.3640100849405492</v>
      </c>
      <c r="J123" s="360">
        <v>9.4578023599370198</v>
      </c>
      <c r="K123" s="360">
        <v>9.0180221746706906</v>
      </c>
      <c r="L123" s="360">
        <v>8.4990716028638893</v>
      </c>
      <c r="M123" s="360">
        <v>9.0975406471614306</v>
      </c>
      <c r="N123" s="360">
        <v>8.2754013771359105</v>
      </c>
      <c r="O123" s="360">
        <v>9.3886496425485699</v>
      </c>
      <c r="P123" s="360">
        <v>10.441239588955</v>
      </c>
      <c r="Q123" s="360">
        <v>10.008649244016199</v>
      </c>
      <c r="R123" s="360">
        <v>12.5264569799354</v>
      </c>
      <c r="S123" s="360">
        <v>12.6800181626112</v>
      </c>
      <c r="T123" s="360">
        <v>13.4974627635986</v>
      </c>
      <c r="U123" s="360">
        <v>13.998426839633799</v>
      </c>
      <c r="V123" s="360">
        <v>12.3500674595946</v>
      </c>
      <c r="W123" s="360">
        <v>10.4553027234219</v>
      </c>
      <c r="X123" s="360">
        <v>10.885234137078401</v>
      </c>
    </row>
    <row r="124" spans="1:24">
      <c r="A124" s="310" t="s">
        <v>587</v>
      </c>
      <c r="B124" s="360">
        <v>1.10332843678898</v>
      </c>
      <c r="C124" s="360">
        <v>0.93724003768901498</v>
      </c>
      <c r="D124" s="360">
        <v>0.88411091011031795</v>
      </c>
      <c r="E124" s="360">
        <v>0.83111689600808203</v>
      </c>
      <c r="F124" s="360">
        <v>1.0026956977321</v>
      </c>
      <c r="G124" s="360">
        <v>0.70445022884544095</v>
      </c>
      <c r="H124" s="360">
        <v>0.441479886954316</v>
      </c>
      <c r="I124" s="360">
        <v>0.515790857824729</v>
      </c>
      <c r="J124" s="360">
        <v>0.32431280267273199</v>
      </c>
      <c r="K124" s="360">
        <v>0.13464538234307699</v>
      </c>
      <c r="L124" s="360">
        <v>0.15634892587448801</v>
      </c>
      <c r="M124" s="360">
        <v>0.15217663053886701</v>
      </c>
      <c r="N124" s="360">
        <v>0.120085543885997</v>
      </c>
      <c r="O124" s="360">
        <v>0.129948684063798</v>
      </c>
      <c r="P124" s="360">
        <v>0.29522680675451302</v>
      </c>
      <c r="Q124" s="360">
        <v>0.23400190163575399</v>
      </c>
      <c r="R124" s="360">
        <v>0.21670619763591101</v>
      </c>
      <c r="S124" s="360">
        <v>0.17982404051456499</v>
      </c>
      <c r="T124" s="360">
        <v>0.202679848242622</v>
      </c>
      <c r="U124" s="360">
        <v>0.17170979213954299</v>
      </c>
      <c r="V124" s="360">
        <v>0.150356023581736</v>
      </c>
      <c r="W124" s="360">
        <v>3.9664044607244001E-2</v>
      </c>
      <c r="X124" s="360">
        <v>3.8392752160358E-2</v>
      </c>
    </row>
    <row r="125" spans="1:24">
      <c r="A125" s="310" t="s">
        <v>588</v>
      </c>
      <c r="B125" s="360">
        <v>0.21649819989534899</v>
      </c>
      <c r="C125" s="360">
        <v>0.41286644999241801</v>
      </c>
      <c r="D125" s="360">
        <v>0.28495982517843599</v>
      </c>
      <c r="E125" s="360">
        <v>0.46269026860385898</v>
      </c>
      <c r="F125" s="360">
        <v>0.32123432019485298</v>
      </c>
      <c r="G125" s="360">
        <v>0.25897935264671001</v>
      </c>
      <c r="H125" s="360">
        <v>0.167723082261269</v>
      </c>
      <c r="I125" s="360">
        <v>0.115980355820429</v>
      </c>
      <c r="J125" s="360">
        <v>7.4345259788326998E-2</v>
      </c>
      <c r="K125" s="360">
        <v>4.9359547196929997E-2</v>
      </c>
      <c r="L125" s="360">
        <v>3.2886086348668998E-2</v>
      </c>
      <c r="M125" s="360">
        <v>3.8266649583568998E-2</v>
      </c>
      <c r="N125" s="360">
        <v>2.9701495864152001E-2</v>
      </c>
      <c r="O125" s="360">
        <v>3.2824124743816997E-2</v>
      </c>
      <c r="P125" s="360">
        <v>3.2982849886716001E-2</v>
      </c>
      <c r="Q125" s="360">
        <v>2.7953464284853E-2</v>
      </c>
      <c r="R125" s="360">
        <v>4.037253109379E-3</v>
      </c>
      <c r="S125" s="360">
        <v>3.2684207157030001E-3</v>
      </c>
      <c r="T125" s="360">
        <v>4.3559028435050003E-3</v>
      </c>
      <c r="U125" s="360">
        <v>4.9136898889500001E-3</v>
      </c>
      <c r="V125" s="360">
        <v>2.1261080462400001E-4</v>
      </c>
      <c r="W125" s="360">
        <v>0</v>
      </c>
      <c r="X125" s="360">
        <v>4.4844663542199998E-4</v>
      </c>
    </row>
    <row r="126" spans="1:24">
      <c r="A126" s="310" t="s">
        <v>589</v>
      </c>
      <c r="B126" s="360">
        <v>0</v>
      </c>
      <c r="C126" s="360">
        <v>0</v>
      </c>
      <c r="D126" s="360">
        <v>0</v>
      </c>
      <c r="E126" s="360">
        <v>0</v>
      </c>
      <c r="F126" s="360">
        <v>0</v>
      </c>
      <c r="G126" s="360">
        <v>0</v>
      </c>
      <c r="H126" s="360">
        <v>0</v>
      </c>
      <c r="I126" s="360">
        <v>0</v>
      </c>
      <c r="J126" s="360">
        <v>0</v>
      </c>
      <c r="K126" s="360">
        <v>0</v>
      </c>
      <c r="L126" s="360">
        <v>0</v>
      </c>
      <c r="M126" s="360">
        <v>0</v>
      </c>
      <c r="N126" s="360">
        <v>0</v>
      </c>
      <c r="O126" s="360">
        <v>0</v>
      </c>
      <c r="P126" s="360">
        <v>0</v>
      </c>
      <c r="Q126" s="360">
        <v>0</v>
      </c>
      <c r="R126" s="360">
        <v>0</v>
      </c>
      <c r="S126" s="360">
        <v>0</v>
      </c>
      <c r="T126" s="360">
        <v>0</v>
      </c>
      <c r="U126" s="360">
        <v>0</v>
      </c>
      <c r="V126" s="360">
        <v>0</v>
      </c>
      <c r="W126" s="360">
        <v>0</v>
      </c>
      <c r="X126" s="360">
        <v>0</v>
      </c>
    </row>
    <row r="127" spans="1:24" ht="15.5">
      <c r="A127" s="310" t="s">
        <v>590</v>
      </c>
      <c r="B127" s="360">
        <v>0.24269091694070699</v>
      </c>
      <c r="C127" s="360">
        <v>0.302038335970574</v>
      </c>
      <c r="D127" s="360">
        <v>0.33083502941153198</v>
      </c>
      <c r="E127" s="360">
        <v>0.38201906692859799</v>
      </c>
      <c r="F127" s="360">
        <v>0.41829147460523097</v>
      </c>
      <c r="G127" s="360">
        <v>0.39218761939214702</v>
      </c>
      <c r="H127" s="360">
        <v>0.47135983098873502</v>
      </c>
      <c r="I127" s="360">
        <v>0.54661561343381604</v>
      </c>
      <c r="J127" s="360">
        <v>0.57577725482679598</v>
      </c>
      <c r="K127" s="360">
        <v>0.48333607513815602</v>
      </c>
      <c r="L127" s="360">
        <v>0.50414930794589896</v>
      </c>
      <c r="M127" s="360">
        <v>0.62936991999854197</v>
      </c>
      <c r="N127" s="360">
        <v>0.77809247814606297</v>
      </c>
      <c r="O127" s="360">
        <v>0.61325071692909905</v>
      </c>
      <c r="P127" s="360">
        <v>0.53768448255013102</v>
      </c>
      <c r="Q127" s="360">
        <v>0.52093610162111104</v>
      </c>
      <c r="R127" s="360">
        <v>0.80434522471627601</v>
      </c>
      <c r="S127" s="360">
        <v>0.74620710614208996</v>
      </c>
      <c r="T127" s="360">
        <v>0.48402106849599602</v>
      </c>
      <c r="U127" s="360">
        <v>0.48224325449792099</v>
      </c>
      <c r="V127" s="360">
        <v>0.45191623850948998</v>
      </c>
      <c r="W127" s="360">
        <v>0.73349851549899403</v>
      </c>
      <c r="X127" s="360">
        <v>0.70275743464224105</v>
      </c>
    </row>
    <row r="128" spans="1:24">
      <c r="A128" s="357"/>
      <c r="B128" s="360"/>
      <c r="C128" s="360"/>
      <c r="D128" s="360"/>
      <c r="E128" s="360"/>
      <c r="F128" s="360"/>
      <c r="G128" s="360"/>
      <c r="H128" s="360"/>
      <c r="I128" s="360"/>
      <c r="J128" s="360"/>
      <c r="K128" s="360"/>
      <c r="L128" s="360"/>
      <c r="M128" s="360"/>
      <c r="N128" s="360"/>
      <c r="O128" s="360"/>
      <c r="P128" s="360"/>
      <c r="Q128" s="360"/>
      <c r="R128" s="360"/>
      <c r="S128" s="360"/>
      <c r="T128" s="360"/>
      <c r="U128" s="360"/>
      <c r="V128" s="360"/>
      <c r="W128" s="360"/>
      <c r="X128" s="360"/>
    </row>
    <row r="129" spans="1:24">
      <c r="A129" s="315" t="s">
        <v>597</v>
      </c>
      <c r="B129" s="359">
        <v>49.059618124678998</v>
      </c>
      <c r="C129" s="359">
        <v>51.041838136393601</v>
      </c>
      <c r="D129" s="359">
        <v>48.991047184370998</v>
      </c>
      <c r="E129" s="359">
        <v>49.248647653637697</v>
      </c>
      <c r="F129" s="359">
        <v>49.0258474123046</v>
      </c>
      <c r="G129" s="359">
        <v>49.319745941343299</v>
      </c>
      <c r="H129" s="359">
        <v>49.0685719791623</v>
      </c>
      <c r="I129" s="359">
        <v>49.422420549676502</v>
      </c>
      <c r="J129" s="359">
        <v>48.353481827850302</v>
      </c>
      <c r="K129" s="359">
        <v>47.7586393695114</v>
      </c>
      <c r="L129" s="359">
        <v>46.697910662435802</v>
      </c>
      <c r="M129" s="359">
        <v>45.697778620690897</v>
      </c>
      <c r="N129" s="359">
        <v>47.858649774298598</v>
      </c>
      <c r="O129" s="359">
        <v>44.977555963354398</v>
      </c>
      <c r="P129" s="359">
        <v>44.170837174262999</v>
      </c>
      <c r="Q129" s="359">
        <v>44.005251525267298</v>
      </c>
      <c r="R129" s="359">
        <v>44.920400635827001</v>
      </c>
      <c r="S129" s="359">
        <v>44.875142015563398</v>
      </c>
      <c r="T129" s="359">
        <v>45.236866999685702</v>
      </c>
      <c r="U129" s="359">
        <v>46.149927928280398</v>
      </c>
      <c r="V129" s="359">
        <v>45.891193730886002</v>
      </c>
      <c r="W129" s="359">
        <v>44.0575226336775</v>
      </c>
      <c r="X129" s="359">
        <v>43.867234108390797</v>
      </c>
    </row>
    <row r="130" spans="1:24">
      <c r="A130" s="315"/>
      <c r="B130" s="359"/>
      <c r="C130" s="359"/>
      <c r="D130" s="359"/>
      <c r="E130" s="359"/>
      <c r="F130" s="359"/>
      <c r="G130" s="359"/>
      <c r="H130" s="359"/>
      <c r="I130" s="359"/>
      <c r="J130" s="359"/>
      <c r="K130" s="359"/>
      <c r="L130" s="359"/>
      <c r="M130" s="359"/>
      <c r="N130" s="359"/>
      <c r="O130" s="359"/>
      <c r="P130" s="359"/>
      <c r="Q130" s="359"/>
      <c r="R130" s="359"/>
      <c r="S130" s="359"/>
      <c r="T130" s="359"/>
      <c r="U130" s="359"/>
      <c r="V130" s="359"/>
      <c r="W130" s="359"/>
      <c r="X130" s="359"/>
    </row>
    <row r="131" spans="1:24">
      <c r="A131" s="364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  <c r="N131" s="311"/>
      <c r="O131" s="311"/>
      <c r="P131" s="311"/>
      <c r="Q131" s="311"/>
      <c r="R131" s="311"/>
      <c r="S131" s="311"/>
      <c r="T131" s="311"/>
      <c r="U131" s="311"/>
      <c r="V131" s="311"/>
      <c r="W131" s="311"/>
      <c r="X131" s="311"/>
    </row>
    <row r="132" spans="1:24">
      <c r="A132" s="316" t="s">
        <v>598</v>
      </c>
      <c r="B132" s="365">
        <v>0.93614159904600003</v>
      </c>
      <c r="C132" s="365">
        <v>0.84164411261700001</v>
      </c>
      <c r="D132" s="365">
        <v>0.89355728245300003</v>
      </c>
      <c r="E132" s="365">
        <v>0.96407157086499995</v>
      </c>
      <c r="F132" s="365">
        <v>0.93056650673600005</v>
      </c>
      <c r="G132" s="365">
        <v>0.92401754013199999</v>
      </c>
      <c r="H132" s="365">
        <v>0.82673250026400003</v>
      </c>
      <c r="I132" s="365">
        <v>0.90995492315000004</v>
      </c>
      <c r="J132" s="365">
        <v>0.935918463122</v>
      </c>
      <c r="K132" s="365">
        <v>0.93668432654</v>
      </c>
      <c r="L132" s="365">
        <v>0.84901738905099999</v>
      </c>
      <c r="M132" s="365">
        <v>0.87044829614999997</v>
      </c>
      <c r="N132" s="365">
        <v>0.78945821369500002</v>
      </c>
      <c r="O132" s="365">
        <v>0.91545983195500003</v>
      </c>
      <c r="P132" s="365">
        <v>0.99540484420499997</v>
      </c>
      <c r="Q132" s="365">
        <v>0.91982801633199995</v>
      </c>
      <c r="R132" s="365">
        <v>0.882001406687</v>
      </c>
      <c r="S132" s="365">
        <v>0.91991012850999998</v>
      </c>
      <c r="T132" s="365">
        <v>0.92142871415500005</v>
      </c>
      <c r="U132" s="365">
        <v>0.95598471587199996</v>
      </c>
      <c r="V132" s="365">
        <v>0.84004560897799996</v>
      </c>
      <c r="W132" s="365">
        <v>0.78918556256200001</v>
      </c>
      <c r="X132" s="365">
        <v>0.87178697124299998</v>
      </c>
    </row>
    <row r="133" spans="1:24">
      <c r="A133" s="316"/>
      <c r="B133" s="365"/>
      <c r="C133" s="365"/>
      <c r="D133" s="365"/>
      <c r="E133" s="365"/>
      <c r="F133" s="365"/>
      <c r="G133" s="365"/>
      <c r="H133" s="365"/>
      <c r="I133" s="365"/>
      <c r="J133" s="365"/>
      <c r="K133" s="365"/>
      <c r="L133" s="365"/>
      <c r="M133" s="365"/>
      <c r="N133" s="365"/>
      <c r="O133" s="365"/>
      <c r="P133" s="365"/>
      <c r="Q133" s="365"/>
      <c r="R133" s="365"/>
      <c r="S133" s="365"/>
      <c r="T133" s="365"/>
      <c r="U133" s="365"/>
      <c r="V133" s="365"/>
      <c r="W133" s="365"/>
      <c r="X133" s="365"/>
    </row>
    <row r="134" spans="1:24">
      <c r="A134" s="311"/>
      <c r="B134" s="364"/>
      <c r="C134" s="364"/>
      <c r="D134" s="364"/>
      <c r="E134" s="364"/>
      <c r="F134" s="364"/>
      <c r="G134" s="364"/>
      <c r="H134" s="364"/>
      <c r="I134" s="364"/>
      <c r="J134" s="364"/>
      <c r="K134" s="364"/>
      <c r="L134" s="364"/>
      <c r="M134" s="364"/>
      <c r="N134" s="357"/>
      <c r="O134" s="357"/>
      <c r="P134" s="357"/>
      <c r="Q134" s="357"/>
      <c r="R134" s="357"/>
      <c r="S134" s="357"/>
      <c r="T134" s="357"/>
      <c r="U134" s="357"/>
      <c r="V134" s="357"/>
      <c r="W134" s="357"/>
      <c r="X134" s="357"/>
    </row>
    <row r="135" spans="1:24">
      <c r="A135" s="357"/>
      <c r="B135" s="317">
        <f t="shared" ref="B135:W135" si="26">SUM(B99:B104)</f>
        <v>232.09615141848226</v>
      </c>
      <c r="C135" s="317">
        <f t="shared" si="26"/>
        <v>231.53419595152982</v>
      </c>
      <c r="D135" s="317">
        <f t="shared" si="26"/>
        <v>225.69176272165203</v>
      </c>
      <c r="E135" s="317">
        <f t="shared" si="26"/>
        <v>239.2199574716702</v>
      </c>
      <c r="F135" s="317">
        <f t="shared" si="26"/>
        <v>233.18548081555099</v>
      </c>
      <c r="G135" s="317">
        <f t="shared" si="26"/>
        <v>226.45828732265412</v>
      </c>
      <c r="H135" s="317">
        <f t="shared" si="26"/>
        <v>199.33222962449653</v>
      </c>
      <c r="I135" s="317">
        <f t="shared" si="26"/>
        <v>213.31203115442079</v>
      </c>
      <c r="J135" s="317">
        <f t="shared" si="26"/>
        <v>215.74946173196051</v>
      </c>
      <c r="K135" s="317">
        <f t="shared" si="26"/>
        <v>202.79813887520166</v>
      </c>
      <c r="L135" s="317">
        <f t="shared" si="26"/>
        <v>196.84940487985111</v>
      </c>
      <c r="M135" s="317">
        <f t="shared" si="26"/>
        <v>217.02047991435708</v>
      </c>
      <c r="N135" s="317">
        <f t="shared" si="26"/>
        <v>192.30130683658524</v>
      </c>
      <c r="O135" s="317">
        <f t="shared" si="26"/>
        <v>225.99434207956861</v>
      </c>
      <c r="P135" s="317">
        <f t="shared" si="26"/>
        <v>255.98640305451838</v>
      </c>
      <c r="Q135" s="317">
        <f t="shared" si="26"/>
        <v>245.23301963997676</v>
      </c>
      <c r="R135" s="317">
        <f t="shared" si="26"/>
        <v>301.679091539284</v>
      </c>
      <c r="S135" s="317">
        <f t="shared" si="26"/>
        <v>303.27074453076085</v>
      </c>
      <c r="T135" s="317">
        <f t="shared" si="26"/>
        <v>313.64947495765585</v>
      </c>
      <c r="U135" s="317">
        <f t="shared" si="26"/>
        <v>317.60165690699432</v>
      </c>
      <c r="V135" s="317">
        <f t="shared" si="26"/>
        <v>282.24483347385785</v>
      </c>
      <c r="W135" s="317">
        <f t="shared" si="26"/>
        <v>254.85920706184049</v>
      </c>
      <c r="X135" s="317">
        <f>SUM(X99:X104)</f>
        <v>265.04595073826351</v>
      </c>
    </row>
    <row r="136" spans="1:24">
      <c r="A136" t="str">
        <f>A99</f>
        <v>Electricity</v>
      </c>
      <c r="B136" s="317"/>
      <c r="C136" s="317">
        <f t="shared" ref="C136:W141" si="27">C99-B99</f>
        <v>-9.0543217489686896</v>
      </c>
      <c r="D136" s="317">
        <f t="shared" si="27"/>
        <v>7.9316271946861905</v>
      </c>
      <c r="E136" s="317">
        <f t="shared" si="27"/>
        <v>-0.9945838793127102</v>
      </c>
      <c r="F136" s="317">
        <f t="shared" si="27"/>
        <v>0.4579668385366098</v>
      </c>
      <c r="G136" s="317">
        <f t="shared" si="27"/>
        <v>-4.1675396824007098</v>
      </c>
      <c r="H136" s="317">
        <f t="shared" si="27"/>
        <v>-1.5314542734557302</v>
      </c>
      <c r="I136" s="317">
        <f t="shared" si="27"/>
        <v>-1.3093933998599798</v>
      </c>
      <c r="J136" s="317">
        <f t="shared" si="27"/>
        <v>3.5357198046600997</v>
      </c>
      <c r="K136" s="317">
        <f t="shared" si="27"/>
        <v>0.76786699601849051</v>
      </c>
      <c r="L136" s="317">
        <f t="shared" si="27"/>
        <v>4.406074164863929</v>
      </c>
      <c r="M136" s="317">
        <f t="shared" si="27"/>
        <v>5.8619676148172992</v>
      </c>
      <c r="N136" s="317">
        <f t="shared" si="27"/>
        <v>-9.0512216779905295</v>
      </c>
      <c r="O136" s="317">
        <f t="shared" si="27"/>
        <v>13.479813292926831</v>
      </c>
      <c r="P136" s="317">
        <f t="shared" si="27"/>
        <v>6.3622045934734004</v>
      </c>
      <c r="Q136" s="317">
        <f t="shared" si="27"/>
        <v>-1.5265360647515998</v>
      </c>
      <c r="R136" s="317">
        <f>R99-Q99</f>
        <v>2.6140424996876988</v>
      </c>
      <c r="S136" s="317">
        <f t="shared" si="27"/>
        <v>0.63953103741119932</v>
      </c>
      <c r="T136" s="317">
        <f t="shared" si="27"/>
        <v>-3.2103613927996975</v>
      </c>
      <c r="U136" s="317">
        <f t="shared" si="27"/>
        <v>-4.7508307591624011</v>
      </c>
      <c r="V136" s="317">
        <f t="shared" si="27"/>
        <v>-1.1139842178734014</v>
      </c>
      <c r="W136" s="317">
        <f t="shared" si="27"/>
        <v>7.6759990961531024</v>
      </c>
      <c r="X136" s="317">
        <f>X99-W99</f>
        <v>1.9687257486741991</v>
      </c>
    </row>
    <row r="137" spans="1:24">
      <c r="A137" t="str">
        <f t="shared" ref="A137:A140" si="28">A100</f>
        <v>Natural Gas</v>
      </c>
      <c r="B137" s="317"/>
      <c r="C137" s="317">
        <f t="shared" si="27"/>
        <v>7.225971169666991</v>
      </c>
      <c r="D137" s="317">
        <f t="shared" si="27"/>
        <v>-11.777054588897983</v>
      </c>
      <c r="E137" s="317">
        <f t="shared" si="27"/>
        <v>12.020348057267</v>
      </c>
      <c r="F137" s="317">
        <f t="shared" si="27"/>
        <v>-7.7784100239209977</v>
      </c>
      <c r="G137" s="317">
        <f t="shared" si="27"/>
        <v>2.9159043906969941</v>
      </c>
      <c r="H137" s="317">
        <f t="shared" si="27"/>
        <v>-21.811295595182997</v>
      </c>
      <c r="I137" s="317">
        <f t="shared" si="27"/>
        <v>13.517037465622991</v>
      </c>
      <c r="J137" s="317">
        <f t="shared" si="27"/>
        <v>1.7164474665160014</v>
      </c>
      <c r="K137" s="317">
        <f t="shared" si="27"/>
        <v>-8.7187694000699878</v>
      </c>
      <c r="L137" s="317">
        <f t="shared" si="27"/>
        <v>-10.774223626211011</v>
      </c>
      <c r="M137" s="317">
        <f t="shared" si="27"/>
        <v>12.247695644782993</v>
      </c>
      <c r="N137" s="317">
        <f t="shared" si="27"/>
        <v>-17.536068290157999</v>
      </c>
      <c r="O137" s="317">
        <f t="shared" si="27"/>
        <v>22.440118364997005</v>
      </c>
      <c r="P137" s="317">
        <f t="shared" si="27"/>
        <v>22.218643503020985</v>
      </c>
      <c r="Q137" s="317">
        <f t="shared" si="27"/>
        <v>-9.7287218866439957</v>
      </c>
      <c r="R137" s="317">
        <f t="shared" si="27"/>
        <v>50.061351822532004</v>
      </c>
      <c r="S137" s="317">
        <f t="shared" si="27"/>
        <v>2.952471872033982</v>
      </c>
      <c r="T137" s="317">
        <f t="shared" si="27"/>
        <v>17.671350367035018</v>
      </c>
      <c r="U137" s="317">
        <f t="shared" si="27"/>
        <v>10.18452006359098</v>
      </c>
      <c r="V137" s="317">
        <f t="shared" si="27"/>
        <v>-33.510884275137983</v>
      </c>
      <c r="W137" s="317">
        <f t="shared" si="27"/>
        <v>-38.087364498686981</v>
      </c>
      <c r="X137" s="317">
        <f t="shared" ref="X137:X141" si="29">X100-W100</f>
        <v>8.7019007709779999</v>
      </c>
    </row>
    <row r="138" spans="1:24">
      <c r="A138" t="str">
        <f t="shared" si="28"/>
        <v>Light Fuel Oil and Kerosene</v>
      </c>
      <c r="B138" s="317"/>
      <c r="C138" s="317">
        <f t="shared" si="27"/>
        <v>-2.3423908817279013</v>
      </c>
      <c r="D138" s="317">
        <f t="shared" si="27"/>
        <v>-0.74957216268839844</v>
      </c>
      <c r="E138" s="317">
        <f t="shared" si="27"/>
        <v>-0.74249957612280149</v>
      </c>
      <c r="F138" s="317">
        <f t="shared" si="27"/>
        <v>2.4234376752813009</v>
      </c>
      <c r="G138" s="317">
        <f t="shared" si="27"/>
        <v>-4.2017557518086299</v>
      </c>
      <c r="H138" s="317">
        <f t="shared" si="27"/>
        <v>-3.7129994204451799</v>
      </c>
      <c r="I138" s="317">
        <f t="shared" si="27"/>
        <v>1.0648367446960094</v>
      </c>
      <c r="J138" s="317">
        <f t="shared" si="27"/>
        <v>-2.7015423043356295</v>
      </c>
      <c r="K138" s="317">
        <f t="shared" si="27"/>
        <v>-2.6774874955443906</v>
      </c>
      <c r="L138" s="317">
        <f t="shared" si="27"/>
        <v>0.29947590267407009</v>
      </c>
      <c r="M138" s="317">
        <f t="shared" si="27"/>
        <v>-5.8236473947649969E-2</v>
      </c>
      <c r="N138" s="317">
        <f t="shared" si="27"/>
        <v>-0.44925786220436015</v>
      </c>
      <c r="O138" s="317">
        <f t="shared" si="27"/>
        <v>0.15888453107876011</v>
      </c>
      <c r="P138" s="317">
        <f t="shared" si="27"/>
        <v>2.3837793288706104</v>
      </c>
      <c r="Q138" s="317">
        <f>Q101-P101</f>
        <v>-0.88795829883087052</v>
      </c>
      <c r="R138" s="317">
        <f t="shared" si="27"/>
        <v>-0.23775747582085982</v>
      </c>
      <c r="S138" s="317">
        <f t="shared" si="27"/>
        <v>-0.52936490567953998</v>
      </c>
      <c r="T138" s="317">
        <f t="shared" si="27"/>
        <v>0.33056529110569999</v>
      </c>
      <c r="U138" s="317">
        <f t="shared" si="27"/>
        <v>-0.44789873207625996</v>
      </c>
      <c r="V138" s="317">
        <f t="shared" si="27"/>
        <v>-0.30613693864553015</v>
      </c>
      <c r="W138" s="317">
        <f t="shared" si="27"/>
        <v>-1.597965480957938</v>
      </c>
      <c r="X138" s="317">
        <f t="shared" si="29"/>
        <v>-1.9192056877819996E-2</v>
      </c>
    </row>
    <row r="139" spans="1:24">
      <c r="A139" t="str">
        <f t="shared" si="28"/>
        <v>Heavy Fuel Oil</v>
      </c>
      <c r="B139" s="317"/>
      <c r="C139" s="317">
        <f t="shared" si="27"/>
        <v>2.6273126109495695</v>
      </c>
      <c r="D139" s="317">
        <f t="shared" si="27"/>
        <v>-1.7113290373145995</v>
      </c>
      <c r="E139" s="317">
        <f t="shared" si="27"/>
        <v>2.3779477340682398</v>
      </c>
      <c r="F139" s="317">
        <f t="shared" si="27"/>
        <v>-1.8926124613581798</v>
      </c>
      <c r="G139" s="317">
        <f t="shared" si="27"/>
        <v>-0.83294148240684995</v>
      </c>
      <c r="H139" s="317">
        <f t="shared" si="27"/>
        <v>-1.22096494669263</v>
      </c>
      <c r="I139" s="317">
        <f t="shared" si="27"/>
        <v>-0.69229275932199008</v>
      </c>
      <c r="J139" s="317">
        <f t="shared" si="27"/>
        <v>-0.55705753251437806</v>
      </c>
      <c r="K139" s="317">
        <f t="shared" si="27"/>
        <v>-0.33429680079385393</v>
      </c>
      <c r="L139" s="317">
        <f t="shared" si="27"/>
        <v>-0.22040697216187805</v>
      </c>
      <c r="M139" s="317">
        <f t="shared" si="27"/>
        <v>7.1989344683151046E-2</v>
      </c>
      <c r="N139" s="317">
        <f t="shared" si="27"/>
        <v>-0.11459763159584402</v>
      </c>
      <c r="O139" s="317">
        <f t="shared" si="27"/>
        <v>4.1779270481875019E-2</v>
      </c>
      <c r="P139" s="317">
        <f t="shared" si="27"/>
        <v>2.1236659664029545E-3</v>
      </c>
      <c r="Q139" s="317">
        <f t="shared" si="27"/>
        <v>-6.7290757088133979E-2</v>
      </c>
      <c r="R139" s="317">
        <f t="shared" si="27"/>
        <v>-0.31998738694464901</v>
      </c>
      <c r="S139" s="317">
        <f t="shared" si="27"/>
        <v>-1.0286607140473997E-2</v>
      </c>
      <c r="T139" s="317">
        <f t="shared" si="27"/>
        <v>1.4549987114228002E-2</v>
      </c>
      <c r="U139" s="317">
        <f t="shared" si="27"/>
        <v>7.4629220253170023E-3</v>
      </c>
      <c r="V139" s="317">
        <f t="shared" si="27"/>
        <v>-6.2898174003257007E-2</v>
      </c>
      <c r="W139" s="317">
        <f t="shared" si="27"/>
        <v>-2.8446301677460002E-3</v>
      </c>
      <c r="X139" s="317">
        <f t="shared" si="29"/>
        <v>6.0000000000000001E-3</v>
      </c>
    </row>
    <row r="140" spans="1:24">
      <c r="A140" t="str">
        <f t="shared" si="28"/>
        <v>Steam</v>
      </c>
      <c r="B140" s="317"/>
      <c r="C140" s="317">
        <f t="shared" si="27"/>
        <v>1.100000000000001E-2</v>
      </c>
      <c r="D140" s="317">
        <f t="shared" si="27"/>
        <v>-7.0000000000000062E-3</v>
      </c>
      <c r="E140" s="317">
        <f t="shared" si="27"/>
        <v>3.0000000000000027E-2</v>
      </c>
      <c r="F140" s="317">
        <f t="shared" si="27"/>
        <v>0.16199999988888997</v>
      </c>
      <c r="G140" s="317">
        <f t="shared" si="27"/>
        <v>-1.3999999888890002E-2</v>
      </c>
      <c r="H140" s="317">
        <f t="shared" si="27"/>
        <v>-0.14399999999999996</v>
      </c>
      <c r="I140" s="317">
        <f t="shared" si="27"/>
        <v>0.16899999999999998</v>
      </c>
      <c r="J140" s="317">
        <f t="shared" si="27"/>
        <v>-3.3000000000000029E-2</v>
      </c>
      <c r="K140" s="317">
        <f t="shared" si="27"/>
        <v>-0.47699999999999998</v>
      </c>
      <c r="L140" s="317">
        <f t="shared" si="27"/>
        <v>0</v>
      </c>
      <c r="M140" s="317">
        <f t="shared" si="27"/>
        <v>0</v>
      </c>
      <c r="N140" s="317">
        <f t="shared" si="27"/>
        <v>0</v>
      </c>
      <c r="O140" s="317">
        <f t="shared" si="27"/>
        <v>0.26800000000000002</v>
      </c>
      <c r="P140" s="317">
        <f t="shared" si="27"/>
        <v>0.26100000000000001</v>
      </c>
      <c r="Q140" s="317">
        <f t="shared" si="27"/>
        <v>1.7309999999999999</v>
      </c>
      <c r="R140" s="317">
        <f t="shared" si="27"/>
        <v>-0.30599999999999983</v>
      </c>
      <c r="S140" s="317">
        <f t="shared" si="27"/>
        <v>-0.51</v>
      </c>
      <c r="T140" s="317">
        <f t="shared" si="27"/>
        <v>-0.1399999999999999</v>
      </c>
      <c r="U140" s="317">
        <f t="shared" si="27"/>
        <v>-1.012</v>
      </c>
      <c r="V140" s="317">
        <f t="shared" si="27"/>
        <v>0.13300000000000001</v>
      </c>
      <c r="W140" s="317">
        <f t="shared" si="27"/>
        <v>2.200000000000002E-2</v>
      </c>
      <c r="X140" s="317">
        <f t="shared" si="29"/>
        <v>3.2000000000002971E-2</v>
      </c>
    </row>
    <row r="141" spans="1:24">
      <c r="A141" t="str">
        <f>A104</f>
        <v>Other2</v>
      </c>
      <c r="B141" s="317"/>
      <c r="C141" s="317">
        <f t="shared" si="27"/>
        <v>0.97047338312756048</v>
      </c>
      <c r="D141" s="317">
        <f t="shared" si="27"/>
        <v>0.4708953643370597</v>
      </c>
      <c r="E141" s="317">
        <f t="shared" si="27"/>
        <v>0.83698241411842034</v>
      </c>
      <c r="F141" s="317">
        <f t="shared" si="27"/>
        <v>0.59314131545313931</v>
      </c>
      <c r="G141" s="317">
        <f t="shared" si="27"/>
        <v>-0.4268609670888095</v>
      </c>
      <c r="H141" s="317">
        <f t="shared" si="27"/>
        <v>1.29465653761899</v>
      </c>
      <c r="I141" s="317">
        <f t="shared" si="27"/>
        <v>1.2306134787872498</v>
      </c>
      <c r="J141" s="317">
        <f t="shared" si="27"/>
        <v>0.47686314321360967</v>
      </c>
      <c r="K141" s="317">
        <f t="shared" si="27"/>
        <v>-1.5116361563691294</v>
      </c>
      <c r="L141" s="317">
        <f t="shared" si="27"/>
        <v>0.34034653548431937</v>
      </c>
      <c r="M141" s="317">
        <f t="shared" si="27"/>
        <v>2.0476589041702002</v>
      </c>
      <c r="N141" s="317">
        <f t="shared" si="27"/>
        <v>2.4319723841769001</v>
      </c>
      <c r="O141" s="317">
        <f t="shared" si="27"/>
        <v>-2.6955602165011001</v>
      </c>
      <c r="P141" s="317">
        <f t="shared" si="27"/>
        <v>-1.2356901163816296</v>
      </c>
      <c r="Q141" s="317">
        <f t="shared" si="27"/>
        <v>-0.27387640722700013</v>
      </c>
      <c r="R141" s="317">
        <f t="shared" si="27"/>
        <v>4.6344224398530294</v>
      </c>
      <c r="S141" s="317">
        <f t="shared" si="27"/>
        <v>-0.95069840514829984</v>
      </c>
      <c r="T141" s="317">
        <f t="shared" si="27"/>
        <v>-4.28737382556029</v>
      </c>
      <c r="U141" s="317">
        <f t="shared" si="27"/>
        <v>-2.9071545039129454E-2</v>
      </c>
      <c r="V141" s="317">
        <f t="shared" si="27"/>
        <v>-0.49591982747632013</v>
      </c>
      <c r="W141" s="317">
        <f t="shared" si="27"/>
        <v>4.6045491016422391</v>
      </c>
      <c r="X141" s="317">
        <f t="shared" si="29"/>
        <v>-0.50269078635139941</v>
      </c>
    </row>
    <row r="142" spans="1:24">
      <c r="C142" s="317">
        <f t="shared" ref="C142:W142" si="30">C135-B135</f>
        <v>-0.56195546695244047</v>
      </c>
      <c r="D142" s="317">
        <f t="shared" si="30"/>
        <v>-5.8424332298777983</v>
      </c>
      <c r="E142" s="317">
        <f t="shared" si="30"/>
        <v>13.528194750018173</v>
      </c>
      <c r="F142" s="317">
        <f t="shared" si="30"/>
        <v>-6.0344766561192102</v>
      </c>
      <c r="G142" s="317">
        <f t="shared" si="30"/>
        <v>-6.7271934928968733</v>
      </c>
      <c r="H142" s="317">
        <f t="shared" si="30"/>
        <v>-27.126057698157581</v>
      </c>
      <c r="I142" s="317">
        <f t="shared" si="30"/>
        <v>13.979801529924259</v>
      </c>
      <c r="J142" s="317">
        <f t="shared" si="30"/>
        <v>2.4374305775397147</v>
      </c>
      <c r="K142" s="317">
        <f t="shared" si="30"/>
        <v>-12.95132285675885</v>
      </c>
      <c r="L142" s="317">
        <f t="shared" si="30"/>
        <v>-5.9487339953505511</v>
      </c>
      <c r="M142" s="317">
        <f t="shared" si="30"/>
        <v>20.171075034505975</v>
      </c>
      <c r="N142" s="317">
        <f t="shared" si="30"/>
        <v>-24.719173077771842</v>
      </c>
      <c r="O142" s="317">
        <f t="shared" si="30"/>
        <v>33.69303524298337</v>
      </c>
      <c r="P142" s="317">
        <f t="shared" si="30"/>
        <v>29.992060974949766</v>
      </c>
      <c r="Q142" s="317">
        <f t="shared" si="30"/>
        <v>-10.753383414541617</v>
      </c>
      <c r="R142" s="317">
        <f t="shared" si="30"/>
        <v>56.446071899307242</v>
      </c>
      <c r="S142" s="317">
        <f t="shared" si="30"/>
        <v>1.5916529914768489</v>
      </c>
      <c r="T142" s="317">
        <f t="shared" si="30"/>
        <v>10.378730426895004</v>
      </c>
      <c r="U142" s="317">
        <f t="shared" si="30"/>
        <v>3.9521819493384669</v>
      </c>
      <c r="V142" s="317">
        <f t="shared" si="30"/>
        <v>-35.356823433136469</v>
      </c>
      <c r="W142" s="317">
        <f t="shared" si="30"/>
        <v>-27.385626412017359</v>
      </c>
      <c r="X142" s="317">
        <f>X135-W135</f>
        <v>10.186743676423021</v>
      </c>
    </row>
    <row r="144" spans="1:24">
      <c r="A144" t="s">
        <v>599</v>
      </c>
      <c r="C144" s="331">
        <f t="shared" ref="C144:P144" si="31">C136/C142</f>
        <v>16.112169524876208</v>
      </c>
      <c r="D144" s="331">
        <f t="shared" si="31"/>
        <v>-1.3575897032291955</v>
      </c>
      <c r="E144" s="331">
        <f t="shared" si="31"/>
        <v>-7.3519334818222815E-2</v>
      </c>
      <c r="F144" s="331">
        <f t="shared" si="31"/>
        <v>-7.5891724276074934E-2</v>
      </c>
      <c r="G144" s="331">
        <f t="shared" si="31"/>
        <v>0.61950643857667276</v>
      </c>
      <c r="H144" s="331">
        <f t="shared" si="31"/>
        <v>5.6456942269194815E-2</v>
      </c>
      <c r="I144" s="331">
        <f t="shared" si="31"/>
        <v>-9.3663232418369963E-2</v>
      </c>
      <c r="J144" s="331">
        <f t="shared" si="31"/>
        <v>1.4505930290859699</v>
      </c>
      <c r="K144" s="331">
        <f t="shared" si="31"/>
        <v>-5.9288692322094889E-2</v>
      </c>
      <c r="L144" s="331">
        <f t="shared" si="31"/>
        <v>-0.74067426250823387</v>
      </c>
      <c r="M144" s="331">
        <f t="shared" si="31"/>
        <v>0.29061255311327877</v>
      </c>
      <c r="N144" s="331">
        <f t="shared" si="31"/>
        <v>0.36616199294019408</v>
      </c>
      <c r="O144" s="331">
        <f t="shared" si="31"/>
        <v>0.40007714341301515</v>
      </c>
      <c r="P144" s="331">
        <f t="shared" si="31"/>
        <v>0.21212962319552822</v>
      </c>
      <c r="Q144" s="331">
        <f t="shared" ref="Q144:W144" si="32">Q136/Q142</f>
        <v>0.14195867532141476</v>
      </c>
      <c r="R144" s="331">
        <f t="shared" si="32"/>
        <v>4.6310441306718825E-2</v>
      </c>
      <c r="S144" s="331">
        <f t="shared" si="32"/>
        <v>0.40180305684456818</v>
      </c>
      <c r="T144" s="331">
        <f t="shared" si="32"/>
        <v>-0.30932120411187314</v>
      </c>
      <c r="U144" s="331">
        <f t="shared" si="32"/>
        <v>-1.2020779458186674</v>
      </c>
      <c r="V144" s="331">
        <f t="shared" si="32"/>
        <v>3.1506908984062568E-2</v>
      </c>
      <c r="W144" s="331">
        <f t="shared" si="32"/>
        <v>-0.28029298949264569</v>
      </c>
      <c r="X144" s="331">
        <f>X136/X142</f>
        <v>0.19326350119427946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B3E2A-D288-4003-84A4-37C27DA039AB}">
  <sheetPr codeName="Sheet25">
    <tabColor theme="3" tint="0.499984740745262"/>
  </sheetPr>
  <dimension ref="A1:J23"/>
  <sheetViews>
    <sheetView zoomScaleNormal="100" workbookViewId="0">
      <selection activeCell="N21" sqref="N21"/>
    </sheetView>
  </sheetViews>
  <sheetFormatPr defaultRowHeight="14.5"/>
  <cols>
    <col min="1" max="1" width="8.1796875" bestFit="1" customWidth="1"/>
    <col min="2" max="2" width="13.54296875" bestFit="1" customWidth="1"/>
    <col min="3" max="3" width="10.453125" bestFit="1" customWidth="1"/>
    <col min="4" max="6" width="13.81640625" bestFit="1" customWidth="1"/>
    <col min="7" max="8" width="12.81640625" bestFit="1" customWidth="1"/>
    <col min="9" max="9" width="15.1796875" bestFit="1" customWidth="1"/>
    <col min="10" max="11" width="12.54296875" bestFit="1" customWidth="1"/>
  </cols>
  <sheetData>
    <row r="1" spans="1:10" ht="15" thickBot="1">
      <c r="B1" s="826" t="s">
        <v>600</v>
      </c>
      <c r="C1" s="826"/>
      <c r="D1" s="826"/>
      <c r="E1" s="826"/>
      <c r="F1" s="826"/>
      <c r="G1" s="826"/>
      <c r="H1" s="826"/>
      <c r="I1" s="826"/>
      <c r="J1" s="826"/>
    </row>
    <row r="2" spans="1:10">
      <c r="B2" s="448"/>
      <c r="C2" s="568"/>
      <c r="D2" s="569">
        <v>2025</v>
      </c>
      <c r="E2" s="570">
        <v>2026</v>
      </c>
      <c r="F2" s="570">
        <v>2027</v>
      </c>
      <c r="G2" s="570">
        <v>2028</v>
      </c>
      <c r="H2" s="570">
        <v>2029</v>
      </c>
      <c r="I2" s="570">
        <v>2030</v>
      </c>
      <c r="J2" s="449">
        <v>2031</v>
      </c>
    </row>
    <row r="3" spans="1:10">
      <c r="B3" s="248" t="s">
        <v>601</v>
      </c>
      <c r="C3" t="s">
        <v>3</v>
      </c>
      <c r="D3" s="607">
        <v>0</v>
      </c>
      <c r="E3" s="47">
        <v>19814596.9153</v>
      </c>
      <c r="F3" s="47">
        <v>51132328.531999998</v>
      </c>
      <c r="G3" s="47">
        <v>67284408.456300005</v>
      </c>
      <c r="H3" s="47">
        <v>77409318.867799997</v>
      </c>
      <c r="I3" s="47">
        <v>86209801.848399997</v>
      </c>
      <c r="J3" s="250">
        <v>91094428.5484</v>
      </c>
    </row>
    <row r="4" spans="1:10">
      <c r="B4" s="248"/>
      <c r="C4" t="s">
        <v>602</v>
      </c>
      <c r="D4" s="607">
        <v>0</v>
      </c>
      <c r="E4" s="47">
        <v>48729.074999999997</v>
      </c>
      <c r="F4" s="47">
        <v>125747.25</v>
      </c>
      <c r="G4" s="47">
        <v>165469.27499999999</v>
      </c>
      <c r="H4" s="47">
        <v>190368.97500000001</v>
      </c>
      <c r="I4" s="47">
        <v>212011.57500000001</v>
      </c>
      <c r="J4" s="250">
        <v>224024.1</v>
      </c>
    </row>
    <row r="5" spans="1:10">
      <c r="B5" s="248"/>
      <c r="C5" t="s">
        <v>603</v>
      </c>
      <c r="D5" s="607">
        <v>0</v>
      </c>
      <c r="E5" s="47">
        <v>3.2250000000000001</v>
      </c>
      <c r="F5" s="47">
        <v>8.5749999999999993</v>
      </c>
      <c r="G5" s="47">
        <v>11.5375</v>
      </c>
      <c r="H5" s="47">
        <v>12.9125</v>
      </c>
      <c r="I5" s="47">
        <v>14.0625</v>
      </c>
      <c r="J5" s="250">
        <v>15.2125</v>
      </c>
    </row>
    <row r="6" spans="1:10">
      <c r="B6" s="248" t="s">
        <v>604</v>
      </c>
      <c r="C6" t="s">
        <v>3</v>
      </c>
      <c r="D6" s="607">
        <v>0</v>
      </c>
      <c r="E6" s="47">
        <v>11258812.1252</v>
      </c>
      <c r="F6" s="47">
        <v>27399744.5425</v>
      </c>
      <c r="G6" s="47">
        <v>34527023.8508</v>
      </c>
      <c r="H6" s="47">
        <v>39583033.909699999</v>
      </c>
      <c r="I6" s="47">
        <v>46620066.630099997</v>
      </c>
      <c r="J6" s="250">
        <v>52254975.533399999</v>
      </c>
    </row>
    <row r="7" spans="1:10">
      <c r="B7" s="248"/>
      <c r="C7" t="s">
        <v>602</v>
      </c>
      <c r="D7" s="607">
        <v>0</v>
      </c>
      <c r="E7" s="47">
        <v>21483</v>
      </c>
      <c r="F7" s="47">
        <v>52281.599999999999</v>
      </c>
      <c r="G7" s="47">
        <v>65881.2</v>
      </c>
      <c r="H7" s="47">
        <v>75528.600000000006</v>
      </c>
      <c r="I7" s="47">
        <v>88956</v>
      </c>
      <c r="J7" s="250">
        <v>99708</v>
      </c>
    </row>
    <row r="8" spans="1:10">
      <c r="A8" t="s">
        <v>2</v>
      </c>
      <c r="B8" s="248"/>
      <c r="C8" t="s">
        <v>603</v>
      </c>
      <c r="D8" s="607">
        <v>0</v>
      </c>
      <c r="E8" s="47">
        <v>1.0625</v>
      </c>
      <c r="F8" s="47">
        <v>2.3125</v>
      </c>
      <c r="G8" s="47">
        <v>2.5</v>
      </c>
      <c r="H8" s="47">
        <v>2.5</v>
      </c>
      <c r="I8" s="47">
        <v>2.5</v>
      </c>
      <c r="J8" s="250">
        <v>2.5</v>
      </c>
    </row>
    <row r="9" spans="1:10">
      <c r="B9" s="248" t="s">
        <v>17</v>
      </c>
      <c r="C9" t="s">
        <v>3</v>
      </c>
      <c r="D9" s="602"/>
      <c r="J9" s="249"/>
    </row>
    <row r="10" spans="1:10">
      <c r="B10" s="248"/>
      <c r="C10" t="s">
        <v>602</v>
      </c>
      <c r="D10" s="602"/>
      <c r="J10" s="249"/>
    </row>
    <row r="11" spans="1:10">
      <c r="B11" s="248"/>
      <c r="C11" t="s">
        <v>603</v>
      </c>
      <c r="D11" s="602"/>
      <c r="J11" s="249"/>
    </row>
    <row r="12" spans="1:10">
      <c r="B12" s="248"/>
      <c r="D12" s="602"/>
      <c r="J12" s="249"/>
    </row>
    <row r="13" spans="1:10">
      <c r="B13" s="248"/>
      <c r="D13" s="602"/>
      <c r="J13" s="249"/>
    </row>
    <row r="14" spans="1:10">
      <c r="B14" s="688"/>
      <c r="C14" s="689"/>
      <c r="D14" s="768">
        <v>2025</v>
      </c>
      <c r="E14" s="769">
        <v>2026</v>
      </c>
      <c r="F14" s="769">
        <v>2027</v>
      </c>
      <c r="G14" s="769">
        <v>2028</v>
      </c>
      <c r="H14" s="769">
        <v>2029</v>
      </c>
      <c r="I14" s="769">
        <v>2030</v>
      </c>
      <c r="J14" s="770">
        <v>2031</v>
      </c>
    </row>
    <row r="15" spans="1:10">
      <c r="B15" s="248" t="s">
        <v>601</v>
      </c>
      <c r="C15" t="s">
        <v>3</v>
      </c>
      <c r="D15" s="607">
        <v>0</v>
      </c>
      <c r="E15" s="47">
        <v>42830972.129799999</v>
      </c>
      <c r="F15" s="47">
        <v>102912193.98119999</v>
      </c>
      <c r="G15" s="47">
        <v>127313595.1129</v>
      </c>
      <c r="H15" s="47">
        <v>137032602.80849999</v>
      </c>
      <c r="I15" s="47">
        <v>139870421.89120001</v>
      </c>
      <c r="J15" s="250">
        <v>140244483.45339999</v>
      </c>
    </row>
    <row r="16" spans="1:10">
      <c r="B16" s="248"/>
      <c r="C16" t="s">
        <v>602</v>
      </c>
      <c r="D16" s="607">
        <v>0</v>
      </c>
      <c r="E16" s="47">
        <v>103684.27499999999</v>
      </c>
      <c r="F16" s="47">
        <v>249127.57500000001</v>
      </c>
      <c r="G16" s="47">
        <v>308197.95</v>
      </c>
      <c r="H16" s="47">
        <v>331725.51</v>
      </c>
      <c r="I16" s="47">
        <v>338595.24</v>
      </c>
      <c r="J16" s="250">
        <v>339500.76</v>
      </c>
    </row>
    <row r="17" spans="1:10">
      <c r="B17" s="248"/>
      <c r="C17" t="s">
        <v>603</v>
      </c>
      <c r="D17" s="607">
        <v>0</v>
      </c>
      <c r="E17" s="47">
        <v>5.1375000000000002</v>
      </c>
      <c r="F17" s="47">
        <v>11.862500000000001</v>
      </c>
      <c r="G17" s="47">
        <v>13.875</v>
      </c>
      <c r="H17" s="47">
        <v>14.4</v>
      </c>
      <c r="I17" s="47">
        <v>14.5</v>
      </c>
      <c r="J17" s="250">
        <v>14.5</v>
      </c>
    </row>
    <row r="18" spans="1:10">
      <c r="B18" s="248" t="s">
        <v>604</v>
      </c>
      <c r="C18" t="s">
        <v>3</v>
      </c>
      <c r="D18" s="607">
        <v>0</v>
      </c>
      <c r="E18" s="47">
        <v>21255699.266600002</v>
      </c>
      <c r="F18" s="47">
        <v>56423215.258599997</v>
      </c>
      <c r="G18" s="47">
        <v>82823932.7729</v>
      </c>
      <c r="H18" s="47">
        <v>97628363.048800007</v>
      </c>
      <c r="I18" s="47">
        <v>101849113.36669999</v>
      </c>
      <c r="J18" s="250">
        <v>107657042.8822</v>
      </c>
    </row>
    <row r="19" spans="1:10">
      <c r="B19" s="248"/>
      <c r="C19" t="s">
        <v>602</v>
      </c>
      <c r="D19" s="607">
        <v>0</v>
      </c>
      <c r="E19" s="47">
        <v>47894.25</v>
      </c>
      <c r="F19" s="47">
        <v>127135.2</v>
      </c>
      <c r="G19" s="47">
        <v>186622.42499999999</v>
      </c>
      <c r="H19" s="47">
        <v>219980.4</v>
      </c>
      <c r="I19" s="47">
        <v>229490.77499999999</v>
      </c>
      <c r="J19" s="250">
        <v>242577.45</v>
      </c>
    </row>
    <row r="20" spans="1:10">
      <c r="A20" t="s">
        <v>1</v>
      </c>
      <c r="B20" s="248"/>
      <c r="C20" t="s">
        <v>603</v>
      </c>
      <c r="D20" s="607">
        <v>0</v>
      </c>
      <c r="E20" s="47">
        <v>1.25</v>
      </c>
      <c r="F20" s="47">
        <v>3.05</v>
      </c>
      <c r="G20" s="47">
        <v>3.8875000000000002</v>
      </c>
      <c r="H20" s="47">
        <v>4.2374999999999998</v>
      </c>
      <c r="I20" s="47">
        <v>4.3</v>
      </c>
      <c r="J20" s="250">
        <v>4.3</v>
      </c>
    </row>
    <row r="21" spans="1:10">
      <c r="B21" s="248" t="s">
        <v>17</v>
      </c>
      <c r="C21" t="s">
        <v>3</v>
      </c>
      <c r="D21" s="607">
        <v>0</v>
      </c>
      <c r="E21" s="47">
        <v>23648220.5473</v>
      </c>
      <c r="F21" s="47">
        <v>95144469.202500001</v>
      </c>
      <c r="G21" s="47">
        <v>177564440.8457</v>
      </c>
      <c r="H21" s="47">
        <v>216780862.04010001</v>
      </c>
      <c r="I21" s="47">
        <v>221425339.69929999</v>
      </c>
      <c r="J21" s="250">
        <v>221425339.69929999</v>
      </c>
    </row>
    <row r="22" spans="1:10">
      <c r="B22" s="248"/>
      <c r="C22" t="s">
        <v>602</v>
      </c>
      <c r="D22" s="607">
        <v>0</v>
      </c>
      <c r="E22" s="47">
        <v>40097.025000000001</v>
      </c>
      <c r="F22" s="47">
        <v>161323.35</v>
      </c>
      <c r="G22" s="47">
        <v>301071.52500000002</v>
      </c>
      <c r="H22" s="47">
        <v>367565.4</v>
      </c>
      <c r="I22" s="47">
        <v>375440.4</v>
      </c>
      <c r="J22" s="250">
        <v>375440.4</v>
      </c>
    </row>
    <row r="23" spans="1:10" ht="15" thickBot="1">
      <c r="B23" s="253"/>
      <c r="C23" s="647" t="s">
        <v>603</v>
      </c>
      <c r="D23" s="571">
        <v>0</v>
      </c>
      <c r="E23" s="648">
        <v>0.1875</v>
      </c>
      <c r="F23" s="648">
        <v>0.625</v>
      </c>
      <c r="G23" s="648">
        <v>0.9375</v>
      </c>
      <c r="H23" s="648">
        <v>1</v>
      </c>
      <c r="I23" s="648">
        <v>1</v>
      </c>
      <c r="J23" s="259">
        <v>1</v>
      </c>
    </row>
  </sheetData>
  <mergeCells count="1">
    <mergeCell ref="B1:J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04579-72EF-4E99-BB9A-1C603FB2DA1A}">
  <sheetPr codeName="Sheet26">
    <tabColor theme="3" tint="0.499984740745262"/>
  </sheetPr>
  <dimension ref="A1:V54"/>
  <sheetViews>
    <sheetView topLeftCell="C1" workbookViewId="0">
      <selection activeCell="U24" sqref="U24"/>
    </sheetView>
  </sheetViews>
  <sheetFormatPr defaultColWidth="9.1796875" defaultRowHeight="14"/>
  <cols>
    <col min="1" max="1" width="11.81640625" style="84" customWidth="1"/>
    <col min="2" max="2" width="11.1796875" style="84" bestFit="1" customWidth="1"/>
    <col min="3" max="3" width="20.81640625" style="84" customWidth="1"/>
    <col min="4" max="4" width="13.81640625" style="84" bestFit="1" customWidth="1"/>
    <col min="5" max="5" width="14.1796875" style="84" bestFit="1" customWidth="1"/>
    <col min="6" max="11" width="14.1796875" style="84" customWidth="1"/>
    <col min="12" max="12" width="1.1796875" style="84" customWidth="1"/>
    <col min="13" max="13" width="9.1796875" style="84" customWidth="1"/>
    <col min="14" max="14" width="10.81640625" style="84" bestFit="1" customWidth="1"/>
    <col min="15" max="15" width="13.1796875" style="84" bestFit="1" customWidth="1"/>
    <col min="16" max="21" width="13.1796875" style="84" customWidth="1"/>
    <col min="22" max="23" width="9.1796875" style="84"/>
    <col min="24" max="25" width="9.81640625" style="84" bestFit="1" customWidth="1"/>
    <col min="26" max="16384" width="9.1796875" style="84"/>
  </cols>
  <sheetData>
    <row r="1" spans="1:21">
      <c r="K1" s="246"/>
    </row>
    <row r="2" spans="1:21">
      <c r="D2" s="830" t="s">
        <v>3</v>
      </c>
      <c r="E2" s="831"/>
      <c r="F2" s="831"/>
      <c r="G2" s="831"/>
      <c r="H2" s="831"/>
      <c r="I2" s="831"/>
      <c r="J2" s="831"/>
      <c r="K2" s="832"/>
      <c r="N2" s="827" t="s">
        <v>602</v>
      </c>
      <c r="O2" s="828"/>
      <c r="P2" s="828"/>
      <c r="Q2" s="828"/>
      <c r="R2" s="828"/>
      <c r="S2" s="828"/>
      <c r="T2" s="828"/>
      <c r="U2" s="829"/>
    </row>
    <row r="3" spans="1:21">
      <c r="D3" s="690">
        <v>2024</v>
      </c>
      <c r="E3" s="691">
        <v>2025</v>
      </c>
      <c r="F3" s="691">
        <v>2026</v>
      </c>
      <c r="G3" s="691">
        <v>2027</v>
      </c>
      <c r="H3" s="691">
        <v>2028</v>
      </c>
      <c r="I3" s="691">
        <v>2029</v>
      </c>
      <c r="J3" s="691">
        <v>2030</v>
      </c>
      <c r="K3" s="692">
        <v>2031</v>
      </c>
      <c r="N3" s="608">
        <v>2024</v>
      </c>
      <c r="O3" s="172">
        <v>2025</v>
      </c>
      <c r="P3" s="172">
        <v>2026</v>
      </c>
      <c r="Q3" s="172">
        <v>2027</v>
      </c>
      <c r="R3" s="172">
        <v>2028</v>
      </c>
      <c r="S3" s="172">
        <v>2029</v>
      </c>
      <c r="T3" s="172">
        <v>2030</v>
      </c>
      <c r="U3" s="355">
        <v>2031</v>
      </c>
    </row>
    <row r="4" spans="1:21">
      <c r="B4" s="693"/>
      <c r="C4" s="694" t="str">
        <f>'EV Forecast VRZ'!E194</f>
        <v>Residential</v>
      </c>
      <c r="D4" s="695">
        <f>'EV Forecast VRZ'!F194</f>
        <v>4569426.9879978951</v>
      </c>
      <c r="E4" s="696">
        <f>'EV Forecast VRZ'!G194</f>
        <v>9123531.3410003018</v>
      </c>
      <c r="F4" s="696">
        <f>'EV Forecast VRZ'!H194</f>
        <v>4713314.4082688726</v>
      </c>
      <c r="G4" s="696">
        <f>'EV Forecast VRZ'!I194</f>
        <v>19408098.343384184</v>
      </c>
      <c r="H4" s="696">
        <f>'EV Forecast VRZ'!J194</f>
        <v>6350328.7258111509</v>
      </c>
      <c r="I4" s="696">
        <f>'EV Forecast VRZ'!K194</f>
        <v>34267562.001645379</v>
      </c>
      <c r="J4" s="696">
        <f>'EV Forecast VRZ'!L194</f>
        <v>10043807.746259563</v>
      </c>
      <c r="K4" s="697">
        <f>'EV Forecast VRZ'!M194</f>
        <v>55329195.205931097</v>
      </c>
      <c r="L4" s="171"/>
      <c r="M4" s="171"/>
      <c r="N4" s="695"/>
      <c r="O4" s="696"/>
      <c r="P4" s="696"/>
      <c r="Q4" s="696"/>
      <c r="R4" s="696"/>
      <c r="S4" s="696"/>
      <c r="T4" s="696"/>
      <c r="U4" s="697"/>
    </row>
    <row r="5" spans="1:21">
      <c r="B5" s="609"/>
      <c r="C5" s="84" t="str">
        <f>'EV Forecast VRZ'!E195</f>
        <v>Residential Seasonal</v>
      </c>
      <c r="D5" s="610">
        <f>'EV Forecast VRZ'!F195</f>
        <v>62003.202002105871</v>
      </c>
      <c r="E5" s="171">
        <f>'EV Forecast VRZ'!G195</f>
        <v>123798.4889996991</v>
      </c>
      <c r="F5" s="171">
        <f>'EV Forecast VRZ'!H195</f>
        <v>63955.63078760932</v>
      </c>
      <c r="G5" s="171">
        <f>'EV Forecast VRZ'!I195</f>
        <v>263351.2353348363</v>
      </c>
      <c r="H5" s="171">
        <f>'EV Forecast VRZ'!J195</f>
        <v>86168.509924865415</v>
      </c>
      <c r="I5" s="171">
        <f>'EV Forecast VRZ'!K195</f>
        <v>464981.40237024508</v>
      </c>
      <c r="J5" s="171">
        <f>'EV Forecast VRZ'!L195</f>
        <v>136285.84988826051</v>
      </c>
      <c r="K5" s="170">
        <f>'EV Forecast VRZ'!M195</f>
        <v>750769.68643510679</v>
      </c>
      <c r="L5" s="171"/>
      <c r="M5" s="171"/>
      <c r="N5" s="610"/>
      <c r="O5" s="171"/>
      <c r="P5" s="171"/>
      <c r="Q5" s="171"/>
      <c r="R5" s="171"/>
      <c r="S5" s="171"/>
      <c r="T5" s="171"/>
      <c r="U5" s="170"/>
    </row>
    <row r="6" spans="1:21">
      <c r="B6" s="609" t="s">
        <v>455</v>
      </c>
      <c r="C6" s="84" t="str">
        <f>'EV Forecast VRZ'!E196</f>
        <v>GS&lt;50</v>
      </c>
      <c r="D6" s="610">
        <f>'EV Forecast VRZ'!F196</f>
        <v>605024.14000000013</v>
      </c>
      <c r="E6" s="171">
        <f>'EV Forecast VRZ'!G196</f>
        <v>1256829.9800000002</v>
      </c>
      <c r="F6" s="171">
        <f>'EV Forecast VRZ'!H196</f>
        <v>667580.24768571882</v>
      </c>
      <c r="G6" s="171">
        <f>'EV Forecast VRZ'!I196</f>
        <v>2667734.5800035228</v>
      </c>
      <c r="H6" s="171">
        <f>'EV Forecast VRZ'!J196</f>
        <v>850713.44435731426</v>
      </c>
      <c r="I6" s="171">
        <f>'EV Forecast VRZ'!K196</f>
        <v>4658178.5366503168</v>
      </c>
      <c r="J6" s="171">
        <f>'EV Forecast VRZ'!L196</f>
        <v>1344769.2713851864</v>
      </c>
      <c r="K6" s="170">
        <f>'EV Forecast VRZ'!M196</f>
        <v>7484894.6717153117</v>
      </c>
      <c r="L6" s="171"/>
      <c r="M6" s="171"/>
      <c r="N6" s="610"/>
      <c r="O6" s="171"/>
      <c r="P6" s="171"/>
      <c r="Q6" s="171"/>
      <c r="R6" s="171"/>
      <c r="S6" s="171"/>
      <c r="T6" s="171"/>
      <c r="U6" s="170"/>
    </row>
    <row r="7" spans="1:21">
      <c r="B7" s="609"/>
      <c r="C7" s="84" t="str">
        <f>'EV Forecast VRZ'!E197</f>
        <v>GS 50 - 2,999</v>
      </c>
      <c r="D7" s="610">
        <f>'EV Forecast VRZ'!F197</f>
        <v>297335.86300000001</v>
      </c>
      <c r="E7" s="171">
        <f>'EV Forecast VRZ'!G197</f>
        <v>631098.49100000004</v>
      </c>
      <c r="F7" s="171">
        <f>'EV Forecast VRZ'!H197</f>
        <v>336237.55598814762</v>
      </c>
      <c r="G7" s="171">
        <f>'EV Forecast VRZ'!I197</f>
        <v>1330118.1145425669</v>
      </c>
      <c r="H7" s="171">
        <f>'EV Forecast VRZ'!J197</f>
        <v>417759.10709699604</v>
      </c>
      <c r="I7" s="171">
        <f>'EV Forecast VRZ'!K197</f>
        <v>2303940.9889122178</v>
      </c>
      <c r="J7" s="171">
        <f>'EV Forecast VRZ'!L197</f>
        <v>656021.35643329984</v>
      </c>
      <c r="K7" s="170">
        <f>'EV Forecast VRZ'!M197</f>
        <v>3685545.2857669811</v>
      </c>
      <c r="L7" s="171"/>
      <c r="M7" s="171"/>
      <c r="N7" s="610">
        <f>SUM('EV Forecast VRZ'!F103:$F103)</f>
        <v>93.396739726027391</v>
      </c>
      <c r="O7" s="171">
        <f>SUM('EV Forecast VRZ'!$F103:G103)</f>
        <v>401.4407260273972</v>
      </c>
      <c r="P7" s="171">
        <f>SUM('EV Forecast VRZ'!$F103:H103)</f>
        <v>661.61276712328754</v>
      </c>
      <c r="Q7" s="171">
        <f>SUM('EV Forecast VRZ'!$F103:I103)</f>
        <v>742.29715068493135</v>
      </c>
      <c r="R7" s="171">
        <f>SUM('EV Forecast VRZ'!$F103:J103)</f>
        <v>869.03609589041082</v>
      </c>
      <c r="S7" s="171">
        <f>SUM('EV Forecast VRZ'!$F103:K103)</f>
        <v>1086.9251917808217</v>
      </c>
      <c r="T7" s="171">
        <f>SUM('EV Forecast VRZ'!$F103:L103)</f>
        <v>1460.0736164383559</v>
      </c>
      <c r="U7" s="170">
        <f>SUM('EV Forecast VRZ'!$F103:M103)</f>
        <v>1990.1888630136982</v>
      </c>
    </row>
    <row r="8" spans="1:21">
      <c r="B8" s="609"/>
      <c r="C8" s="84" t="str">
        <f>'EV Forecast VRZ'!E198</f>
        <v>GS 3,000 - 4,999</v>
      </c>
      <c r="D8" s="610">
        <f>'EV Forecast VRZ'!F198</f>
        <v>38751.207000000002</v>
      </c>
      <c r="E8" s="171">
        <f>'EV Forecast VRZ'!G198</f>
        <v>89366.499000000011</v>
      </c>
      <c r="F8" s="171">
        <f>'EV Forecast VRZ'!H198</f>
        <v>52735.119906436244</v>
      </c>
      <c r="G8" s="171">
        <f>'EV Forecast VRZ'!I198</f>
        <v>192952.14059473079</v>
      </c>
      <c r="H8" s="171">
        <f>'EV Forecast VRZ'!J198</f>
        <v>57935.205464592931</v>
      </c>
      <c r="I8" s="171">
        <f>'EV Forecast VRZ'!K198</f>
        <v>330412.84154019173</v>
      </c>
      <c r="J8" s="171">
        <f>'EV Forecast VRZ'!L198</f>
        <v>93705.343706808097</v>
      </c>
      <c r="K8" s="170">
        <f>'EV Forecast VRZ'!M198</f>
        <v>528163.17166259349</v>
      </c>
      <c r="L8" s="171"/>
      <c r="M8" s="171"/>
      <c r="N8" s="610">
        <f>SUM('EV Forecast VRZ'!F104:$F104)</f>
        <v>19.167369863013697</v>
      </c>
      <c r="O8" s="171">
        <f>SUM('EV Forecast VRZ'!$F104:G104)</f>
        <v>84.558863013698613</v>
      </c>
      <c r="P8" s="171">
        <f>SUM('EV Forecast VRZ'!$F104:H104)</f>
        <v>136.6403835616438</v>
      </c>
      <c r="Q8" s="171">
        <f>SUM('EV Forecast VRZ'!$F104:I104)</f>
        <v>148.00257534246572</v>
      </c>
      <c r="R8" s="171">
        <f>SUM('EV Forecast VRZ'!$F104:J104)</f>
        <v>170.07554794520544</v>
      </c>
      <c r="S8" s="171">
        <f>SUM('EV Forecast VRZ'!$F104:K104)</f>
        <v>209.46809589041092</v>
      </c>
      <c r="T8" s="171">
        <f>SUM('EV Forecast VRZ'!$F104:L104)</f>
        <v>276.49980821917802</v>
      </c>
      <c r="U8" s="170">
        <f>SUM('EV Forecast VRZ'!$F104:M104)</f>
        <v>357.77593150684925</v>
      </c>
    </row>
    <row r="9" spans="1:21">
      <c r="B9" s="609"/>
      <c r="C9" s="84" t="str">
        <f>'EV Forecast VRZ'!E199</f>
        <v>Large Use</v>
      </c>
      <c r="D9" s="610">
        <f>'EV Forecast VRZ'!F199</f>
        <v>10200</v>
      </c>
      <c r="E9" s="171">
        <f>'EV Forecast VRZ'!G199</f>
        <v>26175</v>
      </c>
      <c r="F9" s="171">
        <f>'EV Forecast VRZ'!H199</f>
        <v>13772.185621794051</v>
      </c>
      <c r="G9" s="171">
        <f>'EV Forecast VRZ'!I199</f>
        <v>50998.311396596931</v>
      </c>
      <c r="H9" s="171">
        <f>'EV Forecast VRZ'!J199</f>
        <v>13816.96614423237</v>
      </c>
      <c r="I9" s="171">
        <f>'EV Forecast VRZ'!K199</f>
        <v>81504.297218958411</v>
      </c>
      <c r="J9" s="171">
        <f>'EV Forecast VRZ'!L199</f>
        <v>19670.428566923994</v>
      </c>
      <c r="K9" s="170">
        <f>'EV Forecast VRZ'!M199</f>
        <v>123939.14398928185</v>
      </c>
      <c r="L9" s="171"/>
      <c r="M9" s="171"/>
      <c r="N9" s="610">
        <f>SUM('EV Forecast VRZ'!F105:$F105)</f>
        <v>0</v>
      </c>
      <c r="O9" s="171">
        <f>SUM('EV Forecast VRZ'!$F105:G105)</f>
        <v>0</v>
      </c>
      <c r="P9" s="171">
        <f>SUM('EV Forecast VRZ'!$F105:H105)</f>
        <v>0</v>
      </c>
      <c r="Q9" s="171">
        <f>SUM('EV Forecast VRZ'!$F105:I105)</f>
        <v>0</v>
      </c>
      <c r="R9" s="171">
        <f>SUM('EV Forecast VRZ'!$F105:J105)</f>
        <v>0</v>
      </c>
      <c r="S9" s="171">
        <f>SUM('EV Forecast VRZ'!$F105:K105)</f>
        <v>0</v>
      </c>
      <c r="T9" s="171">
        <f>SUM('EV Forecast VRZ'!$F105:L105)</f>
        <v>0</v>
      </c>
      <c r="U9" s="170">
        <f>SUM('EV Forecast VRZ'!$F105:M105)</f>
        <v>0</v>
      </c>
    </row>
    <row r="10" spans="1:21">
      <c r="B10" s="611"/>
      <c r="C10" s="169" t="s">
        <v>290</v>
      </c>
      <c r="D10" s="612">
        <f>SUM(D4:D9)</f>
        <v>5582741.4000000022</v>
      </c>
      <c r="E10" s="168">
        <f>SUM(E4:E9)</f>
        <v>11250799.800000001</v>
      </c>
      <c r="F10" s="168">
        <f t="shared" ref="F10:J10" si="0">SUM(F4:F9)</f>
        <v>5847595.1482585799</v>
      </c>
      <c r="G10" s="168">
        <f t="shared" si="0"/>
        <v>23913252.725256436</v>
      </c>
      <c r="H10" s="168">
        <f t="shared" si="0"/>
        <v>7776721.9587991517</v>
      </c>
      <c r="I10" s="168">
        <f t="shared" si="0"/>
        <v>42106580.068337306</v>
      </c>
      <c r="J10" s="168">
        <f t="shared" si="0"/>
        <v>12294259.996240042</v>
      </c>
      <c r="K10" s="356">
        <f>SUM(K4:K9)</f>
        <v>67902507.165500373</v>
      </c>
      <c r="L10" s="167"/>
      <c r="M10" s="167"/>
      <c r="N10" s="612">
        <f>SUM(N4:N9)</f>
        <v>112.5641095890411</v>
      </c>
      <c r="O10" s="168">
        <f>SUM(O4:O9)</f>
        <v>485.99958904109582</v>
      </c>
      <c r="P10" s="168">
        <f t="shared" ref="P10" si="1">SUM(P4:P9)</f>
        <v>798.25315068493137</v>
      </c>
      <c r="Q10" s="168">
        <f t="shared" ref="Q10" si="2">SUM(Q4:Q9)</f>
        <v>890.29972602739713</v>
      </c>
      <c r="R10" s="168">
        <f t="shared" ref="R10" si="3">SUM(R4:R9)</f>
        <v>1039.1116438356162</v>
      </c>
      <c r="S10" s="168">
        <f t="shared" ref="S10" si="4">SUM(S4:S9)</f>
        <v>1296.3932876712327</v>
      </c>
      <c r="T10" s="168">
        <f t="shared" ref="T10" si="5">SUM(T4:T9)</f>
        <v>1736.5734246575339</v>
      </c>
      <c r="U10" s="356">
        <f>SUM(U4:U9)</f>
        <v>2347.9647945205475</v>
      </c>
    </row>
    <row r="11" spans="1:21">
      <c r="A11" s="84" t="s">
        <v>1</v>
      </c>
      <c r="B11" s="693"/>
      <c r="C11" s="694" t="s">
        <v>12</v>
      </c>
      <c r="D11" s="695">
        <f ca="1">Heating!F94</f>
        <v>2093133.6047976317</v>
      </c>
      <c r="E11" s="696">
        <f ca="1">Heating!G94</f>
        <v>5680153.3475777712</v>
      </c>
      <c r="F11" s="696">
        <f ca="1">Heating!H94</f>
        <v>9400752.7998287156</v>
      </c>
      <c r="G11" s="696">
        <f ca="1">Heating!I94</f>
        <v>13396542.347855048</v>
      </c>
      <c r="H11" s="696">
        <f ca="1">Heating!J94</f>
        <v>17648442.304636605</v>
      </c>
      <c r="I11" s="696">
        <f ca="1">Heating!K94</f>
        <v>22166665.165777449</v>
      </c>
      <c r="J11" s="696">
        <f ca="1">Heating!L94</f>
        <v>26957341.949542057</v>
      </c>
      <c r="K11" s="697">
        <f ca="1">Heating!M94</f>
        <v>31985465.671009839</v>
      </c>
      <c r="L11" s="171"/>
      <c r="M11" s="171"/>
      <c r="N11" s="695"/>
      <c r="O11" s="696"/>
      <c r="P11" s="696"/>
      <c r="Q11" s="696"/>
      <c r="R11" s="696"/>
      <c r="S11" s="696"/>
      <c r="T11" s="696"/>
      <c r="U11" s="697"/>
    </row>
    <row r="12" spans="1:21">
      <c r="B12" s="609"/>
      <c r="C12" s="84" t="str">
        <f t="shared" ref="C12:C13" si="6">C5</f>
        <v>Residential Seasonal</v>
      </c>
      <c r="D12" s="610">
        <f ca="1">Heating!F95</f>
        <v>36838.438955263875</v>
      </c>
      <c r="E12" s="171">
        <f ca="1">Heating!G95</f>
        <v>74359.456652172317</v>
      </c>
      <c r="F12" s="171">
        <f ca="1">Heating!H95</f>
        <v>113430.43141587341</v>
      </c>
      <c r="G12" s="171">
        <f ca="1">Heating!I95</f>
        <v>153965.89805588979</v>
      </c>
      <c r="H12" s="171">
        <f ca="1">Heating!J95</f>
        <v>196034.22657007881</v>
      </c>
      <c r="I12" s="171">
        <f ca="1">Heating!K95</f>
        <v>239628.21509028057</v>
      </c>
      <c r="J12" s="171">
        <f ca="1">Heating!L95</f>
        <v>284740.68662338605</v>
      </c>
      <c r="K12" s="170">
        <f ca="1">Heating!M95</f>
        <v>331364.48897533893</v>
      </c>
      <c r="L12" s="171"/>
      <c r="M12" s="171"/>
      <c r="N12" s="610"/>
      <c r="O12" s="171"/>
      <c r="P12" s="171"/>
      <c r="Q12" s="171"/>
      <c r="R12" s="171"/>
      <c r="S12" s="171"/>
      <c r="T12" s="171"/>
      <c r="U12" s="170"/>
    </row>
    <row r="13" spans="1:21">
      <c r="A13" s="84" t="s">
        <v>605</v>
      </c>
      <c r="B13" s="609" t="s">
        <v>606</v>
      </c>
      <c r="C13" s="84" t="str">
        <f t="shared" si="6"/>
        <v>GS&lt;50</v>
      </c>
      <c r="D13" s="610">
        <f ca="1">Heating!F96</f>
        <v>484339.23882379854</v>
      </c>
      <c r="E13" s="171">
        <f ca="1">Heating!G96</f>
        <v>1200441.1536678863</v>
      </c>
      <c r="F13" s="171">
        <f ca="1">Heating!H96</f>
        <v>1972086.3623904902</v>
      </c>
      <c r="G13" s="171">
        <f ca="1">Heating!I96</f>
        <v>2838900.9901694255</v>
      </c>
      <c r="H13" s="171">
        <f ca="1">Heating!J96</f>
        <v>3746561.7494986672</v>
      </c>
      <c r="I13" s="171">
        <f ca="1">Heating!K96</f>
        <v>4695574.9664920419</v>
      </c>
      <c r="J13" s="171">
        <f ca="1">Heating!L96</f>
        <v>5686451.9044699399</v>
      </c>
      <c r="K13" s="170">
        <f ca="1">Heating!M96</f>
        <v>6719708.80729587</v>
      </c>
      <c r="L13" s="171"/>
      <c r="M13" s="171"/>
      <c r="N13" s="610"/>
      <c r="O13" s="171"/>
      <c r="P13" s="171"/>
      <c r="Q13" s="171"/>
      <c r="R13" s="171"/>
      <c r="S13" s="171"/>
      <c r="T13" s="171"/>
      <c r="U13" s="170"/>
    </row>
    <row r="14" spans="1:21">
      <c r="A14" s="84" t="s">
        <v>607</v>
      </c>
      <c r="B14" s="609"/>
      <c r="C14" s="84" t="str">
        <f>C7</f>
        <v>GS 50 - 2,999</v>
      </c>
      <c r="D14" s="610">
        <f ca="1">Heating!F97</f>
        <v>380976.46554698166</v>
      </c>
      <c r="E14" s="171">
        <f ca="1">Heating!G97</f>
        <v>772655.43232381193</v>
      </c>
      <c r="F14" s="171">
        <f ca="1">Heating!H97</f>
        <v>1188764.4964362779</v>
      </c>
      <c r="G14" s="171">
        <f ca="1">Heating!I97</f>
        <v>1629877.3208500685</v>
      </c>
      <c r="H14" s="171">
        <f ca="1">Heating!J97</f>
        <v>2089964.7113167017</v>
      </c>
      <c r="I14" s="171">
        <f ca="1">Heating!K97</f>
        <v>2569126.6399178873</v>
      </c>
      <c r="J14" s="171">
        <f ca="1">Heating!L97</f>
        <v>3067463.4822400413</v>
      </c>
      <c r="K14" s="170">
        <f ca="1">Heating!M97</f>
        <v>3585076.0188298267</v>
      </c>
      <c r="L14" s="171"/>
      <c r="M14" s="171"/>
      <c r="N14" s="610"/>
      <c r="O14" s="171">
        <f ca="1">E14*'kW Forecast'!$E$26</f>
        <v>1870.4272712384163</v>
      </c>
      <c r="P14" s="171">
        <f ca="1">F14*'kW Forecast'!$E$26</f>
        <v>2877.7349387515501</v>
      </c>
      <c r="Q14" s="171">
        <f ca="1">G14*'kW Forecast'!$E$26</f>
        <v>3945.571159089905</v>
      </c>
      <c r="R14" s="171">
        <f ca="1">H14*'kW Forecast'!$E$26</f>
        <v>5059.3405914661425</v>
      </c>
      <c r="S14" s="171">
        <f ca="1">I14*'kW Forecast'!$E$26</f>
        <v>6219.2852460961622</v>
      </c>
      <c r="T14" s="171">
        <f ca="1">J14*'kW Forecast'!$E$26</f>
        <v>7425.648109991178</v>
      </c>
      <c r="U14" s="170">
        <f ca="1">K14*'kW Forecast'!$E$26</f>
        <v>8678.6731504812615</v>
      </c>
    </row>
    <row r="15" spans="1:21">
      <c r="B15" s="609"/>
      <c r="C15" s="84" t="str">
        <f>C8</f>
        <v>GS 3,000 - 4,999</v>
      </c>
      <c r="D15" s="610"/>
      <c r="E15" s="171"/>
      <c r="F15" s="171"/>
      <c r="G15" s="171"/>
      <c r="H15" s="171"/>
      <c r="I15" s="171"/>
      <c r="J15" s="171"/>
      <c r="K15" s="170"/>
      <c r="L15" s="171"/>
      <c r="M15" s="171"/>
      <c r="N15" s="610"/>
      <c r="O15" s="171"/>
      <c r="P15" s="171"/>
      <c r="Q15" s="171"/>
      <c r="R15" s="171"/>
      <c r="S15" s="171"/>
      <c r="T15" s="171"/>
      <c r="U15" s="170"/>
    </row>
    <row r="16" spans="1:21">
      <c r="B16" s="609"/>
      <c r="C16" s="84" t="str">
        <f>C9</f>
        <v>Large Use</v>
      </c>
      <c r="D16" s="610"/>
      <c r="E16" s="171"/>
      <c r="F16" s="171"/>
      <c r="G16" s="171"/>
      <c r="H16" s="171"/>
      <c r="I16" s="171"/>
      <c r="J16" s="171"/>
      <c r="K16" s="170"/>
      <c r="L16" s="171"/>
      <c r="M16" s="171"/>
      <c r="N16" s="610"/>
      <c r="O16" s="171"/>
      <c r="P16" s="171"/>
      <c r="Q16" s="171"/>
      <c r="R16" s="171"/>
      <c r="S16" s="171"/>
      <c r="T16" s="171"/>
      <c r="U16" s="170"/>
    </row>
    <row r="17" spans="2:22">
      <c r="B17" s="611"/>
      <c r="C17" s="169" t="s">
        <v>290</v>
      </c>
      <c r="D17" s="612">
        <f ca="1">SUM(D11:D16)</f>
        <v>2995287.7481236756</v>
      </c>
      <c r="E17" s="168">
        <f ca="1">SUM(E11:E16)</f>
        <v>7727609.3902216405</v>
      </c>
      <c r="F17" s="168">
        <f t="shared" ref="F17:J17" ca="1" si="7">SUM(F11:F16)</f>
        <v>12675034.090071356</v>
      </c>
      <c r="G17" s="168">
        <f t="shared" ca="1" si="7"/>
        <v>18019286.55693043</v>
      </c>
      <c r="H17" s="168">
        <f t="shared" ca="1" si="7"/>
        <v>23681002.992022049</v>
      </c>
      <c r="I17" s="168">
        <f t="shared" ca="1" si="7"/>
        <v>29670994.987277661</v>
      </c>
      <c r="J17" s="168">
        <f t="shared" ca="1" si="7"/>
        <v>35995998.022875428</v>
      </c>
      <c r="K17" s="356">
        <f ca="1">SUM(K11:K16)</f>
        <v>42621614.986110874</v>
      </c>
      <c r="L17" s="167"/>
      <c r="M17" s="167"/>
      <c r="N17" s="612">
        <f>SUM(N11:N16)</f>
        <v>0</v>
      </c>
      <c r="O17" s="168">
        <f ca="1">SUM(O11:O16)</f>
        <v>1870.4272712384163</v>
      </c>
      <c r="P17" s="168">
        <f t="shared" ref="P17" ca="1" si="8">SUM(P11:P16)</f>
        <v>2877.7349387515501</v>
      </c>
      <c r="Q17" s="168">
        <f t="shared" ref="Q17" ca="1" si="9">SUM(Q11:Q16)</f>
        <v>3945.571159089905</v>
      </c>
      <c r="R17" s="168">
        <f t="shared" ref="R17" ca="1" si="10">SUM(R11:R16)</f>
        <v>5059.3405914661425</v>
      </c>
      <c r="S17" s="168">
        <f t="shared" ref="S17" ca="1" si="11">SUM(S11:S16)</f>
        <v>6219.2852460961622</v>
      </c>
      <c r="T17" s="168">
        <f t="shared" ref="T17" ca="1" si="12">SUM(T11:T16)</f>
        <v>7425.648109991178</v>
      </c>
      <c r="U17" s="356">
        <f ca="1">SUM(U11:U16)</f>
        <v>8678.6731504812615</v>
      </c>
    </row>
    <row r="18" spans="2:22">
      <c r="B18" s="693"/>
      <c r="C18" s="694" t="str">
        <f>C11</f>
        <v>Residential</v>
      </c>
      <c r="D18" s="695"/>
      <c r="E18" s="696"/>
      <c r="F18" s="696"/>
      <c r="G18" s="696"/>
      <c r="H18" s="696"/>
      <c r="I18" s="696"/>
      <c r="J18" s="696"/>
      <c r="K18" s="697"/>
      <c r="L18" s="171"/>
      <c r="M18" s="171"/>
      <c r="N18" s="695"/>
      <c r="O18" s="696"/>
      <c r="P18" s="696"/>
      <c r="Q18" s="696"/>
      <c r="R18" s="696"/>
      <c r="S18" s="696"/>
      <c r="T18" s="696"/>
      <c r="U18" s="697"/>
    </row>
    <row r="19" spans="2:22">
      <c r="B19" s="609"/>
      <c r="C19" s="84" t="str">
        <f t="shared" ref="C19:C23" si="13">C12</f>
        <v>Residential Seasonal</v>
      </c>
      <c r="D19" s="610"/>
      <c r="E19" s="171"/>
      <c r="F19" s="171"/>
      <c r="G19" s="171"/>
      <c r="H19" s="171"/>
      <c r="I19" s="171"/>
      <c r="J19" s="171"/>
      <c r="K19" s="170"/>
      <c r="L19" s="171"/>
      <c r="M19" s="171"/>
      <c r="N19" s="610"/>
      <c r="O19" s="171"/>
      <c r="P19" s="171"/>
      <c r="Q19" s="171"/>
      <c r="R19" s="171"/>
      <c r="S19" s="171"/>
      <c r="T19" s="171"/>
      <c r="U19" s="170"/>
    </row>
    <row r="20" spans="2:22">
      <c r="B20" s="609" t="s">
        <v>608</v>
      </c>
      <c r="C20" s="84" t="str">
        <f t="shared" si="13"/>
        <v>GS&lt;50</v>
      </c>
      <c r="D20" s="610"/>
      <c r="E20" s="171"/>
      <c r="F20" s="171"/>
      <c r="G20" s="171"/>
      <c r="H20" s="171"/>
      <c r="I20" s="171"/>
      <c r="J20" s="171"/>
      <c r="K20" s="170"/>
      <c r="L20" s="171"/>
      <c r="M20" s="171"/>
      <c r="N20" s="610"/>
      <c r="O20" s="171"/>
      <c r="P20" s="171"/>
      <c r="Q20" s="171"/>
      <c r="R20" s="171"/>
      <c r="S20" s="171"/>
      <c r="T20" s="171"/>
      <c r="U20" s="170"/>
    </row>
    <row r="21" spans="2:22">
      <c r="B21" s="609" t="s">
        <v>609</v>
      </c>
      <c r="C21" s="84" t="str">
        <f t="shared" si="13"/>
        <v>GS 50 - 2,999</v>
      </c>
      <c r="D21" s="610"/>
      <c r="E21" s="171">
        <f>'New Known Customers'!D15</f>
        <v>0</v>
      </c>
      <c r="F21" s="171">
        <f>'New Known Customers'!E15</f>
        <v>42830972.129799999</v>
      </c>
      <c r="G21" s="171">
        <f>'New Known Customers'!F15</f>
        <v>102912193.98119999</v>
      </c>
      <c r="H21" s="171">
        <f>'New Known Customers'!G15</f>
        <v>127313595.1129</v>
      </c>
      <c r="I21" s="171">
        <f>'New Known Customers'!H15</f>
        <v>137032602.80849999</v>
      </c>
      <c r="J21" s="171">
        <f>'New Known Customers'!I15</f>
        <v>139870421.89120001</v>
      </c>
      <c r="K21" s="170">
        <f>'New Known Customers'!J15</f>
        <v>140244483.45339999</v>
      </c>
      <c r="L21" s="171"/>
      <c r="M21" s="171"/>
      <c r="N21" s="610"/>
      <c r="O21" s="171">
        <f>'New Known Customers'!D16</f>
        <v>0</v>
      </c>
      <c r="P21" s="171">
        <f>'New Known Customers'!E16</f>
        <v>103684.27499999999</v>
      </c>
      <c r="Q21" s="171">
        <f>'New Known Customers'!F16</f>
        <v>249127.57500000001</v>
      </c>
      <c r="R21" s="171">
        <f>'New Known Customers'!G16</f>
        <v>308197.95</v>
      </c>
      <c r="S21" s="171">
        <f>'New Known Customers'!H16</f>
        <v>331725.51</v>
      </c>
      <c r="T21" s="171">
        <f>'New Known Customers'!I16</f>
        <v>338595.24</v>
      </c>
      <c r="U21" s="170">
        <f>'New Known Customers'!J16</f>
        <v>339500.76</v>
      </c>
      <c r="V21" s="166"/>
    </row>
    <row r="22" spans="2:22">
      <c r="B22" s="609"/>
      <c r="C22" s="84" t="str">
        <f t="shared" si="13"/>
        <v>GS 3,000 - 4,999</v>
      </c>
      <c r="D22" s="610"/>
      <c r="E22" s="171">
        <f>'New Known Customers'!D18</f>
        <v>0</v>
      </c>
      <c r="F22" s="171">
        <f>'New Known Customers'!E18</f>
        <v>21255699.266600002</v>
      </c>
      <c r="G22" s="171">
        <f>'New Known Customers'!F18</f>
        <v>56423215.258599997</v>
      </c>
      <c r="H22" s="171">
        <f>'New Known Customers'!G18</f>
        <v>82823932.7729</v>
      </c>
      <c r="I22" s="171">
        <f>'New Known Customers'!H18</f>
        <v>97628363.048800007</v>
      </c>
      <c r="J22" s="171">
        <f>'New Known Customers'!I18</f>
        <v>101849113.36669999</v>
      </c>
      <c r="K22" s="170">
        <f>'New Known Customers'!J18</f>
        <v>107657042.8822</v>
      </c>
      <c r="L22" s="171"/>
      <c r="M22" s="171"/>
      <c r="N22" s="610"/>
      <c r="O22" s="171">
        <f>'New Known Customers'!D19</f>
        <v>0</v>
      </c>
      <c r="P22" s="171">
        <f>'New Known Customers'!E19</f>
        <v>47894.25</v>
      </c>
      <c r="Q22" s="171">
        <f>'New Known Customers'!F19</f>
        <v>127135.2</v>
      </c>
      <c r="R22" s="171">
        <f>'New Known Customers'!G19</f>
        <v>186622.42499999999</v>
      </c>
      <c r="S22" s="171">
        <f>'New Known Customers'!H19</f>
        <v>219980.4</v>
      </c>
      <c r="T22" s="171">
        <f>'New Known Customers'!I19</f>
        <v>229490.77499999999</v>
      </c>
      <c r="U22" s="170">
        <f>'New Known Customers'!J19</f>
        <v>242577.45</v>
      </c>
      <c r="V22" s="166"/>
    </row>
    <row r="23" spans="2:22">
      <c r="B23" s="609"/>
      <c r="C23" s="84" t="str">
        <f t="shared" si="13"/>
        <v>Large Use</v>
      </c>
      <c r="D23" s="610"/>
      <c r="E23" s="171">
        <f>'New Known Customers'!D21</f>
        <v>0</v>
      </c>
      <c r="F23" s="171">
        <f>'New Known Customers'!E21</f>
        <v>23648220.5473</v>
      </c>
      <c r="G23" s="171">
        <f>'New Known Customers'!F21</f>
        <v>95144469.202500001</v>
      </c>
      <c r="H23" s="171">
        <f>'New Known Customers'!G21</f>
        <v>177564440.8457</v>
      </c>
      <c r="I23" s="171">
        <f>'New Known Customers'!H21</f>
        <v>216780862.04010001</v>
      </c>
      <c r="J23" s="171">
        <f>'New Known Customers'!I21</f>
        <v>221425339.69929999</v>
      </c>
      <c r="K23" s="170">
        <f>'New Known Customers'!J21</f>
        <v>221425339.69929999</v>
      </c>
      <c r="L23" s="171"/>
      <c r="M23" s="171"/>
      <c r="N23" s="610"/>
      <c r="O23" s="171">
        <f>'New Known Customers'!D22</f>
        <v>0</v>
      </c>
      <c r="P23" s="171">
        <f>'New Known Customers'!E22</f>
        <v>40097.025000000001</v>
      </c>
      <c r="Q23" s="171">
        <f>'New Known Customers'!F22</f>
        <v>161323.35</v>
      </c>
      <c r="R23" s="171">
        <f>'New Known Customers'!G22</f>
        <v>301071.52500000002</v>
      </c>
      <c r="S23" s="171">
        <f>'New Known Customers'!H22</f>
        <v>367565.4</v>
      </c>
      <c r="T23" s="171">
        <f>'New Known Customers'!I22</f>
        <v>375440.4</v>
      </c>
      <c r="U23" s="170">
        <f>'New Known Customers'!J22</f>
        <v>375440.4</v>
      </c>
      <c r="V23" s="166"/>
    </row>
    <row r="24" spans="2:22">
      <c r="B24" s="611"/>
      <c r="C24" s="169" t="s">
        <v>290</v>
      </c>
      <c r="D24" s="612">
        <f>SUM(D18:D23)</f>
        <v>0</v>
      </c>
      <c r="E24" s="168">
        <f>SUM(E18:E23)</f>
        <v>0</v>
      </c>
      <c r="F24" s="168">
        <f t="shared" ref="F24:J24" si="14">SUM(F18:F23)</f>
        <v>87734891.943700001</v>
      </c>
      <c r="G24" s="168">
        <f t="shared" si="14"/>
        <v>254479878.44229996</v>
      </c>
      <c r="H24" s="168">
        <f t="shared" si="14"/>
        <v>387701968.73150003</v>
      </c>
      <c r="I24" s="168">
        <f t="shared" si="14"/>
        <v>451441827.89740002</v>
      </c>
      <c r="J24" s="168">
        <f t="shared" si="14"/>
        <v>463144874.95719999</v>
      </c>
      <c r="K24" s="356">
        <f>SUM(K18:K23)</f>
        <v>469326866.03489995</v>
      </c>
      <c r="L24" s="167"/>
      <c r="M24" s="167"/>
      <c r="N24" s="612">
        <f>SUM(N18:N23)</f>
        <v>0</v>
      </c>
      <c r="O24" s="168">
        <f>SUM(O18:O23)</f>
        <v>0</v>
      </c>
      <c r="P24" s="168">
        <f t="shared" ref="P24" si="15">SUM(P18:P23)</f>
        <v>191675.55</v>
      </c>
      <c r="Q24" s="168">
        <f t="shared" ref="Q24" si="16">SUM(Q18:Q23)</f>
        <v>537586.125</v>
      </c>
      <c r="R24" s="168">
        <f t="shared" ref="R24" si="17">SUM(R18:R23)</f>
        <v>795891.9</v>
      </c>
      <c r="S24" s="168">
        <f t="shared" ref="S24" si="18">SUM(S18:S23)</f>
        <v>919271.31</v>
      </c>
      <c r="T24" s="168">
        <f t="shared" ref="T24" si="19">SUM(T18:T23)</f>
        <v>943526.41500000004</v>
      </c>
      <c r="U24" s="356">
        <f>SUM(U18:U23)</f>
        <v>957518.61</v>
      </c>
    </row>
    <row r="25" spans="2:22">
      <c r="B25" s="693"/>
      <c r="C25" s="694" t="str">
        <f>C18</f>
        <v>Residential</v>
      </c>
      <c r="D25" s="695">
        <f ca="1">D4+D11+D18</f>
        <v>6662560.5927955266</v>
      </c>
      <c r="E25" s="696">
        <f t="shared" ref="E25:K25" ca="1" si="20">E4+E11+E18</f>
        <v>14803684.688578073</v>
      </c>
      <c r="F25" s="696">
        <f t="shared" ca="1" si="20"/>
        <v>14114067.208097588</v>
      </c>
      <c r="G25" s="696">
        <f t="shared" ca="1" si="20"/>
        <v>32804640.69123923</v>
      </c>
      <c r="H25" s="696">
        <f t="shared" ca="1" si="20"/>
        <v>23998771.030447755</v>
      </c>
      <c r="I25" s="696">
        <f t="shared" ca="1" si="20"/>
        <v>56434227.167422831</v>
      </c>
      <c r="J25" s="696">
        <f t="shared" ca="1" si="20"/>
        <v>37001149.695801616</v>
      </c>
      <c r="K25" s="697">
        <f t="shared" ca="1" si="20"/>
        <v>87314660.876940936</v>
      </c>
      <c r="L25" s="171"/>
      <c r="M25" s="171"/>
      <c r="N25" s="695"/>
      <c r="O25" s="696"/>
      <c r="P25" s="696"/>
      <c r="Q25" s="696"/>
      <c r="R25" s="696"/>
      <c r="S25" s="696"/>
      <c r="T25" s="696"/>
      <c r="U25" s="697"/>
    </row>
    <row r="26" spans="2:22">
      <c r="B26" s="609"/>
      <c r="C26" s="84" t="str">
        <f t="shared" ref="C26:C30" si="21">C19</f>
        <v>Residential Seasonal</v>
      </c>
      <c r="D26" s="610">
        <f t="shared" ref="D26:K30" ca="1" si="22">D5+D12+D19</f>
        <v>98841.640957369746</v>
      </c>
      <c r="E26" s="171">
        <f t="shared" ca="1" si="22"/>
        <v>198157.94565187141</v>
      </c>
      <c r="F26" s="171">
        <f t="shared" ca="1" si="22"/>
        <v>177386.06220348272</v>
      </c>
      <c r="G26" s="171">
        <f t="shared" ca="1" si="22"/>
        <v>417317.13339072606</v>
      </c>
      <c r="H26" s="171">
        <f t="shared" ca="1" si="22"/>
        <v>282202.7364949442</v>
      </c>
      <c r="I26" s="171">
        <f t="shared" ca="1" si="22"/>
        <v>704609.61746052559</v>
      </c>
      <c r="J26" s="171">
        <f t="shared" ca="1" si="22"/>
        <v>421026.53651164658</v>
      </c>
      <c r="K26" s="170">
        <f t="shared" ca="1" si="22"/>
        <v>1082134.1754104458</v>
      </c>
      <c r="L26" s="171"/>
      <c r="M26" s="171"/>
      <c r="N26" s="610"/>
      <c r="O26" s="171"/>
      <c r="P26" s="171"/>
      <c r="Q26" s="171"/>
      <c r="R26" s="171"/>
      <c r="S26" s="171"/>
      <c r="T26" s="171"/>
      <c r="U26" s="170"/>
    </row>
    <row r="27" spans="2:22">
      <c r="B27" s="613" t="s">
        <v>290</v>
      </c>
      <c r="C27" s="84" t="str">
        <f t="shared" si="21"/>
        <v>GS&lt;50</v>
      </c>
      <c r="D27" s="610">
        <f t="shared" ca="1" si="22"/>
        <v>1089363.3788237986</v>
      </c>
      <c r="E27" s="171">
        <f t="shared" ca="1" si="22"/>
        <v>2457271.1336678863</v>
      </c>
      <c r="F27" s="171">
        <f t="shared" ca="1" si="22"/>
        <v>2639666.6100762091</v>
      </c>
      <c r="G27" s="171">
        <f t="shared" ca="1" si="22"/>
        <v>5506635.5701729488</v>
      </c>
      <c r="H27" s="171">
        <f t="shared" ca="1" si="22"/>
        <v>4597275.1938559813</v>
      </c>
      <c r="I27" s="171">
        <f t="shared" ca="1" si="22"/>
        <v>9353753.5031423587</v>
      </c>
      <c r="J27" s="171">
        <f t="shared" ca="1" si="22"/>
        <v>7031221.1758551262</v>
      </c>
      <c r="K27" s="170">
        <f t="shared" ca="1" si="22"/>
        <v>14204603.479011182</v>
      </c>
      <c r="L27" s="171"/>
      <c r="M27" s="171"/>
      <c r="N27" s="610"/>
      <c r="O27" s="171"/>
      <c r="P27" s="171"/>
      <c r="Q27" s="171"/>
      <c r="R27" s="171"/>
      <c r="S27" s="171"/>
      <c r="T27" s="171"/>
      <c r="U27" s="170"/>
    </row>
    <row r="28" spans="2:22">
      <c r="B28" s="609"/>
      <c r="C28" s="84" t="str">
        <f t="shared" si="21"/>
        <v>GS 50 - 2,999</v>
      </c>
      <c r="D28" s="610">
        <f t="shared" ca="1" si="22"/>
        <v>678312.32854698168</v>
      </c>
      <c r="E28" s="171">
        <f t="shared" ca="1" si="22"/>
        <v>1403753.923323812</v>
      </c>
      <c r="F28" s="171">
        <f t="shared" ca="1" si="22"/>
        <v>44355974.182224423</v>
      </c>
      <c r="G28" s="171">
        <f t="shared" ca="1" si="22"/>
        <v>105872189.41659263</v>
      </c>
      <c r="H28" s="171">
        <f t="shared" ca="1" si="22"/>
        <v>129821318.93131371</v>
      </c>
      <c r="I28" s="171">
        <f t="shared" ca="1" si="22"/>
        <v>141905670.4373301</v>
      </c>
      <c r="J28" s="171">
        <f t="shared" ca="1" si="22"/>
        <v>143593906.72987336</v>
      </c>
      <c r="K28" s="170">
        <f t="shared" ca="1" si="22"/>
        <v>147515104.7579968</v>
      </c>
      <c r="L28" s="171"/>
      <c r="M28" s="171"/>
      <c r="N28" s="610">
        <f t="shared" ref="N28:U28" si="23">N7+N14+N21</f>
        <v>93.396739726027391</v>
      </c>
      <c r="O28" s="171">
        <f t="shared" ca="1" si="23"/>
        <v>2271.8679972658138</v>
      </c>
      <c r="P28" s="171">
        <f t="shared" ca="1" si="23"/>
        <v>107223.62270587483</v>
      </c>
      <c r="Q28" s="171">
        <f t="shared" ca="1" si="23"/>
        <v>253815.44330977486</v>
      </c>
      <c r="R28" s="171">
        <f t="shared" ca="1" si="23"/>
        <v>314126.32668735657</v>
      </c>
      <c r="S28" s="171">
        <f t="shared" ca="1" si="23"/>
        <v>339031.720437877</v>
      </c>
      <c r="T28" s="171">
        <f t="shared" ca="1" si="23"/>
        <v>347480.96172642952</v>
      </c>
      <c r="U28" s="170">
        <f t="shared" ca="1" si="23"/>
        <v>350169.62201349495</v>
      </c>
    </row>
    <row r="29" spans="2:22">
      <c r="B29" s="609"/>
      <c r="C29" s="84" t="str">
        <f t="shared" si="21"/>
        <v>GS 3,000 - 4,999</v>
      </c>
      <c r="D29" s="610">
        <f t="shared" si="22"/>
        <v>38751.207000000002</v>
      </c>
      <c r="E29" s="171">
        <f t="shared" si="22"/>
        <v>89366.499000000011</v>
      </c>
      <c r="F29" s="171">
        <f t="shared" si="22"/>
        <v>21308434.386506438</v>
      </c>
      <c r="G29" s="171">
        <f t="shared" si="22"/>
        <v>56616167.399194725</v>
      </c>
      <c r="H29" s="171">
        <f t="shared" si="22"/>
        <v>82881867.978364587</v>
      </c>
      <c r="I29" s="171">
        <f t="shared" si="22"/>
        <v>97958775.890340194</v>
      </c>
      <c r="J29" s="171">
        <f t="shared" si="22"/>
        <v>101942818.7104068</v>
      </c>
      <c r="K29" s="170">
        <f t="shared" si="22"/>
        <v>108185206.0538626</v>
      </c>
      <c r="L29" s="171"/>
      <c r="M29" s="171"/>
      <c r="N29" s="610">
        <f t="shared" ref="N29:U29" si="24">N8+N15+N22</f>
        <v>19.167369863013697</v>
      </c>
      <c r="O29" s="171">
        <f>O8+O15+O22</f>
        <v>84.558863013698613</v>
      </c>
      <c r="P29" s="171">
        <f t="shared" si="24"/>
        <v>48030.890383561644</v>
      </c>
      <c r="Q29" s="171">
        <f t="shared" si="24"/>
        <v>127283.20257534247</v>
      </c>
      <c r="R29" s="171">
        <f t="shared" si="24"/>
        <v>186792.50054794518</v>
      </c>
      <c r="S29" s="171">
        <f t="shared" si="24"/>
        <v>220189.86809589042</v>
      </c>
      <c r="T29" s="171">
        <f t="shared" si="24"/>
        <v>229767.27480821917</v>
      </c>
      <c r="U29" s="170">
        <f t="shared" si="24"/>
        <v>242935.22593150687</v>
      </c>
    </row>
    <row r="30" spans="2:22">
      <c r="B30" s="609"/>
      <c r="C30" s="84" t="str">
        <f t="shared" si="21"/>
        <v>Large Use</v>
      </c>
      <c r="D30" s="610">
        <f t="shared" si="22"/>
        <v>10200</v>
      </c>
      <c r="E30" s="171">
        <f t="shared" si="22"/>
        <v>26175</v>
      </c>
      <c r="F30" s="171">
        <f t="shared" si="22"/>
        <v>23661992.732921794</v>
      </c>
      <c r="G30" s="171">
        <f t="shared" si="22"/>
        <v>95195467.513896599</v>
      </c>
      <c r="H30" s="171">
        <f t="shared" si="22"/>
        <v>177578257.81184423</v>
      </c>
      <c r="I30" s="171">
        <f t="shared" si="22"/>
        <v>216862366.33731896</v>
      </c>
      <c r="J30" s="171">
        <f t="shared" si="22"/>
        <v>221445010.12786692</v>
      </c>
      <c r="K30" s="170">
        <f t="shared" si="22"/>
        <v>221549278.84328929</v>
      </c>
      <c r="L30" s="171"/>
      <c r="M30" s="171"/>
      <c r="N30" s="610">
        <f t="shared" ref="N30:U30" si="25">N9+N16+N23</f>
        <v>0</v>
      </c>
      <c r="O30" s="171">
        <f t="shared" si="25"/>
        <v>0</v>
      </c>
      <c r="P30" s="171">
        <f t="shared" si="25"/>
        <v>40097.025000000001</v>
      </c>
      <c r="Q30" s="171">
        <f t="shared" si="25"/>
        <v>161323.35</v>
      </c>
      <c r="R30" s="171">
        <f t="shared" si="25"/>
        <v>301071.52500000002</v>
      </c>
      <c r="S30" s="171">
        <f t="shared" si="25"/>
        <v>367565.4</v>
      </c>
      <c r="T30" s="171">
        <f t="shared" si="25"/>
        <v>375440.4</v>
      </c>
      <c r="U30" s="170">
        <f t="shared" si="25"/>
        <v>375440.4</v>
      </c>
    </row>
    <row r="31" spans="2:22">
      <c r="B31" s="611"/>
      <c r="C31" s="169" t="s">
        <v>290</v>
      </c>
      <c r="D31" s="612">
        <f ca="1">SUM(D25:D30)</f>
        <v>8578029.1481236778</v>
      </c>
      <c r="E31" s="168">
        <f ca="1">SUM(E25:E30)</f>
        <v>18978409.190221641</v>
      </c>
      <c r="F31" s="168">
        <f t="shared" ref="F31" ca="1" si="26">SUM(F25:F30)</f>
        <v>106257521.18202993</v>
      </c>
      <c r="G31" s="168">
        <f t="shared" ref="G31" ca="1" si="27">SUM(G25:G30)</f>
        <v>296412417.72448683</v>
      </c>
      <c r="H31" s="168">
        <f t="shared" ref="H31" ca="1" si="28">SUM(H25:H30)</f>
        <v>419159693.68232119</v>
      </c>
      <c r="I31" s="168">
        <f t="shared" ref="I31" ca="1" si="29">SUM(I25:I30)</f>
        <v>523219402.95301497</v>
      </c>
      <c r="J31" s="168">
        <f t="shared" ref="J31" ca="1" si="30">SUM(J25:J30)</f>
        <v>511435132.97631544</v>
      </c>
      <c r="K31" s="356">
        <f ca="1">SUM(K25:K30)</f>
        <v>579850988.18651128</v>
      </c>
      <c r="L31" s="167"/>
      <c r="M31" s="167"/>
      <c r="N31" s="612">
        <f>SUM(N25:N30)</f>
        <v>112.5641095890411</v>
      </c>
      <c r="O31" s="168">
        <f ca="1">SUM(O25:O30)</f>
        <v>2356.4268602795123</v>
      </c>
      <c r="P31" s="168">
        <f t="shared" ref="P31" ca="1" si="31">SUM(P25:P30)</f>
        <v>195351.53808943648</v>
      </c>
      <c r="Q31" s="168">
        <f t="shared" ref="Q31" ca="1" si="32">SUM(Q25:Q30)</f>
        <v>542421.99588511733</v>
      </c>
      <c r="R31" s="168">
        <f t="shared" ref="R31" ca="1" si="33">SUM(R25:R30)</f>
        <v>801990.35223530175</v>
      </c>
      <c r="S31" s="168">
        <f t="shared" ref="S31" ca="1" si="34">SUM(S25:S30)</f>
        <v>926786.98853376741</v>
      </c>
      <c r="T31" s="168">
        <f t="shared" ref="T31" ca="1" si="35">SUM(T25:T30)</f>
        <v>952688.63653464871</v>
      </c>
      <c r="U31" s="356">
        <f ca="1">SUM(U25:U30)</f>
        <v>968545.24794500181</v>
      </c>
      <c r="V31" s="246"/>
    </row>
    <row r="33" spans="1:22">
      <c r="D33" s="830" t="s">
        <v>3</v>
      </c>
      <c r="E33" s="831"/>
      <c r="F33" s="831"/>
      <c r="G33" s="831"/>
      <c r="H33" s="831"/>
      <c r="I33" s="831"/>
      <c r="J33" s="831"/>
      <c r="K33" s="832"/>
      <c r="N33" s="827" t="s">
        <v>602</v>
      </c>
      <c r="O33" s="828"/>
      <c r="P33" s="828"/>
      <c r="Q33" s="828"/>
      <c r="R33" s="828"/>
      <c r="S33" s="828"/>
      <c r="T33" s="828"/>
      <c r="U33" s="829"/>
    </row>
    <row r="34" spans="1:22">
      <c r="D34" s="690">
        <v>2024</v>
      </c>
      <c r="E34" s="691">
        <v>2025</v>
      </c>
      <c r="F34" s="691">
        <v>2026</v>
      </c>
      <c r="G34" s="691">
        <v>2027</v>
      </c>
      <c r="H34" s="691">
        <v>2028</v>
      </c>
      <c r="I34" s="691">
        <v>2029</v>
      </c>
      <c r="J34" s="691">
        <v>2030</v>
      </c>
      <c r="K34" s="692">
        <v>2031</v>
      </c>
      <c r="N34" s="608">
        <v>2024</v>
      </c>
      <c r="O34" s="172">
        <v>2025</v>
      </c>
      <c r="P34" s="172">
        <v>2026</v>
      </c>
      <c r="Q34" s="172">
        <v>2027</v>
      </c>
      <c r="R34" s="172">
        <v>2028</v>
      </c>
      <c r="S34" s="172">
        <v>2029</v>
      </c>
      <c r="T34" s="172">
        <v>2030</v>
      </c>
      <c r="U34" s="355">
        <v>2031</v>
      </c>
    </row>
    <row r="35" spans="1:22">
      <c r="B35" s="693"/>
      <c r="C35" s="694" t="str">
        <f>'EV Forecast WRZ'!E189</f>
        <v>Residential</v>
      </c>
      <c r="D35" s="695">
        <f>'EV Forecast WRZ'!F189</f>
        <v>1673991.4199999997</v>
      </c>
      <c r="E35" s="696">
        <f>'EV Forecast WRZ'!G189</f>
        <v>3276378.84</v>
      </c>
      <c r="F35" s="696">
        <f>'EV Forecast WRZ'!H189</f>
        <v>4910110.1158350576</v>
      </c>
      <c r="G35" s="696">
        <f>'EV Forecast WRZ'!I189</f>
        <v>7043538.1212684512</v>
      </c>
      <c r="H35" s="696">
        <f>'EV Forecast WRZ'!J189</f>
        <v>9583473.5948605984</v>
      </c>
      <c r="I35" s="696">
        <f>'EV Forecast WRZ'!K189</f>
        <v>12809826.758711675</v>
      </c>
      <c r="J35" s="696">
        <f>'EV Forecast WRZ'!L189</f>
        <v>16630246.376346607</v>
      </c>
      <c r="K35" s="697">
        <f>'EV Forecast WRZ'!M189</f>
        <v>20834305.844411202</v>
      </c>
      <c r="L35" s="171"/>
      <c r="M35" s="171"/>
      <c r="N35" s="695"/>
      <c r="O35" s="696"/>
      <c r="P35" s="696"/>
      <c r="Q35" s="696"/>
      <c r="R35" s="696"/>
      <c r="S35" s="696"/>
      <c r="T35" s="696"/>
      <c r="U35" s="697"/>
    </row>
    <row r="36" spans="1:22">
      <c r="B36" s="609" t="s">
        <v>455</v>
      </c>
      <c r="C36" s="84" t="str">
        <f>'EV Forecast WRZ'!E190</f>
        <v>GS&lt;50</v>
      </c>
      <c r="D36" s="610">
        <f>'EV Forecast WRZ'!F190</f>
        <v>244772.52</v>
      </c>
      <c r="E36" s="171">
        <f>'EV Forecast WRZ'!G190</f>
        <v>484571.04000000004</v>
      </c>
      <c r="F36" s="171">
        <f>'EV Forecast WRZ'!H190</f>
        <v>709050.34851053869</v>
      </c>
      <c r="G36" s="171">
        <f>'EV Forecast WRZ'!I190</f>
        <v>1000297.8024147491</v>
      </c>
      <c r="H36" s="171">
        <f>'EV Forecast WRZ'!J190</f>
        <v>1352503.0641891465</v>
      </c>
      <c r="I36" s="171">
        <f>'EV Forecast WRZ'!K190</f>
        <v>1797903.9418229768</v>
      </c>
      <c r="J36" s="171">
        <f>'EV Forecast WRZ'!L190</f>
        <v>2323843.4072699081</v>
      </c>
      <c r="K36" s="170">
        <f>'EV Forecast WRZ'!M190</f>
        <v>2908232.9942514105</v>
      </c>
      <c r="L36" s="171"/>
      <c r="M36" s="171"/>
      <c r="N36" s="610"/>
      <c r="O36" s="171"/>
      <c r="P36" s="171"/>
      <c r="Q36" s="171"/>
      <c r="R36" s="171"/>
      <c r="S36" s="171"/>
      <c r="T36" s="171"/>
      <c r="U36" s="170"/>
    </row>
    <row r="37" spans="1:22">
      <c r="B37" s="609"/>
      <c r="C37" s="84" t="str">
        <f>'EV Forecast WRZ'!E191</f>
        <v>GS 50 - 2,999</v>
      </c>
      <c r="D37" s="610">
        <f>'EV Forecast WRZ'!F191</f>
        <v>107047.63399999999</v>
      </c>
      <c r="E37" s="171">
        <f>'EV Forecast WRZ'!G191</f>
        <v>211811.96799999999</v>
      </c>
      <c r="F37" s="171">
        <f>'EV Forecast WRZ'!H191</f>
        <v>311201.03518533608</v>
      </c>
      <c r="G37" s="171">
        <f>'EV Forecast WRZ'!I191</f>
        <v>439737.28543924674</v>
      </c>
      <c r="H37" s="171">
        <f>'EV Forecast WRZ'!J191</f>
        <v>595320.14902648982</v>
      </c>
      <c r="I37" s="171">
        <f>'EV Forecast WRZ'!K191</f>
        <v>792344.96557549702</v>
      </c>
      <c r="J37" s="171">
        <f>'EV Forecast WRZ'!L191</f>
        <v>1024913.7573001042</v>
      </c>
      <c r="K37" s="170">
        <f>'EV Forecast WRZ'!M191</f>
        <v>1283243.7410327157</v>
      </c>
      <c r="L37" s="171"/>
      <c r="M37" s="171"/>
      <c r="N37" s="610">
        <f>SUM('EV Forecast WRZ'!$F103:F103)</f>
        <v>38.365150684931507</v>
      </c>
      <c r="O37" s="171">
        <f>SUM('EV Forecast WRZ'!$F103:G103)</f>
        <v>122.01768493150685</v>
      </c>
      <c r="P37" s="171">
        <f>SUM('EV Forecast WRZ'!$F103:H103)</f>
        <v>179.72506849315067</v>
      </c>
      <c r="Q37" s="171">
        <f>SUM('EV Forecast WRZ'!$F103:I103)</f>
        <v>207.00345205479448</v>
      </c>
      <c r="R37" s="171">
        <f>SUM('EV Forecast WRZ'!$F103:J103)</f>
        <v>248.5648356164383</v>
      </c>
      <c r="S37" s="171">
        <f>SUM('EV Forecast WRZ'!$F103:K103)</f>
        <v>326.3360136986301</v>
      </c>
      <c r="T37" s="171">
        <f>SUM('EV Forecast WRZ'!$F103:L103)</f>
        <v>462.43557534246565</v>
      </c>
      <c r="U37" s="170">
        <f>SUM('EV Forecast WRZ'!$F103:M103)</f>
        <v>679.50254794520538</v>
      </c>
    </row>
    <row r="38" spans="1:22">
      <c r="B38" s="609"/>
      <c r="C38" s="84" t="str">
        <f>'EV Forecast WRZ'!E192</f>
        <v>GS 3,000 - 4,999</v>
      </c>
      <c r="D38" s="610">
        <f>'EV Forecast WRZ'!F192</f>
        <v>22413.625999999997</v>
      </c>
      <c r="E38" s="171">
        <f>'EV Forecast WRZ'!G192</f>
        <v>45448.551999999996</v>
      </c>
      <c r="F38" s="171">
        <f>'EV Forecast WRZ'!H192</f>
        <v>63892.756989620982</v>
      </c>
      <c r="G38" s="171">
        <f>'EV Forecast WRZ'!I192</f>
        <v>87082.374075802974</v>
      </c>
      <c r="H38" s="171">
        <f>'EV Forecast WRZ'!J192</f>
        <v>116469.37959574675</v>
      </c>
      <c r="I38" s="171">
        <f>'EV Forecast WRZ'!K192</f>
        <v>153398.96097276831</v>
      </c>
      <c r="J38" s="171">
        <f>'EV Forecast WRZ'!L192</f>
        <v>196614.32391014279</v>
      </c>
      <c r="K38" s="170">
        <f>'EV Forecast WRZ'!M192</f>
        <v>245829.93536573352</v>
      </c>
      <c r="L38" s="171"/>
      <c r="M38" s="171"/>
      <c r="N38" s="610">
        <f>SUM('EV Forecast WRZ'!$F104:F104)</f>
        <v>11.454575342465752</v>
      </c>
      <c r="O38" s="171">
        <f>SUM('EV Forecast WRZ'!$F104:G104)</f>
        <v>30.338342465753421</v>
      </c>
      <c r="P38" s="171">
        <f>SUM('EV Forecast WRZ'!$F104:H104)</f>
        <v>39.147534246575333</v>
      </c>
      <c r="Q38" s="171">
        <f>SUM('EV Forecast WRZ'!$F104:I104)</f>
        <v>44.575726027397252</v>
      </c>
      <c r="R38" s="171">
        <f>SUM('EV Forecast WRZ'!$F104:J104)</f>
        <v>51.590917808219167</v>
      </c>
      <c r="S38" s="171">
        <f>SUM('EV Forecast WRZ'!$F104:K104)</f>
        <v>63.428506849315063</v>
      </c>
      <c r="T38" s="171">
        <f>SUM('EV Forecast WRZ'!$F104:L104)</f>
        <v>84.144287671232874</v>
      </c>
      <c r="U38" s="170">
        <f>SUM('EV Forecast WRZ'!$F104:M104)</f>
        <v>112.25827397260274</v>
      </c>
    </row>
    <row r="39" spans="1:22">
      <c r="B39" s="611"/>
      <c r="C39" s="169" t="s">
        <v>290</v>
      </c>
      <c r="D39" s="612">
        <f t="shared" ref="D39:K39" si="36">SUM(D35:D38)</f>
        <v>2048225.1999999997</v>
      </c>
      <c r="E39" s="168">
        <f t="shared" si="36"/>
        <v>4018210.4</v>
      </c>
      <c r="F39" s="168">
        <f t="shared" si="36"/>
        <v>5994254.2565205535</v>
      </c>
      <c r="G39" s="168">
        <f t="shared" si="36"/>
        <v>8570655.5831982493</v>
      </c>
      <c r="H39" s="168">
        <f t="shared" si="36"/>
        <v>11647766.187671984</v>
      </c>
      <c r="I39" s="168">
        <f t="shared" si="36"/>
        <v>15553474.62708292</v>
      </c>
      <c r="J39" s="168">
        <f t="shared" si="36"/>
        <v>20175617.864826761</v>
      </c>
      <c r="K39" s="356">
        <f t="shared" si="36"/>
        <v>25271612.515061062</v>
      </c>
      <c r="L39" s="167"/>
      <c r="M39" s="167"/>
      <c r="N39" s="612">
        <f t="shared" ref="N39:U39" si="37">SUM(N35:N38)</f>
        <v>49.819726027397259</v>
      </c>
      <c r="O39" s="168">
        <f t="shared" si="37"/>
        <v>152.35602739726028</v>
      </c>
      <c r="P39" s="168">
        <f t="shared" si="37"/>
        <v>218.87260273972601</v>
      </c>
      <c r="Q39" s="168">
        <f t="shared" si="37"/>
        <v>251.57917808219173</v>
      </c>
      <c r="R39" s="168">
        <f t="shared" si="37"/>
        <v>300.15575342465746</v>
      </c>
      <c r="S39" s="168">
        <f t="shared" si="37"/>
        <v>389.76452054794515</v>
      </c>
      <c r="T39" s="168">
        <f t="shared" si="37"/>
        <v>546.57986301369851</v>
      </c>
      <c r="U39" s="356">
        <f t="shared" si="37"/>
        <v>791.76082191780813</v>
      </c>
    </row>
    <row r="40" spans="1:22">
      <c r="A40" s="84" t="s">
        <v>2</v>
      </c>
      <c r="B40" s="693"/>
      <c r="C40" s="694" t="s">
        <v>12</v>
      </c>
      <c r="D40" s="695">
        <f ca="1">Heating!U94</f>
        <v>906101.16095681803</v>
      </c>
      <c r="E40" s="696">
        <f ca="1">Heating!V94</f>
        <v>2226612.6014484344</v>
      </c>
      <c r="F40" s="696">
        <f ca="1">Heating!W94</f>
        <v>3597351.2824017769</v>
      </c>
      <c r="G40" s="696">
        <f ca="1">Heating!X94</f>
        <v>5139323.6188713163</v>
      </c>
      <c r="H40" s="696">
        <f ca="1">Heating!Y94</f>
        <v>6793155.0127725787</v>
      </c>
      <c r="I40" s="696">
        <f ca="1">Heating!Z94</f>
        <v>8572510.5574882664</v>
      </c>
      <c r="J40" s="696">
        <f ca="1">Heating!AA94</f>
        <v>10474289.597744687</v>
      </c>
      <c r="K40" s="697">
        <f ca="1">Heating!AB94</f>
        <v>12464088.557884142</v>
      </c>
      <c r="L40" s="171"/>
      <c r="M40" s="171"/>
      <c r="N40" s="695"/>
      <c r="O40" s="696"/>
      <c r="P40" s="696"/>
      <c r="Q40" s="696"/>
      <c r="R40" s="696"/>
      <c r="S40" s="696"/>
      <c r="T40" s="696"/>
      <c r="U40" s="697"/>
    </row>
    <row r="41" spans="1:22">
      <c r="A41" s="84" t="s">
        <v>605</v>
      </c>
      <c r="B41" s="609" t="s">
        <v>606</v>
      </c>
      <c r="C41" s="84" t="s">
        <v>14</v>
      </c>
      <c r="D41" s="610">
        <f ca="1">Heating!U96</f>
        <v>151915.21164498304</v>
      </c>
      <c r="E41" s="171">
        <f ca="1">Heating!V96</f>
        <v>364375.87727140007</v>
      </c>
      <c r="F41" s="171">
        <f ca="1">Heating!W96</f>
        <v>580823.73068641359</v>
      </c>
      <c r="G41" s="171">
        <f ca="1">Heating!X96</f>
        <v>832196.13535031024</v>
      </c>
      <c r="H41" s="171">
        <f ca="1">Heating!Y96</f>
        <v>1097073.5421587215</v>
      </c>
      <c r="I41" s="171">
        <f ca="1">Heating!Z96</f>
        <v>1375765.0128110705</v>
      </c>
      <c r="J41" s="171">
        <f ca="1">Heating!AA96</f>
        <v>1668585.3676546782</v>
      </c>
      <c r="K41" s="170">
        <f ca="1">Heating!AB96</f>
        <v>1975855.2832484045</v>
      </c>
      <c r="L41" s="171"/>
      <c r="M41" s="171"/>
      <c r="N41" s="610"/>
      <c r="O41" s="171"/>
      <c r="P41" s="171"/>
      <c r="Q41" s="171"/>
      <c r="R41" s="171"/>
      <c r="S41" s="171"/>
      <c r="T41" s="171"/>
      <c r="U41" s="170"/>
    </row>
    <row r="42" spans="1:22">
      <c r="A42" s="84" t="s">
        <v>607</v>
      </c>
      <c r="B42" s="609"/>
      <c r="C42" s="84" t="str">
        <f>C37</f>
        <v>GS 50 - 2,999</v>
      </c>
      <c r="D42" s="610">
        <f ca="1">Heating!U97</f>
        <v>113657.31964462515</v>
      </c>
      <c r="E42" s="171">
        <f ca="1">Heating!V97</f>
        <v>231215.88772360812</v>
      </c>
      <c r="F42" s="171">
        <f ca="1">Heating!W97</f>
        <v>355088.07810532395</v>
      </c>
      <c r="G42" s="171">
        <f ca="1">Heating!X97</f>
        <v>485348.28722112457</v>
      </c>
      <c r="H42" s="171">
        <f ca="1">Heating!Y97</f>
        <v>621119.74987841933</v>
      </c>
      <c r="I42" s="171">
        <f ca="1">Heating!Z97</f>
        <v>762424.42837041093</v>
      </c>
      <c r="J42" s="171">
        <f ca="1">Heating!AA97</f>
        <v>909284.35169855249</v>
      </c>
      <c r="K42" s="170">
        <f ca="1">Heating!AB97</f>
        <v>1061721.6157533978</v>
      </c>
      <c r="L42" s="171"/>
      <c r="M42" s="171"/>
      <c r="N42" s="610"/>
      <c r="O42" s="171">
        <f ca="1">E42*'kW Forecast'!$AS$25</f>
        <v>568.61799320081411</v>
      </c>
      <c r="P42" s="171">
        <f ca="1">F42*'kW Forecast'!$AS$25</f>
        <v>873.25084953998794</v>
      </c>
      <c r="Q42" s="171">
        <f ca="1">G42*'kW Forecast'!$AS$25</f>
        <v>1193.5934498282736</v>
      </c>
      <c r="R42" s="171">
        <f ca="1">H42*'kW Forecast'!$AS$25</f>
        <v>1527.4896080473679</v>
      </c>
      <c r="S42" s="171">
        <f ca="1">I42*'kW Forecast'!$AS$25</f>
        <v>1874.9933349973503</v>
      </c>
      <c r="T42" s="171">
        <f ca="1">J42*'kW Forecast'!$AS$25</f>
        <v>2236.1588055306579</v>
      </c>
      <c r="U42" s="170">
        <f ca="1">K42*'kW Forecast'!$AS$25</f>
        <v>2611.0403589968405</v>
      </c>
    </row>
    <row r="43" spans="1:22">
      <c r="B43" s="609"/>
      <c r="C43" s="84" t="str">
        <f>C38</f>
        <v>GS 3,000 - 4,999</v>
      </c>
      <c r="D43" s="610"/>
      <c r="E43" s="171"/>
      <c r="F43" s="171"/>
      <c r="G43" s="171"/>
      <c r="H43" s="171"/>
      <c r="I43" s="171"/>
      <c r="J43" s="171"/>
      <c r="K43" s="170"/>
      <c r="L43" s="171"/>
      <c r="M43" s="171"/>
      <c r="N43" s="610"/>
      <c r="O43" s="171"/>
      <c r="P43" s="171"/>
      <c r="Q43" s="171"/>
      <c r="R43" s="171"/>
      <c r="S43" s="171"/>
      <c r="T43" s="171"/>
      <c r="U43" s="170"/>
    </row>
    <row r="44" spans="1:22">
      <c r="B44" s="611"/>
      <c r="C44" s="169" t="s">
        <v>290</v>
      </c>
      <c r="D44" s="612">
        <f t="shared" ref="D44:K44" ca="1" si="38">SUM(D40:D43)</f>
        <v>1171673.6922464261</v>
      </c>
      <c r="E44" s="168">
        <f t="shared" ca="1" si="38"/>
        <v>2822204.3664434422</v>
      </c>
      <c r="F44" s="168">
        <f t="shared" ca="1" si="38"/>
        <v>4533263.0911935139</v>
      </c>
      <c r="G44" s="168">
        <f t="shared" ca="1" si="38"/>
        <v>6456868.041442751</v>
      </c>
      <c r="H44" s="168">
        <f t="shared" ca="1" si="38"/>
        <v>8511348.3048097193</v>
      </c>
      <c r="I44" s="168">
        <f t="shared" ca="1" si="38"/>
        <v>10710699.998669747</v>
      </c>
      <c r="J44" s="168">
        <f t="shared" ca="1" si="38"/>
        <v>13052159.317097917</v>
      </c>
      <c r="K44" s="356">
        <f t="shared" ca="1" si="38"/>
        <v>15501665.456885943</v>
      </c>
      <c r="L44" s="167"/>
      <c r="M44" s="167"/>
      <c r="N44" s="612">
        <f t="shared" ref="N44:U44" si="39">SUM(N40:N43)</f>
        <v>0</v>
      </c>
      <c r="O44" s="168">
        <f t="shared" ca="1" si="39"/>
        <v>568.61799320081411</v>
      </c>
      <c r="P44" s="168">
        <f t="shared" ca="1" si="39"/>
        <v>873.25084953998794</v>
      </c>
      <c r="Q44" s="168">
        <f t="shared" ca="1" si="39"/>
        <v>1193.5934498282736</v>
      </c>
      <c r="R44" s="168">
        <f t="shared" ca="1" si="39"/>
        <v>1527.4896080473679</v>
      </c>
      <c r="S44" s="168">
        <f t="shared" ca="1" si="39"/>
        <v>1874.9933349973503</v>
      </c>
      <c r="T44" s="168">
        <f t="shared" ca="1" si="39"/>
        <v>2236.1588055306579</v>
      </c>
      <c r="U44" s="356">
        <f t="shared" ca="1" si="39"/>
        <v>2611.0403589968405</v>
      </c>
    </row>
    <row r="45" spans="1:22">
      <c r="B45" s="693"/>
      <c r="C45" s="694" t="s">
        <v>12</v>
      </c>
      <c r="D45" s="695"/>
      <c r="E45" s="696"/>
      <c r="F45" s="696"/>
      <c r="G45" s="696"/>
      <c r="H45" s="696"/>
      <c r="I45" s="696"/>
      <c r="J45" s="696"/>
      <c r="K45" s="697"/>
      <c r="L45" s="171"/>
      <c r="M45" s="171"/>
      <c r="N45" s="695"/>
      <c r="O45" s="696"/>
      <c r="P45" s="696"/>
      <c r="Q45" s="696"/>
      <c r="R45" s="696"/>
      <c r="S45" s="696"/>
      <c r="T45" s="696"/>
      <c r="U45" s="697"/>
    </row>
    <row r="46" spans="1:22">
      <c r="B46" s="609" t="s">
        <v>608</v>
      </c>
      <c r="C46" s="84" t="s">
        <v>14</v>
      </c>
      <c r="D46" s="610"/>
      <c r="E46" s="171"/>
      <c r="F46" s="171"/>
      <c r="G46" s="171"/>
      <c r="H46" s="171"/>
      <c r="I46" s="171"/>
      <c r="J46" s="171"/>
      <c r="K46" s="170"/>
      <c r="L46" s="171"/>
      <c r="M46" s="171"/>
      <c r="N46" s="610"/>
      <c r="O46" s="171"/>
      <c r="P46" s="171"/>
      <c r="Q46" s="171"/>
      <c r="R46" s="171"/>
      <c r="S46" s="171"/>
      <c r="T46" s="171"/>
      <c r="U46" s="170"/>
    </row>
    <row r="47" spans="1:22">
      <c r="B47" s="609" t="s">
        <v>609</v>
      </c>
      <c r="C47" s="84" t="str">
        <f>C42</f>
        <v>GS 50 - 2,999</v>
      </c>
      <c r="D47" s="610"/>
      <c r="E47" s="171">
        <f>'New Known Customers'!D3</f>
        <v>0</v>
      </c>
      <c r="F47" s="171">
        <f>'New Known Customers'!E3</f>
        <v>19814596.9153</v>
      </c>
      <c r="G47" s="171">
        <f>'New Known Customers'!F3</f>
        <v>51132328.531999998</v>
      </c>
      <c r="H47" s="171">
        <f>'New Known Customers'!G3</f>
        <v>67284408.456300005</v>
      </c>
      <c r="I47" s="171">
        <f>'New Known Customers'!H3</f>
        <v>77409318.867799997</v>
      </c>
      <c r="J47" s="171">
        <f>'New Known Customers'!I3</f>
        <v>86209801.848399997</v>
      </c>
      <c r="K47" s="170">
        <f>'New Known Customers'!J3</f>
        <v>91094428.5484</v>
      </c>
      <c r="L47" s="171"/>
      <c r="M47" s="171"/>
      <c r="N47" s="610"/>
      <c r="O47" s="171">
        <f>'New Known Customers'!D4</f>
        <v>0</v>
      </c>
      <c r="P47" s="171">
        <f>'New Known Customers'!E4</f>
        <v>48729.074999999997</v>
      </c>
      <c r="Q47" s="171">
        <f>'New Known Customers'!F4</f>
        <v>125747.25</v>
      </c>
      <c r="R47" s="171">
        <f>'New Known Customers'!G4</f>
        <v>165469.27499999999</v>
      </c>
      <c r="S47" s="171">
        <f>'New Known Customers'!H4</f>
        <v>190368.97500000001</v>
      </c>
      <c r="T47" s="171">
        <f>'New Known Customers'!I4</f>
        <v>212011.57500000001</v>
      </c>
      <c r="U47" s="170">
        <f>'New Known Customers'!J4</f>
        <v>224024.1</v>
      </c>
      <c r="V47" s="166"/>
    </row>
    <row r="48" spans="1:22">
      <c r="B48" s="609"/>
      <c r="C48" s="84" t="str">
        <f>C43</f>
        <v>GS 3,000 - 4,999</v>
      </c>
      <c r="D48" s="610"/>
      <c r="E48" s="171">
        <f>'New Known Customers'!D6</f>
        <v>0</v>
      </c>
      <c r="F48" s="171">
        <f>'New Known Customers'!E6</f>
        <v>11258812.1252</v>
      </c>
      <c r="G48" s="171">
        <f>'New Known Customers'!F6</f>
        <v>27399744.5425</v>
      </c>
      <c r="H48" s="171">
        <f>'New Known Customers'!G6</f>
        <v>34527023.8508</v>
      </c>
      <c r="I48" s="171">
        <f>'New Known Customers'!H6</f>
        <v>39583033.909699999</v>
      </c>
      <c r="J48" s="171">
        <f>'New Known Customers'!I6</f>
        <v>46620066.630099997</v>
      </c>
      <c r="K48" s="170">
        <f>'New Known Customers'!J6</f>
        <v>52254975.533399999</v>
      </c>
      <c r="L48" s="171"/>
      <c r="M48" s="171"/>
      <c r="N48" s="610"/>
      <c r="O48" s="171">
        <f>'New Known Customers'!D7</f>
        <v>0</v>
      </c>
      <c r="P48" s="171">
        <f>'New Known Customers'!E7</f>
        <v>21483</v>
      </c>
      <c r="Q48" s="171">
        <f>'New Known Customers'!F7</f>
        <v>52281.599999999999</v>
      </c>
      <c r="R48" s="171">
        <f>'New Known Customers'!G7</f>
        <v>65881.2</v>
      </c>
      <c r="S48" s="171">
        <f>'New Known Customers'!H7</f>
        <v>75528.600000000006</v>
      </c>
      <c r="T48" s="171">
        <f>'New Known Customers'!I7</f>
        <v>88956</v>
      </c>
      <c r="U48" s="170">
        <f>'New Known Customers'!J7</f>
        <v>99708</v>
      </c>
      <c r="V48" s="166"/>
    </row>
    <row r="49" spans="2:21">
      <c r="B49" s="611"/>
      <c r="C49" s="169" t="s">
        <v>290</v>
      </c>
      <c r="D49" s="612">
        <f t="shared" ref="D49:K49" si="40">SUM(D45:D48)</f>
        <v>0</v>
      </c>
      <c r="E49" s="168">
        <f t="shared" si="40"/>
        <v>0</v>
      </c>
      <c r="F49" s="168">
        <f t="shared" si="40"/>
        <v>31073409.0405</v>
      </c>
      <c r="G49" s="168">
        <f t="shared" si="40"/>
        <v>78532073.074499995</v>
      </c>
      <c r="H49" s="168">
        <f t="shared" si="40"/>
        <v>101811432.3071</v>
      </c>
      <c r="I49" s="168">
        <f t="shared" si="40"/>
        <v>116992352.7775</v>
      </c>
      <c r="J49" s="168">
        <f t="shared" si="40"/>
        <v>132829868.47849999</v>
      </c>
      <c r="K49" s="356">
        <f t="shared" si="40"/>
        <v>143349404.08179998</v>
      </c>
      <c r="L49" s="167"/>
      <c r="M49" s="167"/>
      <c r="N49" s="612">
        <f t="shared" ref="N49:U49" si="41">SUM(N45:N48)</f>
        <v>0</v>
      </c>
      <c r="O49" s="168">
        <f t="shared" si="41"/>
        <v>0</v>
      </c>
      <c r="P49" s="168">
        <f t="shared" si="41"/>
        <v>70212.074999999997</v>
      </c>
      <c r="Q49" s="168">
        <f t="shared" si="41"/>
        <v>178028.85</v>
      </c>
      <c r="R49" s="168">
        <f t="shared" si="41"/>
        <v>231350.47499999998</v>
      </c>
      <c r="S49" s="168">
        <f t="shared" si="41"/>
        <v>265897.57500000001</v>
      </c>
      <c r="T49" s="168">
        <f t="shared" si="41"/>
        <v>300967.57500000001</v>
      </c>
      <c r="U49" s="356">
        <f t="shared" si="41"/>
        <v>323732.09999999998</v>
      </c>
    </row>
    <row r="50" spans="2:21">
      <c r="B50" s="693"/>
      <c r="C50" s="694" t="s">
        <v>12</v>
      </c>
      <c r="D50" s="695">
        <f t="shared" ref="D50:K53" ca="1" si="42">D35+D40+D45</f>
        <v>2580092.5809568176</v>
      </c>
      <c r="E50" s="696">
        <f t="shared" ca="1" si="42"/>
        <v>5502991.4414484343</v>
      </c>
      <c r="F50" s="696">
        <f t="shared" ca="1" si="42"/>
        <v>8507461.3982368335</v>
      </c>
      <c r="G50" s="696">
        <f t="shared" ca="1" si="42"/>
        <v>12182861.740139768</v>
      </c>
      <c r="H50" s="696">
        <f t="shared" ca="1" si="42"/>
        <v>16376628.607633177</v>
      </c>
      <c r="I50" s="696">
        <f t="shared" ca="1" si="42"/>
        <v>21382337.316199943</v>
      </c>
      <c r="J50" s="696">
        <f t="shared" ca="1" si="42"/>
        <v>27104535.974091291</v>
      </c>
      <c r="K50" s="697">
        <f t="shared" ca="1" si="42"/>
        <v>33298394.402295344</v>
      </c>
      <c r="L50" s="171"/>
      <c r="M50" s="171"/>
      <c r="N50" s="695"/>
      <c r="O50" s="696"/>
      <c r="P50" s="696"/>
      <c r="Q50" s="696"/>
      <c r="R50" s="696"/>
      <c r="S50" s="696"/>
      <c r="T50" s="696"/>
      <c r="U50" s="697"/>
    </row>
    <row r="51" spans="2:21">
      <c r="B51" s="613" t="s">
        <v>290</v>
      </c>
      <c r="C51" s="84" t="s">
        <v>14</v>
      </c>
      <c r="D51" s="610">
        <f t="shared" ca="1" si="42"/>
        <v>396687.73164498305</v>
      </c>
      <c r="E51" s="171">
        <f t="shared" ca="1" si="42"/>
        <v>848946.9172714001</v>
      </c>
      <c r="F51" s="171">
        <f t="shared" ca="1" si="42"/>
        <v>1289874.0791969523</v>
      </c>
      <c r="G51" s="171">
        <f t="shared" ca="1" si="42"/>
        <v>1832493.9377650593</v>
      </c>
      <c r="H51" s="171">
        <f t="shared" ca="1" si="42"/>
        <v>2449576.6063478682</v>
      </c>
      <c r="I51" s="171">
        <f t="shared" ca="1" si="42"/>
        <v>3173668.9546340471</v>
      </c>
      <c r="J51" s="171">
        <f t="shared" ca="1" si="42"/>
        <v>3992428.7749245865</v>
      </c>
      <c r="K51" s="170">
        <f t="shared" ca="1" si="42"/>
        <v>4884088.2774998154</v>
      </c>
      <c r="L51" s="171"/>
      <c r="M51" s="171"/>
      <c r="N51" s="610"/>
      <c r="O51" s="171"/>
      <c r="P51" s="171"/>
      <c r="Q51" s="171"/>
      <c r="R51" s="171"/>
      <c r="S51" s="171"/>
      <c r="T51" s="171"/>
      <c r="U51" s="170"/>
    </row>
    <row r="52" spans="2:21">
      <c r="B52" s="609"/>
      <c r="C52" s="84" t="str">
        <f>C47</f>
        <v>GS 50 - 2,999</v>
      </c>
      <c r="D52" s="610">
        <f t="shared" ca="1" si="42"/>
        <v>220704.95364462514</v>
      </c>
      <c r="E52" s="171">
        <f t="shared" ca="1" si="42"/>
        <v>443027.85572360811</v>
      </c>
      <c r="F52" s="171">
        <f t="shared" ca="1" si="42"/>
        <v>20480886.028590661</v>
      </c>
      <c r="G52" s="171">
        <f t="shared" ca="1" si="42"/>
        <v>52057414.104660369</v>
      </c>
      <c r="H52" s="171">
        <f t="shared" ca="1" si="42"/>
        <v>68500848.35520491</v>
      </c>
      <c r="I52" s="171">
        <f t="shared" ca="1" si="42"/>
        <v>78964088.2617459</v>
      </c>
      <c r="J52" s="171">
        <f t="shared" ca="1" si="42"/>
        <v>88143999.957398653</v>
      </c>
      <c r="K52" s="170">
        <f t="shared" ca="1" si="42"/>
        <v>93439393.905186117</v>
      </c>
      <c r="L52" s="171"/>
      <c r="M52" s="171"/>
      <c r="N52" s="610">
        <f>N37+N42+N47</f>
        <v>38.365150684931507</v>
      </c>
      <c r="O52" s="171">
        <f t="shared" ref="N52:U53" ca="1" si="43">O37+O42+O47</f>
        <v>690.635678132321</v>
      </c>
      <c r="P52" s="171">
        <f t="shared" ca="1" si="43"/>
        <v>49782.050918033136</v>
      </c>
      <c r="Q52" s="171">
        <f t="shared" ca="1" si="43"/>
        <v>127147.84690188307</v>
      </c>
      <c r="R52" s="171">
        <f t="shared" ca="1" si="43"/>
        <v>167245.3294436638</v>
      </c>
      <c r="S52" s="171">
        <f t="shared" ca="1" si="43"/>
        <v>192570.30434869599</v>
      </c>
      <c r="T52" s="171">
        <f t="shared" ca="1" si="43"/>
        <v>214710.16938087312</v>
      </c>
      <c r="U52" s="170">
        <f t="shared" ca="1" si="43"/>
        <v>227314.64290694206</v>
      </c>
    </row>
    <row r="53" spans="2:21">
      <c r="B53" s="609"/>
      <c r="C53" s="84" t="str">
        <f>C48</f>
        <v>GS 3,000 - 4,999</v>
      </c>
      <c r="D53" s="610">
        <f t="shared" si="42"/>
        <v>22413.625999999997</v>
      </c>
      <c r="E53" s="171">
        <f t="shared" si="42"/>
        <v>45448.551999999996</v>
      </c>
      <c r="F53" s="171">
        <f t="shared" si="42"/>
        <v>11322704.88218962</v>
      </c>
      <c r="G53" s="171">
        <f t="shared" si="42"/>
        <v>27486826.916575804</v>
      </c>
      <c r="H53" s="171">
        <f t="shared" si="42"/>
        <v>34643493.230395749</v>
      </c>
      <c r="I53" s="171">
        <f t="shared" si="42"/>
        <v>39736432.87067277</v>
      </c>
      <c r="J53" s="171">
        <f t="shared" si="42"/>
        <v>46816680.954010136</v>
      </c>
      <c r="K53" s="170">
        <f t="shared" si="42"/>
        <v>52500805.468765736</v>
      </c>
      <c r="L53" s="171"/>
      <c r="M53" s="171"/>
      <c r="N53" s="610">
        <f t="shared" si="43"/>
        <v>11.454575342465752</v>
      </c>
      <c r="O53" s="171">
        <f t="shared" si="43"/>
        <v>30.338342465753421</v>
      </c>
      <c r="P53" s="171">
        <f t="shared" si="43"/>
        <v>21522.147534246575</v>
      </c>
      <c r="Q53" s="171">
        <f t="shared" si="43"/>
        <v>52326.175726027395</v>
      </c>
      <c r="R53" s="171">
        <f t="shared" si="43"/>
        <v>65932.790917808219</v>
      </c>
      <c r="S53" s="171">
        <f t="shared" si="43"/>
        <v>75592.028506849325</v>
      </c>
      <c r="T53" s="171">
        <f t="shared" si="43"/>
        <v>89040.144287671239</v>
      </c>
      <c r="U53" s="170">
        <f t="shared" si="43"/>
        <v>99820.258273972606</v>
      </c>
    </row>
    <row r="54" spans="2:21">
      <c r="B54" s="611"/>
      <c r="C54" s="169" t="s">
        <v>290</v>
      </c>
      <c r="D54" s="612">
        <f t="shared" ref="D54:K54" ca="1" si="44">SUM(D50:D53)</f>
        <v>3219898.8922464261</v>
      </c>
      <c r="E54" s="168">
        <f t="shared" ca="1" si="44"/>
        <v>6840414.7664434426</v>
      </c>
      <c r="F54" s="168">
        <f t="shared" ca="1" si="44"/>
        <v>41600926.388214067</v>
      </c>
      <c r="G54" s="168">
        <f t="shared" ca="1" si="44"/>
        <v>93559596.699140996</v>
      </c>
      <c r="H54" s="168">
        <f t="shared" ca="1" si="44"/>
        <v>121970546.79958171</v>
      </c>
      <c r="I54" s="168">
        <f t="shared" ca="1" si="44"/>
        <v>143256527.40325266</v>
      </c>
      <c r="J54" s="168">
        <f t="shared" ca="1" si="44"/>
        <v>166057645.66042468</v>
      </c>
      <c r="K54" s="356">
        <f t="shared" ca="1" si="44"/>
        <v>184122682.053747</v>
      </c>
      <c r="L54" s="167"/>
      <c r="M54" s="167"/>
      <c r="N54" s="612">
        <f t="shared" ref="N54:U54" si="45">SUM(N50:N53)</f>
        <v>49.819726027397259</v>
      </c>
      <c r="O54" s="168">
        <f t="shared" ca="1" si="45"/>
        <v>720.97402059807439</v>
      </c>
      <c r="P54" s="168">
        <f t="shared" ca="1" si="45"/>
        <v>71304.198452279714</v>
      </c>
      <c r="Q54" s="168">
        <f t="shared" ca="1" si="45"/>
        <v>179474.02262791045</v>
      </c>
      <c r="R54" s="168">
        <f t="shared" ca="1" si="45"/>
        <v>233178.12036147201</v>
      </c>
      <c r="S54" s="168">
        <f t="shared" ca="1" si="45"/>
        <v>268162.33285554533</v>
      </c>
      <c r="T54" s="168">
        <f t="shared" ca="1" si="45"/>
        <v>303750.31366854435</v>
      </c>
      <c r="U54" s="356">
        <f t="shared" ca="1" si="45"/>
        <v>327134.90118091466</v>
      </c>
    </row>
  </sheetData>
  <mergeCells count="4">
    <mergeCell ref="N2:U2"/>
    <mergeCell ref="D2:K2"/>
    <mergeCell ref="D33:K33"/>
    <mergeCell ref="N33:U3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A473F-1F89-4385-BB81-348D0B037B53}">
  <sheetPr codeName="Sheet27">
    <tabColor theme="7" tint="0.79998168889431442"/>
  </sheetPr>
  <dimension ref="A1:AE229"/>
  <sheetViews>
    <sheetView zoomScaleNormal="100" workbookViewId="0">
      <selection activeCell="A35" sqref="A35:XFD35"/>
    </sheetView>
  </sheetViews>
  <sheetFormatPr defaultRowHeight="14.5"/>
  <cols>
    <col min="2" max="2" width="9.1796875" bestFit="1" customWidth="1"/>
    <col min="3" max="3" width="8.81640625" bestFit="1" customWidth="1"/>
    <col min="4" max="4" width="16" customWidth="1"/>
    <col min="13" max="13" width="11.81640625" style="438" customWidth="1"/>
    <col min="14" max="15" width="11.1796875" bestFit="1" customWidth="1"/>
    <col min="16" max="18" width="10.1796875" bestFit="1" customWidth="1"/>
    <col min="19" max="20" width="11.1796875" bestFit="1" customWidth="1"/>
    <col min="21" max="24" width="12.54296875" customWidth="1"/>
    <col min="27" max="27" width="11.54296875" customWidth="1"/>
    <col min="28" max="28" width="13.81640625" bestFit="1" customWidth="1"/>
    <col min="29" max="29" width="12.81640625" bestFit="1" customWidth="1"/>
    <col min="30" max="30" width="13.81640625" bestFit="1" customWidth="1"/>
    <col min="31" max="31" width="8.81640625" bestFit="1" customWidth="1"/>
  </cols>
  <sheetData>
    <row r="1" spans="1:31">
      <c r="A1" s="541" t="str">
        <f>'Monthly Data'!A1</f>
        <v>Date</v>
      </c>
      <c r="B1" s="541" t="str">
        <f>'Monthly Data'!B1</f>
        <v>Year</v>
      </c>
      <c r="C1" s="541" t="str">
        <f>'Monthly Data'!C1</f>
        <v>Month</v>
      </c>
      <c r="D1" s="541" t="str">
        <f>'Monthly Data'!I1</f>
        <v>VRZ_ResidentialkWh_No_CDM_AL</v>
      </c>
      <c r="E1" s="541" t="str">
        <f>'Monthly Data'!CN1</f>
        <v>HDD20</v>
      </c>
      <c r="F1" s="541" t="str">
        <f>'Monthly Data'!CS1</f>
        <v>CDD16</v>
      </c>
      <c r="G1" s="541" t="str">
        <f>'Monthly Data'!EM1</f>
        <v>CovHDD20</v>
      </c>
      <c r="H1" s="541" t="str">
        <f>'Monthly Data'!ER1</f>
        <v>CovCDD16</v>
      </c>
      <c r="I1" s="541" t="str">
        <f>'Monthly Data'!EG1</f>
        <v>Shoulder</v>
      </c>
      <c r="J1" s="541" t="str">
        <f>'Monthly Data'!DQ1</f>
        <v>Month Days</v>
      </c>
      <c r="K1" s="541" t="str">
        <f>'Monthly Data'!EH1</f>
        <v>Trend</v>
      </c>
      <c r="L1" s="541"/>
      <c r="M1" s="541" t="str">
        <f>AA8</f>
        <v>const</v>
      </c>
      <c r="N1" s="541" t="str">
        <f>E1</f>
        <v>HDD20</v>
      </c>
      <c r="O1" s="541" t="str">
        <f t="shared" ref="O1:T1" si="0">F1</f>
        <v>CDD16</v>
      </c>
      <c r="P1" s="541" t="str">
        <f t="shared" si="0"/>
        <v>CovHDD20</v>
      </c>
      <c r="Q1" s="541" t="str">
        <f t="shared" si="0"/>
        <v>CovCDD16</v>
      </c>
      <c r="R1" s="541" t="str">
        <f t="shared" si="0"/>
        <v>Shoulder</v>
      </c>
      <c r="S1" s="541" t="str">
        <f t="shared" si="0"/>
        <v>Month Days</v>
      </c>
      <c r="T1" s="541" t="str">
        <f t="shared" si="0"/>
        <v>Trend</v>
      </c>
      <c r="U1" s="541" t="s">
        <v>610</v>
      </c>
      <c r="V1" s="541" t="s">
        <v>332</v>
      </c>
      <c r="W1" s="541" t="s">
        <v>606</v>
      </c>
      <c r="X1" s="541" t="s">
        <v>611</v>
      </c>
    </row>
    <row r="2" spans="1:31">
      <c r="A2" s="2">
        <f>'Monthly Data'!A2</f>
        <v>42370</v>
      </c>
      <c r="B2">
        <f>'Monthly Data'!B2</f>
        <v>2016</v>
      </c>
      <c r="C2">
        <f>'Monthly Data'!C2</f>
        <v>1</v>
      </c>
      <c r="D2" s="3">
        <f>'Monthly Data'!I2</f>
        <v>85376415.042292222</v>
      </c>
      <c r="E2" s="91">
        <f ca="1">Weather!BG46</f>
        <v>752.78750000000002</v>
      </c>
      <c r="F2" s="91">
        <f ca="1">Weather!CJ46</f>
        <v>0</v>
      </c>
      <c r="G2" s="3">
        <f>'Monthly Data'!EM2</f>
        <v>0</v>
      </c>
      <c r="H2" s="3">
        <f>'Monthly Data'!ER2</f>
        <v>0</v>
      </c>
      <c r="I2" s="3">
        <f>'Monthly Data'!EG2</f>
        <v>0</v>
      </c>
      <c r="J2" s="3">
        <f>'Monthly Data'!DQ2</f>
        <v>31</v>
      </c>
      <c r="K2">
        <f>'Monthly Data'!EH2</f>
        <v>1</v>
      </c>
      <c r="M2" s="436">
        <f t="shared" ref="M2:M33" si="1">$AB$8</f>
        <v>-9235786.3729357291</v>
      </c>
      <c r="N2" s="3">
        <f ca="1">E2*$AB$9</f>
        <v>33652397.08570125</v>
      </c>
      <c r="O2" s="3">
        <f ca="1">F2*$AB$10</f>
        <v>0</v>
      </c>
      <c r="P2" s="3">
        <f t="shared" ref="P2:P33" si="2">G2*$AB$11</f>
        <v>0</v>
      </c>
      <c r="Q2" s="3">
        <f t="shared" ref="Q2:Q33" si="3">H2*$AB$12</f>
        <v>0</v>
      </c>
      <c r="R2" s="3">
        <f t="shared" ref="R2:R33" si="4">I2*$AB$13</f>
        <v>0</v>
      </c>
      <c r="S2" s="3">
        <f t="shared" ref="S2:S33" si="5">J2*$AB$14</f>
        <v>59495027.773339681</v>
      </c>
      <c r="T2" s="3">
        <f t="shared" ref="T2:T33" si="6">K2*$AB$15</f>
        <v>105603.983558147</v>
      </c>
      <c r="U2" s="47">
        <f t="shared" ref="U2:U42" ca="1" si="7">SUM(M2:T2)</f>
        <v>84017242.469663352</v>
      </c>
      <c r="V2" s="47">
        <f>'Monthly Data'!G2</f>
        <v>0</v>
      </c>
      <c r="W2" s="47">
        <f>+'Monthly Data'!H2</f>
        <v>0</v>
      </c>
      <c r="X2" s="47">
        <f t="shared" ref="X2:X42" ca="1" si="8">U2+V2+W2</f>
        <v>84017242.469663352</v>
      </c>
    </row>
    <row r="3" spans="1:31">
      <c r="A3" s="2">
        <f>'Monthly Data'!A3</f>
        <v>42401</v>
      </c>
      <c r="B3">
        <f>'Monthly Data'!B3</f>
        <v>2016</v>
      </c>
      <c r="C3">
        <f>'Monthly Data'!C3</f>
        <v>2</v>
      </c>
      <c r="D3" s="3">
        <f>'Monthly Data'!I3</f>
        <v>77381302.28981629</v>
      </c>
      <c r="E3" s="91">
        <f ca="1">Weather!BG47</f>
        <v>660.7954166666666</v>
      </c>
      <c r="F3" s="91">
        <f ca="1">Weather!CJ47</f>
        <v>0</v>
      </c>
      <c r="G3" s="3">
        <f>'Monthly Data'!EM3</f>
        <v>0</v>
      </c>
      <c r="H3" s="3">
        <f>'Monthly Data'!ER3</f>
        <v>0</v>
      </c>
      <c r="I3" s="3">
        <f>'Monthly Data'!EG3</f>
        <v>0</v>
      </c>
      <c r="J3" s="3">
        <f>'Monthly Data'!DQ3</f>
        <v>29</v>
      </c>
      <c r="K3">
        <f>'Monthly Data'!EH3</f>
        <v>2</v>
      </c>
      <c r="M3" s="436">
        <f t="shared" si="1"/>
        <v>-9235786.3729357291</v>
      </c>
      <c r="N3" s="3">
        <f ca="1">E3*$AB$9</f>
        <v>29540009.304190192</v>
      </c>
      <c r="O3" s="3">
        <f ca="1">F3*$AB$10</f>
        <v>0</v>
      </c>
      <c r="P3" s="3">
        <f t="shared" si="2"/>
        <v>0</v>
      </c>
      <c r="Q3" s="3">
        <f t="shared" si="3"/>
        <v>0</v>
      </c>
      <c r="R3" s="3">
        <f t="shared" si="4"/>
        <v>0</v>
      </c>
      <c r="S3" s="3">
        <f t="shared" si="5"/>
        <v>55656638.884737119</v>
      </c>
      <c r="T3" s="3">
        <f t="shared" si="6"/>
        <v>211207.96711629399</v>
      </c>
      <c r="U3" s="47">
        <f t="shared" ca="1" si="7"/>
        <v>76172069.783107877</v>
      </c>
      <c r="V3" s="47">
        <f>'Monthly Data'!G3</f>
        <v>0</v>
      </c>
      <c r="W3" s="47">
        <f>+'Monthly Data'!H3</f>
        <v>0</v>
      </c>
      <c r="X3" s="47">
        <f t="shared" ca="1" si="8"/>
        <v>76172069.783107877</v>
      </c>
      <c r="AA3" t="s">
        <v>612</v>
      </c>
    </row>
    <row r="4" spans="1:31">
      <c r="A4" s="2">
        <f>'Monthly Data'!A4</f>
        <v>42430</v>
      </c>
      <c r="B4">
        <f>'Monthly Data'!B4</f>
        <v>2016</v>
      </c>
      <c r="C4">
        <f>'Monthly Data'!C4</f>
        <v>3</v>
      </c>
      <c r="D4" s="3">
        <f>'Monthly Data'!I4</f>
        <v>73971867.342461213</v>
      </c>
      <c r="E4" s="91">
        <f ca="1">Weather!BG48</f>
        <v>596.21590579710141</v>
      </c>
      <c r="F4" s="91">
        <f ca="1">Weather!CJ48</f>
        <v>0</v>
      </c>
      <c r="G4" s="3">
        <f>'Monthly Data'!EM4</f>
        <v>0</v>
      </c>
      <c r="H4" s="3">
        <f>'Monthly Data'!ER4</f>
        <v>0</v>
      </c>
      <c r="I4" s="3">
        <f>'Monthly Data'!EG4</f>
        <v>1</v>
      </c>
      <c r="J4" s="3">
        <f>'Monthly Data'!DQ4</f>
        <v>31</v>
      </c>
      <c r="K4">
        <f>'Monthly Data'!EH4</f>
        <v>3</v>
      </c>
      <c r="M4" s="436">
        <f t="shared" si="1"/>
        <v>-9235786.3729357291</v>
      </c>
      <c r="N4" s="3">
        <f t="shared" ref="N4:N67" ca="1" si="9">E4*$AB$9</f>
        <v>26653065.321481969</v>
      </c>
      <c r="O4" s="3">
        <f t="shared" ref="O4:O67" ca="1" si="10">F4*$AB$10</f>
        <v>0</v>
      </c>
      <c r="P4" s="3">
        <f t="shared" si="2"/>
        <v>0</v>
      </c>
      <c r="Q4" s="3">
        <f t="shared" si="3"/>
        <v>0</v>
      </c>
      <c r="R4" s="3">
        <f t="shared" si="4"/>
        <v>-2958956.3975358699</v>
      </c>
      <c r="S4" s="3">
        <f t="shared" si="5"/>
        <v>59495027.773339681</v>
      </c>
      <c r="T4" s="3">
        <f t="shared" si="6"/>
        <v>316811.950674441</v>
      </c>
      <c r="U4" s="47">
        <f t="shared" ca="1" si="7"/>
        <v>74270162.275024489</v>
      </c>
      <c r="V4" s="47">
        <f>'Monthly Data'!G4</f>
        <v>0</v>
      </c>
      <c r="W4" s="47">
        <f>+'Monthly Data'!H4</f>
        <v>0</v>
      </c>
      <c r="X4" s="47">
        <f t="shared" ca="1" si="8"/>
        <v>74270162.275024489</v>
      </c>
      <c r="AA4" t="s">
        <v>298</v>
      </c>
    </row>
    <row r="5" spans="1:31">
      <c r="A5" s="2">
        <f>'Monthly Data'!A5</f>
        <v>42461</v>
      </c>
      <c r="B5">
        <f>'Monthly Data'!B5</f>
        <v>2016</v>
      </c>
      <c r="C5">
        <f>'Monthly Data'!C5</f>
        <v>4</v>
      </c>
      <c r="D5" s="3">
        <f>'Monthly Data'!I5</f>
        <v>65417923.854524866</v>
      </c>
      <c r="E5" s="91">
        <f ca="1">Weather!BG49</f>
        <v>412.8885416666667</v>
      </c>
      <c r="F5" s="91">
        <f ca="1">Weather!CJ49</f>
        <v>0.4316666666666677</v>
      </c>
      <c r="G5" s="3">
        <f>'Monthly Data'!EM5</f>
        <v>0</v>
      </c>
      <c r="H5" s="3">
        <f>'Monthly Data'!ER5</f>
        <v>0</v>
      </c>
      <c r="I5" s="3">
        <f>'Monthly Data'!EG5</f>
        <v>1</v>
      </c>
      <c r="J5" s="3">
        <f>'Monthly Data'!DQ5</f>
        <v>30</v>
      </c>
      <c r="K5">
        <f>'Monthly Data'!EH5</f>
        <v>4</v>
      </c>
      <c r="M5" s="436">
        <f t="shared" si="1"/>
        <v>-9235786.3729357291</v>
      </c>
      <c r="N5" s="3">
        <f t="shared" ca="1" si="9"/>
        <v>18457651.271179151</v>
      </c>
      <c r="O5" s="3">
        <f t="shared" ca="1" si="10"/>
        <v>115388.71786790752</v>
      </c>
      <c r="P5" s="3">
        <f t="shared" si="2"/>
        <v>0</v>
      </c>
      <c r="Q5" s="3">
        <f t="shared" si="3"/>
        <v>0</v>
      </c>
      <c r="R5" s="3">
        <f t="shared" si="4"/>
        <v>-2958956.3975358699</v>
      </c>
      <c r="S5" s="3">
        <f t="shared" si="5"/>
        <v>57575833.329038396</v>
      </c>
      <c r="T5" s="3">
        <f t="shared" si="6"/>
        <v>422415.93423258798</v>
      </c>
      <c r="U5" s="47">
        <f t="shared" ca="1" si="7"/>
        <v>64376546.481846444</v>
      </c>
      <c r="V5" s="47">
        <f>'Monthly Data'!G5</f>
        <v>0</v>
      </c>
      <c r="W5" s="47">
        <f>+'Monthly Data'!H5</f>
        <v>0</v>
      </c>
      <c r="X5" s="47">
        <f t="shared" ca="1" si="8"/>
        <v>64376546.481846444</v>
      </c>
      <c r="AA5" t="s">
        <v>613</v>
      </c>
    </row>
    <row r="6" spans="1:31">
      <c r="A6" s="2">
        <f>'Monthly Data'!A6</f>
        <v>42491</v>
      </c>
      <c r="B6">
        <f>'Monthly Data'!B6</f>
        <v>2016</v>
      </c>
      <c r="C6">
        <f>'Monthly Data'!C6</f>
        <v>5</v>
      </c>
      <c r="D6" s="3">
        <f>'Monthly Data'!I6</f>
        <v>65187188.306903355</v>
      </c>
      <c r="E6" s="91">
        <f ca="1">Weather!BG50</f>
        <v>208.90012508544086</v>
      </c>
      <c r="F6" s="91">
        <f ca="1">Weather!CJ50</f>
        <v>26.958863636363635</v>
      </c>
      <c r="G6" s="3">
        <f>'Monthly Data'!EM6</f>
        <v>0</v>
      </c>
      <c r="H6" s="3">
        <f>'Monthly Data'!ER6</f>
        <v>0</v>
      </c>
      <c r="I6" s="3">
        <f>'Monthly Data'!EG6</f>
        <v>1</v>
      </c>
      <c r="J6" s="3">
        <f>'Monthly Data'!DQ6</f>
        <v>31</v>
      </c>
      <c r="K6">
        <f>'Monthly Data'!EH6</f>
        <v>5</v>
      </c>
      <c r="M6" s="436">
        <f t="shared" si="1"/>
        <v>-9235786.3729357291</v>
      </c>
      <c r="N6" s="3">
        <f t="shared" ca="1" si="9"/>
        <v>9338611.4416457731</v>
      </c>
      <c r="O6" s="3">
        <f t="shared" ca="1" si="10"/>
        <v>7206367.6683608042</v>
      </c>
      <c r="P6" s="3">
        <f t="shared" si="2"/>
        <v>0</v>
      </c>
      <c r="Q6" s="3">
        <f t="shared" si="3"/>
        <v>0</v>
      </c>
      <c r="R6" s="3">
        <f t="shared" si="4"/>
        <v>-2958956.3975358699</v>
      </c>
      <c r="S6" s="3">
        <f t="shared" si="5"/>
        <v>59495027.773339681</v>
      </c>
      <c r="T6" s="3">
        <f t="shared" si="6"/>
        <v>528019.91779073502</v>
      </c>
      <c r="U6" s="47">
        <f t="shared" ca="1" si="7"/>
        <v>64373284.03066539</v>
      </c>
      <c r="V6" s="47">
        <f>'Monthly Data'!G6</f>
        <v>0</v>
      </c>
      <c r="W6" s="47">
        <f>+'Monthly Data'!H6</f>
        <v>0</v>
      </c>
      <c r="X6" s="47">
        <f t="shared" ca="1" si="8"/>
        <v>64373284.03066539</v>
      </c>
    </row>
    <row r="7" spans="1:31">
      <c r="A7" s="2">
        <f>'Monthly Data'!A7</f>
        <v>42522</v>
      </c>
      <c r="B7">
        <f>'Monthly Data'!B7</f>
        <v>2016</v>
      </c>
      <c r="C7">
        <f>'Monthly Data'!C7</f>
        <v>6</v>
      </c>
      <c r="D7" s="3">
        <f>'Monthly Data'!I7</f>
        <v>74671270.898416147</v>
      </c>
      <c r="E7" s="91">
        <f ca="1">Weather!BG51</f>
        <v>61.78217382617381</v>
      </c>
      <c r="F7" s="91">
        <f ca="1">Weather!CJ51</f>
        <v>92.933549595332209</v>
      </c>
      <c r="G7" s="3">
        <f>'Monthly Data'!EM7</f>
        <v>0</v>
      </c>
      <c r="H7" s="3">
        <f>'Monthly Data'!ER7</f>
        <v>0</v>
      </c>
      <c r="I7" s="3">
        <f>'Monthly Data'!EG7</f>
        <v>0</v>
      </c>
      <c r="J7" s="3">
        <f>'Monthly Data'!DQ7</f>
        <v>30</v>
      </c>
      <c r="K7">
        <f>'Monthly Data'!EH7</f>
        <v>6</v>
      </c>
      <c r="M7" s="436">
        <f t="shared" si="1"/>
        <v>-9235786.3729357291</v>
      </c>
      <c r="N7" s="3">
        <f t="shared" ca="1" si="9"/>
        <v>2761892.6276222966</v>
      </c>
      <c r="O7" s="3">
        <f t="shared" ca="1" si="10"/>
        <v>24842045.8719358</v>
      </c>
      <c r="P7" s="3">
        <f t="shared" si="2"/>
        <v>0</v>
      </c>
      <c r="Q7" s="3">
        <f t="shared" si="3"/>
        <v>0</v>
      </c>
      <c r="R7" s="3">
        <f t="shared" si="4"/>
        <v>0</v>
      </c>
      <c r="S7" s="3">
        <f t="shared" si="5"/>
        <v>57575833.329038396</v>
      </c>
      <c r="T7" s="3">
        <f t="shared" si="6"/>
        <v>633623.90134888201</v>
      </c>
      <c r="U7" s="47">
        <f t="shared" ca="1" si="7"/>
        <v>76577609.357009649</v>
      </c>
      <c r="V7" s="47">
        <f>'Monthly Data'!G7</f>
        <v>0</v>
      </c>
      <c r="W7" s="47">
        <f>+'Monthly Data'!H7</f>
        <v>0</v>
      </c>
      <c r="X7" s="47">
        <f t="shared" ca="1" si="8"/>
        <v>76577609.357009649</v>
      </c>
      <c r="AB7" t="s">
        <v>300</v>
      </c>
      <c r="AC7" t="s">
        <v>301</v>
      </c>
      <c r="AD7" t="s">
        <v>302</v>
      </c>
      <c r="AE7" t="s">
        <v>303</v>
      </c>
    </row>
    <row r="8" spans="1:31">
      <c r="A8" s="2">
        <f>'Monthly Data'!A8</f>
        <v>42552</v>
      </c>
      <c r="B8">
        <f>'Monthly Data'!B8</f>
        <v>2016</v>
      </c>
      <c r="C8">
        <f>'Monthly Data'!C8</f>
        <v>7</v>
      </c>
      <c r="D8" s="3">
        <f>'Monthly Data'!I8</f>
        <v>97914851.723937914</v>
      </c>
      <c r="E8" s="91">
        <f ca="1">Weather!BG52</f>
        <v>8.334479813664597</v>
      </c>
      <c r="F8" s="91">
        <f ca="1">Weather!CJ52</f>
        <v>180.79967025394512</v>
      </c>
      <c r="G8" s="3">
        <f>'Monthly Data'!EM8</f>
        <v>0</v>
      </c>
      <c r="H8" s="3">
        <f>'Monthly Data'!ER8</f>
        <v>0</v>
      </c>
      <c r="I8" s="3">
        <f>'Monthly Data'!EG8</f>
        <v>0</v>
      </c>
      <c r="J8" s="3">
        <f>'Monthly Data'!DQ8</f>
        <v>31</v>
      </c>
      <c r="K8">
        <f>'Monthly Data'!EH8</f>
        <v>7</v>
      </c>
      <c r="M8" s="436">
        <f t="shared" si="1"/>
        <v>-9235786.3729357291</v>
      </c>
      <c r="N8" s="3">
        <f t="shared" ca="1" si="9"/>
        <v>372582.2017398036</v>
      </c>
      <c r="O8" s="3">
        <f t="shared" ca="1" si="10"/>
        <v>48329518.474617302</v>
      </c>
      <c r="P8" s="3">
        <f t="shared" si="2"/>
        <v>0</v>
      </c>
      <c r="Q8" s="3">
        <f t="shared" si="3"/>
        <v>0</v>
      </c>
      <c r="R8" s="3">
        <f t="shared" si="4"/>
        <v>0</v>
      </c>
      <c r="S8" s="3">
        <f t="shared" si="5"/>
        <v>59495027.773339681</v>
      </c>
      <c r="T8" s="3">
        <f t="shared" si="6"/>
        <v>739227.88490702899</v>
      </c>
      <c r="U8" s="47">
        <f t="shared" ca="1" si="7"/>
        <v>99700569.961668089</v>
      </c>
      <c r="V8" s="47">
        <f>'Monthly Data'!G8</f>
        <v>0</v>
      </c>
      <c r="W8" s="47">
        <f>+'Monthly Data'!H8</f>
        <v>0</v>
      </c>
      <c r="X8" s="47">
        <f t="shared" ca="1" si="8"/>
        <v>99700569.961668089</v>
      </c>
      <c r="AA8" t="s">
        <v>304</v>
      </c>
      <c r="AB8" s="436">
        <f>'VRZ Residential'!AC9</f>
        <v>-9235786.3729357291</v>
      </c>
      <c r="AC8" s="3">
        <f>'VRZ Residential'!AD9</f>
        <v>5850251.3548475802</v>
      </c>
      <c r="AD8" s="235">
        <f>'VRZ Residential'!AE9</f>
        <v>-1.57869906996096</v>
      </c>
      <c r="AE8" s="245">
        <f>'VRZ Residential'!AF9</f>
        <v>0.11722535871258701</v>
      </c>
    </row>
    <row r="9" spans="1:31">
      <c r="A9" s="2">
        <f>'Monthly Data'!A9</f>
        <v>42583</v>
      </c>
      <c r="B9">
        <f>'Monthly Data'!B9</f>
        <v>2016</v>
      </c>
      <c r="C9">
        <f>'Monthly Data'!C9</f>
        <v>8</v>
      </c>
      <c r="D9" s="3">
        <f>'Monthly Data'!I9</f>
        <v>104107940.31948724</v>
      </c>
      <c r="E9" s="91">
        <f ca="1">Weather!BG53</f>
        <v>21.054927536231883</v>
      </c>
      <c r="F9" s="91">
        <f ca="1">Weather!CJ53</f>
        <v>153.08475461133071</v>
      </c>
      <c r="G9" s="3">
        <f>'Monthly Data'!EM9</f>
        <v>0</v>
      </c>
      <c r="H9" s="3">
        <f>'Monthly Data'!ER9</f>
        <v>0</v>
      </c>
      <c r="I9" s="3">
        <f>'Monthly Data'!EG9</f>
        <v>0</v>
      </c>
      <c r="J9" s="3">
        <f>'Monthly Data'!DQ9</f>
        <v>31</v>
      </c>
      <c r="K9">
        <f>'Monthly Data'!EH9</f>
        <v>8</v>
      </c>
      <c r="M9" s="436">
        <f t="shared" si="1"/>
        <v>-9235786.3729357291</v>
      </c>
      <c r="N9" s="3">
        <f t="shared" ca="1" si="9"/>
        <v>941233.45839289424</v>
      </c>
      <c r="O9" s="3">
        <f t="shared" ca="1" si="10"/>
        <v>40921050.717508845</v>
      </c>
      <c r="P9" s="3">
        <f t="shared" si="2"/>
        <v>0</v>
      </c>
      <c r="Q9" s="3">
        <f t="shared" si="3"/>
        <v>0</v>
      </c>
      <c r="R9" s="3">
        <f t="shared" si="4"/>
        <v>0</v>
      </c>
      <c r="S9" s="3">
        <f t="shared" si="5"/>
        <v>59495027.773339681</v>
      </c>
      <c r="T9" s="3">
        <f t="shared" si="6"/>
        <v>844831.86846517597</v>
      </c>
      <c r="U9" s="47">
        <f t="shared" ca="1" si="7"/>
        <v>92966357.444770858</v>
      </c>
      <c r="V9" s="47">
        <f>'Monthly Data'!G9</f>
        <v>0</v>
      </c>
      <c r="W9" s="47">
        <f>+'Monthly Data'!H9</f>
        <v>0</v>
      </c>
      <c r="X9" s="47">
        <f t="shared" ca="1" si="8"/>
        <v>92966357.444770858</v>
      </c>
      <c r="AA9" t="s">
        <v>116</v>
      </c>
      <c r="AB9" s="3">
        <f>'VRZ Residential'!AC10</f>
        <v>44703.713977319298</v>
      </c>
      <c r="AC9" s="3">
        <f>'VRZ Residential'!AD10</f>
        <v>1553.05084296672</v>
      </c>
      <c r="AD9" s="235">
        <f>'VRZ Residential'!AE10</f>
        <v>28.784449768511099</v>
      </c>
      <c r="AE9" s="245">
        <f>'VRZ Residential'!AF10</f>
        <v>1.41365829295219E-53</v>
      </c>
    </row>
    <row r="10" spans="1:31">
      <c r="A10" s="2">
        <f>'Monthly Data'!A10</f>
        <v>42614</v>
      </c>
      <c r="B10">
        <f>'Monthly Data'!B10</f>
        <v>2016</v>
      </c>
      <c r="C10">
        <f>'Monthly Data'!C10</f>
        <v>9</v>
      </c>
      <c r="D10" s="3">
        <f>'Monthly Data'!I10</f>
        <v>72870278.058616281</v>
      </c>
      <c r="E10" s="91">
        <f ca="1">Weather!BG54</f>
        <v>97.667119565217376</v>
      </c>
      <c r="F10" s="91">
        <f ca="1">Weather!CJ54</f>
        <v>58.118749999999991</v>
      </c>
      <c r="G10" s="3">
        <f>'Monthly Data'!EM10</f>
        <v>0</v>
      </c>
      <c r="H10" s="3">
        <f>'Monthly Data'!ER10</f>
        <v>0</v>
      </c>
      <c r="I10" s="3">
        <f>'Monthly Data'!EG10</f>
        <v>1</v>
      </c>
      <c r="J10" s="3">
        <f>'Monthly Data'!DQ10</f>
        <v>30</v>
      </c>
      <c r="K10">
        <f>'Monthly Data'!EH10</f>
        <v>9</v>
      </c>
      <c r="M10" s="436">
        <f t="shared" si="1"/>
        <v>-9235786.3729357291</v>
      </c>
      <c r="N10" s="3">
        <f t="shared" ca="1" si="9"/>
        <v>4366082.9780321233</v>
      </c>
      <c r="O10" s="3">
        <f t="shared" ca="1" si="10"/>
        <v>15535709.760429574</v>
      </c>
      <c r="P10" s="3">
        <f t="shared" si="2"/>
        <v>0</v>
      </c>
      <c r="Q10" s="3">
        <f t="shared" si="3"/>
        <v>0</v>
      </c>
      <c r="R10" s="3">
        <f t="shared" si="4"/>
        <v>-2958956.3975358699</v>
      </c>
      <c r="S10" s="3">
        <f t="shared" si="5"/>
        <v>57575833.329038396</v>
      </c>
      <c r="T10" s="3">
        <f t="shared" si="6"/>
        <v>950435.85202332295</v>
      </c>
      <c r="U10" s="47">
        <f t="shared" ca="1" si="7"/>
        <v>66233319.149051823</v>
      </c>
      <c r="V10" s="47">
        <f>'Monthly Data'!G10</f>
        <v>0</v>
      </c>
      <c r="W10" s="47">
        <f>+'Monthly Data'!H10</f>
        <v>0</v>
      </c>
      <c r="X10" s="47">
        <f t="shared" ca="1" si="8"/>
        <v>66233319.149051823</v>
      </c>
      <c r="AA10" t="s">
        <v>121</v>
      </c>
      <c r="AB10" s="3">
        <f>'VRZ Residential'!AC11</f>
        <v>267309.77112256503</v>
      </c>
      <c r="AC10" s="3">
        <f>'VRZ Residential'!AD11</f>
        <v>7165.5604056905304</v>
      </c>
      <c r="AD10" s="235">
        <f>'VRZ Residential'!AE11</f>
        <v>37.3047962738937</v>
      </c>
      <c r="AE10" s="245">
        <f>'VRZ Residential'!AF11</f>
        <v>5.3566089725476398E-65</v>
      </c>
    </row>
    <row r="11" spans="1:31">
      <c r="A11" s="2">
        <f>'Monthly Data'!A11</f>
        <v>42644</v>
      </c>
      <c r="B11">
        <f>'Monthly Data'!B11</f>
        <v>2016</v>
      </c>
      <c r="C11">
        <f>'Monthly Data'!C11</f>
        <v>10</v>
      </c>
      <c r="D11" s="3">
        <f>'Monthly Data'!I11</f>
        <v>63420205.647639558</v>
      </c>
      <c r="E11" s="91">
        <f ca="1">Weather!BG55</f>
        <v>292.46431159420291</v>
      </c>
      <c r="F11" s="91">
        <f ca="1">Weather!CJ55</f>
        <v>7.9825000000000035</v>
      </c>
      <c r="G11" s="3">
        <f>'Monthly Data'!EM11</f>
        <v>0</v>
      </c>
      <c r="H11" s="3">
        <f>'Monthly Data'!ER11</f>
        <v>0</v>
      </c>
      <c r="I11" s="3">
        <f>'Monthly Data'!EG11</f>
        <v>1</v>
      </c>
      <c r="J11" s="3">
        <f>'Monthly Data'!DQ11</f>
        <v>31</v>
      </c>
      <c r="K11">
        <f>'Monthly Data'!EH11</f>
        <v>10</v>
      </c>
      <c r="M11" s="436">
        <f t="shared" si="1"/>
        <v>-9235786.3729357291</v>
      </c>
      <c r="N11" s="3">
        <f t="shared" ca="1" si="9"/>
        <v>13074240.934080835</v>
      </c>
      <c r="O11" s="3">
        <f t="shared" ca="1" si="10"/>
        <v>2133800.2479858762</v>
      </c>
      <c r="P11" s="3">
        <f t="shared" si="2"/>
        <v>0</v>
      </c>
      <c r="Q11" s="3">
        <f t="shared" si="3"/>
        <v>0</v>
      </c>
      <c r="R11" s="3">
        <f t="shared" si="4"/>
        <v>-2958956.3975358699</v>
      </c>
      <c r="S11" s="3">
        <f t="shared" si="5"/>
        <v>59495027.773339681</v>
      </c>
      <c r="T11" s="3">
        <f t="shared" si="6"/>
        <v>1056039.83558147</v>
      </c>
      <c r="U11" s="47">
        <f t="shared" ca="1" si="7"/>
        <v>63564366.020516261</v>
      </c>
      <c r="V11" s="47">
        <f>'Monthly Data'!G11</f>
        <v>0</v>
      </c>
      <c r="W11" s="47">
        <f>+'Monthly Data'!H11</f>
        <v>0</v>
      </c>
      <c r="X11" s="47">
        <f t="shared" ca="1" si="8"/>
        <v>63564366.020516261</v>
      </c>
      <c r="AA11" t="s">
        <v>167</v>
      </c>
      <c r="AB11" s="3">
        <f>'VRZ Residential'!AC12</f>
        <v>8983.0714850607092</v>
      </c>
      <c r="AC11" s="3">
        <f>'VRZ Residential'!AD12</f>
        <v>2922.2952069018402</v>
      </c>
      <c r="AD11" s="235">
        <f>'VRZ Residential'!AE12</f>
        <v>3.0739781059232398</v>
      </c>
      <c r="AE11" s="245">
        <f>'VRZ Residential'!AF12</f>
        <v>2.6534030820476698E-3</v>
      </c>
    </row>
    <row r="12" spans="1:31">
      <c r="A12" s="2">
        <f>'Monthly Data'!A12</f>
        <v>42675</v>
      </c>
      <c r="B12">
        <f>'Monthly Data'!B12</f>
        <v>2016</v>
      </c>
      <c r="C12">
        <f>'Monthly Data'!C12</f>
        <v>11</v>
      </c>
      <c r="D12" s="3">
        <f>'Monthly Data'!I12</f>
        <v>66278339.830631763</v>
      </c>
      <c r="E12" s="91">
        <f ca="1">Weather!BG56</f>
        <v>495.51408055712409</v>
      </c>
      <c r="F12" s="91">
        <f ca="1">Weather!CJ56</f>
        <v>0.15041666666666628</v>
      </c>
      <c r="G12" s="3">
        <f>'Monthly Data'!EM12</f>
        <v>0</v>
      </c>
      <c r="H12" s="3">
        <f>'Monthly Data'!ER12</f>
        <v>0</v>
      </c>
      <c r="I12" s="3">
        <f>'Monthly Data'!EG12</f>
        <v>1</v>
      </c>
      <c r="J12" s="3">
        <f>'Monthly Data'!DQ12</f>
        <v>30</v>
      </c>
      <c r="K12">
        <f>'Monthly Data'!EH12</f>
        <v>11</v>
      </c>
      <c r="M12" s="436">
        <f t="shared" si="1"/>
        <v>-9235786.3729357291</v>
      </c>
      <c r="N12" s="3">
        <f t="shared" ca="1" si="9"/>
        <v>22151319.72896003</v>
      </c>
      <c r="O12" s="3">
        <f t="shared" ca="1" si="10"/>
        <v>40207.844739685723</v>
      </c>
      <c r="P12" s="3">
        <f t="shared" si="2"/>
        <v>0</v>
      </c>
      <c r="Q12" s="3">
        <f t="shared" si="3"/>
        <v>0</v>
      </c>
      <c r="R12" s="3">
        <f t="shared" si="4"/>
        <v>-2958956.3975358699</v>
      </c>
      <c r="S12" s="3">
        <f t="shared" si="5"/>
        <v>57575833.329038396</v>
      </c>
      <c r="T12" s="3">
        <f t="shared" si="6"/>
        <v>1161643.819139617</v>
      </c>
      <c r="U12" s="47">
        <f t="shared" ca="1" si="7"/>
        <v>68734261.951406121</v>
      </c>
      <c r="V12" s="47">
        <f>'Monthly Data'!G12</f>
        <v>0</v>
      </c>
      <c r="W12" s="47">
        <f>+'Monthly Data'!H12</f>
        <v>0</v>
      </c>
      <c r="X12" s="47">
        <f t="shared" ca="1" si="8"/>
        <v>68734261.951406121</v>
      </c>
      <c r="AA12" t="s">
        <v>172</v>
      </c>
      <c r="AB12" s="3">
        <f>'VRZ Residential'!AC13</f>
        <v>34291.679242734601</v>
      </c>
      <c r="AC12" s="3">
        <f>'VRZ Residential'!AD13</f>
        <v>14783.6225670575</v>
      </c>
      <c r="AD12" s="235">
        <f>'VRZ Residential'!AE13</f>
        <v>2.3195721540637302</v>
      </c>
      <c r="AE12" s="245">
        <f>'VRZ Residential'!AF13</f>
        <v>2.2176830011225099E-2</v>
      </c>
    </row>
    <row r="13" spans="1:31">
      <c r="A13" s="2">
        <f>'Monthly Data'!A13</f>
        <v>42705</v>
      </c>
      <c r="B13">
        <f>'Monthly Data'!B13</f>
        <v>2016</v>
      </c>
      <c r="C13">
        <f>'Monthly Data'!C13</f>
        <v>12</v>
      </c>
      <c r="D13" s="3">
        <f>'Monthly Data'!I13</f>
        <v>84183809.525322765</v>
      </c>
      <c r="E13" s="91">
        <f ca="1">Weather!BG57</f>
        <v>664.38541666666663</v>
      </c>
      <c r="F13" s="91">
        <f ca="1">Weather!CJ57</f>
        <v>0</v>
      </c>
      <c r="G13" s="3">
        <f>'Monthly Data'!EM13</f>
        <v>0</v>
      </c>
      <c r="H13" s="3">
        <f>'Monthly Data'!ER13</f>
        <v>0</v>
      </c>
      <c r="I13" s="3">
        <f>'Monthly Data'!EG13</f>
        <v>0</v>
      </c>
      <c r="J13" s="3">
        <f>'Monthly Data'!DQ13</f>
        <v>31</v>
      </c>
      <c r="K13">
        <f>'Monthly Data'!EH13</f>
        <v>12</v>
      </c>
      <c r="M13" s="436">
        <f t="shared" si="1"/>
        <v>-9235786.3729357291</v>
      </c>
      <c r="N13" s="3">
        <f t="shared" ca="1" si="9"/>
        <v>29700495.637368772</v>
      </c>
      <c r="O13" s="3">
        <f t="shared" ca="1" si="10"/>
        <v>0</v>
      </c>
      <c r="P13" s="3">
        <f t="shared" si="2"/>
        <v>0</v>
      </c>
      <c r="Q13" s="3">
        <f t="shared" si="3"/>
        <v>0</v>
      </c>
      <c r="R13" s="3">
        <f t="shared" si="4"/>
        <v>0</v>
      </c>
      <c r="S13" s="3">
        <f t="shared" si="5"/>
        <v>59495027.773339681</v>
      </c>
      <c r="T13" s="3">
        <f t="shared" si="6"/>
        <v>1267247.802697764</v>
      </c>
      <c r="U13" s="47">
        <f t="shared" ca="1" si="7"/>
        <v>81226984.840470478</v>
      </c>
      <c r="V13" s="47">
        <f>'Monthly Data'!G13</f>
        <v>0</v>
      </c>
      <c r="W13" s="47">
        <f>+'Monthly Data'!H13</f>
        <v>0</v>
      </c>
      <c r="X13" s="47">
        <f t="shared" ca="1" si="8"/>
        <v>81226984.840470478</v>
      </c>
      <c r="AA13" t="s">
        <v>161</v>
      </c>
      <c r="AB13" s="3">
        <f>'VRZ Residential'!AC14</f>
        <v>-2958956.3975358699</v>
      </c>
      <c r="AC13" s="3">
        <f>'VRZ Residential'!AD14</f>
        <v>518059.44950761501</v>
      </c>
      <c r="AD13" s="235">
        <f>'VRZ Residential'!AE14</f>
        <v>-5.7116155305113798</v>
      </c>
      <c r="AE13" s="245">
        <f>'VRZ Residential'!AF14</f>
        <v>9.3429198416506706E-8</v>
      </c>
    </row>
    <row r="14" spans="1:31">
      <c r="A14" s="2">
        <f>'Monthly Data'!A14</f>
        <v>42736</v>
      </c>
      <c r="B14">
        <f>'Monthly Data'!B14</f>
        <v>2017</v>
      </c>
      <c r="C14">
        <f>'Monthly Data'!C14</f>
        <v>1</v>
      </c>
      <c r="D14" s="3">
        <f>'Monthly Data'!I14</f>
        <v>82569323.575743258</v>
      </c>
      <c r="E14" s="3">
        <f t="shared" ref="E14:F14" ca="1" si="11">E2</f>
        <v>752.78750000000002</v>
      </c>
      <c r="F14" s="3">
        <f t="shared" ca="1" si="11"/>
        <v>0</v>
      </c>
      <c r="G14" s="3">
        <f>'Monthly Data'!EM14</f>
        <v>0</v>
      </c>
      <c r="H14" s="3">
        <f>'Monthly Data'!ER14</f>
        <v>0</v>
      </c>
      <c r="I14" s="3">
        <f>'Monthly Data'!EG14</f>
        <v>0</v>
      </c>
      <c r="J14" s="3">
        <f>'Monthly Data'!DQ14</f>
        <v>31</v>
      </c>
      <c r="K14">
        <f>'Monthly Data'!EH14</f>
        <v>13</v>
      </c>
      <c r="M14" s="436">
        <f t="shared" si="1"/>
        <v>-9235786.3729357291</v>
      </c>
      <c r="N14" s="3">
        <f t="shared" ca="1" si="9"/>
        <v>33652397.08570125</v>
      </c>
      <c r="O14" s="3">
        <f t="shared" ca="1" si="10"/>
        <v>0</v>
      </c>
      <c r="P14" s="3">
        <f t="shared" si="2"/>
        <v>0</v>
      </c>
      <c r="Q14" s="3">
        <f t="shared" si="3"/>
        <v>0</v>
      </c>
      <c r="R14" s="3">
        <f t="shared" si="4"/>
        <v>0</v>
      </c>
      <c r="S14" s="3">
        <f t="shared" si="5"/>
        <v>59495027.773339681</v>
      </c>
      <c r="T14" s="3">
        <f t="shared" si="6"/>
        <v>1372851.786255911</v>
      </c>
      <c r="U14" s="47">
        <f t="shared" ca="1" si="7"/>
        <v>85284490.272361115</v>
      </c>
      <c r="V14" s="47">
        <f>'Monthly Data'!G14</f>
        <v>3139.4865292819891</v>
      </c>
      <c r="W14" s="47">
        <f>+'Monthly Data'!H14</f>
        <v>0</v>
      </c>
      <c r="X14" s="47">
        <f t="shared" ca="1" si="8"/>
        <v>85287629.75889039</v>
      </c>
      <c r="AA14" t="s">
        <v>305</v>
      </c>
      <c r="AB14" s="3">
        <f>'VRZ Residential'!AC15</f>
        <v>1919194.44430128</v>
      </c>
      <c r="AC14" s="3">
        <f>'VRZ Residential'!AD15</f>
        <v>198984.54087927999</v>
      </c>
      <c r="AD14" s="235">
        <f>'VRZ Residential'!AE15</f>
        <v>9.6449424453813002</v>
      </c>
      <c r="AE14" s="245">
        <f>'VRZ Residential'!AF15</f>
        <v>2.1803646109545799E-16</v>
      </c>
    </row>
    <row r="15" spans="1:31">
      <c r="A15" s="2">
        <f>'Monthly Data'!A15</f>
        <v>42767</v>
      </c>
      <c r="B15">
        <f>'Monthly Data'!B15</f>
        <v>2017</v>
      </c>
      <c r="C15">
        <f>'Monthly Data'!C15</f>
        <v>2</v>
      </c>
      <c r="D15" s="3">
        <f>'Monthly Data'!I15</f>
        <v>71599326.353062958</v>
      </c>
      <c r="E15" s="3">
        <f t="shared" ref="E15:F15" ca="1" si="12">E3</f>
        <v>660.7954166666666</v>
      </c>
      <c r="F15" s="3">
        <f t="shared" ca="1" si="12"/>
        <v>0</v>
      </c>
      <c r="G15" s="3">
        <f>'Monthly Data'!EM15</f>
        <v>0</v>
      </c>
      <c r="H15" s="3">
        <f>'Monthly Data'!ER15</f>
        <v>0</v>
      </c>
      <c r="I15" s="3">
        <f>'Monthly Data'!EG15</f>
        <v>0</v>
      </c>
      <c r="J15" s="3">
        <f>'Monthly Data'!DQ15</f>
        <v>28</v>
      </c>
      <c r="K15">
        <f>'Monthly Data'!EH15</f>
        <v>14</v>
      </c>
      <c r="M15" s="436">
        <f t="shared" si="1"/>
        <v>-9235786.3729357291</v>
      </c>
      <c r="N15" s="3">
        <f t="shared" ca="1" si="9"/>
        <v>29540009.304190192</v>
      </c>
      <c r="O15" s="3">
        <f t="shared" ca="1" si="10"/>
        <v>0</v>
      </c>
      <c r="P15" s="3">
        <f t="shared" si="2"/>
        <v>0</v>
      </c>
      <c r="Q15" s="3">
        <f t="shared" si="3"/>
        <v>0</v>
      </c>
      <c r="R15" s="3">
        <f t="shared" si="4"/>
        <v>0</v>
      </c>
      <c r="S15" s="3">
        <f t="shared" si="5"/>
        <v>53737444.440435842</v>
      </c>
      <c r="T15" s="3">
        <f t="shared" si="6"/>
        <v>1478455.769814058</v>
      </c>
      <c r="U15" s="47">
        <f t="shared" ca="1" si="7"/>
        <v>75520123.141504362</v>
      </c>
      <c r="V15" s="47">
        <f>'Monthly Data'!G15</f>
        <v>6278.9730585639782</v>
      </c>
      <c r="W15" s="47">
        <f>+'Monthly Data'!H15</f>
        <v>0</v>
      </c>
      <c r="X15" s="47">
        <f t="shared" ca="1" si="8"/>
        <v>75526402.114562929</v>
      </c>
      <c r="AA15" t="s">
        <v>162</v>
      </c>
      <c r="AB15" s="3">
        <f>'VRZ Residential'!AC16</f>
        <v>105603.983558147</v>
      </c>
      <c r="AC15" s="3">
        <f>'VRZ Residential'!AD16</f>
        <v>8516.0582478961605</v>
      </c>
      <c r="AD15" s="235">
        <f>'VRZ Residential'!AE16</f>
        <v>12.4005708373631</v>
      </c>
      <c r="AE15" s="245">
        <f>'VRZ Residential'!AF16</f>
        <v>9.46104490929732E-23</v>
      </c>
    </row>
    <row r="16" spans="1:31">
      <c r="A16" s="2">
        <f>'Monthly Data'!A16</f>
        <v>42795</v>
      </c>
      <c r="B16">
        <f>'Monthly Data'!B16</f>
        <v>2017</v>
      </c>
      <c r="C16">
        <f>'Monthly Data'!C16</f>
        <v>3</v>
      </c>
      <c r="D16" s="3">
        <f>'Monthly Data'!I16</f>
        <v>78053890.649692729</v>
      </c>
      <c r="E16" s="3">
        <f t="shared" ref="E16:F16" ca="1" si="13">E4</f>
        <v>596.21590579710141</v>
      </c>
      <c r="F16" s="3">
        <f t="shared" ca="1" si="13"/>
        <v>0</v>
      </c>
      <c r="G16" s="3">
        <f>'Monthly Data'!EM16</f>
        <v>0</v>
      </c>
      <c r="H16" s="3">
        <f>'Monthly Data'!ER16</f>
        <v>0</v>
      </c>
      <c r="I16" s="3">
        <f>'Monthly Data'!EG16</f>
        <v>1</v>
      </c>
      <c r="J16" s="3">
        <f>'Monthly Data'!DQ16</f>
        <v>31</v>
      </c>
      <c r="K16">
        <f>'Monthly Data'!EH16</f>
        <v>15</v>
      </c>
      <c r="M16" s="436">
        <f t="shared" si="1"/>
        <v>-9235786.3729357291</v>
      </c>
      <c r="N16" s="3">
        <f t="shared" ca="1" si="9"/>
        <v>26653065.321481969</v>
      </c>
      <c r="O16" s="3">
        <f t="shared" ca="1" si="10"/>
        <v>0</v>
      </c>
      <c r="P16" s="3">
        <f t="shared" si="2"/>
        <v>0</v>
      </c>
      <c r="Q16" s="3">
        <f t="shared" si="3"/>
        <v>0</v>
      </c>
      <c r="R16" s="3">
        <f t="shared" si="4"/>
        <v>-2958956.3975358699</v>
      </c>
      <c r="S16" s="3">
        <f t="shared" si="5"/>
        <v>59495027.773339681</v>
      </c>
      <c r="T16" s="3">
        <f t="shared" si="6"/>
        <v>1584059.753372205</v>
      </c>
      <c r="U16" s="47">
        <f t="shared" ca="1" si="7"/>
        <v>75537410.077722251</v>
      </c>
      <c r="V16" s="47">
        <f>'Monthly Data'!G16</f>
        <v>9418.4595878459659</v>
      </c>
      <c r="W16" s="47">
        <f>+'Monthly Data'!H16</f>
        <v>0</v>
      </c>
      <c r="X16" s="47">
        <f t="shared" ca="1" si="8"/>
        <v>75546828.537310094</v>
      </c>
    </row>
    <row r="17" spans="1:30">
      <c r="A17" s="2">
        <f>'Monthly Data'!A17</f>
        <v>42826</v>
      </c>
      <c r="B17">
        <f>'Monthly Data'!B17</f>
        <v>2017</v>
      </c>
      <c r="C17">
        <f>'Monthly Data'!C17</f>
        <v>4</v>
      </c>
      <c r="D17" s="3">
        <f>'Monthly Data'!I17</f>
        <v>63125916.590484679</v>
      </c>
      <c r="E17" s="3">
        <f t="shared" ref="E17:F17" ca="1" si="14">E5</f>
        <v>412.8885416666667</v>
      </c>
      <c r="F17" s="3">
        <f t="shared" ca="1" si="14"/>
        <v>0.4316666666666677</v>
      </c>
      <c r="G17" s="3">
        <f>'Monthly Data'!EM17</f>
        <v>0</v>
      </c>
      <c r="H17" s="3">
        <f>'Monthly Data'!ER17</f>
        <v>0</v>
      </c>
      <c r="I17" s="3">
        <f>'Monthly Data'!EG17</f>
        <v>1</v>
      </c>
      <c r="J17" s="3">
        <f>'Monthly Data'!DQ17</f>
        <v>30</v>
      </c>
      <c r="K17">
        <f>'Monthly Data'!EH17</f>
        <v>16</v>
      </c>
      <c r="M17" s="436">
        <f t="shared" si="1"/>
        <v>-9235786.3729357291</v>
      </c>
      <c r="N17" s="3">
        <f t="shared" ca="1" si="9"/>
        <v>18457651.271179151</v>
      </c>
      <c r="O17" s="3">
        <f t="shared" ca="1" si="10"/>
        <v>115388.71786790752</v>
      </c>
      <c r="P17" s="3">
        <f t="shared" si="2"/>
        <v>0</v>
      </c>
      <c r="Q17" s="3">
        <f t="shared" si="3"/>
        <v>0</v>
      </c>
      <c r="R17" s="3">
        <f t="shared" si="4"/>
        <v>-2958956.3975358699</v>
      </c>
      <c r="S17" s="3">
        <f t="shared" si="5"/>
        <v>57575833.329038396</v>
      </c>
      <c r="T17" s="3">
        <f t="shared" si="6"/>
        <v>1689663.7369303519</v>
      </c>
      <c r="U17" s="47">
        <f t="shared" ca="1" si="7"/>
        <v>65643794.284544215</v>
      </c>
      <c r="V17" s="47">
        <f>'Monthly Data'!G17</f>
        <v>12557.946117127956</v>
      </c>
      <c r="W17" s="47">
        <f>+'Monthly Data'!H17</f>
        <v>0</v>
      </c>
      <c r="X17" s="47">
        <f t="shared" ca="1" si="8"/>
        <v>65656352.23066134</v>
      </c>
      <c r="AA17" t="s">
        <v>306</v>
      </c>
    </row>
    <row r="18" spans="1:30">
      <c r="A18" s="2">
        <f>'Monthly Data'!A18</f>
        <v>42856</v>
      </c>
      <c r="B18">
        <f>'Monthly Data'!B18</f>
        <v>2017</v>
      </c>
      <c r="C18">
        <f>'Monthly Data'!C18</f>
        <v>5</v>
      </c>
      <c r="D18" s="3">
        <f>'Monthly Data'!I18</f>
        <v>62505880.854811162</v>
      </c>
      <c r="E18" s="3">
        <f t="shared" ref="E18:F18" ca="1" si="15">E6</f>
        <v>208.90012508544086</v>
      </c>
      <c r="F18" s="3">
        <f t="shared" ca="1" si="15"/>
        <v>26.958863636363635</v>
      </c>
      <c r="G18" s="3">
        <f>'Monthly Data'!EM18</f>
        <v>0</v>
      </c>
      <c r="H18" s="3">
        <f>'Monthly Data'!ER18</f>
        <v>0</v>
      </c>
      <c r="I18" s="3">
        <f>'Monthly Data'!EG18</f>
        <v>1</v>
      </c>
      <c r="J18" s="3">
        <f>'Monthly Data'!DQ18</f>
        <v>31</v>
      </c>
      <c r="K18">
        <f>'Monthly Data'!EH18</f>
        <v>17</v>
      </c>
      <c r="M18" s="436">
        <f t="shared" si="1"/>
        <v>-9235786.3729357291</v>
      </c>
      <c r="N18" s="3">
        <f t="shared" ca="1" si="9"/>
        <v>9338611.4416457731</v>
      </c>
      <c r="O18" s="3">
        <f t="shared" ca="1" si="10"/>
        <v>7206367.6683608042</v>
      </c>
      <c r="P18" s="3">
        <f t="shared" si="2"/>
        <v>0</v>
      </c>
      <c r="Q18" s="3">
        <f t="shared" si="3"/>
        <v>0</v>
      </c>
      <c r="R18" s="3">
        <f t="shared" si="4"/>
        <v>-2958956.3975358699</v>
      </c>
      <c r="S18" s="3">
        <f t="shared" si="5"/>
        <v>59495027.773339681</v>
      </c>
      <c r="T18" s="3">
        <f t="shared" si="6"/>
        <v>1795267.7204884989</v>
      </c>
      <c r="U18" s="47">
        <f t="shared" ca="1" si="7"/>
        <v>65640531.833363153</v>
      </c>
      <c r="V18" s="47">
        <f>'Monthly Data'!G18</f>
        <v>15697.432646409945</v>
      </c>
      <c r="W18" s="47">
        <f>+'Monthly Data'!H18</f>
        <v>0</v>
      </c>
      <c r="X18" s="47">
        <f t="shared" ca="1" si="8"/>
        <v>65656229.266009562</v>
      </c>
      <c r="AA18" t="s">
        <v>307</v>
      </c>
      <c r="AB18">
        <v>529226868330752</v>
      </c>
      <c r="AC18" t="s">
        <v>308</v>
      </c>
      <c r="AD18" s="3">
        <v>2173761.69250686</v>
      </c>
    </row>
    <row r="19" spans="1:30">
      <c r="A19" s="2">
        <f>'Monthly Data'!A19</f>
        <v>42887</v>
      </c>
      <c r="B19">
        <f>'Monthly Data'!B19</f>
        <v>2017</v>
      </c>
      <c r="C19">
        <f>'Monthly Data'!C19</f>
        <v>6</v>
      </c>
      <c r="D19" s="3">
        <f>'Monthly Data'!I19</f>
        <v>69514121.089248583</v>
      </c>
      <c r="E19" s="3">
        <f t="shared" ref="E19:F19" ca="1" si="16">E7</f>
        <v>61.78217382617381</v>
      </c>
      <c r="F19" s="3">
        <f t="shared" ca="1" si="16"/>
        <v>92.933549595332209</v>
      </c>
      <c r="G19" s="3">
        <f>'Monthly Data'!EM19</f>
        <v>0</v>
      </c>
      <c r="H19" s="3">
        <f>'Monthly Data'!ER19</f>
        <v>0</v>
      </c>
      <c r="I19" s="3">
        <f>'Monthly Data'!EG19</f>
        <v>0</v>
      </c>
      <c r="J19" s="3">
        <f>'Monthly Data'!DQ19</f>
        <v>30</v>
      </c>
      <c r="K19">
        <f>'Monthly Data'!EH19</f>
        <v>18</v>
      </c>
      <c r="M19" s="436">
        <f t="shared" si="1"/>
        <v>-9235786.3729357291</v>
      </c>
      <c r="N19" s="3">
        <f t="shared" ca="1" si="9"/>
        <v>2761892.6276222966</v>
      </c>
      <c r="O19" s="3">
        <f t="shared" ca="1" si="10"/>
        <v>24842045.8719358</v>
      </c>
      <c r="P19" s="3">
        <f t="shared" si="2"/>
        <v>0</v>
      </c>
      <c r="Q19" s="3">
        <f t="shared" si="3"/>
        <v>0</v>
      </c>
      <c r="R19" s="3">
        <f t="shared" si="4"/>
        <v>0</v>
      </c>
      <c r="S19" s="3">
        <f t="shared" si="5"/>
        <v>57575833.329038396</v>
      </c>
      <c r="T19" s="3">
        <f t="shared" si="6"/>
        <v>1900871.7040466459</v>
      </c>
      <c r="U19" s="47">
        <f t="shared" ca="1" si="7"/>
        <v>77844857.159707412</v>
      </c>
      <c r="V19" s="47">
        <f>'Monthly Data'!G19</f>
        <v>18836.919175691932</v>
      </c>
      <c r="W19" s="47">
        <f>+'Monthly Data'!H19</f>
        <v>0</v>
      </c>
      <c r="X19" s="47">
        <f t="shared" ca="1" si="8"/>
        <v>77863694.078883111</v>
      </c>
      <c r="AA19" t="s">
        <v>309</v>
      </c>
      <c r="AB19" s="99">
        <v>0.97634238082814295</v>
      </c>
      <c r="AC19" t="s">
        <v>310</v>
      </c>
      <c r="AD19" s="99">
        <v>0.97486377962990201</v>
      </c>
    </row>
    <row r="20" spans="1:30">
      <c r="A20" s="2">
        <f>'Monthly Data'!A20</f>
        <v>42917</v>
      </c>
      <c r="B20">
        <f>'Monthly Data'!B20</f>
        <v>2017</v>
      </c>
      <c r="C20">
        <f>'Monthly Data'!C20</f>
        <v>7</v>
      </c>
      <c r="D20" s="3">
        <f>'Monthly Data'!I20</f>
        <v>85901862.580364347</v>
      </c>
      <c r="E20" s="3">
        <f t="shared" ref="E20:F20" ca="1" si="17">E8</f>
        <v>8.334479813664597</v>
      </c>
      <c r="F20" s="3">
        <f t="shared" ca="1" si="17"/>
        <v>180.79967025394512</v>
      </c>
      <c r="G20" s="3">
        <f>'Monthly Data'!EM20</f>
        <v>0</v>
      </c>
      <c r="H20" s="3">
        <f>'Monthly Data'!ER20</f>
        <v>0</v>
      </c>
      <c r="I20" s="3">
        <f>'Monthly Data'!EG20</f>
        <v>0</v>
      </c>
      <c r="J20" s="3">
        <f>'Monthly Data'!DQ20</f>
        <v>31</v>
      </c>
      <c r="K20">
        <f>'Monthly Data'!EH20</f>
        <v>19</v>
      </c>
      <c r="M20" s="436">
        <f t="shared" si="1"/>
        <v>-9235786.3729357291</v>
      </c>
      <c r="N20" s="3">
        <f t="shared" ca="1" si="9"/>
        <v>372582.2017398036</v>
      </c>
      <c r="O20" s="3">
        <f t="shared" ca="1" si="10"/>
        <v>48329518.474617302</v>
      </c>
      <c r="P20" s="3">
        <f t="shared" si="2"/>
        <v>0</v>
      </c>
      <c r="Q20" s="3">
        <f t="shared" si="3"/>
        <v>0</v>
      </c>
      <c r="R20" s="3">
        <f t="shared" si="4"/>
        <v>0</v>
      </c>
      <c r="S20" s="3">
        <f t="shared" si="5"/>
        <v>59495027.773339681</v>
      </c>
      <c r="T20" s="3">
        <f t="shared" si="6"/>
        <v>2006475.6876047929</v>
      </c>
      <c r="U20" s="47">
        <f t="shared" ca="1" si="7"/>
        <v>100967817.76436587</v>
      </c>
      <c r="V20" s="47">
        <f>'Monthly Data'!G20</f>
        <v>21976.405704973924</v>
      </c>
      <c r="W20" s="47">
        <f>+'Monthly Data'!H20</f>
        <v>0</v>
      </c>
      <c r="X20" s="47">
        <f t="shared" ca="1" si="8"/>
        <v>100989794.17007084</v>
      </c>
      <c r="AA20" t="s">
        <v>311</v>
      </c>
      <c r="AB20" s="235">
        <v>541.34591073777005</v>
      </c>
      <c r="AC20" t="s">
        <v>312</v>
      </c>
      <c r="AD20" s="99">
        <v>3.15427719079808E-83</v>
      </c>
    </row>
    <row r="21" spans="1:30">
      <c r="A21" s="2">
        <f>'Monthly Data'!A21</f>
        <v>42948</v>
      </c>
      <c r="B21">
        <f>'Monthly Data'!B21</f>
        <v>2017</v>
      </c>
      <c r="C21">
        <f>'Monthly Data'!C21</f>
        <v>8</v>
      </c>
      <c r="D21" s="3">
        <f>'Monthly Data'!I21</f>
        <v>79992171.737870187</v>
      </c>
      <c r="E21" s="3">
        <f t="shared" ref="E21:F21" ca="1" si="18">E9</f>
        <v>21.054927536231883</v>
      </c>
      <c r="F21" s="3">
        <f t="shared" ca="1" si="18"/>
        <v>153.08475461133071</v>
      </c>
      <c r="G21" s="3">
        <f>'Monthly Data'!EM21</f>
        <v>0</v>
      </c>
      <c r="H21" s="3">
        <f>'Monthly Data'!ER21</f>
        <v>0</v>
      </c>
      <c r="I21" s="3">
        <f>'Monthly Data'!EG21</f>
        <v>0</v>
      </c>
      <c r="J21" s="3">
        <f>'Monthly Data'!DQ21</f>
        <v>31</v>
      </c>
      <c r="K21">
        <f>'Monthly Data'!EH21</f>
        <v>20</v>
      </c>
      <c r="M21" s="436">
        <f t="shared" si="1"/>
        <v>-9235786.3729357291</v>
      </c>
      <c r="N21" s="3">
        <f t="shared" ca="1" si="9"/>
        <v>941233.45839289424</v>
      </c>
      <c r="O21" s="3">
        <f t="shared" ca="1" si="10"/>
        <v>40921050.717508845</v>
      </c>
      <c r="P21" s="3">
        <f t="shared" si="2"/>
        <v>0</v>
      </c>
      <c r="Q21" s="3">
        <f t="shared" si="3"/>
        <v>0</v>
      </c>
      <c r="R21" s="3">
        <f t="shared" si="4"/>
        <v>0</v>
      </c>
      <c r="S21" s="3">
        <f t="shared" si="5"/>
        <v>59495027.773339681</v>
      </c>
      <c r="T21" s="3">
        <f t="shared" si="6"/>
        <v>2112079.6711629401</v>
      </c>
      <c r="U21" s="47">
        <f t="shared" ca="1" si="7"/>
        <v>94233605.247468621</v>
      </c>
      <c r="V21" s="47">
        <f>'Monthly Data'!G21</f>
        <v>25115.892234255913</v>
      </c>
      <c r="W21" s="47">
        <f>+'Monthly Data'!H21</f>
        <v>0</v>
      </c>
      <c r="X21" s="47">
        <f t="shared" ca="1" si="8"/>
        <v>94258721.139702871</v>
      </c>
      <c r="AA21" t="s">
        <v>313</v>
      </c>
      <c r="AB21" s="99">
        <v>-1.50701472261247E-2</v>
      </c>
      <c r="AC21" t="s">
        <v>314</v>
      </c>
      <c r="AD21" s="99">
        <v>2.0249920169723201</v>
      </c>
    </row>
    <row r="22" spans="1:30">
      <c r="A22" s="2">
        <f>'Monthly Data'!A22</f>
        <v>42979</v>
      </c>
      <c r="B22">
        <f>'Monthly Data'!B22</f>
        <v>2017</v>
      </c>
      <c r="C22">
        <f>'Monthly Data'!C22</f>
        <v>9</v>
      </c>
      <c r="D22" s="3">
        <f>'Monthly Data'!I22</f>
        <v>73605835.162615746</v>
      </c>
      <c r="E22" s="3">
        <f t="shared" ref="E22:F22" ca="1" si="19">E10</f>
        <v>97.667119565217376</v>
      </c>
      <c r="F22" s="3">
        <f t="shared" ca="1" si="19"/>
        <v>58.118749999999991</v>
      </c>
      <c r="G22" s="3">
        <f>'Monthly Data'!EM22</f>
        <v>0</v>
      </c>
      <c r="H22" s="3">
        <f>'Monthly Data'!ER22</f>
        <v>0</v>
      </c>
      <c r="I22" s="3">
        <f>'Monthly Data'!EG22</f>
        <v>1</v>
      </c>
      <c r="J22" s="3">
        <f>'Monthly Data'!DQ22</f>
        <v>30</v>
      </c>
      <c r="K22">
        <f>'Monthly Data'!EH22</f>
        <v>21</v>
      </c>
      <c r="M22" s="436">
        <f t="shared" si="1"/>
        <v>-9235786.3729357291</v>
      </c>
      <c r="N22" s="3">
        <f t="shared" ca="1" si="9"/>
        <v>4366082.9780321233</v>
      </c>
      <c r="O22" s="3">
        <f t="shared" ca="1" si="10"/>
        <v>15535709.760429574</v>
      </c>
      <c r="P22" s="3">
        <f t="shared" si="2"/>
        <v>0</v>
      </c>
      <c r="Q22" s="3">
        <f t="shared" si="3"/>
        <v>0</v>
      </c>
      <c r="R22" s="3">
        <f t="shared" si="4"/>
        <v>-2958956.3975358699</v>
      </c>
      <c r="S22" s="3">
        <f t="shared" si="5"/>
        <v>57575833.329038396</v>
      </c>
      <c r="T22" s="3">
        <f t="shared" si="6"/>
        <v>2217683.6547210868</v>
      </c>
      <c r="U22" s="47">
        <f t="shared" ca="1" si="7"/>
        <v>67500566.951749578</v>
      </c>
      <c r="V22" s="47">
        <f>'Monthly Data'!G22</f>
        <v>28255.378763537901</v>
      </c>
      <c r="W22" s="47">
        <f>+'Monthly Data'!H22</f>
        <v>0</v>
      </c>
      <c r="X22" s="47">
        <f t="shared" ca="1" si="8"/>
        <v>67528822.33051312</v>
      </c>
    </row>
    <row r="23" spans="1:30">
      <c r="A23" s="2">
        <f>'Monthly Data'!A23</f>
        <v>43009</v>
      </c>
      <c r="B23">
        <f>'Monthly Data'!B23</f>
        <v>2017</v>
      </c>
      <c r="C23">
        <f>'Monthly Data'!C23</f>
        <v>10</v>
      </c>
      <c r="D23" s="3">
        <f>'Monthly Data'!I23</f>
        <v>63873528.16660127</v>
      </c>
      <c r="E23" s="3">
        <f t="shared" ref="E23:F23" ca="1" si="20">E11</f>
        <v>292.46431159420291</v>
      </c>
      <c r="F23" s="3">
        <f t="shared" ca="1" si="20"/>
        <v>7.9825000000000035</v>
      </c>
      <c r="G23" s="3">
        <f>'Monthly Data'!EM23</f>
        <v>0</v>
      </c>
      <c r="H23" s="3">
        <f>'Monthly Data'!ER23</f>
        <v>0</v>
      </c>
      <c r="I23" s="3">
        <f>'Monthly Data'!EG23</f>
        <v>1</v>
      </c>
      <c r="J23" s="3">
        <f>'Monthly Data'!DQ23</f>
        <v>31</v>
      </c>
      <c r="K23">
        <f>'Monthly Data'!EH23</f>
        <v>22</v>
      </c>
      <c r="M23" s="436">
        <f t="shared" si="1"/>
        <v>-9235786.3729357291</v>
      </c>
      <c r="N23" s="3">
        <f t="shared" ca="1" si="9"/>
        <v>13074240.934080835</v>
      </c>
      <c r="O23" s="3">
        <f t="shared" ca="1" si="10"/>
        <v>2133800.2479858762</v>
      </c>
      <c r="P23" s="3">
        <f t="shared" si="2"/>
        <v>0</v>
      </c>
      <c r="Q23" s="3">
        <f t="shared" si="3"/>
        <v>0</v>
      </c>
      <c r="R23" s="3">
        <f t="shared" si="4"/>
        <v>-2958956.3975358699</v>
      </c>
      <c r="S23" s="3">
        <f t="shared" si="5"/>
        <v>59495027.773339681</v>
      </c>
      <c r="T23" s="3">
        <f t="shared" si="6"/>
        <v>2323287.6382792341</v>
      </c>
      <c r="U23" s="47">
        <f t="shared" ca="1" si="7"/>
        <v>64831613.823214032</v>
      </c>
      <c r="V23" s="47">
        <f>'Monthly Data'!G23</f>
        <v>31394.86529281989</v>
      </c>
      <c r="W23" s="47">
        <f>+'Monthly Data'!H23</f>
        <v>0</v>
      </c>
      <c r="X23" s="47">
        <f t="shared" ca="1" si="8"/>
        <v>64863008.688506849</v>
      </c>
      <c r="AA23" t="s">
        <v>315</v>
      </c>
    </row>
    <row r="24" spans="1:30">
      <c r="A24" s="2">
        <f>'Monthly Data'!A24</f>
        <v>43040</v>
      </c>
      <c r="B24">
        <f>'Monthly Data'!B24</f>
        <v>2017</v>
      </c>
      <c r="C24">
        <f>'Monthly Data'!C24</f>
        <v>11</v>
      </c>
      <c r="D24" s="3">
        <f>'Monthly Data'!I24</f>
        <v>71788952.302250221</v>
      </c>
      <c r="E24" s="3">
        <f t="shared" ref="E24:F24" ca="1" si="21">E12</f>
        <v>495.51408055712409</v>
      </c>
      <c r="F24" s="3">
        <f t="shared" ca="1" si="21"/>
        <v>0.15041666666666628</v>
      </c>
      <c r="G24" s="3">
        <f>'Monthly Data'!EM24</f>
        <v>0</v>
      </c>
      <c r="H24" s="3">
        <f>'Monthly Data'!ER24</f>
        <v>0</v>
      </c>
      <c r="I24" s="3">
        <f>'Monthly Data'!EG24</f>
        <v>1</v>
      </c>
      <c r="J24" s="3">
        <f>'Monthly Data'!DQ24</f>
        <v>30</v>
      </c>
      <c r="K24">
        <f>'Monthly Data'!EH24</f>
        <v>23</v>
      </c>
      <c r="M24" s="436">
        <f t="shared" si="1"/>
        <v>-9235786.3729357291</v>
      </c>
      <c r="N24" s="3">
        <f t="shared" ca="1" si="9"/>
        <v>22151319.72896003</v>
      </c>
      <c r="O24" s="3">
        <f t="shared" ca="1" si="10"/>
        <v>40207.844739685723</v>
      </c>
      <c r="P24" s="3">
        <f t="shared" si="2"/>
        <v>0</v>
      </c>
      <c r="Q24" s="3">
        <f t="shared" si="3"/>
        <v>0</v>
      </c>
      <c r="R24" s="3">
        <f t="shared" si="4"/>
        <v>-2958956.3975358699</v>
      </c>
      <c r="S24" s="3">
        <f t="shared" si="5"/>
        <v>57575833.329038396</v>
      </c>
      <c r="T24" s="3">
        <f t="shared" si="6"/>
        <v>2428891.6218373808</v>
      </c>
      <c r="U24" s="47">
        <f t="shared" ca="1" si="7"/>
        <v>70001509.754103884</v>
      </c>
      <c r="V24" s="47">
        <f>'Monthly Data'!G24</f>
        <v>34534.351822101882</v>
      </c>
      <c r="W24" s="47">
        <f>+'Monthly Data'!H24</f>
        <v>0</v>
      </c>
      <c r="X24" s="47">
        <f t="shared" ca="1" si="8"/>
        <v>70036044.105925992</v>
      </c>
      <c r="AA24" t="s">
        <v>316</v>
      </c>
      <c r="AB24" s="3">
        <v>84011411.529426798</v>
      </c>
      <c r="AC24" t="s">
        <v>317</v>
      </c>
      <c r="AD24" s="3">
        <v>13575743.380884601</v>
      </c>
    </row>
    <row r="25" spans="1:30">
      <c r="A25" s="2">
        <f>'Monthly Data'!A25</f>
        <v>43070</v>
      </c>
      <c r="B25">
        <f>'Monthly Data'!B25</f>
        <v>2017</v>
      </c>
      <c r="C25">
        <f>'Monthly Data'!C25</f>
        <v>12</v>
      </c>
      <c r="D25" s="3">
        <f>'Monthly Data'!I25</f>
        <v>90759680.625343248</v>
      </c>
      <c r="E25" s="3">
        <f t="shared" ref="E25:F25" ca="1" si="22">E13</f>
        <v>664.38541666666663</v>
      </c>
      <c r="F25" s="3">
        <f t="shared" ca="1" si="22"/>
        <v>0</v>
      </c>
      <c r="G25" s="3">
        <f>'Monthly Data'!EM25</f>
        <v>0</v>
      </c>
      <c r="H25" s="3">
        <f>'Monthly Data'!ER25</f>
        <v>0</v>
      </c>
      <c r="I25" s="3">
        <f>'Monthly Data'!EG25</f>
        <v>0</v>
      </c>
      <c r="J25" s="3">
        <f>'Monthly Data'!DQ25</f>
        <v>31</v>
      </c>
      <c r="K25">
        <f>'Monthly Data'!EH25</f>
        <v>24</v>
      </c>
      <c r="M25" s="436">
        <f t="shared" si="1"/>
        <v>-9235786.3729357291</v>
      </c>
      <c r="N25" s="3">
        <f t="shared" ca="1" si="9"/>
        <v>29700495.637368772</v>
      </c>
      <c r="O25" s="3">
        <f t="shared" ca="1" si="10"/>
        <v>0</v>
      </c>
      <c r="P25" s="3">
        <f t="shared" si="2"/>
        <v>0</v>
      </c>
      <c r="Q25" s="3">
        <f t="shared" si="3"/>
        <v>0</v>
      </c>
      <c r="R25" s="3">
        <f t="shared" si="4"/>
        <v>0</v>
      </c>
      <c r="S25" s="3">
        <f t="shared" si="5"/>
        <v>59495027.773339681</v>
      </c>
      <c r="T25" s="3">
        <f t="shared" si="6"/>
        <v>2534495.605395528</v>
      </c>
      <c r="U25" s="47">
        <f t="shared" ca="1" si="7"/>
        <v>82494232.643168241</v>
      </c>
      <c r="V25" s="47">
        <f>'Monthly Data'!G25</f>
        <v>37673.838351383863</v>
      </c>
      <c r="W25" s="47">
        <f>+'Monthly Data'!H25</f>
        <v>0</v>
      </c>
      <c r="X25" s="47">
        <f t="shared" ca="1" si="8"/>
        <v>82531906.481519625</v>
      </c>
    </row>
    <row r="26" spans="1:30">
      <c r="A26" s="2">
        <f>'Monthly Data'!A26</f>
        <v>43101</v>
      </c>
      <c r="B26">
        <f>'Monthly Data'!B26</f>
        <v>2018</v>
      </c>
      <c r="C26">
        <f>'Monthly Data'!C26</f>
        <v>1</v>
      </c>
      <c r="D26" s="3">
        <f>'Monthly Data'!I26</f>
        <v>91561131.670871302</v>
      </c>
      <c r="E26" s="3">
        <f t="shared" ref="E26:F26" ca="1" si="23">E14</f>
        <v>752.78750000000002</v>
      </c>
      <c r="F26" s="3">
        <f t="shared" ca="1" si="23"/>
        <v>0</v>
      </c>
      <c r="G26" s="3">
        <f>'Monthly Data'!EM26</f>
        <v>0</v>
      </c>
      <c r="H26" s="3">
        <f>'Monthly Data'!ER26</f>
        <v>0</v>
      </c>
      <c r="I26" s="3">
        <f>'Monthly Data'!EG26</f>
        <v>0</v>
      </c>
      <c r="J26" s="3">
        <f>'Monthly Data'!DQ26</f>
        <v>31</v>
      </c>
      <c r="K26">
        <f>'Monthly Data'!EH26</f>
        <v>25</v>
      </c>
      <c r="M26" s="436">
        <f t="shared" si="1"/>
        <v>-9235786.3729357291</v>
      </c>
      <c r="N26" s="3">
        <f t="shared" ca="1" si="9"/>
        <v>33652397.08570125</v>
      </c>
      <c r="O26" s="3">
        <f t="shared" ca="1" si="10"/>
        <v>0</v>
      </c>
      <c r="P26" s="3">
        <f t="shared" si="2"/>
        <v>0</v>
      </c>
      <c r="Q26" s="3">
        <f t="shared" si="3"/>
        <v>0</v>
      </c>
      <c r="R26" s="3">
        <f t="shared" si="4"/>
        <v>0</v>
      </c>
      <c r="S26" s="3">
        <f t="shared" si="5"/>
        <v>59495027.773339681</v>
      </c>
      <c r="T26" s="3">
        <f t="shared" si="6"/>
        <v>2640099.5889536748</v>
      </c>
      <c r="U26" s="47">
        <f t="shared" ca="1" si="7"/>
        <v>86551738.075058877</v>
      </c>
      <c r="V26" s="47">
        <f>'Monthly Data'!G26</f>
        <v>48682.649009534383</v>
      </c>
      <c r="W26" s="47">
        <f>+'Monthly Data'!H26</f>
        <v>0</v>
      </c>
      <c r="X26" s="47">
        <f t="shared" ca="1" si="8"/>
        <v>86600420.724068418</v>
      </c>
    </row>
    <row r="27" spans="1:30">
      <c r="A27" s="2">
        <f>'Monthly Data'!A27</f>
        <v>43132</v>
      </c>
      <c r="B27">
        <f>'Monthly Data'!B27</f>
        <v>2018</v>
      </c>
      <c r="C27">
        <f>'Monthly Data'!C27</f>
        <v>2</v>
      </c>
      <c r="D27" s="3">
        <f>'Monthly Data'!I27</f>
        <v>75532012.336833283</v>
      </c>
      <c r="E27" s="3">
        <f t="shared" ref="E27:F27" ca="1" si="24">E15</f>
        <v>660.7954166666666</v>
      </c>
      <c r="F27" s="3">
        <f t="shared" ca="1" si="24"/>
        <v>0</v>
      </c>
      <c r="G27" s="3">
        <f>'Monthly Data'!EM27</f>
        <v>0</v>
      </c>
      <c r="H27" s="3">
        <f>'Monthly Data'!ER27</f>
        <v>0</v>
      </c>
      <c r="I27" s="3">
        <f>'Monthly Data'!EG27</f>
        <v>0</v>
      </c>
      <c r="J27" s="3">
        <f>'Monthly Data'!DQ27</f>
        <v>28</v>
      </c>
      <c r="K27">
        <f>'Monthly Data'!EH27</f>
        <v>26</v>
      </c>
      <c r="M27" s="436">
        <f t="shared" si="1"/>
        <v>-9235786.3729357291</v>
      </c>
      <c r="N27" s="3">
        <f t="shared" ca="1" si="9"/>
        <v>29540009.304190192</v>
      </c>
      <c r="O27" s="3">
        <f t="shared" ca="1" si="10"/>
        <v>0</v>
      </c>
      <c r="P27" s="3">
        <f t="shared" si="2"/>
        <v>0</v>
      </c>
      <c r="Q27" s="3">
        <f t="shared" si="3"/>
        <v>0</v>
      </c>
      <c r="R27" s="3">
        <f t="shared" si="4"/>
        <v>0</v>
      </c>
      <c r="S27" s="3">
        <f t="shared" si="5"/>
        <v>53737444.440435842</v>
      </c>
      <c r="T27" s="3">
        <f t="shared" si="6"/>
        <v>2745703.572511822</v>
      </c>
      <c r="U27" s="47">
        <f t="shared" ca="1" si="7"/>
        <v>76787370.944202125</v>
      </c>
      <c r="V27" s="47">
        <f>'Monthly Data'!G27</f>
        <v>56551.973138402907</v>
      </c>
      <c r="W27" s="47">
        <f>+'Monthly Data'!H27</f>
        <v>0</v>
      </c>
      <c r="X27" s="47">
        <f t="shared" ca="1" si="8"/>
        <v>76843922.917340532</v>
      </c>
    </row>
    <row r="28" spans="1:30">
      <c r="A28" s="2">
        <f>'Monthly Data'!A28</f>
        <v>43160</v>
      </c>
      <c r="B28">
        <f>'Monthly Data'!B28</f>
        <v>2018</v>
      </c>
      <c r="C28">
        <f>'Monthly Data'!C28</f>
        <v>3</v>
      </c>
      <c r="D28" s="3">
        <f>'Monthly Data'!I28</f>
        <v>77290841.338541195</v>
      </c>
      <c r="E28" s="3">
        <f t="shared" ref="E28:F28" ca="1" si="25">E16</f>
        <v>596.21590579710141</v>
      </c>
      <c r="F28" s="3">
        <f t="shared" ca="1" si="25"/>
        <v>0</v>
      </c>
      <c r="G28" s="3">
        <f>'Monthly Data'!EM28</f>
        <v>0</v>
      </c>
      <c r="H28" s="3">
        <f>'Monthly Data'!ER28</f>
        <v>0</v>
      </c>
      <c r="I28" s="3">
        <f>'Monthly Data'!EG28</f>
        <v>1</v>
      </c>
      <c r="J28" s="3">
        <f>'Monthly Data'!DQ28</f>
        <v>31</v>
      </c>
      <c r="K28">
        <f>'Monthly Data'!EH28</f>
        <v>27</v>
      </c>
      <c r="M28" s="436">
        <f t="shared" si="1"/>
        <v>-9235786.3729357291</v>
      </c>
      <c r="N28" s="3">
        <f t="shared" ca="1" si="9"/>
        <v>26653065.321481969</v>
      </c>
      <c r="O28" s="3">
        <f t="shared" ca="1" si="10"/>
        <v>0</v>
      </c>
      <c r="P28" s="3">
        <f t="shared" si="2"/>
        <v>0</v>
      </c>
      <c r="Q28" s="3">
        <f t="shared" si="3"/>
        <v>0</v>
      </c>
      <c r="R28" s="3">
        <f t="shared" si="4"/>
        <v>-2958956.3975358699</v>
      </c>
      <c r="S28" s="3">
        <f t="shared" si="5"/>
        <v>59495027.773339681</v>
      </c>
      <c r="T28" s="3">
        <f t="shared" si="6"/>
        <v>2851307.5560699687</v>
      </c>
      <c r="U28" s="47">
        <f t="shared" ca="1" si="7"/>
        <v>76804657.880420014</v>
      </c>
      <c r="V28" s="47">
        <f>'Monthly Data'!G28</f>
        <v>64421.297267271431</v>
      </c>
      <c r="W28" s="47">
        <f>+'Monthly Data'!H28</f>
        <v>0</v>
      </c>
      <c r="X28" s="47">
        <f t="shared" ca="1" si="8"/>
        <v>76869079.177687287</v>
      </c>
    </row>
    <row r="29" spans="1:30">
      <c r="A29" s="2">
        <f>'Monthly Data'!A29</f>
        <v>43191</v>
      </c>
      <c r="B29">
        <f>'Monthly Data'!B29</f>
        <v>2018</v>
      </c>
      <c r="C29">
        <f>'Monthly Data'!C29</f>
        <v>4</v>
      </c>
      <c r="D29" s="3">
        <f>'Monthly Data'!I29</f>
        <v>71505849.770226046</v>
      </c>
      <c r="E29" s="3">
        <f t="shared" ref="E29:F29" ca="1" si="26">E17</f>
        <v>412.8885416666667</v>
      </c>
      <c r="F29" s="3">
        <f t="shared" ca="1" si="26"/>
        <v>0.4316666666666677</v>
      </c>
      <c r="G29" s="3">
        <f>'Monthly Data'!EM29</f>
        <v>0</v>
      </c>
      <c r="H29" s="3">
        <f>'Monthly Data'!ER29</f>
        <v>0</v>
      </c>
      <c r="I29" s="3">
        <f>'Monthly Data'!EG29</f>
        <v>1</v>
      </c>
      <c r="J29" s="3">
        <f>'Monthly Data'!DQ29</f>
        <v>30</v>
      </c>
      <c r="K29">
        <f>'Monthly Data'!EH29</f>
        <v>28</v>
      </c>
      <c r="M29" s="436">
        <f t="shared" si="1"/>
        <v>-9235786.3729357291</v>
      </c>
      <c r="N29" s="3">
        <f t="shared" ca="1" si="9"/>
        <v>18457651.271179151</v>
      </c>
      <c r="O29" s="3">
        <f t="shared" ca="1" si="10"/>
        <v>115388.71786790752</v>
      </c>
      <c r="P29" s="3">
        <f t="shared" si="2"/>
        <v>0</v>
      </c>
      <c r="Q29" s="3">
        <f t="shared" si="3"/>
        <v>0</v>
      </c>
      <c r="R29" s="3">
        <f t="shared" si="4"/>
        <v>-2958956.3975358699</v>
      </c>
      <c r="S29" s="3">
        <f t="shared" si="5"/>
        <v>57575833.329038396</v>
      </c>
      <c r="T29" s="3">
        <f t="shared" si="6"/>
        <v>2956911.5396281159</v>
      </c>
      <c r="U29" s="47">
        <f t="shared" ca="1" si="7"/>
        <v>66911042.087241977</v>
      </c>
      <c r="V29" s="47">
        <f>'Monthly Data'!G29</f>
        <v>72290.621396139963</v>
      </c>
      <c r="W29" s="47">
        <f>+'Monthly Data'!H29</f>
        <v>0</v>
      </c>
      <c r="X29" s="47">
        <f t="shared" ca="1" si="8"/>
        <v>66983332.708638117</v>
      </c>
    </row>
    <row r="30" spans="1:30">
      <c r="A30" s="2">
        <f>'Monthly Data'!A30</f>
        <v>43221</v>
      </c>
      <c r="B30">
        <f>'Monthly Data'!B30</f>
        <v>2018</v>
      </c>
      <c r="C30">
        <f>'Monthly Data'!C30</f>
        <v>5</v>
      </c>
      <c r="D30" s="3">
        <f>'Monthly Data'!I30</f>
        <v>66010944.361001618</v>
      </c>
      <c r="E30" s="3">
        <f t="shared" ref="E30:F30" ca="1" si="27">E18</f>
        <v>208.90012508544086</v>
      </c>
      <c r="F30" s="3">
        <f t="shared" ca="1" si="27"/>
        <v>26.958863636363635</v>
      </c>
      <c r="G30" s="3">
        <f>'Monthly Data'!EM30</f>
        <v>0</v>
      </c>
      <c r="H30" s="3">
        <f>'Monthly Data'!ER30</f>
        <v>0</v>
      </c>
      <c r="I30" s="3">
        <f>'Monthly Data'!EG30</f>
        <v>1</v>
      </c>
      <c r="J30" s="3">
        <f>'Monthly Data'!DQ30</f>
        <v>31</v>
      </c>
      <c r="K30">
        <f>'Monthly Data'!EH30</f>
        <v>29</v>
      </c>
      <c r="M30" s="436">
        <f t="shared" si="1"/>
        <v>-9235786.3729357291</v>
      </c>
      <c r="N30" s="3">
        <f t="shared" ca="1" si="9"/>
        <v>9338611.4416457731</v>
      </c>
      <c r="O30" s="3">
        <f t="shared" ca="1" si="10"/>
        <v>7206367.6683608042</v>
      </c>
      <c r="P30" s="3">
        <f t="shared" si="2"/>
        <v>0</v>
      </c>
      <c r="Q30" s="3">
        <f t="shared" si="3"/>
        <v>0</v>
      </c>
      <c r="R30" s="3">
        <f t="shared" si="4"/>
        <v>-2958956.3975358699</v>
      </c>
      <c r="S30" s="3">
        <f t="shared" si="5"/>
        <v>59495027.773339681</v>
      </c>
      <c r="T30" s="3">
        <f t="shared" si="6"/>
        <v>3062515.5231862627</v>
      </c>
      <c r="U30" s="47">
        <f t="shared" ca="1" si="7"/>
        <v>66907779.636060923</v>
      </c>
      <c r="V30" s="47">
        <f>'Monthly Data'!G30</f>
        <v>80159.945525008487</v>
      </c>
      <c r="W30" s="47">
        <f>+'Monthly Data'!H30</f>
        <v>0</v>
      </c>
      <c r="X30" s="47">
        <f t="shared" ca="1" si="8"/>
        <v>66987939.581585929</v>
      </c>
    </row>
    <row r="31" spans="1:30">
      <c r="A31" s="2">
        <f>'Monthly Data'!A31</f>
        <v>43252</v>
      </c>
      <c r="B31">
        <f>'Monthly Data'!B31</f>
        <v>2018</v>
      </c>
      <c r="C31">
        <f>'Monthly Data'!C31</f>
        <v>6</v>
      </c>
      <c r="D31" s="3">
        <f>'Monthly Data'!I31</f>
        <v>75287720.622584835</v>
      </c>
      <c r="E31" s="3">
        <f t="shared" ref="E31:F31" ca="1" si="28">E19</f>
        <v>61.78217382617381</v>
      </c>
      <c r="F31" s="3">
        <f t="shared" ca="1" si="28"/>
        <v>92.933549595332209</v>
      </c>
      <c r="G31" s="3">
        <f>'Monthly Data'!EM31</f>
        <v>0</v>
      </c>
      <c r="H31" s="3">
        <f>'Monthly Data'!ER31</f>
        <v>0</v>
      </c>
      <c r="I31" s="3">
        <f>'Monthly Data'!EG31</f>
        <v>0</v>
      </c>
      <c r="J31" s="3">
        <f>'Monthly Data'!DQ31</f>
        <v>30</v>
      </c>
      <c r="K31">
        <f>'Monthly Data'!EH31</f>
        <v>30</v>
      </c>
      <c r="M31" s="436">
        <f t="shared" si="1"/>
        <v>-9235786.3729357291</v>
      </c>
      <c r="N31" s="3">
        <f t="shared" ca="1" si="9"/>
        <v>2761892.6276222966</v>
      </c>
      <c r="O31" s="3">
        <f t="shared" ca="1" si="10"/>
        <v>24842045.8719358</v>
      </c>
      <c r="P31" s="3">
        <f t="shared" si="2"/>
        <v>0</v>
      </c>
      <c r="Q31" s="3">
        <f t="shared" si="3"/>
        <v>0</v>
      </c>
      <c r="R31" s="3">
        <f t="shared" si="4"/>
        <v>0</v>
      </c>
      <c r="S31" s="3">
        <f t="shared" si="5"/>
        <v>57575833.329038396</v>
      </c>
      <c r="T31" s="3">
        <f t="shared" si="6"/>
        <v>3168119.5067444099</v>
      </c>
      <c r="U31" s="47">
        <f t="shared" ca="1" si="7"/>
        <v>79112104.962405175</v>
      </c>
      <c r="V31" s="47">
        <f>'Monthly Data'!G31</f>
        <v>88029.269653877011</v>
      </c>
      <c r="W31" s="47">
        <f>+'Monthly Data'!H31</f>
        <v>0</v>
      </c>
      <c r="X31" s="47">
        <f t="shared" ca="1" si="8"/>
        <v>79200134.232059047</v>
      </c>
    </row>
    <row r="32" spans="1:30">
      <c r="A32" s="2">
        <f>'Monthly Data'!A32</f>
        <v>43282</v>
      </c>
      <c r="B32">
        <f>'Monthly Data'!B32</f>
        <v>2018</v>
      </c>
      <c r="C32">
        <f>'Monthly Data'!C32</f>
        <v>7</v>
      </c>
      <c r="D32" s="3">
        <f>'Monthly Data'!I32</f>
        <v>104240943.19546361</v>
      </c>
      <c r="E32" s="3">
        <f t="shared" ref="E32:F32" ca="1" si="29">E20</f>
        <v>8.334479813664597</v>
      </c>
      <c r="F32" s="3">
        <f t="shared" ca="1" si="29"/>
        <v>180.79967025394512</v>
      </c>
      <c r="G32" s="3">
        <f>'Monthly Data'!EM32</f>
        <v>0</v>
      </c>
      <c r="H32" s="3">
        <f>'Monthly Data'!ER32</f>
        <v>0</v>
      </c>
      <c r="I32" s="3">
        <f>'Monthly Data'!EG32</f>
        <v>0</v>
      </c>
      <c r="J32" s="3">
        <f>'Monthly Data'!DQ32</f>
        <v>31</v>
      </c>
      <c r="K32">
        <f>'Monthly Data'!EH32</f>
        <v>31</v>
      </c>
      <c r="M32" s="436">
        <f t="shared" si="1"/>
        <v>-9235786.3729357291</v>
      </c>
      <c r="N32" s="3">
        <f t="shared" ca="1" si="9"/>
        <v>372582.2017398036</v>
      </c>
      <c r="O32" s="3">
        <f t="shared" ca="1" si="10"/>
        <v>48329518.474617302</v>
      </c>
      <c r="P32" s="3">
        <f t="shared" si="2"/>
        <v>0</v>
      </c>
      <c r="Q32" s="3">
        <f t="shared" si="3"/>
        <v>0</v>
      </c>
      <c r="R32" s="3">
        <f t="shared" si="4"/>
        <v>0</v>
      </c>
      <c r="S32" s="3">
        <f t="shared" si="5"/>
        <v>59495027.773339681</v>
      </c>
      <c r="T32" s="3">
        <f t="shared" si="6"/>
        <v>3273723.4903025567</v>
      </c>
      <c r="U32" s="47">
        <f t="shared" ca="1" si="7"/>
        <v>102235065.56706363</v>
      </c>
      <c r="V32" s="47">
        <f>'Monthly Data'!G32</f>
        <v>95898.593782745535</v>
      </c>
      <c r="W32" s="47">
        <f>+'Monthly Data'!H32</f>
        <v>0</v>
      </c>
      <c r="X32" s="47">
        <f t="shared" ca="1" si="8"/>
        <v>102330964.16084638</v>
      </c>
    </row>
    <row r="33" spans="1:24">
      <c r="A33" s="2">
        <f>'Monthly Data'!A33</f>
        <v>43313</v>
      </c>
      <c r="B33">
        <f>'Monthly Data'!B33</f>
        <v>2018</v>
      </c>
      <c r="C33">
        <f>'Monthly Data'!C33</f>
        <v>8</v>
      </c>
      <c r="D33" s="3">
        <f>'Monthly Data'!I33</f>
        <v>101741744.30447084</v>
      </c>
      <c r="E33" s="3">
        <f t="shared" ref="E33:F33" ca="1" si="30">E21</f>
        <v>21.054927536231883</v>
      </c>
      <c r="F33" s="3">
        <f t="shared" ca="1" si="30"/>
        <v>153.08475461133071</v>
      </c>
      <c r="G33" s="3">
        <f>'Monthly Data'!EM33</f>
        <v>0</v>
      </c>
      <c r="H33" s="3">
        <f>'Monthly Data'!ER33</f>
        <v>0</v>
      </c>
      <c r="I33" s="3">
        <f>'Monthly Data'!EG33</f>
        <v>0</v>
      </c>
      <c r="J33" s="3">
        <f>'Monthly Data'!DQ33</f>
        <v>31</v>
      </c>
      <c r="K33">
        <f>'Monthly Data'!EH33</f>
        <v>32</v>
      </c>
      <c r="M33" s="436">
        <f t="shared" si="1"/>
        <v>-9235786.3729357291</v>
      </c>
      <c r="N33" s="3">
        <f t="shared" ca="1" si="9"/>
        <v>941233.45839289424</v>
      </c>
      <c r="O33" s="3">
        <f t="shared" ca="1" si="10"/>
        <v>40921050.717508845</v>
      </c>
      <c r="P33" s="3">
        <f t="shared" si="2"/>
        <v>0</v>
      </c>
      <c r="Q33" s="3">
        <f t="shared" si="3"/>
        <v>0</v>
      </c>
      <c r="R33" s="3">
        <f t="shared" si="4"/>
        <v>0</v>
      </c>
      <c r="S33" s="3">
        <f t="shared" si="5"/>
        <v>59495027.773339681</v>
      </c>
      <c r="T33" s="3">
        <f t="shared" si="6"/>
        <v>3379327.4738607039</v>
      </c>
      <c r="U33" s="47">
        <f t="shared" ca="1" si="7"/>
        <v>95500853.050166398</v>
      </c>
      <c r="V33" s="47">
        <f>'Monthly Data'!G33</f>
        <v>103767.91791161406</v>
      </c>
      <c r="W33" s="47">
        <f>+'Monthly Data'!H33</f>
        <v>0</v>
      </c>
      <c r="X33" s="47">
        <f t="shared" ca="1" si="8"/>
        <v>95604620.968078017</v>
      </c>
    </row>
    <row r="34" spans="1:24">
      <c r="A34" s="2">
        <f>'Monthly Data'!A34</f>
        <v>43344</v>
      </c>
      <c r="B34">
        <f>'Monthly Data'!B34</f>
        <v>2018</v>
      </c>
      <c r="C34">
        <f>'Monthly Data'!C34</f>
        <v>9</v>
      </c>
      <c r="D34" s="3">
        <f>'Monthly Data'!I34</f>
        <v>80933172.722512841</v>
      </c>
      <c r="E34" s="3">
        <f t="shared" ref="E34:F34" ca="1" si="31">E22</f>
        <v>97.667119565217376</v>
      </c>
      <c r="F34" s="3">
        <f t="shared" ca="1" si="31"/>
        <v>58.118749999999991</v>
      </c>
      <c r="G34" s="3">
        <f>'Monthly Data'!EM34</f>
        <v>0</v>
      </c>
      <c r="H34" s="3">
        <f>'Monthly Data'!ER34</f>
        <v>0</v>
      </c>
      <c r="I34" s="3">
        <f>'Monthly Data'!EG34</f>
        <v>1</v>
      </c>
      <c r="J34" s="3">
        <f>'Monthly Data'!DQ34</f>
        <v>30</v>
      </c>
      <c r="K34">
        <f>'Monthly Data'!EH34</f>
        <v>33</v>
      </c>
      <c r="M34" s="436">
        <f t="shared" ref="M34:M65" si="32">$AB$8</f>
        <v>-9235786.3729357291</v>
      </c>
      <c r="N34" s="3">
        <f t="shared" ca="1" si="9"/>
        <v>4366082.9780321233</v>
      </c>
      <c r="O34" s="3">
        <f t="shared" ca="1" si="10"/>
        <v>15535709.760429574</v>
      </c>
      <c r="P34" s="3">
        <f t="shared" ref="P34:P65" si="33">G34*$AB$11</f>
        <v>0</v>
      </c>
      <c r="Q34" s="3">
        <f t="shared" ref="Q34:Q65" si="34">H34*$AB$12</f>
        <v>0</v>
      </c>
      <c r="R34" s="3">
        <f t="shared" ref="R34:R65" si="35">I34*$AB$13</f>
        <v>-2958956.3975358699</v>
      </c>
      <c r="S34" s="3">
        <f t="shared" ref="S34:S65" si="36">J34*$AB$14</f>
        <v>57575833.329038396</v>
      </c>
      <c r="T34" s="3">
        <f t="shared" ref="T34:T65" si="37">K34*$AB$15</f>
        <v>3484931.4574188511</v>
      </c>
      <c r="U34" s="47">
        <f t="shared" ca="1" si="7"/>
        <v>68767814.754447341</v>
      </c>
      <c r="V34" s="47">
        <f>'Monthly Data'!G34</f>
        <v>111637.24204048258</v>
      </c>
      <c r="W34" s="47">
        <f>+'Monthly Data'!H34</f>
        <v>0</v>
      </c>
      <c r="X34" s="47">
        <f t="shared" ca="1" si="8"/>
        <v>68879451.996487826</v>
      </c>
    </row>
    <row r="35" spans="1:24">
      <c r="A35" s="2">
        <f>'Monthly Data'!A35</f>
        <v>43374</v>
      </c>
      <c r="B35">
        <f>'Monthly Data'!B35</f>
        <v>2018</v>
      </c>
      <c r="C35">
        <f>'Monthly Data'!C35</f>
        <v>10</v>
      </c>
      <c r="D35" s="3">
        <f>'Monthly Data'!I35</f>
        <v>68881095.122476816</v>
      </c>
      <c r="E35" s="3">
        <f t="shared" ref="E35:F35" ca="1" si="38">E23</f>
        <v>292.46431159420291</v>
      </c>
      <c r="F35" s="3">
        <f t="shared" ca="1" si="38"/>
        <v>7.9825000000000035</v>
      </c>
      <c r="G35" s="3">
        <f>'Monthly Data'!EM35</f>
        <v>0</v>
      </c>
      <c r="H35" s="3">
        <f>'Monthly Data'!ER35</f>
        <v>0</v>
      </c>
      <c r="I35" s="3">
        <f>'Monthly Data'!EG35</f>
        <v>1</v>
      </c>
      <c r="J35" s="3">
        <f>'Monthly Data'!DQ35</f>
        <v>31</v>
      </c>
      <c r="K35">
        <f>'Monthly Data'!EH35</f>
        <v>34</v>
      </c>
      <c r="M35" s="436">
        <f t="shared" si="32"/>
        <v>-9235786.3729357291</v>
      </c>
      <c r="N35" s="3">
        <f t="shared" ca="1" si="9"/>
        <v>13074240.934080835</v>
      </c>
      <c r="O35" s="3">
        <f t="shared" ca="1" si="10"/>
        <v>2133800.2479858762</v>
      </c>
      <c r="P35" s="3">
        <f t="shared" si="33"/>
        <v>0</v>
      </c>
      <c r="Q35" s="3">
        <f t="shared" si="34"/>
        <v>0</v>
      </c>
      <c r="R35" s="3">
        <f t="shared" si="35"/>
        <v>-2958956.3975358699</v>
      </c>
      <c r="S35" s="3">
        <f t="shared" si="36"/>
        <v>59495027.773339681</v>
      </c>
      <c r="T35" s="3">
        <f t="shared" si="37"/>
        <v>3590535.4409769978</v>
      </c>
      <c r="U35" s="47">
        <f t="shared" ca="1" si="7"/>
        <v>66098861.625911795</v>
      </c>
      <c r="V35" s="47">
        <f>'Monthly Data'!G35</f>
        <v>119506.56616935111</v>
      </c>
      <c r="W35" s="47">
        <f>+'Monthly Data'!H35</f>
        <v>0</v>
      </c>
      <c r="X35" s="47">
        <f t="shared" ca="1" si="8"/>
        <v>66218368.192081146</v>
      </c>
    </row>
    <row r="36" spans="1:24">
      <c r="A36" s="2">
        <f>'Monthly Data'!A36</f>
        <v>43405</v>
      </c>
      <c r="B36">
        <f>'Monthly Data'!B36</f>
        <v>2018</v>
      </c>
      <c r="C36">
        <f>'Monthly Data'!C36</f>
        <v>11</v>
      </c>
      <c r="D36" s="3">
        <f>'Monthly Data'!I36</f>
        <v>76413986.069978595</v>
      </c>
      <c r="E36" s="3">
        <f t="shared" ref="E36:F36" ca="1" si="39">E24</f>
        <v>495.51408055712409</v>
      </c>
      <c r="F36" s="3">
        <f t="shared" ca="1" si="39"/>
        <v>0.15041666666666628</v>
      </c>
      <c r="G36" s="3">
        <f>'Monthly Data'!EM36</f>
        <v>0</v>
      </c>
      <c r="H36" s="3">
        <f>'Monthly Data'!ER36</f>
        <v>0</v>
      </c>
      <c r="I36" s="3">
        <f>'Monthly Data'!EG36</f>
        <v>1</v>
      </c>
      <c r="J36" s="3">
        <f>'Monthly Data'!DQ36</f>
        <v>30</v>
      </c>
      <c r="K36">
        <f>'Monthly Data'!EH36</f>
        <v>35</v>
      </c>
      <c r="M36" s="436">
        <f t="shared" si="32"/>
        <v>-9235786.3729357291</v>
      </c>
      <c r="N36" s="3">
        <f t="shared" ca="1" si="9"/>
        <v>22151319.72896003</v>
      </c>
      <c r="O36" s="3">
        <f t="shared" ca="1" si="10"/>
        <v>40207.844739685723</v>
      </c>
      <c r="P36" s="3">
        <f t="shared" si="33"/>
        <v>0</v>
      </c>
      <c r="Q36" s="3">
        <f t="shared" si="34"/>
        <v>0</v>
      </c>
      <c r="R36" s="3">
        <f t="shared" si="35"/>
        <v>-2958956.3975358699</v>
      </c>
      <c r="S36" s="3">
        <f t="shared" si="36"/>
        <v>57575833.329038396</v>
      </c>
      <c r="T36" s="3">
        <f t="shared" si="37"/>
        <v>3696139.4245351451</v>
      </c>
      <c r="U36" s="47">
        <f t="shared" ca="1" si="7"/>
        <v>71268757.556801647</v>
      </c>
      <c r="V36" s="47">
        <f>'Monthly Data'!G36</f>
        <v>127375.89029821963</v>
      </c>
      <c r="W36" s="47">
        <f>+'Monthly Data'!H36</f>
        <v>0</v>
      </c>
      <c r="X36" s="47">
        <f t="shared" ca="1" si="8"/>
        <v>71396133.447099864</v>
      </c>
    </row>
    <row r="37" spans="1:24">
      <c r="A37" s="2">
        <f>'Monthly Data'!A37</f>
        <v>43435</v>
      </c>
      <c r="B37">
        <f>'Monthly Data'!B37</f>
        <v>2018</v>
      </c>
      <c r="C37">
        <f>'Monthly Data'!C37</f>
        <v>12</v>
      </c>
      <c r="D37" s="3">
        <f>'Monthly Data'!I37</f>
        <v>86953259.180940479</v>
      </c>
      <c r="E37" s="3">
        <f t="shared" ref="E37:F37" ca="1" si="40">E25</f>
        <v>664.38541666666663</v>
      </c>
      <c r="F37" s="3">
        <f t="shared" ca="1" si="40"/>
        <v>0</v>
      </c>
      <c r="G37" s="3">
        <f>'Monthly Data'!EM37</f>
        <v>0</v>
      </c>
      <c r="H37" s="3">
        <f>'Monthly Data'!ER37</f>
        <v>0</v>
      </c>
      <c r="I37" s="3">
        <f>'Monthly Data'!EG37</f>
        <v>0</v>
      </c>
      <c r="J37" s="3">
        <f>'Monthly Data'!DQ37</f>
        <v>31</v>
      </c>
      <c r="K37">
        <f>'Monthly Data'!EH37</f>
        <v>36</v>
      </c>
      <c r="M37" s="436">
        <f t="shared" si="32"/>
        <v>-9235786.3729357291</v>
      </c>
      <c r="N37" s="3">
        <f t="shared" ca="1" si="9"/>
        <v>29700495.637368772</v>
      </c>
      <c r="O37" s="3">
        <f t="shared" ca="1" si="10"/>
        <v>0</v>
      </c>
      <c r="P37" s="3">
        <f t="shared" si="33"/>
        <v>0</v>
      </c>
      <c r="Q37" s="3">
        <f t="shared" si="34"/>
        <v>0</v>
      </c>
      <c r="R37" s="3">
        <f t="shared" si="35"/>
        <v>0</v>
      </c>
      <c r="S37" s="3">
        <f t="shared" si="36"/>
        <v>59495027.773339681</v>
      </c>
      <c r="T37" s="3">
        <f t="shared" si="37"/>
        <v>3801743.4080932918</v>
      </c>
      <c r="U37" s="47">
        <f t="shared" ca="1" si="7"/>
        <v>83761480.445866004</v>
      </c>
      <c r="V37" s="47">
        <f>'Monthly Data'!G37</f>
        <v>135245.21442708815</v>
      </c>
      <c r="W37" s="47">
        <f>+'Monthly Data'!H37</f>
        <v>0</v>
      </c>
      <c r="X37" s="47">
        <f t="shared" ca="1" si="8"/>
        <v>83896725.660293087</v>
      </c>
    </row>
    <row r="38" spans="1:24">
      <c r="A38" s="2">
        <f>'Monthly Data'!A38</f>
        <v>43466</v>
      </c>
      <c r="B38">
        <f>'Monthly Data'!B38</f>
        <v>2019</v>
      </c>
      <c r="C38">
        <f>'Monthly Data'!C38</f>
        <v>1</v>
      </c>
      <c r="D38" s="3">
        <f ca="1">'Monthly Data'!I38</f>
        <v>92974979.576348692</v>
      </c>
      <c r="E38" s="3">
        <f t="shared" ref="E38:F38" ca="1" si="41">E26</f>
        <v>752.78750000000002</v>
      </c>
      <c r="F38" s="3">
        <f t="shared" ca="1" si="41"/>
        <v>0</v>
      </c>
      <c r="G38" s="3">
        <f>'Monthly Data'!EM38</f>
        <v>0</v>
      </c>
      <c r="H38" s="3">
        <f>'Monthly Data'!ER38</f>
        <v>0</v>
      </c>
      <c r="I38" s="3">
        <f>'Monthly Data'!EG38</f>
        <v>0</v>
      </c>
      <c r="J38" s="3">
        <f>'Monthly Data'!DQ38</f>
        <v>31</v>
      </c>
      <c r="K38">
        <f>'Monthly Data'!EH38</f>
        <v>37</v>
      </c>
      <c r="M38" s="436">
        <f t="shared" si="32"/>
        <v>-9235786.3729357291</v>
      </c>
      <c r="N38" s="3">
        <f t="shared" ca="1" si="9"/>
        <v>33652397.08570125</v>
      </c>
      <c r="O38" s="3">
        <f t="shared" ca="1" si="10"/>
        <v>0</v>
      </c>
      <c r="P38" s="3">
        <f t="shared" si="33"/>
        <v>0</v>
      </c>
      <c r="Q38" s="3">
        <f t="shared" si="34"/>
        <v>0</v>
      </c>
      <c r="R38" s="3">
        <f t="shared" si="35"/>
        <v>0</v>
      </c>
      <c r="S38" s="3">
        <f t="shared" si="36"/>
        <v>59495027.773339681</v>
      </c>
      <c r="T38" s="3">
        <f t="shared" si="37"/>
        <v>3907347.391651439</v>
      </c>
      <c r="U38" s="47">
        <f t="shared" ca="1" si="7"/>
        <v>87818985.87775664</v>
      </c>
      <c r="V38" s="47">
        <f>'Monthly Data'!G38</f>
        <v>147242.69228408777</v>
      </c>
      <c r="W38" s="47">
        <f ca="1">+'Monthly Data'!H38</f>
        <v>144029.71798402505</v>
      </c>
      <c r="X38" s="47">
        <f t="shared" ca="1" si="8"/>
        <v>88110258.288024753</v>
      </c>
    </row>
    <row r="39" spans="1:24">
      <c r="A39" s="2">
        <f>'Monthly Data'!A39</f>
        <v>43497</v>
      </c>
      <c r="B39">
        <f>'Monthly Data'!B39</f>
        <v>2019</v>
      </c>
      <c r="C39">
        <f>'Monthly Data'!C39</f>
        <v>2</v>
      </c>
      <c r="D39" s="3">
        <f ca="1">'Monthly Data'!I39</f>
        <v>80960716.171621993</v>
      </c>
      <c r="E39" s="3">
        <f t="shared" ref="E39:F39" ca="1" si="42">E27</f>
        <v>660.7954166666666</v>
      </c>
      <c r="F39" s="3">
        <f t="shared" ca="1" si="42"/>
        <v>0</v>
      </c>
      <c r="G39" s="3">
        <f>'Monthly Data'!EM39</f>
        <v>0</v>
      </c>
      <c r="H39" s="3">
        <f>'Monthly Data'!ER39</f>
        <v>0</v>
      </c>
      <c r="I39" s="3">
        <f>'Monthly Data'!EG39</f>
        <v>0</v>
      </c>
      <c r="J39" s="3">
        <f>'Monthly Data'!DQ39</f>
        <v>28</v>
      </c>
      <c r="K39">
        <f>'Monthly Data'!EH39</f>
        <v>38</v>
      </c>
      <c r="M39" s="436">
        <f t="shared" si="32"/>
        <v>-9235786.3729357291</v>
      </c>
      <c r="N39" s="3">
        <f t="shared" ca="1" si="9"/>
        <v>29540009.304190192</v>
      </c>
      <c r="O39" s="3">
        <f t="shared" ca="1" si="10"/>
        <v>0</v>
      </c>
      <c r="P39" s="3">
        <f t="shared" si="33"/>
        <v>0</v>
      </c>
      <c r="Q39" s="3">
        <f t="shared" si="34"/>
        <v>0</v>
      </c>
      <c r="R39" s="3">
        <f t="shared" si="35"/>
        <v>0</v>
      </c>
      <c r="S39" s="3">
        <f t="shared" si="36"/>
        <v>53737444.440435842</v>
      </c>
      <c r="T39" s="3">
        <f t="shared" si="37"/>
        <v>4012951.3752095858</v>
      </c>
      <c r="U39" s="47">
        <f t="shared" ca="1" si="7"/>
        <v>78054618.746899888</v>
      </c>
      <c r="V39" s="47">
        <f>'Monthly Data'!G39</f>
        <v>151370.84601221883</v>
      </c>
      <c r="W39" s="47">
        <f ca="1">+'Monthly Data'!H39</f>
        <v>118059.83267503045</v>
      </c>
      <c r="X39" s="47">
        <f t="shared" ca="1" si="8"/>
        <v>78324049.425587133</v>
      </c>
    </row>
    <row r="40" spans="1:24">
      <c r="A40" s="2">
        <f>'Monthly Data'!A40</f>
        <v>43525</v>
      </c>
      <c r="B40">
        <f>'Monthly Data'!B40</f>
        <v>2019</v>
      </c>
      <c r="C40">
        <f>'Monthly Data'!C40</f>
        <v>3</v>
      </c>
      <c r="D40" s="3">
        <f ca="1">'Monthly Data'!I40</f>
        <v>81944600.822116658</v>
      </c>
      <c r="E40" s="3">
        <f t="shared" ref="E40:F40" ca="1" si="43">E28</f>
        <v>596.21590579710141</v>
      </c>
      <c r="F40" s="3">
        <f t="shared" ca="1" si="43"/>
        <v>0</v>
      </c>
      <c r="G40" s="3">
        <f>'Monthly Data'!EM40</f>
        <v>0</v>
      </c>
      <c r="H40" s="3">
        <f>'Monthly Data'!ER40</f>
        <v>0</v>
      </c>
      <c r="I40" s="3">
        <f>'Monthly Data'!EG40</f>
        <v>1</v>
      </c>
      <c r="J40" s="3">
        <f>'Monthly Data'!DQ40</f>
        <v>31</v>
      </c>
      <c r="K40">
        <f>'Monthly Data'!EH40</f>
        <v>39</v>
      </c>
      <c r="M40" s="436">
        <f t="shared" si="32"/>
        <v>-9235786.3729357291</v>
      </c>
      <c r="N40" s="3">
        <f t="shared" ca="1" si="9"/>
        <v>26653065.321481969</v>
      </c>
      <c r="O40" s="3">
        <f t="shared" ca="1" si="10"/>
        <v>0</v>
      </c>
      <c r="P40" s="3">
        <f t="shared" si="33"/>
        <v>0</v>
      </c>
      <c r="Q40" s="3">
        <f t="shared" si="34"/>
        <v>0</v>
      </c>
      <c r="R40" s="3">
        <f t="shared" si="35"/>
        <v>-2958956.3975358699</v>
      </c>
      <c r="S40" s="3">
        <f t="shared" si="36"/>
        <v>59495027.773339681</v>
      </c>
      <c r="T40" s="3">
        <f t="shared" si="37"/>
        <v>4118555.358767733</v>
      </c>
      <c r="U40" s="47">
        <f t="shared" ca="1" si="7"/>
        <v>78071905.683117777</v>
      </c>
      <c r="V40" s="47">
        <f>'Monthly Data'!G40</f>
        <v>155498.99974034989</v>
      </c>
      <c r="W40" s="47">
        <f ca="1">+'Monthly Data'!H40</f>
        <v>112917.56300835365</v>
      </c>
      <c r="X40" s="47">
        <f t="shared" ca="1" si="8"/>
        <v>78340322.245866477</v>
      </c>
    </row>
    <row r="41" spans="1:24">
      <c r="A41" s="2">
        <f>'Monthly Data'!A41</f>
        <v>43556</v>
      </c>
      <c r="B41">
        <f>'Monthly Data'!B41</f>
        <v>2019</v>
      </c>
      <c r="C41">
        <f>'Monthly Data'!C41</f>
        <v>4</v>
      </c>
      <c r="D41" s="3">
        <f ca="1">'Monthly Data'!I41</f>
        <v>68892798.428828225</v>
      </c>
      <c r="E41" s="3">
        <f t="shared" ref="E41:F41" ca="1" si="44">E29</f>
        <v>412.8885416666667</v>
      </c>
      <c r="F41" s="3">
        <f t="shared" ca="1" si="44"/>
        <v>0.4316666666666677</v>
      </c>
      <c r="G41" s="3">
        <f>'Monthly Data'!EM41</f>
        <v>0</v>
      </c>
      <c r="H41" s="3">
        <f>'Monthly Data'!ER41</f>
        <v>0</v>
      </c>
      <c r="I41" s="3">
        <f>'Monthly Data'!EG41</f>
        <v>1</v>
      </c>
      <c r="J41" s="3">
        <f>'Monthly Data'!DQ41</f>
        <v>30</v>
      </c>
      <c r="K41">
        <f>'Monthly Data'!EH41</f>
        <v>40</v>
      </c>
      <c r="M41" s="436">
        <f t="shared" si="32"/>
        <v>-9235786.3729357291</v>
      </c>
      <c r="N41" s="3">
        <f t="shared" ca="1" si="9"/>
        <v>18457651.271179151</v>
      </c>
      <c r="O41" s="3">
        <f t="shared" ca="1" si="10"/>
        <v>115388.71786790752</v>
      </c>
      <c r="P41" s="3">
        <f t="shared" si="33"/>
        <v>0</v>
      </c>
      <c r="Q41" s="3">
        <f t="shared" si="34"/>
        <v>0</v>
      </c>
      <c r="R41" s="3">
        <f t="shared" si="35"/>
        <v>-2958956.3975358699</v>
      </c>
      <c r="S41" s="3">
        <f t="shared" si="36"/>
        <v>57575833.329038396</v>
      </c>
      <c r="T41" s="3">
        <f t="shared" si="37"/>
        <v>4224159.3423258802</v>
      </c>
      <c r="U41" s="47">
        <f t="shared" ca="1" si="7"/>
        <v>68178289.88993974</v>
      </c>
      <c r="V41" s="47">
        <f>'Monthly Data'!G41</f>
        <v>159627.15346848097</v>
      </c>
      <c r="W41" s="47">
        <f ca="1">+'Monthly Data'!H41</f>
        <v>67709.756674930803</v>
      </c>
      <c r="X41" s="47">
        <f t="shared" ca="1" si="8"/>
        <v>68405626.800083145</v>
      </c>
    </row>
    <row r="42" spans="1:24">
      <c r="A42" s="2">
        <f>'Monthly Data'!A42</f>
        <v>43586</v>
      </c>
      <c r="B42">
        <f>'Monthly Data'!B42</f>
        <v>2019</v>
      </c>
      <c r="C42">
        <f>'Monthly Data'!C42</f>
        <v>5</v>
      </c>
      <c r="D42" s="3">
        <f ca="1">'Monthly Data'!I42</f>
        <v>64103490.270333305</v>
      </c>
      <c r="E42" s="3">
        <f t="shared" ref="E42:F42" ca="1" si="45">E30</f>
        <v>208.90012508544086</v>
      </c>
      <c r="F42" s="3">
        <f t="shared" ca="1" si="45"/>
        <v>26.958863636363635</v>
      </c>
      <c r="G42" s="3">
        <f>'Monthly Data'!EM42</f>
        <v>0</v>
      </c>
      <c r="H42" s="3">
        <f>'Monthly Data'!ER42</f>
        <v>0</v>
      </c>
      <c r="I42" s="3">
        <f>'Monthly Data'!EG42</f>
        <v>1</v>
      </c>
      <c r="J42" s="3">
        <f>'Monthly Data'!DQ42</f>
        <v>31</v>
      </c>
      <c r="K42">
        <f>'Monthly Data'!EH42</f>
        <v>41</v>
      </c>
      <c r="M42" s="436">
        <f t="shared" si="32"/>
        <v>-9235786.3729357291</v>
      </c>
      <c r="N42" s="3">
        <f t="shared" ca="1" si="9"/>
        <v>9338611.4416457731</v>
      </c>
      <c r="O42" s="3">
        <f t="shared" ca="1" si="10"/>
        <v>7206367.6683608042</v>
      </c>
      <c r="P42" s="3">
        <f t="shared" si="33"/>
        <v>0</v>
      </c>
      <c r="Q42" s="3">
        <f t="shared" si="34"/>
        <v>0</v>
      </c>
      <c r="R42" s="3">
        <f t="shared" si="35"/>
        <v>-2958956.3975358699</v>
      </c>
      <c r="S42" s="3">
        <f t="shared" si="36"/>
        <v>59495027.773339681</v>
      </c>
      <c r="T42" s="3">
        <f t="shared" si="37"/>
        <v>4329763.3258840265</v>
      </c>
      <c r="U42" s="47">
        <f t="shared" ca="1" si="7"/>
        <v>68175027.438758686</v>
      </c>
      <c r="V42" s="47">
        <f>'Monthly Data'!G42</f>
        <v>163755.30719661203</v>
      </c>
      <c r="W42" s="47">
        <f ca="1">+'Monthly Data'!H42</f>
        <v>37955.933262377242</v>
      </c>
      <c r="X42" s="47">
        <f t="shared" ca="1" si="8"/>
        <v>68376738.679217681</v>
      </c>
    </row>
    <row r="43" spans="1:24">
      <c r="A43" s="2">
        <f>'Monthly Data'!A43</f>
        <v>43617</v>
      </c>
      <c r="B43">
        <f>'Monthly Data'!B43</f>
        <v>2019</v>
      </c>
      <c r="C43">
        <f>'Monthly Data'!C43</f>
        <v>6</v>
      </c>
      <c r="D43" s="3">
        <f ca="1">'Monthly Data'!I43</f>
        <v>71009900.440702423</v>
      </c>
      <c r="E43" s="3">
        <f t="shared" ref="E43:F43" ca="1" si="46">E31</f>
        <v>61.78217382617381</v>
      </c>
      <c r="F43" s="3">
        <f t="shared" ca="1" si="46"/>
        <v>92.933549595332209</v>
      </c>
      <c r="G43" s="3">
        <f>'Monthly Data'!EM43</f>
        <v>0</v>
      </c>
      <c r="H43" s="3">
        <f>'Monthly Data'!ER43</f>
        <v>0</v>
      </c>
      <c r="I43" s="3">
        <f>'Monthly Data'!EG43</f>
        <v>0</v>
      </c>
      <c r="J43" s="3">
        <f>'Monthly Data'!DQ43</f>
        <v>30</v>
      </c>
      <c r="K43">
        <f>'Monthly Data'!EH43</f>
        <v>42</v>
      </c>
      <c r="M43" s="436">
        <f t="shared" si="32"/>
        <v>-9235786.3729357291</v>
      </c>
      <c r="N43" s="3">
        <f t="shared" ca="1" si="9"/>
        <v>2761892.6276222966</v>
      </c>
      <c r="O43" s="3">
        <f t="shared" ca="1" si="10"/>
        <v>24842045.8719358</v>
      </c>
      <c r="P43" s="3">
        <f t="shared" si="33"/>
        <v>0</v>
      </c>
      <c r="Q43" s="3">
        <f t="shared" si="34"/>
        <v>0</v>
      </c>
      <c r="R43" s="3">
        <f t="shared" si="35"/>
        <v>0</v>
      </c>
      <c r="S43" s="3">
        <f t="shared" si="36"/>
        <v>57575833.329038396</v>
      </c>
      <c r="T43" s="3">
        <f t="shared" si="37"/>
        <v>4435367.3094421737</v>
      </c>
      <c r="U43" s="47">
        <f t="shared" ref="U43:U97" ca="1" si="47">SUM(M43:T43)</f>
        <v>80379352.765102938</v>
      </c>
      <c r="V43" s="47">
        <f>'Monthly Data'!G43</f>
        <v>167883.46092474312</v>
      </c>
      <c r="W43" s="47">
        <f ca="1">+'Monthly Data'!H43</f>
        <v>8517.1005447323132</v>
      </c>
      <c r="X43" s="47">
        <f t="shared" ref="X43:X105" ca="1" si="48">U43+V43+W43</f>
        <v>80555753.326572418</v>
      </c>
    </row>
    <row r="44" spans="1:24">
      <c r="A44" s="2">
        <f>'Monthly Data'!A44</f>
        <v>43647</v>
      </c>
      <c r="B44">
        <f>'Monthly Data'!B44</f>
        <v>2019</v>
      </c>
      <c r="C44">
        <f>'Monthly Data'!C44</f>
        <v>7</v>
      </c>
      <c r="D44" s="3">
        <f ca="1">'Monthly Data'!I44</f>
        <v>106979054.370225</v>
      </c>
      <c r="E44" s="3">
        <f t="shared" ref="E44:F44" ca="1" si="49">E32</f>
        <v>8.334479813664597</v>
      </c>
      <c r="F44" s="3">
        <f t="shared" ca="1" si="49"/>
        <v>180.79967025394512</v>
      </c>
      <c r="G44" s="3">
        <f>'Monthly Data'!EM44</f>
        <v>0</v>
      </c>
      <c r="H44" s="3">
        <f>'Monthly Data'!ER44</f>
        <v>0</v>
      </c>
      <c r="I44" s="3">
        <f>'Monthly Data'!EG44</f>
        <v>0</v>
      </c>
      <c r="J44" s="3">
        <f>'Monthly Data'!DQ44</f>
        <v>31</v>
      </c>
      <c r="K44">
        <f>'Monthly Data'!EH44</f>
        <v>43</v>
      </c>
      <c r="M44" s="436">
        <f t="shared" si="32"/>
        <v>-9235786.3729357291</v>
      </c>
      <c r="N44" s="3">
        <f t="shared" ca="1" si="9"/>
        <v>372582.2017398036</v>
      </c>
      <c r="O44" s="3">
        <f t="shared" ca="1" si="10"/>
        <v>48329518.474617302</v>
      </c>
      <c r="P44" s="3">
        <f t="shared" si="33"/>
        <v>0</v>
      </c>
      <c r="Q44" s="3">
        <f t="shared" si="34"/>
        <v>0</v>
      </c>
      <c r="R44" s="3">
        <f t="shared" si="35"/>
        <v>0</v>
      </c>
      <c r="S44" s="3">
        <f t="shared" si="36"/>
        <v>59495027.773339681</v>
      </c>
      <c r="T44" s="3">
        <f t="shared" si="37"/>
        <v>4540971.2930003209</v>
      </c>
      <c r="U44" s="47">
        <f t="shared" ca="1" si="47"/>
        <v>103502313.36976139</v>
      </c>
      <c r="V44" s="47">
        <f>'Monthly Data'!G44</f>
        <v>172011.61465287418</v>
      </c>
      <c r="W44" s="47">
        <f ca="1">+'Monthly Data'!H44</f>
        <v>0</v>
      </c>
      <c r="X44" s="47">
        <f t="shared" ca="1" si="48"/>
        <v>103674324.98441426</v>
      </c>
    </row>
    <row r="45" spans="1:24">
      <c r="A45" s="2">
        <f>'Monthly Data'!A45</f>
        <v>43678</v>
      </c>
      <c r="B45">
        <f>'Monthly Data'!B45</f>
        <v>2019</v>
      </c>
      <c r="C45">
        <f>'Monthly Data'!C45</f>
        <v>8</v>
      </c>
      <c r="D45" s="3">
        <f ca="1">'Monthly Data'!I45</f>
        <v>90017025.946009278</v>
      </c>
      <c r="E45" s="3">
        <f t="shared" ref="E45:F45" ca="1" si="50">E33</f>
        <v>21.054927536231883</v>
      </c>
      <c r="F45" s="3">
        <f t="shared" ca="1" si="50"/>
        <v>153.08475461133071</v>
      </c>
      <c r="G45" s="3">
        <f>'Monthly Data'!EM45</f>
        <v>0</v>
      </c>
      <c r="H45" s="3">
        <f>'Monthly Data'!ER45</f>
        <v>0</v>
      </c>
      <c r="I45" s="3">
        <f>'Monthly Data'!EG45</f>
        <v>0</v>
      </c>
      <c r="J45" s="3">
        <f>'Monthly Data'!DQ45</f>
        <v>31</v>
      </c>
      <c r="K45">
        <f>'Monthly Data'!EH45</f>
        <v>44</v>
      </c>
      <c r="M45" s="436">
        <f t="shared" si="32"/>
        <v>-9235786.3729357291</v>
      </c>
      <c r="N45" s="3">
        <f t="shared" ca="1" si="9"/>
        <v>941233.45839289424</v>
      </c>
      <c r="O45" s="3">
        <f t="shared" ca="1" si="10"/>
        <v>40921050.717508845</v>
      </c>
      <c r="P45" s="3">
        <f t="shared" si="33"/>
        <v>0</v>
      </c>
      <c r="Q45" s="3">
        <f t="shared" si="34"/>
        <v>0</v>
      </c>
      <c r="R45" s="3">
        <f t="shared" si="35"/>
        <v>0</v>
      </c>
      <c r="S45" s="3">
        <f t="shared" si="36"/>
        <v>59495027.773339681</v>
      </c>
      <c r="T45" s="3">
        <f t="shared" si="37"/>
        <v>4646575.2765584681</v>
      </c>
      <c r="U45" s="47">
        <f t="shared" ca="1" si="47"/>
        <v>96768100.852864161</v>
      </c>
      <c r="V45" s="47">
        <f>'Monthly Data'!G45</f>
        <v>176139.76838100527</v>
      </c>
      <c r="W45" s="47">
        <f ca="1">+'Monthly Data'!H45</f>
        <v>857.94264227811993</v>
      </c>
      <c r="X45" s="47">
        <f t="shared" ca="1" si="48"/>
        <v>96945098.563887432</v>
      </c>
    </row>
    <row r="46" spans="1:24">
      <c r="A46" s="2">
        <f>'Monthly Data'!A46</f>
        <v>43709</v>
      </c>
      <c r="B46">
        <f>'Monthly Data'!B46</f>
        <v>2019</v>
      </c>
      <c r="C46">
        <f>'Monthly Data'!C46</f>
        <v>9</v>
      </c>
      <c r="D46" s="3">
        <f ca="1">'Monthly Data'!I46</f>
        <v>66879797.504897155</v>
      </c>
      <c r="E46" s="3">
        <f t="shared" ref="E46:F46" ca="1" si="51">E34</f>
        <v>97.667119565217376</v>
      </c>
      <c r="F46" s="3">
        <f t="shared" ca="1" si="51"/>
        <v>58.118749999999991</v>
      </c>
      <c r="G46" s="3">
        <f>'Monthly Data'!EM46</f>
        <v>0</v>
      </c>
      <c r="H46" s="3">
        <f>'Monthly Data'!ER46</f>
        <v>0</v>
      </c>
      <c r="I46" s="3">
        <f>'Monthly Data'!EG46</f>
        <v>1</v>
      </c>
      <c r="J46" s="3">
        <f>'Monthly Data'!DQ46</f>
        <v>30</v>
      </c>
      <c r="K46">
        <f>'Monthly Data'!EH46</f>
        <v>45</v>
      </c>
      <c r="M46" s="436">
        <f t="shared" si="32"/>
        <v>-9235786.3729357291</v>
      </c>
      <c r="N46" s="3">
        <f t="shared" ca="1" si="9"/>
        <v>4366082.9780321233</v>
      </c>
      <c r="O46" s="3">
        <f t="shared" ca="1" si="10"/>
        <v>15535709.760429574</v>
      </c>
      <c r="P46" s="3">
        <f t="shared" si="33"/>
        <v>0</v>
      </c>
      <c r="Q46" s="3">
        <f t="shared" si="34"/>
        <v>0</v>
      </c>
      <c r="R46" s="3">
        <f t="shared" si="35"/>
        <v>-2958956.3975358699</v>
      </c>
      <c r="S46" s="3">
        <f t="shared" si="36"/>
        <v>57575833.329038396</v>
      </c>
      <c r="T46" s="3">
        <f t="shared" si="37"/>
        <v>4752179.2601166144</v>
      </c>
      <c r="U46" s="47">
        <f t="shared" ca="1" si="47"/>
        <v>70035062.557145119</v>
      </c>
      <c r="V46" s="47">
        <f>'Monthly Data'!G46</f>
        <v>180267.92210913636</v>
      </c>
      <c r="W46" s="47">
        <f ca="1">+'Monthly Data'!H46</f>
        <v>11459.497552868213</v>
      </c>
      <c r="X46" s="47">
        <f t="shared" ca="1" si="48"/>
        <v>70226789.976807132</v>
      </c>
    </row>
    <row r="47" spans="1:24">
      <c r="A47" s="2">
        <f>'Monthly Data'!A47</f>
        <v>43739</v>
      </c>
      <c r="B47">
        <f>'Monthly Data'!B47</f>
        <v>2019</v>
      </c>
      <c r="C47">
        <f>'Monthly Data'!C47</f>
        <v>10</v>
      </c>
      <c r="D47" s="3">
        <f ca="1">'Monthly Data'!I47</f>
        <v>65776852.704559915</v>
      </c>
      <c r="E47" s="3">
        <f t="shared" ref="E47:F47" ca="1" si="52">E35</f>
        <v>292.46431159420291</v>
      </c>
      <c r="F47" s="3">
        <f t="shared" ca="1" si="52"/>
        <v>7.9825000000000035</v>
      </c>
      <c r="G47" s="3">
        <f>'Monthly Data'!EM47</f>
        <v>0</v>
      </c>
      <c r="H47" s="3">
        <f>'Monthly Data'!ER47</f>
        <v>0</v>
      </c>
      <c r="I47" s="3">
        <f>'Monthly Data'!EG47</f>
        <v>1</v>
      </c>
      <c r="J47" s="3">
        <f>'Monthly Data'!DQ47</f>
        <v>31</v>
      </c>
      <c r="K47">
        <f>'Monthly Data'!EH47</f>
        <v>46</v>
      </c>
      <c r="M47" s="436">
        <f t="shared" si="32"/>
        <v>-9235786.3729357291</v>
      </c>
      <c r="N47" s="3">
        <f t="shared" ca="1" si="9"/>
        <v>13074240.934080835</v>
      </c>
      <c r="O47" s="3">
        <f t="shared" ca="1" si="10"/>
        <v>2133800.2479858762</v>
      </c>
      <c r="P47" s="3">
        <f t="shared" si="33"/>
        <v>0</v>
      </c>
      <c r="Q47" s="3">
        <f t="shared" si="34"/>
        <v>0</v>
      </c>
      <c r="R47" s="3">
        <f t="shared" si="35"/>
        <v>-2958956.3975358699</v>
      </c>
      <c r="S47" s="3">
        <f t="shared" si="36"/>
        <v>59495027.773339681</v>
      </c>
      <c r="T47" s="3">
        <f t="shared" si="37"/>
        <v>4857783.2436747616</v>
      </c>
      <c r="U47" s="47">
        <f t="shared" ca="1" si="47"/>
        <v>67366109.42860955</v>
      </c>
      <c r="V47" s="47">
        <f>'Monthly Data'!G47</f>
        <v>184396.07583726742</v>
      </c>
      <c r="W47" s="47">
        <f ca="1">+'Monthly Data'!H47</f>
        <v>45018.520333422457</v>
      </c>
      <c r="X47" s="47">
        <f t="shared" ca="1" si="48"/>
        <v>67595524.024780244</v>
      </c>
    </row>
    <row r="48" spans="1:24">
      <c r="A48" s="2">
        <f>'Monthly Data'!A48</f>
        <v>43770</v>
      </c>
      <c r="B48">
        <f>'Monthly Data'!B48</f>
        <v>2019</v>
      </c>
      <c r="C48">
        <f>'Monthly Data'!C48</f>
        <v>11</v>
      </c>
      <c r="D48" s="3">
        <f ca="1">'Monthly Data'!I48</f>
        <v>77002857.93993023</v>
      </c>
      <c r="E48" s="3">
        <f t="shared" ref="E48:F48" ca="1" si="53">E36</f>
        <v>495.51408055712409</v>
      </c>
      <c r="F48" s="3">
        <f t="shared" ca="1" si="53"/>
        <v>0.15041666666666628</v>
      </c>
      <c r="G48" s="3">
        <f>'Monthly Data'!EM48</f>
        <v>0</v>
      </c>
      <c r="H48" s="3">
        <f>'Monthly Data'!ER48</f>
        <v>0</v>
      </c>
      <c r="I48" s="3">
        <f>'Monthly Data'!EG48</f>
        <v>1</v>
      </c>
      <c r="J48" s="3">
        <f>'Monthly Data'!DQ48</f>
        <v>30</v>
      </c>
      <c r="K48">
        <f>'Monthly Data'!EH48</f>
        <v>47</v>
      </c>
      <c r="M48" s="436">
        <f t="shared" si="32"/>
        <v>-9235786.3729357291</v>
      </c>
      <c r="N48" s="3">
        <f t="shared" ca="1" si="9"/>
        <v>22151319.72896003</v>
      </c>
      <c r="O48" s="3">
        <f t="shared" ca="1" si="10"/>
        <v>40207.844739685723</v>
      </c>
      <c r="P48" s="3">
        <f t="shared" si="33"/>
        <v>0</v>
      </c>
      <c r="Q48" s="3">
        <f t="shared" si="34"/>
        <v>0</v>
      </c>
      <c r="R48" s="3">
        <f t="shared" si="35"/>
        <v>-2958956.3975358699</v>
      </c>
      <c r="S48" s="3">
        <f t="shared" si="36"/>
        <v>57575833.329038396</v>
      </c>
      <c r="T48" s="3">
        <f t="shared" si="37"/>
        <v>4963387.2272329088</v>
      </c>
      <c r="U48" s="47">
        <f t="shared" ca="1" si="47"/>
        <v>72536005.35949941</v>
      </c>
      <c r="V48" s="47">
        <f>'Monthly Data'!G48</f>
        <v>188524.22956539848</v>
      </c>
      <c r="W48" s="47">
        <f ca="1">+'Monthly Data'!H48</f>
        <v>97823.928146535138</v>
      </c>
      <c r="X48" s="47">
        <f t="shared" ca="1" si="48"/>
        <v>72822353.517211348</v>
      </c>
    </row>
    <row r="49" spans="1:24">
      <c r="A49" s="2">
        <f>'Monthly Data'!A49</f>
        <v>43800</v>
      </c>
      <c r="B49">
        <f>'Monthly Data'!B49</f>
        <v>2019</v>
      </c>
      <c r="C49">
        <f>'Monthly Data'!C49</f>
        <v>12</v>
      </c>
      <c r="D49" s="3">
        <f ca="1">'Monthly Data'!I49</f>
        <v>88307425.610101163</v>
      </c>
      <c r="E49" s="3">
        <f t="shared" ref="E49:F49" ca="1" si="54">E37</f>
        <v>664.38541666666663</v>
      </c>
      <c r="F49" s="3">
        <f t="shared" ca="1" si="54"/>
        <v>0</v>
      </c>
      <c r="G49" s="3">
        <f>'Monthly Data'!EM49</f>
        <v>0</v>
      </c>
      <c r="H49" s="3">
        <f>'Monthly Data'!ER49</f>
        <v>0</v>
      </c>
      <c r="I49" s="3">
        <f>'Monthly Data'!EG49</f>
        <v>0</v>
      </c>
      <c r="J49" s="3">
        <f>'Monthly Data'!DQ49</f>
        <v>31</v>
      </c>
      <c r="K49">
        <f>'Monthly Data'!EH49</f>
        <v>48</v>
      </c>
      <c r="M49" s="436">
        <f t="shared" si="32"/>
        <v>-9235786.3729357291</v>
      </c>
      <c r="N49" s="3">
        <f t="shared" ca="1" si="9"/>
        <v>29700495.637368772</v>
      </c>
      <c r="O49" s="3">
        <f t="shared" ca="1" si="10"/>
        <v>0</v>
      </c>
      <c r="P49" s="3">
        <f t="shared" si="33"/>
        <v>0</v>
      </c>
      <c r="Q49" s="3">
        <f t="shared" si="34"/>
        <v>0</v>
      </c>
      <c r="R49" s="3">
        <f t="shared" si="35"/>
        <v>0</v>
      </c>
      <c r="S49" s="3">
        <f t="shared" si="36"/>
        <v>59495027.773339681</v>
      </c>
      <c r="T49" s="3">
        <f t="shared" si="37"/>
        <v>5068991.210791056</v>
      </c>
      <c r="U49" s="47">
        <f t="shared" ca="1" si="47"/>
        <v>85028728.248563766</v>
      </c>
      <c r="V49" s="47">
        <f>'Monthly Data'!G49</f>
        <v>192652.38329352956</v>
      </c>
      <c r="W49" s="47">
        <f ca="1">+'Monthly Data'!H49</f>
        <v>113466.18462624091</v>
      </c>
      <c r="X49" s="47">
        <f t="shared" ca="1" si="48"/>
        <v>85334846.816483527</v>
      </c>
    </row>
    <row r="50" spans="1:24">
      <c r="A50" s="2">
        <f>'Monthly Data'!A50</f>
        <v>43831</v>
      </c>
      <c r="B50">
        <f>'Monthly Data'!B50</f>
        <v>2020</v>
      </c>
      <c r="C50">
        <f>'Monthly Data'!C50</f>
        <v>1</v>
      </c>
      <c r="D50" s="3">
        <f ca="1">'Monthly Data'!I50</f>
        <v>85845545.70260489</v>
      </c>
      <c r="E50" s="3">
        <f t="shared" ref="E50:F50" ca="1" si="55">E38</f>
        <v>752.78750000000002</v>
      </c>
      <c r="F50" s="3">
        <f t="shared" ca="1" si="55"/>
        <v>0</v>
      </c>
      <c r="G50" s="3">
        <f>'Monthly Data'!EM50</f>
        <v>0</v>
      </c>
      <c r="H50" s="3">
        <f>'Monthly Data'!ER50</f>
        <v>0</v>
      </c>
      <c r="I50" s="3">
        <f>'Monthly Data'!EG50</f>
        <v>0</v>
      </c>
      <c r="J50" s="3">
        <f>'Monthly Data'!DQ50</f>
        <v>31</v>
      </c>
      <c r="K50">
        <f>'Monthly Data'!EH50</f>
        <v>49</v>
      </c>
      <c r="M50" s="436">
        <f t="shared" si="32"/>
        <v>-9235786.3729357291</v>
      </c>
      <c r="N50" s="3">
        <f t="shared" ca="1" si="9"/>
        <v>33652397.08570125</v>
      </c>
      <c r="O50" s="3">
        <f t="shared" ca="1" si="10"/>
        <v>0</v>
      </c>
      <c r="P50" s="3">
        <f t="shared" si="33"/>
        <v>0</v>
      </c>
      <c r="Q50" s="3">
        <f t="shared" si="34"/>
        <v>0</v>
      </c>
      <c r="R50" s="3">
        <f t="shared" si="35"/>
        <v>0</v>
      </c>
      <c r="S50" s="3">
        <f t="shared" si="36"/>
        <v>59495027.773339681</v>
      </c>
      <c r="T50" s="3">
        <f t="shared" si="37"/>
        <v>5174595.1943492033</v>
      </c>
      <c r="U50" s="47">
        <f t="shared" ca="1" si="47"/>
        <v>89086233.680454403</v>
      </c>
      <c r="V50" s="47">
        <f>'Monthly Data'!G50</f>
        <v>201552.83804442821</v>
      </c>
      <c r="W50" s="47">
        <f ca="1">+'Monthly Data'!H50</f>
        <v>486072.45699699281</v>
      </c>
      <c r="X50" s="47">
        <f t="shared" ca="1" si="48"/>
        <v>89773858.97549583</v>
      </c>
    </row>
    <row r="51" spans="1:24">
      <c r="A51" s="2">
        <f>'Monthly Data'!A51</f>
        <v>43862</v>
      </c>
      <c r="B51">
        <f>'Monthly Data'!B51</f>
        <v>2020</v>
      </c>
      <c r="C51">
        <f>'Monthly Data'!C51</f>
        <v>2</v>
      </c>
      <c r="D51" s="3">
        <f ca="1">'Monthly Data'!I51</f>
        <v>79911114.387225032</v>
      </c>
      <c r="E51" s="3">
        <f t="shared" ref="E51:F51" ca="1" si="56">E39</f>
        <v>660.7954166666666</v>
      </c>
      <c r="F51" s="3">
        <f t="shared" ca="1" si="56"/>
        <v>0</v>
      </c>
      <c r="G51" s="3">
        <f>'Monthly Data'!EM51</f>
        <v>0</v>
      </c>
      <c r="H51" s="3">
        <f>'Monthly Data'!ER51</f>
        <v>0</v>
      </c>
      <c r="I51" s="3">
        <f>'Monthly Data'!EG51</f>
        <v>0</v>
      </c>
      <c r="J51" s="3">
        <f>'Monthly Data'!DQ51</f>
        <v>29</v>
      </c>
      <c r="K51">
        <f>'Monthly Data'!EH51</f>
        <v>50</v>
      </c>
      <c r="M51" s="436">
        <f t="shared" si="32"/>
        <v>-9235786.3729357291</v>
      </c>
      <c r="N51" s="3">
        <f t="shared" ca="1" si="9"/>
        <v>29540009.304190192</v>
      </c>
      <c r="O51" s="3">
        <f t="shared" ca="1" si="10"/>
        <v>0</v>
      </c>
      <c r="P51" s="3">
        <f t="shared" si="33"/>
        <v>0</v>
      </c>
      <c r="Q51" s="3">
        <f t="shared" si="34"/>
        <v>0</v>
      </c>
      <c r="R51" s="3">
        <f t="shared" si="35"/>
        <v>0</v>
      </c>
      <c r="S51" s="3">
        <f t="shared" si="36"/>
        <v>55656638.884737119</v>
      </c>
      <c r="T51" s="3">
        <f t="shared" si="37"/>
        <v>5280199.1779073495</v>
      </c>
      <c r="U51" s="47">
        <f t="shared" ca="1" si="47"/>
        <v>81241060.993898928</v>
      </c>
      <c r="V51" s="47">
        <f>'Monthly Data'!G51</f>
        <v>206325.13906719582</v>
      </c>
      <c r="W51" s="47">
        <f ca="1">+'Monthly Data'!H51</f>
        <v>479563.23381079832</v>
      </c>
      <c r="X51" s="47">
        <f t="shared" ca="1" si="48"/>
        <v>81926949.366776928</v>
      </c>
    </row>
    <row r="52" spans="1:24">
      <c r="A52" s="2">
        <f>'Monthly Data'!A52</f>
        <v>43891</v>
      </c>
      <c r="B52">
        <f>'Monthly Data'!B52</f>
        <v>2020</v>
      </c>
      <c r="C52">
        <f>'Monthly Data'!C52</f>
        <v>3</v>
      </c>
      <c r="D52" s="3">
        <f ca="1">'Monthly Data'!I52</f>
        <v>79634118.914338961</v>
      </c>
      <c r="E52" s="3">
        <f t="shared" ref="E52:F52" ca="1" si="57">E40</f>
        <v>596.21590579710141</v>
      </c>
      <c r="F52" s="3">
        <f t="shared" ca="1" si="57"/>
        <v>0</v>
      </c>
      <c r="G52" s="3">
        <f>'Monthly Data'!EM52</f>
        <v>271.78541666666672</v>
      </c>
      <c r="H52" s="3">
        <f>'Monthly Data'!ER52</f>
        <v>0</v>
      </c>
      <c r="I52" s="3">
        <f>'Monthly Data'!EG52</f>
        <v>1</v>
      </c>
      <c r="J52" s="3">
        <f>'Monthly Data'!DQ52</f>
        <v>31</v>
      </c>
      <c r="K52">
        <f>'Monthly Data'!EH52</f>
        <v>51</v>
      </c>
      <c r="M52" s="436">
        <f t="shared" si="32"/>
        <v>-9235786.3729357291</v>
      </c>
      <c r="N52" s="3">
        <f t="shared" ca="1" si="9"/>
        <v>26653065.321481969</v>
      </c>
      <c r="O52" s="3">
        <f t="shared" ca="1" si="10"/>
        <v>0</v>
      </c>
      <c r="P52" s="3">
        <f t="shared" si="33"/>
        <v>2441467.8265136774</v>
      </c>
      <c r="Q52" s="3">
        <f t="shared" si="34"/>
        <v>0</v>
      </c>
      <c r="R52" s="3">
        <f t="shared" si="35"/>
        <v>-2958956.3975358699</v>
      </c>
      <c r="S52" s="3">
        <f t="shared" si="36"/>
        <v>59495027.773339681</v>
      </c>
      <c r="T52" s="3">
        <f t="shared" si="37"/>
        <v>5385803.1614654968</v>
      </c>
      <c r="U52" s="47">
        <f t="shared" ca="1" si="47"/>
        <v>81780621.312329233</v>
      </c>
      <c r="V52" s="47">
        <f>'Monthly Data'!G52</f>
        <v>211097.44008996341</v>
      </c>
      <c r="W52" s="47">
        <f ca="1">+'Monthly Data'!H52</f>
        <v>372249.62305334356</v>
      </c>
      <c r="X52" s="47">
        <f t="shared" ca="1" si="48"/>
        <v>82363968.375472546</v>
      </c>
    </row>
    <row r="53" spans="1:24">
      <c r="A53" s="2">
        <f>'Monthly Data'!A53</f>
        <v>43922</v>
      </c>
      <c r="B53">
        <f>'Monthly Data'!B53</f>
        <v>2020</v>
      </c>
      <c r="C53">
        <f>'Monthly Data'!C53</f>
        <v>4</v>
      </c>
      <c r="D53" s="3">
        <f ca="1">'Monthly Data'!I53</f>
        <v>74261428.820349082</v>
      </c>
      <c r="E53" s="3">
        <f t="shared" ref="E53:F53" ca="1" si="58">E41</f>
        <v>412.8885416666667</v>
      </c>
      <c r="F53" s="3">
        <f t="shared" ca="1" si="58"/>
        <v>0.4316666666666677</v>
      </c>
      <c r="G53" s="3">
        <f>'Monthly Data'!EM53</f>
        <v>439.67500000000013</v>
      </c>
      <c r="H53" s="3">
        <f>'Monthly Data'!ER53</f>
        <v>0</v>
      </c>
      <c r="I53" s="3">
        <f>'Monthly Data'!EG53</f>
        <v>1</v>
      </c>
      <c r="J53" s="3">
        <f>'Monthly Data'!DQ53</f>
        <v>30</v>
      </c>
      <c r="K53">
        <f>'Monthly Data'!EH53</f>
        <v>52</v>
      </c>
      <c r="M53" s="436">
        <f t="shared" si="32"/>
        <v>-9235786.3729357291</v>
      </c>
      <c r="N53" s="3">
        <f t="shared" ca="1" si="9"/>
        <v>18457651.271179151</v>
      </c>
      <c r="O53" s="3">
        <f t="shared" ca="1" si="10"/>
        <v>115388.71786790752</v>
      </c>
      <c r="P53" s="3">
        <f t="shared" si="33"/>
        <v>3949631.9551940686</v>
      </c>
      <c r="Q53" s="3">
        <f t="shared" si="34"/>
        <v>0</v>
      </c>
      <c r="R53" s="3">
        <f t="shared" si="35"/>
        <v>-2958956.3975358699</v>
      </c>
      <c r="S53" s="3">
        <f t="shared" si="36"/>
        <v>57575833.329038396</v>
      </c>
      <c r="T53" s="3">
        <f t="shared" si="37"/>
        <v>5491407.145023644</v>
      </c>
      <c r="U53" s="47">
        <f t="shared" ca="1" si="47"/>
        <v>73395169.647831574</v>
      </c>
      <c r="V53" s="47">
        <f>'Monthly Data'!G53</f>
        <v>215869.74111273102</v>
      </c>
      <c r="W53" s="47">
        <f ca="1">+'Monthly Data'!H53</f>
        <v>293485.12378645211</v>
      </c>
      <c r="X53" s="47">
        <f t="shared" ca="1" si="48"/>
        <v>73904524.512730747</v>
      </c>
    </row>
    <row r="54" spans="1:24">
      <c r="A54" s="2">
        <f>'Monthly Data'!A54</f>
        <v>43952</v>
      </c>
      <c r="B54">
        <f>'Monthly Data'!B54</f>
        <v>2020</v>
      </c>
      <c r="C54">
        <f>'Monthly Data'!C54</f>
        <v>5</v>
      </c>
      <c r="D54" s="3">
        <f ca="1">'Monthly Data'!I54</f>
        <v>76580159.665397182</v>
      </c>
      <c r="E54" s="3">
        <f t="shared" ref="E54:F54" ca="1" si="59">E42</f>
        <v>208.90012508544086</v>
      </c>
      <c r="F54" s="3">
        <f t="shared" ca="1" si="59"/>
        <v>26.958863636363635</v>
      </c>
      <c r="G54" s="3">
        <f>'Monthly Data'!EM54</f>
        <v>265.14107142857148</v>
      </c>
      <c r="H54" s="3">
        <f>'Monthly Data'!ER54</f>
        <v>31.450595238095232</v>
      </c>
      <c r="I54" s="3">
        <f>'Monthly Data'!EG54</f>
        <v>1</v>
      </c>
      <c r="J54" s="3">
        <f>'Monthly Data'!DQ54</f>
        <v>31</v>
      </c>
      <c r="K54">
        <f>'Monthly Data'!EH54</f>
        <v>53</v>
      </c>
      <c r="M54" s="436">
        <f t="shared" si="32"/>
        <v>-9235786.3729357291</v>
      </c>
      <c r="N54" s="3">
        <f t="shared" ca="1" si="9"/>
        <v>9338611.4416457731</v>
      </c>
      <c r="O54" s="3">
        <f t="shared" ca="1" si="10"/>
        <v>7206367.6683608042</v>
      </c>
      <c r="P54" s="3">
        <f t="shared" si="33"/>
        <v>2381781.1982684452</v>
      </c>
      <c r="Q54" s="3">
        <f t="shared" si="34"/>
        <v>1078493.723897838</v>
      </c>
      <c r="R54" s="3">
        <f t="shared" si="35"/>
        <v>-2958956.3975358699</v>
      </c>
      <c r="S54" s="3">
        <f t="shared" si="36"/>
        <v>59495027.773339681</v>
      </c>
      <c r="T54" s="3">
        <f t="shared" si="37"/>
        <v>5597011.1285817912</v>
      </c>
      <c r="U54" s="47">
        <f t="shared" ca="1" si="47"/>
        <v>72902550.163622737</v>
      </c>
      <c r="V54" s="47">
        <f>'Monthly Data'!G54</f>
        <v>220642.0421354986</v>
      </c>
      <c r="W54" s="47">
        <f ca="1">+'Monthly Data'!H54</f>
        <v>164443.58155789628</v>
      </c>
      <c r="X54" s="47">
        <f t="shared" ca="1" si="48"/>
        <v>73287635.787316129</v>
      </c>
    </row>
    <row r="55" spans="1:24">
      <c r="A55" s="2">
        <f>'Monthly Data'!A55</f>
        <v>43983</v>
      </c>
      <c r="B55">
        <f>'Monthly Data'!B55</f>
        <v>2020</v>
      </c>
      <c r="C55">
        <f>'Monthly Data'!C55</f>
        <v>6</v>
      </c>
      <c r="D55" s="3">
        <f ca="1">'Monthly Data'!I55</f>
        <v>91043376.335375085</v>
      </c>
      <c r="E55" s="3">
        <f t="shared" ref="E55:F55" ca="1" si="60">E43</f>
        <v>61.78217382617381</v>
      </c>
      <c r="F55" s="3">
        <f t="shared" ca="1" si="60"/>
        <v>92.933549595332209</v>
      </c>
      <c r="G55" s="3">
        <f>'Monthly Data'!EM55</f>
        <v>26.637500000000003</v>
      </c>
      <c r="H55" s="3">
        <f>'Monthly Data'!ER55</f>
        <v>57.841032608695642</v>
      </c>
      <c r="I55" s="3">
        <f>'Monthly Data'!EG55</f>
        <v>0</v>
      </c>
      <c r="J55" s="3">
        <f>'Monthly Data'!DQ55</f>
        <v>30</v>
      </c>
      <c r="K55">
        <f>'Monthly Data'!EH55</f>
        <v>54</v>
      </c>
      <c r="M55" s="436">
        <f t="shared" si="32"/>
        <v>-9235786.3729357291</v>
      </c>
      <c r="N55" s="3">
        <f t="shared" ca="1" si="9"/>
        <v>2761892.6276222966</v>
      </c>
      <c r="O55" s="3">
        <f t="shared" ca="1" si="10"/>
        <v>24842045.8719358</v>
      </c>
      <c r="P55" s="3">
        <f t="shared" si="33"/>
        <v>239286.56668330467</v>
      </c>
      <c r="Q55" s="3">
        <f t="shared" si="34"/>
        <v>1983466.1372859436</v>
      </c>
      <c r="R55" s="3">
        <f t="shared" si="35"/>
        <v>0</v>
      </c>
      <c r="S55" s="3">
        <f t="shared" si="36"/>
        <v>57575833.329038396</v>
      </c>
      <c r="T55" s="3">
        <f t="shared" si="37"/>
        <v>5702615.1121399375</v>
      </c>
      <c r="U55" s="47">
        <f t="shared" ca="1" si="47"/>
        <v>83869353.271769956</v>
      </c>
      <c r="V55" s="47">
        <f>'Monthly Data'!G55</f>
        <v>225414.34315826622</v>
      </c>
      <c r="W55" s="47">
        <f ca="1">+'Monthly Data'!H55</f>
        <v>22983.580730670121</v>
      </c>
      <c r="X55" s="47">
        <f t="shared" ca="1" si="48"/>
        <v>84117751.195658892</v>
      </c>
    </row>
    <row r="56" spans="1:24">
      <c r="A56" s="2">
        <f>'Monthly Data'!A56</f>
        <v>44013</v>
      </c>
      <c r="B56">
        <f>'Monthly Data'!B56</f>
        <v>2020</v>
      </c>
      <c r="C56">
        <f>'Monthly Data'!C56</f>
        <v>7</v>
      </c>
      <c r="D56" s="3">
        <f ca="1">'Monthly Data'!I56</f>
        <v>126388945.36780129</v>
      </c>
      <c r="E56" s="3">
        <f t="shared" ref="E56:F56" ca="1" si="61">E44</f>
        <v>8.334479813664597</v>
      </c>
      <c r="F56" s="3">
        <f t="shared" ca="1" si="61"/>
        <v>180.79967025394512</v>
      </c>
      <c r="G56" s="3">
        <f>'Monthly Data'!EM56</f>
        <v>0</v>
      </c>
      <c r="H56" s="3">
        <f>'Monthly Data'!ER56</f>
        <v>123.44374999999999</v>
      </c>
      <c r="I56" s="3">
        <f>'Monthly Data'!EG56</f>
        <v>0</v>
      </c>
      <c r="J56" s="3">
        <f>'Monthly Data'!DQ56</f>
        <v>31</v>
      </c>
      <c r="K56">
        <f>'Monthly Data'!EH56</f>
        <v>55</v>
      </c>
      <c r="M56" s="436">
        <f t="shared" si="32"/>
        <v>-9235786.3729357291</v>
      </c>
      <c r="N56" s="3">
        <f t="shared" ca="1" si="9"/>
        <v>372582.2017398036</v>
      </c>
      <c r="O56" s="3">
        <f t="shared" ca="1" si="10"/>
        <v>48329518.474617302</v>
      </c>
      <c r="P56" s="3">
        <f t="shared" si="33"/>
        <v>0</v>
      </c>
      <c r="Q56" s="3">
        <f t="shared" si="34"/>
        <v>4233093.479520319</v>
      </c>
      <c r="R56" s="3">
        <f t="shared" si="35"/>
        <v>0</v>
      </c>
      <c r="S56" s="3">
        <f t="shared" si="36"/>
        <v>59495027.773339681</v>
      </c>
      <c r="T56" s="3">
        <f t="shared" si="37"/>
        <v>5808219.0956980847</v>
      </c>
      <c r="U56" s="47">
        <f t="shared" ca="1" si="47"/>
        <v>109002654.65197948</v>
      </c>
      <c r="V56" s="47">
        <f>'Monthly Data'!G56</f>
        <v>230186.6441810338</v>
      </c>
      <c r="W56" s="47">
        <f ca="1">+'Monthly Data'!H56</f>
        <v>0</v>
      </c>
      <c r="X56" s="47">
        <f t="shared" ca="1" si="48"/>
        <v>109232841.2961605</v>
      </c>
    </row>
    <row r="57" spans="1:24">
      <c r="A57" s="2">
        <f>'Monthly Data'!A57</f>
        <v>44044</v>
      </c>
      <c r="B57">
        <f>'Monthly Data'!B57</f>
        <v>2020</v>
      </c>
      <c r="C57">
        <f>'Monthly Data'!C57</f>
        <v>8</v>
      </c>
      <c r="D57" s="3">
        <f ca="1">'Monthly Data'!I57</f>
        <v>104446351.65602222</v>
      </c>
      <c r="E57" s="3">
        <f t="shared" ref="E57:F57" ca="1" si="62">E45</f>
        <v>21.054927536231883</v>
      </c>
      <c r="F57" s="3">
        <f t="shared" ca="1" si="62"/>
        <v>153.08475461133071</v>
      </c>
      <c r="G57" s="3">
        <f>'Monthly Data'!EM57</f>
        <v>9.8604166666666604</v>
      </c>
      <c r="H57" s="3">
        <f>'Monthly Data'!ER57</f>
        <v>77.46553030303032</v>
      </c>
      <c r="I57" s="3">
        <f>'Monthly Data'!EG57</f>
        <v>0</v>
      </c>
      <c r="J57" s="3">
        <f>'Monthly Data'!DQ57</f>
        <v>31</v>
      </c>
      <c r="K57">
        <f>'Monthly Data'!EH57</f>
        <v>56</v>
      </c>
      <c r="M57" s="436">
        <f t="shared" si="32"/>
        <v>-9235786.3729357291</v>
      </c>
      <c r="N57" s="3">
        <f t="shared" ca="1" si="9"/>
        <v>941233.45839289424</v>
      </c>
      <c r="O57" s="3">
        <f t="shared" ca="1" si="10"/>
        <v>40921050.717508845</v>
      </c>
      <c r="P57" s="3">
        <f t="shared" si="33"/>
        <v>88576.827789150644</v>
      </c>
      <c r="Q57" s="3">
        <f t="shared" si="34"/>
        <v>2656423.1175198532</v>
      </c>
      <c r="R57" s="3">
        <f t="shared" si="35"/>
        <v>0</v>
      </c>
      <c r="S57" s="3">
        <f t="shared" si="36"/>
        <v>59495027.773339681</v>
      </c>
      <c r="T57" s="3">
        <f t="shared" si="37"/>
        <v>5913823.0792562319</v>
      </c>
      <c r="U57" s="47">
        <f t="shared" ca="1" si="47"/>
        <v>100780348.60087094</v>
      </c>
      <c r="V57" s="47">
        <f>'Monthly Data'!G57</f>
        <v>234958.94520380138</v>
      </c>
      <c r="W57" s="47">
        <f ca="1">+'Monthly Data'!H57</f>
        <v>2695.8039618232715</v>
      </c>
      <c r="X57" s="47">
        <f t="shared" ca="1" si="48"/>
        <v>101018003.35003656</v>
      </c>
    </row>
    <row r="58" spans="1:24">
      <c r="A58" s="2">
        <f>'Monthly Data'!A58</f>
        <v>44075</v>
      </c>
      <c r="B58">
        <f>'Monthly Data'!B58</f>
        <v>2020</v>
      </c>
      <c r="C58">
        <f>'Monthly Data'!C58</f>
        <v>9</v>
      </c>
      <c r="D58" s="3">
        <f ca="1">'Monthly Data'!I58</f>
        <v>71997324.409612387</v>
      </c>
      <c r="E58" s="3">
        <f t="shared" ref="E58:F58" ca="1" si="63">E46</f>
        <v>97.667119565217376</v>
      </c>
      <c r="F58" s="3">
        <f t="shared" ca="1" si="63"/>
        <v>58.118749999999991</v>
      </c>
      <c r="G58" s="3">
        <f>'Monthly Data'!EM58</f>
        <v>66.37934782608697</v>
      </c>
      <c r="H58" s="3">
        <f>'Monthly Data'!ER58</f>
        <v>18.939583333333331</v>
      </c>
      <c r="I58" s="3">
        <f>'Monthly Data'!EG58</f>
        <v>1</v>
      </c>
      <c r="J58" s="3">
        <f>'Monthly Data'!DQ58</f>
        <v>30</v>
      </c>
      <c r="K58">
        <f>'Monthly Data'!EH58</f>
        <v>57</v>
      </c>
      <c r="M58" s="436">
        <f t="shared" si="32"/>
        <v>-9235786.3729357291</v>
      </c>
      <c r="N58" s="3">
        <f t="shared" ca="1" si="9"/>
        <v>4366082.9780321233</v>
      </c>
      <c r="O58" s="3">
        <f t="shared" ca="1" si="10"/>
        <v>15535709.760429574</v>
      </c>
      <c r="P58" s="3">
        <f t="shared" si="33"/>
        <v>596290.42665344849</v>
      </c>
      <c r="Q58" s="3">
        <f t="shared" si="34"/>
        <v>649470.11665770877</v>
      </c>
      <c r="R58" s="3">
        <f t="shared" si="35"/>
        <v>-2958956.3975358699</v>
      </c>
      <c r="S58" s="3">
        <f t="shared" si="36"/>
        <v>57575833.329038396</v>
      </c>
      <c r="T58" s="3">
        <f t="shared" si="37"/>
        <v>6019427.0628143791</v>
      </c>
      <c r="U58" s="47">
        <f t="shared" ca="1" si="47"/>
        <v>72548070.90315403</v>
      </c>
      <c r="V58" s="47">
        <f>'Monthly Data'!G58</f>
        <v>239731.246226569</v>
      </c>
      <c r="W58" s="47">
        <f ca="1">+'Monthly Data'!H58</f>
        <v>65736.670583690342</v>
      </c>
      <c r="X58" s="47">
        <f t="shared" ca="1" si="48"/>
        <v>72853538.81996429</v>
      </c>
    </row>
    <row r="59" spans="1:24">
      <c r="A59" s="2">
        <f>'Monthly Data'!A59</f>
        <v>44105</v>
      </c>
      <c r="B59">
        <f>'Monthly Data'!B59</f>
        <v>2020</v>
      </c>
      <c r="C59">
        <f>'Monthly Data'!C59</f>
        <v>10</v>
      </c>
      <c r="D59" s="3">
        <f ca="1">'Monthly Data'!I59</f>
        <v>70962030.190456167</v>
      </c>
      <c r="E59" s="3">
        <f t="shared" ref="E59:F59" ca="1" si="64">E47</f>
        <v>292.46431159420291</v>
      </c>
      <c r="F59" s="3">
        <f t="shared" ca="1" si="64"/>
        <v>7.9825000000000035</v>
      </c>
      <c r="G59" s="3">
        <f>'Monthly Data'!EM59</f>
        <v>174.91666666666663</v>
      </c>
      <c r="H59" s="3">
        <f>'Monthly Data'!ER59</f>
        <v>0.11458333333333393</v>
      </c>
      <c r="I59" s="3">
        <f>'Monthly Data'!EG59</f>
        <v>1</v>
      </c>
      <c r="J59" s="3">
        <f>'Monthly Data'!DQ59</f>
        <v>31</v>
      </c>
      <c r="K59">
        <f>'Monthly Data'!EH59</f>
        <v>58</v>
      </c>
      <c r="M59" s="436">
        <f t="shared" si="32"/>
        <v>-9235786.3729357291</v>
      </c>
      <c r="N59" s="3">
        <f t="shared" ca="1" si="9"/>
        <v>13074240.934080835</v>
      </c>
      <c r="O59" s="3">
        <f t="shared" ca="1" si="10"/>
        <v>2133800.2479858762</v>
      </c>
      <c r="P59" s="3">
        <f t="shared" si="33"/>
        <v>1571288.9205952021</v>
      </c>
      <c r="Q59" s="3">
        <f t="shared" si="34"/>
        <v>3929.2549132300264</v>
      </c>
      <c r="R59" s="3">
        <f t="shared" si="35"/>
        <v>-2958956.3975358699</v>
      </c>
      <c r="S59" s="3">
        <f t="shared" si="36"/>
        <v>59495027.773339681</v>
      </c>
      <c r="T59" s="3">
        <f t="shared" si="37"/>
        <v>6125031.0463725254</v>
      </c>
      <c r="U59" s="47">
        <f t="shared" ca="1" si="47"/>
        <v>70208575.406815752</v>
      </c>
      <c r="V59" s="47">
        <f>'Monthly Data'!G59</f>
        <v>244503.54724933658</v>
      </c>
      <c r="W59" s="47">
        <f ca="1">+'Monthly Data'!H59</f>
        <v>222492.39866517531</v>
      </c>
      <c r="X59" s="47">
        <f t="shared" ca="1" si="48"/>
        <v>70675571.352730259</v>
      </c>
    </row>
    <row r="60" spans="1:24">
      <c r="A60" s="2">
        <f>'Monthly Data'!A60</f>
        <v>44136</v>
      </c>
      <c r="B60">
        <f>'Monthly Data'!B60</f>
        <v>2020</v>
      </c>
      <c r="C60">
        <f>'Monthly Data'!C60</f>
        <v>11</v>
      </c>
      <c r="D60" s="3">
        <f ca="1">'Monthly Data'!I60</f>
        <v>74648960.064726397</v>
      </c>
      <c r="E60" s="3">
        <f t="shared" ref="E60:F60" ca="1" si="65">E48</f>
        <v>495.51408055712409</v>
      </c>
      <c r="F60" s="3">
        <f t="shared" ca="1" si="65"/>
        <v>0.15041666666666628</v>
      </c>
      <c r="G60" s="3">
        <f>'Monthly Data'!EM60</f>
        <v>213.15036231884056</v>
      </c>
      <c r="H60" s="3">
        <f>'Monthly Data'!ER60</f>
        <v>0</v>
      </c>
      <c r="I60" s="3">
        <f>'Monthly Data'!EG60</f>
        <v>1</v>
      </c>
      <c r="J60" s="3">
        <f>'Monthly Data'!DQ60</f>
        <v>30</v>
      </c>
      <c r="K60">
        <f>'Monthly Data'!EH60</f>
        <v>59</v>
      </c>
      <c r="M60" s="436">
        <f t="shared" si="32"/>
        <v>-9235786.3729357291</v>
      </c>
      <c r="N60" s="3">
        <f t="shared" ca="1" si="9"/>
        <v>22151319.72896003</v>
      </c>
      <c r="O60" s="3">
        <f t="shared" ca="1" si="10"/>
        <v>40207.844739685723</v>
      </c>
      <c r="P60" s="3">
        <f t="shared" si="33"/>
        <v>1914744.9417767352</v>
      </c>
      <c r="Q60" s="3">
        <f t="shared" si="34"/>
        <v>0</v>
      </c>
      <c r="R60" s="3">
        <f t="shared" si="35"/>
        <v>-2958956.3975358699</v>
      </c>
      <c r="S60" s="3">
        <f t="shared" si="36"/>
        <v>57575833.329038396</v>
      </c>
      <c r="T60" s="3">
        <f t="shared" si="37"/>
        <v>6230635.0299306726</v>
      </c>
      <c r="U60" s="47">
        <f t="shared" ca="1" si="47"/>
        <v>75717998.10397391</v>
      </c>
      <c r="V60" s="47">
        <f>'Monthly Data'!G60</f>
        <v>249275.84827210419</v>
      </c>
      <c r="W60" s="47">
        <f ca="1">+'Monthly Data'!H60</f>
        <v>283146.93754752603</v>
      </c>
      <c r="X60" s="47">
        <f t="shared" ca="1" si="48"/>
        <v>76250420.88979353</v>
      </c>
    </row>
    <row r="61" spans="1:24">
      <c r="A61" s="2">
        <f>'Monthly Data'!A61</f>
        <v>44166</v>
      </c>
      <c r="B61">
        <f>'Monthly Data'!B61</f>
        <v>2020</v>
      </c>
      <c r="C61">
        <f>'Monthly Data'!C61</f>
        <v>12</v>
      </c>
      <c r="D61" s="3">
        <f ca="1">'Monthly Data'!I61</f>
        <v>91275714.600846589</v>
      </c>
      <c r="E61" s="3">
        <f t="shared" ref="E61:F61" ca="1" si="66">E49</f>
        <v>664.38541666666663</v>
      </c>
      <c r="F61" s="3">
        <f t="shared" ca="1" si="66"/>
        <v>0</v>
      </c>
      <c r="G61" s="3">
        <f>'Monthly Data'!EM61</f>
        <v>322.45208333333341</v>
      </c>
      <c r="H61" s="3">
        <f>'Monthly Data'!ER61</f>
        <v>0</v>
      </c>
      <c r="I61" s="3">
        <f>'Monthly Data'!EG61</f>
        <v>0</v>
      </c>
      <c r="J61" s="3">
        <f>'Monthly Data'!DQ61</f>
        <v>31</v>
      </c>
      <c r="K61">
        <f>'Monthly Data'!EH61</f>
        <v>60</v>
      </c>
      <c r="M61" s="436">
        <f t="shared" si="32"/>
        <v>-9235786.3729357291</v>
      </c>
      <c r="N61" s="3">
        <f t="shared" ca="1" si="9"/>
        <v>29700495.637368772</v>
      </c>
      <c r="O61" s="3">
        <f t="shared" ca="1" si="10"/>
        <v>0</v>
      </c>
      <c r="P61" s="3">
        <f t="shared" si="33"/>
        <v>2896610.1150900871</v>
      </c>
      <c r="Q61" s="3">
        <f t="shared" si="34"/>
        <v>0</v>
      </c>
      <c r="R61" s="3">
        <f t="shared" si="35"/>
        <v>0</v>
      </c>
      <c r="S61" s="3">
        <f t="shared" si="36"/>
        <v>59495027.773339681</v>
      </c>
      <c r="T61" s="3">
        <f t="shared" si="37"/>
        <v>6336239.0134888198</v>
      </c>
      <c r="U61" s="47">
        <f t="shared" ca="1" si="47"/>
        <v>89192586.166351631</v>
      </c>
      <c r="V61" s="47">
        <f>'Monthly Data'!G61</f>
        <v>254048.14929487178</v>
      </c>
      <c r="W61" s="47">
        <f ca="1">+'Monthly Data'!H61</f>
        <v>450579.3152296184</v>
      </c>
      <c r="X61" s="47">
        <f t="shared" ca="1" si="48"/>
        <v>89897213.630876124</v>
      </c>
    </row>
    <row r="62" spans="1:24">
      <c r="A62" s="2">
        <f>'Monthly Data'!A62</f>
        <v>44197</v>
      </c>
      <c r="B62">
        <f>'Monthly Data'!B62</f>
        <v>2021</v>
      </c>
      <c r="C62">
        <f>'Monthly Data'!C62</f>
        <v>1</v>
      </c>
      <c r="D62" s="3">
        <f ca="1">'Monthly Data'!I62</f>
        <v>91989785.506136447</v>
      </c>
      <c r="E62" s="3">
        <f t="shared" ref="E62:F62" ca="1" si="67">E50</f>
        <v>752.78750000000002</v>
      </c>
      <c r="F62" s="3">
        <f t="shared" ca="1" si="67"/>
        <v>0</v>
      </c>
      <c r="G62" s="3">
        <f>'Monthly Data'!EM62</f>
        <v>357.7520833333333</v>
      </c>
      <c r="H62" s="3">
        <f>'Monthly Data'!ER62</f>
        <v>0</v>
      </c>
      <c r="I62" s="3">
        <f>'Monthly Data'!EG62</f>
        <v>0</v>
      </c>
      <c r="J62" s="3">
        <f>'Monthly Data'!DQ62</f>
        <v>31</v>
      </c>
      <c r="K62">
        <f>'Monthly Data'!EH62</f>
        <v>61</v>
      </c>
      <c r="M62" s="436">
        <f t="shared" si="32"/>
        <v>-9235786.3729357291</v>
      </c>
      <c r="N62" s="3">
        <f t="shared" ca="1" si="9"/>
        <v>33652397.08570125</v>
      </c>
      <c r="O62" s="3">
        <f t="shared" ca="1" si="10"/>
        <v>0</v>
      </c>
      <c r="P62" s="3">
        <f t="shared" si="33"/>
        <v>3213712.5385127291</v>
      </c>
      <c r="Q62" s="3">
        <f t="shared" si="34"/>
        <v>0</v>
      </c>
      <c r="R62" s="3">
        <f t="shared" si="35"/>
        <v>0</v>
      </c>
      <c r="S62" s="3">
        <f t="shared" si="36"/>
        <v>59495027.773339681</v>
      </c>
      <c r="T62" s="3">
        <f t="shared" si="37"/>
        <v>6441842.997046967</v>
      </c>
      <c r="U62" s="47">
        <f t="shared" ca="1" si="47"/>
        <v>93567194.021664903</v>
      </c>
      <c r="V62" s="47">
        <f>'Monthly Data'!G62</f>
        <v>268226.64378214773</v>
      </c>
      <c r="W62" s="47">
        <f ca="1">+'Monthly Data'!H62</f>
        <v>962745.70957745728</v>
      </c>
      <c r="X62" s="47">
        <f t="shared" ca="1" si="48"/>
        <v>94798166.375024512</v>
      </c>
    </row>
    <row r="63" spans="1:24">
      <c r="A63" s="2">
        <f>'Monthly Data'!A63</f>
        <v>44228</v>
      </c>
      <c r="B63">
        <f>'Monthly Data'!B63</f>
        <v>2021</v>
      </c>
      <c r="C63">
        <f>'Monthly Data'!C63</f>
        <v>2</v>
      </c>
      <c r="D63" s="3">
        <f ca="1">'Monthly Data'!I63</f>
        <v>85238278.892781705</v>
      </c>
      <c r="E63" s="3">
        <f t="shared" ref="E63:F63" ca="1" si="68">E51</f>
        <v>660.7954166666666</v>
      </c>
      <c r="F63" s="3">
        <f t="shared" ca="1" si="68"/>
        <v>0</v>
      </c>
      <c r="G63" s="3">
        <f>'Monthly Data'!EM63</f>
        <v>354.72708333333327</v>
      </c>
      <c r="H63" s="3">
        <f>'Monthly Data'!ER63</f>
        <v>0</v>
      </c>
      <c r="I63" s="3">
        <f>'Monthly Data'!EG63</f>
        <v>0</v>
      </c>
      <c r="J63" s="3">
        <f>'Monthly Data'!DQ63</f>
        <v>28</v>
      </c>
      <c r="K63">
        <f>'Monthly Data'!EH63</f>
        <v>62</v>
      </c>
      <c r="M63" s="436">
        <f t="shared" si="32"/>
        <v>-9235786.3729357291</v>
      </c>
      <c r="N63" s="3">
        <f t="shared" ca="1" si="9"/>
        <v>29540009.304190192</v>
      </c>
      <c r="O63" s="3">
        <f t="shared" ca="1" si="10"/>
        <v>0</v>
      </c>
      <c r="P63" s="3">
        <f t="shared" si="33"/>
        <v>3186538.7472704202</v>
      </c>
      <c r="Q63" s="3">
        <f t="shared" si="34"/>
        <v>0</v>
      </c>
      <c r="R63" s="3">
        <f t="shared" si="35"/>
        <v>0</v>
      </c>
      <c r="S63" s="3">
        <f t="shared" si="36"/>
        <v>53737444.440435842</v>
      </c>
      <c r="T63" s="3">
        <f t="shared" si="37"/>
        <v>6547446.9806051133</v>
      </c>
      <c r="U63" s="47">
        <f t="shared" ca="1" si="47"/>
        <v>83775653.099565834</v>
      </c>
      <c r="V63" s="47">
        <f>'Monthly Data'!G63</f>
        <v>277632.83724665601</v>
      </c>
      <c r="W63" s="47">
        <f ca="1">+'Monthly Data'!H63</f>
        <v>962672.04931952129</v>
      </c>
      <c r="X63" s="47">
        <f t="shared" ca="1" si="48"/>
        <v>85015957.986132011</v>
      </c>
    </row>
    <row r="64" spans="1:24">
      <c r="A64" s="2">
        <f>'Monthly Data'!A64</f>
        <v>44256</v>
      </c>
      <c r="B64">
        <f>'Monthly Data'!B64</f>
        <v>2021</v>
      </c>
      <c r="C64">
        <f>'Monthly Data'!C64</f>
        <v>3</v>
      </c>
      <c r="D64" s="3">
        <f ca="1">'Monthly Data'!I64</f>
        <v>81059106.19664377</v>
      </c>
      <c r="E64" s="3">
        <f t="shared" ref="E64:F64" ca="1" si="69">E52</f>
        <v>596.21590579710141</v>
      </c>
      <c r="F64" s="3">
        <f t="shared" ca="1" si="69"/>
        <v>0</v>
      </c>
      <c r="G64" s="3">
        <f>'Monthly Data'!EM64</f>
        <v>277.29818840579713</v>
      </c>
      <c r="H64" s="3">
        <f>'Monthly Data'!ER64</f>
        <v>0</v>
      </c>
      <c r="I64" s="3">
        <f>'Monthly Data'!EG64</f>
        <v>1</v>
      </c>
      <c r="J64" s="3">
        <f>'Monthly Data'!DQ64</f>
        <v>31</v>
      </c>
      <c r="K64">
        <f>'Monthly Data'!EH64</f>
        <v>63</v>
      </c>
      <c r="M64" s="436">
        <f t="shared" si="32"/>
        <v>-9235786.3729357291</v>
      </c>
      <c r="N64" s="3">
        <f t="shared" ca="1" si="9"/>
        <v>26653065.321481969</v>
      </c>
      <c r="O64" s="3">
        <f t="shared" ca="1" si="10"/>
        <v>0</v>
      </c>
      <c r="P64" s="3">
        <f t="shared" si="33"/>
        <v>2490989.4491271083</v>
      </c>
      <c r="Q64" s="3">
        <f t="shared" si="34"/>
        <v>0</v>
      </c>
      <c r="R64" s="3">
        <f t="shared" si="35"/>
        <v>-2958956.3975358699</v>
      </c>
      <c r="S64" s="3">
        <f t="shared" si="36"/>
        <v>59495027.773339681</v>
      </c>
      <c r="T64" s="3">
        <f t="shared" si="37"/>
        <v>6653050.9641632605</v>
      </c>
      <c r="U64" s="47">
        <f t="shared" ca="1" si="47"/>
        <v>83097390.737640426</v>
      </c>
      <c r="V64" s="47">
        <f>'Monthly Data'!G64</f>
        <v>287039.03071116435</v>
      </c>
      <c r="W64" s="47">
        <f ca="1">+'Monthly Data'!H64</f>
        <v>725695.52348495007</v>
      </c>
      <c r="X64" s="47">
        <f t="shared" ca="1" si="48"/>
        <v>84110125.29183653</v>
      </c>
    </row>
    <row r="65" spans="1:24">
      <c r="A65" s="2">
        <f>'Monthly Data'!A65</f>
        <v>44287</v>
      </c>
      <c r="B65">
        <f>'Monthly Data'!B65</f>
        <v>2021</v>
      </c>
      <c r="C65">
        <f>'Monthly Data'!C65</f>
        <v>4</v>
      </c>
      <c r="D65" s="3">
        <f ca="1">'Monthly Data'!I65</f>
        <v>70556888.93832539</v>
      </c>
      <c r="E65" s="3">
        <f t="shared" ref="E65:F65" ca="1" si="70">E53</f>
        <v>412.8885416666667</v>
      </c>
      <c r="F65" s="3">
        <f t="shared" ca="1" si="70"/>
        <v>0.4316666666666677</v>
      </c>
      <c r="G65" s="3">
        <f>'Monthly Data'!EM65</f>
        <v>189.89791666666665</v>
      </c>
      <c r="H65" s="3">
        <f>'Monthly Data'!ER65</f>
        <v>0.10624999999999929</v>
      </c>
      <c r="I65" s="3">
        <f>'Monthly Data'!EG65</f>
        <v>1</v>
      </c>
      <c r="J65" s="3">
        <f>'Monthly Data'!DQ65</f>
        <v>30</v>
      </c>
      <c r="K65">
        <f>'Monthly Data'!EH65</f>
        <v>64</v>
      </c>
      <c r="M65" s="436">
        <f t="shared" si="32"/>
        <v>-9235786.3729357291</v>
      </c>
      <c r="N65" s="3">
        <f t="shared" ca="1" si="9"/>
        <v>18457651.271179151</v>
      </c>
      <c r="O65" s="3">
        <f t="shared" ca="1" si="10"/>
        <v>115388.71786790752</v>
      </c>
      <c r="P65" s="3">
        <f t="shared" si="33"/>
        <v>1705866.560280768</v>
      </c>
      <c r="Q65" s="3">
        <f t="shared" si="34"/>
        <v>3643.4909195405271</v>
      </c>
      <c r="R65" s="3">
        <f t="shared" si="35"/>
        <v>-2958956.3975358699</v>
      </c>
      <c r="S65" s="3">
        <f t="shared" si="36"/>
        <v>57575833.329038396</v>
      </c>
      <c r="T65" s="3">
        <f t="shared" si="37"/>
        <v>6758654.9477214077</v>
      </c>
      <c r="U65" s="47">
        <f t="shared" ca="1" si="47"/>
        <v>72422295.546535566</v>
      </c>
      <c r="V65" s="47">
        <f>'Monthly Data'!G65</f>
        <v>296445.22417567263</v>
      </c>
      <c r="W65" s="47">
        <f ca="1">+'Monthly Data'!H65</f>
        <v>471124.87140339211</v>
      </c>
      <c r="X65" s="47">
        <f t="shared" ca="1" si="48"/>
        <v>73189865.642114639</v>
      </c>
    </row>
    <row r="66" spans="1:24">
      <c r="A66" s="2">
        <f>'Monthly Data'!A66</f>
        <v>44317</v>
      </c>
      <c r="B66">
        <f>'Monthly Data'!B66</f>
        <v>2021</v>
      </c>
      <c r="C66">
        <f>'Monthly Data'!C66</f>
        <v>5</v>
      </c>
      <c r="D66" s="3">
        <f ca="1">'Monthly Data'!I66</f>
        <v>74321669.187708259</v>
      </c>
      <c r="E66" s="3">
        <f t="shared" ref="E66:F66" ca="1" si="71">E54</f>
        <v>208.90012508544086</v>
      </c>
      <c r="F66" s="3">
        <f t="shared" ca="1" si="71"/>
        <v>26.958863636363635</v>
      </c>
      <c r="G66" s="3">
        <f>'Monthly Data'!EM66</f>
        <v>110.96111111111111</v>
      </c>
      <c r="H66" s="3">
        <f>'Monthly Data'!ER66</f>
        <v>17.787499999999998</v>
      </c>
      <c r="I66" s="3">
        <f>'Monthly Data'!EG66</f>
        <v>1</v>
      </c>
      <c r="J66" s="3">
        <f>'Monthly Data'!DQ66</f>
        <v>31</v>
      </c>
      <c r="K66">
        <f>'Monthly Data'!EH66</f>
        <v>65</v>
      </c>
      <c r="M66" s="436">
        <f t="shared" ref="M66:M97" si="72">$AB$8</f>
        <v>-9235786.3729357291</v>
      </c>
      <c r="N66" s="3">
        <f t="shared" ca="1" si="9"/>
        <v>9338611.4416457731</v>
      </c>
      <c r="O66" s="3">
        <f t="shared" ca="1" si="10"/>
        <v>7206367.6683608042</v>
      </c>
      <c r="P66" s="3">
        <f t="shared" ref="P66:P97" si="73">G66*$AB$11</f>
        <v>996771.59317287523</v>
      </c>
      <c r="Q66" s="3">
        <f t="shared" ref="Q66:Q97" si="74">H66*$AB$12</f>
        <v>609963.24453014159</v>
      </c>
      <c r="R66" s="3">
        <f t="shared" ref="R66:R97" si="75">I66*$AB$13</f>
        <v>-2958956.3975358699</v>
      </c>
      <c r="S66" s="3">
        <f t="shared" ref="S66:S97" si="76">J66*$AB$14</f>
        <v>59495027.773339681</v>
      </c>
      <c r="T66" s="3">
        <f t="shared" ref="T66:T97" si="77">K66*$AB$15</f>
        <v>6864258.931279555</v>
      </c>
      <c r="U66" s="47">
        <f t="shared" ca="1" si="47"/>
        <v>72316257.881857231</v>
      </c>
      <c r="V66" s="47">
        <f>'Monthly Data'!G66</f>
        <v>305851.41764018097</v>
      </c>
      <c r="W66" s="47">
        <f ca="1">+'Monthly Data'!H66</f>
        <v>255811.84522011131</v>
      </c>
      <c r="X66" s="47">
        <f t="shared" ca="1" si="48"/>
        <v>72877921.144717515</v>
      </c>
    </row>
    <row r="67" spans="1:24">
      <c r="A67" s="2">
        <f>'Monthly Data'!A67</f>
        <v>44348</v>
      </c>
      <c r="B67">
        <f>'Monthly Data'!B67</f>
        <v>2021</v>
      </c>
      <c r="C67">
        <f>'Monthly Data'!C67</f>
        <v>6</v>
      </c>
      <c r="D67" s="3">
        <f ca="1">'Monthly Data'!I67</f>
        <v>91535409.576470032</v>
      </c>
      <c r="E67" s="3">
        <f t="shared" ref="E67:F67" ca="1" si="78">E55</f>
        <v>61.78217382617381</v>
      </c>
      <c r="F67" s="3">
        <f t="shared" ca="1" si="78"/>
        <v>92.933549595332209</v>
      </c>
      <c r="G67" s="3">
        <f>'Monthly Data'!EM67</f>
        <v>18.033333333333339</v>
      </c>
      <c r="H67" s="3">
        <f>'Monthly Data'!ER67</f>
        <v>62.472916666666656</v>
      </c>
      <c r="I67" s="3">
        <f>'Monthly Data'!EG67</f>
        <v>0</v>
      </c>
      <c r="J67" s="3">
        <f>'Monthly Data'!DQ67</f>
        <v>30</v>
      </c>
      <c r="K67">
        <f>'Monthly Data'!EH67</f>
        <v>66</v>
      </c>
      <c r="M67" s="436">
        <f t="shared" si="72"/>
        <v>-9235786.3729357291</v>
      </c>
      <c r="N67" s="3">
        <f t="shared" ca="1" si="9"/>
        <v>2761892.6276222966</v>
      </c>
      <c r="O67" s="3">
        <f t="shared" ca="1" si="10"/>
        <v>24842045.8719358</v>
      </c>
      <c r="P67" s="3">
        <f t="shared" si="73"/>
        <v>161994.72244726151</v>
      </c>
      <c r="Q67" s="3">
        <f t="shared" si="74"/>
        <v>2142301.2196914214</v>
      </c>
      <c r="R67" s="3">
        <f t="shared" si="75"/>
        <v>0</v>
      </c>
      <c r="S67" s="3">
        <f t="shared" si="76"/>
        <v>57575833.329038396</v>
      </c>
      <c r="T67" s="3">
        <f t="shared" si="77"/>
        <v>6969862.9148377022</v>
      </c>
      <c r="U67" s="47">
        <f t="shared" ca="1" si="47"/>
        <v>85218144.31263715</v>
      </c>
      <c r="V67" s="47">
        <f>'Monthly Data'!G67</f>
        <v>315257.61110468931</v>
      </c>
      <c r="W67" s="47">
        <f ca="1">+'Monthly Data'!H67</f>
        <v>20999.311866568587</v>
      </c>
      <c r="X67" s="47">
        <f t="shared" ca="1" si="48"/>
        <v>85554401.235608399</v>
      </c>
    </row>
    <row r="68" spans="1:24">
      <c r="A68" s="2">
        <f>'Monthly Data'!A68</f>
        <v>44378</v>
      </c>
      <c r="B68">
        <f>'Monthly Data'!B68</f>
        <v>2021</v>
      </c>
      <c r="C68">
        <f>'Monthly Data'!C68</f>
        <v>7</v>
      </c>
      <c r="D68" s="3">
        <f ca="1">'Monthly Data'!I68</f>
        <v>97237594.187372789</v>
      </c>
      <c r="E68" s="3">
        <f t="shared" ref="E68:F68" ca="1" si="79">E56</f>
        <v>8.334479813664597</v>
      </c>
      <c r="F68" s="3">
        <f t="shared" ca="1" si="79"/>
        <v>180.79967025394512</v>
      </c>
      <c r="G68" s="3">
        <f>'Monthly Data'!EM68</f>
        <v>12.758333333333335</v>
      </c>
      <c r="H68" s="3">
        <f>'Monthly Data'!ER68</f>
        <v>65.810416666666654</v>
      </c>
      <c r="I68" s="3">
        <f>'Monthly Data'!EG68</f>
        <v>0</v>
      </c>
      <c r="J68" s="3">
        <f>'Monthly Data'!DQ68</f>
        <v>31</v>
      </c>
      <c r="K68">
        <f>'Monthly Data'!EH68</f>
        <v>67</v>
      </c>
      <c r="M68" s="436">
        <f t="shared" si="72"/>
        <v>-9235786.3729357291</v>
      </c>
      <c r="N68" s="3">
        <f t="shared" ref="N68:N131" ca="1" si="80">E68*$AB$9</f>
        <v>372582.2017398036</v>
      </c>
      <c r="O68" s="3">
        <f t="shared" ref="O68:O131" ca="1" si="81">F68*$AB$10</f>
        <v>48329518.474617302</v>
      </c>
      <c r="P68" s="3">
        <f t="shared" si="73"/>
        <v>114609.02036356623</v>
      </c>
      <c r="Q68" s="3">
        <f t="shared" si="74"/>
        <v>2256749.6991640483</v>
      </c>
      <c r="R68" s="3">
        <f t="shared" si="75"/>
        <v>0</v>
      </c>
      <c r="S68" s="3">
        <f t="shared" si="76"/>
        <v>59495027.773339681</v>
      </c>
      <c r="T68" s="3">
        <f t="shared" si="77"/>
        <v>7075466.8983958485</v>
      </c>
      <c r="U68" s="47">
        <f t="shared" ca="1" si="47"/>
        <v>108408167.69468452</v>
      </c>
      <c r="V68" s="47">
        <f>'Monthly Data'!G68</f>
        <v>324663.80456919759</v>
      </c>
      <c r="W68" s="47">
        <f ca="1">+'Monthly Data'!H68</f>
        <v>7887.7859539726887</v>
      </c>
      <c r="X68" s="47">
        <f t="shared" ca="1" si="48"/>
        <v>108740719.28520769</v>
      </c>
    </row>
    <row r="69" spans="1:24">
      <c r="A69" s="2">
        <f>'Monthly Data'!A69</f>
        <v>44409</v>
      </c>
      <c r="B69">
        <f>'Monthly Data'!B69</f>
        <v>2021</v>
      </c>
      <c r="C69">
        <f>'Monthly Data'!C69</f>
        <v>8</v>
      </c>
      <c r="D69" s="3">
        <f ca="1">'Monthly Data'!I69</f>
        <v>115777187.35476428</v>
      </c>
      <c r="E69" s="3">
        <f t="shared" ref="E69:F69" ca="1" si="82">E57</f>
        <v>21.054927536231883</v>
      </c>
      <c r="F69" s="3">
        <f t="shared" ca="1" si="82"/>
        <v>153.08475461133071</v>
      </c>
      <c r="G69" s="3">
        <f>'Monthly Data'!EM69</f>
        <v>4.2624999999999975</v>
      </c>
      <c r="H69" s="3">
        <f>'Monthly Data'!ER69</f>
        <v>102.03124999999997</v>
      </c>
      <c r="I69" s="3">
        <f>'Monthly Data'!EG69</f>
        <v>0</v>
      </c>
      <c r="J69" s="3">
        <f>'Monthly Data'!DQ69</f>
        <v>31</v>
      </c>
      <c r="K69">
        <f>'Monthly Data'!EH69</f>
        <v>68</v>
      </c>
      <c r="M69" s="436">
        <f t="shared" si="72"/>
        <v>-9235786.3729357291</v>
      </c>
      <c r="N69" s="3">
        <f t="shared" ca="1" si="80"/>
        <v>941233.45839289424</v>
      </c>
      <c r="O69" s="3">
        <f t="shared" ca="1" si="81"/>
        <v>40921050.717508845</v>
      </c>
      <c r="P69" s="3">
        <f t="shared" si="73"/>
        <v>38290.342205071247</v>
      </c>
      <c r="Q69" s="3">
        <f t="shared" si="74"/>
        <v>3498822.8977352637</v>
      </c>
      <c r="R69" s="3">
        <f t="shared" si="75"/>
        <v>0</v>
      </c>
      <c r="S69" s="3">
        <f t="shared" si="76"/>
        <v>59495027.773339681</v>
      </c>
      <c r="T69" s="3">
        <f t="shared" si="77"/>
        <v>7181070.8819539957</v>
      </c>
      <c r="U69" s="47">
        <f t="shared" ca="1" si="47"/>
        <v>102839709.69820003</v>
      </c>
      <c r="V69" s="47">
        <f>'Monthly Data'!G69</f>
        <v>334069.99803370592</v>
      </c>
      <c r="W69" s="47">
        <f ca="1">+'Monthly Data'!H69</f>
        <v>1018.966901447057</v>
      </c>
      <c r="X69" s="47">
        <f t="shared" ca="1" si="48"/>
        <v>103174798.66313519</v>
      </c>
    </row>
    <row r="70" spans="1:24">
      <c r="A70" s="2">
        <f>'Monthly Data'!A70</f>
        <v>44440</v>
      </c>
      <c r="B70">
        <f>'Monthly Data'!B70</f>
        <v>2021</v>
      </c>
      <c r="C70">
        <f>'Monthly Data'!C70</f>
        <v>9</v>
      </c>
      <c r="D70" s="3">
        <f ca="1">'Monthly Data'!I70</f>
        <v>75031083.023221835</v>
      </c>
      <c r="E70" s="3">
        <f t="shared" ref="E70:F70" ca="1" si="83">E58</f>
        <v>97.667119565217376</v>
      </c>
      <c r="F70" s="3">
        <f t="shared" ca="1" si="83"/>
        <v>58.118749999999991</v>
      </c>
      <c r="G70" s="3">
        <f>'Monthly Data'!EM70</f>
        <v>46.552083333333336</v>
      </c>
      <c r="H70" s="3">
        <f>'Monthly Data'!ER70</f>
        <v>24.670833333333341</v>
      </c>
      <c r="I70" s="3">
        <f>'Monthly Data'!EG70</f>
        <v>1</v>
      </c>
      <c r="J70" s="3">
        <f>'Monthly Data'!DQ70</f>
        <v>30</v>
      </c>
      <c r="K70">
        <f>'Monthly Data'!EH70</f>
        <v>69</v>
      </c>
      <c r="M70" s="436">
        <f t="shared" si="72"/>
        <v>-9235786.3729357291</v>
      </c>
      <c r="N70" s="3">
        <f t="shared" ca="1" si="80"/>
        <v>4366082.9780321233</v>
      </c>
      <c r="O70" s="3">
        <f t="shared" ca="1" si="81"/>
        <v>15535709.760429574</v>
      </c>
      <c r="P70" s="3">
        <f t="shared" si="73"/>
        <v>418180.69236183655</v>
      </c>
      <c r="Q70" s="3">
        <f t="shared" si="74"/>
        <v>846004.30331763183</v>
      </c>
      <c r="R70" s="3">
        <f t="shared" si="75"/>
        <v>-2958956.3975358699</v>
      </c>
      <c r="S70" s="3">
        <f t="shared" si="76"/>
        <v>57575833.329038396</v>
      </c>
      <c r="T70" s="3">
        <f t="shared" si="77"/>
        <v>7286674.8655121429</v>
      </c>
      <c r="U70" s="47">
        <f t="shared" ca="1" si="47"/>
        <v>73833743.158220112</v>
      </c>
      <c r="V70" s="47">
        <f>'Monthly Data'!G70</f>
        <v>343476.19149821426</v>
      </c>
      <c r="W70" s="47">
        <f ca="1">+'Monthly Data'!H70</f>
        <v>67294.783979301763</v>
      </c>
      <c r="X70" s="47">
        <f t="shared" ca="1" si="48"/>
        <v>74244514.133697629</v>
      </c>
    </row>
    <row r="71" spans="1:24">
      <c r="A71" s="2">
        <f>'Monthly Data'!A71</f>
        <v>44470</v>
      </c>
      <c r="B71">
        <f>'Monthly Data'!B71</f>
        <v>2021</v>
      </c>
      <c r="C71">
        <f>'Monthly Data'!C71</f>
        <v>10</v>
      </c>
      <c r="D71" s="3">
        <f ca="1">'Monthly Data'!I71</f>
        <v>70085855.429447129</v>
      </c>
      <c r="E71" s="3">
        <f t="shared" ref="E71:F71" ca="1" si="84">E59</f>
        <v>292.46431159420291</v>
      </c>
      <c r="F71" s="3">
        <f t="shared" ca="1" si="84"/>
        <v>7.9825000000000035</v>
      </c>
      <c r="G71" s="3">
        <f>'Monthly Data'!EM71</f>
        <v>107.09374999999997</v>
      </c>
      <c r="H71" s="3">
        <f>'Monthly Data'!ER71</f>
        <v>9.1229166666666721</v>
      </c>
      <c r="I71" s="3">
        <f>'Monthly Data'!EG71</f>
        <v>1</v>
      </c>
      <c r="J71" s="3">
        <f>'Monthly Data'!DQ71</f>
        <v>31</v>
      </c>
      <c r="K71">
        <f>'Monthly Data'!EH71</f>
        <v>70</v>
      </c>
      <c r="M71" s="436">
        <f t="shared" si="72"/>
        <v>-9235786.3729357291</v>
      </c>
      <c r="N71" s="3">
        <f t="shared" ca="1" si="80"/>
        <v>13074240.934080835</v>
      </c>
      <c r="O71" s="3">
        <f t="shared" ca="1" si="81"/>
        <v>2133800.2479858762</v>
      </c>
      <c r="P71" s="3">
        <f t="shared" si="73"/>
        <v>962030.8118532201</v>
      </c>
      <c r="Q71" s="3">
        <f t="shared" si="74"/>
        <v>312840.13209153106</v>
      </c>
      <c r="R71" s="3">
        <f t="shared" si="75"/>
        <v>-2958956.3975358699</v>
      </c>
      <c r="S71" s="3">
        <f t="shared" si="76"/>
        <v>59495027.773339681</v>
      </c>
      <c r="T71" s="3">
        <f t="shared" si="77"/>
        <v>7392278.8490702901</v>
      </c>
      <c r="U71" s="47">
        <f t="shared" ca="1" si="47"/>
        <v>71175475.977949843</v>
      </c>
      <c r="V71" s="47">
        <f>'Monthly Data'!G71</f>
        <v>352882.38496272254</v>
      </c>
      <c r="W71" s="47">
        <f ca="1">+'Monthly Data'!H71</f>
        <v>226100.16173434281</v>
      </c>
      <c r="X71" s="47">
        <f t="shared" ca="1" si="48"/>
        <v>71754458.524646908</v>
      </c>
    </row>
    <row r="72" spans="1:24">
      <c r="A72" s="2">
        <f>'Monthly Data'!A72</f>
        <v>44501</v>
      </c>
      <c r="B72">
        <f>'Monthly Data'!B72</f>
        <v>2021</v>
      </c>
      <c r="C72">
        <f>'Monthly Data'!C72</f>
        <v>11</v>
      </c>
      <c r="D72" s="3">
        <f ca="1">'Monthly Data'!I72</f>
        <v>75330193.077359781</v>
      </c>
      <c r="E72" s="3">
        <f t="shared" ref="E72:F72" ca="1" si="85">E60</f>
        <v>495.51408055712409</v>
      </c>
      <c r="F72" s="3">
        <f t="shared" ca="1" si="85"/>
        <v>0.15041666666666628</v>
      </c>
      <c r="G72" s="3">
        <f>'Monthly Data'!EM72</f>
        <v>253.15630175983441</v>
      </c>
      <c r="H72" s="3">
        <f>'Monthly Data'!ER72</f>
        <v>0</v>
      </c>
      <c r="I72" s="3">
        <f>'Monthly Data'!EG72</f>
        <v>1</v>
      </c>
      <c r="J72" s="3">
        <f>'Monthly Data'!DQ72</f>
        <v>30</v>
      </c>
      <c r="K72">
        <f>'Monthly Data'!EH72</f>
        <v>71</v>
      </c>
      <c r="M72" s="436">
        <f t="shared" si="72"/>
        <v>-9235786.3729357291</v>
      </c>
      <c r="N72" s="3">
        <f t="shared" ca="1" si="80"/>
        <v>22151319.72896003</v>
      </c>
      <c r="O72" s="3">
        <f t="shared" ca="1" si="81"/>
        <v>40207.844739685723</v>
      </c>
      <c r="P72" s="3">
        <f t="shared" si="73"/>
        <v>2274121.1556021925</v>
      </c>
      <c r="Q72" s="3">
        <f t="shared" si="74"/>
        <v>0</v>
      </c>
      <c r="R72" s="3">
        <f t="shared" si="75"/>
        <v>-2958956.3975358699</v>
      </c>
      <c r="S72" s="3">
        <f t="shared" si="76"/>
        <v>57575833.329038396</v>
      </c>
      <c r="T72" s="3">
        <f t="shared" si="77"/>
        <v>7497882.8326284364</v>
      </c>
      <c r="U72" s="47">
        <f t="shared" ca="1" si="47"/>
        <v>77344622.120497137</v>
      </c>
      <c r="V72" s="47">
        <f>'Monthly Data'!G72</f>
        <v>362288.57842723088</v>
      </c>
      <c r="W72" s="47">
        <f ca="1">+'Monthly Data'!H72</f>
        <v>657510.02990632167</v>
      </c>
      <c r="X72" s="47">
        <f t="shared" ca="1" si="48"/>
        <v>78364420.72883068</v>
      </c>
    </row>
    <row r="73" spans="1:24">
      <c r="A73" s="2">
        <f>'Monthly Data'!A73</f>
        <v>44531</v>
      </c>
      <c r="B73">
        <f>'Monthly Data'!B73</f>
        <v>2021</v>
      </c>
      <c r="C73">
        <f>'Monthly Data'!C73</f>
        <v>12</v>
      </c>
      <c r="D73" s="3">
        <f ca="1">'Monthly Data'!I73</f>
        <v>88027624.967866316</v>
      </c>
      <c r="E73" s="3">
        <f t="shared" ref="E73:F73" ca="1" si="86">E61</f>
        <v>664.38541666666663</v>
      </c>
      <c r="F73" s="3">
        <f t="shared" ca="1" si="86"/>
        <v>0</v>
      </c>
      <c r="G73" s="3">
        <f>'Monthly Data'!EM73</f>
        <v>297.52291666666667</v>
      </c>
      <c r="H73" s="3">
        <f>'Monthly Data'!ER73</f>
        <v>0</v>
      </c>
      <c r="I73" s="3">
        <f>'Monthly Data'!EG73</f>
        <v>0</v>
      </c>
      <c r="J73" s="3">
        <f>'Monthly Data'!DQ73</f>
        <v>31</v>
      </c>
      <c r="K73">
        <f>'Monthly Data'!EH73</f>
        <v>72</v>
      </c>
      <c r="M73" s="436">
        <f t="shared" si="72"/>
        <v>-9235786.3729357291</v>
      </c>
      <c r="N73" s="3">
        <f t="shared" ca="1" si="80"/>
        <v>29700495.637368772</v>
      </c>
      <c r="O73" s="3">
        <f t="shared" ca="1" si="81"/>
        <v>0</v>
      </c>
      <c r="P73" s="3">
        <f t="shared" si="73"/>
        <v>2672669.6288604271</v>
      </c>
      <c r="Q73" s="3">
        <f t="shared" si="74"/>
        <v>0</v>
      </c>
      <c r="R73" s="3">
        <f t="shared" si="75"/>
        <v>0</v>
      </c>
      <c r="S73" s="3">
        <f t="shared" si="76"/>
        <v>59495027.773339681</v>
      </c>
      <c r="T73" s="3">
        <f t="shared" si="77"/>
        <v>7603486.8161865836</v>
      </c>
      <c r="U73" s="47">
        <f t="shared" ca="1" si="47"/>
        <v>90235893.482819736</v>
      </c>
      <c r="V73" s="47">
        <f>'Monthly Data'!G73</f>
        <v>371694.77189173922</v>
      </c>
      <c r="W73" s="47">
        <f ca="1">+'Monthly Data'!H73</f>
        <v>785285.87150014169</v>
      </c>
      <c r="X73" s="47">
        <f t="shared" ca="1" si="48"/>
        <v>91392874.126211613</v>
      </c>
    </row>
    <row r="74" spans="1:24">
      <c r="A74" s="2">
        <f>'Monthly Data'!A74</f>
        <v>44562</v>
      </c>
      <c r="B74">
        <f>'Monthly Data'!B74</f>
        <v>2022</v>
      </c>
      <c r="C74">
        <f>'Monthly Data'!C74</f>
        <v>1</v>
      </c>
      <c r="D74" s="3">
        <f ca="1">'Monthly Data'!I74</f>
        <v>99346108.511066616</v>
      </c>
      <c r="E74" s="3">
        <f t="shared" ref="E74:F74" ca="1" si="87">E62</f>
        <v>752.78750000000002</v>
      </c>
      <c r="F74" s="3">
        <f t="shared" ca="1" si="87"/>
        <v>0</v>
      </c>
      <c r="G74" s="3">
        <f>'Monthly Data'!EM74</f>
        <v>221.87291666666664</v>
      </c>
      <c r="H74" s="3">
        <f>'Monthly Data'!ER74</f>
        <v>0</v>
      </c>
      <c r="I74" s="3">
        <f>'Monthly Data'!EG74</f>
        <v>0</v>
      </c>
      <c r="J74" s="3">
        <f>'Monthly Data'!DQ74</f>
        <v>31</v>
      </c>
      <c r="K74">
        <f>'Monthly Data'!EH74</f>
        <v>73</v>
      </c>
      <c r="M74" s="436">
        <f t="shared" si="72"/>
        <v>-9235786.3729357291</v>
      </c>
      <c r="N74" s="3">
        <f t="shared" ca="1" si="80"/>
        <v>33652397.08570125</v>
      </c>
      <c r="O74" s="3">
        <f t="shared" ca="1" si="81"/>
        <v>0</v>
      </c>
      <c r="P74" s="3">
        <f t="shared" si="73"/>
        <v>1993100.271015584</v>
      </c>
      <c r="Q74" s="3">
        <f t="shared" si="74"/>
        <v>0</v>
      </c>
      <c r="R74" s="3">
        <f t="shared" si="75"/>
        <v>0</v>
      </c>
      <c r="S74" s="3">
        <f t="shared" si="76"/>
        <v>59495027.773339681</v>
      </c>
      <c r="T74" s="3">
        <f t="shared" si="77"/>
        <v>7709090.7997447308</v>
      </c>
      <c r="U74" s="47">
        <f t="shared" ca="1" si="47"/>
        <v>93613829.556865513</v>
      </c>
      <c r="V74" s="47">
        <f>'Monthly Data'!G74</f>
        <v>402359.71936337132</v>
      </c>
      <c r="W74" s="47">
        <f ca="1">+'Monthly Data'!H74</f>
        <v>1790109.9867022387</v>
      </c>
      <c r="X74" s="47">
        <f t="shared" ca="1" si="48"/>
        <v>95806299.262931123</v>
      </c>
    </row>
    <row r="75" spans="1:24">
      <c r="A75" s="2">
        <f>'Monthly Data'!A75</f>
        <v>44593</v>
      </c>
      <c r="B75">
        <f>'Monthly Data'!B75</f>
        <v>2022</v>
      </c>
      <c r="C75">
        <f>'Monthly Data'!C75</f>
        <v>2</v>
      </c>
      <c r="D75" s="3">
        <f ca="1">'Monthly Data'!I75</f>
        <v>84102114.429993615</v>
      </c>
      <c r="E75" s="3">
        <f t="shared" ref="E75:F75" ca="1" si="88">E63</f>
        <v>660.7954166666666</v>
      </c>
      <c r="F75" s="3">
        <f t="shared" ca="1" si="88"/>
        <v>0</v>
      </c>
      <c r="G75" s="3">
        <f>'Monthly Data'!EM75</f>
        <v>173.21250000000001</v>
      </c>
      <c r="H75" s="3">
        <f>'Monthly Data'!ER75</f>
        <v>0</v>
      </c>
      <c r="I75" s="3">
        <f>'Monthly Data'!EG75</f>
        <v>0</v>
      </c>
      <c r="J75" s="3">
        <f>'Monthly Data'!DQ75</f>
        <v>28</v>
      </c>
      <c r="K75">
        <f>'Monthly Data'!EH75</f>
        <v>74</v>
      </c>
      <c r="M75" s="436">
        <f t="shared" si="72"/>
        <v>-9235786.3729357291</v>
      </c>
      <c r="N75" s="3">
        <f t="shared" ca="1" si="80"/>
        <v>29540009.304190192</v>
      </c>
      <c r="O75" s="3">
        <f t="shared" ca="1" si="81"/>
        <v>0</v>
      </c>
      <c r="P75" s="3">
        <f t="shared" si="73"/>
        <v>1555980.269606078</v>
      </c>
      <c r="Q75" s="3">
        <f t="shared" si="74"/>
        <v>0</v>
      </c>
      <c r="R75" s="3">
        <f t="shared" si="75"/>
        <v>0</v>
      </c>
      <c r="S75" s="3">
        <f t="shared" si="76"/>
        <v>53737444.440435842</v>
      </c>
      <c r="T75" s="3">
        <f t="shared" si="77"/>
        <v>7814694.783302878</v>
      </c>
      <c r="U75" s="47">
        <f t="shared" ca="1" si="47"/>
        <v>83412342.42459926</v>
      </c>
      <c r="V75" s="47">
        <f>'Monthly Data'!G75</f>
        <v>423618.47337049508</v>
      </c>
      <c r="W75" s="47">
        <f ca="1">+'Monthly Data'!H75</f>
        <v>1381033.3781257484</v>
      </c>
      <c r="X75" s="47">
        <f t="shared" ca="1" si="48"/>
        <v>85216994.276095495</v>
      </c>
    </row>
    <row r="76" spans="1:24">
      <c r="A76" s="2">
        <f>'Monthly Data'!A76</f>
        <v>44621</v>
      </c>
      <c r="B76">
        <f>'Monthly Data'!B76</f>
        <v>2022</v>
      </c>
      <c r="C76">
        <f>'Monthly Data'!C76</f>
        <v>3</v>
      </c>
      <c r="D76" s="3">
        <f ca="1">'Monthly Data'!I76</f>
        <v>83403865.584119171</v>
      </c>
      <c r="E76" s="3">
        <f t="shared" ref="E76:F76" ca="1" si="89">E64</f>
        <v>596.21590579710141</v>
      </c>
      <c r="F76" s="3">
        <f t="shared" ca="1" si="89"/>
        <v>0</v>
      </c>
      <c r="G76" s="3">
        <f>'Monthly Data'!EM76</f>
        <v>151.68020833333333</v>
      </c>
      <c r="H76" s="3">
        <f>'Monthly Data'!ER76</f>
        <v>0</v>
      </c>
      <c r="I76" s="3">
        <f>'Monthly Data'!EG76</f>
        <v>1</v>
      </c>
      <c r="J76" s="3">
        <f>'Monthly Data'!DQ76</f>
        <v>31</v>
      </c>
      <c r="K76">
        <f>'Monthly Data'!EH76</f>
        <v>75</v>
      </c>
      <c r="M76" s="436">
        <f t="shared" si="72"/>
        <v>-9235786.3729357291</v>
      </c>
      <c r="N76" s="3">
        <f t="shared" ca="1" si="80"/>
        <v>26653065.321481969</v>
      </c>
      <c r="O76" s="3">
        <f t="shared" ca="1" si="81"/>
        <v>0</v>
      </c>
      <c r="P76" s="3">
        <f t="shared" si="73"/>
        <v>1362554.1543272343</v>
      </c>
      <c r="Q76" s="3">
        <f t="shared" si="74"/>
        <v>0</v>
      </c>
      <c r="R76" s="3">
        <f t="shared" si="75"/>
        <v>-2958956.3975358699</v>
      </c>
      <c r="S76" s="3">
        <f t="shared" si="76"/>
        <v>59495027.773339681</v>
      </c>
      <c r="T76" s="3">
        <f t="shared" si="77"/>
        <v>7920298.7668610243</v>
      </c>
      <c r="U76" s="47">
        <f t="shared" ca="1" si="47"/>
        <v>83236203.245538309</v>
      </c>
      <c r="V76" s="47">
        <f>'Monthly Data'!G76</f>
        <v>444877.2273776189</v>
      </c>
      <c r="W76" s="47">
        <f ca="1">+'Monthly Data'!H76</f>
        <v>1181247.7861251566</v>
      </c>
      <c r="X76" s="47">
        <f t="shared" ca="1" si="48"/>
        <v>84862328.259041086</v>
      </c>
    </row>
    <row r="77" spans="1:24">
      <c r="A77" s="2">
        <f>'Monthly Data'!A77</f>
        <v>44652</v>
      </c>
      <c r="B77">
        <f>'Monthly Data'!B77</f>
        <v>2022</v>
      </c>
      <c r="C77">
        <f>'Monthly Data'!C77</f>
        <v>4</v>
      </c>
      <c r="D77" s="3">
        <f ca="1">'Monthly Data'!I77</f>
        <v>71064627.79074426</v>
      </c>
      <c r="E77" s="3">
        <f t="shared" ref="E77:F77" ca="1" si="90">E65</f>
        <v>412.8885416666667</v>
      </c>
      <c r="F77" s="3">
        <f t="shared" ca="1" si="90"/>
        <v>0.4316666666666677</v>
      </c>
      <c r="G77" s="3">
        <f>'Monthly Data'!EM77</f>
        <v>103.58333333333333</v>
      </c>
      <c r="H77" s="3">
        <f>'Monthly Data'!ER77</f>
        <v>0</v>
      </c>
      <c r="I77" s="3">
        <f>'Monthly Data'!EG77</f>
        <v>1</v>
      </c>
      <c r="J77" s="3">
        <f>'Monthly Data'!DQ77</f>
        <v>30</v>
      </c>
      <c r="K77">
        <f>'Monthly Data'!EH77</f>
        <v>76</v>
      </c>
      <c r="M77" s="436">
        <f t="shared" si="72"/>
        <v>-9235786.3729357291</v>
      </c>
      <c r="N77" s="3">
        <f t="shared" ca="1" si="80"/>
        <v>18457651.271179151</v>
      </c>
      <c r="O77" s="3">
        <f t="shared" ca="1" si="81"/>
        <v>115388.71786790752</v>
      </c>
      <c r="P77" s="3">
        <f t="shared" si="73"/>
        <v>930496.48799420509</v>
      </c>
      <c r="Q77" s="3">
        <f t="shared" si="74"/>
        <v>0</v>
      </c>
      <c r="R77" s="3">
        <f t="shared" si="75"/>
        <v>-2958956.3975358699</v>
      </c>
      <c r="S77" s="3">
        <f t="shared" si="76"/>
        <v>57575833.329038396</v>
      </c>
      <c r="T77" s="3">
        <f t="shared" si="77"/>
        <v>8025902.7504191715</v>
      </c>
      <c r="U77" s="47">
        <f t="shared" ca="1" si="47"/>
        <v>72910529.786027238</v>
      </c>
      <c r="V77" s="47">
        <f>'Monthly Data'!G77</f>
        <v>466135.98138474266</v>
      </c>
      <c r="W77" s="47">
        <f ca="1">+'Monthly Data'!H77</f>
        <v>768385.27175298764</v>
      </c>
      <c r="X77" s="47">
        <f t="shared" ca="1" si="48"/>
        <v>74145051.03916496</v>
      </c>
    </row>
    <row r="78" spans="1:24">
      <c r="A78" s="2">
        <f>'Monthly Data'!A78</f>
        <v>44682</v>
      </c>
      <c r="B78">
        <f>'Monthly Data'!B78</f>
        <v>2022</v>
      </c>
      <c r="C78">
        <f>'Monthly Data'!C78</f>
        <v>5</v>
      </c>
      <c r="D78" s="3">
        <f ca="1">'Monthly Data'!I78</f>
        <v>71024881.513120502</v>
      </c>
      <c r="E78" s="3">
        <f t="shared" ref="E78:F78" ca="1" si="91">E66</f>
        <v>208.90012508544086</v>
      </c>
      <c r="F78" s="3">
        <f t="shared" ca="1" si="91"/>
        <v>26.958863636363635</v>
      </c>
      <c r="G78" s="3">
        <f>'Monthly Data'!EM78</f>
        <v>39.744791666666671</v>
      </c>
      <c r="H78" s="3">
        <f>'Monthly Data'!ER78</f>
        <v>10.421875</v>
      </c>
      <c r="I78" s="3">
        <f>'Monthly Data'!EG78</f>
        <v>1</v>
      </c>
      <c r="J78" s="3">
        <f>'Monthly Data'!DQ78</f>
        <v>31</v>
      </c>
      <c r="K78">
        <f>'Monthly Data'!EH78</f>
        <v>77</v>
      </c>
      <c r="M78" s="436">
        <f t="shared" si="72"/>
        <v>-9235786.3729357291</v>
      </c>
      <c r="N78" s="3">
        <f t="shared" ca="1" si="80"/>
        <v>9338611.4416457731</v>
      </c>
      <c r="O78" s="3">
        <f t="shared" ca="1" si="81"/>
        <v>7206367.6683608042</v>
      </c>
      <c r="P78" s="3">
        <f t="shared" si="73"/>
        <v>357030.30470051186</v>
      </c>
      <c r="Q78" s="3">
        <f t="shared" si="74"/>
        <v>357383.59460787469</v>
      </c>
      <c r="R78" s="3">
        <f t="shared" si="75"/>
        <v>-2958956.3975358699</v>
      </c>
      <c r="S78" s="3">
        <f t="shared" si="76"/>
        <v>59495027.773339681</v>
      </c>
      <c r="T78" s="3">
        <f t="shared" si="77"/>
        <v>8131506.7339773187</v>
      </c>
      <c r="U78" s="47">
        <f t="shared" ca="1" si="47"/>
        <v>72691184.746160373</v>
      </c>
      <c r="V78" s="47">
        <f>'Monthly Data'!G78</f>
        <v>487394.73539186647</v>
      </c>
      <c r="W78" s="47">
        <f ca="1">+'Monthly Data'!H78</f>
        <v>237472.97403824105</v>
      </c>
      <c r="X78" s="47">
        <f t="shared" ca="1" si="48"/>
        <v>73416052.455590487</v>
      </c>
    </row>
    <row r="79" spans="1:24">
      <c r="A79" s="2">
        <f>'Monthly Data'!A79</f>
        <v>44713</v>
      </c>
      <c r="B79">
        <f>'Monthly Data'!B79</f>
        <v>2022</v>
      </c>
      <c r="C79">
        <f>'Monthly Data'!C79</f>
        <v>6</v>
      </c>
      <c r="D79" s="3">
        <f ca="1">'Monthly Data'!I79</f>
        <v>80277238.586211354</v>
      </c>
      <c r="E79" s="3">
        <f t="shared" ref="E79:F79" ca="1" si="92">E67</f>
        <v>61.78217382617381</v>
      </c>
      <c r="F79" s="3">
        <f t="shared" ca="1" si="92"/>
        <v>92.933549595332209</v>
      </c>
      <c r="G79" s="3">
        <f>'Monthly Data'!EM79</f>
        <v>18.882252747252753</v>
      </c>
      <c r="H79" s="3">
        <f>'Monthly Data'!ER79</f>
        <v>16.778206168831165</v>
      </c>
      <c r="I79" s="3">
        <f>'Monthly Data'!EG79</f>
        <v>0</v>
      </c>
      <c r="J79" s="3">
        <f>'Monthly Data'!DQ79</f>
        <v>30</v>
      </c>
      <c r="K79">
        <f>'Monthly Data'!EH79</f>
        <v>78</v>
      </c>
      <c r="M79" s="436">
        <f t="shared" si="72"/>
        <v>-9235786.3729357291</v>
      </c>
      <c r="N79" s="3">
        <f t="shared" ca="1" si="80"/>
        <v>2761892.6276222966</v>
      </c>
      <c r="O79" s="3">
        <f t="shared" ca="1" si="81"/>
        <v>24842045.8719358</v>
      </c>
      <c r="P79" s="3">
        <f t="shared" si="73"/>
        <v>169620.62622755545</v>
      </c>
      <c r="Q79" s="3">
        <f t="shared" si="74"/>
        <v>575352.86421002925</v>
      </c>
      <c r="R79" s="3">
        <f t="shared" si="75"/>
        <v>0</v>
      </c>
      <c r="S79" s="3">
        <f t="shared" si="76"/>
        <v>57575833.329038396</v>
      </c>
      <c r="T79" s="3">
        <f t="shared" si="77"/>
        <v>8237110.717535466</v>
      </c>
      <c r="U79" s="47">
        <f t="shared" ca="1" si="47"/>
        <v>84926069.663633808</v>
      </c>
      <c r="V79" s="47">
        <f>'Monthly Data'!G79</f>
        <v>508653.48939899029</v>
      </c>
      <c r="W79" s="47">
        <f ca="1">+'Monthly Data'!H79</f>
        <v>78428.450728077019</v>
      </c>
      <c r="X79" s="47">
        <f t="shared" ca="1" si="48"/>
        <v>85513151.603760868</v>
      </c>
    </row>
    <row r="80" spans="1:24">
      <c r="A80" s="2">
        <f>'Monthly Data'!A80</f>
        <v>44743</v>
      </c>
      <c r="B80">
        <f>'Monthly Data'!B80</f>
        <v>2022</v>
      </c>
      <c r="C80">
        <f>'Monthly Data'!C80</f>
        <v>7</v>
      </c>
      <c r="D80" s="3">
        <f ca="1">'Monthly Data'!I80</f>
        <v>101822308.87975499</v>
      </c>
      <c r="E80" s="3">
        <f t="shared" ref="E80:F80" ca="1" si="93">E68</f>
        <v>8.334479813664597</v>
      </c>
      <c r="F80" s="3">
        <f t="shared" ca="1" si="93"/>
        <v>180.79967025394512</v>
      </c>
      <c r="G80" s="3">
        <f>'Monthly Data'!EM80</f>
        <v>2.2486413043478271</v>
      </c>
      <c r="H80" s="3">
        <f>'Monthly Data'!ER80</f>
        <v>39.96358457284515</v>
      </c>
      <c r="I80" s="3">
        <f>'Monthly Data'!EG80</f>
        <v>0</v>
      </c>
      <c r="J80" s="3">
        <f>'Monthly Data'!DQ80</f>
        <v>31</v>
      </c>
      <c r="K80">
        <f>'Monthly Data'!EH80</f>
        <v>79</v>
      </c>
      <c r="M80" s="436">
        <f t="shared" si="72"/>
        <v>-9235786.3729357291</v>
      </c>
      <c r="N80" s="3">
        <f t="shared" ca="1" si="80"/>
        <v>372582.2017398036</v>
      </c>
      <c r="O80" s="3">
        <f t="shared" ca="1" si="81"/>
        <v>48329518.474617302</v>
      </c>
      <c r="P80" s="3">
        <f t="shared" si="73"/>
        <v>20199.705581216684</v>
      </c>
      <c r="Q80" s="3">
        <f t="shared" si="74"/>
        <v>1370418.4235619027</v>
      </c>
      <c r="R80" s="3">
        <f t="shared" si="75"/>
        <v>0</v>
      </c>
      <c r="S80" s="3">
        <f t="shared" si="76"/>
        <v>59495027.773339681</v>
      </c>
      <c r="T80" s="3">
        <f t="shared" si="77"/>
        <v>8342714.7010936122</v>
      </c>
      <c r="U80" s="47">
        <f t="shared" ca="1" si="47"/>
        <v>108694674.9069978</v>
      </c>
      <c r="V80" s="47">
        <f>'Monthly Data'!G80</f>
        <v>529912.24340611405</v>
      </c>
      <c r="W80" s="47">
        <f ca="1">+'Monthly Data'!H80</f>
        <v>1346.3006290121732</v>
      </c>
      <c r="X80" s="47">
        <f t="shared" ca="1" si="48"/>
        <v>109225933.45103292</v>
      </c>
    </row>
    <row r="81" spans="1:24">
      <c r="A81" s="2">
        <f>'Monthly Data'!A81</f>
        <v>44774</v>
      </c>
      <c r="B81">
        <f>'Monthly Data'!B81</f>
        <v>2022</v>
      </c>
      <c r="C81">
        <f>'Monthly Data'!C81</f>
        <v>8</v>
      </c>
      <c r="D81" s="3">
        <f ca="1">'Monthly Data'!I81</f>
        <v>104889784.39125125</v>
      </c>
      <c r="E81" s="3">
        <f t="shared" ref="E81:F81" ca="1" si="94">E69</f>
        <v>21.054927536231883</v>
      </c>
      <c r="F81" s="3">
        <f t="shared" ca="1" si="94"/>
        <v>153.08475461133071</v>
      </c>
      <c r="G81" s="3">
        <f>'Monthly Data'!EM81</f>
        <v>1.8479166666666691</v>
      </c>
      <c r="H81" s="3">
        <f>'Monthly Data'!ER81</f>
        <v>41.570833333333319</v>
      </c>
      <c r="I81" s="3">
        <f>'Monthly Data'!EG81</f>
        <v>0</v>
      </c>
      <c r="J81" s="3">
        <f>'Monthly Data'!DQ81</f>
        <v>31</v>
      </c>
      <c r="K81">
        <f>'Monthly Data'!EH81</f>
        <v>80</v>
      </c>
      <c r="M81" s="436">
        <f t="shared" si="72"/>
        <v>-9235786.3729357291</v>
      </c>
      <c r="N81" s="3">
        <f t="shared" ca="1" si="80"/>
        <v>941233.45839289424</v>
      </c>
      <c r="O81" s="3">
        <f t="shared" ca="1" si="81"/>
        <v>40921050.717508845</v>
      </c>
      <c r="P81" s="3">
        <f t="shared" si="73"/>
        <v>16599.967515101791</v>
      </c>
      <c r="Q81" s="3">
        <f t="shared" si="74"/>
        <v>1425533.6825198459</v>
      </c>
      <c r="R81" s="3">
        <f t="shared" si="75"/>
        <v>0</v>
      </c>
      <c r="S81" s="3">
        <f t="shared" si="76"/>
        <v>59495027.773339681</v>
      </c>
      <c r="T81" s="3">
        <f t="shared" si="77"/>
        <v>8448318.6846517604</v>
      </c>
      <c r="U81" s="47">
        <f t="shared" ca="1" si="47"/>
        <v>102011977.91099241</v>
      </c>
      <c r="V81" s="47">
        <f>'Monthly Data'!G81</f>
        <v>551170.99741323781</v>
      </c>
      <c r="W81" s="47">
        <f ca="1">+'Monthly Data'!H81</f>
        <v>1653.5101685183122</v>
      </c>
      <c r="X81" s="47">
        <f t="shared" ca="1" si="48"/>
        <v>102564802.41857417</v>
      </c>
    </row>
    <row r="82" spans="1:24">
      <c r="A82" s="2">
        <f>'Monthly Data'!A82</f>
        <v>44805</v>
      </c>
      <c r="B82">
        <f>'Monthly Data'!B82</f>
        <v>2022</v>
      </c>
      <c r="C82">
        <f>'Monthly Data'!C82</f>
        <v>9</v>
      </c>
      <c r="D82" s="3">
        <f ca="1">'Monthly Data'!I82</f>
        <v>75687471.042814732</v>
      </c>
      <c r="E82" s="3">
        <f t="shared" ref="E82:F82" ca="1" si="95">E70</f>
        <v>97.667119565217376</v>
      </c>
      <c r="F82" s="3">
        <f t="shared" ca="1" si="95"/>
        <v>58.118749999999991</v>
      </c>
      <c r="G82" s="3">
        <f>'Monthly Data'!EM82</f>
        <v>27.947916666666664</v>
      </c>
      <c r="H82" s="3">
        <f>'Monthly Data'!ER82</f>
        <v>14.062500000000002</v>
      </c>
      <c r="I82" s="3">
        <f>'Monthly Data'!EG82</f>
        <v>1</v>
      </c>
      <c r="J82" s="3">
        <f>'Monthly Data'!DQ82</f>
        <v>30</v>
      </c>
      <c r="K82">
        <f>'Monthly Data'!EH82</f>
        <v>81</v>
      </c>
      <c r="M82" s="436">
        <f t="shared" si="72"/>
        <v>-9235786.3729357291</v>
      </c>
      <c r="N82" s="3">
        <f t="shared" ca="1" si="80"/>
        <v>4366082.9780321233</v>
      </c>
      <c r="O82" s="3">
        <f t="shared" ca="1" si="81"/>
        <v>15535709.760429574</v>
      </c>
      <c r="P82" s="3">
        <f t="shared" si="73"/>
        <v>251058.13327518626</v>
      </c>
      <c r="Q82" s="3">
        <f t="shared" si="74"/>
        <v>482226.73935095541</v>
      </c>
      <c r="R82" s="3">
        <f t="shared" si="75"/>
        <v>-2958956.3975358699</v>
      </c>
      <c r="S82" s="3">
        <f t="shared" si="76"/>
        <v>57575833.329038396</v>
      </c>
      <c r="T82" s="3">
        <f t="shared" si="77"/>
        <v>8553922.6682099067</v>
      </c>
      <c r="U82" s="47">
        <f t="shared" ca="1" si="47"/>
        <v>74570090.837864548</v>
      </c>
      <c r="V82" s="47">
        <f>'Monthly Data'!G82</f>
        <v>572429.75142036169</v>
      </c>
      <c r="W82" s="47">
        <f ca="1">+'Monthly Data'!H82</f>
        <v>154860.71463516529</v>
      </c>
      <c r="X82" s="47">
        <f t="shared" ca="1" si="48"/>
        <v>75297381.303920075</v>
      </c>
    </row>
    <row r="83" spans="1:24">
      <c r="A83" s="2">
        <f>'Monthly Data'!A83</f>
        <v>44835</v>
      </c>
      <c r="B83">
        <f>'Monthly Data'!B83</f>
        <v>2022</v>
      </c>
      <c r="C83">
        <f>'Monthly Data'!C83</f>
        <v>10</v>
      </c>
      <c r="D83" s="3">
        <f ca="1">'Monthly Data'!I83</f>
        <v>68243024.502862036</v>
      </c>
      <c r="E83" s="3">
        <f t="shared" ref="E83:F83" ca="1" si="96">E71</f>
        <v>292.46431159420291</v>
      </c>
      <c r="F83" s="3">
        <f t="shared" ca="1" si="96"/>
        <v>7.9825000000000035</v>
      </c>
      <c r="G83" s="3">
        <f>'Monthly Data'!EM83</f>
        <v>82.713903985507258</v>
      </c>
      <c r="H83" s="3">
        <f>'Monthly Data'!ER83</f>
        <v>0</v>
      </c>
      <c r="I83" s="3">
        <f>'Monthly Data'!EG83</f>
        <v>1</v>
      </c>
      <c r="J83" s="3">
        <f>'Monthly Data'!DQ83</f>
        <v>31</v>
      </c>
      <c r="K83">
        <f>'Monthly Data'!EH83</f>
        <v>82</v>
      </c>
      <c r="M83" s="436">
        <f t="shared" si="72"/>
        <v>-9235786.3729357291</v>
      </c>
      <c r="N83" s="3">
        <f t="shared" ca="1" si="80"/>
        <v>13074240.934080835</v>
      </c>
      <c r="O83" s="3">
        <f t="shared" ca="1" si="81"/>
        <v>2133800.2479858762</v>
      </c>
      <c r="P83" s="3">
        <f t="shared" si="73"/>
        <v>743024.91231025965</v>
      </c>
      <c r="Q83" s="3">
        <f t="shared" si="74"/>
        <v>0</v>
      </c>
      <c r="R83" s="3">
        <f t="shared" si="75"/>
        <v>-2958956.3975358699</v>
      </c>
      <c r="S83" s="3">
        <f t="shared" si="76"/>
        <v>59495027.773339681</v>
      </c>
      <c r="T83" s="3">
        <f t="shared" si="77"/>
        <v>8659526.651768053</v>
      </c>
      <c r="U83" s="47">
        <f t="shared" ca="1" si="47"/>
        <v>71910877.749013111</v>
      </c>
      <c r="V83" s="47">
        <f>'Monthly Data'!G83</f>
        <v>593688.50542748545</v>
      </c>
      <c r="W83" s="47">
        <f ca="1">+'Monthly Data'!H83</f>
        <v>583023.59976838983</v>
      </c>
      <c r="X83" s="47">
        <f t="shared" ca="1" si="48"/>
        <v>73087589.854208976</v>
      </c>
    </row>
    <row r="84" spans="1:24">
      <c r="A84" s="2">
        <f>'Monthly Data'!A84</f>
        <v>44866</v>
      </c>
      <c r="B84">
        <f>'Monthly Data'!B84</f>
        <v>2022</v>
      </c>
      <c r="C84">
        <f>'Monthly Data'!C84</f>
        <v>11</v>
      </c>
      <c r="D84" s="3">
        <f ca="1">'Monthly Data'!I84</f>
        <v>73658798.952722281</v>
      </c>
      <c r="E84" s="3">
        <f t="shared" ref="E84:F84" ca="1" si="97">E72</f>
        <v>495.51408055712409</v>
      </c>
      <c r="F84" s="3">
        <f t="shared" ca="1" si="97"/>
        <v>0.15041666666666628</v>
      </c>
      <c r="G84" s="3">
        <f>'Monthly Data'!EM84</f>
        <v>117.95833333333337</v>
      </c>
      <c r="H84" s="3">
        <f>'Monthly Data'!ER84</f>
        <v>0</v>
      </c>
      <c r="I84" s="3">
        <f>'Monthly Data'!EG84</f>
        <v>1</v>
      </c>
      <c r="J84" s="3">
        <f>'Monthly Data'!DQ84</f>
        <v>30</v>
      </c>
      <c r="K84">
        <f>'Monthly Data'!EH84</f>
        <v>83</v>
      </c>
      <c r="M84" s="436">
        <f t="shared" si="72"/>
        <v>-9235786.3729357291</v>
      </c>
      <c r="N84" s="3">
        <f t="shared" ca="1" si="80"/>
        <v>22151319.72896003</v>
      </c>
      <c r="O84" s="3">
        <f t="shared" ca="1" si="81"/>
        <v>40207.844739685723</v>
      </c>
      <c r="P84" s="3">
        <f t="shared" si="73"/>
        <v>1059628.1405919532</v>
      </c>
      <c r="Q84" s="3">
        <f t="shared" si="74"/>
        <v>0</v>
      </c>
      <c r="R84" s="3">
        <f t="shared" si="75"/>
        <v>-2958956.3975358699</v>
      </c>
      <c r="S84" s="3">
        <f t="shared" si="76"/>
        <v>57575833.329038396</v>
      </c>
      <c r="T84" s="3">
        <f t="shared" si="77"/>
        <v>8765130.6353262011</v>
      </c>
      <c r="U84" s="47">
        <f t="shared" ca="1" si="47"/>
        <v>77397376.908184677</v>
      </c>
      <c r="V84" s="47">
        <f>'Monthly Data'!G84</f>
        <v>614947.25943460921</v>
      </c>
      <c r="W84" s="47">
        <f ca="1">+'Monthly Data'!H84</f>
        <v>893076.20249371277</v>
      </c>
      <c r="X84" s="47">
        <f t="shared" ca="1" si="48"/>
        <v>78905400.370113</v>
      </c>
    </row>
    <row r="85" spans="1:24">
      <c r="A85" s="2">
        <f>'Monthly Data'!A85</f>
        <v>44896</v>
      </c>
      <c r="B85">
        <f>'Monthly Data'!B85</f>
        <v>2022</v>
      </c>
      <c r="C85">
        <f>'Monthly Data'!C85</f>
        <v>12</v>
      </c>
      <c r="D85" s="3">
        <f ca="1">'Monthly Data'!I85</f>
        <v>88995097.639372066</v>
      </c>
      <c r="E85" s="3">
        <f t="shared" ref="E85:F85" ca="1" si="98">E73</f>
        <v>664.38541666666663</v>
      </c>
      <c r="F85" s="3">
        <f t="shared" ca="1" si="98"/>
        <v>0</v>
      </c>
      <c r="G85" s="3">
        <f>'Monthly Data'!EM85</f>
        <v>161.78020833333332</v>
      </c>
      <c r="H85" s="3">
        <f>'Monthly Data'!ER85</f>
        <v>0</v>
      </c>
      <c r="I85" s="3">
        <f>'Monthly Data'!EG85</f>
        <v>0</v>
      </c>
      <c r="J85" s="3">
        <f>'Monthly Data'!DQ85</f>
        <v>31</v>
      </c>
      <c r="K85">
        <f>'Monthly Data'!EH85</f>
        <v>84</v>
      </c>
      <c r="M85" s="436">
        <f t="shared" si="72"/>
        <v>-9235786.3729357291</v>
      </c>
      <c r="N85" s="3">
        <f t="shared" ca="1" si="80"/>
        <v>29700495.637368772</v>
      </c>
      <c r="O85" s="3">
        <f t="shared" ca="1" si="81"/>
        <v>0</v>
      </c>
      <c r="P85" s="3">
        <f t="shared" si="73"/>
        <v>1453283.1763263475</v>
      </c>
      <c r="Q85" s="3">
        <f t="shared" si="74"/>
        <v>0</v>
      </c>
      <c r="R85" s="3">
        <f t="shared" si="75"/>
        <v>0</v>
      </c>
      <c r="S85" s="3">
        <f t="shared" si="76"/>
        <v>59495027.773339681</v>
      </c>
      <c r="T85" s="3">
        <f t="shared" si="77"/>
        <v>8870734.6188843474</v>
      </c>
      <c r="U85" s="47">
        <f t="shared" ca="1" si="47"/>
        <v>90283754.832983434</v>
      </c>
      <c r="V85" s="47">
        <f>'Monthly Data'!G85</f>
        <v>636206.01344173308</v>
      </c>
      <c r="W85" s="47">
        <f ca="1">+'Monthly Data'!H85</f>
        <v>1268856.7183325528</v>
      </c>
      <c r="X85" s="47">
        <f t="shared" ca="1" si="48"/>
        <v>92188817.56475772</v>
      </c>
    </row>
    <row r="86" spans="1:24">
      <c r="A86" s="2">
        <f>'Monthly Data'!A86</f>
        <v>44927</v>
      </c>
      <c r="B86">
        <f>'Monthly Data'!B86</f>
        <v>2023</v>
      </c>
      <c r="C86">
        <f>'Monthly Data'!C86</f>
        <v>1</v>
      </c>
      <c r="D86" s="3">
        <f ca="1">'Monthly Data'!I86</f>
        <v>86983028.018493876</v>
      </c>
      <c r="E86" s="3">
        <f t="shared" ref="E86:F86" ca="1" si="99">E74</f>
        <v>752.78750000000002</v>
      </c>
      <c r="F86" s="3">
        <f t="shared" ca="1" si="99"/>
        <v>0</v>
      </c>
      <c r="G86" s="3">
        <f>'Monthly Data'!EM86</f>
        <v>0</v>
      </c>
      <c r="H86" s="3">
        <f>'Monthly Data'!ER86</f>
        <v>0</v>
      </c>
      <c r="I86" s="3">
        <f>'Monthly Data'!EG86</f>
        <v>0</v>
      </c>
      <c r="J86" s="3">
        <f>'Monthly Data'!DQ86</f>
        <v>31</v>
      </c>
      <c r="K86">
        <f>'Monthly Data'!EH86</f>
        <v>85</v>
      </c>
      <c r="M86" s="436">
        <f t="shared" si="72"/>
        <v>-9235786.3729357291</v>
      </c>
      <c r="N86" s="3">
        <f t="shared" ca="1" si="80"/>
        <v>33652397.08570125</v>
      </c>
      <c r="O86" s="3">
        <f t="shared" ca="1" si="81"/>
        <v>0</v>
      </c>
      <c r="P86" s="3">
        <f t="shared" si="73"/>
        <v>0</v>
      </c>
      <c r="Q86" s="3">
        <f t="shared" si="74"/>
        <v>0</v>
      </c>
      <c r="R86" s="3">
        <f t="shared" si="75"/>
        <v>0</v>
      </c>
      <c r="S86" s="3">
        <f t="shared" si="76"/>
        <v>59495027.773339681</v>
      </c>
      <c r="T86" s="3">
        <f t="shared" si="77"/>
        <v>8976338.6024424955</v>
      </c>
      <c r="U86" s="47">
        <f t="shared" ca="1" si="47"/>
        <v>92887977.088547707</v>
      </c>
      <c r="V86" s="47">
        <f>'Monthly Data'!G86</f>
        <v>684005.64172052906</v>
      </c>
      <c r="W86" s="47">
        <f ca="1">+'Monthly Data'!H86</f>
        <v>1785612.9321399091</v>
      </c>
      <c r="X86" s="47">
        <f t="shared" ca="1" si="48"/>
        <v>95357595.662408143</v>
      </c>
    </row>
    <row r="87" spans="1:24">
      <c r="A87" s="2">
        <f>'Monthly Data'!A87</f>
        <v>44958</v>
      </c>
      <c r="B87">
        <f>'Monthly Data'!B87</f>
        <v>2023</v>
      </c>
      <c r="C87">
        <f>'Monthly Data'!C87</f>
        <v>2</v>
      </c>
      <c r="D87" s="3">
        <f ca="1">'Monthly Data'!I87</f>
        <v>79413666.118960813</v>
      </c>
      <c r="E87" s="3">
        <f t="shared" ref="E87:F87" ca="1" si="100">E75</f>
        <v>660.7954166666666</v>
      </c>
      <c r="F87" s="3">
        <f t="shared" ca="1" si="100"/>
        <v>0</v>
      </c>
      <c r="G87" s="3">
        <f>'Monthly Data'!EM87</f>
        <v>0</v>
      </c>
      <c r="H87" s="3">
        <f>'Monthly Data'!ER87</f>
        <v>0</v>
      </c>
      <c r="I87" s="3">
        <f>'Monthly Data'!EG87</f>
        <v>0</v>
      </c>
      <c r="J87" s="3">
        <f>'Monthly Data'!DQ87</f>
        <v>28</v>
      </c>
      <c r="K87">
        <f>'Monthly Data'!EH87</f>
        <v>86</v>
      </c>
      <c r="M87" s="436">
        <f t="shared" si="72"/>
        <v>-9235786.3729357291</v>
      </c>
      <c r="N87" s="3">
        <f t="shared" ca="1" si="80"/>
        <v>29540009.304190192</v>
      </c>
      <c r="O87" s="3">
        <f t="shared" ca="1" si="81"/>
        <v>0</v>
      </c>
      <c r="P87" s="3">
        <f t="shared" si="73"/>
        <v>0</v>
      </c>
      <c r="Q87" s="3">
        <f t="shared" si="74"/>
        <v>0</v>
      </c>
      <c r="R87" s="3">
        <f t="shared" si="75"/>
        <v>0</v>
      </c>
      <c r="S87" s="3">
        <f t="shared" si="76"/>
        <v>53737444.440435842</v>
      </c>
      <c r="T87" s="3">
        <f t="shared" si="77"/>
        <v>9081942.5860006418</v>
      </c>
      <c r="U87" s="47">
        <f t="shared" ca="1" si="47"/>
        <v>83123609.957690939</v>
      </c>
      <c r="V87" s="47">
        <f>'Monthly Data'!G87</f>
        <v>710546.51599220128</v>
      </c>
      <c r="W87" s="47">
        <f ca="1">+'Monthly Data'!H87</f>
        <v>1695049.519391509</v>
      </c>
      <c r="X87" s="47">
        <f t="shared" ca="1" si="48"/>
        <v>85529205.993074641</v>
      </c>
    </row>
    <row r="88" spans="1:24">
      <c r="A88" s="2">
        <f>'Monthly Data'!A88</f>
        <v>44986</v>
      </c>
      <c r="B88">
        <f>'Monthly Data'!B88</f>
        <v>2023</v>
      </c>
      <c r="C88">
        <f>'Monthly Data'!C88</f>
        <v>3</v>
      </c>
      <c r="D88" s="3">
        <f ca="1">'Monthly Data'!I88</f>
        <v>81452950.556678519</v>
      </c>
      <c r="E88" s="3">
        <f t="shared" ref="E88:F88" ca="1" si="101">E76</f>
        <v>596.21590579710141</v>
      </c>
      <c r="F88" s="3">
        <f t="shared" ca="1" si="101"/>
        <v>0</v>
      </c>
      <c r="G88" s="3">
        <f>'Monthly Data'!EM88</f>
        <v>0</v>
      </c>
      <c r="H88" s="3">
        <f>'Monthly Data'!ER88</f>
        <v>0</v>
      </c>
      <c r="I88" s="3">
        <f>'Monthly Data'!EG88</f>
        <v>1</v>
      </c>
      <c r="J88" s="3">
        <f>'Monthly Data'!DQ88</f>
        <v>31</v>
      </c>
      <c r="K88">
        <f>'Monthly Data'!EH88</f>
        <v>87</v>
      </c>
      <c r="M88" s="436">
        <f t="shared" si="72"/>
        <v>-9235786.3729357291</v>
      </c>
      <c r="N88" s="3">
        <f t="shared" ca="1" si="80"/>
        <v>26653065.321481969</v>
      </c>
      <c r="O88" s="3">
        <f t="shared" ca="1" si="81"/>
        <v>0</v>
      </c>
      <c r="P88" s="3">
        <f t="shared" si="73"/>
        <v>0</v>
      </c>
      <c r="Q88" s="3">
        <f t="shared" si="74"/>
        <v>0</v>
      </c>
      <c r="R88" s="3">
        <f t="shared" si="75"/>
        <v>-2958956.3975358699</v>
      </c>
      <c r="S88" s="3">
        <f t="shared" si="76"/>
        <v>59495027.773339681</v>
      </c>
      <c r="T88" s="3">
        <f t="shared" si="77"/>
        <v>9187546.5695587881</v>
      </c>
      <c r="U88" s="47">
        <f t="shared" ca="1" si="47"/>
        <v>83140896.893908828</v>
      </c>
      <c r="V88" s="47">
        <f>'Monthly Data'!G88</f>
        <v>737087.3902638735</v>
      </c>
      <c r="W88" s="47">
        <f ca="1">+'Monthly Data'!H88</f>
        <v>1628835.8777574284</v>
      </c>
      <c r="X88" s="47">
        <f t="shared" ca="1" si="48"/>
        <v>85506820.161930129</v>
      </c>
    </row>
    <row r="89" spans="1:24">
      <c r="A89" s="2">
        <f>'Monthly Data'!A89</f>
        <v>45017</v>
      </c>
      <c r="B89">
        <f>'Monthly Data'!B89</f>
        <v>2023</v>
      </c>
      <c r="C89">
        <f>'Monthly Data'!C89</f>
        <v>4</v>
      </c>
      <c r="D89" s="3">
        <f ca="1">'Monthly Data'!I89</f>
        <v>69676739.883653373</v>
      </c>
      <c r="E89" s="3">
        <f t="shared" ref="E89:F89" ca="1" si="102">E77</f>
        <v>412.8885416666667</v>
      </c>
      <c r="F89" s="3">
        <f t="shared" ca="1" si="102"/>
        <v>0.4316666666666677</v>
      </c>
      <c r="G89" s="3">
        <f>'Monthly Data'!EM89</f>
        <v>0</v>
      </c>
      <c r="H89" s="3">
        <f>'Monthly Data'!ER89</f>
        <v>0</v>
      </c>
      <c r="I89" s="3">
        <f>'Monthly Data'!EG89</f>
        <v>1</v>
      </c>
      <c r="J89" s="3">
        <f>'Monthly Data'!DQ89</f>
        <v>30</v>
      </c>
      <c r="K89">
        <f>'Monthly Data'!EH89</f>
        <v>88</v>
      </c>
      <c r="M89" s="436">
        <f t="shared" si="72"/>
        <v>-9235786.3729357291</v>
      </c>
      <c r="N89" s="3">
        <f t="shared" ca="1" si="80"/>
        <v>18457651.271179151</v>
      </c>
      <c r="O89" s="3">
        <f t="shared" ca="1" si="81"/>
        <v>115388.71786790752</v>
      </c>
      <c r="P89" s="3">
        <f t="shared" si="73"/>
        <v>0</v>
      </c>
      <c r="Q89" s="3">
        <f t="shared" si="74"/>
        <v>0</v>
      </c>
      <c r="R89" s="3">
        <f t="shared" si="75"/>
        <v>-2958956.3975358699</v>
      </c>
      <c r="S89" s="3">
        <f t="shared" si="76"/>
        <v>57575833.329038396</v>
      </c>
      <c r="T89" s="3">
        <f t="shared" si="77"/>
        <v>9293150.5531169362</v>
      </c>
      <c r="U89" s="47">
        <f t="shared" ca="1" si="47"/>
        <v>73247281.100730792</v>
      </c>
      <c r="V89" s="47">
        <f>'Monthly Data'!G89</f>
        <v>763628.26453554572</v>
      </c>
      <c r="W89" s="47">
        <f ca="1">+'Monthly Data'!H89</f>
        <v>890928.19591571391</v>
      </c>
      <c r="X89" s="47">
        <f t="shared" ca="1" si="48"/>
        <v>74901837.561182052</v>
      </c>
    </row>
    <row r="90" spans="1:24">
      <c r="A90" s="2">
        <f>'Monthly Data'!A90</f>
        <v>45047</v>
      </c>
      <c r="B90">
        <f>'Monthly Data'!B90</f>
        <v>2023</v>
      </c>
      <c r="C90">
        <f>'Monthly Data'!C90</f>
        <v>5</v>
      </c>
      <c r="D90" s="3">
        <f ca="1">'Monthly Data'!I90</f>
        <v>68580663.272136495</v>
      </c>
      <c r="E90" s="3">
        <f t="shared" ref="E90:F90" ca="1" si="103">E78</f>
        <v>208.90012508544086</v>
      </c>
      <c r="F90" s="3">
        <f t="shared" ca="1" si="103"/>
        <v>26.958863636363635</v>
      </c>
      <c r="G90" s="3">
        <f>'Monthly Data'!EM90</f>
        <v>0</v>
      </c>
      <c r="H90" s="3">
        <f>'Monthly Data'!ER90</f>
        <v>0</v>
      </c>
      <c r="I90" s="3">
        <f>'Monthly Data'!EG90</f>
        <v>1</v>
      </c>
      <c r="J90" s="3">
        <f>'Monthly Data'!DQ90</f>
        <v>31</v>
      </c>
      <c r="K90">
        <f>'Monthly Data'!EH90</f>
        <v>89</v>
      </c>
      <c r="M90" s="436">
        <f t="shared" si="72"/>
        <v>-9235786.3729357291</v>
      </c>
      <c r="N90" s="3">
        <f t="shared" ca="1" si="80"/>
        <v>9338611.4416457731</v>
      </c>
      <c r="O90" s="3">
        <f t="shared" ca="1" si="81"/>
        <v>7206367.6683608042</v>
      </c>
      <c r="P90" s="3">
        <f t="shared" si="73"/>
        <v>0</v>
      </c>
      <c r="Q90" s="3">
        <f t="shared" si="74"/>
        <v>0</v>
      </c>
      <c r="R90" s="3">
        <f t="shared" si="75"/>
        <v>-2958956.3975358699</v>
      </c>
      <c r="S90" s="3">
        <f t="shared" si="76"/>
        <v>59495027.773339681</v>
      </c>
      <c r="T90" s="3">
        <f t="shared" si="77"/>
        <v>9398754.5366750825</v>
      </c>
      <c r="U90" s="47">
        <f t="shared" ca="1" si="47"/>
        <v>73244018.649549738</v>
      </c>
      <c r="V90" s="47">
        <f>'Monthly Data'!G90</f>
        <v>790169.13880721794</v>
      </c>
      <c r="W90" s="47">
        <f ca="1">+'Monthly Data'!H90</f>
        <v>483490.13910016755</v>
      </c>
      <c r="X90" s="47">
        <f t="shared" ca="1" si="48"/>
        <v>74517677.927457124</v>
      </c>
    </row>
    <row r="91" spans="1:24">
      <c r="A91" s="2">
        <f>'Monthly Data'!A91</f>
        <v>45078</v>
      </c>
      <c r="B91">
        <f>'Monthly Data'!B91</f>
        <v>2023</v>
      </c>
      <c r="C91">
        <f>'Monthly Data'!C91</f>
        <v>6</v>
      </c>
      <c r="D91" s="3">
        <f ca="1">'Monthly Data'!I91</f>
        <v>83110127.86487703</v>
      </c>
      <c r="E91" s="3">
        <f t="shared" ref="E91:F91" ca="1" si="104">E79</f>
        <v>61.78217382617381</v>
      </c>
      <c r="F91" s="3">
        <f t="shared" ca="1" si="104"/>
        <v>92.933549595332209</v>
      </c>
      <c r="G91" s="3">
        <f>'Monthly Data'!EM91</f>
        <v>0</v>
      </c>
      <c r="H91" s="3">
        <f>'Monthly Data'!ER91</f>
        <v>0</v>
      </c>
      <c r="I91" s="3">
        <f>'Monthly Data'!EG91</f>
        <v>0</v>
      </c>
      <c r="J91" s="3">
        <f>'Monthly Data'!DQ91</f>
        <v>30</v>
      </c>
      <c r="K91">
        <f>'Monthly Data'!EH91</f>
        <v>90</v>
      </c>
      <c r="M91" s="436">
        <f t="shared" si="72"/>
        <v>-9235786.3729357291</v>
      </c>
      <c r="N91" s="3">
        <f t="shared" ca="1" si="80"/>
        <v>2761892.6276222966</v>
      </c>
      <c r="O91" s="3">
        <f t="shared" ca="1" si="81"/>
        <v>24842045.8719358</v>
      </c>
      <c r="P91" s="3">
        <f t="shared" si="73"/>
        <v>0</v>
      </c>
      <c r="Q91" s="3">
        <f t="shared" si="74"/>
        <v>0</v>
      </c>
      <c r="R91" s="3">
        <f t="shared" si="75"/>
        <v>0</v>
      </c>
      <c r="S91" s="3">
        <f t="shared" si="76"/>
        <v>57575833.329038396</v>
      </c>
      <c r="T91" s="3">
        <f t="shared" si="77"/>
        <v>9504358.5202332288</v>
      </c>
      <c r="U91" s="47">
        <f t="shared" ca="1" si="47"/>
        <v>85448343.975893989</v>
      </c>
      <c r="V91" s="47">
        <f>'Monthly Data'!G91</f>
        <v>816710.01307889016</v>
      </c>
      <c r="W91" s="47">
        <f ca="1">+'Monthly Data'!H91</f>
        <v>63380.840745718073</v>
      </c>
      <c r="X91" s="47">
        <f t="shared" ca="1" si="48"/>
        <v>86328434.82971859</v>
      </c>
    </row>
    <row r="92" spans="1:24">
      <c r="A92" s="2">
        <f>'Monthly Data'!A92</f>
        <v>45108</v>
      </c>
      <c r="B92">
        <f>'Monthly Data'!B92</f>
        <v>2023</v>
      </c>
      <c r="C92">
        <f>'Monthly Data'!C92</f>
        <v>7</v>
      </c>
      <c r="D92" s="3">
        <f ca="1">'Monthly Data'!I92</f>
        <v>105330521.04424332</v>
      </c>
      <c r="E92" s="3">
        <f t="shared" ref="E92:F92" ca="1" si="105">E80</f>
        <v>8.334479813664597</v>
      </c>
      <c r="F92" s="3">
        <f t="shared" ca="1" si="105"/>
        <v>180.79967025394512</v>
      </c>
      <c r="G92" s="3">
        <f>'Monthly Data'!EM92</f>
        <v>0</v>
      </c>
      <c r="H92" s="3">
        <f>'Monthly Data'!ER92</f>
        <v>0</v>
      </c>
      <c r="I92" s="3">
        <f>'Monthly Data'!EG92</f>
        <v>0</v>
      </c>
      <c r="J92" s="3">
        <f>'Monthly Data'!DQ92</f>
        <v>31</v>
      </c>
      <c r="K92">
        <f>'Monthly Data'!EH92</f>
        <v>91</v>
      </c>
      <c r="M92" s="436">
        <f t="shared" si="72"/>
        <v>-9235786.3729357291</v>
      </c>
      <c r="N92" s="3">
        <f t="shared" ca="1" si="80"/>
        <v>372582.2017398036</v>
      </c>
      <c r="O92" s="3">
        <f t="shared" ca="1" si="81"/>
        <v>48329518.474617302</v>
      </c>
      <c r="P92" s="3">
        <f t="shared" si="73"/>
        <v>0</v>
      </c>
      <c r="Q92" s="3">
        <f t="shared" si="74"/>
        <v>0</v>
      </c>
      <c r="R92" s="3">
        <f t="shared" si="75"/>
        <v>0</v>
      </c>
      <c r="S92" s="3">
        <f t="shared" si="76"/>
        <v>59495027.773339681</v>
      </c>
      <c r="T92" s="3">
        <f t="shared" si="77"/>
        <v>9609962.5037913769</v>
      </c>
      <c r="U92" s="47">
        <f t="shared" ca="1" si="47"/>
        <v>108571304.58055244</v>
      </c>
      <c r="V92" s="47">
        <f>'Monthly Data'!G92</f>
        <v>843250.88735056238</v>
      </c>
      <c r="W92" s="47">
        <f ca="1">+'Monthly Data'!H92</f>
        <v>369.49576804731612</v>
      </c>
      <c r="X92" s="47">
        <f t="shared" ca="1" si="48"/>
        <v>109414924.96367104</v>
      </c>
    </row>
    <row r="93" spans="1:24">
      <c r="A93" s="2">
        <f>'Monthly Data'!A93</f>
        <v>45139</v>
      </c>
      <c r="B93">
        <f>'Monthly Data'!B93</f>
        <v>2023</v>
      </c>
      <c r="C93">
        <f>'Monthly Data'!C93</f>
        <v>8</v>
      </c>
      <c r="D93" s="3">
        <f ca="1">'Monthly Data'!I93</f>
        <v>90926184.191120088</v>
      </c>
      <c r="E93" s="3">
        <f t="shared" ref="E93:F93" ca="1" si="106">E81</f>
        <v>21.054927536231883</v>
      </c>
      <c r="F93" s="3">
        <f t="shared" ca="1" si="106"/>
        <v>153.08475461133071</v>
      </c>
      <c r="G93" s="3">
        <f>'Monthly Data'!EM93</f>
        <v>0</v>
      </c>
      <c r="H93" s="3">
        <f>'Monthly Data'!ER93</f>
        <v>0</v>
      </c>
      <c r="I93" s="3">
        <f>'Monthly Data'!EG93</f>
        <v>0</v>
      </c>
      <c r="J93" s="3">
        <f>'Monthly Data'!DQ93</f>
        <v>31</v>
      </c>
      <c r="K93">
        <f>'Monthly Data'!EH93</f>
        <v>92</v>
      </c>
      <c r="M93" s="436">
        <f t="shared" si="72"/>
        <v>-9235786.3729357291</v>
      </c>
      <c r="N93" s="3">
        <f t="shared" ca="1" si="80"/>
        <v>941233.45839289424</v>
      </c>
      <c r="O93" s="3">
        <f t="shared" ca="1" si="81"/>
        <v>40921050.717508845</v>
      </c>
      <c r="P93" s="3">
        <f t="shared" si="73"/>
        <v>0</v>
      </c>
      <c r="Q93" s="3">
        <f t="shared" si="74"/>
        <v>0</v>
      </c>
      <c r="R93" s="3">
        <f t="shared" si="75"/>
        <v>0</v>
      </c>
      <c r="S93" s="3">
        <f t="shared" si="76"/>
        <v>59495027.773339681</v>
      </c>
      <c r="T93" s="3">
        <f t="shared" si="77"/>
        <v>9715566.4873495232</v>
      </c>
      <c r="U93" s="47">
        <f t="shared" ca="1" si="47"/>
        <v>101837092.06365521</v>
      </c>
      <c r="V93" s="47">
        <f>'Monthly Data'!G93</f>
        <v>869791.7616222346</v>
      </c>
      <c r="W93" s="47">
        <f ca="1">+'Monthly Data'!H93</f>
        <v>27416.58598911162</v>
      </c>
      <c r="X93" s="47">
        <f t="shared" ca="1" si="48"/>
        <v>102734300.41126657</v>
      </c>
    </row>
    <row r="94" spans="1:24">
      <c r="A94" s="2">
        <f>'Monthly Data'!A94</f>
        <v>45170</v>
      </c>
      <c r="B94">
        <f>'Monthly Data'!B94</f>
        <v>2023</v>
      </c>
      <c r="C94">
        <f>'Monthly Data'!C94</f>
        <v>9</v>
      </c>
      <c r="D94" s="3">
        <f ca="1">'Monthly Data'!I94</f>
        <v>79551417.86999476</v>
      </c>
      <c r="E94" s="3">
        <f t="shared" ref="E94:F94" ca="1" si="107">E82</f>
        <v>97.667119565217376</v>
      </c>
      <c r="F94" s="3">
        <f t="shared" ca="1" si="107"/>
        <v>58.118749999999991</v>
      </c>
      <c r="G94" s="3">
        <f>'Monthly Data'!EM94</f>
        <v>0</v>
      </c>
      <c r="H94" s="3">
        <f>'Monthly Data'!ER94</f>
        <v>0</v>
      </c>
      <c r="I94" s="3">
        <f>'Monthly Data'!EG94</f>
        <v>1</v>
      </c>
      <c r="J94" s="3">
        <f>'Monthly Data'!DQ94</f>
        <v>30</v>
      </c>
      <c r="K94">
        <f>'Monthly Data'!EH94</f>
        <v>93</v>
      </c>
      <c r="M94" s="436">
        <f t="shared" si="72"/>
        <v>-9235786.3729357291</v>
      </c>
      <c r="N94" s="3">
        <f t="shared" ca="1" si="80"/>
        <v>4366082.9780321233</v>
      </c>
      <c r="O94" s="3">
        <f t="shared" ca="1" si="81"/>
        <v>15535709.760429574</v>
      </c>
      <c r="P94" s="3">
        <f t="shared" si="73"/>
        <v>0</v>
      </c>
      <c r="Q94" s="3">
        <f t="shared" si="74"/>
        <v>0</v>
      </c>
      <c r="R94" s="3">
        <f t="shared" si="75"/>
        <v>-2958956.3975358699</v>
      </c>
      <c r="S94" s="3">
        <f t="shared" si="76"/>
        <v>57575833.329038396</v>
      </c>
      <c r="T94" s="3">
        <f t="shared" si="77"/>
        <v>9821170.4709076714</v>
      </c>
      <c r="U94" s="47">
        <f t="shared" ca="1" si="47"/>
        <v>75104053.76793617</v>
      </c>
      <c r="V94" s="47">
        <f>'Monthly Data'!G94</f>
        <v>896332.63589390682</v>
      </c>
      <c r="W94" s="47">
        <f ca="1">+'Monthly Data'!H94</f>
        <v>140679.35542121885</v>
      </c>
      <c r="X94" s="47">
        <f t="shared" ca="1" si="48"/>
        <v>76141065.759251297</v>
      </c>
    </row>
    <row r="95" spans="1:24">
      <c r="A95" s="2">
        <f>'Monthly Data'!A95</f>
        <v>45200</v>
      </c>
      <c r="B95">
        <f>'Monthly Data'!B95</f>
        <v>2023</v>
      </c>
      <c r="C95">
        <f>'Monthly Data'!C95</f>
        <v>10</v>
      </c>
      <c r="D95" s="3">
        <f ca="1">'Monthly Data'!I95</f>
        <v>73798747.366478994</v>
      </c>
      <c r="E95" s="3">
        <f t="shared" ref="E95:F95" ca="1" si="108">E83</f>
        <v>292.46431159420291</v>
      </c>
      <c r="F95" s="3">
        <f t="shared" ca="1" si="108"/>
        <v>7.9825000000000035</v>
      </c>
      <c r="G95" s="3">
        <f>'Monthly Data'!EM95</f>
        <v>0</v>
      </c>
      <c r="H95" s="3">
        <f>'Monthly Data'!ER95</f>
        <v>0</v>
      </c>
      <c r="I95" s="3">
        <f>'Monthly Data'!EG95</f>
        <v>1</v>
      </c>
      <c r="J95" s="3">
        <f>'Monthly Data'!DQ95</f>
        <v>31</v>
      </c>
      <c r="K95">
        <f>'Monthly Data'!EH95</f>
        <v>94</v>
      </c>
      <c r="M95" s="436">
        <f t="shared" si="72"/>
        <v>-9235786.3729357291</v>
      </c>
      <c r="N95" s="3">
        <f t="shared" ca="1" si="80"/>
        <v>13074240.934080835</v>
      </c>
      <c r="O95" s="3">
        <f t="shared" ca="1" si="81"/>
        <v>2133800.2479858762</v>
      </c>
      <c r="P95" s="3">
        <f t="shared" si="73"/>
        <v>0</v>
      </c>
      <c r="Q95" s="3">
        <f t="shared" si="74"/>
        <v>0</v>
      </c>
      <c r="R95" s="3">
        <f t="shared" si="75"/>
        <v>-2958956.3975358699</v>
      </c>
      <c r="S95" s="3">
        <f t="shared" si="76"/>
        <v>59495027.773339681</v>
      </c>
      <c r="T95" s="3">
        <f t="shared" si="77"/>
        <v>9926774.4544658177</v>
      </c>
      <c r="U95" s="47">
        <f t="shared" ca="1" si="47"/>
        <v>72435100.639400616</v>
      </c>
      <c r="V95" s="47">
        <f>'Monthly Data'!G95</f>
        <v>922873.51016557903</v>
      </c>
      <c r="W95" s="47">
        <f ca="1">+'Monthly Data'!H95</f>
        <v>612340.70333363116</v>
      </c>
      <c r="X95" s="47">
        <f t="shared" ca="1" si="48"/>
        <v>73970314.85289982</v>
      </c>
    </row>
    <row r="96" spans="1:24">
      <c r="A96" s="2">
        <f>'Monthly Data'!A96</f>
        <v>45231</v>
      </c>
      <c r="B96">
        <f>'Monthly Data'!B96</f>
        <v>2023</v>
      </c>
      <c r="C96">
        <f>'Monthly Data'!C96</f>
        <v>11</v>
      </c>
      <c r="D96" s="3">
        <f ca="1">'Monthly Data'!I96</f>
        <v>81182369.334638447</v>
      </c>
      <c r="E96" s="3">
        <f t="shared" ref="E96:F96" ca="1" si="109">E84</f>
        <v>495.51408055712409</v>
      </c>
      <c r="F96" s="3">
        <f t="shared" ca="1" si="109"/>
        <v>0.15041666666666628</v>
      </c>
      <c r="G96" s="3">
        <f>'Monthly Data'!EM96</f>
        <v>0</v>
      </c>
      <c r="H96" s="3">
        <f>'Monthly Data'!ER96</f>
        <v>0</v>
      </c>
      <c r="I96" s="3">
        <f>'Monthly Data'!EG96</f>
        <v>1</v>
      </c>
      <c r="J96" s="3">
        <f>'Monthly Data'!DQ96</f>
        <v>30</v>
      </c>
      <c r="K96">
        <f>'Monthly Data'!EH96</f>
        <v>95</v>
      </c>
      <c r="M96" s="436">
        <f t="shared" si="72"/>
        <v>-9235786.3729357291</v>
      </c>
      <c r="N96" s="3">
        <f t="shared" ca="1" si="80"/>
        <v>22151319.72896003</v>
      </c>
      <c r="O96" s="3">
        <f t="shared" ca="1" si="81"/>
        <v>40207.844739685723</v>
      </c>
      <c r="P96" s="3">
        <f t="shared" si="73"/>
        <v>0</v>
      </c>
      <c r="Q96" s="3">
        <f t="shared" si="74"/>
        <v>0</v>
      </c>
      <c r="R96" s="3">
        <f t="shared" si="75"/>
        <v>-2958956.3975358699</v>
      </c>
      <c r="S96" s="3">
        <f t="shared" si="76"/>
        <v>57575833.329038396</v>
      </c>
      <c r="T96" s="3">
        <f t="shared" si="77"/>
        <v>10032378.438023964</v>
      </c>
      <c r="U96" s="47">
        <f t="shared" ca="1" si="47"/>
        <v>77604996.570290476</v>
      </c>
      <c r="V96" s="47">
        <f>'Monthly Data'!G96</f>
        <v>949414.38443725125</v>
      </c>
      <c r="W96" s="47">
        <f ca="1">+'Monthly Data'!H96</f>
        <v>1331937.9956147047</v>
      </c>
      <c r="X96" s="47">
        <f t="shared" ca="1" si="48"/>
        <v>79886348.950342432</v>
      </c>
    </row>
    <row r="97" spans="1:24">
      <c r="A97" s="2">
        <f>'Monthly Data'!A97</f>
        <v>45261</v>
      </c>
      <c r="B97">
        <f>'Monthly Data'!B97</f>
        <v>2023</v>
      </c>
      <c r="C97">
        <f>'Monthly Data'!C97</f>
        <v>12</v>
      </c>
      <c r="D97" s="3">
        <f ca="1">'Monthly Data'!I97</f>
        <v>88352265.069595799</v>
      </c>
      <c r="E97" s="3">
        <f t="shared" ref="E97:F97" ca="1" si="110">E85</f>
        <v>664.38541666666663</v>
      </c>
      <c r="F97" s="3">
        <f t="shared" ca="1" si="110"/>
        <v>0</v>
      </c>
      <c r="G97" s="3">
        <f>'Monthly Data'!EM97</f>
        <v>0</v>
      </c>
      <c r="H97" s="3">
        <f>'Monthly Data'!ER97</f>
        <v>0</v>
      </c>
      <c r="I97" s="3">
        <f>'Monthly Data'!EG97</f>
        <v>0</v>
      </c>
      <c r="J97" s="3">
        <f>'Monthly Data'!DQ97</f>
        <v>31</v>
      </c>
      <c r="K97">
        <f>'Monthly Data'!EH97</f>
        <v>96</v>
      </c>
      <c r="M97" s="436">
        <f t="shared" si="72"/>
        <v>-9235786.3729357291</v>
      </c>
      <c r="N97" s="3">
        <f t="shared" ca="1" si="80"/>
        <v>29700495.637368772</v>
      </c>
      <c r="O97" s="3">
        <f t="shared" ca="1" si="81"/>
        <v>0</v>
      </c>
      <c r="P97" s="3">
        <f t="shared" si="73"/>
        <v>0</v>
      </c>
      <c r="Q97" s="3">
        <f t="shared" si="74"/>
        <v>0</v>
      </c>
      <c r="R97" s="3">
        <f t="shared" si="75"/>
        <v>0</v>
      </c>
      <c r="S97" s="3">
        <f t="shared" si="76"/>
        <v>59495027.773339681</v>
      </c>
      <c r="T97" s="3">
        <f t="shared" si="77"/>
        <v>10137982.421582112</v>
      </c>
      <c r="U97" s="47">
        <f t="shared" ca="1" si="47"/>
        <v>90097719.459354833</v>
      </c>
      <c r="V97" s="47">
        <f>'Monthly Data'!G97</f>
        <v>975955.25870892347</v>
      </c>
      <c r="W97" s="47">
        <f ca="1">+'Monthly Data'!H97</f>
        <v>1447475.038274199</v>
      </c>
      <c r="X97" s="47">
        <f t="shared" ca="1" si="48"/>
        <v>92521149.756337956</v>
      </c>
    </row>
    <row r="98" spans="1:24">
      <c r="A98" s="2">
        <f>'Monthly Data'!A98</f>
        <v>45292</v>
      </c>
      <c r="B98">
        <f>'Monthly Data'!B98</f>
        <v>2024</v>
      </c>
      <c r="C98">
        <f>'Monthly Data'!C98</f>
        <v>1</v>
      </c>
      <c r="D98" s="3">
        <f ca="1">'Monthly Data'!I98</f>
        <v>93322470.653139621</v>
      </c>
      <c r="E98" s="3">
        <f t="shared" ref="E98:F98" ca="1" si="111">E86</f>
        <v>752.78750000000002</v>
      </c>
      <c r="F98" s="3">
        <f t="shared" ca="1" si="111"/>
        <v>0</v>
      </c>
      <c r="G98" s="3">
        <f>'Monthly Data'!EM98</f>
        <v>0</v>
      </c>
      <c r="H98" s="3">
        <f>'Monthly Data'!ER98</f>
        <v>0</v>
      </c>
      <c r="I98" s="3">
        <f>'Monthly Data'!EG98</f>
        <v>0</v>
      </c>
      <c r="J98" s="3">
        <f>'Monthly Data'!DQ98</f>
        <v>31</v>
      </c>
      <c r="K98">
        <f>'Monthly Data'!EH98</f>
        <v>97</v>
      </c>
      <c r="M98" s="436">
        <f t="shared" ref="M98:M129" si="112">$AB$8</f>
        <v>-9235786.3729357291</v>
      </c>
      <c r="N98" s="3">
        <f t="shared" ca="1" si="80"/>
        <v>33652397.08570125</v>
      </c>
      <c r="O98" s="3">
        <f t="shared" ca="1" si="81"/>
        <v>0</v>
      </c>
      <c r="P98" s="3">
        <f t="shared" ref="P98:P129" si="113">G98*$AB$11</f>
        <v>0</v>
      </c>
      <c r="Q98" s="3">
        <f t="shared" ref="Q98:Q129" si="114">H98*$AB$12</f>
        <v>0</v>
      </c>
      <c r="R98" s="3">
        <f t="shared" ref="R98:R129" si="115">I98*$AB$13</f>
        <v>0</v>
      </c>
      <c r="S98" s="3">
        <f t="shared" ref="S98:S129" si="116">J98*$AB$14</f>
        <v>59495027.773339681</v>
      </c>
      <c r="T98" s="3">
        <f t="shared" ref="T98:T129" si="117">K98*$AB$15</f>
        <v>10243586.405140258</v>
      </c>
      <c r="U98" s="47">
        <f t="shared" ref="U98:U105" ca="1" si="118">SUM(M98:T98)</f>
        <v>94155224.891245455</v>
      </c>
      <c r="V98" s="47">
        <f>'Monthly Data'!G98</f>
        <v>1034537.6559909475</v>
      </c>
      <c r="W98" s="47">
        <f ca="1">+'Monthly Data'!H98</f>
        <v>2439159.8056478119</v>
      </c>
      <c r="X98" s="47">
        <f t="shared" ca="1" si="48"/>
        <v>97628922.352884203</v>
      </c>
    </row>
    <row r="99" spans="1:24">
      <c r="A99" s="2">
        <f>'Monthly Data'!A99</f>
        <v>45323</v>
      </c>
      <c r="B99">
        <f>'Monthly Data'!B99</f>
        <v>2024</v>
      </c>
      <c r="C99">
        <f>'Monthly Data'!C99</f>
        <v>2</v>
      </c>
      <c r="D99" s="3">
        <f ca="1">'Monthly Data'!I99</f>
        <v>80936375.031165853</v>
      </c>
      <c r="E99" s="3">
        <f t="shared" ref="E99:F99" ca="1" si="119">E87</f>
        <v>660.7954166666666</v>
      </c>
      <c r="F99" s="3">
        <f t="shared" ca="1" si="119"/>
        <v>0</v>
      </c>
      <c r="G99" s="3">
        <f>'Monthly Data'!EM99</f>
        <v>0</v>
      </c>
      <c r="H99" s="3">
        <f>'Monthly Data'!ER99</f>
        <v>0</v>
      </c>
      <c r="I99" s="3">
        <f>'Monthly Data'!EG99</f>
        <v>0</v>
      </c>
      <c r="J99" s="3">
        <f>'Monthly Data'!DQ99</f>
        <v>29</v>
      </c>
      <c r="K99">
        <f>'Monthly Data'!EH99</f>
        <v>98</v>
      </c>
      <c r="M99" s="436">
        <f t="shared" si="112"/>
        <v>-9235786.3729357291</v>
      </c>
      <c r="N99" s="3">
        <f t="shared" ca="1" si="80"/>
        <v>29540009.304190192</v>
      </c>
      <c r="O99" s="3">
        <f t="shared" ca="1" si="81"/>
        <v>0</v>
      </c>
      <c r="P99" s="3">
        <f t="shared" si="113"/>
        <v>0</v>
      </c>
      <c r="Q99" s="3">
        <f t="shared" si="114"/>
        <v>0</v>
      </c>
      <c r="R99" s="3">
        <f t="shared" si="115"/>
        <v>0</v>
      </c>
      <c r="S99" s="3">
        <f t="shared" si="116"/>
        <v>55656638.884737119</v>
      </c>
      <c r="T99" s="3">
        <f t="shared" si="117"/>
        <v>10349190.388698407</v>
      </c>
      <c r="U99" s="47">
        <f t="shared" ca="1" si="118"/>
        <v>86310052.20468998</v>
      </c>
      <c r="V99" s="47">
        <f>'Monthly Data'!G99</f>
        <v>1066579.1790012997</v>
      </c>
      <c r="W99" s="47">
        <f ca="1">+'Monthly Data'!H99</f>
        <v>2079106.9577481379</v>
      </c>
      <c r="X99" s="47">
        <f t="shared" ca="1" si="48"/>
        <v>89455738.341439426</v>
      </c>
    </row>
    <row r="100" spans="1:24">
      <c r="A100" s="2">
        <f>'Monthly Data'!A100</f>
        <v>45352</v>
      </c>
      <c r="B100">
        <f>'Monthly Data'!B100</f>
        <v>2024</v>
      </c>
      <c r="C100">
        <f>'Monthly Data'!C100</f>
        <v>3</v>
      </c>
      <c r="D100" s="3">
        <f ca="1">'Monthly Data'!I100</f>
        <v>80513136.016626269</v>
      </c>
      <c r="E100" s="3">
        <f t="shared" ref="E100:F100" ca="1" si="120">E88</f>
        <v>596.21590579710141</v>
      </c>
      <c r="F100" s="3">
        <f t="shared" ca="1" si="120"/>
        <v>0</v>
      </c>
      <c r="G100" s="3">
        <f>'Monthly Data'!EM100</f>
        <v>0</v>
      </c>
      <c r="H100" s="3">
        <f>'Monthly Data'!ER100</f>
        <v>0</v>
      </c>
      <c r="I100" s="3">
        <f>'Monthly Data'!EG100</f>
        <v>1</v>
      </c>
      <c r="J100" s="3">
        <f>'Monthly Data'!DQ100</f>
        <v>31</v>
      </c>
      <c r="K100">
        <f>'Monthly Data'!EH100</f>
        <v>99</v>
      </c>
      <c r="M100" s="436">
        <f t="shared" si="112"/>
        <v>-9235786.3729357291</v>
      </c>
      <c r="N100" s="3">
        <f t="shared" ca="1" si="80"/>
        <v>26653065.321481969</v>
      </c>
      <c r="O100" s="3">
        <f t="shared" ca="1" si="81"/>
        <v>0</v>
      </c>
      <c r="P100" s="3">
        <f t="shared" si="113"/>
        <v>0</v>
      </c>
      <c r="Q100" s="3">
        <f t="shared" si="114"/>
        <v>0</v>
      </c>
      <c r="R100" s="3">
        <f t="shared" si="115"/>
        <v>-2958956.3975358699</v>
      </c>
      <c r="S100" s="3">
        <f t="shared" si="116"/>
        <v>59495027.773339681</v>
      </c>
      <c r="T100" s="3">
        <f t="shared" si="117"/>
        <v>10454794.372256553</v>
      </c>
      <c r="U100" s="47">
        <f t="shared" ca="1" si="118"/>
        <v>84408144.696606591</v>
      </c>
      <c r="V100" s="47">
        <f>'Monthly Data'!G100</f>
        <v>1098620.7020116516</v>
      </c>
      <c r="W100" s="47">
        <f ca="1">+'Monthly Data'!H100</f>
        <v>1761844.9875932659</v>
      </c>
      <c r="X100" s="47">
        <f t="shared" ca="1" si="48"/>
        <v>87268610.3862115</v>
      </c>
    </row>
    <row r="101" spans="1:24">
      <c r="A101" s="2">
        <f>'Monthly Data'!A101</f>
        <v>45383</v>
      </c>
      <c r="B101">
        <f>'Monthly Data'!B101</f>
        <v>2024</v>
      </c>
      <c r="C101">
        <f>'Monthly Data'!C101</f>
        <v>4</v>
      </c>
      <c r="D101" s="3">
        <f ca="1">'Monthly Data'!I101</f>
        <v>71105920.902672291</v>
      </c>
      <c r="E101" s="3">
        <f t="shared" ref="E101:F101" ca="1" si="121">E89</f>
        <v>412.8885416666667</v>
      </c>
      <c r="F101" s="3">
        <f t="shared" ca="1" si="121"/>
        <v>0.4316666666666677</v>
      </c>
      <c r="G101" s="3">
        <f>'Monthly Data'!EM101</f>
        <v>0</v>
      </c>
      <c r="H101" s="3">
        <f>'Monthly Data'!ER101</f>
        <v>0</v>
      </c>
      <c r="I101" s="3">
        <f>'Monthly Data'!EG101</f>
        <v>1</v>
      </c>
      <c r="J101" s="3">
        <f>'Monthly Data'!DQ101</f>
        <v>30</v>
      </c>
      <c r="K101">
        <f>'Monthly Data'!EH101</f>
        <v>100</v>
      </c>
      <c r="M101" s="436">
        <f t="shared" si="112"/>
        <v>-9235786.3729357291</v>
      </c>
      <c r="N101" s="3">
        <f t="shared" ca="1" si="80"/>
        <v>18457651.271179151</v>
      </c>
      <c r="O101" s="3">
        <f t="shared" ca="1" si="81"/>
        <v>115388.71786790752</v>
      </c>
      <c r="P101" s="3">
        <f t="shared" si="113"/>
        <v>0</v>
      </c>
      <c r="Q101" s="3">
        <f t="shared" si="114"/>
        <v>0</v>
      </c>
      <c r="R101" s="3">
        <f t="shared" si="115"/>
        <v>-2958956.3975358699</v>
      </c>
      <c r="S101" s="3">
        <f t="shared" si="116"/>
        <v>57575833.329038396</v>
      </c>
      <c r="T101" s="3">
        <f t="shared" si="117"/>
        <v>10560398.355814699</v>
      </c>
      <c r="U101" s="47">
        <f t="shared" ca="1" si="118"/>
        <v>74514528.903428555</v>
      </c>
      <c r="V101" s="47">
        <f>'Monthly Data'!G101</f>
        <v>1130662.2250220038</v>
      </c>
      <c r="W101" s="47">
        <f ca="1">+'Monthly Data'!H101</f>
        <v>1180522.4573655641</v>
      </c>
      <c r="X101" s="47">
        <f t="shared" ca="1" si="48"/>
        <v>76825713.585816115</v>
      </c>
    </row>
    <row r="102" spans="1:24">
      <c r="A102" s="2">
        <f>'Monthly Data'!A102</f>
        <v>45413</v>
      </c>
      <c r="B102">
        <f>'Monthly Data'!B102</f>
        <v>2024</v>
      </c>
      <c r="C102">
        <f>'Monthly Data'!C102</f>
        <v>5</v>
      </c>
      <c r="D102" s="3">
        <f ca="1">'Monthly Data'!I102</f>
        <v>72539349.896218315</v>
      </c>
      <c r="E102" s="3">
        <f t="shared" ref="E102:F102" ca="1" si="122">E90</f>
        <v>208.90012508544086</v>
      </c>
      <c r="F102" s="3">
        <f t="shared" ca="1" si="122"/>
        <v>26.958863636363635</v>
      </c>
      <c r="G102" s="3">
        <f>'Monthly Data'!EM102</f>
        <v>0</v>
      </c>
      <c r="H102" s="3">
        <f>'Monthly Data'!ER102</f>
        <v>0</v>
      </c>
      <c r="I102" s="3">
        <f>'Monthly Data'!EG102</f>
        <v>1</v>
      </c>
      <c r="J102" s="3">
        <f>'Monthly Data'!DQ102</f>
        <v>31</v>
      </c>
      <c r="K102">
        <f>'Monthly Data'!EH102</f>
        <v>101</v>
      </c>
      <c r="M102" s="436">
        <f t="shared" si="112"/>
        <v>-9235786.3729357291</v>
      </c>
      <c r="N102" s="3">
        <f t="shared" ca="1" si="80"/>
        <v>9338611.4416457731</v>
      </c>
      <c r="O102" s="3">
        <f t="shared" ca="1" si="81"/>
        <v>7206367.6683608042</v>
      </c>
      <c r="P102" s="3">
        <f t="shared" si="113"/>
        <v>0</v>
      </c>
      <c r="Q102" s="3">
        <f t="shared" si="114"/>
        <v>0</v>
      </c>
      <c r="R102" s="3">
        <f t="shared" si="115"/>
        <v>-2958956.3975358699</v>
      </c>
      <c r="S102" s="3">
        <f t="shared" si="116"/>
        <v>59495027.773339681</v>
      </c>
      <c r="T102" s="3">
        <f t="shared" si="117"/>
        <v>10666002.339372847</v>
      </c>
      <c r="U102" s="47">
        <f t="shared" ca="1" si="118"/>
        <v>74511266.4522475</v>
      </c>
      <c r="V102" s="47">
        <f>'Monthly Data'!G102</f>
        <v>1162703.7480323559</v>
      </c>
      <c r="W102" s="47">
        <f ca="1">+'Monthly Data'!H102</f>
        <v>342821.62196216953</v>
      </c>
      <c r="X102" s="47">
        <f t="shared" ca="1" si="48"/>
        <v>76016791.822242036</v>
      </c>
    </row>
    <row r="103" spans="1:24">
      <c r="A103" s="2">
        <f>'Monthly Data'!A103</f>
        <v>45444</v>
      </c>
      <c r="B103">
        <f>'Monthly Data'!B103</f>
        <v>2024</v>
      </c>
      <c r="C103">
        <f>'Monthly Data'!C103</f>
        <v>6</v>
      </c>
      <c r="D103" s="3">
        <f ca="1">'Monthly Data'!I103</f>
        <v>88814453.820362926</v>
      </c>
      <c r="E103" s="3">
        <f t="shared" ref="E103:F103" ca="1" si="123">E91</f>
        <v>61.78217382617381</v>
      </c>
      <c r="F103" s="3">
        <f t="shared" ca="1" si="123"/>
        <v>92.933549595332209</v>
      </c>
      <c r="G103" s="3">
        <f>'Monthly Data'!EM103</f>
        <v>0</v>
      </c>
      <c r="H103" s="3">
        <f>'Monthly Data'!ER103</f>
        <v>0</v>
      </c>
      <c r="I103" s="3">
        <f>'Monthly Data'!EG103</f>
        <v>0</v>
      </c>
      <c r="J103" s="3">
        <f>'Monthly Data'!DQ103</f>
        <v>30</v>
      </c>
      <c r="K103">
        <f>'Monthly Data'!EH103</f>
        <v>102</v>
      </c>
      <c r="M103" s="436">
        <f t="shared" si="112"/>
        <v>-9235786.3729357291</v>
      </c>
      <c r="N103" s="3">
        <f t="shared" ca="1" si="80"/>
        <v>2761892.6276222966</v>
      </c>
      <c r="O103" s="3">
        <f t="shared" ca="1" si="81"/>
        <v>24842045.8719358</v>
      </c>
      <c r="P103" s="3">
        <f t="shared" si="113"/>
        <v>0</v>
      </c>
      <c r="Q103" s="3">
        <f t="shared" si="114"/>
        <v>0</v>
      </c>
      <c r="R103" s="3">
        <f t="shared" si="115"/>
        <v>0</v>
      </c>
      <c r="S103" s="3">
        <f t="shared" si="116"/>
        <v>57575833.329038396</v>
      </c>
      <c r="T103" s="3">
        <f t="shared" si="117"/>
        <v>10771606.322930994</v>
      </c>
      <c r="U103" s="47">
        <f t="shared" ca="1" si="118"/>
        <v>86715591.778591752</v>
      </c>
      <c r="V103" s="47">
        <f>'Monthly Data'!G103</f>
        <v>1194745.2710427078</v>
      </c>
      <c r="W103" s="47">
        <f ca="1">+'Monthly Data'!H103</f>
        <v>120889.8138226536</v>
      </c>
      <c r="X103" s="47">
        <f t="shared" ca="1" si="48"/>
        <v>88031226.863457114</v>
      </c>
    </row>
    <row r="104" spans="1:24">
      <c r="A104" s="2">
        <f>'Monthly Data'!A104</f>
        <v>45474</v>
      </c>
      <c r="B104">
        <f>'Monthly Data'!B104</f>
        <v>2024</v>
      </c>
      <c r="C104">
        <f>'Monthly Data'!C104</f>
        <v>7</v>
      </c>
      <c r="D104" s="3">
        <f ca="1">'Monthly Data'!I104</f>
        <v>113119624.36704701</v>
      </c>
      <c r="E104" s="3">
        <f t="shared" ref="E104:F104" ca="1" si="124">E92</f>
        <v>8.334479813664597</v>
      </c>
      <c r="F104" s="3">
        <f t="shared" ca="1" si="124"/>
        <v>180.79967025394512</v>
      </c>
      <c r="G104" s="3">
        <f>'Monthly Data'!EM104</f>
        <v>0</v>
      </c>
      <c r="H104" s="3">
        <f>'Monthly Data'!ER104</f>
        <v>0</v>
      </c>
      <c r="I104" s="3">
        <f>'Monthly Data'!EG104</f>
        <v>0</v>
      </c>
      <c r="J104" s="3">
        <f>'Monthly Data'!DQ104</f>
        <v>31</v>
      </c>
      <c r="K104">
        <f>'Monthly Data'!EH104</f>
        <v>103</v>
      </c>
      <c r="M104" s="436">
        <f t="shared" si="112"/>
        <v>-9235786.3729357291</v>
      </c>
      <c r="N104" s="3">
        <f t="shared" ca="1" si="80"/>
        <v>372582.2017398036</v>
      </c>
      <c r="O104" s="3">
        <f t="shared" ca="1" si="81"/>
        <v>48329518.474617302</v>
      </c>
      <c r="P104" s="3">
        <f t="shared" si="113"/>
        <v>0</v>
      </c>
      <c r="Q104" s="3">
        <f t="shared" si="114"/>
        <v>0</v>
      </c>
      <c r="R104" s="3">
        <f t="shared" si="115"/>
        <v>0</v>
      </c>
      <c r="S104" s="3">
        <f t="shared" si="116"/>
        <v>59495027.773339681</v>
      </c>
      <c r="T104" s="3">
        <f t="shared" si="117"/>
        <v>10877210.30648914</v>
      </c>
      <c r="U104" s="47">
        <f t="shared" ca="1" si="118"/>
        <v>109838552.38325021</v>
      </c>
      <c r="V104" s="47">
        <f>'Monthly Data'!G104</f>
        <v>1226786.79405306</v>
      </c>
      <c r="W104" s="47">
        <f ca="1">+'Monthly Data'!H104</f>
        <v>1260.4322676507477</v>
      </c>
      <c r="X104" s="47">
        <f t="shared" ca="1" si="48"/>
        <v>111066599.60957092</v>
      </c>
    </row>
    <row r="105" spans="1:24">
      <c r="A105" s="2">
        <f>'Monthly Data'!A105</f>
        <v>45505</v>
      </c>
      <c r="B105">
        <f>'Monthly Data'!B105</f>
        <v>2024</v>
      </c>
      <c r="C105">
        <f>'Monthly Data'!C105</f>
        <v>8</v>
      </c>
      <c r="D105" s="3">
        <f ca="1">'Monthly Data'!I105</f>
        <v>103922741.91547874</v>
      </c>
      <c r="E105" s="3">
        <f t="shared" ref="E105:F105" ca="1" si="125">E93</f>
        <v>21.054927536231883</v>
      </c>
      <c r="F105" s="3">
        <f t="shared" ca="1" si="125"/>
        <v>153.08475461133071</v>
      </c>
      <c r="G105" s="3">
        <f>'Monthly Data'!EM105</f>
        <v>0</v>
      </c>
      <c r="H105" s="3">
        <f>'Monthly Data'!ER105</f>
        <v>0</v>
      </c>
      <c r="I105" s="3">
        <f>'Monthly Data'!EG105</f>
        <v>0</v>
      </c>
      <c r="J105" s="3">
        <f>'Monthly Data'!DQ105</f>
        <v>31</v>
      </c>
      <c r="K105">
        <f>'Monthly Data'!EH105</f>
        <v>104</v>
      </c>
      <c r="M105" s="436">
        <f t="shared" si="112"/>
        <v>-9235786.3729357291</v>
      </c>
      <c r="N105" s="3">
        <f t="shared" ca="1" si="80"/>
        <v>941233.45839289424</v>
      </c>
      <c r="O105" s="3">
        <f t="shared" ca="1" si="81"/>
        <v>40921050.717508845</v>
      </c>
      <c r="P105" s="3">
        <f t="shared" si="113"/>
        <v>0</v>
      </c>
      <c r="Q105" s="3">
        <f t="shared" si="114"/>
        <v>0</v>
      </c>
      <c r="R105" s="3">
        <f t="shared" si="115"/>
        <v>0</v>
      </c>
      <c r="S105" s="3">
        <f t="shared" si="116"/>
        <v>59495027.773339681</v>
      </c>
      <c r="T105" s="3">
        <f t="shared" si="117"/>
        <v>10982814.290047288</v>
      </c>
      <c r="U105" s="47">
        <f t="shared" ca="1" si="118"/>
        <v>103104339.86635298</v>
      </c>
      <c r="V105" s="47">
        <f>'Monthly Data'!G105</f>
        <v>1258828.3170634122</v>
      </c>
      <c r="W105" s="47">
        <f ca="1">+'Monthly Data'!H105</f>
        <v>31526.761530099502</v>
      </c>
      <c r="X105" s="47">
        <f t="shared" ca="1" si="48"/>
        <v>104394694.94494648</v>
      </c>
    </row>
    <row r="106" spans="1:24">
      <c r="A106" s="2">
        <f>'Monthly Data'!A106</f>
        <v>45536</v>
      </c>
      <c r="B106">
        <f>'Monthly Data'!B106</f>
        <v>2024</v>
      </c>
      <c r="C106">
        <f>'Monthly Data'!C106</f>
        <v>9</v>
      </c>
      <c r="D106" s="3">
        <f ca="1">'Monthly Data'!I106</f>
        <v>81529010.336845115</v>
      </c>
      <c r="E106" s="3">
        <f t="shared" ref="E106:F106" ca="1" si="126">E94</f>
        <v>97.667119565217376</v>
      </c>
      <c r="F106" s="3">
        <f t="shared" ca="1" si="126"/>
        <v>58.118749999999991</v>
      </c>
      <c r="G106" s="3">
        <f>'Monthly Data'!EM106</f>
        <v>0</v>
      </c>
      <c r="H106" s="3">
        <f>'Monthly Data'!ER106</f>
        <v>0</v>
      </c>
      <c r="I106" s="3">
        <f>'Monthly Data'!EG106</f>
        <v>1</v>
      </c>
      <c r="J106" s="3">
        <f>'Monthly Data'!DQ106</f>
        <v>30</v>
      </c>
      <c r="K106">
        <f>'Monthly Data'!EH106</f>
        <v>105</v>
      </c>
      <c r="M106" s="436">
        <f t="shared" si="112"/>
        <v>-9235786.3729357291</v>
      </c>
      <c r="N106" s="3">
        <f t="shared" ca="1" si="80"/>
        <v>4366082.9780321233</v>
      </c>
      <c r="O106" s="3">
        <f t="shared" ca="1" si="81"/>
        <v>15535709.760429574</v>
      </c>
      <c r="P106" s="3">
        <f t="shared" si="113"/>
        <v>0</v>
      </c>
      <c r="Q106" s="3">
        <f t="shared" si="114"/>
        <v>0</v>
      </c>
      <c r="R106" s="3">
        <f t="shared" si="115"/>
        <v>-2958956.3975358699</v>
      </c>
      <c r="S106" s="3">
        <f t="shared" si="116"/>
        <v>57575833.329038396</v>
      </c>
      <c r="T106" s="3">
        <f t="shared" si="117"/>
        <v>11088418.273605434</v>
      </c>
      <c r="U106" s="47">
        <f t="shared" ref="U106:U111" ca="1" si="127">SUM(M106:T106)</f>
        <v>76371301.570633933</v>
      </c>
      <c r="V106" s="47">
        <f>'Monthly Data'!G106</f>
        <v>1290869.8400737641</v>
      </c>
      <c r="W106" s="47">
        <f ca="1">+'Monthly Data'!H106</f>
        <v>112449.70408104299</v>
      </c>
      <c r="X106" s="47">
        <f t="shared" ref="X106:X111" ca="1" si="128">U106+V106+W106</f>
        <v>77774621.114788741</v>
      </c>
    </row>
    <row r="107" spans="1:24">
      <c r="A107" s="2">
        <f>'Monthly Data'!A107</f>
        <v>45566</v>
      </c>
      <c r="B107">
        <f>'Monthly Data'!B107</f>
        <v>2024</v>
      </c>
      <c r="C107">
        <f>'Monthly Data'!C107</f>
        <v>10</v>
      </c>
      <c r="D107" s="3">
        <f ca="1">'Monthly Data'!I107</f>
        <v>71451805.468811825</v>
      </c>
      <c r="E107" s="3">
        <f t="shared" ref="E107:F107" ca="1" si="129">E95</f>
        <v>292.46431159420291</v>
      </c>
      <c r="F107" s="3">
        <f t="shared" ca="1" si="129"/>
        <v>7.9825000000000035</v>
      </c>
      <c r="G107" s="3">
        <f>'Monthly Data'!EM107</f>
        <v>0</v>
      </c>
      <c r="H107" s="3">
        <f>'Monthly Data'!ER107</f>
        <v>0</v>
      </c>
      <c r="I107" s="3">
        <f>'Monthly Data'!EG107</f>
        <v>1</v>
      </c>
      <c r="J107" s="3">
        <f>'Monthly Data'!DQ107</f>
        <v>31</v>
      </c>
      <c r="K107">
        <f>'Monthly Data'!EH107</f>
        <v>106</v>
      </c>
      <c r="M107" s="436">
        <f t="shared" si="112"/>
        <v>-9235786.3729357291</v>
      </c>
      <c r="N107" s="3">
        <f t="shared" ca="1" si="80"/>
        <v>13074240.934080835</v>
      </c>
      <c r="O107" s="3">
        <f t="shared" ca="1" si="81"/>
        <v>2133800.2479858762</v>
      </c>
      <c r="P107" s="3">
        <f t="shared" si="113"/>
        <v>0</v>
      </c>
      <c r="Q107" s="3">
        <f t="shared" si="114"/>
        <v>0</v>
      </c>
      <c r="R107" s="3">
        <f t="shared" si="115"/>
        <v>-2958956.3975358699</v>
      </c>
      <c r="S107" s="3">
        <f t="shared" si="116"/>
        <v>59495027.773339681</v>
      </c>
      <c r="T107" s="3">
        <f t="shared" si="117"/>
        <v>11194022.257163582</v>
      </c>
      <c r="U107" s="47">
        <f t="shared" ca="1" si="127"/>
        <v>73702348.442098379</v>
      </c>
      <c r="V107" s="47">
        <f>'Monthly Data'!G107</f>
        <v>1322911.3630841163</v>
      </c>
      <c r="W107" s="47">
        <f ca="1">+'Monthly Data'!H107</f>
        <v>895800.38100656052</v>
      </c>
      <c r="X107" s="47">
        <f t="shared" ca="1" si="128"/>
        <v>75921060.186189055</v>
      </c>
    </row>
    <row r="108" spans="1:24">
      <c r="A108" s="2">
        <f>'Monthly Data'!A108</f>
        <v>45597</v>
      </c>
      <c r="B108">
        <f>'Monthly Data'!B108</f>
        <v>2024</v>
      </c>
      <c r="C108">
        <f>'Monthly Data'!C108</f>
        <v>11</v>
      </c>
      <c r="D108" s="3">
        <f ca="1">'Monthly Data'!I108</f>
        <v>75242664.600842655</v>
      </c>
      <c r="E108" s="3">
        <f t="shared" ref="E108:F108" ca="1" si="130">E96</f>
        <v>495.51408055712409</v>
      </c>
      <c r="F108" s="3">
        <f t="shared" ca="1" si="130"/>
        <v>0.15041666666666628</v>
      </c>
      <c r="G108" s="3">
        <f>'Monthly Data'!EM108</f>
        <v>0</v>
      </c>
      <c r="H108" s="3">
        <f>'Monthly Data'!ER108</f>
        <v>0</v>
      </c>
      <c r="I108" s="3">
        <f>'Monthly Data'!EG108</f>
        <v>1</v>
      </c>
      <c r="J108" s="3">
        <f>'Monthly Data'!DQ108</f>
        <v>30</v>
      </c>
      <c r="K108">
        <f>'Monthly Data'!EH108</f>
        <v>107</v>
      </c>
      <c r="M108" s="436">
        <f t="shared" si="112"/>
        <v>-9235786.3729357291</v>
      </c>
      <c r="N108" s="3">
        <f t="shared" ca="1" si="80"/>
        <v>22151319.72896003</v>
      </c>
      <c r="O108" s="3">
        <f t="shared" ca="1" si="81"/>
        <v>40207.844739685723</v>
      </c>
      <c r="P108" s="3">
        <f t="shared" si="113"/>
        <v>0</v>
      </c>
      <c r="Q108" s="3">
        <f t="shared" si="114"/>
        <v>0</v>
      </c>
      <c r="R108" s="3">
        <f t="shared" si="115"/>
        <v>-2958956.3975358699</v>
      </c>
      <c r="S108" s="3">
        <f t="shared" si="116"/>
        <v>57575833.329038396</v>
      </c>
      <c r="T108" s="3">
        <f t="shared" si="117"/>
        <v>11299626.240721729</v>
      </c>
      <c r="U108" s="47">
        <f t="shared" ca="1" si="127"/>
        <v>78872244.372988239</v>
      </c>
      <c r="V108" s="47">
        <f>'Monthly Data'!G108</f>
        <v>1354952.8860944682</v>
      </c>
      <c r="W108" s="47">
        <f ca="1">+'Monthly Data'!H108</f>
        <v>1402589.8816351434</v>
      </c>
      <c r="X108" s="47">
        <f t="shared" ca="1" si="128"/>
        <v>81629787.140717849</v>
      </c>
    </row>
    <row r="109" spans="1:24">
      <c r="A109" s="2">
        <f>'Monthly Data'!A109</f>
        <v>45627</v>
      </c>
      <c r="B109">
        <f>'Monthly Data'!B109</f>
        <v>2024</v>
      </c>
      <c r="C109">
        <f>'Monthly Data'!C109</f>
        <v>12</v>
      </c>
      <c r="D109" s="3">
        <f ca="1">'Monthly Data'!I109</f>
        <v>93563825.522417054</v>
      </c>
      <c r="E109" s="3">
        <f t="shared" ref="E109:F109" ca="1" si="131">E97</f>
        <v>664.38541666666663</v>
      </c>
      <c r="F109" s="3">
        <f t="shared" ca="1" si="131"/>
        <v>0</v>
      </c>
      <c r="G109" s="3">
        <f>'Monthly Data'!EM109</f>
        <v>0</v>
      </c>
      <c r="H109" s="3">
        <f>'Monthly Data'!ER109</f>
        <v>0</v>
      </c>
      <c r="I109" s="3">
        <f>'Monthly Data'!EG109</f>
        <v>0</v>
      </c>
      <c r="J109" s="3">
        <f>'Monthly Data'!DQ109</f>
        <v>31</v>
      </c>
      <c r="K109">
        <f>'Monthly Data'!EH109</f>
        <v>108</v>
      </c>
      <c r="M109" s="436">
        <f t="shared" si="112"/>
        <v>-9235786.3729357291</v>
      </c>
      <c r="N109" s="3">
        <f t="shared" ca="1" si="80"/>
        <v>29700495.637368772</v>
      </c>
      <c r="O109" s="3">
        <f t="shared" ca="1" si="81"/>
        <v>0</v>
      </c>
      <c r="P109" s="3">
        <f t="shared" si="113"/>
        <v>0</v>
      </c>
      <c r="Q109" s="3">
        <f t="shared" si="114"/>
        <v>0</v>
      </c>
      <c r="R109" s="3">
        <f t="shared" si="115"/>
        <v>0</v>
      </c>
      <c r="S109" s="3">
        <f t="shared" si="116"/>
        <v>59495027.773339681</v>
      </c>
      <c r="T109" s="3">
        <f t="shared" si="117"/>
        <v>11405230.224279875</v>
      </c>
      <c r="U109" s="47">
        <f t="shared" ca="1" si="127"/>
        <v>91364967.262052596</v>
      </c>
      <c r="V109" s="47">
        <f>'Monthly Data'!G109</f>
        <v>1386994.4091048203</v>
      </c>
      <c r="W109" s="47">
        <f ca="1">+'Monthly Data'!H109</f>
        <v>2292040.2367869574</v>
      </c>
      <c r="X109" s="47">
        <f t="shared" ca="1" si="128"/>
        <v>95044001.907944381</v>
      </c>
    </row>
    <row r="110" spans="1:24">
      <c r="A110" s="2">
        <f>'Monthly Data'!A110</f>
        <v>45658</v>
      </c>
      <c r="B110">
        <f>'Monthly Data'!B110</f>
        <v>2025</v>
      </c>
      <c r="C110">
        <f>'Monthly Data'!C110</f>
        <v>1</v>
      </c>
      <c r="D110" s="3">
        <f ca="1">'Monthly Data'!I110</f>
        <v>95423691.29324168</v>
      </c>
      <c r="E110" s="3">
        <f t="shared" ref="E110:F110" ca="1" si="132">E98</f>
        <v>752.78750000000002</v>
      </c>
      <c r="F110" s="3">
        <f t="shared" ca="1" si="132"/>
        <v>0</v>
      </c>
      <c r="G110" s="3">
        <f>'Monthly Data'!EM110</f>
        <v>0</v>
      </c>
      <c r="H110" s="3">
        <f>'Monthly Data'!ER110</f>
        <v>0</v>
      </c>
      <c r="I110" s="3">
        <f>'Monthly Data'!EG110</f>
        <v>0</v>
      </c>
      <c r="J110" s="3">
        <f>'Monthly Data'!DQ110</f>
        <v>31</v>
      </c>
      <c r="K110">
        <f>'Monthly Data'!EH110</f>
        <v>109</v>
      </c>
      <c r="M110" s="436">
        <f t="shared" si="112"/>
        <v>-9235786.3729357291</v>
      </c>
      <c r="N110" s="3">
        <f t="shared" ca="1" si="80"/>
        <v>33652397.08570125</v>
      </c>
      <c r="O110" s="3">
        <f t="shared" ca="1" si="81"/>
        <v>0</v>
      </c>
      <c r="P110" s="3">
        <f t="shared" si="113"/>
        <v>0</v>
      </c>
      <c r="Q110" s="3">
        <f t="shared" si="114"/>
        <v>0</v>
      </c>
      <c r="R110" s="3">
        <f t="shared" si="115"/>
        <v>0</v>
      </c>
      <c r="S110" s="3">
        <f t="shared" si="116"/>
        <v>59495027.773339681</v>
      </c>
      <c r="T110" s="3">
        <f t="shared" si="117"/>
        <v>11510834.207838023</v>
      </c>
      <c r="U110" s="47">
        <f t="shared" ca="1" si="127"/>
        <v>95422472.693943232</v>
      </c>
      <c r="V110" s="47">
        <f>'Monthly Data'!G110</f>
        <v>1445380.3623484408</v>
      </c>
      <c r="W110" s="47">
        <f ca="1">+'Monthly Data'!H110</f>
        <v>3483794.9362935061</v>
      </c>
      <c r="X110" s="47">
        <f t="shared" ca="1" si="128"/>
        <v>100351647.99258518</v>
      </c>
    </row>
    <row r="111" spans="1:24">
      <c r="A111" s="2">
        <f>'Monthly Data'!A111</f>
        <v>45689</v>
      </c>
      <c r="B111">
        <f>'Monthly Data'!B111</f>
        <v>2025</v>
      </c>
      <c r="C111">
        <f>'Monthly Data'!C111</f>
        <v>2</v>
      </c>
      <c r="D111" s="3">
        <f ca="1">'Monthly Data'!I111</f>
        <v>85036383.504601583</v>
      </c>
      <c r="E111" s="3">
        <f t="shared" ref="E111:F111" ca="1" si="133">E99</f>
        <v>660.7954166666666</v>
      </c>
      <c r="F111" s="3">
        <f t="shared" ca="1" si="133"/>
        <v>0</v>
      </c>
      <c r="G111" s="3">
        <f>'Monthly Data'!EM111</f>
        <v>0</v>
      </c>
      <c r="H111" s="3">
        <f>'Monthly Data'!ER111</f>
        <v>0</v>
      </c>
      <c r="I111" s="3">
        <f>'Monthly Data'!EG111</f>
        <v>0</v>
      </c>
      <c r="J111" s="3">
        <f>'Monthly Data'!DQ111</f>
        <v>28</v>
      </c>
      <c r="K111">
        <f>'Monthly Data'!EH111</f>
        <v>110</v>
      </c>
      <c r="M111" s="436">
        <f t="shared" si="112"/>
        <v>-9235786.3729357291</v>
      </c>
      <c r="N111" s="3">
        <f t="shared" ca="1" si="80"/>
        <v>29540009.304190192</v>
      </c>
      <c r="O111" s="3">
        <f t="shared" ca="1" si="81"/>
        <v>0</v>
      </c>
      <c r="P111" s="3">
        <f t="shared" si="113"/>
        <v>0</v>
      </c>
      <c r="Q111" s="3">
        <f t="shared" si="114"/>
        <v>0</v>
      </c>
      <c r="R111" s="3">
        <f t="shared" si="115"/>
        <v>0</v>
      </c>
      <c r="S111" s="3">
        <f t="shared" si="116"/>
        <v>53737444.440435842</v>
      </c>
      <c r="T111" s="3">
        <f t="shared" si="117"/>
        <v>11616438.191396169</v>
      </c>
      <c r="U111" s="47">
        <f t="shared" ca="1" si="127"/>
        <v>85658105.56308648</v>
      </c>
      <c r="V111" s="47">
        <f>'Monthly Data'!G111</f>
        <v>1471724.7925817093</v>
      </c>
      <c r="W111" s="47">
        <f ca="1">+'Monthly Data'!H111</f>
        <v>3164315.2718622722</v>
      </c>
      <c r="X111" s="47">
        <f t="shared" ca="1" si="128"/>
        <v>90294145.627530456</v>
      </c>
    </row>
    <row r="112" spans="1:24">
      <c r="A112" s="2">
        <f>'Monthly Data'!A112</f>
        <v>45717</v>
      </c>
      <c r="B112">
        <f>'Monthly Data'!B112</f>
        <v>2025</v>
      </c>
      <c r="C112">
        <f>'Monthly Data'!C112</f>
        <v>3</v>
      </c>
      <c r="D112" s="3">
        <f ca="1">'Monthly Data'!I112</f>
        <v>82706150.336421147</v>
      </c>
      <c r="E112" s="3">
        <f t="shared" ref="E112:F112" ca="1" si="134">E100</f>
        <v>596.21590579710141</v>
      </c>
      <c r="F112" s="3">
        <f t="shared" ca="1" si="134"/>
        <v>0</v>
      </c>
      <c r="G112" s="3">
        <f>'Monthly Data'!EM112</f>
        <v>0</v>
      </c>
      <c r="H112" s="3">
        <f>'Monthly Data'!ER112</f>
        <v>0</v>
      </c>
      <c r="I112" s="3">
        <f>'Monthly Data'!EG112</f>
        <v>1</v>
      </c>
      <c r="J112" s="3">
        <f>'Monthly Data'!DQ112</f>
        <v>31</v>
      </c>
      <c r="K112">
        <f>'Monthly Data'!EH112</f>
        <v>111</v>
      </c>
      <c r="M112" s="436">
        <f t="shared" si="112"/>
        <v>-9235786.3729357291</v>
      </c>
      <c r="N112" s="3">
        <f t="shared" ca="1" si="80"/>
        <v>26653065.321481969</v>
      </c>
      <c r="O112" s="3">
        <f t="shared" ca="1" si="81"/>
        <v>0</v>
      </c>
      <c r="P112" s="3">
        <f t="shared" si="113"/>
        <v>0</v>
      </c>
      <c r="Q112" s="3">
        <f t="shared" si="114"/>
        <v>0</v>
      </c>
      <c r="R112" s="3">
        <f t="shared" si="115"/>
        <v>-2958956.3975358699</v>
      </c>
      <c r="S112" s="3">
        <f t="shared" si="116"/>
        <v>59495027.773339681</v>
      </c>
      <c r="T112" s="3">
        <f t="shared" si="117"/>
        <v>11722042.174954316</v>
      </c>
      <c r="U112" s="47">
        <f t="shared" ref="U112:U121" ca="1" si="135">SUM(M112:T112)</f>
        <v>85675392.499304354</v>
      </c>
      <c r="V112" s="47">
        <f>'Monthly Data'!G112</f>
        <v>1498069.2228149779</v>
      </c>
      <c r="W112" s="47">
        <f ca="1">+'Monthly Data'!H112</f>
        <v>2466870.5528176329</v>
      </c>
      <c r="X112" s="47">
        <f t="shared" ref="X112:X121" ca="1" si="136">U112+V112+W112</f>
        <v>89640332.274936959</v>
      </c>
    </row>
    <row r="113" spans="1:24">
      <c r="A113" s="2">
        <f>'Monthly Data'!A113</f>
        <v>45748</v>
      </c>
      <c r="B113">
        <f>'Monthly Data'!B113</f>
        <v>2025</v>
      </c>
      <c r="C113">
        <f>'Monthly Data'!C113</f>
        <v>4</v>
      </c>
      <c r="D113" s="3">
        <f ca="1">'Monthly Data'!I113</f>
        <v>72689576.003862336</v>
      </c>
      <c r="E113" s="3">
        <f t="shared" ref="E113:F113" ca="1" si="137">E101</f>
        <v>412.8885416666667</v>
      </c>
      <c r="F113" s="3">
        <f t="shared" ca="1" si="137"/>
        <v>0.4316666666666677</v>
      </c>
      <c r="G113" s="3">
        <f>'Monthly Data'!EM113</f>
        <v>0</v>
      </c>
      <c r="H113" s="3">
        <f>'Monthly Data'!ER113</f>
        <v>0</v>
      </c>
      <c r="I113" s="3">
        <f>'Monthly Data'!EG113</f>
        <v>1</v>
      </c>
      <c r="J113" s="3">
        <f>'Monthly Data'!DQ113</f>
        <v>30</v>
      </c>
      <c r="K113">
        <f>'Monthly Data'!EH113</f>
        <v>112</v>
      </c>
      <c r="M113" s="436">
        <f t="shared" si="112"/>
        <v>-9235786.3729357291</v>
      </c>
      <c r="N113" s="3">
        <f t="shared" ca="1" si="80"/>
        <v>18457651.271179151</v>
      </c>
      <c r="O113" s="3">
        <f t="shared" ca="1" si="81"/>
        <v>115388.71786790752</v>
      </c>
      <c r="P113" s="3">
        <f t="shared" si="113"/>
        <v>0</v>
      </c>
      <c r="Q113" s="3">
        <f t="shared" si="114"/>
        <v>0</v>
      </c>
      <c r="R113" s="3">
        <f t="shared" si="115"/>
        <v>-2958956.3975358699</v>
      </c>
      <c r="S113" s="3">
        <f t="shared" si="116"/>
        <v>57575833.329038396</v>
      </c>
      <c r="T113" s="3">
        <f t="shared" si="117"/>
        <v>11827646.158512464</v>
      </c>
      <c r="U113" s="47">
        <f t="shared" ca="1" si="135"/>
        <v>75781776.706126317</v>
      </c>
      <c r="V113" s="47">
        <f>'Monthly Data'!G113</f>
        <v>1524413.6530482464</v>
      </c>
      <c r="W113" s="47">
        <f ca="1">+'Monthly Data'!H113</f>
        <v>1673542.2967681342</v>
      </c>
      <c r="X113" s="47">
        <f t="shared" ca="1" si="136"/>
        <v>78979732.655942693</v>
      </c>
    </row>
    <row r="114" spans="1:24">
      <c r="A114" s="2">
        <f>'Monthly Data'!A114</f>
        <v>45778</v>
      </c>
      <c r="B114">
        <f>'Monthly Data'!B114</f>
        <v>2025</v>
      </c>
      <c r="C114">
        <f>'Monthly Data'!C114</f>
        <v>5</v>
      </c>
      <c r="D114" s="3">
        <f ca="1">'Monthly Data'!I114</f>
        <v>69140377.650372669</v>
      </c>
      <c r="E114" s="3">
        <f t="shared" ref="E114:F114" ca="1" si="138">E102</f>
        <v>208.90012508544086</v>
      </c>
      <c r="F114" s="3">
        <f t="shared" ca="1" si="138"/>
        <v>26.958863636363635</v>
      </c>
      <c r="G114" s="3">
        <f>'Monthly Data'!EM114</f>
        <v>0</v>
      </c>
      <c r="H114" s="3">
        <f>'Monthly Data'!ER114</f>
        <v>0</v>
      </c>
      <c r="I114" s="3">
        <f>'Monthly Data'!EG114</f>
        <v>1</v>
      </c>
      <c r="J114" s="3">
        <f>'Monthly Data'!DQ114</f>
        <v>31</v>
      </c>
      <c r="K114">
        <f>'Monthly Data'!EH114</f>
        <v>113</v>
      </c>
      <c r="M114" s="436">
        <f t="shared" si="112"/>
        <v>-9235786.3729357291</v>
      </c>
      <c r="N114" s="3">
        <f t="shared" ca="1" si="80"/>
        <v>9338611.4416457731</v>
      </c>
      <c r="O114" s="3">
        <f t="shared" ca="1" si="81"/>
        <v>7206367.6683608042</v>
      </c>
      <c r="P114" s="3">
        <f t="shared" si="113"/>
        <v>0</v>
      </c>
      <c r="Q114" s="3">
        <f t="shared" si="114"/>
        <v>0</v>
      </c>
      <c r="R114" s="3">
        <f t="shared" si="115"/>
        <v>-2958956.3975358699</v>
      </c>
      <c r="S114" s="3">
        <f t="shared" si="116"/>
        <v>59495027.773339681</v>
      </c>
      <c r="T114" s="3">
        <f t="shared" si="117"/>
        <v>11933250.14207061</v>
      </c>
      <c r="U114" s="47">
        <f t="shared" ca="1" si="135"/>
        <v>75778514.254945263</v>
      </c>
      <c r="V114" s="47">
        <f>'Monthly Data'!G114</f>
        <v>1550758.0832815149</v>
      </c>
      <c r="W114" s="47">
        <f ca="1">+'Monthly Data'!H114</f>
        <v>757832.71765022085</v>
      </c>
      <c r="X114" s="47">
        <f t="shared" ca="1" si="136"/>
        <v>78087105.055877</v>
      </c>
    </row>
    <row r="115" spans="1:24">
      <c r="A115" s="2">
        <f>'Monthly Data'!A115</f>
        <v>45809</v>
      </c>
      <c r="B115">
        <f>'Monthly Data'!B115</f>
        <v>2025</v>
      </c>
      <c r="C115">
        <f>'Monthly Data'!C115</f>
        <v>6</v>
      </c>
      <c r="D115" s="3">
        <f ca="1">'Monthly Data'!I115</f>
        <v>90713998.619567037</v>
      </c>
      <c r="E115" s="3">
        <f t="shared" ref="E115:F115" ca="1" si="139">E103</f>
        <v>61.78217382617381</v>
      </c>
      <c r="F115" s="3">
        <f t="shared" ca="1" si="139"/>
        <v>92.933549595332209</v>
      </c>
      <c r="G115" s="3">
        <f>'Monthly Data'!EM115</f>
        <v>0</v>
      </c>
      <c r="H115" s="3">
        <f>'Monthly Data'!ER115</f>
        <v>0</v>
      </c>
      <c r="I115" s="3">
        <f>'Monthly Data'!EG115</f>
        <v>0</v>
      </c>
      <c r="J115" s="3">
        <f>'Monthly Data'!DQ115</f>
        <v>30</v>
      </c>
      <c r="K115">
        <f>'Monthly Data'!EH115</f>
        <v>114</v>
      </c>
      <c r="M115" s="436">
        <f t="shared" si="112"/>
        <v>-9235786.3729357291</v>
      </c>
      <c r="N115" s="3">
        <f t="shared" ca="1" si="80"/>
        <v>2761892.6276222966</v>
      </c>
      <c r="O115" s="3">
        <f t="shared" ca="1" si="81"/>
        <v>24842045.8719358</v>
      </c>
      <c r="P115" s="3">
        <f t="shared" si="113"/>
        <v>0</v>
      </c>
      <c r="Q115" s="3">
        <f t="shared" si="114"/>
        <v>0</v>
      </c>
      <c r="R115" s="3">
        <f t="shared" si="115"/>
        <v>0</v>
      </c>
      <c r="S115" s="3">
        <f t="shared" si="116"/>
        <v>57575833.329038396</v>
      </c>
      <c r="T115" s="3">
        <f t="shared" si="117"/>
        <v>12038854.125628758</v>
      </c>
      <c r="U115" s="47">
        <f t="shared" ca="1" si="135"/>
        <v>87982839.581289515</v>
      </c>
      <c r="V115" s="47">
        <f>'Monthly Data'!G115</f>
        <v>1577102.5135147835</v>
      </c>
      <c r="W115" s="47">
        <f ca="1">+'Monthly Data'!H115</f>
        <v>106803.71660173225</v>
      </c>
      <c r="X115" s="47">
        <f t="shared" ca="1" si="136"/>
        <v>89666745.811406031</v>
      </c>
    </row>
    <row r="116" spans="1:24">
      <c r="A116" s="2">
        <f>'Monthly Data'!A116</f>
        <v>45839</v>
      </c>
      <c r="B116">
        <f>'Monthly Data'!B116</f>
        <v>2025</v>
      </c>
      <c r="C116">
        <f>'Monthly Data'!C116</f>
        <v>7</v>
      </c>
      <c r="D116" s="3">
        <f ca="1">'Monthly Data'!I116</f>
        <v>121831748.16930632</v>
      </c>
      <c r="E116" s="3">
        <f t="shared" ref="E116:F116" ca="1" si="140">E104</f>
        <v>8.334479813664597</v>
      </c>
      <c r="F116" s="3">
        <f t="shared" ca="1" si="140"/>
        <v>180.79967025394512</v>
      </c>
      <c r="G116" s="3">
        <f>'Monthly Data'!EM116</f>
        <v>0</v>
      </c>
      <c r="H116" s="3">
        <f>'Monthly Data'!ER116</f>
        <v>0</v>
      </c>
      <c r="I116" s="3">
        <f>'Monthly Data'!EG116</f>
        <v>0</v>
      </c>
      <c r="J116" s="3">
        <f>'Monthly Data'!DQ116</f>
        <v>31</v>
      </c>
      <c r="K116">
        <f>'Monthly Data'!EH116</f>
        <v>115</v>
      </c>
      <c r="M116" s="436">
        <f t="shared" si="112"/>
        <v>-9235786.3729357291</v>
      </c>
      <c r="N116" s="3">
        <f t="shared" ca="1" si="80"/>
        <v>372582.2017398036</v>
      </c>
      <c r="O116" s="3">
        <f t="shared" ca="1" si="81"/>
        <v>48329518.474617302</v>
      </c>
      <c r="P116" s="3">
        <f t="shared" si="113"/>
        <v>0</v>
      </c>
      <c r="Q116" s="3">
        <f t="shared" si="114"/>
        <v>0</v>
      </c>
      <c r="R116" s="3">
        <f t="shared" si="115"/>
        <v>0</v>
      </c>
      <c r="S116" s="3">
        <f t="shared" si="116"/>
        <v>59495027.773339681</v>
      </c>
      <c r="T116" s="3">
        <f t="shared" si="117"/>
        <v>12144458.109186905</v>
      </c>
      <c r="U116" s="47">
        <f t="shared" ca="1" si="135"/>
        <v>111105800.18594797</v>
      </c>
      <c r="V116" s="47">
        <f>'Monthly Data'!G116</f>
        <v>1603446.943748052</v>
      </c>
      <c r="W116" s="47">
        <f ca="1">+'Monthly Data'!H116</f>
        <v>3587.2096316410184</v>
      </c>
      <c r="X116" s="47">
        <f t="shared" ca="1" si="136"/>
        <v>112712834.33932766</v>
      </c>
    </row>
    <row r="117" spans="1:24">
      <c r="A117" s="2">
        <f>'Monthly Data'!A117</f>
        <v>45870</v>
      </c>
      <c r="B117">
        <f>'Monthly Data'!B117</f>
        <v>2025</v>
      </c>
      <c r="C117">
        <f>'Monthly Data'!C117</f>
        <v>8</v>
      </c>
      <c r="D117" s="3">
        <f ca="1">'Monthly Data'!I117</f>
        <v>104410604.13953435</v>
      </c>
      <c r="E117" s="3">
        <f t="shared" ref="E117:F117" ca="1" si="141">E105</f>
        <v>21.054927536231883</v>
      </c>
      <c r="F117" s="3">
        <f t="shared" ca="1" si="141"/>
        <v>153.08475461133071</v>
      </c>
      <c r="G117" s="3">
        <f>'Monthly Data'!EM117</f>
        <v>0</v>
      </c>
      <c r="H117" s="3">
        <f>'Monthly Data'!ER117</f>
        <v>0</v>
      </c>
      <c r="I117" s="3">
        <f>'Monthly Data'!EG117</f>
        <v>0</v>
      </c>
      <c r="J117" s="3">
        <f>'Monthly Data'!DQ117</f>
        <v>31</v>
      </c>
      <c r="K117">
        <f>'Monthly Data'!EH117</f>
        <v>116</v>
      </c>
      <c r="M117" s="436">
        <f t="shared" si="112"/>
        <v>-9235786.3729357291</v>
      </c>
      <c r="N117" s="3">
        <f t="shared" ca="1" si="80"/>
        <v>941233.45839289424</v>
      </c>
      <c r="O117" s="3">
        <f t="shared" ca="1" si="81"/>
        <v>40921050.717508845</v>
      </c>
      <c r="P117" s="3">
        <f t="shared" si="113"/>
        <v>0</v>
      </c>
      <c r="Q117" s="3">
        <f t="shared" si="114"/>
        <v>0</v>
      </c>
      <c r="R117" s="3">
        <f t="shared" si="115"/>
        <v>0</v>
      </c>
      <c r="S117" s="3">
        <f t="shared" si="116"/>
        <v>59495027.773339681</v>
      </c>
      <c r="T117" s="3">
        <f t="shared" si="117"/>
        <v>12250062.092745051</v>
      </c>
      <c r="U117" s="47">
        <f t="shared" ca="1" si="135"/>
        <v>104371587.66905074</v>
      </c>
      <c r="V117" s="47">
        <f>'Monthly Data'!G117</f>
        <v>1629791.3739813205</v>
      </c>
      <c r="W117" s="47">
        <f ca="1">+'Monthly Data'!H117</f>
        <v>81633.792667013433</v>
      </c>
      <c r="X117" s="47">
        <f t="shared" ca="1" si="136"/>
        <v>106083012.83569908</v>
      </c>
    </row>
    <row r="118" spans="1:24">
      <c r="A118" s="2">
        <f>'Monthly Data'!A118</f>
        <v>45901</v>
      </c>
      <c r="B118">
        <f>'Monthly Data'!B118</f>
        <v>2025</v>
      </c>
      <c r="C118">
        <f>'Monthly Data'!C118</f>
        <v>9</v>
      </c>
      <c r="D118" s="3">
        <f ca="1">'Monthly Data'!I118</f>
        <v>76035689.171087712</v>
      </c>
      <c r="E118" s="3">
        <f t="shared" ref="E118:F118" ca="1" si="142">E106</f>
        <v>97.667119565217376</v>
      </c>
      <c r="F118" s="3">
        <f t="shared" ca="1" si="142"/>
        <v>58.118749999999991</v>
      </c>
      <c r="G118" s="3">
        <f>'Monthly Data'!EM118</f>
        <v>0</v>
      </c>
      <c r="H118" s="3">
        <f>'Monthly Data'!ER118</f>
        <v>0</v>
      </c>
      <c r="I118" s="3">
        <f>'Monthly Data'!EG118</f>
        <v>1</v>
      </c>
      <c r="J118" s="3">
        <f>'Monthly Data'!DQ118</f>
        <v>30</v>
      </c>
      <c r="K118">
        <f>'Monthly Data'!EH118</f>
        <v>117</v>
      </c>
      <c r="M118" s="436">
        <f t="shared" si="112"/>
        <v>-9235786.3729357291</v>
      </c>
      <c r="N118" s="3">
        <f t="shared" ca="1" si="80"/>
        <v>4366082.9780321233</v>
      </c>
      <c r="O118" s="3">
        <f t="shared" ca="1" si="81"/>
        <v>15535709.760429574</v>
      </c>
      <c r="P118" s="3">
        <f t="shared" si="113"/>
        <v>0</v>
      </c>
      <c r="Q118" s="3">
        <f t="shared" si="114"/>
        <v>0</v>
      </c>
      <c r="R118" s="3">
        <f t="shared" si="115"/>
        <v>-2958956.3975358699</v>
      </c>
      <c r="S118" s="3">
        <f t="shared" si="116"/>
        <v>57575833.329038396</v>
      </c>
      <c r="T118" s="3">
        <f t="shared" si="117"/>
        <v>12355666.076303199</v>
      </c>
      <c r="U118" s="47">
        <f t="shared" ca="1" si="135"/>
        <v>77638549.373331696</v>
      </c>
      <c r="V118" s="47">
        <f>'Monthly Data'!G118</f>
        <v>1656135.8042145893</v>
      </c>
      <c r="W118" s="47">
        <f ca="1">+'Monthly Data'!H118</f>
        <v>176784.03267534825</v>
      </c>
      <c r="X118" s="47">
        <f t="shared" ca="1" si="136"/>
        <v>79471469.210221648</v>
      </c>
    </row>
    <row r="119" spans="1:24">
      <c r="A119" s="2">
        <f>'Monthly Data'!A119</f>
        <v>45931</v>
      </c>
      <c r="B119">
        <f>'Monthly Data'!B119</f>
        <v>2025</v>
      </c>
      <c r="C119">
        <f>'Monthly Data'!C119</f>
        <v>10</v>
      </c>
      <c r="D119" s="3">
        <f ca="1">'Monthly Data'!I119</f>
        <v>71682979.284230798</v>
      </c>
      <c r="E119" s="3">
        <f t="shared" ref="E119:F119" ca="1" si="143">E107</f>
        <v>292.46431159420291</v>
      </c>
      <c r="F119" s="3">
        <f t="shared" ca="1" si="143"/>
        <v>7.9825000000000035</v>
      </c>
      <c r="G119" s="3">
        <f>'Monthly Data'!EM119</f>
        <v>0</v>
      </c>
      <c r="H119" s="3">
        <f>'Monthly Data'!ER119</f>
        <v>0</v>
      </c>
      <c r="I119" s="3">
        <f>'Monthly Data'!EG119</f>
        <v>1</v>
      </c>
      <c r="J119" s="3">
        <f>'Monthly Data'!DQ119</f>
        <v>31</v>
      </c>
      <c r="K119">
        <f>'Monthly Data'!EH119</f>
        <v>118</v>
      </c>
      <c r="M119" s="436">
        <f t="shared" si="112"/>
        <v>-9235786.3729357291</v>
      </c>
      <c r="N119" s="3">
        <f t="shared" ca="1" si="80"/>
        <v>13074240.934080835</v>
      </c>
      <c r="O119" s="3">
        <f t="shared" ca="1" si="81"/>
        <v>2133800.2479858762</v>
      </c>
      <c r="P119" s="3">
        <f t="shared" si="113"/>
        <v>0</v>
      </c>
      <c r="Q119" s="3">
        <f t="shared" si="114"/>
        <v>0</v>
      </c>
      <c r="R119" s="3">
        <f t="shared" si="115"/>
        <v>-2958956.3975358699</v>
      </c>
      <c r="S119" s="3">
        <f t="shared" si="116"/>
        <v>59495027.773339681</v>
      </c>
      <c r="T119" s="3">
        <f t="shared" si="117"/>
        <v>12461270.059861345</v>
      </c>
      <c r="U119" s="47">
        <f t="shared" ca="1" si="135"/>
        <v>74969596.244796142</v>
      </c>
      <c r="V119" s="47">
        <f>'Monthly Data'!G119</f>
        <v>1682480.2344478578</v>
      </c>
      <c r="W119" s="47">
        <f ca="1">+'Monthly Data'!H119</f>
        <v>1047207.5675485124</v>
      </c>
      <c r="X119" s="47">
        <f t="shared" ca="1" si="136"/>
        <v>77699284.046792507</v>
      </c>
    </row>
    <row r="120" spans="1:24">
      <c r="A120" s="2">
        <f>'Monthly Data'!A120</f>
        <v>45962</v>
      </c>
      <c r="B120">
        <f>'Monthly Data'!B120</f>
        <v>2025</v>
      </c>
      <c r="C120">
        <f>'Monthly Data'!C120</f>
        <v>11</v>
      </c>
      <c r="D120" s="3">
        <f ca="1">'Monthly Data'!I120</f>
        <v>79591844.076713681</v>
      </c>
      <c r="E120" s="3">
        <f t="shared" ref="E120:F120" ca="1" si="144">E108</f>
        <v>495.51408055712409</v>
      </c>
      <c r="F120" s="3">
        <f t="shared" ca="1" si="144"/>
        <v>0.15041666666666628</v>
      </c>
      <c r="G120" s="3">
        <f>'Monthly Data'!EM120</f>
        <v>0</v>
      </c>
      <c r="H120" s="3">
        <f>'Monthly Data'!ER120</f>
        <v>0</v>
      </c>
      <c r="I120" s="3">
        <f>'Monthly Data'!EG120</f>
        <v>1</v>
      </c>
      <c r="J120" s="3">
        <f>'Monthly Data'!DQ120</f>
        <v>30</v>
      </c>
      <c r="K120">
        <f>'Monthly Data'!EH120</f>
        <v>119</v>
      </c>
      <c r="M120" s="436">
        <f t="shared" si="112"/>
        <v>-9235786.3729357291</v>
      </c>
      <c r="N120" s="3">
        <f t="shared" ca="1" si="80"/>
        <v>22151319.72896003</v>
      </c>
      <c r="O120" s="3">
        <f t="shared" ca="1" si="81"/>
        <v>40207.844739685723</v>
      </c>
      <c r="P120" s="3">
        <f t="shared" si="113"/>
        <v>0</v>
      </c>
      <c r="Q120" s="3">
        <f t="shared" si="114"/>
        <v>0</v>
      </c>
      <c r="R120" s="3">
        <f t="shared" si="115"/>
        <v>-2958956.3975358699</v>
      </c>
      <c r="S120" s="3">
        <f t="shared" si="116"/>
        <v>57575833.329038396</v>
      </c>
      <c r="T120" s="3">
        <f t="shared" si="117"/>
        <v>12566874.043419493</v>
      </c>
      <c r="U120" s="47">
        <f t="shared" ca="1" si="135"/>
        <v>80139492.175686002</v>
      </c>
      <c r="V120" s="47">
        <f>'Monthly Data'!G120</f>
        <v>1708824.6646811264</v>
      </c>
      <c r="W120" s="47">
        <f ca="1">+'Monthly Data'!H120</f>
        <v>2190913.0560719436</v>
      </c>
      <c r="X120" s="47">
        <f t="shared" ca="1" si="136"/>
        <v>84039229.896439061</v>
      </c>
    </row>
    <row r="121" spans="1:24">
      <c r="A121" s="2">
        <f>'Monthly Data'!A121</f>
        <v>45992</v>
      </c>
      <c r="B121">
        <f>'Monthly Data'!B121</f>
        <v>2025</v>
      </c>
      <c r="C121">
        <f>'Monthly Data'!C121</f>
        <v>12</v>
      </c>
      <c r="D121" s="3">
        <f ca="1">'Monthly Data'!I121</f>
        <v>95959542.633963183</v>
      </c>
      <c r="E121" s="3">
        <f t="shared" ref="E121:F121" ca="1" si="145">E109</f>
        <v>664.38541666666663</v>
      </c>
      <c r="F121" s="3">
        <f t="shared" ca="1" si="145"/>
        <v>0</v>
      </c>
      <c r="G121" s="3">
        <f>'Monthly Data'!EM121</f>
        <v>0</v>
      </c>
      <c r="H121" s="3">
        <f>'Monthly Data'!ER121</f>
        <v>0</v>
      </c>
      <c r="I121" s="3">
        <f>'Monthly Data'!EG121</f>
        <v>0</v>
      </c>
      <c r="J121" s="3">
        <f>'Monthly Data'!DQ121</f>
        <v>31</v>
      </c>
      <c r="K121">
        <f>'Monthly Data'!EH121</f>
        <v>120</v>
      </c>
      <c r="M121" s="436">
        <f t="shared" si="112"/>
        <v>-9235786.3729357291</v>
      </c>
      <c r="N121" s="3">
        <f t="shared" ca="1" si="80"/>
        <v>29700495.637368772</v>
      </c>
      <c r="O121" s="3">
        <f t="shared" ca="1" si="81"/>
        <v>0</v>
      </c>
      <c r="P121" s="3">
        <f t="shared" si="113"/>
        <v>0</v>
      </c>
      <c r="Q121" s="3">
        <f t="shared" si="114"/>
        <v>0</v>
      </c>
      <c r="R121" s="3">
        <f t="shared" si="115"/>
        <v>0</v>
      </c>
      <c r="S121" s="3">
        <f t="shared" si="116"/>
        <v>59495027.773339681</v>
      </c>
      <c r="T121" s="3">
        <f t="shared" si="117"/>
        <v>12672478.02697764</v>
      </c>
      <c r="U121" s="47">
        <f t="shared" ca="1" si="135"/>
        <v>92632215.064750358</v>
      </c>
      <c r="V121" s="47">
        <f>'Monthly Data'!G121</f>
        <v>1735169.0949143949</v>
      </c>
      <c r="W121" s="47">
        <f ca="1">+'Monthly Data'!H121</f>
        <v>3244898.6661288603</v>
      </c>
      <c r="X121" s="47">
        <f t="shared" ca="1" si="136"/>
        <v>97612282.825793609</v>
      </c>
    </row>
    <row r="122" spans="1:24">
      <c r="A122" s="2">
        <f t="shared" ref="A122:A159" si="146">EOMONTH(A121,1)</f>
        <v>46053</v>
      </c>
      <c r="B122">
        <f t="shared" ref="B122:B162" si="147">YEAR(A122)</f>
        <v>2026</v>
      </c>
      <c r="C122">
        <f t="shared" ref="C122:C159" si="148">MONTH(A122)</f>
        <v>1</v>
      </c>
      <c r="E122" s="3">
        <f t="shared" ref="E122:F122" ca="1" si="149">E110</f>
        <v>752.78750000000002</v>
      </c>
      <c r="F122" s="3">
        <f t="shared" ca="1" si="149"/>
        <v>0</v>
      </c>
      <c r="I122" s="47">
        <f t="shared" ref="I122:I162" si="150">I110</f>
        <v>0</v>
      </c>
      <c r="J122" s="47">
        <f t="shared" ref="J122:J162" si="151">J74</f>
        <v>31</v>
      </c>
      <c r="K122" s="47">
        <f t="shared" ref="K122:K162" si="152">K121+1</f>
        <v>121</v>
      </c>
      <c r="M122" s="436">
        <f t="shared" si="112"/>
        <v>-9235786.3729357291</v>
      </c>
      <c r="N122" s="3">
        <f t="shared" ca="1" si="80"/>
        <v>33652397.08570125</v>
      </c>
      <c r="O122" s="3">
        <f t="shared" ca="1" si="81"/>
        <v>0</v>
      </c>
      <c r="P122" s="3">
        <f t="shared" si="113"/>
        <v>0</v>
      </c>
      <c r="Q122" s="3">
        <f t="shared" si="114"/>
        <v>0</v>
      </c>
      <c r="R122" s="3">
        <f t="shared" si="115"/>
        <v>0</v>
      </c>
      <c r="S122" s="3">
        <f t="shared" si="116"/>
        <v>59495027.773339681</v>
      </c>
      <c r="T122" s="3">
        <f t="shared" si="117"/>
        <v>12778082.010535786</v>
      </c>
      <c r="U122" s="47">
        <f t="shared" ref="U122:U161" ca="1" si="153">SUM(M122:T122)</f>
        <v>96689720.496640995</v>
      </c>
      <c r="V122" s="47">
        <f>IFERROR(HLOOKUP(B122-1,'EV Forecast VRZ'!$F$124:$T$130,2,FALSE)/12,0)+IFERROR(((HLOOKUP(B122,'EV Forecast VRZ'!$F$116:$T$122,2,FALSE)-HLOOKUP(B122-1,'EV Forecast VRZ'!$F$124:$T$130,2,FALSE)))*C122/78,0)</f>
        <v>1795596.2027127137</v>
      </c>
      <c r="W122" s="47">
        <f ca="1">HLOOKUP(B122,Heating!$C$102:$O$106,2,FALSE)*INDEX(Weather!$BO$1:$CB$20,MATCH(B122,Weather!$BO$1:$BO$20,0),MATCH(C122,Weather!$BO$1:$CB$1,0))/VLOOKUP(B122,Weather!$BO$2:$CB$20,14,FALSE)</f>
        <v>4129920.2736651148</v>
      </c>
      <c r="X122" s="47">
        <f t="shared" ref="X122:X170" ca="1" si="154">U122+V122+W122</f>
        <v>102615236.97301883</v>
      </c>
    </row>
    <row r="123" spans="1:24">
      <c r="A123" s="2">
        <f t="shared" si="146"/>
        <v>46081</v>
      </c>
      <c r="B123">
        <f t="shared" si="147"/>
        <v>2026</v>
      </c>
      <c r="C123">
        <f t="shared" si="148"/>
        <v>2</v>
      </c>
      <c r="E123" s="3">
        <f t="shared" ref="E123:F123" ca="1" si="155">E111</f>
        <v>660.7954166666666</v>
      </c>
      <c r="F123" s="3">
        <f t="shared" ca="1" si="155"/>
        <v>0</v>
      </c>
      <c r="I123" s="47">
        <f t="shared" si="150"/>
        <v>0</v>
      </c>
      <c r="J123" s="47">
        <f t="shared" si="151"/>
        <v>28</v>
      </c>
      <c r="K123" s="47">
        <f t="shared" si="152"/>
        <v>122</v>
      </c>
      <c r="M123" s="436">
        <f t="shared" si="112"/>
        <v>-9235786.3729357291</v>
      </c>
      <c r="N123" s="3">
        <f t="shared" ca="1" si="80"/>
        <v>29540009.304190192</v>
      </c>
      <c r="O123" s="3">
        <f t="shared" ca="1" si="81"/>
        <v>0</v>
      </c>
      <c r="P123" s="3">
        <f t="shared" si="113"/>
        <v>0</v>
      </c>
      <c r="Q123" s="3">
        <f t="shared" si="114"/>
        <v>0</v>
      </c>
      <c r="R123" s="3">
        <f t="shared" si="115"/>
        <v>0</v>
      </c>
      <c r="S123" s="3">
        <f t="shared" si="116"/>
        <v>53737444.440435842</v>
      </c>
      <c r="T123" s="3">
        <f t="shared" si="117"/>
        <v>12883685.994093934</v>
      </c>
      <c r="U123" s="47">
        <f t="shared" ca="1" si="153"/>
        <v>86925353.365784243</v>
      </c>
      <c r="V123" s="47">
        <f>IFERROR(HLOOKUP(B123-1,'EV Forecast VRZ'!$F$124:$T$130,2,FALSE)/12,0)+IFERROR(((HLOOKUP(B123,'EV Forecast VRZ'!$F$116:$T$122,2,FALSE)-HLOOKUP(B123-1,'EV Forecast VRZ'!$F$124:$T$130,2,FALSE)))*C123/78,0)</f>
        <v>1829678.8802777641</v>
      </c>
      <c r="W123" s="47">
        <f ca="1">HLOOKUP(B123,Heating!$C$102:$O$106,2,FALSE)*INDEX(Weather!$BO$1:$CB$20,MATCH(B123,Weather!$BO$1:$BO$20,0),MATCH(C123,Weather!$BO$1:$CB$1,0))/VLOOKUP(B123,Weather!$BO$2:$CB$20,14,FALSE)</f>
        <v>3612223.58619287</v>
      </c>
      <c r="X123" s="47">
        <f t="shared" ca="1" si="154"/>
        <v>92367255.832254887</v>
      </c>
    </row>
    <row r="124" spans="1:24">
      <c r="A124" s="2">
        <f t="shared" si="146"/>
        <v>46112</v>
      </c>
      <c r="B124">
        <f t="shared" si="147"/>
        <v>2026</v>
      </c>
      <c r="C124">
        <f t="shared" si="148"/>
        <v>3</v>
      </c>
      <c r="E124" s="3">
        <f t="shared" ref="E124:F124" ca="1" si="156">E112</f>
        <v>596.21590579710141</v>
      </c>
      <c r="F124" s="3">
        <f t="shared" ca="1" si="156"/>
        <v>0</v>
      </c>
      <c r="I124" s="47">
        <f t="shared" si="150"/>
        <v>1</v>
      </c>
      <c r="J124" s="47">
        <f t="shared" si="151"/>
        <v>31</v>
      </c>
      <c r="K124" s="47">
        <f t="shared" si="152"/>
        <v>123</v>
      </c>
      <c r="M124" s="436">
        <f t="shared" si="112"/>
        <v>-9235786.3729357291</v>
      </c>
      <c r="N124" s="3">
        <f t="shared" ca="1" si="80"/>
        <v>26653065.321481969</v>
      </c>
      <c r="O124" s="3">
        <f t="shared" ca="1" si="81"/>
        <v>0</v>
      </c>
      <c r="P124" s="3">
        <f t="shared" si="113"/>
        <v>0</v>
      </c>
      <c r="Q124" s="3">
        <f t="shared" si="114"/>
        <v>0</v>
      </c>
      <c r="R124" s="3">
        <f t="shared" si="115"/>
        <v>-2958956.3975358699</v>
      </c>
      <c r="S124" s="3">
        <f t="shared" si="116"/>
        <v>59495027.773339681</v>
      </c>
      <c r="T124" s="3">
        <f t="shared" si="117"/>
        <v>12989289.97765208</v>
      </c>
      <c r="U124" s="47">
        <f t="shared" ca="1" si="153"/>
        <v>86942640.302002132</v>
      </c>
      <c r="V124" s="47">
        <f>IFERROR(HLOOKUP(B124-1,'EV Forecast VRZ'!$F$124:$T$130,2,FALSE)/12,0)+IFERROR(((HLOOKUP(B124,'EV Forecast VRZ'!$F$116:$T$122,2,FALSE)-HLOOKUP(B124-1,'EV Forecast VRZ'!$F$124:$T$130,2,FALSE)))*C124/78,0)</f>
        <v>1863761.5578428144</v>
      </c>
      <c r="W124" s="47">
        <f ca="1">HLOOKUP(B124,Heating!$C$102:$O$106,2,FALSE)*INDEX(Weather!$BO$1:$CB$20,MATCH(B124,Weather!$BO$1:$BO$20,0),MATCH(C124,Weather!$BO$1:$CB$1,0))/VLOOKUP(B124,Weather!$BO$2:$CB$20,14,FALSE)</f>
        <v>3193846.2984142331</v>
      </c>
      <c r="X124" s="47">
        <f t="shared" ca="1" si="154"/>
        <v>92000248.158259183</v>
      </c>
    </row>
    <row r="125" spans="1:24">
      <c r="A125" s="2">
        <f t="shared" si="146"/>
        <v>46142</v>
      </c>
      <c r="B125">
        <f t="shared" si="147"/>
        <v>2026</v>
      </c>
      <c r="C125">
        <f t="shared" si="148"/>
        <v>4</v>
      </c>
      <c r="E125" s="3">
        <f t="shared" ref="E125:F125" ca="1" si="157">E113</f>
        <v>412.8885416666667</v>
      </c>
      <c r="F125" s="3">
        <f t="shared" ca="1" si="157"/>
        <v>0.4316666666666677</v>
      </c>
      <c r="I125" s="47">
        <f t="shared" si="150"/>
        <v>1</v>
      </c>
      <c r="J125" s="47">
        <f t="shared" si="151"/>
        <v>30</v>
      </c>
      <c r="K125" s="47">
        <f t="shared" si="152"/>
        <v>124</v>
      </c>
      <c r="M125" s="436">
        <f t="shared" si="112"/>
        <v>-9235786.3729357291</v>
      </c>
      <c r="N125" s="3">
        <f t="shared" ca="1" si="80"/>
        <v>18457651.271179151</v>
      </c>
      <c r="O125" s="3">
        <f t="shared" ca="1" si="81"/>
        <v>115388.71786790752</v>
      </c>
      <c r="P125" s="3">
        <f t="shared" si="113"/>
        <v>0</v>
      </c>
      <c r="Q125" s="3">
        <f t="shared" si="114"/>
        <v>0</v>
      </c>
      <c r="R125" s="3">
        <f t="shared" si="115"/>
        <v>-2958956.3975358699</v>
      </c>
      <c r="S125" s="3">
        <f t="shared" si="116"/>
        <v>57575833.329038396</v>
      </c>
      <c r="T125" s="3">
        <f t="shared" si="117"/>
        <v>13094893.961210227</v>
      </c>
      <c r="U125" s="47">
        <f t="shared" ca="1" si="153"/>
        <v>77049024.50882408</v>
      </c>
      <c r="V125" s="47">
        <f>IFERROR(HLOOKUP(B125-1,'EV Forecast VRZ'!$F$124:$T$130,2,FALSE)/12,0)+IFERROR(((HLOOKUP(B125,'EV Forecast VRZ'!$F$116:$T$122,2,FALSE)-HLOOKUP(B125-1,'EV Forecast VRZ'!$F$124:$T$130,2,FALSE)))*C125/78,0)</f>
        <v>1897844.2354078647</v>
      </c>
      <c r="W125" s="47">
        <f ca="1">HLOOKUP(B125,Heating!$C$102:$O$106,2,FALSE)*INDEX(Weather!$BO$1:$CB$20,MATCH(B125,Weather!$BO$1:$BO$20,0),MATCH(C125,Weather!$BO$1:$CB$1,0))/VLOOKUP(B125,Weather!$BO$2:$CB$20,14,FALSE)</f>
        <v>2109975.0197893674</v>
      </c>
      <c r="X125" s="47">
        <f t="shared" ca="1" si="154"/>
        <v>81056843.764021307</v>
      </c>
    </row>
    <row r="126" spans="1:24">
      <c r="A126" s="2">
        <f t="shared" si="146"/>
        <v>46173</v>
      </c>
      <c r="B126">
        <f t="shared" si="147"/>
        <v>2026</v>
      </c>
      <c r="C126">
        <f t="shared" si="148"/>
        <v>5</v>
      </c>
      <c r="E126" s="3">
        <f t="shared" ref="E126:F126" ca="1" si="158">E114</f>
        <v>208.90012508544086</v>
      </c>
      <c r="F126" s="3">
        <f t="shared" ca="1" si="158"/>
        <v>26.958863636363635</v>
      </c>
      <c r="I126" s="47">
        <f t="shared" si="150"/>
        <v>1</v>
      </c>
      <c r="J126" s="47">
        <f t="shared" si="151"/>
        <v>31</v>
      </c>
      <c r="K126" s="47">
        <f t="shared" si="152"/>
        <v>125</v>
      </c>
      <c r="M126" s="436">
        <f t="shared" si="112"/>
        <v>-9235786.3729357291</v>
      </c>
      <c r="N126" s="3">
        <f t="shared" ca="1" si="80"/>
        <v>9338611.4416457731</v>
      </c>
      <c r="O126" s="3">
        <f t="shared" ca="1" si="81"/>
        <v>7206367.6683608042</v>
      </c>
      <c r="P126" s="3">
        <f t="shared" si="113"/>
        <v>0</v>
      </c>
      <c r="Q126" s="3">
        <f t="shared" si="114"/>
        <v>0</v>
      </c>
      <c r="R126" s="3">
        <f t="shared" si="115"/>
        <v>-2958956.3975358699</v>
      </c>
      <c r="S126" s="3">
        <f t="shared" si="116"/>
        <v>59495027.773339681</v>
      </c>
      <c r="T126" s="3">
        <f t="shared" si="117"/>
        <v>13200497.944768375</v>
      </c>
      <c r="U126" s="47">
        <f t="shared" ca="1" si="153"/>
        <v>77045762.057643026</v>
      </c>
      <c r="V126" s="47">
        <f>IFERROR(HLOOKUP(B126-1,'EV Forecast VRZ'!$F$124:$T$130,2,FALSE)/12,0)+IFERROR(((HLOOKUP(B126,'EV Forecast VRZ'!$F$116:$T$122,2,FALSE)-HLOOKUP(B126-1,'EV Forecast VRZ'!$F$124:$T$130,2,FALSE)))*C126/78,0)</f>
        <v>1931926.912972915</v>
      </c>
      <c r="W126" s="47">
        <f ca="1">HLOOKUP(B126,Heating!$C$102:$O$106,2,FALSE)*INDEX(Weather!$BO$1:$CB$20,MATCH(B126,Weather!$BO$1:$BO$20,0),MATCH(C126,Weather!$BO$1:$CB$1,0))/VLOOKUP(B126,Weather!$BO$2:$CB$20,14,FALSE)</f>
        <v>928156.04433868488</v>
      </c>
      <c r="X126" s="47">
        <f t="shared" ca="1" si="154"/>
        <v>79905845.014954627</v>
      </c>
    </row>
    <row r="127" spans="1:24">
      <c r="A127" s="2">
        <f t="shared" si="146"/>
        <v>46203</v>
      </c>
      <c r="B127">
        <f t="shared" si="147"/>
        <v>2026</v>
      </c>
      <c r="C127">
        <f t="shared" si="148"/>
        <v>6</v>
      </c>
      <c r="E127" s="3">
        <f t="shared" ref="E127:F127" ca="1" si="159">E115</f>
        <v>61.78217382617381</v>
      </c>
      <c r="F127" s="3">
        <f t="shared" ca="1" si="159"/>
        <v>92.933549595332209</v>
      </c>
      <c r="I127" s="47">
        <f t="shared" si="150"/>
        <v>0</v>
      </c>
      <c r="J127" s="47">
        <f t="shared" si="151"/>
        <v>30</v>
      </c>
      <c r="K127" s="47">
        <f t="shared" si="152"/>
        <v>126</v>
      </c>
      <c r="M127" s="436">
        <f t="shared" si="112"/>
        <v>-9235786.3729357291</v>
      </c>
      <c r="N127" s="3">
        <f t="shared" ca="1" si="80"/>
        <v>2761892.6276222966</v>
      </c>
      <c r="O127" s="3">
        <f t="shared" ca="1" si="81"/>
        <v>24842045.8719358</v>
      </c>
      <c r="P127" s="3">
        <f t="shared" si="113"/>
        <v>0</v>
      </c>
      <c r="Q127" s="3">
        <f t="shared" si="114"/>
        <v>0</v>
      </c>
      <c r="R127" s="3">
        <f t="shared" si="115"/>
        <v>0</v>
      </c>
      <c r="S127" s="3">
        <f t="shared" si="116"/>
        <v>57575833.329038396</v>
      </c>
      <c r="T127" s="3">
        <f t="shared" si="117"/>
        <v>13306101.928326521</v>
      </c>
      <c r="U127" s="47">
        <f t="shared" ca="1" si="153"/>
        <v>89250087.383987278</v>
      </c>
      <c r="V127" s="47">
        <f>IFERROR(HLOOKUP(B127-1,'EV Forecast VRZ'!$F$124:$T$130,2,FALSE)/12,0)+IFERROR(((HLOOKUP(B127,'EV Forecast VRZ'!$F$116:$T$122,2,FALSE)-HLOOKUP(B127-1,'EV Forecast VRZ'!$F$124:$T$130,2,FALSE)))*C127/78,0)</f>
        <v>1966009.5905379655</v>
      </c>
      <c r="W127" s="47">
        <f ca="1">HLOOKUP(B127,Heating!$C$102:$O$106,2,FALSE)*INDEX(Weather!$BO$1:$CB$20,MATCH(B127,Weather!$BO$1:$BO$20,0),MATCH(C127,Weather!$BO$1:$CB$1,0))/VLOOKUP(B127,Weather!$BO$2:$CB$20,14,FALSE)</f>
        <v>180994.22414720277</v>
      </c>
      <c r="X127" s="47">
        <f t="shared" ca="1" si="154"/>
        <v>91397091.198672444</v>
      </c>
    </row>
    <row r="128" spans="1:24">
      <c r="A128" s="2">
        <f t="shared" si="146"/>
        <v>46234</v>
      </c>
      <c r="B128">
        <f t="shared" si="147"/>
        <v>2026</v>
      </c>
      <c r="C128">
        <f t="shared" si="148"/>
        <v>7</v>
      </c>
      <c r="E128" s="3">
        <f t="shared" ref="E128:F128" ca="1" si="160">E116</f>
        <v>8.334479813664597</v>
      </c>
      <c r="F128" s="3">
        <f t="shared" ca="1" si="160"/>
        <v>180.79967025394512</v>
      </c>
      <c r="I128" s="47">
        <f t="shared" si="150"/>
        <v>0</v>
      </c>
      <c r="J128" s="47">
        <f t="shared" si="151"/>
        <v>31</v>
      </c>
      <c r="K128" s="47">
        <f t="shared" si="152"/>
        <v>127</v>
      </c>
      <c r="M128" s="436">
        <f t="shared" si="112"/>
        <v>-9235786.3729357291</v>
      </c>
      <c r="N128" s="3">
        <f t="shared" ca="1" si="80"/>
        <v>372582.2017398036</v>
      </c>
      <c r="O128" s="3">
        <f t="shared" ca="1" si="81"/>
        <v>48329518.474617302</v>
      </c>
      <c r="P128" s="3">
        <f t="shared" si="113"/>
        <v>0</v>
      </c>
      <c r="Q128" s="3">
        <f t="shared" si="114"/>
        <v>0</v>
      </c>
      <c r="R128" s="3">
        <f t="shared" si="115"/>
        <v>0</v>
      </c>
      <c r="S128" s="3">
        <f t="shared" si="116"/>
        <v>59495027.773339681</v>
      </c>
      <c r="T128" s="3">
        <f t="shared" si="117"/>
        <v>13411705.911884669</v>
      </c>
      <c r="U128" s="47">
        <f t="shared" ca="1" si="153"/>
        <v>112373047.98864573</v>
      </c>
      <c r="V128" s="47">
        <f>IFERROR(HLOOKUP(B128-1,'EV Forecast VRZ'!$F$124:$T$130,2,FALSE)/12,0)+IFERROR(((HLOOKUP(B128,'EV Forecast VRZ'!$F$116:$T$122,2,FALSE)-HLOOKUP(B128-1,'EV Forecast VRZ'!$F$124:$T$130,2,FALSE)))*C128/78,0)</f>
        <v>2000092.2681030158</v>
      </c>
      <c r="W128" s="47">
        <f ca="1">HLOOKUP(B128,Heating!$C$102:$O$106,2,FALSE)*INDEX(Weather!$BO$1:$CB$20,MATCH(B128,Weather!$BO$1:$BO$20,0),MATCH(C128,Weather!$BO$1:$CB$1,0))/VLOOKUP(B128,Weather!$BO$2:$CB$20,14,FALSE)</f>
        <v>6484.2555732589472</v>
      </c>
      <c r="X128" s="47">
        <f t="shared" ca="1" si="154"/>
        <v>114379624.51232201</v>
      </c>
    </row>
    <row r="129" spans="1:24">
      <c r="A129" s="2">
        <f t="shared" si="146"/>
        <v>46265</v>
      </c>
      <c r="B129">
        <f t="shared" si="147"/>
        <v>2026</v>
      </c>
      <c r="C129">
        <f t="shared" si="148"/>
        <v>8</v>
      </c>
      <c r="E129" s="3">
        <f t="shared" ref="E129:F129" ca="1" si="161">E117</f>
        <v>21.054927536231883</v>
      </c>
      <c r="F129" s="3">
        <f t="shared" ca="1" si="161"/>
        <v>153.08475461133071</v>
      </c>
      <c r="I129" s="47">
        <f t="shared" si="150"/>
        <v>0</v>
      </c>
      <c r="J129" s="47">
        <f t="shared" si="151"/>
        <v>31</v>
      </c>
      <c r="K129" s="47">
        <f t="shared" si="152"/>
        <v>128</v>
      </c>
      <c r="M129" s="436">
        <f t="shared" si="112"/>
        <v>-9235786.3729357291</v>
      </c>
      <c r="N129" s="3">
        <f t="shared" ca="1" si="80"/>
        <v>941233.45839289424</v>
      </c>
      <c r="O129" s="3">
        <f t="shared" ca="1" si="81"/>
        <v>40921050.717508845</v>
      </c>
      <c r="P129" s="3">
        <f t="shared" si="113"/>
        <v>0</v>
      </c>
      <c r="Q129" s="3">
        <f t="shared" si="114"/>
        <v>0</v>
      </c>
      <c r="R129" s="3">
        <f t="shared" si="115"/>
        <v>0</v>
      </c>
      <c r="S129" s="3">
        <f t="shared" si="116"/>
        <v>59495027.773339681</v>
      </c>
      <c r="T129" s="3">
        <f t="shared" si="117"/>
        <v>13517309.895442815</v>
      </c>
      <c r="U129" s="47">
        <f t="shared" ca="1" si="153"/>
        <v>105638835.4717485</v>
      </c>
      <c r="V129" s="47">
        <f>IFERROR(HLOOKUP(B129-1,'EV Forecast VRZ'!$F$124:$T$130,2,FALSE)/12,0)+IFERROR(((HLOOKUP(B129,'EV Forecast VRZ'!$F$116:$T$122,2,FALSE)-HLOOKUP(B129-1,'EV Forecast VRZ'!$F$124:$T$130,2,FALSE)))*C129/78,0)</f>
        <v>2034174.9456680662</v>
      </c>
      <c r="W129" s="47">
        <f ca="1">HLOOKUP(B129,Heating!$C$102:$O$106,2,FALSE)*INDEX(Weather!$BO$1:$CB$20,MATCH(B129,Weather!$BO$1:$BO$20,0),MATCH(C129,Weather!$BO$1:$CB$1,0))/VLOOKUP(B129,Weather!$BO$2:$CB$20,14,FALSE)</f>
        <v>38409.810481782508</v>
      </c>
      <c r="X129" s="47">
        <f t="shared" ca="1" si="154"/>
        <v>107711420.22789836</v>
      </c>
    </row>
    <row r="130" spans="1:24">
      <c r="A130" s="2">
        <f t="shared" si="146"/>
        <v>46295</v>
      </c>
      <c r="B130">
        <f t="shared" si="147"/>
        <v>2026</v>
      </c>
      <c r="C130">
        <f t="shared" si="148"/>
        <v>9</v>
      </c>
      <c r="E130" s="3">
        <f t="shared" ref="E130:F130" ca="1" si="162">E118</f>
        <v>97.667119565217376</v>
      </c>
      <c r="F130" s="3">
        <f t="shared" ca="1" si="162"/>
        <v>58.118749999999991</v>
      </c>
      <c r="I130" s="47">
        <f t="shared" si="150"/>
        <v>1</v>
      </c>
      <c r="J130" s="47">
        <f t="shared" si="151"/>
        <v>30</v>
      </c>
      <c r="K130" s="47">
        <f t="shared" si="152"/>
        <v>129</v>
      </c>
      <c r="M130" s="436">
        <f t="shared" ref="M130:M161" si="163">$AB$8</f>
        <v>-9235786.3729357291</v>
      </c>
      <c r="N130" s="3">
        <f t="shared" ca="1" si="80"/>
        <v>4366082.9780321233</v>
      </c>
      <c r="O130" s="3">
        <f t="shared" ca="1" si="81"/>
        <v>15535709.760429574</v>
      </c>
      <c r="P130" s="3">
        <f t="shared" ref="P130:P161" si="164">G130*$AB$11</f>
        <v>0</v>
      </c>
      <c r="Q130" s="3">
        <f t="shared" ref="Q130:Q161" si="165">H130*$AB$12</f>
        <v>0</v>
      </c>
      <c r="R130" s="3">
        <f t="shared" ref="R130:R161" si="166">I130*$AB$13</f>
        <v>-2958956.3975358699</v>
      </c>
      <c r="S130" s="3">
        <f t="shared" ref="S130:S161" si="167">J130*$AB$14</f>
        <v>57575833.329038396</v>
      </c>
      <c r="T130" s="3">
        <f t="shared" ref="T130:T161" si="168">K130*$AB$15</f>
        <v>13622913.879000962</v>
      </c>
      <c r="U130" s="47">
        <f t="shared" ca="1" si="153"/>
        <v>78905797.176029459</v>
      </c>
      <c r="V130" s="47">
        <f>IFERROR(HLOOKUP(B130-1,'EV Forecast VRZ'!$F$124:$T$130,2,FALSE)/12,0)+IFERROR(((HLOOKUP(B130,'EV Forecast VRZ'!$F$116:$T$122,2,FALSE)-HLOOKUP(B130-1,'EV Forecast VRZ'!$F$124:$T$130,2,FALSE)))*C130/78,0)</f>
        <v>2068257.6232331165</v>
      </c>
      <c r="W130" s="47">
        <f ca="1">HLOOKUP(B130,Heating!$C$102:$O$106,2,FALSE)*INDEX(Weather!$BO$1:$CB$20,MATCH(B130,Weather!$BO$1:$BO$20,0),MATCH(C130,Weather!$BO$1:$CB$1,0))/VLOOKUP(B130,Weather!$BO$2:$CB$20,14,FALSE)</f>
        <v>325311.55720928591</v>
      </c>
      <c r="X130" s="47">
        <f t="shared" ca="1" si="154"/>
        <v>81299366.356471851</v>
      </c>
    </row>
    <row r="131" spans="1:24">
      <c r="A131" s="2">
        <f t="shared" si="146"/>
        <v>46326</v>
      </c>
      <c r="B131">
        <f t="shared" si="147"/>
        <v>2026</v>
      </c>
      <c r="C131">
        <f t="shared" si="148"/>
        <v>10</v>
      </c>
      <c r="E131" s="3">
        <f t="shared" ref="E131:F131" ca="1" si="169">E119</f>
        <v>292.46431159420291</v>
      </c>
      <c r="F131" s="3">
        <f t="shared" ca="1" si="169"/>
        <v>7.9825000000000035</v>
      </c>
      <c r="I131" s="47">
        <f t="shared" si="150"/>
        <v>1</v>
      </c>
      <c r="J131" s="47">
        <f t="shared" si="151"/>
        <v>31</v>
      </c>
      <c r="K131" s="47">
        <f t="shared" si="152"/>
        <v>130</v>
      </c>
      <c r="M131" s="436">
        <f t="shared" si="163"/>
        <v>-9235786.3729357291</v>
      </c>
      <c r="N131" s="3">
        <f t="shared" ca="1" si="80"/>
        <v>13074240.934080835</v>
      </c>
      <c r="O131" s="3">
        <f t="shared" ca="1" si="81"/>
        <v>2133800.2479858762</v>
      </c>
      <c r="P131" s="3">
        <f t="shared" si="164"/>
        <v>0</v>
      </c>
      <c r="Q131" s="3">
        <f t="shared" si="165"/>
        <v>0</v>
      </c>
      <c r="R131" s="3">
        <f t="shared" si="166"/>
        <v>-2958956.3975358699</v>
      </c>
      <c r="S131" s="3">
        <f t="shared" si="167"/>
        <v>59495027.773339681</v>
      </c>
      <c r="T131" s="3">
        <f t="shared" si="168"/>
        <v>13728517.86255911</v>
      </c>
      <c r="U131" s="47">
        <f t="shared" ca="1" si="153"/>
        <v>76236844.047493905</v>
      </c>
      <c r="V131" s="47">
        <f>IFERROR(HLOOKUP(B131-1,'EV Forecast VRZ'!$F$124:$T$130,2,FALSE)/12,0)+IFERROR(((HLOOKUP(B131,'EV Forecast VRZ'!$F$116:$T$122,2,FALSE)-HLOOKUP(B131-1,'EV Forecast VRZ'!$F$124:$T$130,2,FALSE)))*C131/78,0)</f>
        <v>2102340.3007981665</v>
      </c>
      <c r="W131" s="47">
        <f ca="1">HLOOKUP(B131,Heating!$C$102:$O$106,2,FALSE)*INDEX(Weather!$BO$1:$CB$20,MATCH(B131,Weather!$BO$1:$BO$20,0),MATCH(C131,Weather!$BO$1:$CB$1,0))/VLOOKUP(B131,Weather!$BO$2:$CB$20,14,FALSE)</f>
        <v>1388309.1302145543</v>
      </c>
      <c r="X131" s="47">
        <f t="shared" ca="1" si="154"/>
        <v>79727493.478506625</v>
      </c>
    </row>
    <row r="132" spans="1:24">
      <c r="A132" s="2">
        <f t="shared" si="146"/>
        <v>46356</v>
      </c>
      <c r="B132">
        <f t="shared" si="147"/>
        <v>2026</v>
      </c>
      <c r="C132">
        <f t="shared" si="148"/>
        <v>11</v>
      </c>
      <c r="E132" s="3">
        <f t="shared" ref="E132:F132" ca="1" si="170">E120</f>
        <v>495.51408055712409</v>
      </c>
      <c r="F132" s="3">
        <f t="shared" ca="1" si="170"/>
        <v>0.15041666666666628</v>
      </c>
      <c r="I132" s="47">
        <f t="shared" si="150"/>
        <v>1</v>
      </c>
      <c r="J132" s="47">
        <f t="shared" si="151"/>
        <v>30</v>
      </c>
      <c r="K132" s="47">
        <f t="shared" si="152"/>
        <v>131</v>
      </c>
      <c r="M132" s="436">
        <f t="shared" si="163"/>
        <v>-9235786.3729357291</v>
      </c>
      <c r="N132" s="3">
        <f t="shared" ref="N132:N193" ca="1" si="171">E132*$AB$9</f>
        <v>22151319.72896003</v>
      </c>
      <c r="O132" s="3">
        <f t="shared" ref="O132:O193" ca="1" si="172">F132*$AB$10</f>
        <v>40207.844739685723</v>
      </c>
      <c r="P132" s="3">
        <f t="shared" si="164"/>
        <v>0</v>
      </c>
      <c r="Q132" s="3">
        <f t="shared" si="165"/>
        <v>0</v>
      </c>
      <c r="R132" s="3">
        <f t="shared" si="166"/>
        <v>-2958956.3975358699</v>
      </c>
      <c r="S132" s="3">
        <f t="shared" si="167"/>
        <v>57575833.329038396</v>
      </c>
      <c r="T132" s="3">
        <f t="shared" si="168"/>
        <v>13834121.846117256</v>
      </c>
      <c r="U132" s="47">
        <f t="shared" ca="1" si="153"/>
        <v>81406739.978383765</v>
      </c>
      <c r="V132" s="47">
        <f>IFERROR(HLOOKUP(B132-1,'EV Forecast VRZ'!$F$124:$T$130,2,FALSE)/12,0)+IFERROR(((HLOOKUP(B132,'EV Forecast VRZ'!$F$116:$T$122,2,FALSE)-HLOOKUP(B132-1,'EV Forecast VRZ'!$F$124:$T$130,2,FALSE)))*C132/78,0)</f>
        <v>2136422.9783632173</v>
      </c>
      <c r="W132" s="47">
        <f ca="1">HLOOKUP(B132,Heating!$C$102:$O$106,2,FALSE)*INDEX(Weather!$BO$1:$CB$20,MATCH(B132,Weather!$BO$1:$BO$20,0),MATCH(C132,Weather!$BO$1:$CB$1,0))/VLOOKUP(B132,Weather!$BO$2:$CB$20,14,FALSE)</f>
        <v>2603750.6914347582</v>
      </c>
      <c r="X132" s="47">
        <f t="shared" ca="1" si="154"/>
        <v>86146913.648181736</v>
      </c>
    </row>
    <row r="133" spans="1:24">
      <c r="A133" s="2">
        <f t="shared" si="146"/>
        <v>46387</v>
      </c>
      <c r="B133">
        <f t="shared" si="147"/>
        <v>2026</v>
      </c>
      <c r="C133">
        <f t="shared" si="148"/>
        <v>12</v>
      </c>
      <c r="E133" s="3">
        <f t="shared" ref="E133:F133" ca="1" si="173">E121</f>
        <v>664.38541666666663</v>
      </c>
      <c r="F133" s="3">
        <f t="shared" ca="1" si="173"/>
        <v>0</v>
      </c>
      <c r="I133" s="47">
        <f t="shared" si="150"/>
        <v>0</v>
      </c>
      <c r="J133" s="47">
        <f t="shared" si="151"/>
        <v>31</v>
      </c>
      <c r="K133" s="47">
        <f t="shared" si="152"/>
        <v>132</v>
      </c>
      <c r="M133" s="436">
        <f t="shared" si="163"/>
        <v>-9235786.3729357291</v>
      </c>
      <c r="N133" s="3">
        <f t="shared" ca="1" si="171"/>
        <v>29700495.637368772</v>
      </c>
      <c r="O133" s="3">
        <f t="shared" ca="1" si="172"/>
        <v>0</v>
      </c>
      <c r="P133" s="3">
        <f t="shared" si="164"/>
        <v>0</v>
      </c>
      <c r="Q133" s="3">
        <f t="shared" si="165"/>
        <v>0</v>
      </c>
      <c r="R133" s="3">
        <f t="shared" si="166"/>
        <v>0</v>
      </c>
      <c r="S133" s="3">
        <f t="shared" si="167"/>
        <v>59495027.773339681</v>
      </c>
      <c r="T133" s="3">
        <f t="shared" si="168"/>
        <v>13939725.829675404</v>
      </c>
      <c r="U133" s="47">
        <f t="shared" ca="1" si="153"/>
        <v>93899462.867448121</v>
      </c>
      <c r="V133" s="47">
        <f>IFERROR(HLOOKUP(B133-1,'EV Forecast VRZ'!$F$124:$T$130,2,FALSE)/12,0)+IFERROR(((HLOOKUP(B133,'EV Forecast VRZ'!$F$116:$T$122,2,FALSE)-HLOOKUP(B133-1,'EV Forecast VRZ'!$F$124:$T$130,2,FALSE)))*C133/78,0)</f>
        <v>2170505.6559282676</v>
      </c>
      <c r="W133" s="47">
        <f ca="1">HLOOKUP(B133,Heating!$C$102:$O$106,2,FALSE)*INDEX(Weather!$BO$1:$CB$20,MATCH(B133,Weather!$BO$1:$BO$20,0),MATCH(C133,Weather!$BO$1:$CB$1,0))/VLOOKUP(B133,Weather!$BO$2:$CB$20,14,FALSE)</f>
        <v>3601402.3775066491</v>
      </c>
      <c r="X133" s="47">
        <f t="shared" ca="1" si="154"/>
        <v>99671370.900883034</v>
      </c>
    </row>
    <row r="134" spans="1:24">
      <c r="A134" s="2">
        <f t="shared" si="146"/>
        <v>46418</v>
      </c>
      <c r="B134">
        <f t="shared" si="147"/>
        <v>2027</v>
      </c>
      <c r="C134">
        <f t="shared" si="148"/>
        <v>1</v>
      </c>
      <c r="E134" s="3">
        <f t="shared" ref="E134:F134" ca="1" si="174">E122</f>
        <v>752.78750000000002</v>
      </c>
      <c r="F134" s="3">
        <f t="shared" ca="1" si="174"/>
        <v>0</v>
      </c>
      <c r="I134" s="47">
        <f t="shared" si="150"/>
        <v>0</v>
      </c>
      <c r="J134" s="47">
        <f t="shared" si="151"/>
        <v>31</v>
      </c>
      <c r="K134" s="47">
        <f t="shared" si="152"/>
        <v>133</v>
      </c>
      <c r="M134" s="436">
        <f t="shared" si="163"/>
        <v>-9235786.3729357291</v>
      </c>
      <c r="N134" s="3">
        <f t="shared" ca="1" si="171"/>
        <v>33652397.08570125</v>
      </c>
      <c r="O134" s="3">
        <f t="shared" ca="1" si="172"/>
        <v>0</v>
      </c>
      <c r="P134" s="3">
        <f t="shared" si="164"/>
        <v>0</v>
      </c>
      <c r="Q134" s="3">
        <f t="shared" si="165"/>
        <v>0</v>
      </c>
      <c r="R134" s="3">
        <f t="shared" si="166"/>
        <v>0</v>
      </c>
      <c r="S134" s="3">
        <f t="shared" si="167"/>
        <v>59495027.773339681</v>
      </c>
      <c r="T134" s="3">
        <f t="shared" si="168"/>
        <v>14045329.813233551</v>
      </c>
      <c r="U134" s="47">
        <f t="shared" ca="1" si="153"/>
        <v>97956968.299338758</v>
      </c>
      <c r="V134" s="47">
        <f>IFERROR(HLOOKUP(B134-1,'EV Forecast VRZ'!$F$124:$T$130,2,FALSE)/12,0)+IFERROR(((HLOOKUP(B134,'EV Forecast VRZ'!$F$116:$T$122,2,FALSE)-HLOOKUP(B134-1,'EV Forecast VRZ'!$F$124:$T$130,2,FALSE)))*C134/78,0)</f>
        <v>2241931.9712374345</v>
      </c>
      <c r="W134" s="47">
        <f ca="1">HLOOKUP(B134,Heating!$C$102:$O$106,2,FALSE)*INDEX(Weather!$BO$1:$CB$20,MATCH(B134,Weather!$BO$1:$BO$20,0),MATCH(C134,Weather!$BO$1:$CB$1,0))/VLOOKUP(B134,Weather!$BO$2:$CB$20,14,FALSE)</f>
        <v>4875996.2247254755</v>
      </c>
      <c r="X134" s="47">
        <f t="shared" ca="1" si="154"/>
        <v>105074896.49530166</v>
      </c>
    </row>
    <row r="135" spans="1:24">
      <c r="A135" s="2">
        <f t="shared" si="146"/>
        <v>46446</v>
      </c>
      <c r="B135">
        <f t="shared" si="147"/>
        <v>2027</v>
      </c>
      <c r="C135">
        <f t="shared" si="148"/>
        <v>2</v>
      </c>
      <c r="E135" s="3">
        <f t="shared" ref="E135:F135" ca="1" si="175">E123</f>
        <v>660.7954166666666</v>
      </c>
      <c r="F135" s="3">
        <f t="shared" ca="1" si="175"/>
        <v>0</v>
      </c>
      <c r="I135" s="47">
        <f t="shared" si="150"/>
        <v>0</v>
      </c>
      <c r="J135" s="47">
        <f>J87</f>
        <v>28</v>
      </c>
      <c r="K135" s="47">
        <f t="shared" si="152"/>
        <v>134</v>
      </c>
      <c r="M135" s="436">
        <f t="shared" si="163"/>
        <v>-9235786.3729357291</v>
      </c>
      <c r="N135" s="3">
        <f t="shared" ca="1" si="171"/>
        <v>29540009.304190192</v>
      </c>
      <c r="O135" s="3">
        <f t="shared" ca="1" si="172"/>
        <v>0</v>
      </c>
      <c r="P135" s="3">
        <f t="shared" si="164"/>
        <v>0</v>
      </c>
      <c r="Q135" s="3">
        <f t="shared" si="165"/>
        <v>0</v>
      </c>
      <c r="R135" s="3">
        <f t="shared" si="166"/>
        <v>0</v>
      </c>
      <c r="S135" s="3">
        <f t="shared" si="167"/>
        <v>53737444.440435842</v>
      </c>
      <c r="T135" s="3">
        <f t="shared" si="168"/>
        <v>14150933.796791697</v>
      </c>
      <c r="U135" s="47">
        <f t="shared" ca="1" si="153"/>
        <v>88192601.168482006</v>
      </c>
      <c r="V135" s="47">
        <f>IFERROR(HLOOKUP(B135-1,'EV Forecast VRZ'!$F$124:$T$130,2,FALSE)/12,0)+IFERROR(((HLOOKUP(B135,'EV Forecast VRZ'!$F$116:$T$122,2,FALSE)-HLOOKUP(B135-1,'EV Forecast VRZ'!$F$124:$T$130,2,FALSE)))*C135/78,0)</f>
        <v>2279275.6089815507</v>
      </c>
      <c r="W135" s="47">
        <f ca="1">HLOOKUP(B135,Heating!$C$102:$O$106,2,FALSE)*INDEX(Weather!$BO$1:$CB$20,MATCH(B135,Weather!$BO$1:$BO$20,0),MATCH(C135,Weather!$BO$1:$CB$1,0))/VLOOKUP(B135,Weather!$BO$2:$CB$20,14,FALSE)</f>
        <v>4264776.8968939092</v>
      </c>
      <c r="X135" s="47">
        <f t="shared" ca="1" si="154"/>
        <v>94736653.674357459</v>
      </c>
    </row>
    <row r="136" spans="1:24">
      <c r="A136" s="2">
        <f t="shared" si="146"/>
        <v>46477</v>
      </c>
      <c r="B136">
        <f t="shared" si="147"/>
        <v>2027</v>
      </c>
      <c r="C136">
        <f t="shared" si="148"/>
        <v>3</v>
      </c>
      <c r="E136" s="3">
        <f t="shared" ref="E136:F136" ca="1" si="176">E124</f>
        <v>596.21590579710141</v>
      </c>
      <c r="F136" s="3">
        <f t="shared" ca="1" si="176"/>
        <v>0</v>
      </c>
      <c r="I136" s="47">
        <f t="shared" si="150"/>
        <v>1</v>
      </c>
      <c r="J136" s="47">
        <f t="shared" si="151"/>
        <v>31</v>
      </c>
      <c r="K136" s="47">
        <f t="shared" si="152"/>
        <v>135</v>
      </c>
      <c r="M136" s="436">
        <f t="shared" si="163"/>
        <v>-9235786.3729357291</v>
      </c>
      <c r="N136" s="3">
        <f t="shared" ca="1" si="171"/>
        <v>26653065.321481969</v>
      </c>
      <c r="O136" s="3">
        <f t="shared" ca="1" si="172"/>
        <v>0</v>
      </c>
      <c r="P136" s="3">
        <f t="shared" si="164"/>
        <v>0</v>
      </c>
      <c r="Q136" s="3">
        <f t="shared" si="165"/>
        <v>0</v>
      </c>
      <c r="R136" s="3">
        <f t="shared" si="166"/>
        <v>-2958956.3975358699</v>
      </c>
      <c r="S136" s="3">
        <f t="shared" si="167"/>
        <v>59495027.773339681</v>
      </c>
      <c r="T136" s="3">
        <f t="shared" si="168"/>
        <v>14256537.780349845</v>
      </c>
      <c r="U136" s="47">
        <f t="shared" ca="1" si="153"/>
        <v>88209888.104699895</v>
      </c>
      <c r="V136" s="47">
        <f>IFERROR(HLOOKUP(B136-1,'EV Forecast VRZ'!$F$124:$T$130,2,FALSE)/12,0)+IFERROR(((HLOOKUP(B136,'EV Forecast VRZ'!$F$116:$T$122,2,FALSE)-HLOOKUP(B136-1,'EV Forecast VRZ'!$F$124:$T$130,2,FALSE)))*C136/78,0)</f>
        <v>2316619.2467256673</v>
      </c>
      <c r="W136" s="47">
        <f ca="1">HLOOKUP(B136,Heating!$C$102:$O$106,2,FALSE)*INDEX(Weather!$BO$1:$CB$20,MATCH(B136,Weather!$BO$1:$BO$20,0),MATCH(C136,Weather!$BO$1:$CB$1,0))/VLOOKUP(B136,Weather!$BO$2:$CB$20,14,FALSE)</f>
        <v>3770819.1590828821</v>
      </c>
      <c r="X136" s="47">
        <f t="shared" ca="1" si="154"/>
        <v>94297326.510508448</v>
      </c>
    </row>
    <row r="137" spans="1:24">
      <c r="A137" s="2">
        <f t="shared" si="146"/>
        <v>46507</v>
      </c>
      <c r="B137">
        <f t="shared" si="147"/>
        <v>2027</v>
      </c>
      <c r="C137">
        <f t="shared" si="148"/>
        <v>4</v>
      </c>
      <c r="E137" s="3">
        <f t="shared" ref="E137:F137" ca="1" si="177">E125</f>
        <v>412.8885416666667</v>
      </c>
      <c r="F137" s="3">
        <f t="shared" ca="1" si="177"/>
        <v>0.4316666666666677</v>
      </c>
      <c r="I137" s="47">
        <f t="shared" si="150"/>
        <v>1</v>
      </c>
      <c r="J137" s="47">
        <f t="shared" si="151"/>
        <v>30</v>
      </c>
      <c r="K137" s="47">
        <f t="shared" si="152"/>
        <v>136</v>
      </c>
      <c r="M137" s="436">
        <f t="shared" si="163"/>
        <v>-9235786.3729357291</v>
      </c>
      <c r="N137" s="3">
        <f t="shared" ca="1" si="171"/>
        <v>18457651.271179151</v>
      </c>
      <c r="O137" s="3">
        <f t="shared" ca="1" si="172"/>
        <v>115388.71786790752</v>
      </c>
      <c r="P137" s="3">
        <f t="shared" si="164"/>
        <v>0</v>
      </c>
      <c r="Q137" s="3">
        <f t="shared" si="165"/>
        <v>0</v>
      </c>
      <c r="R137" s="3">
        <f t="shared" si="166"/>
        <v>-2958956.3975358699</v>
      </c>
      <c r="S137" s="3">
        <f t="shared" si="167"/>
        <v>57575833.329038396</v>
      </c>
      <c r="T137" s="3">
        <f t="shared" si="168"/>
        <v>14362141.763907991</v>
      </c>
      <c r="U137" s="47">
        <f t="shared" ca="1" si="153"/>
        <v>78316272.311521858</v>
      </c>
      <c r="V137" s="47">
        <f>IFERROR(HLOOKUP(B137-1,'EV Forecast VRZ'!$F$124:$T$130,2,FALSE)/12,0)+IFERROR(((HLOOKUP(B137,'EV Forecast VRZ'!$F$116:$T$122,2,FALSE)-HLOOKUP(B137-1,'EV Forecast VRZ'!$F$124:$T$130,2,FALSE)))*C137/78,0)</f>
        <v>2353962.8844697839</v>
      </c>
      <c r="W137" s="47">
        <f ca="1">HLOOKUP(B137,Heating!$C$102:$O$106,2,FALSE)*INDEX(Weather!$BO$1:$CB$20,MATCH(B137,Weather!$BO$1:$BO$20,0),MATCH(C137,Weather!$BO$1:$CB$1,0))/VLOOKUP(B137,Weather!$BO$2:$CB$20,14,FALSE)</f>
        <v>2491144.9977284144</v>
      </c>
      <c r="X137" s="47">
        <f t="shared" ca="1" si="154"/>
        <v>83161380.193720043</v>
      </c>
    </row>
    <row r="138" spans="1:24">
      <c r="A138" s="2">
        <f t="shared" si="146"/>
        <v>46538</v>
      </c>
      <c r="B138">
        <f t="shared" si="147"/>
        <v>2027</v>
      </c>
      <c r="C138">
        <f t="shared" si="148"/>
        <v>5</v>
      </c>
      <c r="E138" s="3">
        <f t="shared" ref="E138:F138" ca="1" si="178">E126</f>
        <v>208.90012508544086</v>
      </c>
      <c r="F138" s="3">
        <f t="shared" ca="1" si="178"/>
        <v>26.958863636363635</v>
      </c>
      <c r="I138" s="47">
        <f t="shared" si="150"/>
        <v>1</v>
      </c>
      <c r="J138" s="47">
        <f t="shared" si="151"/>
        <v>31</v>
      </c>
      <c r="K138" s="47">
        <f t="shared" si="152"/>
        <v>137</v>
      </c>
      <c r="M138" s="436">
        <f t="shared" si="163"/>
        <v>-9235786.3729357291</v>
      </c>
      <c r="N138" s="3">
        <f t="shared" ca="1" si="171"/>
        <v>9338611.4416457731</v>
      </c>
      <c r="O138" s="3">
        <f t="shared" ca="1" si="172"/>
        <v>7206367.6683608042</v>
      </c>
      <c r="P138" s="3">
        <f t="shared" si="164"/>
        <v>0</v>
      </c>
      <c r="Q138" s="3">
        <f t="shared" si="165"/>
        <v>0</v>
      </c>
      <c r="R138" s="3">
        <f t="shared" si="166"/>
        <v>-2958956.3975358699</v>
      </c>
      <c r="S138" s="3">
        <f t="shared" si="167"/>
        <v>59495027.773339681</v>
      </c>
      <c r="T138" s="3">
        <f t="shared" si="168"/>
        <v>14467745.747466138</v>
      </c>
      <c r="U138" s="47">
        <f t="shared" ca="1" si="153"/>
        <v>78313009.860340789</v>
      </c>
      <c r="V138" s="47">
        <f>IFERROR(HLOOKUP(B138-1,'EV Forecast VRZ'!$F$124:$T$130,2,FALSE)/12,0)+IFERROR(((HLOOKUP(B138,'EV Forecast VRZ'!$F$116:$T$122,2,FALSE)-HLOOKUP(B138-1,'EV Forecast VRZ'!$F$124:$T$130,2,FALSE)))*C138/78,0)</f>
        <v>2391306.5222139</v>
      </c>
      <c r="W138" s="47">
        <f ca="1">HLOOKUP(B138,Heating!$C$102:$O$106,2,FALSE)*INDEX(Weather!$BO$1:$CB$20,MATCH(B138,Weather!$BO$1:$BO$20,0),MATCH(C138,Weather!$BO$1:$CB$1,0))/VLOOKUP(B138,Weather!$BO$2:$CB$20,14,FALSE)</f>
        <v>1095828.7492884747</v>
      </c>
      <c r="X138" s="47">
        <f t="shared" ca="1" si="154"/>
        <v>81800145.131843165</v>
      </c>
    </row>
    <row r="139" spans="1:24">
      <c r="A139" s="2">
        <f t="shared" si="146"/>
        <v>46568</v>
      </c>
      <c r="B139">
        <f t="shared" si="147"/>
        <v>2027</v>
      </c>
      <c r="C139">
        <f t="shared" si="148"/>
        <v>6</v>
      </c>
      <c r="E139" s="3">
        <f t="shared" ref="E139:F139" ca="1" si="179">E127</f>
        <v>61.78217382617381</v>
      </c>
      <c r="F139" s="3">
        <f t="shared" ca="1" si="179"/>
        <v>92.933549595332209</v>
      </c>
      <c r="I139" s="47">
        <f t="shared" si="150"/>
        <v>0</v>
      </c>
      <c r="J139" s="47">
        <f t="shared" si="151"/>
        <v>30</v>
      </c>
      <c r="K139" s="47">
        <f t="shared" si="152"/>
        <v>138</v>
      </c>
      <c r="M139" s="436">
        <f t="shared" si="163"/>
        <v>-9235786.3729357291</v>
      </c>
      <c r="N139" s="3">
        <f t="shared" ca="1" si="171"/>
        <v>2761892.6276222966</v>
      </c>
      <c r="O139" s="3">
        <f t="shared" ca="1" si="172"/>
        <v>24842045.8719358</v>
      </c>
      <c r="P139" s="3">
        <f t="shared" si="164"/>
        <v>0</v>
      </c>
      <c r="Q139" s="3">
        <f t="shared" si="165"/>
        <v>0</v>
      </c>
      <c r="R139" s="3">
        <f t="shared" si="166"/>
        <v>0</v>
      </c>
      <c r="S139" s="3">
        <f t="shared" si="167"/>
        <v>57575833.329038396</v>
      </c>
      <c r="T139" s="3">
        <f t="shared" si="168"/>
        <v>14573349.731024286</v>
      </c>
      <c r="U139" s="47">
        <f t="shared" ca="1" si="153"/>
        <v>90517335.186685041</v>
      </c>
      <c r="V139" s="47">
        <f>IFERROR(HLOOKUP(B139-1,'EV Forecast VRZ'!$F$124:$T$130,2,FALSE)/12,0)+IFERROR(((HLOOKUP(B139,'EV Forecast VRZ'!$F$116:$T$122,2,FALSE)-HLOOKUP(B139-1,'EV Forecast VRZ'!$F$124:$T$130,2,FALSE)))*C139/78,0)</f>
        <v>2428650.1599580166</v>
      </c>
      <c r="W139" s="47">
        <f ca="1">HLOOKUP(B139,Heating!$C$102:$O$106,2,FALSE)*INDEX(Weather!$BO$1:$CB$20,MATCH(B139,Weather!$BO$1:$BO$20,0),MATCH(C139,Weather!$BO$1:$CB$1,0))/VLOOKUP(B139,Weather!$BO$2:$CB$20,14,FALSE)</f>
        <v>213691.08727507581</v>
      </c>
      <c r="X139" s="47">
        <f t="shared" ca="1" si="154"/>
        <v>93159676.433918133</v>
      </c>
    </row>
    <row r="140" spans="1:24">
      <c r="A140" s="2">
        <f t="shared" si="146"/>
        <v>46599</v>
      </c>
      <c r="B140">
        <f t="shared" si="147"/>
        <v>2027</v>
      </c>
      <c r="C140">
        <f t="shared" si="148"/>
        <v>7</v>
      </c>
      <c r="E140" s="3">
        <f t="shared" ref="E140:F140" ca="1" si="180">E128</f>
        <v>8.334479813664597</v>
      </c>
      <c r="F140" s="3">
        <f t="shared" ca="1" si="180"/>
        <v>180.79967025394512</v>
      </c>
      <c r="I140" s="47">
        <f t="shared" si="150"/>
        <v>0</v>
      </c>
      <c r="J140" s="47">
        <f t="shared" si="151"/>
        <v>31</v>
      </c>
      <c r="K140" s="47">
        <f t="shared" si="152"/>
        <v>139</v>
      </c>
      <c r="M140" s="436">
        <f t="shared" si="163"/>
        <v>-9235786.3729357291</v>
      </c>
      <c r="N140" s="3">
        <f t="shared" ca="1" si="171"/>
        <v>372582.2017398036</v>
      </c>
      <c r="O140" s="3">
        <f t="shared" ca="1" si="172"/>
        <v>48329518.474617302</v>
      </c>
      <c r="P140" s="3">
        <f t="shared" si="164"/>
        <v>0</v>
      </c>
      <c r="Q140" s="3">
        <f t="shared" si="165"/>
        <v>0</v>
      </c>
      <c r="R140" s="3">
        <f t="shared" si="166"/>
        <v>0</v>
      </c>
      <c r="S140" s="3">
        <f t="shared" si="167"/>
        <v>59495027.773339681</v>
      </c>
      <c r="T140" s="3">
        <f t="shared" si="168"/>
        <v>14678953.714582432</v>
      </c>
      <c r="U140" s="47">
        <f t="shared" ca="1" si="153"/>
        <v>113640295.7913435</v>
      </c>
      <c r="V140" s="47">
        <f>IFERROR(HLOOKUP(B140-1,'EV Forecast VRZ'!$F$124:$T$130,2,FALSE)/12,0)+IFERROR(((HLOOKUP(B140,'EV Forecast VRZ'!$F$116:$T$122,2,FALSE)-HLOOKUP(B140-1,'EV Forecast VRZ'!$F$124:$T$130,2,FALSE)))*C140/78,0)</f>
        <v>2465993.7977021327</v>
      </c>
      <c r="W140" s="47">
        <f ca="1">HLOOKUP(B140,Heating!$C$102:$O$106,2,FALSE)*INDEX(Weather!$BO$1:$CB$20,MATCH(B140,Weather!$BO$1:$BO$20,0),MATCH(C140,Weather!$BO$1:$CB$1,0))/VLOOKUP(B140,Weather!$BO$2:$CB$20,14,FALSE)</f>
        <v>7655.6455331538227</v>
      </c>
      <c r="X140" s="47">
        <f t="shared" ca="1" si="154"/>
        <v>116113945.23457879</v>
      </c>
    </row>
    <row r="141" spans="1:24">
      <c r="A141" s="2">
        <f t="shared" si="146"/>
        <v>46630</v>
      </c>
      <c r="B141">
        <f t="shared" si="147"/>
        <v>2027</v>
      </c>
      <c r="C141">
        <f t="shared" si="148"/>
        <v>8</v>
      </c>
      <c r="E141" s="3">
        <f t="shared" ref="E141:F141" ca="1" si="181">E129</f>
        <v>21.054927536231883</v>
      </c>
      <c r="F141" s="3">
        <f t="shared" ca="1" si="181"/>
        <v>153.08475461133071</v>
      </c>
      <c r="I141" s="47">
        <f t="shared" si="150"/>
        <v>0</v>
      </c>
      <c r="J141" s="47">
        <f t="shared" si="151"/>
        <v>31</v>
      </c>
      <c r="K141" s="47">
        <f t="shared" si="152"/>
        <v>140</v>
      </c>
      <c r="M141" s="436">
        <f t="shared" si="163"/>
        <v>-9235786.3729357291</v>
      </c>
      <c r="N141" s="3">
        <f t="shared" ca="1" si="171"/>
        <v>941233.45839289424</v>
      </c>
      <c r="O141" s="3">
        <f t="shared" ca="1" si="172"/>
        <v>40921050.717508845</v>
      </c>
      <c r="P141" s="3">
        <f t="shared" si="164"/>
        <v>0</v>
      </c>
      <c r="Q141" s="3">
        <f t="shared" si="165"/>
        <v>0</v>
      </c>
      <c r="R141" s="3">
        <f t="shared" si="166"/>
        <v>0</v>
      </c>
      <c r="S141" s="3">
        <f t="shared" si="167"/>
        <v>59495027.773339681</v>
      </c>
      <c r="T141" s="3">
        <f t="shared" si="168"/>
        <v>14784557.69814058</v>
      </c>
      <c r="U141" s="47">
        <f t="shared" ca="1" si="153"/>
        <v>106906083.27444626</v>
      </c>
      <c r="V141" s="47">
        <f>IFERROR(HLOOKUP(B141-1,'EV Forecast VRZ'!$F$124:$T$130,2,FALSE)/12,0)+IFERROR(((HLOOKUP(B141,'EV Forecast VRZ'!$F$116:$T$122,2,FALSE)-HLOOKUP(B141-1,'EV Forecast VRZ'!$F$124:$T$130,2,FALSE)))*C141/78,0)</f>
        <v>2503337.4354462493</v>
      </c>
      <c r="W141" s="47">
        <f ca="1">HLOOKUP(B141,Heating!$C$102:$O$106,2,FALSE)*INDEX(Weather!$BO$1:$CB$20,MATCH(B141,Weather!$BO$1:$BO$20,0),MATCH(C141,Weather!$BO$1:$CB$1,0))/VLOOKUP(B141,Weather!$BO$2:$CB$20,14,FALSE)</f>
        <v>45348.59718620783</v>
      </c>
      <c r="X141" s="47">
        <f t="shared" ca="1" si="154"/>
        <v>109454769.30707872</v>
      </c>
    </row>
    <row r="142" spans="1:24">
      <c r="A142" s="2">
        <f t="shared" si="146"/>
        <v>46660</v>
      </c>
      <c r="B142">
        <f t="shared" si="147"/>
        <v>2027</v>
      </c>
      <c r="C142">
        <f t="shared" si="148"/>
        <v>9</v>
      </c>
      <c r="E142" s="3">
        <f t="shared" ref="E142:F142" ca="1" si="182">E130</f>
        <v>97.667119565217376</v>
      </c>
      <c r="F142" s="3">
        <f t="shared" ca="1" si="182"/>
        <v>58.118749999999991</v>
      </c>
      <c r="I142" s="47">
        <f t="shared" si="150"/>
        <v>1</v>
      </c>
      <c r="J142" s="47">
        <f t="shared" si="151"/>
        <v>30</v>
      </c>
      <c r="K142" s="47">
        <f t="shared" si="152"/>
        <v>141</v>
      </c>
      <c r="M142" s="436">
        <f t="shared" si="163"/>
        <v>-9235786.3729357291</v>
      </c>
      <c r="N142" s="3">
        <f t="shared" ca="1" si="171"/>
        <v>4366082.9780321233</v>
      </c>
      <c r="O142" s="3">
        <f t="shared" ca="1" si="172"/>
        <v>15535709.760429574</v>
      </c>
      <c r="P142" s="3">
        <f t="shared" si="164"/>
        <v>0</v>
      </c>
      <c r="Q142" s="3">
        <f t="shared" si="165"/>
        <v>0</v>
      </c>
      <c r="R142" s="3">
        <f t="shared" si="166"/>
        <v>-2958956.3975358699</v>
      </c>
      <c r="S142" s="3">
        <f t="shared" si="167"/>
        <v>57575833.329038396</v>
      </c>
      <c r="T142" s="3">
        <f t="shared" si="168"/>
        <v>14890161.681698726</v>
      </c>
      <c r="U142" s="47">
        <f t="shared" ca="1" si="153"/>
        <v>80173044.978727221</v>
      </c>
      <c r="V142" s="47">
        <f>IFERROR(HLOOKUP(B142-1,'EV Forecast VRZ'!$F$124:$T$130,2,FALSE)/12,0)+IFERROR(((HLOOKUP(B142,'EV Forecast VRZ'!$F$116:$T$122,2,FALSE)-HLOOKUP(B142-1,'EV Forecast VRZ'!$F$124:$T$130,2,FALSE)))*C142/78,0)</f>
        <v>2540681.0731903659</v>
      </c>
      <c r="W142" s="47">
        <f ca="1">HLOOKUP(B142,Heating!$C$102:$O$106,2,FALSE)*INDEX(Weather!$BO$1:$CB$20,MATCH(B142,Weather!$BO$1:$BO$20,0),MATCH(C142,Weather!$BO$1:$CB$1,0))/VLOOKUP(B142,Weather!$BO$2:$CB$20,14,FALSE)</f>
        <v>384079.55110580084</v>
      </c>
      <c r="X142" s="47">
        <f t="shared" ca="1" si="154"/>
        <v>83097805.60302338</v>
      </c>
    </row>
    <row r="143" spans="1:24">
      <c r="A143" s="2">
        <f t="shared" si="146"/>
        <v>46691</v>
      </c>
      <c r="B143">
        <f t="shared" si="147"/>
        <v>2027</v>
      </c>
      <c r="C143">
        <f t="shared" si="148"/>
        <v>10</v>
      </c>
      <c r="E143" s="3">
        <f t="shared" ref="E143:F143" ca="1" si="183">E131</f>
        <v>292.46431159420291</v>
      </c>
      <c r="F143" s="3">
        <f t="shared" ca="1" si="183"/>
        <v>7.9825000000000035</v>
      </c>
      <c r="I143" s="47">
        <f t="shared" si="150"/>
        <v>1</v>
      </c>
      <c r="J143" s="47">
        <f t="shared" si="151"/>
        <v>31</v>
      </c>
      <c r="K143" s="47">
        <f t="shared" si="152"/>
        <v>142</v>
      </c>
      <c r="M143" s="436">
        <f t="shared" si="163"/>
        <v>-9235786.3729357291</v>
      </c>
      <c r="N143" s="3">
        <f t="shared" ca="1" si="171"/>
        <v>13074240.934080835</v>
      </c>
      <c r="O143" s="3">
        <f t="shared" ca="1" si="172"/>
        <v>2133800.2479858762</v>
      </c>
      <c r="P143" s="3">
        <f t="shared" si="164"/>
        <v>0</v>
      </c>
      <c r="Q143" s="3">
        <f t="shared" si="165"/>
        <v>0</v>
      </c>
      <c r="R143" s="3">
        <f t="shared" si="166"/>
        <v>-2958956.3975358699</v>
      </c>
      <c r="S143" s="3">
        <f t="shared" si="167"/>
        <v>59495027.773339681</v>
      </c>
      <c r="T143" s="3">
        <f t="shared" si="168"/>
        <v>14995765.665256873</v>
      </c>
      <c r="U143" s="47">
        <f t="shared" ca="1" si="153"/>
        <v>77504091.850191668</v>
      </c>
      <c r="V143" s="47">
        <f>IFERROR(HLOOKUP(B143-1,'EV Forecast VRZ'!$F$124:$T$130,2,FALSE)/12,0)+IFERROR(((HLOOKUP(B143,'EV Forecast VRZ'!$F$116:$T$122,2,FALSE)-HLOOKUP(B143-1,'EV Forecast VRZ'!$F$124:$T$130,2,FALSE)))*C143/78,0)</f>
        <v>2578024.710934482</v>
      </c>
      <c r="W143" s="47">
        <f ca="1">HLOOKUP(B143,Heating!$C$102:$O$106,2,FALSE)*INDEX(Weather!$BO$1:$CB$20,MATCH(B143,Weather!$BO$1:$BO$20,0),MATCH(C143,Weather!$BO$1:$CB$1,0))/VLOOKUP(B143,Weather!$BO$2:$CB$20,14,FALSE)</f>
        <v>1639109.1423347385</v>
      </c>
      <c r="X143" s="47">
        <f t="shared" ca="1" si="154"/>
        <v>81721225.703460887</v>
      </c>
    </row>
    <row r="144" spans="1:24">
      <c r="A144" s="2">
        <f t="shared" si="146"/>
        <v>46721</v>
      </c>
      <c r="B144">
        <f t="shared" si="147"/>
        <v>2027</v>
      </c>
      <c r="C144">
        <f t="shared" si="148"/>
        <v>11</v>
      </c>
      <c r="E144" s="3">
        <f t="shared" ref="E144:F144" ca="1" si="184">E132</f>
        <v>495.51408055712409</v>
      </c>
      <c r="F144" s="3">
        <f t="shared" ca="1" si="184"/>
        <v>0.15041666666666628</v>
      </c>
      <c r="I144" s="47">
        <f t="shared" si="150"/>
        <v>1</v>
      </c>
      <c r="J144" s="47">
        <f t="shared" si="151"/>
        <v>30</v>
      </c>
      <c r="K144" s="47">
        <f t="shared" si="152"/>
        <v>143</v>
      </c>
      <c r="M144" s="436">
        <f t="shared" si="163"/>
        <v>-9235786.3729357291</v>
      </c>
      <c r="N144" s="3">
        <f t="shared" ca="1" si="171"/>
        <v>22151319.72896003</v>
      </c>
      <c r="O144" s="3">
        <f t="shared" ca="1" si="172"/>
        <v>40207.844739685723</v>
      </c>
      <c r="P144" s="3">
        <f t="shared" si="164"/>
        <v>0</v>
      </c>
      <c r="Q144" s="3">
        <f t="shared" si="165"/>
        <v>0</v>
      </c>
      <c r="R144" s="3">
        <f t="shared" si="166"/>
        <v>-2958956.3975358699</v>
      </c>
      <c r="S144" s="3">
        <f t="shared" si="167"/>
        <v>57575833.329038396</v>
      </c>
      <c r="T144" s="3">
        <f t="shared" si="168"/>
        <v>15101369.648815021</v>
      </c>
      <c r="U144" s="47">
        <f t="shared" ca="1" si="153"/>
        <v>82673987.781081527</v>
      </c>
      <c r="V144" s="47">
        <f>IFERROR(HLOOKUP(B144-1,'EV Forecast VRZ'!$F$124:$T$130,2,FALSE)/12,0)+IFERROR(((HLOOKUP(B144,'EV Forecast VRZ'!$F$116:$T$122,2,FALSE)-HLOOKUP(B144-1,'EV Forecast VRZ'!$F$124:$T$130,2,FALSE)))*C144/78,0)</f>
        <v>2615368.3486785986</v>
      </c>
      <c r="W144" s="47">
        <f ca="1">HLOOKUP(B144,Heating!$C$102:$O$106,2,FALSE)*INDEX(Weather!$BO$1:$CB$20,MATCH(B144,Weather!$BO$1:$BO$20,0),MATCH(C144,Weather!$BO$1:$CB$1,0))/VLOOKUP(B144,Weather!$BO$2:$CB$20,14,FALSE)</f>
        <v>3074121.9443190894</v>
      </c>
      <c r="X144" s="47">
        <f t="shared" ca="1" si="154"/>
        <v>88363478.074079216</v>
      </c>
    </row>
    <row r="145" spans="1:24">
      <c r="A145" s="2">
        <f t="shared" si="146"/>
        <v>46752</v>
      </c>
      <c r="B145">
        <f t="shared" si="147"/>
        <v>2027</v>
      </c>
      <c r="C145">
        <f t="shared" si="148"/>
        <v>12</v>
      </c>
      <c r="E145" s="3">
        <f t="shared" ref="E145:F145" ca="1" si="185">E133</f>
        <v>664.38541666666663</v>
      </c>
      <c r="F145" s="3">
        <f t="shared" ca="1" si="185"/>
        <v>0</v>
      </c>
      <c r="I145" s="47">
        <f t="shared" si="150"/>
        <v>0</v>
      </c>
      <c r="J145" s="47">
        <f t="shared" si="151"/>
        <v>31</v>
      </c>
      <c r="K145" s="47">
        <f t="shared" si="152"/>
        <v>144</v>
      </c>
      <c r="M145" s="436">
        <f t="shared" si="163"/>
        <v>-9235786.3729357291</v>
      </c>
      <c r="N145" s="3">
        <f t="shared" ca="1" si="171"/>
        <v>29700495.637368772</v>
      </c>
      <c r="O145" s="3">
        <f t="shared" ca="1" si="172"/>
        <v>0</v>
      </c>
      <c r="P145" s="3">
        <f t="shared" si="164"/>
        <v>0</v>
      </c>
      <c r="Q145" s="3">
        <f t="shared" si="165"/>
        <v>0</v>
      </c>
      <c r="R145" s="3">
        <f t="shared" si="166"/>
        <v>0</v>
      </c>
      <c r="S145" s="3">
        <f t="shared" si="167"/>
        <v>59495027.773339681</v>
      </c>
      <c r="T145" s="3">
        <f t="shared" si="168"/>
        <v>15206973.632373167</v>
      </c>
      <c r="U145" s="47">
        <f t="shared" ca="1" si="153"/>
        <v>95166710.670145884</v>
      </c>
      <c r="V145" s="47">
        <f>IFERROR(HLOOKUP(B145-1,'EV Forecast VRZ'!$F$124:$T$130,2,FALSE)/12,0)+IFERROR(((HLOOKUP(B145,'EV Forecast VRZ'!$F$116:$T$122,2,FALSE)-HLOOKUP(B145-1,'EV Forecast VRZ'!$F$124:$T$130,2,FALSE)))*C145/78,0)</f>
        <v>2652711.9864227152</v>
      </c>
      <c r="W145" s="47">
        <f ca="1">HLOOKUP(B145,Heating!$C$102:$O$106,2,FALSE)*INDEX(Weather!$BO$1:$CB$20,MATCH(B145,Weather!$BO$1:$BO$20,0),MATCH(C145,Weather!$BO$1:$CB$1,0))/VLOOKUP(B145,Weather!$BO$2:$CB$20,14,FALSE)</f>
        <v>4252000.8215208715</v>
      </c>
      <c r="X145" s="47">
        <f t="shared" ca="1" si="154"/>
        <v>102071423.47808947</v>
      </c>
    </row>
    <row r="146" spans="1:24">
      <c r="A146" s="2">
        <f t="shared" si="146"/>
        <v>46783</v>
      </c>
      <c r="B146">
        <f t="shared" si="147"/>
        <v>2028</v>
      </c>
      <c r="C146">
        <f t="shared" si="148"/>
        <v>1</v>
      </c>
      <c r="E146" s="3">
        <f t="shared" ref="E146:F146" ca="1" si="186">E134</f>
        <v>752.78750000000002</v>
      </c>
      <c r="F146" s="3">
        <f t="shared" ca="1" si="186"/>
        <v>0</v>
      </c>
      <c r="I146" s="47">
        <f t="shared" si="150"/>
        <v>0</v>
      </c>
      <c r="J146" s="47">
        <f t="shared" si="151"/>
        <v>31</v>
      </c>
      <c r="K146" s="47">
        <f t="shared" si="152"/>
        <v>145</v>
      </c>
      <c r="M146" s="436">
        <f t="shared" si="163"/>
        <v>-9235786.3729357291</v>
      </c>
      <c r="N146" s="3">
        <f t="shared" ca="1" si="171"/>
        <v>33652397.08570125</v>
      </c>
      <c r="O146" s="3">
        <f t="shared" ca="1" si="172"/>
        <v>0</v>
      </c>
      <c r="P146" s="3">
        <f t="shared" si="164"/>
        <v>0</v>
      </c>
      <c r="Q146" s="3">
        <f t="shared" si="165"/>
        <v>0</v>
      </c>
      <c r="R146" s="3">
        <f t="shared" si="166"/>
        <v>0</v>
      </c>
      <c r="S146" s="3">
        <f t="shared" si="167"/>
        <v>59495027.773339681</v>
      </c>
      <c r="T146" s="3">
        <f t="shared" si="168"/>
        <v>15312577.615931315</v>
      </c>
      <c r="U146" s="47">
        <f t="shared" ca="1" si="153"/>
        <v>99224216.102036521</v>
      </c>
      <c r="V146" s="47">
        <f>IFERROR(HLOOKUP(B146-1,'EV Forecast VRZ'!$F$124:$T$130,2,FALSE)/12,0)+IFERROR(((HLOOKUP(B146,'EV Forecast VRZ'!$F$116:$T$122,2,FALSE)-HLOOKUP(B146-1,'EV Forecast VRZ'!$F$124:$T$130,2,FALSE)))*C146/78,0)</f>
        <v>2768660.8090885496</v>
      </c>
      <c r="W146" s="47">
        <f ca="1">HLOOKUP(B146,Heating!$C$102:$O$106,2,FALSE)*INDEX(Weather!$BO$1:$CB$20,MATCH(B146,Weather!$BO$1:$BO$20,0),MATCH(C146,Weather!$BO$1:$CB$1,0))/VLOOKUP(B146,Weather!$BO$2:$CB$20,14,FALSE)</f>
        <v>5669891.9657151848</v>
      </c>
      <c r="X146" s="47">
        <f t="shared" ca="1" si="154"/>
        <v>107662768.87684025</v>
      </c>
    </row>
    <row r="147" spans="1:24">
      <c r="A147" s="2">
        <f t="shared" si="146"/>
        <v>46812</v>
      </c>
      <c r="B147">
        <f t="shared" si="147"/>
        <v>2028</v>
      </c>
      <c r="C147">
        <f t="shared" si="148"/>
        <v>2</v>
      </c>
      <c r="E147" s="3">
        <f t="shared" ref="E147:F147" ca="1" si="187">E135</f>
        <v>660.7954166666666</v>
      </c>
      <c r="F147" s="3">
        <f t="shared" ca="1" si="187"/>
        <v>0</v>
      </c>
      <c r="I147" s="47">
        <f t="shared" si="150"/>
        <v>0</v>
      </c>
      <c r="J147" s="47">
        <f t="shared" si="151"/>
        <v>29</v>
      </c>
      <c r="K147" s="47">
        <f t="shared" si="152"/>
        <v>146</v>
      </c>
      <c r="M147" s="436">
        <f t="shared" si="163"/>
        <v>-9235786.3729357291</v>
      </c>
      <c r="N147" s="3">
        <f t="shared" ca="1" si="171"/>
        <v>29540009.304190192</v>
      </c>
      <c r="O147" s="3">
        <f t="shared" ca="1" si="172"/>
        <v>0</v>
      </c>
      <c r="P147" s="3">
        <f t="shared" si="164"/>
        <v>0</v>
      </c>
      <c r="Q147" s="3">
        <f t="shared" si="165"/>
        <v>0</v>
      </c>
      <c r="R147" s="3">
        <f t="shared" si="166"/>
        <v>0</v>
      </c>
      <c r="S147" s="3">
        <f t="shared" si="167"/>
        <v>55656638.884737119</v>
      </c>
      <c r="T147" s="3">
        <f t="shared" si="168"/>
        <v>15418181.599489462</v>
      </c>
      <c r="U147" s="47">
        <f t="shared" ca="1" si="153"/>
        <v>91379043.415481046</v>
      </c>
      <c r="V147" s="47">
        <f>IFERROR(HLOOKUP(B147-1,'EV Forecast VRZ'!$F$124:$T$130,2,FALSE)/12,0)+IFERROR(((HLOOKUP(B147,'EV Forecast VRZ'!$F$116:$T$122,2,FALSE)-HLOOKUP(B147-1,'EV Forecast VRZ'!$F$124:$T$130,2,FALSE)))*C147/78,0)</f>
        <v>2806452.6691296017</v>
      </c>
      <c r="W147" s="47">
        <f ca="1">HLOOKUP(B147,Heating!$C$102:$O$106,2,FALSE)*INDEX(Weather!$BO$1:$CB$20,MATCH(B147,Weather!$BO$1:$BO$20,0),MATCH(C147,Weather!$BO$1:$CB$1,0))/VLOOKUP(B147,Weather!$BO$2:$CB$20,14,FALSE)</f>
        <v>4959155.657391414</v>
      </c>
      <c r="X147" s="47">
        <f t="shared" ca="1" si="154"/>
        <v>99144651.742002055</v>
      </c>
    </row>
    <row r="148" spans="1:24">
      <c r="A148" s="2">
        <f t="shared" si="146"/>
        <v>46843</v>
      </c>
      <c r="B148">
        <f t="shared" si="147"/>
        <v>2028</v>
      </c>
      <c r="C148">
        <f t="shared" si="148"/>
        <v>3</v>
      </c>
      <c r="E148" s="3">
        <f t="shared" ref="E148:F148" ca="1" si="188">E136</f>
        <v>596.21590579710141</v>
      </c>
      <c r="F148" s="3">
        <f t="shared" ca="1" si="188"/>
        <v>0</v>
      </c>
      <c r="I148" s="47">
        <f t="shared" si="150"/>
        <v>1</v>
      </c>
      <c r="J148" s="47">
        <f t="shared" si="151"/>
        <v>31</v>
      </c>
      <c r="K148" s="47">
        <f t="shared" si="152"/>
        <v>147</v>
      </c>
      <c r="M148" s="436">
        <f t="shared" si="163"/>
        <v>-9235786.3729357291</v>
      </c>
      <c r="N148" s="3">
        <f t="shared" ca="1" si="171"/>
        <v>26653065.321481969</v>
      </c>
      <c r="O148" s="3">
        <f t="shared" ca="1" si="172"/>
        <v>0</v>
      </c>
      <c r="P148" s="3">
        <f t="shared" si="164"/>
        <v>0</v>
      </c>
      <c r="Q148" s="3">
        <f t="shared" si="165"/>
        <v>0</v>
      </c>
      <c r="R148" s="3">
        <f t="shared" si="166"/>
        <v>-2958956.3975358699</v>
      </c>
      <c r="S148" s="3">
        <f t="shared" si="167"/>
        <v>59495027.773339681</v>
      </c>
      <c r="T148" s="3">
        <f t="shared" si="168"/>
        <v>15523785.583047608</v>
      </c>
      <c r="U148" s="47">
        <f t="shared" ca="1" si="153"/>
        <v>89477135.907397658</v>
      </c>
      <c r="V148" s="47">
        <f>IFERROR(HLOOKUP(B148-1,'EV Forecast VRZ'!$F$124:$T$130,2,FALSE)/12,0)+IFERROR(((HLOOKUP(B148,'EV Forecast VRZ'!$F$116:$T$122,2,FALSE)-HLOOKUP(B148-1,'EV Forecast VRZ'!$F$124:$T$130,2,FALSE)))*C148/78,0)</f>
        <v>2844244.5291706542</v>
      </c>
      <c r="W148" s="47">
        <f ca="1">HLOOKUP(B148,Heating!$C$102:$O$106,2,FALSE)*INDEX(Weather!$BO$1:$CB$20,MATCH(B148,Weather!$BO$1:$BO$20,0),MATCH(C148,Weather!$BO$1:$CB$1,0))/VLOOKUP(B148,Weather!$BO$2:$CB$20,14,FALSE)</f>
        <v>4384773.135350951</v>
      </c>
      <c r="X148" s="47">
        <f t="shared" ca="1" si="154"/>
        <v>96706153.571919262</v>
      </c>
    </row>
    <row r="149" spans="1:24">
      <c r="A149" s="2">
        <f t="shared" si="146"/>
        <v>46873</v>
      </c>
      <c r="B149">
        <f t="shared" si="147"/>
        <v>2028</v>
      </c>
      <c r="C149">
        <f t="shared" si="148"/>
        <v>4</v>
      </c>
      <c r="E149" s="3">
        <f t="shared" ref="E149:F149" ca="1" si="189">E137</f>
        <v>412.8885416666667</v>
      </c>
      <c r="F149" s="3">
        <f t="shared" ca="1" si="189"/>
        <v>0.4316666666666677</v>
      </c>
      <c r="I149" s="47">
        <f t="shared" si="150"/>
        <v>1</v>
      </c>
      <c r="J149" s="47">
        <f t="shared" si="151"/>
        <v>30</v>
      </c>
      <c r="K149" s="47">
        <f t="shared" si="152"/>
        <v>148</v>
      </c>
      <c r="M149" s="436">
        <f t="shared" si="163"/>
        <v>-9235786.3729357291</v>
      </c>
      <c r="N149" s="3">
        <f t="shared" ca="1" si="171"/>
        <v>18457651.271179151</v>
      </c>
      <c r="O149" s="3">
        <f t="shared" ca="1" si="172"/>
        <v>115388.71786790752</v>
      </c>
      <c r="P149" s="3">
        <f t="shared" si="164"/>
        <v>0</v>
      </c>
      <c r="Q149" s="3">
        <f t="shared" si="165"/>
        <v>0</v>
      </c>
      <c r="R149" s="3">
        <f t="shared" si="166"/>
        <v>-2958956.3975358699</v>
      </c>
      <c r="S149" s="3">
        <f t="shared" si="167"/>
        <v>57575833.329038396</v>
      </c>
      <c r="T149" s="3">
        <f t="shared" si="168"/>
        <v>15629389.566605756</v>
      </c>
      <c r="U149" s="47">
        <f t="shared" ca="1" si="153"/>
        <v>79583520.114219621</v>
      </c>
      <c r="V149" s="47">
        <f>IFERROR(HLOOKUP(B149-1,'EV Forecast VRZ'!$F$124:$T$130,2,FALSE)/12,0)+IFERROR(((HLOOKUP(B149,'EV Forecast VRZ'!$F$116:$T$122,2,FALSE)-HLOOKUP(B149-1,'EV Forecast VRZ'!$F$124:$T$130,2,FALSE)))*C149/78,0)</f>
        <v>2882036.3892117064</v>
      </c>
      <c r="W149" s="47">
        <f ca="1">HLOOKUP(B149,Heating!$C$102:$O$106,2,FALSE)*INDEX(Weather!$BO$1:$CB$20,MATCH(B149,Weather!$BO$1:$BO$20,0),MATCH(C149,Weather!$BO$1:$CB$1,0))/VLOOKUP(B149,Weather!$BO$2:$CB$20,14,FALSE)</f>
        <v>2896746.0918916399</v>
      </c>
      <c r="X149" s="47">
        <f t="shared" ca="1" si="154"/>
        <v>85362302.595322967</v>
      </c>
    </row>
    <row r="150" spans="1:24">
      <c r="A150" s="2">
        <f t="shared" si="146"/>
        <v>46904</v>
      </c>
      <c r="B150">
        <f t="shared" si="147"/>
        <v>2028</v>
      </c>
      <c r="C150">
        <f t="shared" si="148"/>
        <v>5</v>
      </c>
      <c r="E150" s="3">
        <f t="shared" ref="E150:F150" ca="1" si="190">E138</f>
        <v>208.90012508544086</v>
      </c>
      <c r="F150" s="3">
        <f t="shared" ca="1" si="190"/>
        <v>26.958863636363635</v>
      </c>
      <c r="I150" s="47">
        <f t="shared" si="150"/>
        <v>1</v>
      </c>
      <c r="J150" s="47">
        <f t="shared" si="151"/>
        <v>31</v>
      </c>
      <c r="K150" s="47">
        <f t="shared" si="152"/>
        <v>149</v>
      </c>
      <c r="M150" s="436">
        <f t="shared" si="163"/>
        <v>-9235786.3729357291</v>
      </c>
      <c r="N150" s="3">
        <f t="shared" ca="1" si="171"/>
        <v>9338611.4416457731</v>
      </c>
      <c r="O150" s="3">
        <f t="shared" ca="1" si="172"/>
        <v>7206367.6683608042</v>
      </c>
      <c r="P150" s="3">
        <f t="shared" si="164"/>
        <v>0</v>
      </c>
      <c r="Q150" s="3">
        <f t="shared" si="165"/>
        <v>0</v>
      </c>
      <c r="R150" s="3">
        <f t="shared" si="166"/>
        <v>-2958956.3975358699</v>
      </c>
      <c r="S150" s="3">
        <f t="shared" si="167"/>
        <v>59495027.773339681</v>
      </c>
      <c r="T150" s="3">
        <f t="shared" si="168"/>
        <v>15734993.550163902</v>
      </c>
      <c r="U150" s="47">
        <f t="shared" ca="1" si="153"/>
        <v>79580257.663038552</v>
      </c>
      <c r="V150" s="47">
        <f>IFERROR(HLOOKUP(B150-1,'EV Forecast VRZ'!$F$124:$T$130,2,FALSE)/12,0)+IFERROR(((HLOOKUP(B150,'EV Forecast VRZ'!$F$116:$T$122,2,FALSE)-HLOOKUP(B150-1,'EV Forecast VRZ'!$F$124:$T$130,2,FALSE)))*C150/78,0)</f>
        <v>2919828.2492527589</v>
      </c>
      <c r="W150" s="47">
        <f ca="1">HLOOKUP(B150,Heating!$C$102:$O$106,2,FALSE)*INDEX(Weather!$BO$1:$CB$20,MATCH(B150,Weather!$BO$1:$BO$20,0),MATCH(C150,Weather!$BO$1:$CB$1,0))/VLOOKUP(B150,Weather!$BO$2:$CB$20,14,FALSE)</f>
        <v>1274248.447913894</v>
      </c>
      <c r="X150" s="47">
        <f t="shared" ca="1" si="154"/>
        <v>83774334.360205218</v>
      </c>
    </row>
    <row r="151" spans="1:24">
      <c r="A151" s="2">
        <f t="shared" si="146"/>
        <v>46934</v>
      </c>
      <c r="B151">
        <f t="shared" si="147"/>
        <v>2028</v>
      </c>
      <c r="C151">
        <f t="shared" si="148"/>
        <v>6</v>
      </c>
      <c r="E151" s="3">
        <f t="shared" ref="E151:F151" ca="1" si="191">E139</f>
        <v>61.78217382617381</v>
      </c>
      <c r="F151" s="3">
        <f t="shared" ca="1" si="191"/>
        <v>92.933549595332209</v>
      </c>
      <c r="I151" s="47">
        <f t="shared" si="150"/>
        <v>0</v>
      </c>
      <c r="J151" s="47">
        <f t="shared" si="151"/>
        <v>30</v>
      </c>
      <c r="K151" s="47">
        <f t="shared" si="152"/>
        <v>150</v>
      </c>
      <c r="M151" s="436">
        <f t="shared" si="163"/>
        <v>-9235786.3729357291</v>
      </c>
      <c r="N151" s="3">
        <f t="shared" ca="1" si="171"/>
        <v>2761892.6276222966</v>
      </c>
      <c r="O151" s="3">
        <f t="shared" ca="1" si="172"/>
        <v>24842045.8719358</v>
      </c>
      <c r="P151" s="3">
        <f t="shared" si="164"/>
        <v>0</v>
      </c>
      <c r="Q151" s="3">
        <f t="shared" si="165"/>
        <v>0</v>
      </c>
      <c r="R151" s="3">
        <f t="shared" si="166"/>
        <v>0</v>
      </c>
      <c r="S151" s="3">
        <f t="shared" si="167"/>
        <v>57575833.329038396</v>
      </c>
      <c r="T151" s="3">
        <f t="shared" si="168"/>
        <v>15840597.533722049</v>
      </c>
      <c r="U151" s="47">
        <f t="shared" ca="1" si="153"/>
        <v>91784582.989382803</v>
      </c>
      <c r="V151" s="47">
        <f>IFERROR(HLOOKUP(B151-1,'EV Forecast VRZ'!$F$124:$T$130,2,FALSE)/12,0)+IFERROR(((HLOOKUP(B151,'EV Forecast VRZ'!$F$116:$T$122,2,FALSE)-HLOOKUP(B151-1,'EV Forecast VRZ'!$F$124:$T$130,2,FALSE)))*C151/78,0)</f>
        <v>2957620.109293811</v>
      </c>
      <c r="W151" s="47">
        <f ca="1">HLOOKUP(B151,Heating!$C$102:$O$106,2,FALSE)*INDEX(Weather!$BO$1:$CB$20,MATCH(B151,Weather!$BO$1:$BO$20,0),MATCH(C151,Weather!$BO$1:$CB$1,0))/VLOOKUP(B151,Weather!$BO$2:$CB$20,14,FALSE)</f>
        <v>248483.65811729274</v>
      </c>
      <c r="X151" s="47">
        <f t="shared" ca="1" si="154"/>
        <v>94990686.756793916</v>
      </c>
    </row>
    <row r="152" spans="1:24">
      <c r="A152" s="2">
        <f t="shared" si="146"/>
        <v>46965</v>
      </c>
      <c r="B152">
        <f t="shared" si="147"/>
        <v>2028</v>
      </c>
      <c r="C152">
        <f t="shared" si="148"/>
        <v>7</v>
      </c>
      <c r="E152" s="3">
        <f t="shared" ref="E152:F152" ca="1" si="192">E140</f>
        <v>8.334479813664597</v>
      </c>
      <c r="F152" s="3">
        <f t="shared" ca="1" si="192"/>
        <v>180.79967025394512</v>
      </c>
      <c r="I152" s="47">
        <f t="shared" si="150"/>
        <v>0</v>
      </c>
      <c r="J152" s="47">
        <f t="shared" si="151"/>
        <v>31</v>
      </c>
      <c r="K152" s="47">
        <f t="shared" si="152"/>
        <v>151</v>
      </c>
      <c r="M152" s="436">
        <f t="shared" si="163"/>
        <v>-9235786.3729357291</v>
      </c>
      <c r="N152" s="3">
        <f t="shared" ca="1" si="171"/>
        <v>372582.2017398036</v>
      </c>
      <c r="O152" s="3">
        <f t="shared" ca="1" si="172"/>
        <v>48329518.474617302</v>
      </c>
      <c r="P152" s="3">
        <f t="shared" si="164"/>
        <v>0</v>
      </c>
      <c r="Q152" s="3">
        <f t="shared" si="165"/>
        <v>0</v>
      </c>
      <c r="R152" s="3">
        <f t="shared" si="166"/>
        <v>0</v>
      </c>
      <c r="S152" s="3">
        <f t="shared" si="167"/>
        <v>59495027.773339681</v>
      </c>
      <c r="T152" s="3">
        <f t="shared" si="168"/>
        <v>15946201.517280197</v>
      </c>
      <c r="U152" s="47">
        <f t="shared" ca="1" si="153"/>
        <v>114907543.59404126</v>
      </c>
      <c r="V152" s="47">
        <f>IFERROR(HLOOKUP(B152-1,'EV Forecast VRZ'!$F$124:$T$130,2,FALSE)/12,0)+IFERROR(((HLOOKUP(B152,'EV Forecast VRZ'!$F$116:$T$122,2,FALSE)-HLOOKUP(B152-1,'EV Forecast VRZ'!$F$124:$T$130,2,FALSE)))*C152/78,0)</f>
        <v>2995411.9693348636</v>
      </c>
      <c r="W152" s="47">
        <f ca="1">HLOOKUP(B152,Heating!$C$102:$O$106,2,FALSE)*INDEX(Weather!$BO$1:$CB$20,MATCH(B152,Weather!$BO$1:$BO$20,0),MATCH(C152,Weather!$BO$1:$CB$1,0))/VLOOKUP(B152,Weather!$BO$2:$CB$20,14,FALSE)</f>
        <v>8902.1158139301187</v>
      </c>
      <c r="X152" s="47">
        <f t="shared" ca="1" si="154"/>
        <v>117911857.67919005</v>
      </c>
    </row>
    <row r="153" spans="1:24">
      <c r="A153" s="2">
        <f t="shared" si="146"/>
        <v>46996</v>
      </c>
      <c r="B153">
        <f t="shared" si="147"/>
        <v>2028</v>
      </c>
      <c r="C153">
        <f t="shared" si="148"/>
        <v>8</v>
      </c>
      <c r="E153" s="3">
        <f t="shared" ref="E153:F153" ca="1" si="193">E141</f>
        <v>21.054927536231883</v>
      </c>
      <c r="F153" s="3">
        <f t="shared" ca="1" si="193"/>
        <v>153.08475461133071</v>
      </c>
      <c r="I153" s="47">
        <f t="shared" si="150"/>
        <v>0</v>
      </c>
      <c r="J153" s="47">
        <f t="shared" si="151"/>
        <v>31</v>
      </c>
      <c r="K153" s="47">
        <f t="shared" si="152"/>
        <v>152</v>
      </c>
      <c r="M153" s="436">
        <f t="shared" si="163"/>
        <v>-9235786.3729357291</v>
      </c>
      <c r="N153" s="3">
        <f t="shared" ca="1" si="171"/>
        <v>941233.45839289424</v>
      </c>
      <c r="O153" s="3">
        <f t="shared" ca="1" si="172"/>
        <v>40921050.717508845</v>
      </c>
      <c r="P153" s="3">
        <f t="shared" si="164"/>
        <v>0</v>
      </c>
      <c r="Q153" s="3">
        <f t="shared" si="165"/>
        <v>0</v>
      </c>
      <c r="R153" s="3">
        <f t="shared" si="166"/>
        <v>0</v>
      </c>
      <c r="S153" s="3">
        <f t="shared" si="167"/>
        <v>59495027.773339681</v>
      </c>
      <c r="T153" s="3">
        <f t="shared" si="168"/>
        <v>16051805.500838343</v>
      </c>
      <c r="U153" s="47">
        <f t="shared" ca="1" si="153"/>
        <v>108173331.07714403</v>
      </c>
      <c r="V153" s="47">
        <f>IFERROR(HLOOKUP(B153-1,'EV Forecast VRZ'!$F$124:$T$130,2,FALSE)/12,0)+IFERROR(((HLOOKUP(B153,'EV Forecast VRZ'!$F$116:$T$122,2,FALSE)-HLOOKUP(B153-1,'EV Forecast VRZ'!$F$124:$T$130,2,FALSE)))*C153/78,0)</f>
        <v>3033203.8293759157</v>
      </c>
      <c r="W153" s="47">
        <f ca="1">HLOOKUP(B153,Heating!$C$102:$O$106,2,FALSE)*INDEX(Weather!$BO$1:$CB$20,MATCH(B153,Weather!$BO$1:$BO$20,0),MATCH(C153,Weather!$BO$1:$CB$1,0))/VLOOKUP(B153,Weather!$BO$2:$CB$20,14,FALSE)</f>
        <v>52732.125906641835</v>
      </c>
      <c r="X153" s="47">
        <f t="shared" ca="1" si="154"/>
        <v>111259267.0324266</v>
      </c>
    </row>
    <row r="154" spans="1:24">
      <c r="A154" s="2">
        <f t="shared" si="146"/>
        <v>47026</v>
      </c>
      <c r="B154">
        <f t="shared" si="147"/>
        <v>2028</v>
      </c>
      <c r="C154">
        <f t="shared" si="148"/>
        <v>9</v>
      </c>
      <c r="E154" s="3">
        <f t="shared" ref="E154:F154" ca="1" si="194">E142</f>
        <v>97.667119565217376</v>
      </c>
      <c r="F154" s="3">
        <f t="shared" ca="1" si="194"/>
        <v>58.118749999999991</v>
      </c>
      <c r="I154" s="47">
        <f t="shared" si="150"/>
        <v>1</v>
      </c>
      <c r="J154" s="47">
        <f t="shared" si="151"/>
        <v>30</v>
      </c>
      <c r="K154" s="47">
        <f t="shared" si="152"/>
        <v>153</v>
      </c>
      <c r="M154" s="436">
        <f t="shared" si="163"/>
        <v>-9235786.3729357291</v>
      </c>
      <c r="N154" s="3">
        <f t="shared" ca="1" si="171"/>
        <v>4366082.9780321233</v>
      </c>
      <c r="O154" s="3">
        <f t="shared" ca="1" si="172"/>
        <v>15535709.760429574</v>
      </c>
      <c r="P154" s="3">
        <f t="shared" si="164"/>
        <v>0</v>
      </c>
      <c r="Q154" s="3">
        <f t="shared" si="165"/>
        <v>0</v>
      </c>
      <c r="R154" s="3">
        <f t="shared" si="166"/>
        <v>-2958956.3975358699</v>
      </c>
      <c r="S154" s="3">
        <f t="shared" si="167"/>
        <v>57575833.329038396</v>
      </c>
      <c r="T154" s="3">
        <f t="shared" si="168"/>
        <v>16157409.484396491</v>
      </c>
      <c r="U154" s="47">
        <f t="shared" ca="1" si="153"/>
        <v>81440292.781424984</v>
      </c>
      <c r="V154" s="47">
        <f>IFERROR(HLOOKUP(B154-1,'EV Forecast VRZ'!$F$124:$T$130,2,FALSE)/12,0)+IFERROR(((HLOOKUP(B154,'EV Forecast VRZ'!$F$116:$T$122,2,FALSE)-HLOOKUP(B154-1,'EV Forecast VRZ'!$F$124:$T$130,2,FALSE)))*C154/78,0)</f>
        <v>3070995.6894169683</v>
      </c>
      <c r="W154" s="47">
        <f ca="1">HLOOKUP(B154,Heating!$C$102:$O$106,2,FALSE)*INDEX(Weather!$BO$1:$CB$20,MATCH(B154,Weather!$BO$1:$BO$20,0),MATCH(C154,Weather!$BO$1:$CB$1,0))/VLOOKUP(B154,Weather!$BO$2:$CB$20,14,FALSE)</f>
        <v>446614.28365500469</v>
      </c>
      <c r="X154" s="47">
        <f t="shared" ca="1" si="154"/>
        <v>84957902.754496962</v>
      </c>
    </row>
    <row r="155" spans="1:24">
      <c r="A155" s="2">
        <f t="shared" si="146"/>
        <v>47057</v>
      </c>
      <c r="B155">
        <f t="shared" si="147"/>
        <v>2028</v>
      </c>
      <c r="C155">
        <f t="shared" si="148"/>
        <v>10</v>
      </c>
      <c r="E155" s="3">
        <f t="shared" ref="E155:F155" ca="1" si="195">E143</f>
        <v>292.46431159420291</v>
      </c>
      <c r="F155" s="3">
        <f t="shared" ca="1" si="195"/>
        <v>7.9825000000000035</v>
      </c>
      <c r="I155" s="47">
        <f t="shared" si="150"/>
        <v>1</v>
      </c>
      <c r="J155" s="47">
        <f t="shared" si="151"/>
        <v>31</v>
      </c>
      <c r="K155" s="47">
        <f t="shared" si="152"/>
        <v>154</v>
      </c>
      <c r="M155" s="436">
        <f t="shared" si="163"/>
        <v>-9235786.3729357291</v>
      </c>
      <c r="N155" s="3">
        <f t="shared" ca="1" si="171"/>
        <v>13074240.934080835</v>
      </c>
      <c r="O155" s="3">
        <f t="shared" ca="1" si="172"/>
        <v>2133800.2479858762</v>
      </c>
      <c r="P155" s="3">
        <f t="shared" si="164"/>
        <v>0</v>
      </c>
      <c r="Q155" s="3">
        <f t="shared" si="165"/>
        <v>0</v>
      </c>
      <c r="R155" s="3">
        <f t="shared" si="166"/>
        <v>-2958956.3975358699</v>
      </c>
      <c r="S155" s="3">
        <f t="shared" si="167"/>
        <v>59495027.773339681</v>
      </c>
      <c r="T155" s="3">
        <f t="shared" si="168"/>
        <v>16263013.467954637</v>
      </c>
      <c r="U155" s="47">
        <f t="shared" ca="1" si="153"/>
        <v>78771339.652889431</v>
      </c>
      <c r="V155" s="47">
        <f>IFERROR(HLOOKUP(B155-1,'EV Forecast VRZ'!$F$124:$T$130,2,FALSE)/12,0)+IFERROR(((HLOOKUP(B155,'EV Forecast VRZ'!$F$116:$T$122,2,FALSE)-HLOOKUP(B155-1,'EV Forecast VRZ'!$F$124:$T$130,2,FALSE)))*C155/78,0)</f>
        <v>3108787.5494580204</v>
      </c>
      <c r="W155" s="47">
        <f ca="1">HLOOKUP(B155,Heating!$C$102:$O$106,2,FALSE)*INDEX(Weather!$BO$1:$CB$20,MATCH(B155,Weather!$BO$1:$BO$20,0),MATCH(C155,Weather!$BO$1:$CB$1,0))/VLOOKUP(B155,Weather!$BO$2:$CB$20,14,FALSE)</f>
        <v>1905984.198660302</v>
      </c>
      <c r="X155" s="47">
        <f t="shared" ca="1" si="154"/>
        <v>83786111.401007757</v>
      </c>
    </row>
    <row r="156" spans="1:24">
      <c r="A156" s="2">
        <f t="shared" si="146"/>
        <v>47087</v>
      </c>
      <c r="B156">
        <f t="shared" si="147"/>
        <v>2028</v>
      </c>
      <c r="C156">
        <f t="shared" si="148"/>
        <v>11</v>
      </c>
      <c r="E156" s="3">
        <f t="shared" ref="E156:F156" ca="1" si="196">E144</f>
        <v>495.51408055712409</v>
      </c>
      <c r="F156" s="3">
        <f t="shared" ca="1" si="196"/>
        <v>0.15041666666666628</v>
      </c>
      <c r="I156" s="47">
        <f t="shared" si="150"/>
        <v>1</v>
      </c>
      <c r="J156" s="47">
        <f t="shared" si="151"/>
        <v>30</v>
      </c>
      <c r="K156" s="47">
        <f t="shared" si="152"/>
        <v>155</v>
      </c>
      <c r="M156" s="436">
        <f t="shared" si="163"/>
        <v>-9235786.3729357291</v>
      </c>
      <c r="N156" s="3">
        <f t="shared" ca="1" si="171"/>
        <v>22151319.72896003</v>
      </c>
      <c r="O156" s="3">
        <f t="shared" ca="1" si="172"/>
        <v>40207.844739685723</v>
      </c>
      <c r="P156" s="3">
        <f t="shared" si="164"/>
        <v>0</v>
      </c>
      <c r="Q156" s="3">
        <f t="shared" si="165"/>
        <v>0</v>
      </c>
      <c r="R156" s="3">
        <f t="shared" si="166"/>
        <v>-2958956.3975358699</v>
      </c>
      <c r="S156" s="3">
        <f t="shared" si="167"/>
        <v>57575833.329038396</v>
      </c>
      <c r="T156" s="3">
        <f t="shared" si="168"/>
        <v>16368617.451512784</v>
      </c>
      <c r="U156" s="47">
        <f t="shared" ca="1" si="153"/>
        <v>83941235.58377929</v>
      </c>
      <c r="V156" s="47">
        <f>IFERROR(HLOOKUP(B156-1,'EV Forecast VRZ'!$F$124:$T$130,2,FALSE)/12,0)+IFERROR(((HLOOKUP(B156,'EV Forecast VRZ'!$F$116:$T$122,2,FALSE)-HLOOKUP(B156-1,'EV Forecast VRZ'!$F$124:$T$130,2,FALSE)))*C156/78,0)</f>
        <v>3146579.4094990729</v>
      </c>
      <c r="W156" s="47">
        <f ca="1">HLOOKUP(B156,Heating!$C$102:$O$106,2,FALSE)*INDEX(Weather!$BO$1:$CB$20,MATCH(B156,Weather!$BO$1:$BO$20,0),MATCH(C156,Weather!$BO$1:$CB$1,0))/VLOOKUP(B156,Weather!$BO$2:$CB$20,14,FALSE)</f>
        <v>3574641.6753439703</v>
      </c>
      <c r="X156" s="47">
        <f t="shared" ca="1" si="154"/>
        <v>90662456.668622345</v>
      </c>
    </row>
    <row r="157" spans="1:24">
      <c r="A157" s="2">
        <f t="shared" si="146"/>
        <v>47118</v>
      </c>
      <c r="B157">
        <f t="shared" si="147"/>
        <v>2028</v>
      </c>
      <c r="C157">
        <f t="shared" si="148"/>
        <v>12</v>
      </c>
      <c r="E157" s="3">
        <f t="shared" ref="E157:F157" ca="1" si="197">E145</f>
        <v>664.38541666666663</v>
      </c>
      <c r="F157" s="3">
        <f t="shared" ca="1" si="197"/>
        <v>0</v>
      </c>
      <c r="I157" s="47">
        <f t="shared" si="150"/>
        <v>0</v>
      </c>
      <c r="J157" s="47">
        <f t="shared" si="151"/>
        <v>31</v>
      </c>
      <c r="K157" s="47">
        <f t="shared" si="152"/>
        <v>156</v>
      </c>
      <c r="M157" s="436">
        <f t="shared" si="163"/>
        <v>-9235786.3729357291</v>
      </c>
      <c r="N157" s="3">
        <f t="shared" ca="1" si="171"/>
        <v>29700495.637368772</v>
      </c>
      <c r="O157" s="3">
        <f t="shared" ca="1" si="172"/>
        <v>0</v>
      </c>
      <c r="P157" s="3">
        <f t="shared" si="164"/>
        <v>0</v>
      </c>
      <c r="Q157" s="3">
        <f t="shared" si="165"/>
        <v>0</v>
      </c>
      <c r="R157" s="3">
        <f t="shared" si="166"/>
        <v>0</v>
      </c>
      <c r="S157" s="3">
        <f t="shared" si="167"/>
        <v>59495027.773339681</v>
      </c>
      <c r="T157" s="3">
        <f t="shared" si="168"/>
        <v>16474221.435070932</v>
      </c>
      <c r="U157" s="47">
        <f t="shared" ca="1" si="153"/>
        <v>96433958.472843647</v>
      </c>
      <c r="V157" s="47">
        <f>IFERROR(HLOOKUP(B157-1,'EV Forecast VRZ'!$F$124:$T$130,2,FALSE)/12,0)+IFERROR(((HLOOKUP(B157,'EV Forecast VRZ'!$F$116:$T$122,2,FALSE)-HLOOKUP(B157-1,'EV Forecast VRZ'!$F$124:$T$130,2,FALSE)))*C157/78,0)</f>
        <v>3184371.269540125</v>
      </c>
      <c r="W157" s="47">
        <f ca="1">HLOOKUP(B157,Heating!$C$102:$O$106,2,FALSE)*INDEX(Weather!$BO$1:$CB$20,MATCH(B157,Weather!$BO$1:$BO$20,0),MATCH(C157,Weather!$BO$1:$CB$1,0))/VLOOKUP(B157,Weather!$BO$2:$CB$20,14,FALSE)</f>
        <v>4944299.4180154214</v>
      </c>
      <c r="X157" s="47">
        <f t="shared" ca="1" si="154"/>
        <v>104562629.1603992</v>
      </c>
    </row>
    <row r="158" spans="1:24">
      <c r="A158" s="2">
        <f t="shared" si="146"/>
        <v>47149</v>
      </c>
      <c r="B158">
        <f t="shared" si="147"/>
        <v>2029</v>
      </c>
      <c r="C158">
        <f t="shared" si="148"/>
        <v>1</v>
      </c>
      <c r="E158" s="3">
        <f t="shared" ref="E158:F158" ca="1" si="198">E146</f>
        <v>752.78750000000002</v>
      </c>
      <c r="F158" s="3">
        <f t="shared" ca="1" si="198"/>
        <v>0</v>
      </c>
      <c r="I158" s="47">
        <f t="shared" si="150"/>
        <v>0</v>
      </c>
      <c r="J158" s="47">
        <f t="shared" si="151"/>
        <v>31</v>
      </c>
      <c r="K158" s="47">
        <f t="shared" si="152"/>
        <v>157</v>
      </c>
      <c r="M158" s="436">
        <f t="shared" si="163"/>
        <v>-9235786.3729357291</v>
      </c>
      <c r="N158" s="3">
        <f t="shared" ca="1" si="171"/>
        <v>33652397.08570125</v>
      </c>
      <c r="O158" s="3">
        <f t="shared" ca="1" si="172"/>
        <v>0</v>
      </c>
      <c r="P158" s="3">
        <f t="shared" si="164"/>
        <v>0</v>
      </c>
      <c r="Q158" s="3">
        <f t="shared" si="165"/>
        <v>0</v>
      </c>
      <c r="R158" s="3">
        <f t="shared" si="166"/>
        <v>0</v>
      </c>
      <c r="S158" s="3">
        <f t="shared" si="167"/>
        <v>59495027.773339681</v>
      </c>
      <c r="T158" s="3">
        <f t="shared" si="168"/>
        <v>16579825.418629078</v>
      </c>
      <c r="U158" s="47">
        <f t="shared" ca="1" si="153"/>
        <v>100491463.90473428</v>
      </c>
      <c r="V158" s="47">
        <f>IFERROR(HLOOKUP(B158-1,'EV Forecast VRZ'!$F$124:$T$130,2,FALSE)/12,0)+IFERROR(((HLOOKUP(B158,'EV Forecast VRZ'!$F$116:$T$122,2,FALSE)-HLOOKUP(B158-1,'EV Forecast VRZ'!$F$124:$T$130,2,FALSE)))*C158/78,0)</f>
        <v>3380025.308450629</v>
      </c>
      <c r="W158" s="47">
        <f ca="1">HLOOKUP(B158,Heating!$C$102:$O$106,2,FALSE)*INDEX(Weather!$BO$1:$CB$20,MATCH(B158,Weather!$BO$1:$BO$20,0),MATCH(C158,Weather!$BO$1:$CB$1,0))/VLOOKUP(B158,Weather!$BO$2:$CB$20,14,FALSE)</f>
        <v>6513514.3281324822</v>
      </c>
      <c r="X158" s="47">
        <f t="shared" ca="1" si="154"/>
        <v>110385003.54131739</v>
      </c>
    </row>
    <row r="159" spans="1:24">
      <c r="A159" s="2">
        <f t="shared" si="146"/>
        <v>47177</v>
      </c>
      <c r="B159">
        <f t="shared" si="147"/>
        <v>2029</v>
      </c>
      <c r="C159">
        <f t="shared" si="148"/>
        <v>2</v>
      </c>
      <c r="E159" s="3">
        <f t="shared" ref="E159:F159" ca="1" si="199">E147</f>
        <v>660.7954166666666</v>
      </c>
      <c r="F159" s="3">
        <f t="shared" ca="1" si="199"/>
        <v>0</v>
      </c>
      <c r="I159" s="47">
        <f t="shared" si="150"/>
        <v>0</v>
      </c>
      <c r="J159" s="47">
        <f t="shared" si="151"/>
        <v>28</v>
      </c>
      <c r="K159" s="47">
        <f t="shared" si="152"/>
        <v>158</v>
      </c>
      <c r="M159" s="436">
        <f t="shared" si="163"/>
        <v>-9235786.3729357291</v>
      </c>
      <c r="N159" s="3">
        <f t="shared" ca="1" si="171"/>
        <v>29540009.304190192</v>
      </c>
      <c r="O159" s="3">
        <f t="shared" ca="1" si="172"/>
        <v>0</v>
      </c>
      <c r="P159" s="3">
        <f t="shared" si="164"/>
        <v>0</v>
      </c>
      <c r="Q159" s="3">
        <f t="shared" si="165"/>
        <v>0</v>
      </c>
      <c r="R159" s="3">
        <f t="shared" si="166"/>
        <v>0</v>
      </c>
      <c r="S159" s="3">
        <f t="shared" si="167"/>
        <v>53737444.440435842</v>
      </c>
      <c r="T159" s="3">
        <f t="shared" si="168"/>
        <v>16685429.402187224</v>
      </c>
      <c r="U159" s="47">
        <f t="shared" ca="1" si="153"/>
        <v>90727096.773877531</v>
      </c>
      <c r="V159" s="47">
        <f>IFERROR(HLOOKUP(B159-1,'EV Forecast VRZ'!$F$124:$T$130,2,FALSE)/12,0)+IFERROR(((HLOOKUP(B159,'EV Forecast VRZ'!$F$116:$T$122,2,FALSE)-HLOOKUP(B159-1,'EV Forecast VRZ'!$F$124:$T$130,2,FALSE)))*C159/78,0)</f>
        <v>3435586.2736447887</v>
      </c>
      <c r="W159" s="47">
        <f ca="1">HLOOKUP(B159,Heating!$C$102:$O$106,2,FALSE)*INDEX(Weather!$BO$1:$CB$20,MATCH(B159,Weather!$BO$1:$BO$20,0),MATCH(C159,Weather!$BO$1:$CB$1,0))/VLOOKUP(B159,Weather!$BO$2:$CB$20,14,FALSE)</f>
        <v>5697027.6726928437</v>
      </c>
      <c r="X159" s="47">
        <f t="shared" ca="1" si="154"/>
        <v>99859710.720215172</v>
      </c>
    </row>
    <row r="160" spans="1:24">
      <c r="A160" s="2">
        <f t="shared" ref="A160:A193" si="200">EOMONTH(A159,1)</f>
        <v>47208</v>
      </c>
      <c r="B160">
        <f t="shared" si="147"/>
        <v>2029</v>
      </c>
      <c r="C160">
        <f t="shared" ref="C160:C193" si="201">MONTH(A160)</f>
        <v>3</v>
      </c>
      <c r="E160" s="3">
        <f t="shared" ref="E160:F160" ca="1" si="202">E148</f>
        <v>596.21590579710141</v>
      </c>
      <c r="F160" s="3">
        <f t="shared" ca="1" si="202"/>
        <v>0</v>
      </c>
      <c r="I160" s="47">
        <f t="shared" si="150"/>
        <v>1</v>
      </c>
      <c r="J160" s="47">
        <f t="shared" si="151"/>
        <v>31</v>
      </c>
      <c r="K160" s="47">
        <f t="shared" si="152"/>
        <v>159</v>
      </c>
      <c r="M160" s="436">
        <f t="shared" si="163"/>
        <v>-9235786.3729357291</v>
      </c>
      <c r="N160" s="3">
        <f t="shared" ca="1" si="171"/>
        <v>26653065.321481969</v>
      </c>
      <c r="O160" s="3">
        <f t="shared" ca="1" si="172"/>
        <v>0</v>
      </c>
      <c r="P160" s="3">
        <f t="shared" si="164"/>
        <v>0</v>
      </c>
      <c r="Q160" s="3">
        <f t="shared" si="165"/>
        <v>0</v>
      </c>
      <c r="R160" s="3">
        <f t="shared" si="166"/>
        <v>-2958956.3975358699</v>
      </c>
      <c r="S160" s="3">
        <f t="shared" si="167"/>
        <v>59495027.773339681</v>
      </c>
      <c r="T160" s="3">
        <f t="shared" si="168"/>
        <v>16791033.385745373</v>
      </c>
      <c r="U160" s="47">
        <f t="shared" ca="1" si="153"/>
        <v>90744383.71009542</v>
      </c>
      <c r="V160" s="47">
        <f>IFERROR(HLOOKUP(B160-1,'EV Forecast VRZ'!$F$124:$T$130,2,FALSE)/12,0)+IFERROR(((HLOOKUP(B160,'EV Forecast VRZ'!$F$116:$T$122,2,FALSE)-HLOOKUP(B160-1,'EV Forecast VRZ'!$F$124:$T$130,2,FALSE)))*C160/78,0)</f>
        <v>3491147.2388389483</v>
      </c>
      <c r="W160" s="47">
        <f ca="1">HLOOKUP(B160,Heating!$C$102:$O$106,2,FALSE)*INDEX(Weather!$BO$1:$CB$20,MATCH(B160,Weather!$BO$1:$BO$20,0),MATCH(C160,Weather!$BO$1:$CB$1,0))/VLOOKUP(B160,Weather!$BO$2:$CB$20,14,FALSE)</f>
        <v>5037182.8626396572</v>
      </c>
      <c r="X160" s="47">
        <f t="shared" ca="1" si="154"/>
        <v>99272713.811574027</v>
      </c>
    </row>
    <row r="161" spans="1:24">
      <c r="A161" s="2">
        <f t="shared" si="200"/>
        <v>47238</v>
      </c>
      <c r="B161">
        <f t="shared" si="147"/>
        <v>2029</v>
      </c>
      <c r="C161">
        <f t="shared" si="201"/>
        <v>4</v>
      </c>
      <c r="E161" s="3">
        <f t="shared" ref="E161:F161" ca="1" si="203">E149</f>
        <v>412.8885416666667</v>
      </c>
      <c r="F161" s="3">
        <f t="shared" ca="1" si="203"/>
        <v>0.4316666666666677</v>
      </c>
      <c r="I161" s="47">
        <f t="shared" si="150"/>
        <v>1</v>
      </c>
      <c r="J161" s="47">
        <f t="shared" si="151"/>
        <v>30</v>
      </c>
      <c r="K161" s="47">
        <f t="shared" si="152"/>
        <v>160</v>
      </c>
      <c r="M161" s="436">
        <f t="shared" si="163"/>
        <v>-9235786.3729357291</v>
      </c>
      <c r="N161" s="3">
        <f t="shared" ca="1" si="171"/>
        <v>18457651.271179151</v>
      </c>
      <c r="O161" s="3">
        <f t="shared" ca="1" si="172"/>
        <v>115388.71786790752</v>
      </c>
      <c r="P161" s="3">
        <f t="shared" si="164"/>
        <v>0</v>
      </c>
      <c r="Q161" s="3">
        <f t="shared" si="165"/>
        <v>0</v>
      </c>
      <c r="R161" s="3">
        <f t="shared" si="166"/>
        <v>-2958956.3975358699</v>
      </c>
      <c r="S161" s="3">
        <f t="shared" si="167"/>
        <v>57575833.329038396</v>
      </c>
      <c r="T161" s="3">
        <f t="shared" si="168"/>
        <v>16896637.369303521</v>
      </c>
      <c r="U161" s="47">
        <f t="shared" ca="1" si="153"/>
        <v>80850767.916917384</v>
      </c>
      <c r="V161" s="47">
        <f>IFERROR(HLOOKUP(B161-1,'EV Forecast VRZ'!$F$124:$T$130,2,FALSE)/12,0)+IFERROR(((HLOOKUP(B161,'EV Forecast VRZ'!$F$116:$T$122,2,FALSE)-HLOOKUP(B161-1,'EV Forecast VRZ'!$F$124:$T$130,2,FALSE)))*C161/78,0)</f>
        <v>3546708.204033108</v>
      </c>
      <c r="W161" s="47">
        <f ca="1">HLOOKUP(B161,Heating!$C$102:$O$106,2,FALSE)*INDEX(Weather!$BO$1:$CB$20,MATCH(B161,Weather!$BO$1:$BO$20,0),MATCH(C161,Weather!$BO$1:$CB$1,0))/VLOOKUP(B161,Weather!$BO$2:$CB$20,14,FALSE)</f>
        <v>3327752.5019152649</v>
      </c>
      <c r="X161" s="47">
        <f t="shared" ca="1" si="154"/>
        <v>87725228.622865751</v>
      </c>
    </row>
    <row r="162" spans="1:24">
      <c r="A162" s="2">
        <f t="shared" si="200"/>
        <v>47269</v>
      </c>
      <c r="B162">
        <f t="shared" si="147"/>
        <v>2029</v>
      </c>
      <c r="C162">
        <f t="shared" si="201"/>
        <v>5</v>
      </c>
      <c r="E162" s="3">
        <f t="shared" ref="E162:F162" ca="1" si="204">E150</f>
        <v>208.90012508544086</v>
      </c>
      <c r="F162" s="3">
        <f t="shared" ca="1" si="204"/>
        <v>26.958863636363635</v>
      </c>
      <c r="I162" s="47">
        <f t="shared" si="150"/>
        <v>1</v>
      </c>
      <c r="J162" s="47">
        <f t="shared" si="151"/>
        <v>31</v>
      </c>
      <c r="K162" s="47">
        <f t="shared" si="152"/>
        <v>161</v>
      </c>
      <c r="M162" s="436">
        <f t="shared" ref="M162:M193" si="205">$AB$8</f>
        <v>-9235786.3729357291</v>
      </c>
      <c r="N162" s="3">
        <f t="shared" ca="1" si="171"/>
        <v>9338611.4416457731</v>
      </c>
      <c r="O162" s="3">
        <f t="shared" ca="1" si="172"/>
        <v>7206367.6683608042</v>
      </c>
      <c r="P162" s="3">
        <f t="shared" ref="P162:P193" si="206">G162*$AB$11</f>
        <v>0</v>
      </c>
      <c r="Q162" s="3">
        <f t="shared" ref="Q162:Q193" si="207">H162*$AB$12</f>
        <v>0</v>
      </c>
      <c r="R162" s="3">
        <f t="shared" ref="R162:R193" si="208">I162*$AB$13</f>
        <v>-2958956.3975358699</v>
      </c>
      <c r="S162" s="3">
        <f t="shared" ref="S162:S193" si="209">J162*$AB$14</f>
        <v>59495027.773339681</v>
      </c>
      <c r="T162" s="3">
        <f t="shared" ref="T162:T193" si="210">K162*$AB$15</f>
        <v>17002241.352861665</v>
      </c>
      <c r="U162" s="47">
        <f t="shared" ref="U162:U193" ca="1" si="211">SUM(M162:T162)</f>
        <v>80847505.46573633</v>
      </c>
      <c r="V162" s="47">
        <f>IFERROR(HLOOKUP(B162-1,'EV Forecast VRZ'!$F$124:$T$130,2,FALSE)/12,0)+IFERROR(((HLOOKUP(B162,'EV Forecast VRZ'!$F$116:$T$122,2,FALSE)-HLOOKUP(B162-1,'EV Forecast VRZ'!$F$124:$T$130,2,FALSE)))*C162/78,0)</f>
        <v>3602269.1692272676</v>
      </c>
      <c r="W162" s="47">
        <f ca="1">HLOOKUP(B162,Heating!$C$102:$O$106,2,FALSE)*INDEX(Weather!$BO$1:$CB$20,MATCH(B162,Weather!$BO$1:$BO$20,0),MATCH(C162,Weather!$BO$1:$CB$1,0))/VLOOKUP(B162,Weather!$BO$2:$CB$20,14,FALSE)</f>
        <v>1463843.680492562</v>
      </c>
      <c r="X162" s="47">
        <f t="shared" ca="1" si="154"/>
        <v>85913618.315456167</v>
      </c>
    </row>
    <row r="163" spans="1:24">
      <c r="A163" s="2">
        <f t="shared" si="200"/>
        <v>47299</v>
      </c>
      <c r="B163">
        <f t="shared" ref="B163:B193" si="212">YEAR(A163)</f>
        <v>2029</v>
      </c>
      <c r="C163">
        <f t="shared" si="201"/>
        <v>6</v>
      </c>
      <c r="E163" s="3">
        <f t="shared" ref="E163:F163" ca="1" si="213">E151</f>
        <v>61.78217382617381</v>
      </c>
      <c r="F163" s="3">
        <f t="shared" ca="1" si="213"/>
        <v>92.933549595332209</v>
      </c>
      <c r="I163" s="47">
        <f t="shared" ref="I163:I193" si="214">I151</f>
        <v>0</v>
      </c>
      <c r="J163" s="47">
        <f t="shared" ref="J163:J193" si="215">J115</f>
        <v>30</v>
      </c>
      <c r="K163" s="47">
        <f t="shared" ref="K163:K193" si="216">K162+1</f>
        <v>162</v>
      </c>
      <c r="M163" s="436">
        <f t="shared" si="205"/>
        <v>-9235786.3729357291</v>
      </c>
      <c r="N163" s="3">
        <f t="shared" ca="1" si="171"/>
        <v>2761892.6276222966</v>
      </c>
      <c r="O163" s="3">
        <f t="shared" ca="1" si="172"/>
        <v>24842045.8719358</v>
      </c>
      <c r="P163" s="3">
        <f t="shared" si="206"/>
        <v>0</v>
      </c>
      <c r="Q163" s="3">
        <f t="shared" si="207"/>
        <v>0</v>
      </c>
      <c r="R163" s="3">
        <f t="shared" si="208"/>
        <v>0</v>
      </c>
      <c r="S163" s="3">
        <f t="shared" si="209"/>
        <v>57575833.329038396</v>
      </c>
      <c r="T163" s="3">
        <f t="shared" si="210"/>
        <v>17107845.336419813</v>
      </c>
      <c r="U163" s="47">
        <f t="shared" ca="1" si="211"/>
        <v>93051830.792080581</v>
      </c>
      <c r="V163" s="47">
        <f>IFERROR(HLOOKUP(B163-1,'EV Forecast VRZ'!$F$124:$T$130,2,FALSE)/12,0)+IFERROR(((HLOOKUP(B163,'EV Forecast VRZ'!$F$116:$T$122,2,FALSE)-HLOOKUP(B163-1,'EV Forecast VRZ'!$F$124:$T$130,2,FALSE)))*C163/78,0)</f>
        <v>3657830.1344214277</v>
      </c>
      <c r="W163" s="47">
        <f ca="1">HLOOKUP(B163,Heating!$C$102:$O$106,2,FALSE)*INDEX(Weather!$BO$1:$CB$20,MATCH(B163,Weather!$BO$1:$BO$20,0),MATCH(C163,Weather!$BO$1:$CB$1,0))/VLOOKUP(B163,Weather!$BO$2:$CB$20,14,FALSE)</f>
        <v>285455.50378041563</v>
      </c>
      <c r="X163" s="47">
        <f t="shared" ca="1" si="154"/>
        <v>96995116.430282414</v>
      </c>
    </row>
    <row r="164" spans="1:24">
      <c r="A164" s="2">
        <f t="shared" si="200"/>
        <v>47330</v>
      </c>
      <c r="B164">
        <f t="shared" si="212"/>
        <v>2029</v>
      </c>
      <c r="C164">
        <f t="shared" si="201"/>
        <v>7</v>
      </c>
      <c r="E164" s="3">
        <f t="shared" ref="E164:F164" ca="1" si="217">E152</f>
        <v>8.334479813664597</v>
      </c>
      <c r="F164" s="3">
        <f t="shared" ca="1" si="217"/>
        <v>180.79967025394512</v>
      </c>
      <c r="I164" s="47">
        <f t="shared" si="214"/>
        <v>0</v>
      </c>
      <c r="J164" s="47">
        <f t="shared" si="215"/>
        <v>31</v>
      </c>
      <c r="K164" s="47">
        <f t="shared" si="216"/>
        <v>163</v>
      </c>
      <c r="M164" s="436">
        <f t="shared" si="205"/>
        <v>-9235786.3729357291</v>
      </c>
      <c r="N164" s="3">
        <f t="shared" ca="1" si="171"/>
        <v>372582.2017398036</v>
      </c>
      <c r="O164" s="3">
        <f t="shared" ca="1" si="172"/>
        <v>48329518.474617302</v>
      </c>
      <c r="P164" s="3">
        <f t="shared" si="206"/>
        <v>0</v>
      </c>
      <c r="Q164" s="3">
        <f t="shared" si="207"/>
        <v>0</v>
      </c>
      <c r="R164" s="3">
        <f t="shared" si="208"/>
        <v>0</v>
      </c>
      <c r="S164" s="3">
        <f t="shared" si="209"/>
        <v>59495027.773339681</v>
      </c>
      <c r="T164" s="3">
        <f t="shared" si="210"/>
        <v>17213449.319977961</v>
      </c>
      <c r="U164" s="47">
        <f t="shared" ca="1" si="211"/>
        <v>116174791.39673904</v>
      </c>
      <c r="V164" s="47">
        <f>IFERROR(HLOOKUP(B164-1,'EV Forecast VRZ'!$F$124:$T$130,2,FALSE)/12,0)+IFERROR(((HLOOKUP(B164,'EV Forecast VRZ'!$F$116:$T$122,2,FALSE)-HLOOKUP(B164-1,'EV Forecast VRZ'!$F$124:$T$130,2,FALSE)))*C164/78,0)</f>
        <v>3713391.0996155869</v>
      </c>
      <c r="W164" s="47">
        <f ca="1">HLOOKUP(B164,Heating!$C$102:$O$106,2,FALSE)*INDEX(Weather!$BO$1:$CB$20,MATCH(B164,Weather!$BO$1:$BO$20,0),MATCH(C164,Weather!$BO$1:$CB$1,0))/VLOOKUP(B164,Weather!$BO$2:$CB$20,14,FALSE)</f>
        <v>10226.660270662604</v>
      </c>
      <c r="X164" s="47">
        <f t="shared" ca="1" si="154"/>
        <v>119898409.15662529</v>
      </c>
    </row>
    <row r="165" spans="1:24">
      <c r="A165" s="2">
        <f t="shared" si="200"/>
        <v>47361</v>
      </c>
      <c r="B165">
        <f t="shared" si="212"/>
        <v>2029</v>
      </c>
      <c r="C165">
        <f t="shared" si="201"/>
        <v>8</v>
      </c>
      <c r="E165" s="3">
        <f t="shared" ref="E165:F165" ca="1" si="218">E153</f>
        <v>21.054927536231883</v>
      </c>
      <c r="F165" s="3">
        <f t="shared" ca="1" si="218"/>
        <v>153.08475461133071</v>
      </c>
      <c r="I165" s="47">
        <f t="shared" si="214"/>
        <v>0</v>
      </c>
      <c r="J165" s="47">
        <f t="shared" si="215"/>
        <v>31</v>
      </c>
      <c r="K165" s="47">
        <f t="shared" si="216"/>
        <v>164</v>
      </c>
      <c r="M165" s="436">
        <f t="shared" si="205"/>
        <v>-9235786.3729357291</v>
      </c>
      <c r="N165" s="3">
        <f t="shared" ca="1" si="171"/>
        <v>941233.45839289424</v>
      </c>
      <c r="O165" s="3">
        <f t="shared" ca="1" si="172"/>
        <v>40921050.717508845</v>
      </c>
      <c r="P165" s="3">
        <f t="shared" si="206"/>
        <v>0</v>
      </c>
      <c r="Q165" s="3">
        <f t="shared" si="207"/>
        <v>0</v>
      </c>
      <c r="R165" s="3">
        <f t="shared" si="208"/>
        <v>0</v>
      </c>
      <c r="S165" s="3">
        <f t="shared" si="209"/>
        <v>59495027.773339681</v>
      </c>
      <c r="T165" s="3">
        <f t="shared" si="210"/>
        <v>17319053.303536106</v>
      </c>
      <c r="U165" s="47">
        <f t="shared" ca="1" si="211"/>
        <v>109440578.87984179</v>
      </c>
      <c r="V165" s="47">
        <f>IFERROR(HLOOKUP(B165-1,'EV Forecast VRZ'!$F$124:$T$130,2,FALSE)/12,0)+IFERROR(((HLOOKUP(B165,'EV Forecast VRZ'!$F$116:$T$122,2,FALSE)-HLOOKUP(B165-1,'EV Forecast VRZ'!$F$124:$T$130,2,FALSE)))*C165/78,0)</f>
        <v>3768952.064809747</v>
      </c>
      <c r="W165" s="47">
        <f ca="1">HLOOKUP(B165,Heating!$C$102:$O$106,2,FALSE)*INDEX(Weather!$BO$1:$CB$20,MATCH(B165,Weather!$BO$1:$BO$20,0),MATCH(C165,Weather!$BO$1:$CB$1,0))/VLOOKUP(B165,Weather!$BO$2:$CB$20,14,FALSE)</f>
        <v>60578.130892565096</v>
      </c>
      <c r="X165" s="47">
        <f t="shared" ca="1" si="154"/>
        <v>113270109.0755441</v>
      </c>
    </row>
    <row r="166" spans="1:24">
      <c r="A166" s="2">
        <f t="shared" si="200"/>
        <v>47391</v>
      </c>
      <c r="B166">
        <f t="shared" si="212"/>
        <v>2029</v>
      </c>
      <c r="C166">
        <f t="shared" si="201"/>
        <v>9</v>
      </c>
      <c r="E166" s="3">
        <f t="shared" ref="E166:F166" ca="1" si="219">E154</f>
        <v>97.667119565217376</v>
      </c>
      <c r="F166" s="3">
        <f t="shared" ca="1" si="219"/>
        <v>58.118749999999991</v>
      </c>
      <c r="I166" s="47">
        <f t="shared" si="214"/>
        <v>1</v>
      </c>
      <c r="J166" s="47">
        <f t="shared" si="215"/>
        <v>30</v>
      </c>
      <c r="K166" s="47">
        <f t="shared" si="216"/>
        <v>165</v>
      </c>
      <c r="M166" s="436">
        <f t="shared" si="205"/>
        <v>-9235786.3729357291</v>
      </c>
      <c r="N166" s="3">
        <f t="shared" ca="1" si="171"/>
        <v>4366082.9780321233</v>
      </c>
      <c r="O166" s="3">
        <f t="shared" ca="1" si="172"/>
        <v>15535709.760429574</v>
      </c>
      <c r="P166" s="3">
        <f t="shared" si="206"/>
        <v>0</v>
      </c>
      <c r="Q166" s="3">
        <f t="shared" si="207"/>
        <v>0</v>
      </c>
      <c r="R166" s="3">
        <f t="shared" si="208"/>
        <v>-2958956.3975358699</v>
      </c>
      <c r="S166" s="3">
        <f t="shared" si="209"/>
        <v>57575833.329038396</v>
      </c>
      <c r="T166" s="3">
        <f t="shared" si="210"/>
        <v>17424657.287094254</v>
      </c>
      <c r="U166" s="47">
        <f t="shared" ca="1" si="211"/>
        <v>82707540.584122747</v>
      </c>
      <c r="V166" s="47">
        <f>IFERROR(HLOOKUP(B166-1,'EV Forecast VRZ'!$F$124:$T$130,2,FALSE)/12,0)+IFERROR(((HLOOKUP(B166,'EV Forecast VRZ'!$F$116:$T$122,2,FALSE)-HLOOKUP(B166-1,'EV Forecast VRZ'!$F$124:$T$130,2,FALSE)))*C166/78,0)</f>
        <v>3824513.0300039067</v>
      </c>
      <c r="W166" s="47">
        <f ca="1">HLOOKUP(B166,Heating!$C$102:$O$106,2,FALSE)*INDEX(Weather!$BO$1:$CB$20,MATCH(B166,Weather!$BO$1:$BO$20,0),MATCH(C166,Weather!$BO$1:$CB$1,0))/VLOOKUP(B166,Weather!$BO$2:$CB$20,14,FALSE)</f>
        <v>513065.95492927718</v>
      </c>
      <c r="X166" s="47">
        <f t="shared" ca="1" si="154"/>
        <v>87045119.56905593</v>
      </c>
    </row>
    <row r="167" spans="1:24">
      <c r="A167" s="2">
        <f t="shared" si="200"/>
        <v>47422</v>
      </c>
      <c r="B167">
        <f t="shared" si="212"/>
        <v>2029</v>
      </c>
      <c r="C167">
        <f t="shared" si="201"/>
        <v>10</v>
      </c>
      <c r="E167" s="3">
        <f t="shared" ref="E167:F167" ca="1" si="220">E155</f>
        <v>292.46431159420291</v>
      </c>
      <c r="F167" s="3">
        <f t="shared" ca="1" si="220"/>
        <v>7.9825000000000035</v>
      </c>
      <c r="I167" s="47">
        <f t="shared" si="214"/>
        <v>1</v>
      </c>
      <c r="J167" s="47">
        <f t="shared" si="215"/>
        <v>31</v>
      </c>
      <c r="K167" s="47">
        <f t="shared" si="216"/>
        <v>166</v>
      </c>
      <c r="M167" s="436">
        <f t="shared" si="205"/>
        <v>-9235786.3729357291</v>
      </c>
      <c r="N167" s="3">
        <f t="shared" ca="1" si="171"/>
        <v>13074240.934080835</v>
      </c>
      <c r="O167" s="3">
        <f t="shared" ca="1" si="172"/>
        <v>2133800.2479858762</v>
      </c>
      <c r="P167" s="3">
        <f t="shared" si="206"/>
        <v>0</v>
      </c>
      <c r="Q167" s="3">
        <f t="shared" si="207"/>
        <v>0</v>
      </c>
      <c r="R167" s="3">
        <f t="shared" si="208"/>
        <v>-2958956.3975358699</v>
      </c>
      <c r="S167" s="3">
        <f t="shared" si="209"/>
        <v>59495027.773339681</v>
      </c>
      <c r="T167" s="3">
        <f t="shared" si="210"/>
        <v>17530261.270652402</v>
      </c>
      <c r="U167" s="47">
        <f t="shared" ca="1" si="211"/>
        <v>80038587.455587193</v>
      </c>
      <c r="V167" s="47">
        <f>IFERROR(HLOOKUP(B167-1,'EV Forecast VRZ'!$F$124:$T$130,2,FALSE)/12,0)+IFERROR(((HLOOKUP(B167,'EV Forecast VRZ'!$F$116:$T$122,2,FALSE)-HLOOKUP(B167-1,'EV Forecast VRZ'!$F$124:$T$130,2,FALSE)))*C167/78,0)</f>
        <v>3880073.9951980663</v>
      </c>
      <c r="W167" s="47">
        <f ca="1">HLOOKUP(B167,Heating!$C$102:$O$106,2,FALSE)*INDEX(Weather!$BO$1:$CB$20,MATCH(B167,Weather!$BO$1:$BO$20,0),MATCH(C167,Weather!$BO$1:$CB$1,0))/VLOOKUP(B167,Weather!$BO$2:$CB$20,14,FALSE)</f>
        <v>2189575.2974196277</v>
      </c>
      <c r="X167" s="47">
        <f t="shared" ca="1" si="154"/>
        <v>86108236.748204887</v>
      </c>
    </row>
    <row r="168" spans="1:24">
      <c r="A168" s="2">
        <f t="shared" si="200"/>
        <v>47452</v>
      </c>
      <c r="B168">
        <f t="shared" si="212"/>
        <v>2029</v>
      </c>
      <c r="C168">
        <f t="shared" si="201"/>
        <v>11</v>
      </c>
      <c r="E168" s="3">
        <f t="shared" ref="E168:F168" ca="1" si="221">E156</f>
        <v>495.51408055712409</v>
      </c>
      <c r="F168" s="3">
        <f t="shared" ca="1" si="221"/>
        <v>0.15041666666666628</v>
      </c>
      <c r="I168" s="47">
        <f t="shared" si="214"/>
        <v>1</v>
      </c>
      <c r="J168" s="47">
        <f t="shared" si="215"/>
        <v>30</v>
      </c>
      <c r="K168" s="47">
        <f t="shared" si="216"/>
        <v>167</v>
      </c>
      <c r="M168" s="436">
        <f t="shared" si="205"/>
        <v>-9235786.3729357291</v>
      </c>
      <c r="N168" s="3">
        <f t="shared" ca="1" si="171"/>
        <v>22151319.72896003</v>
      </c>
      <c r="O168" s="3">
        <f t="shared" ca="1" si="172"/>
        <v>40207.844739685723</v>
      </c>
      <c r="P168" s="3">
        <f t="shared" si="206"/>
        <v>0</v>
      </c>
      <c r="Q168" s="3">
        <f t="shared" si="207"/>
        <v>0</v>
      </c>
      <c r="R168" s="3">
        <f t="shared" si="208"/>
        <v>-2958956.3975358699</v>
      </c>
      <c r="S168" s="3">
        <f t="shared" si="209"/>
        <v>57575833.329038396</v>
      </c>
      <c r="T168" s="3">
        <f t="shared" si="210"/>
        <v>17635865.254210547</v>
      </c>
      <c r="U168" s="47">
        <f t="shared" ca="1" si="211"/>
        <v>85208483.386477053</v>
      </c>
      <c r="V168" s="47">
        <f>IFERROR(HLOOKUP(B168-1,'EV Forecast VRZ'!$F$124:$T$130,2,FALSE)/12,0)+IFERROR(((HLOOKUP(B168,'EV Forecast VRZ'!$F$116:$T$122,2,FALSE)-HLOOKUP(B168-1,'EV Forecast VRZ'!$F$124:$T$130,2,FALSE)))*C168/78,0)</f>
        <v>3935634.960392226</v>
      </c>
      <c r="W168" s="47">
        <f ca="1">HLOOKUP(B168,Heating!$C$102:$O$106,2,FALSE)*INDEX(Weather!$BO$1:$CB$20,MATCH(B168,Weather!$BO$1:$BO$20,0),MATCH(C168,Weather!$BO$1:$CB$1,0))/VLOOKUP(B168,Weather!$BO$2:$CB$20,14,FALSE)</f>
        <v>4106512.066029381</v>
      </c>
      <c r="X168" s="47">
        <f t="shared" ca="1" si="154"/>
        <v>93250630.41289866</v>
      </c>
    </row>
    <row r="169" spans="1:24">
      <c r="A169" s="2">
        <f t="shared" si="200"/>
        <v>47483</v>
      </c>
      <c r="B169">
        <f t="shared" si="212"/>
        <v>2029</v>
      </c>
      <c r="C169">
        <f t="shared" si="201"/>
        <v>12</v>
      </c>
      <c r="E169" s="3">
        <f t="shared" ref="E169:F169" ca="1" si="222">E157</f>
        <v>664.38541666666663</v>
      </c>
      <c r="F169" s="3">
        <f t="shared" ca="1" si="222"/>
        <v>0</v>
      </c>
      <c r="I169" s="47">
        <f t="shared" si="214"/>
        <v>0</v>
      </c>
      <c r="J169" s="47">
        <f t="shared" si="215"/>
        <v>31</v>
      </c>
      <c r="K169" s="47">
        <f t="shared" si="216"/>
        <v>168</v>
      </c>
      <c r="M169" s="436">
        <f t="shared" si="205"/>
        <v>-9235786.3729357291</v>
      </c>
      <c r="N169" s="3">
        <f t="shared" ca="1" si="171"/>
        <v>29700495.637368772</v>
      </c>
      <c r="O169" s="3">
        <f t="shared" ca="1" si="172"/>
        <v>0</v>
      </c>
      <c r="P169" s="3">
        <f t="shared" si="206"/>
        <v>0</v>
      </c>
      <c r="Q169" s="3">
        <f t="shared" si="207"/>
        <v>0</v>
      </c>
      <c r="R169" s="3">
        <f t="shared" si="208"/>
        <v>0</v>
      </c>
      <c r="S169" s="3">
        <f t="shared" si="209"/>
        <v>59495027.773339681</v>
      </c>
      <c r="T169" s="3">
        <f t="shared" si="210"/>
        <v>17741469.237768695</v>
      </c>
      <c r="U169" s="47">
        <f t="shared" ca="1" si="211"/>
        <v>97701206.27554141</v>
      </c>
      <c r="V169" s="47">
        <f>IFERROR(HLOOKUP(B169-1,'EV Forecast VRZ'!$F$124:$T$130,2,FALSE)/12,0)+IFERROR(((HLOOKUP(B169,'EV Forecast VRZ'!$F$116:$T$122,2,FALSE)-HLOOKUP(B169-1,'EV Forecast VRZ'!$F$124:$T$130,2,FALSE)))*C169/78,0)</f>
        <v>3991195.9255863857</v>
      </c>
      <c r="W169" s="47">
        <f ca="1">HLOOKUP(B169,Heating!$C$102:$O$106,2,FALSE)*INDEX(Weather!$BO$1:$CB$20,MATCH(B169,Weather!$BO$1:$BO$20,0),MATCH(C169,Weather!$BO$1:$CB$1,0))/VLOOKUP(B169,Weather!$BO$2:$CB$20,14,FALSE)</f>
        <v>5679960.9757217513</v>
      </c>
      <c r="X169" s="47">
        <f t="shared" ca="1" si="154"/>
        <v>107372363.17684954</v>
      </c>
    </row>
    <row r="170" spans="1:24">
      <c r="A170" s="2">
        <f t="shared" si="200"/>
        <v>47514</v>
      </c>
      <c r="B170">
        <f t="shared" si="212"/>
        <v>2030</v>
      </c>
      <c r="C170">
        <f t="shared" si="201"/>
        <v>1</v>
      </c>
      <c r="E170" s="3">
        <f t="shared" ref="E170:F170" ca="1" si="223">E158</f>
        <v>752.78750000000002</v>
      </c>
      <c r="F170" s="3">
        <f t="shared" ca="1" si="223"/>
        <v>0</v>
      </c>
      <c r="I170" s="47">
        <f t="shared" si="214"/>
        <v>0</v>
      </c>
      <c r="J170" s="47">
        <f t="shared" si="215"/>
        <v>31</v>
      </c>
      <c r="K170" s="47">
        <f t="shared" si="216"/>
        <v>169</v>
      </c>
      <c r="M170" s="436">
        <f t="shared" si="205"/>
        <v>-9235786.3729357291</v>
      </c>
      <c r="N170" s="3">
        <f t="shared" ca="1" si="171"/>
        <v>33652397.08570125</v>
      </c>
      <c r="O170" s="3">
        <f t="shared" ca="1" si="172"/>
        <v>0</v>
      </c>
      <c r="P170" s="3">
        <f t="shared" si="206"/>
        <v>0</v>
      </c>
      <c r="Q170" s="3">
        <f t="shared" si="207"/>
        <v>0</v>
      </c>
      <c r="R170" s="3">
        <f t="shared" si="208"/>
        <v>0</v>
      </c>
      <c r="S170" s="3">
        <f t="shared" si="209"/>
        <v>59495027.773339681</v>
      </c>
      <c r="T170" s="3">
        <f t="shared" si="210"/>
        <v>17847073.221326843</v>
      </c>
      <c r="U170" s="47">
        <f t="shared" ca="1" si="211"/>
        <v>101758711.70743205</v>
      </c>
      <c r="V170" s="47">
        <f>IFERROR(HLOOKUP(B170-1,'EV Forecast VRZ'!$F$124:$T$130,2,FALSE)/12,0)+IFERROR(((HLOOKUP(B170,'EV Forecast VRZ'!$F$116:$T$122,2,FALSE)-HLOOKUP(B170-1,'EV Forecast VRZ'!$F$124:$T$130,2,FALSE)))*C170/78,0)</f>
        <v>4165372.3825735147</v>
      </c>
      <c r="W170" s="47">
        <f ca="1">HLOOKUP(B170,Heating!$C$102:$O$106,2,FALSE)*INDEX(Weather!$BO$1:$CB$20,MATCH(B170,Weather!$BO$1:$BO$20,0),MATCH(C170,Weather!$BO$1:$CB$1,0))/VLOOKUP(B170,Weather!$BO$2:$CB$20,14,FALSE)</f>
        <v>7408008.0682833875</v>
      </c>
      <c r="X170" s="47">
        <f t="shared" ca="1" si="154"/>
        <v>113332092.15828896</v>
      </c>
    </row>
    <row r="171" spans="1:24">
      <c r="A171" s="2">
        <f t="shared" si="200"/>
        <v>47542</v>
      </c>
      <c r="B171">
        <f t="shared" si="212"/>
        <v>2030</v>
      </c>
      <c r="C171">
        <f t="shared" si="201"/>
        <v>2</v>
      </c>
      <c r="E171" s="3">
        <f t="shared" ref="E171:F171" ca="1" si="224">E159</f>
        <v>660.7954166666666</v>
      </c>
      <c r="F171" s="3">
        <f t="shared" ca="1" si="224"/>
        <v>0</v>
      </c>
      <c r="I171" s="47">
        <f t="shared" si="214"/>
        <v>0</v>
      </c>
      <c r="J171" s="47">
        <f t="shared" si="215"/>
        <v>28</v>
      </c>
      <c r="K171" s="47">
        <f t="shared" si="216"/>
        <v>170</v>
      </c>
      <c r="M171" s="436">
        <f t="shared" si="205"/>
        <v>-9235786.3729357291</v>
      </c>
      <c r="N171" s="3">
        <f t="shared" ca="1" si="171"/>
        <v>29540009.304190192</v>
      </c>
      <c r="O171" s="3">
        <f t="shared" ca="1" si="172"/>
        <v>0</v>
      </c>
      <c r="P171" s="3">
        <f t="shared" si="206"/>
        <v>0</v>
      </c>
      <c r="Q171" s="3">
        <f t="shared" si="207"/>
        <v>0</v>
      </c>
      <c r="R171" s="3">
        <f t="shared" si="208"/>
        <v>0</v>
      </c>
      <c r="S171" s="3">
        <f t="shared" si="209"/>
        <v>53737444.440435842</v>
      </c>
      <c r="T171" s="3">
        <f t="shared" si="210"/>
        <v>17952677.204884991</v>
      </c>
      <c r="U171" s="47">
        <f t="shared" ca="1" si="211"/>
        <v>91994344.576575294</v>
      </c>
      <c r="V171" s="47">
        <f>IFERROR(HLOOKUP(B171-1,'EV Forecast VRZ'!$F$124:$T$130,2,FALSE)/12,0)+IFERROR(((HLOOKUP(B171,'EV Forecast VRZ'!$F$116:$T$122,2,FALSE)-HLOOKUP(B171-1,'EV Forecast VRZ'!$F$124:$T$130,2,FALSE)))*C171/78,0)</f>
        <v>4230321.8759007799</v>
      </c>
      <c r="W171" s="47">
        <f ca="1">HLOOKUP(B171,Heating!$C$102:$O$106,2,FALSE)*INDEX(Weather!$BO$1:$CB$20,MATCH(B171,Weather!$BO$1:$BO$20,0),MATCH(C171,Weather!$BO$1:$CB$1,0))/VLOOKUP(B171,Weather!$BO$2:$CB$20,14,FALSE)</f>
        <v>6479394.2008019965</v>
      </c>
      <c r="X171" s="47">
        <f t="shared" ref="X171:X193" ca="1" si="225">U171+V171+W171</f>
        <v>102704060.65327807</v>
      </c>
    </row>
    <row r="172" spans="1:24">
      <c r="A172" s="2">
        <f t="shared" si="200"/>
        <v>47573</v>
      </c>
      <c r="B172">
        <f t="shared" si="212"/>
        <v>2030</v>
      </c>
      <c r="C172">
        <f t="shared" si="201"/>
        <v>3</v>
      </c>
      <c r="E172" s="3">
        <f t="shared" ref="E172:F172" ca="1" si="226">E160</f>
        <v>596.21590579710141</v>
      </c>
      <c r="F172" s="3">
        <f t="shared" ca="1" si="226"/>
        <v>0</v>
      </c>
      <c r="I172" s="47">
        <f t="shared" si="214"/>
        <v>1</v>
      </c>
      <c r="J172" s="47">
        <f t="shared" si="215"/>
        <v>31</v>
      </c>
      <c r="K172" s="47">
        <f t="shared" si="216"/>
        <v>171</v>
      </c>
      <c r="M172" s="436">
        <f t="shared" si="205"/>
        <v>-9235786.3729357291</v>
      </c>
      <c r="N172" s="3">
        <f t="shared" ca="1" si="171"/>
        <v>26653065.321481969</v>
      </c>
      <c r="O172" s="3">
        <f t="shared" ca="1" si="172"/>
        <v>0</v>
      </c>
      <c r="P172" s="3">
        <f t="shared" si="206"/>
        <v>0</v>
      </c>
      <c r="Q172" s="3">
        <f t="shared" si="207"/>
        <v>0</v>
      </c>
      <c r="R172" s="3">
        <f t="shared" si="208"/>
        <v>-2958956.3975358699</v>
      </c>
      <c r="S172" s="3">
        <f t="shared" si="209"/>
        <v>59495027.773339681</v>
      </c>
      <c r="T172" s="3">
        <f t="shared" si="210"/>
        <v>18058281.188443135</v>
      </c>
      <c r="U172" s="47">
        <f t="shared" ca="1" si="211"/>
        <v>92011631.512793183</v>
      </c>
      <c r="V172" s="47">
        <f>IFERROR(HLOOKUP(B172-1,'EV Forecast VRZ'!$F$124:$T$130,2,FALSE)/12,0)+IFERROR(((HLOOKUP(B172,'EV Forecast VRZ'!$F$116:$T$122,2,FALSE)-HLOOKUP(B172-1,'EV Forecast VRZ'!$F$124:$T$130,2,FALSE)))*C172/78,0)</f>
        <v>4295271.3692280445</v>
      </c>
      <c r="W172" s="47">
        <f ca="1">HLOOKUP(B172,Heating!$C$102:$O$106,2,FALSE)*INDEX(Weather!$BO$1:$CB$20,MATCH(B172,Weather!$BO$1:$BO$20,0),MATCH(C172,Weather!$BO$1:$CB$1,0))/VLOOKUP(B172,Weather!$BO$2:$CB$20,14,FALSE)</f>
        <v>5728933.6306031095</v>
      </c>
      <c r="X172" s="47">
        <f t="shared" ca="1" si="225"/>
        <v>102035836.51262434</v>
      </c>
    </row>
    <row r="173" spans="1:24">
      <c r="A173" s="2">
        <f t="shared" si="200"/>
        <v>47603</v>
      </c>
      <c r="B173">
        <f t="shared" si="212"/>
        <v>2030</v>
      </c>
      <c r="C173">
        <f t="shared" si="201"/>
        <v>4</v>
      </c>
      <c r="E173" s="3">
        <f t="shared" ref="E173:F173" ca="1" si="227">E161</f>
        <v>412.8885416666667</v>
      </c>
      <c r="F173" s="3">
        <f t="shared" ca="1" si="227"/>
        <v>0.4316666666666677</v>
      </c>
      <c r="I173" s="47">
        <f t="shared" si="214"/>
        <v>1</v>
      </c>
      <c r="J173" s="47">
        <f t="shared" si="215"/>
        <v>30</v>
      </c>
      <c r="K173" s="47">
        <f t="shared" si="216"/>
        <v>172</v>
      </c>
      <c r="M173" s="436">
        <f t="shared" si="205"/>
        <v>-9235786.3729357291</v>
      </c>
      <c r="N173" s="3">
        <f t="shared" ca="1" si="171"/>
        <v>18457651.271179151</v>
      </c>
      <c r="O173" s="3">
        <f t="shared" ca="1" si="172"/>
        <v>115388.71786790752</v>
      </c>
      <c r="P173" s="3">
        <f t="shared" si="206"/>
        <v>0</v>
      </c>
      <c r="Q173" s="3">
        <f t="shared" si="207"/>
        <v>0</v>
      </c>
      <c r="R173" s="3">
        <f t="shared" si="208"/>
        <v>-2958956.3975358699</v>
      </c>
      <c r="S173" s="3">
        <f t="shared" si="209"/>
        <v>57575833.329038396</v>
      </c>
      <c r="T173" s="3">
        <f t="shared" si="210"/>
        <v>18163885.172001284</v>
      </c>
      <c r="U173" s="47">
        <f t="shared" ca="1" si="211"/>
        <v>82118015.719615147</v>
      </c>
      <c r="V173" s="47">
        <f>IFERROR(HLOOKUP(B173-1,'EV Forecast VRZ'!$F$124:$T$130,2,FALSE)/12,0)+IFERROR(((HLOOKUP(B173,'EV Forecast VRZ'!$F$116:$T$122,2,FALSE)-HLOOKUP(B173-1,'EV Forecast VRZ'!$F$124:$T$130,2,FALSE)))*C173/78,0)</f>
        <v>4360220.8625553092</v>
      </c>
      <c r="W173" s="47">
        <f ca="1">HLOOKUP(B173,Heating!$C$102:$O$106,2,FALSE)*INDEX(Weather!$BO$1:$CB$20,MATCH(B173,Weather!$BO$1:$BO$20,0),MATCH(C173,Weather!$BO$1:$CB$1,0))/VLOOKUP(B173,Weather!$BO$2:$CB$20,14,FALSE)</f>
        <v>3784749.0834501009</v>
      </c>
      <c r="X173" s="47">
        <f t="shared" ca="1" si="225"/>
        <v>90262985.665620551</v>
      </c>
    </row>
    <row r="174" spans="1:24">
      <c r="A174" s="2">
        <f t="shared" si="200"/>
        <v>47634</v>
      </c>
      <c r="B174">
        <f t="shared" si="212"/>
        <v>2030</v>
      </c>
      <c r="C174">
        <f t="shared" si="201"/>
        <v>5</v>
      </c>
      <c r="E174" s="3">
        <f t="shared" ref="E174:F174" ca="1" si="228">E162</f>
        <v>208.90012508544086</v>
      </c>
      <c r="F174" s="3">
        <f t="shared" ca="1" si="228"/>
        <v>26.958863636363635</v>
      </c>
      <c r="I174" s="47">
        <f t="shared" si="214"/>
        <v>1</v>
      </c>
      <c r="J174" s="47">
        <f t="shared" si="215"/>
        <v>31</v>
      </c>
      <c r="K174" s="47">
        <f t="shared" si="216"/>
        <v>173</v>
      </c>
      <c r="M174" s="436">
        <f t="shared" si="205"/>
        <v>-9235786.3729357291</v>
      </c>
      <c r="N174" s="3">
        <f t="shared" ca="1" si="171"/>
        <v>9338611.4416457731</v>
      </c>
      <c r="O174" s="3">
        <f t="shared" ca="1" si="172"/>
        <v>7206367.6683608042</v>
      </c>
      <c r="P174" s="3">
        <f t="shared" si="206"/>
        <v>0</v>
      </c>
      <c r="Q174" s="3">
        <f t="shared" si="207"/>
        <v>0</v>
      </c>
      <c r="R174" s="3">
        <f t="shared" si="208"/>
        <v>-2958956.3975358699</v>
      </c>
      <c r="S174" s="3">
        <f t="shared" si="209"/>
        <v>59495027.773339681</v>
      </c>
      <c r="T174" s="3">
        <f t="shared" si="210"/>
        <v>18269489.155559432</v>
      </c>
      <c r="U174" s="47">
        <f t="shared" ca="1" si="211"/>
        <v>82114753.268434092</v>
      </c>
      <c r="V174" s="47">
        <f>IFERROR(HLOOKUP(B174-1,'EV Forecast VRZ'!$F$124:$T$130,2,FALSE)/12,0)+IFERROR(((HLOOKUP(B174,'EV Forecast VRZ'!$F$116:$T$122,2,FALSE)-HLOOKUP(B174-1,'EV Forecast VRZ'!$F$124:$T$130,2,FALSE)))*C174/78,0)</f>
        <v>4425170.3558825739</v>
      </c>
      <c r="W174" s="47">
        <f ca="1">HLOOKUP(B174,Heating!$C$102:$O$106,2,FALSE)*INDEX(Weather!$BO$1:$CB$20,MATCH(B174,Weather!$BO$1:$BO$20,0),MATCH(C174,Weather!$BO$1:$CB$1,0))/VLOOKUP(B174,Weather!$BO$2:$CB$20,14,FALSE)</f>
        <v>1664871.7189363623</v>
      </c>
      <c r="X174" s="47">
        <f t="shared" ca="1" si="225"/>
        <v>88204795.343253031</v>
      </c>
    </row>
    <row r="175" spans="1:24">
      <c r="A175" s="2">
        <f t="shared" si="200"/>
        <v>47664</v>
      </c>
      <c r="B175">
        <f t="shared" si="212"/>
        <v>2030</v>
      </c>
      <c r="C175">
        <f t="shared" si="201"/>
        <v>6</v>
      </c>
      <c r="E175" s="3">
        <f t="shared" ref="E175:F175" ca="1" si="229">E163</f>
        <v>61.78217382617381</v>
      </c>
      <c r="F175" s="3">
        <f t="shared" ca="1" si="229"/>
        <v>92.933549595332209</v>
      </c>
      <c r="I175" s="47">
        <f t="shared" si="214"/>
        <v>0</v>
      </c>
      <c r="J175" s="47">
        <f t="shared" si="215"/>
        <v>30</v>
      </c>
      <c r="K175" s="47">
        <f t="shared" si="216"/>
        <v>174</v>
      </c>
      <c r="M175" s="436">
        <f t="shared" si="205"/>
        <v>-9235786.3729357291</v>
      </c>
      <c r="N175" s="3">
        <f t="shared" ca="1" si="171"/>
        <v>2761892.6276222966</v>
      </c>
      <c r="O175" s="3">
        <f t="shared" ca="1" si="172"/>
        <v>24842045.8719358</v>
      </c>
      <c r="P175" s="3">
        <f t="shared" si="206"/>
        <v>0</v>
      </c>
      <c r="Q175" s="3">
        <f t="shared" si="207"/>
        <v>0</v>
      </c>
      <c r="R175" s="3">
        <f t="shared" si="208"/>
        <v>0</v>
      </c>
      <c r="S175" s="3">
        <f t="shared" si="209"/>
        <v>57575833.329038396</v>
      </c>
      <c r="T175" s="3">
        <f t="shared" si="210"/>
        <v>18375093.139117576</v>
      </c>
      <c r="U175" s="47">
        <f t="shared" ca="1" si="211"/>
        <v>94319078.594778329</v>
      </c>
      <c r="V175" s="47">
        <f>IFERROR(HLOOKUP(B175-1,'EV Forecast VRZ'!$F$124:$T$130,2,FALSE)/12,0)+IFERROR(((HLOOKUP(B175,'EV Forecast VRZ'!$F$116:$T$122,2,FALSE)-HLOOKUP(B175-1,'EV Forecast VRZ'!$F$124:$T$130,2,FALSE)))*C175/78,0)</f>
        <v>4490119.8492098385</v>
      </c>
      <c r="W175" s="47">
        <f ca="1">HLOOKUP(B175,Heating!$C$102:$O$106,2,FALSE)*INDEX(Weather!$BO$1:$CB$20,MATCH(B175,Weather!$BO$1:$BO$20,0),MATCH(C175,Weather!$BO$1:$CB$1,0))/VLOOKUP(B175,Weather!$BO$2:$CB$20,14,FALSE)</f>
        <v>324656.79333932168</v>
      </c>
      <c r="X175" s="47">
        <f t="shared" ca="1" si="225"/>
        <v>99133855.237327501</v>
      </c>
    </row>
    <row r="176" spans="1:24">
      <c r="A176" s="2">
        <f t="shared" si="200"/>
        <v>47695</v>
      </c>
      <c r="B176">
        <f t="shared" si="212"/>
        <v>2030</v>
      </c>
      <c r="C176">
        <f t="shared" si="201"/>
        <v>7</v>
      </c>
      <c r="E176" s="3">
        <f t="shared" ref="E176:F176" ca="1" si="230">E164</f>
        <v>8.334479813664597</v>
      </c>
      <c r="F176" s="3">
        <f t="shared" ca="1" si="230"/>
        <v>180.79967025394512</v>
      </c>
      <c r="I176" s="47">
        <f t="shared" si="214"/>
        <v>0</v>
      </c>
      <c r="J176" s="47">
        <f t="shared" si="215"/>
        <v>31</v>
      </c>
      <c r="K176" s="47">
        <f t="shared" si="216"/>
        <v>175</v>
      </c>
      <c r="M176" s="436">
        <f t="shared" si="205"/>
        <v>-9235786.3729357291</v>
      </c>
      <c r="N176" s="3">
        <f t="shared" ca="1" si="171"/>
        <v>372582.2017398036</v>
      </c>
      <c r="O176" s="3">
        <f t="shared" ca="1" si="172"/>
        <v>48329518.474617302</v>
      </c>
      <c r="P176" s="3">
        <f t="shared" si="206"/>
        <v>0</v>
      </c>
      <c r="Q176" s="3">
        <f t="shared" si="207"/>
        <v>0</v>
      </c>
      <c r="R176" s="3">
        <f t="shared" si="208"/>
        <v>0</v>
      </c>
      <c r="S176" s="3">
        <f t="shared" si="209"/>
        <v>59495027.773339681</v>
      </c>
      <c r="T176" s="3">
        <f t="shared" si="210"/>
        <v>18480697.122675724</v>
      </c>
      <c r="U176" s="47">
        <f t="shared" ca="1" si="211"/>
        <v>117442039.19943678</v>
      </c>
      <c r="V176" s="47">
        <f>IFERROR(HLOOKUP(B176-1,'EV Forecast VRZ'!$F$124:$T$130,2,FALSE)/12,0)+IFERROR(((HLOOKUP(B176,'EV Forecast VRZ'!$F$116:$T$122,2,FALSE)-HLOOKUP(B176-1,'EV Forecast VRZ'!$F$124:$T$130,2,FALSE)))*C176/78,0)</f>
        <v>4555069.3425371032</v>
      </c>
      <c r="W176" s="47">
        <f ca="1">HLOOKUP(B176,Heating!$C$102:$O$106,2,FALSE)*INDEX(Weather!$BO$1:$CB$20,MATCH(B176,Weather!$BO$1:$BO$20,0),MATCH(C176,Weather!$BO$1:$CB$1,0))/VLOOKUP(B176,Weather!$BO$2:$CB$20,14,FALSE)</f>
        <v>11631.076248569947</v>
      </c>
      <c r="X176" s="47">
        <f t="shared" ca="1" si="225"/>
        <v>122008739.61822246</v>
      </c>
    </row>
    <row r="177" spans="1:24">
      <c r="A177" s="2">
        <f t="shared" si="200"/>
        <v>47726</v>
      </c>
      <c r="B177">
        <f t="shared" si="212"/>
        <v>2030</v>
      </c>
      <c r="C177">
        <f t="shared" si="201"/>
        <v>8</v>
      </c>
      <c r="E177" s="3">
        <f t="shared" ref="E177:F177" ca="1" si="231">E165</f>
        <v>21.054927536231883</v>
      </c>
      <c r="F177" s="3">
        <f t="shared" ca="1" si="231"/>
        <v>153.08475461133071</v>
      </c>
      <c r="I177" s="47">
        <f t="shared" si="214"/>
        <v>0</v>
      </c>
      <c r="J177" s="47">
        <f t="shared" si="215"/>
        <v>31</v>
      </c>
      <c r="K177" s="47">
        <f t="shared" si="216"/>
        <v>176</v>
      </c>
      <c r="M177" s="436">
        <f t="shared" si="205"/>
        <v>-9235786.3729357291</v>
      </c>
      <c r="N177" s="3">
        <f t="shared" ca="1" si="171"/>
        <v>941233.45839289424</v>
      </c>
      <c r="O177" s="3">
        <f t="shared" ca="1" si="172"/>
        <v>40921050.717508845</v>
      </c>
      <c r="P177" s="3">
        <f t="shared" si="206"/>
        <v>0</v>
      </c>
      <c r="Q177" s="3">
        <f t="shared" si="207"/>
        <v>0</v>
      </c>
      <c r="R177" s="3">
        <f t="shared" si="208"/>
        <v>0</v>
      </c>
      <c r="S177" s="3">
        <f t="shared" si="209"/>
        <v>59495027.773339681</v>
      </c>
      <c r="T177" s="3">
        <f t="shared" si="210"/>
        <v>18586301.106233872</v>
      </c>
      <c r="U177" s="47">
        <f t="shared" ca="1" si="211"/>
        <v>110707826.68253955</v>
      </c>
      <c r="V177" s="47">
        <f>IFERROR(HLOOKUP(B177-1,'EV Forecast VRZ'!$F$124:$T$130,2,FALSE)/12,0)+IFERROR(((HLOOKUP(B177,'EV Forecast VRZ'!$F$116:$T$122,2,FALSE)-HLOOKUP(B177-1,'EV Forecast VRZ'!$F$124:$T$130,2,FALSE)))*C177/78,0)</f>
        <v>4620018.8358643688</v>
      </c>
      <c r="W177" s="47">
        <f ca="1">HLOOKUP(B177,Heating!$C$102:$O$106,2,FALSE)*INDEX(Weather!$BO$1:$CB$20,MATCH(B177,Weather!$BO$1:$BO$20,0),MATCH(C177,Weather!$BO$1:$CB$1,0))/VLOOKUP(B177,Weather!$BO$2:$CB$20,14,FALSE)</f>
        <v>68897.258807798804</v>
      </c>
      <c r="X177" s="47">
        <f t="shared" ca="1" si="225"/>
        <v>115396742.77721171</v>
      </c>
    </row>
    <row r="178" spans="1:24">
      <c r="A178" s="2">
        <f t="shared" si="200"/>
        <v>47756</v>
      </c>
      <c r="B178">
        <f t="shared" si="212"/>
        <v>2030</v>
      </c>
      <c r="C178">
        <f t="shared" si="201"/>
        <v>9</v>
      </c>
      <c r="E178" s="3">
        <f t="shared" ref="E178:F178" ca="1" si="232">E166</f>
        <v>97.667119565217376</v>
      </c>
      <c r="F178" s="3">
        <f t="shared" ca="1" si="232"/>
        <v>58.118749999999991</v>
      </c>
      <c r="I178" s="47">
        <f t="shared" si="214"/>
        <v>1</v>
      </c>
      <c r="J178" s="47">
        <f t="shared" si="215"/>
        <v>30</v>
      </c>
      <c r="K178" s="47">
        <f t="shared" si="216"/>
        <v>177</v>
      </c>
      <c r="M178" s="436">
        <f t="shared" si="205"/>
        <v>-9235786.3729357291</v>
      </c>
      <c r="N178" s="3">
        <f t="shared" ca="1" si="171"/>
        <v>4366082.9780321233</v>
      </c>
      <c r="O178" s="3">
        <f t="shared" ca="1" si="172"/>
        <v>15535709.760429574</v>
      </c>
      <c r="P178" s="3">
        <f t="shared" si="206"/>
        <v>0</v>
      </c>
      <c r="Q178" s="3">
        <f t="shared" si="207"/>
        <v>0</v>
      </c>
      <c r="R178" s="3">
        <f t="shared" si="208"/>
        <v>-2958956.3975358699</v>
      </c>
      <c r="S178" s="3">
        <f t="shared" si="209"/>
        <v>57575833.329038396</v>
      </c>
      <c r="T178" s="3">
        <f t="shared" si="210"/>
        <v>18691905.089792017</v>
      </c>
      <c r="U178" s="47">
        <f t="shared" ca="1" si="211"/>
        <v>83974788.38682051</v>
      </c>
      <c r="V178" s="47">
        <f>IFERROR(HLOOKUP(B178-1,'EV Forecast VRZ'!$F$124:$T$130,2,FALSE)/12,0)+IFERROR(((HLOOKUP(B178,'EV Forecast VRZ'!$F$116:$T$122,2,FALSE)-HLOOKUP(B178-1,'EV Forecast VRZ'!$F$124:$T$130,2,FALSE)))*C178/78,0)</f>
        <v>4684968.3291916335</v>
      </c>
      <c r="W178" s="47">
        <f ca="1">HLOOKUP(B178,Heating!$C$102:$O$106,2,FALSE)*INDEX(Weather!$BO$1:$CB$20,MATCH(B178,Weather!$BO$1:$BO$20,0),MATCH(C178,Weather!$BO$1:$CB$1,0))/VLOOKUP(B178,Weather!$BO$2:$CB$20,14,FALSE)</f>
        <v>583524.73675564141</v>
      </c>
      <c r="X178" s="47">
        <f t="shared" ca="1" si="225"/>
        <v>89243281.452767789</v>
      </c>
    </row>
    <row r="179" spans="1:24">
      <c r="A179" s="2">
        <f t="shared" si="200"/>
        <v>47787</v>
      </c>
      <c r="B179">
        <f t="shared" si="212"/>
        <v>2030</v>
      </c>
      <c r="C179">
        <f t="shared" si="201"/>
        <v>10</v>
      </c>
      <c r="E179" s="3">
        <f t="shared" ref="E179:F179" ca="1" si="233">E167</f>
        <v>292.46431159420291</v>
      </c>
      <c r="F179" s="3">
        <f t="shared" ca="1" si="233"/>
        <v>7.9825000000000035</v>
      </c>
      <c r="I179" s="47">
        <f t="shared" si="214"/>
        <v>1</v>
      </c>
      <c r="J179" s="47">
        <f t="shared" si="215"/>
        <v>31</v>
      </c>
      <c r="K179" s="47">
        <f t="shared" si="216"/>
        <v>178</v>
      </c>
      <c r="M179" s="436">
        <f t="shared" si="205"/>
        <v>-9235786.3729357291</v>
      </c>
      <c r="N179" s="3">
        <f t="shared" ca="1" si="171"/>
        <v>13074240.934080835</v>
      </c>
      <c r="O179" s="3">
        <f t="shared" ca="1" si="172"/>
        <v>2133800.2479858762</v>
      </c>
      <c r="P179" s="3">
        <f t="shared" si="206"/>
        <v>0</v>
      </c>
      <c r="Q179" s="3">
        <f t="shared" si="207"/>
        <v>0</v>
      </c>
      <c r="R179" s="3">
        <f t="shared" si="208"/>
        <v>-2958956.3975358699</v>
      </c>
      <c r="S179" s="3">
        <f t="shared" si="209"/>
        <v>59495027.773339681</v>
      </c>
      <c r="T179" s="3">
        <f t="shared" si="210"/>
        <v>18797509.073350165</v>
      </c>
      <c r="U179" s="47">
        <f t="shared" ca="1" si="211"/>
        <v>81305835.258284956</v>
      </c>
      <c r="V179" s="47">
        <f>IFERROR(HLOOKUP(B179-1,'EV Forecast VRZ'!$F$124:$T$130,2,FALSE)/12,0)+IFERROR(((HLOOKUP(B179,'EV Forecast VRZ'!$F$116:$T$122,2,FALSE)-HLOOKUP(B179-1,'EV Forecast VRZ'!$F$124:$T$130,2,FALSE)))*C179/78,0)</f>
        <v>4749917.8225188982</v>
      </c>
      <c r="W179" s="47">
        <f ca="1">HLOOKUP(B179,Heating!$C$102:$O$106,2,FALSE)*INDEX(Weather!$BO$1:$CB$20,MATCH(B179,Weather!$BO$1:$BO$20,0),MATCH(C179,Weather!$BO$1:$CB$1,0))/VLOOKUP(B179,Weather!$BO$2:$CB$20,14,FALSE)</f>
        <v>2490267.2585429344</v>
      </c>
      <c r="X179" s="47">
        <f t="shared" ca="1" si="225"/>
        <v>88546020.339346796</v>
      </c>
    </row>
    <row r="180" spans="1:24">
      <c r="A180" s="2">
        <f t="shared" si="200"/>
        <v>47817</v>
      </c>
      <c r="B180">
        <f t="shared" si="212"/>
        <v>2030</v>
      </c>
      <c r="C180">
        <f t="shared" si="201"/>
        <v>11</v>
      </c>
      <c r="E180" s="3">
        <f t="shared" ref="E180:F180" ca="1" si="234">E168</f>
        <v>495.51408055712409</v>
      </c>
      <c r="F180" s="3">
        <f t="shared" ca="1" si="234"/>
        <v>0.15041666666666628</v>
      </c>
      <c r="I180" s="47">
        <f t="shared" si="214"/>
        <v>1</v>
      </c>
      <c r="J180" s="47">
        <f t="shared" si="215"/>
        <v>30</v>
      </c>
      <c r="K180" s="47">
        <f t="shared" si="216"/>
        <v>179</v>
      </c>
      <c r="M180" s="436">
        <f t="shared" si="205"/>
        <v>-9235786.3729357291</v>
      </c>
      <c r="N180" s="3">
        <f t="shared" ca="1" si="171"/>
        <v>22151319.72896003</v>
      </c>
      <c r="O180" s="3">
        <f t="shared" ca="1" si="172"/>
        <v>40207.844739685723</v>
      </c>
      <c r="P180" s="3">
        <f t="shared" si="206"/>
        <v>0</v>
      </c>
      <c r="Q180" s="3">
        <f t="shared" si="207"/>
        <v>0</v>
      </c>
      <c r="R180" s="3">
        <f t="shared" si="208"/>
        <v>-2958956.3975358699</v>
      </c>
      <c r="S180" s="3">
        <f t="shared" si="209"/>
        <v>57575833.329038396</v>
      </c>
      <c r="T180" s="3">
        <f t="shared" si="210"/>
        <v>18903113.056908313</v>
      </c>
      <c r="U180" s="47">
        <f t="shared" ca="1" si="211"/>
        <v>86475731.189174816</v>
      </c>
      <c r="V180" s="47">
        <f>IFERROR(HLOOKUP(B180-1,'EV Forecast VRZ'!$F$124:$T$130,2,FALSE)/12,0)+IFERROR(((HLOOKUP(B180,'EV Forecast VRZ'!$F$116:$T$122,2,FALSE)-HLOOKUP(B180-1,'EV Forecast VRZ'!$F$124:$T$130,2,FALSE)))*C180/78,0)</f>
        <v>4814867.3158461628</v>
      </c>
      <c r="W180" s="47">
        <f ca="1">HLOOKUP(B180,Heating!$C$102:$O$106,2,FALSE)*INDEX(Weather!$BO$1:$CB$20,MATCH(B180,Weather!$BO$1:$BO$20,0),MATCH(C180,Weather!$BO$1:$CB$1,0))/VLOOKUP(B180,Weather!$BO$2:$CB$20,14,FALSE)</f>
        <v>4670454.8397563584</v>
      </c>
      <c r="X180" s="47">
        <f t="shared" ca="1" si="225"/>
        <v>95961053.344777331</v>
      </c>
    </row>
    <row r="181" spans="1:24">
      <c r="A181" s="2">
        <f t="shared" si="200"/>
        <v>47848</v>
      </c>
      <c r="B181">
        <f t="shared" si="212"/>
        <v>2030</v>
      </c>
      <c r="C181">
        <f t="shared" si="201"/>
        <v>12</v>
      </c>
      <c r="E181" s="3">
        <f t="shared" ref="E181:F181" ca="1" si="235">E169</f>
        <v>664.38541666666663</v>
      </c>
      <c r="F181" s="3">
        <f t="shared" ca="1" si="235"/>
        <v>0</v>
      </c>
      <c r="I181" s="47">
        <f t="shared" si="214"/>
        <v>0</v>
      </c>
      <c r="J181" s="47">
        <f t="shared" si="215"/>
        <v>31</v>
      </c>
      <c r="K181" s="47">
        <f t="shared" si="216"/>
        <v>180</v>
      </c>
      <c r="M181" s="436">
        <f t="shared" si="205"/>
        <v>-9235786.3729357291</v>
      </c>
      <c r="N181" s="3">
        <f t="shared" ca="1" si="171"/>
        <v>29700495.637368772</v>
      </c>
      <c r="O181" s="3">
        <f t="shared" ca="1" si="172"/>
        <v>0</v>
      </c>
      <c r="P181" s="3">
        <f t="shared" si="206"/>
        <v>0</v>
      </c>
      <c r="Q181" s="3">
        <f t="shared" si="207"/>
        <v>0</v>
      </c>
      <c r="R181" s="3">
        <f t="shared" si="208"/>
        <v>0</v>
      </c>
      <c r="S181" s="3">
        <f t="shared" si="209"/>
        <v>59495027.773339681</v>
      </c>
      <c r="T181" s="3">
        <f t="shared" si="210"/>
        <v>19008717.040466458</v>
      </c>
      <c r="U181" s="47">
        <f t="shared" ca="1" si="211"/>
        <v>98968454.078239173</v>
      </c>
      <c r="V181" s="47">
        <f>IFERROR(HLOOKUP(B181-1,'EV Forecast VRZ'!$F$124:$T$130,2,FALSE)/12,0)+IFERROR(((HLOOKUP(B181,'EV Forecast VRZ'!$F$116:$T$122,2,FALSE)-HLOOKUP(B181-1,'EV Forecast VRZ'!$F$124:$T$130,2,FALSE)))*C181/78,0)</f>
        <v>4879816.8091734275</v>
      </c>
      <c r="W181" s="47">
        <f ca="1">HLOOKUP(B181,Heating!$C$102:$O$106,2,FALSE)*INDEX(Weather!$BO$1:$CB$20,MATCH(B181,Weather!$BO$1:$BO$20,0),MATCH(C181,Weather!$BO$1:$CB$1,0))/VLOOKUP(B181,Weather!$BO$2:$CB$20,14,FALSE)</f>
        <v>6459983.7531555183</v>
      </c>
      <c r="X181" s="47">
        <f t="shared" ca="1" si="225"/>
        <v>110308254.64056812</v>
      </c>
    </row>
    <row r="182" spans="1:24">
      <c r="A182" s="2">
        <f t="shared" si="200"/>
        <v>47879</v>
      </c>
      <c r="B182">
        <f t="shared" si="212"/>
        <v>2031</v>
      </c>
      <c r="C182">
        <f t="shared" si="201"/>
        <v>1</v>
      </c>
      <c r="E182" s="3">
        <f t="shared" ref="E182:F182" ca="1" si="236">E170</f>
        <v>752.78750000000002</v>
      </c>
      <c r="F182" s="3">
        <f t="shared" ca="1" si="236"/>
        <v>0</v>
      </c>
      <c r="I182" s="47">
        <f t="shared" si="214"/>
        <v>0</v>
      </c>
      <c r="J182" s="47">
        <f t="shared" si="215"/>
        <v>31</v>
      </c>
      <c r="K182" s="47">
        <f t="shared" si="216"/>
        <v>181</v>
      </c>
      <c r="M182" s="436">
        <f t="shared" si="205"/>
        <v>-9235786.3729357291</v>
      </c>
      <c r="N182" s="3">
        <f t="shared" ca="1" si="171"/>
        <v>33652397.08570125</v>
      </c>
      <c r="O182" s="3">
        <f t="shared" ca="1" si="172"/>
        <v>0</v>
      </c>
      <c r="P182" s="3">
        <f t="shared" si="206"/>
        <v>0</v>
      </c>
      <c r="Q182" s="3">
        <f t="shared" si="207"/>
        <v>0</v>
      </c>
      <c r="R182" s="3">
        <f t="shared" si="208"/>
        <v>0</v>
      </c>
      <c r="S182" s="3">
        <f t="shared" si="209"/>
        <v>59495027.773339681</v>
      </c>
      <c r="T182" s="3">
        <f t="shared" si="210"/>
        <v>19114321.024024606</v>
      </c>
      <c r="U182" s="47">
        <f t="shared" ca="1" si="211"/>
        <v>103025959.51012981</v>
      </c>
      <c r="V182" s="47">
        <f>IFERROR(HLOOKUP(B182-1,'EV Forecast VRZ'!$F$124:$T$130,2,FALSE)/12,0)+IFERROR(((HLOOKUP(B182,'EV Forecast VRZ'!$F$116:$T$122,2,FALSE)-HLOOKUP(B182-1,'EV Forecast VRZ'!$F$124:$T$130,2,FALSE)))*C182/78,0)</f>
        <v>5073566.2929626694</v>
      </c>
      <c r="W182" s="47">
        <f ca="1">HLOOKUP(B182,Heating!$C$102:$O$106,2,FALSE)*INDEX(Weather!$BO$1:$CB$20,MATCH(B182,Weather!$BO$1:$BO$20,0),MATCH(C182,Weather!$BO$1:$CB$1,0))/VLOOKUP(B182,Weather!$BO$2:$CB$20,14,FALSE)</f>
        <v>8346836.8385313516</v>
      </c>
      <c r="X182" s="47">
        <f t="shared" ca="1" si="225"/>
        <v>116446362.64162382</v>
      </c>
    </row>
    <row r="183" spans="1:24">
      <c r="A183" s="2">
        <f t="shared" si="200"/>
        <v>47907</v>
      </c>
      <c r="B183">
        <f t="shared" si="212"/>
        <v>2031</v>
      </c>
      <c r="C183">
        <f t="shared" si="201"/>
        <v>2</v>
      </c>
      <c r="E183" s="3">
        <f t="shared" ref="E183:F183" ca="1" si="237">E171</f>
        <v>660.7954166666666</v>
      </c>
      <c r="F183" s="3">
        <f t="shared" ca="1" si="237"/>
        <v>0</v>
      </c>
      <c r="I183" s="47">
        <f t="shared" si="214"/>
        <v>0</v>
      </c>
      <c r="J183" s="47">
        <f t="shared" si="215"/>
        <v>28</v>
      </c>
      <c r="K183" s="47">
        <f t="shared" si="216"/>
        <v>182</v>
      </c>
      <c r="M183" s="436">
        <f t="shared" si="205"/>
        <v>-9235786.3729357291</v>
      </c>
      <c r="N183" s="3">
        <f t="shared" ca="1" si="171"/>
        <v>29540009.304190192</v>
      </c>
      <c r="O183" s="3">
        <f t="shared" ca="1" si="172"/>
        <v>0</v>
      </c>
      <c r="P183" s="3">
        <f t="shared" si="206"/>
        <v>0</v>
      </c>
      <c r="Q183" s="3">
        <f t="shared" si="207"/>
        <v>0</v>
      </c>
      <c r="R183" s="3">
        <f t="shared" si="208"/>
        <v>0</v>
      </c>
      <c r="S183" s="3">
        <f t="shared" si="209"/>
        <v>53737444.440435842</v>
      </c>
      <c r="T183" s="3">
        <f t="shared" si="210"/>
        <v>19219925.007582754</v>
      </c>
      <c r="U183" s="47">
        <f t="shared" ca="1" si="211"/>
        <v>93261592.379273057</v>
      </c>
      <c r="V183" s="47">
        <f>IFERROR(HLOOKUP(B183-1,'EV Forecast VRZ'!$F$124:$T$130,2,FALSE)/12,0)+IFERROR(((HLOOKUP(B183,'EV Forecast VRZ'!$F$116:$T$122,2,FALSE)-HLOOKUP(B183-1,'EV Forecast VRZ'!$F$124:$T$130,2,FALSE)))*C183/78,0)</f>
        <v>5140326.3701286661</v>
      </c>
      <c r="W183" s="47">
        <f ca="1">HLOOKUP(B183,Heating!$C$102:$O$106,2,FALSE)*INDEX(Weather!$BO$1:$CB$20,MATCH(B183,Weather!$BO$1:$BO$20,0),MATCH(C183,Weather!$BO$1:$CB$1,0))/VLOOKUP(B183,Weather!$BO$2:$CB$20,14,FALSE)</f>
        <v>7300538.2429547906</v>
      </c>
      <c r="X183" s="47">
        <f t="shared" ca="1" si="225"/>
        <v>105702456.99235651</v>
      </c>
    </row>
    <row r="184" spans="1:24">
      <c r="A184" s="2">
        <f t="shared" si="200"/>
        <v>47938</v>
      </c>
      <c r="B184">
        <f t="shared" si="212"/>
        <v>2031</v>
      </c>
      <c r="C184">
        <f t="shared" si="201"/>
        <v>3</v>
      </c>
      <c r="E184" s="3">
        <f t="shared" ref="E184:F184" ca="1" si="238">E172</f>
        <v>596.21590579710141</v>
      </c>
      <c r="F184" s="3">
        <f t="shared" ca="1" si="238"/>
        <v>0</v>
      </c>
      <c r="I184" s="47">
        <f t="shared" si="214"/>
        <v>1</v>
      </c>
      <c r="J184" s="47">
        <f t="shared" si="215"/>
        <v>31</v>
      </c>
      <c r="K184" s="47">
        <f t="shared" si="216"/>
        <v>183</v>
      </c>
      <c r="M184" s="436">
        <f t="shared" si="205"/>
        <v>-9235786.3729357291</v>
      </c>
      <c r="N184" s="3">
        <f t="shared" ca="1" si="171"/>
        <v>26653065.321481969</v>
      </c>
      <c r="O184" s="3">
        <f t="shared" ca="1" si="172"/>
        <v>0</v>
      </c>
      <c r="P184" s="3">
        <f t="shared" si="206"/>
        <v>0</v>
      </c>
      <c r="Q184" s="3">
        <f t="shared" si="207"/>
        <v>0</v>
      </c>
      <c r="R184" s="3">
        <f t="shared" si="208"/>
        <v>-2958956.3975358699</v>
      </c>
      <c r="S184" s="3">
        <f t="shared" si="209"/>
        <v>59495027.773339681</v>
      </c>
      <c r="T184" s="3">
        <f t="shared" si="210"/>
        <v>19325528.991140902</v>
      </c>
      <c r="U184" s="47">
        <f t="shared" ca="1" si="211"/>
        <v>93278879.315490946</v>
      </c>
      <c r="V184" s="47">
        <f>IFERROR(HLOOKUP(B184-1,'EV Forecast VRZ'!$F$124:$T$130,2,FALSE)/12,0)+IFERROR(((HLOOKUP(B184,'EV Forecast VRZ'!$F$116:$T$122,2,FALSE)-HLOOKUP(B184-1,'EV Forecast VRZ'!$F$124:$T$130,2,FALSE)))*C184/78,0)</f>
        <v>5207086.4472946627</v>
      </c>
      <c r="W184" s="47">
        <f ca="1">HLOOKUP(B184,Heating!$C$102:$O$106,2,FALSE)*INDEX(Weather!$BO$1:$CB$20,MATCH(B184,Weather!$BO$1:$BO$20,0),MATCH(C184,Weather!$BO$1:$CB$1,0))/VLOOKUP(B184,Weather!$BO$2:$CB$20,14,FALSE)</f>
        <v>6454970.5983918933</v>
      </c>
      <c r="X184" s="47">
        <f t="shared" ca="1" si="225"/>
        <v>104940936.3611775</v>
      </c>
    </row>
    <row r="185" spans="1:24">
      <c r="A185" s="2">
        <f t="shared" si="200"/>
        <v>47968</v>
      </c>
      <c r="B185">
        <f t="shared" si="212"/>
        <v>2031</v>
      </c>
      <c r="C185">
        <f t="shared" si="201"/>
        <v>4</v>
      </c>
      <c r="E185" s="3">
        <f t="shared" ref="E185:F185" ca="1" si="239">E173</f>
        <v>412.8885416666667</v>
      </c>
      <c r="F185" s="3">
        <f t="shared" ca="1" si="239"/>
        <v>0.4316666666666677</v>
      </c>
      <c r="I185" s="47">
        <f t="shared" si="214"/>
        <v>1</v>
      </c>
      <c r="J185" s="47">
        <f t="shared" si="215"/>
        <v>30</v>
      </c>
      <c r="K185" s="47">
        <f t="shared" si="216"/>
        <v>184</v>
      </c>
      <c r="M185" s="436">
        <f t="shared" si="205"/>
        <v>-9235786.3729357291</v>
      </c>
      <c r="N185" s="3">
        <f t="shared" ca="1" si="171"/>
        <v>18457651.271179151</v>
      </c>
      <c r="O185" s="3">
        <f t="shared" ca="1" si="172"/>
        <v>115388.71786790752</v>
      </c>
      <c r="P185" s="3">
        <f t="shared" si="206"/>
        <v>0</v>
      </c>
      <c r="Q185" s="3">
        <f t="shared" si="207"/>
        <v>0</v>
      </c>
      <c r="R185" s="3">
        <f t="shared" si="208"/>
        <v>-2958956.3975358699</v>
      </c>
      <c r="S185" s="3">
        <f t="shared" si="209"/>
        <v>57575833.329038396</v>
      </c>
      <c r="T185" s="3">
        <f t="shared" si="210"/>
        <v>19431132.974699046</v>
      </c>
      <c r="U185" s="47">
        <f t="shared" ca="1" si="211"/>
        <v>83385263.522312909</v>
      </c>
      <c r="V185" s="47">
        <f>IFERROR(HLOOKUP(B185-1,'EV Forecast VRZ'!$F$124:$T$130,2,FALSE)/12,0)+IFERROR(((HLOOKUP(B185,'EV Forecast VRZ'!$F$116:$T$122,2,FALSE)-HLOOKUP(B185-1,'EV Forecast VRZ'!$F$124:$T$130,2,FALSE)))*C185/78,0)</f>
        <v>5273846.5244606594</v>
      </c>
      <c r="W185" s="47">
        <f ca="1">HLOOKUP(B185,Heating!$C$102:$O$106,2,FALSE)*INDEX(Weather!$BO$1:$CB$20,MATCH(B185,Weather!$BO$1:$BO$20,0),MATCH(C185,Weather!$BO$1:$CB$1,0))/VLOOKUP(B185,Weather!$BO$2:$CB$20,14,FALSE)</f>
        <v>4264396.4184638625</v>
      </c>
      <c r="X185" s="47">
        <f t="shared" ca="1" si="225"/>
        <v>92923506.465237424</v>
      </c>
    </row>
    <row r="186" spans="1:24">
      <c r="A186" s="2">
        <f t="shared" si="200"/>
        <v>47999</v>
      </c>
      <c r="B186">
        <f t="shared" si="212"/>
        <v>2031</v>
      </c>
      <c r="C186">
        <f t="shared" si="201"/>
        <v>5</v>
      </c>
      <c r="E186" s="3">
        <f t="shared" ref="E186:F186" ca="1" si="240">E174</f>
        <v>208.90012508544086</v>
      </c>
      <c r="F186" s="3">
        <f t="shared" ca="1" si="240"/>
        <v>26.958863636363635</v>
      </c>
      <c r="I186" s="47">
        <f t="shared" si="214"/>
        <v>1</v>
      </c>
      <c r="J186" s="47">
        <f t="shared" si="215"/>
        <v>31</v>
      </c>
      <c r="K186" s="47">
        <f t="shared" si="216"/>
        <v>185</v>
      </c>
      <c r="M186" s="436">
        <f t="shared" si="205"/>
        <v>-9235786.3729357291</v>
      </c>
      <c r="N186" s="3">
        <f t="shared" ca="1" si="171"/>
        <v>9338611.4416457731</v>
      </c>
      <c r="O186" s="3">
        <f t="shared" ca="1" si="172"/>
        <v>7206367.6683608042</v>
      </c>
      <c r="P186" s="3">
        <f t="shared" si="206"/>
        <v>0</v>
      </c>
      <c r="Q186" s="3">
        <f t="shared" si="207"/>
        <v>0</v>
      </c>
      <c r="R186" s="3">
        <f t="shared" si="208"/>
        <v>-2958956.3975358699</v>
      </c>
      <c r="S186" s="3">
        <f t="shared" si="209"/>
        <v>59495027.773339681</v>
      </c>
      <c r="T186" s="3">
        <f t="shared" si="210"/>
        <v>19536736.958257195</v>
      </c>
      <c r="U186" s="47">
        <f t="shared" ca="1" si="211"/>
        <v>83382001.071131855</v>
      </c>
      <c r="V186" s="47">
        <f>IFERROR(HLOOKUP(B186-1,'EV Forecast VRZ'!$F$124:$T$130,2,FALSE)/12,0)+IFERROR(((HLOOKUP(B186,'EV Forecast VRZ'!$F$116:$T$122,2,FALSE)-HLOOKUP(B186-1,'EV Forecast VRZ'!$F$124:$T$130,2,FALSE)))*C186/78,0)</f>
        <v>5340606.601626656</v>
      </c>
      <c r="W186" s="47">
        <f ca="1">HLOOKUP(B186,Heating!$C$102:$O$106,2,FALSE)*INDEX(Weather!$BO$1:$CB$20,MATCH(B186,Weather!$BO$1:$BO$20,0),MATCH(C186,Weather!$BO$1:$CB$1,0))/VLOOKUP(B186,Weather!$BO$2:$CB$20,14,FALSE)</f>
        <v>1875863.5880194409</v>
      </c>
      <c r="X186" s="47">
        <f t="shared" ca="1" si="225"/>
        <v>90598471.26077795</v>
      </c>
    </row>
    <row r="187" spans="1:24">
      <c r="A187" s="2">
        <f t="shared" si="200"/>
        <v>48029</v>
      </c>
      <c r="B187">
        <f t="shared" si="212"/>
        <v>2031</v>
      </c>
      <c r="C187">
        <f t="shared" si="201"/>
        <v>6</v>
      </c>
      <c r="E187" s="3">
        <f t="shared" ref="E187:F187" ca="1" si="241">E175</f>
        <v>61.78217382617381</v>
      </c>
      <c r="F187" s="3">
        <f t="shared" ca="1" si="241"/>
        <v>92.933549595332209</v>
      </c>
      <c r="I187" s="47">
        <f t="shared" si="214"/>
        <v>0</v>
      </c>
      <c r="J187" s="47">
        <f t="shared" si="215"/>
        <v>30</v>
      </c>
      <c r="K187" s="47">
        <f t="shared" si="216"/>
        <v>186</v>
      </c>
      <c r="M187" s="436">
        <f t="shared" si="205"/>
        <v>-9235786.3729357291</v>
      </c>
      <c r="N187" s="3">
        <f t="shared" ca="1" si="171"/>
        <v>2761892.6276222966</v>
      </c>
      <c r="O187" s="3">
        <f t="shared" ca="1" si="172"/>
        <v>24842045.8719358</v>
      </c>
      <c r="P187" s="3">
        <f t="shared" si="206"/>
        <v>0</v>
      </c>
      <c r="Q187" s="3">
        <f t="shared" si="207"/>
        <v>0</v>
      </c>
      <c r="R187" s="3">
        <f t="shared" si="208"/>
        <v>0</v>
      </c>
      <c r="S187" s="3">
        <f t="shared" si="209"/>
        <v>57575833.329038396</v>
      </c>
      <c r="T187" s="3">
        <f t="shared" si="210"/>
        <v>19642340.941815343</v>
      </c>
      <c r="U187" s="47">
        <f t="shared" ca="1" si="211"/>
        <v>95586326.397476107</v>
      </c>
      <c r="V187" s="47">
        <f>IFERROR(HLOOKUP(B187-1,'EV Forecast VRZ'!$F$124:$T$130,2,FALSE)/12,0)+IFERROR(((HLOOKUP(B187,'EV Forecast VRZ'!$F$116:$T$122,2,FALSE)-HLOOKUP(B187-1,'EV Forecast VRZ'!$F$124:$T$130,2,FALSE)))*C187/78,0)</f>
        <v>5407366.6787926527</v>
      </c>
      <c r="W187" s="47">
        <f ca="1">HLOOKUP(B187,Heating!$C$102:$O$106,2,FALSE)*INDEX(Weather!$BO$1:$CB$20,MATCH(B187,Weather!$BO$1:$BO$20,0),MATCH(C187,Weather!$BO$1:$CB$1,0))/VLOOKUP(B187,Weather!$BO$2:$CB$20,14,FALSE)</f>
        <v>365801.07061790081</v>
      </c>
      <c r="X187" s="47">
        <f t="shared" ca="1" si="225"/>
        <v>101359494.14688666</v>
      </c>
    </row>
    <row r="188" spans="1:24">
      <c r="A188" s="2">
        <f t="shared" si="200"/>
        <v>48060</v>
      </c>
      <c r="B188">
        <f t="shared" si="212"/>
        <v>2031</v>
      </c>
      <c r="C188">
        <f t="shared" si="201"/>
        <v>7</v>
      </c>
      <c r="E188" s="3">
        <f t="shared" ref="E188:F188" ca="1" si="242">E176</f>
        <v>8.334479813664597</v>
      </c>
      <c r="F188" s="3">
        <f t="shared" ca="1" si="242"/>
        <v>180.79967025394512</v>
      </c>
      <c r="I188" s="47">
        <f t="shared" si="214"/>
        <v>0</v>
      </c>
      <c r="J188" s="47">
        <f t="shared" si="215"/>
        <v>31</v>
      </c>
      <c r="K188" s="47">
        <f t="shared" si="216"/>
        <v>187</v>
      </c>
      <c r="M188" s="436">
        <f t="shared" si="205"/>
        <v>-9235786.3729357291</v>
      </c>
      <c r="N188" s="3">
        <f t="shared" ca="1" si="171"/>
        <v>372582.2017398036</v>
      </c>
      <c r="O188" s="3">
        <f t="shared" ca="1" si="172"/>
        <v>48329518.474617302</v>
      </c>
      <c r="P188" s="3">
        <f t="shared" si="206"/>
        <v>0</v>
      </c>
      <c r="Q188" s="3">
        <f t="shared" si="207"/>
        <v>0</v>
      </c>
      <c r="R188" s="3">
        <f t="shared" si="208"/>
        <v>0</v>
      </c>
      <c r="S188" s="3">
        <f t="shared" si="209"/>
        <v>59495027.773339681</v>
      </c>
      <c r="T188" s="3">
        <f t="shared" si="210"/>
        <v>19747944.925373487</v>
      </c>
      <c r="U188" s="47">
        <f t="shared" ca="1" si="211"/>
        <v>118709287.00213456</v>
      </c>
      <c r="V188" s="47">
        <f>IFERROR(HLOOKUP(B188-1,'EV Forecast VRZ'!$F$124:$T$130,2,FALSE)/12,0)+IFERROR(((HLOOKUP(B188,'EV Forecast VRZ'!$F$116:$T$122,2,FALSE)-HLOOKUP(B188-1,'EV Forecast VRZ'!$F$124:$T$130,2,FALSE)))*C188/78,0)</f>
        <v>5474126.7559586493</v>
      </c>
      <c r="W188" s="47">
        <f ca="1">HLOOKUP(B188,Heating!$C$102:$O$106,2,FALSE)*INDEX(Weather!$BO$1:$CB$20,MATCH(B188,Weather!$BO$1:$BO$20,0),MATCH(C188,Weather!$BO$1:$CB$1,0))/VLOOKUP(B188,Weather!$BO$2:$CB$20,14,FALSE)</f>
        <v>13105.101237535106</v>
      </c>
      <c r="X188" s="47">
        <f t="shared" ca="1" si="225"/>
        <v>124196518.85933074</v>
      </c>
    </row>
    <row r="189" spans="1:24">
      <c r="A189" s="2">
        <f t="shared" si="200"/>
        <v>48091</v>
      </c>
      <c r="B189">
        <f t="shared" si="212"/>
        <v>2031</v>
      </c>
      <c r="C189">
        <f t="shared" si="201"/>
        <v>8</v>
      </c>
      <c r="E189" s="3">
        <f t="shared" ref="E189:F189" ca="1" si="243">E177</f>
        <v>21.054927536231883</v>
      </c>
      <c r="F189" s="3">
        <f t="shared" ca="1" si="243"/>
        <v>153.08475461133071</v>
      </c>
      <c r="I189" s="47">
        <f t="shared" si="214"/>
        <v>0</v>
      </c>
      <c r="J189" s="47">
        <f t="shared" si="215"/>
        <v>31</v>
      </c>
      <c r="K189" s="47">
        <f t="shared" si="216"/>
        <v>188</v>
      </c>
      <c r="M189" s="436">
        <f t="shared" si="205"/>
        <v>-9235786.3729357291</v>
      </c>
      <c r="N189" s="3">
        <f t="shared" ca="1" si="171"/>
        <v>941233.45839289424</v>
      </c>
      <c r="O189" s="3">
        <f t="shared" ca="1" si="172"/>
        <v>40921050.717508845</v>
      </c>
      <c r="P189" s="3">
        <f t="shared" si="206"/>
        <v>0</v>
      </c>
      <c r="Q189" s="3">
        <f t="shared" si="207"/>
        <v>0</v>
      </c>
      <c r="R189" s="3">
        <f t="shared" si="208"/>
        <v>0</v>
      </c>
      <c r="S189" s="3">
        <f t="shared" si="209"/>
        <v>59495027.773339681</v>
      </c>
      <c r="T189" s="3">
        <f t="shared" si="210"/>
        <v>19853548.908931635</v>
      </c>
      <c r="U189" s="47">
        <f t="shared" ca="1" si="211"/>
        <v>111975074.48523733</v>
      </c>
      <c r="V189" s="47">
        <f>IFERROR(HLOOKUP(B189-1,'EV Forecast VRZ'!$F$124:$T$130,2,FALSE)/12,0)+IFERROR(((HLOOKUP(B189,'EV Forecast VRZ'!$F$116:$T$122,2,FALSE)-HLOOKUP(B189-1,'EV Forecast VRZ'!$F$124:$T$130,2,FALSE)))*C189/78,0)</f>
        <v>5540886.833124646</v>
      </c>
      <c r="W189" s="47">
        <f ca="1">HLOOKUP(B189,Heating!$C$102:$O$106,2,FALSE)*INDEX(Weather!$BO$1:$CB$20,MATCH(B189,Weather!$BO$1:$BO$20,0),MATCH(C189,Weather!$BO$1:$CB$1,0))/VLOOKUP(B189,Weather!$BO$2:$CB$20,14,FALSE)</f>
        <v>77628.71916310185</v>
      </c>
      <c r="X189" s="47">
        <f t="shared" ca="1" si="225"/>
        <v>117593590.03752509</v>
      </c>
    </row>
    <row r="190" spans="1:24">
      <c r="A190" s="2">
        <f t="shared" si="200"/>
        <v>48121</v>
      </c>
      <c r="B190">
        <f t="shared" si="212"/>
        <v>2031</v>
      </c>
      <c r="C190">
        <f t="shared" si="201"/>
        <v>9</v>
      </c>
      <c r="E190" s="3">
        <f t="shared" ref="E190:F190" ca="1" si="244">E178</f>
        <v>97.667119565217376</v>
      </c>
      <c r="F190" s="3">
        <f t="shared" ca="1" si="244"/>
        <v>58.118749999999991</v>
      </c>
      <c r="I190" s="47">
        <f t="shared" si="214"/>
        <v>1</v>
      </c>
      <c r="J190" s="47">
        <f t="shared" si="215"/>
        <v>30</v>
      </c>
      <c r="K190" s="47">
        <f t="shared" si="216"/>
        <v>189</v>
      </c>
      <c r="M190" s="436">
        <f t="shared" si="205"/>
        <v>-9235786.3729357291</v>
      </c>
      <c r="N190" s="3">
        <f t="shared" ca="1" si="171"/>
        <v>4366082.9780321233</v>
      </c>
      <c r="O190" s="3">
        <f t="shared" ca="1" si="172"/>
        <v>15535709.760429574</v>
      </c>
      <c r="P190" s="3">
        <f t="shared" si="206"/>
        <v>0</v>
      </c>
      <c r="Q190" s="3">
        <f t="shared" si="207"/>
        <v>0</v>
      </c>
      <c r="R190" s="3">
        <f t="shared" si="208"/>
        <v>-2958956.3975358699</v>
      </c>
      <c r="S190" s="3">
        <f t="shared" si="209"/>
        <v>57575833.329038396</v>
      </c>
      <c r="T190" s="3">
        <f t="shared" si="210"/>
        <v>19959152.892489783</v>
      </c>
      <c r="U190" s="47">
        <f t="shared" ca="1" si="211"/>
        <v>85242036.189518273</v>
      </c>
      <c r="V190" s="47">
        <f>IFERROR(HLOOKUP(B190-1,'EV Forecast VRZ'!$F$124:$T$130,2,FALSE)/12,0)+IFERROR(((HLOOKUP(B190,'EV Forecast VRZ'!$F$116:$T$122,2,FALSE)-HLOOKUP(B190-1,'EV Forecast VRZ'!$F$124:$T$130,2,FALSE)))*C190/78,0)</f>
        <v>5607646.9102906436</v>
      </c>
      <c r="W190" s="47">
        <f ca="1">HLOOKUP(B190,Heating!$C$102:$O$106,2,FALSE)*INDEX(Weather!$BO$1:$CB$20,MATCH(B190,Weather!$BO$1:$BO$20,0),MATCH(C190,Weather!$BO$1:$CB$1,0))/VLOOKUP(B190,Weather!$BO$2:$CB$20,14,FALSE)</f>
        <v>657475.76461197471</v>
      </c>
      <c r="X190" s="47">
        <f t="shared" ca="1" si="225"/>
        <v>91507158.864420891</v>
      </c>
    </row>
    <row r="191" spans="1:24">
      <c r="A191" s="2">
        <f t="shared" si="200"/>
        <v>48152</v>
      </c>
      <c r="B191">
        <f t="shared" si="212"/>
        <v>2031</v>
      </c>
      <c r="C191">
        <f t="shared" si="201"/>
        <v>10</v>
      </c>
      <c r="E191" s="3">
        <f t="shared" ref="E191:F191" ca="1" si="245">E179</f>
        <v>292.46431159420291</v>
      </c>
      <c r="F191" s="3">
        <f t="shared" ca="1" si="245"/>
        <v>7.9825000000000035</v>
      </c>
      <c r="I191" s="47">
        <f t="shared" si="214"/>
        <v>1</v>
      </c>
      <c r="J191" s="47">
        <f t="shared" si="215"/>
        <v>31</v>
      </c>
      <c r="K191" s="47">
        <f t="shared" si="216"/>
        <v>190</v>
      </c>
      <c r="M191" s="436">
        <f t="shared" si="205"/>
        <v>-9235786.3729357291</v>
      </c>
      <c r="N191" s="3">
        <f t="shared" ca="1" si="171"/>
        <v>13074240.934080835</v>
      </c>
      <c r="O191" s="3">
        <f t="shared" ca="1" si="172"/>
        <v>2133800.2479858762</v>
      </c>
      <c r="P191" s="3">
        <f t="shared" si="206"/>
        <v>0</v>
      </c>
      <c r="Q191" s="3">
        <f t="shared" si="207"/>
        <v>0</v>
      </c>
      <c r="R191" s="3">
        <f t="shared" si="208"/>
        <v>-2958956.3975358699</v>
      </c>
      <c r="S191" s="3">
        <f t="shared" si="209"/>
        <v>59495027.773339681</v>
      </c>
      <c r="T191" s="3">
        <f t="shared" si="210"/>
        <v>20064756.876047928</v>
      </c>
      <c r="U191" s="47">
        <f t="shared" ca="1" si="211"/>
        <v>82573083.060982719</v>
      </c>
      <c r="V191" s="47">
        <f>IFERROR(HLOOKUP(B191-1,'EV Forecast VRZ'!$F$124:$T$130,2,FALSE)/12,0)+IFERROR(((HLOOKUP(B191,'EV Forecast VRZ'!$F$116:$T$122,2,FALSE)-HLOOKUP(B191-1,'EV Forecast VRZ'!$F$124:$T$130,2,FALSE)))*C191/78,0)</f>
        <v>5674406.9874566402</v>
      </c>
      <c r="W191" s="47">
        <f ca="1">HLOOKUP(B191,Heating!$C$102:$O$106,2,FALSE)*INDEX(Weather!$BO$1:$CB$20,MATCH(B191,Weather!$BO$1:$BO$20,0),MATCH(C191,Weather!$BO$1:$CB$1,0))/VLOOKUP(B191,Weather!$BO$2:$CB$20,14,FALSE)</f>
        <v>2805862.8311147648</v>
      </c>
      <c r="X191" s="47">
        <f t="shared" ca="1" si="225"/>
        <v>91053352.879554123</v>
      </c>
    </row>
    <row r="192" spans="1:24">
      <c r="A192" s="2">
        <f t="shared" si="200"/>
        <v>48182</v>
      </c>
      <c r="B192">
        <f t="shared" si="212"/>
        <v>2031</v>
      </c>
      <c r="C192">
        <f t="shared" si="201"/>
        <v>11</v>
      </c>
      <c r="E192" s="3">
        <f t="shared" ref="E192:F192" ca="1" si="246">E180</f>
        <v>495.51408055712409</v>
      </c>
      <c r="F192" s="3">
        <f t="shared" ca="1" si="246"/>
        <v>0.15041666666666628</v>
      </c>
      <c r="I192" s="47">
        <f t="shared" si="214"/>
        <v>1</v>
      </c>
      <c r="J192" s="47">
        <f t="shared" si="215"/>
        <v>30</v>
      </c>
      <c r="K192" s="47">
        <f t="shared" si="216"/>
        <v>191</v>
      </c>
      <c r="M192" s="436">
        <f t="shared" si="205"/>
        <v>-9235786.3729357291</v>
      </c>
      <c r="N192" s="3">
        <f t="shared" ca="1" si="171"/>
        <v>22151319.72896003</v>
      </c>
      <c r="O192" s="3">
        <f t="shared" ca="1" si="172"/>
        <v>40207.844739685723</v>
      </c>
      <c r="P192" s="3">
        <f t="shared" si="206"/>
        <v>0</v>
      </c>
      <c r="Q192" s="3">
        <f t="shared" si="207"/>
        <v>0</v>
      </c>
      <c r="R192" s="3">
        <f t="shared" si="208"/>
        <v>-2958956.3975358699</v>
      </c>
      <c r="S192" s="3">
        <f t="shared" si="209"/>
        <v>57575833.329038396</v>
      </c>
      <c r="T192" s="3">
        <f t="shared" si="210"/>
        <v>20170360.859606076</v>
      </c>
      <c r="U192" s="47">
        <f t="shared" ca="1" si="211"/>
        <v>87742978.991872579</v>
      </c>
      <c r="V192" s="47">
        <f>IFERROR(HLOOKUP(B192-1,'EV Forecast VRZ'!$F$124:$T$130,2,FALSE)/12,0)+IFERROR(((HLOOKUP(B192,'EV Forecast VRZ'!$F$116:$T$122,2,FALSE)-HLOOKUP(B192-1,'EV Forecast VRZ'!$F$124:$T$130,2,FALSE)))*C192/78,0)</f>
        <v>5741167.0646226369</v>
      </c>
      <c r="W192" s="47">
        <f ca="1">HLOOKUP(B192,Heating!$C$102:$O$106,2,FALSE)*INDEX(Weather!$BO$1:$CB$20,MATCH(B192,Weather!$BO$1:$BO$20,0),MATCH(C192,Weather!$BO$1:$CB$1,0))/VLOOKUP(B192,Weather!$BO$2:$CB$20,14,FALSE)</f>
        <v>5262349.08896486</v>
      </c>
      <c r="X192" s="47">
        <f t="shared" ca="1" si="225"/>
        <v>98746495.145460084</v>
      </c>
    </row>
    <row r="193" spans="1:24">
      <c r="A193" s="2">
        <f t="shared" si="200"/>
        <v>48213</v>
      </c>
      <c r="B193">
        <f t="shared" si="212"/>
        <v>2031</v>
      </c>
      <c r="C193">
        <f t="shared" si="201"/>
        <v>12</v>
      </c>
      <c r="E193" s="3">
        <f t="shared" ref="E193:F193" ca="1" si="247">E181</f>
        <v>664.38541666666663</v>
      </c>
      <c r="F193" s="3">
        <f t="shared" ca="1" si="247"/>
        <v>0</v>
      </c>
      <c r="I193" s="47">
        <f t="shared" si="214"/>
        <v>0</v>
      </c>
      <c r="J193" s="47">
        <f t="shared" si="215"/>
        <v>31</v>
      </c>
      <c r="K193" s="47">
        <f t="shared" si="216"/>
        <v>192</v>
      </c>
      <c r="M193" s="436">
        <f t="shared" si="205"/>
        <v>-9235786.3729357291</v>
      </c>
      <c r="N193" s="3">
        <f t="shared" ca="1" si="171"/>
        <v>29700495.637368772</v>
      </c>
      <c r="O193" s="3">
        <f t="shared" ca="1" si="172"/>
        <v>0</v>
      </c>
      <c r="P193" s="3">
        <f t="shared" si="206"/>
        <v>0</v>
      </c>
      <c r="Q193" s="3">
        <f t="shared" si="207"/>
        <v>0</v>
      </c>
      <c r="R193" s="3">
        <f t="shared" si="208"/>
        <v>0</v>
      </c>
      <c r="S193" s="3">
        <f t="shared" si="209"/>
        <v>59495027.773339681</v>
      </c>
      <c r="T193" s="3">
        <f t="shared" si="210"/>
        <v>20275964.843164224</v>
      </c>
      <c r="U193" s="47">
        <f t="shared" ca="1" si="211"/>
        <v>100235701.88093694</v>
      </c>
      <c r="V193" s="47">
        <f>IFERROR(HLOOKUP(B193-1,'EV Forecast VRZ'!$F$124:$T$130,2,FALSE)/12,0)+IFERROR(((HLOOKUP(B193,'EV Forecast VRZ'!$F$116:$T$122,2,FALSE)-HLOOKUP(B193-1,'EV Forecast VRZ'!$F$124:$T$130,2,FALSE)))*C193/78,0)</f>
        <v>5807927.1417886335</v>
      </c>
      <c r="W193" s="47">
        <f ca="1">HLOOKUP(B193,Heating!$C$102:$O$106,2,FALSE)*INDEX(Weather!$BO$1:$CB$20,MATCH(B193,Weather!$BO$1:$BO$20,0),MATCH(C193,Weather!$BO$1:$CB$1,0))/VLOOKUP(B193,Weather!$BO$2:$CB$20,14,FALSE)</f>
        <v>7278667.878077399</v>
      </c>
      <c r="X193" s="47">
        <f t="shared" ca="1" si="225"/>
        <v>113322296.90080297</v>
      </c>
    </row>
    <row r="194" spans="1:24">
      <c r="A194" s="2"/>
    </row>
    <row r="195" spans="1:24">
      <c r="A195" s="2"/>
    </row>
    <row r="196" spans="1:24">
      <c r="A196" s="2"/>
    </row>
    <row r="197" spans="1:24">
      <c r="A197" s="2"/>
    </row>
    <row r="198" spans="1:24">
      <c r="A198" s="2"/>
    </row>
    <row r="199" spans="1:24">
      <c r="A199" s="2"/>
    </row>
    <row r="200" spans="1:24">
      <c r="A200" s="2"/>
    </row>
    <row r="201" spans="1:24">
      <c r="A201" s="2"/>
    </row>
    <row r="202" spans="1:24">
      <c r="A202" s="2"/>
    </row>
    <row r="203" spans="1:24">
      <c r="A203" s="2"/>
    </row>
    <row r="204" spans="1:24">
      <c r="A204" s="2"/>
    </row>
    <row r="205" spans="1:24">
      <c r="A205" s="2"/>
    </row>
    <row r="206" spans="1:24">
      <c r="A206" s="2"/>
    </row>
    <row r="207" spans="1:24">
      <c r="A207" s="2"/>
    </row>
    <row r="208" spans="1:24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A9754-3ABA-404C-9F95-166BE4E6F11A}">
  <sheetPr codeName="Sheet28">
    <tabColor theme="7" tint="0.79998168889431442"/>
  </sheetPr>
  <dimension ref="A1:AC193"/>
  <sheetViews>
    <sheetView topLeftCell="M19" workbookViewId="0">
      <selection activeCell="H3" sqref="H3"/>
    </sheetView>
  </sheetViews>
  <sheetFormatPr defaultRowHeight="14.5"/>
  <cols>
    <col min="4" max="4" width="16" customWidth="1"/>
    <col min="12" max="12" width="13.81640625" bestFit="1" customWidth="1"/>
    <col min="13" max="14" width="11.1796875" bestFit="1" customWidth="1"/>
    <col min="15" max="17" width="10.1796875" bestFit="1" customWidth="1"/>
    <col min="18" max="18" width="11.1796875" bestFit="1" customWidth="1"/>
    <col min="19" max="22" width="12.54296875" customWidth="1"/>
    <col min="26" max="26" width="13.81640625" bestFit="1" customWidth="1"/>
    <col min="27" max="27" width="12.81640625" bestFit="1" customWidth="1"/>
    <col min="28" max="28" width="13.81640625" bestFit="1" customWidth="1"/>
    <col min="29" max="29" width="8.81640625" bestFit="1" customWidth="1"/>
  </cols>
  <sheetData>
    <row r="1" spans="1:29">
      <c r="A1" s="541" t="str">
        <f>'Monthly Data'!A1</f>
        <v>Date</v>
      </c>
      <c r="B1" s="541" t="str">
        <f>'Monthly Data'!B1</f>
        <v>Year</v>
      </c>
      <c r="C1" s="541" t="str">
        <f>'Monthly Data'!C1</f>
        <v>Month</v>
      </c>
      <c r="D1" s="541" t="str">
        <f>'Monthly Data'!L1</f>
        <v>VRZ_SeasonalReskWh_No_CDM</v>
      </c>
      <c r="E1" s="541" t="str">
        <f>'Monthly Data'!CP1</f>
        <v>HDD18</v>
      </c>
      <c r="F1" s="541" t="str">
        <f>'Monthly Data'!CU1</f>
        <v>CDD14</v>
      </c>
      <c r="G1" s="541" t="str">
        <f>'Monthly Data'!EG1</f>
        <v>Shoulder</v>
      </c>
      <c r="H1" s="541" t="str">
        <f>'Monthly Data'!EH1</f>
        <v>Trend</v>
      </c>
      <c r="I1" s="541" t="str">
        <f>'Monthly Data'!DQ1</f>
        <v>Month Days</v>
      </c>
      <c r="J1" s="541" t="str">
        <f>'Monthly Data'!EO1</f>
        <v>CovHDD18</v>
      </c>
      <c r="K1" s="541"/>
      <c r="L1" s="541" t="str">
        <f>Y8</f>
        <v>const</v>
      </c>
      <c r="M1" s="541" t="str">
        <f>E1</f>
        <v>HDD18</v>
      </c>
      <c r="N1" s="541" t="str">
        <f>F1</f>
        <v>CDD14</v>
      </c>
      <c r="O1" s="541" t="str">
        <f t="shared" ref="O1:R1" si="0">G1</f>
        <v>Shoulder</v>
      </c>
      <c r="P1" s="541" t="str">
        <f t="shared" si="0"/>
        <v>Trend</v>
      </c>
      <c r="Q1" s="541" t="str">
        <f t="shared" si="0"/>
        <v>Month Days</v>
      </c>
      <c r="R1" s="541" t="str">
        <f t="shared" si="0"/>
        <v>CovHDD18</v>
      </c>
      <c r="S1" s="541" t="s">
        <v>610</v>
      </c>
      <c r="T1" s="541" t="s">
        <v>332</v>
      </c>
      <c r="U1" s="541" t="s">
        <v>606</v>
      </c>
      <c r="V1" s="541" t="s">
        <v>611</v>
      </c>
    </row>
    <row r="2" spans="1:29">
      <c r="A2" s="2">
        <f>'Monthly Data'!A2</f>
        <v>42370</v>
      </c>
      <c r="B2">
        <f>'Monthly Data'!B2</f>
        <v>2016</v>
      </c>
      <c r="C2">
        <f>'Monthly Data'!C2</f>
        <v>1</v>
      </c>
      <c r="D2" s="3">
        <f>'Monthly Data'!L2</f>
        <v>936511.47097367409</v>
      </c>
      <c r="E2" s="91">
        <f ca="1">Weather!BU46</f>
        <v>690.78750000000002</v>
      </c>
      <c r="F2" s="91">
        <f ca="1">Weather!CX46</f>
        <v>0</v>
      </c>
      <c r="G2" s="3">
        <f>'Monthly Data'!EG2</f>
        <v>0</v>
      </c>
      <c r="H2">
        <v>1</v>
      </c>
      <c r="I2" s="3">
        <f>'Monthly Data'!DQ2</f>
        <v>31</v>
      </c>
      <c r="J2" s="3">
        <f>'Monthly Data'!EO2</f>
        <v>0</v>
      </c>
      <c r="L2" s="3">
        <f t="shared" ref="L2:L33" si="1">$Z$8</f>
        <v>-761245.70652732695</v>
      </c>
      <c r="M2" s="3">
        <f t="shared" ref="M2:M33" ca="1" si="2">E2*$Z$9</f>
        <v>558114.56325317395</v>
      </c>
      <c r="N2" s="3">
        <f t="shared" ref="N2:N33" ca="1" si="3">F2*$Z$10</f>
        <v>0</v>
      </c>
      <c r="O2" s="3">
        <f t="shared" ref="O2:O33" si="4">G2*$Z$11</f>
        <v>0</v>
      </c>
      <c r="P2" s="3">
        <f t="shared" ref="P2:P33" si="5">H2*$Z$12</f>
        <v>2554.8309918289801</v>
      </c>
      <c r="Q2" s="3">
        <f t="shared" ref="Q2:Q33" si="6">I2*$Z$13</f>
        <v>1183980.7512550617</v>
      </c>
      <c r="R2" s="3">
        <f t="shared" ref="R2:R33" si="7">J2*$Z$14</f>
        <v>0</v>
      </c>
      <c r="S2" s="47">
        <f t="shared" ref="S2:S9" ca="1" si="8">SUM(L2:R2)</f>
        <v>983404.43897273764</v>
      </c>
      <c r="T2" s="47">
        <f>'Monthly Data'!M2</f>
        <v>0</v>
      </c>
      <c r="U2" s="47">
        <f>+'Monthly Data'!N2</f>
        <v>0</v>
      </c>
      <c r="V2" s="47">
        <f t="shared" ref="V2:V42" ca="1" si="9">S2+T2+U2</f>
        <v>983404.43897273764</v>
      </c>
    </row>
    <row r="3" spans="1:29">
      <c r="A3" s="2">
        <f>'Monthly Data'!A3</f>
        <v>42401</v>
      </c>
      <c r="B3">
        <f>'Monthly Data'!B3</f>
        <v>2016</v>
      </c>
      <c r="C3">
        <f>'Monthly Data'!C3</f>
        <v>2</v>
      </c>
      <c r="D3" s="3">
        <f>'Monthly Data'!L3</f>
        <v>897208.55047257687</v>
      </c>
      <c r="E3" s="91">
        <f ca="1">Weather!BU47</f>
        <v>604.19541666666657</v>
      </c>
      <c r="F3" s="91">
        <f ca="1">Weather!CX47</f>
        <v>0</v>
      </c>
      <c r="G3" s="3">
        <f>'Monthly Data'!EG3</f>
        <v>0</v>
      </c>
      <c r="H3">
        <f t="shared" ref="H3:H55" si="10">H2+1</f>
        <v>2</v>
      </c>
      <c r="I3" s="3">
        <f>'Monthly Data'!DQ3</f>
        <v>29</v>
      </c>
      <c r="J3" s="3">
        <f>'Monthly Data'!EO3</f>
        <v>0</v>
      </c>
      <c r="L3" s="3">
        <f t="shared" si="1"/>
        <v>-761245.70652732695</v>
      </c>
      <c r="M3" s="3">
        <f t="shared" ca="1" si="2"/>
        <v>488153.39173405146</v>
      </c>
      <c r="N3" s="3">
        <f t="shared" ca="1" si="3"/>
        <v>0</v>
      </c>
      <c r="O3" s="3">
        <f t="shared" si="4"/>
        <v>0</v>
      </c>
      <c r="P3" s="3">
        <f t="shared" si="5"/>
        <v>5109.6619836579603</v>
      </c>
      <c r="Q3" s="3">
        <f t="shared" si="6"/>
        <v>1107594.8963353804</v>
      </c>
      <c r="R3" s="3">
        <f t="shared" si="7"/>
        <v>0</v>
      </c>
      <c r="S3" s="47">
        <f t="shared" ca="1" si="8"/>
        <v>839612.24352576281</v>
      </c>
      <c r="T3" s="47">
        <f>'Monthly Data'!M3</f>
        <v>0</v>
      </c>
      <c r="U3" s="47">
        <f>+'Monthly Data'!N3</f>
        <v>0</v>
      </c>
      <c r="V3" s="47">
        <f t="shared" ca="1" si="9"/>
        <v>839612.24352576281</v>
      </c>
      <c r="Y3" s="3" t="str">
        <f>'VRZ Seasonal'!Z3</f>
        <v>Model 2: Prais-Winsten, using observations 2016:01-2025:12 (T = 120)</v>
      </c>
    </row>
    <row r="4" spans="1:29">
      <c r="A4" s="2">
        <f>'Monthly Data'!A4</f>
        <v>42430</v>
      </c>
      <c r="B4">
        <f>'Monthly Data'!B4</f>
        <v>2016</v>
      </c>
      <c r="C4">
        <f>'Monthly Data'!C4</f>
        <v>3</v>
      </c>
      <c r="D4" s="3">
        <f>'Monthly Data'!L4</f>
        <v>784095.43057251081</v>
      </c>
      <c r="E4" s="91">
        <f ca="1">Weather!BU48</f>
        <v>534.21590579710141</v>
      </c>
      <c r="F4" s="91">
        <f ca="1">Weather!CX48</f>
        <v>0</v>
      </c>
      <c r="G4" s="3">
        <f>'Monthly Data'!EG4</f>
        <v>1</v>
      </c>
      <c r="H4">
        <f t="shared" si="10"/>
        <v>3</v>
      </c>
      <c r="I4" s="3">
        <f>'Monthly Data'!DQ4</f>
        <v>31</v>
      </c>
      <c r="J4" s="3">
        <f>'Monthly Data'!EO4</f>
        <v>0</v>
      </c>
      <c r="L4" s="3">
        <f t="shared" si="1"/>
        <v>-761245.70652732695</v>
      </c>
      <c r="M4" s="3">
        <f t="shared" ca="1" si="2"/>
        <v>431614.1750492705</v>
      </c>
      <c r="N4" s="3">
        <f t="shared" ca="1" si="3"/>
        <v>0</v>
      </c>
      <c r="O4" s="3">
        <f t="shared" si="4"/>
        <v>-62836.7660875816</v>
      </c>
      <c r="P4" s="3">
        <f t="shared" si="5"/>
        <v>7664.4929754869408</v>
      </c>
      <c r="Q4" s="3">
        <f t="shared" si="6"/>
        <v>1183980.7512550617</v>
      </c>
      <c r="R4" s="3">
        <f t="shared" si="7"/>
        <v>0</v>
      </c>
      <c r="S4" s="47">
        <f t="shared" ca="1" si="8"/>
        <v>799176.94666491065</v>
      </c>
      <c r="T4" s="47">
        <f>'Monthly Data'!M4</f>
        <v>0</v>
      </c>
      <c r="U4" s="47">
        <f>+'Monthly Data'!N4</f>
        <v>0</v>
      </c>
      <c r="V4" s="47">
        <f t="shared" ca="1" si="9"/>
        <v>799176.94666491065</v>
      </c>
      <c r="Y4" s="3" t="str">
        <f>'VRZ Seasonal'!Z4</f>
        <v>Dependent variable: VRZ_SeasonalReskWh_No_CDM_AL</v>
      </c>
    </row>
    <row r="5" spans="1:29">
      <c r="A5" s="2">
        <f>'Monthly Data'!A5</f>
        <v>42461</v>
      </c>
      <c r="B5">
        <f>'Monthly Data'!B5</f>
        <v>2016</v>
      </c>
      <c r="C5">
        <f>'Monthly Data'!C5</f>
        <v>4</v>
      </c>
      <c r="D5" s="3">
        <f>'Monthly Data'!L5</f>
        <v>657814.26284760027</v>
      </c>
      <c r="E5" s="91">
        <f ca="1">Weather!BU49</f>
        <v>352.92312500000003</v>
      </c>
      <c r="F5" s="91">
        <f ca="1">Weather!CX49</f>
        <v>2.2025000000000015</v>
      </c>
      <c r="G5" s="3">
        <f>'Monthly Data'!EG5</f>
        <v>1</v>
      </c>
      <c r="H5">
        <f t="shared" si="10"/>
        <v>4</v>
      </c>
      <c r="I5" s="3">
        <f>'Monthly Data'!DQ5</f>
        <v>30</v>
      </c>
      <c r="J5" s="3">
        <f>'Monthly Data'!EO5</f>
        <v>0</v>
      </c>
      <c r="L5" s="3">
        <f t="shared" si="1"/>
        <v>-761245.70652732695</v>
      </c>
      <c r="M5" s="3">
        <f t="shared" ca="1" si="2"/>
        <v>285140.56170865905</v>
      </c>
      <c r="N5" s="3">
        <f t="shared" ca="1" si="3"/>
        <v>4065.2951988759241</v>
      </c>
      <c r="O5" s="3">
        <f t="shared" si="4"/>
        <v>-62836.7660875816</v>
      </c>
      <c r="P5" s="3">
        <f t="shared" si="5"/>
        <v>10219.323967315921</v>
      </c>
      <c r="Q5" s="3">
        <f t="shared" si="6"/>
        <v>1145787.823795221</v>
      </c>
      <c r="R5" s="3">
        <f t="shared" si="7"/>
        <v>0</v>
      </c>
      <c r="S5" s="47">
        <f t="shared" ca="1" si="8"/>
        <v>621130.53205516341</v>
      </c>
      <c r="T5" s="47">
        <f>'Monthly Data'!M5</f>
        <v>0</v>
      </c>
      <c r="U5" s="47">
        <f>+'Monthly Data'!N5</f>
        <v>0</v>
      </c>
      <c r="V5" s="47">
        <f t="shared" ca="1" si="9"/>
        <v>621130.53205516341</v>
      </c>
      <c r="Y5" s="3" t="str">
        <f>'VRZ Seasonal'!Z5</f>
        <v>rho = 0.26251</v>
      </c>
    </row>
    <row r="6" spans="1:29">
      <c r="A6" s="2">
        <f>'Monthly Data'!A6</f>
        <v>42491</v>
      </c>
      <c r="B6">
        <f>'Monthly Data'!B6</f>
        <v>2016</v>
      </c>
      <c r="C6">
        <f>'Monthly Data'!C6</f>
        <v>5</v>
      </c>
      <c r="D6" s="3">
        <f>'Monthly Data'!L6</f>
        <v>642444.92598512163</v>
      </c>
      <c r="E6" s="91">
        <f ca="1">Weather!BU50</f>
        <v>155.24720841877425</v>
      </c>
      <c r="F6" s="91">
        <f ca="1">Weather!CX50</f>
        <v>48.940113636363641</v>
      </c>
      <c r="G6" s="3">
        <f>'Monthly Data'!EG6</f>
        <v>1</v>
      </c>
      <c r="H6">
        <f t="shared" si="10"/>
        <v>5</v>
      </c>
      <c r="I6" s="3">
        <f>'Monthly Data'!DQ6</f>
        <v>31</v>
      </c>
      <c r="J6" s="3">
        <f>'Monthly Data'!EO6</f>
        <v>0</v>
      </c>
      <c r="L6" s="3">
        <f t="shared" si="1"/>
        <v>-761245.70652732695</v>
      </c>
      <c r="M6" s="3">
        <f t="shared" ca="1" si="2"/>
        <v>125430.36450850464</v>
      </c>
      <c r="N6" s="3">
        <f t="shared" ca="1" si="3"/>
        <v>90331.89965872922</v>
      </c>
      <c r="O6" s="3">
        <f t="shared" si="4"/>
        <v>-62836.7660875816</v>
      </c>
      <c r="P6" s="3">
        <f t="shared" si="5"/>
        <v>12774.1549591449</v>
      </c>
      <c r="Q6" s="3">
        <f t="shared" si="6"/>
        <v>1183980.7512550617</v>
      </c>
      <c r="R6" s="3">
        <f t="shared" si="7"/>
        <v>0</v>
      </c>
      <c r="S6" s="47">
        <f t="shared" ca="1" si="8"/>
        <v>588434.69776653184</v>
      </c>
      <c r="T6" s="47">
        <f>'Monthly Data'!M6</f>
        <v>0</v>
      </c>
      <c r="U6" s="47">
        <f>+'Monthly Data'!N6</f>
        <v>0</v>
      </c>
      <c r="V6" s="47">
        <f t="shared" ca="1" si="9"/>
        <v>588434.69776653184</v>
      </c>
    </row>
    <row r="7" spans="1:29">
      <c r="A7" s="2">
        <f>'Monthly Data'!A7</f>
        <v>42522</v>
      </c>
      <c r="B7">
        <f>'Monthly Data'!B7</f>
        <v>2016</v>
      </c>
      <c r="C7">
        <f>'Monthly Data'!C7</f>
        <v>6</v>
      </c>
      <c r="D7" s="3">
        <f>'Monthly Data'!L7</f>
        <v>625968.16854451003</v>
      </c>
      <c r="E7" s="91">
        <f ca="1">Weather!BU51</f>
        <v>30.273840492840492</v>
      </c>
      <c r="F7" s="91">
        <f ca="1">Weather!CX51</f>
        <v>144.91160087738351</v>
      </c>
      <c r="G7" s="3">
        <f>'Monthly Data'!EG7</f>
        <v>0</v>
      </c>
      <c r="H7">
        <f t="shared" si="10"/>
        <v>6</v>
      </c>
      <c r="I7" s="3">
        <f>'Monthly Data'!DQ7</f>
        <v>30</v>
      </c>
      <c r="J7" s="3">
        <f>'Monthly Data'!EO7</f>
        <v>0</v>
      </c>
      <c r="L7" s="3">
        <f t="shared" si="1"/>
        <v>-761245.70652732695</v>
      </c>
      <c r="M7" s="3">
        <f t="shared" ca="1" si="2"/>
        <v>24459.434000554327</v>
      </c>
      <c r="N7" s="3">
        <f t="shared" ca="1" si="3"/>
        <v>267472.61534994369</v>
      </c>
      <c r="O7" s="3">
        <f t="shared" si="4"/>
        <v>0</v>
      </c>
      <c r="P7" s="3">
        <f t="shared" si="5"/>
        <v>15328.985950973882</v>
      </c>
      <c r="Q7" s="3">
        <f t="shared" si="6"/>
        <v>1145787.823795221</v>
      </c>
      <c r="R7" s="3">
        <f t="shared" si="7"/>
        <v>0</v>
      </c>
      <c r="S7" s="47">
        <f t="shared" ca="1" si="8"/>
        <v>691803.15256936604</v>
      </c>
      <c r="T7" s="47">
        <f>'Monthly Data'!M7</f>
        <v>0</v>
      </c>
      <c r="U7" s="47">
        <f>+'Monthly Data'!N7</f>
        <v>0</v>
      </c>
      <c r="V7" s="47">
        <f t="shared" ca="1" si="9"/>
        <v>691803.15256936604</v>
      </c>
      <c r="Z7" t="s">
        <v>300</v>
      </c>
      <c r="AA7" t="s">
        <v>301</v>
      </c>
      <c r="AB7" t="s">
        <v>302</v>
      </c>
      <c r="AC7" t="s">
        <v>303</v>
      </c>
    </row>
    <row r="8" spans="1:29">
      <c r="A8" s="2">
        <f>'Monthly Data'!A8</f>
        <v>42552</v>
      </c>
      <c r="B8">
        <f>'Monthly Data'!B8</f>
        <v>2016</v>
      </c>
      <c r="C8">
        <f>'Monthly Data'!C8</f>
        <v>7</v>
      </c>
      <c r="D8" s="3">
        <f>'Monthly Data'!L8</f>
        <v>953145.21106573672</v>
      </c>
      <c r="E8" s="91">
        <f ca="1">Weather!BU52</f>
        <v>1.0845833333333317</v>
      </c>
      <c r="F8" s="91">
        <f ca="1">Weather!CX52</f>
        <v>242.72508692061183</v>
      </c>
      <c r="G8" s="3">
        <f>'Monthly Data'!EG8</f>
        <v>0</v>
      </c>
      <c r="H8">
        <f t="shared" si="10"/>
        <v>7</v>
      </c>
      <c r="I8" s="3">
        <f>'Monthly Data'!DQ8</f>
        <v>31</v>
      </c>
      <c r="J8" s="3">
        <f>'Monthly Data'!EO8</f>
        <v>0</v>
      </c>
      <c r="L8" s="3">
        <f t="shared" si="1"/>
        <v>-761245.70652732695</v>
      </c>
      <c r="M8" s="3">
        <f t="shared" ca="1" si="2"/>
        <v>876.27780380363561</v>
      </c>
      <c r="N8" s="3">
        <f t="shared" ca="1" si="3"/>
        <v>448013.2261090143</v>
      </c>
      <c r="O8" s="3">
        <f t="shared" si="4"/>
        <v>0</v>
      </c>
      <c r="P8" s="3">
        <f t="shared" si="5"/>
        <v>17883.81694280286</v>
      </c>
      <c r="Q8" s="3">
        <f t="shared" si="6"/>
        <v>1183980.7512550617</v>
      </c>
      <c r="R8" s="3">
        <f t="shared" si="7"/>
        <v>0</v>
      </c>
      <c r="S8" s="47">
        <f t="shared" ca="1" si="8"/>
        <v>889508.36558335554</v>
      </c>
      <c r="T8" s="47">
        <f>'Monthly Data'!M8</f>
        <v>0</v>
      </c>
      <c r="U8" s="47">
        <f>+'Monthly Data'!N8</f>
        <v>0</v>
      </c>
      <c r="V8" s="47">
        <f t="shared" ca="1" si="9"/>
        <v>889508.36558335554</v>
      </c>
      <c r="Y8" t="s">
        <v>304</v>
      </c>
      <c r="Z8" s="3">
        <f>'VRZ Seasonal'!AA8</f>
        <v>-761245.70652732695</v>
      </c>
      <c r="AA8" s="3">
        <f>'VRZ Seasonal'!AB8</f>
        <v>240766.199182329</v>
      </c>
      <c r="AB8" s="235">
        <f>'VRZ Seasonal'!AC8</f>
        <v>-3.1617631923110801</v>
      </c>
      <c r="AC8" s="245">
        <f>'VRZ Seasonal'!AD8</f>
        <v>2.0136753464458602E-3</v>
      </c>
    </row>
    <row r="9" spans="1:29">
      <c r="A9" s="2">
        <f>'Monthly Data'!A9</f>
        <v>42583</v>
      </c>
      <c r="B9">
        <f>'Monthly Data'!B9</f>
        <v>2016</v>
      </c>
      <c r="C9">
        <f>'Monthly Data'!C9</f>
        <v>8</v>
      </c>
      <c r="D9" s="3">
        <f>'Monthly Data'!L9</f>
        <v>939559.53863752435</v>
      </c>
      <c r="E9" s="91">
        <f ca="1">Weather!BU53</f>
        <v>6.4245833333333335</v>
      </c>
      <c r="F9" s="91">
        <f ca="1">Weather!CX53</f>
        <v>214.02558794466404</v>
      </c>
      <c r="G9" s="3">
        <f>'Monthly Data'!EG9</f>
        <v>0</v>
      </c>
      <c r="H9">
        <f t="shared" si="10"/>
        <v>8</v>
      </c>
      <c r="I9" s="3">
        <f>'Monthly Data'!DQ9</f>
        <v>31</v>
      </c>
      <c r="J9" s="3">
        <f>'Monthly Data'!EO9</f>
        <v>0</v>
      </c>
      <c r="L9" s="3">
        <f t="shared" si="1"/>
        <v>-761245.70652732695</v>
      </c>
      <c r="M9" s="3">
        <f t="shared" ca="1" si="2"/>
        <v>5190.6751659040647</v>
      </c>
      <c r="N9" s="3">
        <f t="shared" ca="1" si="3"/>
        <v>395040.72422612441</v>
      </c>
      <c r="O9" s="3">
        <f t="shared" si="4"/>
        <v>0</v>
      </c>
      <c r="P9" s="3">
        <f t="shared" si="5"/>
        <v>20438.647934631841</v>
      </c>
      <c r="Q9" s="3">
        <f t="shared" si="6"/>
        <v>1183980.7512550617</v>
      </c>
      <c r="R9" s="3">
        <f t="shared" si="7"/>
        <v>0</v>
      </c>
      <c r="S9" s="47">
        <f t="shared" ca="1" si="8"/>
        <v>843405.09205439512</v>
      </c>
      <c r="T9" s="47">
        <f>'Monthly Data'!M9</f>
        <v>0</v>
      </c>
      <c r="U9" s="47">
        <f>+'Monthly Data'!N9</f>
        <v>0</v>
      </c>
      <c r="V9" s="47">
        <f t="shared" ca="1" si="9"/>
        <v>843405.09205439512</v>
      </c>
      <c r="Y9" t="s">
        <v>116</v>
      </c>
      <c r="Z9" s="3">
        <f>'VRZ Seasonal'!AA9</f>
        <v>807.93958091768297</v>
      </c>
      <c r="AA9" s="3">
        <f>'VRZ Seasonal'!AB9</f>
        <v>70.856331614528102</v>
      </c>
      <c r="AB9" s="235">
        <f>'VRZ Seasonal'!AC9</f>
        <v>11.402503664923399</v>
      </c>
      <c r="AC9" s="245">
        <f>'VRZ Seasonal'!AD9</f>
        <v>1.65001025929974E-20</v>
      </c>
    </row>
    <row r="10" spans="1:29">
      <c r="A10" s="2">
        <f>'Monthly Data'!A10</f>
        <v>42614</v>
      </c>
      <c r="B10">
        <f>'Monthly Data'!B10</f>
        <v>2016</v>
      </c>
      <c r="C10">
        <f>'Monthly Data'!C10</f>
        <v>9</v>
      </c>
      <c r="D10" s="3">
        <f>'Monthly Data'!L10</f>
        <v>639835.37560637749</v>
      </c>
      <c r="E10" s="91">
        <f ca="1">Weather!BU54</f>
        <v>54.412952898550728</v>
      </c>
      <c r="F10" s="91">
        <f ca="1">Weather!CX54</f>
        <v>102.40708333333332</v>
      </c>
      <c r="G10" s="3">
        <f>'Monthly Data'!EG10</f>
        <v>1</v>
      </c>
      <c r="H10">
        <f t="shared" si="10"/>
        <v>9</v>
      </c>
      <c r="I10" s="3">
        <f>'Monthly Data'!DQ10</f>
        <v>30</v>
      </c>
      <c r="J10" s="3">
        <f>'Monthly Data'!EO10</f>
        <v>0</v>
      </c>
      <c r="L10" s="3">
        <f t="shared" si="1"/>
        <v>-761245.70652732695</v>
      </c>
      <c r="M10" s="3">
        <f t="shared" ca="1" si="2"/>
        <v>43962.378361348696</v>
      </c>
      <c r="N10" s="3">
        <f t="shared" ca="1" si="3"/>
        <v>189019.30724444328</v>
      </c>
      <c r="O10" s="3">
        <f t="shared" si="4"/>
        <v>-62836.7660875816</v>
      </c>
      <c r="P10" s="3">
        <f t="shared" si="5"/>
        <v>22993.478926460823</v>
      </c>
      <c r="Q10" s="3">
        <f t="shared" si="6"/>
        <v>1145787.823795221</v>
      </c>
      <c r="R10" s="3">
        <f t="shared" si="7"/>
        <v>0</v>
      </c>
      <c r="S10" s="47">
        <f t="shared" ref="S10:S41" ca="1" si="11">SUM(L10:R10)</f>
        <v>577680.51571256516</v>
      </c>
      <c r="T10" s="47">
        <f>'Monthly Data'!M10</f>
        <v>0</v>
      </c>
      <c r="U10" s="47">
        <f>+'Monthly Data'!N10</f>
        <v>0</v>
      </c>
      <c r="V10" s="47">
        <f t="shared" ca="1" si="9"/>
        <v>577680.51571256516</v>
      </c>
      <c r="Y10" t="s">
        <v>123</v>
      </c>
      <c r="Z10" s="3">
        <f>'VRZ Seasonal'!AA10</f>
        <v>1845.76399494934</v>
      </c>
      <c r="AA10" s="3">
        <f>'VRZ Seasonal'!AB10</f>
        <v>232.30931038244199</v>
      </c>
      <c r="AB10" s="235">
        <f>'VRZ Seasonal'!AC10</f>
        <v>7.9452863594262597</v>
      </c>
      <c r="AC10" s="245">
        <f>'VRZ Seasonal'!AD10</f>
        <v>1.58639366266698E-12</v>
      </c>
    </row>
    <row r="11" spans="1:29">
      <c r="A11" s="2">
        <f>'Monthly Data'!A11</f>
        <v>42644</v>
      </c>
      <c r="B11">
        <f>'Monthly Data'!B11</f>
        <v>2016</v>
      </c>
      <c r="C11">
        <f>'Monthly Data'!C11</f>
        <v>10</v>
      </c>
      <c r="D11" s="3">
        <f>'Monthly Data'!L11</f>
        <v>712769.82470077625</v>
      </c>
      <c r="E11" s="91">
        <f ca="1">Weather!BU55</f>
        <v>232.21431159420285</v>
      </c>
      <c r="F11" s="91">
        <f ca="1">Weather!CX55</f>
        <v>19.741250000000004</v>
      </c>
      <c r="G11" s="3">
        <f>'Monthly Data'!EG11</f>
        <v>1</v>
      </c>
      <c r="H11">
        <f t="shared" si="10"/>
        <v>10</v>
      </c>
      <c r="I11" s="3">
        <f>'Monthly Data'!DQ11</f>
        <v>31</v>
      </c>
      <c r="J11" s="3">
        <f>'Monthly Data'!EO11</f>
        <v>0</v>
      </c>
      <c r="L11" s="3">
        <f t="shared" si="1"/>
        <v>-761245.70652732695</v>
      </c>
      <c r="M11" s="3">
        <f t="shared" ca="1" si="2"/>
        <v>187615.1335925085</v>
      </c>
      <c r="N11" s="3">
        <f t="shared" ca="1" si="3"/>
        <v>36437.688465293664</v>
      </c>
      <c r="O11" s="3">
        <f t="shared" si="4"/>
        <v>-62836.7660875816</v>
      </c>
      <c r="P11" s="3">
        <f t="shared" si="5"/>
        <v>25548.3099182898</v>
      </c>
      <c r="Q11" s="3">
        <f t="shared" si="6"/>
        <v>1183980.7512550617</v>
      </c>
      <c r="R11" s="3">
        <f t="shared" si="7"/>
        <v>0</v>
      </c>
      <c r="S11" s="47">
        <f t="shared" ca="1" si="11"/>
        <v>609499.410616245</v>
      </c>
      <c r="T11" s="47">
        <f>'Monthly Data'!M11</f>
        <v>0</v>
      </c>
      <c r="U11" s="47">
        <f>+'Monthly Data'!N11</f>
        <v>0</v>
      </c>
      <c r="V11" s="47">
        <f t="shared" ca="1" si="9"/>
        <v>609499.410616245</v>
      </c>
      <c r="Y11" t="s">
        <v>161</v>
      </c>
      <c r="Z11" s="3">
        <f>'VRZ Seasonal'!AA11</f>
        <v>-62836.7660875816</v>
      </c>
      <c r="AA11" s="3">
        <f>'VRZ Seasonal'!AB11</f>
        <v>21953.9120929415</v>
      </c>
      <c r="AB11" s="235">
        <f>'VRZ Seasonal'!AC11</f>
        <v>-2.8622127036659002</v>
      </c>
      <c r="AC11" s="245">
        <f>'VRZ Seasonal'!AD11</f>
        <v>5.0144985258515004E-3</v>
      </c>
    </row>
    <row r="12" spans="1:29">
      <c r="A12" s="2">
        <f>'Monthly Data'!A12</f>
        <v>42675</v>
      </c>
      <c r="B12">
        <f>'Monthly Data'!B12</f>
        <v>2016</v>
      </c>
      <c r="C12">
        <f>'Monthly Data'!C12</f>
        <v>11</v>
      </c>
      <c r="D12" s="3">
        <f>'Monthly Data'!L12</f>
        <v>585813.04856144206</v>
      </c>
      <c r="E12" s="91">
        <f ca="1">Weather!BU56</f>
        <v>435.51408055712398</v>
      </c>
      <c r="F12" s="91">
        <f ca="1">Weather!CX56</f>
        <v>0.78124999999999944</v>
      </c>
      <c r="G12" s="3">
        <f>'Monthly Data'!EG12</f>
        <v>1</v>
      </c>
      <c r="H12">
        <f t="shared" si="10"/>
        <v>11</v>
      </c>
      <c r="I12" s="3">
        <f>'Monthly Data'!DQ12</f>
        <v>30</v>
      </c>
      <c r="J12" s="3">
        <f>'Monthly Data'!EO12</f>
        <v>0</v>
      </c>
      <c r="L12" s="3">
        <f t="shared" si="1"/>
        <v>-761245.70652732695</v>
      </c>
      <c r="M12" s="3">
        <f t="shared" ca="1" si="2"/>
        <v>351869.06372907275</v>
      </c>
      <c r="N12" s="3">
        <f t="shared" ca="1" si="3"/>
        <v>1442.0031210541708</v>
      </c>
      <c r="O12" s="3">
        <f t="shared" si="4"/>
        <v>-62836.7660875816</v>
      </c>
      <c r="P12" s="3">
        <f t="shared" si="5"/>
        <v>28103.140910118782</v>
      </c>
      <c r="Q12" s="3">
        <f t="shared" si="6"/>
        <v>1145787.823795221</v>
      </c>
      <c r="R12" s="3">
        <f t="shared" si="7"/>
        <v>0</v>
      </c>
      <c r="S12" s="47">
        <f t="shared" ca="1" si="11"/>
        <v>703119.55894055823</v>
      </c>
      <c r="T12" s="47">
        <f>'Monthly Data'!M12</f>
        <v>0</v>
      </c>
      <c r="U12" s="47">
        <f>+'Monthly Data'!N12</f>
        <v>0</v>
      </c>
      <c r="V12" s="47">
        <f t="shared" ca="1" si="9"/>
        <v>703119.55894055823</v>
      </c>
      <c r="Y12" t="s">
        <v>162</v>
      </c>
      <c r="Z12" s="3">
        <f>'VRZ Seasonal'!AA12</f>
        <v>2554.8309918289801</v>
      </c>
      <c r="AA12" s="3">
        <f>'VRZ Seasonal'!AB12</f>
        <v>278.08198646128699</v>
      </c>
      <c r="AB12" s="235">
        <f>'VRZ Seasonal'!AC12</f>
        <v>9.1873300544932892</v>
      </c>
      <c r="AC12" s="245">
        <f>'VRZ Seasonal'!AD12</f>
        <v>2.3171645536696199E-15</v>
      </c>
    </row>
    <row r="13" spans="1:29">
      <c r="A13" s="2">
        <f>'Monthly Data'!A13</f>
        <v>42705</v>
      </c>
      <c r="B13">
        <f>'Monthly Data'!B13</f>
        <v>2016</v>
      </c>
      <c r="C13">
        <f>'Monthly Data'!C13</f>
        <v>12</v>
      </c>
      <c r="D13" s="3">
        <f>'Monthly Data'!L13</f>
        <v>855870.32920516538</v>
      </c>
      <c r="E13" s="91">
        <f ca="1">Weather!BU57</f>
        <v>602.38541666666674</v>
      </c>
      <c r="F13" s="91">
        <f ca="1">Weather!CX57</f>
        <v>0</v>
      </c>
      <c r="G13" s="3">
        <f>'Monthly Data'!EG13</f>
        <v>0</v>
      </c>
      <c r="H13">
        <f t="shared" si="10"/>
        <v>12</v>
      </c>
      <c r="I13" s="3">
        <f>'Monthly Data'!DQ13</f>
        <v>31</v>
      </c>
      <c r="J13" s="3">
        <f>'Monthly Data'!EO13</f>
        <v>0</v>
      </c>
      <c r="L13" s="3">
        <f t="shared" si="1"/>
        <v>-761245.70652732695</v>
      </c>
      <c r="M13" s="3">
        <f t="shared" ca="1" si="2"/>
        <v>486691.02109259058</v>
      </c>
      <c r="N13" s="3">
        <f t="shared" ca="1" si="3"/>
        <v>0</v>
      </c>
      <c r="O13" s="3">
        <f t="shared" si="4"/>
        <v>0</v>
      </c>
      <c r="P13" s="3">
        <f t="shared" si="5"/>
        <v>30657.971901947763</v>
      </c>
      <c r="Q13" s="3">
        <f t="shared" si="6"/>
        <v>1183980.7512550617</v>
      </c>
      <c r="R13" s="3">
        <f t="shared" si="7"/>
        <v>0</v>
      </c>
      <c r="S13" s="47">
        <f t="shared" ca="1" si="11"/>
        <v>940084.03772227303</v>
      </c>
      <c r="T13" s="47">
        <f>'Monthly Data'!M13</f>
        <v>0</v>
      </c>
      <c r="U13" s="47">
        <f>+'Monthly Data'!N13</f>
        <v>0</v>
      </c>
      <c r="V13" s="47">
        <f t="shared" ca="1" si="9"/>
        <v>940084.03772227303</v>
      </c>
      <c r="Y13" t="s">
        <v>305</v>
      </c>
      <c r="Z13" s="3">
        <f>'VRZ Seasonal'!AA13</f>
        <v>38192.927459840699</v>
      </c>
      <c r="AA13" s="3">
        <f>'VRZ Seasonal'!AB13</f>
        <v>8226.2379656670892</v>
      </c>
      <c r="AB13" s="235">
        <f>'VRZ Seasonal'!AC13</f>
        <v>4.6428182140174101</v>
      </c>
      <c r="AC13" s="245">
        <f>'VRZ Seasonal'!AD13</f>
        <v>9.3347729363436701E-6</v>
      </c>
    </row>
    <row r="14" spans="1:29">
      <c r="A14" s="2">
        <f>'Monthly Data'!A14</f>
        <v>42736</v>
      </c>
      <c r="B14">
        <f>'Monthly Data'!B14</f>
        <v>2017</v>
      </c>
      <c r="C14">
        <f>'Monthly Data'!C14</f>
        <v>1</v>
      </c>
      <c r="D14" s="3">
        <f>'Monthly Data'!L14</f>
        <v>902572.16858677357</v>
      </c>
      <c r="E14" s="3">
        <f t="shared" ref="E14:F14" ca="1" si="12">E2</f>
        <v>690.78750000000002</v>
      </c>
      <c r="F14" s="3">
        <f t="shared" ca="1" si="12"/>
        <v>0</v>
      </c>
      <c r="G14" s="3">
        <f>'Monthly Data'!EG14</f>
        <v>0</v>
      </c>
      <c r="H14">
        <f t="shared" si="10"/>
        <v>13</v>
      </c>
      <c r="I14" s="3">
        <f>'Monthly Data'!DQ14</f>
        <v>31</v>
      </c>
      <c r="J14" s="3">
        <f>'Monthly Data'!EO14</f>
        <v>0</v>
      </c>
      <c r="L14" s="3">
        <f t="shared" si="1"/>
        <v>-761245.70652732695</v>
      </c>
      <c r="M14" s="3">
        <f t="shared" ca="1" si="2"/>
        <v>558114.56325317395</v>
      </c>
      <c r="N14" s="3">
        <f t="shared" ca="1" si="3"/>
        <v>0</v>
      </c>
      <c r="O14" s="3">
        <f t="shared" si="4"/>
        <v>0</v>
      </c>
      <c r="P14" s="3">
        <f t="shared" si="5"/>
        <v>33212.802893776745</v>
      </c>
      <c r="Q14" s="3">
        <f t="shared" si="6"/>
        <v>1183980.7512550617</v>
      </c>
      <c r="R14" s="3">
        <f t="shared" si="7"/>
        <v>0</v>
      </c>
      <c r="S14" s="47">
        <f t="shared" ca="1" si="11"/>
        <v>1014062.4108746855</v>
      </c>
      <c r="T14" s="47">
        <f>'Monthly Data'!M14</f>
        <v>42.600137384677076</v>
      </c>
      <c r="U14" s="47">
        <f>+'Monthly Data'!N14</f>
        <v>0</v>
      </c>
      <c r="V14" s="47">
        <f t="shared" ca="1" si="9"/>
        <v>1014105.0110120702</v>
      </c>
      <c r="Y14" t="s">
        <v>164</v>
      </c>
      <c r="Z14" s="3">
        <f>'VRZ Seasonal'!AA14</f>
        <v>543.00971267723298</v>
      </c>
      <c r="AA14" s="3">
        <f>'VRZ Seasonal'!AB14</f>
        <v>114.615055137537</v>
      </c>
      <c r="AB14" s="235">
        <f>'VRZ Seasonal'!AC14</f>
        <v>4.73768225322255</v>
      </c>
      <c r="AC14" s="245">
        <f>'VRZ Seasonal'!AD14</f>
        <v>6.33374194027776E-6</v>
      </c>
    </row>
    <row r="15" spans="1:29">
      <c r="A15" s="2">
        <f>'Monthly Data'!A15</f>
        <v>42767</v>
      </c>
      <c r="B15">
        <f>'Monthly Data'!B15</f>
        <v>2017</v>
      </c>
      <c r="C15">
        <f>'Monthly Data'!C15</f>
        <v>2</v>
      </c>
      <c r="D15" s="3">
        <f>'Monthly Data'!L15</f>
        <v>824151.46271689306</v>
      </c>
      <c r="E15" s="3">
        <f t="shared" ref="E15:F15" ca="1" si="13">E3</f>
        <v>604.19541666666657</v>
      </c>
      <c r="F15" s="3">
        <f t="shared" ca="1" si="13"/>
        <v>0</v>
      </c>
      <c r="G15" s="3">
        <f>'Monthly Data'!EG15</f>
        <v>0</v>
      </c>
      <c r="H15">
        <f t="shared" si="10"/>
        <v>14</v>
      </c>
      <c r="I15" s="3">
        <f>'Monthly Data'!DQ15</f>
        <v>28</v>
      </c>
      <c r="J15" s="3">
        <f>'Monthly Data'!EO15</f>
        <v>0</v>
      </c>
      <c r="L15" s="3">
        <f t="shared" si="1"/>
        <v>-761245.70652732695</v>
      </c>
      <c r="M15" s="3">
        <f t="shared" ca="1" si="2"/>
        <v>488153.39173405146</v>
      </c>
      <c r="N15" s="3">
        <f t="shared" ca="1" si="3"/>
        <v>0</v>
      </c>
      <c r="O15" s="3">
        <f t="shared" si="4"/>
        <v>0</v>
      </c>
      <c r="P15" s="3">
        <f t="shared" si="5"/>
        <v>35767.633885605719</v>
      </c>
      <c r="Q15" s="3">
        <f t="shared" si="6"/>
        <v>1069401.9688755395</v>
      </c>
      <c r="R15" s="3">
        <f t="shared" si="7"/>
        <v>0</v>
      </c>
      <c r="S15" s="47">
        <f t="shared" ca="1" si="11"/>
        <v>832077.28796786978</v>
      </c>
      <c r="T15" s="47">
        <f>'Monthly Data'!M15</f>
        <v>85.200274769354152</v>
      </c>
      <c r="U15" s="47">
        <f>+'Monthly Data'!N15</f>
        <v>0</v>
      </c>
      <c r="V15" s="47">
        <f t="shared" ca="1" si="9"/>
        <v>832162.48824263911</v>
      </c>
      <c r="Z15" s="3"/>
      <c r="AA15" s="3"/>
      <c r="AB15" s="235"/>
      <c r="AC15" s="100"/>
    </row>
    <row r="16" spans="1:29">
      <c r="A16" s="2">
        <f>'Monthly Data'!A16</f>
        <v>42795</v>
      </c>
      <c r="B16">
        <f>'Monthly Data'!B16</f>
        <v>2017</v>
      </c>
      <c r="C16">
        <f>'Monthly Data'!C16</f>
        <v>3</v>
      </c>
      <c r="D16" s="3">
        <f>'Monthly Data'!L16</f>
        <v>905798.01654935745</v>
      </c>
      <c r="E16" s="3">
        <f t="shared" ref="E16:F16" ca="1" si="14">E4</f>
        <v>534.21590579710141</v>
      </c>
      <c r="F16" s="3">
        <f t="shared" ca="1" si="14"/>
        <v>0</v>
      </c>
      <c r="G16" s="3">
        <f>'Monthly Data'!EG16</f>
        <v>1</v>
      </c>
      <c r="H16">
        <f t="shared" si="10"/>
        <v>15</v>
      </c>
      <c r="I16" s="3">
        <f>'Monthly Data'!DQ16</f>
        <v>31</v>
      </c>
      <c r="J16" s="3">
        <f>'Monthly Data'!EO16</f>
        <v>0</v>
      </c>
      <c r="L16" s="3">
        <f t="shared" si="1"/>
        <v>-761245.70652732695</v>
      </c>
      <c r="M16" s="3">
        <f t="shared" ca="1" si="2"/>
        <v>431614.1750492705</v>
      </c>
      <c r="N16" s="3">
        <f t="shared" ca="1" si="3"/>
        <v>0</v>
      </c>
      <c r="O16" s="3">
        <f t="shared" si="4"/>
        <v>-62836.7660875816</v>
      </c>
      <c r="P16" s="3">
        <f t="shared" si="5"/>
        <v>38322.464877434701</v>
      </c>
      <c r="Q16" s="3">
        <f t="shared" si="6"/>
        <v>1183980.7512550617</v>
      </c>
      <c r="R16" s="3">
        <f t="shared" si="7"/>
        <v>0</v>
      </c>
      <c r="S16" s="47">
        <f t="shared" ca="1" si="11"/>
        <v>829834.9185668584</v>
      </c>
      <c r="T16" s="47">
        <f>'Monthly Data'!M16</f>
        <v>127.80041215403122</v>
      </c>
      <c r="U16" s="47">
        <f>+'Monthly Data'!N16</f>
        <v>0</v>
      </c>
      <c r="V16" s="47">
        <f t="shared" ca="1" si="9"/>
        <v>829962.71897901245</v>
      </c>
      <c r="Y16" t="s">
        <v>306</v>
      </c>
    </row>
    <row r="17" spans="1:28">
      <c r="A17" s="2">
        <f>'Monthly Data'!A17</f>
        <v>42826</v>
      </c>
      <c r="B17">
        <f>'Monthly Data'!B17</f>
        <v>2017</v>
      </c>
      <c r="C17">
        <f>'Monthly Data'!C17</f>
        <v>4</v>
      </c>
      <c r="D17" s="3">
        <f>'Monthly Data'!L17</f>
        <v>622492.27436961059</v>
      </c>
      <c r="E17" s="3">
        <f t="shared" ref="E17:F17" ca="1" si="15">E5</f>
        <v>352.92312500000003</v>
      </c>
      <c r="F17" s="3">
        <f t="shared" ca="1" si="15"/>
        <v>2.2025000000000015</v>
      </c>
      <c r="G17" s="3">
        <f>'Monthly Data'!EG17</f>
        <v>1</v>
      </c>
      <c r="H17">
        <f t="shared" si="10"/>
        <v>16</v>
      </c>
      <c r="I17" s="3">
        <f>'Monthly Data'!DQ17</f>
        <v>30</v>
      </c>
      <c r="J17" s="3">
        <f>'Monthly Data'!EO17</f>
        <v>0</v>
      </c>
      <c r="L17" s="3">
        <f t="shared" si="1"/>
        <v>-761245.70652732695</v>
      </c>
      <c r="M17" s="3">
        <f t="shared" ca="1" si="2"/>
        <v>285140.56170865905</v>
      </c>
      <c r="N17" s="3">
        <f t="shared" ca="1" si="3"/>
        <v>4065.2951988759241</v>
      </c>
      <c r="O17" s="3">
        <f t="shared" si="4"/>
        <v>-62836.7660875816</v>
      </c>
      <c r="P17" s="3">
        <f t="shared" si="5"/>
        <v>40877.295869263682</v>
      </c>
      <c r="Q17" s="3">
        <f t="shared" si="6"/>
        <v>1145787.823795221</v>
      </c>
      <c r="R17" s="3">
        <f t="shared" si="7"/>
        <v>0</v>
      </c>
      <c r="S17" s="47">
        <f t="shared" ca="1" si="11"/>
        <v>651788.50395711116</v>
      </c>
      <c r="T17" s="47">
        <f>'Monthly Data'!M17</f>
        <v>170.4005495387083</v>
      </c>
      <c r="U17" s="47">
        <f>+'Monthly Data'!N17</f>
        <v>0</v>
      </c>
      <c r="V17" s="47">
        <f t="shared" ca="1" si="9"/>
        <v>651958.90450664982</v>
      </c>
      <c r="Y17" t="s">
        <v>307</v>
      </c>
      <c r="Z17">
        <v>648113231592.76599</v>
      </c>
      <c r="AA17" t="s">
        <v>308</v>
      </c>
      <c r="AB17">
        <v>80505.480036626395</v>
      </c>
    </row>
    <row r="18" spans="1:28">
      <c r="A18" s="2">
        <f>'Monthly Data'!A18</f>
        <v>42856</v>
      </c>
      <c r="B18">
        <f>'Monthly Data'!B18</f>
        <v>2017</v>
      </c>
      <c r="C18">
        <f>'Monthly Data'!C18</f>
        <v>5</v>
      </c>
      <c r="D18" s="3">
        <f>'Monthly Data'!L18</f>
        <v>714798.3126420693</v>
      </c>
      <c r="E18" s="3">
        <f t="shared" ref="E18:F18" ca="1" si="16">E6</f>
        <v>155.24720841877425</v>
      </c>
      <c r="F18" s="3">
        <f t="shared" ca="1" si="16"/>
        <v>48.940113636363641</v>
      </c>
      <c r="G18" s="3">
        <f>'Monthly Data'!EG18</f>
        <v>1</v>
      </c>
      <c r="H18">
        <f t="shared" si="10"/>
        <v>17</v>
      </c>
      <c r="I18" s="3">
        <f>'Monthly Data'!DQ18</f>
        <v>31</v>
      </c>
      <c r="J18" s="3">
        <f>'Monthly Data'!EO18</f>
        <v>0</v>
      </c>
      <c r="L18" s="3">
        <f t="shared" si="1"/>
        <v>-761245.70652732695</v>
      </c>
      <c r="M18" s="3">
        <f t="shared" ca="1" si="2"/>
        <v>125430.36450850464</v>
      </c>
      <c r="N18" s="3">
        <f t="shared" ca="1" si="3"/>
        <v>90331.89965872922</v>
      </c>
      <c r="O18" s="3">
        <f t="shared" si="4"/>
        <v>-62836.7660875816</v>
      </c>
      <c r="P18" s="3">
        <f t="shared" si="5"/>
        <v>43432.126861092664</v>
      </c>
      <c r="Q18" s="3">
        <f t="shared" si="6"/>
        <v>1183980.7512550617</v>
      </c>
      <c r="R18" s="3">
        <f t="shared" si="7"/>
        <v>0</v>
      </c>
      <c r="S18" s="47">
        <f t="shared" ca="1" si="11"/>
        <v>619092.66966847959</v>
      </c>
      <c r="T18" s="47">
        <f>'Monthly Data'!M18</f>
        <v>213.00068692338542</v>
      </c>
      <c r="U18" s="47">
        <f>+'Monthly Data'!N18</f>
        <v>0</v>
      </c>
      <c r="V18" s="47">
        <f t="shared" ca="1" si="9"/>
        <v>619305.67035540298</v>
      </c>
      <c r="Y18" t="s">
        <v>309</v>
      </c>
      <c r="Z18">
        <v>0.858068137586669</v>
      </c>
      <c r="AA18" t="s">
        <v>310</v>
      </c>
      <c r="AB18" s="245">
        <v>0.84955222584186996</v>
      </c>
    </row>
    <row r="19" spans="1:28">
      <c r="A19" s="2">
        <f>'Monthly Data'!A19</f>
        <v>42887</v>
      </c>
      <c r="B19">
        <f>'Monthly Data'!B19</f>
        <v>2017</v>
      </c>
      <c r="C19">
        <f>'Monthly Data'!C19</f>
        <v>6</v>
      </c>
      <c r="D19" s="3">
        <f>'Monthly Data'!L19</f>
        <v>654017.46750487247</v>
      </c>
      <c r="E19" s="3">
        <f t="shared" ref="E19:F19" ca="1" si="17">E7</f>
        <v>30.273840492840492</v>
      </c>
      <c r="F19" s="3">
        <f t="shared" ca="1" si="17"/>
        <v>144.91160087738351</v>
      </c>
      <c r="G19" s="3">
        <f>'Monthly Data'!EG19</f>
        <v>0</v>
      </c>
      <c r="H19">
        <f t="shared" si="10"/>
        <v>18</v>
      </c>
      <c r="I19" s="3">
        <f>'Monthly Data'!DQ19</f>
        <v>30</v>
      </c>
      <c r="J19" s="3">
        <f>'Monthly Data'!EO19</f>
        <v>0</v>
      </c>
      <c r="L19" s="3">
        <f t="shared" si="1"/>
        <v>-761245.70652732695</v>
      </c>
      <c r="M19" s="3">
        <f t="shared" ca="1" si="2"/>
        <v>24459.434000554327</v>
      </c>
      <c r="N19" s="3">
        <f t="shared" ca="1" si="3"/>
        <v>267472.61534994369</v>
      </c>
      <c r="O19" s="3">
        <f t="shared" si="4"/>
        <v>0</v>
      </c>
      <c r="P19" s="3">
        <f t="shared" si="5"/>
        <v>45986.957852921645</v>
      </c>
      <c r="Q19" s="3">
        <f t="shared" si="6"/>
        <v>1145787.823795221</v>
      </c>
      <c r="R19" s="3">
        <f t="shared" si="7"/>
        <v>0</v>
      </c>
      <c r="S19" s="47">
        <f t="shared" ca="1" si="11"/>
        <v>722461.12447131379</v>
      </c>
      <c r="T19" s="47">
        <f>'Monthly Data'!M19</f>
        <v>255.60082430806244</v>
      </c>
      <c r="U19" s="47">
        <f>+'Monthly Data'!N19</f>
        <v>0</v>
      </c>
      <c r="V19" s="47">
        <f t="shared" ca="1" si="9"/>
        <v>722716.7252956219</v>
      </c>
      <c r="Y19" t="s">
        <v>614</v>
      </c>
      <c r="Z19" s="99">
        <v>68.669949916510902</v>
      </c>
      <c r="AA19" t="s">
        <v>312</v>
      </c>
      <c r="AB19" s="99">
        <v>2.9758138955806E-33</v>
      </c>
    </row>
    <row r="20" spans="1:28">
      <c r="A20" s="2">
        <f>'Monthly Data'!A20</f>
        <v>42917</v>
      </c>
      <c r="B20">
        <f>'Monthly Data'!B20</f>
        <v>2017</v>
      </c>
      <c r="C20">
        <f>'Monthly Data'!C20</f>
        <v>7</v>
      </c>
      <c r="D20" s="3">
        <f>'Monthly Data'!L20</f>
        <v>977732.0495953029</v>
      </c>
      <c r="E20" s="3">
        <f t="shared" ref="E20:F20" ca="1" si="18">E8</f>
        <v>1.0845833333333317</v>
      </c>
      <c r="F20" s="3">
        <f t="shared" ca="1" si="18"/>
        <v>242.72508692061183</v>
      </c>
      <c r="G20" s="3">
        <f>'Monthly Data'!EG20</f>
        <v>0</v>
      </c>
      <c r="H20">
        <f t="shared" si="10"/>
        <v>19</v>
      </c>
      <c r="I20" s="3">
        <f>'Monthly Data'!DQ20</f>
        <v>31</v>
      </c>
      <c r="J20" s="3">
        <f>'Monthly Data'!EO20</f>
        <v>0</v>
      </c>
      <c r="L20" s="3">
        <f t="shared" si="1"/>
        <v>-761245.70652732695</v>
      </c>
      <c r="M20" s="3">
        <f t="shared" ca="1" si="2"/>
        <v>876.27780380363561</v>
      </c>
      <c r="N20" s="3">
        <f t="shared" ca="1" si="3"/>
        <v>448013.2261090143</v>
      </c>
      <c r="O20" s="3">
        <f t="shared" si="4"/>
        <v>0</v>
      </c>
      <c r="P20" s="3">
        <f t="shared" si="5"/>
        <v>48541.788844750619</v>
      </c>
      <c r="Q20" s="3">
        <f t="shared" si="6"/>
        <v>1183980.7512550617</v>
      </c>
      <c r="R20" s="3">
        <f t="shared" si="7"/>
        <v>0</v>
      </c>
      <c r="S20" s="47">
        <f t="shared" ca="1" si="11"/>
        <v>920166.3374853034</v>
      </c>
      <c r="T20" s="47">
        <f>'Monthly Data'!M20</f>
        <v>298.20096169273955</v>
      </c>
      <c r="U20" s="47">
        <f>+'Monthly Data'!N20</f>
        <v>0</v>
      </c>
      <c r="V20" s="47">
        <f t="shared" ca="1" si="9"/>
        <v>920464.53844699613</v>
      </c>
      <c r="Y20" t="s">
        <v>313</v>
      </c>
      <c r="Z20" s="235">
        <v>4.3937203505172398E-2</v>
      </c>
      <c r="AA20" t="s">
        <v>314</v>
      </c>
      <c r="AB20" s="99">
        <v>1.8958333305729</v>
      </c>
    </row>
    <row r="21" spans="1:28">
      <c r="A21" s="2">
        <f>'Monthly Data'!A21</f>
        <v>42948</v>
      </c>
      <c r="B21">
        <f>'Monthly Data'!B21</f>
        <v>2017</v>
      </c>
      <c r="C21">
        <f>'Monthly Data'!C21</f>
        <v>8</v>
      </c>
      <c r="D21" s="3">
        <f>'Monthly Data'!L21</f>
        <v>995639.69486070285</v>
      </c>
      <c r="E21" s="3">
        <f t="shared" ref="E21:F21" ca="1" si="19">E9</f>
        <v>6.4245833333333335</v>
      </c>
      <c r="F21" s="3">
        <f t="shared" ca="1" si="19"/>
        <v>214.02558794466404</v>
      </c>
      <c r="G21" s="3">
        <f>'Monthly Data'!EG21</f>
        <v>0</v>
      </c>
      <c r="H21">
        <f t="shared" si="10"/>
        <v>20</v>
      </c>
      <c r="I21" s="3">
        <f>'Monthly Data'!DQ21</f>
        <v>31</v>
      </c>
      <c r="J21" s="3">
        <f>'Monthly Data'!EO21</f>
        <v>0</v>
      </c>
      <c r="L21" s="3">
        <f t="shared" si="1"/>
        <v>-761245.70652732695</v>
      </c>
      <c r="M21" s="3">
        <f t="shared" ca="1" si="2"/>
        <v>5190.6751659040647</v>
      </c>
      <c r="N21" s="3">
        <f t="shared" ca="1" si="3"/>
        <v>395040.72422612441</v>
      </c>
      <c r="O21" s="3">
        <f t="shared" si="4"/>
        <v>0</v>
      </c>
      <c r="P21" s="3">
        <f t="shared" si="5"/>
        <v>51096.619836579601</v>
      </c>
      <c r="Q21" s="3">
        <f t="shared" si="6"/>
        <v>1183980.7512550617</v>
      </c>
      <c r="R21" s="3">
        <f t="shared" si="7"/>
        <v>0</v>
      </c>
      <c r="S21" s="47">
        <f t="shared" ca="1" si="11"/>
        <v>874063.06395634287</v>
      </c>
      <c r="T21" s="47">
        <f>'Monthly Data'!M21</f>
        <v>340.80109907741661</v>
      </c>
      <c r="U21" s="47">
        <f>+'Monthly Data'!N21</f>
        <v>0</v>
      </c>
      <c r="V21" s="47">
        <f t="shared" ca="1" si="9"/>
        <v>874403.86505542032</v>
      </c>
      <c r="Z21" s="99"/>
      <c r="AB21" s="99"/>
    </row>
    <row r="22" spans="1:28">
      <c r="A22" s="2">
        <f>'Monthly Data'!A22</f>
        <v>42979</v>
      </c>
      <c r="B22">
        <f>'Monthly Data'!B22</f>
        <v>2017</v>
      </c>
      <c r="C22">
        <f>'Monthly Data'!C22</f>
        <v>9</v>
      </c>
      <c r="D22" s="3">
        <f>'Monthly Data'!L22</f>
        <v>730511.75170785922</v>
      </c>
      <c r="E22" s="3">
        <f t="shared" ref="E22:F22" ca="1" si="20">E10</f>
        <v>54.412952898550728</v>
      </c>
      <c r="F22" s="3">
        <f t="shared" ca="1" si="20"/>
        <v>102.40708333333332</v>
      </c>
      <c r="G22" s="3">
        <f>'Monthly Data'!EG22</f>
        <v>1</v>
      </c>
      <c r="H22">
        <f t="shared" si="10"/>
        <v>21</v>
      </c>
      <c r="I22" s="3">
        <f>'Monthly Data'!DQ22</f>
        <v>30</v>
      </c>
      <c r="J22" s="3">
        <f>'Monthly Data'!EO22</f>
        <v>0</v>
      </c>
      <c r="L22" s="3">
        <f t="shared" si="1"/>
        <v>-761245.70652732695</v>
      </c>
      <c r="M22" s="3">
        <f t="shared" ca="1" si="2"/>
        <v>43962.378361348696</v>
      </c>
      <c r="N22" s="3">
        <f t="shared" ca="1" si="3"/>
        <v>189019.30724444328</v>
      </c>
      <c r="O22" s="3">
        <f t="shared" si="4"/>
        <v>-62836.7660875816</v>
      </c>
      <c r="P22" s="3">
        <f t="shared" si="5"/>
        <v>53651.450828408582</v>
      </c>
      <c r="Q22" s="3">
        <f t="shared" si="6"/>
        <v>1145787.823795221</v>
      </c>
      <c r="R22" s="3">
        <f t="shared" si="7"/>
        <v>0</v>
      </c>
      <c r="S22" s="47">
        <f t="shared" ca="1" si="11"/>
        <v>608338.48761451291</v>
      </c>
      <c r="T22" s="47">
        <f>'Monthly Data'!M22</f>
        <v>383.40123646209372</v>
      </c>
      <c r="U22" s="47">
        <f>+'Monthly Data'!N22</f>
        <v>0</v>
      </c>
      <c r="V22" s="47">
        <f t="shared" ca="1" si="9"/>
        <v>608721.88885097497</v>
      </c>
      <c r="Y22" t="s">
        <v>315</v>
      </c>
    </row>
    <row r="23" spans="1:28">
      <c r="A23" s="2">
        <f>'Monthly Data'!A23</f>
        <v>43009</v>
      </c>
      <c r="B23">
        <f>'Monthly Data'!B23</f>
        <v>2017</v>
      </c>
      <c r="C23">
        <f>'Monthly Data'!C23</f>
        <v>10</v>
      </c>
      <c r="D23" s="3">
        <f>'Monthly Data'!L23</f>
        <v>662632.18754757429</v>
      </c>
      <c r="E23" s="3">
        <f t="shared" ref="E23:F23" ca="1" si="21">E11</f>
        <v>232.21431159420285</v>
      </c>
      <c r="F23" s="3">
        <f t="shared" ca="1" si="21"/>
        <v>19.741250000000004</v>
      </c>
      <c r="G23" s="3">
        <f>'Monthly Data'!EG23</f>
        <v>1</v>
      </c>
      <c r="H23">
        <f t="shared" si="10"/>
        <v>22</v>
      </c>
      <c r="I23" s="3">
        <f>'Monthly Data'!DQ23</f>
        <v>31</v>
      </c>
      <c r="J23" s="3">
        <f>'Monthly Data'!EO23</f>
        <v>0</v>
      </c>
      <c r="L23" s="3">
        <f t="shared" si="1"/>
        <v>-761245.70652732695</v>
      </c>
      <c r="M23" s="3">
        <f t="shared" ca="1" si="2"/>
        <v>187615.1335925085</v>
      </c>
      <c r="N23" s="3">
        <f t="shared" ca="1" si="3"/>
        <v>36437.688465293664</v>
      </c>
      <c r="O23" s="3">
        <f t="shared" si="4"/>
        <v>-62836.7660875816</v>
      </c>
      <c r="P23" s="3">
        <f t="shared" si="5"/>
        <v>56206.281820237564</v>
      </c>
      <c r="Q23" s="3">
        <f t="shared" si="6"/>
        <v>1183980.7512550617</v>
      </c>
      <c r="R23" s="3">
        <f t="shared" si="7"/>
        <v>0</v>
      </c>
      <c r="S23" s="47">
        <f t="shared" ca="1" si="11"/>
        <v>640157.38251819275</v>
      </c>
      <c r="T23" s="47">
        <f>'Monthly Data'!M23</f>
        <v>426.00137384677083</v>
      </c>
      <c r="U23" s="47">
        <f>+'Monthly Data'!N23</f>
        <v>0</v>
      </c>
      <c r="V23" s="47">
        <f t="shared" ca="1" si="9"/>
        <v>640583.38389203954</v>
      </c>
      <c r="Y23" t="s">
        <v>316</v>
      </c>
      <c r="Z23">
        <v>959775.42073607596</v>
      </c>
      <c r="AA23" t="s">
        <v>317</v>
      </c>
      <c r="AB23">
        <v>206650.645154606</v>
      </c>
    </row>
    <row r="24" spans="1:28">
      <c r="A24" s="2">
        <f>'Monthly Data'!A24</f>
        <v>43040</v>
      </c>
      <c r="B24">
        <f>'Monthly Data'!B24</f>
        <v>2017</v>
      </c>
      <c r="C24">
        <f>'Monthly Data'!C24</f>
        <v>11</v>
      </c>
      <c r="D24" s="3">
        <f>'Monthly Data'!L24</f>
        <v>750628.25396351703</v>
      </c>
      <c r="E24" s="3">
        <f t="shared" ref="E24:F24" ca="1" si="22">E12</f>
        <v>435.51408055712398</v>
      </c>
      <c r="F24" s="3">
        <f t="shared" ca="1" si="22"/>
        <v>0.78124999999999944</v>
      </c>
      <c r="G24" s="3">
        <f>'Monthly Data'!EG24</f>
        <v>1</v>
      </c>
      <c r="H24">
        <f t="shared" si="10"/>
        <v>23</v>
      </c>
      <c r="I24" s="3">
        <f>'Monthly Data'!DQ24</f>
        <v>30</v>
      </c>
      <c r="J24" s="3">
        <f>'Monthly Data'!EO24</f>
        <v>0</v>
      </c>
      <c r="L24" s="3">
        <f t="shared" si="1"/>
        <v>-761245.70652732695</v>
      </c>
      <c r="M24" s="3">
        <f t="shared" ca="1" si="2"/>
        <v>351869.06372907275</v>
      </c>
      <c r="N24" s="3">
        <f t="shared" ca="1" si="3"/>
        <v>1442.0031210541708</v>
      </c>
      <c r="O24" s="3">
        <f t="shared" si="4"/>
        <v>-62836.7660875816</v>
      </c>
      <c r="P24" s="3">
        <f t="shared" si="5"/>
        <v>58761.112812066545</v>
      </c>
      <c r="Q24" s="3">
        <f t="shared" si="6"/>
        <v>1145787.823795221</v>
      </c>
      <c r="R24" s="3">
        <f t="shared" si="7"/>
        <v>0</v>
      </c>
      <c r="S24" s="47">
        <f t="shared" ca="1" si="11"/>
        <v>733777.53084250598</v>
      </c>
      <c r="T24" s="47">
        <f>'Monthly Data'!M24</f>
        <v>468.60151123144783</v>
      </c>
      <c r="U24" s="47">
        <f>+'Monthly Data'!N24</f>
        <v>0</v>
      </c>
      <c r="V24" s="47">
        <f t="shared" ca="1" si="9"/>
        <v>734246.13235373737</v>
      </c>
      <c r="Z24" s="3"/>
      <c r="AB24" s="3"/>
    </row>
    <row r="25" spans="1:28">
      <c r="A25" s="2">
        <f>'Monthly Data'!A25</f>
        <v>43070</v>
      </c>
      <c r="B25">
        <f>'Monthly Data'!B25</f>
        <v>2017</v>
      </c>
      <c r="C25">
        <f>'Monthly Data'!C25</f>
        <v>12</v>
      </c>
      <c r="D25" s="3">
        <f>'Monthly Data'!L25</f>
        <v>1094317.4646649007</v>
      </c>
      <c r="E25" s="3">
        <f t="shared" ref="E25:F25" ca="1" si="23">E13</f>
        <v>602.38541666666674</v>
      </c>
      <c r="F25" s="3">
        <f t="shared" ca="1" si="23"/>
        <v>0</v>
      </c>
      <c r="G25" s="3">
        <f>'Monthly Data'!EG25</f>
        <v>0</v>
      </c>
      <c r="H25">
        <f t="shared" si="10"/>
        <v>24</v>
      </c>
      <c r="I25" s="3">
        <f>'Monthly Data'!DQ25</f>
        <v>31</v>
      </c>
      <c r="J25" s="3">
        <f>'Monthly Data'!EO25</f>
        <v>0</v>
      </c>
      <c r="L25" s="3">
        <f t="shared" si="1"/>
        <v>-761245.70652732695</v>
      </c>
      <c r="M25" s="3">
        <f t="shared" ca="1" si="2"/>
        <v>486691.02109259058</v>
      </c>
      <c r="N25" s="3">
        <f t="shared" ca="1" si="3"/>
        <v>0</v>
      </c>
      <c r="O25" s="3">
        <f t="shared" si="4"/>
        <v>0</v>
      </c>
      <c r="P25" s="3">
        <f t="shared" si="5"/>
        <v>61315.943803895527</v>
      </c>
      <c r="Q25" s="3">
        <f t="shared" si="6"/>
        <v>1183980.7512550617</v>
      </c>
      <c r="R25" s="3">
        <f t="shared" si="7"/>
        <v>0</v>
      </c>
      <c r="S25" s="47">
        <f t="shared" ca="1" si="11"/>
        <v>970742.0096242209</v>
      </c>
      <c r="T25" s="47">
        <f>'Monthly Data'!M25</f>
        <v>511.20164861612488</v>
      </c>
      <c r="U25" s="47">
        <f>+'Monthly Data'!N25</f>
        <v>0</v>
      </c>
      <c r="V25" s="47">
        <f t="shared" ca="1" si="9"/>
        <v>971253.21127283701</v>
      </c>
    </row>
    <row r="26" spans="1:28">
      <c r="A26" s="2">
        <f>'Monthly Data'!A26</f>
        <v>43101</v>
      </c>
      <c r="B26">
        <f>'Monthly Data'!B26</f>
        <v>2018</v>
      </c>
      <c r="C26">
        <f>'Monthly Data'!C26</f>
        <v>1</v>
      </c>
      <c r="D26" s="3">
        <f>'Monthly Data'!L26</f>
        <v>1151879.426258018</v>
      </c>
      <c r="E26" s="3">
        <f t="shared" ref="E26:F26" ca="1" si="24">E14</f>
        <v>690.78750000000002</v>
      </c>
      <c r="F26" s="3">
        <f t="shared" ca="1" si="24"/>
        <v>0</v>
      </c>
      <c r="G26" s="3">
        <f>'Monthly Data'!EG26</f>
        <v>0</v>
      </c>
      <c r="H26">
        <f t="shared" si="10"/>
        <v>25</v>
      </c>
      <c r="I26" s="3">
        <f>'Monthly Data'!DQ26</f>
        <v>31</v>
      </c>
      <c r="J26" s="3">
        <f>'Monthly Data'!EO26</f>
        <v>0</v>
      </c>
      <c r="L26" s="3">
        <f t="shared" si="1"/>
        <v>-761245.70652732695</v>
      </c>
      <c r="M26" s="3">
        <f t="shared" ca="1" si="2"/>
        <v>558114.56325317395</v>
      </c>
      <c r="N26" s="3">
        <f t="shared" ca="1" si="3"/>
        <v>0</v>
      </c>
      <c r="O26" s="3">
        <f t="shared" si="4"/>
        <v>0</v>
      </c>
      <c r="P26" s="3">
        <f t="shared" si="5"/>
        <v>63870.774795724501</v>
      </c>
      <c r="Q26" s="3">
        <f t="shared" si="6"/>
        <v>1183980.7512550617</v>
      </c>
      <c r="R26" s="3">
        <f t="shared" si="7"/>
        <v>0</v>
      </c>
      <c r="S26" s="47">
        <f t="shared" ca="1" si="11"/>
        <v>1044720.3827766331</v>
      </c>
      <c r="T26" s="47">
        <f>'Monthly Data'!M26</f>
        <v>660.58175969638046</v>
      </c>
      <c r="U26" s="47">
        <f>+'Monthly Data'!N26</f>
        <v>0</v>
      </c>
      <c r="V26" s="47">
        <f t="shared" ca="1" si="9"/>
        <v>1045380.9645363295</v>
      </c>
    </row>
    <row r="27" spans="1:28">
      <c r="A27" s="2">
        <f>'Monthly Data'!A27</f>
        <v>43132</v>
      </c>
      <c r="B27">
        <f>'Monthly Data'!B27</f>
        <v>2018</v>
      </c>
      <c r="C27">
        <f>'Monthly Data'!C27</f>
        <v>2</v>
      </c>
      <c r="D27" s="3">
        <f>'Monthly Data'!L27</f>
        <v>938268.69859236281</v>
      </c>
      <c r="E27" s="3">
        <f t="shared" ref="E27:F27" ca="1" si="25">E15</f>
        <v>604.19541666666657</v>
      </c>
      <c r="F27" s="3">
        <f t="shared" ca="1" si="25"/>
        <v>0</v>
      </c>
      <c r="G27" s="3">
        <f>'Monthly Data'!EG27</f>
        <v>0</v>
      </c>
      <c r="H27">
        <f t="shared" si="10"/>
        <v>26</v>
      </c>
      <c r="I27" s="3">
        <f>'Monthly Data'!DQ27</f>
        <v>28</v>
      </c>
      <c r="J27" s="3">
        <f>'Monthly Data'!EO27</f>
        <v>0</v>
      </c>
      <c r="L27" s="3">
        <f t="shared" si="1"/>
        <v>-761245.70652732695</v>
      </c>
      <c r="M27" s="3">
        <f t="shared" ca="1" si="2"/>
        <v>488153.39173405146</v>
      </c>
      <c r="N27" s="3">
        <f t="shared" ca="1" si="3"/>
        <v>0</v>
      </c>
      <c r="O27" s="3">
        <f t="shared" si="4"/>
        <v>0</v>
      </c>
      <c r="P27" s="3">
        <f t="shared" si="5"/>
        <v>66425.60578755349</v>
      </c>
      <c r="Q27" s="3">
        <f t="shared" si="6"/>
        <v>1069401.9688755395</v>
      </c>
      <c r="R27" s="3">
        <f t="shared" si="7"/>
        <v>0</v>
      </c>
      <c r="S27" s="47">
        <f t="shared" ca="1" si="11"/>
        <v>862735.25986981741</v>
      </c>
      <c r="T27" s="47">
        <f>'Monthly Data'!M27</f>
        <v>767.36173339195875</v>
      </c>
      <c r="U27" s="47">
        <f>+'Monthly Data'!N27</f>
        <v>0</v>
      </c>
      <c r="V27" s="47">
        <f t="shared" ca="1" si="9"/>
        <v>863502.62160320941</v>
      </c>
    </row>
    <row r="28" spans="1:28">
      <c r="A28" s="2">
        <f>'Monthly Data'!A28</f>
        <v>43160</v>
      </c>
      <c r="B28">
        <f>'Monthly Data'!B28</f>
        <v>2018</v>
      </c>
      <c r="C28">
        <f>'Monthly Data'!C28</f>
        <v>3</v>
      </c>
      <c r="D28" s="3">
        <f>'Monthly Data'!L28</f>
        <v>905448.24387080339</v>
      </c>
      <c r="E28" s="3">
        <f t="shared" ref="E28:F28" ca="1" si="26">E16</f>
        <v>534.21590579710141</v>
      </c>
      <c r="F28" s="3">
        <f t="shared" ca="1" si="26"/>
        <v>0</v>
      </c>
      <c r="G28" s="3">
        <f>'Monthly Data'!EG28</f>
        <v>1</v>
      </c>
      <c r="H28">
        <f t="shared" si="10"/>
        <v>27</v>
      </c>
      <c r="I28" s="3">
        <f>'Monthly Data'!DQ28</f>
        <v>31</v>
      </c>
      <c r="J28" s="3">
        <f>'Monthly Data'!EO28</f>
        <v>0</v>
      </c>
      <c r="L28" s="3">
        <f t="shared" si="1"/>
        <v>-761245.70652732695</v>
      </c>
      <c r="M28" s="3">
        <f t="shared" ca="1" si="2"/>
        <v>431614.1750492705</v>
      </c>
      <c r="N28" s="3">
        <f t="shared" ca="1" si="3"/>
        <v>0</v>
      </c>
      <c r="O28" s="3">
        <f t="shared" si="4"/>
        <v>-62836.7660875816</v>
      </c>
      <c r="P28" s="3">
        <f t="shared" si="5"/>
        <v>68980.436779382464</v>
      </c>
      <c r="Q28" s="3">
        <f t="shared" si="6"/>
        <v>1183980.7512550617</v>
      </c>
      <c r="R28" s="3">
        <f t="shared" si="7"/>
        <v>0</v>
      </c>
      <c r="S28" s="47">
        <f t="shared" ca="1" si="11"/>
        <v>860492.89046880614</v>
      </c>
      <c r="T28" s="47">
        <f>'Monthly Data'!M28</f>
        <v>874.14170708753716</v>
      </c>
      <c r="U28" s="47">
        <f>+'Monthly Data'!N28</f>
        <v>0</v>
      </c>
      <c r="V28" s="47">
        <f t="shared" ca="1" si="9"/>
        <v>861367.03217589366</v>
      </c>
    </row>
    <row r="29" spans="1:28">
      <c r="A29" s="2">
        <f>'Monthly Data'!A29</f>
        <v>43191</v>
      </c>
      <c r="B29">
        <f>'Monthly Data'!B29</f>
        <v>2018</v>
      </c>
      <c r="C29">
        <f>'Monthly Data'!C29</f>
        <v>4</v>
      </c>
      <c r="D29" s="3">
        <f>'Monthly Data'!L29</f>
        <v>789480.74866078631</v>
      </c>
      <c r="E29" s="3">
        <f t="shared" ref="E29:F29" ca="1" si="27">E17</f>
        <v>352.92312500000003</v>
      </c>
      <c r="F29" s="3">
        <f t="shared" ca="1" si="27"/>
        <v>2.2025000000000015</v>
      </c>
      <c r="G29" s="3">
        <f>'Monthly Data'!EG29</f>
        <v>1</v>
      </c>
      <c r="H29">
        <f t="shared" si="10"/>
        <v>28</v>
      </c>
      <c r="I29" s="3">
        <f>'Monthly Data'!DQ29</f>
        <v>30</v>
      </c>
      <c r="J29" s="3">
        <f>'Monthly Data'!EO29</f>
        <v>0</v>
      </c>
      <c r="L29" s="3">
        <f t="shared" si="1"/>
        <v>-761245.70652732695</v>
      </c>
      <c r="M29" s="3">
        <f t="shared" ca="1" si="2"/>
        <v>285140.56170865905</v>
      </c>
      <c r="N29" s="3">
        <f t="shared" ca="1" si="3"/>
        <v>4065.2951988759241</v>
      </c>
      <c r="O29" s="3">
        <f t="shared" si="4"/>
        <v>-62836.7660875816</v>
      </c>
      <c r="P29" s="3">
        <f t="shared" si="5"/>
        <v>71535.267771211438</v>
      </c>
      <c r="Q29" s="3">
        <f t="shared" si="6"/>
        <v>1145787.823795221</v>
      </c>
      <c r="R29" s="3">
        <f t="shared" si="7"/>
        <v>0</v>
      </c>
      <c r="S29" s="47">
        <f t="shared" ca="1" si="11"/>
        <v>682446.4758590589</v>
      </c>
      <c r="T29" s="47">
        <f>'Monthly Data'!M29</f>
        <v>980.92168078311556</v>
      </c>
      <c r="U29" s="47">
        <f>+'Monthly Data'!N29</f>
        <v>0</v>
      </c>
      <c r="V29" s="47">
        <f t="shared" ca="1" si="9"/>
        <v>683427.39753984206</v>
      </c>
    </row>
    <row r="30" spans="1:28">
      <c r="A30" s="2">
        <f>'Monthly Data'!A30</f>
        <v>43221</v>
      </c>
      <c r="B30">
        <f>'Monthly Data'!B30</f>
        <v>2018</v>
      </c>
      <c r="C30">
        <f>'Monthly Data'!C30</f>
        <v>5</v>
      </c>
      <c r="D30" s="3">
        <f>'Monthly Data'!L30</f>
        <v>653117.11443149729</v>
      </c>
      <c r="E30" s="3">
        <f t="shared" ref="E30:F30" ca="1" si="28">E18</f>
        <v>155.24720841877425</v>
      </c>
      <c r="F30" s="3">
        <f t="shared" ca="1" si="28"/>
        <v>48.940113636363641</v>
      </c>
      <c r="G30" s="3">
        <f>'Monthly Data'!EG30</f>
        <v>1</v>
      </c>
      <c r="H30">
        <f t="shared" si="10"/>
        <v>29</v>
      </c>
      <c r="I30" s="3">
        <f>'Monthly Data'!DQ30</f>
        <v>31</v>
      </c>
      <c r="J30" s="3">
        <f>'Monthly Data'!EO30</f>
        <v>0</v>
      </c>
      <c r="L30" s="3">
        <f t="shared" si="1"/>
        <v>-761245.70652732695</v>
      </c>
      <c r="M30" s="3">
        <f t="shared" ca="1" si="2"/>
        <v>125430.36450850464</v>
      </c>
      <c r="N30" s="3">
        <f t="shared" ca="1" si="3"/>
        <v>90331.89965872922</v>
      </c>
      <c r="O30" s="3">
        <f t="shared" si="4"/>
        <v>-62836.7660875816</v>
      </c>
      <c r="P30" s="3">
        <f t="shared" si="5"/>
        <v>74090.098763040427</v>
      </c>
      <c r="Q30" s="3">
        <f t="shared" si="6"/>
        <v>1183980.7512550617</v>
      </c>
      <c r="R30" s="3">
        <f t="shared" si="7"/>
        <v>0</v>
      </c>
      <c r="S30" s="47">
        <f t="shared" ca="1" si="11"/>
        <v>649750.64157042734</v>
      </c>
      <c r="T30" s="47">
        <f>'Monthly Data'!M30</f>
        <v>1087.7016544786939</v>
      </c>
      <c r="U30" s="47">
        <f>+'Monthly Data'!N30</f>
        <v>0</v>
      </c>
      <c r="V30" s="47">
        <f t="shared" ca="1" si="9"/>
        <v>650838.34322490601</v>
      </c>
    </row>
    <row r="31" spans="1:28">
      <c r="A31" s="2">
        <f>'Monthly Data'!A31</f>
        <v>43252</v>
      </c>
      <c r="B31">
        <f>'Monthly Data'!B31</f>
        <v>2018</v>
      </c>
      <c r="C31">
        <f>'Monthly Data'!C31</f>
        <v>6</v>
      </c>
      <c r="D31" s="3">
        <f>'Monthly Data'!L31</f>
        <v>687238.22072882729</v>
      </c>
      <c r="E31" s="3">
        <f t="shared" ref="E31:F31" ca="1" si="29">E19</f>
        <v>30.273840492840492</v>
      </c>
      <c r="F31" s="3">
        <f t="shared" ca="1" si="29"/>
        <v>144.91160087738351</v>
      </c>
      <c r="G31" s="3">
        <f>'Monthly Data'!EG31</f>
        <v>0</v>
      </c>
      <c r="H31">
        <f t="shared" si="10"/>
        <v>30</v>
      </c>
      <c r="I31" s="3">
        <f>'Monthly Data'!DQ31</f>
        <v>30</v>
      </c>
      <c r="J31" s="3">
        <f>'Monthly Data'!EO31</f>
        <v>0</v>
      </c>
      <c r="L31" s="3">
        <f t="shared" si="1"/>
        <v>-761245.70652732695</v>
      </c>
      <c r="M31" s="3">
        <f t="shared" ca="1" si="2"/>
        <v>24459.434000554327</v>
      </c>
      <c r="N31" s="3">
        <f t="shared" ca="1" si="3"/>
        <v>267472.61534994369</v>
      </c>
      <c r="O31" s="3">
        <f t="shared" si="4"/>
        <v>0</v>
      </c>
      <c r="P31" s="3">
        <f t="shared" si="5"/>
        <v>76644.929754869401</v>
      </c>
      <c r="Q31" s="3">
        <f t="shared" si="6"/>
        <v>1145787.823795221</v>
      </c>
      <c r="R31" s="3">
        <f t="shared" si="7"/>
        <v>0</v>
      </c>
      <c r="S31" s="47">
        <f t="shared" ca="1" si="11"/>
        <v>753119.09637326153</v>
      </c>
      <c r="T31" s="47">
        <f>'Monthly Data'!M31</f>
        <v>1194.4816281742724</v>
      </c>
      <c r="U31" s="47">
        <f>+'Monthly Data'!N31</f>
        <v>0</v>
      </c>
      <c r="V31" s="47">
        <f t="shared" ca="1" si="9"/>
        <v>754313.57800143585</v>
      </c>
    </row>
    <row r="32" spans="1:28">
      <c r="A32" s="2">
        <f>'Monthly Data'!A32</f>
        <v>43282</v>
      </c>
      <c r="B32">
        <f>'Monthly Data'!B32</f>
        <v>2018</v>
      </c>
      <c r="C32">
        <f>'Monthly Data'!C32</f>
        <v>7</v>
      </c>
      <c r="D32" s="3">
        <f>'Monthly Data'!L32</f>
        <v>1002345.0827979547</v>
      </c>
      <c r="E32" s="3">
        <f t="shared" ref="E32:F32" ca="1" si="30">E20</f>
        <v>1.0845833333333317</v>
      </c>
      <c r="F32" s="3">
        <f t="shared" ca="1" si="30"/>
        <v>242.72508692061183</v>
      </c>
      <c r="G32" s="3">
        <f>'Monthly Data'!EG32</f>
        <v>0</v>
      </c>
      <c r="H32">
        <f t="shared" si="10"/>
        <v>31</v>
      </c>
      <c r="I32" s="3">
        <f>'Monthly Data'!DQ32</f>
        <v>31</v>
      </c>
      <c r="J32" s="3">
        <f>'Monthly Data'!EO32</f>
        <v>0</v>
      </c>
      <c r="L32" s="3">
        <f t="shared" si="1"/>
        <v>-761245.70652732695</v>
      </c>
      <c r="M32" s="3">
        <f t="shared" ca="1" si="2"/>
        <v>876.27780380363561</v>
      </c>
      <c r="N32" s="3">
        <f t="shared" ca="1" si="3"/>
        <v>448013.2261090143</v>
      </c>
      <c r="O32" s="3">
        <f t="shared" si="4"/>
        <v>0</v>
      </c>
      <c r="P32" s="3">
        <f t="shared" si="5"/>
        <v>79199.76074669839</v>
      </c>
      <c r="Q32" s="3">
        <f t="shared" si="6"/>
        <v>1183980.7512550617</v>
      </c>
      <c r="R32" s="3">
        <f t="shared" si="7"/>
        <v>0</v>
      </c>
      <c r="S32" s="47">
        <f t="shared" ca="1" si="11"/>
        <v>950824.30938725115</v>
      </c>
      <c r="T32" s="47">
        <f>'Monthly Data'!M32</f>
        <v>1301.2616018698504</v>
      </c>
      <c r="U32" s="47">
        <f>+'Monthly Data'!N32</f>
        <v>0</v>
      </c>
      <c r="V32" s="47">
        <f t="shared" ca="1" si="9"/>
        <v>952125.57098912098</v>
      </c>
    </row>
    <row r="33" spans="1:22">
      <c r="A33" s="2">
        <f>'Monthly Data'!A33</f>
        <v>43313</v>
      </c>
      <c r="B33">
        <f>'Monthly Data'!B33</f>
        <v>2018</v>
      </c>
      <c r="C33">
        <f>'Monthly Data'!C33</f>
        <v>8</v>
      </c>
      <c r="D33" s="3">
        <f>'Monthly Data'!L33</f>
        <v>1011375.7542069035</v>
      </c>
      <c r="E33" s="3">
        <f t="shared" ref="E33:F33" ca="1" si="31">E21</f>
        <v>6.4245833333333335</v>
      </c>
      <c r="F33" s="3">
        <f t="shared" ca="1" si="31"/>
        <v>214.02558794466404</v>
      </c>
      <c r="G33" s="3">
        <f>'Monthly Data'!EG33</f>
        <v>0</v>
      </c>
      <c r="H33">
        <f t="shared" si="10"/>
        <v>32</v>
      </c>
      <c r="I33" s="3">
        <f>'Monthly Data'!DQ33</f>
        <v>31</v>
      </c>
      <c r="J33" s="3">
        <f>'Monthly Data'!EO33</f>
        <v>0</v>
      </c>
      <c r="L33" s="3">
        <f t="shared" si="1"/>
        <v>-761245.70652732695</v>
      </c>
      <c r="M33" s="3">
        <f t="shared" ca="1" si="2"/>
        <v>5190.6751659040647</v>
      </c>
      <c r="N33" s="3">
        <f t="shared" ca="1" si="3"/>
        <v>395040.72422612441</v>
      </c>
      <c r="O33" s="3">
        <f t="shared" si="4"/>
        <v>0</v>
      </c>
      <c r="P33" s="3">
        <f t="shared" si="5"/>
        <v>81754.591738527364</v>
      </c>
      <c r="Q33" s="3">
        <f t="shared" si="6"/>
        <v>1183980.7512550617</v>
      </c>
      <c r="R33" s="3">
        <f t="shared" si="7"/>
        <v>0</v>
      </c>
      <c r="S33" s="47">
        <f t="shared" ca="1" si="11"/>
        <v>904721.03585829062</v>
      </c>
      <c r="T33" s="47">
        <f>'Monthly Data'!M33</f>
        <v>1408.041575565429</v>
      </c>
      <c r="U33" s="47">
        <f>+'Monthly Data'!N33</f>
        <v>0</v>
      </c>
      <c r="V33" s="47">
        <f t="shared" ca="1" si="9"/>
        <v>906129.07743385609</v>
      </c>
    </row>
    <row r="34" spans="1:22">
      <c r="A34" s="2">
        <f>'Monthly Data'!A34</f>
        <v>43344</v>
      </c>
      <c r="B34">
        <f>'Monthly Data'!B34</f>
        <v>2018</v>
      </c>
      <c r="C34">
        <f>'Monthly Data'!C34</f>
        <v>9</v>
      </c>
      <c r="D34" s="3">
        <f>'Monthly Data'!L34</f>
        <v>726568.42993754684</v>
      </c>
      <c r="E34" s="3">
        <f t="shared" ref="E34:F34" ca="1" si="32">E22</f>
        <v>54.412952898550728</v>
      </c>
      <c r="F34" s="3">
        <f t="shared" ca="1" si="32"/>
        <v>102.40708333333332</v>
      </c>
      <c r="G34" s="3">
        <f>'Monthly Data'!EG34</f>
        <v>1</v>
      </c>
      <c r="H34">
        <f t="shared" si="10"/>
        <v>33</v>
      </c>
      <c r="I34" s="3">
        <f>'Monthly Data'!DQ34</f>
        <v>30</v>
      </c>
      <c r="J34" s="3">
        <f>'Monthly Data'!EO34</f>
        <v>0</v>
      </c>
      <c r="L34" s="3">
        <f t="shared" ref="L34:L65" si="33">$Z$8</f>
        <v>-761245.70652732695</v>
      </c>
      <c r="M34" s="3">
        <f t="shared" ref="M34:M65" ca="1" si="34">E34*$Z$9</f>
        <v>43962.378361348696</v>
      </c>
      <c r="N34" s="3">
        <f t="shared" ref="N34:N65" ca="1" si="35">F34*$Z$10</f>
        <v>189019.30724444328</v>
      </c>
      <c r="O34" s="3">
        <f t="shared" ref="O34:O65" si="36">G34*$Z$11</f>
        <v>-62836.7660875816</v>
      </c>
      <c r="P34" s="3">
        <f t="shared" ref="P34:P65" si="37">H34*$Z$12</f>
        <v>84309.422730356338</v>
      </c>
      <c r="Q34" s="3">
        <f t="shared" ref="Q34:Q65" si="38">I34*$Z$13</f>
        <v>1145787.823795221</v>
      </c>
      <c r="R34" s="3">
        <f t="shared" ref="R34:R65" si="39">J34*$Z$14</f>
        <v>0</v>
      </c>
      <c r="S34" s="47">
        <f t="shared" ca="1" si="11"/>
        <v>638996.45951646066</v>
      </c>
      <c r="T34" s="47">
        <f>'Monthly Data'!M34</f>
        <v>1514.8215492610072</v>
      </c>
      <c r="U34" s="47">
        <f>+'Monthly Data'!N34</f>
        <v>0</v>
      </c>
      <c r="V34" s="47">
        <f t="shared" ca="1" si="9"/>
        <v>640511.28106572165</v>
      </c>
    </row>
    <row r="35" spans="1:22">
      <c r="A35" s="2">
        <f>'Monthly Data'!A35</f>
        <v>43374</v>
      </c>
      <c r="B35">
        <f>'Monthly Data'!B35</f>
        <v>2018</v>
      </c>
      <c r="C35">
        <f>'Monthly Data'!C35</f>
        <v>10</v>
      </c>
      <c r="D35" s="3">
        <f>'Monthly Data'!L35</f>
        <v>860637.08752279799</v>
      </c>
      <c r="E35" s="3">
        <f t="shared" ref="E35:F35" ca="1" si="40">E23</f>
        <v>232.21431159420285</v>
      </c>
      <c r="F35" s="3">
        <f t="shared" ca="1" si="40"/>
        <v>19.741250000000004</v>
      </c>
      <c r="G35" s="3">
        <f>'Monthly Data'!EG35</f>
        <v>1</v>
      </c>
      <c r="H35">
        <f t="shared" si="10"/>
        <v>34</v>
      </c>
      <c r="I35" s="3">
        <f>'Monthly Data'!DQ35</f>
        <v>31</v>
      </c>
      <c r="J35" s="3">
        <f>'Monthly Data'!EO35</f>
        <v>0</v>
      </c>
      <c r="L35" s="3">
        <f t="shared" si="33"/>
        <v>-761245.70652732695</v>
      </c>
      <c r="M35" s="3">
        <f t="shared" ca="1" si="34"/>
        <v>187615.1335925085</v>
      </c>
      <c r="N35" s="3">
        <f t="shared" ca="1" si="35"/>
        <v>36437.688465293664</v>
      </c>
      <c r="O35" s="3">
        <f t="shared" si="36"/>
        <v>-62836.7660875816</v>
      </c>
      <c r="P35" s="3">
        <f t="shared" si="37"/>
        <v>86864.253722185327</v>
      </c>
      <c r="Q35" s="3">
        <f t="shared" si="38"/>
        <v>1183980.7512550617</v>
      </c>
      <c r="R35" s="3">
        <f t="shared" si="39"/>
        <v>0</v>
      </c>
      <c r="S35" s="47">
        <f t="shared" ca="1" si="11"/>
        <v>670815.35442014062</v>
      </c>
      <c r="T35" s="47">
        <f>'Monthly Data'!M35</f>
        <v>1621.6015229565855</v>
      </c>
      <c r="U35" s="47">
        <f>+'Monthly Data'!N35</f>
        <v>0</v>
      </c>
      <c r="V35" s="47">
        <f t="shared" ca="1" si="9"/>
        <v>672436.95594309724</v>
      </c>
    </row>
    <row r="36" spans="1:22">
      <c r="A36" s="2">
        <f>'Monthly Data'!A36</f>
        <v>43405</v>
      </c>
      <c r="B36">
        <f>'Monthly Data'!B36</f>
        <v>2018</v>
      </c>
      <c r="C36">
        <f>'Monthly Data'!C36</f>
        <v>11</v>
      </c>
      <c r="D36" s="3">
        <f>'Monthly Data'!L36</f>
        <v>818792.17725840118</v>
      </c>
      <c r="E36" s="3">
        <f t="shared" ref="E36:F36" ca="1" si="41">E24</f>
        <v>435.51408055712398</v>
      </c>
      <c r="F36" s="3">
        <f t="shared" ca="1" si="41"/>
        <v>0.78124999999999944</v>
      </c>
      <c r="G36" s="3">
        <f>'Monthly Data'!EG36</f>
        <v>1</v>
      </c>
      <c r="H36">
        <f t="shared" si="10"/>
        <v>35</v>
      </c>
      <c r="I36" s="3">
        <f>'Monthly Data'!DQ36</f>
        <v>30</v>
      </c>
      <c r="J36" s="3">
        <f>'Monthly Data'!EO36</f>
        <v>0</v>
      </c>
      <c r="L36" s="3">
        <f t="shared" si="33"/>
        <v>-761245.70652732695</v>
      </c>
      <c r="M36" s="3">
        <f t="shared" ca="1" si="34"/>
        <v>351869.06372907275</v>
      </c>
      <c r="N36" s="3">
        <f t="shared" ca="1" si="35"/>
        <v>1442.0031210541708</v>
      </c>
      <c r="O36" s="3">
        <f t="shared" si="36"/>
        <v>-62836.7660875816</v>
      </c>
      <c r="P36" s="3">
        <f t="shared" si="37"/>
        <v>89419.084714014301</v>
      </c>
      <c r="Q36" s="3">
        <f t="shared" si="38"/>
        <v>1145787.823795221</v>
      </c>
      <c r="R36" s="3">
        <f t="shared" si="39"/>
        <v>0</v>
      </c>
      <c r="S36" s="47">
        <f t="shared" ca="1" si="11"/>
        <v>764435.50274445373</v>
      </c>
      <c r="T36" s="47">
        <f>'Monthly Data'!M36</f>
        <v>1728.3814966521641</v>
      </c>
      <c r="U36" s="47">
        <f>+'Monthly Data'!N36</f>
        <v>0</v>
      </c>
      <c r="V36" s="47">
        <f t="shared" ca="1" si="9"/>
        <v>766163.88424110587</v>
      </c>
    </row>
    <row r="37" spans="1:22">
      <c r="A37" s="2">
        <f>'Monthly Data'!A37</f>
        <v>43435</v>
      </c>
      <c r="B37">
        <f>'Monthly Data'!B37</f>
        <v>2018</v>
      </c>
      <c r="C37">
        <f>'Monthly Data'!C37</f>
        <v>12</v>
      </c>
      <c r="D37" s="3">
        <f>'Monthly Data'!L37</f>
        <v>978858.23497721553</v>
      </c>
      <c r="E37" s="3">
        <f t="shared" ref="E37:F37" ca="1" si="42">E25</f>
        <v>602.38541666666674</v>
      </c>
      <c r="F37" s="3">
        <f t="shared" ca="1" si="42"/>
        <v>0</v>
      </c>
      <c r="G37" s="3">
        <f>'Monthly Data'!EG37</f>
        <v>0</v>
      </c>
      <c r="H37">
        <f t="shared" si="10"/>
        <v>36</v>
      </c>
      <c r="I37" s="3">
        <f>'Monthly Data'!DQ37</f>
        <v>31</v>
      </c>
      <c r="J37" s="3">
        <f>'Monthly Data'!EO37</f>
        <v>0</v>
      </c>
      <c r="L37" s="3">
        <f t="shared" si="33"/>
        <v>-761245.70652732695</v>
      </c>
      <c r="M37" s="3">
        <f t="shared" ca="1" si="34"/>
        <v>486691.02109259058</v>
      </c>
      <c r="N37" s="3">
        <f t="shared" ca="1" si="35"/>
        <v>0</v>
      </c>
      <c r="O37" s="3">
        <f t="shared" si="36"/>
        <v>0</v>
      </c>
      <c r="P37" s="3">
        <f t="shared" si="37"/>
        <v>91973.91570584329</v>
      </c>
      <c r="Q37" s="3">
        <f t="shared" si="38"/>
        <v>1183980.7512550617</v>
      </c>
      <c r="R37" s="3">
        <f t="shared" si="39"/>
        <v>0</v>
      </c>
      <c r="S37" s="47">
        <f t="shared" ca="1" si="11"/>
        <v>1001399.9815261686</v>
      </c>
      <c r="T37" s="47">
        <f>'Monthly Data'!M37</f>
        <v>1835.1614703477426</v>
      </c>
      <c r="U37" s="47">
        <f>+'Monthly Data'!N37</f>
        <v>0</v>
      </c>
      <c r="V37" s="47">
        <f t="shared" ca="1" si="9"/>
        <v>1003235.1429965164</v>
      </c>
    </row>
    <row r="38" spans="1:22">
      <c r="A38" s="2">
        <f>'Monthly Data'!A38</f>
        <v>43466</v>
      </c>
      <c r="B38">
        <f>'Monthly Data'!B38</f>
        <v>2019</v>
      </c>
      <c r="C38">
        <f>'Monthly Data'!C38</f>
        <v>1</v>
      </c>
      <c r="D38" s="3">
        <f>'Monthly Data'!L38</f>
        <v>1180732.0840907115</v>
      </c>
      <c r="E38" s="3">
        <f t="shared" ref="E38:F38" ca="1" si="43">E26</f>
        <v>690.78750000000002</v>
      </c>
      <c r="F38" s="3">
        <f t="shared" ca="1" si="43"/>
        <v>0</v>
      </c>
      <c r="G38" s="3">
        <f>'Monthly Data'!EG38</f>
        <v>0</v>
      </c>
      <c r="H38">
        <f t="shared" si="10"/>
        <v>37</v>
      </c>
      <c r="I38" s="3">
        <f>'Monthly Data'!DQ38</f>
        <v>31</v>
      </c>
      <c r="J38" s="3">
        <f>'Monthly Data'!EO38</f>
        <v>0</v>
      </c>
      <c r="L38" s="3">
        <f t="shared" si="33"/>
        <v>-761245.70652732695</v>
      </c>
      <c r="M38" s="3">
        <f t="shared" ca="1" si="34"/>
        <v>558114.56325317395</v>
      </c>
      <c r="N38" s="3">
        <f t="shared" ca="1" si="35"/>
        <v>0</v>
      </c>
      <c r="O38" s="3">
        <f t="shared" si="36"/>
        <v>0</v>
      </c>
      <c r="P38" s="3">
        <f t="shared" si="37"/>
        <v>94528.746697672264</v>
      </c>
      <c r="Q38" s="3">
        <f t="shared" si="38"/>
        <v>1183980.7512550617</v>
      </c>
      <c r="R38" s="3">
        <f t="shared" si="39"/>
        <v>0</v>
      </c>
      <c r="S38" s="47">
        <f t="shared" ca="1" si="11"/>
        <v>1075378.354678581</v>
      </c>
      <c r="T38" s="47">
        <f>'Monthly Data'!M38</f>
        <v>1997.9569466814764</v>
      </c>
      <c r="U38" s="47">
        <f ca="1">+'Monthly Data'!N38</f>
        <v>2031.5675445038369</v>
      </c>
      <c r="V38" s="47">
        <f t="shared" ca="1" si="9"/>
        <v>1079407.8791697663</v>
      </c>
    </row>
    <row r="39" spans="1:22">
      <c r="A39" s="2">
        <f>'Monthly Data'!A39</f>
        <v>43497</v>
      </c>
      <c r="B39">
        <f>'Monthly Data'!B39</f>
        <v>2019</v>
      </c>
      <c r="C39">
        <f>'Monthly Data'!C39</f>
        <v>2</v>
      </c>
      <c r="D39" s="3">
        <f>'Monthly Data'!L39</f>
        <v>1037445.2507180091</v>
      </c>
      <c r="E39" s="3">
        <f t="shared" ref="E39:F39" ca="1" si="44">E27</f>
        <v>604.19541666666657</v>
      </c>
      <c r="F39" s="3">
        <f t="shared" ca="1" si="44"/>
        <v>0</v>
      </c>
      <c r="G39" s="3">
        <f>'Monthly Data'!EG39</f>
        <v>0</v>
      </c>
      <c r="H39">
        <f t="shared" si="10"/>
        <v>38</v>
      </c>
      <c r="I39" s="3">
        <f>'Monthly Data'!DQ39</f>
        <v>28</v>
      </c>
      <c r="J39" s="3">
        <f>'Monthly Data'!EO39</f>
        <v>0</v>
      </c>
      <c r="L39" s="3">
        <f t="shared" si="33"/>
        <v>-761245.70652732695</v>
      </c>
      <c r="M39" s="3">
        <f t="shared" ca="1" si="34"/>
        <v>488153.39173405146</v>
      </c>
      <c r="N39" s="3">
        <f t="shared" ca="1" si="35"/>
        <v>0</v>
      </c>
      <c r="O39" s="3">
        <f t="shared" si="36"/>
        <v>0</v>
      </c>
      <c r="P39" s="3">
        <f t="shared" si="37"/>
        <v>97083.577689501239</v>
      </c>
      <c r="Q39" s="3">
        <f t="shared" si="38"/>
        <v>1069401.9688755395</v>
      </c>
      <c r="R39" s="3">
        <f t="shared" si="39"/>
        <v>0</v>
      </c>
      <c r="S39" s="47">
        <f t="shared" ca="1" si="11"/>
        <v>893393.23177176528</v>
      </c>
      <c r="T39" s="47">
        <f>'Monthly Data'!M39</f>
        <v>2053.9724493196322</v>
      </c>
      <c r="U39" s="47">
        <f ca="1">+'Monthly Data'!N39</f>
        <v>1665.2571964262813</v>
      </c>
      <c r="V39" s="47">
        <f t="shared" ca="1" si="9"/>
        <v>897112.46141751122</v>
      </c>
    </row>
    <row r="40" spans="1:22">
      <c r="A40" s="2">
        <f>'Monthly Data'!A40</f>
        <v>43525</v>
      </c>
      <c r="B40">
        <f>'Monthly Data'!B40</f>
        <v>2019</v>
      </c>
      <c r="C40">
        <f>'Monthly Data'!C40</f>
        <v>3</v>
      </c>
      <c r="D40" s="3">
        <f>'Monthly Data'!L40</f>
        <v>1019060.4219245851</v>
      </c>
      <c r="E40" s="3">
        <f t="shared" ref="E40:F40" ca="1" si="45">E28</f>
        <v>534.21590579710141</v>
      </c>
      <c r="F40" s="3">
        <f t="shared" ca="1" si="45"/>
        <v>0</v>
      </c>
      <c r="G40" s="3">
        <f>'Monthly Data'!EG40</f>
        <v>1</v>
      </c>
      <c r="H40">
        <f t="shared" si="10"/>
        <v>39</v>
      </c>
      <c r="I40" s="3">
        <f>'Monthly Data'!DQ40</f>
        <v>31</v>
      </c>
      <c r="J40" s="3">
        <f>'Monthly Data'!EO40</f>
        <v>0</v>
      </c>
      <c r="L40" s="3">
        <f t="shared" si="33"/>
        <v>-761245.70652732695</v>
      </c>
      <c r="M40" s="3">
        <f t="shared" ca="1" si="34"/>
        <v>431614.1750492705</v>
      </c>
      <c r="N40" s="3">
        <f t="shared" ca="1" si="35"/>
        <v>0</v>
      </c>
      <c r="O40" s="3">
        <f t="shared" si="36"/>
        <v>-62836.7660875816</v>
      </c>
      <c r="P40" s="3">
        <f t="shared" si="37"/>
        <v>99638.408681330227</v>
      </c>
      <c r="Q40" s="3">
        <f t="shared" si="38"/>
        <v>1183980.7512550617</v>
      </c>
      <c r="R40" s="3">
        <f t="shared" si="39"/>
        <v>0</v>
      </c>
      <c r="S40" s="47">
        <f t="shared" ca="1" si="11"/>
        <v>891150.86237075389</v>
      </c>
      <c r="T40" s="47">
        <f>'Monthly Data'!M40</f>
        <v>2109.9879519577885</v>
      </c>
      <c r="U40" s="47">
        <f ca="1">+'Monthly Data'!N40</f>
        <v>1592.7244698047805</v>
      </c>
      <c r="V40" s="47">
        <f t="shared" ca="1" si="9"/>
        <v>894853.57479251642</v>
      </c>
    </row>
    <row r="41" spans="1:22">
      <c r="A41" s="2">
        <f>'Monthly Data'!A41</f>
        <v>43556</v>
      </c>
      <c r="B41">
        <f>'Monthly Data'!B41</f>
        <v>2019</v>
      </c>
      <c r="C41">
        <f>'Monthly Data'!C41</f>
        <v>4</v>
      </c>
      <c r="D41" s="3">
        <f>'Monthly Data'!L41</f>
        <v>756658.03262744064</v>
      </c>
      <c r="E41" s="3">
        <f t="shared" ref="E41:F41" ca="1" si="46">E29</f>
        <v>352.92312500000003</v>
      </c>
      <c r="F41" s="3">
        <f t="shared" ca="1" si="46"/>
        <v>2.2025000000000015</v>
      </c>
      <c r="G41" s="3">
        <f>'Monthly Data'!EG41</f>
        <v>1</v>
      </c>
      <c r="H41">
        <f t="shared" si="10"/>
        <v>40</v>
      </c>
      <c r="I41" s="3">
        <f>'Monthly Data'!DQ41</f>
        <v>30</v>
      </c>
      <c r="J41" s="3">
        <f>'Monthly Data'!EO41</f>
        <v>0</v>
      </c>
      <c r="L41" s="3">
        <f t="shared" si="33"/>
        <v>-761245.70652732695</v>
      </c>
      <c r="M41" s="3">
        <f t="shared" ca="1" si="34"/>
        <v>285140.56170865905</v>
      </c>
      <c r="N41" s="3">
        <f t="shared" ca="1" si="35"/>
        <v>4065.2951988759241</v>
      </c>
      <c r="O41" s="3">
        <f t="shared" si="36"/>
        <v>-62836.7660875816</v>
      </c>
      <c r="P41" s="3">
        <f t="shared" si="37"/>
        <v>102193.2396731592</v>
      </c>
      <c r="Q41" s="3">
        <f t="shared" si="38"/>
        <v>1145787.823795221</v>
      </c>
      <c r="R41" s="3">
        <f t="shared" si="39"/>
        <v>0</v>
      </c>
      <c r="S41" s="47">
        <f t="shared" ca="1" si="11"/>
        <v>713104.44776100665</v>
      </c>
      <c r="T41" s="47">
        <f>'Monthly Data'!M41</f>
        <v>2166.0034545959443</v>
      </c>
      <c r="U41" s="47">
        <f ca="1">+'Monthly Data'!N41</f>
        <v>955.05945600961672</v>
      </c>
      <c r="V41" s="47">
        <f t="shared" ca="1" si="9"/>
        <v>716225.51067161222</v>
      </c>
    </row>
    <row r="42" spans="1:22">
      <c r="A42" s="2">
        <f>'Monthly Data'!A42</f>
        <v>43586</v>
      </c>
      <c r="B42">
        <f>'Monthly Data'!B42</f>
        <v>2019</v>
      </c>
      <c r="C42">
        <f>'Monthly Data'!C42</f>
        <v>5</v>
      </c>
      <c r="D42" s="3">
        <f>'Monthly Data'!L42</f>
        <v>769722.24824348069</v>
      </c>
      <c r="E42" s="3">
        <f t="shared" ref="E42:F42" ca="1" si="47">E30</f>
        <v>155.24720841877425</v>
      </c>
      <c r="F42" s="3">
        <f t="shared" ca="1" si="47"/>
        <v>48.940113636363641</v>
      </c>
      <c r="G42" s="3">
        <f>'Monthly Data'!EG42</f>
        <v>1</v>
      </c>
      <c r="H42">
        <f t="shared" si="10"/>
        <v>41</v>
      </c>
      <c r="I42" s="3">
        <f>'Monthly Data'!DQ42</f>
        <v>31</v>
      </c>
      <c r="J42" s="3">
        <f>'Monthly Data'!EO42</f>
        <v>0</v>
      </c>
      <c r="L42" s="3">
        <f t="shared" si="33"/>
        <v>-761245.70652732695</v>
      </c>
      <c r="M42" s="3">
        <f t="shared" ca="1" si="34"/>
        <v>125430.36450850464</v>
      </c>
      <c r="N42" s="3">
        <f t="shared" ca="1" si="35"/>
        <v>90331.89965872922</v>
      </c>
      <c r="O42" s="3">
        <f t="shared" si="36"/>
        <v>-62836.7660875816</v>
      </c>
      <c r="P42" s="3">
        <f t="shared" si="37"/>
        <v>104748.07066498819</v>
      </c>
      <c r="Q42" s="3">
        <f t="shared" si="38"/>
        <v>1183980.7512550617</v>
      </c>
      <c r="R42" s="3">
        <f t="shared" si="39"/>
        <v>0</v>
      </c>
      <c r="S42" s="47">
        <f t="shared" ref="S42:S73" ca="1" si="48">SUM(L42:R42)</f>
        <v>680408.61347237509</v>
      </c>
      <c r="T42" s="47">
        <f>'Monthly Data'!M42</f>
        <v>2222.0189572341005</v>
      </c>
      <c r="U42" s="47">
        <f ca="1">+'Monthly Data'!N42</f>
        <v>535.3759155853644</v>
      </c>
      <c r="V42" s="47">
        <f t="shared" ca="1" si="9"/>
        <v>683166.00834519451</v>
      </c>
    </row>
    <row r="43" spans="1:22">
      <c r="A43" s="2">
        <f>'Monthly Data'!A43</f>
        <v>43617</v>
      </c>
      <c r="B43">
        <f>'Monthly Data'!B43</f>
        <v>2019</v>
      </c>
      <c r="C43">
        <f>'Monthly Data'!C43</f>
        <v>6</v>
      </c>
      <c r="D43" s="3">
        <f>'Monthly Data'!L43</f>
        <v>733424.5276450566</v>
      </c>
      <c r="E43" s="3">
        <f t="shared" ref="E43:F43" ca="1" si="49">E31</f>
        <v>30.273840492840492</v>
      </c>
      <c r="F43" s="3">
        <f t="shared" ca="1" si="49"/>
        <v>144.91160087738351</v>
      </c>
      <c r="G43" s="3">
        <f>'Monthly Data'!EG43</f>
        <v>0</v>
      </c>
      <c r="H43">
        <f t="shared" si="10"/>
        <v>42</v>
      </c>
      <c r="I43" s="3">
        <f>'Monthly Data'!DQ43</f>
        <v>30</v>
      </c>
      <c r="J43" s="3">
        <f>'Monthly Data'!EO43</f>
        <v>0</v>
      </c>
      <c r="L43" s="3">
        <f t="shared" si="33"/>
        <v>-761245.70652732695</v>
      </c>
      <c r="M43" s="3">
        <f t="shared" ca="1" si="34"/>
        <v>24459.434000554327</v>
      </c>
      <c r="N43" s="3">
        <f t="shared" ca="1" si="35"/>
        <v>267472.61534994369</v>
      </c>
      <c r="O43" s="3">
        <f t="shared" si="36"/>
        <v>0</v>
      </c>
      <c r="P43" s="3">
        <f t="shared" si="37"/>
        <v>107302.90165681716</v>
      </c>
      <c r="Q43" s="3">
        <f t="shared" si="38"/>
        <v>1145787.823795221</v>
      </c>
      <c r="R43" s="3">
        <f t="shared" si="39"/>
        <v>0</v>
      </c>
      <c r="S43" s="47">
        <f t="shared" ca="1" si="48"/>
        <v>783777.06827520928</v>
      </c>
      <c r="T43" s="47">
        <f>'Monthly Data'!M43</f>
        <v>2278.0344598722563</v>
      </c>
      <c r="U43" s="47">
        <f ca="1">+'Monthly Data'!N43</f>
        <v>120.1353809626516</v>
      </c>
      <c r="V43" s="47">
        <f t="shared" ref="V43:V106" ca="1" si="50">S43+T43+U43</f>
        <v>786175.2381160442</v>
      </c>
    </row>
    <row r="44" spans="1:22">
      <c r="A44" s="2">
        <f>'Monthly Data'!A44</f>
        <v>43647</v>
      </c>
      <c r="B44">
        <f>'Monthly Data'!B44</f>
        <v>2019</v>
      </c>
      <c r="C44">
        <f>'Monthly Data'!C44</f>
        <v>7</v>
      </c>
      <c r="D44" s="3">
        <f>'Monthly Data'!L44</f>
        <v>974819.26355302567</v>
      </c>
      <c r="E44" s="3">
        <f t="shared" ref="E44:F44" ca="1" si="51">E32</f>
        <v>1.0845833333333317</v>
      </c>
      <c r="F44" s="3">
        <f t="shared" ca="1" si="51"/>
        <v>242.72508692061183</v>
      </c>
      <c r="G44" s="3">
        <f>'Monthly Data'!EG44</f>
        <v>0</v>
      </c>
      <c r="H44">
        <f t="shared" si="10"/>
        <v>43</v>
      </c>
      <c r="I44" s="3">
        <f>'Monthly Data'!DQ44</f>
        <v>31</v>
      </c>
      <c r="J44" s="3">
        <f>'Monthly Data'!EO44</f>
        <v>0</v>
      </c>
      <c r="L44" s="3">
        <f t="shared" si="33"/>
        <v>-761245.70652732695</v>
      </c>
      <c r="M44" s="3">
        <f t="shared" ca="1" si="34"/>
        <v>876.27780380363561</v>
      </c>
      <c r="N44" s="3">
        <f t="shared" ca="1" si="35"/>
        <v>448013.2261090143</v>
      </c>
      <c r="O44" s="3">
        <f t="shared" si="36"/>
        <v>0</v>
      </c>
      <c r="P44" s="3">
        <f t="shared" si="37"/>
        <v>109857.73264864614</v>
      </c>
      <c r="Q44" s="3">
        <f t="shared" si="38"/>
        <v>1183980.7512550617</v>
      </c>
      <c r="R44" s="3">
        <f t="shared" si="39"/>
        <v>0</v>
      </c>
      <c r="S44" s="47">
        <f t="shared" ca="1" si="48"/>
        <v>981482.2812891989</v>
      </c>
      <c r="T44" s="47">
        <f>'Monthly Data'!M44</f>
        <v>2334.0499625104126</v>
      </c>
      <c r="U44" s="47">
        <f ca="1">+'Monthly Data'!N44</f>
        <v>0</v>
      </c>
      <c r="V44" s="47">
        <f t="shared" ca="1" si="50"/>
        <v>983816.33125170926</v>
      </c>
    </row>
    <row r="45" spans="1:22">
      <c r="A45" s="2">
        <f>'Monthly Data'!A45</f>
        <v>43678</v>
      </c>
      <c r="B45">
        <f>'Monthly Data'!B45</f>
        <v>2019</v>
      </c>
      <c r="C45">
        <f>'Monthly Data'!C45</f>
        <v>8</v>
      </c>
      <c r="D45" s="3">
        <f>'Monthly Data'!L45</f>
        <v>970641.48246042314</v>
      </c>
      <c r="E45" s="3">
        <f t="shared" ref="E45:F45" ca="1" si="52">E33</f>
        <v>6.4245833333333335</v>
      </c>
      <c r="F45" s="3">
        <f t="shared" ca="1" si="52"/>
        <v>214.02558794466404</v>
      </c>
      <c r="G45" s="3">
        <f>'Monthly Data'!EG45</f>
        <v>0</v>
      </c>
      <c r="H45">
        <f t="shared" si="10"/>
        <v>44</v>
      </c>
      <c r="I45" s="3">
        <f>'Monthly Data'!DQ45</f>
        <v>31</v>
      </c>
      <c r="J45" s="3">
        <f>'Monthly Data'!EO45</f>
        <v>0</v>
      </c>
      <c r="L45" s="3">
        <f t="shared" si="33"/>
        <v>-761245.70652732695</v>
      </c>
      <c r="M45" s="3">
        <f t="shared" ca="1" si="34"/>
        <v>5190.6751659040647</v>
      </c>
      <c r="N45" s="3">
        <f t="shared" ca="1" si="35"/>
        <v>395040.72422612441</v>
      </c>
      <c r="O45" s="3">
        <f t="shared" si="36"/>
        <v>0</v>
      </c>
      <c r="P45" s="3">
        <f t="shared" si="37"/>
        <v>112412.56364047513</v>
      </c>
      <c r="Q45" s="3">
        <f t="shared" si="38"/>
        <v>1183980.7512550617</v>
      </c>
      <c r="R45" s="3">
        <f t="shared" si="39"/>
        <v>0</v>
      </c>
      <c r="S45" s="47">
        <f t="shared" ca="1" si="48"/>
        <v>935379.00776023837</v>
      </c>
      <c r="T45" s="47">
        <f>'Monthly Data'!M45</f>
        <v>2390.0654651485684</v>
      </c>
      <c r="U45" s="47">
        <f ca="1">+'Monthly Data'!N45</f>
        <v>12.101449975007339</v>
      </c>
      <c r="V45" s="47">
        <f t="shared" ca="1" si="50"/>
        <v>937781.17467536195</v>
      </c>
    </row>
    <row r="46" spans="1:22">
      <c r="A46" s="2">
        <f>'Monthly Data'!A46</f>
        <v>43709</v>
      </c>
      <c r="B46">
        <f>'Monthly Data'!B46</f>
        <v>2019</v>
      </c>
      <c r="C46">
        <f>'Monthly Data'!C46</f>
        <v>9</v>
      </c>
      <c r="D46" s="3">
        <f>'Monthly Data'!L46</f>
        <v>695468.91469542892</v>
      </c>
      <c r="E46" s="3">
        <f t="shared" ref="E46:F46" ca="1" si="53">E34</f>
        <v>54.412952898550728</v>
      </c>
      <c r="F46" s="3">
        <f t="shared" ca="1" si="53"/>
        <v>102.40708333333332</v>
      </c>
      <c r="G46" s="3">
        <f>'Monthly Data'!EG46</f>
        <v>1</v>
      </c>
      <c r="H46">
        <f t="shared" si="10"/>
        <v>45</v>
      </c>
      <c r="I46" s="3">
        <f>'Monthly Data'!DQ46</f>
        <v>30</v>
      </c>
      <c r="J46" s="3">
        <f>'Monthly Data'!EO46</f>
        <v>0</v>
      </c>
      <c r="L46" s="3">
        <f t="shared" si="33"/>
        <v>-761245.70652732695</v>
      </c>
      <c r="M46" s="3">
        <f t="shared" ca="1" si="34"/>
        <v>43962.378361348696</v>
      </c>
      <c r="N46" s="3">
        <f t="shared" ca="1" si="35"/>
        <v>189019.30724444328</v>
      </c>
      <c r="O46" s="3">
        <f t="shared" si="36"/>
        <v>-62836.7660875816</v>
      </c>
      <c r="P46" s="3">
        <f t="shared" si="37"/>
        <v>114967.3946323041</v>
      </c>
      <c r="Q46" s="3">
        <f t="shared" si="38"/>
        <v>1145787.823795221</v>
      </c>
      <c r="R46" s="3">
        <f t="shared" si="39"/>
        <v>0</v>
      </c>
      <c r="S46" s="47">
        <f t="shared" ca="1" si="48"/>
        <v>669654.43141840841</v>
      </c>
      <c r="T46" s="47">
        <f>'Monthly Data'!M46</f>
        <v>2446.0809677867246</v>
      </c>
      <c r="U46" s="47">
        <f ca="1">+'Monthly Data'!N46</f>
        <v>161.6384703836633</v>
      </c>
      <c r="V46" s="47">
        <f t="shared" ca="1" si="50"/>
        <v>672262.15085657884</v>
      </c>
    </row>
    <row r="47" spans="1:22">
      <c r="A47" s="2">
        <f>'Monthly Data'!A47</f>
        <v>43739</v>
      </c>
      <c r="B47">
        <f>'Monthly Data'!B47</f>
        <v>2019</v>
      </c>
      <c r="C47">
        <f>'Monthly Data'!C47</f>
        <v>10</v>
      </c>
      <c r="D47" s="3">
        <f>'Monthly Data'!L47</f>
        <v>822737.01282434806</v>
      </c>
      <c r="E47" s="3">
        <f t="shared" ref="E47:F47" ca="1" si="54">E35</f>
        <v>232.21431159420285</v>
      </c>
      <c r="F47" s="3">
        <f t="shared" ca="1" si="54"/>
        <v>19.741250000000004</v>
      </c>
      <c r="G47" s="3">
        <f>'Monthly Data'!EG47</f>
        <v>1</v>
      </c>
      <c r="H47">
        <f t="shared" si="10"/>
        <v>46</v>
      </c>
      <c r="I47" s="3">
        <f>'Monthly Data'!DQ47</f>
        <v>31</v>
      </c>
      <c r="J47" s="3">
        <f>'Monthly Data'!EO47</f>
        <v>0</v>
      </c>
      <c r="L47" s="3">
        <f t="shared" si="33"/>
        <v>-761245.70652732695</v>
      </c>
      <c r="M47" s="3">
        <f t="shared" ca="1" si="34"/>
        <v>187615.1335925085</v>
      </c>
      <c r="N47" s="3">
        <f t="shared" ca="1" si="35"/>
        <v>36437.688465293664</v>
      </c>
      <c r="O47" s="3">
        <f t="shared" si="36"/>
        <v>-62836.7660875816</v>
      </c>
      <c r="P47" s="3">
        <f t="shared" si="37"/>
        <v>117522.22562413309</v>
      </c>
      <c r="Q47" s="3">
        <f t="shared" si="38"/>
        <v>1183980.7512550617</v>
      </c>
      <c r="R47" s="3">
        <f t="shared" si="39"/>
        <v>0</v>
      </c>
      <c r="S47" s="47">
        <f t="shared" ca="1" si="48"/>
        <v>701473.32632208825</v>
      </c>
      <c r="T47" s="47">
        <f>'Monthly Data'!M47</f>
        <v>2502.0964704248804</v>
      </c>
      <c r="U47" s="47">
        <f ca="1">+'Monthly Data'!N47</f>
        <v>634.99509747780769</v>
      </c>
      <c r="V47" s="47">
        <f t="shared" ca="1" si="50"/>
        <v>704610.41788999096</v>
      </c>
    </row>
    <row r="48" spans="1:22">
      <c r="A48" s="2">
        <f>'Monthly Data'!A48</f>
        <v>43770</v>
      </c>
      <c r="B48">
        <f>'Monthly Data'!B48</f>
        <v>2019</v>
      </c>
      <c r="C48">
        <f>'Monthly Data'!C48</f>
        <v>11</v>
      </c>
      <c r="D48" s="3">
        <f>'Monthly Data'!L48</f>
        <v>894752.10429423372</v>
      </c>
      <c r="E48" s="3">
        <f t="shared" ref="E48:F48" ca="1" si="55">E36</f>
        <v>435.51408055712398</v>
      </c>
      <c r="F48" s="3">
        <f t="shared" ca="1" si="55"/>
        <v>0.78124999999999944</v>
      </c>
      <c r="G48" s="3">
        <f>'Monthly Data'!EG48</f>
        <v>1</v>
      </c>
      <c r="H48">
        <f t="shared" si="10"/>
        <v>47</v>
      </c>
      <c r="I48" s="3">
        <f>'Monthly Data'!DQ48</f>
        <v>30</v>
      </c>
      <c r="J48" s="3">
        <f>'Monthly Data'!EO48</f>
        <v>0</v>
      </c>
      <c r="L48" s="3">
        <f t="shared" si="33"/>
        <v>-761245.70652732695</v>
      </c>
      <c r="M48" s="3">
        <f t="shared" ca="1" si="34"/>
        <v>351869.06372907275</v>
      </c>
      <c r="N48" s="3">
        <f t="shared" ca="1" si="35"/>
        <v>1442.0031210541708</v>
      </c>
      <c r="O48" s="3">
        <f t="shared" si="36"/>
        <v>-62836.7660875816</v>
      </c>
      <c r="P48" s="3">
        <f t="shared" si="37"/>
        <v>120077.05661596206</v>
      </c>
      <c r="Q48" s="3">
        <f t="shared" si="38"/>
        <v>1145787.823795221</v>
      </c>
      <c r="R48" s="3">
        <f t="shared" si="39"/>
        <v>0</v>
      </c>
      <c r="S48" s="47">
        <f t="shared" ca="1" si="48"/>
        <v>795093.47464640148</v>
      </c>
      <c r="T48" s="47">
        <f>'Monthly Data'!M48</f>
        <v>2558.1119730630367</v>
      </c>
      <c r="U48" s="47">
        <f ca="1">+'Monthly Data'!N48</f>
        <v>1379.8257767915568</v>
      </c>
      <c r="V48" s="47">
        <f t="shared" ca="1" si="50"/>
        <v>799031.41239625611</v>
      </c>
    </row>
    <row r="49" spans="1:22">
      <c r="A49" s="2">
        <f>'Monthly Data'!A49</f>
        <v>43800</v>
      </c>
      <c r="B49">
        <f>'Monthly Data'!B49</f>
        <v>2019</v>
      </c>
      <c r="C49">
        <f>'Monthly Data'!C49</f>
        <v>12</v>
      </c>
      <c r="D49" s="3">
        <f>'Monthly Data'!L49</f>
        <v>1028429.2122399808</v>
      </c>
      <c r="E49" s="3">
        <f t="shared" ref="E49:F49" ca="1" si="56">E37</f>
        <v>602.38541666666674</v>
      </c>
      <c r="F49" s="3">
        <f t="shared" ca="1" si="56"/>
        <v>0</v>
      </c>
      <c r="G49" s="3">
        <f>'Monthly Data'!EG49</f>
        <v>0</v>
      </c>
      <c r="H49">
        <f t="shared" si="10"/>
        <v>48</v>
      </c>
      <c r="I49" s="3">
        <f>'Monthly Data'!DQ49</f>
        <v>31</v>
      </c>
      <c r="J49" s="3">
        <f>'Monthly Data'!EO49</f>
        <v>0</v>
      </c>
      <c r="L49" s="3">
        <f t="shared" si="33"/>
        <v>-761245.70652732695</v>
      </c>
      <c r="M49" s="3">
        <f t="shared" ca="1" si="34"/>
        <v>486691.02109259058</v>
      </c>
      <c r="N49" s="3">
        <f t="shared" ca="1" si="35"/>
        <v>0</v>
      </c>
      <c r="O49" s="3">
        <f t="shared" si="36"/>
        <v>0</v>
      </c>
      <c r="P49" s="3">
        <f t="shared" si="37"/>
        <v>122631.88760779105</v>
      </c>
      <c r="Q49" s="3">
        <f t="shared" si="38"/>
        <v>1183980.7512550617</v>
      </c>
      <c r="R49" s="3">
        <f t="shared" si="39"/>
        <v>0</v>
      </c>
      <c r="S49" s="47">
        <f t="shared" ca="1" si="48"/>
        <v>1032057.9534281164</v>
      </c>
      <c r="T49" s="47">
        <f>'Monthly Data'!M49</f>
        <v>2614.1274757011925</v>
      </c>
      <c r="U49" s="47">
        <f ca="1">+'Monthly Data'!N49</f>
        <v>1600.4628857977673</v>
      </c>
      <c r="V49" s="47">
        <f t="shared" ca="1" si="50"/>
        <v>1036272.5437896153</v>
      </c>
    </row>
    <row r="50" spans="1:22">
      <c r="A50" s="2">
        <f>'Monthly Data'!A50</f>
        <v>43831</v>
      </c>
      <c r="B50">
        <f>'Monthly Data'!B50</f>
        <v>2020</v>
      </c>
      <c r="C50">
        <f>'Monthly Data'!C50</f>
        <v>1</v>
      </c>
      <c r="D50" s="3">
        <f>'Monthly Data'!L50</f>
        <v>1056378.1359157956</v>
      </c>
      <c r="E50" s="3">
        <f t="shared" ref="E50:F50" ca="1" si="57">E38</f>
        <v>690.78750000000002</v>
      </c>
      <c r="F50" s="3">
        <f t="shared" ca="1" si="57"/>
        <v>0</v>
      </c>
      <c r="G50" s="3">
        <f>'Monthly Data'!EG50</f>
        <v>0</v>
      </c>
      <c r="H50">
        <f t="shared" si="10"/>
        <v>49</v>
      </c>
      <c r="I50" s="3">
        <f>'Monthly Data'!DQ50</f>
        <v>31</v>
      </c>
      <c r="J50" s="3">
        <f>'Monthly Data'!EO50</f>
        <v>0</v>
      </c>
      <c r="L50" s="3">
        <f t="shared" si="33"/>
        <v>-761245.70652732695</v>
      </c>
      <c r="M50" s="3">
        <f t="shared" ca="1" si="34"/>
        <v>558114.56325317395</v>
      </c>
      <c r="N50" s="3">
        <f t="shared" ca="1" si="35"/>
        <v>0</v>
      </c>
      <c r="O50" s="3">
        <f t="shared" si="36"/>
        <v>0</v>
      </c>
      <c r="P50" s="3">
        <f t="shared" si="37"/>
        <v>125186.71859962003</v>
      </c>
      <c r="Q50" s="3">
        <f t="shared" si="38"/>
        <v>1183980.7512550617</v>
      </c>
      <c r="R50" s="3">
        <f t="shared" si="39"/>
        <v>0</v>
      </c>
      <c r="S50" s="47">
        <f t="shared" ca="1" si="48"/>
        <v>1106036.3265805286</v>
      </c>
      <c r="T50" s="47">
        <f>'Monthly Data'!M50</f>
        <v>2734.8990068538051</v>
      </c>
      <c r="U50" s="47">
        <f ca="1">+'Monthly Data'!N50</f>
        <v>6430.5912318533728</v>
      </c>
      <c r="V50" s="47">
        <f t="shared" ca="1" si="50"/>
        <v>1115201.8168192359</v>
      </c>
    </row>
    <row r="51" spans="1:22">
      <c r="A51" s="2">
        <f>'Monthly Data'!A51</f>
        <v>43862</v>
      </c>
      <c r="B51">
        <f>'Monthly Data'!B51</f>
        <v>2020</v>
      </c>
      <c r="C51">
        <f>'Monthly Data'!C51</f>
        <v>2</v>
      </c>
      <c r="D51" s="3">
        <f>'Monthly Data'!L51</f>
        <v>1023764.9717810908</v>
      </c>
      <c r="E51" s="3">
        <f t="shared" ref="E51:F51" ca="1" si="58">E39</f>
        <v>604.19541666666657</v>
      </c>
      <c r="F51" s="3">
        <f t="shared" ca="1" si="58"/>
        <v>0</v>
      </c>
      <c r="G51" s="3">
        <f>'Monthly Data'!EG51</f>
        <v>0</v>
      </c>
      <c r="H51">
        <f t="shared" si="10"/>
        <v>50</v>
      </c>
      <c r="I51" s="3">
        <f>'Monthly Data'!DQ51</f>
        <v>29</v>
      </c>
      <c r="J51" s="3">
        <f>'Monthly Data'!EO51</f>
        <v>0</v>
      </c>
      <c r="L51" s="3">
        <f t="shared" si="33"/>
        <v>-761245.70652732695</v>
      </c>
      <c r="M51" s="3">
        <f t="shared" ca="1" si="34"/>
        <v>488153.39173405146</v>
      </c>
      <c r="N51" s="3">
        <f t="shared" ca="1" si="35"/>
        <v>0</v>
      </c>
      <c r="O51" s="3">
        <f t="shared" si="36"/>
        <v>0</v>
      </c>
      <c r="P51" s="3">
        <f t="shared" si="37"/>
        <v>127741.549591449</v>
      </c>
      <c r="Q51" s="3">
        <f t="shared" si="38"/>
        <v>1107594.8963353804</v>
      </c>
      <c r="R51" s="3">
        <f t="shared" si="39"/>
        <v>0</v>
      </c>
      <c r="S51" s="47">
        <f t="shared" ca="1" si="48"/>
        <v>962244.13113355392</v>
      </c>
      <c r="T51" s="47">
        <f>'Monthly Data'!M51</f>
        <v>2799.655035368261</v>
      </c>
      <c r="U51" s="47">
        <f ca="1">+'Monthly Data'!N51</f>
        <v>6344.4761826569575</v>
      </c>
      <c r="V51" s="47">
        <f t="shared" ca="1" si="50"/>
        <v>971388.26235157915</v>
      </c>
    </row>
    <row r="52" spans="1:22">
      <c r="A52" s="2">
        <f>'Monthly Data'!A52</f>
        <v>43891</v>
      </c>
      <c r="B52">
        <f>'Monthly Data'!B52</f>
        <v>2020</v>
      </c>
      <c r="C52">
        <f>'Monthly Data'!C52</f>
        <v>3</v>
      </c>
      <c r="D52" s="3">
        <f>'Monthly Data'!L52</f>
        <v>971035.45888660883</v>
      </c>
      <c r="E52" s="3">
        <f t="shared" ref="E52:F52" ca="1" si="59">E40</f>
        <v>534.21590579710141</v>
      </c>
      <c r="F52" s="3">
        <f t="shared" ca="1" si="59"/>
        <v>0</v>
      </c>
      <c r="G52" s="3">
        <f>'Monthly Data'!EG52</f>
        <v>1</v>
      </c>
      <c r="H52">
        <f t="shared" si="10"/>
        <v>51</v>
      </c>
      <c r="I52" s="3">
        <f>'Monthly Data'!DQ52</f>
        <v>31</v>
      </c>
      <c r="J52" s="3">
        <f>'Monthly Data'!EO52</f>
        <v>240.78541666666672</v>
      </c>
      <c r="L52" s="3">
        <f t="shared" si="33"/>
        <v>-761245.70652732695</v>
      </c>
      <c r="M52" s="3">
        <f t="shared" ca="1" si="34"/>
        <v>431614.1750492705</v>
      </c>
      <c r="N52" s="3">
        <f t="shared" ca="1" si="35"/>
        <v>0</v>
      </c>
      <c r="O52" s="3">
        <f t="shared" si="36"/>
        <v>-62836.7660875816</v>
      </c>
      <c r="P52" s="3">
        <f t="shared" si="37"/>
        <v>130296.38058327799</v>
      </c>
      <c r="Q52" s="3">
        <f t="shared" si="38"/>
        <v>1183980.7512550617</v>
      </c>
      <c r="R52" s="3">
        <f t="shared" si="39"/>
        <v>130748.81992103452</v>
      </c>
      <c r="S52" s="47">
        <f t="shared" ca="1" si="48"/>
        <v>1052557.6541937361</v>
      </c>
      <c r="T52" s="47">
        <f>'Monthly Data'!M52</f>
        <v>2864.4110638827165</v>
      </c>
      <c r="U52" s="47">
        <f ca="1">+'Monthly Data'!N52</f>
        <v>4924.7496491708516</v>
      </c>
      <c r="V52" s="47">
        <f t="shared" ca="1" si="50"/>
        <v>1060346.8149067897</v>
      </c>
    </row>
    <row r="53" spans="1:22">
      <c r="A53" s="2">
        <f>'Monthly Data'!A53</f>
        <v>43922</v>
      </c>
      <c r="B53">
        <f>'Monthly Data'!B53</f>
        <v>2020</v>
      </c>
      <c r="C53">
        <f>'Monthly Data'!C53</f>
        <v>4</v>
      </c>
      <c r="D53" s="3">
        <f>'Monthly Data'!L53</f>
        <v>939852.88765402115</v>
      </c>
      <c r="E53" s="3">
        <f t="shared" ref="E53:F53" ca="1" si="60">E41</f>
        <v>352.92312500000003</v>
      </c>
      <c r="F53" s="3">
        <f t="shared" ca="1" si="60"/>
        <v>2.2025000000000015</v>
      </c>
      <c r="G53" s="3">
        <f>'Monthly Data'!EG53</f>
        <v>1</v>
      </c>
      <c r="H53">
        <f t="shared" si="10"/>
        <v>52</v>
      </c>
      <c r="I53" s="3">
        <f>'Monthly Data'!DQ53</f>
        <v>30</v>
      </c>
      <c r="J53" s="3">
        <f>'Monthly Data'!EO53</f>
        <v>379.67500000000013</v>
      </c>
      <c r="L53" s="3">
        <f t="shared" si="33"/>
        <v>-761245.70652732695</v>
      </c>
      <c r="M53" s="3">
        <f t="shared" ca="1" si="34"/>
        <v>285140.56170865905</v>
      </c>
      <c r="N53" s="3">
        <f t="shared" ca="1" si="35"/>
        <v>4065.2951988759241</v>
      </c>
      <c r="O53" s="3">
        <f t="shared" si="36"/>
        <v>-62836.7660875816</v>
      </c>
      <c r="P53" s="3">
        <f t="shared" si="37"/>
        <v>132851.21157510698</v>
      </c>
      <c r="Q53" s="3">
        <f t="shared" si="38"/>
        <v>1145787.823795221</v>
      </c>
      <c r="R53" s="3">
        <f t="shared" si="39"/>
        <v>206167.21266072849</v>
      </c>
      <c r="S53" s="47">
        <f t="shared" ca="1" si="48"/>
        <v>949929.63232368289</v>
      </c>
      <c r="T53" s="47">
        <f>'Monthly Data'!M53</f>
        <v>2929.1670923971724</v>
      </c>
      <c r="U53" s="47">
        <f ca="1">+'Monthly Data'!N53</f>
        <v>3882.7192047876865</v>
      </c>
      <c r="V53" s="47">
        <f t="shared" ca="1" si="50"/>
        <v>956741.51862086775</v>
      </c>
    </row>
    <row r="54" spans="1:22">
      <c r="A54" s="2">
        <f>'Monthly Data'!A54</f>
        <v>43952</v>
      </c>
      <c r="B54">
        <f>'Monthly Data'!B54</f>
        <v>2020</v>
      </c>
      <c r="C54">
        <f>'Monthly Data'!C54</f>
        <v>5</v>
      </c>
      <c r="D54" s="3">
        <f>'Monthly Data'!L54</f>
        <v>973626.75281715975</v>
      </c>
      <c r="E54" s="3">
        <f t="shared" ref="E54:F54" ca="1" si="61">E42</f>
        <v>155.24720841877425</v>
      </c>
      <c r="F54" s="3">
        <f t="shared" ca="1" si="61"/>
        <v>48.940113636363641</v>
      </c>
      <c r="G54" s="3">
        <f>'Monthly Data'!EG54</f>
        <v>1</v>
      </c>
      <c r="H54">
        <f t="shared" si="10"/>
        <v>53</v>
      </c>
      <c r="I54" s="3">
        <f>'Monthly Data'!DQ54</f>
        <v>31</v>
      </c>
      <c r="J54" s="3">
        <f>'Monthly Data'!EO54</f>
        <v>212.73690476190475</v>
      </c>
      <c r="L54" s="3">
        <f t="shared" si="33"/>
        <v>-761245.70652732695</v>
      </c>
      <c r="M54" s="3">
        <f t="shared" ca="1" si="34"/>
        <v>125430.36450850464</v>
      </c>
      <c r="N54" s="3">
        <f t="shared" ca="1" si="35"/>
        <v>90331.89965872922</v>
      </c>
      <c r="O54" s="3">
        <f t="shared" si="36"/>
        <v>-62836.7660875816</v>
      </c>
      <c r="P54" s="3">
        <f t="shared" si="37"/>
        <v>135406.04256693594</v>
      </c>
      <c r="Q54" s="3">
        <f t="shared" si="38"/>
        <v>1183980.7512550617</v>
      </c>
      <c r="R54" s="3">
        <f t="shared" si="39"/>
        <v>115518.20553060577</v>
      </c>
      <c r="S54" s="47">
        <f t="shared" ca="1" si="48"/>
        <v>826584.7909049287</v>
      </c>
      <c r="T54" s="47">
        <f>'Monthly Data'!M54</f>
        <v>2993.9231209116283</v>
      </c>
      <c r="U54" s="47">
        <f ca="1">+'Monthly Data'!N54</f>
        <v>2175.5387257157736</v>
      </c>
      <c r="V54" s="47">
        <f t="shared" ca="1" si="50"/>
        <v>831754.25275155611</v>
      </c>
    </row>
    <row r="55" spans="1:22">
      <c r="A55" s="2">
        <f>'Monthly Data'!A55</f>
        <v>43983</v>
      </c>
      <c r="B55">
        <f>'Monthly Data'!B55</f>
        <v>2020</v>
      </c>
      <c r="C55">
        <f>'Monthly Data'!C55</f>
        <v>6</v>
      </c>
      <c r="D55" s="3">
        <f>'Monthly Data'!L55</f>
        <v>895852.03057331673</v>
      </c>
      <c r="E55" s="3">
        <f t="shared" ref="E55:F55" ca="1" si="62">E43</f>
        <v>30.273840492840492</v>
      </c>
      <c r="F55" s="3">
        <f t="shared" ca="1" si="62"/>
        <v>144.91160087738351</v>
      </c>
      <c r="G55" s="3">
        <f>'Monthly Data'!EG55</f>
        <v>0</v>
      </c>
      <c r="H55">
        <f t="shared" si="10"/>
        <v>54</v>
      </c>
      <c r="I55" s="3">
        <f>'Monthly Data'!DQ55</f>
        <v>30</v>
      </c>
      <c r="J55" s="3">
        <f>'Monthly Data'!EO55</f>
        <v>14.866666666666674</v>
      </c>
      <c r="L55" s="3">
        <f t="shared" si="33"/>
        <v>-761245.70652732695</v>
      </c>
      <c r="M55" s="3">
        <f t="shared" ca="1" si="34"/>
        <v>24459.434000554327</v>
      </c>
      <c r="N55" s="3">
        <f t="shared" ca="1" si="35"/>
        <v>267472.61534994369</v>
      </c>
      <c r="O55" s="3">
        <f t="shared" si="36"/>
        <v>0</v>
      </c>
      <c r="P55" s="3">
        <f t="shared" si="37"/>
        <v>137960.87355876493</v>
      </c>
      <c r="Q55" s="3">
        <f t="shared" si="38"/>
        <v>1145787.823795221</v>
      </c>
      <c r="R55" s="3">
        <f t="shared" si="39"/>
        <v>8072.7443951348678</v>
      </c>
      <c r="S55" s="47">
        <f t="shared" ca="1" si="48"/>
        <v>822507.784572292</v>
      </c>
      <c r="T55" s="47">
        <f>'Monthly Data'!M55</f>
        <v>3058.6791494260842</v>
      </c>
      <c r="U55" s="47">
        <f ca="1">+'Monthly Data'!N55</f>
        <v>304.06580458467698</v>
      </c>
      <c r="V55" s="47">
        <f t="shared" ca="1" si="50"/>
        <v>825870.52952630271</v>
      </c>
    </row>
    <row r="56" spans="1:22">
      <c r="A56" s="2">
        <f>'Monthly Data'!A56</f>
        <v>44013</v>
      </c>
      <c r="B56">
        <f>'Monthly Data'!B56</f>
        <v>2020</v>
      </c>
      <c r="C56">
        <f>'Monthly Data'!C56</f>
        <v>7</v>
      </c>
      <c r="D56" s="3">
        <f>'Monthly Data'!L56</f>
        <v>1149912.3464519684</v>
      </c>
      <c r="E56" s="3">
        <f t="shared" ref="E56:F56" ca="1" si="63">E44</f>
        <v>1.0845833333333317</v>
      </c>
      <c r="F56" s="3">
        <f t="shared" ca="1" si="63"/>
        <v>242.72508692061183</v>
      </c>
      <c r="G56" s="3">
        <f>'Monthly Data'!EG56</f>
        <v>0</v>
      </c>
      <c r="H56">
        <f t="shared" ref="H56:H119" si="64">H55+1</f>
        <v>55</v>
      </c>
      <c r="I56" s="3">
        <f>'Monthly Data'!DQ56</f>
        <v>31</v>
      </c>
      <c r="J56" s="3">
        <f>'Monthly Data'!EO56</f>
        <v>0</v>
      </c>
      <c r="L56" s="3">
        <f t="shared" si="33"/>
        <v>-761245.70652732695</v>
      </c>
      <c r="M56" s="3">
        <f t="shared" ca="1" si="34"/>
        <v>876.27780380363561</v>
      </c>
      <c r="N56" s="3">
        <f t="shared" ca="1" si="35"/>
        <v>448013.2261090143</v>
      </c>
      <c r="O56" s="3">
        <f t="shared" si="36"/>
        <v>0</v>
      </c>
      <c r="P56" s="3">
        <f t="shared" si="37"/>
        <v>140515.70455059392</v>
      </c>
      <c r="Q56" s="3">
        <f t="shared" si="38"/>
        <v>1183980.7512550617</v>
      </c>
      <c r="R56" s="3">
        <f t="shared" si="39"/>
        <v>0</v>
      </c>
      <c r="S56" s="47">
        <f t="shared" ca="1" si="48"/>
        <v>1012140.2531911467</v>
      </c>
      <c r="T56" s="47">
        <f>'Monthly Data'!M56</f>
        <v>3123.4351779405401</v>
      </c>
      <c r="U56" s="47">
        <f ca="1">+'Monthly Data'!N56</f>
        <v>0</v>
      </c>
      <c r="V56" s="47">
        <f t="shared" ca="1" si="50"/>
        <v>1015263.6883690872</v>
      </c>
    </row>
    <row r="57" spans="1:22">
      <c r="A57" s="2">
        <f>'Monthly Data'!A57</f>
        <v>44044</v>
      </c>
      <c r="B57">
        <f>'Monthly Data'!B57</f>
        <v>2020</v>
      </c>
      <c r="C57">
        <f>'Monthly Data'!C57</f>
        <v>8</v>
      </c>
      <c r="D57" s="3">
        <f>'Monthly Data'!L57</f>
        <v>1099160.4082569701</v>
      </c>
      <c r="E57" s="3">
        <f t="shared" ref="E57:F57" ca="1" si="65">E45</f>
        <v>6.4245833333333335</v>
      </c>
      <c r="F57" s="3">
        <f t="shared" ca="1" si="65"/>
        <v>214.02558794466404</v>
      </c>
      <c r="G57" s="3">
        <f>'Monthly Data'!EG57</f>
        <v>0</v>
      </c>
      <c r="H57">
        <f t="shared" si="64"/>
        <v>56</v>
      </c>
      <c r="I57" s="3">
        <f>'Monthly Data'!DQ57</f>
        <v>31</v>
      </c>
      <c r="J57" s="3">
        <f>'Monthly Data'!EO57</f>
        <v>1.7437499999999986</v>
      </c>
      <c r="L57" s="3">
        <f t="shared" si="33"/>
        <v>-761245.70652732695</v>
      </c>
      <c r="M57" s="3">
        <f t="shared" ca="1" si="34"/>
        <v>5190.6751659040647</v>
      </c>
      <c r="N57" s="3">
        <f t="shared" ca="1" si="35"/>
        <v>395040.72422612441</v>
      </c>
      <c r="O57" s="3">
        <f t="shared" si="36"/>
        <v>0</v>
      </c>
      <c r="P57" s="3">
        <f t="shared" si="37"/>
        <v>143070.53554242288</v>
      </c>
      <c r="Q57" s="3">
        <f t="shared" si="38"/>
        <v>1183980.7512550617</v>
      </c>
      <c r="R57" s="3">
        <f t="shared" si="39"/>
        <v>946.87318648092423</v>
      </c>
      <c r="S57" s="47">
        <f t="shared" ca="1" si="48"/>
        <v>966983.85284866707</v>
      </c>
      <c r="T57" s="47">
        <f>'Monthly Data'!M57</f>
        <v>3188.1912064549961</v>
      </c>
      <c r="U57" s="47">
        <f ca="1">+'Monthly Data'!N57</f>
        <v>35.664669063533388</v>
      </c>
      <c r="V57" s="47">
        <f t="shared" ca="1" si="50"/>
        <v>970207.70872418559</v>
      </c>
    </row>
    <row r="58" spans="1:22">
      <c r="A58" s="2">
        <f>'Monthly Data'!A58</f>
        <v>44075</v>
      </c>
      <c r="B58">
        <f>'Monthly Data'!B58</f>
        <v>2020</v>
      </c>
      <c r="C58">
        <f>'Monthly Data'!C58</f>
        <v>9</v>
      </c>
      <c r="D58" s="3">
        <f>'Monthly Data'!L58</f>
        <v>955486.44697477587</v>
      </c>
      <c r="E58" s="3">
        <f t="shared" ref="E58:F58" ca="1" si="66">E46</f>
        <v>54.412952898550728</v>
      </c>
      <c r="F58" s="3">
        <f t="shared" ca="1" si="66"/>
        <v>102.40708333333332</v>
      </c>
      <c r="G58" s="3">
        <f>'Monthly Data'!EG58</f>
        <v>1</v>
      </c>
      <c r="H58">
        <f t="shared" si="64"/>
        <v>57</v>
      </c>
      <c r="I58" s="3">
        <f>'Monthly Data'!DQ58</f>
        <v>30</v>
      </c>
      <c r="J58" s="3">
        <f>'Monthly Data'!EO58</f>
        <v>42.521014492753622</v>
      </c>
      <c r="L58" s="3">
        <f t="shared" si="33"/>
        <v>-761245.70652732695</v>
      </c>
      <c r="M58" s="3">
        <f t="shared" ca="1" si="34"/>
        <v>43962.378361348696</v>
      </c>
      <c r="N58" s="3">
        <f t="shared" ca="1" si="35"/>
        <v>189019.30724444328</v>
      </c>
      <c r="O58" s="3">
        <f t="shared" si="36"/>
        <v>-62836.7660875816</v>
      </c>
      <c r="P58" s="3">
        <f t="shared" si="37"/>
        <v>145625.36653425187</v>
      </c>
      <c r="Q58" s="3">
        <f t="shared" si="38"/>
        <v>1145787.823795221</v>
      </c>
      <c r="R58" s="3">
        <f t="shared" si="39"/>
        <v>23089.323862454603</v>
      </c>
      <c r="S58" s="47">
        <f t="shared" ca="1" si="48"/>
        <v>723401.72718281078</v>
      </c>
      <c r="T58" s="47">
        <f>'Monthly Data'!M58</f>
        <v>3252.9472349694515</v>
      </c>
      <c r="U58" s="47">
        <f ca="1">+'Monthly Data'!N58</f>
        <v>869.67622086294841</v>
      </c>
      <c r="V58" s="47">
        <f t="shared" ca="1" si="50"/>
        <v>727524.35063864314</v>
      </c>
    </row>
    <row r="59" spans="1:22">
      <c r="A59" s="2">
        <f>'Monthly Data'!A59</f>
        <v>44105</v>
      </c>
      <c r="B59">
        <f>'Monthly Data'!B59</f>
        <v>2020</v>
      </c>
      <c r="C59">
        <f>'Monthly Data'!C59</f>
        <v>10</v>
      </c>
      <c r="D59" s="3">
        <f>'Monthly Data'!L59</f>
        <v>1117986.99153116</v>
      </c>
      <c r="E59" s="3">
        <f t="shared" ref="E59:F59" ca="1" si="67">E47</f>
        <v>232.21431159420285</v>
      </c>
      <c r="F59" s="3">
        <f t="shared" ca="1" si="67"/>
        <v>19.741250000000004</v>
      </c>
      <c r="G59" s="3">
        <f>'Monthly Data'!EG59</f>
        <v>1</v>
      </c>
      <c r="H59">
        <f t="shared" si="64"/>
        <v>58</v>
      </c>
      <c r="I59" s="3">
        <f>'Monthly Data'!DQ59</f>
        <v>31</v>
      </c>
      <c r="J59" s="3">
        <f>'Monthly Data'!EO59</f>
        <v>143.91666666666666</v>
      </c>
      <c r="L59" s="3">
        <f t="shared" si="33"/>
        <v>-761245.70652732695</v>
      </c>
      <c r="M59" s="3">
        <f t="shared" ca="1" si="34"/>
        <v>187615.1335925085</v>
      </c>
      <c r="N59" s="3">
        <f t="shared" ca="1" si="35"/>
        <v>36437.688465293664</v>
      </c>
      <c r="O59" s="3">
        <f t="shared" si="36"/>
        <v>-62836.7660875816</v>
      </c>
      <c r="P59" s="3">
        <f t="shared" si="37"/>
        <v>148180.19752608085</v>
      </c>
      <c r="Q59" s="3">
        <f t="shared" si="38"/>
        <v>1183980.7512550617</v>
      </c>
      <c r="R59" s="3">
        <f t="shared" si="39"/>
        <v>78148.147816131779</v>
      </c>
      <c r="S59" s="47">
        <f t="shared" ca="1" si="48"/>
        <v>810279.44604016794</v>
      </c>
      <c r="T59" s="47">
        <f>'Monthly Data'!M59</f>
        <v>3317.7032634839074</v>
      </c>
      <c r="U59" s="47">
        <f ca="1">+'Monthly Data'!N59</f>
        <v>2943.506975996283</v>
      </c>
      <c r="V59" s="47">
        <f t="shared" ca="1" si="50"/>
        <v>816540.65627964819</v>
      </c>
    </row>
    <row r="60" spans="1:22">
      <c r="A60" s="2">
        <f>'Monthly Data'!A60</f>
        <v>44136</v>
      </c>
      <c r="B60">
        <f>'Monthly Data'!B60</f>
        <v>2020</v>
      </c>
      <c r="C60">
        <f>'Monthly Data'!C60</f>
        <v>11</v>
      </c>
      <c r="D60" s="3">
        <f>'Monthly Data'!L60</f>
        <v>911841.24071452534</v>
      </c>
      <c r="E60" s="3">
        <f t="shared" ref="E60:F60" ca="1" si="68">E48</f>
        <v>435.51408055712398</v>
      </c>
      <c r="F60" s="3">
        <f t="shared" ca="1" si="68"/>
        <v>0.78124999999999944</v>
      </c>
      <c r="G60" s="3">
        <f>'Monthly Data'!EG60</f>
        <v>1</v>
      </c>
      <c r="H60">
        <f t="shared" si="64"/>
        <v>59</v>
      </c>
      <c r="I60" s="3">
        <f>'Monthly Data'!DQ60</f>
        <v>30</v>
      </c>
      <c r="J60" s="3">
        <f>'Monthly Data'!EO60</f>
        <v>183.15036231884059</v>
      </c>
      <c r="L60" s="3">
        <f t="shared" si="33"/>
        <v>-761245.70652732695</v>
      </c>
      <c r="M60" s="3">
        <f t="shared" ca="1" si="34"/>
        <v>351869.06372907275</v>
      </c>
      <c r="N60" s="3">
        <f t="shared" ca="1" si="35"/>
        <v>1442.0031210541708</v>
      </c>
      <c r="O60" s="3">
        <f t="shared" si="36"/>
        <v>-62836.7660875816</v>
      </c>
      <c r="P60" s="3">
        <f t="shared" si="37"/>
        <v>150735.02851790981</v>
      </c>
      <c r="Q60" s="3">
        <f t="shared" si="38"/>
        <v>1145787.823795221</v>
      </c>
      <c r="R60" s="3">
        <f t="shared" si="39"/>
        <v>99452.425619484755</v>
      </c>
      <c r="S60" s="47">
        <f t="shared" ca="1" si="48"/>
        <v>925203.87216783396</v>
      </c>
      <c r="T60" s="47">
        <f>'Monthly Data'!M60</f>
        <v>3382.4592919983634</v>
      </c>
      <c r="U60" s="47">
        <f ca="1">+'Monthly Data'!N60</f>
        <v>3745.9481353219735</v>
      </c>
      <c r="V60" s="47">
        <f t="shared" ca="1" si="50"/>
        <v>932332.27959515434</v>
      </c>
    </row>
    <row r="61" spans="1:22">
      <c r="A61" s="2">
        <f>'Monthly Data'!A61</f>
        <v>44166</v>
      </c>
      <c r="B61">
        <f>'Monthly Data'!B61</f>
        <v>2020</v>
      </c>
      <c r="C61">
        <f>'Monthly Data'!C61</f>
        <v>12</v>
      </c>
      <c r="D61" s="3">
        <f>'Monthly Data'!L61</f>
        <v>1242049.867926891</v>
      </c>
      <c r="E61" s="3">
        <f t="shared" ref="E61:F61" ca="1" si="69">E49</f>
        <v>602.38541666666674</v>
      </c>
      <c r="F61" s="3">
        <f t="shared" ca="1" si="69"/>
        <v>0</v>
      </c>
      <c r="G61" s="3">
        <f>'Monthly Data'!EG61</f>
        <v>0</v>
      </c>
      <c r="H61">
        <f t="shared" si="64"/>
        <v>60</v>
      </c>
      <c r="I61" s="3">
        <f>'Monthly Data'!DQ61</f>
        <v>31</v>
      </c>
      <c r="J61" s="3">
        <f>'Monthly Data'!EO61</f>
        <v>291.45208333333341</v>
      </c>
      <c r="L61" s="3">
        <f t="shared" si="33"/>
        <v>-761245.70652732695</v>
      </c>
      <c r="M61" s="3">
        <f t="shared" ca="1" si="34"/>
        <v>486691.02109259058</v>
      </c>
      <c r="N61" s="3">
        <f t="shared" ca="1" si="35"/>
        <v>0</v>
      </c>
      <c r="O61" s="3">
        <f t="shared" si="36"/>
        <v>0</v>
      </c>
      <c r="P61" s="3">
        <f t="shared" si="37"/>
        <v>153289.8595097388</v>
      </c>
      <c r="Q61" s="3">
        <f t="shared" si="38"/>
        <v>1183980.7512550617</v>
      </c>
      <c r="R61" s="3">
        <f t="shared" si="39"/>
        <v>158261.31203001435</v>
      </c>
      <c r="S61" s="47">
        <f t="shared" ca="1" si="48"/>
        <v>1220977.2373600786</v>
      </c>
      <c r="T61" s="47">
        <f>'Monthly Data'!M61</f>
        <v>3447.2153205128193</v>
      </c>
      <c r="U61" s="47">
        <f ca="1">+'Monthly Data'!N61</f>
        <v>5961.0277275760291</v>
      </c>
      <c r="V61" s="47">
        <f t="shared" ca="1" si="50"/>
        <v>1230385.4804081675</v>
      </c>
    </row>
    <row r="62" spans="1:22">
      <c r="A62" s="2">
        <f>'Monthly Data'!A62</f>
        <v>44197</v>
      </c>
      <c r="B62">
        <f>'Monthly Data'!B62</f>
        <v>2021</v>
      </c>
      <c r="C62">
        <f>'Monthly Data'!C62</f>
        <v>1</v>
      </c>
      <c r="D62" s="3">
        <f ca="1">'Monthly Data'!L62</f>
        <v>1355369.6795886769</v>
      </c>
      <c r="E62" s="3">
        <f t="shared" ref="E62:F62" ca="1" si="70">E50</f>
        <v>690.78750000000002</v>
      </c>
      <c r="F62" s="3">
        <f t="shared" ca="1" si="70"/>
        <v>0</v>
      </c>
      <c r="G62" s="3">
        <f>'Monthly Data'!EG62</f>
        <v>0</v>
      </c>
      <c r="H62">
        <f t="shared" si="64"/>
        <v>61</v>
      </c>
      <c r="I62" s="3">
        <f>'Monthly Data'!DQ62</f>
        <v>31</v>
      </c>
      <c r="J62" s="3">
        <f>'Monthly Data'!EO62</f>
        <v>326.7520833333333</v>
      </c>
      <c r="L62" s="3">
        <f t="shared" si="33"/>
        <v>-761245.70652732695</v>
      </c>
      <c r="M62" s="3">
        <f t="shared" ca="1" si="34"/>
        <v>558114.56325317395</v>
      </c>
      <c r="N62" s="3">
        <f t="shared" ca="1" si="35"/>
        <v>0</v>
      </c>
      <c r="O62" s="3">
        <f t="shared" si="36"/>
        <v>0</v>
      </c>
      <c r="P62" s="3">
        <f t="shared" si="37"/>
        <v>155844.69050156779</v>
      </c>
      <c r="Q62" s="3">
        <f t="shared" si="38"/>
        <v>1183980.7512550617</v>
      </c>
      <c r="R62" s="3">
        <f t="shared" si="39"/>
        <v>177429.55488752062</v>
      </c>
      <c r="S62" s="47">
        <f t="shared" ca="1" si="48"/>
        <v>1314123.8533699971</v>
      </c>
      <c r="T62" s="47">
        <f>'Monthly Data'!M62</f>
        <v>3639.605320416395</v>
      </c>
      <c r="U62" s="47">
        <f ca="1">+'Monthly Data'!N62</f>
        <v>12037.944067568456</v>
      </c>
      <c r="V62" s="47">
        <f t="shared" ca="1" si="50"/>
        <v>1329801.402757982</v>
      </c>
    </row>
    <row r="63" spans="1:22">
      <c r="A63" s="2">
        <f>'Monthly Data'!A63</f>
        <v>44228</v>
      </c>
      <c r="B63">
        <f>'Monthly Data'!B63</f>
        <v>2021</v>
      </c>
      <c r="C63">
        <f>'Monthly Data'!C63</f>
        <v>2</v>
      </c>
      <c r="D63" s="3">
        <f ca="1">'Monthly Data'!L63</f>
        <v>1327740.5738265323</v>
      </c>
      <c r="E63" s="3">
        <f t="shared" ref="E63:F63" ca="1" si="71">E51</f>
        <v>604.19541666666657</v>
      </c>
      <c r="F63" s="3">
        <f t="shared" ca="1" si="71"/>
        <v>0</v>
      </c>
      <c r="G63" s="3">
        <f>'Monthly Data'!EG63</f>
        <v>0</v>
      </c>
      <c r="H63">
        <f t="shared" si="64"/>
        <v>62</v>
      </c>
      <c r="I63" s="3">
        <f>'Monthly Data'!DQ63</f>
        <v>28</v>
      </c>
      <c r="J63" s="3">
        <f>'Monthly Data'!EO63</f>
        <v>326.72708333333327</v>
      </c>
      <c r="L63" s="3">
        <f t="shared" si="33"/>
        <v>-761245.70652732695</v>
      </c>
      <c r="M63" s="3">
        <f t="shared" ca="1" si="34"/>
        <v>488153.39173405146</v>
      </c>
      <c r="N63" s="3">
        <f t="shared" ca="1" si="35"/>
        <v>0</v>
      </c>
      <c r="O63" s="3">
        <f t="shared" si="36"/>
        <v>0</v>
      </c>
      <c r="P63" s="3">
        <f t="shared" si="37"/>
        <v>158399.52149339678</v>
      </c>
      <c r="Q63" s="3">
        <f t="shared" si="38"/>
        <v>1069401.9688755395</v>
      </c>
      <c r="R63" s="3">
        <f t="shared" si="39"/>
        <v>177415.97964470365</v>
      </c>
      <c r="S63" s="47">
        <f t="shared" ca="1" si="48"/>
        <v>1132125.1552203645</v>
      </c>
      <c r="T63" s="47">
        <f>'Monthly Data'!M63</f>
        <v>3767.2392918055152</v>
      </c>
      <c r="U63" s="47">
        <f ca="1">+'Monthly Data'!N63</f>
        <v>12037.023037169447</v>
      </c>
      <c r="V63" s="47">
        <f t="shared" ca="1" si="50"/>
        <v>1147929.4175493394</v>
      </c>
    </row>
    <row r="64" spans="1:22">
      <c r="A64" s="2">
        <f>'Monthly Data'!A64</f>
        <v>44256</v>
      </c>
      <c r="B64">
        <f>'Monthly Data'!B64</f>
        <v>2021</v>
      </c>
      <c r="C64">
        <f>'Monthly Data'!C64</f>
        <v>3</v>
      </c>
      <c r="D64" s="3">
        <f ca="1">'Monthly Data'!L64</f>
        <v>1125054.6216228688</v>
      </c>
      <c r="E64" s="3">
        <f t="shared" ref="E64:F64" ca="1" si="72">E52</f>
        <v>534.21590579710141</v>
      </c>
      <c r="F64" s="3">
        <f t="shared" ca="1" si="72"/>
        <v>0</v>
      </c>
      <c r="G64" s="3">
        <f>'Monthly Data'!EG64</f>
        <v>1</v>
      </c>
      <c r="H64">
        <f t="shared" si="64"/>
        <v>63</v>
      </c>
      <c r="I64" s="3">
        <f>'Monthly Data'!DQ64</f>
        <v>31</v>
      </c>
      <c r="J64" s="3">
        <f>'Monthly Data'!EO64</f>
        <v>246.29818840579708</v>
      </c>
      <c r="L64" s="3">
        <f t="shared" si="33"/>
        <v>-761245.70652732695</v>
      </c>
      <c r="M64" s="3">
        <f t="shared" ca="1" si="34"/>
        <v>431614.1750492705</v>
      </c>
      <c r="N64" s="3">
        <f t="shared" ca="1" si="35"/>
        <v>0</v>
      </c>
      <c r="O64" s="3">
        <f t="shared" si="36"/>
        <v>-62836.7660875816</v>
      </c>
      <c r="P64" s="3">
        <f t="shared" si="37"/>
        <v>160954.35248522574</v>
      </c>
      <c r="Q64" s="3">
        <f t="shared" si="38"/>
        <v>1183980.7512550617</v>
      </c>
      <c r="R64" s="3">
        <f t="shared" si="39"/>
        <v>133742.30851915487</v>
      </c>
      <c r="S64" s="47">
        <f t="shared" ca="1" si="48"/>
        <v>1086209.1146938042</v>
      </c>
      <c r="T64" s="47">
        <f>'Monthly Data'!M64</f>
        <v>3894.8732631946359</v>
      </c>
      <c r="U64" s="47">
        <f ca="1">+'Monthly Data'!N64</f>
        <v>9073.9247496940407</v>
      </c>
      <c r="V64" s="47">
        <f t="shared" ca="1" si="50"/>
        <v>1099177.9127066929</v>
      </c>
    </row>
    <row r="65" spans="1:22">
      <c r="A65" s="2">
        <f>'Monthly Data'!A65</f>
        <v>44287</v>
      </c>
      <c r="B65">
        <f>'Monthly Data'!B65</f>
        <v>2021</v>
      </c>
      <c r="C65">
        <f>'Monthly Data'!C65</f>
        <v>4</v>
      </c>
      <c r="D65" s="3">
        <f ca="1">'Monthly Data'!L65</f>
        <v>943603.97253883979</v>
      </c>
      <c r="E65" s="3">
        <f t="shared" ref="E65:F65" ca="1" si="73">E53</f>
        <v>352.92312500000003</v>
      </c>
      <c r="F65" s="3">
        <f t="shared" ca="1" si="73"/>
        <v>2.2025000000000015</v>
      </c>
      <c r="G65" s="3">
        <f>'Monthly Data'!EG65</f>
        <v>1</v>
      </c>
      <c r="H65">
        <f t="shared" si="64"/>
        <v>64</v>
      </c>
      <c r="I65" s="3">
        <f>'Monthly Data'!DQ65</f>
        <v>30</v>
      </c>
      <c r="J65" s="3">
        <f>'Monthly Data'!EO65</f>
        <v>159.89791666666665</v>
      </c>
      <c r="L65" s="3">
        <f t="shared" si="33"/>
        <v>-761245.70652732695</v>
      </c>
      <c r="M65" s="3">
        <f t="shared" ca="1" si="34"/>
        <v>285140.56170865905</v>
      </c>
      <c r="N65" s="3">
        <f t="shared" ca="1" si="35"/>
        <v>4065.2951988759241</v>
      </c>
      <c r="O65" s="3">
        <f t="shared" si="36"/>
        <v>-62836.7660875816</v>
      </c>
      <c r="P65" s="3">
        <f t="shared" si="37"/>
        <v>163509.18347705473</v>
      </c>
      <c r="Q65" s="3">
        <f t="shared" si="38"/>
        <v>1145787.823795221</v>
      </c>
      <c r="R65" s="3">
        <f t="shared" si="39"/>
        <v>86826.121786854797</v>
      </c>
      <c r="S65" s="47">
        <f t="shared" ca="1" si="48"/>
        <v>861246.51335175696</v>
      </c>
      <c r="T65" s="47">
        <f>'Monthly Data'!M65</f>
        <v>4022.5072345837561</v>
      </c>
      <c r="U65" s="47">
        <f ca="1">+'Monthly Data'!N65</f>
        <v>5890.8336795222322</v>
      </c>
      <c r="V65" s="47">
        <f t="shared" ca="1" si="50"/>
        <v>871159.85426586296</v>
      </c>
    </row>
    <row r="66" spans="1:22">
      <c r="A66" s="2">
        <f>'Monthly Data'!A66</f>
        <v>44317</v>
      </c>
      <c r="B66">
        <f>'Monthly Data'!B66</f>
        <v>2021</v>
      </c>
      <c r="C66">
        <f>'Monthly Data'!C66</f>
        <v>5</v>
      </c>
      <c r="D66" s="3">
        <f ca="1">'Monthly Data'!L66</f>
        <v>958419.74130445695</v>
      </c>
      <c r="E66" s="3">
        <f t="shared" ref="E66:F66" ca="1" si="74">E54</f>
        <v>155.24720841877425</v>
      </c>
      <c r="F66" s="3">
        <f t="shared" ca="1" si="74"/>
        <v>48.940113636363641</v>
      </c>
      <c r="G66" s="3">
        <f>'Monthly Data'!EG66</f>
        <v>1</v>
      </c>
      <c r="H66">
        <f t="shared" si="64"/>
        <v>65</v>
      </c>
      <c r="I66" s="3">
        <f>'Monthly Data'!DQ66</f>
        <v>31</v>
      </c>
      <c r="J66" s="3">
        <f>'Monthly Data'!EO66</f>
        <v>86.821527777777774</v>
      </c>
      <c r="L66" s="3">
        <f t="shared" ref="L66:L97" si="75">$Z$8</f>
        <v>-761245.70652732695</v>
      </c>
      <c r="M66" s="3">
        <f t="shared" ref="M66:M97" ca="1" si="76">E66*$Z$9</f>
        <v>125430.36450850464</v>
      </c>
      <c r="N66" s="3">
        <f t="shared" ref="N66:N97" ca="1" si="77">F66*$Z$10</f>
        <v>90331.89965872922</v>
      </c>
      <c r="O66" s="3">
        <f t="shared" ref="O66:O97" si="78">G66*$Z$11</f>
        <v>-62836.7660875816</v>
      </c>
      <c r="P66" s="3">
        <f t="shared" ref="P66:P97" si="79">H66*$Z$12</f>
        <v>166064.01446888372</v>
      </c>
      <c r="Q66" s="3">
        <f t="shared" ref="Q66:Q97" si="80">I66*$Z$13</f>
        <v>1183980.7512550617</v>
      </c>
      <c r="R66" s="3">
        <f t="shared" ref="R66:R97" si="81">J66*$Z$14</f>
        <v>47144.932852809514</v>
      </c>
      <c r="S66" s="47">
        <f t="shared" ca="1" si="48"/>
        <v>788869.49012908025</v>
      </c>
      <c r="T66" s="47">
        <f>'Monthly Data'!M66</f>
        <v>4150.1412059728764</v>
      </c>
      <c r="U66" s="47">
        <f ca="1">+'Monthly Data'!N66</f>
        <v>3198.6106548662046</v>
      </c>
      <c r="V66" s="47">
        <f t="shared" ca="1" si="50"/>
        <v>796218.24198991933</v>
      </c>
    </row>
    <row r="67" spans="1:22">
      <c r="A67" s="2">
        <f>'Monthly Data'!A67</f>
        <v>44348</v>
      </c>
      <c r="B67">
        <f>'Monthly Data'!B67</f>
        <v>2021</v>
      </c>
      <c r="C67">
        <f>'Monthly Data'!C67</f>
        <v>6</v>
      </c>
      <c r="D67" s="3">
        <f ca="1">'Monthly Data'!L67</f>
        <v>836078.92692754301</v>
      </c>
      <c r="E67" s="3">
        <f t="shared" ref="E67:F67" ca="1" si="82">E55</f>
        <v>30.273840492840492</v>
      </c>
      <c r="F67" s="3">
        <f t="shared" ca="1" si="82"/>
        <v>144.91160087738351</v>
      </c>
      <c r="G67" s="3">
        <f>'Monthly Data'!EG67</f>
        <v>0</v>
      </c>
      <c r="H67">
        <f t="shared" si="64"/>
        <v>66</v>
      </c>
      <c r="I67" s="3">
        <f>'Monthly Data'!DQ67</f>
        <v>30</v>
      </c>
      <c r="J67" s="3">
        <f>'Monthly Data'!EO67</f>
        <v>7.1270833333333385</v>
      </c>
      <c r="L67" s="3">
        <f t="shared" si="75"/>
        <v>-761245.70652732695</v>
      </c>
      <c r="M67" s="3">
        <f t="shared" ca="1" si="76"/>
        <v>24459.434000554327</v>
      </c>
      <c r="N67" s="3">
        <f t="shared" ca="1" si="77"/>
        <v>267472.61534994369</v>
      </c>
      <c r="O67" s="3">
        <f t="shared" si="78"/>
        <v>0</v>
      </c>
      <c r="P67" s="3">
        <f t="shared" si="79"/>
        <v>168618.84546071268</v>
      </c>
      <c r="Q67" s="3">
        <f t="shared" si="80"/>
        <v>1145787.823795221</v>
      </c>
      <c r="R67" s="3">
        <f t="shared" si="81"/>
        <v>3870.075473060032</v>
      </c>
      <c r="S67" s="47">
        <f t="shared" ca="1" si="48"/>
        <v>848963.0875521648</v>
      </c>
      <c r="T67" s="47">
        <f>'Monthly Data'!M67</f>
        <v>4277.7751773619966</v>
      </c>
      <c r="U67" s="47">
        <f ca="1">+'Monthly Data'!N67</f>
        <v>262.57041625054495</v>
      </c>
      <c r="V67" s="47">
        <f t="shared" ca="1" si="50"/>
        <v>853503.43314577732</v>
      </c>
    </row>
    <row r="68" spans="1:22">
      <c r="A68" s="2">
        <f>'Monthly Data'!A68</f>
        <v>44378</v>
      </c>
      <c r="B68">
        <f>'Monthly Data'!B68</f>
        <v>2021</v>
      </c>
      <c r="C68">
        <f>'Monthly Data'!C68</f>
        <v>7</v>
      </c>
      <c r="D68" s="3">
        <f ca="1">'Monthly Data'!L68</f>
        <v>1087156.4306960222</v>
      </c>
      <c r="E68" s="3">
        <f t="shared" ref="E68:F68" ca="1" si="83">E56</f>
        <v>1.0845833333333317</v>
      </c>
      <c r="F68" s="3">
        <f t="shared" ca="1" si="83"/>
        <v>242.72508692061183</v>
      </c>
      <c r="G68" s="3">
        <f>'Monthly Data'!EG68</f>
        <v>0</v>
      </c>
      <c r="H68">
        <f t="shared" si="64"/>
        <v>67</v>
      </c>
      <c r="I68" s="3">
        <f>'Monthly Data'!DQ68</f>
        <v>31</v>
      </c>
      <c r="J68" s="3">
        <f>'Monthly Data'!EO68</f>
        <v>2.6770833333333286</v>
      </c>
      <c r="L68" s="3">
        <f t="shared" si="75"/>
        <v>-761245.70652732695</v>
      </c>
      <c r="M68" s="3">
        <f t="shared" ca="1" si="76"/>
        <v>876.27780380363561</v>
      </c>
      <c r="N68" s="3">
        <f t="shared" ca="1" si="77"/>
        <v>448013.2261090143</v>
      </c>
      <c r="O68" s="3">
        <f t="shared" si="78"/>
        <v>0</v>
      </c>
      <c r="P68" s="3">
        <f t="shared" si="79"/>
        <v>171173.67645254167</v>
      </c>
      <c r="Q68" s="3">
        <f t="shared" si="80"/>
        <v>1183980.7512550617</v>
      </c>
      <c r="R68" s="3">
        <f t="shared" si="81"/>
        <v>1453.6822516463399</v>
      </c>
      <c r="S68" s="47">
        <f t="shared" ca="1" si="48"/>
        <v>1044251.9073447407</v>
      </c>
      <c r="T68" s="47">
        <f>'Monthly Data'!M68</f>
        <v>4405.4091487511168</v>
      </c>
      <c r="U68" s="47">
        <f ca="1">+'Monthly Data'!N68</f>
        <v>98.627005227111781</v>
      </c>
      <c r="V68" s="47">
        <f t="shared" ca="1" si="50"/>
        <v>1048755.943498719</v>
      </c>
    </row>
    <row r="69" spans="1:22">
      <c r="A69" s="2">
        <f>'Monthly Data'!A69</f>
        <v>44409</v>
      </c>
      <c r="B69">
        <f>'Monthly Data'!B69</f>
        <v>2021</v>
      </c>
      <c r="C69">
        <f>'Monthly Data'!C69</f>
        <v>8</v>
      </c>
      <c r="D69" s="3">
        <f ca="1">'Monthly Data'!L69</f>
        <v>1141208.4345599029</v>
      </c>
      <c r="E69" s="3">
        <f t="shared" ref="E69:F69" ca="1" si="84">E57</f>
        <v>6.4245833333333335</v>
      </c>
      <c r="F69" s="3">
        <f t="shared" ca="1" si="84"/>
        <v>214.02558794466404</v>
      </c>
      <c r="G69" s="3">
        <f>'Monthly Data'!EG69</f>
        <v>0</v>
      </c>
      <c r="H69">
        <f t="shared" si="64"/>
        <v>68</v>
      </c>
      <c r="I69" s="3">
        <f>'Monthly Data'!DQ69</f>
        <v>31</v>
      </c>
      <c r="J69" s="3">
        <f>'Monthly Data'!EO69</f>
        <v>0.34583333333333321</v>
      </c>
      <c r="L69" s="3">
        <f t="shared" si="75"/>
        <v>-761245.70652732695</v>
      </c>
      <c r="M69" s="3">
        <f t="shared" ca="1" si="76"/>
        <v>5190.6751659040647</v>
      </c>
      <c r="N69" s="3">
        <f t="shared" ca="1" si="77"/>
        <v>395040.72422612441</v>
      </c>
      <c r="O69" s="3">
        <f t="shared" si="78"/>
        <v>0</v>
      </c>
      <c r="P69" s="3">
        <f t="shared" si="79"/>
        <v>173728.50744437065</v>
      </c>
      <c r="Q69" s="3">
        <f t="shared" si="80"/>
        <v>1183980.7512550617</v>
      </c>
      <c r="R69" s="3">
        <f t="shared" si="81"/>
        <v>187.79085896754302</v>
      </c>
      <c r="S69" s="47">
        <f t="shared" ca="1" si="48"/>
        <v>996882.74242310144</v>
      </c>
      <c r="T69" s="47">
        <f>'Monthly Data'!M69</f>
        <v>4533.0431201402371</v>
      </c>
      <c r="U69" s="47">
        <f ca="1">+'Monthly Data'!N69</f>
        <v>12.740920519611345</v>
      </c>
      <c r="V69" s="47">
        <f t="shared" ca="1" si="50"/>
        <v>1001428.5264637612</v>
      </c>
    </row>
    <row r="70" spans="1:22">
      <c r="A70" s="2">
        <f>'Monthly Data'!A70</f>
        <v>44440</v>
      </c>
      <c r="B70">
        <f>'Monthly Data'!B70</f>
        <v>2021</v>
      </c>
      <c r="C70">
        <f>'Monthly Data'!C70</f>
        <v>9</v>
      </c>
      <c r="D70" s="3">
        <f ca="1">'Monthly Data'!L70</f>
        <v>831578.26754990488</v>
      </c>
      <c r="E70" s="3">
        <f t="shared" ref="E70:F70" ca="1" si="85">E58</f>
        <v>54.412952898550728</v>
      </c>
      <c r="F70" s="3">
        <f t="shared" ca="1" si="85"/>
        <v>102.40708333333332</v>
      </c>
      <c r="G70" s="3">
        <f>'Monthly Data'!EG70</f>
        <v>1</v>
      </c>
      <c r="H70">
        <f t="shared" si="64"/>
        <v>69</v>
      </c>
      <c r="I70" s="3">
        <f>'Monthly Data'!DQ70</f>
        <v>30</v>
      </c>
      <c r="J70" s="3">
        <f>'Monthly Data'!EO70</f>
        <v>22.839583333333337</v>
      </c>
      <c r="L70" s="3">
        <f t="shared" si="75"/>
        <v>-761245.70652732695</v>
      </c>
      <c r="M70" s="3">
        <f t="shared" ca="1" si="76"/>
        <v>43962.378361348696</v>
      </c>
      <c r="N70" s="3">
        <f t="shared" ca="1" si="77"/>
        <v>189019.30724444328</v>
      </c>
      <c r="O70" s="3">
        <f t="shared" si="78"/>
        <v>-62836.7660875816</v>
      </c>
      <c r="P70" s="3">
        <f t="shared" si="79"/>
        <v>176283.33843619964</v>
      </c>
      <c r="Q70" s="3">
        <f t="shared" si="80"/>
        <v>1145787.823795221</v>
      </c>
      <c r="R70" s="3">
        <f t="shared" si="81"/>
        <v>12402.115583501054</v>
      </c>
      <c r="S70" s="47">
        <f t="shared" ca="1" si="48"/>
        <v>743372.49080580496</v>
      </c>
      <c r="T70" s="47">
        <f>'Monthly Data'!M70</f>
        <v>4660.6770915293573</v>
      </c>
      <c r="U70" s="47">
        <f ca="1">+'Monthly Data'!N70</f>
        <v>841.4380220271039</v>
      </c>
      <c r="V70" s="47">
        <f t="shared" ca="1" si="50"/>
        <v>748874.60591936146</v>
      </c>
    </row>
    <row r="71" spans="1:22">
      <c r="A71" s="2">
        <f>'Monthly Data'!A71</f>
        <v>44470</v>
      </c>
      <c r="B71">
        <f>'Monthly Data'!B71</f>
        <v>2021</v>
      </c>
      <c r="C71">
        <f>'Monthly Data'!C71</f>
        <v>10</v>
      </c>
      <c r="D71" s="3">
        <f ca="1">'Monthly Data'!L71</f>
        <v>837307.57045977039</v>
      </c>
      <c r="E71" s="3">
        <f t="shared" ref="E71:F71" ca="1" si="86">E59</f>
        <v>232.21431159420285</v>
      </c>
      <c r="F71" s="3">
        <f t="shared" ca="1" si="86"/>
        <v>19.741250000000004</v>
      </c>
      <c r="G71" s="3">
        <f>'Monthly Data'!EG71</f>
        <v>1</v>
      </c>
      <c r="H71">
        <f t="shared" si="64"/>
        <v>70</v>
      </c>
      <c r="I71" s="3">
        <f>'Monthly Data'!DQ71</f>
        <v>31</v>
      </c>
      <c r="J71" s="3">
        <f>'Monthly Data'!EO71</f>
        <v>76.737499999999983</v>
      </c>
      <c r="L71" s="3">
        <f t="shared" si="75"/>
        <v>-761245.70652732695</v>
      </c>
      <c r="M71" s="3">
        <f t="shared" ca="1" si="76"/>
        <v>187615.1335925085</v>
      </c>
      <c r="N71" s="3">
        <f t="shared" ca="1" si="77"/>
        <v>36437.688465293664</v>
      </c>
      <c r="O71" s="3">
        <f t="shared" si="78"/>
        <v>-62836.7660875816</v>
      </c>
      <c r="P71" s="3">
        <f t="shared" si="79"/>
        <v>178838.1694280286</v>
      </c>
      <c r="Q71" s="3">
        <f t="shared" si="80"/>
        <v>1183980.7512550617</v>
      </c>
      <c r="R71" s="3">
        <f t="shared" si="81"/>
        <v>41669.20782656916</v>
      </c>
      <c r="S71" s="47">
        <f t="shared" ca="1" si="48"/>
        <v>804458.47795255308</v>
      </c>
      <c r="T71" s="47">
        <f>'Monthly Data'!M71</f>
        <v>4788.3110629184775</v>
      </c>
      <c r="U71" s="47">
        <f ca="1">+'Monthly Data'!N71</f>
        <v>2827.1028097552071</v>
      </c>
      <c r="V71" s="47">
        <f t="shared" ca="1" si="50"/>
        <v>812073.89182522683</v>
      </c>
    </row>
    <row r="72" spans="1:22">
      <c r="A72" s="2">
        <f>'Monthly Data'!A72</f>
        <v>44501</v>
      </c>
      <c r="B72">
        <f>'Monthly Data'!B72</f>
        <v>2021</v>
      </c>
      <c r="C72">
        <f>'Monthly Data'!C72</f>
        <v>11</v>
      </c>
      <c r="D72" s="3">
        <f ca="1">'Monthly Data'!L72</f>
        <v>922268.76337154093</v>
      </c>
      <c r="E72" s="3">
        <f t="shared" ref="E72:F72" ca="1" si="87">E60</f>
        <v>435.51408055712398</v>
      </c>
      <c r="F72" s="3">
        <f t="shared" ca="1" si="87"/>
        <v>0.78124999999999944</v>
      </c>
      <c r="G72" s="3">
        <f>'Monthly Data'!EG72</f>
        <v>1</v>
      </c>
      <c r="H72">
        <f t="shared" si="64"/>
        <v>71</v>
      </c>
      <c r="I72" s="3">
        <f>'Monthly Data'!DQ72</f>
        <v>30</v>
      </c>
      <c r="J72" s="3">
        <f>'Monthly Data'!EO72</f>
        <v>223.15630175983435</v>
      </c>
      <c r="L72" s="3">
        <f t="shared" si="75"/>
        <v>-761245.70652732695</v>
      </c>
      <c r="M72" s="3">
        <f t="shared" ca="1" si="76"/>
        <v>351869.06372907275</v>
      </c>
      <c r="N72" s="3">
        <f t="shared" ca="1" si="77"/>
        <v>1442.0031210541708</v>
      </c>
      <c r="O72" s="3">
        <f t="shared" si="78"/>
        <v>-62836.7660875816</v>
      </c>
      <c r="P72" s="3">
        <f t="shared" si="79"/>
        <v>181393.00041985759</v>
      </c>
      <c r="Q72" s="3">
        <f t="shared" si="80"/>
        <v>1145787.823795221</v>
      </c>
      <c r="R72" s="3">
        <f t="shared" si="81"/>
        <v>121176.03930072155</v>
      </c>
      <c r="S72" s="47">
        <f t="shared" ca="1" si="48"/>
        <v>977585.45775101846</v>
      </c>
      <c r="T72" s="47">
        <f>'Monthly Data'!M72</f>
        <v>4915.9450343075978</v>
      </c>
      <c r="U72" s="47">
        <f ca="1">+'Monthly Data'!N72</f>
        <v>8221.3495060408368</v>
      </c>
      <c r="V72" s="47">
        <f t="shared" ca="1" si="50"/>
        <v>990722.75229136681</v>
      </c>
    </row>
    <row r="73" spans="1:22">
      <c r="A73" s="2">
        <f>'Monthly Data'!A73</f>
        <v>44531</v>
      </c>
      <c r="B73">
        <f>'Monthly Data'!B73</f>
        <v>2021</v>
      </c>
      <c r="C73">
        <f>'Monthly Data'!C73</f>
        <v>12</v>
      </c>
      <c r="D73" s="3">
        <f ca="1">'Monthly Data'!L73</f>
        <v>1177373.5264989219</v>
      </c>
      <c r="E73" s="3">
        <f t="shared" ref="E73:F73" ca="1" si="88">E61</f>
        <v>602.38541666666674</v>
      </c>
      <c r="F73" s="3">
        <f t="shared" ca="1" si="88"/>
        <v>0</v>
      </c>
      <c r="G73" s="3">
        <f>'Monthly Data'!EG73</f>
        <v>0</v>
      </c>
      <c r="H73">
        <f t="shared" si="64"/>
        <v>72</v>
      </c>
      <c r="I73" s="3">
        <f>'Monthly Data'!DQ73</f>
        <v>31</v>
      </c>
      <c r="J73" s="3">
        <f>'Monthly Data'!EO73</f>
        <v>266.52291666666673</v>
      </c>
      <c r="L73" s="3">
        <f t="shared" si="75"/>
        <v>-761245.70652732695</v>
      </c>
      <c r="M73" s="3">
        <f t="shared" ca="1" si="76"/>
        <v>486691.02109259058</v>
      </c>
      <c r="N73" s="3">
        <f t="shared" ca="1" si="77"/>
        <v>0</v>
      </c>
      <c r="O73" s="3">
        <f t="shared" si="78"/>
        <v>0</v>
      </c>
      <c r="P73" s="3">
        <f t="shared" si="79"/>
        <v>183947.83141168658</v>
      </c>
      <c r="Q73" s="3">
        <f t="shared" si="80"/>
        <v>1183980.7512550617</v>
      </c>
      <c r="R73" s="3">
        <f t="shared" si="81"/>
        <v>144724.53240106482</v>
      </c>
      <c r="S73" s="47">
        <f t="shared" ca="1" si="48"/>
        <v>1238098.4296330768</v>
      </c>
      <c r="T73" s="47">
        <f>'Monthly Data'!M73</f>
        <v>5043.579005696718</v>
      </c>
      <c r="U73" s="47">
        <f ca="1">+'Monthly Data'!N73</f>
        <v>9819.0283312915672</v>
      </c>
      <c r="V73" s="47">
        <f t="shared" ca="1" si="50"/>
        <v>1252961.0369700652</v>
      </c>
    </row>
    <row r="74" spans="1:22">
      <c r="A74" s="2">
        <f>'Monthly Data'!A74</f>
        <v>44562</v>
      </c>
      <c r="B74">
        <f>'Monthly Data'!B74</f>
        <v>2022</v>
      </c>
      <c r="C74">
        <f>'Monthly Data'!C74</f>
        <v>1</v>
      </c>
      <c r="D74" s="3">
        <f ca="1">'Monthly Data'!L74</f>
        <v>1573486.7801179711</v>
      </c>
      <c r="E74" s="3">
        <f t="shared" ref="E74:F74" ca="1" si="89">E62</f>
        <v>690.78750000000002</v>
      </c>
      <c r="F74" s="3">
        <f t="shared" ca="1" si="89"/>
        <v>0</v>
      </c>
      <c r="G74" s="3">
        <f>'Monthly Data'!EG74</f>
        <v>0</v>
      </c>
      <c r="H74">
        <f t="shared" si="64"/>
        <v>73</v>
      </c>
      <c r="I74" s="3">
        <f>'Monthly Data'!DQ74</f>
        <v>31</v>
      </c>
      <c r="J74" s="3">
        <f>'Monthly Data'!EO74</f>
        <v>206.37291666666664</v>
      </c>
      <c r="L74" s="3">
        <f t="shared" si="75"/>
        <v>-761245.70652732695</v>
      </c>
      <c r="M74" s="3">
        <f t="shared" ca="1" si="76"/>
        <v>558114.56325317395</v>
      </c>
      <c r="N74" s="3">
        <f t="shared" ca="1" si="77"/>
        <v>0</v>
      </c>
      <c r="O74" s="3">
        <f t="shared" si="78"/>
        <v>0</v>
      </c>
      <c r="P74" s="3">
        <f t="shared" si="79"/>
        <v>186502.66240351554</v>
      </c>
      <c r="Q74" s="3">
        <f t="shared" si="80"/>
        <v>1183980.7512550617</v>
      </c>
      <c r="R74" s="3">
        <f t="shared" si="81"/>
        <v>112062.4981835292</v>
      </c>
      <c r="S74" s="47">
        <f t="shared" ref="S74:S97" ca="1" si="90">SUM(L74:R74)</f>
        <v>1279414.7685679535</v>
      </c>
      <c r="T74" s="47">
        <f>'Monthly Data'!M74</f>
        <v>5459.6760212440968</v>
      </c>
      <c r="U74" s="47">
        <f ca="1">+'Monthly Data'!N74</f>
        <v>22035.755805605473</v>
      </c>
      <c r="V74" s="47">
        <f t="shared" ca="1" si="50"/>
        <v>1306910.2003948032</v>
      </c>
    </row>
    <row r="75" spans="1:22">
      <c r="A75" s="2">
        <f>'Monthly Data'!A75</f>
        <v>44593</v>
      </c>
      <c r="B75">
        <f>'Monthly Data'!B75</f>
        <v>2022</v>
      </c>
      <c r="C75">
        <f>'Monthly Data'!C75</f>
        <v>2</v>
      </c>
      <c r="D75" s="3">
        <f ca="1">'Monthly Data'!L75</f>
        <v>1312765.9861364339</v>
      </c>
      <c r="E75" s="3">
        <f t="shared" ref="E75:F75" ca="1" si="91">E63</f>
        <v>604.19541666666657</v>
      </c>
      <c r="F75" s="3">
        <f t="shared" ca="1" si="91"/>
        <v>0</v>
      </c>
      <c r="G75" s="3">
        <f>'Monthly Data'!EG75</f>
        <v>0</v>
      </c>
      <c r="H75">
        <f t="shared" si="64"/>
        <v>74</v>
      </c>
      <c r="I75" s="3">
        <f>'Monthly Data'!DQ75</f>
        <v>28</v>
      </c>
      <c r="J75" s="3">
        <f>'Monthly Data'!EO75</f>
        <v>159.21249999999998</v>
      </c>
      <c r="L75" s="3">
        <f t="shared" si="75"/>
        <v>-761245.70652732695</v>
      </c>
      <c r="M75" s="3">
        <f t="shared" ca="1" si="76"/>
        <v>488153.39173405146</v>
      </c>
      <c r="N75" s="3">
        <f t="shared" ca="1" si="77"/>
        <v>0</v>
      </c>
      <c r="O75" s="3">
        <f t="shared" si="78"/>
        <v>0</v>
      </c>
      <c r="P75" s="3">
        <f t="shared" si="79"/>
        <v>189057.49339534453</v>
      </c>
      <c r="Q75" s="3">
        <f t="shared" si="80"/>
        <v>1069401.9688755395</v>
      </c>
      <c r="R75" s="3">
        <f t="shared" si="81"/>
        <v>86453.933879623946</v>
      </c>
      <c r="S75" s="47">
        <f t="shared" ca="1" si="90"/>
        <v>1071821.0813572325</v>
      </c>
      <c r="T75" s="47">
        <f>'Monthly Data'!M75</f>
        <v>5748.1390654023544</v>
      </c>
      <c r="U75" s="47">
        <f ca="1">+'Monthly Data'!N75</f>
        <v>17000.1365870439</v>
      </c>
      <c r="V75" s="47">
        <f t="shared" ca="1" si="50"/>
        <v>1094569.3570096788</v>
      </c>
    </row>
    <row r="76" spans="1:22">
      <c r="A76" s="2">
        <f>'Monthly Data'!A76</f>
        <v>44621</v>
      </c>
      <c r="B76">
        <f>'Monthly Data'!B76</f>
        <v>2022</v>
      </c>
      <c r="C76">
        <f>'Monthly Data'!C76</f>
        <v>3</v>
      </c>
      <c r="D76" s="3">
        <f ca="1">'Monthly Data'!L76</f>
        <v>1229848.7429658109</v>
      </c>
      <c r="E76" s="3">
        <f t="shared" ref="E76:F76" ca="1" si="92">E64</f>
        <v>534.21590579710141</v>
      </c>
      <c r="F76" s="3">
        <f t="shared" ca="1" si="92"/>
        <v>0</v>
      </c>
      <c r="G76" s="3">
        <f>'Monthly Data'!EG76</f>
        <v>1</v>
      </c>
      <c r="H76">
        <f t="shared" si="64"/>
        <v>75</v>
      </c>
      <c r="I76" s="3">
        <f>'Monthly Data'!DQ76</f>
        <v>31</v>
      </c>
      <c r="J76" s="3">
        <f>'Monthly Data'!EO76</f>
        <v>136.18020833333333</v>
      </c>
      <c r="L76" s="3">
        <f t="shared" si="75"/>
        <v>-761245.70652732695</v>
      </c>
      <c r="M76" s="3">
        <f t="shared" ca="1" si="76"/>
        <v>431614.1750492705</v>
      </c>
      <c r="N76" s="3">
        <f t="shared" ca="1" si="77"/>
        <v>0</v>
      </c>
      <c r="O76" s="3">
        <f t="shared" si="78"/>
        <v>-62836.7660875816</v>
      </c>
      <c r="P76" s="3">
        <f t="shared" si="79"/>
        <v>191612.32438717352</v>
      </c>
      <c r="Q76" s="3">
        <f t="shared" si="80"/>
        <v>1183980.7512550617</v>
      </c>
      <c r="R76" s="3">
        <f t="shared" si="81"/>
        <v>73947.175799409059</v>
      </c>
      <c r="S76" s="47">
        <f t="shared" ca="1" si="90"/>
        <v>1057071.9538760064</v>
      </c>
      <c r="T76" s="47">
        <f>'Monthly Data'!M76</f>
        <v>6036.6021095606129</v>
      </c>
      <c r="U76" s="47">
        <f ca="1">+'Monthly Data'!N76</f>
        <v>14540.831543495395</v>
      </c>
      <c r="V76" s="47">
        <f t="shared" ca="1" si="50"/>
        <v>1077649.3875290623</v>
      </c>
    </row>
    <row r="77" spans="1:22">
      <c r="A77" s="2">
        <f>'Monthly Data'!A77</f>
        <v>44652</v>
      </c>
      <c r="B77">
        <f>'Monthly Data'!B77</f>
        <v>2022</v>
      </c>
      <c r="C77">
        <f>'Monthly Data'!C77</f>
        <v>4</v>
      </c>
      <c r="D77" s="3">
        <f ca="1">'Monthly Data'!L77</f>
        <v>951453.03453092533</v>
      </c>
      <c r="E77" s="3">
        <f t="shared" ref="E77:F77" ca="1" si="93">E65</f>
        <v>352.92312500000003</v>
      </c>
      <c r="F77" s="3">
        <f t="shared" ca="1" si="93"/>
        <v>2.2025000000000015</v>
      </c>
      <c r="G77" s="3">
        <f>'Monthly Data'!EG77</f>
        <v>1</v>
      </c>
      <c r="H77">
        <f t="shared" si="64"/>
        <v>76</v>
      </c>
      <c r="I77" s="3">
        <f>'Monthly Data'!DQ77</f>
        <v>30</v>
      </c>
      <c r="J77" s="3">
        <f>'Monthly Data'!EO77</f>
        <v>88.583333333333329</v>
      </c>
      <c r="L77" s="3">
        <f t="shared" si="75"/>
        <v>-761245.70652732695</v>
      </c>
      <c r="M77" s="3">
        <f t="shared" ca="1" si="76"/>
        <v>285140.56170865905</v>
      </c>
      <c r="N77" s="3">
        <f t="shared" ca="1" si="77"/>
        <v>4065.2951988759241</v>
      </c>
      <c r="O77" s="3">
        <f t="shared" si="78"/>
        <v>-62836.7660875816</v>
      </c>
      <c r="P77" s="3">
        <f t="shared" si="79"/>
        <v>194167.15537900248</v>
      </c>
      <c r="Q77" s="3">
        <f t="shared" si="80"/>
        <v>1145787.823795221</v>
      </c>
      <c r="R77" s="3">
        <f t="shared" si="81"/>
        <v>48101.610381324885</v>
      </c>
      <c r="S77" s="47">
        <f t="shared" ca="1" si="90"/>
        <v>853179.97384817479</v>
      </c>
      <c r="T77" s="47">
        <f>'Monthly Data'!M77</f>
        <v>6325.0651537188714</v>
      </c>
      <c r="U77" s="47">
        <f ca="1">+'Monthly Data'!N77</f>
        <v>9458.6088780862392</v>
      </c>
      <c r="V77" s="47">
        <f t="shared" ca="1" si="50"/>
        <v>868963.64787997992</v>
      </c>
    </row>
    <row r="78" spans="1:22">
      <c r="A78" s="2">
        <f>'Monthly Data'!A78</f>
        <v>44682</v>
      </c>
      <c r="B78">
        <f>'Monthly Data'!B78</f>
        <v>2022</v>
      </c>
      <c r="C78">
        <f>'Monthly Data'!C78</f>
        <v>5</v>
      </c>
      <c r="D78" s="3">
        <f ca="1">'Monthly Data'!L78</f>
        <v>794069.68317484157</v>
      </c>
      <c r="E78" s="3">
        <f t="shared" ref="E78:F78" ca="1" si="94">E66</f>
        <v>155.24720841877425</v>
      </c>
      <c r="F78" s="3">
        <f t="shared" ca="1" si="94"/>
        <v>48.940113636363641</v>
      </c>
      <c r="G78" s="3">
        <f>'Monthly Data'!EG78</f>
        <v>1</v>
      </c>
      <c r="H78">
        <f t="shared" si="64"/>
        <v>77</v>
      </c>
      <c r="I78" s="3">
        <f>'Monthly Data'!DQ78</f>
        <v>31</v>
      </c>
      <c r="J78" s="3">
        <f>'Monthly Data'!EO78</f>
        <v>27.377083333333331</v>
      </c>
      <c r="L78" s="3">
        <f t="shared" si="75"/>
        <v>-761245.70652732695</v>
      </c>
      <c r="M78" s="3">
        <f t="shared" ca="1" si="76"/>
        <v>125430.36450850464</v>
      </c>
      <c r="N78" s="3">
        <f t="shared" ca="1" si="77"/>
        <v>90331.89965872922</v>
      </c>
      <c r="O78" s="3">
        <f t="shared" si="78"/>
        <v>-62836.7660875816</v>
      </c>
      <c r="P78" s="3">
        <f t="shared" si="79"/>
        <v>196721.98637083147</v>
      </c>
      <c r="Q78" s="3">
        <f t="shared" si="80"/>
        <v>1183980.7512550617</v>
      </c>
      <c r="R78" s="3">
        <f t="shared" si="81"/>
        <v>14866.022154773997</v>
      </c>
      <c r="S78" s="47">
        <f t="shared" ca="1" si="90"/>
        <v>787248.5513329925</v>
      </c>
      <c r="T78" s="47">
        <f>'Monthly Data'!M78</f>
        <v>6613.52819787713</v>
      </c>
      <c r="U78" s="47">
        <f ca="1">+'Monthly Data'!N78</f>
        <v>2923.2262292316855</v>
      </c>
      <c r="V78" s="47">
        <f t="shared" ca="1" si="50"/>
        <v>796785.3057601013</v>
      </c>
    </row>
    <row r="79" spans="1:22">
      <c r="A79" s="2">
        <f>'Monthly Data'!A79</f>
        <v>44713</v>
      </c>
      <c r="B79">
        <f>'Monthly Data'!B79</f>
        <v>2022</v>
      </c>
      <c r="C79">
        <f>'Monthly Data'!C79</f>
        <v>6</v>
      </c>
      <c r="D79" s="3">
        <f ca="1">'Monthly Data'!L79</f>
        <v>781317.23414655763</v>
      </c>
      <c r="E79" s="3">
        <f t="shared" ref="E79:F79" ca="1" si="95">E67</f>
        <v>30.273840492840492</v>
      </c>
      <c r="F79" s="3">
        <f t="shared" ca="1" si="95"/>
        <v>144.91160087738351</v>
      </c>
      <c r="G79" s="3">
        <f>'Monthly Data'!EG79</f>
        <v>0</v>
      </c>
      <c r="H79">
        <f t="shared" si="64"/>
        <v>78</v>
      </c>
      <c r="I79" s="3">
        <f>'Monthly Data'!DQ79</f>
        <v>30</v>
      </c>
      <c r="J79" s="3">
        <f>'Monthly Data'!EO79</f>
        <v>9.0416277472527469</v>
      </c>
      <c r="L79" s="3">
        <f t="shared" si="75"/>
        <v>-761245.70652732695</v>
      </c>
      <c r="M79" s="3">
        <f t="shared" ca="1" si="76"/>
        <v>24459.434000554327</v>
      </c>
      <c r="N79" s="3">
        <f t="shared" ca="1" si="77"/>
        <v>267472.61534994369</v>
      </c>
      <c r="O79" s="3">
        <f t="shared" si="78"/>
        <v>0</v>
      </c>
      <c r="P79" s="3">
        <f t="shared" si="79"/>
        <v>199276.81736266045</v>
      </c>
      <c r="Q79" s="3">
        <f t="shared" si="80"/>
        <v>1145787.823795221</v>
      </c>
      <c r="R79" s="3">
        <f t="shared" si="81"/>
        <v>4909.6916851702117</v>
      </c>
      <c r="S79" s="47">
        <f t="shared" ca="1" si="90"/>
        <v>880660.67566622281</v>
      </c>
      <c r="T79" s="47">
        <f>'Monthly Data'!M79</f>
        <v>6901.9912420353885</v>
      </c>
      <c r="U79" s="47">
        <f ca="1">+'Monthly Data'!N79</f>
        <v>965.43240431814547</v>
      </c>
      <c r="V79" s="47">
        <f t="shared" ca="1" si="50"/>
        <v>888528.09931257635</v>
      </c>
    </row>
    <row r="80" spans="1:22">
      <c r="A80" s="2">
        <f>'Monthly Data'!A80</f>
        <v>44743</v>
      </c>
      <c r="B80">
        <f>'Monthly Data'!B80</f>
        <v>2022</v>
      </c>
      <c r="C80">
        <f>'Monthly Data'!C80</f>
        <v>7</v>
      </c>
      <c r="D80" s="3">
        <f ca="1">'Monthly Data'!L80</f>
        <v>1052209.1074708784</v>
      </c>
      <c r="E80" s="3">
        <f t="shared" ref="E80:F80" ca="1" si="96">E68</f>
        <v>1.0845833333333317</v>
      </c>
      <c r="F80" s="3">
        <f t="shared" ca="1" si="96"/>
        <v>242.72508692061183</v>
      </c>
      <c r="G80" s="3">
        <f>'Monthly Data'!EG80</f>
        <v>0</v>
      </c>
      <c r="H80">
        <f t="shared" si="64"/>
        <v>79</v>
      </c>
      <c r="I80" s="3">
        <f>'Monthly Data'!DQ80</f>
        <v>31</v>
      </c>
      <c r="J80" s="3">
        <f>'Monthly Data'!EO80</f>
        <v>0.15520833333333339</v>
      </c>
      <c r="L80" s="3">
        <f t="shared" si="75"/>
        <v>-761245.70652732695</v>
      </c>
      <c r="M80" s="3">
        <f t="shared" ca="1" si="76"/>
        <v>876.27780380363561</v>
      </c>
      <c r="N80" s="3">
        <f t="shared" ca="1" si="77"/>
        <v>448013.2261090143</v>
      </c>
      <c r="O80" s="3">
        <f t="shared" si="78"/>
        <v>0</v>
      </c>
      <c r="P80" s="3">
        <f t="shared" si="79"/>
        <v>201831.64835448944</v>
      </c>
      <c r="Q80" s="3">
        <f t="shared" si="80"/>
        <v>1183980.7512550617</v>
      </c>
      <c r="R80" s="3">
        <f t="shared" si="81"/>
        <v>84.279632488445571</v>
      </c>
      <c r="S80" s="47">
        <f t="shared" ca="1" si="90"/>
        <v>1073540.4766275308</v>
      </c>
      <c r="T80" s="47">
        <f>'Monthly Data'!M80</f>
        <v>7190.4542861936461</v>
      </c>
      <c r="U80" s="47">
        <f ca="1">+'Monthly Data'!N80</f>
        <v>16.572586110475662</v>
      </c>
      <c r="V80" s="47">
        <f t="shared" ca="1" si="50"/>
        <v>1080747.503499835</v>
      </c>
    </row>
    <row r="81" spans="1:22">
      <c r="A81" s="2">
        <f>'Monthly Data'!A81</f>
        <v>44774</v>
      </c>
      <c r="B81">
        <f>'Monthly Data'!B81</f>
        <v>2022</v>
      </c>
      <c r="C81">
        <f>'Monthly Data'!C81</f>
        <v>8</v>
      </c>
      <c r="D81" s="3">
        <f ca="1">'Monthly Data'!L81</f>
        <v>1032789.0557141075</v>
      </c>
      <c r="E81" s="3">
        <f t="shared" ref="E81:F81" ca="1" si="97">E69</f>
        <v>6.4245833333333335</v>
      </c>
      <c r="F81" s="3">
        <f t="shared" ca="1" si="97"/>
        <v>214.02558794466404</v>
      </c>
      <c r="G81" s="3">
        <f>'Monthly Data'!EG81</f>
        <v>0</v>
      </c>
      <c r="H81">
        <f t="shared" si="64"/>
        <v>80</v>
      </c>
      <c r="I81" s="3">
        <f>'Monthly Data'!DQ81</f>
        <v>31</v>
      </c>
      <c r="J81" s="3">
        <f>'Monthly Data'!EO81</f>
        <v>0.19062500000000071</v>
      </c>
      <c r="L81" s="3">
        <f t="shared" si="75"/>
        <v>-761245.70652732695</v>
      </c>
      <c r="M81" s="3">
        <f t="shared" ca="1" si="76"/>
        <v>5190.6751659040647</v>
      </c>
      <c r="N81" s="3">
        <f t="shared" ca="1" si="77"/>
        <v>395040.72422612441</v>
      </c>
      <c r="O81" s="3">
        <f t="shared" si="78"/>
        <v>0</v>
      </c>
      <c r="P81" s="3">
        <f t="shared" si="79"/>
        <v>204386.4793463184</v>
      </c>
      <c r="Q81" s="3">
        <f t="shared" si="80"/>
        <v>1183980.7512550617</v>
      </c>
      <c r="R81" s="3">
        <f t="shared" si="81"/>
        <v>103.51122647909793</v>
      </c>
      <c r="S81" s="47">
        <f t="shared" ca="1" si="90"/>
        <v>1027456.4346925608</v>
      </c>
      <c r="T81" s="47">
        <f>'Monthly Data'!M81</f>
        <v>7478.9173303519046</v>
      </c>
      <c r="U81" s="47">
        <f ca="1">+'Monthly Data'!N81</f>
        <v>20.354250055148032</v>
      </c>
      <c r="V81" s="47">
        <f t="shared" ca="1" si="50"/>
        <v>1034955.7062729679</v>
      </c>
    </row>
    <row r="82" spans="1:22">
      <c r="A82" s="2">
        <f>'Monthly Data'!A82</f>
        <v>44805</v>
      </c>
      <c r="B82">
        <f>'Monthly Data'!B82</f>
        <v>2022</v>
      </c>
      <c r="C82">
        <f>'Monthly Data'!C82</f>
        <v>9</v>
      </c>
      <c r="D82" s="3">
        <f ca="1">'Monthly Data'!L82</f>
        <v>816507.33273047267</v>
      </c>
      <c r="E82" s="3">
        <f t="shared" ref="E82:F82" ca="1" si="98">E70</f>
        <v>54.412952898550728</v>
      </c>
      <c r="F82" s="3">
        <f t="shared" ca="1" si="98"/>
        <v>102.40708333333332</v>
      </c>
      <c r="G82" s="3">
        <f>'Monthly Data'!EG82</f>
        <v>1</v>
      </c>
      <c r="H82">
        <f t="shared" si="64"/>
        <v>81</v>
      </c>
      <c r="I82" s="3">
        <f>'Monthly Data'!DQ82</f>
        <v>30</v>
      </c>
      <c r="J82" s="3">
        <f>'Monthly Data'!EO82</f>
        <v>17.853124999999999</v>
      </c>
      <c r="L82" s="3">
        <f t="shared" si="75"/>
        <v>-761245.70652732695</v>
      </c>
      <c r="M82" s="3">
        <f t="shared" ca="1" si="76"/>
        <v>43962.378361348696</v>
      </c>
      <c r="N82" s="3">
        <f t="shared" ca="1" si="77"/>
        <v>189019.30724444328</v>
      </c>
      <c r="O82" s="3">
        <f t="shared" si="78"/>
        <v>-62836.7660875816</v>
      </c>
      <c r="P82" s="3">
        <f t="shared" si="79"/>
        <v>206941.31033814739</v>
      </c>
      <c r="Q82" s="3">
        <f t="shared" si="80"/>
        <v>1145787.823795221</v>
      </c>
      <c r="R82" s="3">
        <f t="shared" si="81"/>
        <v>9694.4202766407252</v>
      </c>
      <c r="S82" s="47">
        <f t="shared" ca="1" si="90"/>
        <v>771322.76740089245</v>
      </c>
      <c r="T82" s="47">
        <f>'Monthly Data'!M82</f>
        <v>7767.3803745101632</v>
      </c>
      <c r="U82" s="47">
        <f ca="1">+'Monthly Data'!N82</f>
        <v>1906.2923043452502</v>
      </c>
      <c r="V82" s="47">
        <f t="shared" ca="1" si="50"/>
        <v>780996.44007974793</v>
      </c>
    </row>
    <row r="83" spans="1:22">
      <c r="A83" s="2">
        <f>'Monthly Data'!A83</f>
        <v>44835</v>
      </c>
      <c r="B83">
        <f>'Monthly Data'!B83</f>
        <v>2022</v>
      </c>
      <c r="C83">
        <f>'Monthly Data'!C83</f>
        <v>10</v>
      </c>
      <c r="D83" s="3">
        <f ca="1">'Monthly Data'!L83</f>
        <v>979108.59671497159</v>
      </c>
      <c r="E83" s="3">
        <f t="shared" ref="E83:F83" ca="1" si="99">E71</f>
        <v>232.21431159420285</v>
      </c>
      <c r="F83" s="3">
        <f t="shared" ca="1" si="99"/>
        <v>19.741250000000004</v>
      </c>
      <c r="G83" s="3">
        <f>'Monthly Data'!EG83</f>
        <v>1</v>
      </c>
      <c r="H83">
        <f t="shared" si="64"/>
        <v>82</v>
      </c>
      <c r="I83" s="3">
        <f>'Monthly Data'!DQ83</f>
        <v>31</v>
      </c>
      <c r="J83" s="3">
        <f>'Monthly Data'!EO83</f>
        <v>67.213903985507244</v>
      </c>
      <c r="L83" s="3">
        <f t="shared" si="75"/>
        <v>-761245.70652732695</v>
      </c>
      <c r="M83" s="3">
        <f t="shared" ca="1" si="76"/>
        <v>187615.1335925085</v>
      </c>
      <c r="N83" s="3">
        <f t="shared" ca="1" si="77"/>
        <v>36437.688465293664</v>
      </c>
      <c r="O83" s="3">
        <f t="shared" si="78"/>
        <v>-62836.7660875816</v>
      </c>
      <c r="P83" s="3">
        <f t="shared" si="79"/>
        <v>209496.14132997638</v>
      </c>
      <c r="Q83" s="3">
        <f t="shared" si="80"/>
        <v>1183980.7512550617</v>
      </c>
      <c r="R83" s="3">
        <f t="shared" si="81"/>
        <v>36497.802691085417</v>
      </c>
      <c r="S83" s="47">
        <f t="shared" ca="1" si="90"/>
        <v>829945.04471901699</v>
      </c>
      <c r="T83" s="47">
        <f>'Monthly Data'!M83</f>
        <v>8055.8434186684217</v>
      </c>
      <c r="U83" s="47">
        <f ca="1">+'Monthly Data'!N83</f>
        <v>7176.8582762162368</v>
      </c>
      <c r="V83" s="47">
        <f t="shared" ca="1" si="50"/>
        <v>845177.74641390156</v>
      </c>
    </row>
    <row r="84" spans="1:22">
      <c r="A84" s="2">
        <f>'Monthly Data'!A84</f>
        <v>44866</v>
      </c>
      <c r="B84">
        <f>'Monthly Data'!B84</f>
        <v>2022</v>
      </c>
      <c r="C84">
        <f>'Monthly Data'!C84</f>
        <v>11</v>
      </c>
      <c r="D84" s="3">
        <f ca="1">'Monthly Data'!L84</f>
        <v>877282.78951076814</v>
      </c>
      <c r="E84" s="3">
        <f t="shared" ref="E84:F84" ca="1" si="100">E72</f>
        <v>435.51408055712398</v>
      </c>
      <c r="F84" s="3">
        <f t="shared" ca="1" si="100"/>
        <v>0.78124999999999944</v>
      </c>
      <c r="G84" s="3">
        <f>'Monthly Data'!EG84</f>
        <v>1</v>
      </c>
      <c r="H84">
        <f t="shared" si="64"/>
        <v>83</v>
      </c>
      <c r="I84" s="3">
        <f>'Monthly Data'!DQ84</f>
        <v>30</v>
      </c>
      <c r="J84" s="3">
        <f>'Monthly Data'!EO84</f>
        <v>102.95833333333337</v>
      </c>
      <c r="L84" s="3">
        <f t="shared" si="75"/>
        <v>-761245.70652732695</v>
      </c>
      <c r="M84" s="3">
        <f t="shared" ca="1" si="76"/>
        <v>351869.06372907275</v>
      </c>
      <c r="N84" s="3">
        <f t="shared" ca="1" si="77"/>
        <v>1442.0031210541708</v>
      </c>
      <c r="O84" s="3">
        <f t="shared" si="78"/>
        <v>-62836.7660875816</v>
      </c>
      <c r="P84" s="3">
        <f t="shared" si="79"/>
        <v>212050.97232180534</v>
      </c>
      <c r="Q84" s="3">
        <f t="shared" si="80"/>
        <v>1145787.823795221</v>
      </c>
      <c r="R84" s="3">
        <f t="shared" si="81"/>
        <v>55907.375001060136</v>
      </c>
      <c r="S84" s="47">
        <f t="shared" ca="1" si="90"/>
        <v>942974.7653533048</v>
      </c>
      <c r="T84" s="47">
        <f>'Monthly Data'!M84</f>
        <v>8344.3064628266802</v>
      </c>
      <c r="U84" s="47">
        <f ca="1">+'Monthly Data'!N84</f>
        <v>10993.519537982647</v>
      </c>
      <c r="V84" s="47">
        <f t="shared" ca="1" si="50"/>
        <v>962312.59135411412</v>
      </c>
    </row>
    <row r="85" spans="1:22">
      <c r="A85" s="2">
        <f>'Monthly Data'!A85</f>
        <v>44896</v>
      </c>
      <c r="B85">
        <f>'Monthly Data'!B85</f>
        <v>2022</v>
      </c>
      <c r="C85">
        <f>'Monthly Data'!C85</f>
        <v>12</v>
      </c>
      <c r="D85" s="3">
        <f ca="1">'Monthly Data'!L85</f>
        <v>1148874.4785381979</v>
      </c>
      <c r="E85" s="3">
        <f t="shared" ref="E85:F85" ca="1" si="101">E73</f>
        <v>602.38541666666674</v>
      </c>
      <c r="F85" s="3">
        <f t="shared" ca="1" si="101"/>
        <v>0</v>
      </c>
      <c r="G85" s="3">
        <f>'Monthly Data'!EG85</f>
        <v>0</v>
      </c>
      <c r="H85">
        <f t="shared" si="64"/>
        <v>84</v>
      </c>
      <c r="I85" s="3">
        <f>'Monthly Data'!DQ85</f>
        <v>31</v>
      </c>
      <c r="J85" s="3">
        <f>'Monthly Data'!EO85</f>
        <v>146.28020833333332</v>
      </c>
      <c r="L85" s="3">
        <f t="shared" si="75"/>
        <v>-761245.70652732695</v>
      </c>
      <c r="M85" s="3">
        <f t="shared" ca="1" si="76"/>
        <v>486691.02109259058</v>
      </c>
      <c r="N85" s="3">
        <f t="shared" ca="1" si="77"/>
        <v>0</v>
      </c>
      <c r="O85" s="3">
        <f t="shared" si="78"/>
        <v>0</v>
      </c>
      <c r="P85" s="3">
        <f t="shared" si="79"/>
        <v>214605.80331363433</v>
      </c>
      <c r="Q85" s="3">
        <f t="shared" si="80"/>
        <v>1183980.7512550617</v>
      </c>
      <c r="R85" s="3">
        <f t="shared" si="81"/>
        <v>79431.573897449111</v>
      </c>
      <c r="S85" s="47">
        <f t="shared" ca="1" si="90"/>
        <v>1203463.4430314088</v>
      </c>
      <c r="T85" s="47">
        <f>'Monthly Data'!M85</f>
        <v>8632.7695069849378</v>
      </c>
      <c r="U85" s="47">
        <f ca="1">+'Monthly Data'!N85</f>
        <v>15619.273120187823</v>
      </c>
      <c r="V85" s="47">
        <f t="shared" ca="1" si="50"/>
        <v>1227715.4856585816</v>
      </c>
    </row>
    <row r="86" spans="1:22">
      <c r="A86" s="2">
        <f>'Monthly Data'!A86</f>
        <v>44927</v>
      </c>
      <c r="B86">
        <f>'Monthly Data'!B86</f>
        <v>2023</v>
      </c>
      <c r="C86">
        <f>'Monthly Data'!C86</f>
        <v>1</v>
      </c>
      <c r="D86" s="3">
        <f ca="1">'Monthly Data'!L86</f>
        <v>1227407.8108569772</v>
      </c>
      <c r="E86" s="3">
        <f t="shared" ref="E86:F86" ca="1" si="102">E74</f>
        <v>690.78750000000002</v>
      </c>
      <c r="F86" s="3">
        <f t="shared" ca="1" si="102"/>
        <v>0</v>
      </c>
      <c r="G86" s="3">
        <f>'Monthly Data'!EG86</f>
        <v>0</v>
      </c>
      <c r="H86">
        <f t="shared" si="64"/>
        <v>85</v>
      </c>
      <c r="I86" s="3">
        <f>'Monthly Data'!DQ86</f>
        <v>31</v>
      </c>
      <c r="J86" s="3">
        <f>'Monthly Data'!EO86</f>
        <v>0</v>
      </c>
      <c r="L86" s="3">
        <f t="shared" si="75"/>
        <v>-761245.70652732695</v>
      </c>
      <c r="M86" s="3">
        <f t="shared" ca="1" si="76"/>
        <v>558114.56325317395</v>
      </c>
      <c r="N86" s="3">
        <f t="shared" ca="1" si="77"/>
        <v>0</v>
      </c>
      <c r="O86" s="3">
        <f t="shared" si="78"/>
        <v>0</v>
      </c>
      <c r="P86" s="3">
        <f t="shared" si="79"/>
        <v>217160.63430546332</v>
      </c>
      <c r="Q86" s="3">
        <f t="shared" si="80"/>
        <v>1183980.7512550617</v>
      </c>
      <c r="R86" s="3">
        <f t="shared" si="81"/>
        <v>0</v>
      </c>
      <c r="S86" s="47">
        <f t="shared" ca="1" si="90"/>
        <v>1198010.242286372</v>
      </c>
      <c r="T86" s="47">
        <f>'Monthly Data'!M86</f>
        <v>9281.3694333171297</v>
      </c>
      <c r="U86" s="47">
        <f ca="1">+'Monthly Data'!N86</f>
        <v>21575.385202963793</v>
      </c>
      <c r="V86" s="47">
        <f t="shared" ca="1" si="50"/>
        <v>1228866.9969226529</v>
      </c>
    </row>
    <row r="87" spans="1:22">
      <c r="A87" s="2">
        <f>'Monthly Data'!A87</f>
        <v>44958</v>
      </c>
      <c r="B87">
        <f>'Monthly Data'!B87</f>
        <v>2023</v>
      </c>
      <c r="C87">
        <f>'Monthly Data'!C87</f>
        <v>2</v>
      </c>
      <c r="D87" s="3">
        <f ca="1">'Monthly Data'!L87</f>
        <v>1183092.8110215238</v>
      </c>
      <c r="E87" s="3">
        <f t="shared" ref="E87:F87" ca="1" si="103">E75</f>
        <v>604.19541666666657</v>
      </c>
      <c r="F87" s="3">
        <f t="shared" ca="1" si="103"/>
        <v>0</v>
      </c>
      <c r="G87" s="3">
        <f>'Monthly Data'!EG87</f>
        <v>0</v>
      </c>
      <c r="H87">
        <f t="shared" si="64"/>
        <v>86</v>
      </c>
      <c r="I87" s="3">
        <f>'Monthly Data'!DQ87</f>
        <v>28</v>
      </c>
      <c r="J87" s="3">
        <f>'Monthly Data'!EO87</f>
        <v>0</v>
      </c>
      <c r="L87" s="3">
        <f t="shared" si="75"/>
        <v>-761245.70652732695</v>
      </c>
      <c r="M87" s="3">
        <f t="shared" ca="1" si="76"/>
        <v>488153.39173405146</v>
      </c>
      <c r="N87" s="3">
        <f t="shared" ca="1" si="77"/>
        <v>0</v>
      </c>
      <c r="O87" s="3">
        <f t="shared" si="78"/>
        <v>0</v>
      </c>
      <c r="P87" s="3">
        <f t="shared" si="79"/>
        <v>219715.46529729228</v>
      </c>
      <c r="Q87" s="3">
        <f t="shared" si="80"/>
        <v>1069401.9688755395</v>
      </c>
      <c r="R87" s="3">
        <f t="shared" si="81"/>
        <v>0</v>
      </c>
      <c r="S87" s="47">
        <f t="shared" ca="1" si="90"/>
        <v>1016025.1193795563</v>
      </c>
      <c r="T87" s="47">
        <f>'Monthly Data'!M87</f>
        <v>9641.5063154910622</v>
      </c>
      <c r="U87" s="47">
        <f ca="1">+'Monthly Data'!N87</f>
        <v>20481.116405862227</v>
      </c>
      <c r="V87" s="47">
        <f t="shared" ca="1" si="50"/>
        <v>1046147.7421009096</v>
      </c>
    </row>
    <row r="88" spans="1:22">
      <c r="A88" s="2">
        <f>'Monthly Data'!A88</f>
        <v>44986</v>
      </c>
      <c r="B88">
        <f>'Monthly Data'!B88</f>
        <v>2023</v>
      </c>
      <c r="C88">
        <f>'Monthly Data'!C88</f>
        <v>3</v>
      </c>
      <c r="D88" s="3">
        <f ca="1">'Monthly Data'!L88</f>
        <v>1147664.3239889711</v>
      </c>
      <c r="E88" s="3">
        <f t="shared" ref="E88:F88" ca="1" si="104">E76</f>
        <v>534.21590579710141</v>
      </c>
      <c r="F88" s="3">
        <f t="shared" ca="1" si="104"/>
        <v>0</v>
      </c>
      <c r="G88" s="3">
        <f>'Monthly Data'!EG88</f>
        <v>1</v>
      </c>
      <c r="H88">
        <f t="shared" si="64"/>
        <v>87</v>
      </c>
      <c r="I88" s="3">
        <f>'Monthly Data'!DQ88</f>
        <v>31</v>
      </c>
      <c r="J88" s="3">
        <f>'Monthly Data'!EO88</f>
        <v>0</v>
      </c>
      <c r="L88" s="3">
        <f t="shared" si="75"/>
        <v>-761245.70652732695</v>
      </c>
      <c r="M88" s="3">
        <f t="shared" ca="1" si="76"/>
        <v>431614.1750492705</v>
      </c>
      <c r="N88" s="3">
        <f t="shared" ca="1" si="77"/>
        <v>0</v>
      </c>
      <c r="O88" s="3">
        <f t="shared" si="78"/>
        <v>-62836.7660875816</v>
      </c>
      <c r="P88" s="3">
        <f t="shared" si="79"/>
        <v>222270.29628912127</v>
      </c>
      <c r="Q88" s="3">
        <f t="shared" si="80"/>
        <v>1183980.7512550617</v>
      </c>
      <c r="R88" s="3">
        <f t="shared" si="81"/>
        <v>0</v>
      </c>
      <c r="S88" s="47">
        <f t="shared" ca="1" si="90"/>
        <v>1013782.7499785449</v>
      </c>
      <c r="T88" s="47">
        <f>'Monthly Data'!M88</f>
        <v>10001.643197664995</v>
      </c>
      <c r="U88" s="47">
        <f ca="1">+'Monthly Data'!N88</f>
        <v>19681.063495047878</v>
      </c>
      <c r="V88" s="47">
        <f t="shared" ca="1" si="50"/>
        <v>1043465.4566712577</v>
      </c>
    </row>
    <row r="89" spans="1:22">
      <c r="A89" s="2">
        <f>'Monthly Data'!A89</f>
        <v>45017</v>
      </c>
      <c r="B89">
        <f>'Monthly Data'!B89</f>
        <v>2023</v>
      </c>
      <c r="C89">
        <f>'Monthly Data'!C89</f>
        <v>4</v>
      </c>
      <c r="D89" s="3">
        <f ca="1">'Monthly Data'!L89</f>
        <v>870659.54983563873</v>
      </c>
      <c r="E89" s="3">
        <f t="shared" ref="E89:F89" ca="1" si="105">E77</f>
        <v>352.92312500000003</v>
      </c>
      <c r="F89" s="3">
        <f t="shared" ca="1" si="105"/>
        <v>2.2025000000000015</v>
      </c>
      <c r="G89" s="3">
        <f>'Monthly Data'!EG89</f>
        <v>1</v>
      </c>
      <c r="H89">
        <f t="shared" si="64"/>
        <v>88</v>
      </c>
      <c r="I89" s="3">
        <f>'Monthly Data'!DQ89</f>
        <v>30</v>
      </c>
      <c r="J89" s="3">
        <f>'Monthly Data'!EO89</f>
        <v>0</v>
      </c>
      <c r="L89" s="3">
        <f t="shared" si="75"/>
        <v>-761245.70652732695</v>
      </c>
      <c r="M89" s="3">
        <f t="shared" ca="1" si="76"/>
        <v>285140.56170865905</v>
      </c>
      <c r="N89" s="3">
        <f t="shared" ca="1" si="77"/>
        <v>4065.2951988759241</v>
      </c>
      <c r="O89" s="3">
        <f t="shared" si="78"/>
        <v>-62836.7660875816</v>
      </c>
      <c r="P89" s="3">
        <f t="shared" si="79"/>
        <v>224825.12728095026</v>
      </c>
      <c r="Q89" s="3">
        <f t="shared" si="80"/>
        <v>1145787.823795221</v>
      </c>
      <c r="R89" s="3">
        <f t="shared" si="81"/>
        <v>0</v>
      </c>
      <c r="S89" s="47">
        <f t="shared" ca="1" si="90"/>
        <v>835736.33536879765</v>
      </c>
      <c r="T89" s="47">
        <f>'Monthly Data'!M89</f>
        <v>10361.780079838929</v>
      </c>
      <c r="U89" s="47">
        <f ca="1">+'Monthly Data'!N89</f>
        <v>10764.997648189634</v>
      </c>
      <c r="V89" s="47">
        <f t="shared" ca="1" si="50"/>
        <v>856863.11309682624</v>
      </c>
    </row>
    <row r="90" spans="1:22">
      <c r="A90" s="2">
        <f>'Monthly Data'!A90</f>
        <v>45047</v>
      </c>
      <c r="B90">
        <f>'Monthly Data'!B90</f>
        <v>2023</v>
      </c>
      <c r="C90">
        <f>'Monthly Data'!C90</f>
        <v>5</v>
      </c>
      <c r="D90" s="3">
        <f ca="1">'Monthly Data'!L90</f>
        <v>883941.36357584014</v>
      </c>
      <c r="E90" s="3">
        <f t="shared" ref="E90:F90" ca="1" si="106">E78</f>
        <v>155.24720841877425</v>
      </c>
      <c r="F90" s="3">
        <f t="shared" ca="1" si="106"/>
        <v>48.940113636363641</v>
      </c>
      <c r="G90" s="3">
        <f>'Monthly Data'!EG90</f>
        <v>1</v>
      </c>
      <c r="H90">
        <f t="shared" si="64"/>
        <v>89</v>
      </c>
      <c r="I90" s="3">
        <f>'Monthly Data'!DQ90</f>
        <v>31</v>
      </c>
      <c r="J90" s="3">
        <f>'Monthly Data'!EO90</f>
        <v>0</v>
      </c>
      <c r="L90" s="3">
        <f t="shared" si="75"/>
        <v>-761245.70652732695</v>
      </c>
      <c r="M90" s="3">
        <f t="shared" ca="1" si="76"/>
        <v>125430.36450850464</v>
      </c>
      <c r="N90" s="3">
        <f t="shared" ca="1" si="77"/>
        <v>90331.89965872922</v>
      </c>
      <c r="O90" s="3">
        <f t="shared" si="78"/>
        <v>-62836.7660875816</v>
      </c>
      <c r="P90" s="3">
        <f t="shared" si="79"/>
        <v>227379.95827277924</v>
      </c>
      <c r="Q90" s="3">
        <f t="shared" si="80"/>
        <v>1183980.7512550617</v>
      </c>
      <c r="R90" s="3">
        <f t="shared" si="81"/>
        <v>0</v>
      </c>
      <c r="S90" s="47">
        <f t="shared" ca="1" si="90"/>
        <v>803040.5010801662</v>
      </c>
      <c r="T90" s="47">
        <f>'Monthly Data'!M90</f>
        <v>10721.91696201286</v>
      </c>
      <c r="U90" s="47">
        <f ca="1">+'Monthly Data'!N90</f>
        <v>5841.9637342228416</v>
      </c>
      <c r="V90" s="47">
        <f t="shared" ca="1" si="50"/>
        <v>819604.38177640189</v>
      </c>
    </row>
    <row r="91" spans="1:22">
      <c r="A91" s="2">
        <f>'Monthly Data'!A91</f>
        <v>45078</v>
      </c>
      <c r="B91">
        <f>'Monthly Data'!B91</f>
        <v>2023</v>
      </c>
      <c r="C91">
        <f>'Monthly Data'!C91</f>
        <v>6</v>
      </c>
      <c r="D91" s="3">
        <f ca="1">'Monthly Data'!L91</f>
        <v>789412.93879285781</v>
      </c>
      <c r="E91" s="3">
        <f t="shared" ref="E91:F91" ca="1" si="107">E79</f>
        <v>30.273840492840492</v>
      </c>
      <c r="F91" s="3">
        <f t="shared" ca="1" si="107"/>
        <v>144.91160087738351</v>
      </c>
      <c r="G91" s="3">
        <f>'Monthly Data'!EG91</f>
        <v>0</v>
      </c>
      <c r="H91">
        <f t="shared" si="64"/>
        <v>90</v>
      </c>
      <c r="I91" s="3">
        <f>'Monthly Data'!DQ91</f>
        <v>30</v>
      </c>
      <c r="J91" s="3">
        <f>'Monthly Data'!EO91</f>
        <v>0</v>
      </c>
      <c r="L91" s="3">
        <f t="shared" si="75"/>
        <v>-761245.70652732695</v>
      </c>
      <c r="M91" s="3">
        <f t="shared" ca="1" si="76"/>
        <v>24459.434000554327</v>
      </c>
      <c r="N91" s="3">
        <f t="shared" ca="1" si="77"/>
        <v>267472.61534994369</v>
      </c>
      <c r="O91" s="3">
        <f t="shared" si="78"/>
        <v>0</v>
      </c>
      <c r="P91" s="3">
        <f t="shared" si="79"/>
        <v>229934.7892646082</v>
      </c>
      <c r="Q91" s="3">
        <f t="shared" si="80"/>
        <v>1145787.823795221</v>
      </c>
      <c r="R91" s="3">
        <f t="shared" si="81"/>
        <v>0</v>
      </c>
      <c r="S91" s="47">
        <f t="shared" ca="1" si="90"/>
        <v>906408.9558830004</v>
      </c>
      <c r="T91" s="47">
        <f>'Monthly Data'!M91</f>
        <v>11082.053844186794</v>
      </c>
      <c r="U91" s="47">
        <f ca="1">+'Monthly Data'!N91</f>
        <v>765.82445666865522</v>
      </c>
      <c r="V91" s="47">
        <f t="shared" ca="1" si="50"/>
        <v>918256.83418385591</v>
      </c>
    </row>
    <row r="92" spans="1:22">
      <c r="A92" s="2">
        <f>'Monthly Data'!A92</f>
        <v>45108</v>
      </c>
      <c r="B92">
        <f>'Monthly Data'!B92</f>
        <v>2023</v>
      </c>
      <c r="C92">
        <f>'Monthly Data'!C92</f>
        <v>7</v>
      </c>
      <c r="D92" s="3">
        <f ca="1">'Monthly Data'!L92</f>
        <v>1098880.6795221823</v>
      </c>
      <c r="E92" s="3">
        <f t="shared" ref="E92:F92" ca="1" si="108">E80</f>
        <v>1.0845833333333317</v>
      </c>
      <c r="F92" s="3">
        <f t="shared" ca="1" si="108"/>
        <v>242.72508692061183</v>
      </c>
      <c r="G92" s="3">
        <f>'Monthly Data'!EG92</f>
        <v>0</v>
      </c>
      <c r="H92">
        <f t="shared" si="64"/>
        <v>91</v>
      </c>
      <c r="I92" s="3">
        <f>'Monthly Data'!DQ92</f>
        <v>31</v>
      </c>
      <c r="J92" s="3">
        <f>'Monthly Data'!EO92</f>
        <v>0</v>
      </c>
      <c r="L92" s="3">
        <f t="shared" si="75"/>
        <v>-761245.70652732695</v>
      </c>
      <c r="M92" s="3">
        <f t="shared" ca="1" si="76"/>
        <v>876.27780380363561</v>
      </c>
      <c r="N92" s="3">
        <f t="shared" ca="1" si="77"/>
        <v>448013.2261090143</v>
      </c>
      <c r="O92" s="3">
        <f t="shared" si="78"/>
        <v>0</v>
      </c>
      <c r="P92" s="3">
        <f t="shared" si="79"/>
        <v>232489.62025643719</v>
      </c>
      <c r="Q92" s="3">
        <f t="shared" si="80"/>
        <v>1183980.7512550617</v>
      </c>
      <c r="R92" s="3">
        <f t="shared" si="81"/>
        <v>0</v>
      </c>
      <c r="S92" s="47">
        <f t="shared" ca="1" si="90"/>
        <v>1104114.1688969899</v>
      </c>
      <c r="T92" s="47">
        <f>'Monthly Data'!M92</f>
        <v>11442.190726360726</v>
      </c>
      <c r="U92" s="47">
        <f ca="1">+'Monthly Data'!N92</f>
        <v>4.4645809755264301</v>
      </c>
      <c r="V92" s="47">
        <f t="shared" ca="1" si="50"/>
        <v>1115560.8242043261</v>
      </c>
    </row>
    <row r="93" spans="1:22">
      <c r="A93" s="2">
        <f>'Monthly Data'!A93</f>
        <v>45139</v>
      </c>
      <c r="B93">
        <f>'Monthly Data'!B93</f>
        <v>2023</v>
      </c>
      <c r="C93">
        <f>'Monthly Data'!C93</f>
        <v>8</v>
      </c>
      <c r="D93" s="3">
        <f ca="1">'Monthly Data'!L93</f>
        <v>1046544.3963056952</v>
      </c>
      <c r="E93" s="3">
        <f t="shared" ref="E93:F93" ca="1" si="109">E81</f>
        <v>6.4245833333333335</v>
      </c>
      <c r="F93" s="3">
        <f t="shared" ca="1" si="109"/>
        <v>214.02558794466404</v>
      </c>
      <c r="G93" s="3">
        <f>'Monthly Data'!EG93</f>
        <v>0</v>
      </c>
      <c r="H93">
        <f t="shared" si="64"/>
        <v>92</v>
      </c>
      <c r="I93" s="3">
        <f>'Monthly Data'!DQ93</f>
        <v>31</v>
      </c>
      <c r="J93" s="3">
        <f>'Monthly Data'!EO93</f>
        <v>0</v>
      </c>
      <c r="L93" s="3">
        <f t="shared" si="75"/>
        <v>-761245.70652732695</v>
      </c>
      <c r="M93" s="3">
        <f t="shared" ca="1" si="76"/>
        <v>5190.6751659040647</v>
      </c>
      <c r="N93" s="3">
        <f t="shared" ca="1" si="77"/>
        <v>395040.72422612441</v>
      </c>
      <c r="O93" s="3">
        <f t="shared" si="78"/>
        <v>0</v>
      </c>
      <c r="P93" s="3">
        <f t="shared" si="79"/>
        <v>235044.45124826618</v>
      </c>
      <c r="Q93" s="3">
        <f t="shared" si="80"/>
        <v>1183980.7512550617</v>
      </c>
      <c r="R93" s="3">
        <f t="shared" si="81"/>
        <v>0</v>
      </c>
      <c r="S93" s="47">
        <f t="shared" ca="1" si="90"/>
        <v>1058010.8953680294</v>
      </c>
      <c r="T93" s="47">
        <f>'Monthly Data'!M93</f>
        <v>11802.327608534659</v>
      </c>
      <c r="U93" s="47">
        <f ca="1">+'Monthly Data'!N93</f>
        <v>331.2719083840704</v>
      </c>
      <c r="V93" s="47">
        <f t="shared" ca="1" si="50"/>
        <v>1070144.494884948</v>
      </c>
    </row>
    <row r="94" spans="1:22">
      <c r="A94" s="2">
        <f>'Monthly Data'!A94</f>
        <v>45170</v>
      </c>
      <c r="B94">
        <f>'Monthly Data'!B94</f>
        <v>2023</v>
      </c>
      <c r="C94">
        <f>'Monthly Data'!C94</f>
        <v>9</v>
      </c>
      <c r="D94" s="3">
        <f ca="1">'Monthly Data'!L94</f>
        <v>814174.1410705091</v>
      </c>
      <c r="E94" s="3">
        <f t="shared" ref="E94:F94" ca="1" si="110">E82</f>
        <v>54.412952898550728</v>
      </c>
      <c r="F94" s="3">
        <f t="shared" ca="1" si="110"/>
        <v>102.40708333333332</v>
      </c>
      <c r="G94" s="3">
        <f>'Monthly Data'!EG94</f>
        <v>1</v>
      </c>
      <c r="H94">
        <f t="shared" si="64"/>
        <v>93</v>
      </c>
      <c r="I94" s="3">
        <f>'Monthly Data'!DQ94</f>
        <v>30</v>
      </c>
      <c r="J94" s="3">
        <f>'Monthly Data'!EO94</f>
        <v>0</v>
      </c>
      <c r="L94" s="3">
        <f t="shared" si="75"/>
        <v>-761245.70652732695</v>
      </c>
      <c r="M94" s="3">
        <f t="shared" ca="1" si="76"/>
        <v>43962.378361348696</v>
      </c>
      <c r="N94" s="3">
        <f t="shared" ca="1" si="77"/>
        <v>189019.30724444328</v>
      </c>
      <c r="O94" s="3">
        <f t="shared" si="78"/>
        <v>-62836.7660875816</v>
      </c>
      <c r="P94" s="3">
        <f t="shared" si="79"/>
        <v>237599.28224009514</v>
      </c>
      <c r="Q94" s="3">
        <f t="shared" si="80"/>
        <v>1145787.823795221</v>
      </c>
      <c r="R94" s="3">
        <f t="shared" si="81"/>
        <v>0</v>
      </c>
      <c r="S94" s="47">
        <f t="shared" ca="1" si="90"/>
        <v>792286.3190261994</v>
      </c>
      <c r="T94" s="47">
        <f>'Monthly Data'!M94</f>
        <v>12162.464490708591</v>
      </c>
      <c r="U94" s="47">
        <f ca="1">+'Monthly Data'!N94</f>
        <v>1699.8147967488117</v>
      </c>
      <c r="V94" s="47">
        <f t="shared" ca="1" si="50"/>
        <v>806148.59831365675</v>
      </c>
    </row>
    <row r="95" spans="1:22">
      <c r="A95" s="2">
        <f>'Monthly Data'!A95</f>
        <v>45200</v>
      </c>
      <c r="B95">
        <f>'Monthly Data'!B95</f>
        <v>2023</v>
      </c>
      <c r="C95">
        <f>'Monthly Data'!C95</f>
        <v>10</v>
      </c>
      <c r="D95" s="3">
        <f ca="1">'Monthly Data'!L95</f>
        <v>894628.98426119622</v>
      </c>
      <c r="E95" s="3">
        <f t="shared" ref="E95:F95" ca="1" si="111">E83</f>
        <v>232.21431159420285</v>
      </c>
      <c r="F95" s="3">
        <f t="shared" ca="1" si="111"/>
        <v>19.741250000000004</v>
      </c>
      <c r="G95" s="3">
        <f>'Monthly Data'!EG95</f>
        <v>1</v>
      </c>
      <c r="H95">
        <f t="shared" si="64"/>
        <v>94</v>
      </c>
      <c r="I95" s="3">
        <f>'Monthly Data'!DQ95</f>
        <v>31</v>
      </c>
      <c r="J95" s="3">
        <f>'Monthly Data'!EO95</f>
        <v>0</v>
      </c>
      <c r="L95" s="3">
        <f t="shared" si="75"/>
        <v>-761245.70652732695</v>
      </c>
      <c r="M95" s="3">
        <f t="shared" ca="1" si="76"/>
        <v>187615.1335925085</v>
      </c>
      <c r="N95" s="3">
        <f t="shared" ca="1" si="77"/>
        <v>36437.688465293664</v>
      </c>
      <c r="O95" s="3">
        <f t="shared" si="78"/>
        <v>-62836.7660875816</v>
      </c>
      <c r="P95" s="3">
        <f t="shared" si="79"/>
        <v>240154.11323192413</v>
      </c>
      <c r="Q95" s="3">
        <f t="shared" si="80"/>
        <v>1183980.7512550617</v>
      </c>
      <c r="R95" s="3">
        <f t="shared" si="81"/>
        <v>0</v>
      </c>
      <c r="S95" s="47">
        <f t="shared" ca="1" si="90"/>
        <v>824105.21392987936</v>
      </c>
      <c r="T95" s="47">
        <f>'Monthly Data'!M95</f>
        <v>12522.601372882524</v>
      </c>
      <c r="U95" s="47">
        <f ca="1">+'Monthly Data'!N95</f>
        <v>7398.8524120084621</v>
      </c>
      <c r="V95" s="47">
        <f t="shared" ca="1" si="50"/>
        <v>844026.6677147703</v>
      </c>
    </row>
    <row r="96" spans="1:22">
      <c r="A96" s="2">
        <f>'Monthly Data'!A96</f>
        <v>45231</v>
      </c>
      <c r="B96">
        <f>'Monthly Data'!B96</f>
        <v>2023</v>
      </c>
      <c r="C96">
        <f>'Monthly Data'!C96</f>
        <v>11</v>
      </c>
      <c r="D96" s="3">
        <f ca="1">'Monthly Data'!L96</f>
        <v>1011847.6308386413</v>
      </c>
      <c r="E96" s="3">
        <f t="shared" ref="E96:F96" ca="1" si="112">E84</f>
        <v>435.51408055712398</v>
      </c>
      <c r="F96" s="3">
        <f t="shared" ca="1" si="112"/>
        <v>0.78124999999999944</v>
      </c>
      <c r="G96" s="3">
        <f>'Monthly Data'!EG96</f>
        <v>1</v>
      </c>
      <c r="H96">
        <f t="shared" si="64"/>
        <v>95</v>
      </c>
      <c r="I96" s="3">
        <f>'Monthly Data'!DQ96</f>
        <v>30</v>
      </c>
      <c r="J96" s="3">
        <f>'Monthly Data'!EO96</f>
        <v>0</v>
      </c>
      <c r="L96" s="3">
        <f t="shared" si="75"/>
        <v>-761245.70652732695</v>
      </c>
      <c r="M96" s="3">
        <f t="shared" ca="1" si="76"/>
        <v>351869.06372907275</v>
      </c>
      <c r="N96" s="3">
        <f t="shared" ca="1" si="77"/>
        <v>1442.0031210541708</v>
      </c>
      <c r="O96" s="3">
        <f t="shared" si="78"/>
        <v>-62836.7660875816</v>
      </c>
      <c r="P96" s="3">
        <f t="shared" si="79"/>
        <v>242708.94422375312</v>
      </c>
      <c r="Q96" s="3">
        <f t="shared" si="80"/>
        <v>1145787.823795221</v>
      </c>
      <c r="R96" s="3">
        <f t="shared" si="81"/>
        <v>0</v>
      </c>
      <c r="S96" s="47">
        <f t="shared" ca="1" si="90"/>
        <v>917725.36225419259</v>
      </c>
      <c r="T96" s="47">
        <f>'Monthly Data'!M96</f>
        <v>12882.738255056458</v>
      </c>
      <c r="U96" s="47">
        <f ca="1">+'Monthly Data'!N96</f>
        <v>16093.675625104119</v>
      </c>
      <c r="V96" s="47">
        <f t="shared" ca="1" si="50"/>
        <v>946701.77613435313</v>
      </c>
    </row>
    <row r="97" spans="1:22">
      <c r="A97" s="2">
        <f>'Monthly Data'!A97</f>
        <v>45261</v>
      </c>
      <c r="B97">
        <f>'Monthly Data'!B97</f>
        <v>2023</v>
      </c>
      <c r="C97">
        <f>'Monthly Data'!C97</f>
        <v>12</v>
      </c>
      <c r="D97" s="3">
        <f ca="1">'Monthly Data'!L97</f>
        <v>1173567.9347238522</v>
      </c>
      <c r="E97" s="3">
        <f t="shared" ref="E97:F97" ca="1" si="113">E85</f>
        <v>602.38541666666674</v>
      </c>
      <c r="F97" s="3">
        <f t="shared" ca="1" si="113"/>
        <v>0</v>
      </c>
      <c r="G97" s="3">
        <f>'Monthly Data'!EG97</f>
        <v>0</v>
      </c>
      <c r="H97">
        <f t="shared" si="64"/>
        <v>96</v>
      </c>
      <c r="I97" s="3">
        <f>'Monthly Data'!DQ97</f>
        <v>31</v>
      </c>
      <c r="J97" s="3">
        <f>'Monthly Data'!EO97</f>
        <v>0</v>
      </c>
      <c r="L97" s="3">
        <f t="shared" si="75"/>
        <v>-761245.70652732695</v>
      </c>
      <c r="M97" s="3">
        <f t="shared" ca="1" si="76"/>
        <v>486691.02109259058</v>
      </c>
      <c r="N97" s="3">
        <f t="shared" ca="1" si="77"/>
        <v>0</v>
      </c>
      <c r="O97" s="3">
        <f t="shared" si="78"/>
        <v>0</v>
      </c>
      <c r="P97" s="3">
        <f t="shared" si="79"/>
        <v>245263.77521558211</v>
      </c>
      <c r="Q97" s="3">
        <f t="shared" si="80"/>
        <v>1183980.7512550617</v>
      </c>
      <c r="R97" s="3">
        <f t="shared" si="81"/>
        <v>0</v>
      </c>
      <c r="S97" s="47">
        <f t="shared" ca="1" si="90"/>
        <v>1154689.8410359074</v>
      </c>
      <c r="T97" s="47">
        <f>'Monthly Data'!M97</f>
        <v>13242.875137230389</v>
      </c>
      <c r="U97" s="47">
        <f ca="1">+'Monthly Data'!N97</f>
        <v>17489.698332893586</v>
      </c>
      <c r="V97" s="47">
        <f t="shared" ca="1" si="50"/>
        <v>1185422.4145060314</v>
      </c>
    </row>
    <row r="98" spans="1:22">
      <c r="A98" s="2">
        <f>EOMONTH(A97,1)</f>
        <v>45322</v>
      </c>
      <c r="B98">
        <f>'Monthly Data'!B98</f>
        <v>2024</v>
      </c>
      <c r="C98">
        <f>'Monthly Data'!C98</f>
        <v>1</v>
      </c>
      <c r="D98" s="3">
        <f ca="1">'Monthly Data'!L98</f>
        <v>1306775.2367573429</v>
      </c>
      <c r="E98" s="3">
        <f t="shared" ref="E98:F98" ca="1" si="114">E86</f>
        <v>690.78750000000002</v>
      </c>
      <c r="F98" s="3">
        <f t="shared" ca="1" si="114"/>
        <v>0</v>
      </c>
      <c r="G98" s="3">
        <f>'Monthly Data'!EG98</f>
        <v>0</v>
      </c>
      <c r="H98">
        <f t="shared" si="64"/>
        <v>97</v>
      </c>
      <c r="I98" s="3">
        <f>'Monthly Data'!DQ98</f>
        <v>31</v>
      </c>
      <c r="J98" s="3">
        <f>'Monthly Data'!EO98</f>
        <v>0</v>
      </c>
      <c r="L98" s="3">
        <f t="shared" ref="L98:L129" si="115">$Z$8</f>
        <v>-761245.70652732695</v>
      </c>
      <c r="M98" s="3">
        <f t="shared" ref="M98:M129" ca="1" si="116">E98*$Z$9</f>
        <v>558114.56325317395</v>
      </c>
      <c r="N98" s="3">
        <f t="shared" ref="N98:N129" ca="1" si="117">F98*$Z$10</f>
        <v>0</v>
      </c>
      <c r="O98" s="3">
        <f t="shared" ref="O98:O129" si="118">G98*$Z$11</f>
        <v>0</v>
      </c>
      <c r="P98" s="3">
        <f t="shared" ref="P98:P129" si="119">H98*$Z$12</f>
        <v>247818.60620741107</v>
      </c>
      <c r="Q98" s="3">
        <f t="shared" ref="Q98:Q129" si="120">I98*$Z$13</f>
        <v>1183980.7512550617</v>
      </c>
      <c r="R98" s="3">
        <f t="shared" ref="R98:R129" si="121">J98*$Z$14</f>
        <v>0</v>
      </c>
      <c r="S98" s="47">
        <f t="shared" ref="S98:S109" ca="1" si="122">SUM(L98:R98)</f>
        <v>1228668.2141883199</v>
      </c>
      <c r="T98" s="47">
        <f>'Monthly Data'!M98</f>
        <v>14037.787983411237</v>
      </c>
      <c r="U98" s="47">
        <f ca="1">+'Monthly Data'!N98</f>
        <v>28818.052490866019</v>
      </c>
      <c r="V98" s="47">
        <f t="shared" ca="1" si="50"/>
        <v>1271524.0546625971</v>
      </c>
    </row>
    <row r="99" spans="1:22">
      <c r="A99" s="2">
        <f t="shared" ref="A99:A162" si="123">EOMONTH(A98,1)</f>
        <v>45351</v>
      </c>
      <c r="B99">
        <f>'Monthly Data'!B99</f>
        <v>2024</v>
      </c>
      <c r="C99">
        <f>'Monthly Data'!C99</f>
        <v>2</v>
      </c>
      <c r="D99" s="3">
        <f ca="1">'Monthly Data'!L99</f>
        <v>1218977.2265269631</v>
      </c>
      <c r="E99" s="3">
        <f t="shared" ref="E99:F99" ca="1" si="124">E87</f>
        <v>604.19541666666657</v>
      </c>
      <c r="F99" s="3">
        <f t="shared" ca="1" si="124"/>
        <v>0</v>
      </c>
      <c r="G99" s="3">
        <f>'Monthly Data'!EG99</f>
        <v>0</v>
      </c>
      <c r="H99">
        <f t="shared" si="64"/>
        <v>98</v>
      </c>
      <c r="I99" s="3">
        <f>'Monthly Data'!DQ99</f>
        <v>29</v>
      </c>
      <c r="J99" s="3">
        <f>'Monthly Data'!EO99</f>
        <v>0</v>
      </c>
      <c r="L99" s="3">
        <f t="shared" si="115"/>
        <v>-761245.70652732695</v>
      </c>
      <c r="M99" s="3">
        <f t="shared" ca="1" si="116"/>
        <v>488153.39173405146</v>
      </c>
      <c r="N99" s="3">
        <f t="shared" ca="1" si="117"/>
        <v>0</v>
      </c>
      <c r="O99" s="3">
        <f t="shared" si="118"/>
        <v>0</v>
      </c>
      <c r="P99" s="3">
        <f t="shared" si="119"/>
        <v>250373.43719924006</v>
      </c>
      <c r="Q99" s="3">
        <f t="shared" si="120"/>
        <v>1107594.8963353804</v>
      </c>
      <c r="R99" s="3">
        <f t="shared" si="121"/>
        <v>0</v>
      </c>
      <c r="S99" s="47">
        <f t="shared" ca="1" si="122"/>
        <v>1084876.018741345</v>
      </c>
      <c r="T99" s="47">
        <f>'Monthly Data'!M99</f>
        <v>14472.563947418148</v>
      </c>
      <c r="U99" s="47">
        <f ca="1">+'Monthly Data'!N99</f>
        <v>24564.11970375089</v>
      </c>
      <c r="V99" s="47">
        <f t="shared" ca="1" si="50"/>
        <v>1123912.7023925141</v>
      </c>
    </row>
    <row r="100" spans="1:22">
      <c r="A100" s="2">
        <f t="shared" si="123"/>
        <v>45382</v>
      </c>
      <c r="B100">
        <f>'Monthly Data'!B100</f>
        <v>2024</v>
      </c>
      <c r="C100">
        <f>'Monthly Data'!C100</f>
        <v>3</v>
      </c>
      <c r="D100" s="3">
        <f ca="1">'Monthly Data'!L100</f>
        <v>1142685.7578803878</v>
      </c>
      <c r="E100" s="3">
        <f t="shared" ref="E100:F100" ca="1" si="125">E88</f>
        <v>534.21590579710141</v>
      </c>
      <c r="F100" s="3">
        <f t="shared" ca="1" si="125"/>
        <v>0</v>
      </c>
      <c r="G100" s="3">
        <f>'Monthly Data'!EG100</f>
        <v>1</v>
      </c>
      <c r="H100">
        <f t="shared" si="64"/>
        <v>99</v>
      </c>
      <c r="I100" s="3">
        <f>'Monthly Data'!DQ100</f>
        <v>31</v>
      </c>
      <c r="J100" s="3">
        <f>'Monthly Data'!EO100</f>
        <v>0</v>
      </c>
      <c r="L100" s="3">
        <f t="shared" si="115"/>
        <v>-761245.70652732695</v>
      </c>
      <c r="M100" s="3">
        <f t="shared" ca="1" si="116"/>
        <v>431614.1750492705</v>
      </c>
      <c r="N100" s="3">
        <f t="shared" ca="1" si="117"/>
        <v>0</v>
      </c>
      <c r="O100" s="3">
        <f t="shared" si="118"/>
        <v>-62836.7660875816</v>
      </c>
      <c r="P100" s="3">
        <f t="shared" si="119"/>
        <v>252928.26819106904</v>
      </c>
      <c r="Q100" s="3">
        <f t="shared" si="120"/>
        <v>1183980.7512550617</v>
      </c>
      <c r="R100" s="3">
        <f t="shared" si="121"/>
        <v>0</v>
      </c>
      <c r="S100" s="47">
        <f t="shared" ca="1" si="122"/>
        <v>1044440.7218804928</v>
      </c>
      <c r="T100" s="47">
        <f>'Monthly Data'!M100</f>
        <v>14907.339911425061</v>
      </c>
      <c r="U100" s="47">
        <f ca="1">+'Monthly Data'!N100</f>
        <v>20815.750249601722</v>
      </c>
      <c r="V100" s="47">
        <f t="shared" ca="1" si="50"/>
        <v>1080163.8120415194</v>
      </c>
    </row>
    <row r="101" spans="1:22">
      <c r="A101" s="2">
        <f t="shared" si="123"/>
        <v>45412</v>
      </c>
      <c r="B101">
        <f>'Monthly Data'!B101</f>
        <v>2024</v>
      </c>
      <c r="C101">
        <f>'Monthly Data'!C101</f>
        <v>4</v>
      </c>
      <c r="D101" s="3">
        <f ca="1">'Monthly Data'!L101</f>
        <v>890041.64368470781</v>
      </c>
      <c r="E101" s="3">
        <f t="shared" ref="E101:F101" ca="1" si="126">E89</f>
        <v>352.92312500000003</v>
      </c>
      <c r="F101" s="3">
        <f t="shared" ca="1" si="126"/>
        <v>2.2025000000000015</v>
      </c>
      <c r="G101" s="3">
        <f>'Monthly Data'!EG101</f>
        <v>1</v>
      </c>
      <c r="H101">
        <f t="shared" si="64"/>
        <v>100</v>
      </c>
      <c r="I101" s="3">
        <f>'Monthly Data'!DQ101</f>
        <v>30</v>
      </c>
      <c r="J101" s="3">
        <f>'Monthly Data'!EO101</f>
        <v>0</v>
      </c>
      <c r="L101" s="3">
        <f t="shared" si="115"/>
        <v>-761245.70652732695</v>
      </c>
      <c r="M101" s="3">
        <f t="shared" ca="1" si="116"/>
        <v>285140.56170865905</v>
      </c>
      <c r="N101" s="3">
        <f t="shared" ca="1" si="117"/>
        <v>4065.2951988759241</v>
      </c>
      <c r="O101" s="3">
        <f t="shared" si="118"/>
        <v>-62836.7660875816</v>
      </c>
      <c r="P101" s="3">
        <f t="shared" si="119"/>
        <v>255483.099182898</v>
      </c>
      <c r="Q101" s="3">
        <f t="shared" si="120"/>
        <v>1145787.823795221</v>
      </c>
      <c r="R101" s="3">
        <f t="shared" si="121"/>
        <v>0</v>
      </c>
      <c r="S101" s="47">
        <f t="shared" ca="1" si="122"/>
        <v>866394.30727074551</v>
      </c>
      <c r="T101" s="47">
        <f>'Monthly Data'!M101</f>
        <v>15342.115875431971</v>
      </c>
      <c r="U101" s="47">
        <f ca="1">+'Monthly Data'!N101</f>
        <v>13947.572465007706</v>
      </c>
      <c r="V101" s="47">
        <f t="shared" ca="1" si="50"/>
        <v>895683.99561118509</v>
      </c>
    </row>
    <row r="102" spans="1:22">
      <c r="A102" s="2">
        <f t="shared" si="123"/>
        <v>45443</v>
      </c>
      <c r="B102">
        <f>'Monthly Data'!B102</f>
        <v>2024</v>
      </c>
      <c r="C102">
        <f>'Monthly Data'!C102</f>
        <v>5</v>
      </c>
      <c r="D102" s="3">
        <f ca="1">'Monthly Data'!L102</f>
        <v>858764.90924879862</v>
      </c>
      <c r="E102" s="3">
        <f t="shared" ref="E102:F102" ca="1" si="127">E90</f>
        <v>155.24720841877425</v>
      </c>
      <c r="F102" s="3">
        <f t="shared" ca="1" si="127"/>
        <v>48.940113636363641</v>
      </c>
      <c r="G102" s="3">
        <f>'Monthly Data'!EG102</f>
        <v>1</v>
      </c>
      <c r="H102">
        <f t="shared" si="64"/>
        <v>101</v>
      </c>
      <c r="I102" s="3">
        <f>'Monthly Data'!DQ102</f>
        <v>31</v>
      </c>
      <c r="J102" s="3">
        <f>'Monthly Data'!EO102</f>
        <v>0</v>
      </c>
      <c r="L102" s="3">
        <f t="shared" si="115"/>
        <v>-761245.70652732695</v>
      </c>
      <c r="M102" s="3">
        <f t="shared" ca="1" si="116"/>
        <v>125430.36450850464</v>
      </c>
      <c r="N102" s="3">
        <f t="shared" ca="1" si="117"/>
        <v>90331.89965872922</v>
      </c>
      <c r="O102" s="3">
        <f t="shared" si="118"/>
        <v>-62836.7660875816</v>
      </c>
      <c r="P102" s="3">
        <f t="shared" si="119"/>
        <v>258037.93017472699</v>
      </c>
      <c r="Q102" s="3">
        <f t="shared" si="120"/>
        <v>1183980.7512550617</v>
      </c>
      <c r="R102" s="3">
        <f t="shared" si="121"/>
        <v>0</v>
      </c>
      <c r="S102" s="47">
        <f t="shared" ca="1" si="122"/>
        <v>833698.47298211395</v>
      </c>
      <c r="T102" s="47">
        <f>'Monthly Data'!M102</f>
        <v>15776.891839438882</v>
      </c>
      <c r="U102" s="47">
        <f ca="1">+'Monthly Data'!N102</f>
        <v>4050.3502369274916</v>
      </c>
      <c r="V102" s="47">
        <f t="shared" ca="1" si="50"/>
        <v>853525.71505848039</v>
      </c>
    </row>
    <row r="103" spans="1:22">
      <c r="A103" s="2">
        <f t="shared" si="123"/>
        <v>45473</v>
      </c>
      <c r="B103">
        <f>'Monthly Data'!B103</f>
        <v>2024</v>
      </c>
      <c r="C103">
        <f>'Monthly Data'!C103</f>
        <v>6</v>
      </c>
      <c r="D103" s="3">
        <f ca="1">'Monthly Data'!L103</f>
        <v>788177.5447204283</v>
      </c>
      <c r="E103" s="3">
        <f t="shared" ref="E103:F103" ca="1" si="128">E91</f>
        <v>30.273840492840492</v>
      </c>
      <c r="F103" s="3">
        <f t="shared" ca="1" si="128"/>
        <v>144.91160087738351</v>
      </c>
      <c r="G103" s="3">
        <f>'Monthly Data'!EG103</f>
        <v>0</v>
      </c>
      <c r="H103">
        <f t="shared" si="64"/>
        <v>102</v>
      </c>
      <c r="I103" s="3">
        <f>'Monthly Data'!DQ103</f>
        <v>30</v>
      </c>
      <c r="J103" s="3">
        <f>'Monthly Data'!EO103</f>
        <v>0</v>
      </c>
      <c r="L103" s="3">
        <f t="shared" si="115"/>
        <v>-761245.70652732695</v>
      </c>
      <c r="M103" s="3">
        <f t="shared" ca="1" si="116"/>
        <v>24459.434000554327</v>
      </c>
      <c r="N103" s="3">
        <f t="shared" ca="1" si="117"/>
        <v>267472.61534994369</v>
      </c>
      <c r="O103" s="3">
        <f t="shared" si="118"/>
        <v>0</v>
      </c>
      <c r="P103" s="3">
        <f t="shared" si="119"/>
        <v>260592.76116655598</v>
      </c>
      <c r="Q103" s="3">
        <f t="shared" si="120"/>
        <v>1145787.823795221</v>
      </c>
      <c r="R103" s="3">
        <f t="shared" si="121"/>
        <v>0</v>
      </c>
      <c r="S103" s="47">
        <f t="shared" ca="1" si="122"/>
        <v>937066.92778494814</v>
      </c>
      <c r="T103" s="47">
        <f>'Monthly Data'!M103</f>
        <v>16211.667803445793</v>
      </c>
      <c r="U103" s="47">
        <f ca="1">+'Monthly Data'!N103</f>
        <v>1428.2823914552798</v>
      </c>
      <c r="V103" s="47">
        <f t="shared" ca="1" si="50"/>
        <v>954706.87797984923</v>
      </c>
    </row>
    <row r="104" spans="1:22">
      <c r="A104" s="2">
        <f t="shared" si="123"/>
        <v>45504</v>
      </c>
      <c r="B104">
        <f>'Monthly Data'!B104</f>
        <v>2024</v>
      </c>
      <c r="C104">
        <f>'Monthly Data'!C104</f>
        <v>7</v>
      </c>
      <c r="D104" s="3">
        <f ca="1">'Monthly Data'!L104</f>
        <v>1094340.2886860615</v>
      </c>
      <c r="E104" s="3">
        <f t="shared" ref="E104:F104" ca="1" si="129">E92</f>
        <v>1.0845833333333317</v>
      </c>
      <c r="F104" s="3">
        <f t="shared" ca="1" si="129"/>
        <v>242.72508692061183</v>
      </c>
      <c r="G104" s="3">
        <f>'Monthly Data'!EG104</f>
        <v>0</v>
      </c>
      <c r="H104">
        <f t="shared" si="64"/>
        <v>103</v>
      </c>
      <c r="I104" s="3">
        <f>'Monthly Data'!DQ104</f>
        <v>31</v>
      </c>
      <c r="J104" s="3">
        <f>'Monthly Data'!EO104</f>
        <v>0</v>
      </c>
      <c r="L104" s="3">
        <f t="shared" si="115"/>
        <v>-761245.70652732695</v>
      </c>
      <c r="M104" s="3">
        <f t="shared" ca="1" si="116"/>
        <v>876.27780380363561</v>
      </c>
      <c r="N104" s="3">
        <f t="shared" ca="1" si="117"/>
        <v>448013.2261090143</v>
      </c>
      <c r="O104" s="3">
        <f t="shared" si="118"/>
        <v>0</v>
      </c>
      <c r="P104" s="3">
        <f t="shared" si="119"/>
        <v>263147.59215838497</v>
      </c>
      <c r="Q104" s="3">
        <f t="shared" si="120"/>
        <v>1183980.7512550617</v>
      </c>
      <c r="R104" s="3">
        <f t="shared" si="121"/>
        <v>0</v>
      </c>
      <c r="S104" s="47">
        <f t="shared" ca="1" si="122"/>
        <v>1134772.1407989378</v>
      </c>
      <c r="T104" s="47">
        <f>'Monthly Data'!M104</f>
        <v>16646.443767452703</v>
      </c>
      <c r="U104" s="47">
        <f ca="1">+'Monthly Data'!N104</f>
        <v>14.891686541502978</v>
      </c>
      <c r="V104" s="47">
        <f t="shared" ca="1" si="50"/>
        <v>1151433.4762529319</v>
      </c>
    </row>
    <row r="105" spans="1:22">
      <c r="A105" s="2">
        <f t="shared" si="123"/>
        <v>45535</v>
      </c>
      <c r="B105">
        <f>'Monthly Data'!B105</f>
        <v>2024</v>
      </c>
      <c r="C105">
        <f>'Monthly Data'!C105</f>
        <v>8</v>
      </c>
      <c r="D105" s="3">
        <f ca="1">'Monthly Data'!L105</f>
        <v>1121720.2613786294</v>
      </c>
      <c r="E105" s="3">
        <f t="shared" ref="E105:F105" ca="1" si="130">E93</f>
        <v>6.4245833333333335</v>
      </c>
      <c r="F105" s="3">
        <f t="shared" ca="1" si="130"/>
        <v>214.02558794466404</v>
      </c>
      <c r="G105" s="3">
        <f>'Monthly Data'!EG105</f>
        <v>0</v>
      </c>
      <c r="H105">
        <f t="shared" si="64"/>
        <v>104</v>
      </c>
      <c r="I105" s="3">
        <f>'Monthly Data'!DQ105</f>
        <v>31</v>
      </c>
      <c r="J105" s="3">
        <f>'Monthly Data'!EO105</f>
        <v>0</v>
      </c>
      <c r="L105" s="3">
        <f t="shared" si="115"/>
        <v>-761245.70652732695</v>
      </c>
      <c r="M105" s="3">
        <f t="shared" ca="1" si="116"/>
        <v>5190.6751659040647</v>
      </c>
      <c r="N105" s="3">
        <f t="shared" ca="1" si="117"/>
        <v>395040.72422612441</v>
      </c>
      <c r="O105" s="3">
        <f t="shared" si="118"/>
        <v>0</v>
      </c>
      <c r="P105" s="3">
        <f t="shared" si="119"/>
        <v>265702.42315021396</v>
      </c>
      <c r="Q105" s="3">
        <f t="shared" si="120"/>
        <v>1183980.7512550617</v>
      </c>
      <c r="R105" s="3">
        <f t="shared" si="121"/>
        <v>0</v>
      </c>
      <c r="S105" s="47">
        <f t="shared" ca="1" si="122"/>
        <v>1088668.8672699772</v>
      </c>
      <c r="T105" s="47">
        <f>'Monthly Data'!M105</f>
        <v>17081.219731459616</v>
      </c>
      <c r="U105" s="47">
        <f ca="1">+'Monthly Data'!N105</f>
        <v>372.48066589885673</v>
      </c>
      <c r="V105" s="47">
        <f t="shared" ca="1" si="50"/>
        <v>1106122.5676673357</v>
      </c>
    </row>
    <row r="106" spans="1:22">
      <c r="A106" s="2">
        <f t="shared" si="123"/>
        <v>45565</v>
      </c>
      <c r="B106">
        <f>'Monthly Data'!B106</f>
        <v>2024</v>
      </c>
      <c r="C106">
        <f>'Monthly Data'!C106</f>
        <v>9</v>
      </c>
      <c r="D106" s="3">
        <f ca="1">'Monthly Data'!L106</f>
        <v>827605.39015193412</v>
      </c>
      <c r="E106" s="3">
        <f t="shared" ref="E106:F106" ca="1" si="131">E94</f>
        <v>54.412952898550728</v>
      </c>
      <c r="F106" s="3">
        <f t="shared" ca="1" si="131"/>
        <v>102.40708333333332</v>
      </c>
      <c r="G106" s="3">
        <f>'Monthly Data'!EG106</f>
        <v>1</v>
      </c>
      <c r="H106">
        <f t="shared" si="64"/>
        <v>105</v>
      </c>
      <c r="I106" s="3">
        <f>'Monthly Data'!DQ106</f>
        <v>30</v>
      </c>
      <c r="J106" s="3">
        <f>'Monthly Data'!EO106</f>
        <v>0</v>
      </c>
      <c r="L106" s="3">
        <f t="shared" si="115"/>
        <v>-761245.70652732695</v>
      </c>
      <c r="M106" s="3">
        <f t="shared" ca="1" si="116"/>
        <v>43962.378361348696</v>
      </c>
      <c r="N106" s="3">
        <f t="shared" ca="1" si="117"/>
        <v>189019.30724444328</v>
      </c>
      <c r="O106" s="3">
        <f t="shared" si="118"/>
        <v>-62836.7660875816</v>
      </c>
      <c r="P106" s="3">
        <f t="shared" si="119"/>
        <v>268257.25414204289</v>
      </c>
      <c r="Q106" s="3">
        <f t="shared" si="120"/>
        <v>1145787.823795221</v>
      </c>
      <c r="R106" s="3">
        <f t="shared" si="121"/>
        <v>0</v>
      </c>
      <c r="S106" s="47">
        <f t="shared" ca="1" si="122"/>
        <v>822944.29092814727</v>
      </c>
      <c r="T106" s="47">
        <f>'Monthly Data'!M106</f>
        <v>17515.995695466525</v>
      </c>
      <c r="U106" s="47">
        <f ca="1">+'Monthly Data'!N106</f>
        <v>1328.5646423355965</v>
      </c>
      <c r="V106" s="47">
        <f t="shared" ca="1" si="50"/>
        <v>841788.85126594943</v>
      </c>
    </row>
    <row r="107" spans="1:22">
      <c r="A107" s="2">
        <f t="shared" si="123"/>
        <v>45596</v>
      </c>
      <c r="B107">
        <f>'Monthly Data'!B107</f>
        <v>2024</v>
      </c>
      <c r="C107">
        <f>'Monthly Data'!C107</f>
        <v>10</v>
      </c>
      <c r="D107" s="3">
        <f ca="1">'Monthly Data'!L107</f>
        <v>933789.6197128715</v>
      </c>
      <c r="E107" s="3">
        <f t="shared" ref="E107:F107" ca="1" si="132">E95</f>
        <v>232.21431159420285</v>
      </c>
      <c r="F107" s="3">
        <f t="shared" ca="1" si="132"/>
        <v>19.741250000000004</v>
      </c>
      <c r="G107" s="3">
        <f>'Monthly Data'!EG107</f>
        <v>1</v>
      </c>
      <c r="H107">
        <f t="shared" si="64"/>
        <v>106</v>
      </c>
      <c r="I107" s="3">
        <f>'Monthly Data'!DQ107</f>
        <v>31</v>
      </c>
      <c r="J107" s="3">
        <f>'Monthly Data'!EO107</f>
        <v>0</v>
      </c>
      <c r="L107" s="3">
        <f t="shared" si="115"/>
        <v>-761245.70652732695</v>
      </c>
      <c r="M107" s="3">
        <f t="shared" ca="1" si="116"/>
        <v>187615.1335925085</v>
      </c>
      <c r="N107" s="3">
        <f t="shared" ca="1" si="117"/>
        <v>36437.688465293664</v>
      </c>
      <c r="O107" s="3">
        <f t="shared" si="118"/>
        <v>-62836.7660875816</v>
      </c>
      <c r="P107" s="3">
        <f t="shared" si="119"/>
        <v>270812.08513387188</v>
      </c>
      <c r="Q107" s="3">
        <f t="shared" si="120"/>
        <v>1183980.7512550617</v>
      </c>
      <c r="R107" s="3">
        <f t="shared" si="121"/>
        <v>0</v>
      </c>
      <c r="S107" s="47">
        <f t="shared" ca="1" si="122"/>
        <v>854763.18583182711</v>
      </c>
      <c r="T107" s="47">
        <f>'Monthly Data'!M107</f>
        <v>17950.771659473437</v>
      </c>
      <c r="U107" s="47">
        <f ca="1">+'Monthly Data'!N107</f>
        <v>10583.653576698978</v>
      </c>
      <c r="V107" s="47">
        <f t="shared" ref="V107:V170" ca="1" si="133">S107+T107+U107</f>
        <v>883297.6110679995</v>
      </c>
    </row>
    <row r="108" spans="1:22">
      <c r="A108" s="2">
        <f t="shared" si="123"/>
        <v>45626</v>
      </c>
      <c r="B108">
        <f>'Monthly Data'!B108</f>
        <v>2024</v>
      </c>
      <c r="C108">
        <f>'Monthly Data'!C108</f>
        <v>11</v>
      </c>
      <c r="D108" s="3">
        <f ca="1">'Monthly Data'!L108</f>
        <v>913247.10800726654</v>
      </c>
      <c r="E108" s="3">
        <f t="shared" ref="E108:F108" ca="1" si="134">E96</f>
        <v>435.51408055712398</v>
      </c>
      <c r="F108" s="3">
        <f t="shared" ca="1" si="134"/>
        <v>0.78124999999999944</v>
      </c>
      <c r="G108" s="3">
        <f>'Monthly Data'!EG108</f>
        <v>1</v>
      </c>
      <c r="H108">
        <f t="shared" si="64"/>
        <v>107</v>
      </c>
      <c r="I108" s="3">
        <f>'Monthly Data'!DQ108</f>
        <v>30</v>
      </c>
      <c r="J108" s="3">
        <f>'Monthly Data'!EO108</f>
        <v>0</v>
      </c>
      <c r="L108" s="3">
        <f t="shared" si="115"/>
        <v>-761245.70652732695</v>
      </c>
      <c r="M108" s="3">
        <f t="shared" ca="1" si="116"/>
        <v>351869.06372907275</v>
      </c>
      <c r="N108" s="3">
        <f t="shared" ca="1" si="117"/>
        <v>1442.0031210541708</v>
      </c>
      <c r="O108" s="3">
        <f t="shared" si="118"/>
        <v>-62836.7660875816</v>
      </c>
      <c r="P108" s="3">
        <f t="shared" si="119"/>
        <v>273366.91612570087</v>
      </c>
      <c r="Q108" s="3">
        <f t="shared" si="120"/>
        <v>1145787.823795221</v>
      </c>
      <c r="R108" s="3">
        <f t="shared" si="121"/>
        <v>0</v>
      </c>
      <c r="S108" s="47">
        <f t="shared" ca="1" si="122"/>
        <v>948383.33415614022</v>
      </c>
      <c r="T108" s="47">
        <f>'Monthly Data'!M108</f>
        <v>18385.54762348035</v>
      </c>
      <c r="U108" s="47">
        <f ca="1">+'Monthly Data'!N108</f>
        <v>16571.242580550839</v>
      </c>
      <c r="V108" s="47">
        <f t="shared" ca="1" si="133"/>
        <v>983340.12436017138</v>
      </c>
    </row>
    <row r="109" spans="1:22">
      <c r="A109" s="2">
        <f t="shared" si="123"/>
        <v>45657</v>
      </c>
      <c r="B109">
        <f>'Monthly Data'!B109</f>
        <v>2024</v>
      </c>
      <c r="C109">
        <f>'Monthly Data'!C109</f>
        <v>12</v>
      </c>
      <c r="D109" s="3">
        <f ca="1">'Monthly Data'!L109</f>
        <v>1129976.7766417456</v>
      </c>
      <c r="E109" s="3">
        <f t="shared" ref="E109:F109" ca="1" si="135">E97</f>
        <v>602.38541666666674</v>
      </c>
      <c r="F109" s="3">
        <f t="shared" ca="1" si="135"/>
        <v>0</v>
      </c>
      <c r="G109" s="3">
        <f>'Monthly Data'!EG109</f>
        <v>0</v>
      </c>
      <c r="H109">
        <f t="shared" si="64"/>
        <v>108</v>
      </c>
      <c r="I109" s="3">
        <f>'Monthly Data'!DQ109</f>
        <v>31</v>
      </c>
      <c r="J109" s="3">
        <f>'Monthly Data'!EO109</f>
        <v>0</v>
      </c>
      <c r="L109" s="3">
        <f t="shared" si="115"/>
        <v>-761245.70652732695</v>
      </c>
      <c r="M109" s="3">
        <f t="shared" ca="1" si="116"/>
        <v>486691.02109259058</v>
      </c>
      <c r="N109" s="3">
        <f t="shared" ca="1" si="117"/>
        <v>0</v>
      </c>
      <c r="O109" s="3">
        <f t="shared" si="118"/>
        <v>0</v>
      </c>
      <c r="P109" s="3">
        <f t="shared" si="119"/>
        <v>275921.74711752986</v>
      </c>
      <c r="Q109" s="3">
        <f t="shared" si="120"/>
        <v>1183980.7512550617</v>
      </c>
      <c r="R109" s="3">
        <f t="shared" si="121"/>
        <v>0</v>
      </c>
      <c r="S109" s="47">
        <f t="shared" ca="1" si="122"/>
        <v>1185347.8129378553</v>
      </c>
      <c r="T109" s="47">
        <f>'Monthly Data'!M109</f>
        <v>18820.323587487259</v>
      </c>
      <c r="U109" s="47">
        <f ca="1">+'Monthly Data'!N109</f>
        <v>27079.872217458451</v>
      </c>
      <c r="V109" s="47">
        <f t="shared" ca="1" si="133"/>
        <v>1231248.0087428009</v>
      </c>
    </row>
    <row r="110" spans="1:22">
      <c r="A110" s="2">
        <f t="shared" si="123"/>
        <v>45688</v>
      </c>
      <c r="B110">
        <f>'Monthly Data'!B110</f>
        <v>2025</v>
      </c>
      <c r="C110">
        <f>'Monthly Data'!C110</f>
        <v>1</v>
      </c>
      <c r="D110" s="3">
        <f ca="1">'Monthly Data'!L110</f>
        <v>1520453.8036472313</v>
      </c>
      <c r="E110" s="3">
        <f t="shared" ref="E110:F110" ca="1" si="136">E98</f>
        <v>690.78750000000002</v>
      </c>
      <c r="F110" s="3">
        <f t="shared" ca="1" si="136"/>
        <v>0</v>
      </c>
      <c r="G110" s="3">
        <f>'Monthly Data'!EG110</f>
        <v>0</v>
      </c>
      <c r="H110">
        <f t="shared" si="64"/>
        <v>109</v>
      </c>
      <c r="I110" s="3">
        <f>'Monthly Data'!DQ110</f>
        <v>31</v>
      </c>
      <c r="J110" s="3">
        <f>'Monthly Data'!EO110</f>
        <v>0</v>
      </c>
      <c r="L110" s="3">
        <f t="shared" si="115"/>
        <v>-761245.70652732695</v>
      </c>
      <c r="M110" s="3">
        <f t="shared" ca="1" si="116"/>
        <v>558114.56325317395</v>
      </c>
      <c r="N110" s="3">
        <f t="shared" ca="1" si="117"/>
        <v>0</v>
      </c>
      <c r="O110" s="3">
        <f t="shared" si="118"/>
        <v>0</v>
      </c>
      <c r="P110" s="3">
        <f t="shared" si="119"/>
        <v>278476.57810935884</v>
      </c>
      <c r="Q110" s="3">
        <f t="shared" si="120"/>
        <v>1183980.7512550617</v>
      </c>
      <c r="R110" s="3">
        <f t="shared" si="121"/>
        <v>0</v>
      </c>
      <c r="S110" s="47">
        <f t="shared" ref="S110:S121" ca="1" si="137">SUM(L110:R110)</f>
        <v>1259326.1860902675</v>
      </c>
      <c r="T110" s="47">
        <f>'Monthly Data'!M110</f>
        <v>19612.570856687176</v>
      </c>
      <c r="U110" s="47">
        <f ca="1">+'Monthly Data'!N110</f>
        <v>40240.128326123879</v>
      </c>
      <c r="V110" s="47">
        <f t="shared" ref="V110:V121" ca="1" si="138">S110+T110+U110</f>
        <v>1319178.8852730785</v>
      </c>
    </row>
    <row r="111" spans="1:22">
      <c r="A111" s="2">
        <f t="shared" si="123"/>
        <v>45716</v>
      </c>
      <c r="B111">
        <f>'Monthly Data'!B111</f>
        <v>2025</v>
      </c>
      <c r="C111">
        <f>'Monthly Data'!C111</f>
        <v>2</v>
      </c>
      <c r="D111" s="3">
        <f ca="1">'Monthly Data'!L111</f>
        <v>1359572.6897640282</v>
      </c>
      <c r="E111" s="3">
        <f t="shared" ref="E111:F111" ca="1" si="139">E99</f>
        <v>604.19541666666657</v>
      </c>
      <c r="F111" s="3">
        <f t="shared" ca="1" si="139"/>
        <v>0</v>
      </c>
      <c r="G111" s="3">
        <f>'Monthly Data'!EG111</f>
        <v>0</v>
      </c>
      <c r="H111">
        <f t="shared" si="64"/>
        <v>110</v>
      </c>
      <c r="I111" s="3">
        <f>'Monthly Data'!DQ111</f>
        <v>28</v>
      </c>
      <c r="J111" s="3">
        <f>'Monthly Data'!EO111</f>
        <v>0</v>
      </c>
      <c r="L111" s="3">
        <f t="shared" si="115"/>
        <v>-761245.70652732695</v>
      </c>
      <c r="M111" s="3">
        <f t="shared" ca="1" si="116"/>
        <v>488153.39173405146</v>
      </c>
      <c r="N111" s="3">
        <f t="shared" ca="1" si="117"/>
        <v>0</v>
      </c>
      <c r="O111" s="3">
        <f t="shared" si="118"/>
        <v>0</v>
      </c>
      <c r="P111" s="3">
        <f t="shared" si="119"/>
        <v>281031.40910118783</v>
      </c>
      <c r="Q111" s="3">
        <f t="shared" si="120"/>
        <v>1069401.9688755395</v>
      </c>
      <c r="R111" s="3">
        <f t="shared" si="121"/>
        <v>0</v>
      </c>
      <c r="S111" s="47">
        <f t="shared" ca="1" si="137"/>
        <v>1077341.0631834518</v>
      </c>
      <c r="T111" s="47">
        <f>'Monthly Data'!M111</f>
        <v>19970.042161880177</v>
      </c>
      <c r="U111" s="47">
        <f ca="1">+'Monthly Data'!N111</f>
        <v>36549.927573958601</v>
      </c>
      <c r="V111" s="47">
        <f t="shared" ca="1" si="138"/>
        <v>1133861.0329192907</v>
      </c>
    </row>
    <row r="112" spans="1:22">
      <c r="A112" s="2">
        <f t="shared" si="123"/>
        <v>45747</v>
      </c>
      <c r="B112">
        <f>'Monthly Data'!B112</f>
        <v>2025</v>
      </c>
      <c r="C112">
        <f>'Monthly Data'!C112</f>
        <v>3</v>
      </c>
      <c r="D112" s="3">
        <f ca="1">'Monthly Data'!L112</f>
        <v>1094373.4711202844</v>
      </c>
      <c r="E112" s="3">
        <f t="shared" ref="E112:F112" ca="1" si="140">E100</f>
        <v>534.21590579710141</v>
      </c>
      <c r="F112" s="3">
        <f t="shared" ca="1" si="140"/>
        <v>0</v>
      </c>
      <c r="G112" s="3">
        <f>'Monthly Data'!EG112</f>
        <v>1</v>
      </c>
      <c r="H112">
        <f t="shared" si="64"/>
        <v>111</v>
      </c>
      <c r="I112" s="3">
        <f>'Monthly Data'!DQ112</f>
        <v>31</v>
      </c>
      <c r="J112" s="3">
        <f>'Monthly Data'!EO112</f>
        <v>0</v>
      </c>
      <c r="L112" s="3">
        <f t="shared" si="115"/>
        <v>-761245.70652732695</v>
      </c>
      <c r="M112" s="3">
        <f t="shared" ca="1" si="116"/>
        <v>431614.1750492705</v>
      </c>
      <c r="N112" s="3">
        <f t="shared" ca="1" si="117"/>
        <v>0</v>
      </c>
      <c r="O112" s="3">
        <f t="shared" si="118"/>
        <v>-62836.7660875816</v>
      </c>
      <c r="P112" s="3">
        <f t="shared" si="119"/>
        <v>283586.24009301682</v>
      </c>
      <c r="Q112" s="3">
        <f t="shared" si="120"/>
        <v>1183980.7512550617</v>
      </c>
      <c r="R112" s="3">
        <f t="shared" si="121"/>
        <v>0</v>
      </c>
      <c r="S112" s="47">
        <f t="shared" ca="1" si="137"/>
        <v>1075098.6937824404</v>
      </c>
      <c r="T112" s="47">
        <f>'Monthly Data'!M112</f>
        <v>20327.513467073179</v>
      </c>
      <c r="U112" s="47">
        <f ca="1">+'Monthly Data'!N112</f>
        <v>28493.981254513918</v>
      </c>
      <c r="V112" s="47">
        <f t="shared" ca="1" si="138"/>
        <v>1123920.1885040274</v>
      </c>
    </row>
    <row r="113" spans="1:22">
      <c r="A113" s="2">
        <f t="shared" si="123"/>
        <v>45777</v>
      </c>
      <c r="B113">
        <f>'Monthly Data'!B113</f>
        <v>2025</v>
      </c>
      <c r="C113">
        <f>'Monthly Data'!C113</f>
        <v>4</v>
      </c>
      <c r="D113" s="3">
        <f ca="1">'Monthly Data'!L113</f>
        <v>816611.06276083679</v>
      </c>
      <c r="E113" s="3">
        <f t="shared" ref="E113:F113" ca="1" si="141">E101</f>
        <v>352.92312500000003</v>
      </c>
      <c r="F113" s="3">
        <f t="shared" ca="1" si="141"/>
        <v>2.2025000000000015</v>
      </c>
      <c r="G113" s="3">
        <f>'Monthly Data'!EG113</f>
        <v>1</v>
      </c>
      <c r="H113">
        <f t="shared" si="64"/>
        <v>112</v>
      </c>
      <c r="I113" s="3">
        <f>'Monthly Data'!DQ113</f>
        <v>30</v>
      </c>
      <c r="J113" s="3">
        <f>'Monthly Data'!EO113</f>
        <v>0</v>
      </c>
      <c r="L113" s="3">
        <f t="shared" si="115"/>
        <v>-761245.70652732695</v>
      </c>
      <c r="M113" s="3">
        <f t="shared" ca="1" si="116"/>
        <v>285140.56170865905</v>
      </c>
      <c r="N113" s="3">
        <f t="shared" ca="1" si="117"/>
        <v>4065.2951988759241</v>
      </c>
      <c r="O113" s="3">
        <f t="shared" si="118"/>
        <v>-62836.7660875816</v>
      </c>
      <c r="P113" s="3">
        <f t="shared" si="119"/>
        <v>286141.07108484575</v>
      </c>
      <c r="Q113" s="3">
        <f t="shared" si="120"/>
        <v>1145787.823795221</v>
      </c>
      <c r="R113" s="3">
        <f t="shared" si="121"/>
        <v>0</v>
      </c>
      <c r="S113" s="47">
        <f t="shared" ca="1" si="137"/>
        <v>897052.27917269315</v>
      </c>
      <c r="T113" s="47">
        <f>'Monthly Data'!M113</f>
        <v>20684.98477226618</v>
      </c>
      <c r="U113" s="47">
        <f ca="1">+'Monthly Data'!N113</f>
        <v>19330.516868135255</v>
      </c>
      <c r="V113" s="47">
        <f t="shared" ca="1" si="138"/>
        <v>937067.78081309458</v>
      </c>
    </row>
    <row r="114" spans="1:22">
      <c r="A114" s="2">
        <f t="shared" si="123"/>
        <v>45808</v>
      </c>
      <c r="B114">
        <f>'Monthly Data'!B114</f>
        <v>2025</v>
      </c>
      <c r="C114">
        <f>'Monthly Data'!C114</f>
        <v>5</v>
      </c>
      <c r="D114" s="3">
        <f ca="1">'Monthly Data'!L114</f>
        <v>901624.45888526586</v>
      </c>
      <c r="E114" s="3">
        <f t="shared" ref="E114:F114" ca="1" si="142">E102</f>
        <v>155.24720841877425</v>
      </c>
      <c r="F114" s="3">
        <f t="shared" ca="1" si="142"/>
        <v>48.940113636363641</v>
      </c>
      <c r="G114" s="3">
        <f>'Monthly Data'!EG114</f>
        <v>1</v>
      </c>
      <c r="H114">
        <f t="shared" si="64"/>
        <v>113</v>
      </c>
      <c r="I114" s="3">
        <f>'Monthly Data'!DQ114</f>
        <v>31</v>
      </c>
      <c r="J114" s="3">
        <f>'Monthly Data'!EO114</f>
        <v>0</v>
      </c>
      <c r="L114" s="3">
        <f t="shared" si="115"/>
        <v>-761245.70652732695</v>
      </c>
      <c r="M114" s="3">
        <f t="shared" ca="1" si="116"/>
        <v>125430.36450850464</v>
      </c>
      <c r="N114" s="3">
        <f t="shared" ca="1" si="117"/>
        <v>90331.89965872922</v>
      </c>
      <c r="O114" s="3">
        <f t="shared" si="118"/>
        <v>-62836.7660875816</v>
      </c>
      <c r="P114" s="3">
        <f t="shared" si="119"/>
        <v>288695.90207667474</v>
      </c>
      <c r="Q114" s="3">
        <f t="shared" si="120"/>
        <v>1183980.7512550617</v>
      </c>
      <c r="R114" s="3">
        <f t="shared" si="121"/>
        <v>0</v>
      </c>
      <c r="S114" s="47">
        <f t="shared" ca="1" si="137"/>
        <v>864356.4448840617</v>
      </c>
      <c r="T114" s="47">
        <f>'Monthly Data'!M114</f>
        <v>21042.456077459181</v>
      </c>
      <c r="U114" s="47">
        <f ca="1">+'Monthly Data'!N114</f>
        <v>8753.4675162094245</v>
      </c>
      <c r="V114" s="47">
        <f t="shared" ca="1" si="138"/>
        <v>894152.36847773031</v>
      </c>
    </row>
    <row r="115" spans="1:22">
      <c r="A115" s="2">
        <f t="shared" si="123"/>
        <v>45838</v>
      </c>
      <c r="B115">
        <f>'Monthly Data'!B115</f>
        <v>2025</v>
      </c>
      <c r="C115">
        <f>'Monthly Data'!C115</f>
        <v>6</v>
      </c>
      <c r="D115" s="3">
        <f ca="1">'Monthly Data'!L115</f>
        <v>896759.91161148844</v>
      </c>
      <c r="E115" s="3">
        <f t="shared" ref="E115:F115" ca="1" si="143">E103</f>
        <v>30.273840492840492</v>
      </c>
      <c r="F115" s="3">
        <f t="shared" ca="1" si="143"/>
        <v>144.91160087738351</v>
      </c>
      <c r="G115" s="3">
        <f>'Monthly Data'!EG115</f>
        <v>0</v>
      </c>
      <c r="H115">
        <f t="shared" si="64"/>
        <v>114</v>
      </c>
      <c r="I115" s="3">
        <f>'Monthly Data'!DQ115</f>
        <v>30</v>
      </c>
      <c r="J115" s="3">
        <f>'Monthly Data'!EO115</f>
        <v>0</v>
      </c>
      <c r="L115" s="3">
        <f t="shared" si="115"/>
        <v>-761245.70652732695</v>
      </c>
      <c r="M115" s="3">
        <f t="shared" ca="1" si="116"/>
        <v>24459.434000554327</v>
      </c>
      <c r="N115" s="3">
        <f t="shared" ca="1" si="117"/>
        <v>267472.61534994369</v>
      </c>
      <c r="O115" s="3">
        <f t="shared" si="118"/>
        <v>0</v>
      </c>
      <c r="P115" s="3">
        <f t="shared" si="119"/>
        <v>291250.73306850373</v>
      </c>
      <c r="Q115" s="3">
        <f t="shared" si="120"/>
        <v>1145787.823795221</v>
      </c>
      <c r="R115" s="3">
        <f t="shared" si="121"/>
        <v>0</v>
      </c>
      <c r="S115" s="47">
        <f t="shared" ca="1" si="137"/>
        <v>967724.89968689589</v>
      </c>
      <c r="T115" s="47">
        <f>'Monthly Data'!M115</f>
        <v>21399.927382652186</v>
      </c>
      <c r="U115" s="47">
        <f ca="1">+'Monthly Data'!N115</f>
        <v>1233.6533407827962</v>
      </c>
      <c r="V115" s="47">
        <f t="shared" ca="1" si="138"/>
        <v>990358.48041033093</v>
      </c>
    </row>
    <row r="116" spans="1:22">
      <c r="A116" s="2">
        <f t="shared" si="123"/>
        <v>45869</v>
      </c>
      <c r="B116">
        <f>'Monthly Data'!B116</f>
        <v>2025</v>
      </c>
      <c r="C116">
        <f>'Monthly Data'!C116</f>
        <v>7</v>
      </c>
      <c r="D116" s="3">
        <f ca="1">'Monthly Data'!L116</f>
        <v>1191824.7457916313</v>
      </c>
      <c r="E116" s="3">
        <f t="shared" ref="E116:F116" ca="1" si="144">E104</f>
        <v>1.0845833333333317</v>
      </c>
      <c r="F116" s="3">
        <f t="shared" ca="1" si="144"/>
        <v>242.72508692061183</v>
      </c>
      <c r="G116" s="3">
        <f>'Monthly Data'!EG116</f>
        <v>0</v>
      </c>
      <c r="H116">
        <f t="shared" si="64"/>
        <v>115</v>
      </c>
      <c r="I116" s="3">
        <f>'Monthly Data'!DQ116</f>
        <v>31</v>
      </c>
      <c r="J116" s="3">
        <f>'Monthly Data'!EO116</f>
        <v>0</v>
      </c>
      <c r="L116" s="3">
        <f t="shared" si="115"/>
        <v>-761245.70652732695</v>
      </c>
      <c r="M116" s="3">
        <f t="shared" ca="1" si="116"/>
        <v>876.27780380363561</v>
      </c>
      <c r="N116" s="3">
        <f t="shared" ca="1" si="117"/>
        <v>448013.2261090143</v>
      </c>
      <c r="O116" s="3">
        <f t="shared" si="118"/>
        <v>0</v>
      </c>
      <c r="P116" s="3">
        <f t="shared" si="119"/>
        <v>293805.56406033272</v>
      </c>
      <c r="Q116" s="3">
        <f t="shared" si="120"/>
        <v>1183980.7512550617</v>
      </c>
      <c r="R116" s="3">
        <f t="shared" si="121"/>
        <v>0</v>
      </c>
      <c r="S116" s="47">
        <f t="shared" ca="1" si="137"/>
        <v>1165430.1127008854</v>
      </c>
      <c r="T116" s="47">
        <f>'Monthly Data'!M116</f>
        <v>21757.398687845187</v>
      </c>
      <c r="U116" s="47">
        <f ca="1">+'Monthly Data'!N116</f>
        <v>41.434636237091311</v>
      </c>
      <c r="V116" s="47">
        <f t="shared" ca="1" si="138"/>
        <v>1187228.9460249676</v>
      </c>
    </row>
    <row r="117" spans="1:22">
      <c r="A117" s="2">
        <f t="shared" si="123"/>
        <v>45900</v>
      </c>
      <c r="B117">
        <f>'Monthly Data'!B117</f>
        <v>2025</v>
      </c>
      <c r="C117">
        <f>'Monthly Data'!C117</f>
        <v>8</v>
      </c>
      <c r="D117" s="3">
        <f ca="1">'Monthly Data'!L117</f>
        <v>1238181.1114066171</v>
      </c>
      <c r="E117" s="3">
        <f t="shared" ref="E117:F117" ca="1" si="145">E105</f>
        <v>6.4245833333333335</v>
      </c>
      <c r="F117" s="3">
        <f t="shared" ca="1" si="145"/>
        <v>214.02558794466404</v>
      </c>
      <c r="G117" s="3">
        <f>'Monthly Data'!EG117</f>
        <v>0</v>
      </c>
      <c r="H117">
        <f t="shared" si="64"/>
        <v>116</v>
      </c>
      <c r="I117" s="3">
        <f>'Monthly Data'!DQ117</f>
        <v>31</v>
      </c>
      <c r="J117" s="3">
        <f>'Monthly Data'!EO117</f>
        <v>0</v>
      </c>
      <c r="L117" s="3">
        <f t="shared" si="115"/>
        <v>-761245.70652732695</v>
      </c>
      <c r="M117" s="3">
        <f t="shared" ca="1" si="116"/>
        <v>5190.6751659040647</v>
      </c>
      <c r="N117" s="3">
        <f t="shared" ca="1" si="117"/>
        <v>395040.72422612441</v>
      </c>
      <c r="O117" s="3">
        <f t="shared" si="118"/>
        <v>0</v>
      </c>
      <c r="P117" s="3">
        <f t="shared" si="119"/>
        <v>296360.39505216171</v>
      </c>
      <c r="Q117" s="3">
        <f t="shared" si="120"/>
        <v>1183980.7512550617</v>
      </c>
      <c r="R117" s="3">
        <f t="shared" si="121"/>
        <v>0</v>
      </c>
      <c r="S117" s="47">
        <f t="shared" ca="1" si="137"/>
        <v>1119326.8391719251</v>
      </c>
      <c r="T117" s="47">
        <f>'Monthly Data'!M117</f>
        <v>22114.869993038188</v>
      </c>
      <c r="U117" s="47">
        <f ca="1">+'Monthly Data'!N117</f>
        <v>942.92412519657455</v>
      </c>
      <c r="V117" s="47">
        <f t="shared" ca="1" si="138"/>
        <v>1142384.63329016</v>
      </c>
    </row>
    <row r="118" spans="1:22">
      <c r="A118" s="2">
        <f t="shared" si="123"/>
        <v>45930</v>
      </c>
      <c r="B118">
        <f>'Monthly Data'!B118</f>
        <v>2025</v>
      </c>
      <c r="C118">
        <f>'Monthly Data'!C118</f>
        <v>9</v>
      </c>
      <c r="D118" s="3">
        <f ca="1">'Monthly Data'!L118</f>
        <v>803460.52297657146</v>
      </c>
      <c r="E118" s="3">
        <f t="shared" ref="E118:F118" ca="1" si="146">E106</f>
        <v>54.412952898550728</v>
      </c>
      <c r="F118" s="3">
        <f t="shared" ca="1" si="146"/>
        <v>102.40708333333332</v>
      </c>
      <c r="G118" s="3">
        <f>'Monthly Data'!EG118</f>
        <v>1</v>
      </c>
      <c r="H118">
        <f t="shared" si="64"/>
        <v>117</v>
      </c>
      <c r="I118" s="3">
        <f>'Monthly Data'!DQ118</f>
        <v>30</v>
      </c>
      <c r="J118" s="3">
        <f>'Monthly Data'!EO118</f>
        <v>0</v>
      </c>
      <c r="L118" s="3">
        <f t="shared" si="115"/>
        <v>-761245.70652732695</v>
      </c>
      <c r="M118" s="3">
        <f t="shared" ca="1" si="116"/>
        <v>43962.378361348696</v>
      </c>
      <c r="N118" s="3">
        <f t="shared" ca="1" si="117"/>
        <v>189019.30724444328</v>
      </c>
      <c r="O118" s="3">
        <f t="shared" si="118"/>
        <v>-62836.7660875816</v>
      </c>
      <c r="P118" s="3">
        <f t="shared" si="119"/>
        <v>298915.2260439907</v>
      </c>
      <c r="Q118" s="3">
        <f t="shared" si="120"/>
        <v>1145787.823795221</v>
      </c>
      <c r="R118" s="3">
        <f t="shared" si="121"/>
        <v>0</v>
      </c>
      <c r="S118" s="47">
        <f t="shared" ca="1" si="137"/>
        <v>853602.26283009502</v>
      </c>
      <c r="T118" s="47">
        <f>'Monthly Data'!M118</f>
        <v>22472.341298231189</v>
      </c>
      <c r="U118" s="47">
        <f ca="1">+'Monthly Data'!N118</f>
        <v>2041.9721283693718</v>
      </c>
      <c r="V118" s="47">
        <f t="shared" ca="1" si="138"/>
        <v>878116.57625669555</v>
      </c>
    </row>
    <row r="119" spans="1:22">
      <c r="A119" s="2">
        <f t="shared" si="123"/>
        <v>45961</v>
      </c>
      <c r="B119">
        <f>'Monthly Data'!B119</f>
        <v>2025</v>
      </c>
      <c r="C119">
        <f>'Monthly Data'!C119</f>
        <v>10</v>
      </c>
      <c r="D119" s="3">
        <f ca="1">'Monthly Data'!L119</f>
        <v>957503.11493194941</v>
      </c>
      <c r="E119" s="3">
        <f t="shared" ref="E119:F119" ca="1" si="147">E107</f>
        <v>232.21431159420285</v>
      </c>
      <c r="F119" s="3">
        <f t="shared" ca="1" si="147"/>
        <v>19.741250000000004</v>
      </c>
      <c r="G119" s="3">
        <f>'Monthly Data'!EG119</f>
        <v>1</v>
      </c>
      <c r="H119">
        <f t="shared" si="64"/>
        <v>118</v>
      </c>
      <c r="I119" s="3">
        <f>'Monthly Data'!DQ119</f>
        <v>31</v>
      </c>
      <c r="J119" s="3">
        <f>'Monthly Data'!EO119</f>
        <v>0</v>
      </c>
      <c r="L119" s="3">
        <f t="shared" si="115"/>
        <v>-761245.70652732695</v>
      </c>
      <c r="M119" s="3">
        <f t="shared" ca="1" si="116"/>
        <v>187615.1335925085</v>
      </c>
      <c r="N119" s="3">
        <f t="shared" ca="1" si="117"/>
        <v>36437.688465293664</v>
      </c>
      <c r="O119" s="3">
        <f t="shared" si="118"/>
        <v>-62836.7660875816</v>
      </c>
      <c r="P119" s="3">
        <f t="shared" si="119"/>
        <v>301470.05703581963</v>
      </c>
      <c r="Q119" s="3">
        <f t="shared" si="120"/>
        <v>1183980.7512550617</v>
      </c>
      <c r="R119" s="3">
        <f t="shared" si="121"/>
        <v>0</v>
      </c>
      <c r="S119" s="47">
        <f t="shared" ca="1" si="137"/>
        <v>885421.15773377486</v>
      </c>
      <c r="T119" s="47">
        <f>'Monthly Data'!M119</f>
        <v>22829.81260342419</v>
      </c>
      <c r="U119" s="47">
        <f ca="1">+'Monthly Data'!N119</f>
        <v>12095.937812882205</v>
      </c>
      <c r="V119" s="47">
        <f t="shared" ca="1" si="138"/>
        <v>920346.90815008129</v>
      </c>
    </row>
    <row r="120" spans="1:22">
      <c r="A120" s="2">
        <f t="shared" si="123"/>
        <v>45991</v>
      </c>
      <c r="B120">
        <f>'Monthly Data'!B120</f>
        <v>2025</v>
      </c>
      <c r="C120">
        <f>'Monthly Data'!C120</f>
        <v>11</v>
      </c>
      <c r="D120" s="3">
        <f ca="1">'Monthly Data'!L120</f>
        <v>1069937.5426438616</v>
      </c>
      <c r="E120" s="3">
        <f t="shared" ref="E120:F120" ca="1" si="148">E108</f>
        <v>435.51408055712398</v>
      </c>
      <c r="F120" s="3">
        <f t="shared" ca="1" si="148"/>
        <v>0.78124999999999944</v>
      </c>
      <c r="G120" s="3">
        <f>'Monthly Data'!EG120</f>
        <v>1</v>
      </c>
      <c r="H120">
        <f t="shared" ref="H120:H121" si="149">H119+1</f>
        <v>119</v>
      </c>
      <c r="I120" s="3">
        <f>'Monthly Data'!DQ120</f>
        <v>30</v>
      </c>
      <c r="J120" s="3">
        <f>'Monthly Data'!EO120</f>
        <v>0</v>
      </c>
      <c r="L120" s="3">
        <f t="shared" si="115"/>
        <v>-761245.70652732695</v>
      </c>
      <c r="M120" s="3">
        <f t="shared" ca="1" si="116"/>
        <v>351869.06372907275</v>
      </c>
      <c r="N120" s="3">
        <f t="shared" ca="1" si="117"/>
        <v>1442.0031210541708</v>
      </c>
      <c r="O120" s="3">
        <f t="shared" si="118"/>
        <v>-62836.7660875816</v>
      </c>
      <c r="P120" s="3">
        <f t="shared" si="119"/>
        <v>304024.88802764862</v>
      </c>
      <c r="Q120" s="3">
        <f t="shared" si="120"/>
        <v>1145787.823795221</v>
      </c>
      <c r="R120" s="3">
        <f t="shared" si="121"/>
        <v>0</v>
      </c>
      <c r="S120" s="47">
        <f t="shared" ca="1" si="137"/>
        <v>979041.30605808808</v>
      </c>
      <c r="T120" s="47">
        <f>'Monthly Data'!M120</f>
        <v>23187.283908617192</v>
      </c>
      <c r="U120" s="47">
        <f ca="1">+'Monthly Data'!N120</f>
        <v>25306.490232606397</v>
      </c>
      <c r="V120" s="47">
        <f t="shared" ca="1" si="138"/>
        <v>1027535.0801993117</v>
      </c>
    </row>
    <row r="121" spans="1:22">
      <c r="A121" s="2">
        <f t="shared" si="123"/>
        <v>46022</v>
      </c>
      <c r="B121">
        <f>'Monthly Data'!B121</f>
        <v>2025</v>
      </c>
      <c r="C121">
        <f>'Monthly Data'!C121</f>
        <v>12</v>
      </c>
      <c r="D121" s="3">
        <f ca="1">'Monthly Data'!L121</f>
        <v>1468490.2621989343</v>
      </c>
      <c r="E121" s="3">
        <f t="shared" ref="E121:F121" ca="1" si="150">E109</f>
        <v>602.38541666666674</v>
      </c>
      <c r="F121" s="3">
        <f t="shared" ca="1" si="150"/>
        <v>0</v>
      </c>
      <c r="G121" s="3">
        <f>'Monthly Data'!EG121</f>
        <v>0</v>
      </c>
      <c r="H121">
        <f t="shared" si="149"/>
        <v>120</v>
      </c>
      <c r="I121" s="3">
        <f>'Monthly Data'!DQ121</f>
        <v>31</v>
      </c>
      <c r="J121" s="3">
        <f>'Monthly Data'!EO121</f>
        <v>0</v>
      </c>
      <c r="L121" s="3">
        <f t="shared" si="115"/>
        <v>-761245.70652732695</v>
      </c>
      <c r="M121" s="3">
        <f t="shared" ca="1" si="116"/>
        <v>486691.02109259058</v>
      </c>
      <c r="N121" s="3">
        <f t="shared" ca="1" si="117"/>
        <v>0</v>
      </c>
      <c r="O121" s="3">
        <f t="shared" si="118"/>
        <v>0</v>
      </c>
      <c r="P121" s="3">
        <f t="shared" si="119"/>
        <v>306579.7190194776</v>
      </c>
      <c r="Q121" s="3">
        <f t="shared" si="120"/>
        <v>1183980.7512550617</v>
      </c>
      <c r="R121" s="3">
        <f t="shared" si="121"/>
        <v>0</v>
      </c>
      <c r="S121" s="47">
        <f t="shared" ca="1" si="137"/>
        <v>1216005.7848398029</v>
      </c>
      <c r="T121" s="47">
        <f>'Monthly Data'!M121</f>
        <v>23544.755213810193</v>
      </c>
      <c r="U121" s="47">
        <f ca="1">+'Monthly Data'!N121</f>
        <v>37480.718905118898</v>
      </c>
      <c r="V121" s="47">
        <f t="shared" ca="1" si="138"/>
        <v>1277031.258958732</v>
      </c>
    </row>
    <row r="122" spans="1:22">
      <c r="A122" s="2">
        <f t="shared" si="123"/>
        <v>46053</v>
      </c>
      <c r="B122">
        <f t="shared" ref="B122:B162" si="151">YEAR(A122)</f>
        <v>2026</v>
      </c>
      <c r="C122">
        <f t="shared" ref="C122:C162" si="152">MONTH(A122)</f>
        <v>1</v>
      </c>
      <c r="E122" s="3">
        <f t="shared" ref="E122:F122" ca="1" si="153">E110</f>
        <v>690.78750000000002</v>
      </c>
      <c r="F122" s="3">
        <f t="shared" ca="1" si="153"/>
        <v>0</v>
      </c>
      <c r="G122" s="47">
        <f t="shared" ref="G122:G130" si="154">G110</f>
        <v>0</v>
      </c>
      <c r="H122" s="47">
        <f t="shared" ref="H122:H162" si="155">H121+1</f>
        <v>121</v>
      </c>
      <c r="I122" s="47">
        <f t="shared" ref="I122:I162" si="156">I86</f>
        <v>31</v>
      </c>
      <c r="J122">
        <v>0</v>
      </c>
      <c r="L122" s="3">
        <f t="shared" si="115"/>
        <v>-761245.70652732695</v>
      </c>
      <c r="M122" s="3">
        <f t="shared" ca="1" si="116"/>
        <v>558114.56325317395</v>
      </c>
      <c r="N122" s="3">
        <f t="shared" ca="1" si="117"/>
        <v>0</v>
      </c>
      <c r="O122" s="3">
        <f t="shared" si="118"/>
        <v>0</v>
      </c>
      <c r="P122" s="3">
        <f t="shared" si="119"/>
        <v>309134.55001130659</v>
      </c>
      <c r="Q122" s="3">
        <f t="shared" si="120"/>
        <v>1183980.7512550617</v>
      </c>
      <c r="R122" s="3">
        <f t="shared" si="121"/>
        <v>0</v>
      </c>
      <c r="S122" s="47">
        <f t="shared" ref="S122:S161" ca="1" si="157">SUM(L122:R122)</f>
        <v>1289984.1579922154</v>
      </c>
      <c r="T122" s="47">
        <f>IFERROR(HLOOKUP(B122-1,'EV Forecast VRZ'!$F$124:$T$130,3,FALSE)/12,0)+IFERROR(((HLOOKUP(B122,'EV Forecast VRZ'!$F$116:$T$122,3,FALSE)-HLOOKUP(B122-1,'EV Forecast VRZ'!$F$124:$T$130,3,FALSE)))*C122/78,0)</f>
        <v>24364.699198266728</v>
      </c>
      <c r="U122" s="47">
        <f ca="1">HLOOKUP(B122,Heating!$C$102:$O$106,3,FALSE)*INDEX(Weather!$BO$1:$CB$20,MATCH(B122,Weather!$BO$1:$BO$20,0),MATCH(C122,Weather!$BO$1:$CB$1,0))/VLOOKUP(B122,Weather!$BO$2:$CB$20,14,FALSE)</f>
        <v>46974.289505562949</v>
      </c>
      <c r="V122" s="47">
        <f t="shared" ca="1" si="133"/>
        <v>1361323.1466960451</v>
      </c>
    </row>
    <row r="123" spans="1:22">
      <c r="A123" s="2">
        <f t="shared" si="123"/>
        <v>46081</v>
      </c>
      <c r="B123">
        <f t="shared" si="151"/>
        <v>2026</v>
      </c>
      <c r="C123">
        <f t="shared" si="152"/>
        <v>2</v>
      </c>
      <c r="E123" s="3">
        <f t="shared" ref="E123:F123" ca="1" si="158">E111</f>
        <v>604.19541666666657</v>
      </c>
      <c r="F123" s="3">
        <f t="shared" ca="1" si="158"/>
        <v>0</v>
      </c>
      <c r="G123" s="47">
        <f t="shared" si="154"/>
        <v>0</v>
      </c>
      <c r="H123" s="47">
        <f t="shared" si="155"/>
        <v>122</v>
      </c>
      <c r="I123" s="47">
        <f t="shared" si="156"/>
        <v>28</v>
      </c>
      <c r="J123">
        <v>0</v>
      </c>
      <c r="L123" s="3">
        <f t="shared" si="115"/>
        <v>-761245.70652732695</v>
      </c>
      <c r="M123" s="3">
        <f t="shared" ca="1" si="116"/>
        <v>488153.39173405146</v>
      </c>
      <c r="N123" s="3">
        <f t="shared" ca="1" si="117"/>
        <v>0</v>
      </c>
      <c r="O123" s="3">
        <f t="shared" si="118"/>
        <v>0</v>
      </c>
      <c r="P123" s="3">
        <f t="shared" si="119"/>
        <v>311689.38100313558</v>
      </c>
      <c r="Q123" s="3">
        <f t="shared" si="120"/>
        <v>1069401.9688755395</v>
      </c>
      <c r="R123" s="3">
        <f t="shared" si="121"/>
        <v>0</v>
      </c>
      <c r="S123" s="47">
        <f t="shared" ca="1" si="157"/>
        <v>1107999.0350853996</v>
      </c>
      <c r="T123" s="47">
        <f>IFERROR(HLOOKUP(B123-1,'EV Forecast VRZ'!$F$124:$T$130,3,FALSE)/12,0)+IFERROR(((HLOOKUP(B123,'EV Forecast VRZ'!$F$116:$T$122,3,FALSE)-HLOOKUP(B123-1,'EV Forecast VRZ'!$F$124:$T$130,3,FALSE)))*C123/78,0)</f>
        <v>24827.171877530258</v>
      </c>
      <c r="U123" s="47">
        <f ca="1">HLOOKUP(B123,Heating!$C$102:$O$106,3,FALSE)*INDEX(Weather!$BO$1:$CB$20,MATCH(B123,Weather!$BO$1:$BO$20,0),MATCH(C123,Weather!$BO$1:$CB$1,0))/VLOOKUP(B123,Weather!$BO$2:$CB$20,14,FALSE)</f>
        <v>41085.93513987185</v>
      </c>
      <c r="V123" s="47">
        <f t="shared" ca="1" si="133"/>
        <v>1173912.1421028017</v>
      </c>
    </row>
    <row r="124" spans="1:22">
      <c r="A124" s="2">
        <f t="shared" si="123"/>
        <v>46112</v>
      </c>
      <c r="B124">
        <f t="shared" si="151"/>
        <v>2026</v>
      </c>
      <c r="C124">
        <f t="shared" si="152"/>
        <v>3</v>
      </c>
      <c r="E124" s="3">
        <f t="shared" ref="E124:F124" ca="1" si="159">E112</f>
        <v>534.21590579710141</v>
      </c>
      <c r="F124" s="3">
        <f t="shared" ca="1" si="159"/>
        <v>0</v>
      </c>
      <c r="G124" s="47">
        <f t="shared" si="154"/>
        <v>1</v>
      </c>
      <c r="H124" s="47">
        <f t="shared" si="155"/>
        <v>123</v>
      </c>
      <c r="I124" s="47">
        <f t="shared" si="156"/>
        <v>31</v>
      </c>
      <c r="J124">
        <v>0</v>
      </c>
      <c r="L124" s="3">
        <f t="shared" si="115"/>
        <v>-761245.70652732695</v>
      </c>
      <c r="M124" s="3">
        <f t="shared" ca="1" si="116"/>
        <v>431614.1750492705</v>
      </c>
      <c r="N124" s="3">
        <f t="shared" ca="1" si="117"/>
        <v>0</v>
      </c>
      <c r="O124" s="3">
        <f t="shared" si="118"/>
        <v>-62836.7660875816</v>
      </c>
      <c r="P124" s="3">
        <f t="shared" si="119"/>
        <v>314244.21199496457</v>
      </c>
      <c r="Q124" s="3">
        <f t="shared" si="120"/>
        <v>1183980.7512550617</v>
      </c>
      <c r="R124" s="3">
        <f t="shared" si="121"/>
        <v>0</v>
      </c>
      <c r="S124" s="47">
        <f t="shared" ca="1" si="157"/>
        <v>1105756.6656843883</v>
      </c>
      <c r="T124" s="47">
        <f>IFERROR(HLOOKUP(B124-1,'EV Forecast VRZ'!$F$124:$T$130,3,FALSE)/12,0)+IFERROR(((HLOOKUP(B124,'EV Forecast VRZ'!$F$116:$T$122,3,FALSE)-HLOOKUP(B124-1,'EV Forecast VRZ'!$F$124:$T$130,3,FALSE)))*C124/78,0)</f>
        <v>25289.644556793784</v>
      </c>
      <c r="U124" s="47">
        <f ca="1">HLOOKUP(B124,Heating!$C$102:$O$106,3,FALSE)*INDEX(Weather!$BO$1:$CB$20,MATCH(B124,Weather!$BO$1:$BO$20,0),MATCH(C124,Weather!$BO$1:$CB$1,0))/VLOOKUP(B124,Weather!$BO$2:$CB$20,14,FALSE)</f>
        <v>36327.253485897738</v>
      </c>
      <c r="V124" s="47">
        <f t="shared" ca="1" si="133"/>
        <v>1167373.5637270799</v>
      </c>
    </row>
    <row r="125" spans="1:22">
      <c r="A125" s="2">
        <f t="shared" si="123"/>
        <v>46142</v>
      </c>
      <c r="B125">
        <f t="shared" si="151"/>
        <v>2026</v>
      </c>
      <c r="C125">
        <f t="shared" si="152"/>
        <v>4</v>
      </c>
      <c r="E125" s="3">
        <f t="shared" ref="E125:F125" ca="1" si="160">E113</f>
        <v>352.92312500000003</v>
      </c>
      <c r="F125" s="3">
        <f t="shared" ca="1" si="160"/>
        <v>2.2025000000000015</v>
      </c>
      <c r="G125" s="47">
        <f t="shared" si="154"/>
        <v>1</v>
      </c>
      <c r="H125" s="47">
        <f t="shared" si="155"/>
        <v>124</v>
      </c>
      <c r="I125" s="47">
        <f t="shared" si="156"/>
        <v>30</v>
      </c>
      <c r="J125">
        <v>0</v>
      </c>
      <c r="L125" s="3">
        <f t="shared" si="115"/>
        <v>-761245.70652732695</v>
      </c>
      <c r="M125" s="3">
        <f t="shared" ca="1" si="116"/>
        <v>285140.56170865905</v>
      </c>
      <c r="N125" s="3">
        <f t="shared" ca="1" si="117"/>
        <v>4065.2951988759241</v>
      </c>
      <c r="O125" s="3">
        <f t="shared" si="118"/>
        <v>-62836.7660875816</v>
      </c>
      <c r="P125" s="3">
        <f t="shared" si="119"/>
        <v>316799.04298679356</v>
      </c>
      <c r="Q125" s="3">
        <f t="shared" si="120"/>
        <v>1145787.823795221</v>
      </c>
      <c r="R125" s="3">
        <f t="shared" si="121"/>
        <v>0</v>
      </c>
      <c r="S125" s="47">
        <f t="shared" ca="1" si="157"/>
        <v>927710.25107464101</v>
      </c>
      <c r="T125" s="47">
        <f>IFERROR(HLOOKUP(B125-1,'EV Forecast VRZ'!$F$124:$T$130,3,FALSE)/12,0)+IFERROR(((HLOOKUP(B125,'EV Forecast VRZ'!$F$116:$T$122,3,FALSE)-HLOOKUP(B125-1,'EV Forecast VRZ'!$F$124:$T$130,3,FALSE)))*C125/78,0)</f>
        <v>25752.117236057311</v>
      </c>
      <c r="U125" s="47">
        <f ca="1">HLOOKUP(B125,Heating!$C$102:$O$106,3,FALSE)*INDEX(Weather!$BO$1:$CB$20,MATCH(B125,Weather!$BO$1:$BO$20,0),MATCH(C125,Weather!$BO$1:$CB$1,0))/VLOOKUP(B125,Weather!$BO$2:$CB$20,14,FALSE)</f>
        <v>23999.150313168637</v>
      </c>
      <c r="V125" s="47">
        <f t="shared" ca="1" si="133"/>
        <v>977461.51862386696</v>
      </c>
    </row>
    <row r="126" spans="1:22">
      <c r="A126" s="2">
        <f t="shared" si="123"/>
        <v>46173</v>
      </c>
      <c r="B126">
        <f t="shared" si="151"/>
        <v>2026</v>
      </c>
      <c r="C126">
        <f t="shared" si="152"/>
        <v>5</v>
      </c>
      <c r="E126" s="3">
        <f t="shared" ref="E126:F126" ca="1" si="161">E114</f>
        <v>155.24720841877425</v>
      </c>
      <c r="F126" s="3">
        <f t="shared" ca="1" si="161"/>
        <v>48.940113636363641</v>
      </c>
      <c r="G126" s="47">
        <f t="shared" si="154"/>
        <v>1</v>
      </c>
      <c r="H126" s="47">
        <f t="shared" si="155"/>
        <v>125</v>
      </c>
      <c r="I126" s="47">
        <f t="shared" si="156"/>
        <v>31</v>
      </c>
      <c r="J126">
        <v>0</v>
      </c>
      <c r="L126" s="3">
        <f t="shared" si="115"/>
        <v>-761245.70652732695</v>
      </c>
      <c r="M126" s="3">
        <f t="shared" ca="1" si="116"/>
        <v>125430.36450850464</v>
      </c>
      <c r="N126" s="3">
        <f t="shared" ca="1" si="117"/>
        <v>90331.89965872922</v>
      </c>
      <c r="O126" s="3">
        <f t="shared" si="118"/>
        <v>-62836.7660875816</v>
      </c>
      <c r="P126" s="3">
        <f t="shared" si="119"/>
        <v>319353.87397862249</v>
      </c>
      <c r="Q126" s="3">
        <f t="shared" si="120"/>
        <v>1183980.7512550617</v>
      </c>
      <c r="R126" s="3">
        <f t="shared" si="121"/>
        <v>0</v>
      </c>
      <c r="S126" s="47">
        <f t="shared" ca="1" si="157"/>
        <v>895014.41678600945</v>
      </c>
      <c r="T126" s="47">
        <f>IFERROR(HLOOKUP(B126-1,'EV Forecast VRZ'!$F$124:$T$130,3,FALSE)/12,0)+IFERROR(((HLOOKUP(B126,'EV Forecast VRZ'!$F$116:$T$122,3,FALSE)-HLOOKUP(B126-1,'EV Forecast VRZ'!$F$124:$T$130,3,FALSE)))*C126/78,0)</f>
        <v>26214.589915320841</v>
      </c>
      <c r="U126" s="47">
        <f ca="1">HLOOKUP(B126,Heating!$C$102:$O$106,3,FALSE)*INDEX(Weather!$BO$1:$CB$20,MATCH(B126,Weather!$BO$1:$BO$20,0),MATCH(C126,Weather!$BO$1:$CB$1,0))/VLOOKUP(B126,Weather!$BO$2:$CB$20,14,FALSE)</f>
        <v>10556.976368556136</v>
      </c>
      <c r="V126" s="47">
        <f t="shared" ca="1" si="133"/>
        <v>931785.98306988645</v>
      </c>
    </row>
    <row r="127" spans="1:22">
      <c r="A127" s="2">
        <f t="shared" si="123"/>
        <v>46203</v>
      </c>
      <c r="B127">
        <f t="shared" si="151"/>
        <v>2026</v>
      </c>
      <c r="C127">
        <f t="shared" si="152"/>
        <v>6</v>
      </c>
      <c r="E127" s="3">
        <f t="shared" ref="E127:F127" ca="1" si="162">E115</f>
        <v>30.273840492840492</v>
      </c>
      <c r="F127" s="3">
        <f t="shared" ca="1" si="162"/>
        <v>144.91160087738351</v>
      </c>
      <c r="G127" s="47">
        <f t="shared" si="154"/>
        <v>0</v>
      </c>
      <c r="H127" s="47">
        <f t="shared" si="155"/>
        <v>126</v>
      </c>
      <c r="I127" s="47">
        <f t="shared" si="156"/>
        <v>30</v>
      </c>
      <c r="J127">
        <v>0</v>
      </c>
      <c r="L127" s="3">
        <f t="shared" si="115"/>
        <v>-761245.70652732695</v>
      </c>
      <c r="M127" s="3">
        <f t="shared" ca="1" si="116"/>
        <v>24459.434000554327</v>
      </c>
      <c r="N127" s="3">
        <f t="shared" ca="1" si="117"/>
        <v>267472.61534994369</v>
      </c>
      <c r="O127" s="3">
        <f t="shared" si="118"/>
        <v>0</v>
      </c>
      <c r="P127" s="3">
        <f t="shared" si="119"/>
        <v>321908.70497045148</v>
      </c>
      <c r="Q127" s="3">
        <f t="shared" si="120"/>
        <v>1145787.823795221</v>
      </c>
      <c r="R127" s="3">
        <f t="shared" si="121"/>
        <v>0</v>
      </c>
      <c r="S127" s="47">
        <f t="shared" ca="1" si="157"/>
        <v>998382.87158884364</v>
      </c>
      <c r="T127" s="47">
        <f>IFERROR(HLOOKUP(B127-1,'EV Forecast VRZ'!$F$124:$T$130,3,FALSE)/12,0)+IFERROR(((HLOOKUP(B127,'EV Forecast VRZ'!$F$116:$T$122,3,FALSE)-HLOOKUP(B127-1,'EV Forecast VRZ'!$F$124:$T$130,3,FALSE)))*C127/78,0)</f>
        <v>26677.062594584368</v>
      </c>
      <c r="U127" s="47">
        <f ca="1">HLOOKUP(B127,Heating!$C$102:$O$106,3,FALSE)*INDEX(Weather!$BO$1:$CB$20,MATCH(B127,Weather!$BO$1:$BO$20,0),MATCH(C127,Weather!$BO$1:$CB$1,0))/VLOOKUP(B127,Weather!$BO$2:$CB$20,14,FALSE)</f>
        <v>2058.6535624282774</v>
      </c>
      <c r="V127" s="47">
        <f t="shared" ca="1" si="133"/>
        <v>1027118.5877458564</v>
      </c>
    </row>
    <row r="128" spans="1:22">
      <c r="A128" s="2">
        <f t="shared" si="123"/>
        <v>46234</v>
      </c>
      <c r="B128">
        <f t="shared" si="151"/>
        <v>2026</v>
      </c>
      <c r="C128">
        <f t="shared" si="152"/>
        <v>7</v>
      </c>
      <c r="E128" s="3">
        <f t="shared" ref="E128:F128" ca="1" si="163">E116</f>
        <v>1.0845833333333317</v>
      </c>
      <c r="F128" s="3">
        <f t="shared" ca="1" si="163"/>
        <v>242.72508692061183</v>
      </c>
      <c r="G128" s="47">
        <f t="shared" si="154"/>
        <v>0</v>
      </c>
      <c r="H128" s="47">
        <f t="shared" si="155"/>
        <v>127</v>
      </c>
      <c r="I128" s="47">
        <f t="shared" si="156"/>
        <v>31</v>
      </c>
      <c r="J128">
        <v>0</v>
      </c>
      <c r="L128" s="3">
        <f t="shared" si="115"/>
        <v>-761245.70652732695</v>
      </c>
      <c r="M128" s="3">
        <f t="shared" ca="1" si="116"/>
        <v>876.27780380363561</v>
      </c>
      <c r="N128" s="3">
        <f t="shared" ca="1" si="117"/>
        <v>448013.2261090143</v>
      </c>
      <c r="O128" s="3">
        <f t="shared" si="118"/>
        <v>0</v>
      </c>
      <c r="P128" s="3">
        <f t="shared" si="119"/>
        <v>324463.53596228047</v>
      </c>
      <c r="Q128" s="3">
        <f t="shared" si="120"/>
        <v>1183980.7512550617</v>
      </c>
      <c r="R128" s="3">
        <f t="shared" si="121"/>
        <v>0</v>
      </c>
      <c r="S128" s="47">
        <f t="shared" ca="1" si="157"/>
        <v>1196088.0846028333</v>
      </c>
      <c r="T128" s="47">
        <f>IFERROR(HLOOKUP(B128-1,'EV Forecast VRZ'!$F$124:$T$130,3,FALSE)/12,0)+IFERROR(((HLOOKUP(B128,'EV Forecast VRZ'!$F$116:$T$122,3,FALSE)-HLOOKUP(B128-1,'EV Forecast VRZ'!$F$124:$T$130,3,FALSE)))*C128/78,0)</f>
        <v>27139.535273847898</v>
      </c>
      <c r="U128" s="47">
        <f ca="1">HLOOKUP(B128,Heating!$C$102:$O$106,3,FALSE)*INDEX(Weather!$BO$1:$CB$20,MATCH(B128,Weather!$BO$1:$BO$20,0),MATCH(C128,Weather!$BO$1:$CB$1,0))/VLOOKUP(B128,Weather!$BO$2:$CB$20,14,FALSE)</f>
        <v>73.752827740670455</v>
      </c>
      <c r="V128" s="47">
        <f t="shared" ca="1" si="133"/>
        <v>1223301.3727044219</v>
      </c>
    </row>
    <row r="129" spans="1:22">
      <c r="A129" s="2">
        <f t="shared" si="123"/>
        <v>46265</v>
      </c>
      <c r="B129">
        <f t="shared" si="151"/>
        <v>2026</v>
      </c>
      <c r="C129">
        <f t="shared" si="152"/>
        <v>8</v>
      </c>
      <c r="E129" s="3">
        <f t="shared" ref="E129:F129" ca="1" si="164">E117</f>
        <v>6.4245833333333335</v>
      </c>
      <c r="F129" s="3">
        <f t="shared" ca="1" si="164"/>
        <v>214.02558794466404</v>
      </c>
      <c r="G129" s="47">
        <f t="shared" si="154"/>
        <v>0</v>
      </c>
      <c r="H129" s="47">
        <f t="shared" si="155"/>
        <v>128</v>
      </c>
      <c r="I129" s="47">
        <f t="shared" si="156"/>
        <v>31</v>
      </c>
      <c r="J129">
        <v>0</v>
      </c>
      <c r="L129" s="3">
        <f t="shared" si="115"/>
        <v>-761245.70652732695</v>
      </c>
      <c r="M129" s="3">
        <f t="shared" ca="1" si="116"/>
        <v>5190.6751659040647</v>
      </c>
      <c r="N129" s="3">
        <f t="shared" ca="1" si="117"/>
        <v>395040.72422612441</v>
      </c>
      <c r="O129" s="3">
        <f t="shared" si="118"/>
        <v>0</v>
      </c>
      <c r="P129" s="3">
        <f t="shared" si="119"/>
        <v>327018.36695410946</v>
      </c>
      <c r="Q129" s="3">
        <f t="shared" si="120"/>
        <v>1183980.7512550617</v>
      </c>
      <c r="R129" s="3">
        <f t="shared" si="121"/>
        <v>0</v>
      </c>
      <c r="S129" s="47">
        <f t="shared" ca="1" si="157"/>
        <v>1149984.8110738727</v>
      </c>
      <c r="T129" s="47">
        <f>IFERROR(HLOOKUP(B129-1,'EV Forecast VRZ'!$F$124:$T$130,3,FALSE)/12,0)+IFERROR(((HLOOKUP(B129,'EV Forecast VRZ'!$F$116:$T$122,3,FALSE)-HLOOKUP(B129-1,'EV Forecast VRZ'!$F$124:$T$130,3,FALSE)))*C129/78,0)</f>
        <v>27602.007953111424</v>
      </c>
      <c r="U129" s="47">
        <f ca="1">HLOOKUP(B129,Heating!$C$102:$O$106,3,FALSE)*INDEX(Weather!$BO$1:$CB$20,MATCH(B129,Weather!$BO$1:$BO$20,0),MATCH(C129,Weather!$BO$1:$CB$1,0))/VLOOKUP(B129,Weather!$BO$2:$CB$20,14,FALSE)</f>
        <v>436.87854434629264</v>
      </c>
      <c r="V129" s="47">
        <f t="shared" ca="1" si="133"/>
        <v>1178023.6975713302</v>
      </c>
    </row>
    <row r="130" spans="1:22">
      <c r="A130" s="2">
        <f t="shared" si="123"/>
        <v>46295</v>
      </c>
      <c r="B130">
        <f t="shared" si="151"/>
        <v>2026</v>
      </c>
      <c r="C130">
        <f t="shared" si="152"/>
        <v>9</v>
      </c>
      <c r="E130" s="3">
        <f t="shared" ref="E130:F130" ca="1" si="165">E118</f>
        <v>54.412952898550728</v>
      </c>
      <c r="F130" s="3">
        <f t="shared" ca="1" si="165"/>
        <v>102.40708333333332</v>
      </c>
      <c r="G130" s="47">
        <f t="shared" si="154"/>
        <v>1</v>
      </c>
      <c r="H130" s="47">
        <f t="shared" si="155"/>
        <v>129</v>
      </c>
      <c r="I130" s="47">
        <f t="shared" si="156"/>
        <v>30</v>
      </c>
      <c r="J130">
        <v>0</v>
      </c>
      <c r="L130" s="3">
        <f t="shared" ref="L130:L161" si="166">$Z$8</f>
        <v>-761245.70652732695</v>
      </c>
      <c r="M130" s="3">
        <f t="shared" ref="M130:M161" ca="1" si="167">E130*$Z$9</f>
        <v>43962.378361348696</v>
      </c>
      <c r="N130" s="3">
        <f t="shared" ref="N130:N161" ca="1" si="168">F130*$Z$10</f>
        <v>189019.30724444328</v>
      </c>
      <c r="O130" s="3">
        <f t="shared" ref="O130:O161" si="169">G130*$Z$11</f>
        <v>-62836.7660875816</v>
      </c>
      <c r="P130" s="3">
        <f t="shared" ref="P130:P161" si="170">H130*$Z$12</f>
        <v>329573.19794593845</v>
      </c>
      <c r="Q130" s="3">
        <f t="shared" ref="Q130:Q161" si="171">I130*$Z$13</f>
        <v>1145787.823795221</v>
      </c>
      <c r="R130" s="3">
        <f t="shared" ref="R130:R161" si="172">J130*$Z$14</f>
        <v>0</v>
      </c>
      <c r="S130" s="47">
        <f t="shared" ca="1" si="157"/>
        <v>884260.23473204277</v>
      </c>
      <c r="T130" s="47">
        <f>IFERROR(HLOOKUP(B130-1,'EV Forecast VRZ'!$F$124:$T$130,3,FALSE)/12,0)+IFERROR(((HLOOKUP(B130,'EV Forecast VRZ'!$F$116:$T$122,3,FALSE)-HLOOKUP(B130-1,'EV Forecast VRZ'!$F$124:$T$130,3,FALSE)))*C130/78,0)</f>
        <v>28064.480632374951</v>
      </c>
      <c r="U130" s="47">
        <f ca="1">HLOOKUP(B130,Heating!$C$102:$O$106,3,FALSE)*INDEX(Weather!$BO$1:$CB$20,MATCH(B130,Weather!$BO$1:$BO$20,0),MATCH(C130,Weather!$BO$1:$CB$1,0))/VLOOKUP(B130,Weather!$BO$2:$CB$20,14,FALSE)</f>
        <v>3700.1390475494741</v>
      </c>
      <c r="V130" s="47">
        <f t="shared" ca="1" si="133"/>
        <v>916024.85441196722</v>
      </c>
    </row>
    <row r="131" spans="1:22">
      <c r="A131" s="2">
        <f t="shared" si="123"/>
        <v>46326</v>
      </c>
      <c r="B131">
        <f t="shared" si="151"/>
        <v>2026</v>
      </c>
      <c r="C131">
        <f t="shared" si="152"/>
        <v>10</v>
      </c>
      <c r="E131" s="3">
        <f t="shared" ref="E131:F131" ca="1" si="173">E119</f>
        <v>232.21431159420285</v>
      </c>
      <c r="F131" s="3">
        <f t="shared" ca="1" si="173"/>
        <v>19.741250000000004</v>
      </c>
      <c r="G131" s="47">
        <f t="shared" ref="G131:G146" si="174">G119</f>
        <v>1</v>
      </c>
      <c r="H131" s="47">
        <f t="shared" si="155"/>
        <v>130</v>
      </c>
      <c r="I131" s="47">
        <f t="shared" si="156"/>
        <v>31</v>
      </c>
      <c r="J131">
        <v>0</v>
      </c>
      <c r="L131" s="3">
        <f t="shared" si="166"/>
        <v>-761245.70652732695</v>
      </c>
      <c r="M131" s="3">
        <f t="shared" ca="1" si="167"/>
        <v>187615.1335925085</v>
      </c>
      <c r="N131" s="3">
        <f t="shared" ca="1" si="168"/>
        <v>36437.688465293664</v>
      </c>
      <c r="O131" s="3">
        <f t="shared" si="169"/>
        <v>-62836.7660875816</v>
      </c>
      <c r="P131" s="3">
        <f t="shared" si="170"/>
        <v>332128.02893776743</v>
      </c>
      <c r="Q131" s="3">
        <f t="shared" si="171"/>
        <v>1183980.7512550617</v>
      </c>
      <c r="R131" s="3">
        <f t="shared" si="172"/>
        <v>0</v>
      </c>
      <c r="S131" s="47">
        <f t="shared" ca="1" si="157"/>
        <v>916079.12963572261</v>
      </c>
      <c r="T131" s="47">
        <f>IFERROR(HLOOKUP(B131-1,'EV Forecast VRZ'!$F$124:$T$130,3,FALSE)/12,0)+IFERROR(((HLOOKUP(B131,'EV Forecast VRZ'!$F$116:$T$122,3,FALSE)-HLOOKUP(B131-1,'EV Forecast VRZ'!$F$124:$T$130,3,FALSE)))*C131/78,0)</f>
        <v>28526.953311638477</v>
      </c>
      <c r="U131" s="47">
        <f ca="1">HLOOKUP(B131,Heating!$C$102:$O$106,3,FALSE)*INDEX(Weather!$BO$1:$CB$20,MATCH(B131,Weather!$BO$1:$BO$20,0),MATCH(C131,Weather!$BO$1:$CB$1,0))/VLOOKUP(B131,Weather!$BO$2:$CB$20,14,FALSE)</f>
        <v>15790.82177972399</v>
      </c>
      <c r="V131" s="47">
        <f t="shared" ca="1" si="133"/>
        <v>960396.90472708503</v>
      </c>
    </row>
    <row r="132" spans="1:22">
      <c r="A132" s="2">
        <f t="shared" si="123"/>
        <v>46356</v>
      </c>
      <c r="B132">
        <f t="shared" si="151"/>
        <v>2026</v>
      </c>
      <c r="C132">
        <f t="shared" si="152"/>
        <v>11</v>
      </c>
      <c r="E132" s="3">
        <f t="shared" ref="E132:F132" ca="1" si="175">E120</f>
        <v>435.51408055712398</v>
      </c>
      <c r="F132" s="3">
        <f t="shared" ca="1" si="175"/>
        <v>0.78124999999999944</v>
      </c>
      <c r="G132" s="47">
        <f t="shared" si="174"/>
        <v>1</v>
      </c>
      <c r="H132" s="47">
        <f t="shared" si="155"/>
        <v>131</v>
      </c>
      <c r="I132" s="47">
        <f t="shared" si="156"/>
        <v>30</v>
      </c>
      <c r="J132">
        <v>0</v>
      </c>
      <c r="L132" s="3">
        <f t="shared" si="166"/>
        <v>-761245.70652732695</v>
      </c>
      <c r="M132" s="3">
        <f t="shared" ca="1" si="167"/>
        <v>351869.06372907275</v>
      </c>
      <c r="N132" s="3">
        <f t="shared" ca="1" si="168"/>
        <v>1442.0031210541708</v>
      </c>
      <c r="O132" s="3">
        <f t="shared" si="169"/>
        <v>-62836.7660875816</v>
      </c>
      <c r="P132" s="3">
        <f t="shared" si="170"/>
        <v>334682.85992959642</v>
      </c>
      <c r="Q132" s="3">
        <f t="shared" si="171"/>
        <v>1145787.823795221</v>
      </c>
      <c r="R132" s="3">
        <f t="shared" si="172"/>
        <v>0</v>
      </c>
      <c r="S132" s="47">
        <f t="shared" ca="1" si="157"/>
        <v>1009699.2779600358</v>
      </c>
      <c r="T132" s="47">
        <f>IFERROR(HLOOKUP(B132-1,'EV Forecast VRZ'!$F$124:$T$130,3,FALSE)/12,0)+IFERROR(((HLOOKUP(B132,'EV Forecast VRZ'!$F$116:$T$122,3,FALSE)-HLOOKUP(B132-1,'EV Forecast VRZ'!$F$124:$T$130,3,FALSE)))*C132/78,0)</f>
        <v>28989.425990902007</v>
      </c>
      <c r="U132" s="47">
        <f ca="1">HLOOKUP(B132,Heating!$C$102:$O$106,3,FALSE)*INDEX(Weather!$BO$1:$CB$20,MATCH(B132,Weather!$BO$1:$BO$20,0),MATCH(C132,Weather!$BO$1:$CB$1,0))/VLOOKUP(B132,Weather!$BO$2:$CB$20,14,FALSE)</f>
        <v>29615.423706768586</v>
      </c>
      <c r="V132" s="47">
        <f t="shared" ca="1" si="133"/>
        <v>1068304.1276577064</v>
      </c>
    </row>
    <row r="133" spans="1:22">
      <c r="A133" s="2">
        <f t="shared" si="123"/>
        <v>46387</v>
      </c>
      <c r="B133">
        <f t="shared" si="151"/>
        <v>2026</v>
      </c>
      <c r="C133">
        <f t="shared" si="152"/>
        <v>12</v>
      </c>
      <c r="E133" s="3">
        <f t="shared" ref="E133:F133" ca="1" si="176">E121</f>
        <v>602.38541666666674</v>
      </c>
      <c r="F133" s="3">
        <f t="shared" ca="1" si="176"/>
        <v>0</v>
      </c>
      <c r="G133" s="47">
        <f t="shared" si="174"/>
        <v>0</v>
      </c>
      <c r="H133" s="47">
        <f t="shared" si="155"/>
        <v>132</v>
      </c>
      <c r="I133" s="47">
        <f t="shared" si="156"/>
        <v>31</v>
      </c>
      <c r="J133">
        <v>0</v>
      </c>
      <c r="L133" s="3">
        <f t="shared" si="166"/>
        <v>-761245.70652732695</v>
      </c>
      <c r="M133" s="3">
        <f t="shared" ca="1" si="167"/>
        <v>486691.02109259058</v>
      </c>
      <c r="N133" s="3">
        <f t="shared" ca="1" si="168"/>
        <v>0</v>
      </c>
      <c r="O133" s="3">
        <f t="shared" si="169"/>
        <v>0</v>
      </c>
      <c r="P133" s="3">
        <f t="shared" si="170"/>
        <v>337237.69092142535</v>
      </c>
      <c r="Q133" s="3">
        <f t="shared" si="171"/>
        <v>1183980.7512550617</v>
      </c>
      <c r="R133" s="3">
        <f t="shared" si="172"/>
        <v>0</v>
      </c>
      <c r="S133" s="47">
        <f t="shared" ca="1" si="157"/>
        <v>1246663.7567417508</v>
      </c>
      <c r="T133" s="47">
        <f>IFERROR(HLOOKUP(B133-1,'EV Forecast VRZ'!$F$124:$T$130,3,FALSE)/12,0)+IFERROR(((HLOOKUP(B133,'EV Forecast VRZ'!$F$116:$T$122,3,FALSE)-HLOOKUP(B133-1,'EV Forecast VRZ'!$F$124:$T$130,3,FALSE)))*C133/78,0)</f>
        <v>29451.898670165534</v>
      </c>
      <c r="U133" s="47">
        <f ca="1">HLOOKUP(B133,Heating!$C$102:$O$106,3,FALSE)*INDEX(Weather!$BO$1:$CB$20,MATCH(B133,Weather!$BO$1:$BO$20,0),MATCH(C133,Weather!$BO$1:$CB$1,0))/VLOOKUP(B133,Weather!$BO$2:$CB$20,14,FALSE)</f>
        <v>40962.853202220889</v>
      </c>
      <c r="V133" s="47">
        <f t="shared" ca="1" si="133"/>
        <v>1317078.5086141373</v>
      </c>
    </row>
    <row r="134" spans="1:22">
      <c r="A134" s="2">
        <f t="shared" si="123"/>
        <v>46418</v>
      </c>
      <c r="B134">
        <f t="shared" si="151"/>
        <v>2027</v>
      </c>
      <c r="C134">
        <f t="shared" si="152"/>
        <v>1</v>
      </c>
      <c r="E134" s="3">
        <f t="shared" ref="E134:F134" ca="1" si="177">E122</f>
        <v>690.78750000000002</v>
      </c>
      <c r="F134" s="3">
        <f t="shared" ca="1" si="177"/>
        <v>0</v>
      </c>
      <c r="G134" s="47">
        <f t="shared" si="174"/>
        <v>0</v>
      </c>
      <c r="H134" s="47">
        <f t="shared" si="155"/>
        <v>133</v>
      </c>
      <c r="I134" s="47">
        <f t="shared" si="156"/>
        <v>31</v>
      </c>
      <c r="J134">
        <v>0</v>
      </c>
      <c r="L134" s="3">
        <f t="shared" si="166"/>
        <v>-761245.70652732695</v>
      </c>
      <c r="M134" s="3">
        <f t="shared" ca="1" si="167"/>
        <v>558114.56325317395</v>
      </c>
      <c r="N134" s="3">
        <f t="shared" ca="1" si="168"/>
        <v>0</v>
      </c>
      <c r="O134" s="3">
        <f t="shared" si="169"/>
        <v>0</v>
      </c>
      <c r="P134" s="3">
        <f t="shared" si="170"/>
        <v>339792.52191325434</v>
      </c>
      <c r="Q134" s="3">
        <f t="shared" si="171"/>
        <v>1183980.7512550617</v>
      </c>
      <c r="R134" s="3">
        <f t="shared" si="172"/>
        <v>0</v>
      </c>
      <c r="S134" s="47">
        <f t="shared" ca="1" si="157"/>
        <v>1320642.129894163</v>
      </c>
      <c r="T134" s="47">
        <f>IFERROR(HLOOKUP(B134-1,'EV Forecast VRZ'!$F$124:$T$130,3,FALSE)/12,0)+IFERROR(((HLOOKUP(B134,'EV Forecast VRZ'!$F$116:$T$122,3,FALSE)-HLOOKUP(B134-1,'EV Forecast VRZ'!$F$124:$T$130,3,FALSE)))*C134/78,0)</f>
        <v>30421.092459236403</v>
      </c>
      <c r="U134" s="47">
        <f ca="1">HLOOKUP(B134,Heating!$C$102:$O$106,3,FALSE)*INDEX(Weather!$BO$1:$CB$20,MATCH(B134,Weather!$BO$1:$BO$20,0),MATCH(C134,Weather!$BO$1:$CB$1,0))/VLOOKUP(B134,Weather!$BO$2:$CB$20,14,FALSE)</f>
        <v>54542.890519613764</v>
      </c>
      <c r="V134" s="47">
        <f t="shared" ca="1" si="133"/>
        <v>1405606.1128730134</v>
      </c>
    </row>
    <row r="135" spans="1:22">
      <c r="A135" s="2">
        <f t="shared" si="123"/>
        <v>46446</v>
      </c>
      <c r="B135">
        <f t="shared" si="151"/>
        <v>2027</v>
      </c>
      <c r="C135">
        <f t="shared" si="152"/>
        <v>2</v>
      </c>
      <c r="E135" s="3">
        <f t="shared" ref="E135:F135" ca="1" si="178">E123</f>
        <v>604.19541666666657</v>
      </c>
      <c r="F135" s="3">
        <f t="shared" ca="1" si="178"/>
        <v>0</v>
      </c>
      <c r="G135" s="47">
        <f t="shared" si="174"/>
        <v>0</v>
      </c>
      <c r="H135" s="47">
        <f t="shared" si="155"/>
        <v>134</v>
      </c>
      <c r="I135" s="47">
        <f t="shared" si="156"/>
        <v>29</v>
      </c>
      <c r="J135">
        <v>0</v>
      </c>
      <c r="L135" s="3">
        <f t="shared" si="166"/>
        <v>-761245.70652732695</v>
      </c>
      <c r="M135" s="3">
        <f t="shared" ca="1" si="167"/>
        <v>488153.39173405146</v>
      </c>
      <c r="N135" s="3">
        <f t="shared" ca="1" si="168"/>
        <v>0</v>
      </c>
      <c r="O135" s="3">
        <f t="shared" si="169"/>
        <v>0</v>
      </c>
      <c r="P135" s="3">
        <f t="shared" si="170"/>
        <v>342347.35290508333</v>
      </c>
      <c r="Q135" s="3">
        <f t="shared" si="171"/>
        <v>1107594.8963353804</v>
      </c>
      <c r="R135" s="3">
        <f t="shared" si="172"/>
        <v>0</v>
      </c>
      <c r="S135" s="47">
        <f t="shared" ca="1" si="157"/>
        <v>1176849.9344471882</v>
      </c>
      <c r="T135" s="47">
        <f>IFERROR(HLOOKUP(B135-1,'EV Forecast VRZ'!$F$124:$T$130,3,FALSE)/12,0)+IFERROR(((HLOOKUP(B135,'EV Forecast VRZ'!$F$116:$T$122,3,FALSE)-HLOOKUP(B135-1,'EV Forecast VRZ'!$F$124:$T$130,3,FALSE)))*C135/78,0)</f>
        <v>30927.813569043745</v>
      </c>
      <c r="U135" s="47">
        <f ca="1">HLOOKUP(B135,Heating!$C$102:$O$106,3,FALSE)*INDEX(Weather!$BO$1:$CB$20,MATCH(B135,Weather!$BO$1:$BO$20,0),MATCH(C135,Weather!$BO$1:$CB$1,0))/VLOOKUP(B135,Weather!$BO$2:$CB$20,14,FALSE)</f>
        <v>47705.791525906912</v>
      </c>
      <c r="V135" s="47">
        <f t="shared" ca="1" si="133"/>
        <v>1255483.5395421388</v>
      </c>
    </row>
    <row r="136" spans="1:22">
      <c r="A136" s="2">
        <f t="shared" si="123"/>
        <v>46477</v>
      </c>
      <c r="B136">
        <f t="shared" si="151"/>
        <v>2027</v>
      </c>
      <c r="C136">
        <f t="shared" si="152"/>
        <v>3</v>
      </c>
      <c r="E136" s="3">
        <f t="shared" ref="E136:F136" ca="1" si="179">E124</f>
        <v>534.21590579710141</v>
      </c>
      <c r="F136" s="3">
        <f t="shared" ca="1" si="179"/>
        <v>0</v>
      </c>
      <c r="G136" s="47">
        <f t="shared" si="174"/>
        <v>1</v>
      </c>
      <c r="H136" s="47">
        <f t="shared" si="155"/>
        <v>135</v>
      </c>
      <c r="I136" s="47">
        <f t="shared" si="156"/>
        <v>31</v>
      </c>
      <c r="J136">
        <v>0</v>
      </c>
      <c r="L136" s="3">
        <f t="shared" si="166"/>
        <v>-761245.70652732695</v>
      </c>
      <c r="M136" s="3">
        <f t="shared" ca="1" si="167"/>
        <v>431614.1750492705</v>
      </c>
      <c r="N136" s="3">
        <f t="shared" ca="1" si="168"/>
        <v>0</v>
      </c>
      <c r="O136" s="3">
        <f t="shared" si="169"/>
        <v>-62836.7660875816</v>
      </c>
      <c r="P136" s="3">
        <f t="shared" si="170"/>
        <v>344902.18389691232</v>
      </c>
      <c r="Q136" s="3">
        <f t="shared" si="171"/>
        <v>1183980.7512550617</v>
      </c>
      <c r="R136" s="3">
        <f t="shared" si="172"/>
        <v>0</v>
      </c>
      <c r="S136" s="47">
        <f t="shared" ca="1" si="157"/>
        <v>1136414.6375863361</v>
      </c>
      <c r="T136" s="47">
        <f>IFERROR(HLOOKUP(B136-1,'EV Forecast VRZ'!$F$124:$T$130,3,FALSE)/12,0)+IFERROR(((HLOOKUP(B136,'EV Forecast VRZ'!$F$116:$T$122,3,FALSE)-HLOOKUP(B136-1,'EV Forecast VRZ'!$F$124:$T$130,3,FALSE)))*C136/78,0)</f>
        <v>31434.534678851087</v>
      </c>
      <c r="U136" s="47">
        <f ca="1">HLOOKUP(B136,Heating!$C$102:$O$106,3,FALSE)*INDEX(Weather!$BO$1:$CB$20,MATCH(B136,Weather!$BO$1:$BO$20,0),MATCH(C136,Weather!$BO$1:$CB$1,0))/VLOOKUP(B136,Weather!$BO$2:$CB$20,14,FALSE)</f>
        <v>42180.380600007389</v>
      </c>
      <c r="V136" s="47">
        <f t="shared" ca="1" si="133"/>
        <v>1210029.5528651946</v>
      </c>
    </row>
    <row r="137" spans="1:22">
      <c r="A137" s="2">
        <f t="shared" si="123"/>
        <v>46507</v>
      </c>
      <c r="B137">
        <f t="shared" si="151"/>
        <v>2027</v>
      </c>
      <c r="C137">
        <f t="shared" si="152"/>
        <v>4</v>
      </c>
      <c r="E137" s="3">
        <f t="shared" ref="E137:F137" ca="1" si="180">E125</f>
        <v>352.92312500000003</v>
      </c>
      <c r="F137" s="3">
        <f t="shared" ca="1" si="180"/>
        <v>2.2025000000000015</v>
      </c>
      <c r="G137" s="47">
        <f t="shared" si="174"/>
        <v>1</v>
      </c>
      <c r="H137" s="47">
        <f t="shared" si="155"/>
        <v>136</v>
      </c>
      <c r="I137" s="47">
        <f t="shared" si="156"/>
        <v>30</v>
      </c>
      <c r="J137">
        <v>0</v>
      </c>
      <c r="L137" s="3">
        <f t="shared" si="166"/>
        <v>-761245.70652732695</v>
      </c>
      <c r="M137" s="3">
        <f t="shared" ca="1" si="167"/>
        <v>285140.56170865905</v>
      </c>
      <c r="N137" s="3">
        <f t="shared" ca="1" si="168"/>
        <v>4065.2951988759241</v>
      </c>
      <c r="O137" s="3">
        <f t="shared" si="169"/>
        <v>-62836.7660875816</v>
      </c>
      <c r="P137" s="3">
        <f t="shared" si="170"/>
        <v>347457.01488874131</v>
      </c>
      <c r="Q137" s="3">
        <f t="shared" si="171"/>
        <v>1145787.823795221</v>
      </c>
      <c r="R137" s="3">
        <f t="shared" si="172"/>
        <v>0</v>
      </c>
      <c r="S137" s="47">
        <f t="shared" ca="1" si="157"/>
        <v>958368.22297658876</v>
      </c>
      <c r="T137" s="47">
        <f>IFERROR(HLOOKUP(B137-1,'EV Forecast VRZ'!$F$124:$T$130,3,FALSE)/12,0)+IFERROR(((HLOOKUP(B137,'EV Forecast VRZ'!$F$116:$T$122,3,FALSE)-HLOOKUP(B137-1,'EV Forecast VRZ'!$F$124:$T$130,3,FALSE)))*C137/78,0)</f>
        <v>31941.255788658429</v>
      </c>
      <c r="U137" s="47">
        <f ca="1">HLOOKUP(B137,Heating!$C$102:$O$106,3,FALSE)*INDEX(Weather!$BO$1:$CB$20,MATCH(B137,Weather!$BO$1:$BO$20,0),MATCH(C137,Weather!$BO$1:$CB$1,0))/VLOOKUP(B137,Weather!$BO$2:$CB$20,14,FALSE)</f>
        <v>27865.946284081521</v>
      </c>
      <c r="V137" s="47">
        <f t="shared" ca="1" si="133"/>
        <v>1018175.4250493287</v>
      </c>
    </row>
    <row r="138" spans="1:22">
      <c r="A138" s="2">
        <f t="shared" si="123"/>
        <v>46538</v>
      </c>
      <c r="B138">
        <f t="shared" si="151"/>
        <v>2027</v>
      </c>
      <c r="C138">
        <f t="shared" si="152"/>
        <v>5</v>
      </c>
      <c r="E138" s="3">
        <f t="shared" ref="E138:F138" ca="1" si="181">E126</f>
        <v>155.24720841877425</v>
      </c>
      <c r="F138" s="3">
        <f t="shared" ca="1" si="181"/>
        <v>48.940113636363641</v>
      </c>
      <c r="G138" s="47">
        <f t="shared" si="174"/>
        <v>1</v>
      </c>
      <c r="H138" s="47">
        <f t="shared" si="155"/>
        <v>137</v>
      </c>
      <c r="I138" s="47">
        <f t="shared" si="156"/>
        <v>31</v>
      </c>
      <c r="J138">
        <v>0</v>
      </c>
      <c r="L138" s="3">
        <f t="shared" si="166"/>
        <v>-761245.70652732695</v>
      </c>
      <c r="M138" s="3">
        <f t="shared" ca="1" si="167"/>
        <v>125430.36450850464</v>
      </c>
      <c r="N138" s="3">
        <f t="shared" ca="1" si="168"/>
        <v>90331.89965872922</v>
      </c>
      <c r="O138" s="3">
        <f t="shared" si="169"/>
        <v>-62836.7660875816</v>
      </c>
      <c r="P138" s="3">
        <f t="shared" si="170"/>
        <v>350011.8458805703</v>
      </c>
      <c r="Q138" s="3">
        <f t="shared" si="171"/>
        <v>1183980.7512550617</v>
      </c>
      <c r="R138" s="3">
        <f t="shared" si="172"/>
        <v>0</v>
      </c>
      <c r="S138" s="47">
        <f t="shared" ca="1" si="157"/>
        <v>925672.38868795731</v>
      </c>
      <c r="T138" s="47">
        <f>IFERROR(HLOOKUP(B138-1,'EV Forecast VRZ'!$F$124:$T$130,3,FALSE)/12,0)+IFERROR(((HLOOKUP(B138,'EV Forecast VRZ'!$F$116:$T$122,3,FALSE)-HLOOKUP(B138-1,'EV Forecast VRZ'!$F$124:$T$130,3,FALSE)))*C138/78,0)</f>
        <v>32447.976898465771</v>
      </c>
      <c r="U138" s="47">
        <f ca="1">HLOOKUP(B138,Heating!$C$102:$O$106,3,FALSE)*INDEX(Weather!$BO$1:$CB$20,MATCH(B138,Weather!$BO$1:$BO$20,0),MATCH(C138,Weather!$BO$1:$CB$1,0))/VLOOKUP(B138,Weather!$BO$2:$CB$20,14,FALSE)</f>
        <v>12257.939659100466</v>
      </c>
      <c r="V138" s="47">
        <f t="shared" ca="1" si="133"/>
        <v>970378.30524552357</v>
      </c>
    </row>
    <row r="139" spans="1:22">
      <c r="A139" s="2">
        <f t="shared" si="123"/>
        <v>46568</v>
      </c>
      <c r="B139">
        <f t="shared" si="151"/>
        <v>2027</v>
      </c>
      <c r="C139">
        <f t="shared" si="152"/>
        <v>6</v>
      </c>
      <c r="E139" s="3">
        <f t="shared" ref="E139:F139" ca="1" si="182">E127</f>
        <v>30.273840492840492</v>
      </c>
      <c r="F139" s="3">
        <f t="shared" ca="1" si="182"/>
        <v>144.91160087738351</v>
      </c>
      <c r="G139" s="47">
        <f t="shared" si="174"/>
        <v>0</v>
      </c>
      <c r="H139" s="47">
        <f t="shared" si="155"/>
        <v>138</v>
      </c>
      <c r="I139" s="47">
        <f t="shared" si="156"/>
        <v>30</v>
      </c>
      <c r="J139">
        <v>0</v>
      </c>
      <c r="L139" s="3">
        <f t="shared" si="166"/>
        <v>-761245.70652732695</v>
      </c>
      <c r="M139" s="3">
        <f t="shared" ca="1" si="167"/>
        <v>24459.434000554327</v>
      </c>
      <c r="N139" s="3">
        <f t="shared" ca="1" si="168"/>
        <v>267472.61534994369</v>
      </c>
      <c r="O139" s="3">
        <f t="shared" si="169"/>
        <v>0</v>
      </c>
      <c r="P139" s="3">
        <f t="shared" si="170"/>
        <v>352566.67687239929</v>
      </c>
      <c r="Q139" s="3">
        <f t="shared" si="171"/>
        <v>1145787.823795221</v>
      </c>
      <c r="R139" s="3">
        <f t="shared" si="172"/>
        <v>0</v>
      </c>
      <c r="S139" s="47">
        <f t="shared" ca="1" si="157"/>
        <v>1029040.8434907915</v>
      </c>
      <c r="T139" s="47">
        <f>IFERROR(HLOOKUP(B139-1,'EV Forecast VRZ'!$F$124:$T$130,3,FALSE)/12,0)+IFERROR(((HLOOKUP(B139,'EV Forecast VRZ'!$F$116:$T$122,3,FALSE)-HLOOKUP(B139-1,'EV Forecast VRZ'!$F$124:$T$130,3,FALSE)))*C139/78,0)</f>
        <v>32954.69800827311</v>
      </c>
      <c r="U139" s="47">
        <f ca="1">HLOOKUP(B139,Heating!$C$102:$O$106,3,FALSE)*INDEX(Weather!$BO$1:$CB$20,MATCH(B139,Weather!$BO$1:$BO$20,0),MATCH(C139,Weather!$BO$1:$CB$1,0))/VLOOKUP(B139,Weather!$BO$2:$CB$20,14,FALSE)</f>
        <v>2390.3483598201315</v>
      </c>
      <c r="V139" s="47">
        <f t="shared" ca="1" si="133"/>
        <v>1064385.8898588847</v>
      </c>
    </row>
    <row r="140" spans="1:22">
      <c r="A140" s="2">
        <f t="shared" si="123"/>
        <v>46599</v>
      </c>
      <c r="B140">
        <f t="shared" si="151"/>
        <v>2027</v>
      </c>
      <c r="C140">
        <f t="shared" si="152"/>
        <v>7</v>
      </c>
      <c r="E140" s="3">
        <f t="shared" ref="E140:F140" ca="1" si="183">E128</f>
        <v>1.0845833333333317</v>
      </c>
      <c r="F140" s="3">
        <f t="shared" ca="1" si="183"/>
        <v>242.72508692061183</v>
      </c>
      <c r="G140" s="47">
        <f t="shared" si="174"/>
        <v>0</v>
      </c>
      <c r="H140" s="47">
        <f t="shared" si="155"/>
        <v>139</v>
      </c>
      <c r="I140" s="47">
        <f t="shared" si="156"/>
        <v>31</v>
      </c>
      <c r="J140">
        <v>0</v>
      </c>
      <c r="L140" s="3">
        <f t="shared" si="166"/>
        <v>-761245.70652732695</v>
      </c>
      <c r="M140" s="3">
        <f t="shared" ca="1" si="167"/>
        <v>876.27780380363561</v>
      </c>
      <c r="N140" s="3">
        <f t="shared" ca="1" si="168"/>
        <v>448013.2261090143</v>
      </c>
      <c r="O140" s="3">
        <f t="shared" si="169"/>
        <v>0</v>
      </c>
      <c r="P140" s="3">
        <f t="shared" si="170"/>
        <v>355121.50786422822</v>
      </c>
      <c r="Q140" s="3">
        <f t="shared" si="171"/>
        <v>1183980.7512550617</v>
      </c>
      <c r="R140" s="3">
        <f t="shared" si="172"/>
        <v>0</v>
      </c>
      <c r="S140" s="47">
        <f t="shared" ca="1" si="157"/>
        <v>1226746.0565047809</v>
      </c>
      <c r="T140" s="47">
        <f>IFERROR(HLOOKUP(B140-1,'EV Forecast VRZ'!$F$124:$T$130,3,FALSE)/12,0)+IFERROR(((HLOOKUP(B140,'EV Forecast VRZ'!$F$116:$T$122,3,FALSE)-HLOOKUP(B140-1,'EV Forecast VRZ'!$F$124:$T$130,3,FALSE)))*C140/78,0)</f>
        <v>33461.419118080456</v>
      </c>
      <c r="U140" s="47">
        <f ca="1">HLOOKUP(B140,Heating!$C$102:$O$106,3,FALSE)*INDEX(Weather!$BO$1:$CB$20,MATCH(B140,Weather!$BO$1:$BO$20,0),MATCH(C140,Weather!$BO$1:$CB$1,0))/VLOOKUP(B140,Weather!$BO$2:$CB$20,14,FALSE)</f>
        <v>85.636045830878061</v>
      </c>
      <c r="V140" s="47">
        <f t="shared" ca="1" si="133"/>
        <v>1260293.1116686922</v>
      </c>
    </row>
    <row r="141" spans="1:22">
      <c r="A141" s="2">
        <f t="shared" si="123"/>
        <v>46630</v>
      </c>
      <c r="B141">
        <f t="shared" si="151"/>
        <v>2027</v>
      </c>
      <c r="C141">
        <f t="shared" si="152"/>
        <v>8</v>
      </c>
      <c r="E141" s="3">
        <f t="shared" ref="E141:F141" ca="1" si="184">E129</f>
        <v>6.4245833333333335</v>
      </c>
      <c r="F141" s="3">
        <f t="shared" ca="1" si="184"/>
        <v>214.02558794466404</v>
      </c>
      <c r="G141" s="47">
        <f t="shared" si="174"/>
        <v>0</v>
      </c>
      <c r="H141" s="47">
        <f t="shared" si="155"/>
        <v>140</v>
      </c>
      <c r="I141" s="47">
        <f t="shared" si="156"/>
        <v>31</v>
      </c>
      <c r="J141">
        <v>0</v>
      </c>
      <c r="L141" s="3">
        <f t="shared" si="166"/>
        <v>-761245.70652732695</v>
      </c>
      <c r="M141" s="3">
        <f t="shared" ca="1" si="167"/>
        <v>5190.6751659040647</v>
      </c>
      <c r="N141" s="3">
        <f t="shared" ca="1" si="168"/>
        <v>395040.72422612441</v>
      </c>
      <c r="O141" s="3">
        <f t="shared" si="169"/>
        <v>0</v>
      </c>
      <c r="P141" s="3">
        <f t="shared" si="170"/>
        <v>357676.33885605721</v>
      </c>
      <c r="Q141" s="3">
        <f t="shared" si="171"/>
        <v>1183980.7512550617</v>
      </c>
      <c r="R141" s="3">
        <f t="shared" si="172"/>
        <v>0</v>
      </c>
      <c r="S141" s="47">
        <f t="shared" ca="1" si="157"/>
        <v>1180642.7829758204</v>
      </c>
      <c r="T141" s="47">
        <f>IFERROR(HLOOKUP(B141-1,'EV Forecast VRZ'!$F$124:$T$130,3,FALSE)/12,0)+IFERROR(((HLOOKUP(B141,'EV Forecast VRZ'!$F$116:$T$122,3,FALSE)-HLOOKUP(B141-1,'EV Forecast VRZ'!$F$124:$T$130,3,FALSE)))*C141/78,0)</f>
        <v>33968.140227887794</v>
      </c>
      <c r="U141" s="47">
        <f ca="1">HLOOKUP(B141,Heating!$C$102:$O$106,3,FALSE)*INDEX(Weather!$BO$1:$CB$20,MATCH(B141,Weather!$BO$1:$BO$20,0),MATCH(C141,Weather!$BO$1:$CB$1,0))/VLOOKUP(B141,Weather!$BO$2:$CB$20,14,FALSE)</f>
        <v>507.26937789716123</v>
      </c>
      <c r="V141" s="47">
        <f t="shared" ca="1" si="133"/>
        <v>1215118.1925816054</v>
      </c>
    </row>
    <row r="142" spans="1:22">
      <c r="A142" s="2">
        <f t="shared" si="123"/>
        <v>46660</v>
      </c>
      <c r="B142">
        <f t="shared" si="151"/>
        <v>2027</v>
      </c>
      <c r="C142">
        <f t="shared" si="152"/>
        <v>9</v>
      </c>
      <c r="E142" s="3">
        <f t="shared" ref="E142:F142" ca="1" si="185">E130</f>
        <v>54.412952898550728</v>
      </c>
      <c r="F142" s="3">
        <f t="shared" ca="1" si="185"/>
        <v>102.40708333333332</v>
      </c>
      <c r="G142" s="47">
        <f t="shared" si="174"/>
        <v>1</v>
      </c>
      <c r="H142" s="47">
        <f t="shared" si="155"/>
        <v>141</v>
      </c>
      <c r="I142" s="47">
        <f t="shared" si="156"/>
        <v>30</v>
      </c>
      <c r="J142">
        <v>0</v>
      </c>
      <c r="L142" s="3">
        <f t="shared" si="166"/>
        <v>-761245.70652732695</v>
      </c>
      <c r="M142" s="3">
        <f t="shared" ca="1" si="167"/>
        <v>43962.378361348696</v>
      </c>
      <c r="N142" s="3">
        <f t="shared" ca="1" si="168"/>
        <v>189019.30724444328</v>
      </c>
      <c r="O142" s="3">
        <f t="shared" si="169"/>
        <v>-62836.7660875816</v>
      </c>
      <c r="P142" s="3">
        <f t="shared" si="170"/>
        <v>360231.16984788619</v>
      </c>
      <c r="Q142" s="3">
        <f t="shared" si="171"/>
        <v>1145787.823795221</v>
      </c>
      <c r="R142" s="3">
        <f t="shared" si="172"/>
        <v>0</v>
      </c>
      <c r="S142" s="47">
        <f t="shared" ca="1" si="157"/>
        <v>914918.20663399051</v>
      </c>
      <c r="T142" s="47">
        <f>IFERROR(HLOOKUP(B142-1,'EV Forecast VRZ'!$F$124:$T$130,3,FALSE)/12,0)+IFERROR(((HLOOKUP(B142,'EV Forecast VRZ'!$F$116:$T$122,3,FALSE)-HLOOKUP(B142-1,'EV Forecast VRZ'!$F$124:$T$130,3,FALSE)))*C142/78,0)</f>
        <v>34474.86133769514</v>
      </c>
      <c r="U142" s="47">
        <f ca="1">HLOOKUP(B142,Heating!$C$102:$O$106,3,FALSE)*INDEX(Weather!$BO$1:$CB$20,MATCH(B142,Weather!$BO$1:$BO$20,0),MATCH(C142,Weather!$BO$1:$CB$1,0))/VLOOKUP(B142,Weather!$BO$2:$CB$20,14,FALSE)</f>
        <v>4296.3136026557413</v>
      </c>
      <c r="V142" s="47">
        <f t="shared" ca="1" si="133"/>
        <v>953689.38157434145</v>
      </c>
    </row>
    <row r="143" spans="1:22">
      <c r="A143" s="2">
        <f t="shared" si="123"/>
        <v>46691</v>
      </c>
      <c r="B143">
        <f t="shared" si="151"/>
        <v>2027</v>
      </c>
      <c r="C143">
        <f t="shared" si="152"/>
        <v>10</v>
      </c>
      <c r="E143" s="3">
        <f t="shared" ref="E143:F143" ca="1" si="186">E131</f>
        <v>232.21431159420285</v>
      </c>
      <c r="F143" s="3">
        <f t="shared" ca="1" si="186"/>
        <v>19.741250000000004</v>
      </c>
      <c r="G143" s="47">
        <f t="shared" si="174"/>
        <v>1</v>
      </c>
      <c r="H143" s="47">
        <f t="shared" si="155"/>
        <v>142</v>
      </c>
      <c r="I143" s="47">
        <f t="shared" si="156"/>
        <v>31</v>
      </c>
      <c r="J143">
        <v>0</v>
      </c>
      <c r="L143" s="3">
        <f t="shared" si="166"/>
        <v>-761245.70652732695</v>
      </c>
      <c r="M143" s="3">
        <f t="shared" ca="1" si="167"/>
        <v>187615.1335925085</v>
      </c>
      <c r="N143" s="3">
        <f t="shared" ca="1" si="168"/>
        <v>36437.688465293664</v>
      </c>
      <c r="O143" s="3">
        <f t="shared" si="169"/>
        <v>-62836.7660875816</v>
      </c>
      <c r="P143" s="3">
        <f t="shared" si="170"/>
        <v>362786.00083971518</v>
      </c>
      <c r="Q143" s="3">
        <f t="shared" si="171"/>
        <v>1183980.7512550617</v>
      </c>
      <c r="R143" s="3">
        <f t="shared" si="172"/>
        <v>0</v>
      </c>
      <c r="S143" s="47">
        <f t="shared" ca="1" si="157"/>
        <v>946737.10153767047</v>
      </c>
      <c r="T143" s="47">
        <f>IFERROR(HLOOKUP(B143-1,'EV Forecast VRZ'!$F$124:$T$130,3,FALSE)/12,0)+IFERROR(((HLOOKUP(B143,'EV Forecast VRZ'!$F$116:$T$122,3,FALSE)-HLOOKUP(B143-1,'EV Forecast VRZ'!$F$124:$T$130,3,FALSE)))*C143/78,0)</f>
        <v>34981.582447502478</v>
      </c>
      <c r="U143" s="47">
        <f ca="1">HLOOKUP(B143,Heating!$C$102:$O$106,3,FALSE)*INDEX(Weather!$BO$1:$CB$20,MATCH(B143,Weather!$BO$1:$BO$20,0),MATCH(C143,Weather!$BO$1:$CB$1,0))/VLOOKUP(B143,Weather!$BO$2:$CB$20,14,FALSE)</f>
        <v>18335.073773584616</v>
      </c>
      <c r="V143" s="47">
        <f t="shared" ca="1" si="133"/>
        <v>1000053.7577587576</v>
      </c>
    </row>
    <row r="144" spans="1:22">
      <c r="A144" s="2">
        <f t="shared" si="123"/>
        <v>46721</v>
      </c>
      <c r="B144">
        <f t="shared" si="151"/>
        <v>2027</v>
      </c>
      <c r="C144">
        <f t="shared" si="152"/>
        <v>11</v>
      </c>
      <c r="E144" s="3">
        <f t="shared" ref="E144:F144" ca="1" si="187">E132</f>
        <v>435.51408055712398</v>
      </c>
      <c r="F144" s="3">
        <f t="shared" ca="1" si="187"/>
        <v>0.78124999999999944</v>
      </c>
      <c r="G144" s="47">
        <f t="shared" si="174"/>
        <v>1</v>
      </c>
      <c r="H144" s="47">
        <f t="shared" si="155"/>
        <v>143</v>
      </c>
      <c r="I144" s="47">
        <f t="shared" si="156"/>
        <v>30</v>
      </c>
      <c r="J144">
        <v>0</v>
      </c>
      <c r="L144" s="3">
        <f t="shared" si="166"/>
        <v>-761245.70652732695</v>
      </c>
      <c r="M144" s="3">
        <f t="shared" ca="1" si="167"/>
        <v>351869.06372907275</v>
      </c>
      <c r="N144" s="3">
        <f t="shared" ca="1" si="168"/>
        <v>1442.0031210541708</v>
      </c>
      <c r="O144" s="3">
        <f t="shared" si="169"/>
        <v>-62836.7660875816</v>
      </c>
      <c r="P144" s="3">
        <f t="shared" si="170"/>
        <v>365340.83183154417</v>
      </c>
      <c r="Q144" s="3">
        <f t="shared" si="171"/>
        <v>1145787.823795221</v>
      </c>
      <c r="R144" s="3">
        <f t="shared" si="172"/>
        <v>0</v>
      </c>
      <c r="S144" s="47">
        <f t="shared" ca="1" si="157"/>
        <v>1040357.2498619836</v>
      </c>
      <c r="T144" s="47">
        <f>IFERROR(HLOOKUP(B144-1,'EV Forecast VRZ'!$F$124:$T$130,3,FALSE)/12,0)+IFERROR(((HLOOKUP(B144,'EV Forecast VRZ'!$F$116:$T$122,3,FALSE)-HLOOKUP(B144-1,'EV Forecast VRZ'!$F$124:$T$130,3,FALSE)))*C144/78,0)</f>
        <v>35488.303557309824</v>
      </c>
      <c r="U144" s="47">
        <f ca="1">HLOOKUP(B144,Heating!$C$102:$O$106,3,FALSE)*INDEX(Weather!$BO$1:$CB$20,MATCH(B144,Weather!$BO$1:$BO$20,0),MATCH(C144,Weather!$BO$1:$CB$1,0))/VLOOKUP(B144,Weather!$BO$2:$CB$20,14,FALSE)</f>
        <v>34387.126020053147</v>
      </c>
      <c r="V144" s="47">
        <f t="shared" ca="1" si="133"/>
        <v>1110232.6794393465</v>
      </c>
    </row>
    <row r="145" spans="1:22">
      <c r="A145" s="2">
        <f t="shared" si="123"/>
        <v>46752</v>
      </c>
      <c r="B145">
        <f t="shared" si="151"/>
        <v>2027</v>
      </c>
      <c r="C145">
        <f t="shared" si="152"/>
        <v>12</v>
      </c>
      <c r="E145" s="3">
        <f t="shared" ref="E145:F145" ca="1" si="188">E133</f>
        <v>602.38541666666674</v>
      </c>
      <c r="F145" s="3">
        <f t="shared" ca="1" si="188"/>
        <v>0</v>
      </c>
      <c r="G145" s="47">
        <f t="shared" si="174"/>
        <v>0</v>
      </c>
      <c r="H145" s="47">
        <f t="shared" si="155"/>
        <v>144</v>
      </c>
      <c r="I145" s="47">
        <f t="shared" si="156"/>
        <v>31</v>
      </c>
      <c r="J145">
        <v>0</v>
      </c>
      <c r="L145" s="3">
        <f t="shared" si="166"/>
        <v>-761245.70652732695</v>
      </c>
      <c r="M145" s="3">
        <f t="shared" ca="1" si="167"/>
        <v>486691.02109259058</v>
      </c>
      <c r="N145" s="3">
        <f t="shared" ca="1" si="168"/>
        <v>0</v>
      </c>
      <c r="O145" s="3">
        <f t="shared" si="169"/>
        <v>0</v>
      </c>
      <c r="P145" s="3">
        <f t="shared" si="170"/>
        <v>367895.66282337316</v>
      </c>
      <c r="Q145" s="3">
        <f t="shared" si="171"/>
        <v>1183980.7512550617</v>
      </c>
      <c r="R145" s="3">
        <f t="shared" si="172"/>
        <v>0</v>
      </c>
      <c r="S145" s="47">
        <f t="shared" ca="1" si="157"/>
        <v>1277321.7286436986</v>
      </c>
      <c r="T145" s="47">
        <f>IFERROR(HLOOKUP(B145-1,'EV Forecast VRZ'!$F$124:$T$130,3,FALSE)/12,0)+IFERROR(((HLOOKUP(B145,'EV Forecast VRZ'!$F$116:$T$122,3,FALSE)-HLOOKUP(B145-1,'EV Forecast VRZ'!$F$124:$T$130,3,FALSE)))*C145/78,0)</f>
        <v>35995.024667117163</v>
      </c>
      <c r="U145" s="47">
        <f ca="1">HLOOKUP(B145,Heating!$C$102:$O$106,3,FALSE)*INDEX(Weather!$BO$1:$CB$20,MATCH(B145,Weather!$BO$1:$BO$20,0),MATCH(C145,Weather!$BO$1:$CB$1,0))/VLOOKUP(B145,Weather!$BO$2:$CB$20,14,FALSE)</f>
        <v>47562.878355300185</v>
      </c>
      <c r="V145" s="47">
        <f t="shared" ca="1" si="133"/>
        <v>1360879.6316661162</v>
      </c>
    </row>
    <row r="146" spans="1:22">
      <c r="A146" s="2">
        <f t="shared" si="123"/>
        <v>46783</v>
      </c>
      <c r="B146">
        <f t="shared" si="151"/>
        <v>2028</v>
      </c>
      <c r="C146">
        <f t="shared" si="152"/>
        <v>1</v>
      </c>
      <c r="E146" s="3">
        <f t="shared" ref="E146:F146" ca="1" si="189">E134</f>
        <v>690.78750000000002</v>
      </c>
      <c r="F146" s="3">
        <f t="shared" ca="1" si="189"/>
        <v>0</v>
      </c>
      <c r="G146" s="47">
        <f t="shared" si="174"/>
        <v>0</v>
      </c>
      <c r="H146" s="47">
        <f t="shared" si="155"/>
        <v>145</v>
      </c>
      <c r="I146" s="47">
        <f t="shared" si="156"/>
        <v>31</v>
      </c>
      <c r="J146">
        <v>0</v>
      </c>
      <c r="L146" s="3">
        <f t="shared" si="166"/>
        <v>-761245.70652732695</v>
      </c>
      <c r="M146" s="3">
        <f t="shared" ca="1" si="167"/>
        <v>558114.56325317395</v>
      </c>
      <c r="N146" s="3">
        <f t="shared" ca="1" si="168"/>
        <v>0</v>
      </c>
      <c r="O146" s="3">
        <f t="shared" si="169"/>
        <v>0</v>
      </c>
      <c r="P146" s="3">
        <f t="shared" si="170"/>
        <v>370450.49381520209</v>
      </c>
      <c r="Q146" s="3">
        <f t="shared" si="171"/>
        <v>1183980.7512550617</v>
      </c>
      <c r="R146" s="3">
        <f t="shared" si="172"/>
        <v>0</v>
      </c>
      <c r="S146" s="47">
        <f t="shared" ca="1" si="157"/>
        <v>1351300.1017961109</v>
      </c>
      <c r="T146" s="47">
        <f>IFERROR(HLOOKUP(B146-1,'EV Forecast VRZ'!$F$124:$T$130,3,FALSE)/12,0)+IFERROR(((HLOOKUP(B146,'EV Forecast VRZ'!$F$116:$T$122,3,FALSE)-HLOOKUP(B146-1,'EV Forecast VRZ'!$F$124:$T$130,3,FALSE)))*C146/78,0)</f>
        <v>37568.350664564838</v>
      </c>
      <c r="U146" s="47">
        <f ca="1">HLOOKUP(B146,Heating!$C$102:$O$106,3,FALSE)*INDEX(Weather!$BO$1:$CB$20,MATCH(B146,Weather!$BO$1:$BO$20,0),MATCH(C146,Weather!$BO$1:$CB$1,0))/VLOOKUP(B146,Weather!$BO$2:$CB$20,14,FALSE)</f>
        <v>62397.700646249694</v>
      </c>
      <c r="V146" s="47">
        <f t="shared" ca="1" si="133"/>
        <v>1451266.1531069255</v>
      </c>
    </row>
    <row r="147" spans="1:22">
      <c r="A147" s="2">
        <f t="shared" si="123"/>
        <v>46812</v>
      </c>
      <c r="B147">
        <f t="shared" si="151"/>
        <v>2028</v>
      </c>
      <c r="C147">
        <f t="shared" si="152"/>
        <v>2</v>
      </c>
      <c r="E147" s="3">
        <f t="shared" ref="E147:F147" ca="1" si="190">E135</f>
        <v>604.19541666666657</v>
      </c>
      <c r="F147" s="3">
        <f t="shared" ca="1" si="190"/>
        <v>0</v>
      </c>
      <c r="G147" s="47">
        <f t="shared" ref="G147:G162" si="191">G135</f>
        <v>0</v>
      </c>
      <c r="H147" s="47">
        <f t="shared" si="155"/>
        <v>146</v>
      </c>
      <c r="I147" s="47">
        <f t="shared" si="156"/>
        <v>28</v>
      </c>
      <c r="J147">
        <v>0</v>
      </c>
      <c r="L147" s="3">
        <f t="shared" si="166"/>
        <v>-761245.70652732695</v>
      </c>
      <c r="M147" s="3">
        <f t="shared" ca="1" si="167"/>
        <v>488153.39173405146</v>
      </c>
      <c r="N147" s="3">
        <f t="shared" ca="1" si="168"/>
        <v>0</v>
      </c>
      <c r="O147" s="3">
        <f t="shared" si="169"/>
        <v>0</v>
      </c>
      <c r="P147" s="3">
        <f t="shared" si="170"/>
        <v>373005.32480703108</v>
      </c>
      <c r="Q147" s="3">
        <f t="shared" si="171"/>
        <v>1069401.9688755395</v>
      </c>
      <c r="R147" s="3">
        <f t="shared" si="172"/>
        <v>0</v>
      </c>
      <c r="S147" s="47">
        <f t="shared" ca="1" si="157"/>
        <v>1169314.9788892951</v>
      </c>
      <c r="T147" s="47">
        <f>IFERROR(HLOOKUP(B147-1,'EV Forecast VRZ'!$F$124:$T$130,3,FALSE)/12,0)+IFERROR(((HLOOKUP(B147,'EV Forecast VRZ'!$F$116:$T$122,3,FALSE)-HLOOKUP(B147-1,'EV Forecast VRZ'!$F$124:$T$130,3,FALSE)))*C147/78,0)</f>
        <v>38081.15376620437</v>
      </c>
      <c r="U147" s="47">
        <f ca="1">HLOOKUP(B147,Heating!$C$102:$O$106,3,FALSE)*INDEX(Weather!$BO$1:$CB$20,MATCH(B147,Weather!$BO$1:$BO$20,0),MATCH(C147,Weather!$BO$1:$CB$1,0))/VLOOKUP(B147,Weather!$BO$2:$CB$20,14,FALSE)</f>
        <v>54575.979937394302</v>
      </c>
      <c r="V147" s="47">
        <f t="shared" ca="1" si="133"/>
        <v>1261972.1125928939</v>
      </c>
    </row>
    <row r="148" spans="1:22">
      <c r="A148" s="2">
        <f t="shared" si="123"/>
        <v>46843</v>
      </c>
      <c r="B148">
        <f t="shared" si="151"/>
        <v>2028</v>
      </c>
      <c r="C148">
        <f t="shared" si="152"/>
        <v>3</v>
      </c>
      <c r="E148" s="3">
        <f t="shared" ref="E148:F148" ca="1" si="192">E136</f>
        <v>534.21590579710141</v>
      </c>
      <c r="F148" s="3">
        <f t="shared" ca="1" si="192"/>
        <v>0</v>
      </c>
      <c r="G148" s="47">
        <f t="shared" si="191"/>
        <v>1</v>
      </c>
      <c r="H148" s="47">
        <f t="shared" si="155"/>
        <v>147</v>
      </c>
      <c r="I148" s="47">
        <f t="shared" si="156"/>
        <v>31</v>
      </c>
      <c r="J148">
        <v>0</v>
      </c>
      <c r="L148" s="3">
        <f t="shared" si="166"/>
        <v>-761245.70652732695</v>
      </c>
      <c r="M148" s="3">
        <f t="shared" ca="1" si="167"/>
        <v>431614.1750492705</v>
      </c>
      <c r="N148" s="3">
        <f t="shared" ca="1" si="168"/>
        <v>0</v>
      </c>
      <c r="O148" s="3">
        <f t="shared" si="169"/>
        <v>-62836.7660875816</v>
      </c>
      <c r="P148" s="3">
        <f t="shared" si="170"/>
        <v>375560.15579886007</v>
      </c>
      <c r="Q148" s="3">
        <f t="shared" si="171"/>
        <v>1183980.7512550617</v>
      </c>
      <c r="R148" s="3">
        <f t="shared" si="172"/>
        <v>0</v>
      </c>
      <c r="S148" s="47">
        <f t="shared" ca="1" si="157"/>
        <v>1167072.6094882837</v>
      </c>
      <c r="T148" s="47">
        <f>IFERROR(HLOOKUP(B148-1,'EV Forecast VRZ'!$F$124:$T$130,3,FALSE)/12,0)+IFERROR(((HLOOKUP(B148,'EV Forecast VRZ'!$F$116:$T$122,3,FALSE)-HLOOKUP(B148-1,'EV Forecast VRZ'!$F$124:$T$130,3,FALSE)))*C148/78,0)</f>
        <v>38593.956867843895</v>
      </c>
      <c r="U148" s="47">
        <f ca="1">HLOOKUP(B148,Heating!$C$102:$O$106,3,FALSE)*INDEX(Weather!$BO$1:$CB$20,MATCH(B148,Weather!$BO$1:$BO$20,0),MATCH(C148,Weather!$BO$1:$CB$1,0))/VLOOKUP(B148,Weather!$BO$2:$CB$20,14,FALSE)</f>
        <v>48254.845622413064</v>
      </c>
      <c r="V148" s="47">
        <f t="shared" ca="1" si="133"/>
        <v>1253921.4119785407</v>
      </c>
    </row>
    <row r="149" spans="1:22">
      <c r="A149" s="2">
        <f t="shared" si="123"/>
        <v>46873</v>
      </c>
      <c r="B149">
        <f t="shared" si="151"/>
        <v>2028</v>
      </c>
      <c r="C149">
        <f t="shared" si="152"/>
        <v>4</v>
      </c>
      <c r="E149" s="3">
        <f t="shared" ref="E149:F149" ca="1" si="193">E137</f>
        <v>352.92312500000003</v>
      </c>
      <c r="F149" s="3">
        <f t="shared" ca="1" si="193"/>
        <v>2.2025000000000015</v>
      </c>
      <c r="G149" s="47">
        <f t="shared" si="191"/>
        <v>1</v>
      </c>
      <c r="H149" s="47">
        <f t="shared" si="155"/>
        <v>148</v>
      </c>
      <c r="I149" s="47">
        <f t="shared" si="156"/>
        <v>30</v>
      </c>
      <c r="J149">
        <v>0</v>
      </c>
      <c r="L149" s="3">
        <f t="shared" si="166"/>
        <v>-761245.70652732695</v>
      </c>
      <c r="M149" s="3">
        <f t="shared" ca="1" si="167"/>
        <v>285140.56170865905</v>
      </c>
      <c r="N149" s="3">
        <f t="shared" ca="1" si="168"/>
        <v>4065.2951988759241</v>
      </c>
      <c r="O149" s="3">
        <f t="shared" si="169"/>
        <v>-62836.7660875816</v>
      </c>
      <c r="P149" s="3">
        <f t="shared" si="170"/>
        <v>378114.98679068906</v>
      </c>
      <c r="Q149" s="3">
        <f t="shared" si="171"/>
        <v>1145787.823795221</v>
      </c>
      <c r="R149" s="3">
        <f t="shared" si="172"/>
        <v>0</v>
      </c>
      <c r="S149" s="47">
        <f t="shared" ca="1" si="157"/>
        <v>989026.19487853651</v>
      </c>
      <c r="T149" s="47">
        <f>IFERROR(HLOOKUP(B149-1,'EV Forecast VRZ'!$F$124:$T$130,3,FALSE)/12,0)+IFERROR(((HLOOKUP(B149,'EV Forecast VRZ'!$F$116:$T$122,3,FALSE)-HLOOKUP(B149-1,'EV Forecast VRZ'!$F$124:$T$130,3,FALSE)))*C149/78,0)</f>
        <v>39106.759969483421</v>
      </c>
      <c r="U149" s="47">
        <f ca="1">HLOOKUP(B149,Heating!$C$102:$O$106,3,FALSE)*INDEX(Weather!$BO$1:$CB$20,MATCH(B149,Weather!$BO$1:$BO$20,0),MATCH(C149,Weather!$BO$1:$CB$1,0))/VLOOKUP(B149,Weather!$BO$2:$CB$20,14,FALSE)</f>
        <v>31878.966404124225</v>
      </c>
      <c r="V149" s="47">
        <f t="shared" ca="1" si="133"/>
        <v>1060011.921252144</v>
      </c>
    </row>
    <row r="150" spans="1:22">
      <c r="A150" s="2">
        <f t="shared" si="123"/>
        <v>46904</v>
      </c>
      <c r="B150">
        <f t="shared" si="151"/>
        <v>2028</v>
      </c>
      <c r="C150">
        <f t="shared" si="152"/>
        <v>5</v>
      </c>
      <c r="E150" s="3">
        <f t="shared" ref="E150:F150" ca="1" si="194">E138</f>
        <v>155.24720841877425</v>
      </c>
      <c r="F150" s="3">
        <f t="shared" ca="1" si="194"/>
        <v>48.940113636363641</v>
      </c>
      <c r="G150" s="47">
        <f t="shared" si="191"/>
        <v>1</v>
      </c>
      <c r="H150" s="47">
        <f t="shared" si="155"/>
        <v>149</v>
      </c>
      <c r="I150" s="47">
        <f t="shared" si="156"/>
        <v>31</v>
      </c>
      <c r="J150">
        <v>0</v>
      </c>
      <c r="L150" s="3">
        <f t="shared" si="166"/>
        <v>-761245.70652732695</v>
      </c>
      <c r="M150" s="3">
        <f t="shared" ca="1" si="167"/>
        <v>125430.36450850464</v>
      </c>
      <c r="N150" s="3">
        <f t="shared" ca="1" si="168"/>
        <v>90331.89965872922</v>
      </c>
      <c r="O150" s="3">
        <f t="shared" si="169"/>
        <v>-62836.7660875816</v>
      </c>
      <c r="P150" s="3">
        <f t="shared" si="170"/>
        <v>380669.81778251805</v>
      </c>
      <c r="Q150" s="3">
        <f t="shared" si="171"/>
        <v>1183980.7512550617</v>
      </c>
      <c r="R150" s="3">
        <f t="shared" si="172"/>
        <v>0</v>
      </c>
      <c r="S150" s="47">
        <f t="shared" ca="1" si="157"/>
        <v>956330.36058990494</v>
      </c>
      <c r="T150" s="47">
        <f>IFERROR(HLOOKUP(B150-1,'EV Forecast VRZ'!$F$124:$T$130,3,FALSE)/12,0)+IFERROR(((HLOOKUP(B150,'EV Forecast VRZ'!$F$116:$T$122,3,FALSE)-HLOOKUP(B150-1,'EV Forecast VRZ'!$F$124:$T$130,3,FALSE)))*C150/78,0)</f>
        <v>39619.563071122953</v>
      </c>
      <c r="U150" s="47">
        <f ca="1">HLOOKUP(B150,Heating!$C$102:$O$106,3,FALSE)*INDEX(Weather!$BO$1:$CB$20,MATCH(B150,Weather!$BO$1:$BO$20,0),MATCH(C150,Weather!$BO$1:$CB$1,0))/VLOOKUP(B150,Weather!$BO$2:$CB$20,14,FALSE)</f>
        <v>14023.225430513161</v>
      </c>
      <c r="V150" s="47">
        <f t="shared" ca="1" si="133"/>
        <v>1009973.1490915411</v>
      </c>
    </row>
    <row r="151" spans="1:22">
      <c r="A151" s="2">
        <f t="shared" si="123"/>
        <v>46934</v>
      </c>
      <c r="B151">
        <f t="shared" si="151"/>
        <v>2028</v>
      </c>
      <c r="C151">
        <f t="shared" si="152"/>
        <v>6</v>
      </c>
      <c r="E151" s="3">
        <f t="shared" ref="E151:F151" ca="1" si="195">E139</f>
        <v>30.273840492840492</v>
      </c>
      <c r="F151" s="3">
        <f t="shared" ca="1" si="195"/>
        <v>144.91160087738351</v>
      </c>
      <c r="G151" s="47">
        <f t="shared" si="191"/>
        <v>0</v>
      </c>
      <c r="H151" s="47">
        <f t="shared" si="155"/>
        <v>150</v>
      </c>
      <c r="I151" s="47">
        <f t="shared" si="156"/>
        <v>30</v>
      </c>
      <c r="J151">
        <v>0</v>
      </c>
      <c r="L151" s="3">
        <f t="shared" si="166"/>
        <v>-761245.70652732695</v>
      </c>
      <c r="M151" s="3">
        <f t="shared" ca="1" si="167"/>
        <v>24459.434000554327</v>
      </c>
      <c r="N151" s="3">
        <f t="shared" ca="1" si="168"/>
        <v>267472.61534994369</v>
      </c>
      <c r="O151" s="3">
        <f t="shared" si="169"/>
        <v>0</v>
      </c>
      <c r="P151" s="3">
        <f t="shared" si="170"/>
        <v>383224.64877434704</v>
      </c>
      <c r="Q151" s="3">
        <f t="shared" si="171"/>
        <v>1145787.823795221</v>
      </c>
      <c r="R151" s="3">
        <f t="shared" si="172"/>
        <v>0</v>
      </c>
      <c r="S151" s="47">
        <f t="shared" ca="1" si="157"/>
        <v>1059698.8153927391</v>
      </c>
      <c r="T151" s="47">
        <f>IFERROR(HLOOKUP(B151-1,'EV Forecast VRZ'!$F$124:$T$130,3,FALSE)/12,0)+IFERROR(((HLOOKUP(B151,'EV Forecast VRZ'!$F$116:$T$122,3,FALSE)-HLOOKUP(B151-1,'EV Forecast VRZ'!$F$124:$T$130,3,FALSE)))*C151/78,0)</f>
        <v>40132.366172762479</v>
      </c>
      <c r="U151" s="47">
        <f ca="1">HLOOKUP(B151,Heating!$C$102:$O$106,3,FALSE)*INDEX(Weather!$BO$1:$CB$20,MATCH(B151,Weather!$BO$1:$BO$20,0),MATCH(C151,Weather!$BO$1:$CB$1,0))/VLOOKUP(B151,Weather!$BO$2:$CB$20,14,FALSE)</f>
        <v>2734.5863040147274</v>
      </c>
      <c r="V151" s="47">
        <f t="shared" ca="1" si="133"/>
        <v>1102565.7678695165</v>
      </c>
    </row>
    <row r="152" spans="1:22">
      <c r="A152" s="2">
        <f t="shared" si="123"/>
        <v>46965</v>
      </c>
      <c r="B152">
        <f t="shared" si="151"/>
        <v>2028</v>
      </c>
      <c r="C152">
        <f t="shared" si="152"/>
        <v>7</v>
      </c>
      <c r="E152" s="3">
        <f t="shared" ref="E152:F152" ca="1" si="196">E140</f>
        <v>1.0845833333333317</v>
      </c>
      <c r="F152" s="3">
        <f t="shared" ca="1" si="196"/>
        <v>242.72508692061183</v>
      </c>
      <c r="G152" s="47">
        <f t="shared" si="191"/>
        <v>0</v>
      </c>
      <c r="H152" s="47">
        <f t="shared" si="155"/>
        <v>151</v>
      </c>
      <c r="I152" s="47">
        <f t="shared" si="156"/>
        <v>31</v>
      </c>
      <c r="J152">
        <v>0</v>
      </c>
      <c r="L152" s="3">
        <f t="shared" si="166"/>
        <v>-761245.70652732695</v>
      </c>
      <c r="M152" s="3">
        <f t="shared" ca="1" si="167"/>
        <v>876.27780380363561</v>
      </c>
      <c r="N152" s="3">
        <f t="shared" ca="1" si="168"/>
        <v>448013.2261090143</v>
      </c>
      <c r="O152" s="3">
        <f t="shared" si="169"/>
        <v>0</v>
      </c>
      <c r="P152" s="3">
        <f t="shared" si="170"/>
        <v>385779.47976617602</v>
      </c>
      <c r="Q152" s="3">
        <f t="shared" si="171"/>
        <v>1183980.7512550617</v>
      </c>
      <c r="R152" s="3">
        <f t="shared" si="172"/>
        <v>0</v>
      </c>
      <c r="S152" s="47">
        <f t="shared" ca="1" si="157"/>
        <v>1257404.0284067288</v>
      </c>
      <c r="T152" s="47">
        <f>IFERROR(HLOOKUP(B152-1,'EV Forecast VRZ'!$F$124:$T$130,3,FALSE)/12,0)+IFERROR(((HLOOKUP(B152,'EV Forecast VRZ'!$F$116:$T$122,3,FALSE)-HLOOKUP(B152-1,'EV Forecast VRZ'!$F$124:$T$130,3,FALSE)))*C152/78,0)</f>
        <v>40645.169274402004</v>
      </c>
      <c r="U152" s="47">
        <f ca="1">HLOOKUP(B152,Heating!$C$102:$O$106,3,FALSE)*INDEX(Weather!$BO$1:$CB$20,MATCH(B152,Weather!$BO$1:$BO$20,0),MATCH(C152,Weather!$BO$1:$CB$1,0))/VLOOKUP(B152,Weather!$BO$2:$CB$20,14,FALSE)</f>
        <v>97.968631683759298</v>
      </c>
      <c r="V152" s="47">
        <f t="shared" ca="1" si="133"/>
        <v>1298147.1663128147</v>
      </c>
    </row>
    <row r="153" spans="1:22">
      <c r="A153" s="2">
        <f t="shared" si="123"/>
        <v>46996</v>
      </c>
      <c r="B153">
        <f t="shared" si="151"/>
        <v>2028</v>
      </c>
      <c r="C153">
        <f t="shared" si="152"/>
        <v>8</v>
      </c>
      <c r="E153" s="3">
        <f t="shared" ref="E153:F153" ca="1" si="197">E141</f>
        <v>6.4245833333333335</v>
      </c>
      <c r="F153" s="3">
        <f t="shared" ca="1" si="197"/>
        <v>214.02558794466404</v>
      </c>
      <c r="G153" s="47">
        <f t="shared" si="191"/>
        <v>0</v>
      </c>
      <c r="H153" s="47">
        <f t="shared" si="155"/>
        <v>152</v>
      </c>
      <c r="I153" s="47">
        <f t="shared" si="156"/>
        <v>31</v>
      </c>
      <c r="J153">
        <v>0</v>
      </c>
      <c r="L153" s="3">
        <f t="shared" si="166"/>
        <v>-761245.70652732695</v>
      </c>
      <c r="M153" s="3">
        <f t="shared" ca="1" si="167"/>
        <v>5190.6751659040647</v>
      </c>
      <c r="N153" s="3">
        <f t="shared" ca="1" si="168"/>
        <v>395040.72422612441</v>
      </c>
      <c r="O153" s="3">
        <f t="shared" si="169"/>
        <v>0</v>
      </c>
      <c r="P153" s="3">
        <f t="shared" si="170"/>
        <v>388334.31075800495</v>
      </c>
      <c r="Q153" s="3">
        <f t="shared" si="171"/>
        <v>1183980.7512550617</v>
      </c>
      <c r="R153" s="3">
        <f t="shared" si="172"/>
        <v>0</v>
      </c>
      <c r="S153" s="47">
        <f t="shared" ca="1" si="157"/>
        <v>1211300.7548777682</v>
      </c>
      <c r="T153" s="47">
        <f>IFERROR(HLOOKUP(B153-1,'EV Forecast VRZ'!$F$124:$T$130,3,FALSE)/12,0)+IFERROR(((HLOOKUP(B153,'EV Forecast VRZ'!$F$116:$T$122,3,FALSE)-HLOOKUP(B153-1,'EV Forecast VRZ'!$F$124:$T$130,3,FALSE)))*C153/78,0)</f>
        <v>41157.972376041536</v>
      </c>
      <c r="U153" s="47">
        <f ca="1">HLOOKUP(B153,Heating!$C$102:$O$106,3,FALSE)*INDEX(Weather!$BO$1:$CB$20,MATCH(B153,Weather!$BO$1:$BO$20,0),MATCH(C153,Weather!$BO$1:$CB$1,0))/VLOOKUP(B153,Weather!$BO$2:$CB$20,14,FALSE)</f>
        <v>580.32206374640305</v>
      </c>
      <c r="V153" s="47">
        <f t="shared" ca="1" si="133"/>
        <v>1253039.0493175562</v>
      </c>
    </row>
    <row r="154" spans="1:22">
      <c r="A154" s="2">
        <f t="shared" si="123"/>
        <v>47026</v>
      </c>
      <c r="B154">
        <f t="shared" si="151"/>
        <v>2028</v>
      </c>
      <c r="C154">
        <f t="shared" si="152"/>
        <v>9</v>
      </c>
      <c r="E154" s="3">
        <f t="shared" ref="E154:F154" ca="1" si="198">E142</f>
        <v>54.412952898550728</v>
      </c>
      <c r="F154" s="3">
        <f t="shared" ca="1" si="198"/>
        <v>102.40708333333332</v>
      </c>
      <c r="G154" s="47">
        <f t="shared" si="191"/>
        <v>1</v>
      </c>
      <c r="H154" s="47">
        <f t="shared" si="155"/>
        <v>153</v>
      </c>
      <c r="I154" s="47">
        <f t="shared" si="156"/>
        <v>30</v>
      </c>
      <c r="J154">
        <v>0</v>
      </c>
      <c r="L154" s="3">
        <f t="shared" si="166"/>
        <v>-761245.70652732695</v>
      </c>
      <c r="M154" s="3">
        <f t="shared" ca="1" si="167"/>
        <v>43962.378361348696</v>
      </c>
      <c r="N154" s="3">
        <f t="shared" ca="1" si="168"/>
        <v>189019.30724444328</v>
      </c>
      <c r="O154" s="3">
        <f t="shared" si="169"/>
        <v>-62836.7660875816</v>
      </c>
      <c r="P154" s="3">
        <f t="shared" si="170"/>
        <v>390889.14174983394</v>
      </c>
      <c r="Q154" s="3">
        <f t="shared" si="171"/>
        <v>1145787.823795221</v>
      </c>
      <c r="R154" s="3">
        <f t="shared" si="172"/>
        <v>0</v>
      </c>
      <c r="S154" s="47">
        <f t="shared" ca="1" si="157"/>
        <v>945576.17853593826</v>
      </c>
      <c r="T154" s="47">
        <f>IFERROR(HLOOKUP(B154-1,'EV Forecast VRZ'!$F$124:$T$130,3,FALSE)/12,0)+IFERROR(((HLOOKUP(B154,'EV Forecast VRZ'!$F$116:$T$122,3,FALSE)-HLOOKUP(B154-1,'EV Forecast VRZ'!$F$124:$T$130,3,FALSE)))*C154/78,0)</f>
        <v>41670.775477681062</v>
      </c>
      <c r="U154" s="47">
        <f ca="1">HLOOKUP(B154,Heating!$C$102:$O$106,3,FALSE)*INDEX(Weather!$BO$1:$CB$20,MATCH(B154,Weather!$BO$1:$BO$20,0),MATCH(C154,Weather!$BO$1:$CB$1,0))/VLOOKUP(B154,Weather!$BO$2:$CB$20,14,FALSE)</f>
        <v>4915.0326927488595</v>
      </c>
      <c r="V154" s="47">
        <f t="shared" ca="1" si="133"/>
        <v>992161.98670636816</v>
      </c>
    </row>
    <row r="155" spans="1:22">
      <c r="A155" s="2">
        <f t="shared" si="123"/>
        <v>47057</v>
      </c>
      <c r="B155">
        <f t="shared" si="151"/>
        <v>2028</v>
      </c>
      <c r="C155">
        <f t="shared" si="152"/>
        <v>10</v>
      </c>
      <c r="E155" s="3">
        <f t="shared" ref="E155:F155" ca="1" si="199">E143</f>
        <v>232.21431159420285</v>
      </c>
      <c r="F155" s="3">
        <f t="shared" ca="1" si="199"/>
        <v>19.741250000000004</v>
      </c>
      <c r="G155" s="47">
        <f t="shared" si="191"/>
        <v>1</v>
      </c>
      <c r="H155" s="47">
        <f t="shared" si="155"/>
        <v>154</v>
      </c>
      <c r="I155" s="47">
        <f t="shared" si="156"/>
        <v>31</v>
      </c>
      <c r="J155">
        <v>0</v>
      </c>
      <c r="L155" s="3">
        <f t="shared" si="166"/>
        <v>-761245.70652732695</v>
      </c>
      <c r="M155" s="3">
        <f t="shared" ca="1" si="167"/>
        <v>187615.1335925085</v>
      </c>
      <c r="N155" s="3">
        <f t="shared" ca="1" si="168"/>
        <v>36437.688465293664</v>
      </c>
      <c r="O155" s="3">
        <f t="shared" si="169"/>
        <v>-62836.7660875816</v>
      </c>
      <c r="P155" s="3">
        <f t="shared" si="170"/>
        <v>393443.97274166293</v>
      </c>
      <c r="Q155" s="3">
        <f t="shared" si="171"/>
        <v>1183980.7512550617</v>
      </c>
      <c r="R155" s="3">
        <f t="shared" si="172"/>
        <v>0</v>
      </c>
      <c r="S155" s="47">
        <f t="shared" ca="1" si="157"/>
        <v>977395.07343961811</v>
      </c>
      <c r="T155" s="47">
        <f>IFERROR(HLOOKUP(B155-1,'EV Forecast VRZ'!$F$124:$T$130,3,FALSE)/12,0)+IFERROR(((HLOOKUP(B155,'EV Forecast VRZ'!$F$116:$T$122,3,FALSE)-HLOOKUP(B155-1,'EV Forecast VRZ'!$F$124:$T$130,3,FALSE)))*C155/78,0)</f>
        <v>42183.578579320587</v>
      </c>
      <c r="U155" s="47">
        <f ca="1">HLOOKUP(B155,Heating!$C$102:$O$106,3,FALSE)*INDEX(Weather!$BO$1:$CB$20,MATCH(B155,Weather!$BO$1:$BO$20,0),MATCH(C155,Weather!$BO$1:$CB$1,0))/VLOOKUP(B155,Weather!$BO$2:$CB$20,14,FALSE)</f>
        <v>20975.537485304842</v>
      </c>
      <c r="V155" s="47">
        <f t="shared" ca="1" si="133"/>
        <v>1040554.1895042435</v>
      </c>
    </row>
    <row r="156" spans="1:22">
      <c r="A156" s="2">
        <f t="shared" si="123"/>
        <v>47087</v>
      </c>
      <c r="B156">
        <f t="shared" si="151"/>
        <v>2028</v>
      </c>
      <c r="C156">
        <f t="shared" si="152"/>
        <v>11</v>
      </c>
      <c r="E156" s="3">
        <f t="shared" ref="E156:F156" ca="1" si="200">E144</f>
        <v>435.51408055712398</v>
      </c>
      <c r="F156" s="3">
        <f t="shared" ca="1" si="200"/>
        <v>0.78124999999999944</v>
      </c>
      <c r="G156" s="47">
        <f t="shared" si="191"/>
        <v>1</v>
      </c>
      <c r="H156" s="47">
        <f t="shared" si="155"/>
        <v>155</v>
      </c>
      <c r="I156" s="47">
        <f t="shared" si="156"/>
        <v>30</v>
      </c>
      <c r="J156">
        <v>0</v>
      </c>
      <c r="L156" s="3">
        <f t="shared" si="166"/>
        <v>-761245.70652732695</v>
      </c>
      <c r="M156" s="3">
        <f t="shared" ca="1" si="167"/>
        <v>351869.06372907275</v>
      </c>
      <c r="N156" s="3">
        <f t="shared" ca="1" si="168"/>
        <v>1442.0031210541708</v>
      </c>
      <c r="O156" s="3">
        <f t="shared" si="169"/>
        <v>-62836.7660875816</v>
      </c>
      <c r="P156" s="3">
        <f t="shared" si="170"/>
        <v>395998.80373349192</v>
      </c>
      <c r="Q156" s="3">
        <f t="shared" si="171"/>
        <v>1145787.823795221</v>
      </c>
      <c r="R156" s="3">
        <f t="shared" si="172"/>
        <v>0</v>
      </c>
      <c r="S156" s="47">
        <f t="shared" ca="1" si="157"/>
        <v>1071015.2217639312</v>
      </c>
      <c r="T156" s="47">
        <f>IFERROR(HLOOKUP(B156-1,'EV Forecast VRZ'!$F$124:$T$130,3,FALSE)/12,0)+IFERROR(((HLOOKUP(B156,'EV Forecast VRZ'!$F$116:$T$122,3,FALSE)-HLOOKUP(B156-1,'EV Forecast VRZ'!$F$124:$T$130,3,FALSE)))*C156/78,0)</f>
        <v>42696.381680960112</v>
      </c>
      <c r="U156" s="47">
        <f ca="1">HLOOKUP(B156,Heating!$C$102:$O$106,3,FALSE)*INDEX(Weather!$BO$1:$CB$20,MATCH(B156,Weather!$BO$1:$BO$20,0),MATCH(C156,Weather!$BO$1:$CB$1,0))/VLOOKUP(B156,Weather!$BO$2:$CB$20,14,FALSE)</f>
        <v>39339.271810549697</v>
      </c>
      <c r="V156" s="47">
        <f t="shared" ca="1" si="133"/>
        <v>1153050.8752554411</v>
      </c>
    </row>
    <row r="157" spans="1:22">
      <c r="A157" s="2">
        <f t="shared" si="123"/>
        <v>47118</v>
      </c>
      <c r="B157">
        <f t="shared" si="151"/>
        <v>2028</v>
      </c>
      <c r="C157">
        <f t="shared" si="152"/>
        <v>12</v>
      </c>
      <c r="E157" s="3">
        <f t="shared" ref="E157:F157" ca="1" si="201">E145</f>
        <v>602.38541666666674</v>
      </c>
      <c r="F157" s="3">
        <f t="shared" ca="1" si="201"/>
        <v>0</v>
      </c>
      <c r="G157" s="47">
        <f t="shared" si="191"/>
        <v>0</v>
      </c>
      <c r="H157" s="47">
        <f t="shared" si="155"/>
        <v>156</v>
      </c>
      <c r="I157" s="47">
        <f t="shared" si="156"/>
        <v>31</v>
      </c>
      <c r="J157">
        <v>0</v>
      </c>
      <c r="L157" s="3">
        <f t="shared" si="166"/>
        <v>-761245.70652732695</v>
      </c>
      <c r="M157" s="3">
        <f t="shared" ca="1" si="167"/>
        <v>486691.02109259058</v>
      </c>
      <c r="N157" s="3">
        <f t="shared" ca="1" si="168"/>
        <v>0</v>
      </c>
      <c r="O157" s="3">
        <f t="shared" si="169"/>
        <v>0</v>
      </c>
      <c r="P157" s="3">
        <f t="shared" si="170"/>
        <v>398553.63472532091</v>
      </c>
      <c r="Q157" s="3">
        <f t="shared" si="171"/>
        <v>1183980.7512550617</v>
      </c>
      <c r="R157" s="3">
        <f t="shared" si="172"/>
        <v>0</v>
      </c>
      <c r="S157" s="47">
        <f t="shared" ca="1" si="157"/>
        <v>1307979.7005456463</v>
      </c>
      <c r="T157" s="47">
        <f>IFERROR(HLOOKUP(B157-1,'EV Forecast VRZ'!$F$124:$T$130,3,FALSE)/12,0)+IFERROR(((HLOOKUP(B157,'EV Forecast VRZ'!$F$116:$T$122,3,FALSE)-HLOOKUP(B157-1,'EV Forecast VRZ'!$F$124:$T$130,3,FALSE)))*C157/78,0)</f>
        <v>43209.184782599645</v>
      </c>
      <c r="U157" s="47">
        <f ca="1">HLOOKUP(B157,Heating!$C$102:$O$106,3,FALSE)*INDEX(Weather!$BO$1:$CB$20,MATCH(B157,Weather!$BO$1:$BO$20,0),MATCH(C157,Weather!$BO$1:$CB$1,0))/VLOOKUP(B157,Weather!$BO$2:$CB$20,14,FALSE)</f>
        <v>54412.485609298172</v>
      </c>
      <c r="V157" s="47">
        <f t="shared" ca="1" si="133"/>
        <v>1405601.3709375439</v>
      </c>
    </row>
    <row r="158" spans="1:22">
      <c r="A158" s="2">
        <f t="shared" si="123"/>
        <v>47149</v>
      </c>
      <c r="B158">
        <f t="shared" si="151"/>
        <v>2029</v>
      </c>
      <c r="C158">
        <f t="shared" si="152"/>
        <v>1</v>
      </c>
      <c r="E158" s="3">
        <f t="shared" ref="E158:F158" ca="1" si="202">E146</f>
        <v>690.78750000000002</v>
      </c>
      <c r="F158" s="3">
        <f t="shared" ca="1" si="202"/>
        <v>0</v>
      </c>
      <c r="G158" s="47">
        <f t="shared" si="191"/>
        <v>0</v>
      </c>
      <c r="H158" s="47">
        <f t="shared" si="155"/>
        <v>157</v>
      </c>
      <c r="I158" s="47">
        <f t="shared" si="156"/>
        <v>31</v>
      </c>
      <c r="J158">
        <v>0</v>
      </c>
      <c r="L158" s="3">
        <f t="shared" si="166"/>
        <v>-761245.70652732695</v>
      </c>
      <c r="M158" s="3">
        <f t="shared" ca="1" si="167"/>
        <v>558114.56325317395</v>
      </c>
      <c r="N158" s="3">
        <f t="shared" ca="1" si="168"/>
        <v>0</v>
      </c>
      <c r="O158" s="3">
        <f t="shared" si="169"/>
        <v>0</v>
      </c>
      <c r="P158" s="3">
        <f t="shared" si="170"/>
        <v>401108.4657171499</v>
      </c>
      <c r="Q158" s="3">
        <f t="shared" si="171"/>
        <v>1183980.7512550617</v>
      </c>
      <c r="R158" s="3">
        <f t="shared" si="172"/>
        <v>0</v>
      </c>
      <c r="S158" s="47">
        <f t="shared" ca="1" si="157"/>
        <v>1381958.0736980587</v>
      </c>
      <c r="T158" s="47">
        <f>IFERROR(HLOOKUP(B158-1,'EV Forecast VRZ'!$F$124:$T$130,3,FALSE)/12,0)+IFERROR(((HLOOKUP(B158,'EV Forecast VRZ'!$F$116:$T$122,3,FALSE)-HLOOKUP(B158-1,'EV Forecast VRZ'!$F$124:$T$130,3,FALSE)))*C158/78,0)</f>
        <v>45864.042148514382</v>
      </c>
      <c r="U158" s="47">
        <f ca="1">HLOOKUP(B158,Heating!$C$102:$O$106,3,FALSE)*INDEX(Weather!$BO$1:$CB$20,MATCH(B158,Weather!$BO$1:$BO$20,0),MATCH(C158,Weather!$BO$1:$CB$1,0))/VLOOKUP(B158,Weather!$BO$2:$CB$20,14,FALSE)</f>
        <v>70537.37518486222</v>
      </c>
      <c r="V158" s="47">
        <f t="shared" ca="1" si="133"/>
        <v>1498359.4910314353</v>
      </c>
    </row>
    <row r="159" spans="1:22">
      <c r="A159" s="2">
        <f t="shared" si="123"/>
        <v>47177</v>
      </c>
      <c r="B159">
        <f t="shared" si="151"/>
        <v>2029</v>
      </c>
      <c r="C159">
        <f t="shared" si="152"/>
        <v>2</v>
      </c>
      <c r="E159" s="3">
        <f t="shared" ref="E159:F159" ca="1" si="203">E147</f>
        <v>604.19541666666657</v>
      </c>
      <c r="F159" s="3">
        <f t="shared" ca="1" si="203"/>
        <v>0</v>
      </c>
      <c r="G159" s="47">
        <f t="shared" si="191"/>
        <v>0</v>
      </c>
      <c r="H159" s="47">
        <f t="shared" si="155"/>
        <v>158</v>
      </c>
      <c r="I159" s="47">
        <f t="shared" si="156"/>
        <v>28</v>
      </c>
      <c r="J159">
        <v>0</v>
      </c>
      <c r="L159" s="3">
        <f t="shared" si="166"/>
        <v>-761245.70652732695</v>
      </c>
      <c r="M159" s="3">
        <f t="shared" ca="1" si="167"/>
        <v>488153.39173405146</v>
      </c>
      <c r="N159" s="3">
        <f t="shared" ca="1" si="168"/>
        <v>0</v>
      </c>
      <c r="O159" s="3">
        <f t="shared" si="169"/>
        <v>0</v>
      </c>
      <c r="P159" s="3">
        <f t="shared" si="170"/>
        <v>403663.29670897889</v>
      </c>
      <c r="Q159" s="3">
        <f t="shared" si="171"/>
        <v>1069401.9688755395</v>
      </c>
      <c r="R159" s="3">
        <f t="shared" si="172"/>
        <v>0</v>
      </c>
      <c r="S159" s="47">
        <f t="shared" ca="1" si="157"/>
        <v>1199972.950791243</v>
      </c>
      <c r="T159" s="47">
        <f>IFERROR(HLOOKUP(B159-1,'EV Forecast VRZ'!$F$124:$T$130,3,FALSE)/12,0)+IFERROR(((HLOOKUP(B159,'EV Forecast VRZ'!$F$116:$T$122,3,FALSE)-HLOOKUP(B159-1,'EV Forecast VRZ'!$F$124:$T$130,3,FALSE)))*C159/78,0)</f>
        <v>46617.956754747072</v>
      </c>
      <c r="U159" s="47">
        <f ca="1">HLOOKUP(B159,Heating!$C$102:$O$106,3,FALSE)*INDEX(Weather!$BO$1:$CB$20,MATCH(B159,Weather!$BO$1:$BO$20,0),MATCH(C159,Weather!$BO$1:$CB$1,0))/VLOOKUP(B159,Weather!$BO$2:$CB$20,14,FALSE)</f>
        <v>61695.324235587374</v>
      </c>
      <c r="V159" s="47">
        <f t="shared" ca="1" si="133"/>
        <v>1308286.2317815775</v>
      </c>
    </row>
    <row r="160" spans="1:22">
      <c r="A160" s="2">
        <f t="shared" si="123"/>
        <v>47208</v>
      </c>
      <c r="B160">
        <f t="shared" si="151"/>
        <v>2029</v>
      </c>
      <c r="C160">
        <f t="shared" si="152"/>
        <v>3</v>
      </c>
      <c r="E160" s="3">
        <f t="shared" ref="E160:F160" ca="1" si="204">E148</f>
        <v>534.21590579710141</v>
      </c>
      <c r="F160" s="3">
        <f t="shared" ca="1" si="204"/>
        <v>0</v>
      </c>
      <c r="G160" s="47">
        <f t="shared" si="191"/>
        <v>1</v>
      </c>
      <c r="H160" s="47">
        <f t="shared" si="155"/>
        <v>159</v>
      </c>
      <c r="I160" s="47">
        <f t="shared" si="156"/>
        <v>31</v>
      </c>
      <c r="J160">
        <v>0</v>
      </c>
      <c r="L160" s="3">
        <f t="shared" si="166"/>
        <v>-761245.70652732695</v>
      </c>
      <c r="M160" s="3">
        <f t="shared" ca="1" si="167"/>
        <v>431614.1750492705</v>
      </c>
      <c r="N160" s="3">
        <f t="shared" ca="1" si="168"/>
        <v>0</v>
      </c>
      <c r="O160" s="3">
        <f t="shared" si="169"/>
        <v>-62836.7660875816</v>
      </c>
      <c r="P160" s="3">
        <f t="shared" si="170"/>
        <v>406218.12770080782</v>
      </c>
      <c r="Q160" s="3">
        <f t="shared" si="171"/>
        <v>1183980.7512550617</v>
      </c>
      <c r="R160" s="3">
        <f t="shared" si="172"/>
        <v>0</v>
      </c>
      <c r="S160" s="47">
        <f t="shared" ca="1" si="157"/>
        <v>1197730.5813902314</v>
      </c>
      <c r="T160" s="47">
        <f>IFERROR(HLOOKUP(B160-1,'EV Forecast VRZ'!$F$124:$T$130,3,FALSE)/12,0)+IFERROR(((HLOOKUP(B160,'EV Forecast VRZ'!$F$116:$T$122,3,FALSE)-HLOOKUP(B160-1,'EV Forecast VRZ'!$F$124:$T$130,3,FALSE)))*C160/78,0)</f>
        <v>47371.871360979763</v>
      </c>
      <c r="U160" s="47">
        <f ca="1">HLOOKUP(B160,Heating!$C$102:$O$106,3,FALSE)*INDEX(Weather!$BO$1:$CB$20,MATCH(B160,Weather!$BO$1:$BO$20,0),MATCH(C160,Weather!$BO$1:$CB$1,0))/VLOOKUP(B160,Weather!$BO$2:$CB$20,14,FALSE)</f>
        <v>54549.608637867866</v>
      </c>
      <c r="V160" s="47">
        <f t="shared" ca="1" si="133"/>
        <v>1299652.0613890791</v>
      </c>
    </row>
    <row r="161" spans="1:22">
      <c r="A161" s="2">
        <f t="shared" si="123"/>
        <v>47238</v>
      </c>
      <c r="B161">
        <f t="shared" si="151"/>
        <v>2029</v>
      </c>
      <c r="C161">
        <f t="shared" si="152"/>
        <v>4</v>
      </c>
      <c r="E161" s="3">
        <f t="shared" ref="E161:F161" ca="1" si="205">E149</f>
        <v>352.92312500000003</v>
      </c>
      <c r="F161" s="3">
        <f t="shared" ca="1" si="205"/>
        <v>2.2025000000000015</v>
      </c>
      <c r="G161" s="47">
        <f t="shared" si="191"/>
        <v>1</v>
      </c>
      <c r="H161" s="47">
        <f t="shared" si="155"/>
        <v>160</v>
      </c>
      <c r="I161" s="47">
        <f t="shared" si="156"/>
        <v>30</v>
      </c>
      <c r="J161">
        <v>0</v>
      </c>
      <c r="L161" s="3">
        <f t="shared" si="166"/>
        <v>-761245.70652732695</v>
      </c>
      <c r="M161" s="3">
        <f t="shared" ca="1" si="167"/>
        <v>285140.56170865905</v>
      </c>
      <c r="N161" s="3">
        <f t="shared" ca="1" si="168"/>
        <v>4065.2951988759241</v>
      </c>
      <c r="O161" s="3">
        <f t="shared" si="169"/>
        <v>-62836.7660875816</v>
      </c>
      <c r="P161" s="3">
        <f t="shared" si="170"/>
        <v>408772.95869263681</v>
      </c>
      <c r="Q161" s="3">
        <f t="shared" si="171"/>
        <v>1145787.823795221</v>
      </c>
      <c r="R161" s="3">
        <f t="shared" si="172"/>
        <v>0</v>
      </c>
      <c r="S161" s="47">
        <f t="shared" ca="1" si="157"/>
        <v>1019684.1667804843</v>
      </c>
      <c r="T161" s="47">
        <f>IFERROR(HLOOKUP(B161-1,'EV Forecast VRZ'!$F$124:$T$130,3,FALSE)/12,0)+IFERROR(((HLOOKUP(B161,'EV Forecast VRZ'!$F$116:$T$122,3,FALSE)-HLOOKUP(B161-1,'EV Forecast VRZ'!$F$124:$T$130,3,FALSE)))*C161/78,0)</f>
        <v>48125.785967212454</v>
      </c>
      <c r="U161" s="47">
        <f ca="1">HLOOKUP(B161,Heating!$C$102:$O$106,3,FALSE)*INDEX(Weather!$BO$1:$CB$20,MATCH(B161,Weather!$BO$1:$BO$20,0),MATCH(C161,Weather!$BO$1:$CB$1,0))/VLOOKUP(B161,Weather!$BO$2:$CB$20,14,FALSE)</f>
        <v>36037.523666162211</v>
      </c>
      <c r="V161" s="47">
        <f t="shared" ca="1" si="133"/>
        <v>1103847.4764138591</v>
      </c>
    </row>
    <row r="162" spans="1:22">
      <c r="A162" s="2">
        <f t="shared" si="123"/>
        <v>47269</v>
      </c>
      <c r="B162">
        <f t="shared" si="151"/>
        <v>2029</v>
      </c>
      <c r="C162">
        <f t="shared" si="152"/>
        <v>5</v>
      </c>
      <c r="E162" s="3">
        <f t="shared" ref="E162:F162" ca="1" si="206">E150</f>
        <v>155.24720841877425</v>
      </c>
      <c r="F162" s="3">
        <f t="shared" ca="1" si="206"/>
        <v>48.940113636363641</v>
      </c>
      <c r="G162" s="47">
        <f t="shared" si="191"/>
        <v>1</v>
      </c>
      <c r="H162" s="47">
        <f t="shared" si="155"/>
        <v>161</v>
      </c>
      <c r="I162" s="47">
        <f t="shared" si="156"/>
        <v>31</v>
      </c>
      <c r="J162">
        <v>0</v>
      </c>
      <c r="L162" s="3">
        <f t="shared" ref="L162:L193" si="207">$Z$8</f>
        <v>-761245.70652732695</v>
      </c>
      <c r="M162" s="3">
        <f t="shared" ref="M162:M193" ca="1" si="208">E162*$Z$9</f>
        <v>125430.36450850464</v>
      </c>
      <c r="N162" s="3">
        <f t="shared" ref="N162:N193" ca="1" si="209">F162*$Z$10</f>
        <v>90331.89965872922</v>
      </c>
      <c r="O162" s="3">
        <f t="shared" ref="O162:O193" si="210">G162*$Z$11</f>
        <v>-62836.7660875816</v>
      </c>
      <c r="P162" s="3">
        <f t="shared" ref="P162:P193" si="211">H162*$Z$12</f>
        <v>411327.7896844658</v>
      </c>
      <c r="Q162" s="3">
        <f t="shared" ref="Q162:Q193" si="212">I162*$Z$13</f>
        <v>1183980.7512550617</v>
      </c>
      <c r="R162" s="3">
        <f t="shared" ref="R162:R193" si="213">J162*$Z$14</f>
        <v>0</v>
      </c>
      <c r="S162" s="47">
        <f t="shared" ref="S162:S193" ca="1" si="214">SUM(L162:R162)</f>
        <v>986988.33249185281</v>
      </c>
      <c r="T162" s="47">
        <f>IFERROR(HLOOKUP(B162-1,'EV Forecast VRZ'!$F$124:$T$130,3,FALSE)/12,0)+IFERROR(((HLOOKUP(B162,'EV Forecast VRZ'!$F$116:$T$122,3,FALSE)-HLOOKUP(B162-1,'EV Forecast VRZ'!$F$124:$T$130,3,FALSE)))*C162/78,0)</f>
        <v>48879.700573445138</v>
      </c>
      <c r="U162" s="47">
        <f ca="1">HLOOKUP(B162,Heating!$C$102:$O$106,3,FALSE)*INDEX(Weather!$BO$1:$CB$20,MATCH(B162,Weather!$BO$1:$BO$20,0),MATCH(C162,Weather!$BO$1:$CB$1,0))/VLOOKUP(B162,Weather!$BO$2:$CB$20,14,FALSE)</f>
        <v>15852.53147550814</v>
      </c>
      <c r="V162" s="47">
        <f t="shared" ca="1" si="133"/>
        <v>1051720.5645408062</v>
      </c>
    </row>
    <row r="163" spans="1:22">
      <c r="A163" s="2">
        <f t="shared" ref="A163:A193" si="215">EOMONTH(A162,1)</f>
        <v>47299</v>
      </c>
      <c r="B163">
        <f t="shared" ref="B163:B193" si="216">YEAR(A163)</f>
        <v>2029</v>
      </c>
      <c r="C163">
        <f t="shared" ref="C163:C193" si="217">MONTH(A163)</f>
        <v>6</v>
      </c>
      <c r="E163" s="3">
        <f t="shared" ref="E163:F163" ca="1" si="218">E151</f>
        <v>30.273840492840492</v>
      </c>
      <c r="F163" s="3">
        <f t="shared" ca="1" si="218"/>
        <v>144.91160087738351</v>
      </c>
      <c r="G163" s="47">
        <f t="shared" ref="G163:G178" si="219">G151</f>
        <v>0</v>
      </c>
      <c r="H163" s="47">
        <f t="shared" ref="H163:H193" si="220">H162+1</f>
        <v>162</v>
      </c>
      <c r="I163" s="47">
        <f t="shared" ref="I163:I193" si="221">I127</f>
        <v>30</v>
      </c>
      <c r="J163">
        <v>0</v>
      </c>
      <c r="L163" s="3">
        <f t="shared" si="207"/>
        <v>-761245.70652732695</v>
      </c>
      <c r="M163" s="3">
        <f t="shared" ca="1" si="208"/>
        <v>24459.434000554327</v>
      </c>
      <c r="N163" s="3">
        <f t="shared" ca="1" si="209"/>
        <v>267472.61534994369</v>
      </c>
      <c r="O163" s="3">
        <f t="shared" si="210"/>
        <v>0</v>
      </c>
      <c r="P163" s="3">
        <f t="shared" si="211"/>
        <v>413882.62067629478</v>
      </c>
      <c r="Q163" s="3">
        <f t="shared" si="212"/>
        <v>1145787.823795221</v>
      </c>
      <c r="R163" s="3">
        <f t="shared" si="213"/>
        <v>0</v>
      </c>
      <c r="S163" s="47">
        <f t="shared" ca="1" si="214"/>
        <v>1090356.787294687</v>
      </c>
      <c r="T163" s="47">
        <f>IFERROR(HLOOKUP(B163-1,'EV Forecast VRZ'!$F$124:$T$130,3,FALSE)/12,0)+IFERROR(((HLOOKUP(B163,'EV Forecast VRZ'!$F$116:$T$122,3,FALSE)-HLOOKUP(B163-1,'EV Forecast VRZ'!$F$124:$T$130,3,FALSE)))*C163/78,0)</f>
        <v>49633.615179677829</v>
      </c>
      <c r="U163" s="47">
        <f ca="1">HLOOKUP(B163,Heating!$C$102:$O$106,3,FALSE)*INDEX(Weather!$BO$1:$CB$20,MATCH(B163,Weather!$BO$1:$BO$20,0),MATCH(C163,Weather!$BO$1:$CB$1,0))/VLOOKUP(B163,Weather!$BO$2:$CB$20,14,FALSE)</f>
        <v>3091.3084633554658</v>
      </c>
      <c r="V163" s="47">
        <f t="shared" ca="1" si="133"/>
        <v>1143081.7109377203</v>
      </c>
    </row>
    <row r="164" spans="1:22">
      <c r="A164" s="2">
        <f t="shared" si="215"/>
        <v>47330</v>
      </c>
      <c r="B164">
        <f t="shared" si="216"/>
        <v>2029</v>
      </c>
      <c r="C164">
        <f t="shared" si="217"/>
        <v>7</v>
      </c>
      <c r="E164" s="3">
        <f t="shared" ref="E164:F164" ca="1" si="222">E152</f>
        <v>1.0845833333333317</v>
      </c>
      <c r="F164" s="3">
        <f t="shared" ca="1" si="222"/>
        <v>242.72508692061183</v>
      </c>
      <c r="G164" s="47">
        <f t="shared" si="219"/>
        <v>0</v>
      </c>
      <c r="H164" s="47">
        <f t="shared" si="220"/>
        <v>163</v>
      </c>
      <c r="I164" s="47">
        <f t="shared" si="221"/>
        <v>31</v>
      </c>
      <c r="J164">
        <v>0</v>
      </c>
      <c r="L164" s="3">
        <f t="shared" si="207"/>
        <v>-761245.70652732695</v>
      </c>
      <c r="M164" s="3">
        <f t="shared" ca="1" si="208"/>
        <v>876.27780380363561</v>
      </c>
      <c r="N164" s="3">
        <f t="shared" ca="1" si="209"/>
        <v>448013.2261090143</v>
      </c>
      <c r="O164" s="3">
        <f t="shared" si="210"/>
        <v>0</v>
      </c>
      <c r="P164" s="3">
        <f t="shared" si="211"/>
        <v>416437.45166812377</v>
      </c>
      <c r="Q164" s="3">
        <f t="shared" si="212"/>
        <v>1183980.7512550617</v>
      </c>
      <c r="R164" s="3">
        <f t="shared" si="213"/>
        <v>0</v>
      </c>
      <c r="S164" s="47">
        <f t="shared" ca="1" si="214"/>
        <v>1288062.0003086766</v>
      </c>
      <c r="T164" s="47">
        <f>IFERROR(HLOOKUP(B164-1,'EV Forecast VRZ'!$F$124:$T$130,3,FALSE)/12,0)+IFERROR(((HLOOKUP(B164,'EV Forecast VRZ'!$F$116:$T$122,3,FALSE)-HLOOKUP(B164-1,'EV Forecast VRZ'!$F$124:$T$130,3,FALSE)))*C164/78,0)</f>
        <v>50387.529785910519</v>
      </c>
      <c r="U164" s="47">
        <f ca="1">HLOOKUP(B164,Heating!$C$102:$O$106,3,FALSE)*INDEX(Weather!$BO$1:$CB$20,MATCH(B164,Weather!$BO$1:$BO$20,0),MATCH(C164,Weather!$BO$1:$CB$1,0))/VLOOKUP(B164,Weather!$BO$2:$CB$20,14,FALSE)</f>
        <v>110.74847402794882</v>
      </c>
      <c r="V164" s="47">
        <f t="shared" ca="1" si="133"/>
        <v>1338560.2785686152</v>
      </c>
    </row>
    <row r="165" spans="1:22">
      <c r="A165" s="2">
        <f t="shared" si="215"/>
        <v>47361</v>
      </c>
      <c r="B165">
        <f t="shared" si="216"/>
        <v>2029</v>
      </c>
      <c r="C165">
        <f t="shared" si="217"/>
        <v>8</v>
      </c>
      <c r="E165" s="3">
        <f t="shared" ref="E165:F165" ca="1" si="223">E153</f>
        <v>6.4245833333333335</v>
      </c>
      <c r="F165" s="3">
        <f t="shared" ca="1" si="223"/>
        <v>214.02558794466404</v>
      </c>
      <c r="G165" s="47">
        <f t="shared" si="219"/>
        <v>0</v>
      </c>
      <c r="H165" s="47">
        <f t="shared" si="220"/>
        <v>164</v>
      </c>
      <c r="I165" s="47">
        <f t="shared" si="221"/>
        <v>31</v>
      </c>
      <c r="J165">
        <v>0</v>
      </c>
      <c r="L165" s="3">
        <f t="shared" si="207"/>
        <v>-761245.70652732695</v>
      </c>
      <c r="M165" s="3">
        <f t="shared" ca="1" si="208"/>
        <v>5190.6751659040647</v>
      </c>
      <c r="N165" s="3">
        <f t="shared" ca="1" si="209"/>
        <v>395040.72422612441</v>
      </c>
      <c r="O165" s="3">
        <f t="shared" si="210"/>
        <v>0</v>
      </c>
      <c r="P165" s="3">
        <f t="shared" si="211"/>
        <v>418992.28265995276</v>
      </c>
      <c r="Q165" s="3">
        <f t="shared" si="212"/>
        <v>1183980.7512550617</v>
      </c>
      <c r="R165" s="3">
        <f t="shared" si="213"/>
        <v>0</v>
      </c>
      <c r="S165" s="47">
        <f t="shared" ca="1" si="214"/>
        <v>1241958.7267797161</v>
      </c>
      <c r="T165" s="47">
        <f>IFERROR(HLOOKUP(B165-1,'EV Forecast VRZ'!$F$124:$T$130,3,FALSE)/12,0)+IFERROR(((HLOOKUP(B165,'EV Forecast VRZ'!$F$116:$T$122,3,FALSE)-HLOOKUP(B165-1,'EV Forecast VRZ'!$F$124:$T$130,3,FALSE)))*C165/78,0)</f>
        <v>51141.44439214321</v>
      </c>
      <c r="U165" s="47">
        <f ca="1">HLOOKUP(B165,Heating!$C$102:$O$106,3,FALSE)*INDEX(Weather!$BO$1:$CB$20,MATCH(B165,Weather!$BO$1:$BO$20,0),MATCH(C165,Weather!$BO$1:$CB$1,0))/VLOOKUP(B165,Weather!$BO$2:$CB$20,14,FALSE)</f>
        <v>656.02409567304858</v>
      </c>
      <c r="V165" s="47">
        <f t="shared" ca="1" si="133"/>
        <v>1293756.1952675325</v>
      </c>
    </row>
    <row r="166" spans="1:22">
      <c r="A166" s="2">
        <f t="shared" si="215"/>
        <v>47391</v>
      </c>
      <c r="B166">
        <f t="shared" si="216"/>
        <v>2029</v>
      </c>
      <c r="C166">
        <f t="shared" si="217"/>
        <v>9</v>
      </c>
      <c r="E166" s="3">
        <f t="shared" ref="E166:F166" ca="1" si="224">E154</f>
        <v>54.412952898550728</v>
      </c>
      <c r="F166" s="3">
        <f t="shared" ca="1" si="224"/>
        <v>102.40708333333332</v>
      </c>
      <c r="G166" s="47">
        <f t="shared" si="219"/>
        <v>1</v>
      </c>
      <c r="H166" s="47">
        <f t="shared" si="220"/>
        <v>165</v>
      </c>
      <c r="I166" s="47">
        <f t="shared" si="221"/>
        <v>30</v>
      </c>
      <c r="J166">
        <v>0</v>
      </c>
      <c r="L166" s="3">
        <f t="shared" si="207"/>
        <v>-761245.70652732695</v>
      </c>
      <c r="M166" s="3">
        <f t="shared" ca="1" si="208"/>
        <v>43962.378361348696</v>
      </c>
      <c r="N166" s="3">
        <f t="shared" ca="1" si="209"/>
        <v>189019.30724444328</v>
      </c>
      <c r="O166" s="3">
        <f t="shared" si="210"/>
        <v>-62836.7660875816</v>
      </c>
      <c r="P166" s="3">
        <f t="shared" si="211"/>
        <v>421547.11365178175</v>
      </c>
      <c r="Q166" s="3">
        <f t="shared" si="212"/>
        <v>1145787.823795221</v>
      </c>
      <c r="R166" s="3">
        <f t="shared" si="213"/>
        <v>0</v>
      </c>
      <c r="S166" s="47">
        <f t="shared" ca="1" si="214"/>
        <v>976234.15043788613</v>
      </c>
      <c r="T166" s="47">
        <f>IFERROR(HLOOKUP(B166-1,'EV Forecast VRZ'!$F$124:$T$130,3,FALSE)/12,0)+IFERROR(((HLOOKUP(B166,'EV Forecast VRZ'!$F$116:$T$122,3,FALSE)-HLOOKUP(B166-1,'EV Forecast VRZ'!$F$124:$T$130,3,FALSE)))*C166/78,0)</f>
        <v>51895.358998375901</v>
      </c>
      <c r="U166" s="47">
        <f ca="1">HLOOKUP(B166,Heating!$C$102:$O$106,3,FALSE)*INDEX(Weather!$BO$1:$CB$20,MATCH(B166,Weather!$BO$1:$BO$20,0),MATCH(C166,Weather!$BO$1:$CB$1,0))/VLOOKUP(B166,Weather!$BO$2:$CB$20,14,FALSE)</f>
        <v>5556.1903964986459</v>
      </c>
      <c r="V166" s="47">
        <f t="shared" ca="1" si="133"/>
        <v>1033685.6998327607</v>
      </c>
    </row>
    <row r="167" spans="1:22">
      <c r="A167" s="2">
        <f t="shared" si="215"/>
        <v>47422</v>
      </c>
      <c r="B167">
        <f t="shared" si="216"/>
        <v>2029</v>
      </c>
      <c r="C167">
        <f t="shared" si="217"/>
        <v>10</v>
      </c>
      <c r="E167" s="3">
        <f t="shared" ref="E167:F167" ca="1" si="225">E155</f>
        <v>232.21431159420285</v>
      </c>
      <c r="F167" s="3">
        <f t="shared" ca="1" si="225"/>
        <v>19.741250000000004</v>
      </c>
      <c r="G167" s="47">
        <f t="shared" si="219"/>
        <v>1</v>
      </c>
      <c r="H167" s="47">
        <f t="shared" si="220"/>
        <v>166</v>
      </c>
      <c r="I167" s="47">
        <f t="shared" si="221"/>
        <v>31</v>
      </c>
      <c r="J167">
        <v>0</v>
      </c>
      <c r="L167" s="3">
        <f t="shared" si="207"/>
        <v>-761245.70652732695</v>
      </c>
      <c r="M167" s="3">
        <f t="shared" ca="1" si="208"/>
        <v>187615.1335925085</v>
      </c>
      <c r="N167" s="3">
        <f t="shared" ca="1" si="209"/>
        <v>36437.688465293664</v>
      </c>
      <c r="O167" s="3">
        <f t="shared" si="210"/>
        <v>-62836.7660875816</v>
      </c>
      <c r="P167" s="3">
        <f t="shared" si="211"/>
        <v>424101.94464361068</v>
      </c>
      <c r="Q167" s="3">
        <f t="shared" si="212"/>
        <v>1183980.7512550617</v>
      </c>
      <c r="R167" s="3">
        <f t="shared" si="213"/>
        <v>0</v>
      </c>
      <c r="S167" s="47">
        <f t="shared" ca="1" si="214"/>
        <v>1008053.045341566</v>
      </c>
      <c r="T167" s="47">
        <f>IFERROR(HLOOKUP(B167-1,'EV Forecast VRZ'!$F$124:$T$130,3,FALSE)/12,0)+IFERROR(((HLOOKUP(B167,'EV Forecast VRZ'!$F$116:$T$122,3,FALSE)-HLOOKUP(B167-1,'EV Forecast VRZ'!$F$124:$T$130,3,FALSE)))*C167/78,0)</f>
        <v>52649.273604608592</v>
      </c>
      <c r="U167" s="47">
        <f ca="1">HLOOKUP(B167,Heating!$C$102:$O$106,3,FALSE)*INDEX(Weather!$BO$1:$CB$20,MATCH(B167,Weather!$BO$1:$BO$20,0),MATCH(C167,Weather!$BO$1:$CB$1,0))/VLOOKUP(B167,Weather!$BO$2:$CB$20,14,FALSE)</f>
        <v>23711.760881913448</v>
      </c>
      <c r="V167" s="47">
        <f t="shared" ca="1" si="133"/>
        <v>1084414.0798280879</v>
      </c>
    </row>
    <row r="168" spans="1:22">
      <c r="A168" s="2">
        <f t="shared" si="215"/>
        <v>47452</v>
      </c>
      <c r="B168">
        <f t="shared" si="216"/>
        <v>2029</v>
      </c>
      <c r="C168">
        <f t="shared" si="217"/>
        <v>11</v>
      </c>
      <c r="E168" s="3">
        <f t="shared" ref="E168:F168" ca="1" si="226">E156</f>
        <v>435.51408055712398</v>
      </c>
      <c r="F168" s="3">
        <f t="shared" ca="1" si="226"/>
        <v>0.78124999999999944</v>
      </c>
      <c r="G168" s="47">
        <f t="shared" si="219"/>
        <v>1</v>
      </c>
      <c r="H168" s="47">
        <f t="shared" si="220"/>
        <v>167</v>
      </c>
      <c r="I168" s="47">
        <f t="shared" si="221"/>
        <v>30</v>
      </c>
      <c r="J168">
        <v>0</v>
      </c>
      <c r="L168" s="3">
        <f t="shared" si="207"/>
        <v>-761245.70652732695</v>
      </c>
      <c r="M168" s="3">
        <f t="shared" ca="1" si="208"/>
        <v>351869.06372907275</v>
      </c>
      <c r="N168" s="3">
        <f t="shared" ca="1" si="209"/>
        <v>1442.0031210541708</v>
      </c>
      <c r="O168" s="3">
        <f t="shared" si="210"/>
        <v>-62836.7660875816</v>
      </c>
      <c r="P168" s="3">
        <f t="shared" si="211"/>
        <v>426656.77563543967</v>
      </c>
      <c r="Q168" s="3">
        <f t="shared" si="212"/>
        <v>1145787.823795221</v>
      </c>
      <c r="R168" s="3">
        <f t="shared" si="213"/>
        <v>0</v>
      </c>
      <c r="S168" s="47">
        <f t="shared" ca="1" si="214"/>
        <v>1101673.1936658791</v>
      </c>
      <c r="T168" s="47">
        <f>IFERROR(HLOOKUP(B168-1,'EV Forecast VRZ'!$F$124:$T$130,3,FALSE)/12,0)+IFERROR(((HLOOKUP(B168,'EV Forecast VRZ'!$F$116:$T$122,3,FALSE)-HLOOKUP(B168-1,'EV Forecast VRZ'!$F$124:$T$130,3,FALSE)))*C168/78,0)</f>
        <v>53403.188210841283</v>
      </c>
      <c r="U168" s="47">
        <f ca="1">HLOOKUP(B168,Heating!$C$102:$O$106,3,FALSE)*INDEX(Weather!$BO$1:$CB$20,MATCH(B168,Weather!$BO$1:$BO$20,0),MATCH(C168,Weather!$BO$1:$CB$1,0))/VLOOKUP(B168,Weather!$BO$2:$CB$20,14,FALSE)</f>
        <v>44471.013297936282</v>
      </c>
      <c r="V168" s="47">
        <f t="shared" ca="1" si="133"/>
        <v>1199547.3951746565</v>
      </c>
    </row>
    <row r="169" spans="1:22">
      <c r="A169" s="2">
        <f t="shared" si="215"/>
        <v>47483</v>
      </c>
      <c r="B169">
        <f t="shared" si="216"/>
        <v>2029</v>
      </c>
      <c r="C169">
        <f t="shared" si="217"/>
        <v>12</v>
      </c>
      <c r="E169" s="3">
        <f t="shared" ref="E169:F169" ca="1" si="227">E157</f>
        <v>602.38541666666674</v>
      </c>
      <c r="F169" s="3">
        <f t="shared" ca="1" si="227"/>
        <v>0</v>
      </c>
      <c r="G169" s="47">
        <f t="shared" si="219"/>
        <v>0</v>
      </c>
      <c r="H169" s="47">
        <f t="shared" si="220"/>
        <v>168</v>
      </c>
      <c r="I169" s="47">
        <f t="shared" si="221"/>
        <v>31</v>
      </c>
      <c r="J169">
        <v>0</v>
      </c>
      <c r="L169" s="3">
        <f t="shared" si="207"/>
        <v>-761245.70652732695</v>
      </c>
      <c r="M169" s="3">
        <f t="shared" ca="1" si="208"/>
        <v>486691.02109259058</v>
      </c>
      <c r="N169" s="3">
        <f t="shared" ca="1" si="209"/>
        <v>0</v>
      </c>
      <c r="O169" s="3">
        <f t="shared" si="210"/>
        <v>0</v>
      </c>
      <c r="P169" s="3">
        <f t="shared" si="211"/>
        <v>429211.60662726866</v>
      </c>
      <c r="Q169" s="3">
        <f t="shared" si="212"/>
        <v>1183980.7512550617</v>
      </c>
      <c r="R169" s="3">
        <f t="shared" si="213"/>
        <v>0</v>
      </c>
      <c r="S169" s="47">
        <f t="shared" ca="1" si="214"/>
        <v>1338637.6724475939</v>
      </c>
      <c r="T169" s="47">
        <f>IFERROR(HLOOKUP(B169-1,'EV Forecast VRZ'!$F$124:$T$130,3,FALSE)/12,0)+IFERROR(((HLOOKUP(B169,'EV Forecast VRZ'!$F$116:$T$122,3,FALSE)-HLOOKUP(B169-1,'EV Forecast VRZ'!$F$124:$T$130,3,FALSE)))*C169/78,0)</f>
        <v>54157.102817073974</v>
      </c>
      <c r="U169" s="47">
        <f ca="1">HLOOKUP(B169,Heating!$C$102:$O$106,3,FALSE)*INDEX(Weather!$BO$1:$CB$20,MATCH(B169,Weather!$BO$1:$BO$20,0),MATCH(C169,Weather!$BO$1:$CB$1,0))/VLOOKUP(B169,Weather!$BO$2:$CB$20,14,FALSE)</f>
        <v>61510.502348850008</v>
      </c>
      <c r="V169" s="47">
        <f t="shared" ca="1" si="133"/>
        <v>1454305.2776135178</v>
      </c>
    </row>
    <row r="170" spans="1:22">
      <c r="A170" s="2">
        <f t="shared" si="215"/>
        <v>47514</v>
      </c>
      <c r="B170">
        <f t="shared" si="216"/>
        <v>2030</v>
      </c>
      <c r="C170">
        <f t="shared" si="217"/>
        <v>1</v>
      </c>
      <c r="E170" s="3">
        <f t="shared" ref="E170:F170" ca="1" si="228">E158</f>
        <v>690.78750000000002</v>
      </c>
      <c r="F170" s="3">
        <f t="shared" ca="1" si="228"/>
        <v>0</v>
      </c>
      <c r="G170" s="47">
        <f t="shared" si="219"/>
        <v>0</v>
      </c>
      <c r="H170" s="47">
        <f t="shared" si="220"/>
        <v>169</v>
      </c>
      <c r="I170" s="47">
        <f t="shared" si="221"/>
        <v>31</v>
      </c>
      <c r="J170">
        <v>0</v>
      </c>
      <c r="L170" s="3">
        <f t="shared" si="207"/>
        <v>-761245.70652732695</v>
      </c>
      <c r="M170" s="3">
        <f t="shared" ca="1" si="208"/>
        <v>558114.56325317395</v>
      </c>
      <c r="N170" s="3">
        <f t="shared" ca="1" si="209"/>
        <v>0</v>
      </c>
      <c r="O170" s="3">
        <f t="shared" si="210"/>
        <v>0</v>
      </c>
      <c r="P170" s="3">
        <f t="shared" si="211"/>
        <v>431766.43761909765</v>
      </c>
      <c r="Q170" s="3">
        <f t="shared" si="212"/>
        <v>1183980.7512550617</v>
      </c>
      <c r="R170" s="3">
        <f t="shared" si="213"/>
        <v>0</v>
      </c>
      <c r="S170" s="47">
        <f t="shared" ca="1" si="214"/>
        <v>1412616.0456000064</v>
      </c>
      <c r="T170" s="47">
        <f>IFERROR(HLOOKUP(B170-1,'EV Forecast VRZ'!$F$124:$T$130,3,FALSE)/12,0)+IFERROR(((HLOOKUP(B170,'EV Forecast VRZ'!$F$116:$T$122,3,FALSE)-HLOOKUP(B170-1,'EV Forecast VRZ'!$F$124:$T$130,3,FALSE)))*C170/78,0)</f>
        <v>56520.52783184062</v>
      </c>
      <c r="U170" s="47">
        <f ca="1">HLOOKUP(B170,Heating!$C$102:$O$106,3,FALSE)*INDEX(Weather!$BO$1:$CB$20,MATCH(B170,Weather!$BO$1:$BO$20,0),MATCH(C170,Weather!$BO$1:$CB$1,0))/VLOOKUP(B170,Weather!$BO$2:$CB$20,14,FALSE)</f>
        <v>78960.57407940102</v>
      </c>
      <c r="V170" s="47">
        <f t="shared" ca="1" si="133"/>
        <v>1548097.147511248</v>
      </c>
    </row>
    <row r="171" spans="1:22">
      <c r="A171" s="2">
        <f t="shared" si="215"/>
        <v>47542</v>
      </c>
      <c r="B171">
        <f t="shared" si="216"/>
        <v>2030</v>
      </c>
      <c r="C171">
        <f t="shared" si="217"/>
        <v>2</v>
      </c>
      <c r="E171" s="3">
        <f t="shared" ref="E171:F171" ca="1" si="229">E159</f>
        <v>604.19541666666657</v>
      </c>
      <c r="F171" s="3">
        <f t="shared" ca="1" si="229"/>
        <v>0</v>
      </c>
      <c r="G171" s="47">
        <f t="shared" si="219"/>
        <v>0</v>
      </c>
      <c r="H171" s="47">
        <f t="shared" si="220"/>
        <v>170</v>
      </c>
      <c r="I171" s="47">
        <f t="shared" si="221"/>
        <v>29</v>
      </c>
      <c r="J171">
        <v>0</v>
      </c>
      <c r="L171" s="3">
        <f t="shared" si="207"/>
        <v>-761245.70652732695</v>
      </c>
      <c r="M171" s="3">
        <f t="shared" ca="1" si="208"/>
        <v>488153.39173405146</v>
      </c>
      <c r="N171" s="3">
        <f t="shared" ca="1" si="209"/>
        <v>0</v>
      </c>
      <c r="O171" s="3">
        <f t="shared" si="210"/>
        <v>0</v>
      </c>
      <c r="P171" s="3">
        <f t="shared" si="211"/>
        <v>434321.26861092664</v>
      </c>
      <c r="Q171" s="3">
        <f t="shared" si="212"/>
        <v>1107594.8963353804</v>
      </c>
      <c r="R171" s="3">
        <f t="shared" si="213"/>
        <v>0</v>
      </c>
      <c r="S171" s="47">
        <f t="shared" ca="1" si="214"/>
        <v>1268823.8501530315</v>
      </c>
      <c r="T171" s="47">
        <f>IFERROR(HLOOKUP(B171-1,'EV Forecast VRZ'!$F$124:$T$130,3,FALSE)/12,0)+IFERROR(((HLOOKUP(B171,'EV Forecast VRZ'!$F$116:$T$122,3,FALSE)-HLOOKUP(B171-1,'EV Forecast VRZ'!$F$124:$T$130,3,FALSE)))*C171/78,0)</f>
        <v>57401.836706078546</v>
      </c>
      <c r="U171" s="47">
        <f ca="1">HLOOKUP(B171,Heating!$C$102:$O$106,3,FALSE)*INDEX(Weather!$BO$1:$CB$20,MATCH(B171,Weather!$BO$1:$BO$20,0),MATCH(C171,Weather!$BO$1:$CB$1,0))/VLOOKUP(B171,Weather!$BO$2:$CB$20,14,FALSE)</f>
        <v>69062.652344089744</v>
      </c>
      <c r="V171" s="47">
        <f t="shared" ref="V171:V193" ca="1" si="230">S171+T171+U171</f>
        <v>1395288.3392031998</v>
      </c>
    </row>
    <row r="172" spans="1:22">
      <c r="A172" s="2">
        <f t="shared" si="215"/>
        <v>47573</v>
      </c>
      <c r="B172">
        <f t="shared" si="216"/>
        <v>2030</v>
      </c>
      <c r="C172">
        <f t="shared" si="217"/>
        <v>3</v>
      </c>
      <c r="E172" s="3">
        <f t="shared" ref="E172:F172" ca="1" si="231">E160</f>
        <v>534.21590579710141</v>
      </c>
      <c r="F172" s="3">
        <f t="shared" ca="1" si="231"/>
        <v>0</v>
      </c>
      <c r="G172" s="47">
        <f t="shared" si="219"/>
        <v>1</v>
      </c>
      <c r="H172" s="47">
        <f t="shared" si="220"/>
        <v>171</v>
      </c>
      <c r="I172" s="47">
        <f t="shared" si="221"/>
        <v>31</v>
      </c>
      <c r="J172">
        <v>0</v>
      </c>
      <c r="L172" s="3">
        <f t="shared" si="207"/>
        <v>-761245.70652732695</v>
      </c>
      <c r="M172" s="3">
        <f t="shared" ca="1" si="208"/>
        <v>431614.1750492705</v>
      </c>
      <c r="N172" s="3">
        <f t="shared" ca="1" si="209"/>
        <v>0</v>
      </c>
      <c r="O172" s="3">
        <f t="shared" si="210"/>
        <v>-62836.7660875816</v>
      </c>
      <c r="P172" s="3">
        <f t="shared" si="211"/>
        <v>436876.09960275562</v>
      </c>
      <c r="Q172" s="3">
        <f t="shared" si="212"/>
        <v>1183980.7512550617</v>
      </c>
      <c r="R172" s="3">
        <f t="shared" si="213"/>
        <v>0</v>
      </c>
      <c r="S172" s="47">
        <f t="shared" ca="1" si="214"/>
        <v>1228388.5532921792</v>
      </c>
      <c r="T172" s="47">
        <f>IFERROR(HLOOKUP(B172-1,'EV Forecast VRZ'!$F$124:$T$130,3,FALSE)/12,0)+IFERROR(((HLOOKUP(B172,'EV Forecast VRZ'!$F$116:$T$122,3,FALSE)-HLOOKUP(B172-1,'EV Forecast VRZ'!$F$124:$T$130,3,FALSE)))*C172/78,0)</f>
        <v>58283.145580316479</v>
      </c>
      <c r="U172" s="47">
        <f ca="1">HLOOKUP(B172,Heating!$C$102:$O$106,3,FALSE)*INDEX(Weather!$BO$1:$CB$20,MATCH(B172,Weather!$BO$1:$BO$20,0),MATCH(C172,Weather!$BO$1:$CB$1,0))/VLOOKUP(B172,Weather!$BO$2:$CB$20,14,FALSE)</f>
        <v>61063.633322963055</v>
      </c>
      <c r="V172" s="47">
        <f t="shared" ca="1" si="230"/>
        <v>1347735.3321954587</v>
      </c>
    </row>
    <row r="173" spans="1:22">
      <c r="A173" s="2">
        <f t="shared" si="215"/>
        <v>47603</v>
      </c>
      <c r="B173">
        <f t="shared" si="216"/>
        <v>2030</v>
      </c>
      <c r="C173">
        <f t="shared" si="217"/>
        <v>4</v>
      </c>
      <c r="E173" s="3">
        <f t="shared" ref="E173:F173" ca="1" si="232">E161</f>
        <v>352.92312500000003</v>
      </c>
      <c r="F173" s="3">
        <f t="shared" ca="1" si="232"/>
        <v>2.2025000000000015</v>
      </c>
      <c r="G173" s="47">
        <f t="shared" si="219"/>
        <v>1</v>
      </c>
      <c r="H173" s="47">
        <f t="shared" si="220"/>
        <v>172</v>
      </c>
      <c r="I173" s="47">
        <f t="shared" si="221"/>
        <v>30</v>
      </c>
      <c r="J173">
        <v>0</v>
      </c>
      <c r="L173" s="3">
        <f t="shared" si="207"/>
        <v>-761245.70652732695</v>
      </c>
      <c r="M173" s="3">
        <f t="shared" ca="1" si="208"/>
        <v>285140.56170865905</v>
      </c>
      <c r="N173" s="3">
        <f t="shared" ca="1" si="209"/>
        <v>4065.2951988759241</v>
      </c>
      <c r="O173" s="3">
        <f t="shared" si="210"/>
        <v>-62836.7660875816</v>
      </c>
      <c r="P173" s="3">
        <f t="shared" si="211"/>
        <v>439430.93059458456</v>
      </c>
      <c r="Q173" s="3">
        <f t="shared" si="212"/>
        <v>1145787.823795221</v>
      </c>
      <c r="R173" s="3">
        <f t="shared" si="213"/>
        <v>0</v>
      </c>
      <c r="S173" s="47">
        <f t="shared" ca="1" si="214"/>
        <v>1050342.138682432</v>
      </c>
      <c r="T173" s="47">
        <f>IFERROR(HLOOKUP(B173-1,'EV Forecast VRZ'!$F$124:$T$130,3,FALSE)/12,0)+IFERROR(((HLOOKUP(B173,'EV Forecast VRZ'!$F$116:$T$122,3,FALSE)-HLOOKUP(B173-1,'EV Forecast VRZ'!$F$124:$T$130,3,FALSE)))*C173/78,0)</f>
        <v>59164.454454554405</v>
      </c>
      <c r="U173" s="47">
        <f ca="1">HLOOKUP(B173,Heating!$C$102:$O$106,3,FALSE)*INDEX(Weather!$BO$1:$CB$20,MATCH(B173,Weather!$BO$1:$BO$20,0),MATCH(C173,Weather!$BO$1:$CB$1,0))/VLOOKUP(B173,Weather!$BO$2:$CB$20,14,FALSE)</f>
        <v>40340.933435964325</v>
      </c>
      <c r="V173" s="47">
        <f t="shared" ca="1" si="230"/>
        <v>1149847.5265729509</v>
      </c>
    </row>
    <row r="174" spans="1:22">
      <c r="A174" s="2">
        <f t="shared" si="215"/>
        <v>47634</v>
      </c>
      <c r="B174">
        <f t="shared" si="216"/>
        <v>2030</v>
      </c>
      <c r="C174">
        <f t="shared" si="217"/>
        <v>5</v>
      </c>
      <c r="E174" s="3">
        <f t="shared" ref="E174:F174" ca="1" si="233">E162</f>
        <v>155.24720841877425</v>
      </c>
      <c r="F174" s="3">
        <f t="shared" ca="1" si="233"/>
        <v>48.940113636363641</v>
      </c>
      <c r="G174" s="47">
        <f t="shared" si="219"/>
        <v>1</v>
      </c>
      <c r="H174" s="47">
        <f t="shared" si="220"/>
        <v>173</v>
      </c>
      <c r="I174" s="47">
        <f t="shared" si="221"/>
        <v>31</v>
      </c>
      <c r="J174">
        <v>0</v>
      </c>
      <c r="L174" s="3">
        <f t="shared" si="207"/>
        <v>-761245.70652732695</v>
      </c>
      <c r="M174" s="3">
        <f t="shared" ca="1" si="208"/>
        <v>125430.36450850464</v>
      </c>
      <c r="N174" s="3">
        <f t="shared" ca="1" si="209"/>
        <v>90331.89965872922</v>
      </c>
      <c r="O174" s="3">
        <f t="shared" si="210"/>
        <v>-62836.7660875816</v>
      </c>
      <c r="P174" s="3">
        <f t="shared" si="211"/>
        <v>441985.76158641354</v>
      </c>
      <c r="Q174" s="3">
        <f t="shared" si="212"/>
        <v>1183980.7512550617</v>
      </c>
      <c r="R174" s="3">
        <f t="shared" si="213"/>
        <v>0</v>
      </c>
      <c r="S174" s="47">
        <f t="shared" ca="1" si="214"/>
        <v>1017646.3043938004</v>
      </c>
      <c r="T174" s="47">
        <f>IFERROR(HLOOKUP(B174-1,'EV Forecast VRZ'!$F$124:$T$130,3,FALSE)/12,0)+IFERROR(((HLOOKUP(B174,'EV Forecast VRZ'!$F$116:$T$122,3,FALSE)-HLOOKUP(B174-1,'EV Forecast VRZ'!$F$124:$T$130,3,FALSE)))*C174/78,0)</f>
        <v>60045.763328792331</v>
      </c>
      <c r="U174" s="47">
        <f ca="1">HLOOKUP(B174,Heating!$C$102:$O$106,3,FALSE)*INDEX(Weather!$BO$1:$CB$20,MATCH(B174,Weather!$BO$1:$BO$20,0),MATCH(C174,Weather!$BO$1:$CB$1,0))/VLOOKUP(B174,Weather!$BO$2:$CB$20,14,FALSE)</f>
        <v>17745.556630614818</v>
      </c>
      <c r="V174" s="47">
        <f t="shared" ca="1" si="230"/>
        <v>1095437.6243532076</v>
      </c>
    </row>
    <row r="175" spans="1:22">
      <c r="A175" s="2">
        <f t="shared" si="215"/>
        <v>47664</v>
      </c>
      <c r="B175">
        <f t="shared" si="216"/>
        <v>2030</v>
      </c>
      <c r="C175">
        <f t="shared" si="217"/>
        <v>6</v>
      </c>
      <c r="E175" s="3">
        <f t="shared" ref="E175:F175" ca="1" si="234">E163</f>
        <v>30.273840492840492</v>
      </c>
      <c r="F175" s="3">
        <f t="shared" ca="1" si="234"/>
        <v>144.91160087738351</v>
      </c>
      <c r="G175" s="47">
        <f t="shared" si="219"/>
        <v>0</v>
      </c>
      <c r="H175" s="47">
        <f t="shared" si="220"/>
        <v>174</v>
      </c>
      <c r="I175" s="47">
        <f t="shared" si="221"/>
        <v>30</v>
      </c>
      <c r="J175">
        <v>0</v>
      </c>
      <c r="L175" s="3">
        <f t="shared" si="207"/>
        <v>-761245.70652732695</v>
      </c>
      <c r="M175" s="3">
        <f t="shared" ca="1" si="208"/>
        <v>24459.434000554327</v>
      </c>
      <c r="N175" s="3">
        <f t="shared" ca="1" si="209"/>
        <v>267472.61534994369</v>
      </c>
      <c r="O175" s="3">
        <f t="shared" si="210"/>
        <v>0</v>
      </c>
      <c r="P175" s="3">
        <f t="shared" si="211"/>
        <v>444540.59257824253</v>
      </c>
      <c r="Q175" s="3">
        <f t="shared" si="212"/>
        <v>1145787.823795221</v>
      </c>
      <c r="R175" s="3">
        <f t="shared" si="213"/>
        <v>0</v>
      </c>
      <c r="S175" s="47">
        <f t="shared" ca="1" si="214"/>
        <v>1121014.7591966346</v>
      </c>
      <c r="T175" s="47">
        <f>IFERROR(HLOOKUP(B175-1,'EV Forecast VRZ'!$F$124:$T$130,3,FALSE)/12,0)+IFERROR(((HLOOKUP(B175,'EV Forecast VRZ'!$F$116:$T$122,3,FALSE)-HLOOKUP(B175-1,'EV Forecast VRZ'!$F$124:$T$130,3,FALSE)))*C175/78,0)</f>
        <v>60927.072203030257</v>
      </c>
      <c r="U175" s="47">
        <f ca="1">HLOOKUP(B175,Heating!$C$102:$O$106,3,FALSE)*INDEX(Weather!$BO$1:$CB$20,MATCH(B175,Weather!$BO$1:$BO$20,0),MATCH(C175,Weather!$BO$1:$CB$1,0))/VLOOKUP(B175,Weather!$BO$2:$CB$20,14,FALSE)</f>
        <v>3460.4561097340384</v>
      </c>
      <c r="V175" s="47">
        <f t="shared" ca="1" si="230"/>
        <v>1185402.287509399</v>
      </c>
    </row>
    <row r="176" spans="1:22">
      <c r="A176" s="2">
        <f t="shared" si="215"/>
        <v>47695</v>
      </c>
      <c r="B176">
        <f t="shared" si="216"/>
        <v>2030</v>
      </c>
      <c r="C176">
        <f t="shared" si="217"/>
        <v>7</v>
      </c>
      <c r="E176" s="3">
        <f t="shared" ref="E176:F176" ca="1" si="235">E164</f>
        <v>1.0845833333333317</v>
      </c>
      <c r="F176" s="3">
        <f t="shared" ca="1" si="235"/>
        <v>242.72508692061183</v>
      </c>
      <c r="G176" s="47">
        <f t="shared" si="219"/>
        <v>0</v>
      </c>
      <c r="H176" s="47">
        <f t="shared" si="220"/>
        <v>175</v>
      </c>
      <c r="I176" s="47">
        <f t="shared" si="221"/>
        <v>31</v>
      </c>
      <c r="J176">
        <v>0</v>
      </c>
      <c r="L176" s="3">
        <f t="shared" si="207"/>
        <v>-761245.70652732695</v>
      </c>
      <c r="M176" s="3">
        <f t="shared" ca="1" si="208"/>
        <v>876.27780380363561</v>
      </c>
      <c r="N176" s="3">
        <f t="shared" ca="1" si="209"/>
        <v>448013.2261090143</v>
      </c>
      <c r="O176" s="3">
        <f t="shared" si="210"/>
        <v>0</v>
      </c>
      <c r="P176" s="3">
        <f t="shared" si="211"/>
        <v>447095.42357007152</v>
      </c>
      <c r="Q176" s="3">
        <f t="shared" si="212"/>
        <v>1183980.7512550617</v>
      </c>
      <c r="R176" s="3">
        <f t="shared" si="213"/>
        <v>0</v>
      </c>
      <c r="S176" s="47">
        <f t="shared" ca="1" si="214"/>
        <v>1318719.9722106243</v>
      </c>
      <c r="T176" s="47">
        <f>IFERROR(HLOOKUP(B176-1,'EV Forecast VRZ'!$F$124:$T$130,3,FALSE)/12,0)+IFERROR(((HLOOKUP(B176,'EV Forecast VRZ'!$F$116:$T$122,3,FALSE)-HLOOKUP(B176-1,'EV Forecast VRZ'!$F$124:$T$130,3,FALSE)))*C176/78,0)</f>
        <v>61808.381077268183</v>
      </c>
      <c r="U176" s="47">
        <f ca="1">HLOOKUP(B176,Heating!$C$102:$O$106,3,FALSE)*INDEX(Weather!$BO$1:$CB$20,MATCH(B176,Weather!$BO$1:$BO$20,0),MATCH(C176,Weather!$BO$1:$CB$1,0))/VLOOKUP(B176,Weather!$BO$2:$CB$20,14,FALSE)</f>
        <v>123.97346888435332</v>
      </c>
      <c r="V176" s="47">
        <f t="shared" ca="1" si="230"/>
        <v>1380652.3267567768</v>
      </c>
    </row>
    <row r="177" spans="1:22">
      <c r="A177" s="2">
        <f t="shared" si="215"/>
        <v>47726</v>
      </c>
      <c r="B177">
        <f t="shared" si="216"/>
        <v>2030</v>
      </c>
      <c r="C177">
        <f t="shared" si="217"/>
        <v>8</v>
      </c>
      <c r="E177" s="3">
        <f t="shared" ref="E177:F177" ca="1" si="236">E165</f>
        <v>6.4245833333333335</v>
      </c>
      <c r="F177" s="3">
        <f t="shared" ca="1" si="236"/>
        <v>214.02558794466404</v>
      </c>
      <c r="G177" s="47">
        <f t="shared" si="219"/>
        <v>0</v>
      </c>
      <c r="H177" s="47">
        <f t="shared" si="220"/>
        <v>176</v>
      </c>
      <c r="I177" s="47">
        <f t="shared" si="221"/>
        <v>31</v>
      </c>
      <c r="J177">
        <v>0</v>
      </c>
      <c r="L177" s="3">
        <f t="shared" si="207"/>
        <v>-761245.70652732695</v>
      </c>
      <c r="M177" s="3">
        <f t="shared" ca="1" si="208"/>
        <v>5190.6751659040647</v>
      </c>
      <c r="N177" s="3">
        <f t="shared" ca="1" si="209"/>
        <v>395040.72422612441</v>
      </c>
      <c r="O177" s="3">
        <f t="shared" si="210"/>
        <v>0</v>
      </c>
      <c r="P177" s="3">
        <f t="shared" si="211"/>
        <v>449650.25456190051</v>
      </c>
      <c r="Q177" s="3">
        <f t="shared" si="212"/>
        <v>1183980.7512550617</v>
      </c>
      <c r="R177" s="3">
        <f t="shared" si="213"/>
        <v>0</v>
      </c>
      <c r="S177" s="47">
        <f t="shared" ca="1" si="214"/>
        <v>1272616.6986816637</v>
      </c>
      <c r="T177" s="47">
        <f>IFERROR(HLOOKUP(B177-1,'EV Forecast VRZ'!$F$124:$T$130,3,FALSE)/12,0)+IFERROR(((HLOOKUP(B177,'EV Forecast VRZ'!$F$116:$T$122,3,FALSE)-HLOOKUP(B177-1,'EV Forecast VRZ'!$F$124:$T$130,3,FALSE)))*C177/78,0)</f>
        <v>62689.689951506109</v>
      </c>
      <c r="U177" s="47">
        <f ca="1">HLOOKUP(B177,Heating!$C$102:$O$106,3,FALSE)*INDEX(Weather!$BO$1:$CB$20,MATCH(B177,Weather!$BO$1:$BO$20,0),MATCH(C177,Weather!$BO$1:$CB$1,0))/VLOOKUP(B177,Weather!$BO$2:$CB$20,14,FALSE)</f>
        <v>734.36301065226542</v>
      </c>
      <c r="V177" s="47">
        <f t="shared" ca="1" si="230"/>
        <v>1336040.7516438223</v>
      </c>
    </row>
    <row r="178" spans="1:22">
      <c r="A178" s="2">
        <f t="shared" si="215"/>
        <v>47756</v>
      </c>
      <c r="B178">
        <f t="shared" si="216"/>
        <v>2030</v>
      </c>
      <c r="C178">
        <f t="shared" si="217"/>
        <v>9</v>
      </c>
      <c r="E178" s="3">
        <f t="shared" ref="E178:F178" ca="1" si="237">E166</f>
        <v>54.412952898550728</v>
      </c>
      <c r="F178" s="3">
        <f t="shared" ca="1" si="237"/>
        <v>102.40708333333332</v>
      </c>
      <c r="G178" s="47">
        <f t="shared" si="219"/>
        <v>1</v>
      </c>
      <c r="H178" s="47">
        <f t="shared" si="220"/>
        <v>177</v>
      </c>
      <c r="I178" s="47">
        <f t="shared" si="221"/>
        <v>30</v>
      </c>
      <c r="J178">
        <v>0</v>
      </c>
      <c r="L178" s="3">
        <f t="shared" si="207"/>
        <v>-761245.70652732695</v>
      </c>
      <c r="M178" s="3">
        <f t="shared" ca="1" si="208"/>
        <v>43962.378361348696</v>
      </c>
      <c r="N178" s="3">
        <f t="shared" ca="1" si="209"/>
        <v>189019.30724444328</v>
      </c>
      <c r="O178" s="3">
        <f t="shared" si="210"/>
        <v>-62836.7660875816</v>
      </c>
      <c r="P178" s="3">
        <f t="shared" si="211"/>
        <v>452205.0855537295</v>
      </c>
      <c r="Q178" s="3">
        <f t="shared" si="212"/>
        <v>1145787.823795221</v>
      </c>
      <c r="R178" s="3">
        <f t="shared" si="213"/>
        <v>0</v>
      </c>
      <c r="S178" s="47">
        <f t="shared" ca="1" si="214"/>
        <v>1006892.1223398338</v>
      </c>
      <c r="T178" s="47">
        <f>IFERROR(HLOOKUP(B178-1,'EV Forecast VRZ'!$F$124:$T$130,3,FALSE)/12,0)+IFERROR(((HLOOKUP(B178,'EV Forecast VRZ'!$F$116:$T$122,3,FALSE)-HLOOKUP(B178-1,'EV Forecast VRZ'!$F$124:$T$130,3,FALSE)))*C178/78,0)</f>
        <v>63570.998825744042</v>
      </c>
      <c r="U178" s="47">
        <f ca="1">HLOOKUP(B178,Heating!$C$102:$O$106,3,FALSE)*INDEX(Weather!$BO$1:$CB$20,MATCH(B178,Weather!$BO$1:$BO$20,0),MATCH(C178,Weather!$BO$1:$CB$1,0))/VLOOKUP(B178,Weather!$BO$2:$CB$20,14,FALSE)</f>
        <v>6219.6811584242232</v>
      </c>
      <c r="V178" s="47">
        <f t="shared" ca="1" si="230"/>
        <v>1076682.8023240019</v>
      </c>
    </row>
    <row r="179" spans="1:22">
      <c r="A179" s="2">
        <f t="shared" si="215"/>
        <v>47787</v>
      </c>
      <c r="B179">
        <f t="shared" si="216"/>
        <v>2030</v>
      </c>
      <c r="C179">
        <f t="shared" si="217"/>
        <v>10</v>
      </c>
      <c r="E179" s="3">
        <f t="shared" ref="E179:F179" ca="1" si="238">E167</f>
        <v>232.21431159420285</v>
      </c>
      <c r="F179" s="3">
        <f t="shared" ca="1" si="238"/>
        <v>19.741250000000004</v>
      </c>
      <c r="G179" s="47">
        <f t="shared" ref="G179:G193" si="239">G167</f>
        <v>1</v>
      </c>
      <c r="H179" s="47">
        <f t="shared" si="220"/>
        <v>178</v>
      </c>
      <c r="I179" s="47">
        <f t="shared" si="221"/>
        <v>31</v>
      </c>
      <c r="J179">
        <v>0</v>
      </c>
      <c r="L179" s="3">
        <f t="shared" si="207"/>
        <v>-761245.70652732695</v>
      </c>
      <c r="M179" s="3">
        <f t="shared" ca="1" si="208"/>
        <v>187615.1335925085</v>
      </c>
      <c r="N179" s="3">
        <f t="shared" ca="1" si="209"/>
        <v>36437.688465293664</v>
      </c>
      <c r="O179" s="3">
        <f t="shared" si="210"/>
        <v>-62836.7660875816</v>
      </c>
      <c r="P179" s="3">
        <f t="shared" si="211"/>
        <v>454759.91654555849</v>
      </c>
      <c r="Q179" s="3">
        <f t="shared" si="212"/>
        <v>1183980.7512550617</v>
      </c>
      <c r="R179" s="3">
        <f t="shared" si="213"/>
        <v>0</v>
      </c>
      <c r="S179" s="47">
        <f t="shared" ca="1" si="214"/>
        <v>1038711.0172435137</v>
      </c>
      <c r="T179" s="47">
        <f>IFERROR(HLOOKUP(B179-1,'EV Forecast VRZ'!$F$124:$T$130,3,FALSE)/12,0)+IFERROR(((HLOOKUP(B179,'EV Forecast VRZ'!$F$116:$T$122,3,FALSE)-HLOOKUP(B179-1,'EV Forecast VRZ'!$F$124:$T$130,3,FALSE)))*C179/78,0)</f>
        <v>64452.307699981968</v>
      </c>
      <c r="U179" s="47">
        <f ca="1">HLOOKUP(B179,Heating!$C$102:$O$106,3,FALSE)*INDEX(Weather!$BO$1:$CB$20,MATCH(B179,Weather!$BO$1:$BO$20,0),MATCH(C179,Weather!$BO$1:$CB$1,0))/VLOOKUP(B179,Weather!$BO$2:$CB$20,14,FALSE)</f>
        <v>26543.293491748427</v>
      </c>
      <c r="V179" s="47">
        <f t="shared" ca="1" si="230"/>
        <v>1129706.6184352441</v>
      </c>
    </row>
    <row r="180" spans="1:22">
      <c r="A180" s="2">
        <f t="shared" si="215"/>
        <v>47817</v>
      </c>
      <c r="B180">
        <f t="shared" si="216"/>
        <v>2030</v>
      </c>
      <c r="C180">
        <f t="shared" si="217"/>
        <v>11</v>
      </c>
      <c r="E180" s="3">
        <f t="shared" ref="E180:F180" ca="1" si="240">E168</f>
        <v>435.51408055712398</v>
      </c>
      <c r="F180" s="3">
        <f t="shared" ca="1" si="240"/>
        <v>0.78124999999999944</v>
      </c>
      <c r="G180" s="47">
        <f t="shared" si="239"/>
        <v>1</v>
      </c>
      <c r="H180" s="47">
        <f t="shared" si="220"/>
        <v>179</v>
      </c>
      <c r="I180" s="47">
        <f t="shared" si="221"/>
        <v>30</v>
      </c>
      <c r="J180">
        <v>0</v>
      </c>
      <c r="L180" s="3">
        <f t="shared" si="207"/>
        <v>-761245.70652732695</v>
      </c>
      <c r="M180" s="3">
        <f t="shared" ca="1" si="208"/>
        <v>351869.06372907275</v>
      </c>
      <c r="N180" s="3">
        <f t="shared" ca="1" si="209"/>
        <v>1442.0031210541708</v>
      </c>
      <c r="O180" s="3">
        <f t="shared" si="210"/>
        <v>-62836.7660875816</v>
      </c>
      <c r="P180" s="3">
        <f t="shared" si="211"/>
        <v>457314.74753738742</v>
      </c>
      <c r="Q180" s="3">
        <f t="shared" si="212"/>
        <v>1145787.823795221</v>
      </c>
      <c r="R180" s="3">
        <f t="shared" si="213"/>
        <v>0</v>
      </c>
      <c r="S180" s="47">
        <f t="shared" ca="1" si="214"/>
        <v>1132331.1655678269</v>
      </c>
      <c r="T180" s="47">
        <f>IFERROR(HLOOKUP(B180-1,'EV Forecast VRZ'!$F$124:$T$130,3,FALSE)/12,0)+IFERROR(((HLOOKUP(B180,'EV Forecast VRZ'!$F$116:$T$122,3,FALSE)-HLOOKUP(B180-1,'EV Forecast VRZ'!$F$124:$T$130,3,FALSE)))*C180/78,0)</f>
        <v>65333.616574219894</v>
      </c>
      <c r="U180" s="47">
        <f ca="1">HLOOKUP(B180,Heating!$C$102:$O$106,3,FALSE)*INDEX(Weather!$BO$1:$CB$20,MATCH(B180,Weather!$BO$1:$BO$20,0),MATCH(C180,Weather!$BO$1:$CB$1,0))/VLOOKUP(B180,Weather!$BO$2:$CB$20,14,FALSE)</f>
        <v>49781.505630100444</v>
      </c>
      <c r="V180" s="47">
        <f t="shared" ca="1" si="230"/>
        <v>1247446.2877721472</v>
      </c>
    </row>
    <row r="181" spans="1:22">
      <c r="A181" s="2">
        <f t="shared" si="215"/>
        <v>47848</v>
      </c>
      <c r="B181">
        <f t="shared" si="216"/>
        <v>2030</v>
      </c>
      <c r="C181">
        <f t="shared" si="217"/>
        <v>12</v>
      </c>
      <c r="E181" s="3">
        <f t="shared" ref="E181:F181" ca="1" si="241">E169</f>
        <v>602.38541666666674</v>
      </c>
      <c r="F181" s="3">
        <f t="shared" ca="1" si="241"/>
        <v>0</v>
      </c>
      <c r="G181" s="47">
        <f t="shared" si="239"/>
        <v>0</v>
      </c>
      <c r="H181" s="47">
        <f t="shared" si="220"/>
        <v>180</v>
      </c>
      <c r="I181" s="47">
        <f t="shared" si="221"/>
        <v>31</v>
      </c>
      <c r="J181">
        <v>0</v>
      </c>
      <c r="L181" s="3">
        <f t="shared" si="207"/>
        <v>-761245.70652732695</v>
      </c>
      <c r="M181" s="3">
        <f t="shared" ca="1" si="208"/>
        <v>486691.02109259058</v>
      </c>
      <c r="N181" s="3">
        <f t="shared" ca="1" si="209"/>
        <v>0</v>
      </c>
      <c r="O181" s="3">
        <f t="shared" si="210"/>
        <v>0</v>
      </c>
      <c r="P181" s="3">
        <f t="shared" si="211"/>
        <v>459869.57852921641</v>
      </c>
      <c r="Q181" s="3">
        <f t="shared" si="212"/>
        <v>1183980.7512550617</v>
      </c>
      <c r="R181" s="3">
        <f t="shared" si="213"/>
        <v>0</v>
      </c>
      <c r="S181" s="47">
        <f t="shared" ca="1" si="214"/>
        <v>1369295.6443495417</v>
      </c>
      <c r="T181" s="47">
        <f>IFERROR(HLOOKUP(B181-1,'EV Forecast VRZ'!$F$124:$T$130,3,FALSE)/12,0)+IFERROR(((HLOOKUP(B181,'EV Forecast VRZ'!$F$116:$T$122,3,FALSE)-HLOOKUP(B181-1,'EV Forecast VRZ'!$F$124:$T$130,3,FALSE)))*C181/78,0)</f>
        <v>66214.925448457827</v>
      </c>
      <c r="U181" s="47">
        <f ca="1">HLOOKUP(B181,Heating!$C$102:$O$106,3,FALSE)*INDEX(Weather!$BO$1:$CB$20,MATCH(B181,Weather!$BO$1:$BO$20,0),MATCH(C181,Weather!$BO$1:$CB$1,0))/VLOOKUP(B181,Weather!$BO$2:$CB$20,14,FALSE)</f>
        <v>68855.760008771424</v>
      </c>
      <c r="V181" s="47">
        <f t="shared" ca="1" si="230"/>
        <v>1504366.3298067711</v>
      </c>
    </row>
    <row r="182" spans="1:22">
      <c r="A182" s="2">
        <f t="shared" si="215"/>
        <v>47879</v>
      </c>
      <c r="B182">
        <f t="shared" si="216"/>
        <v>2031</v>
      </c>
      <c r="C182">
        <f t="shared" si="217"/>
        <v>1</v>
      </c>
      <c r="E182" s="3">
        <f t="shared" ref="E182:F182" ca="1" si="242">E170</f>
        <v>690.78750000000002</v>
      </c>
      <c r="F182" s="3">
        <f t="shared" ca="1" si="242"/>
        <v>0</v>
      </c>
      <c r="G182" s="47">
        <f t="shared" si="239"/>
        <v>0</v>
      </c>
      <c r="H182" s="47">
        <f t="shared" si="220"/>
        <v>181</v>
      </c>
      <c r="I182" s="47">
        <f t="shared" si="221"/>
        <v>31</v>
      </c>
      <c r="J182">
        <v>0</v>
      </c>
      <c r="L182" s="3">
        <f t="shared" si="207"/>
        <v>-761245.70652732695</v>
      </c>
      <c r="M182" s="3">
        <f t="shared" ca="1" si="208"/>
        <v>558114.56325317395</v>
      </c>
      <c r="N182" s="3">
        <f t="shared" ca="1" si="209"/>
        <v>0</v>
      </c>
      <c r="O182" s="3">
        <f t="shared" si="210"/>
        <v>0</v>
      </c>
      <c r="P182" s="3">
        <f t="shared" si="211"/>
        <v>462424.4095210454</v>
      </c>
      <c r="Q182" s="3">
        <f t="shared" si="212"/>
        <v>1183980.7512550617</v>
      </c>
      <c r="R182" s="3">
        <f t="shared" si="213"/>
        <v>0</v>
      </c>
      <c r="S182" s="47">
        <f t="shared" ca="1" si="214"/>
        <v>1443274.017501954</v>
      </c>
      <c r="T182" s="47">
        <f>IFERROR(HLOOKUP(B182-1,'EV Forecast VRZ'!$F$124:$T$130,3,FALSE)/12,0)+IFERROR(((HLOOKUP(B182,'EV Forecast VRZ'!$F$116:$T$122,3,FALSE)-HLOOKUP(B182-1,'EV Forecast VRZ'!$F$124:$T$130,3,FALSE)))*C182/78,0)</f>
        <v>68843.939636175826</v>
      </c>
      <c r="U182" s="47">
        <f ca="1">HLOOKUP(B182,Heating!$C$102:$O$106,3,FALSE)*INDEX(Weather!$BO$1:$CB$20,MATCH(B182,Weather!$BO$1:$BO$20,0),MATCH(C182,Weather!$BO$1:$CB$1,0))/VLOOKUP(B182,Weather!$BO$2:$CB$20,14,FALSE)</f>
        <v>87665.961904184005</v>
      </c>
      <c r="V182" s="47">
        <f t="shared" ca="1" si="230"/>
        <v>1599783.9190423137</v>
      </c>
    </row>
    <row r="183" spans="1:22">
      <c r="A183" s="2">
        <f t="shared" si="215"/>
        <v>47907</v>
      </c>
      <c r="B183">
        <f t="shared" si="216"/>
        <v>2031</v>
      </c>
      <c r="C183">
        <f t="shared" si="217"/>
        <v>2</v>
      </c>
      <c r="E183" s="3">
        <f t="shared" ref="E183:F183" ca="1" si="243">E171</f>
        <v>604.19541666666657</v>
      </c>
      <c r="F183" s="3">
        <f t="shared" ca="1" si="243"/>
        <v>0</v>
      </c>
      <c r="G183" s="47">
        <f t="shared" si="239"/>
        <v>0</v>
      </c>
      <c r="H183" s="47">
        <f t="shared" si="220"/>
        <v>182</v>
      </c>
      <c r="I183" s="47">
        <f t="shared" si="221"/>
        <v>28</v>
      </c>
      <c r="J183">
        <v>0</v>
      </c>
      <c r="L183" s="3">
        <f t="shared" si="207"/>
        <v>-761245.70652732695</v>
      </c>
      <c r="M183" s="3">
        <f t="shared" ca="1" si="208"/>
        <v>488153.39173405146</v>
      </c>
      <c r="N183" s="3">
        <f t="shared" ca="1" si="209"/>
        <v>0</v>
      </c>
      <c r="O183" s="3">
        <f t="shared" si="210"/>
        <v>0</v>
      </c>
      <c r="P183" s="3">
        <f t="shared" si="211"/>
        <v>464979.24051287438</v>
      </c>
      <c r="Q183" s="3">
        <f t="shared" si="212"/>
        <v>1069401.9688755395</v>
      </c>
      <c r="R183" s="3">
        <f t="shared" si="213"/>
        <v>0</v>
      </c>
      <c r="S183" s="47">
        <f t="shared" ca="1" si="214"/>
        <v>1261288.8945951383</v>
      </c>
      <c r="T183" s="47">
        <f>IFERROR(HLOOKUP(B183-1,'EV Forecast VRZ'!$F$124:$T$130,3,FALSE)/12,0)+IFERROR(((HLOOKUP(B183,'EV Forecast VRZ'!$F$116:$T$122,3,FALSE)-HLOOKUP(B183-1,'EV Forecast VRZ'!$F$124:$T$130,3,FALSE)))*C183/78,0)</f>
        <v>69749.816578967977</v>
      </c>
      <c r="U183" s="47">
        <f ca="1">HLOOKUP(B183,Heating!$C$102:$O$106,3,FALSE)*INDEX(Weather!$BO$1:$CB$20,MATCH(B183,Weather!$BO$1:$BO$20,0),MATCH(C183,Weather!$BO$1:$CB$1,0))/VLOOKUP(B183,Weather!$BO$2:$CB$20,14,FALSE)</f>
        <v>76676.796236444017</v>
      </c>
      <c r="V183" s="47">
        <f t="shared" ca="1" si="230"/>
        <v>1407715.5074105503</v>
      </c>
    </row>
    <row r="184" spans="1:22">
      <c r="A184" s="2">
        <f t="shared" si="215"/>
        <v>47938</v>
      </c>
      <c r="B184">
        <f t="shared" si="216"/>
        <v>2031</v>
      </c>
      <c r="C184">
        <f t="shared" si="217"/>
        <v>3</v>
      </c>
      <c r="E184" s="3">
        <f t="shared" ref="E184:F184" ca="1" si="244">E172</f>
        <v>534.21590579710141</v>
      </c>
      <c r="F184" s="3">
        <f t="shared" ca="1" si="244"/>
        <v>0</v>
      </c>
      <c r="G184" s="47">
        <f t="shared" si="239"/>
        <v>1</v>
      </c>
      <c r="H184" s="47">
        <f t="shared" si="220"/>
        <v>183</v>
      </c>
      <c r="I184" s="47">
        <f t="shared" si="221"/>
        <v>31</v>
      </c>
      <c r="J184">
        <v>0</v>
      </c>
      <c r="L184" s="3">
        <f t="shared" si="207"/>
        <v>-761245.70652732695</v>
      </c>
      <c r="M184" s="3">
        <f t="shared" ca="1" si="208"/>
        <v>431614.1750492705</v>
      </c>
      <c r="N184" s="3">
        <f t="shared" ca="1" si="209"/>
        <v>0</v>
      </c>
      <c r="O184" s="3">
        <f t="shared" si="210"/>
        <v>-62836.7660875816</v>
      </c>
      <c r="P184" s="3">
        <f t="shared" si="211"/>
        <v>467534.07150470337</v>
      </c>
      <c r="Q184" s="3">
        <f t="shared" si="212"/>
        <v>1183980.7512550617</v>
      </c>
      <c r="R184" s="3">
        <f t="shared" si="213"/>
        <v>0</v>
      </c>
      <c r="S184" s="47">
        <f t="shared" ca="1" si="214"/>
        <v>1259046.5251941271</v>
      </c>
      <c r="T184" s="47">
        <f>IFERROR(HLOOKUP(B184-1,'EV Forecast VRZ'!$F$124:$T$130,3,FALSE)/12,0)+IFERROR(((HLOOKUP(B184,'EV Forecast VRZ'!$F$116:$T$122,3,FALSE)-HLOOKUP(B184-1,'EV Forecast VRZ'!$F$124:$T$130,3,FALSE)))*C184/78,0)</f>
        <v>70655.693521760128</v>
      </c>
      <c r="U184" s="47">
        <f ca="1">HLOOKUP(B184,Heating!$C$102:$O$106,3,FALSE)*INDEX(Weather!$BO$1:$CB$20,MATCH(B184,Weather!$BO$1:$BO$20,0),MATCH(C184,Weather!$BO$1:$CB$1,0))/VLOOKUP(B184,Weather!$BO$2:$CB$20,14,FALSE)</f>
        <v>67795.886935154209</v>
      </c>
      <c r="V184" s="47">
        <f t="shared" ca="1" si="230"/>
        <v>1397498.1056510415</v>
      </c>
    </row>
    <row r="185" spans="1:22">
      <c r="A185" s="2">
        <f t="shared" si="215"/>
        <v>47968</v>
      </c>
      <c r="B185">
        <f t="shared" si="216"/>
        <v>2031</v>
      </c>
      <c r="C185">
        <f t="shared" si="217"/>
        <v>4</v>
      </c>
      <c r="E185" s="3">
        <f t="shared" ref="E185:F185" ca="1" si="245">E173</f>
        <v>352.92312500000003</v>
      </c>
      <c r="F185" s="3">
        <f t="shared" ca="1" si="245"/>
        <v>2.2025000000000015</v>
      </c>
      <c r="G185" s="47">
        <f t="shared" si="239"/>
        <v>1</v>
      </c>
      <c r="H185" s="47">
        <f t="shared" si="220"/>
        <v>184</v>
      </c>
      <c r="I185" s="47">
        <f t="shared" si="221"/>
        <v>30</v>
      </c>
      <c r="J185">
        <v>0</v>
      </c>
      <c r="L185" s="3">
        <f t="shared" si="207"/>
        <v>-761245.70652732695</v>
      </c>
      <c r="M185" s="3">
        <f t="shared" ca="1" si="208"/>
        <v>285140.56170865905</v>
      </c>
      <c r="N185" s="3">
        <f t="shared" ca="1" si="209"/>
        <v>4065.2951988759241</v>
      </c>
      <c r="O185" s="3">
        <f t="shared" si="210"/>
        <v>-62836.7660875816</v>
      </c>
      <c r="P185" s="3">
        <f t="shared" si="211"/>
        <v>470088.90249653236</v>
      </c>
      <c r="Q185" s="3">
        <f t="shared" si="212"/>
        <v>1145787.823795221</v>
      </c>
      <c r="R185" s="3">
        <f t="shared" si="213"/>
        <v>0</v>
      </c>
      <c r="S185" s="47">
        <f t="shared" ca="1" si="214"/>
        <v>1081000.1105843799</v>
      </c>
      <c r="T185" s="47">
        <f>IFERROR(HLOOKUP(B185-1,'EV Forecast VRZ'!$F$124:$T$130,3,FALSE)/12,0)+IFERROR(((HLOOKUP(B185,'EV Forecast VRZ'!$F$116:$T$122,3,FALSE)-HLOOKUP(B185-1,'EV Forecast VRZ'!$F$124:$T$130,3,FALSE)))*C185/78,0)</f>
        <v>71561.570464552278</v>
      </c>
      <c r="U185" s="47">
        <f ca="1">HLOOKUP(B185,Heating!$C$102:$O$106,3,FALSE)*INDEX(Weather!$BO$1:$CB$20,MATCH(B185,Weather!$BO$1:$BO$20,0),MATCH(C185,Weather!$BO$1:$CB$1,0))/VLOOKUP(B185,Weather!$BO$2:$CB$20,14,FALSE)</f>
        <v>44788.51344495314</v>
      </c>
      <c r="V185" s="47">
        <f t="shared" ca="1" si="230"/>
        <v>1197350.1944938854</v>
      </c>
    </row>
    <row r="186" spans="1:22">
      <c r="A186" s="2">
        <f t="shared" si="215"/>
        <v>47999</v>
      </c>
      <c r="B186">
        <f t="shared" si="216"/>
        <v>2031</v>
      </c>
      <c r="C186">
        <f t="shared" si="217"/>
        <v>5</v>
      </c>
      <c r="E186" s="3">
        <f t="shared" ref="E186:F186" ca="1" si="246">E174</f>
        <v>155.24720841877425</v>
      </c>
      <c r="F186" s="3">
        <f t="shared" ca="1" si="246"/>
        <v>48.940113636363641</v>
      </c>
      <c r="G186" s="47">
        <f t="shared" si="239"/>
        <v>1</v>
      </c>
      <c r="H186" s="47">
        <f t="shared" si="220"/>
        <v>185</v>
      </c>
      <c r="I186" s="47">
        <f t="shared" si="221"/>
        <v>31</v>
      </c>
      <c r="J186">
        <v>0</v>
      </c>
      <c r="L186" s="3">
        <f t="shared" si="207"/>
        <v>-761245.70652732695</v>
      </c>
      <c r="M186" s="3">
        <f t="shared" ca="1" si="208"/>
        <v>125430.36450850464</v>
      </c>
      <c r="N186" s="3">
        <f t="shared" ca="1" si="209"/>
        <v>90331.89965872922</v>
      </c>
      <c r="O186" s="3">
        <f t="shared" si="210"/>
        <v>-62836.7660875816</v>
      </c>
      <c r="P186" s="3">
        <f t="shared" si="211"/>
        <v>472643.73348836135</v>
      </c>
      <c r="Q186" s="3">
        <f t="shared" si="212"/>
        <v>1183980.7512550617</v>
      </c>
      <c r="R186" s="3">
        <f t="shared" si="213"/>
        <v>0</v>
      </c>
      <c r="S186" s="47">
        <f t="shared" ca="1" si="214"/>
        <v>1048304.2762957483</v>
      </c>
      <c r="T186" s="47">
        <f>IFERROR(HLOOKUP(B186-1,'EV Forecast VRZ'!$F$124:$T$130,3,FALSE)/12,0)+IFERROR(((HLOOKUP(B186,'EV Forecast VRZ'!$F$116:$T$122,3,FALSE)-HLOOKUP(B186-1,'EV Forecast VRZ'!$F$124:$T$130,3,FALSE)))*C186/78,0)</f>
        <v>72467.447407344414</v>
      </c>
      <c r="U186" s="47">
        <f ca="1">HLOOKUP(B186,Heating!$C$102:$O$106,3,FALSE)*INDEX(Weather!$BO$1:$CB$20,MATCH(B186,Weather!$BO$1:$BO$20,0),MATCH(C186,Weather!$BO$1:$CB$1,0))/VLOOKUP(B186,Weather!$BO$2:$CB$20,14,FALSE)</f>
        <v>19702.000772989053</v>
      </c>
      <c r="V186" s="47">
        <f t="shared" ca="1" si="230"/>
        <v>1140473.7244760818</v>
      </c>
    </row>
    <row r="187" spans="1:22">
      <c r="A187" s="2">
        <f t="shared" si="215"/>
        <v>48029</v>
      </c>
      <c r="B187">
        <f t="shared" si="216"/>
        <v>2031</v>
      </c>
      <c r="C187">
        <f t="shared" si="217"/>
        <v>6</v>
      </c>
      <c r="E187" s="3">
        <f t="shared" ref="E187:F187" ca="1" si="247">E175</f>
        <v>30.273840492840492</v>
      </c>
      <c r="F187" s="3">
        <f t="shared" ca="1" si="247"/>
        <v>144.91160087738351</v>
      </c>
      <c r="G187" s="47">
        <f t="shared" si="239"/>
        <v>0</v>
      </c>
      <c r="H187" s="47">
        <f t="shared" si="220"/>
        <v>186</v>
      </c>
      <c r="I187" s="47">
        <f t="shared" si="221"/>
        <v>30</v>
      </c>
      <c r="J187">
        <v>0</v>
      </c>
      <c r="L187" s="3">
        <f t="shared" si="207"/>
        <v>-761245.70652732695</v>
      </c>
      <c r="M187" s="3">
        <f t="shared" ca="1" si="208"/>
        <v>24459.434000554327</v>
      </c>
      <c r="N187" s="3">
        <f t="shared" ca="1" si="209"/>
        <v>267472.61534994369</v>
      </c>
      <c r="O187" s="3">
        <f t="shared" si="210"/>
        <v>0</v>
      </c>
      <c r="P187" s="3">
        <f t="shared" si="211"/>
        <v>475198.56448019028</v>
      </c>
      <c r="Q187" s="3">
        <f t="shared" si="212"/>
        <v>1145787.823795221</v>
      </c>
      <c r="R187" s="3">
        <f t="shared" si="213"/>
        <v>0</v>
      </c>
      <c r="S187" s="47">
        <f t="shared" ca="1" si="214"/>
        <v>1151672.7310985825</v>
      </c>
      <c r="T187" s="47">
        <f>IFERROR(HLOOKUP(B187-1,'EV Forecast VRZ'!$F$124:$T$130,3,FALSE)/12,0)+IFERROR(((HLOOKUP(B187,'EV Forecast VRZ'!$F$116:$T$122,3,FALSE)-HLOOKUP(B187-1,'EV Forecast VRZ'!$F$124:$T$130,3,FALSE)))*C187/78,0)</f>
        <v>73373.324350136565</v>
      </c>
      <c r="U187" s="47">
        <f ca="1">HLOOKUP(B187,Heating!$C$102:$O$106,3,FALSE)*INDEX(Weather!$BO$1:$CB$20,MATCH(B187,Weather!$BO$1:$BO$20,0),MATCH(C187,Weather!$BO$1:$CB$1,0))/VLOOKUP(B187,Weather!$BO$2:$CB$20,14,FALSE)</f>
        <v>3841.970717968547</v>
      </c>
      <c r="V187" s="47">
        <f t="shared" ca="1" si="230"/>
        <v>1228888.0261666877</v>
      </c>
    </row>
    <row r="188" spans="1:22">
      <c r="A188" s="2">
        <f t="shared" si="215"/>
        <v>48060</v>
      </c>
      <c r="B188">
        <f t="shared" si="216"/>
        <v>2031</v>
      </c>
      <c r="C188">
        <f t="shared" si="217"/>
        <v>7</v>
      </c>
      <c r="E188" s="3">
        <f t="shared" ref="E188:F188" ca="1" si="248">E176</f>
        <v>1.0845833333333317</v>
      </c>
      <c r="F188" s="3">
        <f t="shared" ca="1" si="248"/>
        <v>242.72508692061183</v>
      </c>
      <c r="G188" s="47">
        <f t="shared" si="239"/>
        <v>0</v>
      </c>
      <c r="H188" s="47">
        <f t="shared" si="220"/>
        <v>187</v>
      </c>
      <c r="I188" s="47">
        <f t="shared" si="221"/>
        <v>31</v>
      </c>
      <c r="J188">
        <v>0</v>
      </c>
      <c r="L188" s="3">
        <f t="shared" si="207"/>
        <v>-761245.70652732695</v>
      </c>
      <c r="M188" s="3">
        <f t="shared" ca="1" si="208"/>
        <v>876.27780380363561</v>
      </c>
      <c r="N188" s="3">
        <f t="shared" ca="1" si="209"/>
        <v>448013.2261090143</v>
      </c>
      <c r="O188" s="3">
        <f t="shared" si="210"/>
        <v>0</v>
      </c>
      <c r="P188" s="3">
        <f t="shared" si="211"/>
        <v>477753.39547201927</v>
      </c>
      <c r="Q188" s="3">
        <f t="shared" si="212"/>
        <v>1183980.7512550617</v>
      </c>
      <c r="R188" s="3">
        <f t="shared" si="213"/>
        <v>0</v>
      </c>
      <c r="S188" s="47">
        <f t="shared" ca="1" si="214"/>
        <v>1349377.9441125719</v>
      </c>
      <c r="T188" s="47">
        <f>IFERROR(HLOOKUP(B188-1,'EV Forecast VRZ'!$F$124:$T$130,3,FALSE)/12,0)+IFERROR(((HLOOKUP(B188,'EV Forecast VRZ'!$F$116:$T$122,3,FALSE)-HLOOKUP(B188-1,'EV Forecast VRZ'!$F$124:$T$130,3,FALSE)))*C188/78,0)</f>
        <v>74279.201292928716</v>
      </c>
      <c r="U188" s="47">
        <f ca="1">HLOOKUP(B188,Heating!$C$102:$O$106,3,FALSE)*INDEX(Weather!$BO$1:$CB$20,MATCH(B188,Weather!$BO$1:$BO$20,0),MATCH(C188,Weather!$BO$1:$CB$1,0))/VLOOKUP(B188,Weather!$BO$2:$CB$20,14,FALSE)</f>
        <v>137.64151954387239</v>
      </c>
      <c r="V188" s="47">
        <f t="shared" ca="1" si="230"/>
        <v>1423794.7869250446</v>
      </c>
    </row>
    <row r="189" spans="1:22">
      <c r="A189" s="2">
        <f t="shared" si="215"/>
        <v>48091</v>
      </c>
      <c r="B189">
        <f t="shared" si="216"/>
        <v>2031</v>
      </c>
      <c r="C189">
        <f t="shared" si="217"/>
        <v>8</v>
      </c>
      <c r="E189" s="3">
        <f t="shared" ref="E189:F189" ca="1" si="249">E177</f>
        <v>6.4245833333333335</v>
      </c>
      <c r="F189" s="3">
        <f t="shared" ca="1" si="249"/>
        <v>214.02558794466404</v>
      </c>
      <c r="G189" s="47">
        <f t="shared" si="239"/>
        <v>0</v>
      </c>
      <c r="H189" s="47">
        <f t="shared" si="220"/>
        <v>188</v>
      </c>
      <c r="I189" s="47">
        <f t="shared" si="221"/>
        <v>31</v>
      </c>
      <c r="J189">
        <v>0</v>
      </c>
      <c r="L189" s="3">
        <f t="shared" si="207"/>
        <v>-761245.70652732695</v>
      </c>
      <c r="M189" s="3">
        <f t="shared" ca="1" si="208"/>
        <v>5190.6751659040647</v>
      </c>
      <c r="N189" s="3">
        <f t="shared" ca="1" si="209"/>
        <v>395040.72422612441</v>
      </c>
      <c r="O189" s="3">
        <f t="shared" si="210"/>
        <v>0</v>
      </c>
      <c r="P189" s="3">
        <f t="shared" si="211"/>
        <v>480308.22646384826</v>
      </c>
      <c r="Q189" s="3">
        <f t="shared" si="212"/>
        <v>1183980.7512550617</v>
      </c>
      <c r="R189" s="3">
        <f t="shared" si="213"/>
        <v>0</v>
      </c>
      <c r="S189" s="47">
        <f t="shared" ca="1" si="214"/>
        <v>1303274.6705836116</v>
      </c>
      <c r="T189" s="47">
        <f>IFERROR(HLOOKUP(B189-1,'EV Forecast VRZ'!$F$124:$T$130,3,FALSE)/12,0)+IFERROR(((HLOOKUP(B189,'EV Forecast VRZ'!$F$116:$T$122,3,FALSE)-HLOOKUP(B189-1,'EV Forecast VRZ'!$F$124:$T$130,3,FALSE)))*C189/78,0)</f>
        <v>75185.078235720866</v>
      </c>
      <c r="U189" s="47">
        <f ca="1">HLOOKUP(B189,Heating!$C$102:$O$106,3,FALSE)*INDEX(Weather!$BO$1:$CB$20,MATCH(B189,Weather!$BO$1:$BO$20,0),MATCH(C189,Weather!$BO$1:$CB$1,0))/VLOOKUP(B189,Weather!$BO$2:$CB$20,14,FALSE)</f>
        <v>815.32638872338521</v>
      </c>
      <c r="V189" s="47">
        <f t="shared" ca="1" si="230"/>
        <v>1379275.075208056</v>
      </c>
    </row>
    <row r="190" spans="1:22">
      <c r="A190" s="2">
        <f t="shared" si="215"/>
        <v>48121</v>
      </c>
      <c r="B190">
        <f t="shared" si="216"/>
        <v>2031</v>
      </c>
      <c r="C190">
        <f t="shared" si="217"/>
        <v>9</v>
      </c>
      <c r="E190" s="3">
        <f t="shared" ref="E190:F190" ca="1" si="250">E178</f>
        <v>54.412952898550728</v>
      </c>
      <c r="F190" s="3">
        <f t="shared" ca="1" si="250"/>
        <v>102.40708333333332</v>
      </c>
      <c r="G190" s="47">
        <f t="shared" si="239"/>
        <v>1</v>
      </c>
      <c r="H190" s="47">
        <f t="shared" si="220"/>
        <v>189</v>
      </c>
      <c r="I190" s="47">
        <f t="shared" si="221"/>
        <v>30</v>
      </c>
      <c r="J190">
        <v>0</v>
      </c>
      <c r="L190" s="3">
        <f t="shared" si="207"/>
        <v>-761245.70652732695</v>
      </c>
      <c r="M190" s="3">
        <f t="shared" ca="1" si="208"/>
        <v>43962.378361348696</v>
      </c>
      <c r="N190" s="3">
        <f t="shared" ca="1" si="209"/>
        <v>189019.30724444328</v>
      </c>
      <c r="O190" s="3">
        <f t="shared" si="210"/>
        <v>-62836.7660875816</v>
      </c>
      <c r="P190" s="3">
        <f t="shared" si="211"/>
        <v>482863.05745567725</v>
      </c>
      <c r="Q190" s="3">
        <f t="shared" si="212"/>
        <v>1145787.823795221</v>
      </c>
      <c r="R190" s="3">
        <f t="shared" si="213"/>
        <v>0</v>
      </c>
      <c r="S190" s="47">
        <f t="shared" ca="1" si="214"/>
        <v>1037550.0942417816</v>
      </c>
      <c r="T190" s="47">
        <f>IFERROR(HLOOKUP(B190-1,'EV Forecast VRZ'!$F$124:$T$130,3,FALSE)/12,0)+IFERROR(((HLOOKUP(B190,'EV Forecast VRZ'!$F$116:$T$122,3,FALSE)-HLOOKUP(B190-1,'EV Forecast VRZ'!$F$124:$T$130,3,FALSE)))*C190/78,0)</f>
        <v>76090.955178513017</v>
      </c>
      <c r="U190" s="47">
        <f ca="1">HLOOKUP(B190,Heating!$C$102:$O$106,3,FALSE)*INDEX(Weather!$BO$1:$CB$20,MATCH(B190,Weather!$BO$1:$BO$20,0),MATCH(C190,Weather!$BO$1:$CB$1,0))/VLOOKUP(B190,Weather!$BO$2:$CB$20,14,FALSE)</f>
        <v>6905.3997877762786</v>
      </c>
      <c r="V190" s="47">
        <f t="shared" ca="1" si="230"/>
        <v>1120546.4492080708</v>
      </c>
    </row>
    <row r="191" spans="1:22">
      <c r="A191" s="2">
        <f t="shared" si="215"/>
        <v>48152</v>
      </c>
      <c r="B191">
        <f t="shared" si="216"/>
        <v>2031</v>
      </c>
      <c r="C191">
        <f t="shared" si="217"/>
        <v>10</v>
      </c>
      <c r="E191" s="3">
        <f t="shared" ref="E191:F191" ca="1" si="251">E179</f>
        <v>232.21431159420285</v>
      </c>
      <c r="F191" s="3">
        <f t="shared" ca="1" si="251"/>
        <v>19.741250000000004</v>
      </c>
      <c r="G191" s="47">
        <f t="shared" si="239"/>
        <v>1</v>
      </c>
      <c r="H191" s="47">
        <f t="shared" si="220"/>
        <v>190</v>
      </c>
      <c r="I191" s="47">
        <f t="shared" si="221"/>
        <v>31</v>
      </c>
      <c r="J191">
        <v>0</v>
      </c>
      <c r="L191" s="3">
        <f t="shared" si="207"/>
        <v>-761245.70652732695</v>
      </c>
      <c r="M191" s="3">
        <f t="shared" ca="1" si="208"/>
        <v>187615.1335925085</v>
      </c>
      <c r="N191" s="3">
        <f t="shared" ca="1" si="209"/>
        <v>36437.688465293664</v>
      </c>
      <c r="O191" s="3">
        <f t="shared" si="210"/>
        <v>-62836.7660875816</v>
      </c>
      <c r="P191" s="3">
        <f t="shared" si="211"/>
        <v>485417.88844750624</v>
      </c>
      <c r="Q191" s="3">
        <f t="shared" si="212"/>
        <v>1183980.7512550617</v>
      </c>
      <c r="R191" s="3">
        <f t="shared" si="213"/>
        <v>0</v>
      </c>
      <c r="S191" s="47">
        <f t="shared" ca="1" si="214"/>
        <v>1069368.9891454615</v>
      </c>
      <c r="T191" s="47">
        <f>IFERROR(HLOOKUP(B191-1,'EV Forecast VRZ'!$F$124:$T$130,3,FALSE)/12,0)+IFERROR(((HLOOKUP(B191,'EV Forecast VRZ'!$F$116:$T$122,3,FALSE)-HLOOKUP(B191-1,'EV Forecast VRZ'!$F$124:$T$130,3,FALSE)))*C191/78,0)</f>
        <v>76996.832121305168</v>
      </c>
      <c r="U191" s="47">
        <f ca="1">HLOOKUP(B191,Heating!$C$102:$O$106,3,FALSE)*INDEX(Weather!$BO$1:$CB$20,MATCH(B191,Weather!$BO$1:$BO$20,0),MATCH(C191,Weather!$BO$1:$CB$1,0))/VLOOKUP(B191,Weather!$BO$2:$CB$20,14,FALSE)</f>
        <v>29469.686399686878</v>
      </c>
      <c r="V191" s="47">
        <f t="shared" ca="1" si="230"/>
        <v>1175835.5076664535</v>
      </c>
    </row>
    <row r="192" spans="1:22">
      <c r="A192" s="2">
        <f t="shared" si="215"/>
        <v>48182</v>
      </c>
      <c r="B192">
        <f t="shared" si="216"/>
        <v>2031</v>
      </c>
      <c r="C192">
        <f t="shared" si="217"/>
        <v>11</v>
      </c>
      <c r="E192" s="3">
        <f t="shared" ref="E192:F192" ca="1" si="252">E180</f>
        <v>435.51408055712398</v>
      </c>
      <c r="F192" s="3">
        <f t="shared" ca="1" si="252"/>
        <v>0.78124999999999944</v>
      </c>
      <c r="G192" s="47">
        <f t="shared" si="239"/>
        <v>1</v>
      </c>
      <c r="H192" s="47">
        <f t="shared" si="220"/>
        <v>191</v>
      </c>
      <c r="I192" s="47">
        <f t="shared" si="221"/>
        <v>30</v>
      </c>
      <c r="J192">
        <v>0</v>
      </c>
      <c r="L192" s="3">
        <f t="shared" si="207"/>
        <v>-761245.70652732695</v>
      </c>
      <c r="M192" s="3">
        <f t="shared" ca="1" si="208"/>
        <v>351869.06372907275</v>
      </c>
      <c r="N192" s="3">
        <f t="shared" ca="1" si="209"/>
        <v>1442.0031210541708</v>
      </c>
      <c r="O192" s="3">
        <f t="shared" si="210"/>
        <v>-62836.7660875816</v>
      </c>
      <c r="P192" s="3">
        <f t="shared" si="211"/>
        <v>487972.71943933523</v>
      </c>
      <c r="Q192" s="3">
        <f t="shared" si="212"/>
        <v>1145787.823795221</v>
      </c>
      <c r="R192" s="3">
        <f t="shared" si="213"/>
        <v>0</v>
      </c>
      <c r="S192" s="47">
        <f t="shared" ca="1" si="214"/>
        <v>1162989.1374697746</v>
      </c>
      <c r="T192" s="47">
        <f>IFERROR(HLOOKUP(B192-1,'EV Forecast VRZ'!$F$124:$T$130,3,FALSE)/12,0)+IFERROR(((HLOOKUP(B192,'EV Forecast VRZ'!$F$116:$T$122,3,FALSE)-HLOOKUP(B192-1,'EV Forecast VRZ'!$F$124:$T$130,3,FALSE)))*C192/78,0)</f>
        <v>77902.709064097318</v>
      </c>
      <c r="U192" s="47">
        <f ca="1">HLOOKUP(B192,Heating!$C$102:$O$106,3,FALSE)*INDEX(Weather!$BO$1:$CB$20,MATCH(B192,Weather!$BO$1:$BO$20,0),MATCH(C192,Weather!$BO$1:$CB$1,0))/VLOOKUP(B192,Weather!$BO$2:$CB$20,14,FALSE)</f>
        <v>55269.906874192937</v>
      </c>
      <c r="V192" s="47">
        <f t="shared" ca="1" si="230"/>
        <v>1296161.7534080648</v>
      </c>
    </row>
    <row r="193" spans="1:22">
      <c r="A193" s="2">
        <f t="shared" si="215"/>
        <v>48213</v>
      </c>
      <c r="B193">
        <f t="shared" si="216"/>
        <v>2031</v>
      </c>
      <c r="C193">
        <f t="shared" si="217"/>
        <v>12</v>
      </c>
      <c r="E193" s="3">
        <f t="shared" ref="E193:F193" ca="1" si="253">E181</f>
        <v>602.38541666666674</v>
      </c>
      <c r="F193" s="3">
        <f t="shared" ca="1" si="253"/>
        <v>0</v>
      </c>
      <c r="G193" s="47">
        <f t="shared" si="239"/>
        <v>0</v>
      </c>
      <c r="H193" s="47">
        <f t="shared" si="220"/>
        <v>192</v>
      </c>
      <c r="I193" s="47">
        <f t="shared" si="221"/>
        <v>31</v>
      </c>
      <c r="J193">
        <v>0</v>
      </c>
      <c r="L193" s="3">
        <f t="shared" si="207"/>
        <v>-761245.70652732695</v>
      </c>
      <c r="M193" s="3">
        <f t="shared" ca="1" si="208"/>
        <v>486691.02109259058</v>
      </c>
      <c r="N193" s="3">
        <f t="shared" ca="1" si="209"/>
        <v>0</v>
      </c>
      <c r="O193" s="3">
        <f t="shared" si="210"/>
        <v>0</v>
      </c>
      <c r="P193" s="3">
        <f t="shared" si="211"/>
        <v>490527.55043116421</v>
      </c>
      <c r="Q193" s="3">
        <f t="shared" si="212"/>
        <v>1183980.7512550617</v>
      </c>
      <c r="R193" s="3">
        <f t="shared" si="213"/>
        <v>0</v>
      </c>
      <c r="S193" s="47">
        <f t="shared" ca="1" si="214"/>
        <v>1399953.6162514896</v>
      </c>
      <c r="T193" s="47">
        <f>IFERROR(HLOOKUP(B193-1,'EV Forecast VRZ'!$F$124:$T$130,3,FALSE)/12,0)+IFERROR(((HLOOKUP(B193,'EV Forecast VRZ'!$F$116:$T$122,3,FALSE)-HLOOKUP(B193-1,'EV Forecast VRZ'!$F$124:$T$130,3,FALSE)))*C193/78,0)</f>
        <v>78808.586006889469</v>
      </c>
      <c r="U193" s="47">
        <f ca="1">HLOOKUP(B193,Heating!$C$102:$O$106,3,FALSE)*INDEX(Weather!$BO$1:$CB$20,MATCH(B193,Weather!$BO$1:$BO$20,0),MATCH(C193,Weather!$BO$1:$CB$1,0))/VLOOKUP(B193,Weather!$BO$2:$CB$20,14,FALSE)</f>
        <v>76447.094061684693</v>
      </c>
      <c r="V193" s="47">
        <f t="shared" ca="1" si="230"/>
        <v>1555209.296320064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D4CD1-5691-47DE-9F30-DD9DC88C57D0}">
  <sheetPr codeName="Sheet29">
    <tabColor theme="7" tint="0.79998168889431442"/>
  </sheetPr>
  <dimension ref="A1:AA193"/>
  <sheetViews>
    <sheetView workbookViewId="0">
      <selection activeCell="E14" sqref="E14"/>
    </sheetView>
  </sheetViews>
  <sheetFormatPr defaultRowHeight="14.5"/>
  <cols>
    <col min="4" max="4" width="24.81640625" customWidth="1"/>
    <col min="8" max="8" width="9.1796875" style="3" bestFit="1" customWidth="1"/>
    <col min="11" max="11" width="13.81640625" bestFit="1" customWidth="1"/>
    <col min="12" max="13" width="11.1796875" bestFit="1" customWidth="1"/>
    <col min="14" max="14" width="10.1796875" bestFit="1" customWidth="1"/>
    <col min="15" max="16" width="11.1796875" bestFit="1" customWidth="1"/>
    <col min="17" max="20" width="12.54296875" customWidth="1"/>
    <col min="24" max="24" width="13.81640625" bestFit="1" customWidth="1"/>
    <col min="25" max="25" width="12.81640625" bestFit="1" customWidth="1"/>
    <col min="26" max="26" width="13.81640625" bestFit="1" customWidth="1"/>
    <col min="27" max="27" width="8.81640625" bestFit="1" customWidth="1"/>
  </cols>
  <sheetData>
    <row r="1" spans="1:27">
      <c r="A1" s="541" t="str">
        <f>'Monthly Data'!A1</f>
        <v>Date</v>
      </c>
      <c r="B1" s="541" t="str">
        <f>'Monthly Data'!B1</f>
        <v>Year</v>
      </c>
      <c r="C1" s="541" t="str">
        <f>'Monthly Data'!C1</f>
        <v>Month</v>
      </c>
      <c r="D1" s="541" t="str">
        <f>'Monthly Data'!R1</f>
        <v>VRZ_GSlt50kWh_No_CDM</v>
      </c>
      <c r="E1" s="541" t="str">
        <f>'Monthly Data'!CN1</f>
        <v>HDD20</v>
      </c>
      <c r="F1" s="541" t="str">
        <f>'Monthly Data'!CU1</f>
        <v>CDD14</v>
      </c>
      <c r="G1" s="541" t="str">
        <f>'Monthly Data'!EJ1</f>
        <v>COVID_AM</v>
      </c>
      <c r="H1" s="541" t="str">
        <f>'Monthly Data'!DB1</f>
        <v>ON_FTEAdj</v>
      </c>
      <c r="I1" s="541" t="str">
        <f>'Monthly Data'!DQ1</f>
        <v>Month Days</v>
      </c>
      <c r="J1" s="541"/>
      <c r="K1" s="541" t="str">
        <f>W7</f>
        <v>const</v>
      </c>
      <c r="L1" s="541" t="str">
        <f>E1</f>
        <v>HDD20</v>
      </c>
      <c r="M1" s="541" t="str">
        <f>F1</f>
        <v>CDD14</v>
      </c>
      <c r="N1" s="541" t="str">
        <f>G1</f>
        <v>COVID_AM</v>
      </c>
      <c r="O1" s="541" t="str">
        <f t="shared" ref="O1:P1" si="0">H1</f>
        <v>ON_FTEAdj</v>
      </c>
      <c r="P1" s="541" t="str">
        <f t="shared" si="0"/>
        <v>Month Days</v>
      </c>
      <c r="Q1" s="541" t="s">
        <v>610</v>
      </c>
      <c r="R1" s="541" t="s">
        <v>332</v>
      </c>
      <c r="S1" s="541" t="s">
        <v>606</v>
      </c>
      <c r="T1" s="541" t="s">
        <v>611</v>
      </c>
    </row>
    <row r="2" spans="1:27">
      <c r="A2" s="2">
        <f>'Monthly Data'!A2</f>
        <v>42370</v>
      </c>
      <c r="B2">
        <f>'Monthly Data'!B2</f>
        <v>2016</v>
      </c>
      <c r="C2">
        <f>'Monthly Data'!C2</f>
        <v>1</v>
      </c>
      <c r="D2" s="3">
        <f>'Monthly Data'!R2</f>
        <v>25594387.001226746</v>
      </c>
      <c r="E2" s="91">
        <f ca="1">Weather!BG46</f>
        <v>752.78750000000002</v>
      </c>
      <c r="F2" s="91">
        <f ca="1">Weather!CX46</f>
        <v>0</v>
      </c>
      <c r="G2">
        <f>'Monthly Data'!EJ2</f>
        <v>0</v>
      </c>
      <c r="H2" s="3">
        <f>'Monthly Data'!DB2</f>
        <v>6882.9</v>
      </c>
      <c r="I2" s="3">
        <f>'Monthly Data'!DQ2</f>
        <v>31</v>
      </c>
      <c r="K2" s="3">
        <f t="shared" ref="K2:K33" si="1">$X$7</f>
        <v>3542907.1380836898</v>
      </c>
      <c r="L2" s="3">
        <f t="shared" ref="L2:L33" ca="1" si="2">E2*$X$8</f>
        <v>7913453.8880651752</v>
      </c>
      <c r="M2" s="3">
        <f t="shared" ref="M2:M33" ca="1" si="3">F2*$X$9</f>
        <v>0</v>
      </c>
      <c r="N2" s="3">
        <f t="shared" ref="N2:N33" si="4">G2*$X$10</f>
        <v>0</v>
      </c>
      <c r="O2" s="3">
        <f t="shared" ref="O2:O33" si="5">H2*$X$11</f>
        <v>0</v>
      </c>
      <c r="P2" s="3">
        <f t="shared" ref="P2:P33" si="6">I2*$X$12</f>
        <v>13987420.156226436</v>
      </c>
      <c r="Q2" s="47">
        <f t="shared" ref="Q2:Q9" ca="1" si="7">SUM(K2:P2)</f>
        <v>25443781.182375301</v>
      </c>
      <c r="R2" s="47">
        <f>'Monthly Data'!S2</f>
        <v>0</v>
      </c>
      <c r="S2" s="47">
        <f>+'Monthly Data'!T2</f>
        <v>0</v>
      </c>
      <c r="T2" s="47">
        <f t="shared" ref="T2:T42" ca="1" si="8">Q2+R2+S2</f>
        <v>25443781.182375301</v>
      </c>
      <c r="W2" t="s">
        <v>615</v>
      </c>
    </row>
    <row r="3" spans="1:27">
      <c r="A3" s="2">
        <f>'Monthly Data'!A3</f>
        <v>42401</v>
      </c>
      <c r="B3">
        <f>'Monthly Data'!B3</f>
        <v>2016</v>
      </c>
      <c r="C3">
        <f>'Monthly Data'!C3</f>
        <v>2</v>
      </c>
      <c r="D3" s="3">
        <f>'Monthly Data'!R3</f>
        <v>23846717.749293804</v>
      </c>
      <c r="E3" s="91">
        <f ca="1">Weather!BG47</f>
        <v>660.7954166666666</v>
      </c>
      <c r="F3" s="91">
        <f ca="1">Weather!CX47</f>
        <v>0</v>
      </c>
      <c r="G3">
        <f>'Monthly Data'!EJ3</f>
        <v>0</v>
      </c>
      <c r="H3" s="3">
        <f>'Monthly Data'!DB3</f>
        <v>6899.5</v>
      </c>
      <c r="I3" s="3">
        <f>'Monthly Data'!DQ3</f>
        <v>29</v>
      </c>
      <c r="K3" s="3">
        <f t="shared" si="1"/>
        <v>3542907.1380836898</v>
      </c>
      <c r="L3" s="3">
        <f t="shared" ca="1" si="2"/>
        <v>6946414.5714912647</v>
      </c>
      <c r="M3" s="3">
        <f t="shared" ca="1" si="3"/>
        <v>0</v>
      </c>
      <c r="N3" s="3">
        <f t="shared" si="4"/>
        <v>0</v>
      </c>
      <c r="O3" s="3">
        <f t="shared" si="5"/>
        <v>0</v>
      </c>
      <c r="P3" s="3">
        <f t="shared" si="6"/>
        <v>13085005.952598924</v>
      </c>
      <c r="Q3" s="47">
        <f t="shared" ca="1" si="7"/>
        <v>23574327.662173878</v>
      </c>
      <c r="R3" s="47">
        <f>'Monthly Data'!S3</f>
        <v>0</v>
      </c>
      <c r="S3" s="47">
        <f>+'Monthly Data'!T3</f>
        <v>0</v>
      </c>
      <c r="T3" s="47">
        <f t="shared" ca="1" si="8"/>
        <v>23574327.662173878</v>
      </c>
      <c r="W3" t="s">
        <v>616</v>
      </c>
    </row>
    <row r="4" spans="1:27">
      <c r="A4" s="2">
        <f>'Monthly Data'!A4</f>
        <v>42430</v>
      </c>
      <c r="B4">
        <f>'Monthly Data'!B4</f>
        <v>2016</v>
      </c>
      <c r="C4">
        <f>'Monthly Data'!C4</f>
        <v>3</v>
      </c>
      <c r="D4" s="3">
        <f>'Monthly Data'!R4</f>
        <v>23502971.311413426</v>
      </c>
      <c r="E4" s="91">
        <f ca="1">Weather!BG48</f>
        <v>596.21590579710141</v>
      </c>
      <c r="F4" s="91">
        <f ca="1">Weather!CX48</f>
        <v>0</v>
      </c>
      <c r="G4">
        <f>'Monthly Data'!EJ4</f>
        <v>0</v>
      </c>
      <c r="H4" s="3">
        <f>'Monthly Data'!DB4</f>
        <v>6908.6</v>
      </c>
      <c r="I4" s="3">
        <f>'Monthly Data'!DQ4</f>
        <v>31</v>
      </c>
      <c r="K4" s="3">
        <f t="shared" si="1"/>
        <v>3542907.1380836898</v>
      </c>
      <c r="L4" s="3">
        <f t="shared" ca="1" si="2"/>
        <v>6267541.7403402319</v>
      </c>
      <c r="M4" s="3">
        <f t="shared" ca="1" si="3"/>
        <v>0</v>
      </c>
      <c r="N4" s="3">
        <f t="shared" si="4"/>
        <v>0</v>
      </c>
      <c r="O4" s="3">
        <f t="shared" si="5"/>
        <v>0</v>
      </c>
      <c r="P4" s="3">
        <f t="shared" si="6"/>
        <v>13987420.156226436</v>
      </c>
      <c r="Q4" s="47">
        <f t="shared" ca="1" si="7"/>
        <v>23797869.034650356</v>
      </c>
      <c r="R4" s="47">
        <f>'Monthly Data'!S4</f>
        <v>0</v>
      </c>
      <c r="S4" s="47">
        <f>+'Monthly Data'!T4</f>
        <v>0</v>
      </c>
      <c r="T4" s="47">
        <f t="shared" ca="1" si="8"/>
        <v>23797869.034650356</v>
      </c>
      <c r="W4" t="s">
        <v>617</v>
      </c>
    </row>
    <row r="5" spans="1:27">
      <c r="A5" s="2">
        <f>'Monthly Data'!A5</f>
        <v>42461</v>
      </c>
      <c r="B5">
        <f>'Monthly Data'!B5</f>
        <v>2016</v>
      </c>
      <c r="C5">
        <f>'Monthly Data'!C5</f>
        <v>4</v>
      </c>
      <c r="D5" s="3">
        <f>'Monthly Data'!R5</f>
        <v>21540038.953470275</v>
      </c>
      <c r="E5" s="91">
        <f ca="1">Weather!BG49</f>
        <v>412.8885416666667</v>
      </c>
      <c r="F5" s="91">
        <f ca="1">Weather!CX49</f>
        <v>2.2025000000000015</v>
      </c>
      <c r="G5">
        <f>'Monthly Data'!EJ5</f>
        <v>0</v>
      </c>
      <c r="H5" s="3">
        <f>'Monthly Data'!DB5</f>
        <v>6909</v>
      </c>
      <c r="I5" s="3">
        <f>'Monthly Data'!DQ5</f>
        <v>30</v>
      </c>
      <c r="K5" s="3">
        <f t="shared" si="1"/>
        <v>3542907.1380836898</v>
      </c>
      <c r="L5" s="3">
        <f t="shared" ca="1" si="2"/>
        <v>4340367.547800201</v>
      </c>
      <c r="M5" s="3">
        <f t="shared" ca="1" si="3"/>
        <v>72354.709389446318</v>
      </c>
      <c r="N5" s="3">
        <f t="shared" si="4"/>
        <v>0</v>
      </c>
      <c r="O5" s="3">
        <f t="shared" si="5"/>
        <v>0</v>
      </c>
      <c r="P5" s="3">
        <f t="shared" si="6"/>
        <v>13536213.05441268</v>
      </c>
      <c r="Q5" s="47">
        <f t="shared" ca="1" si="7"/>
        <v>21491842.449686017</v>
      </c>
      <c r="R5" s="47">
        <f>'Monthly Data'!S5</f>
        <v>0</v>
      </c>
      <c r="S5" s="47">
        <f>+'Monthly Data'!T5</f>
        <v>0</v>
      </c>
      <c r="T5" s="47">
        <f t="shared" ca="1" si="8"/>
        <v>21491842.449686017</v>
      </c>
    </row>
    <row r="6" spans="1:27">
      <c r="A6" s="2">
        <f>'Monthly Data'!A6</f>
        <v>42491</v>
      </c>
      <c r="B6">
        <f>'Monthly Data'!B6</f>
        <v>2016</v>
      </c>
      <c r="C6">
        <f>'Monthly Data'!C6</f>
        <v>5</v>
      </c>
      <c r="D6" s="3">
        <f>'Monthly Data'!R6</f>
        <v>21211175.257671658</v>
      </c>
      <c r="E6" s="91">
        <f ca="1">Weather!BG50</f>
        <v>208.90012508544086</v>
      </c>
      <c r="F6" s="91">
        <f ca="1">Weather!CX50</f>
        <v>48.940113636363641</v>
      </c>
      <c r="G6">
        <f>'Monthly Data'!EJ6</f>
        <v>0</v>
      </c>
      <c r="H6" s="3">
        <f>'Monthly Data'!DB6</f>
        <v>6919.1</v>
      </c>
      <c r="I6" s="3">
        <f>'Monthly Data'!DQ6</f>
        <v>31</v>
      </c>
      <c r="K6" s="3">
        <f t="shared" si="1"/>
        <v>3542907.1380836898</v>
      </c>
      <c r="L6" s="3">
        <f t="shared" ca="1" si="2"/>
        <v>2196000.2086574011</v>
      </c>
      <c r="M6" s="3">
        <f t="shared" ca="1" si="3"/>
        <v>1607740.1587494065</v>
      </c>
      <c r="N6" s="3">
        <f t="shared" si="4"/>
        <v>0</v>
      </c>
      <c r="O6" s="3">
        <f t="shared" si="5"/>
        <v>0</v>
      </c>
      <c r="P6" s="3">
        <f t="shared" si="6"/>
        <v>13987420.156226436</v>
      </c>
      <c r="Q6" s="47">
        <f t="shared" ca="1" si="7"/>
        <v>21334067.661716934</v>
      </c>
      <c r="R6" s="47">
        <f>'Monthly Data'!S6</f>
        <v>0</v>
      </c>
      <c r="S6" s="47">
        <f>+'Monthly Data'!T6</f>
        <v>0</v>
      </c>
      <c r="T6" s="47">
        <f t="shared" ca="1" si="8"/>
        <v>21334067.661716934</v>
      </c>
      <c r="X6" t="s">
        <v>300</v>
      </c>
      <c r="Y6" t="s">
        <v>301</v>
      </c>
      <c r="Z6" t="s">
        <v>302</v>
      </c>
      <c r="AA6" t="s">
        <v>303</v>
      </c>
    </row>
    <row r="7" spans="1:27">
      <c r="A7" s="2">
        <f>'Monthly Data'!A7</f>
        <v>42522</v>
      </c>
      <c r="B7">
        <f>'Monthly Data'!B7</f>
        <v>2016</v>
      </c>
      <c r="C7">
        <f>'Monthly Data'!C7</f>
        <v>6</v>
      </c>
      <c r="D7" s="3">
        <f>'Monthly Data'!R7</f>
        <v>22239964.56426762</v>
      </c>
      <c r="E7" s="91">
        <f ca="1">Weather!BG51</f>
        <v>61.78217382617381</v>
      </c>
      <c r="F7" s="91">
        <f ca="1">Weather!CX51</f>
        <v>144.91160087738351</v>
      </c>
      <c r="G7">
        <f>'Monthly Data'!EJ7</f>
        <v>0</v>
      </c>
      <c r="H7" s="3">
        <f>'Monthly Data'!DB7</f>
        <v>6930</v>
      </c>
      <c r="I7" s="3">
        <f>'Monthly Data'!DQ7</f>
        <v>30</v>
      </c>
      <c r="K7" s="3">
        <f t="shared" si="1"/>
        <v>3542907.1380836898</v>
      </c>
      <c r="L7" s="3">
        <f t="shared" ca="1" si="2"/>
        <v>649466.6604823455</v>
      </c>
      <c r="M7" s="3">
        <f t="shared" ca="1" si="3"/>
        <v>4760516.126511923</v>
      </c>
      <c r="N7" s="3">
        <f t="shared" si="4"/>
        <v>0</v>
      </c>
      <c r="O7" s="3">
        <f t="shared" si="5"/>
        <v>0</v>
      </c>
      <c r="P7" s="3">
        <f t="shared" si="6"/>
        <v>13536213.05441268</v>
      </c>
      <c r="Q7" s="47">
        <f t="shared" ca="1" si="7"/>
        <v>22489102.979490638</v>
      </c>
      <c r="R7" s="47">
        <f>'Monthly Data'!S7</f>
        <v>0</v>
      </c>
      <c r="S7" s="47">
        <f>+'Monthly Data'!T7</f>
        <v>0</v>
      </c>
      <c r="T7" s="47">
        <f t="shared" ca="1" si="8"/>
        <v>22489102.979490638</v>
      </c>
      <c r="W7" t="s">
        <v>304</v>
      </c>
      <c r="X7" s="436">
        <f>'VRZ GS &lt; 50'!Y8</f>
        <v>3542907.1380836898</v>
      </c>
      <c r="Y7" s="3">
        <f>'VRZ GS &lt; 50'!Z8</f>
        <v>1262334.04443435</v>
      </c>
      <c r="Z7" s="235">
        <f>'VRZ GS &lt; 50'!AA8</f>
        <v>2.8066320113161898</v>
      </c>
      <c r="AA7" s="245">
        <f>'VRZ GS &lt; 50'!AB8</f>
        <v>5.8815210686102301E-3</v>
      </c>
    </row>
    <row r="8" spans="1:27">
      <c r="A8" s="2">
        <f>'Monthly Data'!A8</f>
        <v>42552</v>
      </c>
      <c r="B8">
        <f>'Monthly Data'!B8</f>
        <v>2016</v>
      </c>
      <c r="C8">
        <f>'Monthly Data'!C8</f>
        <v>7</v>
      </c>
      <c r="D8" s="3">
        <f>'Monthly Data'!R8</f>
        <v>24686265.973916437</v>
      </c>
      <c r="E8" s="91">
        <f ca="1">Weather!BG52</f>
        <v>8.334479813664597</v>
      </c>
      <c r="F8" s="91">
        <f ca="1">Weather!CX52</f>
        <v>242.72508692061183</v>
      </c>
      <c r="G8">
        <f>'Monthly Data'!EJ8</f>
        <v>0</v>
      </c>
      <c r="H8" s="3">
        <f>'Monthly Data'!DB8</f>
        <v>6933.8</v>
      </c>
      <c r="I8" s="3">
        <f>'Monthly Data'!DQ8</f>
        <v>31</v>
      </c>
      <c r="K8" s="3">
        <f t="shared" si="1"/>
        <v>3542907.1380836898</v>
      </c>
      <c r="L8" s="3">
        <f t="shared" ca="1" si="2"/>
        <v>87613.731214246814</v>
      </c>
      <c r="M8" s="3">
        <f t="shared" ca="1" si="3"/>
        <v>7973803.9163082652</v>
      </c>
      <c r="N8" s="3">
        <f t="shared" si="4"/>
        <v>0</v>
      </c>
      <c r="O8" s="3">
        <f t="shared" si="5"/>
        <v>0</v>
      </c>
      <c r="P8" s="3">
        <f t="shared" si="6"/>
        <v>13987420.156226436</v>
      </c>
      <c r="Q8" s="47">
        <f t="shared" ca="1" si="7"/>
        <v>25591744.941832639</v>
      </c>
      <c r="R8" s="47">
        <f>'Monthly Data'!S8</f>
        <v>0</v>
      </c>
      <c r="S8" s="47">
        <f>+'Monthly Data'!T8</f>
        <v>0</v>
      </c>
      <c r="T8" s="47">
        <f t="shared" ca="1" si="8"/>
        <v>25591744.941832639</v>
      </c>
      <c r="W8" t="s">
        <v>116</v>
      </c>
      <c r="X8" s="3">
        <f>'VRZ GS &lt; 50'!Y9</f>
        <v>10512.201501838401</v>
      </c>
      <c r="Y8" s="3">
        <f>'VRZ GS &lt; 50'!Z9</f>
        <v>433.437765841729</v>
      </c>
      <c r="Z8" s="235">
        <f>'VRZ GS &lt; 50'!AA9</f>
        <v>24.253081596209899</v>
      </c>
      <c r="AA8" s="245">
        <f>'VRZ GS &lt; 50'!AB9</f>
        <v>4.9132262050814201E-47</v>
      </c>
    </row>
    <row r="9" spans="1:27">
      <c r="A9" s="2">
        <f>'Monthly Data'!A9</f>
        <v>42583</v>
      </c>
      <c r="B9">
        <f>'Monthly Data'!B9</f>
        <v>2016</v>
      </c>
      <c r="C9">
        <f>'Monthly Data'!C9</f>
        <v>8</v>
      </c>
      <c r="D9" s="3">
        <f>'Monthly Data'!R9</f>
        <v>25811417.484328467</v>
      </c>
      <c r="E9" s="91">
        <f ca="1">Weather!BG53</f>
        <v>21.054927536231883</v>
      </c>
      <c r="F9" s="91">
        <f ca="1">Weather!CX53</f>
        <v>214.02558794466404</v>
      </c>
      <c r="G9">
        <f>'Monthly Data'!EJ9</f>
        <v>0</v>
      </c>
      <c r="H9" s="3">
        <f>'Monthly Data'!DB9</f>
        <v>6931.2</v>
      </c>
      <c r="I9" s="3">
        <f>'Monthly Data'!DQ9</f>
        <v>31</v>
      </c>
      <c r="K9" s="3">
        <f t="shared" si="1"/>
        <v>3542907.1380836898</v>
      </c>
      <c r="L9" s="3">
        <f t="shared" ca="1" si="2"/>
        <v>221333.64086747551</v>
      </c>
      <c r="M9" s="3">
        <f t="shared" ca="1" si="3"/>
        <v>7030991.699269712</v>
      </c>
      <c r="N9" s="3">
        <f t="shared" si="4"/>
        <v>0</v>
      </c>
      <c r="O9" s="3">
        <f t="shared" si="5"/>
        <v>0</v>
      </c>
      <c r="P9" s="3">
        <f t="shared" si="6"/>
        <v>13987420.156226436</v>
      </c>
      <c r="Q9" s="47">
        <f t="shared" ca="1" si="7"/>
        <v>24782652.634447314</v>
      </c>
      <c r="R9" s="47">
        <f>'Monthly Data'!S9</f>
        <v>0</v>
      </c>
      <c r="S9" s="47">
        <f>+'Monthly Data'!T9</f>
        <v>0</v>
      </c>
      <c r="T9" s="47">
        <f t="shared" ca="1" si="8"/>
        <v>24782652.634447314</v>
      </c>
      <c r="W9" t="s">
        <v>123</v>
      </c>
      <c r="X9" s="3">
        <f>'VRZ GS &lt; 50'!Y10</f>
        <v>32851.173389078896</v>
      </c>
      <c r="Y9" s="3">
        <f>'VRZ GS &lt; 50'!Z10</f>
        <v>1074.7621176949999</v>
      </c>
      <c r="Z9" s="235">
        <f>'VRZ GS &lt; 50'!AA10</f>
        <v>30.565994882228999</v>
      </c>
      <c r="AA9" s="245">
        <f>'VRZ GS &lt; 50'!AB10</f>
        <v>4.8335705351016201E-57</v>
      </c>
    </row>
    <row r="10" spans="1:27">
      <c r="A10" s="2">
        <f>'Monthly Data'!A10</f>
        <v>42614</v>
      </c>
      <c r="B10">
        <f>'Monthly Data'!B10</f>
        <v>2016</v>
      </c>
      <c r="C10">
        <f>'Monthly Data'!C10</f>
        <v>9</v>
      </c>
      <c r="D10" s="3">
        <f>'Monthly Data'!R10</f>
        <v>21886803.918791153</v>
      </c>
      <c r="E10" s="91">
        <f ca="1">Weather!BG54</f>
        <v>97.667119565217376</v>
      </c>
      <c r="F10" s="91">
        <f ca="1">Weather!CX54</f>
        <v>102.40708333333332</v>
      </c>
      <c r="G10">
        <f>'Monthly Data'!EJ10</f>
        <v>0</v>
      </c>
      <c r="H10" s="3">
        <f>'Monthly Data'!DB10</f>
        <v>6929.7</v>
      </c>
      <c r="I10" s="3">
        <f>'Monthly Data'!DQ10</f>
        <v>30</v>
      </c>
      <c r="K10" s="3">
        <f t="shared" si="1"/>
        <v>3542907.1380836898</v>
      </c>
      <c r="L10" s="3">
        <f t="shared" ca="1" si="2"/>
        <v>1026696.4409737088</v>
      </c>
      <c r="M10" s="3">
        <f t="shared" ca="1" si="3"/>
        <v>3364192.8508531847</v>
      </c>
      <c r="N10" s="3">
        <f t="shared" si="4"/>
        <v>0</v>
      </c>
      <c r="O10" s="3">
        <f t="shared" si="5"/>
        <v>0</v>
      </c>
      <c r="P10" s="3">
        <f t="shared" si="6"/>
        <v>13536213.05441268</v>
      </c>
      <c r="Q10" s="47">
        <f t="shared" ref="Q10:Q41" ca="1" si="9">SUM(K10:P10)</f>
        <v>21470009.484323263</v>
      </c>
      <c r="R10" s="47">
        <f>'Monthly Data'!S10</f>
        <v>0</v>
      </c>
      <c r="S10" s="47">
        <f>+'Monthly Data'!T10</f>
        <v>0</v>
      </c>
      <c r="T10" s="47">
        <f t="shared" ca="1" si="8"/>
        <v>21470009.484323263</v>
      </c>
      <c r="W10" t="s">
        <v>164</v>
      </c>
      <c r="X10" s="436">
        <f>'VRZ GS &lt; 50'!Y11</f>
        <v>-2618744.1838684198</v>
      </c>
      <c r="Y10" s="3">
        <f>'VRZ GS &lt; 50'!Z11</f>
        <v>584233.20237619197</v>
      </c>
      <c r="Z10" s="235">
        <f>'VRZ GS &lt; 50'!AA11</f>
        <v>-4.4823611072042402</v>
      </c>
      <c r="AA10" s="245">
        <f>'VRZ GS &lt; 50'!AB11</f>
        <v>1.7551155443440101E-5</v>
      </c>
    </row>
    <row r="11" spans="1:27">
      <c r="A11" s="2">
        <f>'Monthly Data'!A11</f>
        <v>42644</v>
      </c>
      <c r="B11">
        <f>'Monthly Data'!B11</f>
        <v>2016</v>
      </c>
      <c r="C11">
        <f>'Monthly Data'!C11</f>
        <v>10</v>
      </c>
      <c r="D11" s="3">
        <f>'Monthly Data'!R11</f>
        <v>20725400.682227511</v>
      </c>
      <c r="E11" s="91">
        <f ca="1">Weather!BG55</f>
        <v>292.46431159420291</v>
      </c>
      <c r="F11" s="91">
        <f ca="1">Weather!CX55</f>
        <v>19.741250000000004</v>
      </c>
      <c r="G11">
        <f>'Monthly Data'!EJ11</f>
        <v>0</v>
      </c>
      <c r="H11" s="3">
        <f>'Monthly Data'!DB11</f>
        <v>6942</v>
      </c>
      <c r="I11" s="3">
        <f>'Monthly Data'!DQ11</f>
        <v>31</v>
      </c>
      <c r="K11" s="3">
        <f t="shared" si="1"/>
        <v>3542907.1380836898</v>
      </c>
      <c r="L11" s="3">
        <f t="shared" ca="1" si="2"/>
        <v>3074443.7755747139</v>
      </c>
      <c r="M11" s="3">
        <f t="shared" ca="1" si="3"/>
        <v>648523.22666715388</v>
      </c>
      <c r="N11" s="3">
        <f t="shared" si="4"/>
        <v>0</v>
      </c>
      <c r="O11" s="3">
        <f t="shared" si="5"/>
        <v>0</v>
      </c>
      <c r="P11" s="3">
        <f t="shared" si="6"/>
        <v>13987420.156226436</v>
      </c>
      <c r="Q11" s="47">
        <f t="shared" ca="1" si="9"/>
        <v>21253294.296551995</v>
      </c>
      <c r="R11" s="47">
        <f>'Monthly Data'!S11</f>
        <v>0</v>
      </c>
      <c r="S11" s="47">
        <f>+'Monthly Data'!T11</f>
        <v>0</v>
      </c>
      <c r="T11" s="47">
        <f t="shared" ca="1" si="8"/>
        <v>21253294.296551995</v>
      </c>
      <c r="W11" t="s">
        <v>130</v>
      </c>
      <c r="X11" s="3">
        <f>'VRZ GS &lt; 50'!Y12</f>
        <v>0</v>
      </c>
      <c r="Y11" s="3">
        <f>'VRZ GS &lt; 50'!Z12</f>
        <v>0</v>
      </c>
      <c r="Z11" s="235">
        <f>'VRZ GS &lt; 50'!AA12</f>
        <v>0</v>
      </c>
      <c r="AA11" s="245">
        <f>'VRZ GS &lt; 50'!AB12</f>
        <v>0</v>
      </c>
    </row>
    <row r="12" spans="1:27">
      <c r="A12" s="2">
        <f>'Monthly Data'!A12</f>
        <v>42675</v>
      </c>
      <c r="B12">
        <f>'Monthly Data'!B12</f>
        <v>2016</v>
      </c>
      <c r="C12">
        <f>'Monthly Data'!C12</f>
        <v>11</v>
      </c>
      <c r="D12" s="3">
        <f>'Monthly Data'!R12</f>
        <v>21596970.981115021</v>
      </c>
      <c r="E12" s="91">
        <f ca="1">Weather!BG56</f>
        <v>495.51408055712409</v>
      </c>
      <c r="F12" s="91">
        <f ca="1">Weather!CX56</f>
        <v>0.78124999999999944</v>
      </c>
      <c r="G12">
        <f>'Monthly Data'!EJ12</f>
        <v>0</v>
      </c>
      <c r="H12" s="3">
        <f>'Monthly Data'!DB12</f>
        <v>6959</v>
      </c>
      <c r="I12" s="3">
        <f>'Monthly Data'!DQ12</f>
        <v>30</v>
      </c>
      <c r="K12" s="3">
        <f t="shared" si="1"/>
        <v>3542907.1380836898</v>
      </c>
      <c r="L12" s="3">
        <f t="shared" ca="1" si="2"/>
        <v>5208943.861814674</v>
      </c>
      <c r="M12" s="3">
        <f t="shared" ca="1" si="3"/>
        <v>25664.979210217869</v>
      </c>
      <c r="N12" s="3">
        <f t="shared" si="4"/>
        <v>0</v>
      </c>
      <c r="O12" s="3">
        <f t="shared" si="5"/>
        <v>0</v>
      </c>
      <c r="P12" s="3">
        <f t="shared" si="6"/>
        <v>13536213.05441268</v>
      </c>
      <c r="Q12" s="47">
        <f t="shared" ca="1" si="9"/>
        <v>22313729.033521261</v>
      </c>
      <c r="R12" s="47">
        <f>'Monthly Data'!S12</f>
        <v>0</v>
      </c>
      <c r="S12" s="47">
        <f>+'Monthly Data'!T12</f>
        <v>0</v>
      </c>
      <c r="T12" s="47">
        <f t="shared" ca="1" si="8"/>
        <v>22313729.033521261</v>
      </c>
      <c r="W12" t="s">
        <v>305</v>
      </c>
      <c r="X12" s="3">
        <f>'VRZ GS &lt; 50'!Y13</f>
        <v>451207.10181375599</v>
      </c>
      <c r="Y12" s="3">
        <f>'VRZ GS &lt; 50'!Z13</f>
        <v>41481.650684951797</v>
      </c>
      <c r="Z12" s="235">
        <f>'VRZ GS &lt; 50'!AA13</f>
        <v>10.8772696930655</v>
      </c>
      <c r="AA12" s="245">
        <f>'VRZ GS &lt; 50'!AB13</f>
        <v>2.2283554973687001E-19</v>
      </c>
    </row>
    <row r="13" spans="1:27">
      <c r="A13" s="2">
        <f>'Monthly Data'!A13</f>
        <v>42705</v>
      </c>
      <c r="B13">
        <f>'Monthly Data'!B13</f>
        <v>2016</v>
      </c>
      <c r="C13">
        <f>'Monthly Data'!C13</f>
        <v>12</v>
      </c>
      <c r="D13" s="3">
        <f>'Monthly Data'!R13</f>
        <v>24661948.89940713</v>
      </c>
      <c r="E13" s="91">
        <f ca="1">Weather!BG57</f>
        <v>664.38541666666663</v>
      </c>
      <c r="F13" s="91">
        <f ca="1">Weather!CX57</f>
        <v>0</v>
      </c>
      <c r="G13">
        <f>'Monthly Data'!EJ13</f>
        <v>0</v>
      </c>
      <c r="H13" s="3">
        <f>'Monthly Data'!DB13</f>
        <v>6974.4</v>
      </c>
      <c r="I13" s="3">
        <f>'Monthly Data'!DQ13</f>
        <v>31</v>
      </c>
      <c r="K13" s="3">
        <f t="shared" si="1"/>
        <v>3542907.1380836898</v>
      </c>
      <c r="L13" s="3">
        <f t="shared" ca="1" si="2"/>
        <v>6984153.3748828648</v>
      </c>
      <c r="M13" s="3">
        <f t="shared" ca="1" si="3"/>
        <v>0</v>
      </c>
      <c r="N13" s="3">
        <f t="shared" si="4"/>
        <v>0</v>
      </c>
      <c r="O13" s="3">
        <f t="shared" si="5"/>
        <v>0</v>
      </c>
      <c r="P13" s="3">
        <f t="shared" si="6"/>
        <v>13987420.156226436</v>
      </c>
      <c r="Q13" s="47">
        <f t="shared" ca="1" si="9"/>
        <v>24514480.669192992</v>
      </c>
      <c r="R13" s="47">
        <f>'Monthly Data'!S13</f>
        <v>0</v>
      </c>
      <c r="S13" s="47">
        <f>+'Monthly Data'!T13</f>
        <v>0</v>
      </c>
      <c r="T13" s="47">
        <f t="shared" ca="1" si="8"/>
        <v>24514480.669192992</v>
      </c>
      <c r="X13" s="3"/>
      <c r="Y13" s="3"/>
      <c r="Z13" s="235"/>
      <c r="AA13" s="100"/>
    </row>
    <row r="14" spans="1:27">
      <c r="A14" s="2">
        <f>'Monthly Data'!A14</f>
        <v>42736</v>
      </c>
      <c r="B14">
        <f>'Monthly Data'!B14</f>
        <v>2017</v>
      </c>
      <c r="C14">
        <f>'Monthly Data'!C14</f>
        <v>1</v>
      </c>
      <c r="D14" s="3">
        <f>'Monthly Data'!R14</f>
        <v>25099418.824082334</v>
      </c>
      <c r="E14" s="3">
        <f t="shared" ref="E14:F14" ca="1" si="10">E2</f>
        <v>752.78750000000002</v>
      </c>
      <c r="F14" s="3">
        <f t="shared" ca="1" si="10"/>
        <v>0</v>
      </c>
      <c r="G14">
        <f>'Monthly Data'!EJ14</f>
        <v>0</v>
      </c>
      <c r="H14" s="3">
        <f>'Monthly Data'!DB14</f>
        <v>6998.9</v>
      </c>
      <c r="I14" s="3">
        <f>'Monthly Data'!DQ14</f>
        <v>31</v>
      </c>
      <c r="K14" s="3">
        <f t="shared" si="1"/>
        <v>3542907.1380836898</v>
      </c>
      <c r="L14" s="3">
        <f t="shared" ca="1" si="2"/>
        <v>7913453.8880651752</v>
      </c>
      <c r="M14" s="3">
        <f t="shared" ca="1" si="3"/>
        <v>0</v>
      </c>
      <c r="N14" s="3">
        <f t="shared" si="4"/>
        <v>0</v>
      </c>
      <c r="O14" s="3">
        <f t="shared" si="5"/>
        <v>0</v>
      </c>
      <c r="P14" s="3">
        <f t="shared" si="6"/>
        <v>13987420.156226436</v>
      </c>
      <c r="Q14" s="47">
        <f t="shared" ca="1" si="9"/>
        <v>25443781.182375301</v>
      </c>
      <c r="R14" s="47">
        <f>'Monthly Data'!S14</f>
        <v>400.49435897435899</v>
      </c>
      <c r="S14" s="47">
        <f>+'Monthly Data'!T14</f>
        <v>0</v>
      </c>
      <c r="T14" s="47">
        <f t="shared" ca="1" si="8"/>
        <v>25444181.676734276</v>
      </c>
      <c r="W14" t="s">
        <v>306</v>
      </c>
      <c r="X14" s="3"/>
      <c r="Y14" s="3"/>
      <c r="Z14" s="235"/>
      <c r="AA14" s="100"/>
    </row>
    <row r="15" spans="1:27">
      <c r="A15" s="2">
        <f>'Monthly Data'!A15</f>
        <v>42767</v>
      </c>
      <c r="B15">
        <f>'Monthly Data'!B15</f>
        <v>2017</v>
      </c>
      <c r="C15">
        <f>'Monthly Data'!C15</f>
        <v>2</v>
      </c>
      <c r="D15" s="3">
        <f>'Monthly Data'!R15</f>
        <v>22458315.671468545</v>
      </c>
      <c r="E15" s="3">
        <f t="shared" ref="E15:F15" ca="1" si="11">E3</f>
        <v>660.7954166666666</v>
      </c>
      <c r="F15" s="3">
        <f t="shared" ca="1" si="11"/>
        <v>0</v>
      </c>
      <c r="G15">
        <f>'Monthly Data'!EJ15</f>
        <v>0</v>
      </c>
      <c r="H15" s="3">
        <f>'Monthly Data'!DB15</f>
        <v>7017.3</v>
      </c>
      <c r="I15" s="3">
        <f>'Monthly Data'!DQ15</f>
        <v>28</v>
      </c>
      <c r="K15" s="3">
        <f t="shared" si="1"/>
        <v>3542907.1380836898</v>
      </c>
      <c r="L15" s="3">
        <f t="shared" ca="1" si="2"/>
        <v>6946414.5714912647</v>
      </c>
      <c r="M15" s="3">
        <f t="shared" ca="1" si="3"/>
        <v>0</v>
      </c>
      <c r="N15" s="3">
        <f t="shared" si="4"/>
        <v>0</v>
      </c>
      <c r="O15" s="3">
        <f t="shared" si="5"/>
        <v>0</v>
      </c>
      <c r="P15" s="3">
        <f t="shared" si="6"/>
        <v>12633798.850785168</v>
      </c>
      <c r="Q15" s="47">
        <f t="shared" ca="1" si="9"/>
        <v>23123120.560360122</v>
      </c>
      <c r="R15" s="47">
        <f>'Monthly Data'!S15</f>
        <v>800.98871794871798</v>
      </c>
      <c r="S15" s="47">
        <f>+'Monthly Data'!T15</f>
        <v>0</v>
      </c>
      <c r="T15" s="47">
        <f t="shared" ca="1" si="8"/>
        <v>23123921.54907807</v>
      </c>
      <c r="W15" t="s">
        <v>307</v>
      </c>
      <c r="X15">
        <v>37925011225342</v>
      </c>
      <c r="Y15" t="s">
        <v>308</v>
      </c>
      <c r="Z15">
        <v>579326.82344757603</v>
      </c>
    </row>
    <row r="16" spans="1:27">
      <c r="A16" s="2">
        <f>'Monthly Data'!A16</f>
        <v>42795</v>
      </c>
      <c r="B16">
        <f>'Monthly Data'!B16</f>
        <v>2017</v>
      </c>
      <c r="C16">
        <f>'Monthly Data'!C16</f>
        <v>3</v>
      </c>
      <c r="D16" s="3">
        <f>'Monthly Data'!R16</f>
        <v>24763416.611976296</v>
      </c>
      <c r="E16" s="3">
        <f t="shared" ref="E16:F16" ca="1" si="12">E4</f>
        <v>596.21590579710141</v>
      </c>
      <c r="F16" s="3">
        <f t="shared" ca="1" si="12"/>
        <v>0</v>
      </c>
      <c r="G16">
        <f>'Monthly Data'!EJ16</f>
        <v>0</v>
      </c>
      <c r="H16" s="3">
        <f>'Monthly Data'!DB16</f>
        <v>7035.4</v>
      </c>
      <c r="I16" s="3">
        <f>'Monthly Data'!DQ16</f>
        <v>31</v>
      </c>
      <c r="K16" s="3">
        <f t="shared" si="1"/>
        <v>3542907.1380836898</v>
      </c>
      <c r="L16" s="3">
        <f t="shared" ca="1" si="2"/>
        <v>6267541.7403402319</v>
      </c>
      <c r="M16" s="3">
        <f t="shared" ca="1" si="3"/>
        <v>0</v>
      </c>
      <c r="N16" s="3">
        <f t="shared" si="4"/>
        <v>0</v>
      </c>
      <c r="O16" s="3">
        <f t="shared" si="5"/>
        <v>0</v>
      </c>
      <c r="P16" s="3">
        <f t="shared" si="6"/>
        <v>13987420.156226436</v>
      </c>
      <c r="Q16" s="47">
        <f t="shared" ca="1" si="9"/>
        <v>23797869.034650356</v>
      </c>
      <c r="R16" s="47">
        <f>'Monthly Data'!S16</f>
        <v>1201.4830769230771</v>
      </c>
      <c r="S16" s="47">
        <f>+'Monthly Data'!T16</f>
        <v>0</v>
      </c>
      <c r="T16" s="47">
        <f t="shared" ca="1" si="8"/>
        <v>23799070.517727278</v>
      </c>
      <c r="W16" t="s">
        <v>309</v>
      </c>
      <c r="X16">
        <v>0.92734748966735103</v>
      </c>
      <c r="Y16" t="s">
        <v>310</v>
      </c>
      <c r="Z16">
        <v>0.92413277682077299</v>
      </c>
    </row>
    <row r="17" spans="1:26">
      <c r="A17" s="2">
        <f>'Monthly Data'!A17</f>
        <v>42826</v>
      </c>
      <c r="B17">
        <f>'Monthly Data'!B17</f>
        <v>2017</v>
      </c>
      <c r="C17">
        <f>'Monthly Data'!C17</f>
        <v>4</v>
      </c>
      <c r="D17" s="3">
        <f>'Monthly Data'!R17</f>
        <v>20428681.878633447</v>
      </c>
      <c r="E17" s="3">
        <f t="shared" ref="E17:F17" ca="1" si="13">E5</f>
        <v>412.8885416666667</v>
      </c>
      <c r="F17" s="3">
        <f t="shared" ca="1" si="13"/>
        <v>2.2025000000000015</v>
      </c>
      <c r="G17">
        <f>'Monthly Data'!EJ17</f>
        <v>0</v>
      </c>
      <c r="H17" s="3">
        <f>'Monthly Data'!DB17</f>
        <v>7041.8</v>
      </c>
      <c r="I17" s="3">
        <f>'Monthly Data'!DQ17</f>
        <v>30</v>
      </c>
      <c r="K17" s="3">
        <f t="shared" si="1"/>
        <v>3542907.1380836898</v>
      </c>
      <c r="L17" s="3">
        <f t="shared" ca="1" si="2"/>
        <v>4340367.547800201</v>
      </c>
      <c r="M17" s="3">
        <f t="shared" ca="1" si="3"/>
        <v>72354.709389446318</v>
      </c>
      <c r="N17" s="3">
        <f t="shared" si="4"/>
        <v>0</v>
      </c>
      <c r="O17" s="3">
        <f t="shared" si="5"/>
        <v>0</v>
      </c>
      <c r="P17" s="3">
        <f t="shared" si="6"/>
        <v>13536213.05441268</v>
      </c>
      <c r="Q17" s="47">
        <f t="shared" ca="1" si="9"/>
        <v>21491842.449686017</v>
      </c>
      <c r="R17" s="47">
        <f>'Monthly Data'!S17</f>
        <v>1601.977435897436</v>
      </c>
      <c r="S17" s="47">
        <f>+'Monthly Data'!T17</f>
        <v>0</v>
      </c>
      <c r="T17" s="47">
        <f t="shared" ca="1" si="8"/>
        <v>21493444.427121915</v>
      </c>
      <c r="W17" t="s">
        <v>618</v>
      </c>
      <c r="X17">
        <v>332.18066344483901</v>
      </c>
      <c r="Y17" t="s">
        <v>312</v>
      </c>
      <c r="Z17" s="3">
        <v>8.1463656526988602E-66</v>
      </c>
    </row>
    <row r="18" spans="1:26">
      <c r="A18" s="2">
        <f>'Monthly Data'!A18</f>
        <v>42856</v>
      </c>
      <c r="B18">
        <f>'Monthly Data'!B18</f>
        <v>2017</v>
      </c>
      <c r="C18">
        <f>'Monthly Data'!C18</f>
        <v>5</v>
      </c>
      <c r="D18" s="3">
        <f>'Monthly Data'!R18</f>
        <v>20719953.781686418</v>
      </c>
      <c r="E18" s="3">
        <f t="shared" ref="E18:F18" ca="1" si="14">E6</f>
        <v>208.90012508544086</v>
      </c>
      <c r="F18" s="3">
        <f t="shared" ca="1" si="14"/>
        <v>48.940113636363641</v>
      </c>
      <c r="G18">
        <f>'Monthly Data'!EJ18</f>
        <v>0</v>
      </c>
      <c r="H18" s="3">
        <f>'Monthly Data'!DB18</f>
        <v>7055.9</v>
      </c>
      <c r="I18" s="3">
        <f>'Monthly Data'!DQ18</f>
        <v>31</v>
      </c>
      <c r="K18" s="3">
        <f t="shared" si="1"/>
        <v>3542907.1380836898</v>
      </c>
      <c r="L18" s="3">
        <f t="shared" ca="1" si="2"/>
        <v>2196000.2086574011</v>
      </c>
      <c r="M18" s="3">
        <f t="shared" ca="1" si="3"/>
        <v>1607740.1587494065</v>
      </c>
      <c r="N18" s="3">
        <f t="shared" si="4"/>
        <v>0</v>
      </c>
      <c r="O18" s="3">
        <f t="shared" si="5"/>
        <v>0</v>
      </c>
      <c r="P18" s="3">
        <f t="shared" si="6"/>
        <v>13987420.156226436</v>
      </c>
      <c r="Q18" s="47">
        <f t="shared" ca="1" si="9"/>
        <v>21334067.661716934</v>
      </c>
      <c r="R18" s="47">
        <f>'Monthly Data'!S18</f>
        <v>2002.4717948717951</v>
      </c>
      <c r="S18" s="47">
        <f>+'Monthly Data'!T18</f>
        <v>0</v>
      </c>
      <c r="T18" s="47">
        <f t="shared" ca="1" si="8"/>
        <v>21336070.133511808</v>
      </c>
      <c r="W18" t="s">
        <v>313</v>
      </c>
      <c r="X18" s="99">
        <v>-0.158333118685347</v>
      </c>
      <c r="Y18" t="s">
        <v>314</v>
      </c>
      <c r="Z18" s="99">
        <v>2.3002652944469899</v>
      </c>
    </row>
    <row r="19" spans="1:26">
      <c r="A19" s="2">
        <f>'Monthly Data'!A19</f>
        <v>42887</v>
      </c>
      <c r="B19">
        <f>'Monthly Data'!B19</f>
        <v>2017</v>
      </c>
      <c r="C19">
        <f>'Monthly Data'!C19</f>
        <v>6</v>
      </c>
      <c r="D19" s="3">
        <f>'Monthly Data'!R19</f>
        <v>21209040.734510425</v>
      </c>
      <c r="E19" s="3">
        <f t="shared" ref="E19:F19" ca="1" si="15">E7</f>
        <v>61.78217382617381</v>
      </c>
      <c r="F19" s="3">
        <f t="shared" ca="1" si="15"/>
        <v>144.91160087738351</v>
      </c>
      <c r="G19">
        <f>'Monthly Data'!EJ19</f>
        <v>0</v>
      </c>
      <c r="H19" s="3">
        <f>'Monthly Data'!DB19</f>
        <v>7071</v>
      </c>
      <c r="I19" s="3">
        <f>'Monthly Data'!DQ19</f>
        <v>30</v>
      </c>
      <c r="K19" s="3">
        <f t="shared" si="1"/>
        <v>3542907.1380836898</v>
      </c>
      <c r="L19" s="3">
        <f t="shared" ca="1" si="2"/>
        <v>649466.6604823455</v>
      </c>
      <c r="M19" s="3">
        <f t="shared" ca="1" si="3"/>
        <v>4760516.126511923</v>
      </c>
      <c r="N19" s="3">
        <f t="shared" si="4"/>
        <v>0</v>
      </c>
      <c r="O19" s="3">
        <f t="shared" si="5"/>
        <v>0</v>
      </c>
      <c r="P19" s="3">
        <f t="shared" si="6"/>
        <v>13536213.05441268</v>
      </c>
      <c r="Q19" s="47">
        <f t="shared" ca="1" si="9"/>
        <v>22489102.979490638</v>
      </c>
      <c r="R19" s="47">
        <f>'Monthly Data'!S19</f>
        <v>2402.9661538461542</v>
      </c>
      <c r="S19" s="47">
        <f>+'Monthly Data'!T19</f>
        <v>0</v>
      </c>
      <c r="T19" s="47">
        <f t="shared" ca="1" si="8"/>
        <v>22491505.945644483</v>
      </c>
      <c r="X19" s="235"/>
      <c r="Z19" s="99"/>
    </row>
    <row r="20" spans="1:26">
      <c r="A20" s="2">
        <f>'Monthly Data'!A20</f>
        <v>42917</v>
      </c>
      <c r="B20">
        <f>'Monthly Data'!B20</f>
        <v>2017</v>
      </c>
      <c r="C20">
        <f>'Monthly Data'!C20</f>
        <v>7</v>
      </c>
      <c r="D20" s="3">
        <f>'Monthly Data'!R20</f>
        <v>23081254.913474578</v>
      </c>
      <c r="E20" s="3">
        <f t="shared" ref="E20:F20" ca="1" si="16">E8</f>
        <v>8.334479813664597</v>
      </c>
      <c r="F20" s="3">
        <f t="shared" ca="1" si="16"/>
        <v>242.72508692061183</v>
      </c>
      <c r="G20">
        <f>'Monthly Data'!EJ20</f>
        <v>0</v>
      </c>
      <c r="H20" s="3">
        <f>'Monthly Data'!DB20</f>
        <v>7099.1</v>
      </c>
      <c r="I20" s="3">
        <f>'Monthly Data'!DQ20</f>
        <v>31</v>
      </c>
      <c r="K20" s="3">
        <f t="shared" si="1"/>
        <v>3542907.1380836898</v>
      </c>
      <c r="L20" s="3">
        <f t="shared" ca="1" si="2"/>
        <v>87613.731214246814</v>
      </c>
      <c r="M20" s="3">
        <f t="shared" ca="1" si="3"/>
        <v>7973803.9163082652</v>
      </c>
      <c r="N20" s="3">
        <f t="shared" si="4"/>
        <v>0</v>
      </c>
      <c r="O20" s="3">
        <f t="shared" si="5"/>
        <v>0</v>
      </c>
      <c r="P20" s="3">
        <f t="shared" si="6"/>
        <v>13987420.156226436</v>
      </c>
      <c r="Q20" s="47">
        <f t="shared" ca="1" si="9"/>
        <v>25591744.941832639</v>
      </c>
      <c r="R20" s="47">
        <f>'Monthly Data'!S20</f>
        <v>2803.460512820513</v>
      </c>
      <c r="S20" s="47">
        <f>+'Monthly Data'!T20</f>
        <v>0</v>
      </c>
      <c r="T20" s="47">
        <f t="shared" ca="1" si="8"/>
        <v>25594548.40234546</v>
      </c>
      <c r="W20" t="s">
        <v>315</v>
      </c>
      <c r="X20" s="99"/>
      <c r="Z20" s="99"/>
    </row>
    <row r="21" spans="1:26">
      <c r="A21" s="2">
        <f>'Monthly Data'!A21</f>
        <v>42948</v>
      </c>
      <c r="B21">
        <f>'Monthly Data'!B21</f>
        <v>2017</v>
      </c>
      <c r="C21">
        <f>'Monthly Data'!C21</f>
        <v>8</v>
      </c>
      <c r="D21" s="3">
        <f>'Monthly Data'!R21</f>
        <v>22835107.341274541</v>
      </c>
      <c r="E21" s="3">
        <f t="shared" ref="E21:F21" ca="1" si="17">E9</f>
        <v>21.054927536231883</v>
      </c>
      <c r="F21" s="3">
        <f t="shared" ca="1" si="17"/>
        <v>214.02558794466404</v>
      </c>
      <c r="G21">
        <f>'Monthly Data'!EJ21</f>
        <v>0</v>
      </c>
      <c r="H21" s="3">
        <f>'Monthly Data'!DB21</f>
        <v>7118</v>
      </c>
      <c r="I21" s="3">
        <f>'Monthly Data'!DQ21</f>
        <v>31</v>
      </c>
      <c r="K21" s="3">
        <f t="shared" si="1"/>
        <v>3542907.1380836898</v>
      </c>
      <c r="L21" s="3">
        <f t="shared" ca="1" si="2"/>
        <v>221333.64086747551</v>
      </c>
      <c r="M21" s="3">
        <f t="shared" ca="1" si="3"/>
        <v>7030991.699269712</v>
      </c>
      <c r="N21" s="3">
        <f t="shared" si="4"/>
        <v>0</v>
      </c>
      <c r="O21" s="3">
        <f t="shared" si="5"/>
        <v>0</v>
      </c>
      <c r="P21" s="3">
        <f t="shared" si="6"/>
        <v>13987420.156226436</v>
      </c>
      <c r="Q21" s="47">
        <f t="shared" ca="1" si="9"/>
        <v>24782652.634447314</v>
      </c>
      <c r="R21" s="47">
        <f>'Monthly Data'!S21</f>
        <v>3203.9548717948719</v>
      </c>
      <c r="S21" s="47">
        <f>+'Monthly Data'!T21</f>
        <v>0</v>
      </c>
      <c r="T21" s="47">
        <f t="shared" ca="1" si="8"/>
        <v>24785856.58931911</v>
      </c>
      <c r="W21" t="s">
        <v>316</v>
      </c>
      <c r="X21">
        <v>23967188.316075001</v>
      </c>
      <c r="Y21" t="s">
        <v>317</v>
      </c>
      <c r="Z21">
        <v>2092494.87055388</v>
      </c>
    </row>
    <row r="22" spans="1:26">
      <c r="A22" s="2">
        <f>'Monthly Data'!A22</f>
        <v>42979</v>
      </c>
      <c r="B22">
        <f>'Monthly Data'!B22</f>
        <v>2017</v>
      </c>
      <c r="C22">
        <f>'Monthly Data'!C22</f>
        <v>9</v>
      </c>
      <c r="D22" s="3">
        <f>'Monthly Data'!R22</f>
        <v>21417225.225619446</v>
      </c>
      <c r="E22" s="3">
        <f t="shared" ref="E22:F22" ca="1" si="18">E10</f>
        <v>97.667119565217376</v>
      </c>
      <c r="F22" s="3">
        <f t="shared" ca="1" si="18"/>
        <v>102.40708333333332</v>
      </c>
      <c r="G22">
        <f>'Monthly Data'!EJ22</f>
        <v>0</v>
      </c>
      <c r="H22" s="3">
        <f>'Monthly Data'!DB22</f>
        <v>7143.3</v>
      </c>
      <c r="I22" s="3">
        <f>'Monthly Data'!DQ22</f>
        <v>30</v>
      </c>
      <c r="K22" s="3">
        <f t="shared" si="1"/>
        <v>3542907.1380836898</v>
      </c>
      <c r="L22" s="3">
        <f t="shared" ca="1" si="2"/>
        <v>1026696.4409737088</v>
      </c>
      <c r="M22" s="3">
        <f t="shared" ca="1" si="3"/>
        <v>3364192.8508531847</v>
      </c>
      <c r="N22" s="3">
        <f t="shared" si="4"/>
        <v>0</v>
      </c>
      <c r="O22" s="3">
        <f t="shared" si="5"/>
        <v>0</v>
      </c>
      <c r="P22" s="3">
        <f t="shared" si="6"/>
        <v>13536213.05441268</v>
      </c>
      <c r="Q22" s="47">
        <f t="shared" ca="1" si="9"/>
        <v>21470009.484323263</v>
      </c>
      <c r="R22" s="47">
        <f>'Monthly Data'!S22</f>
        <v>3604.4492307692312</v>
      </c>
      <c r="S22" s="47">
        <f>+'Monthly Data'!T22</f>
        <v>0</v>
      </c>
      <c r="T22" s="47">
        <f t="shared" ca="1" si="8"/>
        <v>21473613.933554031</v>
      </c>
    </row>
    <row r="23" spans="1:26">
      <c r="A23" s="2">
        <f>'Monthly Data'!A23</f>
        <v>43009</v>
      </c>
      <c r="B23">
        <f>'Monthly Data'!B23</f>
        <v>2017</v>
      </c>
      <c r="C23">
        <f>'Monthly Data'!C23</f>
        <v>10</v>
      </c>
      <c r="D23" s="3">
        <f>'Monthly Data'!R23</f>
        <v>20379582.625504989</v>
      </c>
      <c r="E23" s="3">
        <f t="shared" ref="E23:F23" ca="1" si="19">E11</f>
        <v>292.46431159420291</v>
      </c>
      <c r="F23" s="3">
        <f t="shared" ca="1" si="19"/>
        <v>19.741250000000004</v>
      </c>
      <c r="G23">
        <f>'Monthly Data'!EJ23</f>
        <v>0</v>
      </c>
      <c r="H23" s="3">
        <f>'Monthly Data'!DB23</f>
        <v>7158.3</v>
      </c>
      <c r="I23" s="3">
        <f>'Monthly Data'!DQ23</f>
        <v>31</v>
      </c>
      <c r="K23" s="3">
        <f t="shared" si="1"/>
        <v>3542907.1380836898</v>
      </c>
      <c r="L23" s="3">
        <f t="shared" ca="1" si="2"/>
        <v>3074443.7755747139</v>
      </c>
      <c r="M23" s="3">
        <f t="shared" ca="1" si="3"/>
        <v>648523.22666715388</v>
      </c>
      <c r="N23" s="3">
        <f t="shared" si="4"/>
        <v>0</v>
      </c>
      <c r="O23" s="3">
        <f t="shared" si="5"/>
        <v>0</v>
      </c>
      <c r="P23" s="3">
        <f t="shared" si="6"/>
        <v>13987420.156226436</v>
      </c>
      <c r="Q23" s="47">
        <f t="shared" ca="1" si="9"/>
        <v>21253294.296551995</v>
      </c>
      <c r="R23" s="47">
        <f>'Monthly Data'!S23</f>
        <v>4004.9435897435901</v>
      </c>
      <c r="S23" s="47">
        <f>+'Monthly Data'!T23</f>
        <v>0</v>
      </c>
      <c r="T23" s="47">
        <f t="shared" ca="1" si="8"/>
        <v>21257299.240141738</v>
      </c>
      <c r="X23" s="3"/>
      <c r="Z23" s="3"/>
    </row>
    <row r="24" spans="1:26">
      <c r="A24" s="2">
        <f>'Monthly Data'!A24</f>
        <v>43040</v>
      </c>
      <c r="B24">
        <f>'Monthly Data'!B24</f>
        <v>2017</v>
      </c>
      <c r="C24">
        <f>'Monthly Data'!C24</f>
        <v>11</v>
      </c>
      <c r="D24" s="3">
        <f>'Monthly Data'!R24</f>
        <v>22140921.056129038</v>
      </c>
      <c r="E24" s="3">
        <f t="shared" ref="E24:F24" ca="1" si="20">E12</f>
        <v>495.51408055712409</v>
      </c>
      <c r="F24" s="3">
        <f t="shared" ca="1" si="20"/>
        <v>0.78124999999999944</v>
      </c>
      <c r="G24">
        <f>'Monthly Data'!EJ24</f>
        <v>0</v>
      </c>
      <c r="H24" s="3">
        <f>'Monthly Data'!DB24</f>
        <v>7182.2</v>
      </c>
      <c r="I24" s="3">
        <f>'Monthly Data'!DQ24</f>
        <v>30</v>
      </c>
      <c r="K24" s="3">
        <f t="shared" si="1"/>
        <v>3542907.1380836898</v>
      </c>
      <c r="L24" s="3">
        <f t="shared" ca="1" si="2"/>
        <v>5208943.861814674</v>
      </c>
      <c r="M24" s="3">
        <f t="shared" ca="1" si="3"/>
        <v>25664.979210217869</v>
      </c>
      <c r="N24" s="3">
        <f t="shared" si="4"/>
        <v>0</v>
      </c>
      <c r="O24" s="3">
        <f t="shared" si="5"/>
        <v>0</v>
      </c>
      <c r="P24" s="3">
        <f t="shared" si="6"/>
        <v>13536213.05441268</v>
      </c>
      <c r="Q24" s="47">
        <f t="shared" ca="1" si="9"/>
        <v>22313729.033521261</v>
      </c>
      <c r="R24" s="47">
        <f>'Monthly Data'!S24</f>
        <v>4405.4379487179494</v>
      </c>
      <c r="S24" s="47">
        <f>+'Monthly Data'!T24</f>
        <v>0</v>
      </c>
      <c r="T24" s="47">
        <f t="shared" ca="1" si="8"/>
        <v>22318134.47146998</v>
      </c>
    </row>
    <row r="25" spans="1:26">
      <c r="A25" s="2">
        <f>'Monthly Data'!A25</f>
        <v>43070</v>
      </c>
      <c r="B25">
        <f>'Monthly Data'!B25</f>
        <v>2017</v>
      </c>
      <c r="C25">
        <f>'Monthly Data'!C25</f>
        <v>12</v>
      </c>
      <c r="D25" s="3">
        <f>'Monthly Data'!R25</f>
        <v>25228512.976163503</v>
      </c>
      <c r="E25" s="3">
        <f t="shared" ref="E25:F25" ca="1" si="21">E13</f>
        <v>664.38541666666663</v>
      </c>
      <c r="F25" s="3">
        <f t="shared" ca="1" si="21"/>
        <v>0</v>
      </c>
      <c r="G25">
        <f>'Monthly Data'!EJ25</f>
        <v>0</v>
      </c>
      <c r="H25" s="3">
        <f>'Monthly Data'!DB25</f>
        <v>7196.8</v>
      </c>
      <c r="I25" s="3">
        <f>'Monthly Data'!DQ25</f>
        <v>31</v>
      </c>
      <c r="K25" s="3">
        <f t="shared" si="1"/>
        <v>3542907.1380836898</v>
      </c>
      <c r="L25" s="3">
        <f t="shared" ca="1" si="2"/>
        <v>6984153.3748828648</v>
      </c>
      <c r="M25" s="3">
        <f t="shared" ca="1" si="3"/>
        <v>0</v>
      </c>
      <c r="N25" s="3">
        <f t="shared" si="4"/>
        <v>0</v>
      </c>
      <c r="O25" s="3">
        <f t="shared" si="5"/>
        <v>0</v>
      </c>
      <c r="P25" s="3">
        <f t="shared" si="6"/>
        <v>13987420.156226436</v>
      </c>
      <c r="Q25" s="47">
        <f t="shared" ca="1" si="9"/>
        <v>24514480.669192992</v>
      </c>
      <c r="R25" s="47">
        <f>'Monthly Data'!S25</f>
        <v>4805.9323076923083</v>
      </c>
      <c r="S25" s="47">
        <f>+'Monthly Data'!T25</f>
        <v>0</v>
      </c>
      <c r="T25" s="47">
        <f t="shared" ca="1" si="8"/>
        <v>24519286.601500686</v>
      </c>
    </row>
    <row r="26" spans="1:26">
      <c r="A26" s="2">
        <f>'Monthly Data'!A26</f>
        <v>43101</v>
      </c>
      <c r="B26">
        <f>'Monthly Data'!B26</f>
        <v>2018</v>
      </c>
      <c r="C26">
        <f>'Monthly Data'!C26</f>
        <v>1</v>
      </c>
      <c r="D26" s="3">
        <f>'Monthly Data'!R26</f>
        <v>27083666.221627753</v>
      </c>
      <c r="E26" s="3">
        <f t="shared" ref="E26:F26" ca="1" si="22">E14</f>
        <v>752.78750000000002</v>
      </c>
      <c r="F26" s="3">
        <f t="shared" ca="1" si="22"/>
        <v>0</v>
      </c>
      <c r="G26">
        <f>'Monthly Data'!EJ26</f>
        <v>0</v>
      </c>
      <c r="H26" s="3">
        <f>'Monthly Data'!DB26</f>
        <v>7195</v>
      </c>
      <c r="I26" s="3">
        <f>'Monthly Data'!DQ26</f>
        <v>31</v>
      </c>
      <c r="K26" s="3">
        <f t="shared" si="1"/>
        <v>3542907.1380836898</v>
      </c>
      <c r="L26" s="3">
        <f t="shared" ca="1" si="2"/>
        <v>7913453.8880651752</v>
      </c>
      <c r="M26" s="3">
        <f t="shared" ca="1" si="3"/>
        <v>0</v>
      </c>
      <c r="N26" s="3">
        <f t="shared" si="4"/>
        <v>0</v>
      </c>
      <c r="O26" s="3">
        <f t="shared" si="5"/>
        <v>0</v>
      </c>
      <c r="P26" s="3">
        <f t="shared" si="6"/>
        <v>13987420.156226436</v>
      </c>
      <c r="Q26" s="47">
        <f t="shared" ca="1" si="9"/>
        <v>25443781.182375301</v>
      </c>
      <c r="R26" s="47">
        <f>'Monthly Data'!S26</f>
        <v>6211.3076923076933</v>
      </c>
      <c r="S26" s="47">
        <f>+'Monthly Data'!T26</f>
        <v>0</v>
      </c>
      <c r="T26" s="47">
        <f t="shared" ca="1" si="8"/>
        <v>25449992.490067609</v>
      </c>
    </row>
    <row r="27" spans="1:26">
      <c r="A27" s="2">
        <f>'Monthly Data'!A27</f>
        <v>43132</v>
      </c>
      <c r="B27">
        <f>'Monthly Data'!B27</f>
        <v>2018</v>
      </c>
      <c r="C27">
        <f>'Monthly Data'!C27</f>
        <v>2</v>
      </c>
      <c r="D27" s="3">
        <f>'Monthly Data'!R27</f>
        <v>23162572.130632471</v>
      </c>
      <c r="E27" s="3">
        <f t="shared" ref="E27:F27" ca="1" si="23">E15</f>
        <v>660.7954166666666</v>
      </c>
      <c r="F27" s="3">
        <f t="shared" ca="1" si="23"/>
        <v>0</v>
      </c>
      <c r="G27">
        <f>'Monthly Data'!EJ27</f>
        <v>0</v>
      </c>
      <c r="H27" s="3">
        <f>'Monthly Data'!DB27</f>
        <v>7183.9</v>
      </c>
      <c r="I27" s="3">
        <f>'Monthly Data'!DQ27</f>
        <v>28</v>
      </c>
      <c r="K27" s="3">
        <f t="shared" si="1"/>
        <v>3542907.1380836898</v>
      </c>
      <c r="L27" s="3">
        <f t="shared" ca="1" si="2"/>
        <v>6946414.5714912647</v>
      </c>
      <c r="M27" s="3">
        <f t="shared" ca="1" si="3"/>
        <v>0</v>
      </c>
      <c r="N27" s="3">
        <f t="shared" si="4"/>
        <v>0</v>
      </c>
      <c r="O27" s="3">
        <f t="shared" si="5"/>
        <v>0</v>
      </c>
      <c r="P27" s="3">
        <f t="shared" si="6"/>
        <v>12633798.850785168</v>
      </c>
      <c r="Q27" s="47">
        <f t="shared" ca="1" si="9"/>
        <v>23123120.560360122</v>
      </c>
      <c r="R27" s="47">
        <f>'Monthly Data'!S27</f>
        <v>7216.1887179487194</v>
      </c>
      <c r="S27" s="47">
        <f>+'Monthly Data'!T27</f>
        <v>0</v>
      </c>
      <c r="T27" s="47">
        <f t="shared" ca="1" si="8"/>
        <v>23130336.749078073</v>
      </c>
    </row>
    <row r="28" spans="1:26">
      <c r="A28" s="2">
        <f>'Monthly Data'!A28</f>
        <v>43160</v>
      </c>
      <c r="B28">
        <f>'Monthly Data'!B28</f>
        <v>2018</v>
      </c>
      <c r="C28">
        <f>'Monthly Data'!C28</f>
        <v>3</v>
      </c>
      <c r="D28" s="3">
        <f>'Monthly Data'!R28</f>
        <v>24071009.260873877</v>
      </c>
      <c r="E28" s="3">
        <f t="shared" ref="E28:F28" ca="1" si="24">E16</f>
        <v>596.21590579710141</v>
      </c>
      <c r="F28" s="3">
        <f t="shared" ca="1" si="24"/>
        <v>0</v>
      </c>
      <c r="G28">
        <f>'Monthly Data'!EJ28</f>
        <v>0</v>
      </c>
      <c r="H28" s="3">
        <f>'Monthly Data'!DB28</f>
        <v>7183.7</v>
      </c>
      <c r="I28" s="3">
        <f>'Monthly Data'!DQ28</f>
        <v>31</v>
      </c>
      <c r="K28" s="3">
        <f t="shared" si="1"/>
        <v>3542907.1380836898</v>
      </c>
      <c r="L28" s="3">
        <f t="shared" ca="1" si="2"/>
        <v>6267541.7403402319</v>
      </c>
      <c r="M28" s="3">
        <f t="shared" ca="1" si="3"/>
        <v>0</v>
      </c>
      <c r="N28" s="3">
        <f t="shared" si="4"/>
        <v>0</v>
      </c>
      <c r="O28" s="3">
        <f t="shared" si="5"/>
        <v>0</v>
      </c>
      <c r="P28" s="3">
        <f t="shared" si="6"/>
        <v>13987420.156226436</v>
      </c>
      <c r="Q28" s="47">
        <f t="shared" ca="1" si="9"/>
        <v>23797869.034650356</v>
      </c>
      <c r="R28" s="47">
        <f>'Monthly Data'!S28</f>
        <v>8221.0697435897455</v>
      </c>
      <c r="S28" s="47">
        <f>+'Monthly Data'!T28</f>
        <v>0</v>
      </c>
      <c r="T28" s="47">
        <f t="shared" ca="1" si="8"/>
        <v>23806090.104393944</v>
      </c>
    </row>
    <row r="29" spans="1:26">
      <c r="A29" s="2">
        <f>'Monthly Data'!A29</f>
        <v>43191</v>
      </c>
      <c r="B29">
        <f>'Monthly Data'!B29</f>
        <v>2018</v>
      </c>
      <c r="C29">
        <f>'Monthly Data'!C29</f>
        <v>4</v>
      </c>
      <c r="D29" s="3">
        <f>'Monthly Data'!R29</f>
        <v>22158391.192441177</v>
      </c>
      <c r="E29" s="3">
        <f t="shared" ref="E29:F29" ca="1" si="25">E17</f>
        <v>412.8885416666667</v>
      </c>
      <c r="F29" s="3">
        <f t="shared" ca="1" si="25"/>
        <v>2.2025000000000015</v>
      </c>
      <c r="G29">
        <f>'Monthly Data'!EJ29</f>
        <v>0</v>
      </c>
      <c r="H29" s="3">
        <f>'Monthly Data'!DB29</f>
        <v>7196</v>
      </c>
      <c r="I29" s="3">
        <f>'Monthly Data'!DQ29</f>
        <v>30</v>
      </c>
      <c r="K29" s="3">
        <f t="shared" si="1"/>
        <v>3542907.1380836898</v>
      </c>
      <c r="L29" s="3">
        <f t="shared" ca="1" si="2"/>
        <v>4340367.547800201</v>
      </c>
      <c r="M29" s="3">
        <f t="shared" ca="1" si="3"/>
        <v>72354.709389446318</v>
      </c>
      <c r="N29" s="3">
        <f t="shared" si="4"/>
        <v>0</v>
      </c>
      <c r="O29" s="3">
        <f t="shared" si="5"/>
        <v>0</v>
      </c>
      <c r="P29" s="3">
        <f t="shared" si="6"/>
        <v>13536213.05441268</v>
      </c>
      <c r="Q29" s="47">
        <f t="shared" ca="1" si="9"/>
        <v>21491842.449686017</v>
      </c>
      <c r="R29" s="47">
        <f>'Monthly Data'!S29</f>
        <v>9225.9507692307707</v>
      </c>
      <c r="S29" s="47">
        <f>+'Monthly Data'!T29</f>
        <v>0</v>
      </c>
      <c r="T29" s="47">
        <f t="shared" ca="1" si="8"/>
        <v>21501068.400455248</v>
      </c>
    </row>
    <row r="30" spans="1:26">
      <c r="A30" s="2">
        <f>'Monthly Data'!A30</f>
        <v>43221</v>
      </c>
      <c r="B30">
        <f>'Monthly Data'!B30</f>
        <v>2018</v>
      </c>
      <c r="C30">
        <f>'Monthly Data'!C30</f>
        <v>5</v>
      </c>
      <c r="D30" s="3">
        <f>'Monthly Data'!R30</f>
        <v>21332397.300205573</v>
      </c>
      <c r="E30" s="3">
        <f t="shared" ref="E30:F30" ca="1" si="26">E18</f>
        <v>208.90012508544086</v>
      </c>
      <c r="F30" s="3">
        <f t="shared" ca="1" si="26"/>
        <v>48.940113636363641</v>
      </c>
      <c r="G30">
        <f>'Monthly Data'!EJ30</f>
        <v>0</v>
      </c>
      <c r="H30" s="3">
        <f>'Monthly Data'!DB30</f>
        <v>7205</v>
      </c>
      <c r="I30" s="3">
        <f>'Monthly Data'!DQ30</f>
        <v>31</v>
      </c>
      <c r="K30" s="3">
        <f t="shared" si="1"/>
        <v>3542907.1380836898</v>
      </c>
      <c r="L30" s="3">
        <f t="shared" ca="1" si="2"/>
        <v>2196000.2086574011</v>
      </c>
      <c r="M30" s="3">
        <f t="shared" ca="1" si="3"/>
        <v>1607740.1587494065</v>
      </c>
      <c r="N30" s="3">
        <f t="shared" si="4"/>
        <v>0</v>
      </c>
      <c r="O30" s="3">
        <f t="shared" si="5"/>
        <v>0</v>
      </c>
      <c r="P30" s="3">
        <f t="shared" si="6"/>
        <v>13987420.156226436</v>
      </c>
      <c r="Q30" s="47">
        <f t="shared" ca="1" si="9"/>
        <v>21334067.661716934</v>
      </c>
      <c r="R30" s="47">
        <f>'Monthly Data'!S30</f>
        <v>10230.831794871798</v>
      </c>
      <c r="S30" s="47">
        <f>+'Monthly Data'!T30</f>
        <v>0</v>
      </c>
      <c r="T30" s="47">
        <f t="shared" ca="1" si="8"/>
        <v>21344298.493511807</v>
      </c>
    </row>
    <row r="31" spans="1:26">
      <c r="A31" s="2">
        <f>'Monthly Data'!A31</f>
        <v>43252</v>
      </c>
      <c r="B31">
        <f>'Monthly Data'!B31</f>
        <v>2018</v>
      </c>
      <c r="C31">
        <f>'Monthly Data'!C31</f>
        <v>6</v>
      </c>
      <c r="D31" s="3">
        <f>'Monthly Data'!R31</f>
        <v>21798944.2383366</v>
      </c>
      <c r="E31" s="3">
        <f t="shared" ref="E31:F31" ca="1" si="27">E19</f>
        <v>61.78217382617381</v>
      </c>
      <c r="F31" s="3">
        <f t="shared" ca="1" si="27"/>
        <v>144.91160087738351</v>
      </c>
      <c r="G31">
        <f>'Monthly Data'!EJ31</f>
        <v>0</v>
      </c>
      <c r="H31" s="3">
        <f>'Monthly Data'!DB31</f>
        <v>7216.7</v>
      </c>
      <c r="I31" s="3">
        <f>'Monthly Data'!DQ31</f>
        <v>30</v>
      </c>
      <c r="K31" s="3">
        <f t="shared" si="1"/>
        <v>3542907.1380836898</v>
      </c>
      <c r="L31" s="3">
        <f t="shared" ca="1" si="2"/>
        <v>649466.6604823455</v>
      </c>
      <c r="M31" s="3">
        <f t="shared" ca="1" si="3"/>
        <v>4760516.126511923</v>
      </c>
      <c r="N31" s="3">
        <f t="shared" si="4"/>
        <v>0</v>
      </c>
      <c r="O31" s="3">
        <f t="shared" si="5"/>
        <v>0</v>
      </c>
      <c r="P31" s="3">
        <f t="shared" si="6"/>
        <v>13536213.05441268</v>
      </c>
      <c r="Q31" s="47">
        <f t="shared" ca="1" si="9"/>
        <v>22489102.979490638</v>
      </c>
      <c r="R31" s="47">
        <f>'Monthly Data'!S31</f>
        <v>11235.712820512825</v>
      </c>
      <c r="S31" s="47">
        <f>+'Monthly Data'!T31</f>
        <v>0</v>
      </c>
      <c r="T31" s="47">
        <f t="shared" ca="1" si="8"/>
        <v>22500338.692311149</v>
      </c>
    </row>
    <row r="32" spans="1:26">
      <c r="A32" s="2">
        <f>'Monthly Data'!A32</f>
        <v>43282</v>
      </c>
      <c r="B32">
        <f>'Monthly Data'!B32</f>
        <v>2018</v>
      </c>
      <c r="C32">
        <f>'Monthly Data'!C32</f>
        <v>7</v>
      </c>
      <c r="D32" s="3">
        <f>'Monthly Data'!R32</f>
        <v>25157032.245872322</v>
      </c>
      <c r="E32" s="3">
        <f t="shared" ref="E32:F32" ca="1" si="28">E20</f>
        <v>8.334479813664597</v>
      </c>
      <c r="F32" s="3">
        <f t="shared" ca="1" si="28"/>
        <v>242.72508692061183</v>
      </c>
      <c r="G32">
        <f>'Monthly Data'!EJ32</f>
        <v>0</v>
      </c>
      <c r="H32" s="3">
        <f>'Monthly Data'!DB32</f>
        <v>7249.1</v>
      </c>
      <c r="I32" s="3">
        <f>'Monthly Data'!DQ32</f>
        <v>31</v>
      </c>
      <c r="K32" s="3">
        <f t="shared" si="1"/>
        <v>3542907.1380836898</v>
      </c>
      <c r="L32" s="3">
        <f t="shared" ca="1" si="2"/>
        <v>87613.731214246814</v>
      </c>
      <c r="M32" s="3">
        <f t="shared" ca="1" si="3"/>
        <v>7973803.9163082652</v>
      </c>
      <c r="N32" s="3">
        <f t="shared" si="4"/>
        <v>0</v>
      </c>
      <c r="O32" s="3">
        <f t="shared" si="5"/>
        <v>0</v>
      </c>
      <c r="P32" s="3">
        <f t="shared" si="6"/>
        <v>13987420.156226436</v>
      </c>
      <c r="Q32" s="47">
        <f t="shared" ca="1" si="9"/>
        <v>25591744.941832639</v>
      </c>
      <c r="R32" s="47">
        <f>'Monthly Data'!S32</f>
        <v>12240.59384615385</v>
      </c>
      <c r="S32" s="47">
        <f>+'Monthly Data'!T32</f>
        <v>0</v>
      </c>
      <c r="T32" s="47">
        <f t="shared" ca="1" si="8"/>
        <v>25603985.535678793</v>
      </c>
    </row>
    <row r="33" spans="1:20">
      <c r="A33" s="2">
        <f>'Monthly Data'!A33</f>
        <v>43313</v>
      </c>
      <c r="B33">
        <f>'Monthly Data'!B33</f>
        <v>2018</v>
      </c>
      <c r="C33">
        <f>'Monthly Data'!C33</f>
        <v>8</v>
      </c>
      <c r="D33" s="3">
        <f>'Monthly Data'!R33</f>
        <v>25045687.543591116</v>
      </c>
      <c r="E33" s="3">
        <f t="shared" ref="E33:F33" ca="1" si="29">E21</f>
        <v>21.054927536231883</v>
      </c>
      <c r="F33" s="3">
        <f t="shared" ca="1" si="29"/>
        <v>214.02558794466404</v>
      </c>
      <c r="G33">
        <f>'Monthly Data'!EJ33</f>
        <v>0</v>
      </c>
      <c r="H33" s="3">
        <f>'Monthly Data'!DB33</f>
        <v>7257.7</v>
      </c>
      <c r="I33" s="3">
        <f>'Monthly Data'!DQ33</f>
        <v>31</v>
      </c>
      <c r="K33" s="3">
        <f t="shared" si="1"/>
        <v>3542907.1380836898</v>
      </c>
      <c r="L33" s="3">
        <f t="shared" ca="1" si="2"/>
        <v>221333.64086747551</v>
      </c>
      <c r="M33" s="3">
        <f t="shared" ca="1" si="3"/>
        <v>7030991.699269712</v>
      </c>
      <c r="N33" s="3">
        <f t="shared" si="4"/>
        <v>0</v>
      </c>
      <c r="O33" s="3">
        <f t="shared" si="5"/>
        <v>0</v>
      </c>
      <c r="P33" s="3">
        <f t="shared" si="6"/>
        <v>13987420.156226436</v>
      </c>
      <c r="Q33" s="47">
        <f t="shared" ca="1" si="9"/>
        <v>24782652.634447314</v>
      </c>
      <c r="R33" s="47">
        <f>'Monthly Data'!S33</f>
        <v>13245.474871794875</v>
      </c>
      <c r="S33" s="47">
        <f>+'Monthly Data'!T33</f>
        <v>0</v>
      </c>
      <c r="T33" s="47">
        <f t="shared" ca="1" si="8"/>
        <v>24795898.109319109</v>
      </c>
    </row>
    <row r="34" spans="1:20">
      <c r="A34" s="2">
        <f>'Monthly Data'!A34</f>
        <v>43344</v>
      </c>
      <c r="B34">
        <f>'Monthly Data'!B34</f>
        <v>2018</v>
      </c>
      <c r="C34">
        <f>'Monthly Data'!C34</f>
        <v>9</v>
      </c>
      <c r="D34" s="3">
        <f>'Monthly Data'!R34</f>
        <v>21814911.593046129</v>
      </c>
      <c r="E34" s="3">
        <f t="shared" ref="E34:F34" ca="1" si="30">E22</f>
        <v>97.667119565217376</v>
      </c>
      <c r="F34" s="3">
        <f t="shared" ca="1" si="30"/>
        <v>102.40708333333332</v>
      </c>
      <c r="G34">
        <f>'Monthly Data'!EJ34</f>
        <v>0</v>
      </c>
      <c r="H34" s="3">
        <f>'Monthly Data'!DB34</f>
        <v>7273.8</v>
      </c>
      <c r="I34" s="3">
        <f>'Monthly Data'!DQ34</f>
        <v>30</v>
      </c>
      <c r="K34" s="3">
        <f t="shared" ref="K34:K65" si="31">$X$7</f>
        <v>3542907.1380836898</v>
      </c>
      <c r="L34" s="3">
        <f t="shared" ref="L34:L65" ca="1" si="32">E34*$X$8</f>
        <v>1026696.4409737088</v>
      </c>
      <c r="M34" s="3">
        <f t="shared" ref="M34:M65" ca="1" si="33">F34*$X$9</f>
        <v>3364192.8508531847</v>
      </c>
      <c r="N34" s="3">
        <f t="shared" ref="N34:N65" si="34">G34*$X$10</f>
        <v>0</v>
      </c>
      <c r="O34" s="3">
        <f t="shared" ref="O34:O65" si="35">H34*$X$11</f>
        <v>0</v>
      </c>
      <c r="P34" s="3">
        <f t="shared" ref="P34:P65" si="36">I34*$X$12</f>
        <v>13536213.05441268</v>
      </c>
      <c r="Q34" s="47">
        <f t="shared" ca="1" si="9"/>
        <v>21470009.484323263</v>
      </c>
      <c r="R34" s="47">
        <f>'Monthly Data'!S34</f>
        <v>14250.3558974359</v>
      </c>
      <c r="S34" s="47">
        <f>+'Monthly Data'!T34</f>
        <v>0</v>
      </c>
      <c r="T34" s="47">
        <f t="shared" ca="1" si="8"/>
        <v>21484259.840220697</v>
      </c>
    </row>
    <row r="35" spans="1:20">
      <c r="A35" s="2">
        <f>'Monthly Data'!A35</f>
        <v>43374</v>
      </c>
      <c r="B35">
        <f>'Monthly Data'!B35</f>
        <v>2018</v>
      </c>
      <c r="C35">
        <f>'Monthly Data'!C35</f>
        <v>10</v>
      </c>
      <c r="D35" s="3">
        <f>'Monthly Data'!R35</f>
        <v>21139509.036052082</v>
      </c>
      <c r="E35" s="3">
        <f t="shared" ref="E35:F35" ca="1" si="37">E23</f>
        <v>292.46431159420291</v>
      </c>
      <c r="F35" s="3">
        <f t="shared" ca="1" si="37"/>
        <v>19.741250000000004</v>
      </c>
      <c r="G35">
        <f>'Monthly Data'!EJ35</f>
        <v>0</v>
      </c>
      <c r="H35" s="3">
        <f>'Monthly Data'!DB35</f>
        <v>7269.1</v>
      </c>
      <c r="I35" s="3">
        <f>'Monthly Data'!DQ35</f>
        <v>31</v>
      </c>
      <c r="K35" s="3">
        <f t="shared" si="31"/>
        <v>3542907.1380836898</v>
      </c>
      <c r="L35" s="3">
        <f t="shared" ca="1" si="32"/>
        <v>3074443.7755747139</v>
      </c>
      <c r="M35" s="3">
        <f t="shared" ca="1" si="33"/>
        <v>648523.22666715388</v>
      </c>
      <c r="N35" s="3">
        <f t="shared" si="34"/>
        <v>0</v>
      </c>
      <c r="O35" s="3">
        <f t="shared" si="35"/>
        <v>0</v>
      </c>
      <c r="P35" s="3">
        <f t="shared" si="36"/>
        <v>13987420.156226436</v>
      </c>
      <c r="Q35" s="47">
        <f t="shared" ca="1" si="9"/>
        <v>21253294.296551995</v>
      </c>
      <c r="R35" s="47">
        <f>'Monthly Data'!S35</f>
        <v>15255.236923076929</v>
      </c>
      <c r="S35" s="47">
        <f>+'Monthly Data'!T35</f>
        <v>0</v>
      </c>
      <c r="T35" s="47">
        <f t="shared" ca="1" si="8"/>
        <v>21268549.533475071</v>
      </c>
    </row>
    <row r="36" spans="1:20">
      <c r="A36" s="2">
        <f>'Monthly Data'!A36</f>
        <v>43405</v>
      </c>
      <c r="B36">
        <f>'Monthly Data'!B36</f>
        <v>2018</v>
      </c>
      <c r="C36">
        <f>'Monthly Data'!C36</f>
        <v>11</v>
      </c>
      <c r="D36" s="3">
        <f>'Monthly Data'!R36</f>
        <v>23079843.668392137</v>
      </c>
      <c r="E36" s="3">
        <f t="shared" ref="E36:F36" ca="1" si="38">E24</f>
        <v>495.51408055712409</v>
      </c>
      <c r="F36" s="3">
        <f t="shared" ca="1" si="38"/>
        <v>0.78124999999999944</v>
      </c>
      <c r="G36">
        <f>'Monthly Data'!EJ36</f>
        <v>0</v>
      </c>
      <c r="H36" s="3">
        <f>'Monthly Data'!DB36</f>
        <v>7289.9</v>
      </c>
      <c r="I36" s="3">
        <f>'Monthly Data'!DQ36</f>
        <v>30</v>
      </c>
      <c r="K36" s="3">
        <f t="shared" si="31"/>
        <v>3542907.1380836898</v>
      </c>
      <c r="L36" s="3">
        <f t="shared" ca="1" si="32"/>
        <v>5208943.861814674</v>
      </c>
      <c r="M36" s="3">
        <f t="shared" ca="1" si="33"/>
        <v>25664.979210217869</v>
      </c>
      <c r="N36" s="3">
        <f t="shared" si="34"/>
        <v>0</v>
      </c>
      <c r="O36" s="3">
        <f t="shared" si="35"/>
        <v>0</v>
      </c>
      <c r="P36" s="3">
        <f t="shared" si="36"/>
        <v>13536213.05441268</v>
      </c>
      <c r="Q36" s="47">
        <f t="shared" ca="1" si="9"/>
        <v>22313729.033521261</v>
      </c>
      <c r="R36" s="47">
        <f>'Monthly Data'!S36</f>
        <v>16260.117948717954</v>
      </c>
      <c r="S36" s="47">
        <f>+'Monthly Data'!T36</f>
        <v>0</v>
      </c>
      <c r="T36" s="47">
        <f t="shared" ca="1" si="8"/>
        <v>22329989.151469979</v>
      </c>
    </row>
    <row r="37" spans="1:20">
      <c r="A37" s="2">
        <f>'Monthly Data'!A37</f>
        <v>43435</v>
      </c>
      <c r="B37">
        <f>'Monthly Data'!B37</f>
        <v>2018</v>
      </c>
      <c r="C37">
        <f>'Monthly Data'!C37</f>
        <v>12</v>
      </c>
      <c r="D37" s="3">
        <f>'Monthly Data'!R37</f>
        <v>24226267.850083455</v>
      </c>
      <c r="E37" s="3">
        <f t="shared" ref="E37:F37" ca="1" si="39">E25</f>
        <v>664.38541666666663</v>
      </c>
      <c r="F37" s="3">
        <f t="shared" ca="1" si="39"/>
        <v>0</v>
      </c>
      <c r="G37">
        <f>'Monthly Data'!EJ37</f>
        <v>0</v>
      </c>
      <c r="H37" s="3">
        <f>'Monthly Data'!DB37</f>
        <v>7296.4</v>
      </c>
      <c r="I37" s="3">
        <f>'Monthly Data'!DQ37</f>
        <v>31</v>
      </c>
      <c r="K37" s="3">
        <f t="shared" si="31"/>
        <v>3542907.1380836898</v>
      </c>
      <c r="L37" s="3">
        <f t="shared" ca="1" si="32"/>
        <v>6984153.3748828648</v>
      </c>
      <c r="M37" s="3">
        <f t="shared" ca="1" si="33"/>
        <v>0</v>
      </c>
      <c r="N37" s="3">
        <f t="shared" si="34"/>
        <v>0</v>
      </c>
      <c r="O37" s="3">
        <f t="shared" si="35"/>
        <v>0</v>
      </c>
      <c r="P37" s="3">
        <f t="shared" si="36"/>
        <v>13987420.156226436</v>
      </c>
      <c r="Q37" s="47">
        <f t="shared" ca="1" si="9"/>
        <v>24514480.669192992</v>
      </c>
      <c r="R37" s="47">
        <f>'Monthly Data'!S37</f>
        <v>17264.998974358979</v>
      </c>
      <c r="S37" s="47">
        <f>+'Monthly Data'!T37</f>
        <v>0</v>
      </c>
      <c r="T37" s="47">
        <f t="shared" ca="1" si="8"/>
        <v>24531745.668167353</v>
      </c>
    </row>
    <row r="38" spans="1:20">
      <c r="A38" s="2">
        <f>'Monthly Data'!A38</f>
        <v>43466</v>
      </c>
      <c r="B38">
        <f>'Monthly Data'!B38</f>
        <v>2019</v>
      </c>
      <c r="C38">
        <f>'Monthly Data'!C38</f>
        <v>1</v>
      </c>
      <c r="D38" s="3">
        <f>'Monthly Data'!R38</f>
        <v>26955920.19794986</v>
      </c>
      <c r="E38" s="3">
        <f t="shared" ref="E38:F38" ca="1" si="40">E26</f>
        <v>752.78750000000002</v>
      </c>
      <c r="F38" s="3">
        <f t="shared" ca="1" si="40"/>
        <v>0</v>
      </c>
      <c r="G38">
        <f>'Monthly Data'!EJ38</f>
        <v>0</v>
      </c>
      <c r="H38" s="3">
        <f>'Monthly Data'!DB38</f>
        <v>7306.5</v>
      </c>
      <c r="I38" s="3">
        <f>'Monthly Data'!DQ38</f>
        <v>31</v>
      </c>
      <c r="K38" s="3">
        <f t="shared" si="31"/>
        <v>3542907.1380836898</v>
      </c>
      <c r="L38" s="3">
        <f t="shared" ca="1" si="32"/>
        <v>7913453.8880651752</v>
      </c>
      <c r="M38" s="3">
        <f t="shared" ca="1" si="33"/>
        <v>0</v>
      </c>
      <c r="N38" s="3">
        <f t="shared" si="34"/>
        <v>0</v>
      </c>
      <c r="O38" s="3">
        <f t="shared" si="35"/>
        <v>0</v>
      </c>
      <c r="P38" s="3">
        <f t="shared" si="36"/>
        <v>13987420.156226436</v>
      </c>
      <c r="Q38" s="47">
        <f t="shared" ca="1" si="9"/>
        <v>25443781.182375301</v>
      </c>
      <c r="R38" s="47">
        <f>'Monthly Data'!S38</f>
        <v>18764.510769230772</v>
      </c>
      <c r="S38" s="47">
        <f ca="1">+'Monthly Data'!T38</f>
        <v>36729.492402352065</v>
      </c>
      <c r="T38" s="47">
        <f t="shared" ca="1" si="8"/>
        <v>25499275.185546882</v>
      </c>
    </row>
    <row r="39" spans="1:20">
      <c r="A39" s="2">
        <f>'Monthly Data'!A39</f>
        <v>43497</v>
      </c>
      <c r="B39">
        <f>'Monthly Data'!B39</f>
        <v>2019</v>
      </c>
      <c r="C39">
        <f>'Monthly Data'!C39</f>
        <v>2</v>
      </c>
      <c r="D39" s="3">
        <f>'Monthly Data'!R39</f>
        <v>24185101.827363215</v>
      </c>
      <c r="E39" s="3">
        <f t="shared" ref="E39:F39" ca="1" si="41">E27</f>
        <v>660.7954166666666</v>
      </c>
      <c r="F39" s="3">
        <f t="shared" ca="1" si="41"/>
        <v>0</v>
      </c>
      <c r="G39">
        <f>'Monthly Data'!EJ39</f>
        <v>0</v>
      </c>
      <c r="H39" s="3">
        <f>'Monthly Data'!DB39</f>
        <v>7329.7</v>
      </c>
      <c r="I39" s="3">
        <f>'Monthly Data'!DQ39</f>
        <v>28</v>
      </c>
      <c r="K39" s="3">
        <f t="shared" si="31"/>
        <v>3542907.1380836898</v>
      </c>
      <c r="L39" s="3">
        <f t="shared" ca="1" si="32"/>
        <v>6946414.5714912647</v>
      </c>
      <c r="M39" s="3">
        <f t="shared" ca="1" si="33"/>
        <v>0</v>
      </c>
      <c r="N39" s="3">
        <f t="shared" si="34"/>
        <v>0</v>
      </c>
      <c r="O39" s="3">
        <f t="shared" si="35"/>
        <v>0</v>
      </c>
      <c r="P39" s="3">
        <f t="shared" si="36"/>
        <v>12633798.850785168</v>
      </c>
      <c r="Q39" s="47">
        <f t="shared" ca="1" si="9"/>
        <v>23123120.560360122</v>
      </c>
      <c r="R39" s="47">
        <f>'Monthly Data'!S39</f>
        <v>19259.141538461539</v>
      </c>
      <c r="S39" s="47">
        <f ca="1">+'Monthly Data'!T39</f>
        <v>30106.826479667503</v>
      </c>
      <c r="T39" s="47">
        <f t="shared" ca="1" si="8"/>
        <v>23172486.528378248</v>
      </c>
    </row>
    <row r="40" spans="1:20">
      <c r="A40" s="2">
        <f>'Monthly Data'!A40</f>
        <v>43525</v>
      </c>
      <c r="B40">
        <f>'Monthly Data'!B40</f>
        <v>2019</v>
      </c>
      <c r="C40">
        <f>'Monthly Data'!C40</f>
        <v>3</v>
      </c>
      <c r="D40" s="3">
        <f>'Monthly Data'!R40</f>
        <v>25451797.580998946</v>
      </c>
      <c r="E40" s="3">
        <f t="shared" ref="E40:F40" ca="1" si="42">E28</f>
        <v>596.21590579710141</v>
      </c>
      <c r="F40" s="3">
        <f t="shared" ca="1" si="42"/>
        <v>0</v>
      </c>
      <c r="G40">
        <f>'Monthly Data'!EJ40</f>
        <v>0</v>
      </c>
      <c r="H40" s="3">
        <f>'Monthly Data'!DB40</f>
        <v>7341.9</v>
      </c>
      <c r="I40" s="3">
        <f>'Monthly Data'!DQ40</f>
        <v>31</v>
      </c>
      <c r="K40" s="3">
        <f t="shared" si="31"/>
        <v>3542907.1380836898</v>
      </c>
      <c r="L40" s="3">
        <f t="shared" ca="1" si="32"/>
        <v>6267541.7403402319</v>
      </c>
      <c r="M40" s="3">
        <f t="shared" ca="1" si="33"/>
        <v>0</v>
      </c>
      <c r="N40" s="3">
        <f t="shared" si="34"/>
        <v>0</v>
      </c>
      <c r="O40" s="3">
        <f t="shared" si="35"/>
        <v>0</v>
      </c>
      <c r="P40" s="3">
        <f t="shared" si="36"/>
        <v>13987420.156226436</v>
      </c>
      <c r="Q40" s="47">
        <f t="shared" ca="1" si="9"/>
        <v>23797869.034650356</v>
      </c>
      <c r="R40" s="47">
        <f>'Monthly Data'!S40</f>
        <v>19753.77230769231</v>
      </c>
      <c r="S40" s="47">
        <f ca="1">+'Monthly Data'!T40</f>
        <v>28795.479368135981</v>
      </c>
      <c r="T40" s="47">
        <f t="shared" ca="1" si="8"/>
        <v>23846418.286326185</v>
      </c>
    </row>
    <row r="41" spans="1:20">
      <c r="A41" s="2">
        <f>'Monthly Data'!A41</f>
        <v>43556</v>
      </c>
      <c r="B41">
        <f>'Monthly Data'!B41</f>
        <v>2019</v>
      </c>
      <c r="C41">
        <f>'Monthly Data'!C41</f>
        <v>4</v>
      </c>
      <c r="D41" s="3">
        <f>'Monthly Data'!R41</f>
        <v>23223774.488975544</v>
      </c>
      <c r="E41" s="3">
        <f t="shared" ref="E41:F41" ca="1" si="43">E29</f>
        <v>412.8885416666667</v>
      </c>
      <c r="F41" s="3">
        <f t="shared" ca="1" si="43"/>
        <v>2.2025000000000015</v>
      </c>
      <c r="G41">
        <f>'Monthly Data'!EJ41</f>
        <v>0</v>
      </c>
      <c r="H41" s="3">
        <f>'Monthly Data'!DB41</f>
        <v>7361.6</v>
      </c>
      <c r="I41" s="3">
        <f>'Monthly Data'!DQ41</f>
        <v>30</v>
      </c>
      <c r="K41" s="3">
        <f t="shared" si="31"/>
        <v>3542907.1380836898</v>
      </c>
      <c r="L41" s="3">
        <f t="shared" ca="1" si="32"/>
        <v>4340367.547800201</v>
      </c>
      <c r="M41" s="3">
        <f t="shared" ca="1" si="33"/>
        <v>72354.709389446318</v>
      </c>
      <c r="N41" s="3">
        <f t="shared" si="34"/>
        <v>0</v>
      </c>
      <c r="O41" s="3">
        <f t="shared" si="35"/>
        <v>0</v>
      </c>
      <c r="P41" s="3">
        <f t="shared" si="36"/>
        <v>13536213.05441268</v>
      </c>
      <c r="Q41" s="47">
        <f t="shared" ca="1" si="9"/>
        <v>21491842.449686017</v>
      </c>
      <c r="R41" s="47">
        <f>'Monthly Data'!S41</f>
        <v>20248.403076923081</v>
      </c>
      <c r="S41" s="47">
        <f ca="1">+'Monthly Data'!T41</f>
        <v>17266.887890683895</v>
      </c>
      <c r="T41" s="47">
        <f t="shared" ca="1" si="8"/>
        <v>21529357.740653627</v>
      </c>
    </row>
    <row r="42" spans="1:20">
      <c r="A42" s="2">
        <f>'Monthly Data'!A42</f>
        <v>43586</v>
      </c>
      <c r="B42">
        <f>'Monthly Data'!B42</f>
        <v>2019</v>
      </c>
      <c r="C42">
        <f>'Monthly Data'!C42</f>
        <v>5</v>
      </c>
      <c r="D42" s="3">
        <f>'Monthly Data'!R42</f>
        <v>21989356.726660021</v>
      </c>
      <c r="E42" s="3">
        <f t="shared" ref="E42:F42" ca="1" si="44">E30</f>
        <v>208.90012508544086</v>
      </c>
      <c r="F42" s="3">
        <f t="shared" ca="1" si="44"/>
        <v>48.940113636363641</v>
      </c>
      <c r="G42">
        <f>'Monthly Data'!EJ42</f>
        <v>0</v>
      </c>
      <c r="H42" s="3">
        <f>'Monthly Data'!DB42</f>
        <v>7376.4</v>
      </c>
      <c r="I42" s="3">
        <f>'Monthly Data'!DQ42</f>
        <v>31</v>
      </c>
      <c r="K42" s="3">
        <f t="shared" si="31"/>
        <v>3542907.1380836898</v>
      </c>
      <c r="L42" s="3">
        <f t="shared" ca="1" si="32"/>
        <v>2196000.2086574011</v>
      </c>
      <c r="M42" s="3">
        <f t="shared" ca="1" si="33"/>
        <v>1607740.1587494065</v>
      </c>
      <c r="N42" s="3">
        <f t="shared" si="34"/>
        <v>0</v>
      </c>
      <c r="O42" s="3">
        <f t="shared" si="35"/>
        <v>0</v>
      </c>
      <c r="P42" s="3">
        <f t="shared" si="36"/>
        <v>13987420.156226436</v>
      </c>
      <c r="Q42" s="47">
        <f t="shared" ref="Q42:Q73" ca="1" si="45">SUM(K42:P42)</f>
        <v>21334067.661716934</v>
      </c>
      <c r="R42" s="47">
        <f>'Monthly Data'!S42</f>
        <v>20743.033846153849</v>
      </c>
      <c r="S42" s="47">
        <f ca="1">+'Monthly Data'!T42</f>
        <v>9679.2674588121663</v>
      </c>
      <c r="T42" s="47">
        <f t="shared" ca="1" si="8"/>
        <v>21364489.963021901</v>
      </c>
    </row>
    <row r="43" spans="1:20">
      <c r="A43" s="2">
        <f>'Monthly Data'!A43</f>
        <v>43617</v>
      </c>
      <c r="B43">
        <f>'Monthly Data'!B43</f>
        <v>2019</v>
      </c>
      <c r="C43">
        <f>'Monthly Data'!C43</f>
        <v>6</v>
      </c>
      <c r="D43" s="3">
        <f>'Monthly Data'!R43</f>
        <v>22438976.178483218</v>
      </c>
      <c r="E43" s="3">
        <f t="shared" ref="E43:F43" ca="1" si="46">E31</f>
        <v>61.78217382617381</v>
      </c>
      <c r="F43" s="3">
        <f t="shared" ca="1" si="46"/>
        <v>144.91160087738351</v>
      </c>
      <c r="G43">
        <f>'Monthly Data'!EJ43</f>
        <v>0</v>
      </c>
      <c r="H43" s="3">
        <f>'Monthly Data'!DB43</f>
        <v>7396.1</v>
      </c>
      <c r="I43" s="3">
        <f>'Monthly Data'!DQ43</f>
        <v>30</v>
      </c>
      <c r="K43" s="3">
        <f t="shared" si="31"/>
        <v>3542907.1380836898</v>
      </c>
      <c r="L43" s="3">
        <f t="shared" ca="1" si="32"/>
        <v>649466.6604823455</v>
      </c>
      <c r="M43" s="3">
        <f t="shared" ca="1" si="33"/>
        <v>4760516.126511923</v>
      </c>
      <c r="N43" s="3">
        <f t="shared" si="34"/>
        <v>0</v>
      </c>
      <c r="O43" s="3">
        <f t="shared" si="35"/>
        <v>0</v>
      </c>
      <c r="P43" s="3">
        <f t="shared" si="36"/>
        <v>13536213.05441268</v>
      </c>
      <c r="Q43" s="47">
        <f t="shared" ca="1" si="45"/>
        <v>22489102.979490638</v>
      </c>
      <c r="R43" s="47">
        <f>'Monthly Data'!S43</f>
        <v>21237.66461538462</v>
      </c>
      <c r="S43" s="47">
        <f ca="1">+'Monthly Data'!T43</f>
        <v>2171.9738407216169</v>
      </c>
      <c r="T43" s="47">
        <f t="shared" ref="T43:T106" ca="1" si="47">Q43+R43+S43</f>
        <v>22512512.617946744</v>
      </c>
    </row>
    <row r="44" spans="1:20">
      <c r="A44" s="2">
        <f>'Monthly Data'!A44</f>
        <v>43647</v>
      </c>
      <c r="B44">
        <f>'Monthly Data'!B44</f>
        <v>2019</v>
      </c>
      <c r="C44">
        <f>'Monthly Data'!C44</f>
        <v>7</v>
      </c>
      <c r="D44" s="3">
        <f>'Monthly Data'!R44</f>
        <v>27458190.795904491</v>
      </c>
      <c r="E44" s="3">
        <f t="shared" ref="E44:F44" ca="1" si="48">E32</f>
        <v>8.334479813664597</v>
      </c>
      <c r="F44" s="3">
        <f t="shared" ca="1" si="48"/>
        <v>242.72508692061183</v>
      </c>
      <c r="G44">
        <f>'Monthly Data'!EJ44</f>
        <v>0</v>
      </c>
      <c r="H44" s="3">
        <f>'Monthly Data'!DB44</f>
        <v>7399.6</v>
      </c>
      <c r="I44" s="3">
        <f>'Monthly Data'!DQ44</f>
        <v>31</v>
      </c>
      <c r="K44" s="3">
        <f t="shared" si="31"/>
        <v>3542907.1380836898</v>
      </c>
      <c r="L44" s="3">
        <f t="shared" ca="1" si="32"/>
        <v>87613.731214246814</v>
      </c>
      <c r="M44" s="3">
        <f t="shared" ca="1" si="33"/>
        <v>7973803.9163082652</v>
      </c>
      <c r="N44" s="3">
        <f t="shared" si="34"/>
        <v>0</v>
      </c>
      <c r="O44" s="3">
        <f t="shared" si="35"/>
        <v>0</v>
      </c>
      <c r="P44" s="3">
        <f t="shared" si="36"/>
        <v>13987420.156226436</v>
      </c>
      <c r="Q44" s="47">
        <f t="shared" ca="1" si="45"/>
        <v>25591744.941832639</v>
      </c>
      <c r="R44" s="47">
        <f>'Monthly Data'!S44</f>
        <v>21732.295384615391</v>
      </c>
      <c r="S44" s="47">
        <f ca="1">+'Monthly Data'!T44</f>
        <v>0</v>
      </c>
      <c r="T44" s="47">
        <f t="shared" ca="1" si="47"/>
        <v>25613477.237217255</v>
      </c>
    </row>
    <row r="45" spans="1:20">
      <c r="A45" s="2">
        <f>'Monthly Data'!A45</f>
        <v>43678</v>
      </c>
      <c r="B45">
        <f>'Monthly Data'!B45</f>
        <v>2019</v>
      </c>
      <c r="C45">
        <f>'Monthly Data'!C45</f>
        <v>8</v>
      </c>
      <c r="D45" s="3">
        <f>'Monthly Data'!R45</f>
        <v>25475496.25134312</v>
      </c>
      <c r="E45" s="3">
        <f t="shared" ref="E45:F45" ca="1" si="49">E33</f>
        <v>21.054927536231883</v>
      </c>
      <c r="F45" s="3">
        <f t="shared" ca="1" si="49"/>
        <v>214.02558794466404</v>
      </c>
      <c r="G45">
        <f>'Monthly Data'!EJ45</f>
        <v>0</v>
      </c>
      <c r="H45" s="3">
        <f>'Monthly Data'!DB45</f>
        <v>7414</v>
      </c>
      <c r="I45" s="3">
        <f>'Monthly Data'!DQ45</f>
        <v>31</v>
      </c>
      <c r="K45" s="3">
        <f t="shared" si="31"/>
        <v>3542907.1380836898</v>
      </c>
      <c r="L45" s="3">
        <f t="shared" ca="1" si="32"/>
        <v>221333.64086747551</v>
      </c>
      <c r="M45" s="3">
        <f t="shared" ca="1" si="33"/>
        <v>7030991.699269712</v>
      </c>
      <c r="N45" s="3">
        <f t="shared" si="34"/>
        <v>0</v>
      </c>
      <c r="O45" s="3">
        <f t="shared" si="35"/>
        <v>0</v>
      </c>
      <c r="P45" s="3">
        <f t="shared" si="36"/>
        <v>13987420.156226436</v>
      </c>
      <c r="Q45" s="47">
        <f t="shared" ca="1" si="45"/>
        <v>24782652.634447314</v>
      </c>
      <c r="R45" s="47">
        <f>'Monthly Data'!S45</f>
        <v>22226.926153846158</v>
      </c>
      <c r="S45" s="47">
        <f ca="1">+'Monthly Data'!T45</f>
        <v>218.78677680048764</v>
      </c>
      <c r="T45" s="47">
        <f t="shared" ca="1" si="47"/>
        <v>24805098.34737796</v>
      </c>
    </row>
    <row r="46" spans="1:20">
      <c r="A46" s="2">
        <f>'Monthly Data'!A46</f>
        <v>43709</v>
      </c>
      <c r="B46">
        <f>'Monthly Data'!B46</f>
        <v>2019</v>
      </c>
      <c r="C46">
        <f>'Monthly Data'!C46</f>
        <v>9</v>
      </c>
      <c r="D46" s="3">
        <f>'Monthly Data'!R46</f>
        <v>21798333.345887173</v>
      </c>
      <c r="E46" s="3">
        <f t="shared" ref="E46:F46" ca="1" si="50">E34</f>
        <v>97.667119565217376</v>
      </c>
      <c r="F46" s="3">
        <f t="shared" ca="1" si="50"/>
        <v>102.40708333333332</v>
      </c>
      <c r="G46">
        <f>'Monthly Data'!EJ46</f>
        <v>0</v>
      </c>
      <c r="H46" s="3">
        <f>'Monthly Data'!DB46</f>
        <v>7432.4</v>
      </c>
      <c r="I46" s="3">
        <f>'Monthly Data'!DQ46</f>
        <v>30</v>
      </c>
      <c r="K46" s="3">
        <f t="shared" si="31"/>
        <v>3542907.1380836898</v>
      </c>
      <c r="L46" s="3">
        <f t="shared" ca="1" si="32"/>
        <v>1026696.4409737088</v>
      </c>
      <c r="M46" s="3">
        <f t="shared" ca="1" si="33"/>
        <v>3364192.8508531847</v>
      </c>
      <c r="N46" s="3">
        <f t="shared" si="34"/>
        <v>0</v>
      </c>
      <c r="O46" s="3">
        <f t="shared" si="35"/>
        <v>0</v>
      </c>
      <c r="P46" s="3">
        <f t="shared" si="36"/>
        <v>13536213.05441268</v>
      </c>
      <c r="Q46" s="47">
        <f t="shared" ca="1" si="45"/>
        <v>21470009.484323263</v>
      </c>
      <c r="R46" s="47">
        <f>'Monthly Data'!S46</f>
        <v>22721.556923076929</v>
      </c>
      <c r="S46" s="47">
        <f ca="1">+'Monthly Data'!T46</f>
        <v>2922.3241855512711</v>
      </c>
      <c r="T46" s="47">
        <f t="shared" ca="1" si="47"/>
        <v>21495653.36543189</v>
      </c>
    </row>
    <row r="47" spans="1:20">
      <c r="A47" s="2">
        <f>'Monthly Data'!A47</f>
        <v>43739</v>
      </c>
      <c r="B47">
        <f>'Monthly Data'!B47</f>
        <v>2019</v>
      </c>
      <c r="C47">
        <f>'Monthly Data'!C47</f>
        <v>10</v>
      </c>
      <c r="D47" s="3">
        <f>'Monthly Data'!R47</f>
        <v>21919987.852041505</v>
      </c>
      <c r="E47" s="3">
        <f t="shared" ref="E47:F47" ca="1" si="51">E35</f>
        <v>292.46431159420291</v>
      </c>
      <c r="F47" s="3">
        <f t="shared" ca="1" si="51"/>
        <v>19.741250000000004</v>
      </c>
      <c r="G47">
        <f>'Monthly Data'!EJ47</f>
        <v>0</v>
      </c>
      <c r="H47" s="3">
        <f>'Monthly Data'!DB47</f>
        <v>7450</v>
      </c>
      <c r="I47" s="3">
        <f>'Monthly Data'!DQ47</f>
        <v>31</v>
      </c>
      <c r="K47" s="3">
        <f t="shared" si="31"/>
        <v>3542907.1380836898</v>
      </c>
      <c r="L47" s="3">
        <f t="shared" ca="1" si="32"/>
        <v>3074443.7755747139</v>
      </c>
      <c r="M47" s="3">
        <f t="shared" ca="1" si="33"/>
        <v>648523.22666715388</v>
      </c>
      <c r="N47" s="3">
        <f t="shared" si="34"/>
        <v>0</v>
      </c>
      <c r="O47" s="3">
        <f t="shared" si="35"/>
        <v>0</v>
      </c>
      <c r="P47" s="3">
        <f t="shared" si="36"/>
        <v>13987420.156226436</v>
      </c>
      <c r="Q47" s="47">
        <f t="shared" ca="1" si="45"/>
        <v>21253294.296551995</v>
      </c>
      <c r="R47" s="47">
        <f>'Monthly Data'!S47</f>
        <v>23216.1876923077</v>
      </c>
      <c r="S47" s="47">
        <f ca="1">+'Monthly Data'!T47</f>
        <v>11480.321031628835</v>
      </c>
      <c r="T47" s="47">
        <f t="shared" ca="1" si="47"/>
        <v>21287990.805275932</v>
      </c>
    </row>
    <row r="48" spans="1:20">
      <c r="A48" s="2">
        <f>'Monthly Data'!A48</f>
        <v>43770</v>
      </c>
      <c r="B48">
        <f>'Monthly Data'!B48</f>
        <v>2019</v>
      </c>
      <c r="C48">
        <f>'Monthly Data'!C48</f>
        <v>11</v>
      </c>
      <c r="D48" s="3">
        <f>'Monthly Data'!R48</f>
        <v>24237065.28145485</v>
      </c>
      <c r="E48" s="3">
        <f t="shared" ref="E48:F48" ca="1" si="52">E36</f>
        <v>495.51408055712409</v>
      </c>
      <c r="F48" s="3">
        <f t="shared" ca="1" si="52"/>
        <v>0.78124999999999944</v>
      </c>
      <c r="G48">
        <f>'Monthly Data'!EJ48</f>
        <v>0</v>
      </c>
      <c r="H48" s="3">
        <f>'Monthly Data'!DB48</f>
        <v>7458.2</v>
      </c>
      <c r="I48" s="3">
        <f>'Monthly Data'!DQ48</f>
        <v>30</v>
      </c>
      <c r="K48" s="3">
        <f t="shared" si="31"/>
        <v>3542907.1380836898</v>
      </c>
      <c r="L48" s="3">
        <f t="shared" ca="1" si="32"/>
        <v>5208943.861814674</v>
      </c>
      <c r="M48" s="3">
        <f t="shared" ca="1" si="33"/>
        <v>25664.979210217869</v>
      </c>
      <c r="N48" s="3">
        <f t="shared" si="34"/>
        <v>0</v>
      </c>
      <c r="O48" s="3">
        <f t="shared" si="35"/>
        <v>0</v>
      </c>
      <c r="P48" s="3">
        <f t="shared" si="36"/>
        <v>13536213.05441268</v>
      </c>
      <c r="Q48" s="47">
        <f t="shared" ca="1" si="45"/>
        <v>22313729.033521261</v>
      </c>
      <c r="R48" s="47">
        <f>'Monthly Data'!S48</f>
        <v>23710.818461538467</v>
      </c>
      <c r="S48" s="47">
        <f ca="1">+'Monthly Data'!T48</f>
        <v>24946.401867043267</v>
      </c>
      <c r="T48" s="47">
        <f t="shared" ca="1" si="47"/>
        <v>22362386.253849842</v>
      </c>
    </row>
    <row r="49" spans="1:20">
      <c r="A49" s="2">
        <f>'Monthly Data'!A49</f>
        <v>43800</v>
      </c>
      <c r="B49">
        <f>'Monthly Data'!B49</f>
        <v>2019</v>
      </c>
      <c r="C49">
        <f>'Monthly Data'!C49</f>
        <v>12</v>
      </c>
      <c r="D49" s="3">
        <f>'Monthly Data'!R49</f>
        <v>25952432.100917619</v>
      </c>
      <c r="E49" s="3">
        <f t="shared" ref="E49:F49" ca="1" si="53">E37</f>
        <v>664.38541666666663</v>
      </c>
      <c r="F49" s="3">
        <f t="shared" ca="1" si="53"/>
        <v>0</v>
      </c>
      <c r="G49">
        <f>'Monthly Data'!EJ49</f>
        <v>0</v>
      </c>
      <c r="H49" s="3">
        <f>'Monthly Data'!DB49</f>
        <v>7474</v>
      </c>
      <c r="I49" s="3">
        <f>'Monthly Data'!DQ49</f>
        <v>31</v>
      </c>
      <c r="K49" s="3">
        <f t="shared" si="31"/>
        <v>3542907.1380836898</v>
      </c>
      <c r="L49" s="3">
        <f t="shared" ca="1" si="32"/>
        <v>6984153.3748828648</v>
      </c>
      <c r="M49" s="3">
        <f t="shared" ca="1" si="33"/>
        <v>0</v>
      </c>
      <c r="N49" s="3">
        <f t="shared" si="34"/>
        <v>0</v>
      </c>
      <c r="O49" s="3">
        <f t="shared" si="35"/>
        <v>0</v>
      </c>
      <c r="P49" s="3">
        <f t="shared" si="36"/>
        <v>13987420.156226436</v>
      </c>
      <c r="Q49" s="47">
        <f t="shared" ca="1" si="45"/>
        <v>24514480.669192992</v>
      </c>
      <c r="R49" s="47">
        <f>'Monthly Data'!S49</f>
        <v>24205.449230769238</v>
      </c>
      <c r="S49" s="47">
        <f ca="1">+'Monthly Data'!T49</f>
        <v>28935.385172493599</v>
      </c>
      <c r="T49" s="47">
        <f t="shared" ca="1" si="47"/>
        <v>24567621.503596254</v>
      </c>
    </row>
    <row r="50" spans="1:20">
      <c r="A50" s="2">
        <f>'Monthly Data'!A50</f>
        <v>43831</v>
      </c>
      <c r="B50">
        <f>'Monthly Data'!B50</f>
        <v>2020</v>
      </c>
      <c r="C50">
        <f>'Monthly Data'!C50</f>
        <v>1</v>
      </c>
      <c r="D50" s="3">
        <f>'Monthly Data'!R50</f>
        <v>26660699.398974162</v>
      </c>
      <c r="E50" s="3">
        <f t="shared" ref="E50:F50" ca="1" si="54">E38</f>
        <v>752.78750000000002</v>
      </c>
      <c r="F50" s="3">
        <f t="shared" ca="1" si="54"/>
        <v>0</v>
      </c>
      <c r="G50">
        <f>'Monthly Data'!EJ50</f>
        <v>0</v>
      </c>
      <c r="H50" s="3">
        <f>'Monthly Data'!DB50</f>
        <v>7498.1</v>
      </c>
      <c r="I50" s="3">
        <f>'Monthly Data'!DQ50</f>
        <v>31</v>
      </c>
      <c r="K50" s="3">
        <f t="shared" si="31"/>
        <v>3542907.1380836898</v>
      </c>
      <c r="L50" s="3">
        <f t="shared" ca="1" si="32"/>
        <v>7913453.8880651752</v>
      </c>
      <c r="M50" s="3">
        <f t="shared" ca="1" si="33"/>
        <v>0</v>
      </c>
      <c r="N50" s="3">
        <f t="shared" si="34"/>
        <v>0</v>
      </c>
      <c r="O50" s="3">
        <f t="shared" si="35"/>
        <v>0</v>
      </c>
      <c r="P50" s="3">
        <f t="shared" si="36"/>
        <v>13987420.156226436</v>
      </c>
      <c r="Q50" s="47">
        <f t="shared" ca="1" si="45"/>
        <v>25443781.182375301</v>
      </c>
      <c r="R50" s="47">
        <f>'Monthly Data'!S50</f>
        <v>25273.896666666667</v>
      </c>
      <c r="S50" s="47">
        <f ca="1">+'Monthly Data'!T50</f>
        <v>121474.92360367074</v>
      </c>
      <c r="T50" s="47">
        <f t="shared" ca="1" si="47"/>
        <v>25590530.002645642</v>
      </c>
    </row>
    <row r="51" spans="1:20">
      <c r="A51" s="2">
        <f>'Monthly Data'!A51</f>
        <v>43862</v>
      </c>
      <c r="B51">
        <f>'Monthly Data'!B51</f>
        <v>2020</v>
      </c>
      <c r="C51">
        <f>'Monthly Data'!C51</f>
        <v>2</v>
      </c>
      <c r="D51" s="3">
        <f>'Monthly Data'!R51</f>
        <v>25074828.131062046</v>
      </c>
      <c r="E51" s="3">
        <f t="shared" ref="E51:F51" ca="1" si="55">E39</f>
        <v>660.7954166666666</v>
      </c>
      <c r="F51" s="3">
        <f t="shared" ca="1" si="55"/>
        <v>0</v>
      </c>
      <c r="G51">
        <f>'Monthly Data'!EJ51</f>
        <v>0</v>
      </c>
      <c r="H51" s="3">
        <f>'Monthly Data'!DB51</f>
        <v>7508</v>
      </c>
      <c r="I51" s="3">
        <f>'Monthly Data'!DQ51</f>
        <v>29</v>
      </c>
      <c r="K51" s="3">
        <f t="shared" si="31"/>
        <v>3542907.1380836898</v>
      </c>
      <c r="L51" s="3">
        <f t="shared" ca="1" si="32"/>
        <v>6946414.5714912647</v>
      </c>
      <c r="M51" s="3">
        <f t="shared" ca="1" si="33"/>
        <v>0</v>
      </c>
      <c r="N51" s="3">
        <f t="shared" si="34"/>
        <v>0</v>
      </c>
      <c r="O51" s="3">
        <f t="shared" si="35"/>
        <v>0</v>
      </c>
      <c r="P51" s="3">
        <f t="shared" si="36"/>
        <v>13085005.952598924</v>
      </c>
      <c r="Q51" s="47">
        <f t="shared" ca="1" si="45"/>
        <v>23574327.662173878</v>
      </c>
      <c r="R51" s="47">
        <f>'Monthly Data'!S51</f>
        <v>25847.713333333337</v>
      </c>
      <c r="S51" s="47">
        <f ca="1">+'Monthly Data'!T51</f>
        <v>119848.19619321985</v>
      </c>
      <c r="T51" s="47">
        <f t="shared" ca="1" si="47"/>
        <v>23720023.571700431</v>
      </c>
    </row>
    <row r="52" spans="1:20">
      <c r="A52" s="2">
        <f>'Monthly Data'!A52</f>
        <v>43891</v>
      </c>
      <c r="B52">
        <f>'Monthly Data'!B52</f>
        <v>2020</v>
      </c>
      <c r="C52">
        <f>'Monthly Data'!C52</f>
        <v>3</v>
      </c>
      <c r="D52" s="3">
        <f>'Monthly Data'!R52</f>
        <v>23209263.801920861</v>
      </c>
      <c r="E52" s="3">
        <f t="shared" ref="E52:F52" ca="1" si="56">E40</f>
        <v>596.21590579710141</v>
      </c>
      <c r="F52" s="3">
        <f t="shared" ca="1" si="56"/>
        <v>0</v>
      </c>
      <c r="G52">
        <f>'Monthly Data'!EJ52</f>
        <v>0.5</v>
      </c>
      <c r="H52" s="3">
        <f>'Monthly Data'!DB52</f>
        <v>7351.6</v>
      </c>
      <c r="I52" s="3">
        <f>'Monthly Data'!DQ52</f>
        <v>31</v>
      </c>
      <c r="K52" s="3">
        <f t="shared" si="31"/>
        <v>3542907.1380836898</v>
      </c>
      <c r="L52" s="3">
        <f t="shared" ca="1" si="32"/>
        <v>6267541.7403402319</v>
      </c>
      <c r="M52" s="3">
        <f t="shared" ca="1" si="33"/>
        <v>0</v>
      </c>
      <c r="N52" s="3">
        <f t="shared" si="34"/>
        <v>-1309372.0919342099</v>
      </c>
      <c r="O52" s="3">
        <f t="shared" si="35"/>
        <v>0</v>
      </c>
      <c r="P52" s="3">
        <f t="shared" si="36"/>
        <v>13987420.156226436</v>
      </c>
      <c r="Q52" s="47">
        <f t="shared" ca="1" si="45"/>
        <v>22488496.942716148</v>
      </c>
      <c r="R52" s="47">
        <f>'Monthly Data'!S52</f>
        <v>26421.530000000002</v>
      </c>
      <c r="S52" s="47">
        <f ca="1">+'Monthly Data'!T52</f>
        <v>93029.329004296771</v>
      </c>
      <c r="T52" s="47">
        <f t="shared" ca="1" si="47"/>
        <v>22607947.801720444</v>
      </c>
    </row>
    <row r="53" spans="1:20">
      <c r="A53" s="2">
        <f>'Monthly Data'!A53</f>
        <v>43922</v>
      </c>
      <c r="B53">
        <f>'Monthly Data'!B53</f>
        <v>2020</v>
      </c>
      <c r="C53">
        <f>'Monthly Data'!C53</f>
        <v>4</v>
      </c>
      <c r="D53" s="3">
        <f>'Monthly Data'!R53</f>
        <v>18603961.100045763</v>
      </c>
      <c r="E53" s="3">
        <f t="shared" ref="E53:F53" ca="1" si="57">E41</f>
        <v>412.8885416666667</v>
      </c>
      <c r="F53" s="3">
        <f t="shared" ca="1" si="57"/>
        <v>2.2025000000000015</v>
      </c>
      <c r="G53">
        <f>'Monthly Data'!EJ53</f>
        <v>1</v>
      </c>
      <c r="H53" s="3">
        <f>'Monthly Data'!DB53</f>
        <v>6961.6</v>
      </c>
      <c r="I53" s="3">
        <f>'Monthly Data'!DQ53</f>
        <v>30</v>
      </c>
      <c r="K53" s="3">
        <f t="shared" si="31"/>
        <v>3542907.1380836898</v>
      </c>
      <c r="L53" s="3">
        <f t="shared" ca="1" si="32"/>
        <v>4340367.547800201</v>
      </c>
      <c r="M53" s="3">
        <f t="shared" ca="1" si="33"/>
        <v>72354.709389446318</v>
      </c>
      <c r="N53" s="3">
        <f t="shared" si="34"/>
        <v>-2618744.1838684198</v>
      </c>
      <c r="O53" s="3">
        <f t="shared" si="35"/>
        <v>0</v>
      </c>
      <c r="P53" s="3">
        <f t="shared" si="36"/>
        <v>13536213.05441268</v>
      </c>
      <c r="Q53" s="47">
        <f t="shared" ca="1" si="45"/>
        <v>18873098.265817598</v>
      </c>
      <c r="R53" s="47">
        <f>'Monthly Data'!S53</f>
        <v>26995.346666666668</v>
      </c>
      <c r="S53" s="47">
        <f ca="1">+'Monthly Data'!T53</f>
        <v>73345.202916925788</v>
      </c>
      <c r="T53" s="47">
        <f t="shared" ca="1" si="47"/>
        <v>18973438.815401193</v>
      </c>
    </row>
    <row r="54" spans="1:20">
      <c r="A54" s="2">
        <f>'Monthly Data'!A54</f>
        <v>43952</v>
      </c>
      <c r="B54">
        <f>'Monthly Data'!B54</f>
        <v>2020</v>
      </c>
      <c r="C54">
        <f>'Monthly Data'!C54</f>
        <v>5</v>
      </c>
      <c r="D54" s="3">
        <f>'Monthly Data'!R54</f>
        <v>18884059.75782511</v>
      </c>
      <c r="E54" s="3">
        <f t="shared" ref="E54:F54" ca="1" si="58">E42</f>
        <v>208.90012508544086</v>
      </c>
      <c r="F54" s="3">
        <f t="shared" ca="1" si="58"/>
        <v>48.940113636363641</v>
      </c>
      <c r="G54">
        <f>'Monthly Data'!EJ54</f>
        <v>1</v>
      </c>
      <c r="H54" s="3">
        <f>'Monthly Data'!DB54</f>
        <v>6572.6</v>
      </c>
      <c r="I54" s="3">
        <f>'Monthly Data'!DQ54</f>
        <v>31</v>
      </c>
      <c r="K54" s="3">
        <f t="shared" si="31"/>
        <v>3542907.1380836898</v>
      </c>
      <c r="L54" s="3">
        <f t="shared" ca="1" si="32"/>
        <v>2196000.2086574011</v>
      </c>
      <c r="M54" s="3">
        <f t="shared" ca="1" si="33"/>
        <v>1607740.1587494065</v>
      </c>
      <c r="N54" s="3">
        <f t="shared" si="34"/>
        <v>-2618744.1838684198</v>
      </c>
      <c r="O54" s="3">
        <f t="shared" si="35"/>
        <v>0</v>
      </c>
      <c r="P54" s="3">
        <f t="shared" si="36"/>
        <v>13987420.156226436</v>
      </c>
      <c r="Q54" s="47">
        <f t="shared" ca="1" si="45"/>
        <v>18715323.477848515</v>
      </c>
      <c r="R54" s="47">
        <f>'Monthly Data'!S54</f>
        <v>27569.163333333338</v>
      </c>
      <c r="S54" s="47">
        <f ca="1">+'Monthly Data'!T54</f>
        <v>41096.28352585926</v>
      </c>
      <c r="T54" s="47">
        <f t="shared" ca="1" si="47"/>
        <v>18783988.924707707</v>
      </c>
    </row>
    <row r="55" spans="1:20">
      <c r="A55" s="2">
        <f>'Monthly Data'!A55</f>
        <v>43983</v>
      </c>
      <c r="B55">
        <f>'Monthly Data'!B55</f>
        <v>2020</v>
      </c>
      <c r="C55">
        <f>'Monthly Data'!C55</f>
        <v>6</v>
      </c>
      <c r="D55" s="3">
        <f>'Monthly Data'!R55</f>
        <v>21097806.23196594</v>
      </c>
      <c r="E55" s="3">
        <f t="shared" ref="E55:F55" ca="1" si="59">E43</f>
        <v>61.78217382617381</v>
      </c>
      <c r="F55" s="3">
        <f t="shared" ca="1" si="59"/>
        <v>144.91160087738351</v>
      </c>
      <c r="G55">
        <f>'Monthly Data'!EJ55</f>
        <v>0.5</v>
      </c>
      <c r="H55" s="3">
        <f>'Monthly Data'!DB55</f>
        <v>6477.4</v>
      </c>
      <c r="I55" s="3">
        <f>'Monthly Data'!DQ55</f>
        <v>30</v>
      </c>
      <c r="K55" s="3">
        <f t="shared" si="31"/>
        <v>3542907.1380836898</v>
      </c>
      <c r="L55" s="3">
        <f t="shared" ca="1" si="32"/>
        <v>649466.6604823455</v>
      </c>
      <c r="M55" s="3">
        <f t="shared" ca="1" si="33"/>
        <v>4760516.126511923</v>
      </c>
      <c r="N55" s="3">
        <f t="shared" si="34"/>
        <v>-1309372.0919342099</v>
      </c>
      <c r="O55" s="3">
        <f t="shared" si="35"/>
        <v>0</v>
      </c>
      <c r="P55" s="3">
        <f t="shared" si="36"/>
        <v>13536213.05441268</v>
      </c>
      <c r="Q55" s="47">
        <f t="shared" ca="1" si="45"/>
        <v>21179730.887556426</v>
      </c>
      <c r="R55" s="47">
        <f>'Monthly Data'!S55</f>
        <v>28142.980000000003</v>
      </c>
      <c r="S55" s="47">
        <f ca="1">+'Monthly Data'!T55</f>
        <v>5743.8529445708227</v>
      </c>
      <c r="T55" s="47">
        <f t="shared" ca="1" si="47"/>
        <v>21213617.720500998</v>
      </c>
    </row>
    <row r="56" spans="1:20">
      <c r="A56" s="2">
        <f>'Monthly Data'!A56</f>
        <v>44013</v>
      </c>
      <c r="B56">
        <f>'Monthly Data'!B56</f>
        <v>2020</v>
      </c>
      <c r="C56">
        <f>'Monthly Data'!C56</f>
        <v>7</v>
      </c>
      <c r="D56" s="3">
        <f>'Monthly Data'!R56</f>
        <v>25978683.247062691</v>
      </c>
      <c r="E56" s="3">
        <f t="shared" ref="E56:F56" ca="1" si="60">E44</f>
        <v>8.334479813664597</v>
      </c>
      <c r="F56" s="3">
        <f t="shared" ca="1" si="60"/>
        <v>242.72508692061183</v>
      </c>
      <c r="G56">
        <f>'Monthly Data'!EJ56</f>
        <v>0.5</v>
      </c>
      <c r="H56" s="3">
        <f>'Monthly Data'!DB56</f>
        <v>6666.4</v>
      </c>
      <c r="I56" s="3">
        <f>'Monthly Data'!DQ56</f>
        <v>31</v>
      </c>
      <c r="K56" s="3">
        <f t="shared" si="31"/>
        <v>3542907.1380836898</v>
      </c>
      <c r="L56" s="3">
        <f t="shared" ca="1" si="32"/>
        <v>87613.731214246814</v>
      </c>
      <c r="M56" s="3">
        <f t="shared" ca="1" si="33"/>
        <v>7973803.9163082652</v>
      </c>
      <c r="N56" s="3">
        <f t="shared" si="34"/>
        <v>-1309372.0919342099</v>
      </c>
      <c r="O56" s="3">
        <f t="shared" si="35"/>
        <v>0</v>
      </c>
      <c r="P56" s="3">
        <f t="shared" si="36"/>
        <v>13987420.156226436</v>
      </c>
      <c r="Q56" s="47">
        <f t="shared" ca="1" si="45"/>
        <v>24282372.849898428</v>
      </c>
      <c r="R56" s="47">
        <f>'Monthly Data'!S56</f>
        <v>28716.796666666669</v>
      </c>
      <c r="S56" s="47">
        <f ca="1">+'Monthly Data'!T56</f>
        <v>0</v>
      </c>
      <c r="T56" s="47">
        <f t="shared" ca="1" si="47"/>
        <v>24311089.646565095</v>
      </c>
    </row>
    <row r="57" spans="1:20">
      <c r="A57" s="2">
        <f>'Monthly Data'!A57</f>
        <v>44044</v>
      </c>
      <c r="B57">
        <f>'Monthly Data'!B57</f>
        <v>2020</v>
      </c>
      <c r="C57">
        <f>'Monthly Data'!C57</f>
        <v>8</v>
      </c>
      <c r="D57" s="3">
        <f>'Monthly Data'!R57</f>
        <v>24125878.07363626</v>
      </c>
      <c r="E57" s="3">
        <f t="shared" ref="E57:F57" ca="1" si="61">E45</f>
        <v>21.054927536231883</v>
      </c>
      <c r="F57" s="3">
        <f t="shared" ca="1" si="61"/>
        <v>214.02558794466404</v>
      </c>
      <c r="G57">
        <f>'Monthly Data'!EJ57</f>
        <v>0.5</v>
      </c>
      <c r="H57" s="3">
        <f>'Monthly Data'!DB57</f>
        <v>6904.3</v>
      </c>
      <c r="I57" s="3">
        <f>'Monthly Data'!DQ57</f>
        <v>31</v>
      </c>
      <c r="K57" s="3">
        <f t="shared" si="31"/>
        <v>3542907.1380836898</v>
      </c>
      <c r="L57" s="3">
        <f t="shared" ca="1" si="32"/>
        <v>221333.64086747551</v>
      </c>
      <c r="M57" s="3">
        <f t="shared" ca="1" si="33"/>
        <v>7030991.699269712</v>
      </c>
      <c r="N57" s="3">
        <f t="shared" si="34"/>
        <v>-1309372.0919342099</v>
      </c>
      <c r="O57" s="3">
        <f t="shared" si="35"/>
        <v>0</v>
      </c>
      <c r="P57" s="3">
        <f t="shared" si="36"/>
        <v>13987420.156226436</v>
      </c>
      <c r="Q57" s="47">
        <f t="shared" ca="1" si="45"/>
        <v>23473280.542513102</v>
      </c>
      <c r="R57" s="47">
        <f>'Monthly Data'!S57</f>
        <v>29290.613333333335</v>
      </c>
      <c r="S57" s="47">
        <f ca="1">+'Monthly Data'!T57</f>
        <v>673.71145103780452</v>
      </c>
      <c r="T57" s="47">
        <f t="shared" ca="1" si="47"/>
        <v>23503244.867297474</v>
      </c>
    </row>
    <row r="58" spans="1:20">
      <c r="A58" s="2">
        <f>'Monthly Data'!A58</f>
        <v>44075</v>
      </c>
      <c r="B58">
        <f>'Monthly Data'!B58</f>
        <v>2020</v>
      </c>
      <c r="C58">
        <f>'Monthly Data'!C58</f>
        <v>9</v>
      </c>
      <c r="D58" s="3">
        <f>'Monthly Data'!R58</f>
        <v>20619845.029231008</v>
      </c>
      <c r="E58" s="3">
        <f t="shared" ref="E58:F58" ca="1" si="62">E46</f>
        <v>97.667119565217376</v>
      </c>
      <c r="F58" s="3">
        <f t="shared" ca="1" si="62"/>
        <v>102.40708333333332</v>
      </c>
      <c r="G58">
        <f>'Monthly Data'!EJ58</f>
        <v>0.5</v>
      </c>
      <c r="H58" s="3">
        <f>'Monthly Data'!DB58</f>
        <v>7065.2</v>
      </c>
      <c r="I58" s="3">
        <f>'Monthly Data'!DQ58</f>
        <v>30</v>
      </c>
      <c r="K58" s="3">
        <f t="shared" si="31"/>
        <v>3542907.1380836898</v>
      </c>
      <c r="L58" s="3">
        <f t="shared" ca="1" si="32"/>
        <v>1026696.4409737088</v>
      </c>
      <c r="M58" s="3">
        <f t="shared" ca="1" si="33"/>
        <v>3364192.8508531847</v>
      </c>
      <c r="N58" s="3">
        <f t="shared" si="34"/>
        <v>-1309372.0919342099</v>
      </c>
      <c r="O58" s="3">
        <f t="shared" si="35"/>
        <v>0</v>
      </c>
      <c r="P58" s="3">
        <f t="shared" si="36"/>
        <v>13536213.05441268</v>
      </c>
      <c r="Q58" s="47">
        <f t="shared" ca="1" si="45"/>
        <v>20160637.392389052</v>
      </c>
      <c r="R58" s="47">
        <f>'Monthly Data'!S58</f>
        <v>29864.430000000004</v>
      </c>
      <c r="S58" s="47">
        <f ca="1">+'Monthly Data'!T58</f>
        <v>16428.326522444488</v>
      </c>
      <c r="T58" s="47">
        <f t="shared" ca="1" si="47"/>
        <v>20206930.148911495</v>
      </c>
    </row>
    <row r="59" spans="1:20">
      <c r="A59" s="2">
        <f>'Monthly Data'!A59</f>
        <v>44105</v>
      </c>
      <c r="B59">
        <f>'Monthly Data'!B59</f>
        <v>2020</v>
      </c>
      <c r="C59">
        <f>'Monthly Data'!C59</f>
        <v>10</v>
      </c>
      <c r="D59" s="3">
        <f>'Monthly Data'!R59</f>
        <v>20573295.775600422</v>
      </c>
      <c r="E59" s="3">
        <f t="shared" ref="E59:F59" ca="1" si="63">E47</f>
        <v>292.46431159420291</v>
      </c>
      <c r="F59" s="3">
        <f t="shared" ca="1" si="63"/>
        <v>19.741250000000004</v>
      </c>
      <c r="G59">
        <f>'Monthly Data'!EJ59</f>
        <v>0.5</v>
      </c>
      <c r="H59" s="3">
        <f>'Monthly Data'!DB59</f>
        <v>7186.6</v>
      </c>
      <c r="I59" s="3">
        <f>'Monthly Data'!DQ59</f>
        <v>31</v>
      </c>
      <c r="K59" s="3">
        <f t="shared" si="31"/>
        <v>3542907.1380836898</v>
      </c>
      <c r="L59" s="3">
        <f t="shared" ca="1" si="32"/>
        <v>3074443.7755747139</v>
      </c>
      <c r="M59" s="3">
        <f t="shared" ca="1" si="33"/>
        <v>648523.22666715388</v>
      </c>
      <c r="N59" s="3">
        <f t="shared" si="34"/>
        <v>-1309372.0919342099</v>
      </c>
      <c r="O59" s="3">
        <f t="shared" si="35"/>
        <v>0</v>
      </c>
      <c r="P59" s="3">
        <f t="shared" si="36"/>
        <v>13987420.156226436</v>
      </c>
      <c r="Q59" s="47">
        <f t="shared" ca="1" si="45"/>
        <v>19943922.204617783</v>
      </c>
      <c r="R59" s="47">
        <f>'Monthly Data'!S59</f>
        <v>30438.24666666667</v>
      </c>
      <c r="S59" s="47">
        <f ca="1">+'Monthly Data'!T59</f>
        <v>55603.329794135687</v>
      </c>
      <c r="T59" s="47">
        <f t="shared" ca="1" si="47"/>
        <v>20029963.781078584</v>
      </c>
    </row>
    <row r="60" spans="1:20">
      <c r="A60" s="2">
        <f>'Monthly Data'!A60</f>
        <v>44136</v>
      </c>
      <c r="B60">
        <f>'Monthly Data'!B60</f>
        <v>2020</v>
      </c>
      <c r="C60">
        <f>'Monthly Data'!C60</f>
        <v>11</v>
      </c>
      <c r="D60" s="3">
        <f>'Monthly Data'!R60</f>
        <v>21740626.242299922</v>
      </c>
      <c r="E60" s="3">
        <f t="shared" ref="E60:F60" ca="1" si="64">E48</f>
        <v>495.51408055712409</v>
      </c>
      <c r="F60" s="3">
        <f t="shared" ca="1" si="64"/>
        <v>0.78124999999999944</v>
      </c>
      <c r="G60">
        <f>'Monthly Data'!EJ60</f>
        <v>0.5</v>
      </c>
      <c r="H60" s="3">
        <f>'Monthly Data'!DB60</f>
        <v>7271.8</v>
      </c>
      <c r="I60" s="3">
        <f>'Monthly Data'!DQ60</f>
        <v>30</v>
      </c>
      <c r="K60" s="3">
        <f t="shared" si="31"/>
        <v>3542907.1380836898</v>
      </c>
      <c r="L60" s="3">
        <f t="shared" ca="1" si="32"/>
        <v>5208943.861814674</v>
      </c>
      <c r="M60" s="3">
        <f t="shared" ca="1" si="33"/>
        <v>25664.979210217869</v>
      </c>
      <c r="N60" s="3">
        <f t="shared" si="34"/>
        <v>-1309372.0919342099</v>
      </c>
      <c r="O60" s="3">
        <f t="shared" si="35"/>
        <v>0</v>
      </c>
      <c r="P60" s="3">
        <f t="shared" si="36"/>
        <v>13536213.05441268</v>
      </c>
      <c r="Q60" s="47">
        <f t="shared" ca="1" si="45"/>
        <v>21004356.941587053</v>
      </c>
      <c r="R60" s="47">
        <f>'Monthly Data'!S60</f>
        <v>31012.063333333339</v>
      </c>
      <c r="S60" s="47">
        <f ca="1">+'Monthly Data'!T60</f>
        <v>70761.57497114026</v>
      </c>
      <c r="T60" s="47">
        <f t="shared" ca="1" si="47"/>
        <v>21106130.579891525</v>
      </c>
    </row>
    <row r="61" spans="1:20">
      <c r="A61" s="2">
        <f>'Monthly Data'!A61</f>
        <v>44166</v>
      </c>
      <c r="B61">
        <f>'Monthly Data'!B61</f>
        <v>2020</v>
      </c>
      <c r="C61">
        <f>'Monthly Data'!C61</f>
        <v>12</v>
      </c>
      <c r="D61" s="3">
        <f>'Monthly Data'!R61</f>
        <v>24034292.216278568</v>
      </c>
      <c r="E61" s="3">
        <f t="shared" ref="E61:F61" ca="1" si="65">E49</f>
        <v>664.38541666666663</v>
      </c>
      <c r="F61" s="3">
        <f t="shared" ca="1" si="65"/>
        <v>0</v>
      </c>
      <c r="G61">
        <f>'Monthly Data'!EJ61</f>
        <v>0.5</v>
      </c>
      <c r="H61" s="3">
        <f>'Monthly Data'!DB61</f>
        <v>7289.8</v>
      </c>
      <c r="I61" s="3">
        <f>'Monthly Data'!DQ61</f>
        <v>31</v>
      </c>
      <c r="K61" s="3">
        <f t="shared" si="31"/>
        <v>3542907.1380836898</v>
      </c>
      <c r="L61" s="3">
        <f t="shared" ca="1" si="32"/>
        <v>6984153.3748828648</v>
      </c>
      <c r="M61" s="3">
        <f t="shared" ca="1" si="33"/>
        <v>0</v>
      </c>
      <c r="N61" s="3">
        <f t="shared" si="34"/>
        <v>-1309372.0919342099</v>
      </c>
      <c r="O61" s="3">
        <f t="shared" si="35"/>
        <v>0</v>
      </c>
      <c r="P61" s="3">
        <f t="shared" si="36"/>
        <v>13987420.156226436</v>
      </c>
      <c r="Q61" s="47">
        <f t="shared" ca="1" si="45"/>
        <v>23205108.577258781</v>
      </c>
      <c r="R61" s="47">
        <f>'Monthly Data'!S61</f>
        <v>31585.880000000005</v>
      </c>
      <c r="S61" s="47">
        <f ca="1">+'Monthly Data'!T61</f>
        <v>112604.79195440361</v>
      </c>
      <c r="T61" s="47">
        <f t="shared" ca="1" si="47"/>
        <v>23349299.249213181</v>
      </c>
    </row>
    <row r="62" spans="1:20">
      <c r="A62" s="2">
        <f>'Monthly Data'!A62</f>
        <v>44197</v>
      </c>
      <c r="B62">
        <f>'Monthly Data'!B62</f>
        <v>2021</v>
      </c>
      <c r="C62">
        <f>'Monthly Data'!C62</f>
        <v>1</v>
      </c>
      <c r="D62" s="3">
        <f ca="1">'Monthly Data'!R62</f>
        <v>23610118.389233749</v>
      </c>
      <c r="E62" s="3">
        <f t="shared" ref="E62:F62" ca="1" si="66">E50</f>
        <v>752.78750000000002</v>
      </c>
      <c r="F62" s="3">
        <f t="shared" ca="1" si="66"/>
        <v>0</v>
      </c>
      <c r="G62">
        <f>'Monthly Data'!EJ62</f>
        <v>0.5</v>
      </c>
      <c r="H62" s="3">
        <f>'Monthly Data'!DB62</f>
        <v>7234.6</v>
      </c>
      <c r="I62" s="3">
        <f>'Monthly Data'!DQ62</f>
        <v>31</v>
      </c>
      <c r="K62" s="3">
        <f t="shared" si="31"/>
        <v>3542907.1380836898</v>
      </c>
      <c r="L62" s="3">
        <f t="shared" ca="1" si="32"/>
        <v>7913453.8880651752</v>
      </c>
      <c r="M62" s="3">
        <f t="shared" ca="1" si="33"/>
        <v>0</v>
      </c>
      <c r="N62" s="3">
        <f t="shared" si="34"/>
        <v>-1309372.0919342099</v>
      </c>
      <c r="O62" s="3">
        <f t="shared" si="35"/>
        <v>0</v>
      </c>
      <c r="P62" s="3">
        <f t="shared" si="36"/>
        <v>13987420.156226436</v>
      </c>
      <c r="Q62" s="47">
        <f t="shared" ca="1" si="45"/>
        <v>24134409.090441093</v>
      </c>
      <c r="R62" s="47">
        <f>'Monthly Data'!S62</f>
        <v>33300.327948717953</v>
      </c>
      <c r="S62" s="47">
        <f ca="1">+'Monthly Data'!T62</f>
        <v>235791.63072920649</v>
      </c>
      <c r="T62" s="47">
        <f t="shared" ca="1" si="47"/>
        <v>24403501.049119018</v>
      </c>
    </row>
    <row r="63" spans="1:20">
      <c r="A63" s="2">
        <f>'Monthly Data'!A63</f>
        <v>44228</v>
      </c>
      <c r="B63">
        <f>'Monthly Data'!B63</f>
        <v>2021</v>
      </c>
      <c r="C63">
        <f>'Monthly Data'!C63</f>
        <v>2</v>
      </c>
      <c r="D63" s="3">
        <f ca="1">'Monthly Data'!R63</f>
        <v>22884369.63617168</v>
      </c>
      <c r="E63" s="3">
        <f t="shared" ref="E63:F63" ca="1" si="67">E51</f>
        <v>660.7954166666666</v>
      </c>
      <c r="F63" s="3">
        <f t="shared" ca="1" si="67"/>
        <v>0</v>
      </c>
      <c r="G63">
        <f>'Monthly Data'!EJ63</f>
        <v>0.5</v>
      </c>
      <c r="H63" s="3">
        <f>'Monthly Data'!DB63</f>
        <v>7209.5</v>
      </c>
      <c r="I63" s="3">
        <f>'Monthly Data'!DQ63</f>
        <v>28</v>
      </c>
      <c r="K63" s="3">
        <f t="shared" si="31"/>
        <v>3542907.1380836898</v>
      </c>
      <c r="L63" s="3">
        <f t="shared" ca="1" si="32"/>
        <v>6946414.5714912647</v>
      </c>
      <c r="M63" s="3">
        <f t="shared" ca="1" si="33"/>
        <v>0</v>
      </c>
      <c r="N63" s="3">
        <f t="shared" si="34"/>
        <v>-1309372.0919342099</v>
      </c>
      <c r="O63" s="3">
        <f t="shared" si="35"/>
        <v>0</v>
      </c>
      <c r="P63" s="3">
        <f t="shared" si="36"/>
        <v>12633798.850785168</v>
      </c>
      <c r="Q63" s="47">
        <f t="shared" ca="1" si="45"/>
        <v>21813748.468425915</v>
      </c>
      <c r="R63" s="47">
        <f>'Monthly Data'!S63</f>
        <v>34440.959230769236</v>
      </c>
      <c r="S63" s="47">
        <f ca="1">+'Monthly Data'!T63</f>
        <v>235773.59016858294</v>
      </c>
      <c r="T63" s="47">
        <f t="shared" ca="1" si="47"/>
        <v>22083963.017825268</v>
      </c>
    </row>
    <row r="64" spans="1:20">
      <c r="A64" s="2">
        <f>'Monthly Data'!A64</f>
        <v>44256</v>
      </c>
      <c r="B64">
        <f>'Monthly Data'!B64</f>
        <v>2021</v>
      </c>
      <c r="C64">
        <f>'Monthly Data'!C64</f>
        <v>3</v>
      </c>
      <c r="D64" s="3">
        <f ca="1">'Monthly Data'!R64</f>
        <v>23597404.158352688</v>
      </c>
      <c r="E64" s="3">
        <f t="shared" ref="E64:F64" ca="1" si="68">E52</f>
        <v>596.21590579710141</v>
      </c>
      <c r="F64" s="3">
        <f t="shared" ca="1" si="68"/>
        <v>0</v>
      </c>
      <c r="G64">
        <f>'Monthly Data'!EJ64</f>
        <v>0.5</v>
      </c>
      <c r="H64" s="3">
        <f>'Monthly Data'!DB64</f>
        <v>7237.4</v>
      </c>
      <c r="I64" s="3">
        <f>'Monthly Data'!DQ64</f>
        <v>31</v>
      </c>
      <c r="K64" s="3">
        <f t="shared" si="31"/>
        <v>3542907.1380836898</v>
      </c>
      <c r="L64" s="3">
        <f t="shared" ca="1" si="32"/>
        <v>6267541.7403402319</v>
      </c>
      <c r="M64" s="3">
        <f t="shared" ca="1" si="33"/>
        <v>0</v>
      </c>
      <c r="N64" s="3">
        <f t="shared" si="34"/>
        <v>-1309372.0919342099</v>
      </c>
      <c r="O64" s="3">
        <f t="shared" si="35"/>
        <v>0</v>
      </c>
      <c r="P64" s="3">
        <f t="shared" si="36"/>
        <v>13987420.156226436</v>
      </c>
      <c r="Q64" s="47">
        <f t="shared" ca="1" si="45"/>
        <v>22488496.942716148</v>
      </c>
      <c r="R64" s="47">
        <f>'Monthly Data'!S64</f>
        <v>35581.59051282052</v>
      </c>
      <c r="S64" s="47">
        <f ca="1">+'Monthly Data'!T64</f>
        <v>177734.29597572747</v>
      </c>
      <c r="T64" s="47">
        <f t="shared" ca="1" si="47"/>
        <v>22701812.829204693</v>
      </c>
    </row>
    <row r="65" spans="1:20">
      <c r="A65" s="2">
        <f>'Monthly Data'!A65</f>
        <v>44287</v>
      </c>
      <c r="B65">
        <f>'Monthly Data'!B65</f>
        <v>2021</v>
      </c>
      <c r="C65">
        <f>'Monthly Data'!C65</f>
        <v>4</v>
      </c>
      <c r="D65" s="3">
        <f ca="1">'Monthly Data'!R65</f>
        <v>19727267.688375518</v>
      </c>
      <c r="E65" s="3">
        <f t="shared" ref="E65:F65" ca="1" si="69">E53</f>
        <v>412.8885416666667</v>
      </c>
      <c r="F65" s="3">
        <f t="shared" ca="1" si="69"/>
        <v>2.2025000000000015</v>
      </c>
      <c r="G65">
        <f>'Monthly Data'!EJ65</f>
        <v>0.5</v>
      </c>
      <c r="H65" s="3">
        <f>'Monthly Data'!DB65</f>
        <v>7276.1</v>
      </c>
      <c r="I65" s="3">
        <f>'Monthly Data'!DQ65</f>
        <v>30</v>
      </c>
      <c r="K65" s="3">
        <f t="shared" si="31"/>
        <v>3542907.1380836898</v>
      </c>
      <c r="L65" s="3">
        <f t="shared" ca="1" si="32"/>
        <v>4340367.547800201</v>
      </c>
      <c r="M65" s="3">
        <f t="shared" ca="1" si="33"/>
        <v>72354.709389446318</v>
      </c>
      <c r="N65" s="3">
        <f t="shared" si="34"/>
        <v>-1309372.0919342099</v>
      </c>
      <c r="O65" s="3">
        <f t="shared" si="35"/>
        <v>0</v>
      </c>
      <c r="P65" s="3">
        <f t="shared" si="36"/>
        <v>13536213.05441268</v>
      </c>
      <c r="Q65" s="47">
        <f t="shared" ca="1" si="45"/>
        <v>20182470.357751809</v>
      </c>
      <c r="R65" s="47">
        <f>'Monthly Data'!S65</f>
        <v>36722.221794871795</v>
      </c>
      <c r="S65" s="47">
        <f ca="1">+'Monthly Data'!T65</f>
        <v>115385.92236785869</v>
      </c>
      <c r="T65" s="47">
        <f t="shared" ca="1" si="47"/>
        <v>20334578.501914542</v>
      </c>
    </row>
    <row r="66" spans="1:20">
      <c r="A66" s="2">
        <f>'Monthly Data'!A66</f>
        <v>44317</v>
      </c>
      <c r="B66">
        <f>'Monthly Data'!B66</f>
        <v>2021</v>
      </c>
      <c r="C66">
        <f>'Monthly Data'!C66</f>
        <v>5</v>
      </c>
      <c r="D66" s="3">
        <f ca="1">'Monthly Data'!R66</f>
        <v>19696306.661338918</v>
      </c>
      <c r="E66" s="3">
        <f t="shared" ref="E66:F66" ca="1" si="70">E54</f>
        <v>208.90012508544086</v>
      </c>
      <c r="F66" s="3">
        <f t="shared" ca="1" si="70"/>
        <v>48.940113636363641</v>
      </c>
      <c r="G66">
        <f>'Monthly Data'!EJ66</f>
        <v>0.5</v>
      </c>
      <c r="H66" s="3">
        <f>'Monthly Data'!DB66</f>
        <v>7265.7</v>
      </c>
      <c r="I66" s="3">
        <f>'Monthly Data'!DQ66</f>
        <v>31</v>
      </c>
      <c r="K66" s="3">
        <f t="shared" ref="K66:K97" si="71">$X$7</f>
        <v>3542907.1380836898</v>
      </c>
      <c r="L66" s="3">
        <f t="shared" ref="L66:L97" ca="1" si="72">E66*$X$8</f>
        <v>2196000.2086574011</v>
      </c>
      <c r="M66" s="3">
        <f t="shared" ref="M66:M97" ca="1" si="73">F66*$X$9</f>
        <v>1607740.1587494065</v>
      </c>
      <c r="N66" s="3">
        <f t="shared" ref="N66:N97" si="74">G66*$X$10</f>
        <v>-1309372.0919342099</v>
      </c>
      <c r="O66" s="3">
        <f t="shared" ref="O66:O97" si="75">H66*$X$11</f>
        <v>0</v>
      </c>
      <c r="P66" s="3">
        <f t="shared" ref="P66:P97" si="76">I66*$X$12</f>
        <v>13987420.156226436</v>
      </c>
      <c r="Q66" s="47">
        <f t="shared" ca="1" si="45"/>
        <v>20024695.569782723</v>
      </c>
      <c r="R66" s="47">
        <f>'Monthly Data'!S66</f>
        <v>37862.853076923078</v>
      </c>
      <c r="S66" s="47">
        <f ca="1">+'Monthly Data'!T66</f>
        <v>62652.361411998114</v>
      </c>
      <c r="T66" s="47">
        <f t="shared" ca="1" si="47"/>
        <v>20125210.784271646</v>
      </c>
    </row>
    <row r="67" spans="1:20">
      <c r="A67" s="2">
        <f>'Monthly Data'!A67</f>
        <v>44348</v>
      </c>
      <c r="B67">
        <f>'Monthly Data'!B67</f>
        <v>2021</v>
      </c>
      <c r="C67">
        <f>'Monthly Data'!C67</f>
        <v>6</v>
      </c>
      <c r="D67" s="3">
        <f ca="1">'Monthly Data'!R67</f>
        <v>21882313.153773695</v>
      </c>
      <c r="E67" s="3">
        <f t="shared" ref="E67:F67" ca="1" si="77">E55</f>
        <v>61.78217382617381</v>
      </c>
      <c r="F67" s="3">
        <f t="shared" ca="1" si="77"/>
        <v>144.91160087738351</v>
      </c>
      <c r="G67">
        <f>'Monthly Data'!EJ67</f>
        <v>0.5</v>
      </c>
      <c r="H67" s="3">
        <f>'Monthly Data'!DB67</f>
        <v>7250</v>
      </c>
      <c r="I67" s="3">
        <f>'Monthly Data'!DQ67</f>
        <v>30</v>
      </c>
      <c r="K67" s="3">
        <f t="shared" si="71"/>
        <v>3542907.1380836898</v>
      </c>
      <c r="L67" s="3">
        <f t="shared" ca="1" si="72"/>
        <v>649466.6604823455</v>
      </c>
      <c r="M67" s="3">
        <f t="shared" ca="1" si="73"/>
        <v>4760516.126511923</v>
      </c>
      <c r="N67" s="3">
        <f t="shared" si="74"/>
        <v>-1309372.0919342099</v>
      </c>
      <c r="O67" s="3">
        <f t="shared" si="75"/>
        <v>0</v>
      </c>
      <c r="P67" s="3">
        <f t="shared" si="76"/>
        <v>13536213.05441268</v>
      </c>
      <c r="Q67" s="47">
        <f t="shared" ca="1" si="45"/>
        <v>21179730.887556426</v>
      </c>
      <c r="R67" s="47">
        <f>'Monthly Data'!S67</f>
        <v>39003.484358974361</v>
      </c>
      <c r="S67" s="47">
        <f ca="1">+'Monthly Data'!T67</f>
        <v>5143.0631577496706</v>
      </c>
      <c r="T67" s="47">
        <f t="shared" ca="1" si="47"/>
        <v>21223877.435073148</v>
      </c>
    </row>
    <row r="68" spans="1:20">
      <c r="A68" s="2">
        <f>'Monthly Data'!A68</f>
        <v>44378</v>
      </c>
      <c r="B68">
        <f>'Monthly Data'!B68</f>
        <v>2021</v>
      </c>
      <c r="C68">
        <f>'Monthly Data'!C68</f>
        <v>7</v>
      </c>
      <c r="D68" s="3">
        <f ca="1">'Monthly Data'!R68</f>
        <v>23644875.912121467</v>
      </c>
      <c r="E68" s="3">
        <f t="shared" ref="E68:F68" ca="1" si="78">E56</f>
        <v>8.334479813664597</v>
      </c>
      <c r="F68" s="3">
        <f t="shared" ca="1" si="78"/>
        <v>242.72508692061183</v>
      </c>
      <c r="G68">
        <f>'Monthly Data'!EJ68</f>
        <v>0.5</v>
      </c>
      <c r="H68" s="3">
        <f>'Monthly Data'!DB68</f>
        <v>7317</v>
      </c>
      <c r="I68" s="3">
        <f>'Monthly Data'!DQ68</f>
        <v>31</v>
      </c>
      <c r="K68" s="3">
        <f t="shared" si="71"/>
        <v>3542907.1380836898</v>
      </c>
      <c r="L68" s="3">
        <f t="shared" ca="1" si="72"/>
        <v>87613.731214246814</v>
      </c>
      <c r="M68" s="3">
        <f t="shared" ca="1" si="73"/>
        <v>7973803.9163082652</v>
      </c>
      <c r="N68" s="3">
        <f t="shared" si="74"/>
        <v>-1309372.0919342099</v>
      </c>
      <c r="O68" s="3">
        <f t="shared" si="75"/>
        <v>0</v>
      </c>
      <c r="P68" s="3">
        <f t="shared" si="76"/>
        <v>13987420.156226436</v>
      </c>
      <c r="Q68" s="47">
        <f t="shared" ca="1" si="45"/>
        <v>24282372.849898428</v>
      </c>
      <c r="R68" s="47">
        <f>'Monthly Data'!S68</f>
        <v>40144.115641025644</v>
      </c>
      <c r="S68" s="47">
        <f ca="1">+'Monthly Data'!T68</f>
        <v>1931.8433667665331</v>
      </c>
      <c r="T68" s="47">
        <f t="shared" ca="1" si="47"/>
        <v>24324448.80890622</v>
      </c>
    </row>
    <row r="69" spans="1:20">
      <c r="A69" s="2">
        <f>'Monthly Data'!A69</f>
        <v>44409</v>
      </c>
      <c r="B69">
        <f>'Monthly Data'!B69</f>
        <v>2021</v>
      </c>
      <c r="C69">
        <f>'Monthly Data'!C69</f>
        <v>8</v>
      </c>
      <c r="D69" s="3">
        <f ca="1">'Monthly Data'!R69</f>
        <v>26365379.377595745</v>
      </c>
      <c r="E69" s="3">
        <f t="shared" ref="E69:F69" ca="1" si="79">E57</f>
        <v>21.054927536231883</v>
      </c>
      <c r="F69" s="3">
        <f t="shared" ca="1" si="79"/>
        <v>214.02558794466404</v>
      </c>
      <c r="G69">
        <f>'Monthly Data'!EJ69</f>
        <v>0.5</v>
      </c>
      <c r="H69" s="3">
        <f>'Monthly Data'!DB69</f>
        <v>7405.9</v>
      </c>
      <c r="I69" s="3">
        <f>'Monthly Data'!DQ69</f>
        <v>31</v>
      </c>
      <c r="K69" s="3">
        <f t="shared" si="71"/>
        <v>3542907.1380836898</v>
      </c>
      <c r="L69" s="3">
        <f t="shared" ca="1" si="72"/>
        <v>221333.64086747551</v>
      </c>
      <c r="M69" s="3">
        <f t="shared" ca="1" si="73"/>
        <v>7030991.699269712</v>
      </c>
      <c r="N69" s="3">
        <f t="shared" si="74"/>
        <v>-1309372.0919342099</v>
      </c>
      <c r="O69" s="3">
        <f t="shared" si="75"/>
        <v>0</v>
      </c>
      <c r="P69" s="3">
        <f t="shared" si="76"/>
        <v>13987420.156226436</v>
      </c>
      <c r="Q69" s="47">
        <f t="shared" ca="1" si="45"/>
        <v>23473280.542513102</v>
      </c>
      <c r="R69" s="47">
        <f>'Monthly Data'!S69</f>
        <v>41284.746923076927</v>
      </c>
      <c r="S69" s="47">
        <f ca="1">+'Monthly Data'!T69</f>
        <v>249.56108862509333</v>
      </c>
      <c r="T69" s="47">
        <f t="shared" ca="1" si="47"/>
        <v>23514814.850524805</v>
      </c>
    </row>
    <row r="70" spans="1:20">
      <c r="A70" s="2">
        <f>'Monthly Data'!A70</f>
        <v>44440</v>
      </c>
      <c r="B70">
        <f>'Monthly Data'!B70</f>
        <v>2021</v>
      </c>
      <c r="C70">
        <f>'Monthly Data'!C70</f>
        <v>9</v>
      </c>
      <c r="D70" s="3">
        <f ca="1">'Monthly Data'!R70</f>
        <v>21564606.144930352</v>
      </c>
      <c r="E70" s="3">
        <f t="shared" ref="E70:F70" ca="1" si="80">E58</f>
        <v>97.667119565217376</v>
      </c>
      <c r="F70" s="3">
        <f t="shared" ca="1" si="80"/>
        <v>102.40708333333332</v>
      </c>
      <c r="G70">
        <f>'Monthly Data'!EJ70</f>
        <v>0.5</v>
      </c>
      <c r="H70" s="3">
        <f>'Monthly Data'!DB70</f>
        <v>7482</v>
      </c>
      <c r="I70" s="3">
        <f>'Monthly Data'!DQ70</f>
        <v>30</v>
      </c>
      <c r="K70" s="3">
        <f t="shared" si="71"/>
        <v>3542907.1380836898</v>
      </c>
      <c r="L70" s="3">
        <f t="shared" ca="1" si="72"/>
        <v>1026696.4409737088</v>
      </c>
      <c r="M70" s="3">
        <f t="shared" ca="1" si="73"/>
        <v>3364192.8508531847</v>
      </c>
      <c r="N70" s="3">
        <f t="shared" si="74"/>
        <v>-1309372.0919342099</v>
      </c>
      <c r="O70" s="3">
        <f t="shared" si="75"/>
        <v>0</v>
      </c>
      <c r="P70" s="3">
        <f t="shared" si="76"/>
        <v>13536213.05441268</v>
      </c>
      <c r="Q70" s="47">
        <f t="shared" ca="1" si="45"/>
        <v>20160637.392389052</v>
      </c>
      <c r="R70" s="47">
        <f>'Monthly Data'!S70</f>
        <v>42425.378205128203</v>
      </c>
      <c r="S70" s="47">
        <f ca="1">+'Monthly Data'!T70</f>
        <v>16481.55550961988</v>
      </c>
      <c r="T70" s="47">
        <f t="shared" ca="1" si="47"/>
        <v>20219544.326103799</v>
      </c>
    </row>
    <row r="71" spans="1:20">
      <c r="A71" s="2">
        <f>'Monthly Data'!A71</f>
        <v>44470</v>
      </c>
      <c r="B71">
        <f>'Monthly Data'!B71</f>
        <v>2021</v>
      </c>
      <c r="C71">
        <f>'Monthly Data'!C71</f>
        <v>10</v>
      </c>
      <c r="D71" s="3">
        <f ca="1">'Monthly Data'!R71</f>
        <v>21010101.409984861</v>
      </c>
      <c r="E71" s="3">
        <f t="shared" ref="E71:F71" ca="1" si="81">E59</f>
        <v>292.46431159420291</v>
      </c>
      <c r="F71" s="3">
        <f t="shared" ca="1" si="81"/>
        <v>19.741250000000004</v>
      </c>
      <c r="G71">
        <f>'Monthly Data'!EJ71</f>
        <v>0.5</v>
      </c>
      <c r="H71" s="3">
        <f>'Monthly Data'!DB71</f>
        <v>7537.7</v>
      </c>
      <c r="I71" s="3">
        <f>'Monthly Data'!DQ71</f>
        <v>31</v>
      </c>
      <c r="K71" s="3">
        <f t="shared" si="71"/>
        <v>3542907.1380836898</v>
      </c>
      <c r="L71" s="3">
        <f t="shared" ca="1" si="72"/>
        <v>3074443.7755747139</v>
      </c>
      <c r="M71" s="3">
        <f t="shared" ca="1" si="73"/>
        <v>648523.22666715388</v>
      </c>
      <c r="N71" s="3">
        <f t="shared" si="74"/>
        <v>-1309372.0919342099</v>
      </c>
      <c r="O71" s="3">
        <f t="shared" si="75"/>
        <v>0</v>
      </c>
      <c r="P71" s="3">
        <f t="shared" si="76"/>
        <v>13987420.156226436</v>
      </c>
      <c r="Q71" s="47">
        <f t="shared" ca="1" si="45"/>
        <v>19943922.204617783</v>
      </c>
      <c r="R71" s="47">
        <f>'Monthly Data'!S71</f>
        <v>43566.009487179486</v>
      </c>
      <c r="S71" s="47">
        <f ca="1">+'Monthly Data'!T71</f>
        <v>55375.500833835475</v>
      </c>
      <c r="T71" s="47">
        <f t="shared" ca="1" si="47"/>
        <v>20042863.714938797</v>
      </c>
    </row>
    <row r="72" spans="1:20">
      <c r="A72" s="2">
        <f>'Monthly Data'!A72</f>
        <v>44501</v>
      </c>
      <c r="B72">
        <f>'Monthly Data'!B72</f>
        <v>2021</v>
      </c>
      <c r="C72">
        <f>'Monthly Data'!C72</f>
        <v>11</v>
      </c>
      <c r="D72" s="3">
        <f ca="1">'Monthly Data'!R72</f>
        <v>22237922.129628185</v>
      </c>
      <c r="E72" s="3">
        <f t="shared" ref="E72:F72" ca="1" si="82">E60</f>
        <v>495.51408055712409</v>
      </c>
      <c r="F72" s="3">
        <f t="shared" ca="1" si="82"/>
        <v>0.78124999999999944</v>
      </c>
      <c r="G72">
        <f>'Monthly Data'!EJ72</f>
        <v>0.5</v>
      </c>
      <c r="H72" s="3">
        <f>'Monthly Data'!DB72</f>
        <v>7604</v>
      </c>
      <c r="I72" s="3">
        <f>'Monthly Data'!DQ72</f>
        <v>30</v>
      </c>
      <c r="K72" s="3">
        <f t="shared" si="71"/>
        <v>3542907.1380836898</v>
      </c>
      <c r="L72" s="3">
        <f t="shared" ca="1" si="72"/>
        <v>5208943.861814674</v>
      </c>
      <c r="M72" s="3">
        <f t="shared" ca="1" si="73"/>
        <v>25664.979210217869</v>
      </c>
      <c r="N72" s="3">
        <f t="shared" si="74"/>
        <v>-1309372.0919342099</v>
      </c>
      <c r="O72" s="3">
        <f t="shared" si="75"/>
        <v>0</v>
      </c>
      <c r="P72" s="3">
        <f t="shared" si="76"/>
        <v>13536213.05441268</v>
      </c>
      <c r="Q72" s="47">
        <f t="shared" ca="1" si="45"/>
        <v>21004356.941587053</v>
      </c>
      <c r="R72" s="47">
        <f>'Monthly Data'!S72</f>
        <v>44706.640769230769</v>
      </c>
      <c r="S72" s="47">
        <f ca="1">+'Monthly Data'!T72</f>
        <v>161034.59161658058</v>
      </c>
      <c r="T72" s="47">
        <f t="shared" ca="1" si="47"/>
        <v>21210098.173972867</v>
      </c>
    </row>
    <row r="73" spans="1:20">
      <c r="A73" s="2">
        <f>'Monthly Data'!A73</f>
        <v>44531</v>
      </c>
      <c r="B73">
        <f>'Monthly Data'!B73</f>
        <v>2021</v>
      </c>
      <c r="C73">
        <f>'Monthly Data'!C73</f>
        <v>12</v>
      </c>
      <c r="D73" s="3">
        <f ca="1">'Monthly Data'!R73</f>
        <v>24164160.250091963</v>
      </c>
      <c r="E73" s="3">
        <f t="shared" ref="E73:F73" ca="1" si="83">E61</f>
        <v>664.38541666666663</v>
      </c>
      <c r="F73" s="3">
        <f t="shared" ca="1" si="83"/>
        <v>0</v>
      </c>
      <c r="G73">
        <f>'Monthly Data'!EJ73</f>
        <v>0.5</v>
      </c>
      <c r="H73" s="3">
        <f>'Monthly Data'!DB73</f>
        <v>7658.5</v>
      </c>
      <c r="I73" s="3">
        <f>'Monthly Data'!DQ73</f>
        <v>31</v>
      </c>
      <c r="K73" s="3">
        <f t="shared" si="71"/>
        <v>3542907.1380836898</v>
      </c>
      <c r="L73" s="3">
        <f t="shared" ca="1" si="72"/>
        <v>6984153.3748828648</v>
      </c>
      <c r="M73" s="3">
        <f t="shared" ca="1" si="73"/>
        <v>0</v>
      </c>
      <c r="N73" s="3">
        <f t="shared" si="74"/>
        <v>-1309372.0919342099</v>
      </c>
      <c r="O73" s="3">
        <f t="shared" si="75"/>
        <v>0</v>
      </c>
      <c r="P73" s="3">
        <f t="shared" si="76"/>
        <v>13987420.156226436</v>
      </c>
      <c r="Q73" s="47">
        <f t="shared" ca="1" si="45"/>
        <v>23205108.577258781</v>
      </c>
      <c r="R73" s="47">
        <f>'Monthly Data'!S73</f>
        <v>45847.272051282052</v>
      </c>
      <c r="S73" s="47">
        <f ca="1">+'Monthly Data'!T73</f>
        <v>192328.91342708937</v>
      </c>
      <c r="T73" s="47">
        <f t="shared" ca="1" si="47"/>
        <v>23443284.762737151</v>
      </c>
    </row>
    <row r="74" spans="1:20">
      <c r="A74" s="2">
        <f>'Monthly Data'!A74</f>
        <v>44562</v>
      </c>
      <c r="B74">
        <f>'Monthly Data'!B74</f>
        <v>2022</v>
      </c>
      <c r="C74">
        <f>'Monthly Data'!C74</f>
        <v>1</v>
      </c>
      <c r="D74" s="3">
        <f ca="1">'Monthly Data'!R74</f>
        <v>26676692.693785701</v>
      </c>
      <c r="E74" s="3">
        <f t="shared" ref="E74:F74" ca="1" si="84">E62</f>
        <v>752.78750000000002</v>
      </c>
      <c r="F74" s="3">
        <f t="shared" ca="1" si="84"/>
        <v>0</v>
      </c>
      <c r="G74">
        <f>'Monthly Data'!EJ74</f>
        <v>0.25</v>
      </c>
      <c r="H74" s="3">
        <f>'Monthly Data'!DB74</f>
        <v>7643.6</v>
      </c>
      <c r="I74" s="3">
        <f>'Monthly Data'!DQ74</f>
        <v>31</v>
      </c>
      <c r="K74" s="3">
        <f t="shared" si="71"/>
        <v>3542907.1380836898</v>
      </c>
      <c r="L74" s="3">
        <f t="shared" ca="1" si="72"/>
        <v>7913453.8880651752</v>
      </c>
      <c r="M74" s="3">
        <f t="shared" ca="1" si="73"/>
        <v>0</v>
      </c>
      <c r="N74" s="3">
        <f t="shared" si="74"/>
        <v>-654686.04596710496</v>
      </c>
      <c r="O74" s="3">
        <f t="shared" si="75"/>
        <v>0</v>
      </c>
      <c r="P74" s="3">
        <f t="shared" si="76"/>
        <v>13987420.156226436</v>
      </c>
      <c r="Q74" s="47">
        <f t="shared" ref="Q74:Q96" ca="1" si="85">SUM(K74:P74)</f>
        <v>24789095.136408195</v>
      </c>
      <c r="R74" s="47">
        <f>'Monthly Data'!S74</f>
        <v>49626.603076923071</v>
      </c>
      <c r="S74" s="47">
        <f ca="1">+'Monthly Data'!T74</f>
        <v>438859.00286337122</v>
      </c>
      <c r="T74" s="47">
        <f t="shared" ca="1" si="47"/>
        <v>25277580.742348488</v>
      </c>
    </row>
    <row r="75" spans="1:20">
      <c r="A75" s="2">
        <f>'Monthly Data'!A75</f>
        <v>44593</v>
      </c>
      <c r="B75">
        <f>'Monthly Data'!B75</f>
        <v>2022</v>
      </c>
      <c r="C75">
        <f>'Monthly Data'!C75</f>
        <v>2</v>
      </c>
      <c r="D75" s="3">
        <f ca="1">'Monthly Data'!R75</f>
        <v>24260657.089631252</v>
      </c>
      <c r="E75" s="3">
        <f t="shared" ref="E75:F75" ca="1" si="86">E63</f>
        <v>660.7954166666666</v>
      </c>
      <c r="F75" s="3">
        <f t="shared" ca="1" si="86"/>
        <v>0</v>
      </c>
      <c r="G75">
        <f>'Monthly Data'!EJ75</f>
        <v>0.25</v>
      </c>
      <c r="H75" s="3">
        <f>'Monthly Data'!DB75</f>
        <v>7668.9</v>
      </c>
      <c r="I75" s="3">
        <f>'Monthly Data'!DQ75</f>
        <v>28</v>
      </c>
      <c r="K75" s="3">
        <f t="shared" si="71"/>
        <v>3542907.1380836898</v>
      </c>
      <c r="L75" s="3">
        <f t="shared" ca="1" si="72"/>
        <v>6946414.5714912647</v>
      </c>
      <c r="M75" s="3">
        <f t="shared" ca="1" si="73"/>
        <v>0</v>
      </c>
      <c r="N75" s="3">
        <f t="shared" si="74"/>
        <v>-654686.04596710496</v>
      </c>
      <c r="O75" s="3">
        <f t="shared" si="75"/>
        <v>0</v>
      </c>
      <c r="P75" s="3">
        <f t="shared" si="76"/>
        <v>12633798.850785168</v>
      </c>
      <c r="Q75" s="47">
        <f t="shared" ca="1" si="85"/>
        <v>22468434.514393017</v>
      </c>
      <c r="R75" s="47">
        <f>'Monthly Data'!S75</f>
        <v>52265.302820512821</v>
      </c>
      <c r="S75" s="47">
        <f ca="1">+'Monthly Data'!T75</f>
        <v>338570.77819102304</v>
      </c>
      <c r="T75" s="47">
        <f t="shared" ca="1" si="47"/>
        <v>22859270.59540455</v>
      </c>
    </row>
    <row r="76" spans="1:20">
      <c r="A76" s="2">
        <f>'Monthly Data'!A76</f>
        <v>44621</v>
      </c>
      <c r="B76">
        <f>'Monthly Data'!B76</f>
        <v>2022</v>
      </c>
      <c r="C76">
        <f>'Monthly Data'!C76</f>
        <v>3</v>
      </c>
      <c r="D76" s="3">
        <f ca="1">'Monthly Data'!R76</f>
        <v>24902898.587404098</v>
      </c>
      <c r="E76" s="3">
        <f t="shared" ref="E76:F76" ca="1" si="87">E64</f>
        <v>596.21590579710141</v>
      </c>
      <c r="F76" s="3">
        <f t="shared" ca="1" si="87"/>
        <v>0</v>
      </c>
      <c r="G76">
        <f>'Monthly Data'!EJ76</f>
        <v>0.25</v>
      </c>
      <c r="H76" s="3">
        <f>'Monthly Data'!DB76</f>
        <v>7681.1</v>
      </c>
      <c r="I76" s="3">
        <f>'Monthly Data'!DQ76</f>
        <v>31</v>
      </c>
      <c r="K76" s="3">
        <f t="shared" si="71"/>
        <v>3542907.1380836898</v>
      </c>
      <c r="L76" s="3">
        <f t="shared" ca="1" si="72"/>
        <v>6267541.7403402319</v>
      </c>
      <c r="M76" s="3">
        <f t="shared" ca="1" si="73"/>
        <v>0</v>
      </c>
      <c r="N76" s="3">
        <f t="shared" si="74"/>
        <v>-654686.04596710496</v>
      </c>
      <c r="O76" s="3">
        <f t="shared" si="75"/>
        <v>0</v>
      </c>
      <c r="P76" s="3">
        <f t="shared" si="76"/>
        <v>13987420.156226436</v>
      </c>
      <c r="Q76" s="47">
        <f t="shared" ca="1" si="85"/>
        <v>23143182.988683254</v>
      </c>
      <c r="R76" s="47">
        <f>'Monthly Data'!S76</f>
        <v>54904.002564102564</v>
      </c>
      <c r="S76" s="47">
        <f ca="1">+'Monthly Data'!T76</f>
        <v>289591.82921964239</v>
      </c>
      <c r="T76" s="47">
        <f t="shared" ca="1" si="47"/>
        <v>23487678.820466999</v>
      </c>
    </row>
    <row r="77" spans="1:20">
      <c r="A77" s="2">
        <f>'Monthly Data'!A77</f>
        <v>44652</v>
      </c>
      <c r="B77">
        <f>'Monthly Data'!B77</f>
        <v>2022</v>
      </c>
      <c r="C77">
        <f>'Monthly Data'!C77</f>
        <v>4</v>
      </c>
      <c r="D77" s="3">
        <f ca="1">'Monthly Data'!R77</f>
        <v>21613092.935071915</v>
      </c>
      <c r="E77" s="3">
        <f t="shared" ref="E77:F77" ca="1" si="88">E65</f>
        <v>412.8885416666667</v>
      </c>
      <c r="F77" s="3">
        <f t="shared" ca="1" si="88"/>
        <v>2.2025000000000015</v>
      </c>
      <c r="G77">
        <f>'Monthly Data'!EJ77</f>
        <v>0.25</v>
      </c>
      <c r="H77" s="3">
        <f>'Monthly Data'!DB77</f>
        <v>7758.4</v>
      </c>
      <c r="I77" s="3">
        <f>'Monthly Data'!DQ77</f>
        <v>30</v>
      </c>
      <c r="K77" s="3">
        <f t="shared" si="71"/>
        <v>3542907.1380836898</v>
      </c>
      <c r="L77" s="3">
        <f t="shared" ca="1" si="72"/>
        <v>4340367.547800201</v>
      </c>
      <c r="M77" s="3">
        <f t="shared" ca="1" si="73"/>
        <v>72354.709389446318</v>
      </c>
      <c r="N77" s="3">
        <f t="shared" si="74"/>
        <v>-654686.04596710496</v>
      </c>
      <c r="O77" s="3">
        <f t="shared" si="75"/>
        <v>0</v>
      </c>
      <c r="P77" s="3">
        <f t="shared" si="76"/>
        <v>13536213.05441268</v>
      </c>
      <c r="Q77" s="47">
        <f t="shared" ca="1" si="85"/>
        <v>20837156.403718911</v>
      </c>
      <c r="R77" s="47">
        <f>'Monthly Data'!S77</f>
        <v>57542.702307692307</v>
      </c>
      <c r="S77" s="47">
        <f ca="1">+'Monthly Data'!T77</f>
        <v>188375.46110651779</v>
      </c>
      <c r="T77" s="47">
        <f t="shared" ca="1" si="47"/>
        <v>21083074.567133121</v>
      </c>
    </row>
    <row r="78" spans="1:20">
      <c r="A78" s="2">
        <f>'Monthly Data'!A78</f>
        <v>44682</v>
      </c>
      <c r="B78">
        <f>'Monthly Data'!B78</f>
        <v>2022</v>
      </c>
      <c r="C78">
        <f>'Monthly Data'!C78</f>
        <v>5</v>
      </c>
      <c r="D78" s="3">
        <f ca="1">'Monthly Data'!R78</f>
        <v>21666530.918725226</v>
      </c>
      <c r="E78" s="3">
        <f t="shared" ref="E78:F78" ca="1" si="89">E66</f>
        <v>208.90012508544086</v>
      </c>
      <c r="F78" s="3">
        <f t="shared" ca="1" si="89"/>
        <v>48.940113636363641</v>
      </c>
      <c r="G78">
        <f>'Monthly Data'!EJ78</f>
        <v>0.25</v>
      </c>
      <c r="H78" s="3">
        <f>'Monthly Data'!DB78</f>
        <v>7776.1</v>
      </c>
      <c r="I78" s="3">
        <f>'Monthly Data'!DQ78</f>
        <v>31</v>
      </c>
      <c r="K78" s="3">
        <f t="shared" si="71"/>
        <v>3542907.1380836898</v>
      </c>
      <c r="L78" s="3">
        <f t="shared" ca="1" si="72"/>
        <v>2196000.2086574011</v>
      </c>
      <c r="M78" s="3">
        <f t="shared" ca="1" si="73"/>
        <v>1607740.1587494065</v>
      </c>
      <c r="N78" s="3">
        <f t="shared" si="74"/>
        <v>-654686.04596710496</v>
      </c>
      <c r="O78" s="3">
        <f t="shared" si="75"/>
        <v>0</v>
      </c>
      <c r="P78" s="3">
        <f t="shared" si="76"/>
        <v>13987420.156226436</v>
      </c>
      <c r="Q78" s="47">
        <f t="shared" ca="1" si="85"/>
        <v>20679381.615749829</v>
      </c>
      <c r="R78" s="47">
        <f>'Monthly Data'!S78</f>
        <v>60181.40205128205</v>
      </c>
      <c r="S78" s="47">
        <f ca="1">+'Monthly Data'!T78</f>
        <v>58218.295729086312</v>
      </c>
      <c r="T78" s="47">
        <f t="shared" ca="1" si="47"/>
        <v>20797781.313530196</v>
      </c>
    </row>
    <row r="79" spans="1:20">
      <c r="A79" s="2">
        <f>'Monthly Data'!A79</f>
        <v>44713</v>
      </c>
      <c r="B79">
        <f>'Monthly Data'!B79</f>
        <v>2022</v>
      </c>
      <c r="C79">
        <f>'Monthly Data'!C79</f>
        <v>6</v>
      </c>
      <c r="D79" s="3">
        <f ca="1">'Monthly Data'!R79</f>
        <v>22627437.100193843</v>
      </c>
      <c r="E79" s="3">
        <f t="shared" ref="E79:F79" ca="1" si="90">E67</f>
        <v>61.78217382617381</v>
      </c>
      <c r="F79" s="3">
        <f t="shared" ca="1" si="90"/>
        <v>144.91160087738351</v>
      </c>
      <c r="G79">
        <f>'Monthly Data'!EJ79</f>
        <v>0.25</v>
      </c>
      <c r="H79" s="3">
        <f>'Monthly Data'!DB79</f>
        <v>7782.8</v>
      </c>
      <c r="I79" s="3">
        <f>'Monthly Data'!DQ79</f>
        <v>30</v>
      </c>
      <c r="K79" s="3">
        <f t="shared" si="71"/>
        <v>3542907.1380836898</v>
      </c>
      <c r="L79" s="3">
        <f t="shared" ca="1" si="72"/>
        <v>649466.6604823455</v>
      </c>
      <c r="M79" s="3">
        <f t="shared" ca="1" si="73"/>
        <v>4760516.126511923</v>
      </c>
      <c r="N79" s="3">
        <f t="shared" si="74"/>
        <v>-654686.04596710496</v>
      </c>
      <c r="O79" s="3">
        <f t="shared" si="75"/>
        <v>0</v>
      </c>
      <c r="P79" s="3">
        <f t="shared" si="76"/>
        <v>13536213.05441268</v>
      </c>
      <c r="Q79" s="47">
        <f t="shared" ca="1" si="85"/>
        <v>21834416.933523532</v>
      </c>
      <c r="R79" s="47">
        <f>'Monthly Data'!S79</f>
        <v>62820.101794871793</v>
      </c>
      <c r="S79" s="47">
        <f ca="1">+'Monthly Data'!T79</f>
        <v>19227.327895114453</v>
      </c>
      <c r="T79" s="47">
        <f t="shared" ca="1" si="47"/>
        <v>21916464.36321352</v>
      </c>
    </row>
    <row r="80" spans="1:20">
      <c r="A80" s="2">
        <f>'Monthly Data'!A80</f>
        <v>44743</v>
      </c>
      <c r="B80">
        <f>'Monthly Data'!B80</f>
        <v>2022</v>
      </c>
      <c r="C80">
        <f>'Monthly Data'!C80</f>
        <v>7</v>
      </c>
      <c r="D80" s="3">
        <f ca="1">'Monthly Data'!R80</f>
        <v>25714924.79593445</v>
      </c>
      <c r="E80" s="3">
        <f t="shared" ref="E80:F80" ca="1" si="91">E68</f>
        <v>8.334479813664597</v>
      </c>
      <c r="F80" s="3">
        <f t="shared" ca="1" si="91"/>
        <v>242.72508692061183</v>
      </c>
      <c r="G80">
        <f>'Monthly Data'!EJ80</f>
        <v>0.25</v>
      </c>
      <c r="H80" s="3">
        <f>'Monthly Data'!DB80</f>
        <v>7784.1</v>
      </c>
      <c r="I80" s="3">
        <f>'Monthly Data'!DQ80</f>
        <v>31</v>
      </c>
      <c r="K80" s="3">
        <f t="shared" si="71"/>
        <v>3542907.1380836898</v>
      </c>
      <c r="L80" s="3">
        <f t="shared" ca="1" si="72"/>
        <v>87613.731214246814</v>
      </c>
      <c r="M80" s="3">
        <f t="shared" ca="1" si="73"/>
        <v>7973803.9163082652</v>
      </c>
      <c r="N80" s="3">
        <f t="shared" si="74"/>
        <v>-654686.04596710496</v>
      </c>
      <c r="O80" s="3">
        <f t="shared" si="75"/>
        <v>0</v>
      </c>
      <c r="P80" s="3">
        <f t="shared" si="76"/>
        <v>13987420.156226436</v>
      </c>
      <c r="Q80" s="47">
        <f t="shared" ca="1" si="85"/>
        <v>24937058.89586553</v>
      </c>
      <c r="R80" s="47">
        <f>'Monthly Data'!S80</f>
        <v>65458.801538461543</v>
      </c>
      <c r="S80" s="47">
        <f ca="1">+'Monthly Data'!T80</f>
        <v>330.05578204222911</v>
      </c>
      <c r="T80" s="47">
        <f t="shared" ca="1" si="47"/>
        <v>25002847.753186032</v>
      </c>
    </row>
    <row r="81" spans="1:20">
      <c r="A81" s="2">
        <f>'Monthly Data'!A81</f>
        <v>44774</v>
      </c>
      <c r="B81">
        <f>'Monthly Data'!B81</f>
        <v>2022</v>
      </c>
      <c r="C81">
        <f>'Monthly Data'!C81</f>
        <v>8</v>
      </c>
      <c r="D81" s="3">
        <f ca="1">'Monthly Data'!R81</f>
        <v>25851474.528700527</v>
      </c>
      <c r="E81" s="3">
        <f t="shared" ref="E81:F81" ca="1" si="92">E69</f>
        <v>21.054927536231883</v>
      </c>
      <c r="F81" s="3">
        <f t="shared" ca="1" si="92"/>
        <v>214.02558794466404</v>
      </c>
      <c r="G81">
        <f>'Monthly Data'!EJ81</f>
        <v>0.25</v>
      </c>
      <c r="H81" s="3">
        <f>'Monthly Data'!DB81</f>
        <v>7778</v>
      </c>
      <c r="I81" s="3">
        <f>'Monthly Data'!DQ81</f>
        <v>31</v>
      </c>
      <c r="K81" s="3">
        <f t="shared" si="71"/>
        <v>3542907.1380836898</v>
      </c>
      <c r="L81" s="3">
        <f t="shared" ca="1" si="72"/>
        <v>221333.64086747551</v>
      </c>
      <c r="M81" s="3">
        <f t="shared" ca="1" si="73"/>
        <v>7030991.699269712</v>
      </c>
      <c r="N81" s="3">
        <f t="shared" si="74"/>
        <v>-654686.04596710496</v>
      </c>
      <c r="O81" s="3">
        <f t="shared" si="75"/>
        <v>0</v>
      </c>
      <c r="P81" s="3">
        <f t="shared" si="76"/>
        <v>13987420.156226436</v>
      </c>
      <c r="Q81" s="47">
        <f t="shared" ca="1" si="85"/>
        <v>24127966.588480204</v>
      </c>
      <c r="R81" s="47">
        <f>'Monthly Data'!S81</f>
        <v>68097.501282051293</v>
      </c>
      <c r="S81" s="47">
        <f ca="1">+'Monthly Data'!T81</f>
        <v>405.37052425320888</v>
      </c>
      <c r="T81" s="47">
        <f t="shared" ca="1" si="47"/>
        <v>24196469.460286509</v>
      </c>
    </row>
    <row r="82" spans="1:20">
      <c r="A82" s="2">
        <f>'Monthly Data'!A82</f>
        <v>44805</v>
      </c>
      <c r="B82">
        <f>'Monthly Data'!B82</f>
        <v>2022</v>
      </c>
      <c r="C82">
        <f>'Monthly Data'!C82</f>
        <v>9</v>
      </c>
      <c r="D82" s="3">
        <f ca="1">'Monthly Data'!R82</f>
        <v>21810179.87972657</v>
      </c>
      <c r="E82" s="3">
        <f t="shared" ref="E82:F82" ca="1" si="93">E70</f>
        <v>97.667119565217376</v>
      </c>
      <c r="F82" s="3">
        <f t="shared" ca="1" si="93"/>
        <v>102.40708333333332</v>
      </c>
      <c r="G82">
        <f>'Monthly Data'!EJ82</f>
        <v>0.25</v>
      </c>
      <c r="H82" s="3">
        <f>'Monthly Data'!DB82</f>
        <v>7770.7</v>
      </c>
      <c r="I82" s="3">
        <f>'Monthly Data'!DQ82</f>
        <v>30</v>
      </c>
      <c r="K82" s="3">
        <f t="shared" si="71"/>
        <v>3542907.1380836898</v>
      </c>
      <c r="L82" s="3">
        <f t="shared" ca="1" si="72"/>
        <v>1026696.4409737088</v>
      </c>
      <c r="M82" s="3">
        <f t="shared" ca="1" si="73"/>
        <v>3364192.8508531847</v>
      </c>
      <c r="N82" s="3">
        <f t="shared" si="74"/>
        <v>-654686.04596710496</v>
      </c>
      <c r="O82" s="3">
        <f t="shared" si="75"/>
        <v>0</v>
      </c>
      <c r="P82" s="3">
        <f t="shared" si="76"/>
        <v>13536213.05441268</v>
      </c>
      <c r="Q82" s="47">
        <f t="shared" ca="1" si="85"/>
        <v>20815323.438356157</v>
      </c>
      <c r="R82" s="47">
        <f>'Monthly Data'!S82</f>
        <v>70736.201025641029</v>
      </c>
      <c r="S82" s="47">
        <f ca="1">+'Monthly Data'!T82</f>
        <v>37965.275492763503</v>
      </c>
      <c r="T82" s="47">
        <f t="shared" ca="1" si="47"/>
        <v>20924024.914874565</v>
      </c>
    </row>
    <row r="83" spans="1:20">
      <c r="A83" s="2">
        <f>'Monthly Data'!A83</f>
        <v>44835</v>
      </c>
      <c r="B83">
        <f>'Monthly Data'!B83</f>
        <v>2022</v>
      </c>
      <c r="C83">
        <f>'Monthly Data'!C83</f>
        <v>10</v>
      </c>
      <c r="D83" s="3">
        <f ca="1">'Monthly Data'!R83</f>
        <v>21039165.86989582</v>
      </c>
      <c r="E83" s="3">
        <f t="shared" ref="E83:F83" ca="1" si="94">E71</f>
        <v>292.46431159420291</v>
      </c>
      <c r="F83" s="3">
        <f t="shared" ca="1" si="94"/>
        <v>19.741250000000004</v>
      </c>
      <c r="G83">
        <f>'Monthly Data'!EJ83</f>
        <v>0.25</v>
      </c>
      <c r="H83" s="3">
        <f>'Monthly Data'!DB83</f>
        <v>7776.1</v>
      </c>
      <c r="I83" s="3">
        <f>'Monthly Data'!DQ83</f>
        <v>31</v>
      </c>
      <c r="K83" s="3">
        <f t="shared" si="71"/>
        <v>3542907.1380836898</v>
      </c>
      <c r="L83" s="3">
        <f t="shared" ca="1" si="72"/>
        <v>3074443.7755747139</v>
      </c>
      <c r="M83" s="3">
        <f t="shared" ca="1" si="73"/>
        <v>648523.22666715388</v>
      </c>
      <c r="N83" s="3">
        <f t="shared" si="74"/>
        <v>-654686.04596710496</v>
      </c>
      <c r="O83" s="3">
        <f t="shared" si="75"/>
        <v>0</v>
      </c>
      <c r="P83" s="3">
        <f t="shared" si="76"/>
        <v>13987420.156226436</v>
      </c>
      <c r="Q83" s="47">
        <f t="shared" ca="1" si="85"/>
        <v>20598608.250584889</v>
      </c>
      <c r="R83" s="47">
        <f>'Monthly Data'!S83</f>
        <v>73374.900769230779</v>
      </c>
      <c r="S83" s="47">
        <f ca="1">+'Monthly Data'!T83</f>
        <v>142932.64522339575</v>
      </c>
      <c r="T83" s="47">
        <f t="shared" ca="1" si="47"/>
        <v>20814915.796577513</v>
      </c>
    </row>
    <row r="84" spans="1:20">
      <c r="A84" s="2">
        <f>'Monthly Data'!A84</f>
        <v>44866</v>
      </c>
      <c r="B84">
        <f>'Monthly Data'!B84</f>
        <v>2022</v>
      </c>
      <c r="C84">
        <f>'Monthly Data'!C84</f>
        <v>11</v>
      </c>
      <c r="D84" s="3">
        <f ca="1">'Monthly Data'!R84</f>
        <v>22546170.925253004</v>
      </c>
      <c r="E84" s="3">
        <f t="shared" ref="E84:F84" ca="1" si="95">E72</f>
        <v>495.51408055712409</v>
      </c>
      <c r="F84" s="3">
        <f t="shared" ca="1" si="95"/>
        <v>0.78124999999999944</v>
      </c>
      <c r="G84">
        <f>'Monthly Data'!EJ84</f>
        <v>0.25</v>
      </c>
      <c r="H84" s="3">
        <f>'Monthly Data'!DB84</f>
        <v>7791.7</v>
      </c>
      <c r="I84" s="3">
        <f>'Monthly Data'!DQ84</f>
        <v>30</v>
      </c>
      <c r="K84" s="3">
        <f t="shared" si="71"/>
        <v>3542907.1380836898</v>
      </c>
      <c r="L84" s="3">
        <f t="shared" ca="1" si="72"/>
        <v>5208943.861814674</v>
      </c>
      <c r="M84" s="3">
        <f t="shared" ca="1" si="73"/>
        <v>25664.979210217869</v>
      </c>
      <c r="N84" s="3">
        <f t="shared" si="74"/>
        <v>-654686.04596710496</v>
      </c>
      <c r="O84" s="3">
        <f t="shared" si="75"/>
        <v>0</v>
      </c>
      <c r="P84" s="3">
        <f t="shared" si="76"/>
        <v>13536213.05441268</v>
      </c>
      <c r="Q84" s="47">
        <f t="shared" ca="1" si="85"/>
        <v>21659042.987554155</v>
      </c>
      <c r="R84" s="47">
        <f>'Monthly Data'!S84</f>
        <v>76013.600512820514</v>
      </c>
      <c r="S84" s="47">
        <f ca="1">+'Monthly Data'!T84</f>
        <v>218944.38588626793</v>
      </c>
      <c r="T84" s="47">
        <f t="shared" ca="1" si="47"/>
        <v>21954000.973953243</v>
      </c>
    </row>
    <row r="85" spans="1:20">
      <c r="A85" s="2">
        <f>'Monthly Data'!A85</f>
        <v>44896</v>
      </c>
      <c r="B85">
        <f>'Monthly Data'!B85</f>
        <v>2022</v>
      </c>
      <c r="C85">
        <f>'Monthly Data'!C85</f>
        <v>12</v>
      </c>
      <c r="D85" s="3">
        <f ca="1">'Monthly Data'!R85</f>
        <v>25300790.952781532</v>
      </c>
      <c r="E85" s="3">
        <f t="shared" ref="E85:F85" ca="1" si="96">E73</f>
        <v>664.38541666666663</v>
      </c>
      <c r="F85" s="3">
        <f t="shared" ca="1" si="96"/>
        <v>0</v>
      </c>
      <c r="G85">
        <f>'Monthly Data'!EJ85</f>
        <v>0.25</v>
      </c>
      <c r="H85" s="3">
        <f>'Monthly Data'!DB85</f>
        <v>7829.3</v>
      </c>
      <c r="I85" s="3">
        <f>'Monthly Data'!DQ85</f>
        <v>31</v>
      </c>
      <c r="K85" s="3">
        <f t="shared" si="71"/>
        <v>3542907.1380836898</v>
      </c>
      <c r="L85" s="3">
        <f t="shared" ca="1" si="72"/>
        <v>6984153.3748828648</v>
      </c>
      <c r="M85" s="3">
        <f t="shared" ca="1" si="73"/>
        <v>0</v>
      </c>
      <c r="N85" s="3">
        <f t="shared" si="74"/>
        <v>-654686.04596710496</v>
      </c>
      <c r="O85" s="3">
        <f t="shared" si="75"/>
        <v>0</v>
      </c>
      <c r="P85" s="3">
        <f t="shared" si="76"/>
        <v>13987420.156226436</v>
      </c>
      <c r="Q85" s="47">
        <f t="shared" ca="1" si="85"/>
        <v>23859794.623225883</v>
      </c>
      <c r="R85" s="47">
        <f>'Monthly Data'!S85</f>
        <v>78652.300256410264</v>
      </c>
      <c r="S85" s="47">
        <f ca="1">+'Monthly Data'!T85</f>
        <v>311069.821586632</v>
      </c>
      <c r="T85" s="47">
        <f t="shared" ca="1" si="47"/>
        <v>24249516.745068923</v>
      </c>
    </row>
    <row r="86" spans="1:20">
      <c r="A86" s="2">
        <f>'Monthly Data'!A86</f>
        <v>44927</v>
      </c>
      <c r="B86">
        <f>'Monthly Data'!B86</f>
        <v>2023</v>
      </c>
      <c r="C86">
        <f>'Monthly Data'!C86</f>
        <v>1</v>
      </c>
      <c r="D86" s="3">
        <f ca="1">'Monthly Data'!R86</f>
        <v>25948905.427414812</v>
      </c>
      <c r="E86" s="3">
        <f t="shared" ref="E86:F86" ca="1" si="97">E74</f>
        <v>752.78750000000002</v>
      </c>
      <c r="F86" s="3">
        <f t="shared" ca="1" si="97"/>
        <v>0</v>
      </c>
      <c r="G86">
        <f>'Monthly Data'!EJ86</f>
        <v>0</v>
      </c>
      <c r="H86" s="3">
        <f>'Monthly Data'!DB86</f>
        <v>7861.3</v>
      </c>
      <c r="I86" s="3">
        <f>'Monthly Data'!DQ86</f>
        <v>31</v>
      </c>
      <c r="K86" s="3">
        <f t="shared" si="71"/>
        <v>3542907.1380836898</v>
      </c>
      <c r="L86" s="3">
        <f t="shared" ca="1" si="72"/>
        <v>7913453.8880651752</v>
      </c>
      <c r="M86" s="3">
        <f t="shared" ca="1" si="73"/>
        <v>0</v>
      </c>
      <c r="N86" s="3">
        <f t="shared" si="74"/>
        <v>0</v>
      </c>
      <c r="O86" s="3">
        <f t="shared" si="75"/>
        <v>0</v>
      </c>
      <c r="P86" s="3">
        <f t="shared" si="76"/>
        <v>13987420.156226436</v>
      </c>
      <c r="Q86" s="47">
        <f t="shared" ca="1" si="85"/>
        <v>25443781.182375301</v>
      </c>
      <c r="R86" s="47">
        <f>'Monthly Data'!S86</f>
        <v>84718.720769230771</v>
      </c>
      <c r="S86" s="47">
        <f ca="1">+'Monthly Data'!T86</f>
        <v>438608.06380084116</v>
      </c>
      <c r="T86" s="47">
        <f t="shared" ca="1" si="47"/>
        <v>25967107.966945373</v>
      </c>
    </row>
    <row r="87" spans="1:20">
      <c r="A87" s="2">
        <f>'Monthly Data'!A87</f>
        <v>44958</v>
      </c>
      <c r="B87">
        <f>'Monthly Data'!B87</f>
        <v>2023</v>
      </c>
      <c r="C87">
        <f>'Monthly Data'!C87</f>
        <v>2</v>
      </c>
      <c r="D87" s="3">
        <f ca="1">'Monthly Data'!R87</f>
        <v>23972631.853497781</v>
      </c>
      <c r="E87" s="3">
        <f t="shared" ref="E87:F87" ca="1" si="98">E75</f>
        <v>660.7954166666666</v>
      </c>
      <c r="F87" s="3">
        <f t="shared" ca="1" si="98"/>
        <v>0</v>
      </c>
      <c r="G87">
        <f>'Monthly Data'!EJ87</f>
        <v>0</v>
      </c>
      <c r="H87" s="3">
        <f>'Monthly Data'!DB87</f>
        <v>7898.9</v>
      </c>
      <c r="I87" s="3">
        <f>'Monthly Data'!DQ87</f>
        <v>28</v>
      </c>
      <c r="K87" s="3">
        <f t="shared" si="71"/>
        <v>3542907.1380836898</v>
      </c>
      <c r="L87" s="3">
        <f t="shared" ca="1" si="72"/>
        <v>6946414.5714912647</v>
      </c>
      <c r="M87" s="3">
        <f t="shared" ca="1" si="73"/>
        <v>0</v>
      </c>
      <c r="N87" s="3">
        <f t="shared" si="74"/>
        <v>0</v>
      </c>
      <c r="O87" s="3">
        <f t="shared" si="75"/>
        <v>0</v>
      </c>
      <c r="P87" s="3">
        <f t="shared" si="76"/>
        <v>12633798.850785168</v>
      </c>
      <c r="Q87" s="47">
        <f t="shared" ca="1" si="85"/>
        <v>23123120.560360122</v>
      </c>
      <c r="R87" s="47">
        <f>'Monthly Data'!S87</f>
        <v>88146.441538461542</v>
      </c>
      <c r="S87" s="47">
        <f ca="1">+'Monthly Data'!T87</f>
        <v>416362.56904562068</v>
      </c>
      <c r="T87" s="47">
        <f t="shared" ca="1" si="47"/>
        <v>23627629.570944205</v>
      </c>
    </row>
    <row r="88" spans="1:20">
      <c r="A88" s="2">
        <f>'Monthly Data'!A88</f>
        <v>44986</v>
      </c>
      <c r="B88">
        <f>'Monthly Data'!B88</f>
        <v>2023</v>
      </c>
      <c r="C88">
        <f>'Monthly Data'!C88</f>
        <v>3</v>
      </c>
      <c r="D88" s="3">
        <f ca="1">'Monthly Data'!R88</f>
        <v>25527961.143967409</v>
      </c>
      <c r="E88" s="3">
        <f t="shared" ref="E88:F88" ca="1" si="99">E76</f>
        <v>596.21590579710141</v>
      </c>
      <c r="F88" s="3">
        <f t="shared" ca="1" si="99"/>
        <v>0</v>
      </c>
      <c r="G88">
        <f>'Monthly Data'!EJ88</f>
        <v>0</v>
      </c>
      <c r="H88" s="3">
        <f>'Monthly Data'!DB88</f>
        <v>7931.4</v>
      </c>
      <c r="I88" s="3">
        <f>'Monthly Data'!DQ88</f>
        <v>31</v>
      </c>
      <c r="K88" s="3">
        <f t="shared" si="71"/>
        <v>3542907.1380836898</v>
      </c>
      <c r="L88" s="3">
        <f t="shared" ca="1" si="72"/>
        <v>6267541.7403402319</v>
      </c>
      <c r="M88" s="3">
        <f t="shared" ca="1" si="73"/>
        <v>0</v>
      </c>
      <c r="N88" s="3">
        <f t="shared" si="74"/>
        <v>0</v>
      </c>
      <c r="O88" s="3">
        <f t="shared" si="75"/>
        <v>0</v>
      </c>
      <c r="P88" s="3">
        <f t="shared" si="76"/>
        <v>13987420.156226436</v>
      </c>
      <c r="Q88" s="47">
        <f t="shared" ca="1" si="85"/>
        <v>23797869.034650356</v>
      </c>
      <c r="R88" s="47">
        <f>'Monthly Data'!S88</f>
        <v>91574.162307692313</v>
      </c>
      <c r="S88" s="47">
        <f ca="1">+'Monthly Data'!T88</f>
        <v>400098.21710708353</v>
      </c>
      <c r="T88" s="47">
        <f t="shared" ca="1" si="47"/>
        <v>24289541.41406513</v>
      </c>
    </row>
    <row r="89" spans="1:20">
      <c r="A89" s="2">
        <f>'Monthly Data'!A89</f>
        <v>45017</v>
      </c>
      <c r="B89">
        <f>'Monthly Data'!B89</f>
        <v>2023</v>
      </c>
      <c r="C89">
        <f>'Monthly Data'!C89</f>
        <v>4</v>
      </c>
      <c r="D89" s="3">
        <f ca="1">'Monthly Data'!R89</f>
        <v>21842078.767693579</v>
      </c>
      <c r="E89" s="3">
        <f t="shared" ref="E89:F89" ca="1" si="100">E77</f>
        <v>412.8885416666667</v>
      </c>
      <c r="F89" s="3">
        <f t="shared" ca="1" si="100"/>
        <v>2.2025000000000015</v>
      </c>
      <c r="G89">
        <f>'Monthly Data'!EJ89</f>
        <v>0</v>
      </c>
      <c r="H89" s="3">
        <f>'Monthly Data'!DB89</f>
        <v>7962</v>
      </c>
      <c r="I89" s="3">
        <f>'Monthly Data'!DQ89</f>
        <v>30</v>
      </c>
      <c r="K89" s="3">
        <f t="shared" si="71"/>
        <v>3542907.1380836898</v>
      </c>
      <c r="L89" s="3">
        <f t="shared" ca="1" si="72"/>
        <v>4340367.547800201</v>
      </c>
      <c r="M89" s="3">
        <f t="shared" ca="1" si="73"/>
        <v>72354.709389446318</v>
      </c>
      <c r="N89" s="3">
        <f t="shared" si="74"/>
        <v>0</v>
      </c>
      <c r="O89" s="3">
        <f t="shared" si="75"/>
        <v>0</v>
      </c>
      <c r="P89" s="3">
        <f t="shared" si="76"/>
        <v>13536213.05441268</v>
      </c>
      <c r="Q89" s="47">
        <f t="shared" ca="1" si="85"/>
        <v>21491842.449686017</v>
      </c>
      <c r="R89" s="47">
        <f>'Monthly Data'!S89</f>
        <v>95001.88307692307</v>
      </c>
      <c r="S89" s="47">
        <f ca="1">+'Monthly Data'!T89</f>
        <v>218842.66403014024</v>
      </c>
      <c r="T89" s="47">
        <f t="shared" ca="1" si="47"/>
        <v>21805686.99679308</v>
      </c>
    </row>
    <row r="90" spans="1:20">
      <c r="A90" s="2">
        <f>'Monthly Data'!A90</f>
        <v>45047</v>
      </c>
      <c r="B90">
        <f>'Monthly Data'!B90</f>
        <v>2023</v>
      </c>
      <c r="C90">
        <f>'Monthly Data'!C90</f>
        <v>5</v>
      </c>
      <c r="D90" s="3">
        <f ca="1">'Monthly Data'!R90</f>
        <v>21910406.756236099</v>
      </c>
      <c r="E90" s="3">
        <f t="shared" ref="E90:F90" ca="1" si="101">E78</f>
        <v>208.90012508544086</v>
      </c>
      <c r="F90" s="3">
        <f t="shared" ca="1" si="101"/>
        <v>48.940113636363641</v>
      </c>
      <c r="G90">
        <f>'Monthly Data'!EJ90</f>
        <v>0</v>
      </c>
      <c r="H90" s="3">
        <f>'Monthly Data'!DB90</f>
        <v>7978.4</v>
      </c>
      <c r="I90" s="3">
        <f>'Monthly Data'!DQ90</f>
        <v>31</v>
      </c>
      <c r="K90" s="3">
        <f t="shared" si="71"/>
        <v>3542907.1380836898</v>
      </c>
      <c r="L90" s="3">
        <f t="shared" ca="1" si="72"/>
        <v>2196000.2086574011</v>
      </c>
      <c r="M90" s="3">
        <f t="shared" ca="1" si="73"/>
        <v>1607740.1587494065</v>
      </c>
      <c r="N90" s="3">
        <f t="shared" si="74"/>
        <v>0</v>
      </c>
      <c r="O90" s="3">
        <f t="shared" si="75"/>
        <v>0</v>
      </c>
      <c r="P90" s="3">
        <f t="shared" si="76"/>
        <v>13987420.156226436</v>
      </c>
      <c r="Q90" s="47">
        <f t="shared" ca="1" si="85"/>
        <v>21334067.661716934</v>
      </c>
      <c r="R90" s="47">
        <f>'Monthly Data'!S90</f>
        <v>98429.603846153841</v>
      </c>
      <c r="S90" s="47">
        <f ca="1">+'Monthly Data'!T90</f>
        <v>118761.83800001061</v>
      </c>
      <c r="T90" s="47">
        <f t="shared" ca="1" si="47"/>
        <v>21551259.1035631</v>
      </c>
    </row>
    <row r="91" spans="1:20">
      <c r="A91" s="2">
        <f>'Monthly Data'!A91</f>
        <v>45078</v>
      </c>
      <c r="B91">
        <f>'Monthly Data'!B91</f>
        <v>2023</v>
      </c>
      <c r="C91">
        <f>'Monthly Data'!C91</f>
        <v>6</v>
      </c>
      <c r="D91" s="3">
        <f ca="1">'Monthly Data'!R91</f>
        <v>23101631.604347117</v>
      </c>
      <c r="E91" s="3">
        <f t="shared" ref="E91:F91" ca="1" si="102">E79</f>
        <v>61.78217382617381</v>
      </c>
      <c r="F91" s="3">
        <f t="shared" ca="1" si="102"/>
        <v>144.91160087738351</v>
      </c>
      <c r="G91">
        <f>'Monthly Data'!EJ91</f>
        <v>0</v>
      </c>
      <c r="H91" s="3">
        <f>'Monthly Data'!DB91</f>
        <v>8001.1</v>
      </c>
      <c r="I91" s="3">
        <f>'Monthly Data'!DQ91</f>
        <v>30</v>
      </c>
      <c r="K91" s="3">
        <f t="shared" si="71"/>
        <v>3542907.1380836898</v>
      </c>
      <c r="L91" s="3">
        <f t="shared" ca="1" si="72"/>
        <v>649466.6604823455</v>
      </c>
      <c r="M91" s="3">
        <f t="shared" ca="1" si="73"/>
        <v>4760516.126511923</v>
      </c>
      <c r="N91" s="3">
        <f t="shared" si="74"/>
        <v>0</v>
      </c>
      <c r="O91" s="3">
        <f t="shared" si="75"/>
        <v>0</v>
      </c>
      <c r="P91" s="3">
        <f t="shared" si="76"/>
        <v>13536213.05441268</v>
      </c>
      <c r="Q91" s="47">
        <f t="shared" ca="1" si="85"/>
        <v>22489102.979490638</v>
      </c>
      <c r="R91" s="47">
        <f>'Monthly Data'!S91</f>
        <v>101857.32461538461</v>
      </c>
      <c r="S91" s="47">
        <f ca="1">+'Monthly Data'!T91</f>
        <v>15568.518429262071</v>
      </c>
      <c r="T91" s="47">
        <f t="shared" ca="1" si="47"/>
        <v>22606528.822535284</v>
      </c>
    </row>
    <row r="92" spans="1:20">
      <c r="A92" s="2">
        <f>'Monthly Data'!A92</f>
        <v>45108</v>
      </c>
      <c r="B92">
        <f>'Monthly Data'!B92</f>
        <v>2023</v>
      </c>
      <c r="C92">
        <f>'Monthly Data'!C92</f>
        <v>7</v>
      </c>
      <c r="D92" s="3">
        <f ca="1">'Monthly Data'!R92</f>
        <v>25936174.43746119</v>
      </c>
      <c r="E92" s="3">
        <f t="shared" ref="E92:F92" ca="1" si="103">E80</f>
        <v>8.334479813664597</v>
      </c>
      <c r="F92" s="3">
        <f t="shared" ca="1" si="103"/>
        <v>242.72508692061183</v>
      </c>
      <c r="G92">
        <f>'Monthly Data'!EJ92</f>
        <v>0</v>
      </c>
      <c r="H92" s="3">
        <f>'Monthly Data'!DB92</f>
        <v>8016.3</v>
      </c>
      <c r="I92" s="3">
        <f>'Monthly Data'!DQ92</f>
        <v>31</v>
      </c>
      <c r="K92" s="3">
        <f t="shared" si="71"/>
        <v>3542907.1380836898</v>
      </c>
      <c r="L92" s="3">
        <f t="shared" ca="1" si="72"/>
        <v>87613.731214246814</v>
      </c>
      <c r="M92" s="3">
        <f t="shared" ca="1" si="73"/>
        <v>7973803.9163082652</v>
      </c>
      <c r="N92" s="3">
        <f t="shared" si="74"/>
        <v>0</v>
      </c>
      <c r="O92" s="3">
        <f t="shared" si="75"/>
        <v>0</v>
      </c>
      <c r="P92" s="3">
        <f t="shared" si="76"/>
        <v>13987420.156226436</v>
      </c>
      <c r="Q92" s="47">
        <f t="shared" ca="1" si="85"/>
        <v>25591744.941832639</v>
      </c>
      <c r="R92" s="47">
        <f>'Monthly Data'!S92</f>
        <v>105285.04538461538</v>
      </c>
      <c r="S92" s="47">
        <f ca="1">+'Monthly Data'!T92</f>
        <v>90.760892514156453</v>
      </c>
      <c r="T92" s="47">
        <f t="shared" ca="1" si="47"/>
        <v>25697120.748109769</v>
      </c>
    </row>
    <row r="93" spans="1:20">
      <c r="A93" s="2">
        <f>'Monthly Data'!A93</f>
        <v>45139</v>
      </c>
      <c r="B93">
        <f>'Monthly Data'!B93</f>
        <v>2023</v>
      </c>
      <c r="C93">
        <f>'Monthly Data'!C93</f>
        <v>8</v>
      </c>
      <c r="D93" s="3">
        <f ca="1">'Monthly Data'!R93</f>
        <v>23588473.646848772</v>
      </c>
      <c r="E93" s="3">
        <f t="shared" ref="E93:F93" ca="1" si="104">E81</f>
        <v>21.054927536231883</v>
      </c>
      <c r="F93" s="3">
        <f t="shared" ca="1" si="104"/>
        <v>214.02558794466404</v>
      </c>
      <c r="G93">
        <f>'Monthly Data'!EJ93</f>
        <v>0</v>
      </c>
      <c r="H93" s="3">
        <f>'Monthly Data'!DB93</f>
        <v>8040</v>
      </c>
      <c r="I93" s="3">
        <f>'Monthly Data'!DQ93</f>
        <v>31</v>
      </c>
      <c r="K93" s="3">
        <f t="shared" si="71"/>
        <v>3542907.1380836898</v>
      </c>
      <c r="L93" s="3">
        <f t="shared" ca="1" si="72"/>
        <v>221333.64086747551</v>
      </c>
      <c r="M93" s="3">
        <f t="shared" ca="1" si="73"/>
        <v>7030991.699269712</v>
      </c>
      <c r="N93" s="3">
        <f t="shared" si="74"/>
        <v>0</v>
      </c>
      <c r="O93" s="3">
        <f t="shared" si="75"/>
        <v>0</v>
      </c>
      <c r="P93" s="3">
        <f t="shared" si="76"/>
        <v>13987420.156226436</v>
      </c>
      <c r="Q93" s="47">
        <f t="shared" ca="1" si="85"/>
        <v>24782652.634447314</v>
      </c>
      <c r="R93" s="47">
        <f>'Monthly Data'!S93</f>
        <v>108712.76615384615</v>
      </c>
      <c r="S93" s="47">
        <f ca="1">+'Monthly Data'!T93</f>
        <v>6734.4582245505962</v>
      </c>
      <c r="T93" s="47">
        <f t="shared" ca="1" si="47"/>
        <v>24898099.85882571</v>
      </c>
    </row>
    <row r="94" spans="1:20">
      <c r="A94" s="2">
        <f>'Monthly Data'!A94</f>
        <v>45170</v>
      </c>
      <c r="B94">
        <f>'Monthly Data'!B94</f>
        <v>2023</v>
      </c>
      <c r="C94">
        <f>'Monthly Data'!C94</f>
        <v>9</v>
      </c>
      <c r="D94" s="3">
        <f ca="1">'Monthly Data'!R94</f>
        <v>22724171.777930696</v>
      </c>
      <c r="E94" s="3">
        <f t="shared" ref="E94:F94" ca="1" si="105">E82</f>
        <v>97.667119565217376</v>
      </c>
      <c r="F94" s="3">
        <f t="shared" ca="1" si="105"/>
        <v>102.40708333333332</v>
      </c>
      <c r="G94">
        <f>'Monthly Data'!EJ94</f>
        <v>0</v>
      </c>
      <c r="H94" s="3">
        <f>'Monthly Data'!DB94</f>
        <v>8052.4</v>
      </c>
      <c r="I94" s="3">
        <f>'Monthly Data'!DQ94</f>
        <v>30</v>
      </c>
      <c r="K94" s="3">
        <f t="shared" si="71"/>
        <v>3542907.1380836898</v>
      </c>
      <c r="L94" s="3">
        <f t="shared" ca="1" si="72"/>
        <v>1026696.4409737088</v>
      </c>
      <c r="M94" s="3">
        <f t="shared" ca="1" si="73"/>
        <v>3364192.8508531847</v>
      </c>
      <c r="N94" s="3">
        <f t="shared" si="74"/>
        <v>0</v>
      </c>
      <c r="O94" s="3">
        <f t="shared" si="75"/>
        <v>0</v>
      </c>
      <c r="P94" s="3">
        <f t="shared" si="76"/>
        <v>13536213.05441268</v>
      </c>
      <c r="Q94" s="47">
        <f t="shared" ca="1" si="85"/>
        <v>21470009.484323263</v>
      </c>
      <c r="R94" s="47">
        <f>'Monthly Data'!S94</f>
        <v>112140.48692307691</v>
      </c>
      <c r="S94" s="47">
        <f ca="1">+'Monthly Data'!T94</f>
        <v>34555.697143224155</v>
      </c>
      <c r="T94" s="47">
        <f t="shared" ca="1" si="47"/>
        <v>21616705.668389563</v>
      </c>
    </row>
    <row r="95" spans="1:20">
      <c r="A95" s="2">
        <f>'Monthly Data'!A95</f>
        <v>45200</v>
      </c>
      <c r="B95">
        <f>'Monthly Data'!B95</f>
        <v>2023</v>
      </c>
      <c r="C95">
        <f>'Monthly Data'!C95</f>
        <v>10</v>
      </c>
      <c r="D95" s="3">
        <f ca="1">'Monthly Data'!R95</f>
        <v>21843045.351886019</v>
      </c>
      <c r="E95" s="3">
        <f t="shared" ref="E95:F95" ca="1" si="106">E83</f>
        <v>292.46431159420291</v>
      </c>
      <c r="F95" s="3">
        <f t="shared" ca="1" si="106"/>
        <v>19.741250000000004</v>
      </c>
      <c r="G95">
        <f>'Monthly Data'!EJ95</f>
        <v>0</v>
      </c>
      <c r="H95" s="3">
        <f>'Monthly Data'!DB95</f>
        <v>8058.3</v>
      </c>
      <c r="I95" s="3">
        <f>'Monthly Data'!DQ95</f>
        <v>31</v>
      </c>
      <c r="K95" s="3">
        <f t="shared" si="71"/>
        <v>3542907.1380836898</v>
      </c>
      <c r="L95" s="3">
        <f t="shared" ca="1" si="72"/>
        <v>3074443.7755747139</v>
      </c>
      <c r="M95" s="3">
        <f t="shared" ca="1" si="73"/>
        <v>648523.22666715388</v>
      </c>
      <c r="N95" s="3">
        <f t="shared" si="74"/>
        <v>0</v>
      </c>
      <c r="O95" s="3">
        <f t="shared" si="75"/>
        <v>0</v>
      </c>
      <c r="P95" s="3">
        <f t="shared" si="76"/>
        <v>13987420.156226436</v>
      </c>
      <c r="Q95" s="47">
        <f t="shared" ca="1" si="85"/>
        <v>21253294.296551995</v>
      </c>
      <c r="R95" s="47">
        <f>'Monthly Data'!S95</f>
        <v>115568.20769230768</v>
      </c>
      <c r="S95" s="47">
        <f ca="1">+'Monthly Data'!T95</f>
        <v>150411.97643754815</v>
      </c>
      <c r="T95" s="47">
        <f t="shared" ca="1" si="47"/>
        <v>21519274.480681848</v>
      </c>
    </row>
    <row r="96" spans="1:20">
      <c r="A96" s="2">
        <f>'Monthly Data'!A96</f>
        <v>45231</v>
      </c>
      <c r="B96">
        <f>'Monthly Data'!B96</f>
        <v>2023</v>
      </c>
      <c r="C96">
        <f>'Monthly Data'!C96</f>
        <v>11</v>
      </c>
      <c r="D96" s="3">
        <f ca="1">'Monthly Data'!R96</f>
        <v>23175385.11304817</v>
      </c>
      <c r="E96" s="3">
        <f t="shared" ref="E96:F96" ca="1" si="107">E84</f>
        <v>495.51408055712409</v>
      </c>
      <c r="F96" s="3">
        <f t="shared" ca="1" si="107"/>
        <v>0.78124999999999944</v>
      </c>
      <c r="G96">
        <f>'Monthly Data'!EJ96</f>
        <v>0</v>
      </c>
      <c r="H96" s="3">
        <f>'Monthly Data'!DB96</f>
        <v>8062.1</v>
      </c>
      <c r="I96" s="3">
        <f>'Monthly Data'!DQ96</f>
        <v>30</v>
      </c>
      <c r="K96" s="3">
        <f t="shared" si="71"/>
        <v>3542907.1380836898</v>
      </c>
      <c r="L96" s="3">
        <f t="shared" ca="1" si="72"/>
        <v>5208943.861814674</v>
      </c>
      <c r="M96" s="3">
        <f t="shared" ca="1" si="73"/>
        <v>25664.979210217869</v>
      </c>
      <c r="N96" s="3">
        <f t="shared" si="74"/>
        <v>0</v>
      </c>
      <c r="O96" s="3">
        <f t="shared" si="75"/>
        <v>0</v>
      </c>
      <c r="P96" s="3">
        <f t="shared" si="76"/>
        <v>13536213.05441268</v>
      </c>
      <c r="Q96" s="47">
        <f t="shared" ca="1" si="85"/>
        <v>22313729.033521261</v>
      </c>
      <c r="R96" s="47">
        <f>'Monthly Data'!S96</f>
        <v>118995.92846153845</v>
      </c>
      <c r="S96" s="47">
        <f ca="1">+'Monthly Data'!T96</f>
        <v>327169.86690907588</v>
      </c>
      <c r="T96" s="47">
        <f t="shared" ca="1" si="47"/>
        <v>22759894.828891873</v>
      </c>
    </row>
    <row r="97" spans="1:20">
      <c r="A97" s="2">
        <f>'Monthly Data'!A97</f>
        <v>45261</v>
      </c>
      <c r="B97">
        <f>'Monthly Data'!B97</f>
        <v>2023</v>
      </c>
      <c r="C97">
        <f>'Monthly Data'!C97</f>
        <v>12</v>
      </c>
      <c r="D97" s="3">
        <f ca="1">'Monthly Data'!R97</f>
        <v>22770333.314679604</v>
      </c>
      <c r="E97" s="3">
        <f t="shared" ref="E97:F97" ca="1" si="108">E85</f>
        <v>664.38541666666663</v>
      </c>
      <c r="F97" s="3">
        <f t="shared" ca="1" si="108"/>
        <v>0</v>
      </c>
      <c r="G97">
        <f>'Monthly Data'!EJ97</f>
        <v>0</v>
      </c>
      <c r="H97" s="3">
        <f>'Monthly Data'!DB97</f>
        <v>8052.5</v>
      </c>
      <c r="I97" s="3">
        <f>'Monthly Data'!DQ97</f>
        <v>31</v>
      </c>
      <c r="K97" s="3">
        <f t="shared" si="71"/>
        <v>3542907.1380836898</v>
      </c>
      <c r="L97" s="3">
        <f t="shared" ca="1" si="72"/>
        <v>6984153.3748828648</v>
      </c>
      <c r="M97" s="3">
        <f t="shared" ca="1" si="73"/>
        <v>0</v>
      </c>
      <c r="N97" s="3">
        <f t="shared" si="74"/>
        <v>0</v>
      </c>
      <c r="O97" s="3">
        <f t="shared" si="75"/>
        <v>0</v>
      </c>
      <c r="P97" s="3">
        <f t="shared" si="76"/>
        <v>13987420.156226436</v>
      </c>
      <c r="Q97" s="47">
        <f t="shared" ref="Q97:Q109" ca="1" si="109">SUM(K97:P97)</f>
        <v>24514480.669192992</v>
      </c>
      <c r="R97" s="47">
        <f>'Monthly Data'!S97</f>
        <v>122423.64923076922</v>
      </c>
      <c r="S97" s="47">
        <f ca="1">+'Monthly Data'!T97</f>
        <v>355549.74569805036</v>
      </c>
      <c r="T97" s="47">
        <f t="shared" ca="1" si="47"/>
        <v>24992454.064121813</v>
      </c>
    </row>
    <row r="98" spans="1:20">
      <c r="A98" s="2">
        <f>'Monthly Data'!A98</f>
        <v>45292</v>
      </c>
      <c r="B98">
        <f>'Monthly Data'!B98</f>
        <v>2024</v>
      </c>
      <c r="C98">
        <f>'Monthly Data'!C98</f>
        <v>1</v>
      </c>
      <c r="D98" s="3">
        <f ca="1">'Monthly Data'!R98</f>
        <v>24520911.692104168</v>
      </c>
      <c r="E98" s="3">
        <f t="shared" ref="E98:F98" ca="1" si="110">E86</f>
        <v>752.78750000000002</v>
      </c>
      <c r="F98" s="3">
        <f t="shared" ca="1" si="110"/>
        <v>0</v>
      </c>
      <c r="G98">
        <f>'Monthly Data'!EJ98</f>
        <v>0</v>
      </c>
      <c r="H98" s="3">
        <f>'Monthly Data'!DB98</f>
        <v>8051</v>
      </c>
      <c r="I98" s="3">
        <f>'Monthly Data'!DQ98</f>
        <v>31</v>
      </c>
      <c r="K98" s="3">
        <f t="shared" ref="K98:K129" si="111">$X$7</f>
        <v>3542907.1380836898</v>
      </c>
      <c r="L98" s="3">
        <f t="shared" ref="L98:L129" ca="1" si="112">E98*$X$8</f>
        <v>7913453.8880651752</v>
      </c>
      <c r="M98" s="3">
        <f t="shared" ref="M98:M129" ca="1" si="113">F98*$X$9</f>
        <v>0</v>
      </c>
      <c r="N98" s="3">
        <f t="shared" ref="N98:N129" si="114">G98*$X$10</f>
        <v>0</v>
      </c>
      <c r="O98" s="3">
        <f t="shared" ref="O98:O129" si="115">H98*$X$11</f>
        <v>0</v>
      </c>
      <c r="P98" s="3">
        <f t="shared" ref="P98:P129" si="116">I98*$X$12</f>
        <v>13987420.156226436</v>
      </c>
      <c r="Q98" s="47">
        <f t="shared" ca="1" si="109"/>
        <v>25443781.182375301</v>
      </c>
      <c r="R98" s="47">
        <f>'Monthly Data'!S98</f>
        <v>130180.36897435896</v>
      </c>
      <c r="S98" s="47">
        <f ca="1">+'Monthly Data'!T98</f>
        <v>584360.05349141837</v>
      </c>
      <c r="T98" s="47">
        <f t="shared" ca="1" si="47"/>
        <v>26158321.604841076</v>
      </c>
    </row>
    <row r="99" spans="1:20">
      <c r="A99" s="2">
        <f>'Monthly Data'!A99</f>
        <v>45323</v>
      </c>
      <c r="B99">
        <f>'Monthly Data'!B99</f>
        <v>2024</v>
      </c>
      <c r="C99">
        <f>'Monthly Data'!C99</f>
        <v>2</v>
      </c>
      <c r="D99" s="3">
        <f ca="1">'Monthly Data'!R99</f>
        <v>22230147.880891703</v>
      </c>
      <c r="E99" s="3">
        <f t="shared" ref="E99:F99" ca="1" si="117">E87</f>
        <v>660.7954166666666</v>
      </c>
      <c r="F99" s="3">
        <f t="shared" ca="1" si="117"/>
        <v>0</v>
      </c>
      <c r="G99">
        <f>'Monthly Data'!EJ99</f>
        <v>0</v>
      </c>
      <c r="H99" s="3">
        <f>'Monthly Data'!DB99</f>
        <v>8047.9</v>
      </c>
      <c r="I99" s="3">
        <f>'Monthly Data'!DQ99</f>
        <v>29</v>
      </c>
      <c r="K99" s="3">
        <f t="shared" si="111"/>
        <v>3542907.1380836898</v>
      </c>
      <c r="L99" s="3">
        <f t="shared" ca="1" si="112"/>
        <v>6946414.5714912647</v>
      </c>
      <c r="M99" s="3">
        <f t="shared" ca="1" si="113"/>
        <v>0</v>
      </c>
      <c r="N99" s="3">
        <f t="shared" si="114"/>
        <v>0</v>
      </c>
      <c r="O99" s="3">
        <f t="shared" si="115"/>
        <v>0</v>
      </c>
      <c r="P99" s="3">
        <f t="shared" si="116"/>
        <v>13085005.952598924</v>
      </c>
      <c r="Q99" s="47">
        <f t="shared" ca="1" si="109"/>
        <v>23574327.662173878</v>
      </c>
      <c r="R99" s="47">
        <f>'Monthly Data'!S99</f>
        <v>134509.36794871793</v>
      </c>
      <c r="S99" s="47">
        <f ca="1">+'Monthly Data'!T99</f>
        <v>498100.637043503</v>
      </c>
      <c r="T99" s="47">
        <f t="shared" ca="1" si="47"/>
        <v>24206937.667166099</v>
      </c>
    </row>
    <row r="100" spans="1:20">
      <c r="A100" s="2">
        <f>'Monthly Data'!A100</f>
        <v>45352</v>
      </c>
      <c r="B100">
        <f>'Monthly Data'!B100</f>
        <v>2024</v>
      </c>
      <c r="C100">
        <f>'Monthly Data'!C100</f>
        <v>3</v>
      </c>
      <c r="D100" s="3">
        <f ca="1">'Monthly Data'!R100</f>
        <v>22189843.570561834</v>
      </c>
      <c r="E100" s="3">
        <f t="shared" ref="E100:F100" ca="1" si="118">E88</f>
        <v>596.21590579710141</v>
      </c>
      <c r="F100" s="3">
        <f t="shared" ca="1" si="118"/>
        <v>0</v>
      </c>
      <c r="G100">
        <f>'Monthly Data'!EJ100</f>
        <v>0</v>
      </c>
      <c r="H100" s="3">
        <f>'Monthly Data'!DB100</f>
        <v>8066</v>
      </c>
      <c r="I100" s="3">
        <f>'Monthly Data'!DQ100</f>
        <v>31</v>
      </c>
      <c r="K100" s="3">
        <f t="shared" si="111"/>
        <v>3542907.1380836898</v>
      </c>
      <c r="L100" s="3">
        <f t="shared" ca="1" si="112"/>
        <v>6267541.7403402319</v>
      </c>
      <c r="M100" s="3">
        <f t="shared" ca="1" si="113"/>
        <v>0</v>
      </c>
      <c r="N100" s="3">
        <f t="shared" si="114"/>
        <v>0</v>
      </c>
      <c r="O100" s="3">
        <f t="shared" si="115"/>
        <v>0</v>
      </c>
      <c r="P100" s="3">
        <f t="shared" si="116"/>
        <v>13987420.156226436</v>
      </c>
      <c r="Q100" s="47">
        <f t="shared" ca="1" si="109"/>
        <v>23797869.034650356</v>
      </c>
      <c r="R100" s="47">
        <f>'Monthly Data'!S100</f>
        <v>138838.36692307692</v>
      </c>
      <c r="S100" s="47">
        <f ca="1">+'Monthly Data'!T100</f>
        <v>422092.81606300967</v>
      </c>
      <c r="T100" s="47">
        <f t="shared" ca="1" si="47"/>
        <v>24358800.21763644</v>
      </c>
    </row>
    <row r="101" spans="1:20">
      <c r="A101" s="2">
        <f>'Monthly Data'!A101</f>
        <v>45383</v>
      </c>
      <c r="B101">
        <f>'Monthly Data'!B101</f>
        <v>2024</v>
      </c>
      <c r="C101">
        <f>'Monthly Data'!C101</f>
        <v>4</v>
      </c>
      <c r="D101" s="3">
        <f ca="1">'Monthly Data'!R101</f>
        <v>20384408.308401879</v>
      </c>
      <c r="E101" s="3">
        <f t="shared" ref="E101:F101" ca="1" si="119">E89</f>
        <v>412.8885416666667</v>
      </c>
      <c r="F101" s="3">
        <f t="shared" ca="1" si="119"/>
        <v>2.2025000000000015</v>
      </c>
      <c r="G101">
        <f>'Monthly Data'!EJ101</f>
        <v>0</v>
      </c>
      <c r="H101" s="3">
        <f>'Monthly Data'!DB101</f>
        <v>8087.1</v>
      </c>
      <c r="I101" s="3">
        <f>'Monthly Data'!DQ101</f>
        <v>30</v>
      </c>
      <c r="K101" s="3">
        <f t="shared" si="111"/>
        <v>3542907.1380836898</v>
      </c>
      <c r="L101" s="3">
        <f t="shared" ca="1" si="112"/>
        <v>4340367.547800201</v>
      </c>
      <c r="M101" s="3">
        <f t="shared" ca="1" si="113"/>
        <v>72354.709389446318</v>
      </c>
      <c r="N101" s="3">
        <f t="shared" si="114"/>
        <v>0</v>
      </c>
      <c r="O101" s="3">
        <f t="shared" si="115"/>
        <v>0</v>
      </c>
      <c r="P101" s="3">
        <f t="shared" si="116"/>
        <v>13536213.05441268</v>
      </c>
      <c r="Q101" s="47">
        <f t="shared" ca="1" si="109"/>
        <v>21491842.449686017</v>
      </c>
      <c r="R101" s="47">
        <f>'Monthly Data'!S101</f>
        <v>143167.3658974359</v>
      </c>
      <c r="S101" s="47">
        <f ca="1">+'Monthly Data'!T101</f>
        <v>282822.86578215635</v>
      </c>
      <c r="T101" s="47">
        <f t="shared" ca="1" si="47"/>
        <v>21917832.681365609</v>
      </c>
    </row>
    <row r="102" spans="1:20">
      <c r="A102" s="2">
        <f>'Monthly Data'!A102</f>
        <v>45413</v>
      </c>
      <c r="B102">
        <f>'Monthly Data'!B102</f>
        <v>2024</v>
      </c>
      <c r="C102">
        <f>'Monthly Data'!C102</f>
        <v>5</v>
      </c>
      <c r="D102" s="3">
        <f ca="1">'Monthly Data'!R102</f>
        <v>20727064.811263677</v>
      </c>
      <c r="E102" s="3">
        <f t="shared" ref="E102:F102" ca="1" si="120">E90</f>
        <v>208.90012508544086</v>
      </c>
      <c r="F102" s="3">
        <f t="shared" ca="1" si="120"/>
        <v>48.940113636363641</v>
      </c>
      <c r="G102">
        <f>'Monthly Data'!EJ102</f>
        <v>0</v>
      </c>
      <c r="H102" s="3">
        <f>'Monthly Data'!DB102</f>
        <v>8119.7</v>
      </c>
      <c r="I102" s="3">
        <f>'Monthly Data'!DQ102</f>
        <v>31</v>
      </c>
      <c r="K102" s="3">
        <f t="shared" si="111"/>
        <v>3542907.1380836898</v>
      </c>
      <c r="L102" s="3">
        <f t="shared" ca="1" si="112"/>
        <v>2196000.2086574011</v>
      </c>
      <c r="M102" s="3">
        <f t="shared" ca="1" si="113"/>
        <v>1607740.1587494065</v>
      </c>
      <c r="N102" s="3">
        <f t="shared" si="114"/>
        <v>0</v>
      </c>
      <c r="O102" s="3">
        <f t="shared" si="115"/>
        <v>0</v>
      </c>
      <c r="P102" s="3">
        <f t="shared" si="116"/>
        <v>13987420.156226436</v>
      </c>
      <c r="Q102" s="47">
        <f t="shared" ca="1" si="109"/>
        <v>21334067.661716934</v>
      </c>
      <c r="R102" s="47">
        <f>'Monthly Data'!S102</f>
        <v>147496.36487179485</v>
      </c>
      <c r="S102" s="47">
        <f ca="1">+'Monthly Data'!T102</f>
        <v>82131.257199288986</v>
      </c>
      <c r="T102" s="47">
        <f t="shared" ca="1" si="47"/>
        <v>21563695.283788018</v>
      </c>
    </row>
    <row r="103" spans="1:20">
      <c r="A103" s="2">
        <f>'Monthly Data'!A103</f>
        <v>45444</v>
      </c>
      <c r="B103">
        <f>'Monthly Data'!B103</f>
        <v>2024</v>
      </c>
      <c r="C103">
        <f>'Monthly Data'!C103</f>
        <v>6</v>
      </c>
      <c r="D103" s="3">
        <f ca="1">'Monthly Data'!R103</f>
        <v>21667399.384456903</v>
      </c>
      <c r="E103" s="3">
        <f t="shared" ref="E103:F103" ca="1" si="121">E91</f>
        <v>61.78217382617381</v>
      </c>
      <c r="F103" s="3">
        <f t="shared" ca="1" si="121"/>
        <v>144.91160087738351</v>
      </c>
      <c r="G103">
        <f>'Monthly Data'!EJ103</f>
        <v>0</v>
      </c>
      <c r="H103" s="3">
        <f>'Monthly Data'!DB103</f>
        <v>8140.7</v>
      </c>
      <c r="I103" s="3">
        <f>'Monthly Data'!DQ103</f>
        <v>30</v>
      </c>
      <c r="K103" s="3">
        <f t="shared" si="111"/>
        <v>3542907.1380836898</v>
      </c>
      <c r="L103" s="3">
        <f t="shared" ca="1" si="112"/>
        <v>649466.6604823455</v>
      </c>
      <c r="M103" s="3">
        <f t="shared" ca="1" si="113"/>
        <v>4760516.126511923</v>
      </c>
      <c r="N103" s="3">
        <f t="shared" si="114"/>
        <v>0</v>
      </c>
      <c r="O103" s="3">
        <f t="shared" si="115"/>
        <v>0</v>
      </c>
      <c r="P103" s="3">
        <f t="shared" si="116"/>
        <v>13536213.05441268</v>
      </c>
      <c r="Q103" s="47">
        <f t="shared" ca="1" si="109"/>
        <v>22489102.979490638</v>
      </c>
      <c r="R103" s="47">
        <f>'Monthly Data'!S103</f>
        <v>151825.36384615384</v>
      </c>
      <c r="S103" s="47">
        <f ca="1">+'Monthly Data'!T103</f>
        <v>28962.095024852821</v>
      </c>
      <c r="T103" s="47">
        <f t="shared" ca="1" si="47"/>
        <v>22669890.438361645</v>
      </c>
    </row>
    <row r="104" spans="1:20">
      <c r="A104" s="2">
        <f>'Monthly Data'!A104</f>
        <v>45474</v>
      </c>
      <c r="B104">
        <f>'Monthly Data'!B104</f>
        <v>2024</v>
      </c>
      <c r="C104">
        <f>'Monthly Data'!C104</f>
        <v>7</v>
      </c>
      <c r="D104" s="3">
        <f ca="1">'Monthly Data'!R104</f>
        <v>24711531.092441339</v>
      </c>
      <c r="E104" s="3">
        <f t="shared" ref="E104:F104" ca="1" si="122">E92</f>
        <v>8.334479813664597</v>
      </c>
      <c r="F104" s="3">
        <f t="shared" ca="1" si="122"/>
        <v>242.72508692061183</v>
      </c>
      <c r="G104">
        <f>'Monthly Data'!EJ104</f>
        <v>0</v>
      </c>
      <c r="H104" s="3">
        <f>'Monthly Data'!DB104</f>
        <v>8161</v>
      </c>
      <c r="I104" s="3">
        <f>'Monthly Data'!DQ104</f>
        <v>31</v>
      </c>
      <c r="K104" s="3">
        <f t="shared" si="111"/>
        <v>3542907.1380836898</v>
      </c>
      <c r="L104" s="3">
        <f t="shared" ca="1" si="112"/>
        <v>87613.731214246814</v>
      </c>
      <c r="M104" s="3">
        <f t="shared" ca="1" si="113"/>
        <v>7973803.9163082652</v>
      </c>
      <c r="N104" s="3">
        <f t="shared" si="114"/>
        <v>0</v>
      </c>
      <c r="O104" s="3">
        <f t="shared" si="115"/>
        <v>0</v>
      </c>
      <c r="P104" s="3">
        <f t="shared" si="116"/>
        <v>13987420.156226436</v>
      </c>
      <c r="Q104" s="47">
        <f t="shared" ca="1" si="109"/>
        <v>25591744.941832639</v>
      </c>
      <c r="R104" s="47">
        <f>'Monthly Data'!S104</f>
        <v>156154.36282051282</v>
      </c>
      <c r="S104" s="47">
        <f ca="1">+'Monthly Data'!T104</f>
        <v>301.96720429766293</v>
      </c>
      <c r="T104" s="47">
        <f t="shared" ca="1" si="47"/>
        <v>25748201.271857452</v>
      </c>
    </row>
    <row r="105" spans="1:20">
      <c r="A105" s="2">
        <f>'Monthly Data'!A105</f>
        <v>45505</v>
      </c>
      <c r="B105">
        <f>'Monthly Data'!B105</f>
        <v>2024</v>
      </c>
      <c r="C105">
        <f>'Monthly Data'!C105</f>
        <v>8</v>
      </c>
      <c r="D105" s="3">
        <f ca="1">'Monthly Data'!R105</f>
        <v>23545255.469318364</v>
      </c>
      <c r="E105" s="3">
        <f t="shared" ref="E105:F105" ca="1" si="123">E93</f>
        <v>21.054927536231883</v>
      </c>
      <c r="F105" s="3">
        <f t="shared" ca="1" si="123"/>
        <v>214.02558794466404</v>
      </c>
      <c r="G105">
        <f>'Monthly Data'!EJ105</f>
        <v>0</v>
      </c>
      <c r="H105" s="3">
        <f>'Monthly Data'!DB105</f>
        <v>8167</v>
      </c>
      <c r="I105" s="3">
        <f>'Monthly Data'!DQ105</f>
        <v>31</v>
      </c>
      <c r="K105" s="3">
        <f t="shared" si="111"/>
        <v>3542907.1380836898</v>
      </c>
      <c r="L105" s="3">
        <f t="shared" ca="1" si="112"/>
        <v>221333.64086747551</v>
      </c>
      <c r="M105" s="3">
        <f t="shared" ca="1" si="113"/>
        <v>7030991.699269712</v>
      </c>
      <c r="N105" s="3">
        <f t="shared" si="114"/>
        <v>0</v>
      </c>
      <c r="O105" s="3">
        <f t="shared" si="115"/>
        <v>0</v>
      </c>
      <c r="P105" s="3">
        <f t="shared" si="116"/>
        <v>13987420.156226436</v>
      </c>
      <c r="Q105" s="47">
        <f t="shared" ca="1" si="109"/>
        <v>24782652.634447314</v>
      </c>
      <c r="R105" s="47">
        <f>'Monthly Data'!S105</f>
        <v>160483.36179487177</v>
      </c>
      <c r="S105" s="47">
        <f ca="1">+'Monthly Data'!T105</f>
        <v>7553.002477116177</v>
      </c>
      <c r="T105" s="47">
        <f t="shared" ca="1" si="47"/>
        <v>24950688.998719301</v>
      </c>
    </row>
    <row r="106" spans="1:20">
      <c r="A106" s="2">
        <f>'Monthly Data'!A106</f>
        <v>45536</v>
      </c>
      <c r="B106">
        <f>'Monthly Data'!B106</f>
        <v>2024</v>
      </c>
      <c r="C106">
        <f>'Monthly Data'!C106</f>
        <v>9</v>
      </c>
      <c r="D106" s="3">
        <f ca="1">'Monthly Data'!R106</f>
        <v>21031427.533251744</v>
      </c>
      <c r="E106" s="3">
        <f t="shared" ref="E106:F106" ca="1" si="124">E94</f>
        <v>97.667119565217376</v>
      </c>
      <c r="F106" s="3">
        <f t="shared" ca="1" si="124"/>
        <v>102.40708333333332</v>
      </c>
      <c r="G106">
        <f>'Monthly Data'!EJ106</f>
        <v>0</v>
      </c>
      <c r="H106" s="3">
        <f>'Monthly Data'!DB106</f>
        <v>8182.9</v>
      </c>
      <c r="I106" s="3">
        <f>'Monthly Data'!DQ106</f>
        <v>30</v>
      </c>
      <c r="K106" s="3">
        <f t="shared" si="111"/>
        <v>3542907.1380836898</v>
      </c>
      <c r="L106" s="3">
        <f t="shared" ca="1" si="112"/>
        <v>1026696.4409737088</v>
      </c>
      <c r="M106" s="3">
        <f t="shared" ca="1" si="113"/>
        <v>3364192.8508531847</v>
      </c>
      <c r="N106" s="3">
        <f t="shared" si="114"/>
        <v>0</v>
      </c>
      <c r="O106" s="3">
        <f t="shared" si="115"/>
        <v>0</v>
      </c>
      <c r="P106" s="3">
        <f t="shared" si="116"/>
        <v>13536213.05441268</v>
      </c>
      <c r="Q106" s="47">
        <f t="shared" ca="1" si="109"/>
        <v>21470009.484323263</v>
      </c>
      <c r="R106" s="47">
        <f>'Monthly Data'!S106</f>
        <v>164812.36076923076</v>
      </c>
      <c r="S106" s="47">
        <f ca="1">+'Monthly Data'!T106</f>
        <v>26940.061466960899</v>
      </c>
      <c r="T106" s="47">
        <f t="shared" ca="1" si="47"/>
        <v>21661761.906559456</v>
      </c>
    </row>
    <row r="107" spans="1:20">
      <c r="A107" s="2">
        <f>'Monthly Data'!A107</f>
        <v>45566</v>
      </c>
      <c r="B107">
        <f>'Monthly Data'!B107</f>
        <v>2024</v>
      </c>
      <c r="C107">
        <f>'Monthly Data'!C107</f>
        <v>10</v>
      </c>
      <c r="D107" s="3">
        <f ca="1">'Monthly Data'!R107</f>
        <v>20260195.670350991</v>
      </c>
      <c r="E107" s="3">
        <f t="shared" ref="E107:F107" ca="1" si="125">E95</f>
        <v>292.46431159420291</v>
      </c>
      <c r="F107" s="3">
        <f t="shared" ca="1" si="125"/>
        <v>19.741250000000004</v>
      </c>
      <c r="G107">
        <f>'Monthly Data'!EJ107</f>
        <v>0</v>
      </c>
      <c r="H107" s="3">
        <f>'Monthly Data'!DB107</f>
        <v>8184.5</v>
      </c>
      <c r="I107" s="3">
        <f>'Monthly Data'!DQ107</f>
        <v>31</v>
      </c>
      <c r="K107" s="3">
        <f t="shared" si="111"/>
        <v>3542907.1380836898</v>
      </c>
      <c r="L107" s="3">
        <f t="shared" ca="1" si="112"/>
        <v>3074443.7755747139</v>
      </c>
      <c r="M107" s="3">
        <f t="shared" ca="1" si="113"/>
        <v>648523.22666715388</v>
      </c>
      <c r="N107" s="3">
        <f t="shared" si="114"/>
        <v>0</v>
      </c>
      <c r="O107" s="3">
        <f t="shared" si="115"/>
        <v>0</v>
      </c>
      <c r="P107" s="3">
        <f t="shared" si="116"/>
        <v>13987420.156226436</v>
      </c>
      <c r="Q107" s="47">
        <f t="shared" ca="1" si="109"/>
        <v>21253294.296551995</v>
      </c>
      <c r="R107" s="47">
        <f>'Monthly Data'!S107</f>
        <v>169141.35974358974</v>
      </c>
      <c r="S107" s="47">
        <f ca="1">+'Monthly Data'!T107</f>
        <v>214610.76775311952</v>
      </c>
      <c r="T107" s="47">
        <f t="shared" ref="T107:T170" ca="1" si="126">Q107+R107+S107</f>
        <v>21637046.424048707</v>
      </c>
    </row>
    <row r="108" spans="1:20">
      <c r="A108" s="2">
        <f>'Monthly Data'!A108</f>
        <v>45597</v>
      </c>
      <c r="B108">
        <f>'Monthly Data'!B108</f>
        <v>2024</v>
      </c>
      <c r="C108">
        <f>'Monthly Data'!C108</f>
        <v>11</v>
      </c>
      <c r="D108" s="3">
        <f ca="1">'Monthly Data'!R108</f>
        <v>20796976.8552064</v>
      </c>
      <c r="E108" s="3">
        <f t="shared" ref="E108:F108" ca="1" si="127">E96</f>
        <v>495.51408055712409</v>
      </c>
      <c r="F108" s="3">
        <f t="shared" ca="1" si="127"/>
        <v>0.78124999999999944</v>
      </c>
      <c r="G108">
        <f>'Monthly Data'!EJ108</f>
        <v>0</v>
      </c>
      <c r="H108" s="3">
        <f>'Monthly Data'!DB108</f>
        <v>8185.4</v>
      </c>
      <c r="I108" s="3">
        <f>'Monthly Data'!DQ108</f>
        <v>30</v>
      </c>
      <c r="K108" s="3">
        <f t="shared" si="111"/>
        <v>3542907.1380836898</v>
      </c>
      <c r="L108" s="3">
        <f t="shared" ca="1" si="112"/>
        <v>5208943.861814674</v>
      </c>
      <c r="M108" s="3">
        <f t="shared" ca="1" si="113"/>
        <v>25664.979210217869</v>
      </c>
      <c r="N108" s="3">
        <f t="shared" si="114"/>
        <v>0</v>
      </c>
      <c r="O108" s="3">
        <f t="shared" si="115"/>
        <v>0</v>
      </c>
      <c r="P108" s="3">
        <f t="shared" si="116"/>
        <v>13536213.05441268</v>
      </c>
      <c r="Q108" s="47">
        <f t="shared" ca="1" si="109"/>
        <v>22313729.033521261</v>
      </c>
      <c r="R108" s="47">
        <f>'Monthly Data'!S108</f>
        <v>173470.35871794869</v>
      </c>
      <c r="S108" s="47">
        <f ca="1">+'Monthly Data'!T108</f>
        <v>336024.51809882704</v>
      </c>
      <c r="T108" s="47">
        <f t="shared" ca="1" si="126"/>
        <v>22823223.910338037</v>
      </c>
    </row>
    <row r="109" spans="1:20">
      <c r="A109" s="2">
        <f>'Monthly Data'!A109</f>
        <v>45627</v>
      </c>
      <c r="B109">
        <f>'Monthly Data'!B109</f>
        <v>2024</v>
      </c>
      <c r="C109">
        <f>'Monthly Data'!C109</f>
        <v>12</v>
      </c>
      <c r="D109" s="3">
        <f ca="1">'Monthly Data'!R109</f>
        <v>23839433.224506591</v>
      </c>
      <c r="E109" s="3">
        <f t="shared" ref="E109:F109" ca="1" si="128">E97</f>
        <v>664.38541666666663</v>
      </c>
      <c r="F109" s="3">
        <f t="shared" ca="1" si="128"/>
        <v>0</v>
      </c>
      <c r="G109">
        <f>'Monthly Data'!EJ109</f>
        <v>0</v>
      </c>
      <c r="H109" s="3">
        <f>'Monthly Data'!DB109</f>
        <v>8187.7</v>
      </c>
      <c r="I109" s="3">
        <f>'Monthly Data'!DQ109</f>
        <v>31</v>
      </c>
      <c r="K109" s="3">
        <f t="shared" si="111"/>
        <v>3542907.1380836898</v>
      </c>
      <c r="L109" s="3">
        <f t="shared" ca="1" si="112"/>
        <v>6984153.3748828648</v>
      </c>
      <c r="M109" s="3">
        <f t="shared" ca="1" si="113"/>
        <v>0</v>
      </c>
      <c r="N109" s="3">
        <f t="shared" si="114"/>
        <v>0</v>
      </c>
      <c r="O109" s="3">
        <f t="shared" si="115"/>
        <v>0</v>
      </c>
      <c r="P109" s="3">
        <f t="shared" si="116"/>
        <v>13987420.156226436</v>
      </c>
      <c r="Q109" s="47">
        <f t="shared" ca="1" si="109"/>
        <v>24514480.669192992</v>
      </c>
      <c r="R109" s="47">
        <f>'Monthly Data'!S109</f>
        <v>177799.35769230768</v>
      </c>
      <c r="S109" s="47">
        <f ca="1">+'Monthly Data'!T109</f>
        <v>549113.98272143432</v>
      </c>
      <c r="T109" s="47">
        <f t="shared" ca="1" si="126"/>
        <v>25241394.009606734</v>
      </c>
    </row>
    <row r="110" spans="1:20">
      <c r="A110" s="2">
        <f>'Monthly Data'!A110</f>
        <v>45658</v>
      </c>
      <c r="B110">
        <f>'Monthly Data'!B110</f>
        <v>2025</v>
      </c>
      <c r="C110">
        <f>'Monthly Data'!C110</f>
        <v>1</v>
      </c>
      <c r="D110" s="3">
        <f ca="1">'Monthly Data'!R110</f>
        <v>25801949.041087992</v>
      </c>
      <c r="E110" s="3">
        <f t="shared" ref="E110:F110" ca="1" si="129">E98</f>
        <v>752.78750000000002</v>
      </c>
      <c r="F110" s="3">
        <f t="shared" ca="1" si="129"/>
        <v>0</v>
      </c>
      <c r="G110">
        <f>'Monthly Data'!EJ110</f>
        <v>0</v>
      </c>
      <c r="H110" s="3">
        <f>'Monthly Data'!DB110</f>
        <v>8205.7000000000007</v>
      </c>
      <c r="I110" s="3">
        <f>'Monthly Data'!DQ110</f>
        <v>31</v>
      </c>
      <c r="K110" s="3">
        <f t="shared" si="111"/>
        <v>3542907.1380836898</v>
      </c>
      <c r="L110" s="3">
        <f t="shared" ca="1" si="112"/>
        <v>7913453.8880651752</v>
      </c>
      <c r="M110" s="3">
        <f t="shared" ca="1" si="113"/>
        <v>0</v>
      </c>
      <c r="N110" s="3">
        <f t="shared" si="114"/>
        <v>0</v>
      </c>
      <c r="O110" s="3">
        <f t="shared" si="115"/>
        <v>0</v>
      </c>
      <c r="P110" s="3">
        <f t="shared" si="116"/>
        <v>13987420.156226436</v>
      </c>
      <c r="Q110" s="47">
        <f t="shared" ref="Q110:Q121" ca="1" si="130">SUM(K110:P110)</f>
        <v>25443781.182375301</v>
      </c>
      <c r="R110" s="47">
        <f>'Monthly Data'!S110</f>
        <v>186155.8428205128</v>
      </c>
      <c r="S110" s="47">
        <f ca="1">+'Monthly Data'!T110</f>
        <v>807501.53045221057</v>
      </c>
      <c r="T110" s="47">
        <f t="shared" ref="T110:T121" ca="1" si="131">Q110+R110+S110</f>
        <v>26437438.555648025</v>
      </c>
    </row>
    <row r="111" spans="1:20">
      <c r="A111" s="2">
        <f>'Monthly Data'!A111</f>
        <v>45689</v>
      </c>
      <c r="B111">
        <f>'Monthly Data'!B111</f>
        <v>2025</v>
      </c>
      <c r="C111">
        <f>'Monthly Data'!C111</f>
        <v>2</v>
      </c>
      <c r="D111" s="3">
        <f ca="1">'Monthly Data'!R111</f>
        <v>23429136.133489423</v>
      </c>
      <c r="E111" s="3">
        <f t="shared" ref="E111:F111" ca="1" si="132">E99</f>
        <v>660.7954166666666</v>
      </c>
      <c r="F111" s="3">
        <f t="shared" ca="1" si="132"/>
        <v>0</v>
      </c>
      <c r="G111">
        <f>'Monthly Data'!EJ111</f>
        <v>0</v>
      </c>
      <c r="H111" s="3">
        <f>'Monthly Data'!DB111</f>
        <v>8230</v>
      </c>
      <c r="I111" s="3">
        <f>'Monthly Data'!DQ111</f>
        <v>28</v>
      </c>
      <c r="K111" s="3">
        <f t="shared" si="111"/>
        <v>3542907.1380836898</v>
      </c>
      <c r="L111" s="3">
        <f t="shared" ca="1" si="112"/>
        <v>6946414.5714912647</v>
      </c>
      <c r="M111" s="3">
        <f t="shared" ca="1" si="113"/>
        <v>0</v>
      </c>
      <c r="N111" s="3">
        <f t="shared" si="114"/>
        <v>0</v>
      </c>
      <c r="O111" s="3">
        <f t="shared" si="115"/>
        <v>0</v>
      </c>
      <c r="P111" s="3">
        <f t="shared" si="116"/>
        <v>12633798.850785168</v>
      </c>
      <c r="Q111" s="47">
        <f t="shared" ca="1" si="130"/>
        <v>23123120.560360122</v>
      </c>
      <c r="R111" s="47">
        <f>'Monthly Data'!S111</f>
        <v>190183.32897435897</v>
      </c>
      <c r="S111" s="47">
        <f ca="1">+'Monthly Data'!T111</f>
        <v>733450.00827764429</v>
      </c>
      <c r="T111" s="47">
        <f t="shared" ca="1" si="131"/>
        <v>24046753.897612125</v>
      </c>
    </row>
    <row r="112" spans="1:20">
      <c r="A112" s="2">
        <f>'Monthly Data'!A112</f>
        <v>45717</v>
      </c>
      <c r="B112">
        <f>'Monthly Data'!B112</f>
        <v>2025</v>
      </c>
      <c r="C112">
        <f>'Monthly Data'!C112</f>
        <v>3</v>
      </c>
      <c r="D112" s="3">
        <f ca="1">'Monthly Data'!R112</f>
        <v>23185454.774364464</v>
      </c>
      <c r="E112" s="3">
        <f t="shared" ref="E112:F112" ca="1" si="133">E100</f>
        <v>596.21590579710141</v>
      </c>
      <c r="F112" s="3">
        <f t="shared" ca="1" si="133"/>
        <v>0</v>
      </c>
      <c r="G112">
        <f>'Monthly Data'!EJ112</f>
        <v>0</v>
      </c>
      <c r="H112" s="3">
        <f>'Monthly Data'!DB112</f>
        <v>8233.7999999999993</v>
      </c>
      <c r="I112" s="3">
        <f>'Monthly Data'!DQ112</f>
        <v>31</v>
      </c>
      <c r="K112" s="3">
        <f t="shared" si="111"/>
        <v>3542907.1380836898</v>
      </c>
      <c r="L112" s="3">
        <f t="shared" ca="1" si="112"/>
        <v>6267541.7403402319</v>
      </c>
      <c r="M112" s="3">
        <f t="shared" ca="1" si="113"/>
        <v>0</v>
      </c>
      <c r="N112" s="3">
        <f t="shared" si="114"/>
        <v>0</v>
      </c>
      <c r="O112" s="3">
        <f t="shared" si="115"/>
        <v>0</v>
      </c>
      <c r="P112" s="3">
        <f t="shared" si="116"/>
        <v>13987420.156226436</v>
      </c>
      <c r="Q112" s="47">
        <f t="shared" ca="1" si="130"/>
        <v>23797869.034650356</v>
      </c>
      <c r="R112" s="47">
        <f>'Monthly Data'!S112</f>
        <v>194210.81512820511</v>
      </c>
      <c r="S112" s="47">
        <f ca="1">+'Monthly Data'!T112</f>
        <v>571790.75785300613</v>
      </c>
      <c r="T112" s="47">
        <f t="shared" ca="1" si="131"/>
        <v>24563870.607631564</v>
      </c>
    </row>
    <row r="113" spans="1:20">
      <c r="A113" s="2">
        <f>'Monthly Data'!A113</f>
        <v>45748</v>
      </c>
      <c r="B113">
        <f>'Monthly Data'!B113</f>
        <v>2025</v>
      </c>
      <c r="C113">
        <f>'Monthly Data'!C113</f>
        <v>4</v>
      </c>
      <c r="D113" s="3">
        <f ca="1">'Monthly Data'!R113</f>
        <v>21007596.622480456</v>
      </c>
      <c r="E113" s="3">
        <f t="shared" ref="E113:F113" ca="1" si="134">E101</f>
        <v>412.8885416666667</v>
      </c>
      <c r="F113" s="3">
        <f t="shared" ca="1" si="134"/>
        <v>2.2025000000000015</v>
      </c>
      <c r="G113">
        <f>'Monthly Data'!EJ113</f>
        <v>0</v>
      </c>
      <c r="H113" s="3">
        <f>'Monthly Data'!DB113</f>
        <v>8220.2999999999993</v>
      </c>
      <c r="I113" s="3">
        <f>'Monthly Data'!DQ113</f>
        <v>30</v>
      </c>
      <c r="K113" s="3">
        <f t="shared" si="111"/>
        <v>3542907.1380836898</v>
      </c>
      <c r="L113" s="3">
        <f t="shared" ca="1" si="112"/>
        <v>4340367.547800201</v>
      </c>
      <c r="M113" s="3">
        <f t="shared" ca="1" si="113"/>
        <v>72354.709389446318</v>
      </c>
      <c r="N113" s="3">
        <f t="shared" si="114"/>
        <v>0</v>
      </c>
      <c r="O113" s="3">
        <f t="shared" si="115"/>
        <v>0</v>
      </c>
      <c r="P113" s="3">
        <f t="shared" si="116"/>
        <v>13536213.05441268</v>
      </c>
      <c r="Q113" s="47">
        <f t="shared" ca="1" si="130"/>
        <v>21491842.449686017</v>
      </c>
      <c r="R113" s="47">
        <f>'Monthly Data'!S113</f>
        <v>198238.30128205128</v>
      </c>
      <c r="S113" s="47">
        <f ca="1">+'Monthly Data'!T113</f>
        <v>387906.86324222927</v>
      </c>
      <c r="T113" s="47">
        <f t="shared" ca="1" si="131"/>
        <v>22077987.614210296</v>
      </c>
    </row>
    <row r="114" spans="1:20">
      <c r="A114" s="2">
        <f>'Monthly Data'!A114</f>
        <v>45778</v>
      </c>
      <c r="B114">
        <f>'Monthly Data'!B114</f>
        <v>2025</v>
      </c>
      <c r="C114">
        <f>'Monthly Data'!C114</f>
        <v>5</v>
      </c>
      <c r="D114" s="3">
        <f ca="1">'Monthly Data'!R114</f>
        <v>20178322.510245413</v>
      </c>
      <c r="E114" s="3">
        <f t="shared" ref="E114:F114" ca="1" si="135">E102</f>
        <v>208.90012508544086</v>
      </c>
      <c r="F114" s="3">
        <f t="shared" ca="1" si="135"/>
        <v>48.940113636363641</v>
      </c>
      <c r="G114">
        <f>'Monthly Data'!EJ114</f>
        <v>0</v>
      </c>
      <c r="H114" s="3">
        <f>'Monthly Data'!DB114</f>
        <v>8204.4</v>
      </c>
      <c r="I114" s="3">
        <f>'Monthly Data'!DQ114</f>
        <v>31</v>
      </c>
      <c r="K114" s="3">
        <f t="shared" si="111"/>
        <v>3542907.1380836898</v>
      </c>
      <c r="L114" s="3">
        <f t="shared" ca="1" si="112"/>
        <v>2196000.2086574011</v>
      </c>
      <c r="M114" s="3">
        <f t="shared" ca="1" si="113"/>
        <v>1607740.1587494065</v>
      </c>
      <c r="N114" s="3">
        <f t="shared" si="114"/>
        <v>0</v>
      </c>
      <c r="O114" s="3">
        <f t="shared" si="115"/>
        <v>0</v>
      </c>
      <c r="P114" s="3">
        <f t="shared" si="116"/>
        <v>13987420.156226436</v>
      </c>
      <c r="Q114" s="47">
        <f t="shared" ca="1" si="130"/>
        <v>21334067.661716934</v>
      </c>
      <c r="R114" s="47">
        <f>'Monthly Data'!S114</f>
        <v>202265.78743589742</v>
      </c>
      <c r="S114" s="47">
        <f ca="1">+'Monthly Data'!T114</f>
        <v>175656.45812103417</v>
      </c>
      <c r="T114" s="47">
        <f t="shared" ca="1" si="131"/>
        <v>21711989.907273866</v>
      </c>
    </row>
    <row r="115" spans="1:20">
      <c r="A115" s="2">
        <f>'Monthly Data'!A115</f>
        <v>45809</v>
      </c>
      <c r="B115">
        <f>'Monthly Data'!B115</f>
        <v>2025</v>
      </c>
      <c r="C115">
        <f>'Monthly Data'!C115</f>
        <v>6</v>
      </c>
      <c r="D115" s="3">
        <f ca="1">'Monthly Data'!R115</f>
        <v>22167501.959019642</v>
      </c>
      <c r="E115" s="3">
        <f t="shared" ref="E115:F115" ca="1" si="136">E103</f>
        <v>61.78217382617381</v>
      </c>
      <c r="F115" s="3">
        <f t="shared" ca="1" si="136"/>
        <v>144.91160087738351</v>
      </c>
      <c r="G115">
        <f>'Monthly Data'!EJ115</f>
        <v>0</v>
      </c>
      <c r="H115" s="3">
        <f>'Monthly Data'!DB115</f>
        <v>8200</v>
      </c>
      <c r="I115" s="3">
        <f>'Monthly Data'!DQ115</f>
        <v>30</v>
      </c>
      <c r="K115" s="3">
        <f t="shared" si="111"/>
        <v>3542907.1380836898</v>
      </c>
      <c r="L115" s="3">
        <f t="shared" ca="1" si="112"/>
        <v>649466.6604823455</v>
      </c>
      <c r="M115" s="3">
        <f t="shared" ca="1" si="113"/>
        <v>4760516.126511923</v>
      </c>
      <c r="N115" s="3">
        <f t="shared" si="114"/>
        <v>0</v>
      </c>
      <c r="O115" s="3">
        <f t="shared" si="115"/>
        <v>0</v>
      </c>
      <c r="P115" s="3">
        <f t="shared" si="116"/>
        <v>13536213.05441268</v>
      </c>
      <c r="Q115" s="47">
        <f t="shared" ca="1" si="130"/>
        <v>22489102.979490638</v>
      </c>
      <c r="R115" s="47">
        <f>'Monthly Data'!S115</f>
        <v>206293.27358974359</v>
      </c>
      <c r="S115" s="47">
        <f ca="1">+'Monthly Data'!T115</f>
        <v>24755.809739375825</v>
      </c>
      <c r="T115" s="47">
        <f t="shared" ca="1" si="131"/>
        <v>22720152.06281976</v>
      </c>
    </row>
    <row r="116" spans="1:20">
      <c r="A116" s="2">
        <f>'Monthly Data'!A116</f>
        <v>45839</v>
      </c>
      <c r="B116">
        <f>'Monthly Data'!B116</f>
        <v>2025</v>
      </c>
      <c r="C116">
        <f>'Monthly Data'!C116</f>
        <v>7</v>
      </c>
      <c r="D116" s="3">
        <f ca="1">'Monthly Data'!R116</f>
        <v>25771638.234449137</v>
      </c>
      <c r="E116" s="3">
        <f t="shared" ref="E116:F116" ca="1" si="137">E104</f>
        <v>8.334479813664597</v>
      </c>
      <c r="F116" s="3">
        <f t="shared" ca="1" si="137"/>
        <v>242.72508692061183</v>
      </c>
      <c r="G116">
        <f>'Monthly Data'!EJ116</f>
        <v>0</v>
      </c>
      <c r="H116" s="3">
        <f>'Monthly Data'!DB116</f>
        <v>8207.5</v>
      </c>
      <c r="I116" s="3">
        <f>'Monthly Data'!DQ116</f>
        <v>31</v>
      </c>
      <c r="K116" s="3">
        <f t="shared" si="111"/>
        <v>3542907.1380836898</v>
      </c>
      <c r="L116" s="3">
        <f t="shared" ca="1" si="112"/>
        <v>87613.731214246814</v>
      </c>
      <c r="M116" s="3">
        <f t="shared" ca="1" si="113"/>
        <v>7973803.9163082652</v>
      </c>
      <c r="N116" s="3">
        <f t="shared" si="114"/>
        <v>0</v>
      </c>
      <c r="O116" s="3">
        <f t="shared" si="115"/>
        <v>0</v>
      </c>
      <c r="P116" s="3">
        <f t="shared" si="116"/>
        <v>13987420.156226436</v>
      </c>
      <c r="Q116" s="47">
        <f t="shared" ca="1" si="130"/>
        <v>25591744.941832639</v>
      </c>
      <c r="R116" s="47">
        <f>'Monthly Data'!S116</f>
        <v>210320.75974358973</v>
      </c>
      <c r="S116" s="47">
        <f ca="1">+'Monthly Data'!T116</f>
        <v>831.47180605437063</v>
      </c>
      <c r="T116" s="47">
        <f t="shared" ca="1" si="131"/>
        <v>25802897.173382282</v>
      </c>
    </row>
    <row r="117" spans="1:20">
      <c r="A117" s="2">
        <f>'Monthly Data'!A117</f>
        <v>45870</v>
      </c>
      <c r="B117">
        <f>'Monthly Data'!B117</f>
        <v>2025</v>
      </c>
      <c r="C117">
        <f>'Monthly Data'!C117</f>
        <v>8</v>
      </c>
      <c r="D117" s="3">
        <f ca="1">'Monthly Data'!R117</f>
        <v>23717646.490865074</v>
      </c>
      <c r="E117" s="3">
        <f t="shared" ref="E117:F117" ca="1" si="138">E105</f>
        <v>21.054927536231883</v>
      </c>
      <c r="F117" s="3">
        <f t="shared" ca="1" si="138"/>
        <v>214.02558794466404</v>
      </c>
      <c r="G117">
        <f>'Monthly Data'!EJ117</f>
        <v>0</v>
      </c>
      <c r="H117" s="3">
        <f>'Monthly Data'!DB117</f>
        <v>8204.9</v>
      </c>
      <c r="I117" s="3">
        <f>'Monthly Data'!DQ117</f>
        <v>31</v>
      </c>
      <c r="K117" s="3">
        <f t="shared" si="111"/>
        <v>3542907.1380836898</v>
      </c>
      <c r="L117" s="3">
        <f t="shared" ca="1" si="112"/>
        <v>221333.64086747551</v>
      </c>
      <c r="M117" s="3">
        <f t="shared" ca="1" si="113"/>
        <v>7030991.699269712</v>
      </c>
      <c r="N117" s="3">
        <f t="shared" si="114"/>
        <v>0</v>
      </c>
      <c r="O117" s="3">
        <f t="shared" si="115"/>
        <v>0</v>
      </c>
      <c r="P117" s="3">
        <f t="shared" si="116"/>
        <v>13987420.156226436</v>
      </c>
      <c r="Q117" s="47">
        <f t="shared" ca="1" si="130"/>
        <v>24782652.634447314</v>
      </c>
      <c r="R117" s="47">
        <f>'Monthly Data'!S117</f>
        <v>214348.24589743587</v>
      </c>
      <c r="S117" s="47">
        <f ca="1">+'Monthly Data'!T117</f>
        <v>18921.725796342376</v>
      </c>
      <c r="T117" s="47">
        <f t="shared" ca="1" si="131"/>
        <v>25015922.60614109</v>
      </c>
    </row>
    <row r="118" spans="1:20">
      <c r="A118" s="2">
        <f>'Monthly Data'!A118</f>
        <v>45901</v>
      </c>
      <c r="B118">
        <f>'Monthly Data'!B118</f>
        <v>2025</v>
      </c>
      <c r="C118">
        <f>'Monthly Data'!C118</f>
        <v>9</v>
      </c>
      <c r="D118" s="3">
        <f ca="1">'Monthly Data'!R118</f>
        <v>20694306.764176656</v>
      </c>
      <c r="E118" s="3">
        <f t="shared" ref="E118:F118" ca="1" si="139">E106</f>
        <v>97.667119565217376</v>
      </c>
      <c r="F118" s="3">
        <f t="shared" ca="1" si="139"/>
        <v>102.40708333333332</v>
      </c>
      <c r="G118">
        <f>'Monthly Data'!EJ118</f>
        <v>0</v>
      </c>
      <c r="H118" s="3">
        <f>'Monthly Data'!DB118</f>
        <v>8202.2000000000007</v>
      </c>
      <c r="I118" s="3">
        <f>'Monthly Data'!DQ118</f>
        <v>30</v>
      </c>
      <c r="K118" s="3">
        <f t="shared" si="111"/>
        <v>3542907.1380836898</v>
      </c>
      <c r="L118" s="3">
        <f t="shared" ca="1" si="112"/>
        <v>1026696.4409737088</v>
      </c>
      <c r="M118" s="3">
        <f t="shared" ca="1" si="113"/>
        <v>3364192.8508531847</v>
      </c>
      <c r="N118" s="3">
        <f t="shared" si="114"/>
        <v>0</v>
      </c>
      <c r="O118" s="3">
        <f t="shared" si="115"/>
        <v>0</v>
      </c>
      <c r="P118" s="3">
        <f t="shared" si="116"/>
        <v>13536213.05441268</v>
      </c>
      <c r="Q118" s="47">
        <f t="shared" ca="1" si="130"/>
        <v>21470009.484323263</v>
      </c>
      <c r="R118" s="47">
        <f>'Monthly Data'!S118</f>
        <v>218375.73205128204</v>
      </c>
      <c r="S118" s="47">
        <f ca="1">+'Monthly Data'!T118</f>
        <v>40976.400607762553</v>
      </c>
      <c r="T118" s="47">
        <f t="shared" ca="1" si="131"/>
        <v>21729361.616982307</v>
      </c>
    </row>
    <row r="119" spans="1:20">
      <c r="A119" s="2">
        <f>'Monthly Data'!A119</f>
        <v>45931</v>
      </c>
      <c r="B119">
        <f>'Monthly Data'!B119</f>
        <v>2025</v>
      </c>
      <c r="C119">
        <f>'Monthly Data'!C119</f>
        <v>10</v>
      </c>
      <c r="D119" s="3">
        <f ca="1">'Monthly Data'!R119</f>
        <v>20275049.765793916</v>
      </c>
      <c r="E119" s="3">
        <f t="shared" ref="E119:F119" ca="1" si="140">E107</f>
        <v>292.46431159420291</v>
      </c>
      <c r="F119" s="3">
        <f t="shared" ca="1" si="140"/>
        <v>19.741250000000004</v>
      </c>
      <c r="G119">
        <f>'Monthly Data'!EJ119</f>
        <v>0</v>
      </c>
      <c r="H119" s="3">
        <f>'Monthly Data'!DB119</f>
        <v>8214.2999999999993</v>
      </c>
      <c r="I119" s="3">
        <f>'Monthly Data'!DQ119</f>
        <v>31</v>
      </c>
      <c r="K119" s="3">
        <f t="shared" si="111"/>
        <v>3542907.1380836898</v>
      </c>
      <c r="L119" s="3">
        <f t="shared" ca="1" si="112"/>
        <v>3074443.7755747139</v>
      </c>
      <c r="M119" s="3">
        <f t="shared" ca="1" si="113"/>
        <v>648523.22666715388</v>
      </c>
      <c r="N119" s="3">
        <f t="shared" si="114"/>
        <v>0</v>
      </c>
      <c r="O119" s="3">
        <f t="shared" si="115"/>
        <v>0</v>
      </c>
      <c r="P119" s="3">
        <f t="shared" si="116"/>
        <v>13987420.156226436</v>
      </c>
      <c r="Q119" s="47">
        <f t="shared" ca="1" si="130"/>
        <v>21253294.296551995</v>
      </c>
      <c r="R119" s="47">
        <f>'Monthly Data'!S119</f>
        <v>222403.21820512819</v>
      </c>
      <c r="S119" s="47">
        <f ca="1">+'Monthly Data'!T119</f>
        <v>242730.04839838186</v>
      </c>
      <c r="T119" s="47">
        <f t="shared" ca="1" si="131"/>
        <v>21718427.563155506</v>
      </c>
    </row>
    <row r="120" spans="1:20">
      <c r="A120" s="2">
        <f>'Monthly Data'!A120</f>
        <v>45962</v>
      </c>
      <c r="B120">
        <f>'Monthly Data'!B120</f>
        <v>2025</v>
      </c>
      <c r="C120">
        <f>'Monthly Data'!C120</f>
        <v>11</v>
      </c>
      <c r="D120" s="3">
        <f ca="1">'Monthly Data'!R120</f>
        <v>21661604.248788737</v>
      </c>
      <c r="E120" s="3">
        <f t="shared" ref="E120:F120" ca="1" si="141">E108</f>
        <v>495.51408055712409</v>
      </c>
      <c r="F120" s="3">
        <f t="shared" ca="1" si="141"/>
        <v>0.78124999999999944</v>
      </c>
      <c r="G120">
        <f>'Monthly Data'!EJ120</f>
        <v>0</v>
      </c>
      <c r="H120" s="3">
        <f>'Monthly Data'!DB120</f>
        <v>8236.4</v>
      </c>
      <c r="I120" s="3">
        <f>'Monthly Data'!DQ120</f>
        <v>30</v>
      </c>
      <c r="K120" s="3">
        <f t="shared" si="111"/>
        <v>3542907.1380836898</v>
      </c>
      <c r="L120" s="3">
        <f t="shared" ca="1" si="112"/>
        <v>5208943.861814674</v>
      </c>
      <c r="M120" s="3">
        <f t="shared" ca="1" si="113"/>
        <v>25664.979210217869</v>
      </c>
      <c r="N120" s="3">
        <f t="shared" si="114"/>
        <v>0</v>
      </c>
      <c r="O120" s="3">
        <f t="shared" si="115"/>
        <v>0</v>
      </c>
      <c r="P120" s="3">
        <f t="shared" si="116"/>
        <v>13536213.05441268</v>
      </c>
      <c r="Q120" s="47">
        <f t="shared" ca="1" si="130"/>
        <v>22313729.033521261</v>
      </c>
      <c r="R120" s="47">
        <f>'Monthly Data'!S120</f>
        <v>226430.70435897436</v>
      </c>
      <c r="S120" s="47">
        <f ca="1">+'Monthly Data'!T120</f>
        <v>507827.14775631489</v>
      </c>
      <c r="T120" s="47">
        <f t="shared" ca="1" si="131"/>
        <v>23047986.885636549</v>
      </c>
    </row>
    <row r="121" spans="1:20">
      <c r="A121" s="2">
        <f>'Monthly Data'!A121</f>
        <v>45992</v>
      </c>
      <c r="B121">
        <f>'Monthly Data'!B121</f>
        <v>2025</v>
      </c>
      <c r="C121">
        <f>'Monthly Data'!C121</f>
        <v>12</v>
      </c>
      <c r="D121" s="3">
        <f ca="1">'Monthly Data'!R121</f>
        <v>24923821.47044035</v>
      </c>
      <c r="E121" s="3">
        <f t="shared" ref="E121:F121" ca="1" si="142">E109</f>
        <v>664.38541666666663</v>
      </c>
      <c r="F121" s="3">
        <f t="shared" ca="1" si="142"/>
        <v>0</v>
      </c>
      <c r="G121">
        <f>'Monthly Data'!EJ121</f>
        <v>0</v>
      </c>
      <c r="H121" s="3">
        <f>'Monthly Data'!DB121</f>
        <v>8261.1</v>
      </c>
      <c r="I121" s="3">
        <f>'Monthly Data'!DQ121</f>
        <v>31</v>
      </c>
      <c r="K121" s="3">
        <f t="shared" si="111"/>
        <v>3542907.1380836898</v>
      </c>
      <c r="L121" s="3">
        <f t="shared" ca="1" si="112"/>
        <v>6984153.3748828648</v>
      </c>
      <c r="M121" s="3">
        <f t="shared" ca="1" si="113"/>
        <v>0</v>
      </c>
      <c r="N121" s="3">
        <f t="shared" si="114"/>
        <v>0</v>
      </c>
      <c r="O121" s="3">
        <f t="shared" si="115"/>
        <v>0</v>
      </c>
      <c r="P121" s="3">
        <f t="shared" si="116"/>
        <v>13987420.156226436</v>
      </c>
      <c r="Q121" s="47">
        <f t="shared" ca="1" si="130"/>
        <v>24514480.669192992</v>
      </c>
      <c r="R121" s="47">
        <f>'Monthly Data'!S121</f>
        <v>230458.1905128205</v>
      </c>
      <c r="S121" s="47">
        <f ca="1">+'Monthly Data'!T121</f>
        <v>752128.26442911988</v>
      </c>
      <c r="T121" s="47">
        <f t="shared" ca="1" si="131"/>
        <v>25497067.124134932</v>
      </c>
    </row>
    <row r="122" spans="1:20">
      <c r="A122" s="2">
        <f t="shared" ref="A122:A162" si="143">EOMONTH(A121,1)</f>
        <v>46053</v>
      </c>
      <c r="B122">
        <f t="shared" ref="B122:B162" si="144">YEAR(A122)</f>
        <v>2026</v>
      </c>
      <c r="C122">
        <f t="shared" ref="C122:C162" si="145">MONTH(A122)</f>
        <v>1</v>
      </c>
      <c r="E122" s="3">
        <f t="shared" ref="E122:F122" ca="1" si="146">E110</f>
        <v>752.78750000000002</v>
      </c>
      <c r="F122" s="3">
        <f t="shared" ca="1" si="146"/>
        <v>0</v>
      </c>
      <c r="H122" s="90">
        <f>'Economic Data'!D148</f>
        <v>8246.2999999999993</v>
      </c>
      <c r="I122" s="47">
        <f t="shared" ref="I122:I162" si="147">I86</f>
        <v>31</v>
      </c>
      <c r="K122" s="3">
        <f t="shared" si="111"/>
        <v>3542907.1380836898</v>
      </c>
      <c r="L122" s="3">
        <f t="shared" ca="1" si="112"/>
        <v>7913453.8880651752</v>
      </c>
      <c r="M122" s="3">
        <f t="shared" ca="1" si="113"/>
        <v>0</v>
      </c>
      <c r="N122" s="3">
        <f t="shared" si="114"/>
        <v>0</v>
      </c>
      <c r="O122" s="3">
        <f t="shared" si="115"/>
        <v>0</v>
      </c>
      <c r="P122" s="3">
        <f t="shared" si="116"/>
        <v>13987420.156226436</v>
      </c>
      <c r="Q122" s="47">
        <f t="shared" ref="Q122:Q161" ca="1" si="148">SUM(K122:P122)</f>
        <v>25443781.182375301</v>
      </c>
      <c r="R122" s="47">
        <f>IFERROR(HLOOKUP(B122-1,'EV Forecast VRZ'!$F$124:$T$130,4,FALSE)/12,0)+IFERROR(((HLOOKUP(B122,'EV Forecast VRZ'!$F$116:$T$122,4,FALSE)-HLOOKUP(B122-1,'EV Forecast VRZ'!$F$124:$T$130,4,FALSE)))*C122/78,0)</f>
        <v>239016.9116369964</v>
      </c>
      <c r="S122" s="47">
        <f ca="1">HLOOKUP(B122,Heating!$C$102:$O$106,4,FALSE)*INDEX(Weather!$BO$1:$CB$20,MATCH(B122,Weather!$BO$1:$BO$20,0),MATCH(C122,Weather!$BO$1:$CB$1,0))/VLOOKUP(B122,Weather!$BO$2:$CB$20,14,FALSE)</f>
        <v>940322.11612833594</v>
      </c>
      <c r="T122" s="47">
        <f t="shared" ca="1" si="126"/>
        <v>26623120.210140634</v>
      </c>
    </row>
    <row r="123" spans="1:20">
      <c r="A123" s="2">
        <f t="shared" si="143"/>
        <v>46081</v>
      </c>
      <c r="B123">
        <f t="shared" si="144"/>
        <v>2026</v>
      </c>
      <c r="C123">
        <f t="shared" si="145"/>
        <v>2</v>
      </c>
      <c r="E123" s="3">
        <f t="shared" ref="E123:F123" ca="1" si="149">E111</f>
        <v>660.7954166666666</v>
      </c>
      <c r="F123" s="3">
        <f t="shared" ca="1" si="149"/>
        <v>0</v>
      </c>
      <c r="H123" s="90">
        <f>'Economic Data'!D149</f>
        <v>8231.2999999999993</v>
      </c>
      <c r="I123" s="47">
        <f t="shared" si="147"/>
        <v>28</v>
      </c>
      <c r="K123" s="3">
        <f t="shared" si="111"/>
        <v>3542907.1380836898</v>
      </c>
      <c r="L123" s="3">
        <f t="shared" ca="1" si="112"/>
        <v>6946414.5714912647</v>
      </c>
      <c r="M123" s="3">
        <f t="shared" ca="1" si="113"/>
        <v>0</v>
      </c>
      <c r="N123" s="3">
        <f t="shared" si="114"/>
        <v>0</v>
      </c>
      <c r="O123" s="3">
        <f t="shared" si="115"/>
        <v>0</v>
      </c>
      <c r="P123" s="3">
        <f t="shared" si="116"/>
        <v>12633798.850785168</v>
      </c>
      <c r="Q123" s="47">
        <f t="shared" ca="1" si="148"/>
        <v>23123120.560360122</v>
      </c>
      <c r="R123" s="47">
        <f>IFERROR(HLOOKUP(B123-1,'EV Forecast VRZ'!$F$124:$T$130,4,FALSE)/12,0)+IFERROR(((HLOOKUP(B123,'EV Forecast VRZ'!$F$116:$T$122,4,FALSE)-HLOOKUP(B123-1,'EV Forecast VRZ'!$F$124:$T$130,4,FALSE)))*C123/78,0)</f>
        <v>243548.14660732611</v>
      </c>
      <c r="S123" s="47">
        <f ca="1">HLOOKUP(B123,Heating!$C$102:$O$106,4,FALSE)*INDEX(Weather!$BO$1:$CB$20,MATCH(B123,Weather!$BO$1:$BO$20,0),MATCH(C123,Weather!$BO$1:$CB$1,0))/VLOOKUP(B123,Weather!$BO$2:$CB$20,14,FALSE)</f>
        <v>822450.19308404031</v>
      </c>
      <c r="T123" s="47">
        <f t="shared" ca="1" si="126"/>
        <v>24189118.900051486</v>
      </c>
    </row>
    <row r="124" spans="1:20">
      <c r="A124" s="2">
        <f t="shared" si="143"/>
        <v>46112</v>
      </c>
      <c r="B124">
        <f t="shared" si="144"/>
        <v>2026</v>
      </c>
      <c r="C124">
        <f t="shared" si="145"/>
        <v>3</v>
      </c>
      <c r="E124" s="3">
        <f t="shared" ref="E124:F124" ca="1" si="150">E112</f>
        <v>596.21590579710141</v>
      </c>
      <c r="F124" s="3">
        <f t="shared" ca="1" si="150"/>
        <v>0</v>
      </c>
      <c r="H124" s="90">
        <f>'Economic Data'!D150</f>
        <v>8246.1507000000001</v>
      </c>
      <c r="I124" s="47">
        <f t="shared" si="147"/>
        <v>31</v>
      </c>
      <c r="K124" s="3">
        <f t="shared" si="111"/>
        <v>3542907.1380836898</v>
      </c>
      <c r="L124" s="3">
        <f t="shared" ca="1" si="112"/>
        <v>6267541.7403402319</v>
      </c>
      <c r="M124" s="3">
        <f t="shared" ca="1" si="113"/>
        <v>0</v>
      </c>
      <c r="N124" s="3">
        <f t="shared" si="114"/>
        <v>0</v>
      </c>
      <c r="O124" s="3">
        <f t="shared" si="115"/>
        <v>0</v>
      </c>
      <c r="P124" s="3">
        <f t="shared" si="116"/>
        <v>13987420.156226436</v>
      </c>
      <c r="Q124" s="47">
        <f t="shared" ca="1" si="148"/>
        <v>23797869.034650356</v>
      </c>
      <c r="R124" s="47">
        <f>IFERROR(HLOOKUP(B124-1,'EV Forecast VRZ'!$F$124:$T$130,4,FALSE)/12,0)+IFERROR(((HLOOKUP(B124,'EV Forecast VRZ'!$F$116:$T$122,4,FALSE)-HLOOKUP(B124-1,'EV Forecast VRZ'!$F$124:$T$130,4,FALSE)))*C124/78,0)</f>
        <v>248079.38157765585</v>
      </c>
      <c r="S124" s="47">
        <f ca="1">HLOOKUP(B124,Heating!$C$102:$O$106,4,FALSE)*INDEX(Weather!$BO$1:$CB$20,MATCH(B124,Weather!$BO$1:$BO$20,0),MATCH(C124,Weather!$BO$1:$CB$1,0))/VLOOKUP(B124,Weather!$BO$2:$CB$20,14,FALSE)</f>
        <v>727191.83686523873</v>
      </c>
      <c r="T124" s="47">
        <f t="shared" ca="1" si="126"/>
        <v>24773140.25309325</v>
      </c>
    </row>
    <row r="125" spans="1:20">
      <c r="A125" s="2">
        <f t="shared" si="143"/>
        <v>46142</v>
      </c>
      <c r="B125">
        <f t="shared" si="144"/>
        <v>2026</v>
      </c>
      <c r="C125">
        <f t="shared" si="145"/>
        <v>4</v>
      </c>
      <c r="E125" s="3">
        <f t="shared" ref="E125:F125" ca="1" si="151">E113</f>
        <v>412.8885416666667</v>
      </c>
      <c r="F125" s="3">
        <f t="shared" ca="1" si="151"/>
        <v>2.2025000000000015</v>
      </c>
      <c r="H125" s="90">
        <f>'Economic Data'!D151</f>
        <v>8232.6304500000006</v>
      </c>
      <c r="I125" s="47">
        <f t="shared" si="147"/>
        <v>30</v>
      </c>
      <c r="K125" s="3">
        <f t="shared" si="111"/>
        <v>3542907.1380836898</v>
      </c>
      <c r="L125" s="3">
        <f t="shared" ca="1" si="112"/>
        <v>4340367.547800201</v>
      </c>
      <c r="M125" s="3">
        <f t="shared" ca="1" si="113"/>
        <v>72354.709389446318</v>
      </c>
      <c r="N125" s="3">
        <f t="shared" si="114"/>
        <v>0</v>
      </c>
      <c r="O125" s="3">
        <f t="shared" si="115"/>
        <v>0</v>
      </c>
      <c r="P125" s="3">
        <f t="shared" si="116"/>
        <v>13536213.05441268</v>
      </c>
      <c r="Q125" s="47">
        <f t="shared" ca="1" si="148"/>
        <v>21491842.449686017</v>
      </c>
      <c r="R125" s="47">
        <f>IFERROR(HLOOKUP(B125-1,'EV Forecast VRZ'!$F$124:$T$130,4,FALSE)/12,0)+IFERROR(((HLOOKUP(B125,'EV Forecast VRZ'!$F$116:$T$122,4,FALSE)-HLOOKUP(B125-1,'EV Forecast VRZ'!$F$124:$T$130,4,FALSE)))*C125/78,0)</f>
        <v>252610.61654798556</v>
      </c>
      <c r="S125" s="47">
        <f ca="1">HLOOKUP(B125,Heating!$C$102:$O$106,4,FALSE)*INDEX(Weather!$BO$1:$CB$20,MATCH(B125,Weather!$BO$1:$BO$20,0),MATCH(C125,Weather!$BO$1:$CB$1,0))/VLOOKUP(B125,Weather!$BO$2:$CB$20,14,FALSE)</f>
        <v>480410.28497276688</v>
      </c>
      <c r="T125" s="47">
        <f t="shared" ca="1" si="126"/>
        <v>22224863.351206772</v>
      </c>
    </row>
    <row r="126" spans="1:20">
      <c r="A126" s="2">
        <f t="shared" si="143"/>
        <v>46173</v>
      </c>
      <c r="B126">
        <f t="shared" si="144"/>
        <v>2026</v>
      </c>
      <c r="C126">
        <f t="shared" si="145"/>
        <v>5</v>
      </c>
      <c r="E126" s="3">
        <f t="shared" ref="E126:F126" ca="1" si="152">E114</f>
        <v>208.90012508544086</v>
      </c>
      <c r="F126" s="3">
        <f t="shared" ca="1" si="152"/>
        <v>48.940113636363641</v>
      </c>
      <c r="H126" s="90">
        <f>'Economic Data'!D152</f>
        <v>8216.7065999999995</v>
      </c>
      <c r="I126" s="47">
        <f t="shared" si="147"/>
        <v>31</v>
      </c>
      <c r="K126" s="3">
        <f t="shared" si="111"/>
        <v>3542907.1380836898</v>
      </c>
      <c r="L126" s="3">
        <f t="shared" ca="1" si="112"/>
        <v>2196000.2086574011</v>
      </c>
      <c r="M126" s="3">
        <f t="shared" ca="1" si="113"/>
        <v>1607740.1587494065</v>
      </c>
      <c r="N126" s="3">
        <f t="shared" si="114"/>
        <v>0</v>
      </c>
      <c r="O126" s="3">
        <f t="shared" si="115"/>
        <v>0</v>
      </c>
      <c r="P126" s="3">
        <f t="shared" si="116"/>
        <v>13987420.156226436</v>
      </c>
      <c r="Q126" s="47">
        <f t="shared" ca="1" si="148"/>
        <v>21334067.661716934</v>
      </c>
      <c r="R126" s="47">
        <f>IFERROR(HLOOKUP(B126-1,'EV Forecast VRZ'!$F$124:$T$130,4,FALSE)/12,0)+IFERROR(((HLOOKUP(B126,'EV Forecast VRZ'!$F$116:$T$122,4,FALSE)-HLOOKUP(B126-1,'EV Forecast VRZ'!$F$124:$T$130,4,FALSE)))*C126/78,0)</f>
        <v>257141.85151831529</v>
      </c>
      <c r="S126" s="47">
        <f ca="1">HLOOKUP(B126,Heating!$C$102:$O$106,4,FALSE)*INDEX(Weather!$BO$1:$CB$20,MATCH(B126,Weather!$BO$1:$BO$20,0),MATCH(C126,Weather!$BO$1:$CB$1,0))/VLOOKUP(B126,Weather!$BO$2:$CB$20,14,FALSE)</f>
        <v>211327.4828270034</v>
      </c>
      <c r="T126" s="47">
        <f t="shared" ca="1" si="126"/>
        <v>21802536.996062253</v>
      </c>
    </row>
    <row r="127" spans="1:20">
      <c r="A127" s="2">
        <f t="shared" si="143"/>
        <v>46203</v>
      </c>
      <c r="B127">
        <f t="shared" si="144"/>
        <v>2026</v>
      </c>
      <c r="C127">
        <f t="shared" si="145"/>
        <v>6</v>
      </c>
      <c r="E127" s="3">
        <f t="shared" ref="E127:F127" ca="1" si="153">E115</f>
        <v>61.78217382617381</v>
      </c>
      <c r="F127" s="3">
        <f t="shared" ca="1" si="153"/>
        <v>144.91160087738351</v>
      </c>
      <c r="H127" s="90">
        <f>'Economic Data'!D153</f>
        <v>8212.3000000000011</v>
      </c>
      <c r="I127" s="47">
        <f t="shared" si="147"/>
        <v>30</v>
      </c>
      <c r="K127" s="3">
        <f t="shared" si="111"/>
        <v>3542907.1380836898</v>
      </c>
      <c r="L127" s="3">
        <f t="shared" ca="1" si="112"/>
        <v>649466.6604823455</v>
      </c>
      <c r="M127" s="3">
        <f t="shared" ca="1" si="113"/>
        <v>4760516.126511923</v>
      </c>
      <c r="N127" s="3">
        <f t="shared" si="114"/>
        <v>0</v>
      </c>
      <c r="O127" s="3">
        <f t="shared" si="115"/>
        <v>0</v>
      </c>
      <c r="P127" s="3">
        <f t="shared" si="116"/>
        <v>13536213.05441268</v>
      </c>
      <c r="Q127" s="47">
        <f t="shared" ca="1" si="148"/>
        <v>22489102.979490638</v>
      </c>
      <c r="R127" s="47">
        <f>IFERROR(HLOOKUP(B127-1,'EV Forecast VRZ'!$F$124:$T$130,4,FALSE)/12,0)+IFERROR(((HLOOKUP(B127,'EV Forecast VRZ'!$F$116:$T$122,4,FALSE)-HLOOKUP(B127-1,'EV Forecast VRZ'!$F$124:$T$130,4,FALSE)))*C127/78,0)</f>
        <v>261673.086488645</v>
      </c>
      <c r="S127" s="47">
        <f ca="1">HLOOKUP(B127,Heating!$C$102:$O$106,4,FALSE)*INDEX(Weather!$BO$1:$CB$20,MATCH(B127,Weather!$BO$1:$BO$20,0),MATCH(C127,Weather!$BO$1:$CB$1,0))/VLOOKUP(B127,Weather!$BO$2:$CB$20,14,FALSE)</f>
        <v>41209.723331067034</v>
      </c>
      <c r="T127" s="47">
        <f t="shared" ca="1" si="126"/>
        <v>22791985.789310351</v>
      </c>
    </row>
    <row r="128" spans="1:20">
      <c r="A128" s="2">
        <f t="shared" si="143"/>
        <v>46234</v>
      </c>
      <c r="B128">
        <f t="shared" si="144"/>
        <v>2026</v>
      </c>
      <c r="C128">
        <f t="shared" si="145"/>
        <v>7</v>
      </c>
      <c r="E128" s="3">
        <f t="shared" ref="E128:F128" ca="1" si="154">E116</f>
        <v>8.334479813664597</v>
      </c>
      <c r="F128" s="3">
        <f t="shared" ca="1" si="154"/>
        <v>242.72508692061183</v>
      </c>
      <c r="H128" s="90">
        <f>'Economic Data'!D154</f>
        <v>8219.8112500000007</v>
      </c>
      <c r="I128" s="47">
        <f t="shared" si="147"/>
        <v>31</v>
      </c>
      <c r="K128" s="3">
        <f t="shared" si="111"/>
        <v>3542907.1380836898</v>
      </c>
      <c r="L128" s="3">
        <f t="shared" ca="1" si="112"/>
        <v>87613.731214246814</v>
      </c>
      <c r="M128" s="3">
        <f t="shared" ca="1" si="113"/>
        <v>7973803.9163082652</v>
      </c>
      <c r="N128" s="3">
        <f t="shared" si="114"/>
        <v>0</v>
      </c>
      <c r="O128" s="3">
        <f t="shared" si="115"/>
        <v>0</v>
      </c>
      <c r="P128" s="3">
        <f t="shared" si="116"/>
        <v>13987420.156226436</v>
      </c>
      <c r="Q128" s="47">
        <f t="shared" ca="1" si="148"/>
        <v>25591744.941832639</v>
      </c>
      <c r="R128" s="47">
        <f>IFERROR(HLOOKUP(B128-1,'EV Forecast VRZ'!$F$124:$T$130,4,FALSE)/12,0)+IFERROR(((HLOOKUP(B128,'EV Forecast VRZ'!$F$116:$T$122,4,FALSE)-HLOOKUP(B128-1,'EV Forecast VRZ'!$F$124:$T$130,4,FALSE)))*C128/78,0)</f>
        <v>266204.32145897474</v>
      </c>
      <c r="S128" s="47">
        <f ca="1">HLOOKUP(B128,Heating!$C$102:$O$106,4,FALSE)*INDEX(Weather!$BO$1:$CB$20,MATCH(B128,Weather!$BO$1:$BO$20,0),MATCH(C128,Weather!$BO$1:$CB$1,0))/VLOOKUP(B128,Weather!$BO$2:$CB$20,14,FALSE)</f>
        <v>1476.3696435119668</v>
      </c>
      <c r="T128" s="47">
        <f t="shared" ca="1" si="126"/>
        <v>25859425.632935125</v>
      </c>
    </row>
    <row r="129" spans="1:20">
      <c r="A129" s="2">
        <f t="shared" si="143"/>
        <v>46265</v>
      </c>
      <c r="B129">
        <f t="shared" si="144"/>
        <v>2026</v>
      </c>
      <c r="C129">
        <f t="shared" si="145"/>
        <v>8</v>
      </c>
      <c r="E129" s="3">
        <f t="shared" ref="E129:F129" ca="1" si="155">E117</f>
        <v>21.054927536231883</v>
      </c>
      <c r="F129" s="3">
        <f t="shared" ca="1" si="155"/>
        <v>214.02558794466404</v>
      </c>
      <c r="H129" s="90">
        <f>'Economic Data'!D155</f>
        <v>8217.2073500000006</v>
      </c>
      <c r="I129" s="47">
        <f t="shared" si="147"/>
        <v>31</v>
      </c>
      <c r="K129" s="3">
        <f t="shared" si="111"/>
        <v>3542907.1380836898</v>
      </c>
      <c r="L129" s="3">
        <f t="shared" ca="1" si="112"/>
        <v>221333.64086747551</v>
      </c>
      <c r="M129" s="3">
        <f t="shared" ca="1" si="113"/>
        <v>7030991.699269712</v>
      </c>
      <c r="N129" s="3">
        <f t="shared" si="114"/>
        <v>0</v>
      </c>
      <c r="O129" s="3">
        <f t="shared" si="115"/>
        <v>0</v>
      </c>
      <c r="P129" s="3">
        <f t="shared" si="116"/>
        <v>13987420.156226436</v>
      </c>
      <c r="Q129" s="47">
        <f t="shared" ca="1" si="148"/>
        <v>24782652.634447314</v>
      </c>
      <c r="R129" s="47">
        <f>IFERROR(HLOOKUP(B129-1,'EV Forecast VRZ'!$F$124:$T$130,4,FALSE)/12,0)+IFERROR(((HLOOKUP(B129,'EV Forecast VRZ'!$F$116:$T$122,4,FALSE)-HLOOKUP(B129-1,'EV Forecast VRZ'!$F$124:$T$130,4,FALSE)))*C129/78,0)</f>
        <v>270735.55642930447</v>
      </c>
      <c r="S129" s="47">
        <f ca="1">HLOOKUP(B129,Heating!$C$102:$O$106,4,FALSE)*INDEX(Weather!$BO$1:$CB$20,MATCH(B129,Weather!$BO$1:$BO$20,0),MATCH(C129,Weather!$BO$1:$CB$1,0))/VLOOKUP(B129,Weather!$BO$2:$CB$20,14,FALSE)</f>
        <v>8745.349033158298</v>
      </c>
      <c r="T129" s="47">
        <f t="shared" ca="1" si="126"/>
        <v>25062133.539909776</v>
      </c>
    </row>
    <row r="130" spans="1:20">
      <c r="A130" s="2">
        <f t="shared" si="143"/>
        <v>46295</v>
      </c>
      <c r="B130">
        <f t="shared" si="144"/>
        <v>2026</v>
      </c>
      <c r="C130">
        <f t="shared" si="145"/>
        <v>9</v>
      </c>
      <c r="E130" s="3">
        <f t="shared" ref="E130:F130" ca="1" si="156">E118</f>
        <v>97.667119565217376</v>
      </c>
      <c r="F130" s="3">
        <f t="shared" ca="1" si="156"/>
        <v>102.40708333333332</v>
      </c>
      <c r="H130" s="90">
        <f>'Economic Data'!D156</f>
        <v>8214.5033000000003</v>
      </c>
      <c r="I130" s="47">
        <f t="shared" si="147"/>
        <v>30</v>
      </c>
      <c r="K130" s="3">
        <f t="shared" ref="K130:K161" si="157">$X$7</f>
        <v>3542907.1380836898</v>
      </c>
      <c r="L130" s="3">
        <f t="shared" ref="L130:L161" ca="1" si="158">E130*$X$8</f>
        <v>1026696.4409737088</v>
      </c>
      <c r="M130" s="3">
        <f t="shared" ref="M130:M161" ca="1" si="159">F130*$X$9</f>
        <v>3364192.8508531847</v>
      </c>
      <c r="N130" s="3">
        <f t="shared" ref="N130:N161" si="160">G130*$X$10</f>
        <v>0</v>
      </c>
      <c r="O130" s="3">
        <f t="shared" ref="O130:O161" si="161">H130*$X$11</f>
        <v>0</v>
      </c>
      <c r="P130" s="3">
        <f t="shared" ref="P130:P161" si="162">I130*$X$12</f>
        <v>13536213.05441268</v>
      </c>
      <c r="Q130" s="47">
        <f t="shared" ca="1" si="148"/>
        <v>21470009.484323263</v>
      </c>
      <c r="R130" s="47">
        <f>IFERROR(HLOOKUP(B130-1,'EV Forecast VRZ'!$F$124:$T$130,4,FALSE)/12,0)+IFERROR(((HLOOKUP(B130,'EV Forecast VRZ'!$F$116:$T$122,4,FALSE)-HLOOKUP(B130-1,'EV Forecast VRZ'!$F$124:$T$130,4,FALSE)))*C130/78,0)</f>
        <v>275266.79139963415</v>
      </c>
      <c r="S130" s="47">
        <f ca="1">HLOOKUP(B130,Heating!$C$102:$O$106,4,FALSE)*INDEX(Weather!$BO$1:$CB$20,MATCH(B130,Weather!$BO$1:$BO$20,0),MATCH(C130,Weather!$BO$1:$CB$1,0))/VLOOKUP(B130,Weather!$BO$2:$CB$20,14,FALSE)</f>
        <v>74068.657893138894</v>
      </c>
      <c r="T130" s="47">
        <f t="shared" ca="1" si="126"/>
        <v>21819344.933616038</v>
      </c>
    </row>
    <row r="131" spans="1:20">
      <c r="A131" s="2">
        <f t="shared" si="143"/>
        <v>46326</v>
      </c>
      <c r="B131">
        <f t="shared" si="144"/>
        <v>2026</v>
      </c>
      <c r="C131">
        <f t="shared" si="145"/>
        <v>10</v>
      </c>
      <c r="E131" s="3">
        <f t="shared" ref="E131:F131" ca="1" si="163">E119</f>
        <v>292.46431159420291</v>
      </c>
      <c r="F131" s="3">
        <f t="shared" ca="1" si="163"/>
        <v>19.741250000000004</v>
      </c>
      <c r="H131" s="90">
        <f>'Economic Data'!D157</f>
        <v>8226.6214500000006</v>
      </c>
      <c r="I131" s="47">
        <f t="shared" si="147"/>
        <v>31</v>
      </c>
      <c r="K131" s="3">
        <f t="shared" si="157"/>
        <v>3542907.1380836898</v>
      </c>
      <c r="L131" s="3">
        <f t="shared" ca="1" si="158"/>
        <v>3074443.7755747139</v>
      </c>
      <c r="M131" s="3">
        <f t="shared" ca="1" si="159"/>
        <v>648523.22666715388</v>
      </c>
      <c r="N131" s="3">
        <f t="shared" si="160"/>
        <v>0</v>
      </c>
      <c r="O131" s="3">
        <f t="shared" si="161"/>
        <v>0</v>
      </c>
      <c r="P131" s="3">
        <f t="shared" si="162"/>
        <v>13987420.156226436</v>
      </c>
      <c r="Q131" s="47">
        <f t="shared" ca="1" si="148"/>
        <v>21253294.296551995</v>
      </c>
      <c r="R131" s="47">
        <f>IFERROR(HLOOKUP(B131-1,'EV Forecast VRZ'!$F$124:$T$130,4,FALSE)/12,0)+IFERROR(((HLOOKUP(B131,'EV Forecast VRZ'!$F$116:$T$122,4,FALSE)-HLOOKUP(B131-1,'EV Forecast VRZ'!$F$124:$T$130,4,FALSE)))*C131/78,0)</f>
        <v>279798.02636996389</v>
      </c>
      <c r="S131" s="47">
        <f ca="1">HLOOKUP(B131,Heating!$C$102:$O$106,4,FALSE)*INDEX(Weather!$BO$1:$CB$20,MATCH(B131,Weather!$BO$1:$BO$20,0),MATCH(C131,Weather!$BO$1:$CB$1,0))/VLOOKUP(B131,Weather!$BO$2:$CB$20,14,FALSE)</f>
        <v>316097.57396239159</v>
      </c>
      <c r="T131" s="47">
        <f t="shared" ca="1" si="126"/>
        <v>21849189.896884348</v>
      </c>
    </row>
    <row r="132" spans="1:20">
      <c r="A132" s="2">
        <f t="shared" si="143"/>
        <v>46356</v>
      </c>
      <c r="B132">
        <f t="shared" si="144"/>
        <v>2026</v>
      </c>
      <c r="C132">
        <f t="shared" si="145"/>
        <v>11</v>
      </c>
      <c r="E132" s="3">
        <f t="shared" ref="E132:F132" ca="1" si="164">E120</f>
        <v>495.51408055712409</v>
      </c>
      <c r="F132" s="3">
        <f t="shared" ca="1" si="164"/>
        <v>0.78124999999999944</v>
      </c>
      <c r="H132" s="90">
        <f>'Economic Data'!D158</f>
        <v>8248.7546000000002</v>
      </c>
      <c r="I132" s="47">
        <f t="shared" si="147"/>
        <v>30</v>
      </c>
      <c r="K132" s="3">
        <f t="shared" si="157"/>
        <v>3542907.1380836898</v>
      </c>
      <c r="L132" s="3">
        <f t="shared" ca="1" si="158"/>
        <v>5208943.861814674</v>
      </c>
      <c r="M132" s="3">
        <f t="shared" ca="1" si="159"/>
        <v>25664.979210217869</v>
      </c>
      <c r="N132" s="3">
        <f t="shared" si="160"/>
        <v>0</v>
      </c>
      <c r="O132" s="3">
        <f t="shared" si="161"/>
        <v>0</v>
      </c>
      <c r="P132" s="3">
        <f t="shared" si="162"/>
        <v>13536213.05441268</v>
      </c>
      <c r="Q132" s="47">
        <f t="shared" ca="1" si="148"/>
        <v>22313729.033521261</v>
      </c>
      <c r="R132" s="47">
        <f>IFERROR(HLOOKUP(B132-1,'EV Forecast VRZ'!$F$124:$T$130,4,FALSE)/12,0)+IFERROR(((HLOOKUP(B132,'EV Forecast VRZ'!$F$116:$T$122,4,FALSE)-HLOOKUP(B132-1,'EV Forecast VRZ'!$F$124:$T$130,4,FALSE)))*C132/78,0)</f>
        <v>284329.26134029363</v>
      </c>
      <c r="S132" s="47">
        <f ca="1">HLOOKUP(B132,Heating!$C$102:$O$106,4,FALSE)*INDEX(Weather!$BO$1:$CB$20,MATCH(B132,Weather!$BO$1:$BO$20,0),MATCH(C132,Weather!$BO$1:$CB$1,0))/VLOOKUP(B132,Weather!$BO$2:$CB$20,14,FALSE)</f>
        <v>592835.74447013205</v>
      </c>
      <c r="T132" s="47">
        <f t="shared" ca="1" si="126"/>
        <v>23190894.039331686</v>
      </c>
    </row>
    <row r="133" spans="1:20">
      <c r="A133" s="2">
        <f t="shared" si="143"/>
        <v>46387</v>
      </c>
      <c r="B133">
        <f t="shared" si="144"/>
        <v>2026</v>
      </c>
      <c r="C133">
        <f t="shared" si="145"/>
        <v>12</v>
      </c>
      <c r="E133" s="3">
        <f t="shared" ref="E133:F133" ca="1" si="165">E121</f>
        <v>664.38541666666663</v>
      </c>
      <c r="F133" s="3">
        <f t="shared" ca="1" si="165"/>
        <v>0</v>
      </c>
      <c r="H133" s="90">
        <f>'Economic Data'!D159</f>
        <v>8273.4916499999999</v>
      </c>
      <c r="I133" s="47">
        <f t="shared" si="147"/>
        <v>31</v>
      </c>
      <c r="K133" s="3">
        <f t="shared" si="157"/>
        <v>3542907.1380836898</v>
      </c>
      <c r="L133" s="3">
        <f t="shared" ca="1" si="158"/>
        <v>6984153.3748828648</v>
      </c>
      <c r="M133" s="3">
        <f t="shared" ca="1" si="159"/>
        <v>0</v>
      </c>
      <c r="N133" s="3">
        <f t="shared" si="160"/>
        <v>0</v>
      </c>
      <c r="O133" s="3">
        <f t="shared" si="161"/>
        <v>0</v>
      </c>
      <c r="P133" s="3">
        <f t="shared" si="162"/>
        <v>13987420.156226436</v>
      </c>
      <c r="Q133" s="47">
        <f t="shared" ca="1" si="148"/>
        <v>24514480.669192992</v>
      </c>
      <c r="R133" s="47">
        <f>IFERROR(HLOOKUP(B133-1,'EV Forecast VRZ'!$F$124:$T$130,4,FALSE)/12,0)+IFERROR(((HLOOKUP(B133,'EV Forecast VRZ'!$F$116:$T$122,4,FALSE)-HLOOKUP(B133-1,'EV Forecast VRZ'!$F$124:$T$130,4,FALSE)))*C133/78,0)</f>
        <v>288860.49631062336</v>
      </c>
      <c r="S133" s="47">
        <f ca="1">HLOOKUP(B133,Heating!$C$102:$O$106,4,FALSE)*INDEX(Weather!$BO$1:$CB$20,MATCH(B133,Weather!$BO$1:$BO$20,0),MATCH(C133,Weather!$BO$1:$CB$1,0))/VLOOKUP(B133,Weather!$BO$2:$CB$20,14,FALSE)</f>
        <v>819986.36299129529</v>
      </c>
      <c r="T133" s="47">
        <f t="shared" ca="1" si="126"/>
        <v>25623327.528494909</v>
      </c>
    </row>
    <row r="134" spans="1:20">
      <c r="A134" s="2">
        <f t="shared" si="143"/>
        <v>46418</v>
      </c>
      <c r="B134">
        <f t="shared" si="144"/>
        <v>2027</v>
      </c>
      <c r="C134">
        <f t="shared" si="145"/>
        <v>1</v>
      </c>
      <c r="E134" s="3">
        <f t="shared" ref="E134:F134" ca="1" si="166">E122</f>
        <v>752.78750000000002</v>
      </c>
      <c r="F134" s="3">
        <f t="shared" ca="1" si="166"/>
        <v>0</v>
      </c>
      <c r="H134" s="90">
        <f>'Economic Data'!D160</f>
        <v>8291.6546500000004</v>
      </c>
      <c r="I134" s="47">
        <f t="shared" si="147"/>
        <v>31</v>
      </c>
      <c r="K134" s="3">
        <f t="shared" si="157"/>
        <v>3542907.1380836898</v>
      </c>
      <c r="L134" s="3">
        <f t="shared" ca="1" si="158"/>
        <v>7913453.8880651752</v>
      </c>
      <c r="M134" s="3">
        <f t="shared" ca="1" si="159"/>
        <v>0</v>
      </c>
      <c r="N134" s="3">
        <f t="shared" si="160"/>
        <v>0</v>
      </c>
      <c r="O134" s="3">
        <f t="shared" si="161"/>
        <v>0</v>
      </c>
      <c r="P134" s="3">
        <f t="shared" si="162"/>
        <v>13987420.156226436</v>
      </c>
      <c r="Q134" s="47">
        <f t="shared" ca="1" si="148"/>
        <v>25443781.182375301</v>
      </c>
      <c r="R134" s="47">
        <f>IFERROR(HLOOKUP(B134-1,'EV Forecast VRZ'!$F$124:$T$130,4,FALSE)/12,0)+IFERROR(((HLOOKUP(B134,'EV Forecast VRZ'!$F$116:$T$122,4,FALSE)-HLOOKUP(B134-1,'EV Forecast VRZ'!$F$124:$T$130,4,FALSE)))*C134/78,0)</f>
        <v>298390.29569931322</v>
      </c>
      <c r="S134" s="47">
        <f ca="1">HLOOKUP(B134,Heating!$C$102:$O$106,4,FALSE)*INDEX(Weather!$BO$1:$CB$20,MATCH(B134,Weather!$BO$1:$BO$20,0),MATCH(C134,Weather!$BO$1:$CB$1,0))/VLOOKUP(B134,Weather!$BO$2:$CB$20,14,FALSE)</f>
        <v>1102169.8661262393</v>
      </c>
      <c r="T134" s="47">
        <f t="shared" ca="1" si="126"/>
        <v>26844341.344200853</v>
      </c>
    </row>
    <row r="135" spans="1:20">
      <c r="A135" s="2">
        <f t="shared" si="143"/>
        <v>46446</v>
      </c>
      <c r="B135">
        <f t="shared" si="144"/>
        <v>2027</v>
      </c>
      <c r="C135">
        <f t="shared" si="145"/>
        <v>2</v>
      </c>
      <c r="E135" s="3">
        <f t="shared" ref="E135:F135" ca="1" si="167">E123</f>
        <v>660.7954166666666</v>
      </c>
      <c r="F135" s="3">
        <f t="shared" ca="1" si="167"/>
        <v>0</v>
      </c>
      <c r="H135" s="90">
        <f>'Economic Data'!D161</f>
        <v>8276.57215</v>
      </c>
      <c r="I135" s="47">
        <f t="shared" si="147"/>
        <v>29</v>
      </c>
      <c r="K135" s="3">
        <f t="shared" si="157"/>
        <v>3542907.1380836898</v>
      </c>
      <c r="L135" s="3">
        <f t="shared" ca="1" si="158"/>
        <v>6946414.5714912647</v>
      </c>
      <c r="M135" s="3">
        <f t="shared" ca="1" si="159"/>
        <v>0</v>
      </c>
      <c r="N135" s="3">
        <f t="shared" si="160"/>
        <v>0</v>
      </c>
      <c r="O135" s="3">
        <f t="shared" si="161"/>
        <v>0</v>
      </c>
      <c r="P135" s="3">
        <f t="shared" si="162"/>
        <v>13085005.952598924</v>
      </c>
      <c r="Q135" s="47">
        <f t="shared" ca="1" si="148"/>
        <v>23574327.662173878</v>
      </c>
      <c r="R135" s="47">
        <f>IFERROR(HLOOKUP(B135-1,'EV Forecast VRZ'!$F$124:$T$130,4,FALSE)/12,0)+IFERROR(((HLOOKUP(B135,'EV Forecast VRZ'!$F$116:$T$122,4,FALSE)-HLOOKUP(B135-1,'EV Forecast VRZ'!$F$124:$T$130,4,FALSE)))*C135/78,0)</f>
        <v>303388.86011767329</v>
      </c>
      <c r="S135" s="47">
        <f ca="1">HLOOKUP(B135,Heating!$C$102:$O$106,4,FALSE)*INDEX(Weather!$BO$1:$CB$20,MATCH(B135,Weather!$BO$1:$BO$20,0),MATCH(C135,Weather!$BO$1:$CB$1,0))/VLOOKUP(B135,Weather!$BO$2:$CB$20,14,FALSE)</f>
        <v>964009.88944007712</v>
      </c>
      <c r="T135" s="47">
        <f t="shared" ca="1" si="126"/>
        <v>24841726.411731631</v>
      </c>
    </row>
    <row r="136" spans="1:20">
      <c r="A136" s="2">
        <f t="shared" si="143"/>
        <v>46477</v>
      </c>
      <c r="B136">
        <f t="shared" si="144"/>
        <v>2027</v>
      </c>
      <c r="C136">
        <f t="shared" si="145"/>
        <v>3</v>
      </c>
      <c r="E136" s="3">
        <f t="shared" ref="E136:F136" ca="1" si="168">E124</f>
        <v>596.21590579710141</v>
      </c>
      <c r="F136" s="3">
        <f t="shared" ca="1" si="168"/>
        <v>0</v>
      </c>
      <c r="H136" s="90">
        <f>'Economic Data'!D162</f>
        <v>8291.5045288500005</v>
      </c>
      <c r="I136" s="47">
        <f t="shared" si="147"/>
        <v>31</v>
      </c>
      <c r="K136" s="3">
        <f t="shared" si="157"/>
        <v>3542907.1380836898</v>
      </c>
      <c r="L136" s="3">
        <f t="shared" ca="1" si="158"/>
        <v>6267541.7403402319</v>
      </c>
      <c r="M136" s="3">
        <f t="shared" ca="1" si="159"/>
        <v>0</v>
      </c>
      <c r="N136" s="3">
        <f t="shared" si="160"/>
        <v>0</v>
      </c>
      <c r="O136" s="3">
        <f t="shared" si="161"/>
        <v>0</v>
      </c>
      <c r="P136" s="3">
        <f t="shared" si="162"/>
        <v>13987420.156226436</v>
      </c>
      <c r="Q136" s="47">
        <f t="shared" ca="1" si="148"/>
        <v>23797869.034650356</v>
      </c>
      <c r="R136" s="47">
        <f>IFERROR(HLOOKUP(B136-1,'EV Forecast VRZ'!$F$124:$T$130,4,FALSE)/12,0)+IFERROR(((HLOOKUP(B136,'EV Forecast VRZ'!$F$116:$T$122,4,FALSE)-HLOOKUP(B136-1,'EV Forecast VRZ'!$F$124:$T$130,4,FALSE)))*C136/78,0)</f>
        <v>308387.4245360333</v>
      </c>
      <c r="S136" s="47">
        <f ca="1">HLOOKUP(B136,Heating!$C$102:$O$106,4,FALSE)*INDEX(Weather!$BO$1:$CB$20,MATCH(B136,Weather!$BO$1:$BO$20,0),MATCH(C136,Weather!$BO$1:$CB$1,0))/VLOOKUP(B136,Weather!$BO$2:$CB$20,14,FALSE)</f>
        <v>852355.71485427709</v>
      </c>
      <c r="T136" s="47">
        <f t="shared" ca="1" si="126"/>
        <v>24958612.174040668</v>
      </c>
    </row>
    <row r="137" spans="1:20">
      <c r="A137" s="2">
        <f t="shared" si="143"/>
        <v>46507</v>
      </c>
      <c r="B137">
        <f t="shared" si="144"/>
        <v>2027</v>
      </c>
      <c r="C137">
        <f t="shared" si="145"/>
        <v>4</v>
      </c>
      <c r="E137" s="3">
        <f t="shared" ref="E137:F137" ca="1" si="169">E125</f>
        <v>412.8885416666667</v>
      </c>
      <c r="F137" s="3">
        <f t="shared" ca="1" si="169"/>
        <v>2.2025000000000015</v>
      </c>
      <c r="H137" s="90">
        <f>'Economic Data'!D163</f>
        <v>8277.9099174750008</v>
      </c>
      <c r="I137" s="47">
        <f t="shared" si="147"/>
        <v>30</v>
      </c>
      <c r="K137" s="3">
        <f t="shared" si="157"/>
        <v>3542907.1380836898</v>
      </c>
      <c r="L137" s="3">
        <f t="shared" ca="1" si="158"/>
        <v>4340367.547800201</v>
      </c>
      <c r="M137" s="3">
        <f t="shared" ca="1" si="159"/>
        <v>72354.709389446318</v>
      </c>
      <c r="N137" s="3">
        <f t="shared" si="160"/>
        <v>0</v>
      </c>
      <c r="O137" s="3">
        <f t="shared" si="161"/>
        <v>0</v>
      </c>
      <c r="P137" s="3">
        <f t="shared" si="162"/>
        <v>13536213.05441268</v>
      </c>
      <c r="Q137" s="47">
        <f t="shared" ca="1" si="148"/>
        <v>21491842.449686017</v>
      </c>
      <c r="R137" s="47">
        <f>IFERROR(HLOOKUP(B137-1,'EV Forecast VRZ'!$F$124:$T$130,4,FALSE)/12,0)+IFERROR(((HLOOKUP(B137,'EV Forecast VRZ'!$F$116:$T$122,4,FALSE)-HLOOKUP(B137-1,'EV Forecast VRZ'!$F$124:$T$130,4,FALSE)))*C137/78,0)</f>
        <v>313385.98895439337</v>
      </c>
      <c r="S137" s="47">
        <f ca="1">HLOOKUP(B137,Heating!$C$102:$O$106,4,FALSE)*INDEX(Weather!$BO$1:$CB$20,MATCH(B137,Weather!$BO$1:$BO$20,0),MATCH(C137,Weather!$BO$1:$CB$1,0))/VLOOKUP(B137,Weather!$BO$2:$CB$20,14,FALSE)</f>
        <v>563098.2515377074</v>
      </c>
      <c r="T137" s="47">
        <f t="shared" ca="1" si="126"/>
        <v>22368326.690178119</v>
      </c>
    </row>
    <row r="138" spans="1:20">
      <c r="A138" s="2">
        <f t="shared" si="143"/>
        <v>46538</v>
      </c>
      <c r="B138">
        <f t="shared" si="144"/>
        <v>2027</v>
      </c>
      <c r="C138">
        <f t="shared" si="145"/>
        <v>5</v>
      </c>
      <c r="E138" s="3">
        <f t="shared" ref="E138:F138" ca="1" si="170">E126</f>
        <v>208.90012508544086</v>
      </c>
      <c r="F138" s="3">
        <f t="shared" ca="1" si="170"/>
        <v>48.940113636363641</v>
      </c>
      <c r="H138" s="90">
        <f>'Economic Data'!D164</f>
        <v>8261.8984863000005</v>
      </c>
      <c r="I138" s="47">
        <f t="shared" si="147"/>
        <v>31</v>
      </c>
      <c r="K138" s="3">
        <f t="shared" si="157"/>
        <v>3542907.1380836898</v>
      </c>
      <c r="L138" s="3">
        <f t="shared" ca="1" si="158"/>
        <v>2196000.2086574011</v>
      </c>
      <c r="M138" s="3">
        <f t="shared" ca="1" si="159"/>
        <v>1607740.1587494065</v>
      </c>
      <c r="N138" s="3">
        <f t="shared" si="160"/>
        <v>0</v>
      </c>
      <c r="O138" s="3">
        <f t="shared" si="161"/>
        <v>0</v>
      </c>
      <c r="P138" s="3">
        <f t="shared" si="162"/>
        <v>13987420.156226436</v>
      </c>
      <c r="Q138" s="47">
        <f t="shared" ca="1" si="148"/>
        <v>21334067.661716934</v>
      </c>
      <c r="R138" s="47">
        <f>IFERROR(HLOOKUP(B138-1,'EV Forecast VRZ'!$F$124:$T$130,4,FALSE)/12,0)+IFERROR(((HLOOKUP(B138,'EV Forecast VRZ'!$F$116:$T$122,4,FALSE)-HLOOKUP(B138-1,'EV Forecast VRZ'!$F$124:$T$130,4,FALSE)))*C138/78,0)</f>
        <v>318384.55337275343</v>
      </c>
      <c r="S138" s="47">
        <f ca="1">HLOOKUP(B138,Heating!$C$102:$O$106,4,FALSE)*INDEX(Weather!$BO$1:$CB$20,MATCH(B138,Weather!$BO$1:$BO$20,0),MATCH(C138,Weather!$BO$1:$CB$1,0))/VLOOKUP(B138,Weather!$BO$2:$CB$20,14,FALSE)</f>
        <v>247701.05845776421</v>
      </c>
      <c r="T138" s="47">
        <f t="shared" ca="1" si="126"/>
        <v>21900153.273547452</v>
      </c>
    </row>
    <row r="139" spans="1:20">
      <c r="A139" s="2">
        <f t="shared" si="143"/>
        <v>46568</v>
      </c>
      <c r="B139">
        <f t="shared" si="144"/>
        <v>2027</v>
      </c>
      <c r="C139">
        <f t="shared" si="145"/>
        <v>6</v>
      </c>
      <c r="E139" s="3">
        <f t="shared" ref="E139:F139" ca="1" si="171">E127</f>
        <v>61.78217382617381</v>
      </c>
      <c r="F139" s="3">
        <f t="shared" ca="1" si="171"/>
        <v>144.91160087738351</v>
      </c>
      <c r="H139" s="90">
        <f>'Economic Data'!D165</f>
        <v>8257.4676500000023</v>
      </c>
      <c r="I139" s="47">
        <f t="shared" si="147"/>
        <v>30</v>
      </c>
      <c r="K139" s="3">
        <f t="shared" si="157"/>
        <v>3542907.1380836898</v>
      </c>
      <c r="L139" s="3">
        <f t="shared" ca="1" si="158"/>
        <v>649466.6604823455</v>
      </c>
      <c r="M139" s="3">
        <f t="shared" ca="1" si="159"/>
        <v>4760516.126511923</v>
      </c>
      <c r="N139" s="3">
        <f t="shared" si="160"/>
        <v>0</v>
      </c>
      <c r="O139" s="3">
        <f t="shared" si="161"/>
        <v>0</v>
      </c>
      <c r="P139" s="3">
        <f t="shared" si="162"/>
        <v>13536213.05441268</v>
      </c>
      <c r="Q139" s="47">
        <f t="shared" ca="1" si="148"/>
        <v>22489102.979490638</v>
      </c>
      <c r="R139" s="47">
        <f>IFERROR(HLOOKUP(B139-1,'EV Forecast VRZ'!$F$124:$T$130,4,FALSE)/12,0)+IFERROR(((HLOOKUP(B139,'EV Forecast VRZ'!$F$116:$T$122,4,FALSE)-HLOOKUP(B139-1,'EV Forecast VRZ'!$F$124:$T$130,4,FALSE)))*C139/78,0)</f>
        <v>323383.1177911135</v>
      </c>
      <c r="S139" s="47">
        <f ca="1">HLOOKUP(B139,Heating!$C$102:$O$106,4,FALSE)*INDEX(Weather!$BO$1:$CB$20,MATCH(B139,Weather!$BO$1:$BO$20,0),MATCH(C139,Weather!$BO$1:$CB$1,0))/VLOOKUP(B139,Weather!$BO$2:$CB$20,14,FALSE)</f>
        <v>48302.719321240067</v>
      </c>
      <c r="T139" s="47">
        <f t="shared" ca="1" si="126"/>
        <v>22860788.81660299</v>
      </c>
    </row>
    <row r="140" spans="1:20">
      <c r="A140" s="2">
        <f t="shared" si="143"/>
        <v>46599</v>
      </c>
      <c r="B140">
        <f t="shared" si="144"/>
        <v>2027</v>
      </c>
      <c r="C140">
        <f t="shared" si="145"/>
        <v>7</v>
      </c>
      <c r="E140" s="3">
        <f t="shared" ref="E140:F140" ca="1" si="172">E128</f>
        <v>8.334479813664597</v>
      </c>
      <c r="F140" s="3">
        <f t="shared" ca="1" si="172"/>
        <v>242.72508692061183</v>
      </c>
      <c r="H140" s="90">
        <f>'Economic Data'!D166</f>
        <v>8265.0202118750003</v>
      </c>
      <c r="I140" s="47">
        <f t="shared" si="147"/>
        <v>31</v>
      </c>
      <c r="K140" s="3">
        <f t="shared" si="157"/>
        <v>3542907.1380836898</v>
      </c>
      <c r="L140" s="3">
        <f t="shared" ca="1" si="158"/>
        <v>87613.731214246814</v>
      </c>
      <c r="M140" s="3">
        <f t="shared" ca="1" si="159"/>
        <v>7973803.9163082652</v>
      </c>
      <c r="N140" s="3">
        <f t="shared" si="160"/>
        <v>0</v>
      </c>
      <c r="O140" s="3">
        <f t="shared" si="161"/>
        <v>0</v>
      </c>
      <c r="P140" s="3">
        <f t="shared" si="162"/>
        <v>13987420.156226436</v>
      </c>
      <c r="Q140" s="47">
        <f t="shared" ca="1" si="148"/>
        <v>25591744.941832639</v>
      </c>
      <c r="R140" s="47">
        <f>IFERROR(HLOOKUP(B140-1,'EV Forecast VRZ'!$F$124:$T$130,4,FALSE)/12,0)+IFERROR(((HLOOKUP(B140,'EV Forecast VRZ'!$F$116:$T$122,4,FALSE)-HLOOKUP(B140-1,'EV Forecast VRZ'!$F$124:$T$130,4,FALSE)))*C140/78,0)</f>
        <v>328381.68220947351</v>
      </c>
      <c r="S140" s="47">
        <f ca="1">HLOOKUP(B140,Heating!$C$102:$O$106,4,FALSE)*INDEX(Weather!$BO$1:$CB$20,MATCH(B140,Weather!$BO$1:$BO$20,0),MATCH(C140,Weather!$BO$1:$CB$1,0))/VLOOKUP(B140,Weather!$BO$2:$CB$20,14,FALSE)</f>
        <v>1730.4816130904926</v>
      </c>
      <c r="T140" s="47">
        <f t="shared" ca="1" si="126"/>
        <v>25921857.105655205</v>
      </c>
    </row>
    <row r="141" spans="1:20">
      <c r="A141" s="2">
        <f t="shared" si="143"/>
        <v>46630</v>
      </c>
      <c r="B141">
        <f t="shared" si="144"/>
        <v>2027</v>
      </c>
      <c r="C141">
        <f t="shared" si="145"/>
        <v>8</v>
      </c>
      <c r="E141" s="3">
        <f t="shared" ref="E141:F141" ca="1" si="173">E129</f>
        <v>21.054927536231883</v>
      </c>
      <c r="F141" s="3">
        <f t="shared" ca="1" si="173"/>
        <v>214.02558794466404</v>
      </c>
      <c r="H141" s="90">
        <f>'Economic Data'!D167</f>
        <v>8262.4019904250017</v>
      </c>
      <c r="I141" s="47">
        <f t="shared" si="147"/>
        <v>31</v>
      </c>
      <c r="K141" s="3">
        <f t="shared" si="157"/>
        <v>3542907.1380836898</v>
      </c>
      <c r="L141" s="3">
        <f t="shared" ca="1" si="158"/>
        <v>221333.64086747551</v>
      </c>
      <c r="M141" s="3">
        <f t="shared" ca="1" si="159"/>
        <v>7030991.699269712</v>
      </c>
      <c r="N141" s="3">
        <f t="shared" si="160"/>
        <v>0</v>
      </c>
      <c r="O141" s="3">
        <f t="shared" si="161"/>
        <v>0</v>
      </c>
      <c r="P141" s="3">
        <f t="shared" si="162"/>
        <v>13987420.156226436</v>
      </c>
      <c r="Q141" s="47">
        <f t="shared" ca="1" si="148"/>
        <v>24782652.634447314</v>
      </c>
      <c r="R141" s="47">
        <f>IFERROR(HLOOKUP(B141-1,'EV Forecast VRZ'!$F$124:$T$130,4,FALSE)/12,0)+IFERROR(((HLOOKUP(B141,'EV Forecast VRZ'!$F$116:$T$122,4,FALSE)-HLOOKUP(B141-1,'EV Forecast VRZ'!$F$124:$T$130,4,FALSE)))*C141/78,0)</f>
        <v>333380.24662783358</v>
      </c>
      <c r="S141" s="47">
        <f ca="1">HLOOKUP(B141,Heating!$C$102:$O$106,4,FALSE)*INDEX(Weather!$BO$1:$CB$20,MATCH(B141,Weather!$BO$1:$BO$20,0),MATCH(C141,Weather!$BO$1:$CB$1,0))/VLOOKUP(B141,Weather!$BO$2:$CB$20,14,FALSE)</f>
        <v>10250.593927100401</v>
      </c>
      <c r="T141" s="47">
        <f t="shared" ca="1" si="126"/>
        <v>25126283.475002248</v>
      </c>
    </row>
    <row r="142" spans="1:20">
      <c r="A142" s="2">
        <f t="shared" si="143"/>
        <v>46660</v>
      </c>
      <c r="B142">
        <f t="shared" si="144"/>
        <v>2027</v>
      </c>
      <c r="C142">
        <f t="shared" si="145"/>
        <v>9</v>
      </c>
      <c r="E142" s="3">
        <f t="shared" ref="E142:F142" ca="1" si="174">E130</f>
        <v>97.667119565217376</v>
      </c>
      <c r="F142" s="3">
        <f t="shared" ca="1" si="174"/>
        <v>102.40708333333332</v>
      </c>
      <c r="H142" s="90">
        <f>'Economic Data'!D168</f>
        <v>8259.6830681500014</v>
      </c>
      <c r="I142" s="47">
        <f t="shared" si="147"/>
        <v>30</v>
      </c>
      <c r="K142" s="3">
        <f t="shared" si="157"/>
        <v>3542907.1380836898</v>
      </c>
      <c r="L142" s="3">
        <f t="shared" ca="1" si="158"/>
        <v>1026696.4409737088</v>
      </c>
      <c r="M142" s="3">
        <f t="shared" ca="1" si="159"/>
        <v>3364192.8508531847</v>
      </c>
      <c r="N142" s="3">
        <f t="shared" si="160"/>
        <v>0</v>
      </c>
      <c r="O142" s="3">
        <f t="shared" si="161"/>
        <v>0</v>
      </c>
      <c r="P142" s="3">
        <f t="shared" si="162"/>
        <v>13536213.05441268</v>
      </c>
      <c r="Q142" s="47">
        <f t="shared" ca="1" si="148"/>
        <v>21470009.484323263</v>
      </c>
      <c r="R142" s="47">
        <f>IFERROR(HLOOKUP(B142-1,'EV Forecast VRZ'!$F$124:$T$130,4,FALSE)/12,0)+IFERROR(((HLOOKUP(B142,'EV Forecast VRZ'!$F$116:$T$122,4,FALSE)-HLOOKUP(B142-1,'EV Forecast VRZ'!$F$124:$T$130,4,FALSE)))*C142/78,0)</f>
        <v>338378.81104619364</v>
      </c>
      <c r="S142" s="47">
        <f ca="1">HLOOKUP(B142,Heating!$C$102:$O$106,4,FALSE)*INDEX(Weather!$BO$1:$CB$20,MATCH(B142,Weather!$BO$1:$BO$20,0),MATCH(C142,Weather!$BO$1:$CB$1,0))/VLOOKUP(B142,Weather!$BO$2:$CB$20,14,FALSE)</f>
        <v>86817.316485502452</v>
      </c>
      <c r="T142" s="47">
        <f t="shared" ca="1" si="126"/>
        <v>21895205.611854959</v>
      </c>
    </row>
    <row r="143" spans="1:20">
      <c r="A143" s="2">
        <f t="shared" si="143"/>
        <v>46691</v>
      </c>
      <c r="B143">
        <f t="shared" si="144"/>
        <v>2027</v>
      </c>
      <c r="C143">
        <f t="shared" si="145"/>
        <v>10</v>
      </c>
      <c r="E143" s="3">
        <f t="shared" ref="E143:F143" ca="1" si="175">E131</f>
        <v>292.46431159420291</v>
      </c>
      <c r="F143" s="3">
        <f t="shared" ca="1" si="175"/>
        <v>19.741250000000004</v>
      </c>
      <c r="H143" s="90">
        <f>'Economic Data'!D169</f>
        <v>8271.867867975001</v>
      </c>
      <c r="I143" s="47">
        <f t="shared" si="147"/>
        <v>31</v>
      </c>
      <c r="K143" s="3">
        <f t="shared" si="157"/>
        <v>3542907.1380836898</v>
      </c>
      <c r="L143" s="3">
        <f t="shared" ca="1" si="158"/>
        <v>3074443.7755747139</v>
      </c>
      <c r="M143" s="3">
        <f t="shared" ca="1" si="159"/>
        <v>648523.22666715388</v>
      </c>
      <c r="N143" s="3">
        <f t="shared" si="160"/>
        <v>0</v>
      </c>
      <c r="O143" s="3">
        <f t="shared" si="161"/>
        <v>0</v>
      </c>
      <c r="P143" s="3">
        <f t="shared" si="162"/>
        <v>13987420.156226436</v>
      </c>
      <c r="Q143" s="47">
        <f t="shared" ca="1" si="148"/>
        <v>21253294.296551995</v>
      </c>
      <c r="R143" s="47">
        <f>IFERROR(HLOOKUP(B143-1,'EV Forecast VRZ'!$F$124:$T$130,4,FALSE)/12,0)+IFERROR(((HLOOKUP(B143,'EV Forecast VRZ'!$F$116:$T$122,4,FALSE)-HLOOKUP(B143-1,'EV Forecast VRZ'!$F$124:$T$130,4,FALSE)))*C143/78,0)</f>
        <v>343377.37546455371</v>
      </c>
      <c r="S143" s="47">
        <f ca="1">HLOOKUP(B143,Heating!$C$102:$O$106,4,FALSE)*INDEX(Weather!$BO$1:$CB$20,MATCH(B143,Weather!$BO$1:$BO$20,0),MATCH(C143,Weather!$BO$1:$CB$1,0))/VLOOKUP(B143,Weather!$BO$2:$CB$20,14,FALSE)</f>
        <v>370504.12279084284</v>
      </c>
      <c r="T143" s="47">
        <f t="shared" ca="1" si="126"/>
        <v>21967175.794807393</v>
      </c>
    </row>
    <row r="144" spans="1:20">
      <c r="A144" s="2">
        <f t="shared" si="143"/>
        <v>46721</v>
      </c>
      <c r="B144">
        <f t="shared" si="144"/>
        <v>2027</v>
      </c>
      <c r="C144">
        <f t="shared" si="145"/>
        <v>11</v>
      </c>
      <c r="E144" s="3">
        <f t="shared" ref="E144:F144" ca="1" si="176">E132</f>
        <v>495.51408055712409</v>
      </c>
      <c r="F144" s="3">
        <f t="shared" ca="1" si="176"/>
        <v>0.78124999999999944</v>
      </c>
      <c r="H144" s="90">
        <f>'Economic Data'!D170</f>
        <v>8294.1227503000009</v>
      </c>
      <c r="I144" s="47">
        <f t="shared" si="147"/>
        <v>30</v>
      </c>
      <c r="K144" s="3">
        <f t="shared" si="157"/>
        <v>3542907.1380836898</v>
      </c>
      <c r="L144" s="3">
        <f t="shared" ca="1" si="158"/>
        <v>5208943.861814674</v>
      </c>
      <c r="M144" s="3">
        <f t="shared" ca="1" si="159"/>
        <v>25664.979210217869</v>
      </c>
      <c r="N144" s="3">
        <f t="shared" si="160"/>
        <v>0</v>
      </c>
      <c r="O144" s="3">
        <f t="shared" si="161"/>
        <v>0</v>
      </c>
      <c r="P144" s="3">
        <f t="shared" si="162"/>
        <v>13536213.05441268</v>
      </c>
      <c r="Q144" s="47">
        <f t="shared" ca="1" si="148"/>
        <v>22313729.033521261</v>
      </c>
      <c r="R144" s="47">
        <f>IFERROR(HLOOKUP(B144-1,'EV Forecast VRZ'!$F$124:$T$130,4,FALSE)/12,0)+IFERROR(((HLOOKUP(B144,'EV Forecast VRZ'!$F$116:$T$122,4,FALSE)-HLOOKUP(B144-1,'EV Forecast VRZ'!$F$124:$T$130,4,FALSE)))*C144/78,0)</f>
        <v>348375.93988291372</v>
      </c>
      <c r="S144" s="47">
        <f ca="1">HLOOKUP(B144,Heating!$C$102:$O$106,4,FALSE)*INDEX(Weather!$BO$1:$CB$20,MATCH(B144,Weather!$BO$1:$BO$20,0),MATCH(C144,Weather!$BO$1:$CB$1,0))/VLOOKUP(B144,Weather!$BO$2:$CB$20,14,FALSE)</f>
        <v>694874.32222461677</v>
      </c>
      <c r="T144" s="47">
        <f t="shared" ca="1" si="126"/>
        <v>23356979.295628794</v>
      </c>
    </row>
    <row r="145" spans="1:20">
      <c r="A145" s="2">
        <f t="shared" si="143"/>
        <v>46752</v>
      </c>
      <c r="B145">
        <f t="shared" si="144"/>
        <v>2027</v>
      </c>
      <c r="C145">
        <f t="shared" si="145"/>
        <v>12</v>
      </c>
      <c r="E145" s="3">
        <f t="shared" ref="E145:F145" ca="1" si="177">E133</f>
        <v>664.38541666666663</v>
      </c>
      <c r="F145" s="3">
        <f t="shared" ca="1" si="177"/>
        <v>0</v>
      </c>
      <c r="H145" s="90">
        <f>'Economic Data'!D171</f>
        <v>8318.9958540750013</v>
      </c>
      <c r="I145" s="47">
        <f t="shared" si="147"/>
        <v>31</v>
      </c>
      <c r="K145" s="3">
        <f t="shared" si="157"/>
        <v>3542907.1380836898</v>
      </c>
      <c r="L145" s="3">
        <f t="shared" ca="1" si="158"/>
        <v>6984153.3748828648</v>
      </c>
      <c r="M145" s="3">
        <f t="shared" ca="1" si="159"/>
        <v>0</v>
      </c>
      <c r="N145" s="3">
        <f t="shared" si="160"/>
        <v>0</v>
      </c>
      <c r="O145" s="3">
        <f t="shared" si="161"/>
        <v>0</v>
      </c>
      <c r="P145" s="3">
        <f t="shared" si="162"/>
        <v>13987420.156226436</v>
      </c>
      <c r="Q145" s="47">
        <f t="shared" ca="1" si="148"/>
        <v>24514480.669192992</v>
      </c>
      <c r="R145" s="47">
        <f>IFERROR(HLOOKUP(B145-1,'EV Forecast VRZ'!$F$124:$T$130,4,FALSE)/12,0)+IFERROR(((HLOOKUP(B145,'EV Forecast VRZ'!$F$116:$T$122,4,FALSE)-HLOOKUP(B145-1,'EV Forecast VRZ'!$F$124:$T$130,4,FALSE)))*C145/78,0)</f>
        <v>353374.50430127379</v>
      </c>
      <c r="S145" s="47">
        <f ca="1">HLOOKUP(B145,Heating!$C$102:$O$106,4,FALSE)*INDEX(Weather!$BO$1:$CB$20,MATCH(B145,Weather!$BO$1:$BO$20,0),MATCH(C145,Weather!$BO$1:$CB$1,0))/VLOOKUP(B145,Weather!$BO$2:$CB$20,14,FALSE)</f>
        <v>961121.98620255722</v>
      </c>
      <c r="T145" s="47">
        <f t="shared" ca="1" si="126"/>
        <v>25828977.159696821</v>
      </c>
    </row>
    <row r="146" spans="1:20">
      <c r="A146" s="2">
        <f t="shared" si="143"/>
        <v>46783</v>
      </c>
      <c r="B146">
        <f t="shared" si="144"/>
        <v>2028</v>
      </c>
      <c r="C146">
        <f t="shared" si="145"/>
        <v>1</v>
      </c>
      <c r="E146" s="3">
        <f t="shared" ref="E146:F146" ca="1" si="178">E134</f>
        <v>752.78750000000002</v>
      </c>
      <c r="F146" s="3">
        <f t="shared" ca="1" si="178"/>
        <v>0</v>
      </c>
      <c r="H146" s="90">
        <f>'Economic Data'!D172</f>
        <v>8357.9878872000008</v>
      </c>
      <c r="I146" s="47">
        <f t="shared" si="147"/>
        <v>31</v>
      </c>
      <c r="K146" s="3">
        <f t="shared" si="157"/>
        <v>3542907.1380836898</v>
      </c>
      <c r="L146" s="3">
        <f t="shared" ca="1" si="158"/>
        <v>7913453.8880651752</v>
      </c>
      <c r="M146" s="3">
        <f t="shared" ca="1" si="159"/>
        <v>0</v>
      </c>
      <c r="N146" s="3">
        <f t="shared" si="160"/>
        <v>0</v>
      </c>
      <c r="O146" s="3">
        <f t="shared" si="161"/>
        <v>0</v>
      </c>
      <c r="P146" s="3">
        <f t="shared" si="162"/>
        <v>13987420.156226436</v>
      </c>
      <c r="Q146" s="47">
        <f t="shared" ca="1" si="148"/>
        <v>25443781.182375301</v>
      </c>
      <c r="R146" s="47">
        <f>IFERROR(HLOOKUP(B146-1,'EV Forecast VRZ'!$F$124:$T$130,4,FALSE)/12,0)+IFERROR(((HLOOKUP(B146,'EV Forecast VRZ'!$F$116:$T$122,4,FALSE)-HLOOKUP(B146-1,'EV Forecast VRZ'!$F$124:$T$130,4,FALSE)))*C146/78,0)</f>
        <v>368686.52486995741</v>
      </c>
      <c r="S146" s="47">
        <f ca="1">HLOOKUP(B146,Heating!$C$102:$O$106,4,FALSE)*INDEX(Weather!$BO$1:$CB$20,MATCH(B146,Weather!$BO$1:$BO$20,0),MATCH(C146,Weather!$BO$1:$CB$1,0))/VLOOKUP(B146,Weather!$BO$2:$CB$20,14,FALSE)</f>
        <v>1271644.2231006247</v>
      </c>
      <c r="T146" s="47">
        <f t="shared" ca="1" si="126"/>
        <v>27084111.930345882</v>
      </c>
    </row>
    <row r="147" spans="1:20">
      <c r="A147" s="2">
        <f t="shared" si="143"/>
        <v>46812</v>
      </c>
      <c r="B147">
        <f t="shared" si="144"/>
        <v>2028</v>
      </c>
      <c r="C147">
        <f t="shared" si="145"/>
        <v>2</v>
      </c>
      <c r="E147" s="3">
        <f t="shared" ref="E147:F147" ca="1" si="179">E135</f>
        <v>660.7954166666666</v>
      </c>
      <c r="F147" s="3">
        <f t="shared" ca="1" si="179"/>
        <v>0</v>
      </c>
      <c r="H147" s="90">
        <f>'Economic Data'!D173</f>
        <v>8342.7847271999999</v>
      </c>
      <c r="I147" s="47">
        <f t="shared" si="147"/>
        <v>28</v>
      </c>
      <c r="K147" s="3">
        <f t="shared" si="157"/>
        <v>3542907.1380836898</v>
      </c>
      <c r="L147" s="3">
        <f t="shared" ca="1" si="158"/>
        <v>6946414.5714912647</v>
      </c>
      <c r="M147" s="3">
        <f t="shared" ca="1" si="159"/>
        <v>0</v>
      </c>
      <c r="N147" s="3">
        <f t="shared" si="160"/>
        <v>0</v>
      </c>
      <c r="O147" s="3">
        <f t="shared" si="161"/>
        <v>0</v>
      </c>
      <c r="P147" s="3">
        <f t="shared" si="162"/>
        <v>12633798.850785168</v>
      </c>
      <c r="Q147" s="47">
        <f t="shared" ca="1" si="148"/>
        <v>23123120.560360122</v>
      </c>
      <c r="R147" s="47">
        <f>IFERROR(HLOOKUP(B147-1,'EV Forecast VRZ'!$F$124:$T$130,4,FALSE)/12,0)+IFERROR(((HLOOKUP(B147,'EV Forecast VRZ'!$F$116:$T$122,4,FALSE)-HLOOKUP(B147-1,'EV Forecast VRZ'!$F$124:$T$130,4,FALSE)))*C147/78,0)</f>
        <v>373793.55435361416</v>
      </c>
      <c r="S147" s="47">
        <f ca="1">HLOOKUP(B147,Heating!$C$102:$O$106,4,FALSE)*INDEX(Weather!$BO$1:$CB$20,MATCH(B147,Weather!$BO$1:$BO$20,0),MATCH(C147,Weather!$BO$1:$CB$1,0))/VLOOKUP(B147,Weather!$BO$2:$CB$20,14,FALSE)</f>
        <v>1112240.1769401466</v>
      </c>
      <c r="T147" s="47">
        <f t="shared" ca="1" si="126"/>
        <v>24609154.291653883</v>
      </c>
    </row>
    <row r="148" spans="1:20">
      <c r="A148" s="2">
        <f t="shared" si="143"/>
        <v>46843</v>
      </c>
      <c r="B148">
        <f t="shared" si="144"/>
        <v>2028</v>
      </c>
      <c r="C148">
        <f t="shared" si="145"/>
        <v>3</v>
      </c>
      <c r="E148" s="3">
        <f t="shared" ref="E148:F148" ca="1" si="180">E136</f>
        <v>596.21590579710141</v>
      </c>
      <c r="F148" s="3">
        <f t="shared" ca="1" si="180"/>
        <v>0</v>
      </c>
      <c r="H148" s="90">
        <f>'Economic Data'!D174</f>
        <v>8357.8365650808009</v>
      </c>
      <c r="I148" s="47">
        <f t="shared" si="147"/>
        <v>31</v>
      </c>
      <c r="K148" s="3">
        <f t="shared" si="157"/>
        <v>3542907.1380836898</v>
      </c>
      <c r="L148" s="3">
        <f t="shared" ca="1" si="158"/>
        <v>6267541.7403402319</v>
      </c>
      <c r="M148" s="3">
        <f t="shared" ca="1" si="159"/>
        <v>0</v>
      </c>
      <c r="N148" s="3">
        <f t="shared" si="160"/>
        <v>0</v>
      </c>
      <c r="O148" s="3">
        <f t="shared" si="161"/>
        <v>0</v>
      </c>
      <c r="P148" s="3">
        <f t="shared" si="162"/>
        <v>13987420.156226436</v>
      </c>
      <c r="Q148" s="47">
        <f t="shared" ca="1" si="148"/>
        <v>23797869.034650356</v>
      </c>
      <c r="R148" s="47">
        <f>IFERROR(HLOOKUP(B148-1,'EV Forecast VRZ'!$F$124:$T$130,4,FALSE)/12,0)+IFERROR(((HLOOKUP(B148,'EV Forecast VRZ'!$F$116:$T$122,4,FALSE)-HLOOKUP(B148-1,'EV Forecast VRZ'!$F$124:$T$130,4,FALSE)))*C148/78,0)</f>
        <v>378900.58383727097</v>
      </c>
      <c r="S148" s="47">
        <f ca="1">HLOOKUP(B148,Heating!$C$102:$O$106,4,FALSE)*INDEX(Weather!$BO$1:$CB$20,MATCH(B148,Weather!$BO$1:$BO$20,0),MATCH(C148,Weather!$BO$1:$CB$1,0))/VLOOKUP(B148,Weather!$BO$2:$CB$20,14,FALSE)</f>
        <v>983417.57848159038</v>
      </c>
      <c r="T148" s="47">
        <f t="shared" ca="1" si="126"/>
        <v>25160187.196969219</v>
      </c>
    </row>
    <row r="149" spans="1:20">
      <c r="A149" s="2">
        <f t="shared" si="143"/>
        <v>46873</v>
      </c>
      <c r="B149">
        <f t="shared" si="144"/>
        <v>2028</v>
      </c>
      <c r="C149">
        <f t="shared" si="145"/>
        <v>4</v>
      </c>
      <c r="E149" s="3">
        <f t="shared" ref="E149:F149" ca="1" si="181">E137</f>
        <v>412.8885416666667</v>
      </c>
      <c r="F149" s="3">
        <f t="shared" ca="1" si="181"/>
        <v>2.2025000000000015</v>
      </c>
      <c r="H149" s="90">
        <f>'Economic Data'!D175</f>
        <v>8344.1331968148006</v>
      </c>
      <c r="I149" s="47">
        <f t="shared" si="147"/>
        <v>30</v>
      </c>
      <c r="K149" s="3">
        <f t="shared" si="157"/>
        <v>3542907.1380836898</v>
      </c>
      <c r="L149" s="3">
        <f t="shared" ca="1" si="158"/>
        <v>4340367.547800201</v>
      </c>
      <c r="M149" s="3">
        <f t="shared" ca="1" si="159"/>
        <v>72354.709389446318</v>
      </c>
      <c r="N149" s="3">
        <f t="shared" si="160"/>
        <v>0</v>
      </c>
      <c r="O149" s="3">
        <f t="shared" si="161"/>
        <v>0</v>
      </c>
      <c r="P149" s="3">
        <f t="shared" si="162"/>
        <v>13536213.05441268</v>
      </c>
      <c r="Q149" s="47">
        <f t="shared" ca="1" si="148"/>
        <v>21491842.449686017</v>
      </c>
      <c r="R149" s="47">
        <f>IFERROR(HLOOKUP(B149-1,'EV Forecast VRZ'!$F$124:$T$130,4,FALSE)/12,0)+IFERROR(((HLOOKUP(B149,'EV Forecast VRZ'!$F$116:$T$122,4,FALSE)-HLOOKUP(B149-1,'EV Forecast VRZ'!$F$124:$T$130,4,FALSE)))*C149/78,0)</f>
        <v>384007.61332092772</v>
      </c>
      <c r="S149" s="47">
        <f ca="1">HLOOKUP(B149,Heating!$C$102:$O$106,4,FALSE)*INDEX(Weather!$BO$1:$CB$20,MATCH(B149,Weather!$BO$1:$BO$20,0),MATCH(C149,Weather!$BO$1:$CB$1,0))/VLOOKUP(B149,Weather!$BO$2:$CB$20,14,FALSE)</f>
        <v>649682.64930223802</v>
      </c>
      <c r="T149" s="47">
        <f t="shared" ca="1" si="126"/>
        <v>22525532.712309182</v>
      </c>
    </row>
    <row r="150" spans="1:20">
      <c r="A150" s="2">
        <f t="shared" si="143"/>
        <v>46904</v>
      </c>
      <c r="B150">
        <f t="shared" si="144"/>
        <v>2028</v>
      </c>
      <c r="C150">
        <f t="shared" si="145"/>
        <v>5</v>
      </c>
      <c r="E150" s="3">
        <f t="shared" ref="E150:F150" ca="1" si="182">E138</f>
        <v>208.90012508544086</v>
      </c>
      <c r="F150" s="3">
        <f t="shared" ca="1" si="182"/>
        <v>48.940113636363641</v>
      </c>
      <c r="H150" s="90">
        <f>'Economic Data'!D176</f>
        <v>8327.9936741904003</v>
      </c>
      <c r="I150" s="47">
        <f t="shared" si="147"/>
        <v>31</v>
      </c>
      <c r="K150" s="3">
        <f t="shared" si="157"/>
        <v>3542907.1380836898</v>
      </c>
      <c r="L150" s="3">
        <f t="shared" ca="1" si="158"/>
        <v>2196000.2086574011</v>
      </c>
      <c r="M150" s="3">
        <f t="shared" ca="1" si="159"/>
        <v>1607740.1587494065</v>
      </c>
      <c r="N150" s="3">
        <f t="shared" si="160"/>
        <v>0</v>
      </c>
      <c r="O150" s="3">
        <f t="shared" si="161"/>
        <v>0</v>
      </c>
      <c r="P150" s="3">
        <f t="shared" si="162"/>
        <v>13987420.156226436</v>
      </c>
      <c r="Q150" s="47">
        <f t="shared" ca="1" si="148"/>
        <v>21334067.661716934</v>
      </c>
      <c r="R150" s="47">
        <f>IFERROR(HLOOKUP(B150-1,'EV Forecast VRZ'!$F$124:$T$130,4,FALSE)/12,0)+IFERROR(((HLOOKUP(B150,'EV Forecast VRZ'!$F$116:$T$122,4,FALSE)-HLOOKUP(B150-1,'EV Forecast VRZ'!$F$124:$T$130,4,FALSE)))*C150/78,0)</f>
        <v>389114.64280458452</v>
      </c>
      <c r="S150" s="47">
        <f ca="1">HLOOKUP(B150,Heating!$C$102:$O$106,4,FALSE)*INDEX(Weather!$BO$1:$CB$20,MATCH(B150,Weather!$BO$1:$BO$20,0),MATCH(C150,Weather!$BO$1:$CB$1,0))/VLOOKUP(B150,Weather!$BO$2:$CB$20,14,FALSE)</f>
        <v>285788.63360763324</v>
      </c>
      <c r="T150" s="47">
        <f t="shared" ca="1" si="126"/>
        <v>22008970.938129153</v>
      </c>
    </row>
    <row r="151" spans="1:20">
      <c r="A151" s="2">
        <f t="shared" si="143"/>
        <v>46934</v>
      </c>
      <c r="B151">
        <f t="shared" si="144"/>
        <v>2028</v>
      </c>
      <c r="C151">
        <f t="shared" si="145"/>
        <v>6</v>
      </c>
      <c r="E151" s="3">
        <f t="shared" ref="E151:F151" ca="1" si="183">E139</f>
        <v>61.78217382617381</v>
      </c>
      <c r="F151" s="3">
        <f t="shared" ca="1" si="183"/>
        <v>144.91160087738351</v>
      </c>
      <c r="H151" s="90">
        <f>'Economic Data'!D177</f>
        <v>8323.527391200003</v>
      </c>
      <c r="I151" s="47">
        <f t="shared" si="147"/>
        <v>30</v>
      </c>
      <c r="K151" s="3">
        <f t="shared" si="157"/>
        <v>3542907.1380836898</v>
      </c>
      <c r="L151" s="3">
        <f t="shared" ca="1" si="158"/>
        <v>649466.6604823455</v>
      </c>
      <c r="M151" s="3">
        <f t="shared" ca="1" si="159"/>
        <v>4760516.126511923</v>
      </c>
      <c r="N151" s="3">
        <f t="shared" si="160"/>
        <v>0</v>
      </c>
      <c r="O151" s="3">
        <f t="shared" si="161"/>
        <v>0</v>
      </c>
      <c r="P151" s="3">
        <f t="shared" si="162"/>
        <v>13536213.05441268</v>
      </c>
      <c r="Q151" s="47">
        <f t="shared" ca="1" si="148"/>
        <v>22489102.979490638</v>
      </c>
      <c r="R151" s="47">
        <f>IFERROR(HLOOKUP(B151-1,'EV Forecast VRZ'!$F$124:$T$130,4,FALSE)/12,0)+IFERROR(((HLOOKUP(B151,'EV Forecast VRZ'!$F$116:$T$122,4,FALSE)-HLOOKUP(B151-1,'EV Forecast VRZ'!$F$124:$T$130,4,FALSE)))*C151/78,0)</f>
        <v>394221.67228824127</v>
      </c>
      <c r="S151" s="47">
        <f ca="1">HLOOKUP(B151,Heating!$C$102:$O$106,4,FALSE)*INDEX(Weather!$BO$1:$CB$20,MATCH(B151,Weather!$BO$1:$BO$20,0),MATCH(C151,Weather!$BO$1:$CB$1,0))/VLOOKUP(B151,Weather!$BO$2:$CB$20,14,FALSE)</f>
        <v>55729.952226683869</v>
      </c>
      <c r="T151" s="47">
        <f t="shared" ca="1" si="126"/>
        <v>22939054.604005564</v>
      </c>
    </row>
    <row r="152" spans="1:20">
      <c r="A152" s="2">
        <f t="shared" si="143"/>
        <v>46965</v>
      </c>
      <c r="B152">
        <f t="shared" si="144"/>
        <v>2028</v>
      </c>
      <c r="C152">
        <f t="shared" si="145"/>
        <v>7</v>
      </c>
      <c r="E152" s="3">
        <f t="shared" ref="E152:F152" ca="1" si="184">E140</f>
        <v>8.334479813664597</v>
      </c>
      <c r="F152" s="3">
        <f t="shared" ca="1" si="184"/>
        <v>242.72508692061183</v>
      </c>
      <c r="H152" s="90">
        <f>'Economic Data'!D178</f>
        <v>8331.1403735700005</v>
      </c>
      <c r="I152" s="47">
        <f t="shared" si="147"/>
        <v>31</v>
      </c>
      <c r="K152" s="3">
        <f t="shared" si="157"/>
        <v>3542907.1380836898</v>
      </c>
      <c r="L152" s="3">
        <f t="shared" ca="1" si="158"/>
        <v>87613.731214246814</v>
      </c>
      <c r="M152" s="3">
        <f t="shared" ca="1" si="159"/>
        <v>7973803.9163082652</v>
      </c>
      <c r="N152" s="3">
        <f t="shared" si="160"/>
        <v>0</v>
      </c>
      <c r="O152" s="3">
        <f t="shared" si="161"/>
        <v>0</v>
      </c>
      <c r="P152" s="3">
        <f t="shared" si="162"/>
        <v>13987420.156226436</v>
      </c>
      <c r="Q152" s="47">
        <f t="shared" ca="1" si="148"/>
        <v>25591744.941832639</v>
      </c>
      <c r="R152" s="47">
        <f>IFERROR(HLOOKUP(B152-1,'EV Forecast VRZ'!$F$124:$T$130,4,FALSE)/12,0)+IFERROR(((HLOOKUP(B152,'EV Forecast VRZ'!$F$116:$T$122,4,FALSE)-HLOOKUP(B152-1,'EV Forecast VRZ'!$F$124:$T$130,4,FALSE)))*C152/78,0)</f>
        <v>399328.70177189808</v>
      </c>
      <c r="S152" s="47">
        <f ca="1">HLOOKUP(B152,Heating!$C$102:$O$106,4,FALSE)*INDEX(Weather!$BO$1:$CB$20,MATCH(B152,Weather!$BO$1:$BO$20,0),MATCH(C152,Weather!$BO$1:$CB$1,0))/VLOOKUP(B152,Weather!$BO$2:$CB$20,14,FALSE)</f>
        <v>1996.5678740633705</v>
      </c>
      <c r="T152" s="47">
        <f t="shared" ca="1" si="126"/>
        <v>25993070.211478598</v>
      </c>
    </row>
    <row r="153" spans="1:20">
      <c r="A153" s="2">
        <f t="shared" si="143"/>
        <v>46996</v>
      </c>
      <c r="B153">
        <f t="shared" si="144"/>
        <v>2028</v>
      </c>
      <c r="C153">
        <f t="shared" si="145"/>
        <v>8</v>
      </c>
      <c r="E153" s="3">
        <f t="shared" ref="E153:F153" ca="1" si="185">E141</f>
        <v>21.054927536231883</v>
      </c>
      <c r="F153" s="3">
        <f t="shared" ca="1" si="185"/>
        <v>214.02558794466404</v>
      </c>
      <c r="H153" s="90">
        <f>'Economic Data'!D179</f>
        <v>8328.501206348401</v>
      </c>
      <c r="I153" s="47">
        <f t="shared" si="147"/>
        <v>31</v>
      </c>
      <c r="K153" s="3">
        <f t="shared" si="157"/>
        <v>3542907.1380836898</v>
      </c>
      <c r="L153" s="3">
        <f t="shared" ca="1" si="158"/>
        <v>221333.64086747551</v>
      </c>
      <c r="M153" s="3">
        <f t="shared" ca="1" si="159"/>
        <v>7030991.699269712</v>
      </c>
      <c r="N153" s="3">
        <f t="shared" si="160"/>
        <v>0</v>
      </c>
      <c r="O153" s="3">
        <f t="shared" si="161"/>
        <v>0</v>
      </c>
      <c r="P153" s="3">
        <f t="shared" si="162"/>
        <v>13987420.156226436</v>
      </c>
      <c r="Q153" s="47">
        <f t="shared" ca="1" si="148"/>
        <v>24782652.634447314</v>
      </c>
      <c r="R153" s="47">
        <f>IFERROR(HLOOKUP(B153-1,'EV Forecast VRZ'!$F$124:$T$130,4,FALSE)/12,0)+IFERROR(((HLOOKUP(B153,'EV Forecast VRZ'!$F$116:$T$122,4,FALSE)-HLOOKUP(B153-1,'EV Forecast VRZ'!$F$124:$T$130,4,FALSE)))*C153/78,0)</f>
        <v>404435.73125555483</v>
      </c>
      <c r="S153" s="47">
        <f ca="1">HLOOKUP(B153,Heating!$C$102:$O$106,4,FALSE)*INDEX(Weather!$BO$1:$CB$20,MATCH(B153,Weather!$BO$1:$BO$20,0),MATCH(C153,Weather!$BO$1:$CB$1,0))/VLOOKUP(B153,Weather!$BO$2:$CB$20,14,FALSE)</f>
        <v>11826.769131841396</v>
      </c>
      <c r="T153" s="47">
        <f t="shared" ca="1" si="126"/>
        <v>25198915.134834711</v>
      </c>
    </row>
    <row r="154" spans="1:20">
      <c r="A154" s="2">
        <f t="shared" si="143"/>
        <v>47026</v>
      </c>
      <c r="B154">
        <f t="shared" si="144"/>
        <v>2028</v>
      </c>
      <c r="C154">
        <f t="shared" si="145"/>
        <v>9</v>
      </c>
      <c r="E154" s="3">
        <f t="shared" ref="E154:F154" ca="1" si="186">E142</f>
        <v>97.667119565217376</v>
      </c>
      <c r="F154" s="3">
        <f t="shared" ca="1" si="186"/>
        <v>102.40708333333332</v>
      </c>
      <c r="H154" s="90">
        <f>'Economic Data'!D180</f>
        <v>8325.7605326952016</v>
      </c>
      <c r="I154" s="47">
        <f t="shared" si="147"/>
        <v>30</v>
      </c>
      <c r="K154" s="3">
        <f t="shared" si="157"/>
        <v>3542907.1380836898</v>
      </c>
      <c r="L154" s="3">
        <f t="shared" ca="1" si="158"/>
        <v>1026696.4409737088</v>
      </c>
      <c r="M154" s="3">
        <f t="shared" ca="1" si="159"/>
        <v>3364192.8508531847</v>
      </c>
      <c r="N154" s="3">
        <f t="shared" si="160"/>
        <v>0</v>
      </c>
      <c r="O154" s="3">
        <f t="shared" si="161"/>
        <v>0</v>
      </c>
      <c r="P154" s="3">
        <f t="shared" si="162"/>
        <v>13536213.05441268</v>
      </c>
      <c r="Q154" s="47">
        <f t="shared" ca="1" si="148"/>
        <v>21470009.484323263</v>
      </c>
      <c r="R154" s="47">
        <f>IFERROR(HLOOKUP(B154-1,'EV Forecast VRZ'!$F$124:$T$130,4,FALSE)/12,0)+IFERROR(((HLOOKUP(B154,'EV Forecast VRZ'!$F$116:$T$122,4,FALSE)-HLOOKUP(B154-1,'EV Forecast VRZ'!$F$124:$T$130,4,FALSE)))*C154/78,0)</f>
        <v>409542.76073921163</v>
      </c>
      <c r="S154" s="47">
        <f ca="1">HLOOKUP(B154,Heating!$C$102:$O$106,4,FALSE)*INDEX(Weather!$BO$1:$CB$20,MATCH(B154,Weather!$BO$1:$BO$20,0),MATCH(C154,Weather!$BO$1:$CB$1,0))/VLOOKUP(B154,Weather!$BO$2:$CB$20,14,FALSE)</f>
        <v>100166.71873085201</v>
      </c>
      <c r="T154" s="47">
        <f t="shared" ca="1" si="126"/>
        <v>21979718.963793326</v>
      </c>
    </row>
    <row r="155" spans="1:20">
      <c r="A155" s="2">
        <f t="shared" si="143"/>
        <v>47057</v>
      </c>
      <c r="B155">
        <f t="shared" si="144"/>
        <v>2028</v>
      </c>
      <c r="C155">
        <f t="shared" si="145"/>
        <v>10</v>
      </c>
      <c r="E155" s="3">
        <f t="shared" ref="E155:F155" ca="1" si="187">E143</f>
        <v>292.46431159420291</v>
      </c>
      <c r="F155" s="3">
        <f t="shared" ca="1" si="187"/>
        <v>19.741250000000004</v>
      </c>
      <c r="H155" s="90">
        <f>'Economic Data'!D181</f>
        <v>8338.0428109188015</v>
      </c>
      <c r="I155" s="47">
        <f t="shared" si="147"/>
        <v>31</v>
      </c>
      <c r="K155" s="3">
        <f t="shared" si="157"/>
        <v>3542907.1380836898</v>
      </c>
      <c r="L155" s="3">
        <f t="shared" ca="1" si="158"/>
        <v>3074443.7755747139</v>
      </c>
      <c r="M155" s="3">
        <f t="shared" ca="1" si="159"/>
        <v>648523.22666715388</v>
      </c>
      <c r="N155" s="3">
        <f t="shared" si="160"/>
        <v>0</v>
      </c>
      <c r="O155" s="3">
        <f t="shared" si="161"/>
        <v>0</v>
      </c>
      <c r="P155" s="3">
        <f t="shared" si="162"/>
        <v>13987420.156226436</v>
      </c>
      <c r="Q155" s="47">
        <f t="shared" ca="1" si="148"/>
        <v>21253294.296551995</v>
      </c>
      <c r="R155" s="47">
        <f>IFERROR(HLOOKUP(B155-1,'EV Forecast VRZ'!$F$124:$T$130,4,FALSE)/12,0)+IFERROR(((HLOOKUP(B155,'EV Forecast VRZ'!$F$116:$T$122,4,FALSE)-HLOOKUP(B155-1,'EV Forecast VRZ'!$F$124:$T$130,4,FALSE)))*C155/78,0)</f>
        <v>414649.79022286844</v>
      </c>
      <c r="S155" s="47">
        <f ca="1">HLOOKUP(B155,Heating!$C$102:$O$106,4,FALSE)*INDEX(Weather!$BO$1:$CB$20,MATCH(B155,Weather!$BO$1:$BO$20,0),MATCH(C155,Weather!$BO$1:$CB$1,0))/VLOOKUP(B155,Weather!$BO$2:$CB$20,14,FALSE)</f>
        <v>427474.42282909941</v>
      </c>
      <c r="T155" s="47">
        <f t="shared" ca="1" si="126"/>
        <v>22095418.509603962</v>
      </c>
    </row>
    <row r="156" spans="1:20">
      <c r="A156" s="2">
        <f t="shared" si="143"/>
        <v>47087</v>
      </c>
      <c r="B156">
        <f t="shared" si="144"/>
        <v>2028</v>
      </c>
      <c r="C156">
        <f t="shared" si="145"/>
        <v>11</v>
      </c>
      <c r="E156" s="3">
        <f t="shared" ref="E156:F156" ca="1" si="188">E144</f>
        <v>495.51408055712409</v>
      </c>
      <c r="F156" s="3">
        <f t="shared" ca="1" si="188"/>
        <v>0.78124999999999944</v>
      </c>
      <c r="H156" s="90">
        <f>'Economic Data'!D182</f>
        <v>8360.4757323024005</v>
      </c>
      <c r="I156" s="47">
        <f t="shared" si="147"/>
        <v>30</v>
      </c>
      <c r="K156" s="3">
        <f t="shared" si="157"/>
        <v>3542907.1380836898</v>
      </c>
      <c r="L156" s="3">
        <f t="shared" ca="1" si="158"/>
        <v>5208943.861814674</v>
      </c>
      <c r="M156" s="3">
        <f t="shared" ca="1" si="159"/>
        <v>25664.979210217869</v>
      </c>
      <c r="N156" s="3">
        <f t="shared" si="160"/>
        <v>0</v>
      </c>
      <c r="O156" s="3">
        <f t="shared" si="161"/>
        <v>0</v>
      </c>
      <c r="P156" s="3">
        <f t="shared" si="162"/>
        <v>13536213.05441268</v>
      </c>
      <c r="Q156" s="47">
        <f t="shared" ca="1" si="148"/>
        <v>22313729.033521261</v>
      </c>
      <c r="R156" s="47">
        <f>IFERROR(HLOOKUP(B156-1,'EV Forecast VRZ'!$F$124:$T$130,4,FALSE)/12,0)+IFERROR(((HLOOKUP(B156,'EV Forecast VRZ'!$F$116:$T$122,4,FALSE)-HLOOKUP(B156-1,'EV Forecast VRZ'!$F$124:$T$130,4,FALSE)))*C156/78,0)</f>
        <v>419756.81970652519</v>
      </c>
      <c r="S156" s="47">
        <f ca="1">HLOOKUP(B156,Heating!$C$102:$O$106,4,FALSE)*INDEX(Weather!$BO$1:$CB$20,MATCH(B156,Weather!$BO$1:$BO$20,0),MATCH(C156,Weather!$BO$1:$CB$1,0))/VLOOKUP(B156,Weather!$BO$2:$CB$20,14,FALSE)</f>
        <v>801721.17274769279</v>
      </c>
      <c r="T156" s="47">
        <f t="shared" ca="1" si="126"/>
        <v>23535207.025975481</v>
      </c>
    </row>
    <row r="157" spans="1:20">
      <c r="A157" s="2">
        <f t="shared" si="143"/>
        <v>47118</v>
      </c>
      <c r="B157">
        <f t="shared" si="144"/>
        <v>2028</v>
      </c>
      <c r="C157">
        <f t="shared" si="145"/>
        <v>12</v>
      </c>
      <c r="E157" s="3">
        <f t="shared" ref="E157:F157" ca="1" si="189">E145</f>
        <v>664.38541666666663</v>
      </c>
      <c r="F157" s="3">
        <f t="shared" ca="1" si="189"/>
        <v>0</v>
      </c>
      <c r="H157" s="90">
        <f>'Economic Data'!D183</f>
        <v>8385.5478209076009</v>
      </c>
      <c r="I157" s="47">
        <f t="shared" si="147"/>
        <v>31</v>
      </c>
      <c r="K157" s="3">
        <f t="shared" si="157"/>
        <v>3542907.1380836898</v>
      </c>
      <c r="L157" s="3">
        <f t="shared" ca="1" si="158"/>
        <v>6984153.3748828648</v>
      </c>
      <c r="M157" s="3">
        <f t="shared" ca="1" si="159"/>
        <v>0</v>
      </c>
      <c r="N157" s="3">
        <f t="shared" si="160"/>
        <v>0</v>
      </c>
      <c r="O157" s="3">
        <f t="shared" si="161"/>
        <v>0</v>
      </c>
      <c r="P157" s="3">
        <f t="shared" si="162"/>
        <v>13987420.156226436</v>
      </c>
      <c r="Q157" s="47">
        <f t="shared" ca="1" si="148"/>
        <v>24514480.669192992</v>
      </c>
      <c r="R157" s="47">
        <f>IFERROR(HLOOKUP(B157-1,'EV Forecast VRZ'!$F$124:$T$130,4,FALSE)/12,0)+IFERROR(((HLOOKUP(B157,'EV Forecast VRZ'!$F$116:$T$122,4,FALSE)-HLOOKUP(B157-1,'EV Forecast VRZ'!$F$124:$T$130,4,FALSE)))*C157/78,0)</f>
        <v>424863.84919018199</v>
      </c>
      <c r="S157" s="47">
        <f ca="1">HLOOKUP(B157,Heating!$C$102:$O$106,4,FALSE)*INDEX(Weather!$BO$1:$CB$20,MATCH(B157,Weather!$BO$1:$BO$20,0),MATCH(C157,Weather!$BO$1:$CB$1,0))/VLOOKUP(B157,Weather!$BO$2:$CB$20,14,FALSE)</f>
        <v>1108908.2173377913</v>
      </c>
      <c r="T157" s="47">
        <f t="shared" ca="1" si="126"/>
        <v>26048252.735720966</v>
      </c>
    </row>
    <row r="158" spans="1:20">
      <c r="A158" s="2">
        <f t="shared" si="143"/>
        <v>47149</v>
      </c>
      <c r="B158">
        <f t="shared" si="144"/>
        <v>2029</v>
      </c>
      <c r="C158">
        <f t="shared" si="145"/>
        <v>1</v>
      </c>
      <c r="E158" s="3">
        <f t="shared" ref="E158:F158" ca="1" si="190">E146</f>
        <v>752.78750000000002</v>
      </c>
      <c r="F158" s="3">
        <f t="shared" ca="1" si="190"/>
        <v>0</v>
      </c>
      <c r="H158" s="90">
        <f>'Economic Data'!D184</f>
        <v>8449.9257539591999</v>
      </c>
      <c r="I158" s="47">
        <f t="shared" si="147"/>
        <v>31</v>
      </c>
      <c r="K158" s="3">
        <f t="shared" si="157"/>
        <v>3542907.1380836898</v>
      </c>
      <c r="L158" s="3">
        <f t="shared" ca="1" si="158"/>
        <v>7913453.8880651752</v>
      </c>
      <c r="M158" s="3">
        <f t="shared" ca="1" si="159"/>
        <v>0</v>
      </c>
      <c r="N158" s="3">
        <f t="shared" si="160"/>
        <v>0</v>
      </c>
      <c r="O158" s="3">
        <f t="shared" si="161"/>
        <v>0</v>
      </c>
      <c r="P158" s="3">
        <f t="shared" si="162"/>
        <v>13987420.156226436</v>
      </c>
      <c r="Q158" s="47">
        <f t="shared" ca="1" si="148"/>
        <v>25443781.182375301</v>
      </c>
      <c r="R158" s="47">
        <f>IFERROR(HLOOKUP(B158-1,'EV Forecast VRZ'!$F$124:$T$130,4,FALSE)/12,0)+IFERROR(((HLOOKUP(B158,'EV Forecast VRZ'!$F$116:$T$122,4,FALSE)-HLOOKUP(B158-1,'EV Forecast VRZ'!$F$124:$T$130,4,FALSE)))*C158/78,0)</f>
        <v>450529.47011697036</v>
      </c>
      <c r="S158" s="47">
        <f ca="1">HLOOKUP(B158,Heating!$C$102:$O$106,4,FALSE)*INDEX(Weather!$BO$1:$CB$20,MATCH(B158,Weather!$BO$1:$BO$20,0),MATCH(C158,Weather!$BO$1:$CB$1,0))/VLOOKUP(B158,Weather!$BO$2:$CB$20,14,FALSE)</f>
        <v>1448839.7259986463</v>
      </c>
      <c r="T158" s="47">
        <f t="shared" ca="1" si="126"/>
        <v>27343150.378490917</v>
      </c>
    </row>
    <row r="159" spans="1:20">
      <c r="A159" s="2">
        <f t="shared" si="143"/>
        <v>47177</v>
      </c>
      <c r="B159">
        <f t="shared" si="144"/>
        <v>2029</v>
      </c>
      <c r="C159">
        <f t="shared" si="145"/>
        <v>2</v>
      </c>
      <c r="E159" s="3">
        <f t="shared" ref="E159:F159" ca="1" si="191">E147</f>
        <v>660.7954166666666</v>
      </c>
      <c r="F159" s="3">
        <f t="shared" ca="1" si="191"/>
        <v>0</v>
      </c>
      <c r="H159" s="90">
        <f>'Economic Data'!D185</f>
        <v>8434.5553591991993</v>
      </c>
      <c r="I159" s="47">
        <f t="shared" si="147"/>
        <v>28</v>
      </c>
      <c r="K159" s="3">
        <f t="shared" si="157"/>
        <v>3542907.1380836898</v>
      </c>
      <c r="L159" s="3">
        <f t="shared" ca="1" si="158"/>
        <v>6946414.5714912647</v>
      </c>
      <c r="M159" s="3">
        <f t="shared" ca="1" si="159"/>
        <v>0</v>
      </c>
      <c r="N159" s="3">
        <f t="shared" si="160"/>
        <v>0</v>
      </c>
      <c r="O159" s="3">
        <f t="shared" si="161"/>
        <v>0</v>
      </c>
      <c r="P159" s="3">
        <f t="shared" si="162"/>
        <v>12633798.850785168</v>
      </c>
      <c r="Q159" s="47">
        <f t="shared" ca="1" si="148"/>
        <v>23123120.560360122</v>
      </c>
      <c r="R159" s="47">
        <f>IFERROR(HLOOKUP(B159-1,'EV Forecast VRZ'!$F$124:$T$130,4,FALSE)/12,0)+IFERROR(((HLOOKUP(B159,'EV Forecast VRZ'!$F$116:$T$122,4,FALSE)-HLOOKUP(B159-1,'EV Forecast VRZ'!$F$124:$T$130,4,FALSE)))*C159/78,0)</f>
        <v>458024.60822676838</v>
      </c>
      <c r="S159" s="47">
        <f ca="1">HLOOKUP(B159,Heating!$C$102:$O$106,4,FALSE)*INDEX(Weather!$BO$1:$CB$20,MATCH(B159,Weather!$BO$1:$BO$20,0),MATCH(C159,Weather!$BO$1:$CB$1,0))/VLOOKUP(B159,Weather!$BO$2:$CB$20,14,FALSE)</f>
        <v>1267223.7438184263</v>
      </c>
      <c r="T159" s="47">
        <f t="shared" ca="1" si="126"/>
        <v>24848368.912405316</v>
      </c>
    </row>
    <row r="160" spans="1:20">
      <c r="A160" s="2">
        <f t="shared" si="143"/>
        <v>47208</v>
      </c>
      <c r="B160">
        <f t="shared" si="144"/>
        <v>2029</v>
      </c>
      <c r="C160">
        <f t="shared" si="145"/>
        <v>3</v>
      </c>
      <c r="E160" s="3">
        <f t="shared" ref="E160:F160" ca="1" si="192">E148</f>
        <v>596.21590579710141</v>
      </c>
      <c r="F160" s="3">
        <f t="shared" ca="1" si="192"/>
        <v>0</v>
      </c>
      <c r="H160" s="90">
        <f>'Economic Data'!D186</f>
        <v>8449.7727672966885</v>
      </c>
      <c r="I160" s="47">
        <f t="shared" si="147"/>
        <v>31</v>
      </c>
      <c r="K160" s="3">
        <f t="shared" si="157"/>
        <v>3542907.1380836898</v>
      </c>
      <c r="L160" s="3">
        <f t="shared" ca="1" si="158"/>
        <v>6267541.7403402319</v>
      </c>
      <c r="M160" s="3">
        <f t="shared" ca="1" si="159"/>
        <v>0</v>
      </c>
      <c r="N160" s="3">
        <f t="shared" si="160"/>
        <v>0</v>
      </c>
      <c r="O160" s="3">
        <f t="shared" si="161"/>
        <v>0</v>
      </c>
      <c r="P160" s="3">
        <f t="shared" si="162"/>
        <v>13987420.156226436</v>
      </c>
      <c r="Q160" s="47">
        <f t="shared" ca="1" si="148"/>
        <v>23797869.034650356</v>
      </c>
      <c r="R160" s="47">
        <f>IFERROR(HLOOKUP(B160-1,'EV Forecast VRZ'!$F$124:$T$130,4,FALSE)/12,0)+IFERROR(((HLOOKUP(B160,'EV Forecast VRZ'!$F$116:$T$122,4,FALSE)-HLOOKUP(B160-1,'EV Forecast VRZ'!$F$124:$T$130,4,FALSE)))*C160/78,0)</f>
        <v>465519.74633656646</v>
      </c>
      <c r="S160" s="47">
        <f ca="1">HLOOKUP(B160,Heating!$C$102:$O$106,4,FALSE)*INDEX(Weather!$BO$1:$CB$20,MATCH(B160,Weather!$BO$1:$BO$20,0),MATCH(C160,Weather!$BO$1:$CB$1,0))/VLOOKUP(B160,Weather!$BO$2:$CB$20,14,FALSE)</f>
        <v>1120450.5388114161</v>
      </c>
      <c r="T160" s="47">
        <f t="shared" ca="1" si="126"/>
        <v>25383839.319798339</v>
      </c>
    </row>
    <row r="161" spans="1:20">
      <c r="A161" s="2">
        <f t="shared" si="143"/>
        <v>47238</v>
      </c>
      <c r="B161">
        <f t="shared" si="144"/>
        <v>2029</v>
      </c>
      <c r="C161">
        <f t="shared" si="145"/>
        <v>4</v>
      </c>
      <c r="E161" s="3">
        <f t="shared" ref="E161:F161" ca="1" si="193">E149</f>
        <v>412.8885416666667</v>
      </c>
      <c r="F161" s="3">
        <f t="shared" ca="1" si="193"/>
        <v>2.2025000000000015</v>
      </c>
      <c r="H161" s="90">
        <f>'Economic Data'!D187</f>
        <v>8435.918661979762</v>
      </c>
      <c r="I161" s="47">
        <f t="shared" si="147"/>
        <v>30</v>
      </c>
      <c r="K161" s="3">
        <f t="shared" si="157"/>
        <v>3542907.1380836898</v>
      </c>
      <c r="L161" s="3">
        <f t="shared" ca="1" si="158"/>
        <v>4340367.547800201</v>
      </c>
      <c r="M161" s="3">
        <f t="shared" ca="1" si="159"/>
        <v>72354.709389446318</v>
      </c>
      <c r="N161" s="3">
        <f t="shared" si="160"/>
        <v>0</v>
      </c>
      <c r="O161" s="3">
        <f t="shared" si="161"/>
        <v>0</v>
      </c>
      <c r="P161" s="3">
        <f t="shared" si="162"/>
        <v>13536213.05441268</v>
      </c>
      <c r="Q161" s="47">
        <f t="shared" ca="1" si="148"/>
        <v>21491842.449686017</v>
      </c>
      <c r="R161" s="47">
        <f>IFERROR(HLOOKUP(B161-1,'EV Forecast VRZ'!$F$124:$T$130,4,FALSE)/12,0)+IFERROR(((HLOOKUP(B161,'EV Forecast VRZ'!$F$116:$T$122,4,FALSE)-HLOOKUP(B161-1,'EV Forecast VRZ'!$F$124:$T$130,4,FALSE)))*C161/78,0)</f>
        <v>473014.88444636448</v>
      </c>
      <c r="S161" s="47">
        <f ca="1">HLOOKUP(B161,Heating!$C$102:$O$106,4,FALSE)*INDEX(Weather!$BO$1:$CB$20,MATCH(B161,Weather!$BO$1:$BO$20,0),MATCH(C161,Weather!$BO$1:$CB$1,0))/VLOOKUP(B161,Weather!$BO$2:$CB$20,14,FALSE)</f>
        <v>740211.77818589087</v>
      </c>
      <c r="T161" s="47">
        <f t="shared" ca="1" si="126"/>
        <v>22705069.11231827</v>
      </c>
    </row>
    <row r="162" spans="1:20">
      <c r="A162" s="2">
        <f t="shared" si="143"/>
        <v>47269</v>
      </c>
      <c r="B162">
        <f t="shared" si="144"/>
        <v>2029</v>
      </c>
      <c r="C162">
        <f t="shared" si="145"/>
        <v>5</v>
      </c>
      <c r="E162" s="3">
        <f t="shared" ref="E162:F162" ca="1" si="194">E150</f>
        <v>208.90012508544086</v>
      </c>
      <c r="F162" s="3">
        <f t="shared" ca="1" si="194"/>
        <v>48.940113636363641</v>
      </c>
      <c r="H162" s="90">
        <f>'Economic Data'!D188</f>
        <v>8419.6016046064942</v>
      </c>
      <c r="I162" s="47">
        <f t="shared" si="147"/>
        <v>31</v>
      </c>
      <c r="K162" s="3">
        <f t="shared" ref="K162:K193" si="195">$X$7</f>
        <v>3542907.1380836898</v>
      </c>
      <c r="L162" s="3">
        <f t="shared" ref="L162:L193" ca="1" si="196">E162*$X$8</f>
        <v>2196000.2086574011</v>
      </c>
      <c r="M162" s="3">
        <f t="shared" ref="M162:M193" ca="1" si="197">F162*$X$9</f>
        <v>1607740.1587494065</v>
      </c>
      <c r="N162" s="3">
        <f t="shared" ref="N162:N193" si="198">G162*$X$10</f>
        <v>0</v>
      </c>
      <c r="O162" s="3">
        <f t="shared" ref="O162:O193" si="199">H162*$X$11</f>
        <v>0</v>
      </c>
      <c r="P162" s="3">
        <f t="shared" ref="P162:P193" si="200">I162*$X$12</f>
        <v>13987420.156226436</v>
      </c>
      <c r="Q162" s="47">
        <f t="shared" ref="Q162:Q193" ca="1" si="201">SUM(K162:P162)</f>
        <v>21334067.661716934</v>
      </c>
      <c r="R162" s="47">
        <f>IFERROR(HLOOKUP(B162-1,'EV Forecast VRZ'!$F$124:$T$130,4,FALSE)/12,0)+IFERROR(((HLOOKUP(B162,'EV Forecast VRZ'!$F$116:$T$122,4,FALSE)-HLOOKUP(B162-1,'EV Forecast VRZ'!$F$124:$T$130,4,FALSE)))*C162/78,0)</f>
        <v>480510.02255616256</v>
      </c>
      <c r="S162" s="47">
        <f ca="1">HLOOKUP(B162,Heating!$C$102:$O$106,4,FALSE)*INDEX(Weather!$BO$1:$CB$20,MATCH(B162,Weather!$BO$1:$BO$20,0),MATCH(C162,Weather!$BO$1:$CB$1,0))/VLOOKUP(B162,Weather!$BO$2:$CB$20,14,FALSE)</f>
        <v>325611.45490836422</v>
      </c>
      <c r="T162" s="47">
        <f t="shared" ca="1" si="126"/>
        <v>22140189.139181461</v>
      </c>
    </row>
    <row r="163" spans="1:20">
      <c r="A163" s="2">
        <f t="shared" ref="A163:A193" si="202">EOMONTH(A162,1)</f>
        <v>47299</v>
      </c>
      <c r="B163">
        <f t="shared" ref="B163:B193" si="203">YEAR(A163)</f>
        <v>2029</v>
      </c>
      <c r="C163">
        <f t="shared" ref="C163:C193" si="204">MONTH(A163)</f>
        <v>6</v>
      </c>
      <c r="E163" s="3">
        <f t="shared" ref="E163:F163" ca="1" si="205">E151</f>
        <v>61.78217382617381</v>
      </c>
      <c r="F163" s="3">
        <f t="shared" ca="1" si="205"/>
        <v>144.91160087738351</v>
      </c>
      <c r="H163" s="90">
        <f>'Economic Data'!D189</f>
        <v>8415.0861925032023</v>
      </c>
      <c r="I163" s="47">
        <f t="shared" ref="I163:I193" si="206">I127</f>
        <v>30</v>
      </c>
      <c r="K163" s="3">
        <f t="shared" si="195"/>
        <v>3542907.1380836898</v>
      </c>
      <c r="L163" s="3">
        <f t="shared" ca="1" si="196"/>
        <v>649466.6604823455</v>
      </c>
      <c r="M163" s="3">
        <f t="shared" ca="1" si="197"/>
        <v>4760516.126511923</v>
      </c>
      <c r="N163" s="3">
        <f t="shared" si="198"/>
        <v>0</v>
      </c>
      <c r="O163" s="3">
        <f t="shared" si="199"/>
        <v>0</v>
      </c>
      <c r="P163" s="3">
        <f t="shared" si="200"/>
        <v>13536213.05441268</v>
      </c>
      <c r="Q163" s="47">
        <f t="shared" ca="1" si="201"/>
        <v>22489102.979490638</v>
      </c>
      <c r="R163" s="47">
        <f>IFERROR(HLOOKUP(B163-1,'EV Forecast VRZ'!$F$124:$T$130,4,FALSE)/12,0)+IFERROR(((HLOOKUP(B163,'EV Forecast VRZ'!$F$116:$T$122,4,FALSE)-HLOOKUP(B163-1,'EV Forecast VRZ'!$F$124:$T$130,4,FALSE)))*C163/78,0)</f>
        <v>488005.16066596063</v>
      </c>
      <c r="S163" s="47">
        <f ca="1">HLOOKUP(B163,Heating!$C$102:$O$106,4,FALSE)*INDEX(Weather!$BO$1:$CB$20,MATCH(B163,Weather!$BO$1:$BO$20,0),MATCH(C163,Weather!$BO$1:$CB$1,0))/VLOOKUP(B163,Weather!$BO$2:$CB$20,14,FALSE)</f>
        <v>63495.565227474071</v>
      </c>
      <c r="T163" s="47">
        <f t="shared" ca="1" si="126"/>
        <v>23040603.705384072</v>
      </c>
    </row>
    <row r="164" spans="1:20">
      <c r="A164" s="2">
        <f t="shared" si="202"/>
        <v>47330</v>
      </c>
      <c r="B164">
        <f t="shared" si="203"/>
        <v>2029</v>
      </c>
      <c r="C164">
        <f t="shared" si="204"/>
        <v>7</v>
      </c>
      <c r="E164" s="3">
        <f t="shared" ref="E164:F164" ca="1" si="207">E152</f>
        <v>8.334479813664597</v>
      </c>
      <c r="F164" s="3">
        <f t="shared" ca="1" si="207"/>
        <v>242.72508692061183</v>
      </c>
      <c r="H164" s="90">
        <f>'Economic Data'!D190</f>
        <v>8422.7829176792693</v>
      </c>
      <c r="I164" s="47">
        <f t="shared" si="206"/>
        <v>31</v>
      </c>
      <c r="K164" s="3">
        <f t="shared" si="195"/>
        <v>3542907.1380836898</v>
      </c>
      <c r="L164" s="3">
        <f t="shared" ca="1" si="196"/>
        <v>87613.731214246814</v>
      </c>
      <c r="M164" s="3">
        <f t="shared" ca="1" si="197"/>
        <v>7973803.9163082652</v>
      </c>
      <c r="N164" s="3">
        <f t="shared" si="198"/>
        <v>0</v>
      </c>
      <c r="O164" s="3">
        <f t="shared" si="199"/>
        <v>0</v>
      </c>
      <c r="P164" s="3">
        <f t="shared" si="200"/>
        <v>13987420.156226436</v>
      </c>
      <c r="Q164" s="47">
        <f t="shared" ca="1" si="201"/>
        <v>25591744.941832639</v>
      </c>
      <c r="R164" s="47">
        <f>IFERROR(HLOOKUP(B164-1,'EV Forecast VRZ'!$F$124:$T$130,4,FALSE)/12,0)+IFERROR(((HLOOKUP(B164,'EV Forecast VRZ'!$F$116:$T$122,4,FALSE)-HLOOKUP(B164-1,'EV Forecast VRZ'!$F$124:$T$130,4,FALSE)))*C164/78,0)</f>
        <v>495500.29877575865</v>
      </c>
      <c r="S164" s="47">
        <f ca="1">HLOOKUP(B164,Heating!$C$102:$O$106,4,FALSE)*INDEX(Weather!$BO$1:$CB$20,MATCH(B164,Weather!$BO$1:$BO$20,0),MATCH(C164,Weather!$BO$1:$CB$1,0))/VLOOKUP(B164,Weather!$BO$2:$CB$20,14,FALSE)</f>
        <v>2274.7768590041987</v>
      </c>
      <c r="T164" s="47">
        <f t="shared" ca="1" si="126"/>
        <v>26089520.017467402</v>
      </c>
    </row>
    <row r="165" spans="1:20">
      <c r="A165" s="2">
        <f t="shared" si="202"/>
        <v>47361</v>
      </c>
      <c r="B165">
        <f t="shared" si="203"/>
        <v>2029</v>
      </c>
      <c r="C165">
        <f t="shared" si="204"/>
        <v>8</v>
      </c>
      <c r="E165" s="3">
        <f t="shared" ref="E165:F165" ca="1" si="208">E153</f>
        <v>21.054927536231883</v>
      </c>
      <c r="F165" s="3">
        <f t="shared" ca="1" si="208"/>
        <v>214.02558794466404</v>
      </c>
      <c r="H165" s="90">
        <f>'Economic Data'!D191</f>
        <v>8420.1147196182319</v>
      </c>
      <c r="I165" s="47">
        <f t="shared" si="206"/>
        <v>31</v>
      </c>
      <c r="K165" s="3">
        <f t="shared" si="195"/>
        <v>3542907.1380836898</v>
      </c>
      <c r="L165" s="3">
        <f t="shared" ca="1" si="196"/>
        <v>221333.64086747551</v>
      </c>
      <c r="M165" s="3">
        <f t="shared" ca="1" si="197"/>
        <v>7030991.699269712</v>
      </c>
      <c r="N165" s="3">
        <f t="shared" si="198"/>
        <v>0</v>
      </c>
      <c r="O165" s="3">
        <f t="shared" si="199"/>
        <v>0</v>
      </c>
      <c r="P165" s="3">
        <f t="shared" si="200"/>
        <v>13987420.156226436</v>
      </c>
      <c r="Q165" s="47">
        <f t="shared" ca="1" si="201"/>
        <v>24782652.634447314</v>
      </c>
      <c r="R165" s="47">
        <f>IFERROR(HLOOKUP(B165-1,'EV Forecast VRZ'!$F$124:$T$130,4,FALSE)/12,0)+IFERROR(((HLOOKUP(B165,'EV Forecast VRZ'!$F$116:$T$122,4,FALSE)-HLOOKUP(B165-1,'EV Forecast VRZ'!$F$124:$T$130,4,FALSE)))*C165/78,0)</f>
        <v>502995.43688555673</v>
      </c>
      <c r="S165" s="47">
        <f ca="1">HLOOKUP(B165,Heating!$C$102:$O$106,4,FALSE)*INDEX(Weather!$BO$1:$CB$20,MATCH(B165,Weather!$BO$1:$BO$20,0),MATCH(C165,Weather!$BO$1:$CB$1,0))/VLOOKUP(B165,Weather!$BO$2:$CB$20,14,FALSE)</f>
        <v>13474.753895115557</v>
      </c>
      <c r="T165" s="47">
        <f t="shared" ca="1" si="126"/>
        <v>25299122.825227987</v>
      </c>
    </row>
    <row r="166" spans="1:20">
      <c r="A166" s="2">
        <f t="shared" si="202"/>
        <v>47391</v>
      </c>
      <c r="B166">
        <f t="shared" si="203"/>
        <v>2029</v>
      </c>
      <c r="C166">
        <f t="shared" si="204"/>
        <v>9</v>
      </c>
      <c r="E166" s="3">
        <f t="shared" ref="E166:F166" ca="1" si="209">E154</f>
        <v>97.667119565217376</v>
      </c>
      <c r="F166" s="3">
        <f t="shared" ca="1" si="209"/>
        <v>102.40708333333332</v>
      </c>
      <c r="H166" s="90">
        <f>'Economic Data'!D192</f>
        <v>8417.3438985548473</v>
      </c>
      <c r="I166" s="47">
        <f t="shared" si="206"/>
        <v>30</v>
      </c>
      <c r="K166" s="3">
        <f t="shared" si="195"/>
        <v>3542907.1380836898</v>
      </c>
      <c r="L166" s="3">
        <f t="shared" ca="1" si="196"/>
        <v>1026696.4409737088</v>
      </c>
      <c r="M166" s="3">
        <f t="shared" ca="1" si="197"/>
        <v>3364192.8508531847</v>
      </c>
      <c r="N166" s="3">
        <f t="shared" si="198"/>
        <v>0</v>
      </c>
      <c r="O166" s="3">
        <f t="shared" si="199"/>
        <v>0</v>
      </c>
      <c r="P166" s="3">
        <f t="shared" si="200"/>
        <v>13536213.05441268</v>
      </c>
      <c r="Q166" s="47">
        <f t="shared" ca="1" si="201"/>
        <v>21470009.484323263</v>
      </c>
      <c r="R166" s="47">
        <f>IFERROR(HLOOKUP(B166-1,'EV Forecast VRZ'!$F$124:$T$130,4,FALSE)/12,0)+IFERROR(((HLOOKUP(B166,'EV Forecast VRZ'!$F$116:$T$122,4,FALSE)-HLOOKUP(B166-1,'EV Forecast VRZ'!$F$124:$T$130,4,FALSE)))*C166/78,0)</f>
        <v>510490.57499535475</v>
      </c>
      <c r="S166" s="47">
        <f ca="1">HLOOKUP(B166,Heating!$C$102:$O$106,4,FALSE)*INDEX(Weather!$BO$1:$CB$20,MATCH(B166,Weather!$BO$1:$BO$20,0),MATCH(C166,Weather!$BO$1:$CB$1,0))/VLOOKUP(B166,Weather!$BO$2:$CB$20,14,FALSE)</f>
        <v>114124.31141025784</v>
      </c>
      <c r="T166" s="47">
        <f t="shared" ca="1" si="126"/>
        <v>22094624.370728876</v>
      </c>
    </row>
    <row r="167" spans="1:20">
      <c r="A167" s="2">
        <f t="shared" si="202"/>
        <v>47422</v>
      </c>
      <c r="B167">
        <f t="shared" si="203"/>
        <v>2029</v>
      </c>
      <c r="C167">
        <f t="shared" si="204"/>
        <v>10</v>
      </c>
      <c r="E167" s="3">
        <f t="shared" ref="E167:F167" ca="1" si="210">E155</f>
        <v>292.46431159420291</v>
      </c>
      <c r="F167" s="3">
        <f t="shared" ca="1" si="210"/>
        <v>19.741250000000004</v>
      </c>
      <c r="H167" s="90">
        <f>'Economic Data'!D193</f>
        <v>8429.761281838908</v>
      </c>
      <c r="I167" s="47">
        <f t="shared" si="206"/>
        <v>31</v>
      </c>
      <c r="K167" s="3">
        <f t="shared" si="195"/>
        <v>3542907.1380836898</v>
      </c>
      <c r="L167" s="3">
        <f t="shared" ca="1" si="196"/>
        <v>3074443.7755747139</v>
      </c>
      <c r="M167" s="3">
        <f t="shared" ca="1" si="197"/>
        <v>648523.22666715388</v>
      </c>
      <c r="N167" s="3">
        <f t="shared" si="198"/>
        <v>0</v>
      </c>
      <c r="O167" s="3">
        <f t="shared" si="199"/>
        <v>0</v>
      </c>
      <c r="P167" s="3">
        <f t="shared" si="200"/>
        <v>13987420.156226436</v>
      </c>
      <c r="Q167" s="47">
        <f t="shared" ca="1" si="201"/>
        <v>21253294.296551995</v>
      </c>
      <c r="R167" s="47">
        <f>IFERROR(HLOOKUP(B167-1,'EV Forecast VRZ'!$F$124:$T$130,4,FALSE)/12,0)+IFERROR(((HLOOKUP(B167,'EV Forecast VRZ'!$F$116:$T$122,4,FALSE)-HLOOKUP(B167-1,'EV Forecast VRZ'!$F$124:$T$130,4,FALSE)))*C167/78,0)</f>
        <v>517985.71310515283</v>
      </c>
      <c r="S167" s="47">
        <f ca="1">HLOOKUP(B167,Heating!$C$102:$O$106,4,FALSE)*INDEX(Weather!$BO$1:$CB$20,MATCH(B167,Weather!$BO$1:$BO$20,0),MATCH(C167,Weather!$BO$1:$CB$1,0))/VLOOKUP(B167,Weather!$BO$2:$CB$20,14,FALSE)</f>
        <v>487040.25417817949</v>
      </c>
      <c r="T167" s="47">
        <f t="shared" ca="1" si="126"/>
        <v>22258320.26383533</v>
      </c>
    </row>
    <row r="168" spans="1:20">
      <c r="A168" s="2">
        <f t="shared" si="202"/>
        <v>47452</v>
      </c>
      <c r="B168">
        <f t="shared" si="203"/>
        <v>2029</v>
      </c>
      <c r="C168">
        <f t="shared" si="204"/>
        <v>11</v>
      </c>
      <c r="E168" s="3">
        <f t="shared" ref="E168:F168" ca="1" si="211">E156</f>
        <v>495.51408055712409</v>
      </c>
      <c r="F168" s="3">
        <f t="shared" ca="1" si="211"/>
        <v>0.78124999999999944</v>
      </c>
      <c r="H168" s="90">
        <f>'Economic Data'!D194</f>
        <v>8452.4409653577259</v>
      </c>
      <c r="I168" s="47">
        <f t="shared" si="206"/>
        <v>30</v>
      </c>
      <c r="K168" s="3">
        <f t="shared" si="195"/>
        <v>3542907.1380836898</v>
      </c>
      <c r="L168" s="3">
        <f t="shared" ca="1" si="196"/>
        <v>5208943.861814674</v>
      </c>
      <c r="M168" s="3">
        <f t="shared" ca="1" si="197"/>
        <v>25664.979210217869</v>
      </c>
      <c r="N168" s="3">
        <f t="shared" si="198"/>
        <v>0</v>
      </c>
      <c r="O168" s="3">
        <f t="shared" si="199"/>
        <v>0</v>
      </c>
      <c r="P168" s="3">
        <f t="shared" si="200"/>
        <v>13536213.05441268</v>
      </c>
      <c r="Q168" s="47">
        <f t="shared" ca="1" si="201"/>
        <v>22313729.033521261</v>
      </c>
      <c r="R168" s="47">
        <f>IFERROR(HLOOKUP(B168-1,'EV Forecast VRZ'!$F$124:$T$130,4,FALSE)/12,0)+IFERROR(((HLOOKUP(B168,'EV Forecast VRZ'!$F$116:$T$122,4,FALSE)-HLOOKUP(B168-1,'EV Forecast VRZ'!$F$124:$T$130,4,FALSE)))*C168/78,0)</f>
        <v>525480.8512149509</v>
      </c>
      <c r="S168" s="47">
        <f ca="1">HLOOKUP(B168,Heating!$C$102:$O$106,4,FALSE)*INDEX(Weather!$BO$1:$CB$20,MATCH(B168,Weather!$BO$1:$BO$20,0),MATCH(C168,Weather!$BO$1:$CB$1,0))/VLOOKUP(B168,Weather!$BO$2:$CB$20,14,FALSE)</f>
        <v>913435.89909043792</v>
      </c>
      <c r="T168" s="47">
        <f t="shared" ca="1" si="126"/>
        <v>23752645.783826649</v>
      </c>
    </row>
    <row r="169" spans="1:20">
      <c r="A169" s="2">
        <f t="shared" si="202"/>
        <v>47483</v>
      </c>
      <c r="B169">
        <f t="shared" si="203"/>
        <v>2029</v>
      </c>
      <c r="C169">
        <f t="shared" si="204"/>
        <v>12</v>
      </c>
      <c r="E169" s="3">
        <f t="shared" ref="E169:F169" ca="1" si="212">E157</f>
        <v>664.38541666666663</v>
      </c>
      <c r="F169" s="3">
        <f t="shared" ca="1" si="212"/>
        <v>0</v>
      </c>
      <c r="H169" s="90">
        <f>'Economic Data'!D195</f>
        <v>8477.788846937583</v>
      </c>
      <c r="I169" s="47">
        <f t="shared" si="206"/>
        <v>31</v>
      </c>
      <c r="K169" s="3">
        <f t="shared" si="195"/>
        <v>3542907.1380836898</v>
      </c>
      <c r="L169" s="3">
        <f t="shared" ca="1" si="196"/>
        <v>6984153.3748828648</v>
      </c>
      <c r="M169" s="3">
        <f t="shared" ca="1" si="197"/>
        <v>0</v>
      </c>
      <c r="N169" s="3">
        <f t="shared" si="198"/>
        <v>0</v>
      </c>
      <c r="O169" s="3">
        <f t="shared" si="199"/>
        <v>0</v>
      </c>
      <c r="P169" s="3">
        <f t="shared" si="200"/>
        <v>13987420.156226436</v>
      </c>
      <c r="Q169" s="47">
        <f t="shared" ca="1" si="201"/>
        <v>24514480.669192992</v>
      </c>
      <c r="R169" s="47">
        <f>IFERROR(HLOOKUP(B169-1,'EV Forecast VRZ'!$F$124:$T$130,4,FALSE)/12,0)+IFERROR(((HLOOKUP(B169,'EV Forecast VRZ'!$F$116:$T$122,4,FALSE)-HLOOKUP(B169-1,'EV Forecast VRZ'!$F$124:$T$130,4,FALSE)))*C169/78,0)</f>
        <v>532975.98932474898</v>
      </c>
      <c r="S169" s="47">
        <f ca="1">HLOOKUP(B169,Heating!$C$102:$O$106,4,FALSE)*INDEX(Weather!$BO$1:$CB$20,MATCH(B169,Weather!$BO$1:$BO$20,0),MATCH(C169,Weather!$BO$1:$CB$1,0))/VLOOKUP(B169,Weather!$BO$2:$CB$20,14,FALSE)</f>
        <v>1263427.4969204189</v>
      </c>
      <c r="T169" s="47">
        <f t="shared" ca="1" si="126"/>
        <v>26310884.155438159</v>
      </c>
    </row>
    <row r="170" spans="1:20">
      <c r="A170" s="2">
        <f t="shared" si="202"/>
        <v>47514</v>
      </c>
      <c r="B170">
        <f t="shared" si="203"/>
        <v>2030</v>
      </c>
      <c r="C170">
        <f t="shared" si="204"/>
        <v>1</v>
      </c>
      <c r="E170" s="3">
        <f t="shared" ref="E170:F170" ca="1" si="213">E158</f>
        <v>752.78750000000002</v>
      </c>
      <c r="F170" s="3">
        <f t="shared" ca="1" si="213"/>
        <v>0</v>
      </c>
      <c r="H170" s="90">
        <f>'Economic Data'!D196</f>
        <v>8542.8749372527509</v>
      </c>
      <c r="I170" s="47">
        <f t="shared" si="206"/>
        <v>31</v>
      </c>
      <c r="K170" s="3">
        <f t="shared" si="195"/>
        <v>3542907.1380836898</v>
      </c>
      <c r="L170" s="3">
        <f t="shared" ca="1" si="196"/>
        <v>7913453.8880651752</v>
      </c>
      <c r="M170" s="3">
        <f t="shared" ca="1" si="197"/>
        <v>0</v>
      </c>
      <c r="N170" s="3">
        <f t="shared" si="198"/>
        <v>0</v>
      </c>
      <c r="O170" s="3">
        <f t="shared" si="199"/>
        <v>0</v>
      </c>
      <c r="P170" s="3">
        <f t="shared" si="200"/>
        <v>13987420.156226436</v>
      </c>
      <c r="Q170" s="47">
        <f t="shared" ca="1" si="201"/>
        <v>25443781.182375301</v>
      </c>
      <c r="R170" s="47">
        <f>IFERROR(HLOOKUP(B170-1,'EV Forecast VRZ'!$F$124:$T$130,4,FALSE)/12,0)+IFERROR(((HLOOKUP(B170,'EV Forecast VRZ'!$F$116:$T$122,4,FALSE)-HLOOKUP(B170-1,'EV Forecast VRZ'!$F$124:$T$130,4,FALSE)))*C170/78,0)</f>
        <v>555657.55947071302</v>
      </c>
      <c r="S170" s="47">
        <f ca="1">HLOOKUP(B170,Heating!$C$102:$O$106,4,FALSE)*INDEX(Weather!$BO$1:$CB$20,MATCH(B170,Weather!$BO$1:$BO$20,0),MATCH(C170,Weather!$BO$1:$CB$1,0))/VLOOKUP(B170,Weather!$BO$2:$CB$20,14,FALSE)</f>
        <v>1633851.8356205835</v>
      </c>
      <c r="T170" s="47">
        <f t="shared" ca="1" si="126"/>
        <v>27633290.577466596</v>
      </c>
    </row>
    <row r="171" spans="1:20">
      <c r="A171" s="2">
        <f t="shared" si="202"/>
        <v>47542</v>
      </c>
      <c r="B171">
        <f t="shared" si="203"/>
        <v>2030</v>
      </c>
      <c r="C171">
        <f t="shared" si="204"/>
        <v>2</v>
      </c>
      <c r="E171" s="3">
        <f t="shared" ref="E171:F171" ca="1" si="214">E159</f>
        <v>660.7954166666666</v>
      </c>
      <c r="F171" s="3">
        <f t="shared" ca="1" si="214"/>
        <v>0</v>
      </c>
      <c r="H171" s="90">
        <f>'Economic Data'!D197</f>
        <v>8527.3354681503897</v>
      </c>
      <c r="I171" s="47">
        <f t="shared" si="206"/>
        <v>29</v>
      </c>
      <c r="K171" s="3">
        <f t="shared" si="195"/>
        <v>3542907.1380836898</v>
      </c>
      <c r="L171" s="3">
        <f t="shared" ca="1" si="196"/>
        <v>6946414.5714912647</v>
      </c>
      <c r="M171" s="3">
        <f t="shared" ca="1" si="197"/>
        <v>0</v>
      </c>
      <c r="N171" s="3">
        <f t="shared" si="198"/>
        <v>0</v>
      </c>
      <c r="O171" s="3">
        <f t="shared" si="199"/>
        <v>0</v>
      </c>
      <c r="P171" s="3">
        <f t="shared" si="200"/>
        <v>13085005.952598924</v>
      </c>
      <c r="Q171" s="47">
        <f t="shared" ca="1" si="201"/>
        <v>23574327.662173878</v>
      </c>
      <c r="R171" s="47">
        <f>IFERROR(HLOOKUP(B171-1,'EV Forecast VRZ'!$F$124:$T$130,4,FALSE)/12,0)+IFERROR(((HLOOKUP(B171,'EV Forecast VRZ'!$F$116:$T$122,4,FALSE)-HLOOKUP(B171-1,'EV Forecast VRZ'!$F$124:$T$130,4,FALSE)))*C171/78,0)</f>
        <v>564413.7915068788</v>
      </c>
      <c r="S171" s="47">
        <f ca="1">HLOOKUP(B171,Heating!$C$102:$O$106,4,FALSE)*INDEX(Weather!$BO$1:$CB$20,MATCH(B171,Weather!$BO$1:$BO$20,0),MATCH(C171,Weather!$BO$1:$CB$1,0))/VLOOKUP(B171,Weather!$BO$2:$CB$20,14,FALSE)</f>
        <v>1429044.0846054344</v>
      </c>
      <c r="T171" s="47">
        <f t="shared" ref="T171:T193" ca="1" si="215">Q171+R171+S171</f>
        <v>25567785.53828619</v>
      </c>
    </row>
    <row r="172" spans="1:20">
      <c r="A172" s="2">
        <f t="shared" si="202"/>
        <v>47573</v>
      </c>
      <c r="B172">
        <f t="shared" si="203"/>
        <v>2030</v>
      </c>
      <c r="C172">
        <f t="shared" si="204"/>
        <v>3</v>
      </c>
      <c r="E172" s="3">
        <f t="shared" ref="E172:F172" ca="1" si="216">E160</f>
        <v>596.21590579710141</v>
      </c>
      <c r="F172" s="3">
        <f t="shared" ca="1" si="216"/>
        <v>0</v>
      </c>
      <c r="H172" s="90">
        <f>'Economic Data'!D198</f>
        <v>8542.7202677369514</v>
      </c>
      <c r="I172" s="47">
        <f t="shared" si="206"/>
        <v>31</v>
      </c>
      <c r="K172" s="3">
        <f t="shared" si="195"/>
        <v>3542907.1380836898</v>
      </c>
      <c r="L172" s="3">
        <f t="shared" ca="1" si="196"/>
        <v>6267541.7403402319</v>
      </c>
      <c r="M172" s="3">
        <f t="shared" ca="1" si="197"/>
        <v>0</v>
      </c>
      <c r="N172" s="3">
        <f t="shared" si="198"/>
        <v>0</v>
      </c>
      <c r="O172" s="3">
        <f t="shared" si="199"/>
        <v>0</v>
      </c>
      <c r="P172" s="3">
        <f t="shared" si="200"/>
        <v>13987420.156226436</v>
      </c>
      <c r="Q172" s="47">
        <f t="shared" ca="1" si="201"/>
        <v>23797869.034650356</v>
      </c>
      <c r="R172" s="47">
        <f>IFERROR(HLOOKUP(B172-1,'EV Forecast VRZ'!$F$124:$T$130,4,FALSE)/12,0)+IFERROR(((HLOOKUP(B172,'EV Forecast VRZ'!$F$116:$T$122,4,FALSE)-HLOOKUP(B172-1,'EV Forecast VRZ'!$F$124:$T$130,4,FALSE)))*C172/78,0)</f>
        <v>573170.02354304469</v>
      </c>
      <c r="S172" s="47">
        <f ca="1">HLOOKUP(B172,Heating!$C$102:$O$106,4,FALSE)*INDEX(Weather!$BO$1:$CB$20,MATCH(B172,Weather!$BO$1:$BO$20,0),MATCH(C172,Weather!$BO$1:$CB$1,0))/VLOOKUP(B172,Weather!$BO$2:$CB$20,14,FALSE)</f>
        <v>1263528.419816958</v>
      </c>
      <c r="T172" s="47">
        <f t="shared" ca="1" si="215"/>
        <v>25634567.47801036</v>
      </c>
    </row>
    <row r="173" spans="1:20">
      <c r="A173" s="2">
        <f t="shared" si="202"/>
        <v>47603</v>
      </c>
      <c r="B173">
        <f t="shared" si="203"/>
        <v>2030</v>
      </c>
      <c r="C173">
        <f t="shared" si="204"/>
        <v>4</v>
      </c>
      <c r="E173" s="3">
        <f t="shared" ref="E173:F173" ca="1" si="217">E161</f>
        <v>412.8885416666667</v>
      </c>
      <c r="F173" s="3">
        <f t="shared" ca="1" si="217"/>
        <v>2.2025000000000015</v>
      </c>
      <c r="H173" s="90">
        <f>'Economic Data'!D199</f>
        <v>8528.713767261539</v>
      </c>
      <c r="I173" s="47">
        <f t="shared" si="206"/>
        <v>30</v>
      </c>
      <c r="K173" s="3">
        <f t="shared" si="195"/>
        <v>3542907.1380836898</v>
      </c>
      <c r="L173" s="3">
        <f t="shared" ca="1" si="196"/>
        <v>4340367.547800201</v>
      </c>
      <c r="M173" s="3">
        <f t="shared" ca="1" si="197"/>
        <v>72354.709389446318</v>
      </c>
      <c r="N173" s="3">
        <f t="shared" si="198"/>
        <v>0</v>
      </c>
      <c r="O173" s="3">
        <f t="shared" si="199"/>
        <v>0</v>
      </c>
      <c r="P173" s="3">
        <f t="shared" si="200"/>
        <v>13536213.05441268</v>
      </c>
      <c r="Q173" s="47">
        <f t="shared" ca="1" si="201"/>
        <v>21491842.449686017</v>
      </c>
      <c r="R173" s="47">
        <f>IFERROR(HLOOKUP(B173-1,'EV Forecast VRZ'!$F$124:$T$130,4,FALSE)/12,0)+IFERROR(((HLOOKUP(B173,'EV Forecast VRZ'!$F$116:$T$122,4,FALSE)-HLOOKUP(B173-1,'EV Forecast VRZ'!$F$124:$T$130,4,FALSE)))*C173/78,0)</f>
        <v>581926.25557921047</v>
      </c>
      <c r="S173" s="47">
        <f ca="1">HLOOKUP(B173,Heating!$C$102:$O$106,4,FALSE)*INDEX(Weather!$BO$1:$CB$20,MATCH(B173,Weather!$BO$1:$BO$20,0),MATCH(C173,Weather!$BO$1:$CB$1,0))/VLOOKUP(B173,Weather!$BO$2:$CB$20,14,FALSE)</f>
        <v>834734.40908268129</v>
      </c>
      <c r="T173" s="47">
        <f t="shared" ca="1" si="215"/>
        <v>22908503.114347909</v>
      </c>
    </row>
    <row r="174" spans="1:20">
      <c r="A174" s="2">
        <f t="shared" si="202"/>
        <v>47634</v>
      </c>
      <c r="B174">
        <f t="shared" si="203"/>
        <v>2030</v>
      </c>
      <c r="C174">
        <f t="shared" si="204"/>
        <v>5</v>
      </c>
      <c r="E174" s="3">
        <f t="shared" ref="E174:F174" ca="1" si="218">E162</f>
        <v>208.90012508544086</v>
      </c>
      <c r="F174" s="3">
        <f t="shared" ca="1" si="218"/>
        <v>48.940113636363641</v>
      </c>
      <c r="H174" s="90">
        <f>'Economic Data'!D200</f>
        <v>8512.2172222571644</v>
      </c>
      <c r="I174" s="47">
        <f t="shared" si="206"/>
        <v>31</v>
      </c>
      <c r="K174" s="3">
        <f t="shared" si="195"/>
        <v>3542907.1380836898</v>
      </c>
      <c r="L174" s="3">
        <f t="shared" ca="1" si="196"/>
        <v>2196000.2086574011</v>
      </c>
      <c r="M174" s="3">
        <f t="shared" ca="1" si="197"/>
        <v>1607740.1587494065</v>
      </c>
      <c r="N174" s="3">
        <f t="shared" si="198"/>
        <v>0</v>
      </c>
      <c r="O174" s="3">
        <f t="shared" si="199"/>
        <v>0</v>
      </c>
      <c r="P174" s="3">
        <f t="shared" si="200"/>
        <v>13987420.156226436</v>
      </c>
      <c r="Q174" s="47">
        <f t="shared" ca="1" si="201"/>
        <v>21334067.661716934</v>
      </c>
      <c r="R174" s="47">
        <f>IFERROR(HLOOKUP(B174-1,'EV Forecast VRZ'!$F$124:$T$130,4,FALSE)/12,0)+IFERROR(((HLOOKUP(B174,'EV Forecast VRZ'!$F$116:$T$122,4,FALSE)-HLOOKUP(B174-1,'EV Forecast VRZ'!$F$124:$T$130,4,FALSE)))*C174/78,0)</f>
        <v>590682.48761537636</v>
      </c>
      <c r="S174" s="47">
        <f ca="1">HLOOKUP(B174,Heating!$C$102:$O$106,4,FALSE)*INDEX(Weather!$BO$1:$CB$20,MATCH(B174,Weather!$BO$1:$BO$20,0),MATCH(C174,Weather!$BO$1:$CB$1,0))/VLOOKUP(B174,Weather!$BO$2:$CB$20,14,FALSE)</f>
        <v>367190.97616848256</v>
      </c>
      <c r="T174" s="47">
        <f t="shared" ca="1" si="215"/>
        <v>22291941.125500795</v>
      </c>
    </row>
    <row r="175" spans="1:20">
      <c r="A175" s="2">
        <f t="shared" si="202"/>
        <v>47664</v>
      </c>
      <c r="B175">
        <f t="shared" si="203"/>
        <v>2030</v>
      </c>
      <c r="C175">
        <f t="shared" si="204"/>
        <v>6</v>
      </c>
      <c r="E175" s="3">
        <f t="shared" ref="E175:F175" ca="1" si="219">E163</f>
        <v>61.78217382617381</v>
      </c>
      <c r="F175" s="3">
        <f t="shared" ca="1" si="219"/>
        <v>144.91160087738351</v>
      </c>
      <c r="H175" s="90">
        <f>'Economic Data'!D201</f>
        <v>8507.6521406207357</v>
      </c>
      <c r="I175" s="47">
        <f t="shared" si="206"/>
        <v>30</v>
      </c>
      <c r="K175" s="3">
        <f t="shared" si="195"/>
        <v>3542907.1380836898</v>
      </c>
      <c r="L175" s="3">
        <f t="shared" ca="1" si="196"/>
        <v>649466.6604823455</v>
      </c>
      <c r="M175" s="3">
        <f t="shared" ca="1" si="197"/>
        <v>4760516.126511923</v>
      </c>
      <c r="N175" s="3">
        <f t="shared" si="198"/>
        <v>0</v>
      </c>
      <c r="O175" s="3">
        <f t="shared" si="199"/>
        <v>0</v>
      </c>
      <c r="P175" s="3">
        <f t="shared" si="200"/>
        <v>13536213.05441268</v>
      </c>
      <c r="Q175" s="47">
        <f t="shared" ca="1" si="201"/>
        <v>22489102.979490638</v>
      </c>
      <c r="R175" s="47">
        <f>IFERROR(HLOOKUP(B175-1,'EV Forecast VRZ'!$F$124:$T$130,4,FALSE)/12,0)+IFERROR(((HLOOKUP(B175,'EV Forecast VRZ'!$F$116:$T$122,4,FALSE)-HLOOKUP(B175-1,'EV Forecast VRZ'!$F$124:$T$130,4,FALSE)))*C175/78,0)</f>
        <v>599438.71965154225</v>
      </c>
      <c r="S175" s="47">
        <f ca="1">HLOOKUP(B175,Heating!$C$102:$O$106,4,FALSE)*INDEX(Weather!$BO$1:$CB$20,MATCH(B175,Weather!$BO$1:$BO$20,0),MATCH(C175,Weather!$BO$1:$CB$1,0))/VLOOKUP(B175,Weather!$BO$2:$CB$20,14,FALSE)</f>
        <v>71603.74190400404</v>
      </c>
      <c r="T175" s="47">
        <f t="shared" ca="1" si="215"/>
        <v>23160145.441046186</v>
      </c>
    </row>
    <row r="176" spans="1:20">
      <c r="A176" s="2">
        <f t="shared" si="202"/>
        <v>47695</v>
      </c>
      <c r="B176">
        <f t="shared" si="203"/>
        <v>2030</v>
      </c>
      <c r="C176">
        <f t="shared" si="204"/>
        <v>7</v>
      </c>
      <c r="E176" s="3">
        <f t="shared" ref="E176:F176" ca="1" si="220">E164</f>
        <v>8.334479813664597</v>
      </c>
      <c r="F176" s="3">
        <f t="shared" ca="1" si="220"/>
        <v>242.72508692061183</v>
      </c>
      <c r="H176" s="90">
        <f>'Economic Data'!D202</f>
        <v>8515.4335297737398</v>
      </c>
      <c r="I176" s="47">
        <f t="shared" si="206"/>
        <v>31</v>
      </c>
      <c r="K176" s="3">
        <f t="shared" si="195"/>
        <v>3542907.1380836898</v>
      </c>
      <c r="L176" s="3">
        <f t="shared" ca="1" si="196"/>
        <v>87613.731214246814</v>
      </c>
      <c r="M176" s="3">
        <f t="shared" ca="1" si="197"/>
        <v>7973803.9163082652</v>
      </c>
      <c r="N176" s="3">
        <f t="shared" si="198"/>
        <v>0</v>
      </c>
      <c r="O176" s="3">
        <f t="shared" si="199"/>
        <v>0</v>
      </c>
      <c r="P176" s="3">
        <f t="shared" si="200"/>
        <v>13987420.156226436</v>
      </c>
      <c r="Q176" s="47">
        <f t="shared" ca="1" si="201"/>
        <v>25591744.941832639</v>
      </c>
      <c r="R176" s="47">
        <f>IFERROR(HLOOKUP(B176-1,'EV Forecast VRZ'!$F$124:$T$130,4,FALSE)/12,0)+IFERROR(((HLOOKUP(B176,'EV Forecast VRZ'!$F$116:$T$122,4,FALSE)-HLOOKUP(B176-1,'EV Forecast VRZ'!$F$124:$T$130,4,FALSE)))*C176/78,0)</f>
        <v>608194.95168770803</v>
      </c>
      <c r="S176" s="47">
        <f ca="1">HLOOKUP(B176,Heating!$C$102:$O$106,4,FALSE)*INDEX(Weather!$BO$1:$CB$20,MATCH(B176,Weather!$BO$1:$BO$20,0),MATCH(C176,Weather!$BO$1:$CB$1,0))/VLOOKUP(B176,Weather!$BO$2:$CB$20,14,FALSE)</f>
        <v>2565.2584478586473</v>
      </c>
      <c r="T176" s="47">
        <f t="shared" ca="1" si="215"/>
        <v>26202505.151968207</v>
      </c>
    </row>
    <row r="177" spans="1:20">
      <c r="A177" s="2">
        <f t="shared" si="202"/>
        <v>47726</v>
      </c>
      <c r="B177">
        <f t="shared" si="203"/>
        <v>2030</v>
      </c>
      <c r="C177">
        <f t="shared" si="204"/>
        <v>8</v>
      </c>
      <c r="E177" s="3">
        <f t="shared" ref="E177:F177" ca="1" si="221">E165</f>
        <v>21.054927536231883</v>
      </c>
      <c r="F177" s="3">
        <f t="shared" ca="1" si="221"/>
        <v>214.02558794466404</v>
      </c>
      <c r="H177" s="90">
        <f>'Economic Data'!D203</f>
        <v>8512.7359815340315</v>
      </c>
      <c r="I177" s="47">
        <f t="shared" si="206"/>
        <v>31</v>
      </c>
      <c r="K177" s="3">
        <f t="shared" si="195"/>
        <v>3542907.1380836898</v>
      </c>
      <c r="L177" s="3">
        <f t="shared" ca="1" si="196"/>
        <v>221333.64086747551</v>
      </c>
      <c r="M177" s="3">
        <f t="shared" ca="1" si="197"/>
        <v>7030991.699269712</v>
      </c>
      <c r="N177" s="3">
        <f t="shared" si="198"/>
        <v>0</v>
      </c>
      <c r="O177" s="3">
        <f t="shared" si="199"/>
        <v>0</v>
      </c>
      <c r="P177" s="3">
        <f t="shared" si="200"/>
        <v>13987420.156226436</v>
      </c>
      <c r="Q177" s="47">
        <f t="shared" ca="1" si="201"/>
        <v>24782652.634447314</v>
      </c>
      <c r="R177" s="47">
        <f>IFERROR(HLOOKUP(B177-1,'EV Forecast VRZ'!$F$124:$T$130,4,FALSE)/12,0)+IFERROR(((HLOOKUP(B177,'EV Forecast VRZ'!$F$116:$T$122,4,FALSE)-HLOOKUP(B177-1,'EV Forecast VRZ'!$F$124:$T$130,4,FALSE)))*C177/78,0)</f>
        <v>616951.18372387392</v>
      </c>
      <c r="S177" s="47">
        <f ca="1">HLOOKUP(B177,Heating!$C$102:$O$106,4,FALSE)*INDEX(Weather!$BO$1:$CB$20,MATCH(B177,Weather!$BO$1:$BO$20,0),MATCH(C177,Weather!$BO$1:$CB$1,0))/VLOOKUP(B177,Weather!$BO$2:$CB$20,14,FALSE)</f>
        <v>15195.436038237627</v>
      </c>
      <c r="T177" s="47">
        <f t="shared" ca="1" si="215"/>
        <v>25414799.254209425</v>
      </c>
    </row>
    <row r="178" spans="1:20">
      <c r="A178" s="2">
        <f t="shared" si="202"/>
        <v>47756</v>
      </c>
      <c r="B178">
        <f t="shared" si="203"/>
        <v>2030</v>
      </c>
      <c r="C178">
        <f t="shared" si="204"/>
        <v>9</v>
      </c>
      <c r="E178" s="3">
        <f t="shared" ref="E178:F178" ca="1" si="222">E166</f>
        <v>97.667119565217376</v>
      </c>
      <c r="F178" s="3">
        <f t="shared" ca="1" si="222"/>
        <v>102.40708333333332</v>
      </c>
      <c r="H178" s="90">
        <f>'Economic Data'!D204</f>
        <v>8509.9346814389501</v>
      </c>
      <c r="I178" s="47">
        <f t="shared" si="206"/>
        <v>30</v>
      </c>
      <c r="K178" s="3">
        <f t="shared" si="195"/>
        <v>3542907.1380836898</v>
      </c>
      <c r="L178" s="3">
        <f t="shared" ca="1" si="196"/>
        <v>1026696.4409737088</v>
      </c>
      <c r="M178" s="3">
        <f t="shared" ca="1" si="197"/>
        <v>3364192.8508531847</v>
      </c>
      <c r="N178" s="3">
        <f t="shared" si="198"/>
        <v>0</v>
      </c>
      <c r="O178" s="3">
        <f t="shared" si="199"/>
        <v>0</v>
      </c>
      <c r="P178" s="3">
        <f t="shared" si="200"/>
        <v>13536213.05441268</v>
      </c>
      <c r="Q178" s="47">
        <f t="shared" ca="1" si="201"/>
        <v>21470009.484323263</v>
      </c>
      <c r="R178" s="47">
        <f>IFERROR(HLOOKUP(B178-1,'EV Forecast VRZ'!$F$124:$T$130,4,FALSE)/12,0)+IFERROR(((HLOOKUP(B178,'EV Forecast VRZ'!$F$116:$T$122,4,FALSE)-HLOOKUP(B178-1,'EV Forecast VRZ'!$F$124:$T$130,4,FALSE)))*C178/78,0)</f>
        <v>625707.4157600397</v>
      </c>
      <c r="S178" s="47">
        <f ca="1">HLOOKUP(B178,Heating!$C$102:$O$106,4,FALSE)*INDEX(Weather!$BO$1:$CB$20,MATCH(B178,Weather!$BO$1:$BO$20,0),MATCH(C178,Weather!$BO$1:$CB$1,0))/VLOOKUP(B178,Weather!$BO$2:$CB$20,14,FALSE)</f>
        <v>128697.61391865583</v>
      </c>
      <c r="T178" s="47">
        <f t="shared" ca="1" si="215"/>
        <v>22224414.514001958</v>
      </c>
    </row>
    <row r="179" spans="1:20">
      <c r="A179" s="2">
        <f t="shared" si="202"/>
        <v>47787</v>
      </c>
      <c r="B179">
        <f t="shared" si="203"/>
        <v>2030</v>
      </c>
      <c r="C179">
        <f t="shared" si="204"/>
        <v>10</v>
      </c>
      <c r="E179" s="3">
        <f t="shared" ref="E179:F179" ca="1" si="223">E167</f>
        <v>292.46431159420291</v>
      </c>
      <c r="F179" s="3">
        <f t="shared" ca="1" si="223"/>
        <v>19.741250000000004</v>
      </c>
      <c r="H179" s="90">
        <f>'Economic Data'!D205</f>
        <v>8522.4886559391343</v>
      </c>
      <c r="I179" s="47">
        <f t="shared" si="206"/>
        <v>31</v>
      </c>
      <c r="K179" s="3">
        <f t="shared" si="195"/>
        <v>3542907.1380836898</v>
      </c>
      <c r="L179" s="3">
        <f t="shared" ca="1" si="196"/>
        <v>3074443.7755747139</v>
      </c>
      <c r="M179" s="3">
        <f t="shared" ca="1" si="197"/>
        <v>648523.22666715388</v>
      </c>
      <c r="N179" s="3">
        <f t="shared" si="198"/>
        <v>0</v>
      </c>
      <c r="O179" s="3">
        <f t="shared" si="199"/>
        <v>0</v>
      </c>
      <c r="P179" s="3">
        <f t="shared" si="200"/>
        <v>13987420.156226436</v>
      </c>
      <c r="Q179" s="47">
        <f t="shared" ca="1" si="201"/>
        <v>21253294.296551995</v>
      </c>
      <c r="R179" s="47">
        <f>IFERROR(HLOOKUP(B179-1,'EV Forecast VRZ'!$F$124:$T$130,4,FALSE)/12,0)+IFERROR(((HLOOKUP(B179,'EV Forecast VRZ'!$F$116:$T$122,4,FALSE)-HLOOKUP(B179-1,'EV Forecast VRZ'!$F$124:$T$130,4,FALSE)))*C179/78,0)</f>
        <v>634463.64779620559</v>
      </c>
      <c r="S179" s="47">
        <f ca="1">HLOOKUP(B179,Heating!$C$102:$O$106,4,FALSE)*INDEX(Weather!$BO$1:$CB$20,MATCH(B179,Weather!$BO$1:$BO$20,0),MATCH(C179,Weather!$BO$1:$CB$1,0))/VLOOKUP(B179,Weather!$BO$2:$CB$20,14,FALSE)</f>
        <v>549233.70682816138</v>
      </c>
      <c r="T179" s="47">
        <f t="shared" ca="1" si="215"/>
        <v>22436991.651176363</v>
      </c>
    </row>
    <row r="180" spans="1:20">
      <c r="A180" s="2">
        <f t="shared" si="202"/>
        <v>47817</v>
      </c>
      <c r="B180">
        <f t="shared" si="203"/>
        <v>2030</v>
      </c>
      <c r="C180">
        <f t="shared" si="204"/>
        <v>11</v>
      </c>
      <c r="E180" s="3">
        <f t="shared" ref="E180:F180" ca="1" si="224">E168</f>
        <v>495.51408055712409</v>
      </c>
      <c r="F180" s="3">
        <f t="shared" ca="1" si="224"/>
        <v>0.78124999999999944</v>
      </c>
      <c r="H180" s="90">
        <f>'Economic Data'!D206</f>
        <v>8545.4178159766598</v>
      </c>
      <c r="I180" s="47">
        <f t="shared" si="206"/>
        <v>30</v>
      </c>
      <c r="K180" s="3">
        <f t="shared" si="195"/>
        <v>3542907.1380836898</v>
      </c>
      <c r="L180" s="3">
        <f t="shared" ca="1" si="196"/>
        <v>5208943.861814674</v>
      </c>
      <c r="M180" s="3">
        <f t="shared" ca="1" si="197"/>
        <v>25664.979210217869</v>
      </c>
      <c r="N180" s="3">
        <f t="shared" si="198"/>
        <v>0</v>
      </c>
      <c r="O180" s="3">
        <f t="shared" si="199"/>
        <v>0</v>
      </c>
      <c r="P180" s="3">
        <f t="shared" si="200"/>
        <v>13536213.05441268</v>
      </c>
      <c r="Q180" s="47">
        <f t="shared" ca="1" si="201"/>
        <v>22313729.033521261</v>
      </c>
      <c r="R180" s="47">
        <f>IFERROR(HLOOKUP(B180-1,'EV Forecast VRZ'!$F$124:$T$130,4,FALSE)/12,0)+IFERROR(((HLOOKUP(B180,'EV Forecast VRZ'!$F$116:$T$122,4,FALSE)-HLOOKUP(B180-1,'EV Forecast VRZ'!$F$124:$T$130,4,FALSE)))*C180/78,0)</f>
        <v>643219.87983237137</v>
      </c>
      <c r="S180" s="47">
        <f ca="1">HLOOKUP(B180,Heating!$C$102:$O$106,4,FALSE)*INDEX(Weather!$BO$1:$CB$20,MATCH(B180,Weather!$BO$1:$BO$20,0),MATCH(C180,Weather!$BO$1:$CB$1,0))/VLOOKUP(B180,Weather!$BO$2:$CB$20,14,FALSE)</f>
        <v>1030078.68549571</v>
      </c>
      <c r="T180" s="47">
        <f t="shared" ca="1" si="215"/>
        <v>23987027.598849341</v>
      </c>
    </row>
    <row r="181" spans="1:20">
      <c r="A181" s="2">
        <f t="shared" si="202"/>
        <v>47848</v>
      </c>
      <c r="B181">
        <f t="shared" si="203"/>
        <v>2030</v>
      </c>
      <c r="C181">
        <f t="shared" si="204"/>
        <v>12</v>
      </c>
      <c r="E181" s="3">
        <f t="shared" ref="E181:F181" ca="1" si="225">E169</f>
        <v>664.38541666666663</v>
      </c>
      <c r="F181" s="3">
        <f t="shared" ca="1" si="225"/>
        <v>0</v>
      </c>
      <c r="H181" s="90">
        <f>'Economic Data'!D207</f>
        <v>8571.0445242538954</v>
      </c>
      <c r="I181" s="47">
        <f t="shared" si="206"/>
        <v>31</v>
      </c>
      <c r="K181" s="3">
        <f t="shared" si="195"/>
        <v>3542907.1380836898</v>
      </c>
      <c r="L181" s="3">
        <f t="shared" ca="1" si="196"/>
        <v>6984153.3748828648</v>
      </c>
      <c r="M181" s="3">
        <f t="shared" ca="1" si="197"/>
        <v>0</v>
      </c>
      <c r="N181" s="3">
        <f t="shared" si="198"/>
        <v>0</v>
      </c>
      <c r="O181" s="3">
        <f t="shared" si="199"/>
        <v>0</v>
      </c>
      <c r="P181" s="3">
        <f t="shared" si="200"/>
        <v>13987420.156226436</v>
      </c>
      <c r="Q181" s="47">
        <f t="shared" ca="1" si="201"/>
        <v>24514480.669192992</v>
      </c>
      <c r="R181" s="47">
        <f>IFERROR(HLOOKUP(B181-1,'EV Forecast VRZ'!$F$124:$T$130,4,FALSE)/12,0)+IFERROR(((HLOOKUP(B181,'EV Forecast VRZ'!$F$116:$T$122,4,FALSE)-HLOOKUP(B181-1,'EV Forecast VRZ'!$F$124:$T$130,4,FALSE)))*C181/78,0)</f>
        <v>651976.11186853726</v>
      </c>
      <c r="S181" s="47">
        <f ca="1">HLOOKUP(B181,Heating!$C$102:$O$106,4,FALSE)*INDEX(Weather!$BO$1:$CB$20,MATCH(B181,Weather!$BO$1:$BO$20,0),MATCH(C181,Weather!$BO$1:$CB$1,0))/VLOOKUP(B181,Weather!$BO$2:$CB$20,14,FALSE)</f>
        <v>1424763.0693547633</v>
      </c>
      <c r="T181" s="47">
        <f t="shared" ca="1" si="215"/>
        <v>26591219.850416295</v>
      </c>
    </row>
    <row r="182" spans="1:20">
      <c r="A182" s="2">
        <f t="shared" si="202"/>
        <v>47879</v>
      </c>
      <c r="B182">
        <f t="shared" si="203"/>
        <v>2031</v>
      </c>
      <c r="C182">
        <f t="shared" si="204"/>
        <v>1</v>
      </c>
      <c r="E182" s="3">
        <f t="shared" ref="E182:F182" ca="1" si="226">E170</f>
        <v>752.78750000000002</v>
      </c>
      <c r="F182" s="3">
        <f t="shared" ca="1" si="226"/>
        <v>0</v>
      </c>
      <c r="H182" s="90">
        <f>'Economic Data'!D208</f>
        <v>8636.84656156253</v>
      </c>
      <c r="I182" s="47">
        <f t="shared" si="206"/>
        <v>31</v>
      </c>
      <c r="K182" s="3">
        <f t="shared" si="195"/>
        <v>3542907.1380836898</v>
      </c>
      <c r="L182" s="3">
        <f t="shared" ca="1" si="196"/>
        <v>7913453.8880651752</v>
      </c>
      <c r="M182" s="3">
        <f t="shared" ca="1" si="197"/>
        <v>0</v>
      </c>
      <c r="N182" s="3">
        <f t="shared" si="198"/>
        <v>0</v>
      </c>
      <c r="O182" s="3">
        <f t="shared" si="199"/>
        <v>0</v>
      </c>
      <c r="P182" s="3">
        <f t="shared" si="200"/>
        <v>13987420.156226436</v>
      </c>
      <c r="Q182" s="47">
        <f t="shared" ca="1" si="201"/>
        <v>25443781.182375301</v>
      </c>
      <c r="R182" s="47">
        <f>IFERROR(HLOOKUP(B182-1,'EV Forecast VRZ'!$F$124:$T$130,4,FALSE)/12,0)+IFERROR(((HLOOKUP(B182,'EV Forecast VRZ'!$F$116:$T$122,4,FALSE)-HLOOKUP(B182-1,'EV Forecast VRZ'!$F$124:$T$130,4,FALSE)))*C182/78,0)</f>
        <v>677287.4139669966</v>
      </c>
      <c r="S182" s="47">
        <f ca="1">HLOOKUP(B182,Heating!$C$102:$O$106,4,FALSE)*INDEX(Weather!$BO$1:$CB$20,MATCH(B182,Weather!$BO$1:$BO$20,0),MATCH(C182,Weather!$BO$1:$CB$1,0))/VLOOKUP(B182,Weather!$BO$2:$CB$20,14,FALSE)</f>
        <v>1826776.9427114485</v>
      </c>
      <c r="T182" s="47">
        <f t="shared" ca="1" si="215"/>
        <v>27947845.539053746</v>
      </c>
    </row>
    <row r="183" spans="1:20">
      <c r="A183" s="2">
        <f t="shared" si="202"/>
        <v>47907</v>
      </c>
      <c r="B183">
        <f t="shared" si="203"/>
        <v>2031</v>
      </c>
      <c r="C183">
        <f t="shared" si="204"/>
        <v>2</v>
      </c>
      <c r="E183" s="3">
        <f t="shared" ref="E183:F183" ca="1" si="227">E171</f>
        <v>660.7954166666666</v>
      </c>
      <c r="F183" s="3">
        <f t="shared" ca="1" si="227"/>
        <v>0</v>
      </c>
      <c r="H183" s="90">
        <f>'Economic Data'!D209</f>
        <v>8621.1361583000435</v>
      </c>
      <c r="I183" s="47">
        <f t="shared" si="206"/>
        <v>28</v>
      </c>
      <c r="K183" s="3">
        <f t="shared" si="195"/>
        <v>3542907.1380836898</v>
      </c>
      <c r="L183" s="3">
        <f t="shared" ca="1" si="196"/>
        <v>6946414.5714912647</v>
      </c>
      <c r="M183" s="3">
        <f t="shared" ca="1" si="197"/>
        <v>0</v>
      </c>
      <c r="N183" s="3">
        <f t="shared" si="198"/>
        <v>0</v>
      </c>
      <c r="O183" s="3">
        <f t="shared" si="199"/>
        <v>0</v>
      </c>
      <c r="P183" s="3">
        <f t="shared" si="200"/>
        <v>12633798.850785168</v>
      </c>
      <c r="Q183" s="47">
        <f t="shared" ca="1" si="201"/>
        <v>23123120.560360122</v>
      </c>
      <c r="R183" s="47">
        <f>IFERROR(HLOOKUP(B183-1,'EV Forecast VRZ'!$F$124:$T$130,4,FALSE)/12,0)+IFERROR(((HLOOKUP(B183,'EV Forecast VRZ'!$F$116:$T$122,4,FALSE)-HLOOKUP(B183-1,'EV Forecast VRZ'!$F$124:$T$130,4,FALSE)))*C183/78,0)</f>
        <v>686382.8673626231</v>
      </c>
      <c r="S183" s="47">
        <f ca="1">HLOOKUP(B183,Heating!$C$102:$O$106,4,FALSE)*INDEX(Weather!$BO$1:$CB$20,MATCH(B183,Weather!$BO$1:$BO$20,0),MATCH(C183,Weather!$BO$1:$CB$1,0))/VLOOKUP(B183,Weather!$BO$2:$CB$20,14,FALSE)</f>
        <v>1597785.5072053317</v>
      </c>
      <c r="T183" s="47">
        <f t="shared" ca="1" si="215"/>
        <v>25407288.934928074</v>
      </c>
    </row>
    <row r="184" spans="1:20">
      <c r="A184" s="2">
        <f t="shared" si="202"/>
        <v>47938</v>
      </c>
      <c r="B184">
        <f t="shared" si="203"/>
        <v>2031</v>
      </c>
      <c r="C184">
        <f t="shared" si="204"/>
        <v>3</v>
      </c>
      <c r="E184" s="3">
        <f t="shared" ref="E184:F184" ca="1" si="228">E172</f>
        <v>596.21590579710141</v>
      </c>
      <c r="F184" s="3">
        <f t="shared" ca="1" si="228"/>
        <v>0</v>
      </c>
      <c r="H184" s="90">
        <f>'Economic Data'!D210</f>
        <v>8636.6901906820567</v>
      </c>
      <c r="I184" s="47">
        <f t="shared" si="206"/>
        <v>31</v>
      </c>
      <c r="K184" s="3">
        <f t="shared" si="195"/>
        <v>3542907.1380836898</v>
      </c>
      <c r="L184" s="3">
        <f t="shared" ca="1" si="196"/>
        <v>6267541.7403402319</v>
      </c>
      <c r="M184" s="3">
        <f t="shared" ca="1" si="197"/>
        <v>0</v>
      </c>
      <c r="N184" s="3">
        <f t="shared" si="198"/>
        <v>0</v>
      </c>
      <c r="O184" s="3">
        <f t="shared" si="199"/>
        <v>0</v>
      </c>
      <c r="P184" s="3">
        <f t="shared" si="200"/>
        <v>13987420.156226436</v>
      </c>
      <c r="Q184" s="47">
        <f t="shared" ca="1" si="201"/>
        <v>23797869.034650356</v>
      </c>
      <c r="R184" s="47">
        <f>IFERROR(HLOOKUP(B184-1,'EV Forecast VRZ'!$F$124:$T$130,4,FALSE)/12,0)+IFERROR(((HLOOKUP(B184,'EV Forecast VRZ'!$F$116:$T$122,4,FALSE)-HLOOKUP(B184-1,'EV Forecast VRZ'!$F$124:$T$130,4,FALSE)))*C184/78,0)</f>
        <v>695478.32075824973</v>
      </c>
      <c r="S184" s="47">
        <f ca="1">HLOOKUP(B184,Heating!$C$102:$O$106,4,FALSE)*INDEX(Weather!$BO$1:$CB$20,MATCH(B184,Weather!$BO$1:$BO$20,0),MATCH(C184,Weather!$BO$1:$CB$1,0))/VLOOKUP(B184,Weather!$BO$2:$CB$20,14,FALSE)</f>
        <v>1412725.7646379764</v>
      </c>
      <c r="T184" s="47">
        <f t="shared" ca="1" si="215"/>
        <v>25906073.120046582</v>
      </c>
    </row>
    <row r="185" spans="1:20">
      <c r="A185" s="2">
        <f t="shared" si="202"/>
        <v>47968</v>
      </c>
      <c r="B185">
        <f t="shared" si="203"/>
        <v>2031</v>
      </c>
      <c r="C185">
        <f t="shared" si="204"/>
        <v>4</v>
      </c>
      <c r="E185" s="3">
        <f t="shared" ref="E185:F185" ca="1" si="229">E173</f>
        <v>412.8885416666667</v>
      </c>
      <c r="F185" s="3">
        <f t="shared" ca="1" si="229"/>
        <v>2.2025000000000015</v>
      </c>
      <c r="H185" s="90">
        <f>'Economic Data'!D211</f>
        <v>8622.5296187014155</v>
      </c>
      <c r="I185" s="47">
        <f t="shared" si="206"/>
        <v>30</v>
      </c>
      <c r="K185" s="3">
        <f t="shared" si="195"/>
        <v>3542907.1380836898</v>
      </c>
      <c r="L185" s="3">
        <f t="shared" ca="1" si="196"/>
        <v>4340367.547800201</v>
      </c>
      <c r="M185" s="3">
        <f t="shared" ca="1" si="197"/>
        <v>72354.709389446318</v>
      </c>
      <c r="N185" s="3">
        <f t="shared" si="198"/>
        <v>0</v>
      </c>
      <c r="O185" s="3">
        <f t="shared" si="199"/>
        <v>0</v>
      </c>
      <c r="P185" s="3">
        <f t="shared" si="200"/>
        <v>13536213.05441268</v>
      </c>
      <c r="Q185" s="47">
        <f t="shared" ca="1" si="201"/>
        <v>21491842.449686017</v>
      </c>
      <c r="R185" s="47">
        <f>IFERROR(HLOOKUP(B185-1,'EV Forecast VRZ'!$F$124:$T$130,4,FALSE)/12,0)+IFERROR(((HLOOKUP(B185,'EV Forecast VRZ'!$F$116:$T$122,4,FALSE)-HLOOKUP(B185-1,'EV Forecast VRZ'!$F$124:$T$130,4,FALSE)))*C185/78,0)</f>
        <v>704573.77415387623</v>
      </c>
      <c r="S185" s="47">
        <f ca="1">HLOOKUP(B185,Heating!$C$102:$O$106,4,FALSE)*INDEX(Weather!$BO$1:$CB$20,MATCH(B185,Weather!$BO$1:$BO$20,0),MATCH(C185,Weather!$BO$1:$CB$1,0))/VLOOKUP(B185,Weather!$BO$2:$CB$20,14,FALSE)</f>
        <v>933299.7879951077</v>
      </c>
      <c r="T185" s="47">
        <f t="shared" ca="1" si="215"/>
        <v>23129716.011835001</v>
      </c>
    </row>
    <row r="186" spans="1:20">
      <c r="A186" s="2">
        <f t="shared" si="202"/>
        <v>47999</v>
      </c>
      <c r="B186">
        <f t="shared" si="203"/>
        <v>2031</v>
      </c>
      <c r="C186">
        <f t="shared" si="204"/>
        <v>5</v>
      </c>
      <c r="E186" s="3">
        <f t="shared" ref="E186:F186" ca="1" si="230">E174</f>
        <v>208.90012508544086</v>
      </c>
      <c r="F186" s="3">
        <f t="shared" ca="1" si="230"/>
        <v>48.940113636363641</v>
      </c>
      <c r="H186" s="90">
        <f>'Economic Data'!D212</f>
        <v>8605.8516117019917</v>
      </c>
      <c r="I186" s="47">
        <f t="shared" si="206"/>
        <v>31</v>
      </c>
      <c r="K186" s="3">
        <f t="shared" si="195"/>
        <v>3542907.1380836898</v>
      </c>
      <c r="L186" s="3">
        <f t="shared" ca="1" si="196"/>
        <v>2196000.2086574011</v>
      </c>
      <c r="M186" s="3">
        <f t="shared" ca="1" si="197"/>
        <v>1607740.1587494065</v>
      </c>
      <c r="N186" s="3">
        <f t="shared" si="198"/>
        <v>0</v>
      </c>
      <c r="O186" s="3">
        <f t="shared" si="199"/>
        <v>0</v>
      </c>
      <c r="P186" s="3">
        <f t="shared" si="200"/>
        <v>13987420.156226436</v>
      </c>
      <c r="Q186" s="47">
        <f t="shared" ca="1" si="201"/>
        <v>21334067.661716934</v>
      </c>
      <c r="R186" s="47">
        <f>IFERROR(HLOOKUP(B186-1,'EV Forecast VRZ'!$F$124:$T$130,4,FALSE)/12,0)+IFERROR(((HLOOKUP(B186,'EV Forecast VRZ'!$F$116:$T$122,4,FALSE)-HLOOKUP(B186-1,'EV Forecast VRZ'!$F$124:$T$130,4,FALSE)))*C186/78,0)</f>
        <v>713669.22754950274</v>
      </c>
      <c r="S186" s="47">
        <f ca="1">HLOOKUP(B186,Heating!$C$102:$O$106,4,FALSE)*INDEX(Weather!$BO$1:$CB$20,MATCH(B186,Weather!$BO$1:$BO$20,0),MATCH(C186,Weather!$BO$1:$CB$1,0))/VLOOKUP(B186,Weather!$BO$2:$CB$20,14,FALSE)</f>
        <v>410548.86019178905</v>
      </c>
      <c r="T186" s="47">
        <f t="shared" ca="1" si="215"/>
        <v>22458285.749458227</v>
      </c>
    </row>
    <row r="187" spans="1:20">
      <c r="A187" s="2">
        <f t="shared" si="202"/>
        <v>48029</v>
      </c>
      <c r="B187">
        <f t="shared" si="203"/>
        <v>2031</v>
      </c>
      <c r="C187">
        <f t="shared" si="204"/>
        <v>6</v>
      </c>
      <c r="E187" s="3">
        <f t="shared" ref="E187:F187" ca="1" si="231">E175</f>
        <v>61.78217382617381</v>
      </c>
      <c r="F187" s="3">
        <f t="shared" ca="1" si="231"/>
        <v>144.91160087738351</v>
      </c>
      <c r="H187" s="90">
        <f>'Economic Data'!D213</f>
        <v>8601.2363141675633</v>
      </c>
      <c r="I187" s="47">
        <f t="shared" si="206"/>
        <v>30</v>
      </c>
      <c r="K187" s="3">
        <f t="shared" si="195"/>
        <v>3542907.1380836898</v>
      </c>
      <c r="L187" s="3">
        <f t="shared" ca="1" si="196"/>
        <v>649466.6604823455</v>
      </c>
      <c r="M187" s="3">
        <f t="shared" ca="1" si="197"/>
        <v>4760516.126511923</v>
      </c>
      <c r="N187" s="3">
        <f t="shared" si="198"/>
        <v>0</v>
      </c>
      <c r="O187" s="3">
        <f t="shared" si="199"/>
        <v>0</v>
      </c>
      <c r="P187" s="3">
        <f t="shared" si="200"/>
        <v>13536213.05441268</v>
      </c>
      <c r="Q187" s="47">
        <f t="shared" ca="1" si="201"/>
        <v>22489102.979490638</v>
      </c>
      <c r="R187" s="47">
        <f>IFERROR(HLOOKUP(B187-1,'EV Forecast VRZ'!$F$124:$T$130,4,FALSE)/12,0)+IFERROR(((HLOOKUP(B187,'EV Forecast VRZ'!$F$116:$T$122,4,FALSE)-HLOOKUP(B187-1,'EV Forecast VRZ'!$F$124:$T$130,4,FALSE)))*C187/78,0)</f>
        <v>722764.68094512925</v>
      </c>
      <c r="S187" s="47">
        <f ca="1">HLOOKUP(B187,Heating!$C$102:$O$106,4,FALSE)*INDEX(Weather!$BO$1:$CB$20,MATCH(B187,Weather!$BO$1:$BO$20,0),MATCH(C187,Weather!$BO$1:$CB$1,0))/VLOOKUP(B187,Weather!$BO$2:$CB$20,14,FALSE)</f>
        <v>80058.706591600465</v>
      </c>
      <c r="T187" s="47">
        <f t="shared" ca="1" si="215"/>
        <v>23291926.367027365</v>
      </c>
    </row>
    <row r="188" spans="1:20">
      <c r="A188" s="2">
        <f t="shared" si="202"/>
        <v>48060</v>
      </c>
      <c r="B188">
        <f t="shared" si="203"/>
        <v>2031</v>
      </c>
      <c r="C188">
        <f t="shared" si="204"/>
        <v>7</v>
      </c>
      <c r="E188" s="3">
        <f t="shared" ref="E188:F188" ca="1" si="232">E176</f>
        <v>8.334479813664597</v>
      </c>
      <c r="F188" s="3">
        <f t="shared" ca="1" si="232"/>
        <v>242.72508692061183</v>
      </c>
      <c r="H188" s="90">
        <f>'Economic Data'!D214</f>
        <v>8609.1032986012506</v>
      </c>
      <c r="I188" s="47">
        <f t="shared" si="206"/>
        <v>31</v>
      </c>
      <c r="K188" s="3">
        <f t="shared" si="195"/>
        <v>3542907.1380836898</v>
      </c>
      <c r="L188" s="3">
        <f t="shared" ca="1" si="196"/>
        <v>87613.731214246814</v>
      </c>
      <c r="M188" s="3">
        <f t="shared" ca="1" si="197"/>
        <v>7973803.9163082652</v>
      </c>
      <c r="N188" s="3">
        <f t="shared" si="198"/>
        <v>0</v>
      </c>
      <c r="O188" s="3">
        <f t="shared" si="199"/>
        <v>0</v>
      </c>
      <c r="P188" s="3">
        <f t="shared" si="200"/>
        <v>13987420.156226436</v>
      </c>
      <c r="Q188" s="47">
        <f t="shared" ca="1" si="201"/>
        <v>25591744.941832639</v>
      </c>
      <c r="R188" s="47">
        <f>IFERROR(HLOOKUP(B188-1,'EV Forecast VRZ'!$F$124:$T$130,4,FALSE)/12,0)+IFERROR(((HLOOKUP(B188,'EV Forecast VRZ'!$F$116:$T$122,4,FALSE)-HLOOKUP(B188-1,'EV Forecast VRZ'!$F$124:$T$130,4,FALSE)))*C188/78,0)</f>
        <v>731860.13434075576</v>
      </c>
      <c r="S188" s="47">
        <f ca="1">HLOOKUP(B188,Heating!$C$102:$O$106,4,FALSE)*INDEX(Weather!$BO$1:$CB$20,MATCH(B188,Weather!$BO$1:$BO$20,0),MATCH(C188,Weather!$BO$1:$CB$1,0))/VLOOKUP(B188,Weather!$BO$2:$CB$20,14,FALSE)</f>
        <v>2868.1639806488329</v>
      </c>
      <c r="T188" s="47">
        <f t="shared" ca="1" si="215"/>
        <v>26326473.240154043</v>
      </c>
    </row>
    <row r="189" spans="1:20">
      <c r="A189" s="2">
        <f t="shared" si="202"/>
        <v>48091</v>
      </c>
      <c r="B189">
        <f t="shared" si="203"/>
        <v>2031</v>
      </c>
      <c r="C189">
        <f t="shared" si="204"/>
        <v>8</v>
      </c>
      <c r="E189" s="3">
        <f t="shared" ref="E189:F189" ca="1" si="233">E177</f>
        <v>21.054927536231883</v>
      </c>
      <c r="F189" s="3">
        <f t="shared" ca="1" si="233"/>
        <v>214.02558794466404</v>
      </c>
      <c r="H189" s="90">
        <f>'Economic Data'!D215</f>
        <v>8606.3760773309041</v>
      </c>
      <c r="I189" s="47">
        <f t="shared" si="206"/>
        <v>31</v>
      </c>
      <c r="K189" s="3">
        <f t="shared" si="195"/>
        <v>3542907.1380836898</v>
      </c>
      <c r="L189" s="3">
        <f t="shared" ca="1" si="196"/>
        <v>221333.64086747551</v>
      </c>
      <c r="M189" s="3">
        <f t="shared" ca="1" si="197"/>
        <v>7030991.699269712</v>
      </c>
      <c r="N189" s="3">
        <f t="shared" si="198"/>
        <v>0</v>
      </c>
      <c r="O189" s="3">
        <f t="shared" si="199"/>
        <v>0</v>
      </c>
      <c r="P189" s="3">
        <f t="shared" si="200"/>
        <v>13987420.156226436</v>
      </c>
      <c r="Q189" s="47">
        <f t="shared" ca="1" si="201"/>
        <v>24782652.634447314</v>
      </c>
      <c r="R189" s="47">
        <f>IFERROR(HLOOKUP(B189-1,'EV Forecast VRZ'!$F$124:$T$130,4,FALSE)/12,0)+IFERROR(((HLOOKUP(B189,'EV Forecast VRZ'!$F$116:$T$122,4,FALSE)-HLOOKUP(B189-1,'EV Forecast VRZ'!$F$124:$T$130,4,FALSE)))*C189/78,0)</f>
        <v>740955.58773638238</v>
      </c>
      <c r="S189" s="47">
        <f ca="1">HLOOKUP(B189,Heating!$C$102:$O$106,4,FALSE)*INDEX(Weather!$BO$1:$CB$20,MATCH(B189,Weather!$BO$1:$BO$20,0),MATCH(C189,Weather!$BO$1:$CB$1,0))/VLOOKUP(B189,Weather!$BO$2:$CB$20,14,FALSE)</f>
        <v>16989.712031357827</v>
      </c>
      <c r="T189" s="47">
        <f t="shared" ca="1" si="215"/>
        <v>25540597.934215054</v>
      </c>
    </row>
    <row r="190" spans="1:20">
      <c r="A190" s="2">
        <f t="shared" si="202"/>
        <v>48121</v>
      </c>
      <c r="B190">
        <f t="shared" si="203"/>
        <v>2031</v>
      </c>
      <c r="C190">
        <f t="shared" si="204"/>
        <v>9</v>
      </c>
      <c r="E190" s="3">
        <f t="shared" ref="E190:F190" ca="1" si="234">E178</f>
        <v>97.667119565217376</v>
      </c>
      <c r="F190" s="3">
        <f t="shared" ca="1" si="234"/>
        <v>102.40708333333332</v>
      </c>
      <c r="H190" s="90">
        <f>'Economic Data'!D216</f>
        <v>8603.5439629347784</v>
      </c>
      <c r="I190" s="47">
        <f t="shared" si="206"/>
        <v>30</v>
      </c>
      <c r="K190" s="3">
        <f t="shared" si="195"/>
        <v>3542907.1380836898</v>
      </c>
      <c r="L190" s="3">
        <f t="shared" ca="1" si="196"/>
        <v>1026696.4409737088</v>
      </c>
      <c r="M190" s="3">
        <f t="shared" ca="1" si="197"/>
        <v>3364192.8508531847</v>
      </c>
      <c r="N190" s="3">
        <f t="shared" si="198"/>
        <v>0</v>
      </c>
      <c r="O190" s="3">
        <f t="shared" si="199"/>
        <v>0</v>
      </c>
      <c r="P190" s="3">
        <f t="shared" si="200"/>
        <v>13536213.05441268</v>
      </c>
      <c r="Q190" s="47">
        <f t="shared" ca="1" si="201"/>
        <v>21470009.484323263</v>
      </c>
      <c r="R190" s="47">
        <f>IFERROR(HLOOKUP(B190-1,'EV Forecast VRZ'!$F$124:$T$130,4,FALSE)/12,0)+IFERROR(((HLOOKUP(B190,'EV Forecast VRZ'!$F$116:$T$122,4,FALSE)-HLOOKUP(B190-1,'EV Forecast VRZ'!$F$124:$T$130,4,FALSE)))*C190/78,0)</f>
        <v>750051.04113200889</v>
      </c>
      <c r="S190" s="47">
        <f ca="1">HLOOKUP(B190,Heating!$C$102:$O$106,4,FALSE)*INDEX(Weather!$BO$1:$CB$20,MATCH(B190,Weather!$BO$1:$BO$20,0),MATCH(C190,Weather!$BO$1:$CB$1,0))/VLOOKUP(B190,Weather!$BO$2:$CB$20,14,FALSE)</f>
        <v>143894.21890221891</v>
      </c>
      <c r="T190" s="47">
        <f t="shared" ca="1" si="215"/>
        <v>22363954.744357493</v>
      </c>
    </row>
    <row r="191" spans="1:20">
      <c r="A191" s="2">
        <f t="shared" si="202"/>
        <v>48152</v>
      </c>
      <c r="B191">
        <f t="shared" si="203"/>
        <v>2031</v>
      </c>
      <c r="C191">
        <f t="shared" si="204"/>
        <v>10</v>
      </c>
      <c r="E191" s="3">
        <f t="shared" ref="E191:F191" ca="1" si="235">E179</f>
        <v>292.46431159420291</v>
      </c>
      <c r="F191" s="3">
        <f t="shared" ca="1" si="235"/>
        <v>19.741250000000004</v>
      </c>
      <c r="H191" s="90">
        <f>'Economic Data'!D217</f>
        <v>8616.2360311544635</v>
      </c>
      <c r="I191" s="47">
        <f t="shared" si="206"/>
        <v>31</v>
      </c>
      <c r="K191" s="3">
        <f t="shared" si="195"/>
        <v>3542907.1380836898</v>
      </c>
      <c r="L191" s="3">
        <f t="shared" ca="1" si="196"/>
        <v>3074443.7755747139</v>
      </c>
      <c r="M191" s="3">
        <f t="shared" ca="1" si="197"/>
        <v>648523.22666715388</v>
      </c>
      <c r="N191" s="3">
        <f t="shared" si="198"/>
        <v>0</v>
      </c>
      <c r="O191" s="3">
        <f t="shared" si="199"/>
        <v>0</v>
      </c>
      <c r="P191" s="3">
        <f t="shared" si="200"/>
        <v>13987420.156226436</v>
      </c>
      <c r="Q191" s="47">
        <f t="shared" ca="1" si="201"/>
        <v>21253294.296551995</v>
      </c>
      <c r="R191" s="47">
        <f>IFERROR(HLOOKUP(B191-1,'EV Forecast VRZ'!$F$124:$T$130,4,FALSE)/12,0)+IFERROR(((HLOOKUP(B191,'EV Forecast VRZ'!$F$116:$T$122,4,FALSE)-HLOOKUP(B191-1,'EV Forecast VRZ'!$F$124:$T$130,4,FALSE)))*C191/78,0)</f>
        <v>759146.4945276354</v>
      </c>
      <c r="S191" s="47">
        <f ca="1">HLOOKUP(B191,Heating!$C$102:$O$106,4,FALSE)*INDEX(Weather!$BO$1:$CB$20,MATCH(B191,Weather!$BO$1:$BO$20,0),MATCH(C191,Weather!$BO$1:$CB$1,0))/VLOOKUP(B191,Weather!$BO$2:$CB$20,14,FALSE)</f>
        <v>614087.18337824813</v>
      </c>
      <c r="T191" s="47">
        <f t="shared" ca="1" si="215"/>
        <v>22626527.974457879</v>
      </c>
    </row>
    <row r="192" spans="1:20">
      <c r="A192" s="2">
        <f t="shared" si="202"/>
        <v>48182</v>
      </c>
      <c r="B192">
        <f t="shared" si="203"/>
        <v>2031</v>
      </c>
      <c r="C192">
        <f t="shared" si="204"/>
        <v>11</v>
      </c>
      <c r="E192" s="3">
        <f t="shared" ref="E192:F192" ca="1" si="236">E180</f>
        <v>495.51408055712409</v>
      </c>
      <c r="F192" s="3">
        <f t="shared" ca="1" si="236"/>
        <v>0.78124999999999944</v>
      </c>
      <c r="H192" s="90">
        <f>'Economic Data'!D218</f>
        <v>8639.4174119524014</v>
      </c>
      <c r="I192" s="47">
        <f t="shared" si="206"/>
        <v>30</v>
      </c>
      <c r="K192" s="3">
        <f t="shared" si="195"/>
        <v>3542907.1380836898</v>
      </c>
      <c r="L192" s="3">
        <f t="shared" ca="1" si="196"/>
        <v>5208943.861814674</v>
      </c>
      <c r="M192" s="3">
        <f t="shared" ca="1" si="197"/>
        <v>25664.979210217869</v>
      </c>
      <c r="N192" s="3">
        <f t="shared" si="198"/>
        <v>0</v>
      </c>
      <c r="O192" s="3">
        <f t="shared" si="199"/>
        <v>0</v>
      </c>
      <c r="P192" s="3">
        <f t="shared" si="200"/>
        <v>13536213.05441268</v>
      </c>
      <c r="Q192" s="47">
        <f t="shared" ca="1" si="201"/>
        <v>22313729.033521261</v>
      </c>
      <c r="R192" s="47">
        <f>IFERROR(HLOOKUP(B192-1,'EV Forecast VRZ'!$F$124:$T$130,4,FALSE)/12,0)+IFERROR(((HLOOKUP(B192,'EV Forecast VRZ'!$F$116:$T$122,4,FALSE)-HLOOKUP(B192-1,'EV Forecast VRZ'!$F$124:$T$130,4,FALSE)))*C192/78,0)</f>
        <v>768241.94792326191</v>
      </c>
      <c r="S192" s="47">
        <f ca="1">HLOOKUP(B192,Heating!$C$102:$O$106,4,FALSE)*INDEX(Weather!$BO$1:$CB$20,MATCH(B192,Weather!$BO$1:$BO$20,0),MATCH(C192,Weather!$BO$1:$CB$1,0))/VLOOKUP(B192,Weather!$BO$2:$CB$20,14,FALSE)</f>
        <v>1151710.3024995828</v>
      </c>
      <c r="T192" s="47">
        <f t="shared" ca="1" si="215"/>
        <v>24233681.283944104</v>
      </c>
    </row>
    <row r="193" spans="1:20">
      <c r="A193" s="2">
        <f t="shared" si="202"/>
        <v>48213</v>
      </c>
      <c r="B193">
        <f t="shared" si="203"/>
        <v>2031</v>
      </c>
      <c r="C193">
        <f t="shared" si="204"/>
        <v>12</v>
      </c>
      <c r="E193" s="3">
        <f t="shared" ref="E193:F193" ca="1" si="237">E181</f>
        <v>664.38541666666663</v>
      </c>
      <c r="F193" s="3">
        <f t="shared" ca="1" si="237"/>
        <v>0</v>
      </c>
      <c r="H193" s="90">
        <f>'Economic Data'!D219</f>
        <v>8665.3260140206876</v>
      </c>
      <c r="I193" s="47">
        <f t="shared" si="206"/>
        <v>31</v>
      </c>
      <c r="K193" s="3">
        <f t="shared" si="195"/>
        <v>3542907.1380836898</v>
      </c>
      <c r="L193" s="3">
        <f t="shared" ca="1" si="196"/>
        <v>6984153.3748828648</v>
      </c>
      <c r="M193" s="3">
        <f t="shared" ca="1" si="197"/>
        <v>0</v>
      </c>
      <c r="N193" s="3">
        <f t="shared" si="198"/>
        <v>0</v>
      </c>
      <c r="O193" s="3">
        <f t="shared" si="199"/>
        <v>0</v>
      </c>
      <c r="P193" s="3">
        <f t="shared" si="200"/>
        <v>13987420.156226436</v>
      </c>
      <c r="Q193" s="47">
        <f t="shared" ca="1" si="201"/>
        <v>24514480.669192992</v>
      </c>
      <c r="R193" s="47">
        <f>IFERROR(HLOOKUP(B193-1,'EV Forecast VRZ'!$F$124:$T$130,4,FALSE)/12,0)+IFERROR(((HLOOKUP(B193,'EV Forecast VRZ'!$F$116:$T$122,4,FALSE)-HLOOKUP(B193-1,'EV Forecast VRZ'!$F$124:$T$130,4,FALSE)))*C193/78,0)</f>
        <v>777337.40131888841</v>
      </c>
      <c r="S193" s="47">
        <f ca="1">HLOOKUP(B193,Heating!$C$102:$O$106,4,FALSE)*INDEX(Weather!$BO$1:$CB$20,MATCH(B193,Weather!$BO$1:$BO$20,0),MATCH(C193,Weather!$BO$1:$CB$1,0))/VLOOKUP(B193,Weather!$BO$2:$CB$20,14,FALSE)</f>
        <v>1592998.9899821517</v>
      </c>
      <c r="T193" s="47">
        <f t="shared" ca="1" si="215"/>
        <v>26884817.060494032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9AF60-267E-444A-A9DF-28EC038E219B}">
  <sheetPr codeName="Sheet30">
    <tabColor theme="7" tint="0.79998168889431442"/>
  </sheetPr>
  <dimension ref="A1:AC193"/>
  <sheetViews>
    <sheetView topLeftCell="A126" workbookViewId="0">
      <selection activeCell="I145" sqref="I145:I157"/>
    </sheetView>
  </sheetViews>
  <sheetFormatPr defaultRowHeight="14.5"/>
  <cols>
    <col min="4" max="4" width="24.81640625" customWidth="1"/>
    <col min="8" max="8" width="9.1796875" style="3" bestFit="1" customWidth="1"/>
    <col min="9" max="9" width="10.1796875" bestFit="1" customWidth="1"/>
    <col min="10" max="10" width="10.1796875" customWidth="1"/>
    <col min="12" max="12" width="13.81640625" bestFit="1" customWidth="1"/>
    <col min="13" max="14" width="11.1796875" bestFit="1" customWidth="1"/>
    <col min="15" max="15" width="10.1796875" bestFit="1" customWidth="1"/>
    <col min="16" max="16" width="11.1796875" bestFit="1" customWidth="1"/>
    <col min="17" max="17" width="11.453125" bestFit="1" customWidth="1"/>
    <col min="18" max="18" width="11.1796875" customWidth="1"/>
    <col min="19" max="22" width="12.54296875" customWidth="1"/>
    <col min="26" max="26" width="15.81640625" customWidth="1"/>
    <col min="27" max="27" width="12.81640625" bestFit="1" customWidth="1"/>
    <col min="28" max="28" width="13.81640625" bestFit="1" customWidth="1"/>
    <col min="29" max="29" width="8.81640625" bestFit="1" customWidth="1"/>
  </cols>
  <sheetData>
    <row r="1" spans="1:29">
      <c r="A1" s="541" t="str">
        <f>'Monthly Data'!A1</f>
        <v>Date</v>
      </c>
      <c r="B1" s="541" t="str">
        <f>'Monthly Data'!B1</f>
        <v>Year</v>
      </c>
      <c r="C1" s="541" t="str">
        <f>'Monthly Data'!C1</f>
        <v>Month</v>
      </c>
      <c r="D1" s="541" t="str">
        <f>'Monthly Data'!X1</f>
        <v>VRZ_GS50to2999kWh_No_CDM</v>
      </c>
      <c r="E1" s="541" t="str">
        <f>'Monthly Data'!CN1</f>
        <v>HDD20</v>
      </c>
      <c r="F1" s="541" t="str">
        <f>'Monthly Data'!CW1</f>
        <v>CDD12</v>
      </c>
      <c r="G1" s="541" t="str">
        <f>'Monthly Data'!EG1</f>
        <v>Shoulder</v>
      </c>
      <c r="H1" s="541" t="str">
        <f>'Monthly Data'!DQ1</f>
        <v>Month Days</v>
      </c>
      <c r="I1" s="541" t="str">
        <f>'Monthly Data'!DL1</f>
        <v>OEA_GDP</v>
      </c>
      <c r="J1" s="541" t="str">
        <f>'Monthly Data'!EJ1</f>
        <v>COVID_AM</v>
      </c>
      <c r="K1" s="541"/>
      <c r="L1" s="541" t="str">
        <f>Y8</f>
        <v>const</v>
      </c>
      <c r="M1" s="541" t="str">
        <f t="shared" ref="M1:R1" si="0">E1</f>
        <v>HDD20</v>
      </c>
      <c r="N1" s="541" t="str">
        <f t="shared" si="0"/>
        <v>CDD12</v>
      </c>
      <c r="O1" s="541" t="str">
        <f t="shared" si="0"/>
        <v>Shoulder</v>
      </c>
      <c r="P1" s="541" t="str">
        <f t="shared" si="0"/>
        <v>Month Days</v>
      </c>
      <c r="Q1" s="541" t="str">
        <f t="shared" si="0"/>
        <v>OEA_GDP</v>
      </c>
      <c r="R1" s="541" t="str">
        <f t="shared" si="0"/>
        <v>COVID_AM</v>
      </c>
      <c r="S1" s="541" t="s">
        <v>610</v>
      </c>
      <c r="T1" s="541" t="s">
        <v>332</v>
      </c>
      <c r="U1" s="541" t="s">
        <v>606</v>
      </c>
      <c r="V1" s="541" t="s">
        <v>611</v>
      </c>
    </row>
    <row r="2" spans="1:29">
      <c r="A2" s="2">
        <f>'Monthly Data'!A2</f>
        <v>42370</v>
      </c>
      <c r="B2">
        <f>'Monthly Data'!B2</f>
        <v>2016</v>
      </c>
      <c r="C2">
        <f>'Monthly Data'!C2</f>
        <v>1</v>
      </c>
      <c r="D2" s="3">
        <f>'Monthly Data'!X2</f>
        <v>82019595.924517915</v>
      </c>
      <c r="E2" s="91">
        <f ca="1">Weather!BG46</f>
        <v>752.78750000000002</v>
      </c>
      <c r="F2" s="91">
        <f ca="1">Weather!DL46</f>
        <v>0</v>
      </c>
      <c r="G2">
        <f>'Monthly Data'!EG2</f>
        <v>0</v>
      </c>
      <c r="H2" s="3">
        <f>'Monthly Data'!DQ2</f>
        <v>31</v>
      </c>
      <c r="I2" s="3">
        <f>'Monthly Data'!DL2</f>
        <v>743835</v>
      </c>
      <c r="J2" s="489">
        <f>'Monthly Data'!EJ2</f>
        <v>0</v>
      </c>
      <c r="L2" s="3">
        <f t="shared" ref="L2:L33" si="1">$Z$8</f>
        <v>-4442160.1424492002</v>
      </c>
      <c r="M2" s="3">
        <f t="shared" ref="M2:M33" ca="1" si="2">E2*$Z$9</f>
        <v>16391067.522213772</v>
      </c>
      <c r="N2" s="3">
        <f t="shared" ref="N2:N33" ca="1" si="3">F2*$Z$10</f>
        <v>0</v>
      </c>
      <c r="O2" s="3">
        <f t="shared" ref="O2:O33" si="4">G2*$Z$11</f>
        <v>0</v>
      </c>
      <c r="P2" s="3">
        <f t="shared" ref="P2:P33" si="5">H2*$Z$12</f>
        <v>40771613.817639098</v>
      </c>
      <c r="Q2" s="3">
        <f t="shared" ref="Q2:Q33" si="6">I2*$Z$13</f>
        <v>28128817.797280174</v>
      </c>
      <c r="R2" s="3">
        <f t="shared" ref="R2:R33" si="7">J2*$Z$14</f>
        <v>0</v>
      </c>
      <c r="S2" s="47">
        <f t="shared" ref="S2:S42" ca="1" si="8">SUM(L2:R2)</f>
        <v>80849338.994683847</v>
      </c>
      <c r="T2" s="47">
        <f>'Monthly Data'!Y2</f>
        <v>0</v>
      </c>
      <c r="U2" s="47">
        <f>+'Monthly Data'!Z2</f>
        <v>0</v>
      </c>
      <c r="V2" s="47">
        <f t="shared" ref="V2:V42" ca="1" si="9">S2+T2+U2</f>
        <v>80849338.994683847</v>
      </c>
    </row>
    <row r="3" spans="1:29">
      <c r="A3" s="2">
        <f>'Monthly Data'!A3</f>
        <v>42401</v>
      </c>
      <c r="B3">
        <f>'Monthly Data'!B3</f>
        <v>2016</v>
      </c>
      <c r="C3">
        <f>'Monthly Data'!C3</f>
        <v>2</v>
      </c>
      <c r="D3" s="3">
        <f>'Monthly Data'!X3</f>
        <v>77956359.208072916</v>
      </c>
      <c r="E3" s="91">
        <f ca="1">Weather!BG47</f>
        <v>660.7954166666666</v>
      </c>
      <c r="F3" s="91">
        <f ca="1">Weather!DL47</f>
        <v>0</v>
      </c>
      <c r="G3">
        <f>'Monthly Data'!EG3</f>
        <v>0</v>
      </c>
      <c r="H3" s="3">
        <f>'Monthly Data'!DQ3</f>
        <v>29</v>
      </c>
      <c r="I3" s="3">
        <f>'Monthly Data'!DL3</f>
        <v>743835</v>
      </c>
      <c r="J3" s="489">
        <f>'Monthly Data'!EJ3</f>
        <v>0</v>
      </c>
      <c r="L3" s="3">
        <f t="shared" si="1"/>
        <v>-4442160.1424492002</v>
      </c>
      <c r="M3" s="3">
        <f t="shared" ca="1" si="2"/>
        <v>14388047.48079998</v>
      </c>
      <c r="N3" s="3">
        <f t="shared" ca="1" si="3"/>
        <v>0</v>
      </c>
      <c r="O3" s="3">
        <f t="shared" si="4"/>
        <v>0</v>
      </c>
      <c r="P3" s="3">
        <f t="shared" si="5"/>
        <v>38141187.119726896</v>
      </c>
      <c r="Q3" s="3">
        <f t="shared" si="6"/>
        <v>28128817.797280174</v>
      </c>
      <c r="R3" s="3">
        <f t="shared" si="7"/>
        <v>0</v>
      </c>
      <c r="S3" s="47">
        <f t="shared" ca="1" si="8"/>
        <v>76215892.255357847</v>
      </c>
      <c r="T3" s="47">
        <f>'Monthly Data'!Y3</f>
        <v>0</v>
      </c>
      <c r="U3" s="47">
        <f>+'Monthly Data'!Z3</f>
        <v>0</v>
      </c>
      <c r="V3" s="47">
        <f t="shared" ca="1" si="9"/>
        <v>76215892.255357847</v>
      </c>
      <c r="Y3" s="3" t="str">
        <f>'VRZ GS 50-2,999'!Z4</f>
        <v>Model 6: Prais-Winsten, using observations 2016:01-2025:12 (T = 120)</v>
      </c>
    </row>
    <row r="4" spans="1:29">
      <c r="A4" s="2">
        <f>'Monthly Data'!A4</f>
        <v>42430</v>
      </c>
      <c r="B4">
        <f>'Monthly Data'!B4</f>
        <v>2016</v>
      </c>
      <c r="C4">
        <f>'Monthly Data'!C4</f>
        <v>3</v>
      </c>
      <c r="D4" s="3">
        <f>'Monthly Data'!X4</f>
        <v>80028747.679307505</v>
      </c>
      <c r="E4" s="91">
        <f ca="1">Weather!BG48</f>
        <v>596.21590579710141</v>
      </c>
      <c r="F4" s="91">
        <f ca="1">Weather!DL48</f>
        <v>2.9583333333332896E-2</v>
      </c>
      <c r="G4">
        <f>'Monthly Data'!EG4</f>
        <v>1</v>
      </c>
      <c r="H4" s="3">
        <f>'Monthly Data'!DQ4</f>
        <v>31</v>
      </c>
      <c r="I4" s="3">
        <f>'Monthly Data'!DL4</f>
        <v>743835</v>
      </c>
      <c r="J4" s="489">
        <f>'Monthly Data'!EJ4</f>
        <v>0</v>
      </c>
      <c r="L4" s="3">
        <f t="shared" si="1"/>
        <v>-4442160.1424492002</v>
      </c>
      <c r="M4" s="3">
        <f t="shared" ca="1" si="2"/>
        <v>12981904.149229543</v>
      </c>
      <c r="N4" s="3">
        <f t="shared" ca="1" si="3"/>
        <v>1907.1474734676008</v>
      </c>
      <c r="O4" s="3">
        <f t="shared" si="4"/>
        <v>1833644.83418835</v>
      </c>
      <c r="P4" s="3">
        <f t="shared" si="5"/>
        <v>40771613.817639098</v>
      </c>
      <c r="Q4" s="3">
        <f t="shared" si="6"/>
        <v>28128817.797280174</v>
      </c>
      <c r="R4" s="3">
        <f t="shared" si="7"/>
        <v>0</v>
      </c>
      <c r="S4" s="47">
        <f t="shared" ca="1" si="8"/>
        <v>79275727.603361428</v>
      </c>
      <c r="T4" s="47">
        <f>'Monthly Data'!Y4</f>
        <v>0</v>
      </c>
      <c r="U4" s="47">
        <f>+'Monthly Data'!Z4</f>
        <v>0</v>
      </c>
      <c r="V4" s="47">
        <f t="shared" ca="1" si="9"/>
        <v>79275727.603361428</v>
      </c>
      <c r="Y4" s="3" t="str">
        <f>'VRZ GS 50-2,999'!Z5</f>
        <v>Dependent variable: VRZ_GS50to2999kWh_No_CDM_AL</v>
      </c>
    </row>
    <row r="5" spans="1:29">
      <c r="A5" s="2">
        <f>'Monthly Data'!A5</f>
        <v>42461</v>
      </c>
      <c r="B5">
        <f>'Monthly Data'!B5</f>
        <v>2016</v>
      </c>
      <c r="C5">
        <f>'Monthly Data'!C5</f>
        <v>4</v>
      </c>
      <c r="D5" s="3">
        <f>'Monthly Data'!X5</f>
        <v>75945262.664570689</v>
      </c>
      <c r="E5" s="91">
        <f ca="1">Weather!BG49</f>
        <v>412.8885416666667</v>
      </c>
      <c r="F5" s="91">
        <f ca="1">Weather!DL49</f>
        <v>6.0095833333333344</v>
      </c>
      <c r="G5">
        <f>'Monthly Data'!EG5</f>
        <v>1</v>
      </c>
      <c r="H5" s="3">
        <f>'Monthly Data'!DQ5</f>
        <v>30</v>
      </c>
      <c r="I5" s="3">
        <f>'Monthly Data'!DL5</f>
        <v>740829</v>
      </c>
      <c r="J5" s="489">
        <f>'Monthly Data'!EJ5</f>
        <v>0</v>
      </c>
      <c r="L5" s="3">
        <f t="shared" si="1"/>
        <v>-4442160.1424492002</v>
      </c>
      <c r="M5" s="3">
        <f t="shared" ca="1" si="2"/>
        <v>8990165.1735804696</v>
      </c>
      <c r="N5" s="3">
        <f t="shared" ca="1" si="3"/>
        <v>387419.54943413549</v>
      </c>
      <c r="O5" s="3">
        <f t="shared" si="4"/>
        <v>1833644.83418835</v>
      </c>
      <c r="P5" s="3">
        <f t="shared" si="5"/>
        <v>39456400.468682997</v>
      </c>
      <c r="Q5" s="3">
        <f t="shared" si="6"/>
        <v>28015143.089450315</v>
      </c>
      <c r="R5" s="3">
        <f t="shared" si="7"/>
        <v>0</v>
      </c>
      <c r="S5" s="47">
        <f t="shared" ca="1" si="8"/>
        <v>74240612.972887069</v>
      </c>
      <c r="T5" s="47">
        <f>'Monthly Data'!Y5</f>
        <v>0</v>
      </c>
      <c r="U5" s="47">
        <f>+'Monthly Data'!Z5</f>
        <v>0</v>
      </c>
      <c r="V5" s="47">
        <f t="shared" ca="1" si="9"/>
        <v>74240612.972887069</v>
      </c>
      <c r="Y5" s="3" t="str">
        <f>'VRZ GS 50-2,999'!Z6</f>
        <v>rho = 0.162284</v>
      </c>
    </row>
    <row r="6" spans="1:29">
      <c r="A6" s="2">
        <f>'Monthly Data'!A6</f>
        <v>42491</v>
      </c>
      <c r="B6">
        <f>'Monthly Data'!B6</f>
        <v>2016</v>
      </c>
      <c r="C6">
        <f>'Monthly Data'!C6</f>
        <v>5</v>
      </c>
      <c r="D6" s="3">
        <f>'Monthly Data'!X6</f>
        <v>77280197.322971582</v>
      </c>
      <c r="E6" s="91">
        <f ca="1">Weather!BG50</f>
        <v>208.90012508544086</v>
      </c>
      <c r="F6" s="91">
        <f ca="1">Weather!DL50</f>
        <v>81.50872474747473</v>
      </c>
      <c r="G6">
        <f>'Monthly Data'!EG6</f>
        <v>1</v>
      </c>
      <c r="H6" s="3">
        <f>'Monthly Data'!DQ6</f>
        <v>31</v>
      </c>
      <c r="I6" s="3">
        <f>'Monthly Data'!DL6</f>
        <v>740829</v>
      </c>
      <c r="J6" s="489">
        <f>'Monthly Data'!EJ6</f>
        <v>0</v>
      </c>
      <c r="L6" s="3">
        <f t="shared" si="1"/>
        <v>-4442160.1424492002</v>
      </c>
      <c r="M6" s="3">
        <f t="shared" ca="1" si="2"/>
        <v>4548555.9413172565</v>
      </c>
      <c r="N6" s="3">
        <f t="shared" ca="1" si="3"/>
        <v>5254619.4411621923</v>
      </c>
      <c r="O6" s="3">
        <f t="shared" si="4"/>
        <v>1833644.83418835</v>
      </c>
      <c r="P6" s="3">
        <f t="shared" si="5"/>
        <v>40771613.817639098</v>
      </c>
      <c r="Q6" s="3">
        <f t="shared" si="6"/>
        <v>28015143.089450315</v>
      </c>
      <c r="R6" s="3">
        <f t="shared" si="7"/>
        <v>0</v>
      </c>
      <c r="S6" s="47">
        <f t="shared" ca="1" si="8"/>
        <v>75981416.981308013</v>
      </c>
      <c r="T6" s="47">
        <f>'Monthly Data'!Y6</f>
        <v>0</v>
      </c>
      <c r="U6" s="47">
        <f>+'Monthly Data'!Z6</f>
        <v>0</v>
      </c>
      <c r="V6" s="47">
        <f t="shared" ca="1" si="9"/>
        <v>75981416.981308013</v>
      </c>
    </row>
    <row r="7" spans="1:29">
      <c r="A7" s="2">
        <f>'Monthly Data'!A7</f>
        <v>42522</v>
      </c>
      <c r="B7">
        <f>'Monthly Data'!B7</f>
        <v>2016</v>
      </c>
      <c r="C7">
        <f>'Monthly Data'!C7</f>
        <v>6</v>
      </c>
      <c r="D7" s="3">
        <f>'Monthly Data'!X7</f>
        <v>80057672.268324375</v>
      </c>
      <c r="E7" s="91">
        <f ca="1">Weather!BG51</f>
        <v>61.78217382617381</v>
      </c>
      <c r="F7" s="91">
        <f ca="1">Weather!DL51</f>
        <v>202.3599342107168</v>
      </c>
      <c r="G7">
        <f>'Monthly Data'!EG7</f>
        <v>0</v>
      </c>
      <c r="H7" s="3">
        <f>'Monthly Data'!DQ7</f>
        <v>30</v>
      </c>
      <c r="I7" s="3">
        <f>'Monthly Data'!DL7</f>
        <v>740829</v>
      </c>
      <c r="J7" s="489">
        <f>'Monthly Data'!EJ7</f>
        <v>0</v>
      </c>
      <c r="L7" s="3">
        <f t="shared" si="1"/>
        <v>-4442160.1424492002</v>
      </c>
      <c r="M7" s="3">
        <f t="shared" ca="1" si="2"/>
        <v>1345234.5885843791</v>
      </c>
      <c r="N7" s="3">
        <f t="shared" ca="1" si="3"/>
        <v>13045529.146852197</v>
      </c>
      <c r="O7" s="3">
        <f t="shared" si="4"/>
        <v>0</v>
      </c>
      <c r="P7" s="3">
        <f t="shared" si="5"/>
        <v>39456400.468682997</v>
      </c>
      <c r="Q7" s="3">
        <f t="shared" si="6"/>
        <v>28015143.089450315</v>
      </c>
      <c r="R7" s="3">
        <f t="shared" si="7"/>
        <v>0</v>
      </c>
      <c r="S7" s="47">
        <f t="shared" ca="1" si="8"/>
        <v>77420147.151120692</v>
      </c>
      <c r="T7" s="47">
        <f>'Monthly Data'!Y7</f>
        <v>0</v>
      </c>
      <c r="U7" s="47">
        <f>+'Monthly Data'!Z7</f>
        <v>0</v>
      </c>
      <c r="V7" s="47">
        <f t="shared" ca="1" si="9"/>
        <v>77420147.151120692</v>
      </c>
      <c r="Z7" t="s">
        <v>300</v>
      </c>
      <c r="AA7" t="s">
        <v>301</v>
      </c>
      <c r="AB7" t="s">
        <v>302</v>
      </c>
      <c r="AC7" t="s">
        <v>303</v>
      </c>
    </row>
    <row r="8" spans="1:29">
      <c r="A8" s="2">
        <f>'Monthly Data'!A8</f>
        <v>42552</v>
      </c>
      <c r="B8">
        <f>'Monthly Data'!B8</f>
        <v>2016</v>
      </c>
      <c r="C8">
        <f>'Monthly Data'!C8</f>
        <v>7</v>
      </c>
      <c r="D8" s="3">
        <f>'Monthly Data'!X8</f>
        <v>82296529.456430227</v>
      </c>
      <c r="E8" s="91">
        <f ca="1">Weather!BG52</f>
        <v>8.334479813664597</v>
      </c>
      <c r="F8" s="91">
        <f ca="1">Weather!DL52</f>
        <v>304.72508692061177</v>
      </c>
      <c r="G8">
        <f>'Monthly Data'!EG8</f>
        <v>0</v>
      </c>
      <c r="H8" s="3">
        <f>'Monthly Data'!DQ8</f>
        <v>31</v>
      </c>
      <c r="I8" s="3">
        <f>'Monthly Data'!DL8</f>
        <v>746710</v>
      </c>
      <c r="J8" s="489">
        <f>'Monthly Data'!EJ8</f>
        <v>0</v>
      </c>
      <c r="L8" s="3">
        <f t="shared" si="1"/>
        <v>-4442160.1424492002</v>
      </c>
      <c r="M8" s="3">
        <f t="shared" ca="1" si="2"/>
        <v>181473.55181681956</v>
      </c>
      <c r="N8" s="3">
        <f t="shared" ca="1" si="3"/>
        <v>19644699.029504735</v>
      </c>
      <c r="O8" s="3">
        <f t="shared" si="4"/>
        <v>0</v>
      </c>
      <c r="P8" s="3">
        <f t="shared" si="5"/>
        <v>40771613.817639098</v>
      </c>
      <c r="Q8" s="3">
        <f t="shared" si="6"/>
        <v>28237538.617310397</v>
      </c>
      <c r="R8" s="3">
        <f t="shared" si="7"/>
        <v>0</v>
      </c>
      <c r="S8" s="47">
        <f t="shared" ca="1" si="8"/>
        <v>84393164.873821855</v>
      </c>
      <c r="T8" s="47">
        <f>'Monthly Data'!Y8</f>
        <v>0</v>
      </c>
      <c r="U8" s="47">
        <f>+'Monthly Data'!Z8</f>
        <v>0</v>
      </c>
      <c r="V8" s="47">
        <f t="shared" ca="1" si="9"/>
        <v>84393164.873821855</v>
      </c>
      <c r="Y8" t="s">
        <v>304</v>
      </c>
      <c r="Z8" s="436">
        <f>'VRZ GS 50-2,999'!AA9</f>
        <v>-4442160.1424492002</v>
      </c>
      <c r="AA8" s="3">
        <f>'VRZ GS 50-2,999'!AB9</f>
        <v>5395694.5250903098</v>
      </c>
      <c r="AB8" s="235">
        <f>'VRZ GS 50-2,999'!AC9</f>
        <v>-0.82327865704644299</v>
      </c>
      <c r="AC8" s="245">
        <f>'VRZ GS 50-2,999'!AD9</f>
        <v>0.41210000000000002</v>
      </c>
    </row>
    <row r="9" spans="1:29">
      <c r="A9" s="2">
        <f>'Monthly Data'!A9</f>
        <v>42583</v>
      </c>
      <c r="B9">
        <f>'Monthly Data'!B9</f>
        <v>2016</v>
      </c>
      <c r="C9">
        <f>'Monthly Data'!C9</f>
        <v>8</v>
      </c>
      <c r="D9" s="3">
        <f>'Monthly Data'!X9</f>
        <v>86190597.617975503</v>
      </c>
      <c r="E9" s="91">
        <f ca="1">Weather!BG53</f>
        <v>21.054927536231883</v>
      </c>
      <c r="F9" s="91">
        <f ca="1">Weather!DL53</f>
        <v>275.96017127799735</v>
      </c>
      <c r="G9">
        <f>'Monthly Data'!EG9</f>
        <v>0</v>
      </c>
      <c r="H9" s="3">
        <f>'Monthly Data'!DQ9</f>
        <v>31</v>
      </c>
      <c r="I9" s="3">
        <f>'Monthly Data'!DL9</f>
        <v>746710</v>
      </c>
      <c r="J9" s="489">
        <f>'Monthly Data'!EJ9</f>
        <v>0</v>
      </c>
      <c r="L9" s="3">
        <f t="shared" si="1"/>
        <v>-4442160.1424492002</v>
      </c>
      <c r="M9" s="3">
        <f t="shared" ca="1" si="2"/>
        <v>458446.42601224757</v>
      </c>
      <c r="N9" s="3">
        <f t="shared" ca="1" si="3"/>
        <v>17790312.45398964</v>
      </c>
      <c r="O9" s="3">
        <f t="shared" si="4"/>
        <v>0</v>
      </c>
      <c r="P9" s="3">
        <f t="shared" si="5"/>
        <v>40771613.817639098</v>
      </c>
      <c r="Q9" s="3">
        <f t="shared" si="6"/>
        <v>28237538.617310397</v>
      </c>
      <c r="R9" s="3">
        <f t="shared" si="7"/>
        <v>0</v>
      </c>
      <c r="S9" s="47">
        <f t="shared" ca="1" si="8"/>
        <v>82815751.17250219</v>
      </c>
      <c r="T9" s="47">
        <f>'Monthly Data'!Y9</f>
        <v>0</v>
      </c>
      <c r="U9" s="47">
        <f>+'Monthly Data'!Z9</f>
        <v>0</v>
      </c>
      <c r="V9" s="47">
        <f t="shared" ca="1" si="9"/>
        <v>82815751.17250219</v>
      </c>
      <c r="Y9" t="s">
        <v>116</v>
      </c>
      <c r="Z9" s="3">
        <f>'VRZ GS 50-2,999'!AA10</f>
        <v>21773.8306257925</v>
      </c>
      <c r="AA9" s="3">
        <f>'VRZ GS 50-2,999'!AB10</f>
        <v>1595.90091795995</v>
      </c>
      <c r="AB9" s="235">
        <f>'VRZ GS 50-2,999'!AC10</f>
        <v>13.6435980334081</v>
      </c>
      <c r="AC9" s="245">
        <f>'VRZ GS 50-2,999'!AD10</f>
        <v>0</v>
      </c>
    </row>
    <row r="10" spans="1:29">
      <c r="A10" s="2">
        <f>'Monthly Data'!A10</f>
        <v>42614</v>
      </c>
      <c r="B10">
        <f>'Monthly Data'!B10</f>
        <v>2016</v>
      </c>
      <c r="C10">
        <f>'Monthly Data'!C10</f>
        <v>9</v>
      </c>
      <c r="D10" s="3">
        <f>'Monthly Data'!X10</f>
        <v>78484093.199688002</v>
      </c>
      <c r="E10" s="91">
        <f ca="1">Weather!BG54</f>
        <v>97.667119565217376</v>
      </c>
      <c r="F10" s="91">
        <f ca="1">Weather!DL54</f>
        <v>154.9849637681159</v>
      </c>
      <c r="G10">
        <f>'Monthly Data'!EG10</f>
        <v>1</v>
      </c>
      <c r="H10" s="3">
        <f>'Monthly Data'!DQ10</f>
        <v>30</v>
      </c>
      <c r="I10" s="3">
        <f>'Monthly Data'!DL10</f>
        <v>746710</v>
      </c>
      <c r="J10" s="489">
        <f>'Monthly Data'!EJ10</f>
        <v>0</v>
      </c>
      <c r="L10" s="3">
        <f t="shared" si="1"/>
        <v>-4442160.1424492002</v>
      </c>
      <c r="M10" s="3">
        <f t="shared" ca="1" si="2"/>
        <v>2126587.3191220681</v>
      </c>
      <c r="N10" s="3">
        <f t="shared" ca="1" si="3"/>
        <v>9991408.9715774972</v>
      </c>
      <c r="O10" s="3">
        <f t="shared" si="4"/>
        <v>1833644.83418835</v>
      </c>
      <c r="P10" s="3">
        <f t="shared" si="5"/>
        <v>39456400.468682997</v>
      </c>
      <c r="Q10" s="3">
        <f t="shared" si="6"/>
        <v>28237538.617310397</v>
      </c>
      <c r="R10" s="3">
        <f t="shared" si="7"/>
        <v>0</v>
      </c>
      <c r="S10" s="47">
        <f t="shared" ca="1" si="8"/>
        <v>77203420.068432108</v>
      </c>
      <c r="T10" s="47">
        <f>'Monthly Data'!Y10</f>
        <v>0</v>
      </c>
      <c r="U10" s="47">
        <f>+'Monthly Data'!Z10</f>
        <v>0</v>
      </c>
      <c r="V10" s="47">
        <f t="shared" ca="1" si="9"/>
        <v>77203420.068432108</v>
      </c>
      <c r="Y10" t="s">
        <v>125</v>
      </c>
      <c r="Z10" s="3">
        <f>'VRZ GS 50-2,999'!AA11</f>
        <v>64466.956849609996</v>
      </c>
      <c r="AA10" s="3">
        <f>'VRZ GS 50-2,999'!AB11</f>
        <v>4118.0411186398496</v>
      </c>
      <c r="AB10" s="235">
        <f>'VRZ GS 50-2,999'!AC11</f>
        <v>15.6547627846181</v>
      </c>
      <c r="AC10" s="245">
        <f>'VRZ GS 50-2,999'!AD11</f>
        <v>0</v>
      </c>
    </row>
    <row r="11" spans="1:29">
      <c r="A11" s="2">
        <f>'Monthly Data'!A11</f>
        <v>42644</v>
      </c>
      <c r="B11">
        <f>'Monthly Data'!B11</f>
        <v>2016</v>
      </c>
      <c r="C11">
        <f>'Monthly Data'!C11</f>
        <v>10</v>
      </c>
      <c r="D11" s="3">
        <f>'Monthly Data'!X11</f>
        <v>76099983.971046835</v>
      </c>
      <c r="E11" s="91">
        <f ca="1">Weather!BG55</f>
        <v>292.46431159420291</v>
      </c>
      <c r="F11" s="91">
        <f ca="1">Weather!DL55</f>
        <v>38.347916666666663</v>
      </c>
      <c r="G11">
        <f>'Monthly Data'!EG11</f>
        <v>1</v>
      </c>
      <c r="H11" s="3">
        <f>'Monthly Data'!DQ11</f>
        <v>31</v>
      </c>
      <c r="I11" s="3">
        <f>'Monthly Data'!DL11</f>
        <v>745246</v>
      </c>
      <c r="J11" s="489">
        <f>'Monthly Data'!EJ11</f>
        <v>0</v>
      </c>
      <c r="L11" s="3">
        <f t="shared" si="1"/>
        <v>-4442160.1424492002</v>
      </c>
      <c r="M11" s="3">
        <f t="shared" ca="1" si="2"/>
        <v>6368068.3847411759</v>
      </c>
      <c r="N11" s="3">
        <f t="shared" ca="1" si="3"/>
        <v>2472173.4890224398</v>
      </c>
      <c r="O11" s="3">
        <f t="shared" si="4"/>
        <v>1833644.83418835</v>
      </c>
      <c r="P11" s="3">
        <f t="shared" si="5"/>
        <v>40771613.817639098</v>
      </c>
      <c r="Q11" s="3">
        <f t="shared" si="6"/>
        <v>28182176.084954139</v>
      </c>
      <c r="R11" s="3">
        <f t="shared" si="7"/>
        <v>0</v>
      </c>
      <c r="S11" s="47">
        <f t="shared" ca="1" si="8"/>
        <v>75185516.468096003</v>
      </c>
      <c r="T11" s="47">
        <f>'Monthly Data'!Y11</f>
        <v>0</v>
      </c>
      <c r="U11" s="47">
        <f>+'Monthly Data'!Z11</f>
        <v>0</v>
      </c>
      <c r="V11" s="47">
        <f t="shared" ca="1" si="9"/>
        <v>75185516.468096003</v>
      </c>
      <c r="Y11" t="s">
        <v>161</v>
      </c>
      <c r="Z11" s="436">
        <f>'VRZ GS 50-2,999'!AA12</f>
        <v>1833644.83418835</v>
      </c>
      <c r="AA11" s="3">
        <f>'VRZ GS 50-2,999'!AB12</f>
        <v>447241.25420302199</v>
      </c>
      <c r="AB11" s="235">
        <f>'VRZ GS 50-2,999'!AC12</f>
        <v>4.0999009303287002</v>
      </c>
      <c r="AC11" s="245">
        <f>'VRZ GS 50-2,999'!AD12</f>
        <v>1E-4</v>
      </c>
    </row>
    <row r="12" spans="1:29">
      <c r="A12" s="2">
        <f>'Monthly Data'!A12</f>
        <v>42675</v>
      </c>
      <c r="B12">
        <f>'Monthly Data'!B12</f>
        <v>2016</v>
      </c>
      <c r="C12">
        <f>'Monthly Data'!C12</f>
        <v>11</v>
      </c>
      <c r="D12" s="3">
        <f>'Monthly Data'!X12</f>
        <v>76207685.436664224</v>
      </c>
      <c r="E12" s="91">
        <f ca="1">Weather!BG56</f>
        <v>495.51408055712409</v>
      </c>
      <c r="F12" s="91">
        <f ca="1">Weather!DL56</f>
        <v>1.9241666666666659</v>
      </c>
      <c r="G12">
        <f>'Monthly Data'!EG12</f>
        <v>1</v>
      </c>
      <c r="H12" s="3">
        <f>'Monthly Data'!DQ12</f>
        <v>30</v>
      </c>
      <c r="I12" s="3">
        <f>'Monthly Data'!DL12</f>
        <v>745246</v>
      </c>
      <c r="J12" s="489">
        <f>'Monthly Data'!EJ12</f>
        <v>0</v>
      </c>
      <c r="L12" s="3">
        <f t="shared" si="1"/>
        <v>-4442160.1424492002</v>
      </c>
      <c r="M12" s="3">
        <f t="shared" ca="1" si="2"/>
        <v>10789239.66274612</v>
      </c>
      <c r="N12" s="3">
        <f t="shared" ca="1" si="3"/>
        <v>124045.16947145785</v>
      </c>
      <c r="O12" s="3">
        <f t="shared" si="4"/>
        <v>1833644.83418835</v>
      </c>
      <c r="P12" s="3">
        <f t="shared" si="5"/>
        <v>39456400.468682997</v>
      </c>
      <c r="Q12" s="3">
        <f t="shared" si="6"/>
        <v>28182176.084954139</v>
      </c>
      <c r="R12" s="3">
        <f t="shared" si="7"/>
        <v>0</v>
      </c>
      <c r="S12" s="47">
        <f t="shared" ca="1" si="8"/>
        <v>75943346.077593863</v>
      </c>
      <c r="T12" s="47">
        <f>'Monthly Data'!Y12</f>
        <v>0</v>
      </c>
      <c r="U12" s="47">
        <f>+'Monthly Data'!Z12</f>
        <v>0</v>
      </c>
      <c r="V12" s="47">
        <f t="shared" ca="1" si="9"/>
        <v>75943346.077593863</v>
      </c>
      <c r="Y12" t="s">
        <v>305</v>
      </c>
      <c r="Z12" s="436">
        <f>'VRZ GS 50-2,999'!AA13</f>
        <v>1315213.3489560999</v>
      </c>
      <c r="AA12" s="3">
        <f>'VRZ GS 50-2,999'!AB13</f>
        <v>166072.382454473</v>
      </c>
      <c r="AB12" s="235">
        <f>'VRZ GS 50-2,999'!AC13</f>
        <v>7.9195187635527402</v>
      </c>
      <c r="AC12" s="245">
        <f>'VRZ GS 50-2,999'!AD13</f>
        <v>0</v>
      </c>
    </row>
    <row r="13" spans="1:29">
      <c r="A13" s="2">
        <f>'Monthly Data'!A13</f>
        <v>42705</v>
      </c>
      <c r="B13">
        <f>'Monthly Data'!B13</f>
        <v>2016</v>
      </c>
      <c r="C13">
        <f>'Monthly Data'!C13</f>
        <v>12</v>
      </c>
      <c r="D13" s="3">
        <f>'Monthly Data'!X13</f>
        <v>77033980.924357042</v>
      </c>
      <c r="E13" s="91">
        <f ca="1">Weather!BG57</f>
        <v>664.38541666666663</v>
      </c>
      <c r="F13" s="91">
        <f ca="1">Weather!DL57</f>
        <v>0</v>
      </c>
      <c r="G13">
        <f>'Monthly Data'!EG13</f>
        <v>0</v>
      </c>
      <c r="H13" s="3">
        <f>'Monthly Data'!DQ13</f>
        <v>31</v>
      </c>
      <c r="I13" s="3">
        <f>'Monthly Data'!DL13</f>
        <v>745246</v>
      </c>
      <c r="J13" s="489">
        <f>'Monthly Data'!EJ13</f>
        <v>0</v>
      </c>
      <c r="L13" s="3">
        <f t="shared" si="1"/>
        <v>-4442160.1424492002</v>
      </c>
      <c r="M13" s="3">
        <f t="shared" ca="1" si="2"/>
        <v>14466215.532746576</v>
      </c>
      <c r="N13" s="3">
        <f t="shared" ca="1" si="3"/>
        <v>0</v>
      </c>
      <c r="O13" s="3">
        <f t="shared" si="4"/>
        <v>0</v>
      </c>
      <c r="P13" s="3">
        <f t="shared" si="5"/>
        <v>40771613.817639098</v>
      </c>
      <c r="Q13" s="3">
        <f t="shared" si="6"/>
        <v>28182176.084954139</v>
      </c>
      <c r="R13" s="3">
        <f t="shared" si="7"/>
        <v>0</v>
      </c>
      <c r="S13" s="47">
        <f t="shared" ca="1" si="8"/>
        <v>78977845.292890608</v>
      </c>
      <c r="T13" s="47">
        <f>'Monthly Data'!Y13</f>
        <v>0</v>
      </c>
      <c r="U13" s="47">
        <f>+'Monthly Data'!Z13</f>
        <v>0</v>
      </c>
      <c r="V13" s="47">
        <f t="shared" ca="1" si="9"/>
        <v>78977845.292890608</v>
      </c>
      <c r="Y13" t="s">
        <v>141</v>
      </c>
      <c r="Z13" s="3">
        <f>'VRZ GS 50-2,999'!AA14</f>
        <v>37.815937401816498</v>
      </c>
      <c r="AA13" s="3">
        <f>'VRZ GS 50-2,999'!AB14</f>
        <v>3.0583376517328502</v>
      </c>
      <c r="AB13" s="235">
        <f>'VRZ GS 50-2,999'!AC14</f>
        <v>12.3648667047571</v>
      </c>
      <c r="AC13" s="245">
        <f>'VRZ GS 50-2,999'!AD14</f>
        <v>0</v>
      </c>
    </row>
    <row r="14" spans="1:29">
      <c r="A14" s="2">
        <f>'Monthly Data'!A14</f>
        <v>42736</v>
      </c>
      <c r="B14">
        <f>'Monthly Data'!B14</f>
        <v>2017</v>
      </c>
      <c r="C14">
        <f>'Monthly Data'!C14</f>
        <v>1</v>
      </c>
      <c r="D14" s="3">
        <f>'Monthly Data'!X14</f>
        <v>81012116.883967727</v>
      </c>
      <c r="E14" s="3">
        <f t="shared" ref="E14:F14" ca="1" si="10">E2</f>
        <v>752.78750000000002</v>
      </c>
      <c r="F14" s="3">
        <f t="shared" ca="1" si="10"/>
        <v>0</v>
      </c>
      <c r="G14">
        <f>'Monthly Data'!EG14</f>
        <v>0</v>
      </c>
      <c r="H14" s="3">
        <f>'Monthly Data'!DQ14</f>
        <v>31</v>
      </c>
      <c r="I14" s="3">
        <f>'Monthly Data'!DL14</f>
        <v>756670</v>
      </c>
      <c r="J14" s="489">
        <f>'Monthly Data'!EJ14</f>
        <v>0</v>
      </c>
      <c r="L14" s="3">
        <f t="shared" si="1"/>
        <v>-4442160.1424492002</v>
      </c>
      <c r="M14" s="3">
        <f t="shared" ca="1" si="2"/>
        <v>16391067.522213772</v>
      </c>
      <c r="N14" s="3">
        <f t="shared" ca="1" si="3"/>
        <v>0</v>
      </c>
      <c r="O14" s="3">
        <f t="shared" si="4"/>
        <v>0</v>
      </c>
      <c r="P14" s="3">
        <f t="shared" si="5"/>
        <v>40771613.817639098</v>
      </c>
      <c r="Q14" s="3">
        <f t="shared" si="6"/>
        <v>28614185.353832491</v>
      </c>
      <c r="R14" s="3">
        <f t="shared" si="7"/>
        <v>0</v>
      </c>
      <c r="S14" s="47">
        <f t="shared" ca="1" si="8"/>
        <v>81334706.551236153</v>
      </c>
      <c r="T14" s="47">
        <f>'Monthly Data'!Y14</f>
        <v>182.33784615384613</v>
      </c>
      <c r="U14" s="47">
        <f>+'Monthly Data'!Z14</f>
        <v>0</v>
      </c>
      <c r="V14" s="47">
        <f t="shared" ca="1" si="9"/>
        <v>81334888.889082313</v>
      </c>
      <c r="Y14" s="3" t="str">
        <f>'VRZ GS 50-2,999'!Z15</f>
        <v>COVID_AM</v>
      </c>
      <c r="Z14" s="3">
        <f>'VRZ GS 50-2,999'!AA15</f>
        <v>-6065765.5712040104</v>
      </c>
      <c r="AA14" s="3">
        <f>'VRZ GS 50-2,999'!AB15</f>
        <v>745554.424767524</v>
      </c>
      <c r="AB14" s="235">
        <f>'VRZ GS 50-2,999'!AC15</f>
        <v>-8.1359125098015692</v>
      </c>
      <c r="AC14" s="245">
        <f>'VRZ GS 50-2,999'!AD15</f>
        <v>0</v>
      </c>
    </row>
    <row r="15" spans="1:29">
      <c r="A15" s="2">
        <f>'Monthly Data'!A15</f>
        <v>42767</v>
      </c>
      <c r="B15">
        <f>'Monthly Data'!B15</f>
        <v>2017</v>
      </c>
      <c r="C15">
        <f>'Monthly Data'!C15</f>
        <v>2</v>
      </c>
      <c r="D15" s="3">
        <f>'Monthly Data'!X15</f>
        <v>73445222.123628616</v>
      </c>
      <c r="E15" s="3">
        <f t="shared" ref="E15:F15" ca="1" si="11">E3</f>
        <v>660.7954166666666</v>
      </c>
      <c r="F15" s="3">
        <f t="shared" ca="1" si="11"/>
        <v>0</v>
      </c>
      <c r="G15">
        <f>'Monthly Data'!EG15</f>
        <v>0</v>
      </c>
      <c r="H15" s="3">
        <f>'Monthly Data'!DQ15</f>
        <v>28</v>
      </c>
      <c r="I15" s="3">
        <f>'Monthly Data'!DL15</f>
        <v>756670</v>
      </c>
      <c r="J15" s="489">
        <f>'Monthly Data'!EJ15</f>
        <v>0</v>
      </c>
      <c r="L15" s="3">
        <f t="shared" si="1"/>
        <v>-4442160.1424492002</v>
      </c>
      <c r="M15" s="3">
        <f t="shared" ca="1" si="2"/>
        <v>14388047.48079998</v>
      </c>
      <c r="N15" s="3">
        <f t="shared" ca="1" si="3"/>
        <v>0</v>
      </c>
      <c r="O15" s="3">
        <f t="shared" si="4"/>
        <v>0</v>
      </c>
      <c r="P15" s="3">
        <f t="shared" si="5"/>
        <v>36825973.770770796</v>
      </c>
      <c r="Q15" s="3">
        <f t="shared" si="6"/>
        <v>28614185.353832491</v>
      </c>
      <c r="R15" s="3">
        <f t="shared" si="7"/>
        <v>0</v>
      </c>
      <c r="S15" s="47">
        <f t="shared" ca="1" si="8"/>
        <v>75386046.462954074</v>
      </c>
      <c r="T15" s="47">
        <f>'Monthly Data'!Y15</f>
        <v>364.67569230769226</v>
      </c>
      <c r="U15" s="47">
        <f>+'Monthly Data'!Z15</f>
        <v>0</v>
      </c>
      <c r="V15" s="47">
        <f t="shared" ca="1" si="9"/>
        <v>75386411.138646379</v>
      </c>
    </row>
    <row r="16" spans="1:29">
      <c r="A16" s="2">
        <f>'Monthly Data'!A16</f>
        <v>42795</v>
      </c>
      <c r="B16">
        <f>'Monthly Data'!B16</f>
        <v>2017</v>
      </c>
      <c r="C16">
        <f>'Monthly Data'!C16</f>
        <v>3</v>
      </c>
      <c r="D16" s="3">
        <f>'Monthly Data'!X16</f>
        <v>81650170.503930464</v>
      </c>
      <c r="E16" s="3">
        <f t="shared" ref="E16:F16" ca="1" si="12">E4</f>
        <v>596.21590579710141</v>
      </c>
      <c r="F16" s="3">
        <f t="shared" ca="1" si="12"/>
        <v>2.9583333333332896E-2</v>
      </c>
      <c r="G16">
        <f>'Monthly Data'!EG16</f>
        <v>1</v>
      </c>
      <c r="H16" s="3">
        <f>'Monthly Data'!DQ16</f>
        <v>31</v>
      </c>
      <c r="I16" s="3">
        <f>'Monthly Data'!DL16</f>
        <v>756670</v>
      </c>
      <c r="J16" s="489">
        <f>'Monthly Data'!EJ16</f>
        <v>0</v>
      </c>
      <c r="L16" s="3">
        <f t="shared" si="1"/>
        <v>-4442160.1424492002</v>
      </c>
      <c r="M16" s="3">
        <f t="shared" ca="1" si="2"/>
        <v>12981904.149229543</v>
      </c>
      <c r="N16" s="3">
        <f t="shared" ca="1" si="3"/>
        <v>1907.1474734676008</v>
      </c>
      <c r="O16" s="3">
        <f t="shared" si="4"/>
        <v>1833644.83418835</v>
      </c>
      <c r="P16" s="3">
        <f t="shared" si="5"/>
        <v>40771613.817639098</v>
      </c>
      <c r="Q16" s="3">
        <f t="shared" si="6"/>
        <v>28614185.353832491</v>
      </c>
      <c r="R16" s="3">
        <f t="shared" si="7"/>
        <v>0</v>
      </c>
      <c r="S16" s="47">
        <f t="shared" ca="1" si="8"/>
        <v>79761095.159913749</v>
      </c>
      <c r="T16" s="47">
        <f>'Monthly Data'!Y16</f>
        <v>547.01353846153847</v>
      </c>
      <c r="U16" s="47">
        <f>+'Monthly Data'!Z16</f>
        <v>0</v>
      </c>
      <c r="V16" s="47">
        <f t="shared" ca="1" si="9"/>
        <v>79761642.173452213</v>
      </c>
      <c r="Y16" t="s">
        <v>306</v>
      </c>
      <c r="Z16" s="3"/>
      <c r="AA16" s="3"/>
      <c r="AB16" s="235"/>
      <c r="AC16" s="100"/>
    </row>
    <row r="17" spans="1:28">
      <c r="A17" s="2">
        <f>'Monthly Data'!A17</f>
        <v>42826</v>
      </c>
      <c r="B17">
        <f>'Monthly Data'!B17</f>
        <v>2017</v>
      </c>
      <c r="C17">
        <f>'Monthly Data'!C17</f>
        <v>4</v>
      </c>
      <c r="D17" s="3">
        <f>'Monthly Data'!X17</f>
        <v>72782582.559538245</v>
      </c>
      <c r="E17" s="3">
        <f t="shared" ref="E17:F17" ca="1" si="13">E5</f>
        <v>412.8885416666667</v>
      </c>
      <c r="F17" s="3">
        <f t="shared" ca="1" si="13"/>
        <v>6.0095833333333344</v>
      </c>
      <c r="G17">
        <f>'Monthly Data'!EG17</f>
        <v>1</v>
      </c>
      <c r="H17" s="3">
        <f>'Monthly Data'!DQ17</f>
        <v>30</v>
      </c>
      <c r="I17" s="3">
        <f>'Monthly Data'!DL17</f>
        <v>764676</v>
      </c>
      <c r="J17" s="489">
        <f>'Monthly Data'!EJ17</f>
        <v>0</v>
      </c>
      <c r="L17" s="3">
        <f t="shared" si="1"/>
        <v>-4442160.1424492002</v>
      </c>
      <c r="M17" s="3">
        <f t="shared" ca="1" si="2"/>
        <v>8990165.1735804696</v>
      </c>
      <c r="N17" s="3">
        <f t="shared" ca="1" si="3"/>
        <v>387419.54943413549</v>
      </c>
      <c r="O17" s="3">
        <f t="shared" si="4"/>
        <v>1833644.83418835</v>
      </c>
      <c r="P17" s="3">
        <f t="shared" si="5"/>
        <v>39456400.468682997</v>
      </c>
      <c r="Q17" s="3">
        <f t="shared" si="6"/>
        <v>28916939.748671431</v>
      </c>
      <c r="R17" s="3">
        <f t="shared" si="7"/>
        <v>0</v>
      </c>
      <c r="S17" s="47">
        <f t="shared" ca="1" si="8"/>
        <v>75142409.632108182</v>
      </c>
      <c r="T17" s="47">
        <f>'Monthly Data'!Y17</f>
        <v>729.35138461538452</v>
      </c>
      <c r="U17" s="47">
        <f>+'Monthly Data'!Z17</f>
        <v>0</v>
      </c>
      <c r="V17" s="47">
        <f t="shared" ca="1" si="9"/>
        <v>75143138.983492792</v>
      </c>
      <c r="Y17" t="s">
        <v>307</v>
      </c>
      <c r="Z17">
        <v>497391487181216</v>
      </c>
      <c r="AA17" t="s">
        <v>308</v>
      </c>
      <c r="AB17">
        <v>2098021.58635819</v>
      </c>
    </row>
    <row r="18" spans="1:28">
      <c r="A18" s="2">
        <f>'Monthly Data'!A18</f>
        <v>42856</v>
      </c>
      <c r="B18">
        <f>'Monthly Data'!B18</f>
        <v>2017</v>
      </c>
      <c r="C18">
        <f>'Monthly Data'!C18</f>
        <v>5</v>
      </c>
      <c r="D18" s="3">
        <f>'Monthly Data'!X18</f>
        <v>76390785.152737096</v>
      </c>
      <c r="E18" s="3">
        <f t="shared" ref="E18:F18" ca="1" si="14">E6</f>
        <v>208.90012508544086</v>
      </c>
      <c r="F18" s="3">
        <f t="shared" ca="1" si="14"/>
        <v>81.50872474747473</v>
      </c>
      <c r="G18">
        <f>'Monthly Data'!EG18</f>
        <v>1</v>
      </c>
      <c r="H18" s="3">
        <f>'Monthly Data'!DQ18</f>
        <v>31</v>
      </c>
      <c r="I18" s="3">
        <f>'Monthly Data'!DL18</f>
        <v>764676</v>
      </c>
      <c r="J18" s="489">
        <f>'Monthly Data'!EJ18</f>
        <v>0</v>
      </c>
      <c r="L18" s="3">
        <f t="shared" si="1"/>
        <v>-4442160.1424492002</v>
      </c>
      <c r="M18" s="3">
        <f t="shared" ca="1" si="2"/>
        <v>4548555.9413172565</v>
      </c>
      <c r="N18" s="3">
        <f t="shared" ca="1" si="3"/>
        <v>5254619.4411621923</v>
      </c>
      <c r="O18" s="3">
        <f t="shared" si="4"/>
        <v>1833644.83418835</v>
      </c>
      <c r="P18" s="3">
        <f t="shared" si="5"/>
        <v>40771613.817639098</v>
      </c>
      <c r="Q18" s="3">
        <f t="shared" si="6"/>
        <v>28916939.748671431</v>
      </c>
      <c r="R18" s="3">
        <f t="shared" si="7"/>
        <v>0</v>
      </c>
      <c r="S18" s="47">
        <f t="shared" ca="1" si="8"/>
        <v>76883213.640529126</v>
      </c>
      <c r="T18" s="47">
        <f>'Monthly Data'!Y18</f>
        <v>911.68923076923068</v>
      </c>
      <c r="U18" s="47">
        <f>+'Monthly Data'!Z18</f>
        <v>0</v>
      </c>
      <c r="V18" s="47">
        <f t="shared" ca="1" si="9"/>
        <v>76884125.329759896</v>
      </c>
      <c r="Y18" t="s">
        <v>309</v>
      </c>
      <c r="Z18">
        <v>0.77656724602068505</v>
      </c>
      <c r="AA18" t="s">
        <v>310</v>
      </c>
      <c r="AB18">
        <v>0.76668084097735201</v>
      </c>
    </row>
    <row r="19" spans="1:28">
      <c r="A19" s="2">
        <f>'Monthly Data'!A19</f>
        <v>42887</v>
      </c>
      <c r="B19">
        <f>'Monthly Data'!B19</f>
        <v>2017</v>
      </c>
      <c r="C19">
        <f>'Monthly Data'!C19</f>
        <v>6</v>
      </c>
      <c r="D19" s="3">
        <f>'Monthly Data'!X19</f>
        <v>77082034.041033</v>
      </c>
      <c r="E19" s="3">
        <f t="shared" ref="E19:F19" ca="1" si="15">E7</f>
        <v>61.78217382617381</v>
      </c>
      <c r="F19" s="3">
        <f t="shared" ca="1" si="15"/>
        <v>202.3599342107168</v>
      </c>
      <c r="G19">
        <f>'Monthly Data'!EG19</f>
        <v>0</v>
      </c>
      <c r="H19" s="3">
        <f>'Monthly Data'!DQ19</f>
        <v>30</v>
      </c>
      <c r="I19" s="3">
        <f>'Monthly Data'!DL19</f>
        <v>764676</v>
      </c>
      <c r="J19" s="489">
        <f>'Monthly Data'!EJ19</f>
        <v>0</v>
      </c>
      <c r="L19" s="3">
        <f t="shared" si="1"/>
        <v>-4442160.1424492002</v>
      </c>
      <c r="M19" s="3">
        <f t="shared" ca="1" si="2"/>
        <v>1345234.5885843791</v>
      </c>
      <c r="N19" s="3">
        <f t="shared" ca="1" si="3"/>
        <v>13045529.146852197</v>
      </c>
      <c r="O19" s="3">
        <f t="shared" si="4"/>
        <v>0</v>
      </c>
      <c r="P19" s="3">
        <f t="shared" si="5"/>
        <v>39456400.468682997</v>
      </c>
      <c r="Q19" s="3">
        <f t="shared" si="6"/>
        <v>28916939.748671431</v>
      </c>
      <c r="R19" s="3">
        <f t="shared" si="7"/>
        <v>0</v>
      </c>
      <c r="S19" s="47">
        <f t="shared" ca="1" si="8"/>
        <v>78321943.810341805</v>
      </c>
      <c r="T19" s="47">
        <f>'Monthly Data'!Y19</f>
        <v>1094.0270769230769</v>
      </c>
      <c r="U19" s="47">
        <f>+'Monthly Data'!Z19</f>
        <v>0</v>
      </c>
      <c r="V19" s="47">
        <f t="shared" ca="1" si="9"/>
        <v>78323037.837418735</v>
      </c>
      <c r="Y19" t="s">
        <v>618</v>
      </c>
      <c r="Z19">
        <v>96.161948699209603</v>
      </c>
      <c r="AA19" t="s">
        <v>312</v>
      </c>
      <c r="AB19" s="3">
        <v>4.6955757317599699E-39</v>
      </c>
    </row>
    <row r="20" spans="1:28">
      <c r="A20" s="2">
        <f>'Monthly Data'!A20</f>
        <v>42917</v>
      </c>
      <c r="B20">
        <f>'Monthly Data'!B20</f>
        <v>2017</v>
      </c>
      <c r="C20">
        <f>'Monthly Data'!C20</f>
        <v>7</v>
      </c>
      <c r="D20" s="3">
        <f>'Monthly Data'!X20</f>
        <v>79033735.183162868</v>
      </c>
      <c r="E20" s="3">
        <f t="shared" ref="E20:F20" ca="1" si="16">E8</f>
        <v>8.334479813664597</v>
      </c>
      <c r="F20" s="3">
        <f t="shared" ca="1" si="16"/>
        <v>304.72508692061177</v>
      </c>
      <c r="G20">
        <f>'Monthly Data'!EG20</f>
        <v>0</v>
      </c>
      <c r="H20" s="3">
        <f>'Monthly Data'!DQ20</f>
        <v>31</v>
      </c>
      <c r="I20" s="3">
        <f>'Monthly Data'!DL20</f>
        <v>765009</v>
      </c>
      <c r="J20" s="489">
        <f>'Monthly Data'!EJ20</f>
        <v>0</v>
      </c>
      <c r="L20" s="3">
        <f t="shared" si="1"/>
        <v>-4442160.1424492002</v>
      </c>
      <c r="M20" s="3">
        <f t="shared" ca="1" si="2"/>
        <v>181473.55181681956</v>
      </c>
      <c r="N20" s="3">
        <f t="shared" ca="1" si="3"/>
        <v>19644699.029504735</v>
      </c>
      <c r="O20" s="3">
        <f t="shared" si="4"/>
        <v>0</v>
      </c>
      <c r="P20" s="3">
        <f t="shared" si="5"/>
        <v>40771613.817639098</v>
      </c>
      <c r="Q20" s="3">
        <f t="shared" si="6"/>
        <v>28929532.455826238</v>
      </c>
      <c r="R20" s="3">
        <f t="shared" si="7"/>
        <v>0</v>
      </c>
      <c r="S20" s="47">
        <f t="shared" ca="1" si="8"/>
        <v>85085158.712337688</v>
      </c>
      <c r="T20" s="47">
        <f>'Monthly Data'!Y20</f>
        <v>1276.3649230769229</v>
      </c>
      <c r="U20" s="47">
        <f>+'Monthly Data'!Z20</f>
        <v>0</v>
      </c>
      <c r="V20" s="47">
        <f t="shared" ca="1" si="9"/>
        <v>85086435.077260762</v>
      </c>
      <c r="Y20" t="s">
        <v>313</v>
      </c>
      <c r="Z20" s="99">
        <v>-0.16631129715246001</v>
      </c>
      <c r="AA20" t="s">
        <v>314</v>
      </c>
      <c r="AB20" s="99">
        <v>2.2772842150667598</v>
      </c>
    </row>
    <row r="21" spans="1:28">
      <c r="A21" s="2">
        <f>'Monthly Data'!A21</f>
        <v>42948</v>
      </c>
      <c r="B21">
        <f>'Monthly Data'!B21</f>
        <v>2017</v>
      </c>
      <c r="C21">
        <f>'Monthly Data'!C21</f>
        <v>8</v>
      </c>
      <c r="D21" s="3">
        <f>'Monthly Data'!X21</f>
        <v>81952676.665490463</v>
      </c>
      <c r="E21" s="3">
        <f t="shared" ref="E21:F21" ca="1" si="17">E9</f>
        <v>21.054927536231883</v>
      </c>
      <c r="F21" s="3">
        <f t="shared" ca="1" si="17"/>
        <v>275.96017127799735</v>
      </c>
      <c r="G21">
        <f>'Monthly Data'!EG21</f>
        <v>0</v>
      </c>
      <c r="H21" s="3">
        <f>'Monthly Data'!DQ21</f>
        <v>31</v>
      </c>
      <c r="I21" s="3">
        <f>'Monthly Data'!DL21</f>
        <v>765009</v>
      </c>
      <c r="J21" s="489">
        <f>'Monthly Data'!EJ21</f>
        <v>0</v>
      </c>
      <c r="L21" s="3">
        <f t="shared" si="1"/>
        <v>-4442160.1424492002</v>
      </c>
      <c r="M21" s="3">
        <f t="shared" ca="1" si="2"/>
        <v>458446.42601224757</v>
      </c>
      <c r="N21" s="3">
        <f t="shared" ca="1" si="3"/>
        <v>17790312.45398964</v>
      </c>
      <c r="O21" s="3">
        <f t="shared" si="4"/>
        <v>0</v>
      </c>
      <c r="P21" s="3">
        <f t="shared" si="5"/>
        <v>40771613.817639098</v>
      </c>
      <c r="Q21" s="3">
        <f t="shared" si="6"/>
        <v>28929532.455826238</v>
      </c>
      <c r="R21" s="3">
        <f t="shared" si="7"/>
        <v>0</v>
      </c>
      <c r="S21" s="47">
        <f t="shared" ca="1" si="8"/>
        <v>83507745.011018023</v>
      </c>
      <c r="T21" s="47">
        <f>'Monthly Data'!Y21</f>
        <v>1458.702769230769</v>
      </c>
      <c r="U21" s="47">
        <f>+'Monthly Data'!Z21</f>
        <v>0</v>
      </c>
      <c r="V21" s="47">
        <f t="shared" ca="1" si="9"/>
        <v>83509203.713787258</v>
      </c>
      <c r="Z21" s="235"/>
      <c r="AB21" s="99"/>
    </row>
    <row r="22" spans="1:28">
      <c r="A22" s="2">
        <f>'Monthly Data'!A22</f>
        <v>42979</v>
      </c>
      <c r="B22">
        <f>'Monthly Data'!B22</f>
        <v>2017</v>
      </c>
      <c r="C22">
        <f>'Monthly Data'!C22</f>
        <v>9</v>
      </c>
      <c r="D22" s="3">
        <f>'Monthly Data'!X22</f>
        <v>78946500.321015731</v>
      </c>
      <c r="E22" s="3">
        <f t="shared" ref="E22:F22" ca="1" si="18">E10</f>
        <v>97.667119565217376</v>
      </c>
      <c r="F22" s="3">
        <f t="shared" ca="1" si="18"/>
        <v>154.9849637681159</v>
      </c>
      <c r="G22">
        <f>'Monthly Data'!EG22</f>
        <v>1</v>
      </c>
      <c r="H22" s="3">
        <f>'Monthly Data'!DQ22</f>
        <v>30</v>
      </c>
      <c r="I22" s="3">
        <f>'Monthly Data'!DL22</f>
        <v>765009</v>
      </c>
      <c r="J22" s="489">
        <f>'Monthly Data'!EJ22</f>
        <v>0</v>
      </c>
      <c r="L22" s="3">
        <f t="shared" si="1"/>
        <v>-4442160.1424492002</v>
      </c>
      <c r="M22" s="3">
        <f t="shared" ca="1" si="2"/>
        <v>2126587.3191220681</v>
      </c>
      <c r="N22" s="3">
        <f t="shared" ca="1" si="3"/>
        <v>9991408.9715774972</v>
      </c>
      <c r="O22" s="3">
        <f t="shared" si="4"/>
        <v>1833644.83418835</v>
      </c>
      <c r="P22" s="3">
        <f t="shared" si="5"/>
        <v>39456400.468682997</v>
      </c>
      <c r="Q22" s="3">
        <f t="shared" si="6"/>
        <v>28929532.455826238</v>
      </c>
      <c r="R22" s="3">
        <f t="shared" si="7"/>
        <v>0</v>
      </c>
      <c r="S22" s="47">
        <f t="shared" ca="1" si="8"/>
        <v>77895413.906947941</v>
      </c>
      <c r="T22" s="47">
        <f>'Monthly Data'!Y22</f>
        <v>1641.0406153846152</v>
      </c>
      <c r="U22" s="47">
        <f>+'Monthly Data'!Z22</f>
        <v>0</v>
      </c>
      <c r="V22" s="47">
        <f t="shared" ca="1" si="9"/>
        <v>77897054.94756332</v>
      </c>
      <c r="Y22" t="s">
        <v>315</v>
      </c>
      <c r="Z22" s="99"/>
      <c r="AB22" s="99"/>
    </row>
    <row r="23" spans="1:28">
      <c r="A23" s="2">
        <f>'Monthly Data'!A23</f>
        <v>43009</v>
      </c>
      <c r="B23">
        <f>'Monthly Data'!B23</f>
        <v>2017</v>
      </c>
      <c r="C23">
        <f>'Monthly Data'!C23</f>
        <v>10</v>
      </c>
      <c r="D23" s="3">
        <f>'Monthly Data'!X23</f>
        <v>76944611.206654161</v>
      </c>
      <c r="E23" s="3">
        <f t="shared" ref="E23:F23" ca="1" si="19">E11</f>
        <v>292.46431159420291</v>
      </c>
      <c r="F23" s="3">
        <f t="shared" ca="1" si="19"/>
        <v>38.347916666666663</v>
      </c>
      <c r="G23">
        <f>'Monthly Data'!EG23</f>
        <v>1</v>
      </c>
      <c r="H23" s="3">
        <f>'Monthly Data'!DQ23</f>
        <v>31</v>
      </c>
      <c r="I23" s="3">
        <f>'Monthly Data'!DL23</f>
        <v>771506</v>
      </c>
      <c r="J23" s="489">
        <f>'Monthly Data'!EJ23</f>
        <v>0</v>
      </c>
      <c r="L23" s="3">
        <f t="shared" si="1"/>
        <v>-4442160.1424492002</v>
      </c>
      <c r="M23" s="3">
        <f t="shared" ca="1" si="2"/>
        <v>6368068.3847411759</v>
      </c>
      <c r="N23" s="3">
        <f t="shared" ca="1" si="3"/>
        <v>2472173.4890224398</v>
      </c>
      <c r="O23" s="3">
        <f t="shared" si="4"/>
        <v>1833644.83418835</v>
      </c>
      <c r="P23" s="3">
        <f t="shared" si="5"/>
        <v>40771613.817639098</v>
      </c>
      <c r="Q23" s="3">
        <f t="shared" si="6"/>
        <v>29175222.60112584</v>
      </c>
      <c r="R23" s="3">
        <f t="shared" si="7"/>
        <v>0</v>
      </c>
      <c r="S23" s="47">
        <f t="shared" ca="1" si="8"/>
        <v>76178562.984267697</v>
      </c>
      <c r="T23" s="47">
        <f>'Monthly Data'!Y23</f>
        <v>1823.3784615384614</v>
      </c>
      <c r="U23" s="47">
        <f>+'Monthly Data'!Z23</f>
        <v>0</v>
      </c>
      <c r="V23" s="47">
        <f t="shared" ca="1" si="9"/>
        <v>76180386.362729236</v>
      </c>
      <c r="Y23" t="s">
        <v>316</v>
      </c>
      <c r="Z23">
        <v>82863811.956522107</v>
      </c>
      <c r="AA23" t="s">
        <v>317</v>
      </c>
      <c r="AB23">
        <v>4336222.1146028703</v>
      </c>
    </row>
    <row r="24" spans="1:28">
      <c r="A24" s="2">
        <f>'Monthly Data'!A24</f>
        <v>43040</v>
      </c>
      <c r="B24">
        <f>'Monthly Data'!B24</f>
        <v>2017</v>
      </c>
      <c r="C24">
        <f>'Monthly Data'!C24</f>
        <v>11</v>
      </c>
      <c r="D24" s="3">
        <f>'Monthly Data'!X24</f>
        <v>78143965.867086679</v>
      </c>
      <c r="E24" s="3">
        <f t="shared" ref="E24:F24" ca="1" si="20">E12</f>
        <v>495.51408055712409</v>
      </c>
      <c r="F24" s="3">
        <f t="shared" ca="1" si="20"/>
        <v>1.9241666666666659</v>
      </c>
      <c r="G24">
        <f>'Monthly Data'!EG24</f>
        <v>1</v>
      </c>
      <c r="H24" s="3">
        <f>'Monthly Data'!DQ24</f>
        <v>30</v>
      </c>
      <c r="I24" s="3">
        <f>'Monthly Data'!DL24</f>
        <v>771506</v>
      </c>
      <c r="J24" s="489">
        <f>'Monthly Data'!EJ24</f>
        <v>0</v>
      </c>
      <c r="L24" s="3">
        <f t="shared" si="1"/>
        <v>-4442160.1424492002</v>
      </c>
      <c r="M24" s="3">
        <f t="shared" ca="1" si="2"/>
        <v>10789239.66274612</v>
      </c>
      <c r="N24" s="3">
        <f t="shared" ca="1" si="3"/>
        <v>124045.16947145785</v>
      </c>
      <c r="O24" s="3">
        <f t="shared" si="4"/>
        <v>1833644.83418835</v>
      </c>
      <c r="P24" s="3">
        <f t="shared" si="5"/>
        <v>39456400.468682997</v>
      </c>
      <c r="Q24" s="3">
        <f t="shared" si="6"/>
        <v>29175222.60112584</v>
      </c>
      <c r="R24" s="3">
        <f t="shared" si="7"/>
        <v>0</v>
      </c>
      <c r="S24" s="47">
        <f t="shared" ca="1" si="8"/>
        <v>76936392.593765557</v>
      </c>
      <c r="T24" s="47">
        <f>'Monthly Data'!Y24</f>
        <v>2005.7163076923073</v>
      </c>
      <c r="U24" s="47">
        <f>+'Monthly Data'!Z24</f>
        <v>0</v>
      </c>
      <c r="V24" s="47">
        <f t="shared" ca="1" si="9"/>
        <v>76938398.310073256</v>
      </c>
    </row>
    <row r="25" spans="1:28">
      <c r="A25" s="2">
        <f>'Monthly Data'!A25</f>
        <v>43070</v>
      </c>
      <c r="B25">
        <f>'Monthly Data'!B25</f>
        <v>2017</v>
      </c>
      <c r="C25">
        <f>'Monthly Data'!C25</f>
        <v>12</v>
      </c>
      <c r="D25" s="3">
        <f>'Monthly Data'!X25</f>
        <v>79908916.146969751</v>
      </c>
      <c r="E25" s="3">
        <f t="shared" ref="E25:F25" ca="1" si="21">E13</f>
        <v>664.38541666666663</v>
      </c>
      <c r="F25" s="3">
        <f t="shared" ca="1" si="21"/>
        <v>0</v>
      </c>
      <c r="G25">
        <f>'Monthly Data'!EG25</f>
        <v>0</v>
      </c>
      <c r="H25" s="3">
        <f>'Monthly Data'!DQ25</f>
        <v>31</v>
      </c>
      <c r="I25" s="3">
        <f>'Monthly Data'!DL25</f>
        <v>771506</v>
      </c>
      <c r="J25" s="489">
        <f>'Monthly Data'!EJ25</f>
        <v>0</v>
      </c>
      <c r="L25" s="3">
        <f t="shared" si="1"/>
        <v>-4442160.1424492002</v>
      </c>
      <c r="M25" s="3">
        <f t="shared" ca="1" si="2"/>
        <v>14466215.532746576</v>
      </c>
      <c r="N25" s="3">
        <f t="shared" ca="1" si="3"/>
        <v>0</v>
      </c>
      <c r="O25" s="3">
        <f t="shared" si="4"/>
        <v>0</v>
      </c>
      <c r="P25" s="3">
        <f t="shared" si="5"/>
        <v>40771613.817639098</v>
      </c>
      <c r="Q25" s="3">
        <f t="shared" si="6"/>
        <v>29175222.60112584</v>
      </c>
      <c r="R25" s="3">
        <f t="shared" si="7"/>
        <v>0</v>
      </c>
      <c r="S25" s="47">
        <f t="shared" ca="1" si="8"/>
        <v>79970891.809062317</v>
      </c>
      <c r="T25" s="47">
        <f>'Monthly Data'!Y25</f>
        <v>2188.0541538461539</v>
      </c>
      <c r="U25" s="47">
        <f>+'Monthly Data'!Z25</f>
        <v>0</v>
      </c>
      <c r="V25" s="47">
        <f t="shared" ca="1" si="9"/>
        <v>79973079.863216162</v>
      </c>
      <c r="Z25" s="3"/>
      <c r="AB25" s="3"/>
    </row>
    <row r="26" spans="1:28">
      <c r="A26" s="2">
        <f>'Monthly Data'!A26</f>
        <v>43101</v>
      </c>
      <c r="B26">
        <f>'Monthly Data'!B26</f>
        <v>2018</v>
      </c>
      <c r="C26">
        <f>'Monthly Data'!C26</f>
        <v>1</v>
      </c>
      <c r="D26" s="3">
        <f>'Monthly Data'!X26</f>
        <v>85722541.594353452</v>
      </c>
      <c r="E26" s="3">
        <f t="shared" ref="E26:F26" ca="1" si="22">E14</f>
        <v>752.78750000000002</v>
      </c>
      <c r="F26" s="3">
        <f t="shared" ca="1" si="22"/>
        <v>0</v>
      </c>
      <c r="G26">
        <f>'Monthly Data'!EG26</f>
        <v>0</v>
      </c>
      <c r="H26" s="3">
        <f>'Monthly Data'!DQ26</f>
        <v>31</v>
      </c>
      <c r="I26" s="3">
        <f>'Monthly Data'!DL26</f>
        <v>779694</v>
      </c>
      <c r="J26" s="489">
        <f>'Monthly Data'!EJ26</f>
        <v>0</v>
      </c>
      <c r="L26" s="3">
        <f t="shared" si="1"/>
        <v>-4442160.1424492002</v>
      </c>
      <c r="M26" s="3">
        <f t="shared" ca="1" si="2"/>
        <v>16391067.522213772</v>
      </c>
      <c r="N26" s="3">
        <f t="shared" ca="1" si="3"/>
        <v>0</v>
      </c>
      <c r="O26" s="3">
        <f t="shared" si="4"/>
        <v>0</v>
      </c>
      <c r="P26" s="3">
        <f t="shared" si="5"/>
        <v>40771613.817639098</v>
      </c>
      <c r="Q26" s="3">
        <f t="shared" si="6"/>
        <v>29484859.496571913</v>
      </c>
      <c r="R26" s="3">
        <f t="shared" si="7"/>
        <v>0</v>
      </c>
      <c r="S26" s="47">
        <f t="shared" ca="1" si="8"/>
        <v>82205380.693975583</v>
      </c>
      <c r="T26" s="47">
        <f>'Monthly Data'!Y26</f>
        <v>2827.9730769230769</v>
      </c>
      <c r="U26" s="47">
        <f>+'Monthly Data'!Z26</f>
        <v>0</v>
      </c>
      <c r="V26" s="47">
        <f t="shared" ca="1" si="9"/>
        <v>82208208.667052507</v>
      </c>
    </row>
    <row r="27" spans="1:28">
      <c r="A27" s="2">
        <f>'Monthly Data'!A27</f>
        <v>43132</v>
      </c>
      <c r="B27">
        <f>'Monthly Data'!B27</f>
        <v>2018</v>
      </c>
      <c r="C27">
        <f>'Monthly Data'!C27</f>
        <v>2</v>
      </c>
      <c r="D27" s="3">
        <f>'Monthly Data'!X27</f>
        <v>76123246.532861605</v>
      </c>
      <c r="E27" s="3">
        <f t="shared" ref="E27:F27" ca="1" si="23">E15</f>
        <v>660.7954166666666</v>
      </c>
      <c r="F27" s="3">
        <f t="shared" ca="1" si="23"/>
        <v>0</v>
      </c>
      <c r="G27">
        <f>'Monthly Data'!EG27</f>
        <v>0</v>
      </c>
      <c r="H27" s="3">
        <f>'Monthly Data'!DQ27</f>
        <v>28</v>
      </c>
      <c r="I27" s="3">
        <f>'Monthly Data'!DL27</f>
        <v>779694</v>
      </c>
      <c r="J27" s="489">
        <f>'Monthly Data'!EJ27</f>
        <v>0</v>
      </c>
      <c r="L27" s="3">
        <f t="shared" si="1"/>
        <v>-4442160.1424492002</v>
      </c>
      <c r="M27" s="3">
        <f t="shared" ca="1" si="2"/>
        <v>14388047.48079998</v>
      </c>
      <c r="N27" s="3">
        <f t="shared" ca="1" si="3"/>
        <v>0</v>
      </c>
      <c r="O27" s="3">
        <f t="shared" si="4"/>
        <v>0</v>
      </c>
      <c r="P27" s="3">
        <f t="shared" si="5"/>
        <v>36825973.770770796</v>
      </c>
      <c r="Q27" s="3">
        <f t="shared" si="6"/>
        <v>29484859.496571913</v>
      </c>
      <c r="R27" s="3">
        <f t="shared" si="7"/>
        <v>0</v>
      </c>
      <c r="S27" s="47">
        <f t="shared" ca="1" si="8"/>
        <v>76256720.605693489</v>
      </c>
      <c r="T27" s="47">
        <f>'Monthly Data'!Y27</f>
        <v>3285.5541538461539</v>
      </c>
      <c r="U27" s="47">
        <f>+'Monthly Data'!Z27</f>
        <v>0</v>
      </c>
      <c r="V27" s="47">
        <f t="shared" ca="1" si="9"/>
        <v>76260006.159847334</v>
      </c>
    </row>
    <row r="28" spans="1:28">
      <c r="A28" s="2">
        <f>'Monthly Data'!A28</f>
        <v>43160</v>
      </c>
      <c r="B28">
        <f>'Monthly Data'!B28</f>
        <v>2018</v>
      </c>
      <c r="C28">
        <f>'Monthly Data'!C28</f>
        <v>3</v>
      </c>
      <c r="D28" s="3">
        <f>'Monthly Data'!X28</f>
        <v>81114704.588170037</v>
      </c>
      <c r="E28" s="3">
        <f t="shared" ref="E28:F28" ca="1" si="24">E16</f>
        <v>596.21590579710141</v>
      </c>
      <c r="F28" s="3">
        <f t="shared" ca="1" si="24"/>
        <v>2.9583333333332896E-2</v>
      </c>
      <c r="G28">
        <f>'Monthly Data'!EG28</f>
        <v>1</v>
      </c>
      <c r="H28" s="3">
        <f>'Monthly Data'!DQ28</f>
        <v>31</v>
      </c>
      <c r="I28" s="3">
        <f>'Monthly Data'!DL28</f>
        <v>779694</v>
      </c>
      <c r="J28" s="489">
        <f>'Monthly Data'!EJ28</f>
        <v>0</v>
      </c>
      <c r="L28" s="3">
        <f t="shared" si="1"/>
        <v>-4442160.1424492002</v>
      </c>
      <c r="M28" s="3">
        <f t="shared" ca="1" si="2"/>
        <v>12981904.149229543</v>
      </c>
      <c r="N28" s="3">
        <f t="shared" ca="1" si="3"/>
        <v>1907.1474734676008</v>
      </c>
      <c r="O28" s="3">
        <f t="shared" si="4"/>
        <v>1833644.83418835</v>
      </c>
      <c r="P28" s="3">
        <f t="shared" si="5"/>
        <v>40771613.817639098</v>
      </c>
      <c r="Q28" s="3">
        <f t="shared" si="6"/>
        <v>29484859.496571913</v>
      </c>
      <c r="R28" s="3">
        <f t="shared" si="7"/>
        <v>0</v>
      </c>
      <c r="S28" s="47">
        <f t="shared" ca="1" si="8"/>
        <v>80631769.302653164</v>
      </c>
      <c r="T28" s="47">
        <f>'Monthly Data'!Y28</f>
        <v>3743.1352307692309</v>
      </c>
      <c r="U28" s="47">
        <f>+'Monthly Data'!Z28</f>
        <v>0</v>
      </c>
      <c r="V28" s="47">
        <f t="shared" ca="1" si="9"/>
        <v>80635512.437883928</v>
      </c>
    </row>
    <row r="29" spans="1:28">
      <c r="A29" s="2">
        <f>'Monthly Data'!A29</f>
        <v>43191</v>
      </c>
      <c r="B29">
        <f>'Monthly Data'!B29</f>
        <v>2018</v>
      </c>
      <c r="C29">
        <f>'Monthly Data'!C29</f>
        <v>4</v>
      </c>
      <c r="D29" s="3">
        <f>'Monthly Data'!X29</f>
        <v>77267427.025850743</v>
      </c>
      <c r="E29" s="3">
        <f t="shared" ref="E29:F29" ca="1" si="25">E17</f>
        <v>412.8885416666667</v>
      </c>
      <c r="F29" s="3">
        <f t="shared" ca="1" si="25"/>
        <v>6.0095833333333344</v>
      </c>
      <c r="G29">
        <f>'Monthly Data'!EG29</f>
        <v>1</v>
      </c>
      <c r="H29" s="3">
        <f>'Monthly Data'!DQ29</f>
        <v>30</v>
      </c>
      <c r="I29" s="3">
        <f>'Monthly Data'!DL29</f>
        <v>785185</v>
      </c>
      <c r="J29" s="489">
        <f>'Monthly Data'!EJ29</f>
        <v>0</v>
      </c>
      <c r="L29" s="3">
        <f t="shared" si="1"/>
        <v>-4442160.1424492002</v>
      </c>
      <c r="M29" s="3">
        <f t="shared" ca="1" si="2"/>
        <v>8990165.1735804696</v>
      </c>
      <c r="N29" s="3">
        <f t="shared" ca="1" si="3"/>
        <v>387419.54943413549</v>
      </c>
      <c r="O29" s="3">
        <f t="shared" si="4"/>
        <v>1833644.83418835</v>
      </c>
      <c r="P29" s="3">
        <f t="shared" si="5"/>
        <v>39456400.468682997</v>
      </c>
      <c r="Q29" s="3">
        <f t="shared" si="6"/>
        <v>29692506.808845285</v>
      </c>
      <c r="R29" s="3">
        <f t="shared" si="7"/>
        <v>0</v>
      </c>
      <c r="S29" s="47">
        <f t="shared" ca="1" si="8"/>
        <v>75917976.692282036</v>
      </c>
      <c r="T29" s="47">
        <f>'Monthly Data'!Y29</f>
        <v>4200.716307692308</v>
      </c>
      <c r="U29" s="47">
        <f>+'Monthly Data'!Z29</f>
        <v>0</v>
      </c>
      <c r="V29" s="47">
        <f t="shared" ca="1" si="9"/>
        <v>75922177.408589736</v>
      </c>
    </row>
    <row r="30" spans="1:28">
      <c r="A30" s="2">
        <f>'Monthly Data'!A30</f>
        <v>43221</v>
      </c>
      <c r="B30">
        <f>'Monthly Data'!B30</f>
        <v>2018</v>
      </c>
      <c r="C30">
        <f>'Monthly Data'!C30</f>
        <v>5</v>
      </c>
      <c r="D30" s="3">
        <f>'Monthly Data'!X30</f>
        <v>78670991.457707956</v>
      </c>
      <c r="E30" s="3">
        <f t="shared" ref="E30:F30" ca="1" si="26">E18</f>
        <v>208.90012508544086</v>
      </c>
      <c r="F30" s="3">
        <f t="shared" ca="1" si="26"/>
        <v>81.50872474747473</v>
      </c>
      <c r="G30">
        <f>'Monthly Data'!EG30</f>
        <v>1</v>
      </c>
      <c r="H30" s="3">
        <f>'Monthly Data'!DQ30</f>
        <v>31</v>
      </c>
      <c r="I30" s="3">
        <f>'Monthly Data'!DL30</f>
        <v>785185</v>
      </c>
      <c r="J30" s="489">
        <f>'Monthly Data'!EJ30</f>
        <v>0</v>
      </c>
      <c r="L30" s="3">
        <f t="shared" si="1"/>
        <v>-4442160.1424492002</v>
      </c>
      <c r="M30" s="3">
        <f t="shared" ca="1" si="2"/>
        <v>4548555.9413172565</v>
      </c>
      <c r="N30" s="3">
        <f t="shared" ca="1" si="3"/>
        <v>5254619.4411621923</v>
      </c>
      <c r="O30" s="3">
        <f t="shared" si="4"/>
        <v>1833644.83418835</v>
      </c>
      <c r="P30" s="3">
        <f t="shared" si="5"/>
        <v>40771613.817639098</v>
      </c>
      <c r="Q30" s="3">
        <f t="shared" si="6"/>
        <v>29692506.808845285</v>
      </c>
      <c r="R30" s="3">
        <f t="shared" si="7"/>
        <v>0</v>
      </c>
      <c r="S30" s="47">
        <f t="shared" ca="1" si="8"/>
        <v>77658780.70070298</v>
      </c>
      <c r="T30" s="47">
        <f>'Monthly Data'!Y30</f>
        <v>4658.2973846153855</v>
      </c>
      <c r="U30" s="47">
        <f>+'Monthly Data'!Z30</f>
        <v>0</v>
      </c>
      <c r="V30" s="47">
        <f t="shared" ca="1" si="9"/>
        <v>77663438.9980876</v>
      </c>
    </row>
    <row r="31" spans="1:28">
      <c r="A31" s="2">
        <f>'Monthly Data'!A31</f>
        <v>43252</v>
      </c>
      <c r="B31">
        <f>'Monthly Data'!B31</f>
        <v>2018</v>
      </c>
      <c r="C31">
        <f>'Monthly Data'!C31</f>
        <v>6</v>
      </c>
      <c r="D31" s="3">
        <f>'Monthly Data'!X31</f>
        <v>79797560.326718315</v>
      </c>
      <c r="E31" s="3">
        <f t="shared" ref="E31:F31" ca="1" si="27">E19</f>
        <v>61.78217382617381</v>
      </c>
      <c r="F31" s="3">
        <f t="shared" ca="1" si="27"/>
        <v>202.3599342107168</v>
      </c>
      <c r="G31">
        <f>'Monthly Data'!EG31</f>
        <v>0</v>
      </c>
      <c r="H31" s="3">
        <f>'Monthly Data'!DQ31</f>
        <v>30</v>
      </c>
      <c r="I31" s="3">
        <f>'Monthly Data'!DL31</f>
        <v>785185</v>
      </c>
      <c r="J31" s="489">
        <f>'Monthly Data'!EJ31</f>
        <v>0</v>
      </c>
      <c r="L31" s="3">
        <f t="shared" si="1"/>
        <v>-4442160.1424492002</v>
      </c>
      <c r="M31" s="3">
        <f t="shared" ca="1" si="2"/>
        <v>1345234.5885843791</v>
      </c>
      <c r="N31" s="3">
        <f t="shared" ca="1" si="3"/>
        <v>13045529.146852197</v>
      </c>
      <c r="O31" s="3">
        <f t="shared" si="4"/>
        <v>0</v>
      </c>
      <c r="P31" s="3">
        <f t="shared" si="5"/>
        <v>39456400.468682997</v>
      </c>
      <c r="Q31" s="3">
        <f t="shared" si="6"/>
        <v>29692506.808845285</v>
      </c>
      <c r="R31" s="3">
        <f t="shared" si="7"/>
        <v>0</v>
      </c>
      <c r="S31" s="47">
        <f t="shared" ca="1" si="8"/>
        <v>79097510.870515659</v>
      </c>
      <c r="T31" s="47">
        <f>'Monthly Data'!Y31</f>
        <v>5115.878461538462</v>
      </c>
      <c r="U31" s="47">
        <f>+'Monthly Data'!Z31</f>
        <v>0</v>
      </c>
      <c r="V31" s="47">
        <f t="shared" ca="1" si="9"/>
        <v>79102626.748977199</v>
      </c>
    </row>
    <row r="32" spans="1:28">
      <c r="A32" s="2">
        <f>'Monthly Data'!A32</f>
        <v>43282</v>
      </c>
      <c r="B32">
        <f>'Monthly Data'!B32</f>
        <v>2018</v>
      </c>
      <c r="C32">
        <f>'Monthly Data'!C32</f>
        <v>7</v>
      </c>
      <c r="D32" s="3">
        <f>'Monthly Data'!X32</f>
        <v>85257772.592525274</v>
      </c>
      <c r="E32" s="3">
        <f t="shared" ref="E32:F32" ca="1" si="28">E20</f>
        <v>8.334479813664597</v>
      </c>
      <c r="F32" s="3">
        <f t="shared" ca="1" si="28"/>
        <v>304.72508692061177</v>
      </c>
      <c r="G32">
        <f>'Monthly Data'!EG32</f>
        <v>0</v>
      </c>
      <c r="H32" s="3">
        <f>'Monthly Data'!DQ32</f>
        <v>31</v>
      </c>
      <c r="I32" s="3">
        <f>'Monthly Data'!DL32</f>
        <v>794512</v>
      </c>
      <c r="J32" s="489">
        <f>'Monthly Data'!EJ32</f>
        <v>0</v>
      </c>
      <c r="L32" s="3">
        <f t="shared" si="1"/>
        <v>-4442160.1424492002</v>
      </c>
      <c r="M32" s="3">
        <f t="shared" ca="1" si="2"/>
        <v>181473.55181681956</v>
      </c>
      <c r="N32" s="3">
        <f t="shared" ca="1" si="3"/>
        <v>19644699.029504735</v>
      </c>
      <c r="O32" s="3">
        <f t="shared" si="4"/>
        <v>0</v>
      </c>
      <c r="P32" s="3">
        <f t="shared" si="5"/>
        <v>40771613.817639098</v>
      </c>
      <c r="Q32" s="3">
        <f t="shared" si="6"/>
        <v>30045216.056992028</v>
      </c>
      <c r="R32" s="3">
        <f t="shared" si="7"/>
        <v>0</v>
      </c>
      <c r="S32" s="47">
        <f t="shared" ca="1" si="8"/>
        <v>86200842.313503474</v>
      </c>
      <c r="T32" s="47">
        <f>'Monthly Data'!Y32</f>
        <v>5573.4595384615386</v>
      </c>
      <c r="U32" s="47">
        <f>+'Monthly Data'!Z32</f>
        <v>0</v>
      </c>
      <c r="V32" s="47">
        <f t="shared" ca="1" si="9"/>
        <v>86206415.773041934</v>
      </c>
    </row>
    <row r="33" spans="1:22">
      <c r="A33" s="2">
        <f>'Monthly Data'!A33</f>
        <v>43313</v>
      </c>
      <c r="B33">
        <f>'Monthly Data'!B33</f>
        <v>2018</v>
      </c>
      <c r="C33">
        <f>'Monthly Data'!C33</f>
        <v>8</v>
      </c>
      <c r="D33" s="3">
        <f>'Monthly Data'!X33</f>
        <v>87250530.844027832</v>
      </c>
      <c r="E33" s="3">
        <f t="shared" ref="E33:F33" ca="1" si="29">E21</f>
        <v>21.054927536231883</v>
      </c>
      <c r="F33" s="3">
        <f t="shared" ca="1" si="29"/>
        <v>275.96017127799735</v>
      </c>
      <c r="G33">
        <f>'Monthly Data'!EG33</f>
        <v>0</v>
      </c>
      <c r="H33" s="3">
        <f>'Monthly Data'!DQ33</f>
        <v>31</v>
      </c>
      <c r="I33" s="3">
        <f>'Monthly Data'!DL33</f>
        <v>794512</v>
      </c>
      <c r="J33" s="489">
        <f>'Monthly Data'!EJ33</f>
        <v>0</v>
      </c>
      <c r="L33" s="3">
        <f t="shared" si="1"/>
        <v>-4442160.1424492002</v>
      </c>
      <c r="M33" s="3">
        <f t="shared" ca="1" si="2"/>
        <v>458446.42601224757</v>
      </c>
      <c r="N33" s="3">
        <f t="shared" ca="1" si="3"/>
        <v>17790312.45398964</v>
      </c>
      <c r="O33" s="3">
        <f t="shared" si="4"/>
        <v>0</v>
      </c>
      <c r="P33" s="3">
        <f t="shared" si="5"/>
        <v>40771613.817639098</v>
      </c>
      <c r="Q33" s="3">
        <f t="shared" si="6"/>
        <v>30045216.056992028</v>
      </c>
      <c r="R33" s="3">
        <f t="shared" si="7"/>
        <v>0</v>
      </c>
      <c r="S33" s="47">
        <f t="shared" ca="1" si="8"/>
        <v>84623428.612183809</v>
      </c>
      <c r="T33" s="47">
        <f>'Monthly Data'!Y33</f>
        <v>6031.0406153846161</v>
      </c>
      <c r="U33" s="47">
        <f>+'Monthly Data'!Z33</f>
        <v>0</v>
      </c>
      <c r="V33" s="47">
        <f t="shared" ca="1" si="9"/>
        <v>84629459.652799189</v>
      </c>
    </row>
    <row r="34" spans="1:22">
      <c r="A34" s="2">
        <f>'Monthly Data'!A34</f>
        <v>43344</v>
      </c>
      <c r="B34">
        <f>'Monthly Data'!B34</f>
        <v>2018</v>
      </c>
      <c r="C34">
        <f>'Monthly Data'!C34</f>
        <v>9</v>
      </c>
      <c r="D34" s="3">
        <f>'Monthly Data'!X34</f>
        <v>81235573.495459378</v>
      </c>
      <c r="E34" s="3">
        <f t="shared" ref="E34:F34" ca="1" si="30">E22</f>
        <v>97.667119565217376</v>
      </c>
      <c r="F34" s="3">
        <f t="shared" ca="1" si="30"/>
        <v>154.9849637681159</v>
      </c>
      <c r="G34">
        <f>'Monthly Data'!EG34</f>
        <v>1</v>
      </c>
      <c r="H34" s="3">
        <f>'Monthly Data'!DQ34</f>
        <v>30</v>
      </c>
      <c r="I34" s="3">
        <f>'Monthly Data'!DL34</f>
        <v>794512</v>
      </c>
      <c r="J34" s="489">
        <f>'Monthly Data'!EJ34</f>
        <v>0</v>
      </c>
      <c r="L34" s="3">
        <f t="shared" ref="L34:L65" si="31">$Z$8</f>
        <v>-4442160.1424492002</v>
      </c>
      <c r="M34" s="3">
        <f t="shared" ref="M34:M65" ca="1" si="32">E34*$Z$9</f>
        <v>2126587.3191220681</v>
      </c>
      <c r="N34" s="3">
        <f t="shared" ref="N34:N65" ca="1" si="33">F34*$Z$10</f>
        <v>9991408.9715774972</v>
      </c>
      <c r="O34" s="3">
        <f t="shared" ref="O34:O65" si="34">G34*$Z$11</f>
        <v>1833644.83418835</v>
      </c>
      <c r="P34" s="3">
        <f t="shared" ref="P34:P65" si="35">H34*$Z$12</f>
        <v>39456400.468682997</v>
      </c>
      <c r="Q34" s="3">
        <f t="shared" ref="Q34:Q65" si="36">I34*$Z$13</f>
        <v>30045216.056992028</v>
      </c>
      <c r="R34" s="3">
        <f t="shared" ref="R34:R65" si="37">J34*$Z$14</f>
        <v>0</v>
      </c>
      <c r="S34" s="47">
        <f t="shared" ca="1" si="8"/>
        <v>79011097.508113742</v>
      </c>
      <c r="T34" s="47">
        <f>'Monthly Data'!Y34</f>
        <v>6488.6216923076936</v>
      </c>
      <c r="U34" s="47">
        <f>+'Monthly Data'!Z34</f>
        <v>0</v>
      </c>
      <c r="V34" s="47">
        <f t="shared" ca="1" si="9"/>
        <v>79017586.129806057</v>
      </c>
    </row>
    <row r="35" spans="1:22">
      <c r="A35" s="2">
        <f>'Monthly Data'!A35</f>
        <v>43374</v>
      </c>
      <c r="B35">
        <f>'Monthly Data'!B35</f>
        <v>2018</v>
      </c>
      <c r="C35">
        <f>'Monthly Data'!C35</f>
        <v>10</v>
      </c>
      <c r="D35" s="3">
        <f>'Monthly Data'!X35</f>
        <v>79512419.693735272</v>
      </c>
      <c r="E35" s="3">
        <f t="shared" ref="E35:F35" ca="1" si="38">E23</f>
        <v>292.46431159420291</v>
      </c>
      <c r="F35" s="3">
        <f t="shared" ca="1" si="38"/>
        <v>38.347916666666663</v>
      </c>
      <c r="G35">
        <f>'Monthly Data'!EG35</f>
        <v>1</v>
      </c>
      <c r="H35" s="3">
        <f>'Monthly Data'!DQ35</f>
        <v>31</v>
      </c>
      <c r="I35" s="3">
        <f>'Monthly Data'!DL35</f>
        <v>799922</v>
      </c>
      <c r="J35" s="489">
        <f>'Monthly Data'!EJ35</f>
        <v>0</v>
      </c>
      <c r="L35" s="3">
        <f t="shared" si="31"/>
        <v>-4442160.1424492002</v>
      </c>
      <c r="M35" s="3">
        <f t="shared" ca="1" si="32"/>
        <v>6368068.3847411759</v>
      </c>
      <c r="N35" s="3">
        <f t="shared" ca="1" si="33"/>
        <v>2472173.4890224398</v>
      </c>
      <c r="O35" s="3">
        <f t="shared" si="34"/>
        <v>1833644.83418835</v>
      </c>
      <c r="P35" s="3">
        <f t="shared" si="35"/>
        <v>40771613.817639098</v>
      </c>
      <c r="Q35" s="3">
        <f t="shared" si="36"/>
        <v>30249800.278335858</v>
      </c>
      <c r="R35" s="3">
        <f t="shared" si="37"/>
        <v>0</v>
      </c>
      <c r="S35" s="47">
        <f t="shared" ca="1" si="8"/>
        <v>77253140.661477715</v>
      </c>
      <c r="T35" s="47">
        <f>'Monthly Data'!Y35</f>
        <v>6946.2027692307702</v>
      </c>
      <c r="U35" s="47">
        <f>+'Monthly Data'!Z35</f>
        <v>0</v>
      </c>
      <c r="V35" s="47">
        <f t="shared" ca="1" si="9"/>
        <v>77260086.86424695</v>
      </c>
    </row>
    <row r="36" spans="1:22">
      <c r="A36" s="2">
        <f>'Monthly Data'!A36</f>
        <v>43405</v>
      </c>
      <c r="B36">
        <f>'Monthly Data'!B36</f>
        <v>2018</v>
      </c>
      <c r="C36">
        <f>'Monthly Data'!C36</f>
        <v>11</v>
      </c>
      <c r="D36" s="3">
        <f>'Monthly Data'!X36</f>
        <v>79879095.054420561</v>
      </c>
      <c r="E36" s="3">
        <f t="shared" ref="E36:F36" ca="1" si="39">E24</f>
        <v>495.51408055712409</v>
      </c>
      <c r="F36" s="3">
        <f t="shared" ca="1" si="39"/>
        <v>1.9241666666666659</v>
      </c>
      <c r="G36">
        <f>'Monthly Data'!EG36</f>
        <v>1</v>
      </c>
      <c r="H36" s="3">
        <f>'Monthly Data'!DQ36</f>
        <v>30</v>
      </c>
      <c r="I36" s="3">
        <f>'Monthly Data'!DL36</f>
        <v>799922</v>
      </c>
      <c r="J36" s="489">
        <f>'Monthly Data'!EJ36</f>
        <v>0</v>
      </c>
      <c r="L36" s="3">
        <f t="shared" si="31"/>
        <v>-4442160.1424492002</v>
      </c>
      <c r="M36" s="3">
        <f t="shared" ca="1" si="32"/>
        <v>10789239.66274612</v>
      </c>
      <c r="N36" s="3">
        <f t="shared" ca="1" si="33"/>
        <v>124045.16947145785</v>
      </c>
      <c r="O36" s="3">
        <f t="shared" si="34"/>
        <v>1833644.83418835</v>
      </c>
      <c r="P36" s="3">
        <f t="shared" si="35"/>
        <v>39456400.468682997</v>
      </c>
      <c r="Q36" s="3">
        <f t="shared" si="36"/>
        <v>30249800.278335858</v>
      </c>
      <c r="R36" s="3">
        <f t="shared" si="37"/>
        <v>0</v>
      </c>
      <c r="S36" s="47">
        <f t="shared" ca="1" si="8"/>
        <v>78010970.270975575</v>
      </c>
      <c r="T36" s="47">
        <f>'Monthly Data'!Y36</f>
        <v>7403.7838461538468</v>
      </c>
      <c r="U36" s="47">
        <f>+'Monthly Data'!Z36</f>
        <v>0</v>
      </c>
      <c r="V36" s="47">
        <f t="shared" ca="1" si="9"/>
        <v>78018374.05482173</v>
      </c>
    </row>
    <row r="37" spans="1:22">
      <c r="A37" s="2">
        <f>'Monthly Data'!A37</f>
        <v>43435</v>
      </c>
      <c r="B37">
        <f>'Monthly Data'!B37</f>
        <v>2018</v>
      </c>
      <c r="C37">
        <f>'Monthly Data'!C37</f>
        <v>12</v>
      </c>
      <c r="D37" s="3">
        <f>'Monthly Data'!X37</f>
        <v>77971955.269303411</v>
      </c>
      <c r="E37" s="3">
        <f t="shared" ref="E37:F37" ca="1" si="40">E25</f>
        <v>664.38541666666663</v>
      </c>
      <c r="F37" s="3">
        <f t="shared" ca="1" si="40"/>
        <v>0</v>
      </c>
      <c r="G37">
        <f>'Monthly Data'!EG37</f>
        <v>0</v>
      </c>
      <c r="H37" s="3">
        <f>'Monthly Data'!DQ37</f>
        <v>31</v>
      </c>
      <c r="I37" s="3">
        <f>'Monthly Data'!DL37</f>
        <v>799922</v>
      </c>
      <c r="J37" s="489">
        <f>'Monthly Data'!EJ37</f>
        <v>0</v>
      </c>
      <c r="L37" s="3">
        <f t="shared" si="31"/>
        <v>-4442160.1424492002</v>
      </c>
      <c r="M37" s="3">
        <f t="shared" ca="1" si="32"/>
        <v>14466215.532746576</v>
      </c>
      <c r="N37" s="3">
        <f t="shared" ca="1" si="33"/>
        <v>0</v>
      </c>
      <c r="O37" s="3">
        <f t="shared" si="34"/>
        <v>0</v>
      </c>
      <c r="P37" s="3">
        <f t="shared" si="35"/>
        <v>40771613.817639098</v>
      </c>
      <c r="Q37" s="3">
        <f t="shared" si="36"/>
        <v>30249800.278335858</v>
      </c>
      <c r="R37" s="3">
        <f t="shared" si="37"/>
        <v>0</v>
      </c>
      <c r="S37" s="47">
        <f t="shared" ca="1" si="8"/>
        <v>81045469.486272335</v>
      </c>
      <c r="T37" s="47">
        <f>'Monthly Data'!Y37</f>
        <v>7861.3649230769242</v>
      </c>
      <c r="U37" s="47">
        <f>+'Monthly Data'!Z37</f>
        <v>0</v>
      </c>
      <c r="V37" s="47">
        <f t="shared" ca="1" si="9"/>
        <v>81053330.85119541</v>
      </c>
    </row>
    <row r="38" spans="1:22">
      <c r="A38" s="2">
        <f>'Monthly Data'!A38</f>
        <v>43466</v>
      </c>
      <c r="B38">
        <f>'Monthly Data'!B38</f>
        <v>2019</v>
      </c>
      <c r="C38">
        <f>'Monthly Data'!C38</f>
        <v>1</v>
      </c>
      <c r="D38" s="3">
        <f>'Monthly Data'!X38</f>
        <v>86497239.860314414</v>
      </c>
      <c r="E38" s="3">
        <f t="shared" ref="E38:F38" ca="1" si="41">E26</f>
        <v>752.78750000000002</v>
      </c>
      <c r="F38" s="3">
        <f t="shared" ca="1" si="41"/>
        <v>0</v>
      </c>
      <c r="G38">
        <f>'Monthly Data'!EG38</f>
        <v>0</v>
      </c>
      <c r="H38" s="3">
        <f>'Monthly Data'!DQ38</f>
        <v>31</v>
      </c>
      <c r="I38" s="3">
        <f>'Monthly Data'!DL38</f>
        <v>800743</v>
      </c>
      <c r="J38" s="489">
        <f>'Monthly Data'!EJ38</f>
        <v>0</v>
      </c>
      <c r="L38" s="3">
        <f t="shared" si="31"/>
        <v>-4442160.1424492002</v>
      </c>
      <c r="M38" s="3">
        <f t="shared" ca="1" si="32"/>
        <v>16391067.522213772</v>
      </c>
      <c r="N38" s="3">
        <f t="shared" ca="1" si="33"/>
        <v>0</v>
      </c>
      <c r="O38" s="3">
        <f t="shared" si="34"/>
        <v>0</v>
      </c>
      <c r="P38" s="3">
        <f t="shared" si="35"/>
        <v>40771613.817639098</v>
      </c>
      <c r="Q38" s="3">
        <f t="shared" si="36"/>
        <v>30280847.162942749</v>
      </c>
      <c r="R38" s="3">
        <f t="shared" si="37"/>
        <v>0</v>
      </c>
      <c r="S38" s="47">
        <f t="shared" ca="1" si="8"/>
        <v>83001368.360346422</v>
      </c>
      <c r="T38" s="47">
        <f>'Monthly Data'!Y38</f>
        <v>8541.7221538461545</v>
      </c>
      <c r="U38" s="47">
        <f ca="1">+'Monthly Data'!Z38</f>
        <v>21661.335014092496</v>
      </c>
      <c r="V38" s="47">
        <f t="shared" ca="1" si="9"/>
        <v>83031571.417514354</v>
      </c>
    </row>
    <row r="39" spans="1:22">
      <c r="A39" s="2">
        <f>'Monthly Data'!A39</f>
        <v>43497</v>
      </c>
      <c r="B39">
        <f>'Monthly Data'!B39</f>
        <v>2019</v>
      </c>
      <c r="C39">
        <f>'Monthly Data'!C39</f>
        <v>2</v>
      </c>
      <c r="D39" s="3">
        <f>'Monthly Data'!X39</f>
        <v>78415629.865525275</v>
      </c>
      <c r="E39" s="3">
        <f t="shared" ref="E39:F39" ca="1" si="42">E27</f>
        <v>660.7954166666666</v>
      </c>
      <c r="F39" s="3">
        <f t="shared" ca="1" si="42"/>
        <v>0</v>
      </c>
      <c r="G39">
        <f>'Monthly Data'!EG39</f>
        <v>0</v>
      </c>
      <c r="H39" s="3">
        <f>'Monthly Data'!DQ39</f>
        <v>28</v>
      </c>
      <c r="I39" s="3">
        <f>'Monthly Data'!DL39</f>
        <v>800743</v>
      </c>
      <c r="J39" s="489">
        <f>'Monthly Data'!EJ39</f>
        <v>0</v>
      </c>
      <c r="L39" s="3">
        <f t="shared" si="31"/>
        <v>-4442160.1424492002</v>
      </c>
      <c r="M39" s="3">
        <f t="shared" ca="1" si="32"/>
        <v>14388047.48079998</v>
      </c>
      <c r="N39" s="3">
        <f t="shared" ca="1" si="33"/>
        <v>0</v>
      </c>
      <c r="O39" s="3">
        <f t="shared" si="34"/>
        <v>0</v>
      </c>
      <c r="P39" s="3">
        <f t="shared" si="35"/>
        <v>36825973.770770796</v>
      </c>
      <c r="Q39" s="3">
        <f t="shared" si="36"/>
        <v>30280847.162942749</v>
      </c>
      <c r="R39" s="3">
        <f t="shared" si="37"/>
        <v>0</v>
      </c>
      <c r="S39" s="47">
        <f t="shared" ca="1" si="8"/>
        <v>77052708.272064328</v>
      </c>
      <c r="T39" s="47">
        <f>'Monthly Data'!Y39</f>
        <v>8764.4983076923072</v>
      </c>
      <c r="U39" s="47">
        <f ca="1">+'Monthly Data'!Z39</f>
        <v>17755.596713486477</v>
      </c>
      <c r="V39" s="47">
        <f t="shared" ca="1" si="9"/>
        <v>77079228.367085502</v>
      </c>
    </row>
    <row r="40" spans="1:22">
      <c r="A40" s="2">
        <f>'Monthly Data'!A40</f>
        <v>43525</v>
      </c>
      <c r="B40">
        <f>'Monthly Data'!B40</f>
        <v>2019</v>
      </c>
      <c r="C40">
        <f>'Monthly Data'!C40</f>
        <v>3</v>
      </c>
      <c r="D40" s="3">
        <f>'Monthly Data'!X40</f>
        <v>83608311.235796288</v>
      </c>
      <c r="E40" s="3">
        <f t="shared" ref="E40:F40" ca="1" si="43">E28</f>
        <v>596.21590579710141</v>
      </c>
      <c r="F40" s="3">
        <f t="shared" ca="1" si="43"/>
        <v>2.9583333333332896E-2</v>
      </c>
      <c r="G40">
        <f>'Monthly Data'!EG40</f>
        <v>1</v>
      </c>
      <c r="H40" s="3">
        <f>'Monthly Data'!DQ40</f>
        <v>31</v>
      </c>
      <c r="I40" s="3">
        <f>'Monthly Data'!DL40</f>
        <v>800743</v>
      </c>
      <c r="J40" s="489">
        <f>'Monthly Data'!EJ40</f>
        <v>0</v>
      </c>
      <c r="L40" s="3">
        <f t="shared" si="31"/>
        <v>-4442160.1424492002</v>
      </c>
      <c r="M40" s="3">
        <f t="shared" ca="1" si="32"/>
        <v>12981904.149229543</v>
      </c>
      <c r="N40" s="3">
        <f t="shared" ca="1" si="33"/>
        <v>1907.1474734676008</v>
      </c>
      <c r="O40" s="3">
        <f t="shared" si="34"/>
        <v>1833644.83418835</v>
      </c>
      <c r="P40" s="3">
        <f t="shared" si="35"/>
        <v>40771613.817639098</v>
      </c>
      <c r="Q40" s="3">
        <f t="shared" si="36"/>
        <v>30280847.162942749</v>
      </c>
      <c r="R40" s="3">
        <f t="shared" si="37"/>
        <v>0</v>
      </c>
      <c r="S40" s="47">
        <f t="shared" ca="1" si="8"/>
        <v>81427756.969024003</v>
      </c>
      <c r="T40" s="47">
        <f>'Monthly Data'!Y40</f>
        <v>8987.2744615384618</v>
      </c>
      <c r="U40" s="47">
        <f ca="1">+'Monthly Data'!Z40</f>
        <v>16982.22558187705</v>
      </c>
      <c r="V40" s="47">
        <f t="shared" ca="1" si="9"/>
        <v>81453726.469067425</v>
      </c>
    </row>
    <row r="41" spans="1:22">
      <c r="A41" s="2">
        <f>'Monthly Data'!A41</f>
        <v>43556</v>
      </c>
      <c r="B41">
        <f>'Monthly Data'!B41</f>
        <v>2019</v>
      </c>
      <c r="C41">
        <f>'Monthly Data'!C41</f>
        <v>4</v>
      </c>
      <c r="D41" s="3">
        <f>'Monthly Data'!X41</f>
        <v>76308940.453928128</v>
      </c>
      <c r="E41" s="3">
        <f t="shared" ref="E41:F41" ca="1" si="44">E29</f>
        <v>412.8885416666667</v>
      </c>
      <c r="F41" s="3">
        <f t="shared" ca="1" si="44"/>
        <v>6.0095833333333344</v>
      </c>
      <c r="G41">
        <f>'Monthly Data'!EG41</f>
        <v>1</v>
      </c>
      <c r="H41" s="3">
        <f>'Monthly Data'!DQ41</f>
        <v>30</v>
      </c>
      <c r="I41" s="3">
        <f>'Monthly Data'!DL41</f>
        <v>806729</v>
      </c>
      <c r="J41" s="489">
        <f>'Monthly Data'!EJ41</f>
        <v>0</v>
      </c>
      <c r="L41" s="3">
        <f t="shared" si="31"/>
        <v>-4442160.1424492002</v>
      </c>
      <c r="M41" s="3">
        <f t="shared" ca="1" si="32"/>
        <v>8990165.1735804696</v>
      </c>
      <c r="N41" s="3">
        <f t="shared" ca="1" si="33"/>
        <v>387419.54943413549</v>
      </c>
      <c r="O41" s="3">
        <f t="shared" si="34"/>
        <v>1833644.83418835</v>
      </c>
      <c r="P41" s="3">
        <f t="shared" si="35"/>
        <v>39456400.468682997</v>
      </c>
      <c r="Q41" s="3">
        <f t="shared" si="36"/>
        <v>30507213.364230022</v>
      </c>
      <c r="R41" s="3">
        <f t="shared" si="37"/>
        <v>0</v>
      </c>
      <c r="S41" s="47">
        <f t="shared" ca="1" si="8"/>
        <v>76732683.247666776</v>
      </c>
      <c r="T41" s="47">
        <f>'Monthly Data'!Y41</f>
        <v>9210.0506153846163</v>
      </c>
      <c r="U41" s="47">
        <f ca="1">+'Monthly Data'!Z41</f>
        <v>10183.202075151172</v>
      </c>
      <c r="V41" s="47">
        <f t="shared" ca="1" si="9"/>
        <v>76752076.500357315</v>
      </c>
    </row>
    <row r="42" spans="1:22">
      <c r="A42" s="2">
        <f>'Monthly Data'!A42</f>
        <v>43586</v>
      </c>
      <c r="B42">
        <f>'Monthly Data'!B42</f>
        <v>2019</v>
      </c>
      <c r="C42">
        <f>'Monthly Data'!C42</f>
        <v>5</v>
      </c>
      <c r="D42" s="3">
        <f>'Monthly Data'!X42</f>
        <v>76938346.159465671</v>
      </c>
      <c r="E42" s="3">
        <f t="shared" ref="E42:F42" ca="1" si="45">E30</f>
        <v>208.90012508544086</v>
      </c>
      <c r="F42" s="3">
        <f t="shared" ca="1" si="45"/>
        <v>81.50872474747473</v>
      </c>
      <c r="G42">
        <f>'Monthly Data'!EG42</f>
        <v>1</v>
      </c>
      <c r="H42" s="3">
        <f>'Monthly Data'!DQ42</f>
        <v>31</v>
      </c>
      <c r="I42" s="3">
        <f>'Monthly Data'!DL42</f>
        <v>806729</v>
      </c>
      <c r="J42" s="489">
        <f>'Monthly Data'!EJ42</f>
        <v>0</v>
      </c>
      <c r="L42" s="3">
        <f t="shared" si="31"/>
        <v>-4442160.1424492002</v>
      </c>
      <c r="M42" s="3">
        <f t="shared" ca="1" si="32"/>
        <v>4548555.9413172565</v>
      </c>
      <c r="N42" s="3">
        <f t="shared" ca="1" si="33"/>
        <v>5254619.4411621923</v>
      </c>
      <c r="O42" s="3">
        <f t="shared" si="34"/>
        <v>1833644.83418835</v>
      </c>
      <c r="P42" s="3">
        <f t="shared" si="35"/>
        <v>40771613.817639098</v>
      </c>
      <c r="Q42" s="3">
        <f t="shared" si="36"/>
        <v>30507213.364230022</v>
      </c>
      <c r="R42" s="3">
        <f t="shared" si="37"/>
        <v>0</v>
      </c>
      <c r="S42" s="47">
        <f t="shared" ca="1" si="8"/>
        <v>78473487.25608772</v>
      </c>
      <c r="T42" s="47">
        <f>'Monthly Data'!Y42</f>
        <v>9432.8267692307691</v>
      </c>
      <c r="U42" s="47">
        <f ca="1">+'Monthly Data'!Z42</f>
        <v>5708.3787823571329</v>
      </c>
      <c r="V42" s="47">
        <f t="shared" ca="1" si="9"/>
        <v>78488628.461639315</v>
      </c>
    </row>
    <row r="43" spans="1:22">
      <c r="A43" s="2">
        <f>'Monthly Data'!A43</f>
        <v>43617</v>
      </c>
      <c r="B43">
        <f>'Monthly Data'!B43</f>
        <v>2019</v>
      </c>
      <c r="C43">
        <f>'Monthly Data'!C43</f>
        <v>6</v>
      </c>
      <c r="D43" s="3">
        <f>'Monthly Data'!X43</f>
        <v>77605851.276420832</v>
      </c>
      <c r="E43" s="3">
        <f t="shared" ref="E43:F43" ca="1" si="46">E31</f>
        <v>61.78217382617381</v>
      </c>
      <c r="F43" s="3">
        <f t="shared" ca="1" si="46"/>
        <v>202.3599342107168</v>
      </c>
      <c r="G43">
        <f>'Monthly Data'!EG43</f>
        <v>0</v>
      </c>
      <c r="H43" s="3">
        <f>'Monthly Data'!DQ43</f>
        <v>30</v>
      </c>
      <c r="I43" s="3">
        <f>'Monthly Data'!DL43</f>
        <v>806729</v>
      </c>
      <c r="J43" s="489">
        <f>'Monthly Data'!EJ43</f>
        <v>0</v>
      </c>
      <c r="L43" s="3">
        <f t="shared" si="31"/>
        <v>-4442160.1424492002</v>
      </c>
      <c r="M43" s="3">
        <f t="shared" ca="1" si="32"/>
        <v>1345234.5885843791</v>
      </c>
      <c r="N43" s="3">
        <f t="shared" ca="1" si="33"/>
        <v>13045529.146852197</v>
      </c>
      <c r="O43" s="3">
        <f t="shared" si="34"/>
        <v>0</v>
      </c>
      <c r="P43" s="3">
        <f t="shared" si="35"/>
        <v>39456400.468682997</v>
      </c>
      <c r="Q43" s="3">
        <f t="shared" si="36"/>
        <v>30507213.364230022</v>
      </c>
      <c r="R43" s="3">
        <f t="shared" si="37"/>
        <v>0</v>
      </c>
      <c r="S43" s="47">
        <f t="shared" ref="S43:S106" ca="1" si="47">SUM(L43:R43)</f>
        <v>79912217.4259004</v>
      </c>
      <c r="T43" s="47">
        <f>'Monthly Data'!Y43</f>
        <v>9655.6029230769236</v>
      </c>
      <c r="U43" s="47">
        <f ca="1">+'Monthly Data'!Z43</f>
        <v>1280.9284835829444</v>
      </c>
      <c r="V43" s="47">
        <f t="shared" ref="V43:V106" ca="1" si="48">S43+T43+U43</f>
        <v>79923153.957307056</v>
      </c>
    </row>
    <row r="44" spans="1:22">
      <c r="A44" s="2">
        <f>'Monthly Data'!A44</f>
        <v>43647</v>
      </c>
      <c r="B44">
        <f>'Monthly Data'!B44</f>
        <v>2019</v>
      </c>
      <c r="C44">
        <f>'Monthly Data'!C44</f>
        <v>7</v>
      </c>
      <c r="D44" s="3">
        <f>'Monthly Data'!X44</f>
        <v>86501222.434524</v>
      </c>
      <c r="E44" s="3">
        <f t="shared" ref="E44:F44" ca="1" si="49">E32</f>
        <v>8.334479813664597</v>
      </c>
      <c r="F44" s="3">
        <f t="shared" ca="1" si="49"/>
        <v>304.72508692061177</v>
      </c>
      <c r="G44">
        <f>'Monthly Data'!EG44</f>
        <v>0</v>
      </c>
      <c r="H44" s="3">
        <f>'Monthly Data'!DQ44</f>
        <v>31</v>
      </c>
      <c r="I44" s="3">
        <f>'Monthly Data'!DL44</f>
        <v>810697</v>
      </c>
      <c r="J44" s="489">
        <f>'Monthly Data'!EJ44</f>
        <v>0</v>
      </c>
      <c r="L44" s="3">
        <f t="shared" si="31"/>
        <v>-4442160.1424492002</v>
      </c>
      <c r="M44" s="3">
        <f t="shared" ca="1" si="32"/>
        <v>181473.55181681956</v>
      </c>
      <c r="N44" s="3">
        <f t="shared" ca="1" si="33"/>
        <v>19644699.029504735</v>
      </c>
      <c r="O44" s="3">
        <f t="shared" si="34"/>
        <v>0</v>
      </c>
      <c r="P44" s="3">
        <f t="shared" si="35"/>
        <v>40771613.817639098</v>
      </c>
      <c r="Q44" s="3">
        <f t="shared" si="36"/>
        <v>30657267.003840428</v>
      </c>
      <c r="R44" s="3">
        <f t="shared" si="37"/>
        <v>0</v>
      </c>
      <c r="S44" s="47">
        <f t="shared" ca="1" si="47"/>
        <v>86812893.260351881</v>
      </c>
      <c r="T44" s="47">
        <f>'Monthly Data'!Y44</f>
        <v>9878.3790769230782</v>
      </c>
      <c r="U44" s="47">
        <f ca="1">+'Monthly Data'!Z44</f>
        <v>0</v>
      </c>
      <c r="V44" s="47">
        <f t="shared" ca="1" si="48"/>
        <v>86822771.639428809</v>
      </c>
    </row>
    <row r="45" spans="1:22">
      <c r="A45" s="2">
        <f>'Monthly Data'!A45</f>
        <v>43678</v>
      </c>
      <c r="B45">
        <f>'Monthly Data'!B45</f>
        <v>2019</v>
      </c>
      <c r="C45">
        <f>'Monthly Data'!C45</f>
        <v>8</v>
      </c>
      <c r="D45" s="3">
        <f>'Monthly Data'!X45</f>
        <v>83448111.098995075</v>
      </c>
      <c r="E45" s="3">
        <f t="shared" ref="E45:F45" ca="1" si="50">E33</f>
        <v>21.054927536231883</v>
      </c>
      <c r="F45" s="3">
        <f t="shared" ca="1" si="50"/>
        <v>275.96017127799735</v>
      </c>
      <c r="G45">
        <f>'Monthly Data'!EG45</f>
        <v>0</v>
      </c>
      <c r="H45" s="3">
        <f>'Monthly Data'!DQ45</f>
        <v>31</v>
      </c>
      <c r="I45" s="3">
        <f>'Monthly Data'!DL45</f>
        <v>810697</v>
      </c>
      <c r="J45" s="489">
        <f>'Monthly Data'!EJ45</f>
        <v>0</v>
      </c>
      <c r="L45" s="3">
        <f t="shared" si="31"/>
        <v>-4442160.1424492002</v>
      </c>
      <c r="M45" s="3">
        <f t="shared" ca="1" si="32"/>
        <v>458446.42601224757</v>
      </c>
      <c r="N45" s="3">
        <f t="shared" ca="1" si="33"/>
        <v>17790312.45398964</v>
      </c>
      <c r="O45" s="3">
        <f t="shared" si="34"/>
        <v>0</v>
      </c>
      <c r="P45" s="3">
        <f t="shared" si="35"/>
        <v>40771613.817639098</v>
      </c>
      <c r="Q45" s="3">
        <f t="shared" si="36"/>
        <v>30657267.003840428</v>
      </c>
      <c r="R45" s="3">
        <f t="shared" si="37"/>
        <v>0</v>
      </c>
      <c r="S45" s="47">
        <f t="shared" ca="1" si="47"/>
        <v>85235479.559032217</v>
      </c>
      <c r="T45" s="47">
        <f>'Monthly Data'!Y45</f>
        <v>10101.155230769231</v>
      </c>
      <c r="U45" s="47">
        <f ca="1">+'Monthly Data'!Z45</f>
        <v>129.0301977771235</v>
      </c>
      <c r="V45" s="47">
        <f t="shared" ca="1" si="48"/>
        <v>85245709.744460776</v>
      </c>
    </row>
    <row r="46" spans="1:22">
      <c r="A46" s="2">
        <f>'Monthly Data'!A46</f>
        <v>43709</v>
      </c>
      <c r="B46">
        <f>'Monthly Data'!B46</f>
        <v>2019</v>
      </c>
      <c r="C46">
        <f>'Monthly Data'!C46</f>
        <v>9</v>
      </c>
      <c r="D46" s="3">
        <f>'Monthly Data'!X46</f>
        <v>77187590.955357417</v>
      </c>
      <c r="E46" s="3">
        <f t="shared" ref="E46:F46" ca="1" si="51">E34</f>
        <v>97.667119565217376</v>
      </c>
      <c r="F46" s="3">
        <f t="shared" ca="1" si="51"/>
        <v>154.9849637681159</v>
      </c>
      <c r="G46">
        <f>'Monthly Data'!EG46</f>
        <v>1</v>
      </c>
      <c r="H46" s="3">
        <f>'Monthly Data'!DQ46</f>
        <v>30</v>
      </c>
      <c r="I46" s="3">
        <f>'Monthly Data'!DL46</f>
        <v>810697</v>
      </c>
      <c r="J46" s="489">
        <f>'Monthly Data'!EJ46</f>
        <v>0</v>
      </c>
      <c r="L46" s="3">
        <f t="shared" si="31"/>
        <v>-4442160.1424492002</v>
      </c>
      <c r="M46" s="3">
        <f t="shared" ca="1" si="32"/>
        <v>2126587.3191220681</v>
      </c>
      <c r="N46" s="3">
        <f t="shared" ca="1" si="33"/>
        <v>9991408.9715774972</v>
      </c>
      <c r="O46" s="3">
        <f t="shared" si="34"/>
        <v>1833644.83418835</v>
      </c>
      <c r="P46" s="3">
        <f t="shared" si="35"/>
        <v>39456400.468682997</v>
      </c>
      <c r="Q46" s="3">
        <f t="shared" si="36"/>
        <v>30657267.003840428</v>
      </c>
      <c r="R46" s="3">
        <f t="shared" si="37"/>
        <v>0</v>
      </c>
      <c r="S46" s="47">
        <f t="shared" ca="1" si="47"/>
        <v>79623148.454962134</v>
      </c>
      <c r="T46" s="47">
        <f>'Monthly Data'!Y46</f>
        <v>10323.931384615385</v>
      </c>
      <c r="U46" s="47">
        <f ca="1">+'Monthly Data'!Z46</f>
        <v>1723.4499869907654</v>
      </c>
      <c r="V46" s="47">
        <f t="shared" ca="1" si="48"/>
        <v>79635195.836333737</v>
      </c>
    </row>
    <row r="47" spans="1:22">
      <c r="A47" s="2">
        <f>'Monthly Data'!A47</f>
        <v>43739</v>
      </c>
      <c r="B47">
        <f>'Monthly Data'!B47</f>
        <v>2019</v>
      </c>
      <c r="C47">
        <f>'Monthly Data'!C47</f>
        <v>10</v>
      </c>
      <c r="D47" s="3">
        <f>'Monthly Data'!X47</f>
        <v>76077301.975405142</v>
      </c>
      <c r="E47" s="3">
        <f t="shared" ref="E47:F47" ca="1" si="52">E35</f>
        <v>292.46431159420291</v>
      </c>
      <c r="F47" s="3">
        <f t="shared" ca="1" si="52"/>
        <v>38.347916666666663</v>
      </c>
      <c r="G47">
        <f>'Monthly Data'!EG47</f>
        <v>1</v>
      </c>
      <c r="H47" s="3">
        <f>'Monthly Data'!DQ47</f>
        <v>31</v>
      </c>
      <c r="I47" s="3">
        <f>'Monthly Data'!DL47</f>
        <v>812164</v>
      </c>
      <c r="J47" s="489">
        <f>'Monthly Data'!EJ47</f>
        <v>0</v>
      </c>
      <c r="L47" s="3">
        <f t="shared" si="31"/>
        <v>-4442160.1424492002</v>
      </c>
      <c r="M47" s="3">
        <f t="shared" ca="1" si="32"/>
        <v>6368068.3847411759</v>
      </c>
      <c r="N47" s="3">
        <f t="shared" ca="1" si="33"/>
        <v>2472173.4890224398</v>
      </c>
      <c r="O47" s="3">
        <f t="shared" si="34"/>
        <v>1833644.83418835</v>
      </c>
      <c r="P47" s="3">
        <f t="shared" si="35"/>
        <v>40771613.817639098</v>
      </c>
      <c r="Q47" s="3">
        <f t="shared" si="36"/>
        <v>30712742.984008893</v>
      </c>
      <c r="R47" s="3">
        <f t="shared" si="37"/>
        <v>0</v>
      </c>
      <c r="S47" s="47">
        <f t="shared" ca="1" si="47"/>
        <v>77716083.367150754</v>
      </c>
      <c r="T47" s="47">
        <f>'Monthly Data'!Y47</f>
        <v>10546.70753846154</v>
      </c>
      <c r="U47" s="47">
        <f ca="1">+'Monthly Data'!Z47</f>
        <v>6770.5558577095762</v>
      </c>
      <c r="V47" s="47">
        <f t="shared" ca="1" si="48"/>
        <v>77733400.630546913</v>
      </c>
    </row>
    <row r="48" spans="1:22">
      <c r="A48" s="2">
        <f>'Monthly Data'!A48</f>
        <v>43770</v>
      </c>
      <c r="B48">
        <f>'Monthly Data'!B48</f>
        <v>2019</v>
      </c>
      <c r="C48">
        <f>'Monthly Data'!C48</f>
        <v>11</v>
      </c>
      <c r="D48" s="3">
        <f>'Monthly Data'!X48</f>
        <v>78034350.367794797</v>
      </c>
      <c r="E48" s="3">
        <f t="shared" ref="E48:F48" ca="1" si="53">E36</f>
        <v>495.51408055712409</v>
      </c>
      <c r="F48" s="3">
        <f t="shared" ca="1" si="53"/>
        <v>1.9241666666666659</v>
      </c>
      <c r="G48">
        <f>'Monthly Data'!EG48</f>
        <v>1</v>
      </c>
      <c r="H48" s="3">
        <f>'Monthly Data'!DQ48</f>
        <v>30</v>
      </c>
      <c r="I48" s="3">
        <f>'Monthly Data'!DL48</f>
        <v>812164</v>
      </c>
      <c r="J48" s="489">
        <f>'Monthly Data'!EJ48</f>
        <v>0</v>
      </c>
      <c r="L48" s="3">
        <f t="shared" si="31"/>
        <v>-4442160.1424492002</v>
      </c>
      <c r="M48" s="3">
        <f t="shared" ca="1" si="32"/>
        <v>10789239.66274612</v>
      </c>
      <c r="N48" s="3">
        <f t="shared" ca="1" si="33"/>
        <v>124045.16947145785</v>
      </c>
      <c r="O48" s="3">
        <f t="shared" si="34"/>
        <v>1833644.83418835</v>
      </c>
      <c r="P48" s="3">
        <f t="shared" si="35"/>
        <v>39456400.468682997</v>
      </c>
      <c r="Q48" s="3">
        <f t="shared" si="36"/>
        <v>30712742.984008893</v>
      </c>
      <c r="R48" s="3">
        <f t="shared" si="37"/>
        <v>0</v>
      </c>
      <c r="S48" s="47">
        <f t="shared" ca="1" si="47"/>
        <v>78473912.976648614</v>
      </c>
      <c r="T48" s="47">
        <f>'Monthly Data'!Y48</f>
        <v>10769.483692307693</v>
      </c>
      <c r="U48" s="47">
        <f ca="1">+'Monthly Data'!Z48</f>
        <v>14712.219878203452</v>
      </c>
      <c r="V48" s="47">
        <f t="shared" ca="1" si="48"/>
        <v>78499394.680219114</v>
      </c>
    </row>
    <row r="49" spans="1:22">
      <c r="A49" s="2">
        <f>'Monthly Data'!A49</f>
        <v>43800</v>
      </c>
      <c r="B49">
        <f>'Monthly Data'!B49</f>
        <v>2019</v>
      </c>
      <c r="C49">
        <f>'Monthly Data'!C49</f>
        <v>12</v>
      </c>
      <c r="D49" s="3">
        <f>'Monthly Data'!X49</f>
        <v>78047543.867083848</v>
      </c>
      <c r="E49" s="3">
        <f t="shared" ref="E49:F49" ca="1" si="54">E37</f>
        <v>664.38541666666663</v>
      </c>
      <c r="F49" s="3">
        <f t="shared" ca="1" si="54"/>
        <v>0</v>
      </c>
      <c r="G49">
        <f>'Monthly Data'!EG49</f>
        <v>0</v>
      </c>
      <c r="H49" s="3">
        <f>'Monthly Data'!DQ49</f>
        <v>31</v>
      </c>
      <c r="I49" s="3">
        <f>'Monthly Data'!DL49</f>
        <v>812164</v>
      </c>
      <c r="J49" s="489">
        <f>'Monthly Data'!EJ49</f>
        <v>0</v>
      </c>
      <c r="L49" s="3">
        <f t="shared" si="31"/>
        <v>-4442160.1424492002</v>
      </c>
      <c r="M49" s="3">
        <f t="shared" ca="1" si="32"/>
        <v>14466215.532746576</v>
      </c>
      <c r="N49" s="3">
        <f t="shared" ca="1" si="33"/>
        <v>0</v>
      </c>
      <c r="O49" s="3">
        <f t="shared" si="34"/>
        <v>0</v>
      </c>
      <c r="P49" s="3">
        <f t="shared" si="35"/>
        <v>40771613.817639098</v>
      </c>
      <c r="Q49" s="3">
        <f t="shared" si="36"/>
        <v>30712742.984008893</v>
      </c>
      <c r="R49" s="3">
        <f t="shared" si="37"/>
        <v>0</v>
      </c>
      <c r="S49" s="47">
        <f t="shared" ca="1" si="47"/>
        <v>81508412.191945374</v>
      </c>
      <c r="T49" s="47">
        <f>'Monthly Data'!Y49</f>
        <v>10992.259846153847</v>
      </c>
      <c r="U49" s="47">
        <f ca="1">+'Monthly Data'!Z49</f>
        <v>17064.735475164121</v>
      </c>
      <c r="V49" s="47">
        <f t="shared" ca="1" si="48"/>
        <v>81536469.187266693</v>
      </c>
    </row>
    <row r="50" spans="1:22">
      <c r="A50" s="2">
        <f>'Monthly Data'!A50</f>
        <v>43831</v>
      </c>
      <c r="B50">
        <f>'Monthly Data'!B50</f>
        <v>2020</v>
      </c>
      <c r="C50">
        <f>'Monthly Data'!C50</f>
        <v>1</v>
      </c>
      <c r="D50" s="3">
        <f>'Monthly Data'!X50</f>
        <v>82295613.627566695</v>
      </c>
      <c r="E50" s="3">
        <f t="shared" ref="E50:F50" ca="1" si="55">E38</f>
        <v>752.78750000000002</v>
      </c>
      <c r="F50" s="3">
        <f t="shared" ca="1" si="55"/>
        <v>0</v>
      </c>
      <c r="G50">
        <f>'Monthly Data'!EG50</f>
        <v>0</v>
      </c>
      <c r="H50" s="3">
        <f>'Monthly Data'!DQ50</f>
        <v>31</v>
      </c>
      <c r="I50" s="3">
        <f>'Monthly Data'!DL50</f>
        <v>801246</v>
      </c>
      <c r="J50" s="489">
        <f>'Monthly Data'!EJ50</f>
        <v>0</v>
      </c>
      <c r="L50" s="3">
        <f t="shared" si="31"/>
        <v>-4442160.1424492002</v>
      </c>
      <c r="M50" s="3">
        <f t="shared" ca="1" si="32"/>
        <v>16391067.522213772</v>
      </c>
      <c r="N50" s="3">
        <f t="shared" ca="1" si="33"/>
        <v>0</v>
      </c>
      <c r="O50" s="3">
        <f t="shared" si="34"/>
        <v>0</v>
      </c>
      <c r="P50" s="3">
        <f t="shared" si="35"/>
        <v>40771613.817639098</v>
      </c>
      <c r="Q50" s="3">
        <f t="shared" si="36"/>
        <v>30299868.579455864</v>
      </c>
      <c r="R50" s="3">
        <f t="shared" si="37"/>
        <v>0</v>
      </c>
      <c r="S50" s="47">
        <f t="shared" ca="1" si="47"/>
        <v>83020389.776859537</v>
      </c>
      <c r="T50" s="47">
        <f>'Monthly Data'!Y50</f>
        <v>11473.638115384616</v>
      </c>
      <c r="U50" s="47">
        <f ca="1">+'Monthly Data'!Z50</f>
        <v>68508.796900036643</v>
      </c>
      <c r="V50" s="47">
        <f t="shared" ca="1" si="48"/>
        <v>83100372.211874962</v>
      </c>
    </row>
    <row r="51" spans="1:22">
      <c r="A51" s="2">
        <f>'Monthly Data'!A51</f>
        <v>43862</v>
      </c>
      <c r="B51">
        <f>'Monthly Data'!B51</f>
        <v>2020</v>
      </c>
      <c r="C51">
        <f>'Monthly Data'!C51</f>
        <v>2</v>
      </c>
      <c r="D51" s="3">
        <f>'Monthly Data'!X51</f>
        <v>78273504.188309774</v>
      </c>
      <c r="E51" s="3">
        <f t="shared" ref="E51:F51" ca="1" si="56">E39</f>
        <v>660.7954166666666</v>
      </c>
      <c r="F51" s="3">
        <f t="shared" ca="1" si="56"/>
        <v>0</v>
      </c>
      <c r="G51">
        <f>'Monthly Data'!EG51</f>
        <v>0</v>
      </c>
      <c r="H51" s="3">
        <f>'Monthly Data'!DQ51</f>
        <v>29</v>
      </c>
      <c r="I51" s="3">
        <f>'Monthly Data'!DL51</f>
        <v>801246</v>
      </c>
      <c r="J51" s="489">
        <f>'Monthly Data'!EJ51</f>
        <v>0</v>
      </c>
      <c r="L51" s="3">
        <f t="shared" si="31"/>
        <v>-4442160.1424492002</v>
      </c>
      <c r="M51" s="3">
        <f t="shared" ca="1" si="32"/>
        <v>14388047.48079998</v>
      </c>
      <c r="N51" s="3">
        <f t="shared" ca="1" si="33"/>
        <v>0</v>
      </c>
      <c r="O51" s="3">
        <f t="shared" si="34"/>
        <v>0</v>
      </c>
      <c r="P51" s="3">
        <f t="shared" si="35"/>
        <v>38141187.119726896</v>
      </c>
      <c r="Q51" s="3">
        <f t="shared" si="36"/>
        <v>30299868.579455864</v>
      </c>
      <c r="R51" s="3">
        <f t="shared" si="37"/>
        <v>0</v>
      </c>
      <c r="S51" s="47">
        <f t="shared" ca="1" si="47"/>
        <v>78386943.037533537</v>
      </c>
      <c r="T51" s="47">
        <f>'Monthly Data'!Y51</f>
        <v>11732.24023076923</v>
      </c>
      <c r="U51" s="47">
        <f ca="1">+'Monthly Data'!Z51</f>
        <v>67591.363618597359</v>
      </c>
      <c r="V51" s="47">
        <f t="shared" ca="1" si="48"/>
        <v>78466266.641382903</v>
      </c>
    </row>
    <row r="52" spans="1:22">
      <c r="A52" s="2">
        <f>'Monthly Data'!A52</f>
        <v>43891</v>
      </c>
      <c r="B52">
        <f>'Monthly Data'!B52</f>
        <v>2020</v>
      </c>
      <c r="C52">
        <f>'Monthly Data'!C52</f>
        <v>3</v>
      </c>
      <c r="D52" s="3">
        <f>'Monthly Data'!X52</f>
        <v>76630953.950269327</v>
      </c>
      <c r="E52" s="3">
        <f t="shared" ref="E52:F52" ca="1" si="57">E40</f>
        <v>596.21590579710141</v>
      </c>
      <c r="F52" s="3">
        <f t="shared" ca="1" si="57"/>
        <v>2.9583333333332896E-2</v>
      </c>
      <c r="G52">
        <f>'Monthly Data'!EG52</f>
        <v>1</v>
      </c>
      <c r="H52" s="3">
        <f>'Monthly Data'!DQ52</f>
        <v>31</v>
      </c>
      <c r="I52" s="3">
        <f>'Monthly Data'!DL52</f>
        <v>801246</v>
      </c>
      <c r="J52" s="489">
        <f>'Monthly Data'!EJ52</f>
        <v>0.5</v>
      </c>
      <c r="L52" s="3">
        <f t="shared" si="31"/>
        <v>-4442160.1424492002</v>
      </c>
      <c r="M52" s="3">
        <f t="shared" ca="1" si="32"/>
        <v>12981904.149229543</v>
      </c>
      <c r="N52" s="3">
        <f t="shared" ca="1" si="33"/>
        <v>1907.1474734676008</v>
      </c>
      <c r="O52" s="3">
        <f t="shared" si="34"/>
        <v>1833644.83418835</v>
      </c>
      <c r="P52" s="3">
        <f t="shared" si="35"/>
        <v>40771613.817639098</v>
      </c>
      <c r="Q52" s="3">
        <f t="shared" si="36"/>
        <v>30299868.579455864</v>
      </c>
      <c r="R52" s="3">
        <f t="shared" si="37"/>
        <v>-3032882.7856020052</v>
      </c>
      <c r="S52" s="47">
        <f t="shared" ca="1" si="47"/>
        <v>78413895.599935114</v>
      </c>
      <c r="T52" s="47">
        <f>'Monthly Data'!Y52</f>
        <v>11990.842346153846</v>
      </c>
      <c r="U52" s="47">
        <f ca="1">+'Monthly Data'!Z52</f>
        <v>52466.198104358933</v>
      </c>
      <c r="V52" s="47">
        <f t="shared" ca="1" si="48"/>
        <v>78478352.640385613</v>
      </c>
    </row>
    <row r="53" spans="1:22">
      <c r="A53" s="2">
        <f>'Monthly Data'!A53</f>
        <v>43922</v>
      </c>
      <c r="B53">
        <f>'Monthly Data'!B53</f>
        <v>2020</v>
      </c>
      <c r="C53">
        <f>'Monthly Data'!C53</f>
        <v>4</v>
      </c>
      <c r="D53" s="3">
        <f>'Monthly Data'!X53</f>
        <v>64456209.695909761</v>
      </c>
      <c r="E53" s="3">
        <f t="shared" ref="E53:F53" ca="1" si="58">E41</f>
        <v>412.8885416666667</v>
      </c>
      <c r="F53" s="3">
        <f t="shared" ca="1" si="58"/>
        <v>6.0095833333333344</v>
      </c>
      <c r="G53">
        <f>'Monthly Data'!EG53</f>
        <v>1</v>
      </c>
      <c r="H53" s="3">
        <f>'Monthly Data'!DQ53</f>
        <v>30</v>
      </c>
      <c r="I53" s="3">
        <f>'Monthly Data'!DL53</f>
        <v>705711</v>
      </c>
      <c r="J53" s="489">
        <f>'Monthly Data'!EJ53</f>
        <v>1</v>
      </c>
      <c r="L53" s="3">
        <f t="shared" si="31"/>
        <v>-4442160.1424492002</v>
      </c>
      <c r="M53" s="3">
        <f t="shared" ca="1" si="32"/>
        <v>8990165.1735804696</v>
      </c>
      <c r="N53" s="3">
        <f t="shared" ca="1" si="33"/>
        <v>387419.54943413549</v>
      </c>
      <c r="O53" s="3">
        <f t="shared" si="34"/>
        <v>1833644.83418835</v>
      </c>
      <c r="P53" s="3">
        <f t="shared" si="35"/>
        <v>39456400.468682997</v>
      </c>
      <c r="Q53" s="3">
        <f t="shared" si="36"/>
        <v>26687122.999773324</v>
      </c>
      <c r="R53" s="3">
        <f t="shared" si="37"/>
        <v>-6065765.5712040104</v>
      </c>
      <c r="S53" s="47">
        <f t="shared" ca="1" si="47"/>
        <v>66846827.312006071</v>
      </c>
      <c r="T53" s="47">
        <f>'Monthly Data'!Y53</f>
        <v>12249.444461538462</v>
      </c>
      <c r="U53" s="47">
        <f ca="1">+'Monthly Data'!Z53</f>
        <v>41364.846843795865</v>
      </c>
      <c r="V53" s="47">
        <f t="shared" ca="1" si="48"/>
        <v>66900441.603311405</v>
      </c>
    </row>
    <row r="54" spans="1:22">
      <c r="A54" s="2">
        <f>'Monthly Data'!A54</f>
        <v>43952</v>
      </c>
      <c r="B54">
        <f>'Monthly Data'!B54</f>
        <v>2020</v>
      </c>
      <c r="C54">
        <f>'Monthly Data'!C54</f>
        <v>5</v>
      </c>
      <c r="D54" s="3">
        <f>'Monthly Data'!X54</f>
        <v>67469503.193328664</v>
      </c>
      <c r="E54" s="3">
        <f t="shared" ref="E54:F54" ca="1" si="59">E42</f>
        <v>208.90012508544086</v>
      </c>
      <c r="F54" s="3">
        <f t="shared" ca="1" si="59"/>
        <v>81.50872474747473</v>
      </c>
      <c r="G54">
        <f>'Monthly Data'!EG54</f>
        <v>1</v>
      </c>
      <c r="H54" s="3">
        <f>'Monthly Data'!DQ54</f>
        <v>31</v>
      </c>
      <c r="I54" s="3">
        <f>'Monthly Data'!DL54</f>
        <v>705711</v>
      </c>
      <c r="J54" s="489">
        <f>'Monthly Data'!EJ54</f>
        <v>1</v>
      </c>
      <c r="L54" s="3">
        <f t="shared" si="31"/>
        <v>-4442160.1424492002</v>
      </c>
      <c r="M54" s="3">
        <f t="shared" ca="1" si="32"/>
        <v>4548555.9413172565</v>
      </c>
      <c r="N54" s="3">
        <f t="shared" ca="1" si="33"/>
        <v>5254619.4411621923</v>
      </c>
      <c r="O54" s="3">
        <f t="shared" si="34"/>
        <v>1833644.83418835</v>
      </c>
      <c r="P54" s="3">
        <f t="shared" si="35"/>
        <v>40771613.817639098</v>
      </c>
      <c r="Q54" s="3">
        <f t="shared" si="36"/>
        <v>26687122.999773324</v>
      </c>
      <c r="R54" s="3">
        <f t="shared" si="37"/>
        <v>-6065765.5712040104</v>
      </c>
      <c r="S54" s="47">
        <f t="shared" ca="1" si="47"/>
        <v>68587631.320427015</v>
      </c>
      <c r="T54" s="47">
        <f>'Monthly Data'!Y54</f>
        <v>12508.046576923076</v>
      </c>
      <c r="U54" s="47">
        <f ca="1">+'Monthly Data'!Z54</f>
        <v>23177.268673205705</v>
      </c>
      <c r="V54" s="47">
        <f t="shared" ca="1" si="48"/>
        <v>68623316.635677144</v>
      </c>
    </row>
    <row r="55" spans="1:22">
      <c r="A55" s="2">
        <f>'Monthly Data'!A55</f>
        <v>43983</v>
      </c>
      <c r="B55">
        <f>'Monthly Data'!B55</f>
        <v>2020</v>
      </c>
      <c r="C55">
        <f>'Monthly Data'!C55</f>
        <v>6</v>
      </c>
      <c r="D55" s="3">
        <f>'Monthly Data'!X55</f>
        <v>75153479.571011558</v>
      </c>
      <c r="E55" s="3">
        <f t="shared" ref="E55:F55" ca="1" si="60">E43</f>
        <v>61.78217382617381</v>
      </c>
      <c r="F55" s="3">
        <f t="shared" ca="1" si="60"/>
        <v>202.3599342107168</v>
      </c>
      <c r="G55">
        <f>'Monthly Data'!EG55</f>
        <v>0</v>
      </c>
      <c r="H55" s="3">
        <f>'Monthly Data'!DQ55</f>
        <v>30</v>
      </c>
      <c r="I55" s="3">
        <f>'Monthly Data'!DL55</f>
        <v>705711</v>
      </c>
      <c r="J55" s="489">
        <f>'Monthly Data'!EJ55</f>
        <v>0.5</v>
      </c>
      <c r="L55" s="3">
        <f t="shared" si="31"/>
        <v>-4442160.1424492002</v>
      </c>
      <c r="M55" s="3">
        <f t="shared" ca="1" si="32"/>
        <v>1345234.5885843791</v>
      </c>
      <c r="N55" s="3">
        <f t="shared" ca="1" si="33"/>
        <v>13045529.146852197</v>
      </c>
      <c r="O55" s="3">
        <f t="shared" si="34"/>
        <v>0</v>
      </c>
      <c r="P55" s="3">
        <f t="shared" si="35"/>
        <v>39456400.468682997</v>
      </c>
      <c r="Q55" s="3">
        <f t="shared" si="36"/>
        <v>26687122.999773324</v>
      </c>
      <c r="R55" s="3">
        <f t="shared" si="37"/>
        <v>-3032882.7856020052</v>
      </c>
      <c r="S55" s="47">
        <f t="shared" ca="1" si="47"/>
        <v>73059244.275841698</v>
      </c>
      <c r="T55" s="47">
        <f>'Monthly Data'!Y55</f>
        <v>12766.648692307692</v>
      </c>
      <c r="U55" s="47">
        <f ca="1">+'Monthly Data'!Z55</f>
        <v>3239.3883702873877</v>
      </c>
      <c r="V55" s="47">
        <f t="shared" ca="1" si="48"/>
        <v>73075250.312904298</v>
      </c>
    </row>
    <row r="56" spans="1:22">
      <c r="A56" s="2">
        <f>'Monthly Data'!A56</f>
        <v>44013</v>
      </c>
      <c r="B56">
        <f>'Monthly Data'!B56</f>
        <v>2020</v>
      </c>
      <c r="C56">
        <f>'Monthly Data'!C56</f>
        <v>7</v>
      </c>
      <c r="D56" s="3">
        <f>'Monthly Data'!X56</f>
        <v>85620541.511397451</v>
      </c>
      <c r="E56" s="3">
        <f t="shared" ref="E56:F56" ca="1" si="61">E44</f>
        <v>8.334479813664597</v>
      </c>
      <c r="F56" s="3">
        <f t="shared" ca="1" si="61"/>
        <v>304.72508692061177</v>
      </c>
      <c r="G56">
        <f>'Monthly Data'!EG56</f>
        <v>0</v>
      </c>
      <c r="H56" s="3">
        <f>'Monthly Data'!DQ56</f>
        <v>31</v>
      </c>
      <c r="I56" s="3">
        <f>'Monthly Data'!DL56</f>
        <v>778294</v>
      </c>
      <c r="J56" s="489">
        <f>'Monthly Data'!EJ56</f>
        <v>0.5</v>
      </c>
      <c r="L56" s="3">
        <f t="shared" si="31"/>
        <v>-4442160.1424492002</v>
      </c>
      <c r="M56" s="3">
        <f t="shared" ca="1" si="32"/>
        <v>181473.55181681956</v>
      </c>
      <c r="N56" s="3">
        <f t="shared" ca="1" si="33"/>
        <v>19644699.029504735</v>
      </c>
      <c r="O56" s="3">
        <f t="shared" si="34"/>
        <v>0</v>
      </c>
      <c r="P56" s="3">
        <f t="shared" si="35"/>
        <v>40771613.817639098</v>
      </c>
      <c r="Q56" s="3">
        <f t="shared" si="36"/>
        <v>29431917.184209369</v>
      </c>
      <c r="R56" s="3">
        <f t="shared" si="37"/>
        <v>-3032882.7856020052</v>
      </c>
      <c r="S56" s="47">
        <f t="shared" ca="1" si="47"/>
        <v>82554660.655118823</v>
      </c>
      <c r="T56" s="47">
        <f>'Monthly Data'!Y56</f>
        <v>13025.250807692308</v>
      </c>
      <c r="U56" s="47">
        <f ca="1">+'Monthly Data'!Z56</f>
        <v>0</v>
      </c>
      <c r="V56" s="47">
        <f t="shared" ca="1" si="48"/>
        <v>82567685.905926511</v>
      </c>
    </row>
    <row r="57" spans="1:22">
      <c r="A57" s="2">
        <f>'Monthly Data'!A57</f>
        <v>44044</v>
      </c>
      <c r="B57">
        <f>'Monthly Data'!B57</f>
        <v>2020</v>
      </c>
      <c r="C57">
        <f>'Monthly Data'!C57</f>
        <v>8</v>
      </c>
      <c r="D57" s="3">
        <f>'Monthly Data'!X57</f>
        <v>81884794.517995253</v>
      </c>
      <c r="E57" s="3">
        <f t="shared" ref="E57:F57" ca="1" si="62">E45</f>
        <v>21.054927536231883</v>
      </c>
      <c r="F57" s="3">
        <f t="shared" ca="1" si="62"/>
        <v>275.96017127799735</v>
      </c>
      <c r="G57">
        <f>'Monthly Data'!EG57</f>
        <v>0</v>
      </c>
      <c r="H57" s="3">
        <f>'Monthly Data'!DQ57</f>
        <v>31</v>
      </c>
      <c r="I57" s="3">
        <f>'Monthly Data'!DL57</f>
        <v>778294</v>
      </c>
      <c r="J57" s="489">
        <f>'Monthly Data'!EJ57</f>
        <v>0.5</v>
      </c>
      <c r="L57" s="3">
        <f t="shared" si="31"/>
        <v>-4442160.1424492002</v>
      </c>
      <c r="M57" s="3">
        <f t="shared" ca="1" si="32"/>
        <v>458446.42601224757</v>
      </c>
      <c r="N57" s="3">
        <f t="shared" ca="1" si="33"/>
        <v>17790312.45398964</v>
      </c>
      <c r="O57" s="3">
        <f t="shared" si="34"/>
        <v>0</v>
      </c>
      <c r="P57" s="3">
        <f t="shared" si="35"/>
        <v>40771613.817639098</v>
      </c>
      <c r="Q57" s="3">
        <f t="shared" si="36"/>
        <v>29431917.184209369</v>
      </c>
      <c r="R57" s="3">
        <f t="shared" si="37"/>
        <v>-3032882.7856020052</v>
      </c>
      <c r="S57" s="47">
        <f t="shared" ca="1" si="47"/>
        <v>80977246.953799158</v>
      </c>
      <c r="T57" s="47">
        <f>'Monthly Data'!Y57</f>
        <v>13283.852923076924</v>
      </c>
      <c r="U57" s="47">
        <f ca="1">+'Monthly Data'!Z57</f>
        <v>379.95628726605099</v>
      </c>
      <c r="V57" s="47">
        <f t="shared" ca="1" si="48"/>
        <v>80990910.763009503</v>
      </c>
    </row>
    <row r="58" spans="1:22">
      <c r="A58" s="2">
        <f>'Monthly Data'!A58</f>
        <v>44075</v>
      </c>
      <c r="B58">
        <f>'Monthly Data'!B58</f>
        <v>2020</v>
      </c>
      <c r="C58">
        <f>'Monthly Data'!C58</f>
        <v>9</v>
      </c>
      <c r="D58" s="3">
        <f>'Monthly Data'!X58</f>
        <v>75734543.281715289</v>
      </c>
      <c r="E58" s="3">
        <f t="shared" ref="E58:F58" ca="1" si="63">E46</f>
        <v>97.667119565217376</v>
      </c>
      <c r="F58" s="3">
        <f t="shared" ca="1" si="63"/>
        <v>154.9849637681159</v>
      </c>
      <c r="G58">
        <f>'Monthly Data'!EG58</f>
        <v>1</v>
      </c>
      <c r="H58" s="3">
        <f>'Monthly Data'!DQ58</f>
        <v>30</v>
      </c>
      <c r="I58" s="3">
        <f>'Monthly Data'!DL58</f>
        <v>778294</v>
      </c>
      <c r="J58" s="489">
        <f>'Monthly Data'!EJ58</f>
        <v>0.5</v>
      </c>
      <c r="L58" s="3">
        <f t="shared" si="31"/>
        <v>-4442160.1424492002</v>
      </c>
      <c r="M58" s="3">
        <f t="shared" ca="1" si="32"/>
        <v>2126587.3191220681</v>
      </c>
      <c r="N58" s="3">
        <f t="shared" ca="1" si="33"/>
        <v>9991408.9715774972</v>
      </c>
      <c r="O58" s="3">
        <f t="shared" si="34"/>
        <v>1833644.83418835</v>
      </c>
      <c r="P58" s="3">
        <f t="shared" si="35"/>
        <v>39456400.468682997</v>
      </c>
      <c r="Q58" s="3">
        <f t="shared" si="36"/>
        <v>29431917.184209369</v>
      </c>
      <c r="R58" s="3">
        <f t="shared" si="37"/>
        <v>-3032882.7856020052</v>
      </c>
      <c r="S58" s="47">
        <f t="shared" ca="1" si="47"/>
        <v>75364915.849729076</v>
      </c>
      <c r="T58" s="47">
        <f>'Monthly Data'!Y58</f>
        <v>13542.455038461538</v>
      </c>
      <c r="U58" s="47">
        <f ca="1">+'Monthly Data'!Z58</f>
        <v>9265.1623211197857</v>
      </c>
      <c r="V58" s="47">
        <f t="shared" ca="1" si="48"/>
        <v>75387723.467088655</v>
      </c>
    </row>
    <row r="59" spans="1:22">
      <c r="A59" s="2">
        <f>'Monthly Data'!A59</f>
        <v>44105</v>
      </c>
      <c r="B59">
        <f>'Monthly Data'!B59</f>
        <v>2020</v>
      </c>
      <c r="C59">
        <f>'Monthly Data'!C59</f>
        <v>10</v>
      </c>
      <c r="D59" s="3">
        <f>'Monthly Data'!X59</f>
        <v>75389591.944220275</v>
      </c>
      <c r="E59" s="3">
        <f t="shared" ref="E59:F59" ca="1" si="64">E47</f>
        <v>292.46431159420291</v>
      </c>
      <c r="F59" s="3">
        <f t="shared" ca="1" si="64"/>
        <v>38.347916666666663</v>
      </c>
      <c r="G59">
        <f>'Monthly Data'!EG59</f>
        <v>1</v>
      </c>
      <c r="H59" s="3">
        <f>'Monthly Data'!DQ59</f>
        <v>31</v>
      </c>
      <c r="I59" s="3">
        <f>'Monthly Data'!DL59</f>
        <v>797313</v>
      </c>
      <c r="J59" s="489">
        <f>'Monthly Data'!EJ59</f>
        <v>0.5</v>
      </c>
      <c r="L59" s="3">
        <f t="shared" si="31"/>
        <v>-4442160.1424492002</v>
      </c>
      <c r="M59" s="3">
        <f t="shared" ca="1" si="32"/>
        <v>6368068.3847411759</v>
      </c>
      <c r="N59" s="3">
        <f t="shared" ca="1" si="33"/>
        <v>2472173.4890224398</v>
      </c>
      <c r="O59" s="3">
        <f t="shared" si="34"/>
        <v>1833644.83418835</v>
      </c>
      <c r="P59" s="3">
        <f t="shared" si="35"/>
        <v>40771613.817639098</v>
      </c>
      <c r="Q59" s="3">
        <f t="shared" si="36"/>
        <v>30151138.497654516</v>
      </c>
      <c r="R59" s="3">
        <f t="shared" si="37"/>
        <v>-3032882.7856020052</v>
      </c>
      <c r="S59" s="47">
        <f t="shared" ca="1" si="47"/>
        <v>74121596.09519437</v>
      </c>
      <c r="T59" s="47">
        <f>'Monthly Data'!Y59</f>
        <v>13801.057153846154</v>
      </c>
      <c r="U59" s="47">
        <f ca="1">+'Monthly Data'!Z59</f>
        <v>31358.877328959166</v>
      </c>
      <c r="V59" s="47">
        <f t="shared" ca="1" si="48"/>
        <v>74166756.029677182</v>
      </c>
    </row>
    <row r="60" spans="1:22">
      <c r="A60" s="2">
        <f>'Monthly Data'!A60</f>
        <v>44136</v>
      </c>
      <c r="B60">
        <f>'Monthly Data'!B60</f>
        <v>2020</v>
      </c>
      <c r="C60">
        <f>'Monthly Data'!C60</f>
        <v>11</v>
      </c>
      <c r="D60" s="3">
        <f>'Monthly Data'!X60</f>
        <v>75258500.469437331</v>
      </c>
      <c r="E60" s="3">
        <f t="shared" ref="E60:F60" ca="1" si="65">E48</f>
        <v>495.51408055712409</v>
      </c>
      <c r="F60" s="3">
        <f t="shared" ca="1" si="65"/>
        <v>1.9241666666666659</v>
      </c>
      <c r="G60">
        <f>'Monthly Data'!EG60</f>
        <v>1</v>
      </c>
      <c r="H60" s="3">
        <f>'Monthly Data'!DQ60</f>
        <v>30</v>
      </c>
      <c r="I60" s="3">
        <f>'Monthly Data'!DL60</f>
        <v>797313</v>
      </c>
      <c r="J60" s="489">
        <f>'Monthly Data'!EJ60</f>
        <v>0.5</v>
      </c>
      <c r="L60" s="3">
        <f t="shared" si="31"/>
        <v>-4442160.1424492002</v>
      </c>
      <c r="M60" s="3">
        <f t="shared" ca="1" si="32"/>
        <v>10789239.66274612</v>
      </c>
      <c r="N60" s="3">
        <f t="shared" ca="1" si="33"/>
        <v>124045.16947145785</v>
      </c>
      <c r="O60" s="3">
        <f t="shared" si="34"/>
        <v>1833644.83418835</v>
      </c>
      <c r="P60" s="3">
        <f t="shared" si="35"/>
        <v>39456400.468682997</v>
      </c>
      <c r="Q60" s="3">
        <f t="shared" si="36"/>
        <v>30151138.497654516</v>
      </c>
      <c r="R60" s="3">
        <f t="shared" si="37"/>
        <v>-3032882.7856020052</v>
      </c>
      <c r="S60" s="47">
        <f t="shared" ca="1" si="47"/>
        <v>74879425.70469223</v>
      </c>
      <c r="T60" s="47">
        <f>'Monthly Data'!Y60</f>
        <v>14059.659269230768</v>
      </c>
      <c r="U60" s="47">
        <f ca="1">+'Monthly Data'!Z60</f>
        <v>39907.745765217944</v>
      </c>
      <c r="V60" s="47">
        <f t="shared" ca="1" si="48"/>
        <v>74933393.109726682</v>
      </c>
    </row>
    <row r="61" spans="1:22">
      <c r="A61" s="2">
        <f>'Monthly Data'!A61</f>
        <v>44166</v>
      </c>
      <c r="B61">
        <f>'Monthly Data'!B61</f>
        <v>2020</v>
      </c>
      <c r="C61">
        <f>'Monthly Data'!C61</f>
        <v>12</v>
      </c>
      <c r="D61" s="3">
        <f>'Monthly Data'!X61</f>
        <v>77768201.465405151</v>
      </c>
      <c r="E61" s="3">
        <f t="shared" ref="E61:F61" ca="1" si="66">E49</f>
        <v>664.38541666666663</v>
      </c>
      <c r="F61" s="3">
        <f t="shared" ca="1" si="66"/>
        <v>0</v>
      </c>
      <c r="G61">
        <f>'Monthly Data'!EG61</f>
        <v>0</v>
      </c>
      <c r="H61" s="3">
        <f>'Monthly Data'!DQ61</f>
        <v>31</v>
      </c>
      <c r="I61" s="3">
        <f>'Monthly Data'!DL61</f>
        <v>797313</v>
      </c>
      <c r="J61" s="489">
        <f>'Monthly Data'!EJ61</f>
        <v>0.5</v>
      </c>
      <c r="L61" s="3">
        <f t="shared" si="31"/>
        <v>-4442160.1424492002</v>
      </c>
      <c r="M61" s="3">
        <f t="shared" ca="1" si="32"/>
        <v>14466215.532746576</v>
      </c>
      <c r="N61" s="3">
        <f t="shared" ca="1" si="33"/>
        <v>0</v>
      </c>
      <c r="O61" s="3">
        <f t="shared" si="34"/>
        <v>0</v>
      </c>
      <c r="P61" s="3">
        <f t="shared" si="35"/>
        <v>40771613.817639098</v>
      </c>
      <c r="Q61" s="3">
        <f t="shared" si="36"/>
        <v>30151138.497654516</v>
      </c>
      <c r="R61" s="3">
        <f t="shared" si="37"/>
        <v>-3032882.7856020052</v>
      </c>
      <c r="S61" s="47">
        <f t="shared" ca="1" si="47"/>
        <v>77913924.91998899</v>
      </c>
      <c r="T61" s="47">
        <f>'Monthly Data'!Y61</f>
        <v>14318.261384615384</v>
      </c>
      <c r="U61" s="47">
        <f ca="1">+'Monthly Data'!Z61</f>
        <v>63506.266092782316</v>
      </c>
      <c r="V61" s="47">
        <f t="shared" ca="1" si="48"/>
        <v>77991749.447466388</v>
      </c>
    </row>
    <row r="62" spans="1:22">
      <c r="A62" s="2">
        <f>'Monthly Data'!A62</f>
        <v>44197</v>
      </c>
      <c r="B62">
        <f>'Monthly Data'!B62</f>
        <v>2021</v>
      </c>
      <c r="C62">
        <f>'Monthly Data'!C62</f>
        <v>1</v>
      </c>
      <c r="D62" s="3">
        <f ca="1">'Monthly Data'!X62</f>
        <v>80062479.421799421</v>
      </c>
      <c r="E62" s="3">
        <f t="shared" ref="E62:F62" ca="1" si="67">E50</f>
        <v>752.78750000000002</v>
      </c>
      <c r="F62" s="3">
        <f t="shared" ca="1" si="67"/>
        <v>0</v>
      </c>
      <c r="G62">
        <f>'Monthly Data'!EG62</f>
        <v>0</v>
      </c>
      <c r="H62" s="3">
        <f>'Monthly Data'!DQ62</f>
        <v>31</v>
      </c>
      <c r="I62" s="3">
        <f>'Monthly Data'!DL62</f>
        <v>809994</v>
      </c>
      <c r="J62" s="489">
        <f>'Monthly Data'!EJ62</f>
        <v>0.5</v>
      </c>
      <c r="L62" s="3">
        <f t="shared" si="31"/>
        <v>-4442160.1424492002</v>
      </c>
      <c r="M62" s="3">
        <f t="shared" ca="1" si="32"/>
        <v>16391067.522213772</v>
      </c>
      <c r="N62" s="3">
        <f t="shared" ca="1" si="33"/>
        <v>0</v>
      </c>
      <c r="O62" s="3">
        <f t="shared" si="34"/>
        <v>0</v>
      </c>
      <c r="P62" s="3">
        <f t="shared" si="35"/>
        <v>40771613.817639098</v>
      </c>
      <c r="Q62" s="3">
        <f t="shared" si="36"/>
        <v>30630682.399846952</v>
      </c>
      <c r="R62" s="3">
        <f t="shared" si="37"/>
        <v>-3032882.7856020052</v>
      </c>
      <c r="S62" s="47">
        <f t="shared" ca="1" si="47"/>
        <v>80318320.811648622</v>
      </c>
      <c r="T62" s="47">
        <f>'Monthly Data'!Y62</f>
        <v>15091.686038461537</v>
      </c>
      <c r="U62" s="47">
        <f ca="1">+'Monthly Data'!Z62</f>
        <v>127856.19874796108</v>
      </c>
      <c r="V62" s="47">
        <f t="shared" ca="1" si="48"/>
        <v>80461268.696435049</v>
      </c>
    </row>
    <row r="63" spans="1:22">
      <c r="A63" s="2">
        <f>'Monthly Data'!A63</f>
        <v>44228</v>
      </c>
      <c r="B63">
        <f>'Monthly Data'!B63</f>
        <v>2021</v>
      </c>
      <c r="C63">
        <f>'Monthly Data'!C63</f>
        <v>2</v>
      </c>
      <c r="D63" s="3">
        <f ca="1">'Monthly Data'!X63</f>
        <v>75601505.954300001</v>
      </c>
      <c r="E63" s="3">
        <f t="shared" ref="E63:F63" ca="1" si="68">E51</f>
        <v>660.7954166666666</v>
      </c>
      <c r="F63" s="3">
        <f t="shared" ca="1" si="68"/>
        <v>0</v>
      </c>
      <c r="G63">
        <f>'Monthly Data'!EG63</f>
        <v>0</v>
      </c>
      <c r="H63" s="3">
        <f>'Monthly Data'!DQ63</f>
        <v>28</v>
      </c>
      <c r="I63" s="3">
        <f>'Monthly Data'!DL63</f>
        <v>809994</v>
      </c>
      <c r="J63" s="489">
        <f>'Monthly Data'!EJ63</f>
        <v>0.5</v>
      </c>
      <c r="L63" s="3">
        <f t="shared" si="31"/>
        <v>-4442160.1424492002</v>
      </c>
      <c r="M63" s="3">
        <f t="shared" ca="1" si="32"/>
        <v>14388047.48079998</v>
      </c>
      <c r="N63" s="3">
        <f t="shared" ca="1" si="33"/>
        <v>0</v>
      </c>
      <c r="O63" s="3">
        <f t="shared" si="34"/>
        <v>0</v>
      </c>
      <c r="P63" s="3">
        <f t="shared" si="35"/>
        <v>36825973.770770796</v>
      </c>
      <c r="Q63" s="3">
        <f t="shared" si="36"/>
        <v>30630682.399846952</v>
      </c>
      <c r="R63" s="3">
        <f t="shared" si="37"/>
        <v>-3032882.7856020052</v>
      </c>
      <c r="S63" s="47">
        <f t="shared" ca="1" si="47"/>
        <v>74369660.723366529</v>
      </c>
      <c r="T63" s="47">
        <f>'Monthly Data'!Y63</f>
        <v>15606.508576923075</v>
      </c>
      <c r="U63" s="47">
        <f ca="1">+'Monthly Data'!Z63</f>
        <v>127846.41639267781</v>
      </c>
      <c r="V63" s="47">
        <f t="shared" ca="1" si="48"/>
        <v>74513113.648336142</v>
      </c>
    </row>
    <row r="64" spans="1:22">
      <c r="A64" s="2">
        <f>'Monthly Data'!A64</f>
        <v>44256</v>
      </c>
      <c r="B64">
        <f>'Monthly Data'!B64</f>
        <v>2021</v>
      </c>
      <c r="C64">
        <f>'Monthly Data'!C64</f>
        <v>3</v>
      </c>
      <c r="D64" s="3">
        <f ca="1">'Monthly Data'!X64</f>
        <v>80771780.550043195</v>
      </c>
      <c r="E64" s="3">
        <f t="shared" ref="E64:F64" ca="1" si="69">E52</f>
        <v>596.21590579710141</v>
      </c>
      <c r="F64" s="3">
        <f t="shared" ca="1" si="69"/>
        <v>2.9583333333332896E-2</v>
      </c>
      <c r="G64">
        <f>'Monthly Data'!EG64</f>
        <v>1</v>
      </c>
      <c r="H64" s="3">
        <f>'Monthly Data'!DQ64</f>
        <v>31</v>
      </c>
      <c r="I64" s="3">
        <f>'Monthly Data'!DL64</f>
        <v>809994</v>
      </c>
      <c r="J64" s="489">
        <f>'Monthly Data'!EJ64</f>
        <v>0.5</v>
      </c>
      <c r="L64" s="3">
        <f t="shared" si="31"/>
        <v>-4442160.1424492002</v>
      </c>
      <c r="M64" s="3">
        <f t="shared" ca="1" si="32"/>
        <v>12981904.149229543</v>
      </c>
      <c r="N64" s="3">
        <f t="shared" ca="1" si="33"/>
        <v>1907.1474734676008</v>
      </c>
      <c r="O64" s="3">
        <f t="shared" si="34"/>
        <v>1833644.83418835</v>
      </c>
      <c r="P64" s="3">
        <f t="shared" si="35"/>
        <v>40771613.817639098</v>
      </c>
      <c r="Q64" s="3">
        <f t="shared" si="36"/>
        <v>30630682.399846952</v>
      </c>
      <c r="R64" s="3">
        <f t="shared" si="37"/>
        <v>-3032882.7856020052</v>
      </c>
      <c r="S64" s="47">
        <f t="shared" ca="1" si="47"/>
        <v>78744709.420326203</v>
      </c>
      <c r="T64" s="47">
        <f>'Monthly Data'!Y64</f>
        <v>16121.331115384615</v>
      </c>
      <c r="U64" s="47">
        <f ca="1">+'Monthly Data'!Z64</f>
        <v>96375.05538396012</v>
      </c>
      <c r="V64" s="47">
        <f t="shared" ca="1" si="48"/>
        <v>78857205.806825548</v>
      </c>
    </row>
    <row r="65" spans="1:22">
      <c r="A65" s="2">
        <f>'Monthly Data'!A65</f>
        <v>44287</v>
      </c>
      <c r="B65">
        <f>'Monthly Data'!B65</f>
        <v>2021</v>
      </c>
      <c r="C65">
        <f>'Monthly Data'!C65</f>
        <v>4</v>
      </c>
      <c r="D65" s="3">
        <f ca="1">'Monthly Data'!X65</f>
        <v>72533551.718385428</v>
      </c>
      <c r="E65" s="3">
        <f t="shared" ref="E65:F65" ca="1" si="70">E53</f>
        <v>412.8885416666667</v>
      </c>
      <c r="F65" s="3">
        <f t="shared" ca="1" si="70"/>
        <v>6.0095833333333344</v>
      </c>
      <c r="G65">
        <f>'Monthly Data'!EG65</f>
        <v>1</v>
      </c>
      <c r="H65" s="3">
        <f>'Monthly Data'!DQ65</f>
        <v>30</v>
      </c>
      <c r="I65" s="3">
        <f>'Monthly Data'!DL65</f>
        <v>803585</v>
      </c>
      <c r="J65" s="489">
        <f>'Monthly Data'!EJ65</f>
        <v>0.5</v>
      </c>
      <c r="L65" s="3">
        <f t="shared" si="31"/>
        <v>-4442160.1424492002</v>
      </c>
      <c r="M65" s="3">
        <f t="shared" ca="1" si="32"/>
        <v>8990165.1735804696</v>
      </c>
      <c r="N65" s="3">
        <f t="shared" ca="1" si="33"/>
        <v>387419.54943413549</v>
      </c>
      <c r="O65" s="3">
        <f t="shared" si="34"/>
        <v>1833644.83418835</v>
      </c>
      <c r="P65" s="3">
        <f t="shared" si="35"/>
        <v>39456400.468682997</v>
      </c>
      <c r="Q65" s="3">
        <f t="shared" si="36"/>
        <v>30388320.05703871</v>
      </c>
      <c r="R65" s="3">
        <f t="shared" si="37"/>
        <v>-3032882.7856020052</v>
      </c>
      <c r="S65" s="47">
        <f t="shared" ca="1" si="47"/>
        <v>73580907.154873461</v>
      </c>
      <c r="T65" s="47">
        <f>'Monthly Data'!Y65</f>
        <v>16636.153653846151</v>
      </c>
      <c r="U65" s="47">
        <f ca="1">+'Monthly Data'!Z65</f>
        <v>62567.12919520252</v>
      </c>
      <c r="V65" s="47">
        <f t="shared" ca="1" si="48"/>
        <v>73660110.437722504</v>
      </c>
    </row>
    <row r="66" spans="1:22">
      <c r="A66" s="2">
        <f>'Monthly Data'!A66</f>
        <v>44317</v>
      </c>
      <c r="B66">
        <f>'Monthly Data'!B66</f>
        <v>2021</v>
      </c>
      <c r="C66">
        <f>'Monthly Data'!C66</f>
        <v>5</v>
      </c>
      <c r="D66" s="3">
        <f ca="1">'Monthly Data'!X66</f>
        <v>74813287.715693384</v>
      </c>
      <c r="E66" s="3">
        <f t="shared" ref="E66:F66" ca="1" si="71">E54</f>
        <v>208.90012508544086</v>
      </c>
      <c r="F66" s="3">
        <f t="shared" ca="1" si="71"/>
        <v>81.50872474747473</v>
      </c>
      <c r="G66">
        <f>'Monthly Data'!EG66</f>
        <v>1</v>
      </c>
      <c r="H66" s="3">
        <f>'Monthly Data'!DQ66</f>
        <v>31</v>
      </c>
      <c r="I66" s="3">
        <f>'Monthly Data'!DL66</f>
        <v>803585</v>
      </c>
      <c r="J66" s="489">
        <f>'Monthly Data'!EJ66</f>
        <v>0.5</v>
      </c>
      <c r="L66" s="3">
        <f t="shared" ref="L66:L97" si="72">$Z$8</f>
        <v>-4442160.1424492002</v>
      </c>
      <c r="M66" s="3">
        <f t="shared" ref="M66:M97" ca="1" si="73">E66*$Z$9</f>
        <v>4548555.9413172565</v>
      </c>
      <c r="N66" s="3">
        <f t="shared" ref="N66:N97" ca="1" si="74">F66*$Z$10</f>
        <v>5254619.4411621923</v>
      </c>
      <c r="O66" s="3">
        <f t="shared" ref="O66:O97" si="75">G66*$Z$11</f>
        <v>1833644.83418835</v>
      </c>
      <c r="P66" s="3">
        <f t="shared" ref="P66:P97" si="76">H66*$Z$12</f>
        <v>40771613.817639098</v>
      </c>
      <c r="Q66" s="3">
        <f t="shared" ref="Q66:Q97" si="77">I66*$Z$13</f>
        <v>30388320.05703871</v>
      </c>
      <c r="R66" s="3">
        <f t="shared" ref="R66:R97" si="78">J66*$Z$14</f>
        <v>-3032882.7856020052</v>
      </c>
      <c r="S66" s="47">
        <f t="shared" ca="1" si="47"/>
        <v>75321711.163294405</v>
      </c>
      <c r="T66" s="47">
        <f>'Monthly Data'!Y66</f>
        <v>17150.976192307691</v>
      </c>
      <c r="U66" s="47">
        <f ca="1">+'Monthly Data'!Z66</f>
        <v>33972.761238167608</v>
      </c>
      <c r="V66" s="47">
        <f t="shared" ca="1" si="48"/>
        <v>75372834.900724888</v>
      </c>
    </row>
    <row r="67" spans="1:22">
      <c r="A67" s="2">
        <f>'Monthly Data'!A67</f>
        <v>44348</v>
      </c>
      <c r="B67">
        <f>'Monthly Data'!B67</f>
        <v>2021</v>
      </c>
      <c r="C67">
        <f>'Monthly Data'!C67</f>
        <v>6</v>
      </c>
      <c r="D67" s="3">
        <f ca="1">'Monthly Data'!X67</f>
        <v>79891609.225336611</v>
      </c>
      <c r="E67" s="3">
        <f t="shared" ref="E67:F67" ca="1" si="79">E55</f>
        <v>61.78217382617381</v>
      </c>
      <c r="F67" s="3">
        <f t="shared" ca="1" si="79"/>
        <v>202.3599342107168</v>
      </c>
      <c r="G67">
        <f>'Monthly Data'!EG67</f>
        <v>0</v>
      </c>
      <c r="H67" s="3">
        <f>'Monthly Data'!DQ67</f>
        <v>30</v>
      </c>
      <c r="I67" s="3">
        <f>'Monthly Data'!DL67</f>
        <v>803585</v>
      </c>
      <c r="J67" s="489">
        <f>'Monthly Data'!EJ67</f>
        <v>0.5</v>
      </c>
      <c r="L67" s="3">
        <f t="shared" si="72"/>
        <v>-4442160.1424492002</v>
      </c>
      <c r="M67" s="3">
        <f t="shared" ca="1" si="73"/>
        <v>1345234.5885843791</v>
      </c>
      <c r="N67" s="3">
        <f t="shared" ca="1" si="74"/>
        <v>13045529.146852197</v>
      </c>
      <c r="O67" s="3">
        <f t="shared" si="75"/>
        <v>0</v>
      </c>
      <c r="P67" s="3">
        <f t="shared" si="76"/>
        <v>39456400.468682997</v>
      </c>
      <c r="Q67" s="3">
        <f t="shared" si="77"/>
        <v>30388320.05703871</v>
      </c>
      <c r="R67" s="3">
        <f t="shared" si="78"/>
        <v>-3032882.7856020052</v>
      </c>
      <c r="S67" s="47">
        <f t="shared" ca="1" si="47"/>
        <v>76760441.333107084</v>
      </c>
      <c r="T67" s="47">
        <f>'Monthly Data'!Y67</f>
        <v>17665.798730769231</v>
      </c>
      <c r="U67" s="47">
        <f ca="1">+'Monthly Data'!Z67</f>
        <v>2788.7864519913487</v>
      </c>
      <c r="V67" s="47">
        <f t="shared" ca="1" si="48"/>
        <v>76780895.918289855</v>
      </c>
    </row>
    <row r="68" spans="1:22">
      <c r="A68" s="2">
        <f>'Monthly Data'!A68</f>
        <v>44378</v>
      </c>
      <c r="B68">
        <f>'Monthly Data'!B68</f>
        <v>2021</v>
      </c>
      <c r="C68">
        <f>'Monthly Data'!C68</f>
        <v>7</v>
      </c>
      <c r="D68" s="3">
        <f ca="1">'Monthly Data'!X68</f>
        <v>81147795.567303449</v>
      </c>
      <c r="E68" s="3">
        <f t="shared" ref="E68:F68" ca="1" si="80">E56</f>
        <v>8.334479813664597</v>
      </c>
      <c r="F68" s="3">
        <f t="shared" ca="1" si="80"/>
        <v>304.72508692061177</v>
      </c>
      <c r="G68">
        <f>'Monthly Data'!EG68</f>
        <v>0</v>
      </c>
      <c r="H68" s="3">
        <f>'Monthly Data'!DQ68</f>
        <v>31</v>
      </c>
      <c r="I68" s="3">
        <f>'Monthly Data'!DL68</f>
        <v>821006</v>
      </c>
      <c r="J68" s="489">
        <f>'Monthly Data'!EJ68</f>
        <v>0.5</v>
      </c>
      <c r="L68" s="3">
        <f t="shared" si="72"/>
        <v>-4442160.1424492002</v>
      </c>
      <c r="M68" s="3">
        <f t="shared" ca="1" si="73"/>
        <v>181473.55181681956</v>
      </c>
      <c r="N68" s="3">
        <f t="shared" ca="1" si="74"/>
        <v>19644699.029504735</v>
      </c>
      <c r="O68" s="3">
        <f t="shared" si="75"/>
        <v>0</v>
      </c>
      <c r="P68" s="3">
        <f t="shared" si="76"/>
        <v>40771613.817639098</v>
      </c>
      <c r="Q68" s="3">
        <f t="shared" si="77"/>
        <v>31047111.502515756</v>
      </c>
      <c r="R68" s="3">
        <f t="shared" si="78"/>
        <v>-3032882.7856020052</v>
      </c>
      <c r="S68" s="47">
        <f t="shared" ca="1" si="47"/>
        <v>84169854.97342521</v>
      </c>
      <c r="T68" s="47">
        <f>'Monthly Data'!Y68</f>
        <v>18180.621269230767</v>
      </c>
      <c r="U68" s="47">
        <f ca="1">+'Monthly Data'!Z68</f>
        <v>1047.5272115781568</v>
      </c>
      <c r="V68" s="47">
        <f t="shared" ca="1" si="48"/>
        <v>84189083.121906012</v>
      </c>
    </row>
    <row r="69" spans="1:22">
      <c r="A69" s="2">
        <f>'Monthly Data'!A69</f>
        <v>44409</v>
      </c>
      <c r="B69">
        <f>'Monthly Data'!B69</f>
        <v>2021</v>
      </c>
      <c r="C69">
        <f>'Monthly Data'!C69</f>
        <v>8</v>
      </c>
      <c r="D69" s="3">
        <f ca="1">'Monthly Data'!X69</f>
        <v>87006259.468788072</v>
      </c>
      <c r="E69" s="3">
        <f t="shared" ref="E69:F69" ca="1" si="81">E57</f>
        <v>21.054927536231883</v>
      </c>
      <c r="F69" s="3">
        <f t="shared" ca="1" si="81"/>
        <v>275.96017127799735</v>
      </c>
      <c r="G69">
        <f>'Monthly Data'!EG69</f>
        <v>0</v>
      </c>
      <c r="H69" s="3">
        <f>'Monthly Data'!DQ69</f>
        <v>31</v>
      </c>
      <c r="I69" s="3">
        <f>'Monthly Data'!DL69</f>
        <v>821006</v>
      </c>
      <c r="J69" s="489">
        <f>'Monthly Data'!EJ69</f>
        <v>0.5</v>
      </c>
      <c r="L69" s="3">
        <f t="shared" si="72"/>
        <v>-4442160.1424492002</v>
      </c>
      <c r="M69" s="3">
        <f t="shared" ca="1" si="73"/>
        <v>458446.42601224757</v>
      </c>
      <c r="N69" s="3">
        <f t="shared" ca="1" si="74"/>
        <v>17790312.45398964</v>
      </c>
      <c r="O69" s="3">
        <f t="shared" si="75"/>
        <v>0</v>
      </c>
      <c r="P69" s="3">
        <f t="shared" si="76"/>
        <v>40771613.817639098</v>
      </c>
      <c r="Q69" s="3">
        <f t="shared" si="77"/>
        <v>31047111.502515756</v>
      </c>
      <c r="R69" s="3">
        <f t="shared" si="78"/>
        <v>-3032882.7856020052</v>
      </c>
      <c r="S69" s="47">
        <f t="shared" ca="1" si="47"/>
        <v>82592441.272105545</v>
      </c>
      <c r="T69" s="47">
        <f>'Monthly Data'!Y69</f>
        <v>18695.443807692307</v>
      </c>
      <c r="U69" s="47">
        <f ca="1">+'Monthly Data'!Z69</f>
        <v>135.32258141787881</v>
      </c>
      <c r="V69" s="47">
        <f t="shared" ca="1" si="48"/>
        <v>82611272.038494661</v>
      </c>
    </row>
    <row r="70" spans="1:22">
      <c r="A70" s="2">
        <f>'Monthly Data'!A70</f>
        <v>44440</v>
      </c>
      <c r="B70">
        <f>'Monthly Data'!B70</f>
        <v>2021</v>
      </c>
      <c r="C70">
        <f>'Monthly Data'!C70</f>
        <v>9</v>
      </c>
      <c r="D70" s="3">
        <f ca="1">'Monthly Data'!X70</f>
        <v>77872385.724506244</v>
      </c>
      <c r="E70" s="3">
        <f t="shared" ref="E70:F70" ca="1" si="82">E58</f>
        <v>97.667119565217376</v>
      </c>
      <c r="F70" s="3">
        <f t="shared" ca="1" si="82"/>
        <v>154.9849637681159</v>
      </c>
      <c r="G70">
        <f>'Monthly Data'!EG70</f>
        <v>1</v>
      </c>
      <c r="H70" s="3">
        <f>'Monthly Data'!DQ70</f>
        <v>30</v>
      </c>
      <c r="I70" s="3">
        <f>'Monthly Data'!DL70</f>
        <v>821006</v>
      </c>
      <c r="J70" s="489">
        <f>'Monthly Data'!EJ70</f>
        <v>0.5</v>
      </c>
      <c r="L70" s="3">
        <f t="shared" si="72"/>
        <v>-4442160.1424492002</v>
      </c>
      <c r="M70" s="3">
        <f t="shared" ca="1" si="73"/>
        <v>2126587.3191220681</v>
      </c>
      <c r="N70" s="3">
        <f t="shared" ca="1" si="74"/>
        <v>9991408.9715774972</v>
      </c>
      <c r="O70" s="3">
        <f t="shared" si="75"/>
        <v>1833644.83418835</v>
      </c>
      <c r="P70" s="3">
        <f t="shared" si="76"/>
        <v>39456400.468682997</v>
      </c>
      <c r="Q70" s="3">
        <f t="shared" si="77"/>
        <v>31047111.502515756</v>
      </c>
      <c r="R70" s="3">
        <f t="shared" si="78"/>
        <v>-3032882.7856020052</v>
      </c>
      <c r="S70" s="47">
        <f t="shared" ca="1" si="47"/>
        <v>76980110.168035462</v>
      </c>
      <c r="T70" s="47">
        <f>'Monthly Data'!Y70</f>
        <v>19210.266346153847</v>
      </c>
      <c r="U70" s="47">
        <f ca="1">+'Monthly Data'!Z70</f>
        <v>8936.9967474952191</v>
      </c>
      <c r="V70" s="47">
        <f t="shared" ca="1" si="48"/>
        <v>77008257.431129113</v>
      </c>
    </row>
    <row r="71" spans="1:22">
      <c r="A71" s="2">
        <f>'Monthly Data'!A71</f>
        <v>44470</v>
      </c>
      <c r="B71">
        <f>'Monthly Data'!B71</f>
        <v>2021</v>
      </c>
      <c r="C71">
        <f>'Monthly Data'!C71</f>
        <v>10</v>
      </c>
      <c r="D71" s="3">
        <f ca="1">'Monthly Data'!X71</f>
        <v>77129413.993492678</v>
      </c>
      <c r="E71" s="3">
        <f t="shared" ref="E71:F71" ca="1" si="83">E59</f>
        <v>292.46431159420291</v>
      </c>
      <c r="F71" s="3">
        <f t="shared" ca="1" si="83"/>
        <v>38.347916666666663</v>
      </c>
      <c r="G71">
        <f>'Monthly Data'!EG71</f>
        <v>1</v>
      </c>
      <c r="H71" s="3">
        <f>'Monthly Data'!DQ71</f>
        <v>31</v>
      </c>
      <c r="I71" s="3">
        <f>'Monthly Data'!DL71</f>
        <v>840399</v>
      </c>
      <c r="J71" s="489">
        <f>'Monthly Data'!EJ71</f>
        <v>0.5</v>
      </c>
      <c r="L71" s="3">
        <f t="shared" si="72"/>
        <v>-4442160.1424492002</v>
      </c>
      <c r="M71" s="3">
        <f t="shared" ca="1" si="73"/>
        <v>6368068.3847411759</v>
      </c>
      <c r="N71" s="3">
        <f t="shared" ca="1" si="74"/>
        <v>2472173.4890224398</v>
      </c>
      <c r="O71" s="3">
        <f t="shared" si="75"/>
        <v>1833644.83418835</v>
      </c>
      <c r="P71" s="3">
        <f t="shared" si="76"/>
        <v>40771613.817639098</v>
      </c>
      <c r="Q71" s="3">
        <f t="shared" si="77"/>
        <v>31780475.976549182</v>
      </c>
      <c r="R71" s="3">
        <f t="shared" si="78"/>
        <v>-3032882.7856020052</v>
      </c>
      <c r="S71" s="47">
        <f t="shared" ca="1" si="47"/>
        <v>75750933.574089035</v>
      </c>
      <c r="T71" s="47">
        <f>'Monthly Data'!Y71</f>
        <v>19725.088884615383</v>
      </c>
      <c r="U71" s="47">
        <f ca="1">+'Monthly Data'!Z71</f>
        <v>30026.939541844273</v>
      </c>
      <c r="V71" s="47">
        <f t="shared" ca="1" si="48"/>
        <v>75800685.602515504</v>
      </c>
    </row>
    <row r="72" spans="1:22">
      <c r="A72" s="2">
        <f>'Monthly Data'!A72</f>
        <v>44501</v>
      </c>
      <c r="B72">
        <f>'Monthly Data'!B72</f>
        <v>2021</v>
      </c>
      <c r="C72">
        <f>'Monthly Data'!C72</f>
        <v>11</v>
      </c>
      <c r="D72" s="3">
        <f ca="1">'Monthly Data'!X72</f>
        <v>77631743.33171311</v>
      </c>
      <c r="E72" s="3">
        <f t="shared" ref="E72:F72" ca="1" si="84">E60</f>
        <v>495.51408055712409</v>
      </c>
      <c r="F72" s="3">
        <f t="shared" ca="1" si="84"/>
        <v>1.9241666666666659</v>
      </c>
      <c r="G72">
        <f>'Monthly Data'!EG72</f>
        <v>1</v>
      </c>
      <c r="H72" s="3">
        <f>'Monthly Data'!DQ72</f>
        <v>30</v>
      </c>
      <c r="I72" s="3">
        <f>'Monthly Data'!DL72</f>
        <v>840399</v>
      </c>
      <c r="J72" s="489">
        <f>'Monthly Data'!EJ72</f>
        <v>0.5</v>
      </c>
      <c r="L72" s="3">
        <f t="shared" si="72"/>
        <v>-4442160.1424492002</v>
      </c>
      <c r="M72" s="3">
        <f t="shared" ca="1" si="73"/>
        <v>10789239.66274612</v>
      </c>
      <c r="N72" s="3">
        <f t="shared" ca="1" si="74"/>
        <v>124045.16947145785</v>
      </c>
      <c r="O72" s="3">
        <f t="shared" si="75"/>
        <v>1833644.83418835</v>
      </c>
      <c r="P72" s="3">
        <f t="shared" si="76"/>
        <v>39456400.468682997</v>
      </c>
      <c r="Q72" s="3">
        <f t="shared" si="77"/>
        <v>31780475.976549182</v>
      </c>
      <c r="R72" s="3">
        <f t="shared" si="78"/>
        <v>-3032882.7856020052</v>
      </c>
      <c r="S72" s="47">
        <f t="shared" ca="1" si="47"/>
        <v>76508763.183586895</v>
      </c>
      <c r="T72" s="47">
        <f>'Monthly Data'!Y72</f>
        <v>20239.911423076923</v>
      </c>
      <c r="U72" s="47">
        <f ca="1">+'Monthly Data'!Z72</f>
        <v>87319.769100167498</v>
      </c>
      <c r="V72" s="47">
        <f t="shared" ca="1" si="48"/>
        <v>76616322.864110142</v>
      </c>
    </row>
    <row r="73" spans="1:22">
      <c r="A73" s="2">
        <f>'Monthly Data'!A73</f>
        <v>44531</v>
      </c>
      <c r="B73">
        <f>'Monthly Data'!B73</f>
        <v>2021</v>
      </c>
      <c r="C73">
        <f>'Monthly Data'!C73</f>
        <v>12</v>
      </c>
      <c r="D73" s="3">
        <f ca="1">'Monthly Data'!X73</f>
        <v>78548558.060906678</v>
      </c>
      <c r="E73" s="3">
        <f t="shared" ref="E73:F73" ca="1" si="85">E61</f>
        <v>664.38541666666663</v>
      </c>
      <c r="F73" s="3">
        <f t="shared" ca="1" si="85"/>
        <v>0</v>
      </c>
      <c r="G73">
        <f>'Monthly Data'!EG73</f>
        <v>0</v>
      </c>
      <c r="H73" s="3">
        <f>'Monthly Data'!DQ73</f>
        <v>31</v>
      </c>
      <c r="I73" s="3">
        <f>'Monthly Data'!DL73</f>
        <v>840399</v>
      </c>
      <c r="J73" s="489">
        <f>'Monthly Data'!EJ73</f>
        <v>0.5</v>
      </c>
      <c r="L73" s="3">
        <f t="shared" si="72"/>
        <v>-4442160.1424492002</v>
      </c>
      <c r="M73" s="3">
        <f t="shared" ca="1" si="73"/>
        <v>14466215.532746576</v>
      </c>
      <c r="N73" s="3">
        <f t="shared" ca="1" si="74"/>
        <v>0</v>
      </c>
      <c r="O73" s="3">
        <f t="shared" si="75"/>
        <v>0</v>
      </c>
      <c r="P73" s="3">
        <f t="shared" si="76"/>
        <v>40771613.817639098</v>
      </c>
      <c r="Q73" s="3">
        <f t="shared" si="77"/>
        <v>31780475.976549182</v>
      </c>
      <c r="R73" s="3">
        <f t="shared" si="78"/>
        <v>-3032882.7856020052</v>
      </c>
      <c r="S73" s="47">
        <f t="shared" ca="1" si="47"/>
        <v>79543262.398883656</v>
      </c>
      <c r="T73" s="47">
        <f>'Monthly Data'!Y73</f>
        <v>20754.733961538463</v>
      </c>
      <c r="U73" s="47">
        <f ca="1">+'Monthly Data'!Z73</f>
        <v>104288.87447813654</v>
      </c>
      <c r="V73" s="47">
        <f t="shared" ca="1" si="48"/>
        <v>79668306.007323325</v>
      </c>
    </row>
    <row r="74" spans="1:22">
      <c r="A74" s="2">
        <f>'Monthly Data'!A74</f>
        <v>44562</v>
      </c>
      <c r="B74">
        <f>'Monthly Data'!B74</f>
        <v>2022</v>
      </c>
      <c r="C74">
        <f>'Monthly Data'!C74</f>
        <v>1</v>
      </c>
      <c r="D74" s="3">
        <f ca="1">'Monthly Data'!X74</f>
        <v>84410403.007073358</v>
      </c>
      <c r="E74" s="3">
        <f t="shared" ref="E74:F74" ca="1" si="86">E62</f>
        <v>752.78750000000002</v>
      </c>
      <c r="F74" s="3">
        <f t="shared" ca="1" si="86"/>
        <v>0</v>
      </c>
      <c r="G74">
        <f>'Monthly Data'!EG74</f>
        <v>0</v>
      </c>
      <c r="H74" s="3">
        <f>'Monthly Data'!DQ74</f>
        <v>31</v>
      </c>
      <c r="I74" s="3">
        <f>'Monthly Data'!DL74</f>
        <v>847546</v>
      </c>
      <c r="J74" s="489">
        <f>'Monthly Data'!EJ74</f>
        <v>0.25</v>
      </c>
      <c r="L74" s="3">
        <f t="shared" si="72"/>
        <v>-4442160.1424492002</v>
      </c>
      <c r="M74" s="3">
        <f t="shared" ca="1" si="73"/>
        <v>16391067.522213772</v>
      </c>
      <c r="N74" s="3">
        <f t="shared" ca="1" si="74"/>
        <v>0</v>
      </c>
      <c r="O74" s="3">
        <f t="shared" si="75"/>
        <v>0</v>
      </c>
      <c r="P74" s="3">
        <f t="shared" si="76"/>
        <v>40771613.817639098</v>
      </c>
      <c r="Q74" s="3">
        <f t="shared" si="77"/>
        <v>32050746.481159966</v>
      </c>
      <c r="R74" s="3">
        <f t="shared" si="78"/>
        <v>-1516441.3928010026</v>
      </c>
      <c r="S74" s="47">
        <f t="shared" ca="1" si="47"/>
        <v>83254826.285762638</v>
      </c>
      <c r="T74" s="47">
        <f>'Monthly Data'!Y74</f>
        <v>22492.035487179484</v>
      </c>
      <c r="U74" s="47">
        <f ca="1">+'Monthly Data'!Z74</f>
        <v>233969.0374559745</v>
      </c>
      <c r="V74" s="47">
        <f t="shared" ca="1" si="48"/>
        <v>83511287.358705789</v>
      </c>
    </row>
    <row r="75" spans="1:22">
      <c r="A75" s="2">
        <f>'Monthly Data'!A75</f>
        <v>44593</v>
      </c>
      <c r="B75">
        <f>'Monthly Data'!B75</f>
        <v>2022</v>
      </c>
      <c r="C75">
        <f>'Monthly Data'!C75</f>
        <v>2</v>
      </c>
      <c r="D75" s="3">
        <f ca="1">'Monthly Data'!X75</f>
        <v>78540704.11962159</v>
      </c>
      <c r="E75" s="3">
        <f t="shared" ref="E75:F75" ca="1" si="87">E63</f>
        <v>660.7954166666666</v>
      </c>
      <c r="F75" s="3">
        <f t="shared" ca="1" si="87"/>
        <v>0</v>
      </c>
      <c r="G75">
        <f>'Monthly Data'!EG75</f>
        <v>0</v>
      </c>
      <c r="H75" s="3">
        <f>'Monthly Data'!DQ75</f>
        <v>28</v>
      </c>
      <c r="I75" s="3">
        <f>'Monthly Data'!DL75</f>
        <v>847546</v>
      </c>
      <c r="J75" s="489">
        <f>'Monthly Data'!EJ75</f>
        <v>0.25</v>
      </c>
      <c r="L75" s="3">
        <f t="shared" si="72"/>
        <v>-4442160.1424492002</v>
      </c>
      <c r="M75" s="3">
        <f t="shared" ca="1" si="73"/>
        <v>14388047.48079998</v>
      </c>
      <c r="N75" s="3">
        <f t="shared" ca="1" si="74"/>
        <v>0</v>
      </c>
      <c r="O75" s="3">
        <f t="shared" si="75"/>
        <v>0</v>
      </c>
      <c r="P75" s="3">
        <f t="shared" si="76"/>
        <v>36825973.770770796</v>
      </c>
      <c r="Q75" s="3">
        <f t="shared" si="77"/>
        <v>32050746.481159966</v>
      </c>
      <c r="R75" s="3">
        <f t="shared" si="78"/>
        <v>-1516441.3928010026</v>
      </c>
      <c r="S75" s="47">
        <f t="shared" ca="1" si="47"/>
        <v>77306166.197480544</v>
      </c>
      <c r="T75" s="47">
        <f>'Monthly Data'!Y75</f>
        <v>23714.514474358974</v>
      </c>
      <c r="U75" s="47">
        <f ca="1">+'Monthly Data'!Z75</f>
        <v>180502.34486982995</v>
      </c>
      <c r="V75" s="47">
        <f t="shared" ca="1" si="48"/>
        <v>77510383.056824744</v>
      </c>
    </row>
    <row r="76" spans="1:22">
      <c r="A76" s="2">
        <f>'Monthly Data'!A76</f>
        <v>44621</v>
      </c>
      <c r="B76">
        <f>'Monthly Data'!B76</f>
        <v>2022</v>
      </c>
      <c r="C76">
        <f>'Monthly Data'!C76</f>
        <v>3</v>
      </c>
      <c r="D76" s="3">
        <f ca="1">'Monthly Data'!X76</f>
        <v>83810904.995681524</v>
      </c>
      <c r="E76" s="3">
        <f t="shared" ref="E76:F76" ca="1" si="88">E64</f>
        <v>596.21590579710141</v>
      </c>
      <c r="F76" s="3">
        <f t="shared" ca="1" si="88"/>
        <v>2.9583333333332896E-2</v>
      </c>
      <c r="G76">
        <f>'Monthly Data'!EG76</f>
        <v>1</v>
      </c>
      <c r="H76" s="3">
        <f>'Monthly Data'!DQ76</f>
        <v>31</v>
      </c>
      <c r="I76" s="3">
        <f>'Monthly Data'!DL76</f>
        <v>847546</v>
      </c>
      <c r="J76" s="489">
        <f>'Monthly Data'!EJ76</f>
        <v>0.25</v>
      </c>
      <c r="L76" s="3">
        <f t="shared" si="72"/>
        <v>-4442160.1424492002</v>
      </c>
      <c r="M76" s="3">
        <f t="shared" ca="1" si="73"/>
        <v>12981904.149229543</v>
      </c>
      <c r="N76" s="3">
        <f t="shared" ca="1" si="74"/>
        <v>1907.1474734676008</v>
      </c>
      <c r="O76" s="3">
        <f t="shared" si="75"/>
        <v>1833644.83418835</v>
      </c>
      <c r="P76" s="3">
        <f t="shared" si="76"/>
        <v>40771613.817639098</v>
      </c>
      <c r="Q76" s="3">
        <f t="shared" si="77"/>
        <v>32050746.481159966</v>
      </c>
      <c r="R76" s="3">
        <f t="shared" si="78"/>
        <v>-1516441.3928010026</v>
      </c>
      <c r="S76" s="47">
        <f t="shared" ca="1" si="47"/>
        <v>81681214.894440219</v>
      </c>
      <c r="T76" s="47">
        <f>'Monthly Data'!Y76</f>
        <v>24936.993461538459</v>
      </c>
      <c r="U76" s="47">
        <f ca="1">+'Monthly Data'!Z76</f>
        <v>154390.18248585146</v>
      </c>
      <c r="V76" s="47">
        <f t="shared" ca="1" si="48"/>
        <v>81860542.070387602</v>
      </c>
    </row>
    <row r="77" spans="1:22">
      <c r="A77" s="2">
        <f>'Monthly Data'!A77</f>
        <v>44652</v>
      </c>
      <c r="B77">
        <f>'Monthly Data'!B77</f>
        <v>2022</v>
      </c>
      <c r="C77">
        <f>'Monthly Data'!C77</f>
        <v>4</v>
      </c>
      <c r="D77" s="3">
        <f ca="1">'Monthly Data'!X77</f>
        <v>76170064.968385071</v>
      </c>
      <c r="E77" s="3">
        <f t="shared" ref="E77:F77" ca="1" si="89">E65</f>
        <v>412.8885416666667</v>
      </c>
      <c r="F77" s="3">
        <f t="shared" ca="1" si="89"/>
        <v>6.0095833333333344</v>
      </c>
      <c r="G77">
        <f>'Monthly Data'!EG77</f>
        <v>1</v>
      </c>
      <c r="H77" s="3">
        <f>'Monthly Data'!DQ77</f>
        <v>30</v>
      </c>
      <c r="I77" s="3">
        <f>'Monthly Data'!DL77</f>
        <v>854755</v>
      </c>
      <c r="J77" s="489">
        <f>'Monthly Data'!EJ77</f>
        <v>0.25</v>
      </c>
      <c r="L77" s="3">
        <f t="shared" si="72"/>
        <v>-4442160.1424492002</v>
      </c>
      <c r="M77" s="3">
        <f t="shared" ca="1" si="73"/>
        <v>8990165.1735804696</v>
      </c>
      <c r="N77" s="3">
        <f t="shared" ca="1" si="74"/>
        <v>387419.54943413549</v>
      </c>
      <c r="O77" s="3">
        <f t="shared" si="75"/>
        <v>1833644.83418835</v>
      </c>
      <c r="P77" s="3">
        <f t="shared" si="76"/>
        <v>39456400.468682997</v>
      </c>
      <c r="Q77" s="3">
        <f t="shared" si="77"/>
        <v>32323361.573889662</v>
      </c>
      <c r="R77" s="3">
        <f t="shared" si="78"/>
        <v>-1516441.3928010026</v>
      </c>
      <c r="S77" s="47">
        <f t="shared" ca="1" si="47"/>
        <v>77032390.064525411</v>
      </c>
      <c r="T77" s="47">
        <f>'Monthly Data'!Y77</f>
        <v>26159.472448717948</v>
      </c>
      <c r="U77" s="47">
        <f ca="1">+'Monthly Data'!Z77</f>
        <v>100428.6684968356</v>
      </c>
      <c r="V77" s="47">
        <f t="shared" ca="1" si="48"/>
        <v>77158978.205470964</v>
      </c>
    </row>
    <row r="78" spans="1:22">
      <c r="A78" s="2">
        <f>'Monthly Data'!A78</f>
        <v>44682</v>
      </c>
      <c r="B78">
        <f>'Monthly Data'!B78</f>
        <v>2022</v>
      </c>
      <c r="C78">
        <f>'Monthly Data'!C78</f>
        <v>5</v>
      </c>
      <c r="D78" s="3">
        <f ca="1">'Monthly Data'!X78</f>
        <v>78484427.001846433</v>
      </c>
      <c r="E78" s="3">
        <f t="shared" ref="E78:F78" ca="1" si="90">E66</f>
        <v>208.90012508544086</v>
      </c>
      <c r="F78" s="3">
        <f t="shared" ca="1" si="90"/>
        <v>81.50872474747473</v>
      </c>
      <c r="G78">
        <f>'Monthly Data'!EG78</f>
        <v>1</v>
      </c>
      <c r="H78" s="3">
        <f>'Monthly Data'!DQ78</f>
        <v>31</v>
      </c>
      <c r="I78" s="3">
        <f>'Monthly Data'!DL78</f>
        <v>854755</v>
      </c>
      <c r="J78" s="489">
        <f>'Monthly Data'!EJ78</f>
        <v>0.25</v>
      </c>
      <c r="L78" s="3">
        <f t="shared" si="72"/>
        <v>-4442160.1424492002</v>
      </c>
      <c r="M78" s="3">
        <f t="shared" ca="1" si="73"/>
        <v>4548555.9413172565</v>
      </c>
      <c r="N78" s="3">
        <f t="shared" ca="1" si="74"/>
        <v>5254619.4411621923</v>
      </c>
      <c r="O78" s="3">
        <f t="shared" si="75"/>
        <v>1833644.83418835</v>
      </c>
      <c r="P78" s="3">
        <f t="shared" si="76"/>
        <v>40771613.817639098</v>
      </c>
      <c r="Q78" s="3">
        <f t="shared" si="77"/>
        <v>32323361.573889662</v>
      </c>
      <c r="R78" s="3">
        <f t="shared" si="78"/>
        <v>-1516441.3928010026</v>
      </c>
      <c r="S78" s="47">
        <f t="shared" ca="1" si="47"/>
        <v>78773194.072946355</v>
      </c>
      <c r="T78" s="47">
        <f>'Monthly Data'!Y78</f>
        <v>27381.951435897434</v>
      </c>
      <c r="U78" s="47">
        <f ca="1">+'Monthly Data'!Z78</f>
        <v>31037.938210651846</v>
      </c>
      <c r="V78" s="47">
        <f t="shared" ca="1" si="48"/>
        <v>78831613.9625929</v>
      </c>
    </row>
    <row r="79" spans="1:22">
      <c r="A79" s="2">
        <f>'Monthly Data'!A79</f>
        <v>44713</v>
      </c>
      <c r="B79">
        <f>'Monthly Data'!B79</f>
        <v>2022</v>
      </c>
      <c r="C79">
        <f>'Monthly Data'!C79</f>
        <v>6</v>
      </c>
      <c r="D79" s="3">
        <f ca="1">'Monthly Data'!X79</f>
        <v>80194101.569186047</v>
      </c>
      <c r="E79" s="3">
        <f t="shared" ref="E79:F79" ca="1" si="91">E67</f>
        <v>61.78217382617381</v>
      </c>
      <c r="F79" s="3">
        <f t="shared" ca="1" si="91"/>
        <v>202.3599342107168</v>
      </c>
      <c r="G79">
        <f>'Monthly Data'!EG79</f>
        <v>0</v>
      </c>
      <c r="H79" s="3">
        <f>'Monthly Data'!DQ79</f>
        <v>30</v>
      </c>
      <c r="I79" s="3">
        <f>'Monthly Data'!DL79</f>
        <v>854755</v>
      </c>
      <c r="J79" s="489">
        <f>'Monthly Data'!EJ79</f>
        <v>0.25</v>
      </c>
      <c r="L79" s="3">
        <f t="shared" si="72"/>
        <v>-4442160.1424492002</v>
      </c>
      <c r="M79" s="3">
        <f t="shared" ca="1" si="73"/>
        <v>1345234.5885843791</v>
      </c>
      <c r="N79" s="3">
        <f t="shared" ca="1" si="74"/>
        <v>13045529.146852197</v>
      </c>
      <c r="O79" s="3">
        <f t="shared" si="75"/>
        <v>0</v>
      </c>
      <c r="P79" s="3">
        <f t="shared" si="76"/>
        <v>39456400.468682997</v>
      </c>
      <c r="Q79" s="3">
        <f t="shared" si="77"/>
        <v>32323361.573889662</v>
      </c>
      <c r="R79" s="3">
        <f t="shared" si="78"/>
        <v>-1516441.3928010026</v>
      </c>
      <c r="S79" s="47">
        <f t="shared" ca="1" si="47"/>
        <v>80211924.242759034</v>
      </c>
      <c r="T79" s="47">
        <f>'Monthly Data'!Y79</f>
        <v>28604.430423076919</v>
      </c>
      <c r="U79" s="47">
        <f ca="1">+'Monthly Data'!Z79</f>
        <v>10250.67133434397</v>
      </c>
      <c r="V79" s="47">
        <f t="shared" ca="1" si="48"/>
        <v>80250779.344516456</v>
      </c>
    </row>
    <row r="80" spans="1:22">
      <c r="A80" s="2">
        <f>'Monthly Data'!A80</f>
        <v>44743</v>
      </c>
      <c r="B80">
        <f>'Monthly Data'!B80</f>
        <v>2022</v>
      </c>
      <c r="C80">
        <f>'Monthly Data'!C80</f>
        <v>7</v>
      </c>
      <c r="D80" s="3">
        <f ca="1">'Monthly Data'!X80</f>
        <v>84474104.361136764</v>
      </c>
      <c r="E80" s="3">
        <f t="shared" ref="E80:F80" ca="1" si="92">E68</f>
        <v>8.334479813664597</v>
      </c>
      <c r="F80" s="3">
        <f t="shared" ca="1" si="92"/>
        <v>304.72508692061177</v>
      </c>
      <c r="G80">
        <f>'Monthly Data'!EG80</f>
        <v>0</v>
      </c>
      <c r="H80" s="3">
        <f>'Monthly Data'!DQ80</f>
        <v>31</v>
      </c>
      <c r="I80" s="3">
        <f>'Monthly Data'!DL80</f>
        <v>856819</v>
      </c>
      <c r="J80" s="489">
        <f>'Monthly Data'!EJ80</f>
        <v>0.25</v>
      </c>
      <c r="L80" s="3">
        <f t="shared" si="72"/>
        <v>-4442160.1424492002</v>
      </c>
      <c r="M80" s="3">
        <f t="shared" ca="1" si="73"/>
        <v>181473.55181681956</v>
      </c>
      <c r="N80" s="3">
        <f t="shared" ca="1" si="74"/>
        <v>19644699.029504735</v>
      </c>
      <c r="O80" s="3">
        <f t="shared" si="75"/>
        <v>0</v>
      </c>
      <c r="P80" s="3">
        <f t="shared" si="76"/>
        <v>40771613.817639098</v>
      </c>
      <c r="Q80" s="3">
        <f t="shared" si="77"/>
        <v>32401413.668687008</v>
      </c>
      <c r="R80" s="3">
        <f t="shared" si="78"/>
        <v>-1516441.3928010026</v>
      </c>
      <c r="S80" s="47">
        <f t="shared" ca="1" si="47"/>
        <v>87040598.532397464</v>
      </c>
      <c r="T80" s="47">
        <f>'Monthly Data'!Y80</f>
        <v>29826.909410256409</v>
      </c>
      <c r="U80" s="47">
        <f ca="1">+'Monthly Data'!Z80</f>
        <v>175.96274230983667</v>
      </c>
      <c r="V80" s="47">
        <f t="shared" ca="1" si="48"/>
        <v>87070601.404550031</v>
      </c>
    </row>
    <row r="81" spans="1:22">
      <c r="A81" s="2">
        <f>'Monthly Data'!A81</f>
        <v>44774</v>
      </c>
      <c r="B81">
        <f>'Monthly Data'!B81</f>
        <v>2022</v>
      </c>
      <c r="C81">
        <f>'Monthly Data'!C81</f>
        <v>8</v>
      </c>
      <c r="D81" s="3">
        <f ca="1">'Monthly Data'!X81</f>
        <v>86642255.905647829</v>
      </c>
      <c r="E81" s="3">
        <f t="shared" ref="E81:F81" ca="1" si="93">E69</f>
        <v>21.054927536231883</v>
      </c>
      <c r="F81" s="3">
        <f t="shared" ca="1" si="93"/>
        <v>275.96017127799735</v>
      </c>
      <c r="G81">
        <f>'Monthly Data'!EG81</f>
        <v>0</v>
      </c>
      <c r="H81" s="3">
        <f>'Monthly Data'!DQ81</f>
        <v>31</v>
      </c>
      <c r="I81" s="3">
        <f>'Monthly Data'!DL81</f>
        <v>856819</v>
      </c>
      <c r="J81" s="489">
        <f>'Monthly Data'!EJ81</f>
        <v>0.25</v>
      </c>
      <c r="L81" s="3">
        <f t="shared" si="72"/>
        <v>-4442160.1424492002</v>
      </c>
      <c r="M81" s="3">
        <f t="shared" ca="1" si="73"/>
        <v>458446.42601224757</v>
      </c>
      <c r="N81" s="3">
        <f t="shared" ca="1" si="74"/>
        <v>17790312.45398964</v>
      </c>
      <c r="O81" s="3">
        <f t="shared" si="75"/>
        <v>0</v>
      </c>
      <c r="P81" s="3">
        <f t="shared" si="76"/>
        <v>40771613.817639098</v>
      </c>
      <c r="Q81" s="3">
        <f t="shared" si="77"/>
        <v>32401413.668687008</v>
      </c>
      <c r="R81" s="3">
        <f t="shared" si="78"/>
        <v>-1516441.3928010026</v>
      </c>
      <c r="S81" s="47">
        <f t="shared" ca="1" si="47"/>
        <v>85463184.831077799</v>
      </c>
      <c r="T81" s="47">
        <f>'Monthly Data'!Y81</f>
        <v>31049.388397435898</v>
      </c>
      <c r="U81" s="47">
        <f ca="1">+'Monthly Data'!Z81</f>
        <v>216.11531438053836</v>
      </c>
      <c r="V81" s="47">
        <f t="shared" ca="1" si="48"/>
        <v>85494450.334789619</v>
      </c>
    </row>
    <row r="82" spans="1:22">
      <c r="A82" s="2">
        <f>'Monthly Data'!A82</f>
        <v>44805</v>
      </c>
      <c r="B82">
        <f>'Monthly Data'!B82</f>
        <v>2022</v>
      </c>
      <c r="C82">
        <f>'Monthly Data'!C82</f>
        <v>9</v>
      </c>
      <c r="D82" s="3">
        <f ca="1">'Monthly Data'!X82</f>
        <v>78357995.308189183</v>
      </c>
      <c r="E82" s="3">
        <f t="shared" ref="E82:F82" ca="1" si="94">E70</f>
        <v>97.667119565217376</v>
      </c>
      <c r="F82" s="3">
        <f t="shared" ca="1" si="94"/>
        <v>154.9849637681159</v>
      </c>
      <c r="G82">
        <f>'Monthly Data'!EG82</f>
        <v>1</v>
      </c>
      <c r="H82" s="3">
        <f>'Monthly Data'!DQ82</f>
        <v>30</v>
      </c>
      <c r="I82" s="3">
        <f>'Monthly Data'!DL82</f>
        <v>856819</v>
      </c>
      <c r="J82" s="489">
        <f>'Monthly Data'!EJ82</f>
        <v>0.25</v>
      </c>
      <c r="L82" s="3">
        <f t="shared" si="72"/>
        <v>-4442160.1424492002</v>
      </c>
      <c r="M82" s="3">
        <f t="shared" ca="1" si="73"/>
        <v>2126587.3191220681</v>
      </c>
      <c r="N82" s="3">
        <f t="shared" ca="1" si="74"/>
        <v>9991408.9715774972</v>
      </c>
      <c r="O82" s="3">
        <f t="shared" si="75"/>
        <v>1833644.83418835</v>
      </c>
      <c r="P82" s="3">
        <f t="shared" si="76"/>
        <v>39456400.468682997</v>
      </c>
      <c r="Q82" s="3">
        <f t="shared" si="77"/>
        <v>32401413.668687008</v>
      </c>
      <c r="R82" s="3">
        <f t="shared" si="78"/>
        <v>-1516441.3928010026</v>
      </c>
      <c r="S82" s="47">
        <f t="shared" ca="1" si="47"/>
        <v>79850853.727007717</v>
      </c>
      <c r="T82" s="47">
        <f>'Monthly Data'!Y82</f>
        <v>32271.867384615383</v>
      </c>
      <c r="U82" s="47">
        <f ca="1">+'Monthly Data'!Z82</f>
        <v>20240.439197639524</v>
      </c>
      <c r="V82" s="47">
        <f t="shared" ca="1" si="48"/>
        <v>79903366.033589974</v>
      </c>
    </row>
    <row r="83" spans="1:22">
      <c r="A83" s="2">
        <f>'Monthly Data'!A83</f>
        <v>44835</v>
      </c>
      <c r="B83">
        <f>'Monthly Data'!B83</f>
        <v>2022</v>
      </c>
      <c r="C83">
        <f>'Monthly Data'!C83</f>
        <v>10</v>
      </c>
      <c r="D83" s="3">
        <f ca="1">'Monthly Data'!X83</f>
        <v>76808375.694675222</v>
      </c>
      <c r="E83" s="3">
        <f t="shared" ref="E83:F83" ca="1" si="95">E71</f>
        <v>292.46431159420291</v>
      </c>
      <c r="F83" s="3">
        <f t="shared" ca="1" si="95"/>
        <v>38.347916666666663</v>
      </c>
      <c r="G83">
        <f>'Monthly Data'!EG83</f>
        <v>1</v>
      </c>
      <c r="H83" s="3">
        <f>'Monthly Data'!DQ83</f>
        <v>31</v>
      </c>
      <c r="I83" s="3">
        <f>'Monthly Data'!DL83</f>
        <v>856887</v>
      </c>
      <c r="J83" s="489">
        <f>'Monthly Data'!EJ83</f>
        <v>0.25</v>
      </c>
      <c r="L83" s="3">
        <f t="shared" si="72"/>
        <v>-4442160.1424492002</v>
      </c>
      <c r="M83" s="3">
        <f t="shared" ca="1" si="73"/>
        <v>6368068.3847411759</v>
      </c>
      <c r="N83" s="3">
        <f t="shared" ca="1" si="74"/>
        <v>2472173.4890224398</v>
      </c>
      <c r="O83" s="3">
        <f t="shared" si="75"/>
        <v>1833644.83418835</v>
      </c>
      <c r="P83" s="3">
        <f t="shared" si="76"/>
        <v>40771613.817639098</v>
      </c>
      <c r="Q83" s="3">
        <f t="shared" si="77"/>
        <v>32403985.152430333</v>
      </c>
      <c r="R83" s="3">
        <f t="shared" si="78"/>
        <v>-1516441.3928010026</v>
      </c>
      <c r="S83" s="47">
        <f t="shared" ca="1" si="47"/>
        <v>77890884.142771199</v>
      </c>
      <c r="T83" s="47">
        <f>'Monthly Data'!Y83</f>
        <v>33494.346371794876</v>
      </c>
      <c r="U83" s="47">
        <f ca="1">+'Monthly Data'!Z83</f>
        <v>76201.725852176605</v>
      </c>
      <c r="V83" s="47">
        <f t="shared" ca="1" si="48"/>
        <v>78000580.214995176</v>
      </c>
    </row>
    <row r="84" spans="1:22">
      <c r="A84" s="2">
        <f>'Monthly Data'!A84</f>
        <v>44866</v>
      </c>
      <c r="B84">
        <f>'Monthly Data'!B84</f>
        <v>2022</v>
      </c>
      <c r="C84">
        <f>'Monthly Data'!C84</f>
        <v>11</v>
      </c>
      <c r="D84" s="3">
        <f ca="1">'Monthly Data'!X84</f>
        <v>79007935.605978161</v>
      </c>
      <c r="E84" s="3">
        <f t="shared" ref="E84:F84" ca="1" si="96">E72</f>
        <v>495.51408055712409</v>
      </c>
      <c r="F84" s="3">
        <f t="shared" ca="1" si="96"/>
        <v>1.9241666666666659</v>
      </c>
      <c r="G84">
        <f>'Monthly Data'!EG84</f>
        <v>1</v>
      </c>
      <c r="H84" s="3">
        <f>'Monthly Data'!DQ84</f>
        <v>30</v>
      </c>
      <c r="I84" s="3">
        <f>'Monthly Data'!DL84</f>
        <v>856887</v>
      </c>
      <c r="J84" s="489">
        <f>'Monthly Data'!EJ84</f>
        <v>0.25</v>
      </c>
      <c r="L84" s="3">
        <f t="shared" si="72"/>
        <v>-4442160.1424492002</v>
      </c>
      <c r="M84" s="3">
        <f t="shared" ca="1" si="73"/>
        <v>10789239.66274612</v>
      </c>
      <c r="N84" s="3">
        <f t="shared" ca="1" si="74"/>
        <v>124045.16947145785</v>
      </c>
      <c r="O84" s="3">
        <f t="shared" si="75"/>
        <v>1833644.83418835</v>
      </c>
      <c r="P84" s="3">
        <f t="shared" si="76"/>
        <v>39456400.468682997</v>
      </c>
      <c r="Q84" s="3">
        <f t="shared" si="77"/>
        <v>32403985.152430333</v>
      </c>
      <c r="R84" s="3">
        <f t="shared" si="78"/>
        <v>-1516441.3928010026</v>
      </c>
      <c r="S84" s="47">
        <f t="shared" ca="1" si="47"/>
        <v>78648713.752269045</v>
      </c>
      <c r="T84" s="47">
        <f>'Monthly Data'!Y84</f>
        <v>34716.825358974362</v>
      </c>
      <c r="U84" s="47">
        <f ca="1">+'Monthly Data'!Z84</f>
        <v>116725.88892553192</v>
      </c>
      <c r="V84" s="47">
        <f t="shared" ca="1" si="48"/>
        <v>78800156.466553554</v>
      </c>
    </row>
    <row r="85" spans="1:22">
      <c r="A85" s="2">
        <f>'Monthly Data'!A85</f>
        <v>44896</v>
      </c>
      <c r="B85">
        <f>'Monthly Data'!B85</f>
        <v>2022</v>
      </c>
      <c r="C85">
        <f>'Monthly Data'!C85</f>
        <v>12</v>
      </c>
      <c r="D85" s="3">
        <f ca="1">'Monthly Data'!X85</f>
        <v>80150512.416838348</v>
      </c>
      <c r="E85" s="3">
        <f t="shared" ref="E85:F85" ca="1" si="97">E73</f>
        <v>664.38541666666663</v>
      </c>
      <c r="F85" s="3">
        <f t="shared" ca="1" si="97"/>
        <v>0</v>
      </c>
      <c r="G85">
        <f>'Monthly Data'!EG85</f>
        <v>0</v>
      </c>
      <c r="H85" s="3">
        <f>'Monthly Data'!DQ85</f>
        <v>31</v>
      </c>
      <c r="I85" s="3">
        <f>'Monthly Data'!DL85</f>
        <v>856887</v>
      </c>
      <c r="J85" s="489">
        <f>'Monthly Data'!EJ85</f>
        <v>0.25</v>
      </c>
      <c r="L85" s="3">
        <f t="shared" si="72"/>
        <v>-4442160.1424492002</v>
      </c>
      <c r="M85" s="3">
        <f t="shared" ca="1" si="73"/>
        <v>14466215.532746576</v>
      </c>
      <c r="N85" s="3">
        <f t="shared" ca="1" si="74"/>
        <v>0</v>
      </c>
      <c r="O85" s="3">
        <f t="shared" si="75"/>
        <v>0</v>
      </c>
      <c r="P85" s="3">
        <f t="shared" si="76"/>
        <v>40771613.817639098</v>
      </c>
      <c r="Q85" s="3">
        <f t="shared" si="77"/>
        <v>32403985.152430333</v>
      </c>
      <c r="R85" s="3">
        <f t="shared" si="78"/>
        <v>-1516441.3928010026</v>
      </c>
      <c r="S85" s="47">
        <f t="shared" ca="1" si="47"/>
        <v>81683212.967565805</v>
      </c>
      <c r="T85" s="47">
        <f>'Monthly Data'!Y85</f>
        <v>35939.304346153847</v>
      </c>
      <c r="U85" s="47">
        <f ca="1">+'Monthly Data'!Z85</f>
        <v>165840.75127401372</v>
      </c>
      <c r="V85" s="47">
        <f t="shared" ca="1" si="48"/>
        <v>81884993.023185983</v>
      </c>
    </row>
    <row r="86" spans="1:22">
      <c r="A86" s="2">
        <f>'Monthly Data'!A86</f>
        <v>44927</v>
      </c>
      <c r="B86">
        <f>'Monthly Data'!B86</f>
        <v>2023</v>
      </c>
      <c r="C86">
        <f>'Monthly Data'!C86</f>
        <v>1</v>
      </c>
      <c r="D86" s="3">
        <f ca="1">'Monthly Data'!X86</f>
        <v>84011788.343112782</v>
      </c>
      <c r="E86" s="3">
        <f t="shared" ref="E86:F86" ca="1" si="98">E74</f>
        <v>752.78750000000002</v>
      </c>
      <c r="F86" s="3">
        <f t="shared" ca="1" si="98"/>
        <v>0</v>
      </c>
      <c r="G86">
        <f>'Monthly Data'!EG86</f>
        <v>0</v>
      </c>
      <c r="H86" s="3">
        <f>'Monthly Data'!DQ86</f>
        <v>31</v>
      </c>
      <c r="I86" s="3">
        <f>'Monthly Data'!DL86</f>
        <v>867096</v>
      </c>
      <c r="J86" s="489">
        <f>'Monthly Data'!EJ86</f>
        <v>0</v>
      </c>
      <c r="L86" s="3">
        <f t="shared" si="72"/>
        <v>-4442160.1424492002</v>
      </c>
      <c r="M86" s="3">
        <f t="shared" ca="1" si="73"/>
        <v>16391067.522213772</v>
      </c>
      <c r="N86" s="3">
        <f t="shared" ca="1" si="74"/>
        <v>0</v>
      </c>
      <c r="O86" s="3">
        <f t="shared" si="75"/>
        <v>0</v>
      </c>
      <c r="P86" s="3">
        <f t="shared" si="76"/>
        <v>40771613.817639098</v>
      </c>
      <c r="Q86" s="3">
        <f t="shared" si="77"/>
        <v>32790048.057365477</v>
      </c>
      <c r="R86" s="3">
        <f t="shared" si="78"/>
        <v>0</v>
      </c>
      <c r="S86" s="47">
        <f t="shared" ca="1" si="47"/>
        <v>85510569.254769146</v>
      </c>
      <c r="T86" s="47">
        <f>'Monthly Data'!Y86</f>
        <v>38805.539730769233</v>
      </c>
      <c r="U86" s="47">
        <f ca="1">+'Monthly Data'!Z86</f>
        <v>229120.25339652124</v>
      </c>
      <c r="V86" s="47">
        <f t="shared" ca="1" si="48"/>
        <v>85778495.047896445</v>
      </c>
    </row>
    <row r="87" spans="1:22">
      <c r="A87" s="2">
        <f>'Monthly Data'!A87</f>
        <v>44958</v>
      </c>
      <c r="B87">
        <f>'Monthly Data'!B87</f>
        <v>2023</v>
      </c>
      <c r="C87">
        <f>'Monthly Data'!C87</f>
        <v>2</v>
      </c>
      <c r="D87" s="3">
        <f ca="1">'Monthly Data'!X87</f>
        <v>77651266.034184828</v>
      </c>
      <c r="E87" s="3">
        <f t="shared" ref="E87:F87" ca="1" si="99">E75</f>
        <v>660.7954166666666</v>
      </c>
      <c r="F87" s="3">
        <f t="shared" ca="1" si="99"/>
        <v>0</v>
      </c>
      <c r="G87">
        <f>'Monthly Data'!EG87</f>
        <v>0</v>
      </c>
      <c r="H87" s="3">
        <f>'Monthly Data'!DQ87</f>
        <v>28</v>
      </c>
      <c r="I87" s="3">
        <f>'Monthly Data'!DL87</f>
        <v>867096</v>
      </c>
      <c r="J87" s="489">
        <f>'Monthly Data'!EJ87</f>
        <v>0</v>
      </c>
      <c r="L87" s="3">
        <f t="shared" si="72"/>
        <v>-4442160.1424492002</v>
      </c>
      <c r="M87" s="3">
        <f t="shared" ca="1" si="73"/>
        <v>14388047.48079998</v>
      </c>
      <c r="N87" s="3">
        <f t="shared" ca="1" si="74"/>
        <v>0</v>
      </c>
      <c r="O87" s="3">
        <f t="shared" si="75"/>
        <v>0</v>
      </c>
      <c r="P87" s="3">
        <f t="shared" si="76"/>
        <v>36825973.770770796</v>
      </c>
      <c r="Q87" s="3">
        <f t="shared" si="77"/>
        <v>32790048.057365477</v>
      </c>
      <c r="R87" s="3">
        <f t="shared" si="78"/>
        <v>0</v>
      </c>
      <c r="S87" s="47">
        <f t="shared" ca="1" si="47"/>
        <v>79561909.166487053</v>
      </c>
      <c r="T87" s="47">
        <f>'Monthly Data'!Y87</f>
        <v>40449.296128205126</v>
      </c>
      <c r="U87" s="47">
        <f ca="1">+'Monthly Data'!Z87</f>
        <v>217499.64307057552</v>
      </c>
      <c r="V87" s="47">
        <f t="shared" ca="1" si="48"/>
        <v>79819858.10568583</v>
      </c>
    </row>
    <row r="88" spans="1:22">
      <c r="A88" s="2">
        <f>'Monthly Data'!A88</f>
        <v>44986</v>
      </c>
      <c r="B88">
        <f>'Monthly Data'!B88</f>
        <v>2023</v>
      </c>
      <c r="C88">
        <f>'Monthly Data'!C88</f>
        <v>3</v>
      </c>
      <c r="D88" s="3">
        <f ca="1">'Monthly Data'!X88</f>
        <v>83405918.021428466</v>
      </c>
      <c r="E88" s="3">
        <f t="shared" ref="E88:F88" ca="1" si="100">E76</f>
        <v>596.21590579710141</v>
      </c>
      <c r="F88" s="3">
        <f t="shared" ca="1" si="100"/>
        <v>2.9583333333332896E-2</v>
      </c>
      <c r="G88">
        <f>'Monthly Data'!EG88</f>
        <v>1</v>
      </c>
      <c r="H88" s="3">
        <f>'Monthly Data'!DQ88</f>
        <v>31</v>
      </c>
      <c r="I88" s="3">
        <f>'Monthly Data'!DL88</f>
        <v>867096</v>
      </c>
      <c r="J88" s="489">
        <f>'Monthly Data'!EJ88</f>
        <v>0</v>
      </c>
      <c r="L88" s="3">
        <f t="shared" si="72"/>
        <v>-4442160.1424492002</v>
      </c>
      <c r="M88" s="3">
        <f t="shared" ca="1" si="73"/>
        <v>12981904.149229543</v>
      </c>
      <c r="N88" s="3">
        <f t="shared" ca="1" si="74"/>
        <v>1907.1474734676008</v>
      </c>
      <c r="O88" s="3">
        <f t="shared" si="75"/>
        <v>1833644.83418835</v>
      </c>
      <c r="P88" s="3">
        <f t="shared" si="76"/>
        <v>40771613.817639098</v>
      </c>
      <c r="Q88" s="3">
        <f t="shared" si="77"/>
        <v>32790048.057365477</v>
      </c>
      <c r="R88" s="3">
        <f t="shared" si="78"/>
        <v>0</v>
      </c>
      <c r="S88" s="47">
        <f t="shared" ca="1" si="47"/>
        <v>83936957.863446742</v>
      </c>
      <c r="T88" s="47">
        <f>'Monthly Data'!Y88</f>
        <v>42093.052525641026</v>
      </c>
      <c r="U88" s="47">
        <f ca="1">+'Monthly Data'!Z88</f>
        <v>209003.46448873362</v>
      </c>
      <c r="V88" s="47">
        <f t="shared" ca="1" si="48"/>
        <v>84188054.380461112</v>
      </c>
    </row>
    <row r="89" spans="1:22">
      <c r="A89" s="2">
        <f>'Monthly Data'!A89</f>
        <v>45017</v>
      </c>
      <c r="B89">
        <f>'Monthly Data'!B89</f>
        <v>2023</v>
      </c>
      <c r="C89">
        <f>'Monthly Data'!C89</f>
        <v>4</v>
      </c>
      <c r="D89" s="3">
        <f ca="1">'Monthly Data'!X89</f>
        <v>75004611.684332997</v>
      </c>
      <c r="E89" s="3">
        <f t="shared" ref="E89:F89" ca="1" si="101">E77</f>
        <v>412.8885416666667</v>
      </c>
      <c r="F89" s="3">
        <f t="shared" ca="1" si="101"/>
        <v>6.0095833333333344</v>
      </c>
      <c r="G89">
        <f>'Monthly Data'!EG89</f>
        <v>1</v>
      </c>
      <c r="H89" s="3">
        <f>'Monthly Data'!DQ89</f>
        <v>30</v>
      </c>
      <c r="I89" s="3">
        <f>'Monthly Data'!DL89</f>
        <v>873385</v>
      </c>
      <c r="J89" s="489">
        <f>'Monthly Data'!EJ89</f>
        <v>0</v>
      </c>
      <c r="L89" s="3">
        <f t="shared" si="72"/>
        <v>-4442160.1424492002</v>
      </c>
      <c r="M89" s="3">
        <f t="shared" ca="1" si="73"/>
        <v>8990165.1735804696</v>
      </c>
      <c r="N89" s="3">
        <f t="shared" ca="1" si="74"/>
        <v>387419.54943413549</v>
      </c>
      <c r="O89" s="3">
        <f t="shared" si="75"/>
        <v>1833644.83418835</v>
      </c>
      <c r="P89" s="3">
        <f t="shared" si="76"/>
        <v>39456400.468682997</v>
      </c>
      <c r="Q89" s="3">
        <f t="shared" si="77"/>
        <v>33027872.487685502</v>
      </c>
      <c r="R89" s="3">
        <f t="shared" si="78"/>
        <v>0</v>
      </c>
      <c r="S89" s="47">
        <f t="shared" ca="1" si="47"/>
        <v>79253342.371122256</v>
      </c>
      <c r="T89" s="47">
        <f>'Monthly Data'!Y89</f>
        <v>43736.808923076918</v>
      </c>
      <c r="U89" s="47">
        <f ca="1">+'Monthly Data'!Z89</f>
        <v>114319.1171681767</v>
      </c>
      <c r="V89" s="47">
        <f t="shared" ca="1" si="48"/>
        <v>79411398.29721351</v>
      </c>
    </row>
    <row r="90" spans="1:22">
      <c r="A90" s="2">
        <f>'Monthly Data'!A90</f>
        <v>45047</v>
      </c>
      <c r="B90">
        <f>'Monthly Data'!B90</f>
        <v>2023</v>
      </c>
      <c r="C90">
        <f>'Monthly Data'!C90</f>
        <v>5</v>
      </c>
      <c r="D90" s="3">
        <f ca="1">'Monthly Data'!X90</f>
        <v>77737783.312574968</v>
      </c>
      <c r="E90" s="3">
        <f t="shared" ref="E90:F90" ca="1" si="102">E78</f>
        <v>208.90012508544086</v>
      </c>
      <c r="F90" s="3">
        <f t="shared" ca="1" si="102"/>
        <v>81.50872474747473</v>
      </c>
      <c r="G90">
        <f>'Monthly Data'!EG90</f>
        <v>1</v>
      </c>
      <c r="H90" s="3">
        <f>'Monthly Data'!DQ90</f>
        <v>31</v>
      </c>
      <c r="I90" s="3">
        <f>'Monthly Data'!DL90</f>
        <v>873385</v>
      </c>
      <c r="J90" s="489">
        <f>'Monthly Data'!EJ90</f>
        <v>0</v>
      </c>
      <c r="L90" s="3">
        <f t="shared" si="72"/>
        <v>-4442160.1424492002</v>
      </c>
      <c r="M90" s="3">
        <f t="shared" ca="1" si="73"/>
        <v>4548555.9413172565</v>
      </c>
      <c r="N90" s="3">
        <f t="shared" ca="1" si="74"/>
        <v>5254619.4411621923</v>
      </c>
      <c r="O90" s="3">
        <f t="shared" si="75"/>
        <v>1833644.83418835</v>
      </c>
      <c r="P90" s="3">
        <f t="shared" si="76"/>
        <v>40771613.817639098</v>
      </c>
      <c r="Q90" s="3">
        <f t="shared" si="77"/>
        <v>33027872.487685502</v>
      </c>
      <c r="R90" s="3">
        <f t="shared" si="78"/>
        <v>0</v>
      </c>
      <c r="S90" s="47">
        <f t="shared" ca="1" si="47"/>
        <v>80994146.3795432</v>
      </c>
      <c r="T90" s="47">
        <f>'Monthly Data'!Y90</f>
        <v>45380.565320512818</v>
      </c>
      <c r="U90" s="47">
        <f ca="1">+'Monthly Data'!Z90</f>
        <v>62038.8557852749</v>
      </c>
      <c r="V90" s="47">
        <f t="shared" ca="1" si="48"/>
        <v>81101565.800648987</v>
      </c>
    </row>
    <row r="91" spans="1:22">
      <c r="A91" s="2">
        <f>'Monthly Data'!A91</f>
        <v>45078</v>
      </c>
      <c r="B91">
        <f>'Monthly Data'!B91</f>
        <v>2023</v>
      </c>
      <c r="C91">
        <f>'Monthly Data'!C91</f>
        <v>6</v>
      </c>
      <c r="D91" s="3">
        <f ca="1">'Monthly Data'!X91</f>
        <v>80699110.639320776</v>
      </c>
      <c r="E91" s="3">
        <f t="shared" ref="E91:F91" ca="1" si="103">E79</f>
        <v>61.78217382617381</v>
      </c>
      <c r="F91" s="3">
        <f t="shared" ca="1" si="103"/>
        <v>202.3599342107168</v>
      </c>
      <c r="G91">
        <f>'Monthly Data'!EG91</f>
        <v>0</v>
      </c>
      <c r="H91" s="3">
        <f>'Monthly Data'!DQ91</f>
        <v>30</v>
      </c>
      <c r="I91" s="3">
        <f>'Monthly Data'!DL91</f>
        <v>873385</v>
      </c>
      <c r="J91" s="489">
        <f>'Monthly Data'!EJ91</f>
        <v>0</v>
      </c>
      <c r="L91" s="3">
        <f t="shared" si="72"/>
        <v>-4442160.1424492002</v>
      </c>
      <c r="M91" s="3">
        <f t="shared" ca="1" si="73"/>
        <v>1345234.5885843791</v>
      </c>
      <c r="N91" s="3">
        <f t="shared" ca="1" si="74"/>
        <v>13045529.146852197</v>
      </c>
      <c r="O91" s="3">
        <f t="shared" si="75"/>
        <v>0</v>
      </c>
      <c r="P91" s="3">
        <f t="shared" si="76"/>
        <v>39456400.468682997</v>
      </c>
      <c r="Q91" s="3">
        <f t="shared" si="77"/>
        <v>33027872.487685502</v>
      </c>
      <c r="R91" s="3">
        <f t="shared" si="78"/>
        <v>0</v>
      </c>
      <c r="S91" s="47">
        <f t="shared" ca="1" si="47"/>
        <v>82432876.549355879</v>
      </c>
      <c r="T91" s="47">
        <f>'Monthly Data'!Y91</f>
        <v>47024.321717948711</v>
      </c>
      <c r="U91" s="47">
        <f ca="1">+'Monthly Data'!Z91</f>
        <v>8132.6887987646141</v>
      </c>
      <c r="V91" s="47">
        <f t="shared" ca="1" si="48"/>
        <v>82488033.559872597</v>
      </c>
    </row>
    <row r="92" spans="1:22">
      <c r="A92" s="2">
        <f>'Monthly Data'!A92</f>
        <v>45108</v>
      </c>
      <c r="B92">
        <f>'Monthly Data'!B92</f>
        <v>2023</v>
      </c>
      <c r="C92">
        <f>'Monthly Data'!C92</f>
        <v>7</v>
      </c>
      <c r="D92" s="3">
        <f ca="1">'Monthly Data'!X92</f>
        <v>85513520.832899213</v>
      </c>
      <c r="E92" s="3">
        <f t="shared" ref="E92:F92" ca="1" si="104">E80</f>
        <v>8.334479813664597</v>
      </c>
      <c r="F92" s="3">
        <f t="shared" ca="1" si="104"/>
        <v>304.72508692061177</v>
      </c>
      <c r="G92">
        <f>'Monthly Data'!EG92</f>
        <v>0</v>
      </c>
      <c r="H92" s="3">
        <f>'Monthly Data'!DQ92</f>
        <v>31</v>
      </c>
      <c r="I92" s="3">
        <f>'Monthly Data'!DL92</f>
        <v>876964</v>
      </c>
      <c r="J92" s="489">
        <f>'Monthly Data'!EJ92</f>
        <v>0</v>
      </c>
      <c r="L92" s="3">
        <f t="shared" si="72"/>
        <v>-4442160.1424492002</v>
      </c>
      <c r="M92" s="3">
        <f t="shared" ca="1" si="73"/>
        <v>181473.55181681956</v>
      </c>
      <c r="N92" s="3">
        <f t="shared" ca="1" si="74"/>
        <v>19644699.029504735</v>
      </c>
      <c r="O92" s="3">
        <f t="shared" si="75"/>
        <v>0</v>
      </c>
      <c r="P92" s="3">
        <f t="shared" si="76"/>
        <v>40771613.817639098</v>
      </c>
      <c r="Q92" s="3">
        <f t="shared" si="77"/>
        <v>33163215.727646604</v>
      </c>
      <c r="R92" s="3">
        <f t="shared" si="78"/>
        <v>0</v>
      </c>
      <c r="S92" s="47">
        <f t="shared" ca="1" si="47"/>
        <v>89318841.984158054</v>
      </c>
      <c r="T92" s="47">
        <f>'Monthly Data'!Y92</f>
        <v>48668.078115384611</v>
      </c>
      <c r="U92" s="47">
        <f ca="1">+'Monthly Data'!Z92</f>
        <v>47.411710836170151</v>
      </c>
      <c r="V92" s="47">
        <f t="shared" ca="1" si="48"/>
        <v>89367557.473984286</v>
      </c>
    </row>
    <row r="93" spans="1:22">
      <c r="A93" s="2">
        <f>'Monthly Data'!A93</f>
        <v>45139</v>
      </c>
      <c r="B93">
        <f>'Monthly Data'!B93</f>
        <v>2023</v>
      </c>
      <c r="C93">
        <f>'Monthly Data'!C93</f>
        <v>8</v>
      </c>
      <c r="D93" s="3">
        <f ca="1">'Monthly Data'!X93</f>
        <v>84634591.159736171</v>
      </c>
      <c r="E93" s="3">
        <f t="shared" ref="E93:F93" ca="1" si="105">E81</f>
        <v>21.054927536231883</v>
      </c>
      <c r="F93" s="3">
        <f t="shared" ca="1" si="105"/>
        <v>275.96017127799735</v>
      </c>
      <c r="G93">
        <f>'Monthly Data'!EG93</f>
        <v>0</v>
      </c>
      <c r="H93" s="3">
        <f>'Monthly Data'!DQ93</f>
        <v>31</v>
      </c>
      <c r="I93" s="3">
        <f>'Monthly Data'!DL93</f>
        <v>876964</v>
      </c>
      <c r="J93" s="489">
        <f>'Monthly Data'!EJ93</f>
        <v>0</v>
      </c>
      <c r="L93" s="3">
        <f t="shared" si="72"/>
        <v>-4442160.1424492002</v>
      </c>
      <c r="M93" s="3">
        <f t="shared" ca="1" si="73"/>
        <v>458446.42601224757</v>
      </c>
      <c r="N93" s="3">
        <f t="shared" ca="1" si="74"/>
        <v>17790312.45398964</v>
      </c>
      <c r="O93" s="3">
        <f t="shared" si="75"/>
        <v>0</v>
      </c>
      <c r="P93" s="3">
        <f t="shared" si="76"/>
        <v>40771613.817639098</v>
      </c>
      <c r="Q93" s="3">
        <f t="shared" si="77"/>
        <v>33163215.727646604</v>
      </c>
      <c r="R93" s="3">
        <f t="shared" si="78"/>
        <v>0</v>
      </c>
      <c r="S93" s="47">
        <f t="shared" ca="1" si="47"/>
        <v>87741428.282838389</v>
      </c>
      <c r="T93" s="47">
        <f>'Monthly Data'!Y93</f>
        <v>50311.834512820511</v>
      </c>
      <c r="U93" s="47">
        <f ca="1">+'Monthly Data'!Z93</f>
        <v>3517.9489440439229</v>
      </c>
      <c r="V93" s="47">
        <f t="shared" ca="1" si="48"/>
        <v>87795258.066295251</v>
      </c>
    </row>
    <row r="94" spans="1:22">
      <c r="A94" s="2">
        <f>'Monthly Data'!A94</f>
        <v>45170</v>
      </c>
      <c r="B94">
        <f>'Monthly Data'!B94</f>
        <v>2023</v>
      </c>
      <c r="C94">
        <f>'Monthly Data'!C94</f>
        <v>9</v>
      </c>
      <c r="D94" s="3">
        <f ca="1">'Monthly Data'!X94</f>
        <v>80159889.023785233</v>
      </c>
      <c r="E94" s="3">
        <f t="shared" ref="E94:F94" ca="1" si="106">E82</f>
        <v>97.667119565217376</v>
      </c>
      <c r="F94" s="3">
        <f t="shared" ca="1" si="106"/>
        <v>154.9849637681159</v>
      </c>
      <c r="G94">
        <f>'Monthly Data'!EG94</f>
        <v>1</v>
      </c>
      <c r="H94" s="3">
        <f>'Monthly Data'!DQ94</f>
        <v>30</v>
      </c>
      <c r="I94" s="3">
        <f>'Monthly Data'!DL94</f>
        <v>876964</v>
      </c>
      <c r="J94" s="489">
        <f>'Monthly Data'!EJ94</f>
        <v>0</v>
      </c>
      <c r="L94" s="3">
        <f t="shared" si="72"/>
        <v>-4442160.1424492002</v>
      </c>
      <c r="M94" s="3">
        <f t="shared" ca="1" si="73"/>
        <v>2126587.3191220681</v>
      </c>
      <c r="N94" s="3">
        <f t="shared" ca="1" si="74"/>
        <v>9991408.9715774972</v>
      </c>
      <c r="O94" s="3">
        <f t="shared" si="75"/>
        <v>1833644.83418835</v>
      </c>
      <c r="P94" s="3">
        <f t="shared" si="76"/>
        <v>39456400.468682997</v>
      </c>
      <c r="Q94" s="3">
        <f t="shared" si="77"/>
        <v>33163215.727646604</v>
      </c>
      <c r="R94" s="3">
        <f t="shared" si="78"/>
        <v>0</v>
      </c>
      <c r="S94" s="47">
        <f t="shared" ca="1" si="47"/>
        <v>82129097.178768307</v>
      </c>
      <c r="T94" s="47">
        <f>'Monthly Data'!Y94</f>
        <v>51955.590910256404</v>
      </c>
      <c r="U94" s="47">
        <f ca="1">+'Monthly Data'!Z94</f>
        <v>18051.218705691699</v>
      </c>
      <c r="V94" s="47">
        <f t="shared" ca="1" si="48"/>
        <v>82199103.988384262</v>
      </c>
    </row>
    <row r="95" spans="1:22">
      <c r="A95" s="2">
        <f>'Monthly Data'!A95</f>
        <v>45200</v>
      </c>
      <c r="B95">
        <f>'Monthly Data'!B95</f>
        <v>2023</v>
      </c>
      <c r="C95">
        <f>'Monthly Data'!C95</f>
        <v>10</v>
      </c>
      <c r="D95" s="3">
        <f ca="1">'Monthly Data'!X95</f>
        <v>79136189.684440017</v>
      </c>
      <c r="E95" s="3">
        <f t="shared" ref="E95:F95" ca="1" si="107">E83</f>
        <v>292.46431159420291</v>
      </c>
      <c r="F95" s="3">
        <f t="shared" ca="1" si="107"/>
        <v>38.347916666666663</v>
      </c>
      <c r="G95">
        <f>'Monthly Data'!EG95</f>
        <v>1</v>
      </c>
      <c r="H95" s="3">
        <f>'Monthly Data'!DQ95</f>
        <v>31</v>
      </c>
      <c r="I95" s="3">
        <f>'Monthly Data'!DL95</f>
        <v>880255</v>
      </c>
      <c r="J95" s="489">
        <f>'Monthly Data'!EJ95</f>
        <v>0</v>
      </c>
      <c r="L95" s="3">
        <f t="shared" si="72"/>
        <v>-4442160.1424492002</v>
      </c>
      <c r="M95" s="3">
        <f t="shared" ca="1" si="73"/>
        <v>6368068.3847411759</v>
      </c>
      <c r="N95" s="3">
        <f t="shared" ca="1" si="74"/>
        <v>2472173.4890224398</v>
      </c>
      <c r="O95" s="3">
        <f t="shared" si="75"/>
        <v>1833644.83418835</v>
      </c>
      <c r="P95" s="3">
        <f t="shared" si="76"/>
        <v>40771613.817639098</v>
      </c>
      <c r="Q95" s="3">
        <f t="shared" si="77"/>
        <v>33287667.977635983</v>
      </c>
      <c r="R95" s="3">
        <f t="shared" si="78"/>
        <v>0</v>
      </c>
      <c r="S95" s="47">
        <f t="shared" ca="1" si="47"/>
        <v>80291008.36077784</v>
      </c>
      <c r="T95" s="47">
        <f>'Monthly Data'!Y95</f>
        <v>53599.347307692296</v>
      </c>
      <c r="U95" s="47">
        <f ca="1">+'Monthly Data'!Z95</f>
        <v>78572.267588064613</v>
      </c>
      <c r="V95" s="47">
        <f t="shared" ca="1" si="48"/>
        <v>80423179.975673601</v>
      </c>
    </row>
    <row r="96" spans="1:22">
      <c r="A96" s="2">
        <f>'Monthly Data'!A96</f>
        <v>45231</v>
      </c>
      <c r="B96">
        <f>'Monthly Data'!B96</f>
        <v>2023</v>
      </c>
      <c r="C96">
        <f>'Monthly Data'!C96</f>
        <v>11</v>
      </c>
      <c r="D96" s="3">
        <f ca="1">'Monthly Data'!X96</f>
        <v>79876896.52928701</v>
      </c>
      <c r="E96" s="3">
        <f t="shared" ref="E96:F96" ca="1" si="108">E84</f>
        <v>495.51408055712409</v>
      </c>
      <c r="F96" s="3">
        <f t="shared" ca="1" si="108"/>
        <v>1.9241666666666659</v>
      </c>
      <c r="G96">
        <f>'Monthly Data'!EG96</f>
        <v>1</v>
      </c>
      <c r="H96" s="3">
        <f>'Monthly Data'!DQ96</f>
        <v>30</v>
      </c>
      <c r="I96" s="3">
        <f>'Monthly Data'!DL96</f>
        <v>880255</v>
      </c>
      <c r="J96" s="489">
        <f>'Monthly Data'!EJ96</f>
        <v>0</v>
      </c>
      <c r="L96" s="3">
        <f t="shared" si="72"/>
        <v>-4442160.1424492002</v>
      </c>
      <c r="M96" s="3">
        <f t="shared" ca="1" si="73"/>
        <v>10789239.66274612</v>
      </c>
      <c r="N96" s="3">
        <f t="shared" ca="1" si="74"/>
        <v>124045.16947145785</v>
      </c>
      <c r="O96" s="3">
        <f t="shared" si="75"/>
        <v>1833644.83418835</v>
      </c>
      <c r="P96" s="3">
        <f t="shared" si="76"/>
        <v>39456400.468682997</v>
      </c>
      <c r="Q96" s="3">
        <f t="shared" si="77"/>
        <v>33287667.977635983</v>
      </c>
      <c r="R96" s="3">
        <f t="shared" si="78"/>
        <v>0</v>
      </c>
      <c r="S96" s="47">
        <f t="shared" ca="1" si="47"/>
        <v>81048837.9702757</v>
      </c>
      <c r="T96" s="47">
        <f>'Monthly Data'!Y96</f>
        <v>55243.103705128204</v>
      </c>
      <c r="U96" s="47">
        <f ca="1">+'Monthly Data'!Z96</f>
        <v>170907.1241425038</v>
      </c>
      <c r="V96" s="47">
        <f t="shared" ca="1" si="48"/>
        <v>81274988.198123321</v>
      </c>
    </row>
    <row r="97" spans="1:22">
      <c r="A97" s="2">
        <f>'Monthly Data'!A97</f>
        <v>45261</v>
      </c>
      <c r="B97">
        <f>'Monthly Data'!B97</f>
        <v>2023</v>
      </c>
      <c r="C97">
        <f>'Monthly Data'!C97</f>
        <v>12</v>
      </c>
      <c r="D97" s="3">
        <f ca="1">'Monthly Data'!X97</f>
        <v>79671277.663110197</v>
      </c>
      <c r="E97" s="3">
        <f t="shared" ref="E97:F97" ca="1" si="109">E85</f>
        <v>664.38541666666663</v>
      </c>
      <c r="F97" s="3">
        <f t="shared" ca="1" si="109"/>
        <v>0</v>
      </c>
      <c r="G97">
        <f>'Monthly Data'!EG97</f>
        <v>0</v>
      </c>
      <c r="H97" s="3">
        <f>'Monthly Data'!DQ97</f>
        <v>31</v>
      </c>
      <c r="I97" s="3">
        <f>'Monthly Data'!DL97</f>
        <v>880255</v>
      </c>
      <c r="J97" s="489">
        <f>'Monthly Data'!EJ97</f>
        <v>0</v>
      </c>
      <c r="L97" s="3">
        <f t="shared" si="72"/>
        <v>-4442160.1424492002</v>
      </c>
      <c r="M97" s="3">
        <f t="shared" ca="1" si="73"/>
        <v>14466215.532746576</v>
      </c>
      <c r="N97" s="3">
        <f t="shared" ca="1" si="74"/>
        <v>0</v>
      </c>
      <c r="O97" s="3">
        <f t="shared" si="75"/>
        <v>0</v>
      </c>
      <c r="P97" s="3">
        <f t="shared" si="76"/>
        <v>40771613.817639098</v>
      </c>
      <c r="Q97" s="3">
        <f t="shared" si="77"/>
        <v>33287667.977635983</v>
      </c>
      <c r="R97" s="3">
        <f t="shared" si="78"/>
        <v>0</v>
      </c>
      <c r="S97" s="47">
        <f t="shared" ca="1" si="47"/>
        <v>84083337.18557246</v>
      </c>
      <c r="T97" s="47">
        <f>'Monthly Data'!Y97</f>
        <v>56886.860102564096</v>
      </c>
      <c r="U97" s="47">
        <f ca="1">+'Monthly Data'!Z97</f>
        <v>185732.21641997944</v>
      </c>
      <c r="V97" s="47">
        <f t="shared" ca="1" si="48"/>
        <v>84325956.262095004</v>
      </c>
    </row>
    <row r="98" spans="1:22">
      <c r="A98" s="2">
        <f>'Monthly Data'!A98</f>
        <v>45292</v>
      </c>
      <c r="B98">
        <f>'Monthly Data'!B98</f>
        <v>2024</v>
      </c>
      <c r="C98">
        <f>'Monthly Data'!C98</f>
        <v>1</v>
      </c>
      <c r="D98" s="3">
        <f ca="1">'Monthly Data'!X98</f>
        <v>88604857.855760068</v>
      </c>
      <c r="E98" s="3">
        <f t="shared" ref="E98:F98" ca="1" si="110">E86</f>
        <v>752.78750000000002</v>
      </c>
      <c r="F98" s="3">
        <f t="shared" ca="1" si="110"/>
        <v>0</v>
      </c>
      <c r="G98">
        <f>'Monthly Data'!EG98</f>
        <v>0</v>
      </c>
      <c r="H98" s="3">
        <f>'Monthly Data'!DQ98</f>
        <v>31</v>
      </c>
      <c r="I98" s="3">
        <f>'Monthly Data'!DL98</f>
        <v>885802</v>
      </c>
      <c r="J98" s="489">
        <f>'Monthly Data'!EJ98</f>
        <v>0</v>
      </c>
      <c r="L98" s="3">
        <f t="shared" ref="L98:L129" si="111">$Z$8</f>
        <v>-4442160.1424492002</v>
      </c>
      <c r="M98" s="3">
        <f t="shared" ref="M98:M129" ca="1" si="112">E98*$Z$9</f>
        <v>16391067.522213772</v>
      </c>
      <c r="N98" s="3">
        <f t="shared" ref="N98:N129" ca="1" si="113">F98*$Z$10</f>
        <v>0</v>
      </c>
      <c r="O98" s="3">
        <f t="shared" ref="O98:O129" si="114">G98*$Z$11</f>
        <v>0</v>
      </c>
      <c r="P98" s="3">
        <f t="shared" ref="P98:P129" si="115">H98*$Z$12</f>
        <v>40771613.817639098</v>
      </c>
      <c r="Q98" s="3">
        <f t="shared" ref="Q98:Q129" si="116">I98*$Z$13</f>
        <v>33497432.982403859</v>
      </c>
      <c r="R98" s="3">
        <f t="shared" ref="R98:R129" si="117">J98*$Z$14</f>
        <v>0</v>
      </c>
      <c r="S98" s="47">
        <f t="shared" ca="1" si="47"/>
        <v>86217954.179807529</v>
      </c>
      <c r="T98" s="47">
        <f>'Monthly Data'!Y98</f>
        <v>60698.858346153844</v>
      </c>
      <c r="U98" s="47">
        <f ca="1">+'Monthly Data'!Z98</f>
        <v>304349.1764150692</v>
      </c>
      <c r="V98" s="47">
        <f t="shared" ca="1" si="48"/>
        <v>86583002.214568749</v>
      </c>
    </row>
    <row r="99" spans="1:22">
      <c r="A99" s="2">
        <f>'Monthly Data'!A99</f>
        <v>45323</v>
      </c>
      <c r="B99">
        <f>'Monthly Data'!B99</f>
        <v>2024</v>
      </c>
      <c r="C99">
        <f>'Monthly Data'!C99</f>
        <v>2</v>
      </c>
      <c r="D99" s="3">
        <f ca="1">'Monthly Data'!X99</f>
        <v>82091277.202787995</v>
      </c>
      <c r="E99" s="3">
        <f t="shared" ref="E99:F99" ca="1" si="118">E87</f>
        <v>660.7954166666666</v>
      </c>
      <c r="F99" s="3">
        <f t="shared" ca="1" si="118"/>
        <v>0</v>
      </c>
      <c r="G99">
        <f>'Monthly Data'!EG99</f>
        <v>0</v>
      </c>
      <c r="H99" s="3">
        <f>'Monthly Data'!DQ99</f>
        <v>29</v>
      </c>
      <c r="I99" s="3">
        <f>'Monthly Data'!DL99</f>
        <v>885802</v>
      </c>
      <c r="J99" s="489">
        <f>'Monthly Data'!EJ99</f>
        <v>0</v>
      </c>
      <c r="L99" s="3">
        <f t="shared" si="111"/>
        <v>-4442160.1424492002</v>
      </c>
      <c r="M99" s="3">
        <f t="shared" ca="1" si="112"/>
        <v>14388047.48079998</v>
      </c>
      <c r="N99" s="3">
        <f t="shared" ca="1" si="113"/>
        <v>0</v>
      </c>
      <c r="O99" s="3">
        <f t="shared" si="114"/>
        <v>0</v>
      </c>
      <c r="P99" s="3">
        <f t="shared" si="115"/>
        <v>38141187.119726896</v>
      </c>
      <c r="Q99" s="3">
        <f t="shared" si="116"/>
        <v>33497432.982403859</v>
      </c>
      <c r="R99" s="3">
        <f t="shared" si="117"/>
        <v>0</v>
      </c>
      <c r="S99" s="47">
        <f t="shared" ca="1" si="47"/>
        <v>81584507.440481544</v>
      </c>
      <c r="T99" s="47">
        <f>'Monthly Data'!Y99</f>
        <v>62867.100192307684</v>
      </c>
      <c r="U99" s="47">
        <f ca="1">+'Monthly Data'!Z99</f>
        <v>259423.13775600633</v>
      </c>
      <c r="V99" s="47">
        <f t="shared" ca="1" si="48"/>
        <v>81906797.678429857</v>
      </c>
    </row>
    <row r="100" spans="1:22">
      <c r="A100" s="2">
        <f>'Monthly Data'!A100</f>
        <v>45352</v>
      </c>
      <c r="B100">
        <f>'Monthly Data'!B100</f>
        <v>2024</v>
      </c>
      <c r="C100">
        <f>'Monthly Data'!C100</f>
        <v>3</v>
      </c>
      <c r="D100" s="3">
        <f ca="1">'Monthly Data'!X100</f>
        <v>83773753.494776964</v>
      </c>
      <c r="E100" s="3">
        <f t="shared" ref="E100:F100" ca="1" si="119">E88</f>
        <v>596.21590579710141</v>
      </c>
      <c r="F100" s="3">
        <f t="shared" ca="1" si="119"/>
        <v>2.9583333333332896E-2</v>
      </c>
      <c r="G100">
        <f>'Monthly Data'!EG100</f>
        <v>1</v>
      </c>
      <c r="H100" s="3">
        <f>'Monthly Data'!DQ100</f>
        <v>31</v>
      </c>
      <c r="I100" s="3">
        <f>'Monthly Data'!DL100</f>
        <v>885802</v>
      </c>
      <c r="J100" s="489">
        <f>'Monthly Data'!EJ100</f>
        <v>0</v>
      </c>
      <c r="L100" s="3">
        <f t="shared" si="111"/>
        <v>-4442160.1424492002</v>
      </c>
      <c r="M100" s="3">
        <f t="shared" ca="1" si="112"/>
        <v>12981904.149229543</v>
      </c>
      <c r="N100" s="3">
        <f t="shared" ca="1" si="113"/>
        <v>1907.1474734676008</v>
      </c>
      <c r="O100" s="3">
        <f t="shared" si="114"/>
        <v>1833644.83418835</v>
      </c>
      <c r="P100" s="3">
        <f t="shared" si="115"/>
        <v>40771613.817639098</v>
      </c>
      <c r="Q100" s="3">
        <f t="shared" si="116"/>
        <v>33497432.982403859</v>
      </c>
      <c r="R100" s="3">
        <f t="shared" si="117"/>
        <v>0</v>
      </c>
      <c r="S100" s="47">
        <f t="shared" ca="1" si="47"/>
        <v>84644342.78848511</v>
      </c>
      <c r="T100" s="47">
        <f>'Monthly Data'!Y100</f>
        <v>65035.342038461531</v>
      </c>
      <c r="U100" s="47">
        <f ca="1">+'Monthly Data'!Z100</f>
        <v>219836.38370205747</v>
      </c>
      <c r="V100" s="47">
        <f t="shared" ca="1" si="48"/>
        <v>84929214.514225632</v>
      </c>
    </row>
    <row r="101" spans="1:22">
      <c r="A101" s="2">
        <f>'Monthly Data'!A101</f>
        <v>45383</v>
      </c>
      <c r="B101">
        <f>'Monthly Data'!B101</f>
        <v>2024</v>
      </c>
      <c r="C101">
        <f>'Monthly Data'!C101</f>
        <v>4</v>
      </c>
      <c r="D101" s="3">
        <f ca="1">'Monthly Data'!X101</f>
        <v>80311723.685840592</v>
      </c>
      <c r="E101" s="3">
        <f t="shared" ref="E101:F101" ca="1" si="120">E89</f>
        <v>412.8885416666667</v>
      </c>
      <c r="F101" s="3">
        <f t="shared" ca="1" si="120"/>
        <v>6.0095833333333344</v>
      </c>
      <c r="G101">
        <f>'Monthly Data'!EG101</f>
        <v>1</v>
      </c>
      <c r="H101" s="3">
        <f>'Monthly Data'!DQ101</f>
        <v>30</v>
      </c>
      <c r="I101" s="3">
        <f>'Monthly Data'!DL101</f>
        <v>888733</v>
      </c>
      <c r="J101" s="489">
        <f>'Monthly Data'!EJ101</f>
        <v>0</v>
      </c>
      <c r="L101" s="3">
        <f t="shared" si="111"/>
        <v>-4442160.1424492002</v>
      </c>
      <c r="M101" s="3">
        <f t="shared" ca="1" si="112"/>
        <v>8990165.1735804696</v>
      </c>
      <c r="N101" s="3">
        <f t="shared" ca="1" si="113"/>
        <v>387419.54943413549</v>
      </c>
      <c r="O101" s="3">
        <f t="shared" si="114"/>
        <v>1833644.83418835</v>
      </c>
      <c r="P101" s="3">
        <f t="shared" si="115"/>
        <v>39456400.468682997</v>
      </c>
      <c r="Q101" s="3">
        <f t="shared" si="116"/>
        <v>33608271.494928584</v>
      </c>
      <c r="R101" s="3">
        <f t="shared" si="117"/>
        <v>0</v>
      </c>
      <c r="S101" s="47">
        <f t="shared" ca="1" si="47"/>
        <v>79833741.378365338</v>
      </c>
      <c r="T101" s="47">
        <f>'Monthly Data'!Y101</f>
        <v>67203.583884615378</v>
      </c>
      <c r="U101" s="47">
        <f ca="1">+'Monthly Data'!Z101</f>
        <v>147301.14722568559</v>
      </c>
      <c r="V101" s="47">
        <f t="shared" ca="1" si="48"/>
        <v>80048246.109475642</v>
      </c>
    </row>
    <row r="102" spans="1:22">
      <c r="A102" s="2">
        <f>'Monthly Data'!A102</f>
        <v>45413</v>
      </c>
      <c r="B102">
        <f>'Monthly Data'!B102</f>
        <v>2024</v>
      </c>
      <c r="C102">
        <f>'Monthly Data'!C102</f>
        <v>5</v>
      </c>
      <c r="D102" s="3">
        <f ca="1">'Monthly Data'!X102</f>
        <v>83138765.607039005</v>
      </c>
      <c r="E102" s="3">
        <f t="shared" ref="E102:F102" ca="1" si="121">E90</f>
        <v>208.90012508544086</v>
      </c>
      <c r="F102" s="3">
        <f t="shared" ca="1" si="121"/>
        <v>81.50872474747473</v>
      </c>
      <c r="G102">
        <f>'Monthly Data'!EG102</f>
        <v>1</v>
      </c>
      <c r="H102" s="3">
        <f>'Monthly Data'!DQ102</f>
        <v>31</v>
      </c>
      <c r="I102" s="3">
        <f>'Monthly Data'!DL102</f>
        <v>888733</v>
      </c>
      <c r="J102" s="489">
        <f>'Monthly Data'!EJ102</f>
        <v>0</v>
      </c>
      <c r="L102" s="3">
        <f t="shared" si="111"/>
        <v>-4442160.1424492002</v>
      </c>
      <c r="M102" s="3">
        <f t="shared" ca="1" si="112"/>
        <v>4548555.9413172565</v>
      </c>
      <c r="N102" s="3">
        <f t="shared" ca="1" si="113"/>
        <v>5254619.4411621923</v>
      </c>
      <c r="O102" s="3">
        <f t="shared" si="114"/>
        <v>1833644.83418835</v>
      </c>
      <c r="P102" s="3">
        <f t="shared" si="115"/>
        <v>40771613.817639098</v>
      </c>
      <c r="Q102" s="3">
        <f t="shared" si="116"/>
        <v>33608271.494928584</v>
      </c>
      <c r="R102" s="3">
        <f t="shared" si="117"/>
        <v>0</v>
      </c>
      <c r="S102" s="47">
        <f t="shared" ca="1" si="47"/>
        <v>81574545.386786282</v>
      </c>
      <c r="T102" s="47">
        <f>'Monthly Data'!Y102</f>
        <v>69371.825730769226</v>
      </c>
      <c r="U102" s="47">
        <f ca="1">+'Monthly Data'!Z102</f>
        <v>42775.991167070621</v>
      </c>
      <c r="V102" s="47">
        <f t="shared" ca="1" si="48"/>
        <v>81686693.203684121</v>
      </c>
    </row>
    <row r="103" spans="1:22">
      <c r="A103" s="2">
        <f>'Monthly Data'!A103</f>
        <v>45444</v>
      </c>
      <c r="B103">
        <f>'Monthly Data'!B103</f>
        <v>2024</v>
      </c>
      <c r="C103">
        <f>'Monthly Data'!C103</f>
        <v>6</v>
      </c>
      <c r="D103" s="3">
        <f ca="1">'Monthly Data'!X103</f>
        <v>84293886.770037785</v>
      </c>
      <c r="E103" s="3">
        <f t="shared" ref="E103:F103" ca="1" si="122">E91</f>
        <v>61.78217382617381</v>
      </c>
      <c r="F103" s="3">
        <f t="shared" ca="1" si="122"/>
        <v>202.3599342107168</v>
      </c>
      <c r="G103">
        <f>'Monthly Data'!EG103</f>
        <v>0</v>
      </c>
      <c r="H103" s="3">
        <f>'Monthly Data'!DQ103</f>
        <v>30</v>
      </c>
      <c r="I103" s="3">
        <f>'Monthly Data'!DL103</f>
        <v>888733</v>
      </c>
      <c r="J103" s="489">
        <f>'Monthly Data'!EJ103</f>
        <v>0</v>
      </c>
      <c r="L103" s="3">
        <f t="shared" si="111"/>
        <v>-4442160.1424492002</v>
      </c>
      <c r="M103" s="3">
        <f t="shared" ca="1" si="112"/>
        <v>1345234.5885843791</v>
      </c>
      <c r="N103" s="3">
        <f t="shared" ca="1" si="113"/>
        <v>13045529.146852197</v>
      </c>
      <c r="O103" s="3">
        <f t="shared" si="114"/>
        <v>0</v>
      </c>
      <c r="P103" s="3">
        <f t="shared" si="115"/>
        <v>39456400.468682997</v>
      </c>
      <c r="Q103" s="3">
        <f t="shared" si="116"/>
        <v>33608271.494928584</v>
      </c>
      <c r="R103" s="3">
        <f t="shared" si="117"/>
        <v>0</v>
      </c>
      <c r="S103" s="47">
        <f t="shared" ca="1" si="47"/>
        <v>83013275.556598961</v>
      </c>
      <c r="T103" s="47">
        <f>'Monthly Data'!Y103</f>
        <v>71540.067576923073</v>
      </c>
      <c r="U103" s="47">
        <f ca="1">+'Monthly Data'!Z103</f>
        <v>15084.175784097084</v>
      </c>
      <c r="V103" s="47">
        <f t="shared" ca="1" si="48"/>
        <v>83099899.799959987</v>
      </c>
    </row>
    <row r="104" spans="1:22">
      <c r="A104" s="2">
        <f>'Monthly Data'!A104</f>
        <v>45474</v>
      </c>
      <c r="B104">
        <f>'Monthly Data'!B104</f>
        <v>2024</v>
      </c>
      <c r="C104">
        <f>'Monthly Data'!C104</f>
        <v>7</v>
      </c>
      <c r="D104" s="3">
        <f ca="1">'Monthly Data'!X104</f>
        <v>91734225.177624896</v>
      </c>
      <c r="E104" s="3">
        <f t="shared" ref="E104:F104" ca="1" si="123">E92</f>
        <v>8.334479813664597</v>
      </c>
      <c r="F104" s="3">
        <f t="shared" ca="1" si="123"/>
        <v>304.72508692061177</v>
      </c>
      <c r="G104">
        <f>'Monthly Data'!EG104</f>
        <v>0</v>
      </c>
      <c r="H104" s="3">
        <f>'Monthly Data'!DQ104</f>
        <v>31</v>
      </c>
      <c r="I104" s="3">
        <f>'Monthly Data'!DL104</f>
        <v>890079</v>
      </c>
      <c r="J104" s="489">
        <f>'Monthly Data'!EJ104</f>
        <v>0</v>
      </c>
      <c r="L104" s="3">
        <f t="shared" si="111"/>
        <v>-4442160.1424492002</v>
      </c>
      <c r="M104" s="3">
        <f t="shared" ca="1" si="112"/>
        <v>181473.55181681956</v>
      </c>
      <c r="N104" s="3">
        <f t="shared" ca="1" si="113"/>
        <v>19644699.029504735</v>
      </c>
      <c r="O104" s="3">
        <f t="shared" si="114"/>
        <v>0</v>
      </c>
      <c r="P104" s="3">
        <f t="shared" si="115"/>
        <v>40771613.817639098</v>
      </c>
      <c r="Q104" s="3">
        <f t="shared" si="116"/>
        <v>33659171.746671423</v>
      </c>
      <c r="R104" s="3">
        <f t="shared" si="117"/>
        <v>0</v>
      </c>
      <c r="S104" s="47">
        <f t="shared" ca="1" si="47"/>
        <v>89814798.003182873</v>
      </c>
      <c r="T104" s="47">
        <f>'Monthly Data'!Y104</f>
        <v>73708.30942307692</v>
      </c>
      <c r="U104" s="47">
        <f ca="1">+'Monthly Data'!Z104</f>
        <v>157.27199246980067</v>
      </c>
      <c r="V104" s="47">
        <f t="shared" ca="1" si="48"/>
        <v>89888663.584598422</v>
      </c>
    </row>
    <row r="105" spans="1:22">
      <c r="A105" s="2">
        <f>'Monthly Data'!A105</f>
        <v>45505</v>
      </c>
      <c r="B105">
        <f>'Monthly Data'!B105</f>
        <v>2024</v>
      </c>
      <c r="C105">
        <f>'Monthly Data'!C105</f>
        <v>8</v>
      </c>
      <c r="D105" s="3">
        <f ca="1">'Monthly Data'!X105</f>
        <v>89036143.308274195</v>
      </c>
      <c r="E105" s="3">
        <f t="shared" ref="E105:F105" ca="1" si="124">E93</f>
        <v>21.054927536231883</v>
      </c>
      <c r="F105" s="3">
        <f t="shared" ca="1" si="124"/>
        <v>275.96017127799735</v>
      </c>
      <c r="G105">
        <f>'Monthly Data'!EG105</f>
        <v>0</v>
      </c>
      <c r="H105" s="3">
        <f>'Monthly Data'!DQ105</f>
        <v>31</v>
      </c>
      <c r="I105" s="3">
        <f>'Monthly Data'!DL105</f>
        <v>890079</v>
      </c>
      <c r="J105" s="489">
        <f>'Monthly Data'!EJ105</f>
        <v>0</v>
      </c>
      <c r="L105" s="3">
        <f t="shared" si="111"/>
        <v>-4442160.1424492002</v>
      </c>
      <c r="M105" s="3">
        <f t="shared" ca="1" si="112"/>
        <v>458446.42601224757</v>
      </c>
      <c r="N105" s="3">
        <f t="shared" ca="1" si="113"/>
        <v>17790312.45398964</v>
      </c>
      <c r="O105" s="3">
        <f t="shared" si="114"/>
        <v>0</v>
      </c>
      <c r="P105" s="3">
        <f t="shared" si="115"/>
        <v>40771613.817639098</v>
      </c>
      <c r="Q105" s="3">
        <f t="shared" si="116"/>
        <v>33659171.746671423</v>
      </c>
      <c r="R105" s="3">
        <f t="shared" si="117"/>
        <v>0</v>
      </c>
      <c r="S105" s="47">
        <f t="shared" ca="1" si="47"/>
        <v>88237384.301863208</v>
      </c>
      <c r="T105" s="47">
        <f>'Monthly Data'!Y105</f>
        <v>75876.551269230753</v>
      </c>
      <c r="U105" s="47">
        <f ca="1">+'Monthly Data'!Z105</f>
        <v>3933.7905964597981</v>
      </c>
      <c r="V105" s="47">
        <f t="shared" ca="1" si="48"/>
        <v>88317194.643728897</v>
      </c>
    </row>
    <row r="106" spans="1:22">
      <c r="A106" s="2">
        <f>'Monthly Data'!A106</f>
        <v>45536</v>
      </c>
      <c r="B106">
        <f>'Monthly Data'!B106</f>
        <v>2024</v>
      </c>
      <c r="C106">
        <f>'Monthly Data'!C106</f>
        <v>9</v>
      </c>
      <c r="D106" s="3">
        <f ca="1">'Monthly Data'!X106</f>
        <v>84062543.541195795</v>
      </c>
      <c r="E106" s="3">
        <f t="shared" ref="E106:F106" ca="1" si="125">E94</f>
        <v>97.667119565217376</v>
      </c>
      <c r="F106" s="3">
        <f t="shared" ca="1" si="125"/>
        <v>154.9849637681159</v>
      </c>
      <c r="G106">
        <f>'Monthly Data'!EG106</f>
        <v>1</v>
      </c>
      <c r="H106" s="3">
        <f>'Monthly Data'!DQ106</f>
        <v>30</v>
      </c>
      <c r="I106" s="3">
        <f>'Monthly Data'!DL106</f>
        <v>890079</v>
      </c>
      <c r="J106" s="489">
        <f>'Monthly Data'!EJ106</f>
        <v>0</v>
      </c>
      <c r="L106" s="3">
        <f t="shared" si="111"/>
        <v>-4442160.1424492002</v>
      </c>
      <c r="M106" s="3">
        <f t="shared" ca="1" si="112"/>
        <v>2126587.3191220681</v>
      </c>
      <c r="N106" s="3">
        <f t="shared" ca="1" si="113"/>
        <v>9991408.9715774972</v>
      </c>
      <c r="O106" s="3">
        <f t="shared" si="114"/>
        <v>1833644.83418835</v>
      </c>
      <c r="P106" s="3">
        <f t="shared" si="115"/>
        <v>39456400.468682997</v>
      </c>
      <c r="Q106" s="3">
        <f t="shared" si="116"/>
        <v>33659171.746671423</v>
      </c>
      <c r="R106" s="3">
        <f t="shared" si="117"/>
        <v>0</v>
      </c>
      <c r="S106" s="47">
        <f t="shared" ca="1" si="47"/>
        <v>82625053.197793126</v>
      </c>
      <c r="T106" s="47">
        <f>'Monthly Data'!Y106</f>
        <v>78044.793115384615</v>
      </c>
      <c r="U106" s="47">
        <f ca="1">+'Monthly Data'!Z106</f>
        <v>14031.050669963872</v>
      </c>
      <c r="V106" s="47">
        <f t="shared" ca="1" si="48"/>
        <v>82717129.041578472</v>
      </c>
    </row>
    <row r="107" spans="1:22">
      <c r="A107" s="2">
        <f>'Monthly Data'!A107</f>
        <v>45566</v>
      </c>
      <c r="B107">
        <f>'Monthly Data'!B107</f>
        <v>2024</v>
      </c>
      <c r="C107">
        <f>'Monthly Data'!C107</f>
        <v>10</v>
      </c>
      <c r="D107" s="3">
        <f ca="1">'Monthly Data'!X107</f>
        <v>81272329.053957373</v>
      </c>
      <c r="E107" s="3">
        <f t="shared" ref="E107:F107" ca="1" si="126">E95</f>
        <v>292.46431159420291</v>
      </c>
      <c r="F107" s="3">
        <f t="shared" ca="1" si="126"/>
        <v>38.347916666666663</v>
      </c>
      <c r="G107">
        <f>'Monthly Data'!EG107</f>
        <v>1</v>
      </c>
      <c r="H107" s="3">
        <f>'Monthly Data'!DQ107</f>
        <v>31</v>
      </c>
      <c r="I107" s="3">
        <f>'Monthly Data'!DL107</f>
        <v>893201</v>
      </c>
      <c r="J107" s="489">
        <f>'Monthly Data'!EJ107</f>
        <v>0</v>
      </c>
      <c r="L107" s="3">
        <f t="shared" si="111"/>
        <v>-4442160.1424492002</v>
      </c>
      <c r="M107" s="3">
        <f t="shared" ca="1" si="112"/>
        <v>6368068.3847411759</v>
      </c>
      <c r="N107" s="3">
        <f t="shared" ca="1" si="113"/>
        <v>2472173.4890224398</v>
      </c>
      <c r="O107" s="3">
        <f t="shared" si="114"/>
        <v>1833644.83418835</v>
      </c>
      <c r="P107" s="3">
        <f t="shared" si="115"/>
        <v>40771613.817639098</v>
      </c>
      <c r="Q107" s="3">
        <f t="shared" si="116"/>
        <v>33777233.103239901</v>
      </c>
      <c r="R107" s="3">
        <f t="shared" si="117"/>
        <v>0</v>
      </c>
      <c r="S107" s="47">
        <f t="shared" ref="S107:S170" ca="1" si="127">SUM(L107:R107)</f>
        <v>80780573.486381769</v>
      </c>
      <c r="T107" s="47">
        <f>'Monthly Data'!Y107</f>
        <v>80213.034961538448</v>
      </c>
      <c r="U107" s="47">
        <f ca="1">+'Monthly Data'!Z107</f>
        <v>111774.59859758677</v>
      </c>
      <c r="V107" s="47">
        <f t="shared" ref="V107:V170" ca="1" si="128">S107+T107+U107</f>
        <v>80972561.119940892</v>
      </c>
    </row>
    <row r="108" spans="1:22">
      <c r="A108" s="2">
        <f>'Monthly Data'!A108</f>
        <v>45597</v>
      </c>
      <c r="B108">
        <f>'Monthly Data'!B108</f>
        <v>2024</v>
      </c>
      <c r="C108">
        <f>'Monthly Data'!C108</f>
        <v>11</v>
      </c>
      <c r="D108" s="3">
        <f ca="1">'Monthly Data'!X108</f>
        <v>79404705.497738227</v>
      </c>
      <c r="E108" s="3">
        <f t="shared" ref="E108:F108" ca="1" si="129">E96</f>
        <v>495.51408055712409</v>
      </c>
      <c r="F108" s="3">
        <f t="shared" ca="1" si="129"/>
        <v>1.9241666666666659</v>
      </c>
      <c r="G108">
        <f>'Monthly Data'!EG108</f>
        <v>1</v>
      </c>
      <c r="H108" s="3">
        <f>'Monthly Data'!DQ108</f>
        <v>30</v>
      </c>
      <c r="I108" s="3">
        <f>'Monthly Data'!DL108</f>
        <v>893201</v>
      </c>
      <c r="J108" s="489">
        <f>'Monthly Data'!EJ108</f>
        <v>0</v>
      </c>
      <c r="L108" s="3">
        <f t="shared" si="111"/>
        <v>-4442160.1424492002</v>
      </c>
      <c r="M108" s="3">
        <f t="shared" ca="1" si="112"/>
        <v>10789239.66274612</v>
      </c>
      <c r="N108" s="3">
        <f t="shared" ca="1" si="113"/>
        <v>124045.16947145785</v>
      </c>
      <c r="O108" s="3">
        <f t="shared" si="114"/>
        <v>1833644.83418835</v>
      </c>
      <c r="P108" s="3">
        <f t="shared" si="115"/>
        <v>39456400.468682997</v>
      </c>
      <c r="Q108" s="3">
        <f t="shared" si="116"/>
        <v>33777233.103239901</v>
      </c>
      <c r="R108" s="3">
        <f t="shared" si="117"/>
        <v>0</v>
      </c>
      <c r="S108" s="47">
        <f t="shared" ca="1" si="127"/>
        <v>81538403.095879614</v>
      </c>
      <c r="T108" s="47">
        <f>'Monthly Data'!Y108</f>
        <v>82381.276807692295</v>
      </c>
      <c r="U108" s="47">
        <f ca="1">+'Monthly Data'!Z108</f>
        <v>175009.88427873503</v>
      </c>
      <c r="V108" s="47">
        <f t="shared" ca="1" si="128"/>
        <v>81795794.25696604</v>
      </c>
    </row>
    <row r="109" spans="1:22">
      <c r="A109" s="2">
        <f>'Monthly Data'!A109</f>
        <v>45627</v>
      </c>
      <c r="B109">
        <f>'Monthly Data'!B109</f>
        <v>2024</v>
      </c>
      <c r="C109">
        <f>'Monthly Data'!C109</f>
        <v>12</v>
      </c>
      <c r="D109" s="3">
        <f ca="1">'Monthly Data'!X109</f>
        <v>83071857.898010999</v>
      </c>
      <c r="E109" s="3">
        <f t="shared" ref="E109:F109" ca="1" si="130">E97</f>
        <v>664.38541666666663</v>
      </c>
      <c r="F109" s="3">
        <f t="shared" ca="1" si="130"/>
        <v>0</v>
      </c>
      <c r="G109">
        <f>'Monthly Data'!EG109</f>
        <v>0</v>
      </c>
      <c r="H109" s="3">
        <f>'Monthly Data'!DQ109</f>
        <v>31</v>
      </c>
      <c r="I109" s="3">
        <f>'Monthly Data'!DL109</f>
        <v>893201</v>
      </c>
      <c r="J109" s="489">
        <f>'Monthly Data'!EJ109</f>
        <v>0</v>
      </c>
      <c r="L109" s="3">
        <f t="shared" si="111"/>
        <v>-4442160.1424492002</v>
      </c>
      <c r="M109" s="3">
        <f t="shared" ca="1" si="112"/>
        <v>14466215.532746576</v>
      </c>
      <c r="N109" s="3">
        <f t="shared" ca="1" si="113"/>
        <v>0</v>
      </c>
      <c r="O109" s="3">
        <f t="shared" si="114"/>
        <v>0</v>
      </c>
      <c r="P109" s="3">
        <f t="shared" si="115"/>
        <v>40771613.817639098</v>
      </c>
      <c r="Q109" s="3">
        <f t="shared" si="116"/>
        <v>33777233.103239901</v>
      </c>
      <c r="R109" s="3">
        <f t="shared" si="117"/>
        <v>0</v>
      </c>
      <c r="S109" s="47">
        <f t="shared" ca="1" si="127"/>
        <v>84572902.311176375</v>
      </c>
      <c r="T109" s="47">
        <f>'Monthly Data'!Y109</f>
        <v>84549.518653846142</v>
      </c>
      <c r="U109" s="47">
        <f ca="1">+'Monthly Data'!Z109</f>
        <v>285992.15055982838</v>
      </c>
      <c r="V109" s="47">
        <f t="shared" ca="1" si="128"/>
        <v>84943443.980390042</v>
      </c>
    </row>
    <row r="110" spans="1:22">
      <c r="A110" s="2">
        <f t="shared" ref="A110:A162" si="131">EOMONTH(A109,1)</f>
        <v>45688</v>
      </c>
      <c r="B110">
        <f t="shared" ref="B110:B162" si="132">YEAR(A110)</f>
        <v>2025</v>
      </c>
      <c r="C110">
        <f t="shared" ref="C110:C162" si="133">MONTH(A110)</f>
        <v>1</v>
      </c>
      <c r="D110" s="3">
        <f ca="1">'Monthly Data'!X110</f>
        <v>89657491.447063297</v>
      </c>
      <c r="E110" s="3">
        <f t="shared" ref="E110:F110" ca="1" si="134">E98</f>
        <v>752.78750000000002</v>
      </c>
      <c r="F110" s="3">
        <f t="shared" ca="1" si="134"/>
        <v>0</v>
      </c>
      <c r="G110">
        <f>'Monthly Data'!EG110</f>
        <v>0</v>
      </c>
      <c r="H110" s="3">
        <f>'Monthly Data'!DQ110</f>
        <v>31</v>
      </c>
      <c r="I110" s="3">
        <f>'Monthly Data'!DL110</f>
        <v>897872</v>
      </c>
      <c r="J110" s="489">
        <f>'Monthly Data'!EJ110</f>
        <v>0</v>
      </c>
      <c r="L110" s="3">
        <f t="shared" si="111"/>
        <v>-4442160.1424492002</v>
      </c>
      <c r="M110" s="3">
        <f t="shared" ca="1" si="112"/>
        <v>16391067.522213772</v>
      </c>
      <c r="N110" s="3">
        <f t="shared" ca="1" si="113"/>
        <v>0</v>
      </c>
      <c r="O110" s="3">
        <f t="shared" si="114"/>
        <v>0</v>
      </c>
      <c r="P110" s="3">
        <f t="shared" si="115"/>
        <v>40771613.817639098</v>
      </c>
      <c r="Q110" s="3">
        <f t="shared" si="116"/>
        <v>33953871.346843787</v>
      </c>
      <c r="R110" s="3">
        <f t="shared" si="117"/>
        <v>0</v>
      </c>
      <c r="S110" s="47">
        <f t="shared" ref="S110:S121" ca="1" si="135">SUM(L110:R110)</f>
        <v>86674392.544247448</v>
      </c>
      <c r="T110" s="47">
        <f>'Monthly Data'!Y110</f>
        <v>88828.526705128214</v>
      </c>
      <c r="U110" s="47">
        <f ca="1">+'Monthly Data'!Z110</f>
        <v>424110.63510227395</v>
      </c>
      <c r="V110" s="47">
        <f t="shared" ref="V110:V121" ca="1" si="136">S110+T110+U110</f>
        <v>87187331.706054851</v>
      </c>
    </row>
    <row r="111" spans="1:22">
      <c r="A111" s="2">
        <f t="shared" si="131"/>
        <v>45716</v>
      </c>
      <c r="B111">
        <f t="shared" si="132"/>
        <v>2025</v>
      </c>
      <c r="C111">
        <f t="shared" si="133"/>
        <v>2</v>
      </c>
      <c r="D111" s="3">
        <f ca="1">'Monthly Data'!X111</f>
        <v>82104224.158762336</v>
      </c>
      <c r="E111" s="3">
        <f t="shared" ref="E111:F111" ca="1" si="137">E99</f>
        <v>660.7954166666666</v>
      </c>
      <c r="F111" s="3">
        <f t="shared" ca="1" si="137"/>
        <v>0</v>
      </c>
      <c r="G111">
        <f>'Monthly Data'!EG111</f>
        <v>0</v>
      </c>
      <c r="H111" s="3">
        <f>'Monthly Data'!DQ111</f>
        <v>28</v>
      </c>
      <c r="I111" s="3">
        <f>'Monthly Data'!DL111</f>
        <v>897872</v>
      </c>
      <c r="J111" s="489">
        <f>'Monthly Data'!EJ111</f>
        <v>0</v>
      </c>
      <c r="L111" s="3">
        <f t="shared" si="111"/>
        <v>-4442160.1424492002</v>
      </c>
      <c r="M111" s="3">
        <f t="shared" ca="1" si="112"/>
        <v>14388047.48079998</v>
      </c>
      <c r="N111" s="3">
        <f t="shared" ca="1" si="113"/>
        <v>0</v>
      </c>
      <c r="O111" s="3">
        <f t="shared" si="114"/>
        <v>0</v>
      </c>
      <c r="P111" s="3">
        <f t="shared" si="115"/>
        <v>36825973.770770796</v>
      </c>
      <c r="Q111" s="3">
        <f t="shared" si="116"/>
        <v>33953871.346843787</v>
      </c>
      <c r="R111" s="3">
        <f t="shared" si="117"/>
        <v>0</v>
      </c>
      <c r="S111" s="47">
        <f t="shared" ca="1" si="135"/>
        <v>80725732.45596537</v>
      </c>
      <c r="T111" s="47">
        <f>'Monthly Data'!Y111</f>
        <v>90939.292910256409</v>
      </c>
      <c r="U111" s="47">
        <f ca="1">+'Monthly Data'!Z111</f>
        <v>385217.78237646219</v>
      </c>
      <c r="V111" s="47">
        <f t="shared" ca="1" si="136"/>
        <v>81201889.531252101</v>
      </c>
    </row>
    <row r="112" spans="1:22">
      <c r="A112" s="2">
        <f t="shared" si="131"/>
        <v>45747</v>
      </c>
      <c r="B112">
        <f t="shared" si="132"/>
        <v>2025</v>
      </c>
      <c r="C112">
        <f t="shared" si="133"/>
        <v>3</v>
      </c>
      <c r="D112" s="3">
        <f ca="1">'Monthly Data'!X112</f>
        <v>85859682.616023034</v>
      </c>
      <c r="E112" s="3">
        <f t="shared" ref="E112:F112" ca="1" si="138">E100</f>
        <v>596.21590579710141</v>
      </c>
      <c r="F112" s="3">
        <f t="shared" ca="1" si="138"/>
        <v>2.9583333333332896E-2</v>
      </c>
      <c r="G112">
        <f>'Monthly Data'!EG112</f>
        <v>1</v>
      </c>
      <c r="H112" s="3">
        <f>'Monthly Data'!DQ112</f>
        <v>31</v>
      </c>
      <c r="I112" s="3">
        <f>'Monthly Data'!DL112</f>
        <v>897872</v>
      </c>
      <c r="J112" s="489">
        <f>'Monthly Data'!EJ112</f>
        <v>0</v>
      </c>
      <c r="L112" s="3">
        <f t="shared" si="111"/>
        <v>-4442160.1424492002</v>
      </c>
      <c r="M112" s="3">
        <f t="shared" ca="1" si="112"/>
        <v>12981904.149229543</v>
      </c>
      <c r="N112" s="3">
        <f t="shared" ca="1" si="113"/>
        <v>1907.1474734676008</v>
      </c>
      <c r="O112" s="3">
        <f t="shared" si="114"/>
        <v>1833644.83418835</v>
      </c>
      <c r="P112" s="3">
        <f t="shared" si="115"/>
        <v>40771613.817639098</v>
      </c>
      <c r="Q112" s="3">
        <f t="shared" si="116"/>
        <v>33953871.346843787</v>
      </c>
      <c r="R112" s="3">
        <f t="shared" si="117"/>
        <v>0</v>
      </c>
      <c r="S112" s="47">
        <f t="shared" ca="1" si="135"/>
        <v>85100781.152925044</v>
      </c>
      <c r="T112" s="47">
        <f>'Monthly Data'!Y112</f>
        <v>93050.059115384618</v>
      </c>
      <c r="U112" s="47">
        <f ca="1">+'Monthly Data'!Z112</f>
        <v>300312.17565971002</v>
      </c>
      <c r="V112" s="47">
        <f t="shared" ca="1" si="136"/>
        <v>85494143.38770014</v>
      </c>
    </row>
    <row r="113" spans="1:22">
      <c r="A113" s="2">
        <f t="shared" si="131"/>
        <v>45777</v>
      </c>
      <c r="B113">
        <f t="shared" si="132"/>
        <v>2025</v>
      </c>
      <c r="C113">
        <f t="shared" si="133"/>
        <v>4</v>
      </c>
      <c r="D113" s="3">
        <f ca="1">'Monthly Data'!X113</f>
        <v>80696944.293937355</v>
      </c>
      <c r="E113" s="3">
        <f t="shared" ref="E113:F113" ca="1" si="139">E101</f>
        <v>412.8885416666667</v>
      </c>
      <c r="F113" s="3">
        <f t="shared" ca="1" si="139"/>
        <v>6.0095833333333344</v>
      </c>
      <c r="G113">
        <f>'Monthly Data'!EG113</f>
        <v>1</v>
      </c>
      <c r="H113" s="3">
        <f>'Monthly Data'!DQ113</f>
        <v>30</v>
      </c>
      <c r="I113" s="3">
        <f>'Monthly Data'!DL113</f>
        <v>894654</v>
      </c>
      <c r="J113" s="489">
        <f>'Monthly Data'!EJ113</f>
        <v>0</v>
      </c>
      <c r="L113" s="3">
        <f t="shared" si="111"/>
        <v>-4442160.1424492002</v>
      </c>
      <c r="M113" s="3">
        <f t="shared" ca="1" si="112"/>
        <v>8990165.1735804696</v>
      </c>
      <c r="N113" s="3">
        <f t="shared" ca="1" si="113"/>
        <v>387419.54943413549</v>
      </c>
      <c r="O113" s="3">
        <f t="shared" si="114"/>
        <v>1833644.83418835</v>
      </c>
      <c r="P113" s="3">
        <f t="shared" si="115"/>
        <v>39456400.468682997</v>
      </c>
      <c r="Q113" s="3">
        <f t="shared" si="116"/>
        <v>33832179.660284735</v>
      </c>
      <c r="R113" s="3">
        <f t="shared" si="117"/>
        <v>0</v>
      </c>
      <c r="S113" s="47">
        <f t="shared" ca="1" si="135"/>
        <v>80057649.543721497</v>
      </c>
      <c r="T113" s="47">
        <f>'Monthly Data'!Y113</f>
        <v>95160.825320512813</v>
      </c>
      <c r="U113" s="47">
        <f ca="1">+'Monthly Data'!Z113</f>
        <v>203733.88770924328</v>
      </c>
      <c r="V113" s="47">
        <f t="shared" ca="1" si="136"/>
        <v>80356544.256751254</v>
      </c>
    </row>
    <row r="114" spans="1:22">
      <c r="A114" s="2">
        <f t="shared" si="131"/>
        <v>45808</v>
      </c>
      <c r="B114">
        <f t="shared" si="132"/>
        <v>2025</v>
      </c>
      <c r="C114">
        <f t="shared" si="133"/>
        <v>5</v>
      </c>
      <c r="D114" s="3">
        <f ca="1">'Monthly Data'!X114</f>
        <v>80857386.408083797</v>
      </c>
      <c r="E114" s="3">
        <f t="shared" ref="E114:F114" ca="1" si="140">E102</f>
        <v>208.90012508544086</v>
      </c>
      <c r="F114" s="3">
        <f t="shared" ca="1" si="140"/>
        <v>81.50872474747473</v>
      </c>
      <c r="G114">
        <f>'Monthly Data'!EG114</f>
        <v>1</v>
      </c>
      <c r="H114" s="3">
        <f>'Monthly Data'!DQ114</f>
        <v>31</v>
      </c>
      <c r="I114" s="3">
        <f>'Monthly Data'!DL114</f>
        <v>894654</v>
      </c>
      <c r="J114" s="489">
        <f>'Monthly Data'!EJ114</f>
        <v>0</v>
      </c>
      <c r="L114" s="3">
        <f t="shared" si="111"/>
        <v>-4442160.1424492002</v>
      </c>
      <c r="M114" s="3">
        <f t="shared" ca="1" si="112"/>
        <v>4548555.9413172565</v>
      </c>
      <c r="N114" s="3">
        <f t="shared" ca="1" si="113"/>
        <v>5254619.4411621923</v>
      </c>
      <c r="O114" s="3">
        <f t="shared" si="114"/>
        <v>1833644.83418835</v>
      </c>
      <c r="P114" s="3">
        <f t="shared" si="115"/>
        <v>40771613.817639098</v>
      </c>
      <c r="Q114" s="3">
        <f t="shared" si="116"/>
        <v>33832179.660284735</v>
      </c>
      <c r="R114" s="3">
        <f t="shared" si="117"/>
        <v>0</v>
      </c>
      <c r="S114" s="47">
        <f t="shared" ca="1" si="135"/>
        <v>81798453.552142441</v>
      </c>
      <c r="T114" s="47">
        <f>'Monthly Data'!Y114</f>
        <v>97271.591525641023</v>
      </c>
      <c r="U114" s="47">
        <f ca="1">+'Monthly Data'!Z114</f>
        <v>92257.127948485941</v>
      </c>
      <c r="V114" s="47">
        <f t="shared" ca="1" si="136"/>
        <v>81987982.271616578</v>
      </c>
    </row>
    <row r="115" spans="1:22">
      <c r="A115" s="2">
        <f t="shared" si="131"/>
        <v>45838</v>
      </c>
      <c r="B115">
        <f t="shared" si="132"/>
        <v>2025</v>
      </c>
      <c r="C115">
        <f t="shared" si="133"/>
        <v>6</v>
      </c>
      <c r="D115" s="3">
        <f ca="1">'Monthly Data'!X115</f>
        <v>85380153.1683373</v>
      </c>
      <c r="E115" s="3">
        <f t="shared" ref="E115:F115" ca="1" si="141">E103</f>
        <v>61.78217382617381</v>
      </c>
      <c r="F115" s="3">
        <f t="shared" ca="1" si="141"/>
        <v>202.3599342107168</v>
      </c>
      <c r="G115">
        <f>'Monthly Data'!EG115</f>
        <v>0</v>
      </c>
      <c r="H115" s="3">
        <f>'Monthly Data'!DQ115</f>
        <v>30</v>
      </c>
      <c r="I115" s="3">
        <f>'Monthly Data'!DL115</f>
        <v>894654</v>
      </c>
      <c r="J115" s="489">
        <f>'Monthly Data'!EJ115</f>
        <v>0</v>
      </c>
      <c r="L115" s="3">
        <f t="shared" si="111"/>
        <v>-4442160.1424492002</v>
      </c>
      <c r="M115" s="3">
        <f t="shared" ca="1" si="112"/>
        <v>1345234.5885843791</v>
      </c>
      <c r="N115" s="3">
        <f t="shared" ca="1" si="113"/>
        <v>13045529.146852197</v>
      </c>
      <c r="O115" s="3">
        <f t="shared" si="114"/>
        <v>0</v>
      </c>
      <c r="P115" s="3">
        <f t="shared" si="115"/>
        <v>39456400.468682997</v>
      </c>
      <c r="Q115" s="3">
        <f t="shared" si="116"/>
        <v>33832179.660284735</v>
      </c>
      <c r="R115" s="3">
        <f t="shared" si="117"/>
        <v>0</v>
      </c>
      <c r="S115" s="47">
        <f t="shared" ca="1" si="135"/>
        <v>83237183.721955121</v>
      </c>
      <c r="T115" s="47">
        <f>'Monthly Data'!Y115</f>
        <v>99382.357730769218</v>
      </c>
      <c r="U115" s="47">
        <f ca="1">+'Monthly Data'!Z115</f>
        <v>13002.083333709672</v>
      </c>
      <c r="V115" s="47">
        <f t="shared" ca="1" si="136"/>
        <v>83349568.163019612</v>
      </c>
    </row>
    <row r="116" spans="1:22">
      <c r="A116" s="2">
        <f t="shared" si="131"/>
        <v>45869</v>
      </c>
      <c r="B116">
        <f t="shared" si="132"/>
        <v>2025</v>
      </c>
      <c r="C116">
        <f t="shared" si="133"/>
        <v>7</v>
      </c>
      <c r="D116" s="3">
        <f ca="1">'Monthly Data'!X116</f>
        <v>93667096.541675851</v>
      </c>
      <c r="E116" s="3">
        <f t="shared" ref="E116:F116" ca="1" si="142">E104</f>
        <v>8.334479813664597</v>
      </c>
      <c r="F116" s="3">
        <f t="shared" ca="1" si="142"/>
        <v>304.72508692061177</v>
      </c>
      <c r="G116">
        <f>'Monthly Data'!EG116</f>
        <v>0</v>
      </c>
      <c r="H116" s="3">
        <f>'Monthly Data'!DQ116</f>
        <v>31</v>
      </c>
      <c r="I116" s="3">
        <f>'Monthly Data'!DL116</f>
        <v>899254</v>
      </c>
      <c r="J116" s="489">
        <f>'Monthly Data'!EJ116</f>
        <v>0</v>
      </c>
      <c r="L116" s="3">
        <f t="shared" si="111"/>
        <v>-4442160.1424492002</v>
      </c>
      <c r="M116" s="3">
        <f t="shared" ca="1" si="112"/>
        <v>181473.55181681956</v>
      </c>
      <c r="N116" s="3">
        <f t="shared" ca="1" si="113"/>
        <v>19644699.029504735</v>
      </c>
      <c r="O116" s="3">
        <f t="shared" si="114"/>
        <v>0</v>
      </c>
      <c r="P116" s="3">
        <f t="shared" si="115"/>
        <v>40771613.817639098</v>
      </c>
      <c r="Q116" s="3">
        <f t="shared" si="116"/>
        <v>34006132.972333096</v>
      </c>
      <c r="R116" s="3">
        <f t="shared" si="117"/>
        <v>0</v>
      </c>
      <c r="S116" s="47">
        <f t="shared" ca="1" si="135"/>
        <v>90161759.228844553</v>
      </c>
      <c r="T116" s="47">
        <f>'Monthly Data'!Y116</f>
        <v>101493.12393589743</v>
      </c>
      <c r="U116" s="47">
        <f ca="1">+'Monthly Data'!Z116</f>
        <v>436.70014537046575</v>
      </c>
      <c r="V116" s="47">
        <f t="shared" ca="1" si="136"/>
        <v>90263689.05292581</v>
      </c>
    </row>
    <row r="117" spans="1:22">
      <c r="A117" s="2">
        <f t="shared" si="131"/>
        <v>45900</v>
      </c>
      <c r="B117">
        <f t="shared" si="132"/>
        <v>2025</v>
      </c>
      <c r="C117">
        <f t="shared" si="133"/>
        <v>8</v>
      </c>
      <c r="D117" s="3">
        <f ca="1">'Monthly Data'!X117</f>
        <v>89611952.025804102</v>
      </c>
      <c r="E117" s="3">
        <f t="shared" ref="E117:F117" ca="1" si="143">E105</f>
        <v>21.054927536231883</v>
      </c>
      <c r="F117" s="3">
        <f t="shared" ca="1" si="143"/>
        <v>275.96017127799735</v>
      </c>
      <c r="G117">
        <f>'Monthly Data'!EG117</f>
        <v>0</v>
      </c>
      <c r="H117" s="3">
        <f>'Monthly Data'!DQ117</f>
        <v>31</v>
      </c>
      <c r="I117" s="3">
        <f>'Monthly Data'!DL117</f>
        <v>899254</v>
      </c>
      <c r="J117" s="489">
        <f>'Monthly Data'!EJ117</f>
        <v>0</v>
      </c>
      <c r="L117" s="3">
        <f t="shared" si="111"/>
        <v>-4442160.1424492002</v>
      </c>
      <c r="M117" s="3">
        <f t="shared" ca="1" si="112"/>
        <v>458446.42601224757</v>
      </c>
      <c r="N117" s="3">
        <f t="shared" ca="1" si="113"/>
        <v>17790312.45398964</v>
      </c>
      <c r="O117" s="3">
        <f t="shared" si="114"/>
        <v>0</v>
      </c>
      <c r="P117" s="3">
        <f t="shared" si="115"/>
        <v>40771613.817639098</v>
      </c>
      <c r="Q117" s="3">
        <f t="shared" si="116"/>
        <v>34006132.972333096</v>
      </c>
      <c r="R117" s="3">
        <f t="shared" si="117"/>
        <v>0</v>
      </c>
      <c r="S117" s="47">
        <f t="shared" ca="1" si="135"/>
        <v>88584345.527524889</v>
      </c>
      <c r="T117" s="47">
        <f>'Monthly Data'!Y117</f>
        <v>103603.89014102562</v>
      </c>
      <c r="U117" s="47">
        <f ca="1">+'Monthly Data'!Z117</f>
        <v>9937.9441921599864</v>
      </c>
      <c r="V117" s="47">
        <f t="shared" ca="1" si="136"/>
        <v>88697887.36185807</v>
      </c>
    </row>
    <row r="118" spans="1:22">
      <c r="A118" s="2">
        <f t="shared" si="131"/>
        <v>45930</v>
      </c>
      <c r="B118">
        <f t="shared" si="132"/>
        <v>2025</v>
      </c>
      <c r="C118">
        <f t="shared" si="133"/>
        <v>9</v>
      </c>
      <c r="D118" s="3">
        <f ca="1">'Monthly Data'!X118</f>
        <v>83899048.660809964</v>
      </c>
      <c r="E118" s="3">
        <f t="shared" ref="E118:F118" ca="1" si="144">E106</f>
        <v>97.667119565217376</v>
      </c>
      <c r="F118" s="3">
        <f t="shared" ca="1" si="144"/>
        <v>154.9849637681159</v>
      </c>
      <c r="G118">
        <f>'Monthly Data'!EG118</f>
        <v>1</v>
      </c>
      <c r="H118" s="3">
        <f>'Monthly Data'!DQ118</f>
        <v>30</v>
      </c>
      <c r="I118" s="3">
        <f>'Monthly Data'!DL118</f>
        <v>899254</v>
      </c>
      <c r="J118" s="489">
        <f>'Monthly Data'!EJ118</f>
        <v>0</v>
      </c>
      <c r="L118" s="3">
        <f t="shared" si="111"/>
        <v>-4442160.1424492002</v>
      </c>
      <c r="M118" s="3">
        <f t="shared" ca="1" si="112"/>
        <v>2126587.3191220681</v>
      </c>
      <c r="N118" s="3">
        <f t="shared" ca="1" si="113"/>
        <v>9991408.9715774972</v>
      </c>
      <c r="O118" s="3">
        <f t="shared" si="114"/>
        <v>1833644.83418835</v>
      </c>
      <c r="P118" s="3">
        <f t="shared" si="115"/>
        <v>39456400.468682997</v>
      </c>
      <c r="Q118" s="3">
        <f t="shared" si="116"/>
        <v>34006132.972333096</v>
      </c>
      <c r="R118" s="3">
        <f t="shared" si="117"/>
        <v>0</v>
      </c>
      <c r="S118" s="47">
        <f t="shared" ca="1" si="135"/>
        <v>82972014.423454806</v>
      </c>
      <c r="T118" s="47">
        <f>'Monthly Data'!Y118</f>
        <v>105714.65634615383</v>
      </c>
      <c r="U118" s="47">
        <f ca="1">+'Monthly Data'!Z118</f>
        <v>21521.355230412006</v>
      </c>
      <c r="V118" s="47">
        <f t="shared" ca="1" si="136"/>
        <v>83099250.435031369</v>
      </c>
    </row>
    <row r="119" spans="1:22">
      <c r="A119" s="2">
        <f t="shared" si="131"/>
        <v>45961</v>
      </c>
      <c r="B119">
        <f t="shared" si="132"/>
        <v>2025</v>
      </c>
      <c r="C119">
        <f t="shared" si="133"/>
        <v>10</v>
      </c>
      <c r="D119" s="3">
        <f ca="1">'Monthly Data'!X119</f>
        <v>82219504.638061821</v>
      </c>
      <c r="E119" s="3">
        <f t="shared" ref="E119:F119" ca="1" si="145">E107</f>
        <v>292.46431159420291</v>
      </c>
      <c r="F119" s="3">
        <f t="shared" ca="1" si="145"/>
        <v>38.347916666666663</v>
      </c>
      <c r="G119">
        <f>'Monthly Data'!EG119</f>
        <v>1</v>
      </c>
      <c r="H119" s="3">
        <f>'Monthly Data'!DQ119</f>
        <v>31</v>
      </c>
      <c r="I119" s="3">
        <f>'Monthly Data'!DL119</f>
        <v>904812.6129999999</v>
      </c>
      <c r="J119" s="489">
        <f>'Monthly Data'!EJ119</f>
        <v>0</v>
      </c>
      <c r="L119" s="3">
        <f t="shared" si="111"/>
        <v>-4442160.1424492002</v>
      </c>
      <c r="M119" s="3">
        <f t="shared" ca="1" si="112"/>
        <v>6368068.3847411759</v>
      </c>
      <c r="N119" s="3">
        <f t="shared" ca="1" si="113"/>
        <v>2472173.4890224398</v>
      </c>
      <c r="O119" s="3">
        <f t="shared" si="114"/>
        <v>1833644.83418835</v>
      </c>
      <c r="P119" s="3">
        <f t="shared" si="115"/>
        <v>40771613.817639098</v>
      </c>
      <c r="Q119" s="3">
        <f t="shared" si="116"/>
        <v>34216337.133582011</v>
      </c>
      <c r="R119" s="3">
        <f t="shared" si="117"/>
        <v>0</v>
      </c>
      <c r="S119" s="47">
        <f t="shared" ca="1" si="135"/>
        <v>81219677.516723871</v>
      </c>
      <c r="T119" s="47">
        <f>'Monthly Data'!Y119</f>
        <v>107825.42255128204</v>
      </c>
      <c r="U119" s="47">
        <f ca="1">+'Monthly Data'!Z119</f>
        <v>127485.07724436552</v>
      </c>
      <c r="V119" s="47">
        <f t="shared" ca="1" si="136"/>
        <v>81454988.016519532</v>
      </c>
    </row>
    <row r="120" spans="1:22">
      <c r="A120" s="2">
        <f t="shared" si="131"/>
        <v>45991</v>
      </c>
      <c r="B120">
        <f t="shared" si="132"/>
        <v>2025</v>
      </c>
      <c r="C120">
        <f t="shared" si="133"/>
        <v>11</v>
      </c>
      <c r="D120" s="3">
        <f ca="1">'Monthly Data'!X120</f>
        <v>82909087.556268379</v>
      </c>
      <c r="E120" s="3">
        <f t="shared" ref="E120:F120" ca="1" si="146">E108</f>
        <v>495.51408055712409</v>
      </c>
      <c r="F120" s="3">
        <f t="shared" ca="1" si="146"/>
        <v>1.9241666666666659</v>
      </c>
      <c r="G120">
        <f>'Monthly Data'!EG120</f>
        <v>1</v>
      </c>
      <c r="H120" s="3">
        <f>'Monthly Data'!DQ120</f>
        <v>30</v>
      </c>
      <c r="I120" s="3">
        <f>'Monthly Data'!DL120</f>
        <v>904812.6129999999</v>
      </c>
      <c r="J120" s="489">
        <f>'Monthly Data'!EJ120</f>
        <v>0</v>
      </c>
      <c r="L120" s="3">
        <f t="shared" si="111"/>
        <v>-4442160.1424492002</v>
      </c>
      <c r="M120" s="3">
        <f t="shared" ca="1" si="112"/>
        <v>10789239.66274612</v>
      </c>
      <c r="N120" s="3">
        <f t="shared" ca="1" si="113"/>
        <v>124045.16947145785</v>
      </c>
      <c r="O120" s="3">
        <f t="shared" si="114"/>
        <v>1833644.83418835</v>
      </c>
      <c r="P120" s="3">
        <f t="shared" si="115"/>
        <v>39456400.468682997</v>
      </c>
      <c r="Q120" s="3">
        <f t="shared" si="116"/>
        <v>34216337.133582011</v>
      </c>
      <c r="R120" s="3">
        <f t="shared" si="117"/>
        <v>0</v>
      </c>
      <c r="S120" s="47">
        <f t="shared" ca="1" si="135"/>
        <v>81977507.126221731</v>
      </c>
      <c r="T120" s="47">
        <f>'Monthly Data'!Y120</f>
        <v>109936.18875641024</v>
      </c>
      <c r="U120" s="47">
        <f ca="1">+'Monthly Data'!Z120</f>
        <v>266717.62966999522</v>
      </c>
      <c r="V120" s="47">
        <f t="shared" ca="1" si="136"/>
        <v>82354160.944648132</v>
      </c>
    </row>
    <row r="121" spans="1:22">
      <c r="A121" s="2">
        <f t="shared" si="131"/>
        <v>46022</v>
      </c>
      <c r="B121">
        <f t="shared" si="132"/>
        <v>2025</v>
      </c>
      <c r="C121">
        <f t="shared" si="133"/>
        <v>12</v>
      </c>
      <c r="D121" s="3">
        <f ca="1">'Monthly Data'!X121</f>
        <v>88557544.387372404</v>
      </c>
      <c r="E121" s="3">
        <f t="shared" ref="E121:F121" ca="1" si="147">E109</f>
        <v>664.38541666666663</v>
      </c>
      <c r="F121" s="3">
        <f t="shared" ca="1" si="147"/>
        <v>0</v>
      </c>
      <c r="G121">
        <f>'Monthly Data'!EG121</f>
        <v>0</v>
      </c>
      <c r="H121" s="3">
        <f>'Monthly Data'!DQ121</f>
        <v>31</v>
      </c>
      <c r="I121" s="3">
        <f>'Monthly Data'!DL121</f>
        <v>904812.6129999999</v>
      </c>
      <c r="J121" s="489">
        <f>'Monthly Data'!EJ121</f>
        <v>0</v>
      </c>
      <c r="L121" s="3">
        <f t="shared" si="111"/>
        <v>-4442160.1424492002</v>
      </c>
      <c r="M121" s="3">
        <f t="shared" ca="1" si="112"/>
        <v>14466215.532746576</v>
      </c>
      <c r="N121" s="3">
        <f t="shared" ca="1" si="113"/>
        <v>0</v>
      </c>
      <c r="O121" s="3">
        <f t="shared" si="114"/>
        <v>0</v>
      </c>
      <c r="P121" s="3">
        <f t="shared" si="115"/>
        <v>40771613.817639098</v>
      </c>
      <c r="Q121" s="3">
        <f t="shared" si="116"/>
        <v>34216337.133582011</v>
      </c>
      <c r="R121" s="3">
        <f t="shared" si="117"/>
        <v>0</v>
      </c>
      <c r="S121" s="47">
        <f t="shared" ca="1" si="135"/>
        <v>85012006.341518492</v>
      </c>
      <c r="T121" s="47">
        <f>'Monthly Data'!Y121</f>
        <v>112046.95496153845</v>
      </c>
      <c r="U121" s="47">
        <f ca="1">+'Monthly Data'!Z121</f>
        <v>395027.8530453922</v>
      </c>
      <c r="V121" s="47">
        <f t="shared" ca="1" si="136"/>
        <v>85519081.149525419</v>
      </c>
    </row>
    <row r="122" spans="1:22">
      <c r="A122" s="2">
        <f t="shared" si="131"/>
        <v>46053</v>
      </c>
      <c r="B122">
        <f t="shared" si="132"/>
        <v>2026</v>
      </c>
      <c r="C122">
        <f t="shared" si="133"/>
        <v>1</v>
      </c>
      <c r="E122" s="3">
        <f t="shared" ref="E122:F122" ca="1" si="148">E110</f>
        <v>752.78750000000002</v>
      </c>
      <c r="F122" s="3">
        <f t="shared" ca="1" si="148"/>
        <v>0</v>
      </c>
      <c r="G122">
        <f t="shared" ref="G122:G130" si="149">G110</f>
        <v>0</v>
      </c>
      <c r="H122" s="3">
        <f t="shared" ref="H122:H162" si="150">H86</f>
        <v>31</v>
      </c>
      <c r="I122" s="261">
        <f t="shared" ref="I122:I157" si="151">I121</f>
        <v>904812.6129999999</v>
      </c>
      <c r="J122" s="489">
        <f>'Monthly Data'!EJ122</f>
        <v>0</v>
      </c>
      <c r="L122" s="3">
        <f t="shared" si="111"/>
        <v>-4442160.1424492002</v>
      </c>
      <c r="M122" s="3">
        <f t="shared" ca="1" si="112"/>
        <v>16391067.522213772</v>
      </c>
      <c r="N122" s="3">
        <f t="shared" ca="1" si="113"/>
        <v>0</v>
      </c>
      <c r="O122" s="3">
        <f t="shared" si="114"/>
        <v>0</v>
      </c>
      <c r="P122" s="3">
        <f t="shared" si="115"/>
        <v>40771613.817639098</v>
      </c>
      <c r="Q122" s="3">
        <f t="shared" si="116"/>
        <v>34216337.133582011</v>
      </c>
      <c r="R122" s="3">
        <f t="shared" si="117"/>
        <v>0</v>
      </c>
      <c r="S122" s="47">
        <f t="shared" ca="1" si="127"/>
        <v>86936858.33098568</v>
      </c>
      <c r="T122" s="47">
        <f>IFERROR(HLOOKUP(B122-1,'EV Forecast VRZ'!$F$124:$T$130,5,FALSE)/12,0)+IFERROR(((HLOOKUP(B122,'EV Forecast VRZ'!$F$116:$T$122,5,FALSE)-HLOOKUP(B122-1,'EV Forecast VRZ'!$F$124:$T$130,5,FALSE)))*C122/78,0)</f>
        <v>116357.6928588224</v>
      </c>
      <c r="U122" s="47">
        <f ca="1">HLOOKUP(B122,Heating!$C$102:$O$106,5,FALSE)*INDEX(Weather!$BO$1:$CB$20,MATCH(B122,Weather!$BO$1:$BO$20,0),MATCH(C122,Weather!$BO$1:$CB$1,0))/VLOOKUP(B122,Weather!$BO$2:$CB$20,14,FALSE)</f>
        <v>495892.03881718259</v>
      </c>
      <c r="V122" s="47">
        <f t="shared" ca="1" si="128"/>
        <v>87549108.062661678</v>
      </c>
    </row>
    <row r="123" spans="1:22">
      <c r="A123" s="2">
        <f t="shared" si="131"/>
        <v>46081</v>
      </c>
      <c r="B123">
        <f t="shared" si="132"/>
        <v>2026</v>
      </c>
      <c r="C123">
        <f t="shared" si="133"/>
        <v>2</v>
      </c>
      <c r="E123" s="3">
        <f t="shared" ref="E123:F123" ca="1" si="152">E111</f>
        <v>660.7954166666666</v>
      </c>
      <c r="F123" s="3">
        <f t="shared" ca="1" si="152"/>
        <v>0</v>
      </c>
      <c r="G123">
        <f t="shared" si="149"/>
        <v>0</v>
      </c>
      <c r="H123" s="3">
        <f t="shared" si="150"/>
        <v>28</v>
      </c>
      <c r="I123" s="261">
        <f t="shared" si="151"/>
        <v>904812.6129999999</v>
      </c>
      <c r="J123" s="489">
        <f>'Monthly Data'!EJ123</f>
        <v>0</v>
      </c>
      <c r="L123" s="3">
        <f t="shared" si="111"/>
        <v>-4442160.1424492002</v>
      </c>
      <c r="M123" s="3">
        <f t="shared" ca="1" si="112"/>
        <v>14388047.48079998</v>
      </c>
      <c r="N123" s="3">
        <f t="shared" ca="1" si="113"/>
        <v>0</v>
      </c>
      <c r="O123" s="3">
        <f t="shared" si="114"/>
        <v>0</v>
      </c>
      <c r="P123" s="3">
        <f t="shared" si="115"/>
        <v>36825973.770770796</v>
      </c>
      <c r="Q123" s="3">
        <f t="shared" si="116"/>
        <v>34216337.133582011</v>
      </c>
      <c r="R123" s="3">
        <f t="shared" si="117"/>
        <v>0</v>
      </c>
      <c r="S123" s="47">
        <f t="shared" ca="1" si="127"/>
        <v>80988198.242703587</v>
      </c>
      <c r="T123" s="47">
        <f>IFERROR(HLOOKUP(B123-1,'EV Forecast VRZ'!$F$124:$T$130,5,FALSE)/12,0)+IFERROR(((HLOOKUP(B123,'EV Forecast VRZ'!$F$116:$T$122,5,FALSE)-HLOOKUP(B123-1,'EV Forecast VRZ'!$F$124:$T$130,5,FALSE)))*C123/78,0)</f>
        <v>118557.66455097814</v>
      </c>
      <c r="U123" s="47">
        <f ca="1">HLOOKUP(B123,Heating!$C$102:$O$106,5,FALSE)*INDEX(Weather!$BO$1:$CB$20,MATCH(B123,Weather!$BO$1:$BO$20,0),MATCH(C123,Weather!$BO$1:$CB$1,0))/VLOOKUP(B123,Weather!$BO$2:$CB$20,14,FALSE)</f>
        <v>433730.62919469504</v>
      </c>
      <c r="V123" s="47">
        <f t="shared" ca="1" si="128"/>
        <v>81540486.536449254</v>
      </c>
    </row>
    <row r="124" spans="1:22">
      <c r="A124" s="2">
        <f t="shared" si="131"/>
        <v>46112</v>
      </c>
      <c r="B124">
        <f t="shared" si="132"/>
        <v>2026</v>
      </c>
      <c r="C124">
        <f t="shared" si="133"/>
        <v>3</v>
      </c>
      <c r="E124" s="3">
        <f t="shared" ref="E124:F124" ca="1" si="153">E112</f>
        <v>596.21590579710141</v>
      </c>
      <c r="F124" s="3">
        <f t="shared" ca="1" si="153"/>
        <v>2.9583333333332896E-2</v>
      </c>
      <c r="G124">
        <f t="shared" si="149"/>
        <v>1</v>
      </c>
      <c r="H124" s="3">
        <f t="shared" si="150"/>
        <v>31</v>
      </c>
      <c r="I124" s="261">
        <f t="shared" si="151"/>
        <v>904812.6129999999</v>
      </c>
      <c r="J124" s="489">
        <f>'Monthly Data'!EJ124</f>
        <v>0</v>
      </c>
      <c r="L124" s="3">
        <f t="shared" si="111"/>
        <v>-4442160.1424492002</v>
      </c>
      <c r="M124" s="3">
        <f t="shared" ca="1" si="112"/>
        <v>12981904.149229543</v>
      </c>
      <c r="N124" s="3">
        <f t="shared" ca="1" si="113"/>
        <v>1907.1474734676008</v>
      </c>
      <c r="O124" s="3">
        <f t="shared" si="114"/>
        <v>1833644.83418835</v>
      </c>
      <c r="P124" s="3">
        <f t="shared" si="115"/>
        <v>40771613.817639098</v>
      </c>
      <c r="Q124" s="3">
        <f t="shared" si="116"/>
        <v>34216337.133582011</v>
      </c>
      <c r="R124" s="3">
        <f t="shared" si="117"/>
        <v>0</v>
      </c>
      <c r="S124" s="47">
        <f t="shared" ca="1" si="127"/>
        <v>85363246.939663261</v>
      </c>
      <c r="T124" s="47">
        <f>IFERROR(HLOOKUP(B124-1,'EV Forecast VRZ'!$F$124:$T$130,5,FALSE)/12,0)+IFERROR(((HLOOKUP(B124,'EV Forecast VRZ'!$F$116:$T$122,5,FALSE)-HLOOKUP(B124-1,'EV Forecast VRZ'!$F$124:$T$130,5,FALSE)))*C124/78,0)</f>
        <v>120757.63624313388</v>
      </c>
      <c r="U124" s="47">
        <f ca="1">HLOOKUP(B124,Heating!$C$102:$O$106,5,FALSE)*INDEX(Weather!$BO$1:$CB$20,MATCH(B124,Weather!$BO$1:$BO$20,0),MATCH(C124,Weather!$BO$1:$CB$1,0))/VLOOKUP(B124,Weather!$BO$2:$CB$20,14,FALSE)</f>
        <v>383494.80078069237</v>
      </c>
      <c r="V124" s="47">
        <f t="shared" ca="1" si="128"/>
        <v>85867499.376687095</v>
      </c>
    </row>
    <row r="125" spans="1:22">
      <c r="A125" s="2">
        <f t="shared" si="131"/>
        <v>46142</v>
      </c>
      <c r="B125">
        <f t="shared" si="132"/>
        <v>2026</v>
      </c>
      <c r="C125">
        <f t="shared" si="133"/>
        <v>4</v>
      </c>
      <c r="E125" s="3">
        <f t="shared" ref="E125:F125" ca="1" si="154">E113</f>
        <v>412.8885416666667</v>
      </c>
      <c r="F125" s="3">
        <f t="shared" ca="1" si="154"/>
        <v>6.0095833333333344</v>
      </c>
      <c r="G125">
        <f t="shared" si="149"/>
        <v>1</v>
      </c>
      <c r="H125" s="3">
        <f t="shared" si="150"/>
        <v>30</v>
      </c>
      <c r="I125" s="261">
        <f t="shared" si="151"/>
        <v>904812.6129999999</v>
      </c>
      <c r="J125" s="489">
        <f>'Monthly Data'!EJ125</f>
        <v>0</v>
      </c>
      <c r="L125" s="3">
        <f t="shared" si="111"/>
        <v>-4442160.1424492002</v>
      </c>
      <c r="M125" s="3">
        <f t="shared" ca="1" si="112"/>
        <v>8990165.1735804696</v>
      </c>
      <c r="N125" s="3">
        <f t="shared" ca="1" si="113"/>
        <v>387419.54943413549</v>
      </c>
      <c r="O125" s="3">
        <f t="shared" si="114"/>
        <v>1833644.83418835</v>
      </c>
      <c r="P125" s="3">
        <f t="shared" si="115"/>
        <v>39456400.468682997</v>
      </c>
      <c r="Q125" s="3">
        <f t="shared" si="116"/>
        <v>34216337.133582011</v>
      </c>
      <c r="R125" s="3">
        <f t="shared" si="117"/>
        <v>0</v>
      </c>
      <c r="S125" s="47">
        <f t="shared" ca="1" si="127"/>
        <v>80441807.017018765</v>
      </c>
      <c r="T125" s="47">
        <f>IFERROR(HLOOKUP(B125-1,'EV Forecast VRZ'!$F$124:$T$130,5,FALSE)/12,0)+IFERROR(((HLOOKUP(B125,'EV Forecast VRZ'!$F$116:$T$122,5,FALSE)-HLOOKUP(B125-1,'EV Forecast VRZ'!$F$124:$T$130,5,FALSE)))*C125/78,0)</f>
        <v>122957.60793528962</v>
      </c>
      <c r="U125" s="47">
        <f ca="1">HLOOKUP(B125,Heating!$C$102:$O$106,5,FALSE)*INDEX(Weather!$BO$1:$CB$20,MATCH(B125,Weather!$BO$1:$BO$20,0),MATCH(C125,Weather!$BO$1:$CB$1,0))/VLOOKUP(B125,Weather!$BO$2:$CB$20,14,FALSE)</f>
        <v>253351.09277741908</v>
      </c>
      <c r="V125" s="47">
        <f t="shared" ca="1" si="128"/>
        <v>80818115.717731476</v>
      </c>
    </row>
    <row r="126" spans="1:22">
      <c r="A126" s="2">
        <f t="shared" si="131"/>
        <v>46173</v>
      </c>
      <c r="B126">
        <f t="shared" si="132"/>
        <v>2026</v>
      </c>
      <c r="C126">
        <f t="shared" si="133"/>
        <v>5</v>
      </c>
      <c r="E126" s="3">
        <f t="shared" ref="E126:F126" ca="1" si="155">E114</f>
        <v>208.90012508544086</v>
      </c>
      <c r="F126" s="3">
        <f t="shared" ca="1" si="155"/>
        <v>81.50872474747473</v>
      </c>
      <c r="G126">
        <f t="shared" si="149"/>
        <v>1</v>
      </c>
      <c r="H126" s="3">
        <f t="shared" si="150"/>
        <v>31</v>
      </c>
      <c r="I126" s="261">
        <f t="shared" si="151"/>
        <v>904812.6129999999</v>
      </c>
      <c r="J126" s="489">
        <f>'Monthly Data'!EJ126</f>
        <v>0</v>
      </c>
      <c r="L126" s="3">
        <f t="shared" si="111"/>
        <v>-4442160.1424492002</v>
      </c>
      <c r="M126" s="3">
        <f t="shared" ca="1" si="112"/>
        <v>4548555.9413172565</v>
      </c>
      <c r="N126" s="3">
        <f t="shared" ca="1" si="113"/>
        <v>5254619.4411621923</v>
      </c>
      <c r="O126" s="3">
        <f t="shared" si="114"/>
        <v>1833644.83418835</v>
      </c>
      <c r="P126" s="3">
        <f t="shared" si="115"/>
        <v>40771613.817639098</v>
      </c>
      <c r="Q126" s="3">
        <f t="shared" si="116"/>
        <v>34216337.133582011</v>
      </c>
      <c r="R126" s="3">
        <f t="shared" si="117"/>
        <v>0</v>
      </c>
      <c r="S126" s="47">
        <f t="shared" ca="1" si="127"/>
        <v>82182611.025439709</v>
      </c>
      <c r="T126" s="47">
        <f>IFERROR(HLOOKUP(B126-1,'EV Forecast VRZ'!$F$124:$T$130,5,FALSE)/12,0)+IFERROR(((HLOOKUP(B126,'EV Forecast VRZ'!$F$116:$T$122,5,FALSE)-HLOOKUP(B126-1,'EV Forecast VRZ'!$F$124:$T$130,5,FALSE)))*C126/78,0)</f>
        <v>125157.57962744535</v>
      </c>
      <c r="U126" s="47">
        <f ca="1">HLOOKUP(B126,Heating!$C$102:$O$106,5,FALSE)*INDEX(Weather!$BO$1:$CB$20,MATCH(B126,Weather!$BO$1:$BO$20,0),MATCH(C126,Weather!$BO$1:$CB$1,0))/VLOOKUP(B126,Weather!$BO$2:$CB$20,14,FALSE)</f>
        <v>111446.50808455862</v>
      </c>
      <c r="V126" s="47">
        <f t="shared" ca="1" si="128"/>
        <v>82419215.113151714</v>
      </c>
    </row>
    <row r="127" spans="1:22">
      <c r="A127" s="2">
        <f t="shared" si="131"/>
        <v>46203</v>
      </c>
      <c r="B127">
        <f t="shared" si="132"/>
        <v>2026</v>
      </c>
      <c r="C127">
        <f t="shared" si="133"/>
        <v>6</v>
      </c>
      <c r="E127" s="3">
        <f t="shared" ref="E127:F127" ca="1" si="156">E115</f>
        <v>61.78217382617381</v>
      </c>
      <c r="F127" s="3">
        <f t="shared" ca="1" si="156"/>
        <v>202.3599342107168</v>
      </c>
      <c r="G127">
        <f t="shared" si="149"/>
        <v>0</v>
      </c>
      <c r="H127" s="3">
        <f t="shared" si="150"/>
        <v>30</v>
      </c>
      <c r="I127" s="261">
        <f t="shared" si="151"/>
        <v>904812.6129999999</v>
      </c>
      <c r="J127" s="489">
        <f>'Monthly Data'!EJ127</f>
        <v>0</v>
      </c>
      <c r="L127" s="3">
        <f t="shared" si="111"/>
        <v>-4442160.1424492002</v>
      </c>
      <c r="M127" s="3">
        <f t="shared" ca="1" si="112"/>
        <v>1345234.5885843791</v>
      </c>
      <c r="N127" s="3">
        <f t="shared" ca="1" si="113"/>
        <v>13045529.146852197</v>
      </c>
      <c r="O127" s="3">
        <f t="shared" si="114"/>
        <v>0</v>
      </c>
      <c r="P127" s="3">
        <f t="shared" si="115"/>
        <v>39456400.468682997</v>
      </c>
      <c r="Q127" s="3">
        <f t="shared" si="116"/>
        <v>34216337.133582011</v>
      </c>
      <c r="R127" s="3">
        <f t="shared" si="117"/>
        <v>0</v>
      </c>
      <c r="S127" s="47">
        <f t="shared" ca="1" si="127"/>
        <v>83621341.195252389</v>
      </c>
      <c r="T127" s="47">
        <f>IFERROR(HLOOKUP(B127-1,'EV Forecast VRZ'!$F$124:$T$130,5,FALSE)/12,0)+IFERROR(((HLOOKUP(B127,'EV Forecast VRZ'!$F$116:$T$122,5,FALSE)-HLOOKUP(B127-1,'EV Forecast VRZ'!$F$124:$T$130,5,FALSE)))*C127/78,0)</f>
        <v>127357.55131960109</v>
      </c>
      <c r="U127" s="47">
        <f ca="1">HLOOKUP(B127,Heating!$C$102:$O$106,5,FALSE)*INDEX(Weather!$BO$1:$CB$20,MATCH(B127,Weather!$BO$1:$BO$20,0),MATCH(C127,Weather!$BO$1:$CB$1,0))/VLOOKUP(B127,Weather!$BO$2:$CB$20,14,FALSE)</f>
        <v>21732.524813811557</v>
      </c>
      <c r="V127" s="47">
        <f t="shared" ca="1" si="128"/>
        <v>83770431.271385804</v>
      </c>
    </row>
    <row r="128" spans="1:22">
      <c r="A128" s="2">
        <f t="shared" si="131"/>
        <v>46234</v>
      </c>
      <c r="B128">
        <f t="shared" si="132"/>
        <v>2026</v>
      </c>
      <c r="C128">
        <f t="shared" si="133"/>
        <v>7</v>
      </c>
      <c r="E128" s="3">
        <f t="shared" ref="E128:F128" ca="1" si="157">E116</f>
        <v>8.334479813664597</v>
      </c>
      <c r="F128" s="3">
        <f t="shared" ca="1" si="157"/>
        <v>304.72508692061177</v>
      </c>
      <c r="G128">
        <f t="shared" si="149"/>
        <v>0</v>
      </c>
      <c r="H128" s="3">
        <f t="shared" si="150"/>
        <v>31</v>
      </c>
      <c r="I128" s="261">
        <f t="shared" si="151"/>
        <v>904812.6129999999</v>
      </c>
      <c r="J128" s="489">
        <f>'Monthly Data'!EJ128</f>
        <v>0</v>
      </c>
      <c r="L128" s="3">
        <f t="shared" si="111"/>
        <v>-4442160.1424492002</v>
      </c>
      <c r="M128" s="3">
        <f t="shared" ca="1" si="112"/>
        <v>181473.55181681956</v>
      </c>
      <c r="N128" s="3">
        <f t="shared" ca="1" si="113"/>
        <v>19644699.029504735</v>
      </c>
      <c r="O128" s="3">
        <f t="shared" si="114"/>
        <v>0</v>
      </c>
      <c r="P128" s="3">
        <f t="shared" si="115"/>
        <v>40771613.817639098</v>
      </c>
      <c r="Q128" s="3">
        <f t="shared" si="116"/>
        <v>34216337.133582011</v>
      </c>
      <c r="R128" s="3">
        <f t="shared" si="117"/>
        <v>0</v>
      </c>
      <c r="S128" s="47">
        <f t="shared" ca="1" si="127"/>
        <v>90371963.390093461</v>
      </c>
      <c r="T128" s="47">
        <f>IFERROR(HLOOKUP(B128-1,'EV Forecast VRZ'!$F$124:$T$130,5,FALSE)/12,0)+IFERROR(((HLOOKUP(B128,'EV Forecast VRZ'!$F$116:$T$122,5,FALSE)-HLOOKUP(B128-1,'EV Forecast VRZ'!$F$124:$T$130,5,FALSE)))*C128/78,0)</f>
        <v>129557.52301175683</v>
      </c>
      <c r="U128" s="47">
        <f ca="1">HLOOKUP(B128,Heating!$C$102:$O$106,5,FALSE)*INDEX(Weather!$BO$1:$CB$20,MATCH(B128,Weather!$BO$1:$BO$20,0),MATCH(C128,Weather!$BO$1:$CB$1,0))/VLOOKUP(B128,Weather!$BO$2:$CB$20,14,FALSE)</f>
        <v>778.58421067810536</v>
      </c>
      <c r="V128" s="47">
        <f t="shared" ca="1" si="128"/>
        <v>90502299.497315899</v>
      </c>
    </row>
    <row r="129" spans="1:22">
      <c r="A129" s="2">
        <f t="shared" si="131"/>
        <v>46265</v>
      </c>
      <c r="B129">
        <f t="shared" si="132"/>
        <v>2026</v>
      </c>
      <c r="C129">
        <f t="shared" si="133"/>
        <v>8</v>
      </c>
      <c r="E129" s="3">
        <f t="shared" ref="E129:F129" ca="1" si="158">E117</f>
        <v>21.054927536231883</v>
      </c>
      <c r="F129" s="3">
        <f t="shared" ca="1" si="158"/>
        <v>275.96017127799735</v>
      </c>
      <c r="G129">
        <f t="shared" si="149"/>
        <v>0</v>
      </c>
      <c r="H129" s="3">
        <f t="shared" si="150"/>
        <v>31</v>
      </c>
      <c r="I129" s="261">
        <f t="shared" si="151"/>
        <v>904812.6129999999</v>
      </c>
      <c r="J129" s="489">
        <f>'Monthly Data'!EJ129</f>
        <v>0</v>
      </c>
      <c r="L129" s="3">
        <f t="shared" si="111"/>
        <v>-4442160.1424492002</v>
      </c>
      <c r="M129" s="3">
        <f t="shared" ca="1" si="112"/>
        <v>458446.42601224757</v>
      </c>
      <c r="N129" s="3">
        <f t="shared" ca="1" si="113"/>
        <v>17790312.45398964</v>
      </c>
      <c r="O129" s="3">
        <f t="shared" si="114"/>
        <v>0</v>
      </c>
      <c r="P129" s="3">
        <f t="shared" si="115"/>
        <v>40771613.817639098</v>
      </c>
      <c r="Q129" s="3">
        <f t="shared" si="116"/>
        <v>34216337.133582011</v>
      </c>
      <c r="R129" s="3">
        <f t="shared" si="117"/>
        <v>0</v>
      </c>
      <c r="S129" s="47">
        <f t="shared" ca="1" si="127"/>
        <v>88794549.688773796</v>
      </c>
      <c r="T129" s="47">
        <f>IFERROR(HLOOKUP(B129-1,'EV Forecast VRZ'!$F$124:$T$130,5,FALSE)/12,0)+IFERROR(((HLOOKUP(B129,'EV Forecast VRZ'!$F$116:$T$122,5,FALSE)-HLOOKUP(B129-1,'EV Forecast VRZ'!$F$124:$T$130,5,FALSE)))*C129/78,0)</f>
        <v>131757.49470391258</v>
      </c>
      <c r="U129" s="47">
        <f ca="1">HLOOKUP(B129,Heating!$C$102:$O$106,5,FALSE)*INDEX(Weather!$BO$1:$CB$20,MATCH(B129,Weather!$BO$1:$BO$20,0),MATCH(C129,Weather!$BO$1:$CB$1,0))/VLOOKUP(B129,Weather!$BO$2:$CB$20,14,FALSE)</f>
        <v>4611.9823067405787</v>
      </c>
      <c r="V129" s="47">
        <f t="shared" ca="1" si="128"/>
        <v>88930919.165784448</v>
      </c>
    </row>
    <row r="130" spans="1:22">
      <c r="A130" s="2">
        <f t="shared" si="131"/>
        <v>46295</v>
      </c>
      <c r="B130">
        <f t="shared" si="132"/>
        <v>2026</v>
      </c>
      <c r="C130">
        <f t="shared" si="133"/>
        <v>9</v>
      </c>
      <c r="E130" s="3">
        <f t="shared" ref="E130:F130" ca="1" si="159">E118</f>
        <v>97.667119565217376</v>
      </c>
      <c r="F130" s="3">
        <f t="shared" ca="1" si="159"/>
        <v>154.9849637681159</v>
      </c>
      <c r="G130">
        <f t="shared" si="149"/>
        <v>1</v>
      </c>
      <c r="H130" s="3">
        <f t="shared" si="150"/>
        <v>30</v>
      </c>
      <c r="I130" s="261">
        <f t="shared" si="151"/>
        <v>904812.6129999999</v>
      </c>
      <c r="J130" s="489">
        <f>'Monthly Data'!EJ130</f>
        <v>0</v>
      </c>
      <c r="L130" s="3">
        <f t="shared" ref="L130:L161" si="160">$Z$8</f>
        <v>-4442160.1424492002</v>
      </c>
      <c r="M130" s="3">
        <f t="shared" ref="M130:M161" ca="1" si="161">E130*$Z$9</f>
        <v>2126587.3191220681</v>
      </c>
      <c r="N130" s="3">
        <f t="shared" ref="N130:N161" ca="1" si="162">F130*$Z$10</f>
        <v>9991408.9715774972</v>
      </c>
      <c r="O130" s="3">
        <f t="shared" ref="O130:O161" si="163">G130*$Z$11</f>
        <v>1833644.83418835</v>
      </c>
      <c r="P130" s="3">
        <f t="shared" ref="P130:P161" si="164">H130*$Z$12</f>
        <v>39456400.468682997</v>
      </c>
      <c r="Q130" s="3">
        <f t="shared" ref="Q130:Q161" si="165">I130*$Z$13</f>
        <v>34216337.133582011</v>
      </c>
      <c r="R130" s="3">
        <f t="shared" ref="R130:R161" si="166">J130*$Z$14</f>
        <v>0</v>
      </c>
      <c r="S130" s="47">
        <f t="shared" ca="1" si="127"/>
        <v>83182218.584703714</v>
      </c>
      <c r="T130" s="47">
        <f>IFERROR(HLOOKUP(B130-1,'EV Forecast VRZ'!$F$124:$T$130,5,FALSE)/12,0)+IFERROR(((HLOOKUP(B130,'EV Forecast VRZ'!$F$116:$T$122,5,FALSE)-HLOOKUP(B130-1,'EV Forecast VRZ'!$F$124:$T$130,5,FALSE)))*C130/78,0)</f>
        <v>133957.46639606831</v>
      </c>
      <c r="U130" s="47">
        <f ca="1">HLOOKUP(B130,Heating!$C$102:$O$106,5,FALSE)*INDEX(Weather!$BO$1:$CB$20,MATCH(B130,Weather!$BO$1:$BO$20,0),MATCH(C130,Weather!$BO$1:$CB$1,0))/VLOOKUP(B130,Weather!$BO$2:$CB$20,14,FALSE)</f>
        <v>39061.144202704367</v>
      </c>
      <c r="V130" s="47">
        <f t="shared" ca="1" si="128"/>
        <v>83355237.195302486</v>
      </c>
    </row>
    <row r="131" spans="1:22">
      <c r="A131" s="2">
        <f t="shared" si="131"/>
        <v>46326</v>
      </c>
      <c r="B131">
        <f t="shared" si="132"/>
        <v>2026</v>
      </c>
      <c r="C131">
        <f t="shared" si="133"/>
        <v>10</v>
      </c>
      <c r="E131" s="3">
        <f t="shared" ref="E131:F131" ca="1" si="167">E119</f>
        <v>292.46431159420291</v>
      </c>
      <c r="F131" s="3">
        <f t="shared" ca="1" si="167"/>
        <v>38.347916666666663</v>
      </c>
      <c r="G131">
        <f t="shared" ref="G131:G146" si="168">G119</f>
        <v>1</v>
      </c>
      <c r="H131" s="3">
        <f t="shared" si="150"/>
        <v>31</v>
      </c>
      <c r="I131" s="261">
        <f t="shared" si="151"/>
        <v>904812.6129999999</v>
      </c>
      <c r="J131" s="489">
        <f>'Monthly Data'!EJ131</f>
        <v>0</v>
      </c>
      <c r="L131" s="3">
        <f t="shared" si="160"/>
        <v>-4442160.1424492002</v>
      </c>
      <c r="M131" s="3">
        <f t="shared" ca="1" si="161"/>
        <v>6368068.3847411759</v>
      </c>
      <c r="N131" s="3">
        <f t="shared" ca="1" si="162"/>
        <v>2472173.4890224398</v>
      </c>
      <c r="O131" s="3">
        <f t="shared" si="163"/>
        <v>1833644.83418835</v>
      </c>
      <c r="P131" s="3">
        <f t="shared" si="164"/>
        <v>40771613.817639098</v>
      </c>
      <c r="Q131" s="3">
        <f t="shared" si="165"/>
        <v>34216337.133582011</v>
      </c>
      <c r="R131" s="3">
        <f t="shared" si="166"/>
        <v>0</v>
      </c>
      <c r="S131" s="47">
        <f t="shared" ca="1" si="127"/>
        <v>81219677.516723871</v>
      </c>
      <c r="T131" s="47">
        <f>IFERROR(HLOOKUP(B131-1,'EV Forecast VRZ'!$F$124:$T$130,5,FALSE)/12,0)+IFERROR(((HLOOKUP(B131,'EV Forecast VRZ'!$F$116:$T$122,5,FALSE)-HLOOKUP(B131-1,'EV Forecast VRZ'!$F$124:$T$130,5,FALSE)))*C131/78,0)</f>
        <v>136157.43808822404</v>
      </c>
      <c r="U131" s="47">
        <f ca="1">HLOOKUP(B131,Heating!$C$102:$O$106,5,FALSE)*INDEX(Weather!$BO$1:$CB$20,MATCH(B131,Weather!$BO$1:$BO$20,0),MATCH(C131,Weather!$BO$1:$CB$1,0))/VLOOKUP(B131,Weather!$BO$2:$CB$20,14,FALSE)</f>
        <v>166698.48313551964</v>
      </c>
      <c r="V131" s="47">
        <f t="shared" ca="1" si="128"/>
        <v>81522533.437947616</v>
      </c>
    </row>
    <row r="132" spans="1:22">
      <c r="A132" s="2">
        <f t="shared" si="131"/>
        <v>46356</v>
      </c>
      <c r="B132">
        <f t="shared" si="132"/>
        <v>2026</v>
      </c>
      <c r="C132">
        <f t="shared" si="133"/>
        <v>11</v>
      </c>
      <c r="E132" s="3">
        <f t="shared" ref="E132:F132" ca="1" si="169">E120</f>
        <v>495.51408055712409</v>
      </c>
      <c r="F132" s="3">
        <f t="shared" ca="1" si="169"/>
        <v>1.9241666666666659</v>
      </c>
      <c r="G132">
        <f t="shared" si="168"/>
        <v>1</v>
      </c>
      <c r="H132" s="3">
        <f t="shared" si="150"/>
        <v>30</v>
      </c>
      <c r="I132" s="261">
        <f t="shared" si="151"/>
        <v>904812.6129999999</v>
      </c>
      <c r="J132" s="489">
        <f>'Monthly Data'!EJ132</f>
        <v>0</v>
      </c>
      <c r="L132" s="3">
        <f t="shared" si="160"/>
        <v>-4442160.1424492002</v>
      </c>
      <c r="M132" s="3">
        <f t="shared" ca="1" si="161"/>
        <v>10789239.66274612</v>
      </c>
      <c r="N132" s="3">
        <f t="shared" ca="1" si="162"/>
        <v>124045.16947145785</v>
      </c>
      <c r="O132" s="3">
        <f t="shared" si="163"/>
        <v>1833644.83418835</v>
      </c>
      <c r="P132" s="3">
        <f t="shared" si="164"/>
        <v>39456400.468682997</v>
      </c>
      <c r="Q132" s="3">
        <f t="shared" si="165"/>
        <v>34216337.133582011</v>
      </c>
      <c r="R132" s="3">
        <f t="shared" si="166"/>
        <v>0</v>
      </c>
      <c r="S132" s="47">
        <f t="shared" ca="1" si="127"/>
        <v>81977507.126221731</v>
      </c>
      <c r="T132" s="47">
        <f>IFERROR(HLOOKUP(B132-1,'EV Forecast VRZ'!$F$124:$T$130,5,FALSE)/12,0)+IFERROR(((HLOOKUP(B132,'EV Forecast VRZ'!$F$116:$T$122,5,FALSE)-HLOOKUP(B132-1,'EV Forecast VRZ'!$F$124:$T$130,5,FALSE)))*C132/78,0)</f>
        <v>138357.40978037979</v>
      </c>
      <c r="U132" s="47">
        <f ca="1">HLOOKUP(B132,Heating!$C$102:$O$106,5,FALSE)*INDEX(Weather!$BO$1:$CB$20,MATCH(B132,Weather!$BO$1:$BO$20,0),MATCH(C132,Weather!$BO$1:$CB$1,0))/VLOOKUP(B132,Weather!$BO$2:$CB$20,14,FALSE)</f>
        <v>312640.23356106313</v>
      </c>
      <c r="V132" s="47">
        <f t="shared" ca="1" si="128"/>
        <v>82428504.769563183</v>
      </c>
    </row>
    <row r="133" spans="1:22">
      <c r="A133" s="2">
        <f t="shared" si="131"/>
        <v>46387</v>
      </c>
      <c r="B133">
        <f t="shared" si="132"/>
        <v>2026</v>
      </c>
      <c r="C133">
        <f t="shared" si="133"/>
        <v>12</v>
      </c>
      <c r="E133" s="3">
        <f t="shared" ref="E133:F133" ca="1" si="170">E121</f>
        <v>664.38541666666663</v>
      </c>
      <c r="F133" s="3">
        <f t="shared" ca="1" si="170"/>
        <v>0</v>
      </c>
      <c r="G133">
        <f t="shared" si="168"/>
        <v>0</v>
      </c>
      <c r="H133" s="3">
        <f t="shared" si="150"/>
        <v>31</v>
      </c>
      <c r="I133" s="261">
        <f t="shared" si="151"/>
        <v>904812.6129999999</v>
      </c>
      <c r="J133" s="489">
        <f>'Monthly Data'!EJ133</f>
        <v>0</v>
      </c>
      <c r="L133" s="3">
        <f t="shared" si="160"/>
        <v>-4442160.1424492002</v>
      </c>
      <c r="M133" s="3">
        <f t="shared" ca="1" si="161"/>
        <v>14466215.532746576</v>
      </c>
      <c r="N133" s="3">
        <f t="shared" ca="1" si="162"/>
        <v>0</v>
      </c>
      <c r="O133" s="3">
        <f t="shared" si="163"/>
        <v>0</v>
      </c>
      <c r="P133" s="3">
        <f t="shared" si="164"/>
        <v>40771613.817639098</v>
      </c>
      <c r="Q133" s="3">
        <f t="shared" si="165"/>
        <v>34216337.133582011</v>
      </c>
      <c r="R133" s="3">
        <f t="shared" si="166"/>
        <v>0</v>
      </c>
      <c r="S133" s="47">
        <f t="shared" ca="1" si="127"/>
        <v>85012006.341518492</v>
      </c>
      <c r="T133" s="47">
        <f>IFERROR(HLOOKUP(B133-1,'EV Forecast VRZ'!$F$124:$T$130,5,FALSE)/12,0)+IFERROR(((HLOOKUP(B133,'EV Forecast VRZ'!$F$116:$T$122,5,FALSE)-HLOOKUP(B133-1,'EV Forecast VRZ'!$F$124:$T$130,5,FALSE)))*C133/78,0)</f>
        <v>140557.38147253552</v>
      </c>
      <c r="U133" s="47">
        <f ca="1">HLOOKUP(B133,Heating!$C$102:$O$106,5,FALSE)*INDEX(Weather!$BO$1:$CB$20,MATCH(B133,Weather!$BO$1:$BO$20,0),MATCH(C133,Weather!$BO$1:$CB$1,0))/VLOOKUP(B133,Weather!$BO$2:$CB$20,14,FALSE)</f>
        <v>432431.29388498113</v>
      </c>
      <c r="V133" s="47">
        <f t="shared" ca="1" si="128"/>
        <v>85584995.016876012</v>
      </c>
    </row>
    <row r="134" spans="1:22">
      <c r="A134" s="2">
        <f t="shared" si="131"/>
        <v>46418</v>
      </c>
      <c r="B134">
        <f t="shared" si="132"/>
        <v>2027</v>
      </c>
      <c r="C134">
        <f t="shared" si="133"/>
        <v>1</v>
      </c>
      <c r="E134" s="3">
        <f t="shared" ref="E134:F134" ca="1" si="171">E122</f>
        <v>752.78750000000002</v>
      </c>
      <c r="F134" s="3">
        <f t="shared" ca="1" si="171"/>
        <v>0</v>
      </c>
      <c r="G134">
        <f t="shared" si="168"/>
        <v>0</v>
      </c>
      <c r="H134" s="3">
        <f t="shared" si="150"/>
        <v>31</v>
      </c>
      <c r="I134" s="261">
        <f t="shared" si="151"/>
        <v>904812.6129999999</v>
      </c>
      <c r="J134" s="489">
        <f>'Monthly Data'!EJ134</f>
        <v>0</v>
      </c>
      <c r="L134" s="3">
        <f t="shared" si="160"/>
        <v>-4442160.1424492002</v>
      </c>
      <c r="M134" s="3">
        <f t="shared" ca="1" si="161"/>
        <v>16391067.522213772</v>
      </c>
      <c r="N134" s="3">
        <f t="shared" ca="1" si="162"/>
        <v>0</v>
      </c>
      <c r="O134" s="3">
        <f t="shared" si="163"/>
        <v>0</v>
      </c>
      <c r="P134" s="3">
        <f t="shared" si="164"/>
        <v>40771613.817639098</v>
      </c>
      <c r="Q134" s="3">
        <f t="shared" si="165"/>
        <v>34216337.133582011</v>
      </c>
      <c r="R134" s="3">
        <f t="shared" si="166"/>
        <v>0</v>
      </c>
      <c r="S134" s="47">
        <f t="shared" ca="1" si="127"/>
        <v>86936858.33098568</v>
      </c>
      <c r="T134" s="47">
        <f>IFERROR(HLOOKUP(B134-1,'EV Forecast VRZ'!$F$124:$T$130,5,FALSE)/12,0)+IFERROR(((HLOOKUP(B134,'EV Forecast VRZ'!$F$116:$T$122,5,FALSE)-HLOOKUP(B134-1,'EV Forecast VRZ'!$F$124:$T$130,5,FALSE)))*C134/78,0)</f>
        <v>145208.43362066912</v>
      </c>
      <c r="U134" s="47">
        <f ca="1">HLOOKUP(B134,Heating!$C$102:$O$106,5,FALSE)*INDEX(Weather!$BO$1:$CB$20,MATCH(B134,Weather!$BO$1:$BO$20,0),MATCH(C134,Weather!$BO$1:$CB$1,0))/VLOOKUP(B134,Weather!$BO$2:$CB$20,14,FALSE)</f>
        <v>578254.65227413934</v>
      </c>
      <c r="V134" s="47">
        <f t="shared" ca="1" si="128"/>
        <v>87660321.416880503</v>
      </c>
    </row>
    <row r="135" spans="1:22">
      <c r="A135" s="2">
        <f t="shared" si="131"/>
        <v>46446</v>
      </c>
      <c r="B135">
        <f t="shared" si="132"/>
        <v>2027</v>
      </c>
      <c r="C135">
        <f t="shared" si="133"/>
        <v>2</v>
      </c>
      <c r="E135" s="3">
        <f t="shared" ref="E135:F135" ca="1" si="172">E123</f>
        <v>660.7954166666666</v>
      </c>
      <c r="F135" s="3">
        <f t="shared" ca="1" si="172"/>
        <v>0</v>
      </c>
      <c r="G135">
        <f t="shared" si="168"/>
        <v>0</v>
      </c>
      <c r="H135" s="3">
        <f t="shared" si="150"/>
        <v>29</v>
      </c>
      <c r="I135" s="261">
        <f t="shared" si="151"/>
        <v>904812.6129999999</v>
      </c>
      <c r="J135" s="489">
        <f>'Monthly Data'!EJ135</f>
        <v>0</v>
      </c>
      <c r="L135" s="3">
        <f t="shared" si="160"/>
        <v>-4442160.1424492002</v>
      </c>
      <c r="M135" s="3">
        <f t="shared" ca="1" si="161"/>
        <v>14388047.48079998</v>
      </c>
      <c r="N135" s="3">
        <f t="shared" ca="1" si="162"/>
        <v>0</v>
      </c>
      <c r="O135" s="3">
        <f t="shared" si="163"/>
        <v>0</v>
      </c>
      <c r="P135" s="3">
        <f t="shared" si="164"/>
        <v>38141187.119726896</v>
      </c>
      <c r="Q135" s="3">
        <f t="shared" si="165"/>
        <v>34216337.133582011</v>
      </c>
      <c r="R135" s="3">
        <f t="shared" si="166"/>
        <v>0</v>
      </c>
      <c r="S135" s="47">
        <f t="shared" ca="1" si="127"/>
        <v>82303411.591659695</v>
      </c>
      <c r="T135" s="47">
        <f>IFERROR(HLOOKUP(B135-1,'EV Forecast VRZ'!$F$124:$T$130,5,FALSE)/12,0)+IFERROR(((HLOOKUP(B135,'EV Forecast VRZ'!$F$116:$T$122,5,FALSE)-HLOOKUP(B135-1,'EV Forecast VRZ'!$F$124:$T$130,5,FALSE)))*C135/78,0)</f>
        <v>147659.51407664694</v>
      </c>
      <c r="U135" s="47">
        <f ca="1">HLOOKUP(B135,Heating!$C$102:$O$106,5,FALSE)*INDEX(Weather!$BO$1:$CB$20,MATCH(B135,Weather!$BO$1:$BO$20,0),MATCH(C135,Weather!$BO$1:$CB$1,0))/VLOOKUP(B135,Weather!$BO$2:$CB$20,14,FALSE)</f>
        <v>505768.86606982903</v>
      </c>
      <c r="V135" s="47">
        <f t="shared" ca="1" si="128"/>
        <v>82956839.971806169</v>
      </c>
    </row>
    <row r="136" spans="1:22">
      <c r="A136" s="2">
        <f t="shared" si="131"/>
        <v>46477</v>
      </c>
      <c r="B136">
        <f t="shared" si="132"/>
        <v>2027</v>
      </c>
      <c r="C136">
        <f t="shared" si="133"/>
        <v>3</v>
      </c>
      <c r="E136" s="3">
        <f t="shared" ref="E136:F136" ca="1" si="173">E124</f>
        <v>596.21590579710141</v>
      </c>
      <c r="F136" s="3">
        <f t="shared" ca="1" si="173"/>
        <v>2.9583333333332896E-2</v>
      </c>
      <c r="G136">
        <f t="shared" si="168"/>
        <v>1</v>
      </c>
      <c r="H136" s="3">
        <f t="shared" si="150"/>
        <v>31</v>
      </c>
      <c r="I136" s="261">
        <f t="shared" si="151"/>
        <v>904812.6129999999</v>
      </c>
      <c r="J136" s="489">
        <f>'Monthly Data'!EJ136</f>
        <v>0</v>
      </c>
      <c r="L136" s="3">
        <f t="shared" si="160"/>
        <v>-4442160.1424492002</v>
      </c>
      <c r="M136" s="3">
        <f t="shared" ca="1" si="161"/>
        <v>12981904.149229543</v>
      </c>
      <c r="N136" s="3">
        <f t="shared" ca="1" si="162"/>
        <v>1907.1474734676008</v>
      </c>
      <c r="O136" s="3">
        <f t="shared" si="163"/>
        <v>1833644.83418835</v>
      </c>
      <c r="P136" s="3">
        <f t="shared" si="164"/>
        <v>40771613.817639098</v>
      </c>
      <c r="Q136" s="3">
        <f t="shared" si="165"/>
        <v>34216337.133582011</v>
      </c>
      <c r="R136" s="3">
        <f t="shared" si="166"/>
        <v>0</v>
      </c>
      <c r="S136" s="47">
        <f t="shared" ca="1" si="127"/>
        <v>85363246.939663261</v>
      </c>
      <c r="T136" s="47">
        <f>IFERROR(HLOOKUP(B136-1,'EV Forecast VRZ'!$F$124:$T$130,5,FALSE)/12,0)+IFERROR(((HLOOKUP(B136,'EV Forecast VRZ'!$F$116:$T$122,5,FALSE)-HLOOKUP(B136-1,'EV Forecast VRZ'!$F$124:$T$130,5,FALSE)))*C136/78,0)</f>
        <v>150110.59453262479</v>
      </c>
      <c r="U136" s="47">
        <f ca="1">HLOOKUP(B136,Heating!$C$102:$O$106,5,FALSE)*INDEX(Weather!$BO$1:$CB$20,MATCH(B136,Weather!$BO$1:$BO$20,0),MATCH(C136,Weather!$BO$1:$CB$1,0))/VLOOKUP(B136,Weather!$BO$2:$CB$20,14,FALSE)</f>
        <v>447189.37856579229</v>
      </c>
      <c r="V136" s="47">
        <f t="shared" ca="1" si="128"/>
        <v>85960546.912761673</v>
      </c>
    </row>
    <row r="137" spans="1:22">
      <c r="A137" s="2">
        <f t="shared" si="131"/>
        <v>46507</v>
      </c>
      <c r="B137">
        <f t="shared" si="132"/>
        <v>2027</v>
      </c>
      <c r="C137">
        <f t="shared" si="133"/>
        <v>4</v>
      </c>
      <c r="E137" s="3">
        <f t="shared" ref="E137:F137" ca="1" si="174">E125</f>
        <v>412.8885416666667</v>
      </c>
      <c r="F137" s="3">
        <f t="shared" ca="1" si="174"/>
        <v>6.0095833333333344</v>
      </c>
      <c r="G137">
        <f t="shared" si="168"/>
        <v>1</v>
      </c>
      <c r="H137" s="3">
        <f t="shared" si="150"/>
        <v>30</v>
      </c>
      <c r="I137" s="261">
        <f t="shared" si="151"/>
        <v>904812.6129999999</v>
      </c>
      <c r="J137" s="489">
        <f>'Monthly Data'!EJ137</f>
        <v>0</v>
      </c>
      <c r="L137" s="3">
        <f t="shared" si="160"/>
        <v>-4442160.1424492002</v>
      </c>
      <c r="M137" s="3">
        <f t="shared" ca="1" si="161"/>
        <v>8990165.1735804696</v>
      </c>
      <c r="N137" s="3">
        <f t="shared" ca="1" si="162"/>
        <v>387419.54943413549</v>
      </c>
      <c r="O137" s="3">
        <f t="shared" si="163"/>
        <v>1833644.83418835</v>
      </c>
      <c r="P137" s="3">
        <f t="shared" si="164"/>
        <v>39456400.468682997</v>
      </c>
      <c r="Q137" s="3">
        <f t="shared" si="165"/>
        <v>34216337.133582011</v>
      </c>
      <c r="R137" s="3">
        <f t="shared" si="166"/>
        <v>0</v>
      </c>
      <c r="S137" s="47">
        <f t="shared" ca="1" si="127"/>
        <v>80441807.017018765</v>
      </c>
      <c r="T137" s="47">
        <f>IFERROR(HLOOKUP(B137-1,'EV Forecast VRZ'!$F$124:$T$130,5,FALSE)/12,0)+IFERROR(((HLOOKUP(B137,'EV Forecast VRZ'!$F$116:$T$122,5,FALSE)-HLOOKUP(B137-1,'EV Forecast VRZ'!$F$124:$T$130,5,FALSE)))*C137/78,0)</f>
        <v>152561.67498860264</v>
      </c>
      <c r="U137" s="47">
        <f ca="1">HLOOKUP(B137,Heating!$C$102:$O$106,5,FALSE)*INDEX(Weather!$BO$1:$CB$20,MATCH(B137,Weather!$BO$1:$BO$20,0),MATCH(C137,Weather!$BO$1:$CB$1,0))/VLOOKUP(B137,Weather!$BO$2:$CB$20,14,FALSE)</f>
        <v>295430.12710330979</v>
      </c>
      <c r="V137" s="47">
        <f t="shared" ca="1" si="128"/>
        <v>80889798.819110677</v>
      </c>
    </row>
    <row r="138" spans="1:22">
      <c r="A138" s="2">
        <f t="shared" si="131"/>
        <v>46538</v>
      </c>
      <c r="B138">
        <f t="shared" si="132"/>
        <v>2027</v>
      </c>
      <c r="C138">
        <f t="shared" si="133"/>
        <v>5</v>
      </c>
      <c r="E138" s="3">
        <f t="shared" ref="E138:F138" ca="1" si="175">E126</f>
        <v>208.90012508544086</v>
      </c>
      <c r="F138" s="3">
        <f t="shared" ca="1" si="175"/>
        <v>81.50872474747473</v>
      </c>
      <c r="G138">
        <f t="shared" si="168"/>
        <v>1</v>
      </c>
      <c r="H138" s="3">
        <f t="shared" si="150"/>
        <v>31</v>
      </c>
      <c r="I138" s="261">
        <f t="shared" si="151"/>
        <v>904812.6129999999</v>
      </c>
      <c r="J138" s="489">
        <f>'Monthly Data'!EJ138</f>
        <v>0</v>
      </c>
      <c r="L138" s="3">
        <f t="shared" si="160"/>
        <v>-4442160.1424492002</v>
      </c>
      <c r="M138" s="3">
        <f t="shared" ca="1" si="161"/>
        <v>4548555.9413172565</v>
      </c>
      <c r="N138" s="3">
        <f t="shared" ca="1" si="162"/>
        <v>5254619.4411621923</v>
      </c>
      <c r="O138" s="3">
        <f t="shared" si="163"/>
        <v>1833644.83418835</v>
      </c>
      <c r="P138" s="3">
        <f t="shared" si="164"/>
        <v>40771613.817639098</v>
      </c>
      <c r="Q138" s="3">
        <f t="shared" si="165"/>
        <v>34216337.133582011</v>
      </c>
      <c r="R138" s="3">
        <f t="shared" si="166"/>
        <v>0</v>
      </c>
      <c r="S138" s="47">
        <f t="shared" ca="1" si="127"/>
        <v>82182611.025439709</v>
      </c>
      <c r="T138" s="47">
        <f>IFERROR(HLOOKUP(B138-1,'EV Forecast VRZ'!$F$124:$T$130,5,FALSE)/12,0)+IFERROR(((HLOOKUP(B138,'EV Forecast VRZ'!$F$116:$T$122,5,FALSE)-HLOOKUP(B138-1,'EV Forecast VRZ'!$F$124:$T$130,5,FALSE)))*C138/78,0)</f>
        <v>155012.75544458049</v>
      </c>
      <c r="U138" s="47">
        <f ca="1">HLOOKUP(B138,Heating!$C$102:$O$106,5,FALSE)*INDEX(Weather!$BO$1:$CB$20,MATCH(B138,Weather!$BO$1:$BO$20,0),MATCH(C138,Weather!$BO$1:$CB$1,0))/VLOOKUP(B138,Weather!$BO$2:$CB$20,14,FALSE)</f>
        <v>129956.63720135228</v>
      </c>
      <c r="V138" s="47">
        <f t="shared" ca="1" si="128"/>
        <v>82467580.41808565</v>
      </c>
    </row>
    <row r="139" spans="1:22">
      <c r="A139" s="2">
        <f t="shared" si="131"/>
        <v>46568</v>
      </c>
      <c r="B139">
        <f t="shared" si="132"/>
        <v>2027</v>
      </c>
      <c r="C139">
        <f t="shared" si="133"/>
        <v>6</v>
      </c>
      <c r="E139" s="3">
        <f t="shared" ref="E139:F139" ca="1" si="176">E127</f>
        <v>61.78217382617381</v>
      </c>
      <c r="F139" s="3">
        <f t="shared" ca="1" si="176"/>
        <v>202.3599342107168</v>
      </c>
      <c r="G139">
        <f t="shared" si="168"/>
        <v>0</v>
      </c>
      <c r="H139" s="3">
        <f t="shared" si="150"/>
        <v>30</v>
      </c>
      <c r="I139" s="261">
        <f t="shared" si="151"/>
        <v>904812.6129999999</v>
      </c>
      <c r="J139" s="489">
        <f>'Monthly Data'!EJ139</f>
        <v>0</v>
      </c>
      <c r="L139" s="3">
        <f t="shared" si="160"/>
        <v>-4442160.1424492002</v>
      </c>
      <c r="M139" s="3">
        <f t="shared" ca="1" si="161"/>
        <v>1345234.5885843791</v>
      </c>
      <c r="N139" s="3">
        <f t="shared" ca="1" si="162"/>
        <v>13045529.146852197</v>
      </c>
      <c r="O139" s="3">
        <f t="shared" si="163"/>
        <v>0</v>
      </c>
      <c r="P139" s="3">
        <f t="shared" si="164"/>
        <v>39456400.468682997</v>
      </c>
      <c r="Q139" s="3">
        <f t="shared" si="165"/>
        <v>34216337.133582011</v>
      </c>
      <c r="R139" s="3">
        <f t="shared" si="166"/>
        <v>0</v>
      </c>
      <c r="S139" s="47">
        <f t="shared" ca="1" si="127"/>
        <v>83621341.195252389</v>
      </c>
      <c r="T139" s="47">
        <f>IFERROR(HLOOKUP(B139-1,'EV Forecast VRZ'!$F$124:$T$130,5,FALSE)/12,0)+IFERROR(((HLOOKUP(B139,'EV Forecast VRZ'!$F$116:$T$122,5,FALSE)-HLOOKUP(B139-1,'EV Forecast VRZ'!$F$124:$T$130,5,FALSE)))*C139/78,0)</f>
        <v>157463.8359005583</v>
      </c>
      <c r="U139" s="47">
        <f ca="1">HLOOKUP(B139,Heating!$C$102:$O$106,5,FALSE)*INDEX(Weather!$BO$1:$CB$20,MATCH(B139,Weather!$BO$1:$BO$20,0),MATCH(C139,Weather!$BO$1:$CB$1,0))/VLOOKUP(B139,Weather!$BO$2:$CB$20,14,FALSE)</f>
        <v>25342.075684910684</v>
      </c>
      <c r="V139" s="47">
        <f t="shared" ca="1" si="128"/>
        <v>83804147.106837854</v>
      </c>
    </row>
    <row r="140" spans="1:22">
      <c r="A140" s="2">
        <f t="shared" si="131"/>
        <v>46599</v>
      </c>
      <c r="B140">
        <f t="shared" si="132"/>
        <v>2027</v>
      </c>
      <c r="C140">
        <f t="shared" si="133"/>
        <v>7</v>
      </c>
      <c r="E140" s="3">
        <f t="shared" ref="E140:F140" ca="1" si="177">E128</f>
        <v>8.334479813664597</v>
      </c>
      <c r="F140" s="3">
        <f t="shared" ca="1" si="177"/>
        <v>304.72508692061177</v>
      </c>
      <c r="G140">
        <f t="shared" si="168"/>
        <v>0</v>
      </c>
      <c r="H140" s="3">
        <f t="shared" si="150"/>
        <v>31</v>
      </c>
      <c r="I140" s="261">
        <f t="shared" si="151"/>
        <v>904812.6129999999</v>
      </c>
      <c r="J140" s="489">
        <f>'Monthly Data'!EJ140</f>
        <v>0</v>
      </c>
      <c r="L140" s="3">
        <f t="shared" si="160"/>
        <v>-4442160.1424492002</v>
      </c>
      <c r="M140" s="3">
        <f t="shared" ca="1" si="161"/>
        <v>181473.55181681956</v>
      </c>
      <c r="N140" s="3">
        <f t="shared" ca="1" si="162"/>
        <v>19644699.029504735</v>
      </c>
      <c r="O140" s="3">
        <f t="shared" si="163"/>
        <v>0</v>
      </c>
      <c r="P140" s="3">
        <f t="shared" si="164"/>
        <v>40771613.817639098</v>
      </c>
      <c r="Q140" s="3">
        <f t="shared" si="165"/>
        <v>34216337.133582011</v>
      </c>
      <c r="R140" s="3">
        <f t="shared" si="166"/>
        <v>0</v>
      </c>
      <c r="S140" s="47">
        <f t="shared" ca="1" si="127"/>
        <v>90371963.390093461</v>
      </c>
      <c r="T140" s="47">
        <f>IFERROR(HLOOKUP(B140-1,'EV Forecast VRZ'!$F$124:$T$130,5,FALSE)/12,0)+IFERROR(((HLOOKUP(B140,'EV Forecast VRZ'!$F$116:$T$122,5,FALSE)-HLOOKUP(B140-1,'EV Forecast VRZ'!$F$124:$T$130,5,FALSE)))*C140/78,0)</f>
        <v>159914.91635653615</v>
      </c>
      <c r="U140" s="47">
        <f ca="1">HLOOKUP(B140,Heating!$C$102:$O$106,5,FALSE)*INDEX(Weather!$BO$1:$CB$20,MATCH(B140,Weather!$BO$1:$BO$20,0),MATCH(C140,Weather!$BO$1:$CB$1,0))/VLOOKUP(B140,Weather!$BO$2:$CB$20,14,FALSE)</f>
        <v>907.89911264895886</v>
      </c>
      <c r="V140" s="47">
        <f t="shared" ca="1" si="128"/>
        <v>90532786.205562636</v>
      </c>
    </row>
    <row r="141" spans="1:22">
      <c r="A141" s="2">
        <f t="shared" si="131"/>
        <v>46630</v>
      </c>
      <c r="B141">
        <f t="shared" si="132"/>
        <v>2027</v>
      </c>
      <c r="C141">
        <f t="shared" si="133"/>
        <v>8</v>
      </c>
      <c r="E141" s="3">
        <f t="shared" ref="E141:F141" ca="1" si="178">E129</f>
        <v>21.054927536231883</v>
      </c>
      <c r="F141" s="3">
        <f t="shared" ca="1" si="178"/>
        <v>275.96017127799735</v>
      </c>
      <c r="G141">
        <f t="shared" si="168"/>
        <v>0</v>
      </c>
      <c r="H141" s="3">
        <f t="shared" si="150"/>
        <v>31</v>
      </c>
      <c r="I141" s="261">
        <f t="shared" si="151"/>
        <v>904812.6129999999</v>
      </c>
      <c r="J141" s="489">
        <f>'Monthly Data'!EJ141</f>
        <v>0</v>
      </c>
      <c r="L141" s="3">
        <f t="shared" si="160"/>
        <v>-4442160.1424492002</v>
      </c>
      <c r="M141" s="3">
        <f t="shared" ca="1" si="161"/>
        <v>458446.42601224757</v>
      </c>
      <c r="N141" s="3">
        <f t="shared" ca="1" si="162"/>
        <v>17790312.45398964</v>
      </c>
      <c r="O141" s="3">
        <f t="shared" si="163"/>
        <v>0</v>
      </c>
      <c r="P141" s="3">
        <f t="shared" si="164"/>
        <v>40771613.817639098</v>
      </c>
      <c r="Q141" s="3">
        <f t="shared" si="165"/>
        <v>34216337.133582011</v>
      </c>
      <c r="R141" s="3">
        <f t="shared" si="166"/>
        <v>0</v>
      </c>
      <c r="S141" s="47">
        <f t="shared" ca="1" si="127"/>
        <v>88794549.688773796</v>
      </c>
      <c r="T141" s="47">
        <f>IFERROR(HLOOKUP(B141-1,'EV Forecast VRZ'!$F$124:$T$130,5,FALSE)/12,0)+IFERROR(((HLOOKUP(B141,'EV Forecast VRZ'!$F$116:$T$122,5,FALSE)-HLOOKUP(B141-1,'EV Forecast VRZ'!$F$124:$T$130,5,FALSE)))*C141/78,0)</f>
        <v>162365.996812514</v>
      </c>
      <c r="U141" s="47">
        <f ca="1">HLOOKUP(B141,Heating!$C$102:$O$106,5,FALSE)*INDEX(Weather!$BO$1:$CB$20,MATCH(B141,Weather!$BO$1:$BO$20,0),MATCH(C141,Weather!$BO$1:$CB$1,0))/VLOOKUP(B141,Weather!$BO$2:$CB$20,14,FALSE)</f>
        <v>5377.9855620185626</v>
      </c>
      <c r="V141" s="47">
        <f t="shared" ca="1" si="128"/>
        <v>88962293.671148315</v>
      </c>
    </row>
    <row r="142" spans="1:22">
      <c r="A142" s="2">
        <f t="shared" si="131"/>
        <v>46660</v>
      </c>
      <c r="B142">
        <f t="shared" si="132"/>
        <v>2027</v>
      </c>
      <c r="C142">
        <f t="shared" si="133"/>
        <v>9</v>
      </c>
      <c r="E142" s="3">
        <f t="shared" ref="E142:F142" ca="1" si="179">E130</f>
        <v>97.667119565217376</v>
      </c>
      <c r="F142" s="3">
        <f t="shared" ca="1" si="179"/>
        <v>154.9849637681159</v>
      </c>
      <c r="G142">
        <f t="shared" si="168"/>
        <v>1</v>
      </c>
      <c r="H142" s="3">
        <f t="shared" si="150"/>
        <v>30</v>
      </c>
      <c r="I142" s="261">
        <f t="shared" si="151"/>
        <v>904812.6129999999</v>
      </c>
      <c r="J142" s="489">
        <f>'Monthly Data'!EJ142</f>
        <v>0</v>
      </c>
      <c r="L142" s="3">
        <f t="shared" si="160"/>
        <v>-4442160.1424492002</v>
      </c>
      <c r="M142" s="3">
        <f t="shared" ca="1" si="161"/>
        <v>2126587.3191220681</v>
      </c>
      <c r="N142" s="3">
        <f t="shared" ca="1" si="162"/>
        <v>9991408.9715774972</v>
      </c>
      <c r="O142" s="3">
        <f t="shared" si="163"/>
        <v>1833644.83418835</v>
      </c>
      <c r="P142" s="3">
        <f t="shared" si="164"/>
        <v>39456400.468682997</v>
      </c>
      <c r="Q142" s="3">
        <f t="shared" si="165"/>
        <v>34216337.133582011</v>
      </c>
      <c r="R142" s="3">
        <f t="shared" si="166"/>
        <v>0</v>
      </c>
      <c r="S142" s="47">
        <f t="shared" ca="1" si="127"/>
        <v>83182218.584703714</v>
      </c>
      <c r="T142" s="47">
        <f>IFERROR(HLOOKUP(B142-1,'EV Forecast VRZ'!$F$124:$T$130,5,FALSE)/12,0)+IFERROR(((HLOOKUP(B142,'EV Forecast VRZ'!$F$116:$T$122,5,FALSE)-HLOOKUP(B142-1,'EV Forecast VRZ'!$F$124:$T$130,5,FALSE)))*C142/78,0)</f>
        <v>164817.07726849185</v>
      </c>
      <c r="U142" s="47">
        <f ca="1">HLOOKUP(B142,Heating!$C$102:$O$106,5,FALSE)*INDEX(Weather!$BO$1:$CB$20,MATCH(B142,Weather!$BO$1:$BO$20,0),MATCH(C142,Weather!$BO$1:$CB$1,0))/VLOOKUP(B142,Weather!$BO$2:$CB$20,14,FALSE)</f>
        <v>45548.802138950938</v>
      </c>
      <c r="V142" s="47">
        <f t="shared" ca="1" si="128"/>
        <v>83392584.464111164</v>
      </c>
    </row>
    <row r="143" spans="1:22">
      <c r="A143" s="2">
        <f t="shared" si="131"/>
        <v>46691</v>
      </c>
      <c r="B143">
        <f t="shared" si="132"/>
        <v>2027</v>
      </c>
      <c r="C143">
        <f t="shared" si="133"/>
        <v>10</v>
      </c>
      <c r="E143" s="3">
        <f t="shared" ref="E143:F143" ca="1" si="180">E131</f>
        <v>292.46431159420291</v>
      </c>
      <c r="F143" s="3">
        <f t="shared" ca="1" si="180"/>
        <v>38.347916666666663</v>
      </c>
      <c r="G143">
        <f t="shared" si="168"/>
        <v>1</v>
      </c>
      <c r="H143" s="3">
        <f t="shared" si="150"/>
        <v>31</v>
      </c>
      <c r="I143" s="261">
        <f t="shared" si="151"/>
        <v>904812.6129999999</v>
      </c>
      <c r="J143" s="489">
        <f>'Monthly Data'!EJ143</f>
        <v>0</v>
      </c>
      <c r="L143" s="3">
        <f t="shared" si="160"/>
        <v>-4442160.1424492002</v>
      </c>
      <c r="M143" s="3">
        <f t="shared" ca="1" si="161"/>
        <v>6368068.3847411759</v>
      </c>
      <c r="N143" s="3">
        <f t="shared" ca="1" si="162"/>
        <v>2472173.4890224398</v>
      </c>
      <c r="O143" s="3">
        <f t="shared" si="163"/>
        <v>1833644.83418835</v>
      </c>
      <c r="P143" s="3">
        <f t="shared" si="164"/>
        <v>40771613.817639098</v>
      </c>
      <c r="Q143" s="3">
        <f t="shared" si="165"/>
        <v>34216337.133582011</v>
      </c>
      <c r="R143" s="3">
        <f t="shared" si="166"/>
        <v>0</v>
      </c>
      <c r="S143" s="47">
        <f t="shared" ca="1" si="127"/>
        <v>81219677.516723871</v>
      </c>
      <c r="T143" s="47">
        <f>IFERROR(HLOOKUP(B143-1,'EV Forecast VRZ'!$F$124:$T$130,5,FALSE)/12,0)+IFERROR(((HLOOKUP(B143,'EV Forecast VRZ'!$F$116:$T$122,5,FALSE)-HLOOKUP(B143-1,'EV Forecast VRZ'!$F$124:$T$130,5,FALSE)))*C143/78,0)</f>
        <v>167268.15772446967</v>
      </c>
      <c r="U143" s="47">
        <f ca="1">HLOOKUP(B143,Heating!$C$102:$O$106,5,FALSE)*INDEX(Weather!$BO$1:$CB$20,MATCH(B143,Weather!$BO$1:$BO$20,0),MATCH(C143,Weather!$BO$1:$CB$1,0))/VLOOKUP(B143,Weather!$BO$2:$CB$20,14,FALSE)</f>
        <v>194385.40217358366</v>
      </c>
      <c r="V143" s="47">
        <f t="shared" ca="1" si="128"/>
        <v>81581331.07662192</v>
      </c>
    </row>
    <row r="144" spans="1:22">
      <c r="A144" s="2">
        <f t="shared" si="131"/>
        <v>46721</v>
      </c>
      <c r="B144">
        <f t="shared" si="132"/>
        <v>2027</v>
      </c>
      <c r="C144">
        <f t="shared" si="133"/>
        <v>11</v>
      </c>
      <c r="E144" s="3">
        <f t="shared" ref="E144:F144" ca="1" si="181">E132</f>
        <v>495.51408055712409</v>
      </c>
      <c r="F144" s="3">
        <f t="shared" ca="1" si="181"/>
        <v>1.9241666666666659</v>
      </c>
      <c r="G144">
        <f t="shared" si="168"/>
        <v>1</v>
      </c>
      <c r="H144" s="3">
        <f t="shared" si="150"/>
        <v>30</v>
      </c>
      <c r="I144" s="261">
        <f t="shared" si="151"/>
        <v>904812.6129999999</v>
      </c>
      <c r="J144" s="489">
        <f>'Monthly Data'!EJ144</f>
        <v>0</v>
      </c>
      <c r="L144" s="3">
        <f t="shared" si="160"/>
        <v>-4442160.1424492002</v>
      </c>
      <c r="M144" s="3">
        <f t="shared" ca="1" si="161"/>
        <v>10789239.66274612</v>
      </c>
      <c r="N144" s="3">
        <f t="shared" ca="1" si="162"/>
        <v>124045.16947145785</v>
      </c>
      <c r="O144" s="3">
        <f t="shared" si="163"/>
        <v>1833644.83418835</v>
      </c>
      <c r="P144" s="3">
        <f t="shared" si="164"/>
        <v>39456400.468682997</v>
      </c>
      <c r="Q144" s="3">
        <f t="shared" si="165"/>
        <v>34216337.133582011</v>
      </c>
      <c r="R144" s="3">
        <f t="shared" si="166"/>
        <v>0</v>
      </c>
      <c r="S144" s="47">
        <f t="shared" ca="1" si="127"/>
        <v>81977507.126221731</v>
      </c>
      <c r="T144" s="47">
        <f>IFERROR(HLOOKUP(B144-1,'EV Forecast VRZ'!$F$124:$T$130,5,FALSE)/12,0)+IFERROR(((HLOOKUP(B144,'EV Forecast VRZ'!$F$116:$T$122,5,FALSE)-HLOOKUP(B144-1,'EV Forecast VRZ'!$F$124:$T$130,5,FALSE)))*C144/78,0)</f>
        <v>169719.23818044752</v>
      </c>
      <c r="U144" s="47">
        <f ca="1">HLOOKUP(B144,Heating!$C$102:$O$106,5,FALSE)*INDEX(Weather!$BO$1:$CB$20,MATCH(B144,Weather!$BO$1:$BO$20,0),MATCH(C144,Weather!$BO$1:$CB$1,0))/VLOOKUP(B144,Weather!$BO$2:$CB$20,14,FALSE)</f>
        <v>364566.58988915</v>
      </c>
      <c r="V144" s="47">
        <f t="shared" ca="1" si="128"/>
        <v>82511792.954291329</v>
      </c>
    </row>
    <row r="145" spans="1:22">
      <c r="A145" s="2">
        <f t="shared" si="131"/>
        <v>46752</v>
      </c>
      <c r="B145">
        <f t="shared" si="132"/>
        <v>2027</v>
      </c>
      <c r="C145">
        <f t="shared" si="133"/>
        <v>12</v>
      </c>
      <c r="E145" s="3">
        <f t="shared" ref="E145:F145" ca="1" si="182">E133</f>
        <v>664.38541666666663</v>
      </c>
      <c r="F145" s="3">
        <f t="shared" ca="1" si="182"/>
        <v>0</v>
      </c>
      <c r="G145">
        <f t="shared" si="168"/>
        <v>0</v>
      </c>
      <c r="H145" s="3">
        <f t="shared" si="150"/>
        <v>31</v>
      </c>
      <c r="I145" s="261">
        <f t="shared" si="151"/>
        <v>904812.6129999999</v>
      </c>
      <c r="J145" s="489">
        <f>'Monthly Data'!EJ145</f>
        <v>0</v>
      </c>
      <c r="L145" s="3">
        <f t="shared" si="160"/>
        <v>-4442160.1424492002</v>
      </c>
      <c r="M145" s="3">
        <f t="shared" ca="1" si="161"/>
        <v>14466215.532746576</v>
      </c>
      <c r="N145" s="3">
        <f t="shared" ca="1" si="162"/>
        <v>0</v>
      </c>
      <c r="O145" s="3">
        <f t="shared" si="163"/>
        <v>0</v>
      </c>
      <c r="P145" s="3">
        <f t="shared" si="164"/>
        <v>40771613.817639098</v>
      </c>
      <c r="Q145" s="3">
        <f t="shared" si="165"/>
        <v>34216337.133582011</v>
      </c>
      <c r="R145" s="3">
        <f t="shared" si="166"/>
        <v>0</v>
      </c>
      <c r="S145" s="47">
        <f t="shared" ca="1" si="127"/>
        <v>85012006.341518492</v>
      </c>
      <c r="T145" s="47">
        <f>IFERROR(HLOOKUP(B145-1,'EV Forecast VRZ'!$F$124:$T$130,5,FALSE)/12,0)+IFERROR(((HLOOKUP(B145,'EV Forecast VRZ'!$F$116:$T$122,5,FALSE)-HLOOKUP(B145-1,'EV Forecast VRZ'!$F$124:$T$130,5,FALSE)))*C145/78,0)</f>
        <v>172170.31863642536</v>
      </c>
      <c r="U145" s="47">
        <f ca="1">HLOOKUP(B145,Heating!$C$102:$O$106,5,FALSE)*INDEX(Weather!$BO$1:$CB$20,MATCH(B145,Weather!$BO$1:$BO$20,0),MATCH(C145,Weather!$BO$1:$CB$1,0))/VLOOKUP(B145,Weather!$BO$2:$CB$20,14,FALSE)</f>
        <v>504253.72440815141</v>
      </c>
      <c r="V145" s="47">
        <f t="shared" ca="1" si="128"/>
        <v>85688430.384563074</v>
      </c>
    </row>
    <row r="146" spans="1:22">
      <c r="A146" s="2">
        <f t="shared" si="131"/>
        <v>46783</v>
      </c>
      <c r="B146">
        <f t="shared" si="132"/>
        <v>2028</v>
      </c>
      <c r="C146">
        <f t="shared" si="133"/>
        <v>1</v>
      </c>
      <c r="E146" s="3">
        <f t="shared" ref="E146:F146" ca="1" si="183">E134</f>
        <v>752.78750000000002</v>
      </c>
      <c r="F146" s="3">
        <f t="shared" ca="1" si="183"/>
        <v>0</v>
      </c>
      <c r="G146">
        <f t="shared" si="168"/>
        <v>0</v>
      </c>
      <c r="H146" s="3">
        <f t="shared" si="150"/>
        <v>31</v>
      </c>
      <c r="I146" s="261">
        <f t="shared" si="151"/>
        <v>904812.6129999999</v>
      </c>
      <c r="J146" s="489">
        <f>'Monthly Data'!EJ146</f>
        <v>0</v>
      </c>
      <c r="L146" s="3">
        <f t="shared" si="160"/>
        <v>-4442160.1424492002</v>
      </c>
      <c r="M146" s="3">
        <f t="shared" ca="1" si="161"/>
        <v>16391067.522213772</v>
      </c>
      <c r="N146" s="3">
        <f t="shared" ca="1" si="162"/>
        <v>0</v>
      </c>
      <c r="O146" s="3">
        <f t="shared" si="163"/>
        <v>0</v>
      </c>
      <c r="P146" s="3">
        <f t="shared" si="164"/>
        <v>40771613.817639098</v>
      </c>
      <c r="Q146" s="3">
        <f t="shared" si="165"/>
        <v>34216337.133582011</v>
      </c>
      <c r="R146" s="3">
        <f t="shared" si="166"/>
        <v>0</v>
      </c>
      <c r="S146" s="47">
        <f t="shared" ca="1" si="127"/>
        <v>86936858.33098568</v>
      </c>
      <c r="T146" s="47">
        <f>IFERROR(HLOOKUP(B146-1,'EV Forecast VRZ'!$F$124:$T$130,5,FALSE)/12,0)+IFERROR(((HLOOKUP(B146,'EV Forecast VRZ'!$F$116:$T$122,5,FALSE)-HLOOKUP(B146-1,'EV Forecast VRZ'!$F$124:$T$130,5,FALSE)))*C146/78,0)</f>
        <v>179531.9209325407</v>
      </c>
      <c r="U146" s="47">
        <f ca="1">HLOOKUP(B146,Heating!$C$102:$O$106,5,FALSE)*INDEX(Weather!$BO$1:$CB$20,MATCH(B146,Weather!$BO$1:$BO$20,0),MATCH(C146,Weather!$BO$1:$CB$1,0))/VLOOKUP(B146,Weather!$BO$2:$CB$20,14,FALSE)</f>
        <v>664160.11183039192</v>
      </c>
      <c r="V146" s="47">
        <f t="shared" ca="1" si="128"/>
        <v>87780550.363748625</v>
      </c>
    </row>
    <row r="147" spans="1:22">
      <c r="A147" s="2">
        <f t="shared" si="131"/>
        <v>46812</v>
      </c>
      <c r="B147">
        <f t="shared" si="132"/>
        <v>2028</v>
      </c>
      <c r="C147">
        <f t="shared" si="133"/>
        <v>2</v>
      </c>
      <c r="E147" s="3">
        <f t="shared" ref="E147:F147" ca="1" si="184">E135</f>
        <v>660.7954166666666</v>
      </c>
      <c r="F147" s="3">
        <f t="shared" ca="1" si="184"/>
        <v>0</v>
      </c>
      <c r="G147">
        <f t="shared" ref="G147:G162" si="185">G135</f>
        <v>0</v>
      </c>
      <c r="H147" s="3">
        <f t="shared" si="150"/>
        <v>28</v>
      </c>
      <c r="I147" s="261">
        <f t="shared" si="151"/>
        <v>904812.6129999999</v>
      </c>
      <c r="J147" s="489">
        <f>'Monthly Data'!EJ147</f>
        <v>0</v>
      </c>
      <c r="L147" s="3">
        <f t="shared" si="160"/>
        <v>-4442160.1424492002</v>
      </c>
      <c r="M147" s="3">
        <f t="shared" ca="1" si="161"/>
        <v>14388047.48079998</v>
      </c>
      <c r="N147" s="3">
        <f t="shared" ca="1" si="162"/>
        <v>0</v>
      </c>
      <c r="O147" s="3">
        <f t="shared" si="163"/>
        <v>0</v>
      </c>
      <c r="P147" s="3">
        <f t="shared" si="164"/>
        <v>36825973.770770796</v>
      </c>
      <c r="Q147" s="3">
        <f t="shared" si="165"/>
        <v>34216337.133582011</v>
      </c>
      <c r="R147" s="3">
        <f t="shared" si="166"/>
        <v>0</v>
      </c>
      <c r="S147" s="47">
        <f t="shared" ca="1" si="127"/>
        <v>80988198.242703587</v>
      </c>
      <c r="T147" s="47">
        <f>IFERROR(HLOOKUP(B147-1,'EV Forecast VRZ'!$F$124:$T$130,5,FALSE)/12,0)+IFERROR(((HLOOKUP(B147,'EV Forecast VRZ'!$F$116:$T$122,5,FALSE)-HLOOKUP(B147-1,'EV Forecast VRZ'!$F$124:$T$130,5,FALSE)))*C147/78,0)</f>
        <v>182072.05077267819</v>
      </c>
      <c r="U147" s="47">
        <f ca="1">HLOOKUP(B147,Heating!$C$102:$O$106,5,FALSE)*INDEX(Weather!$BO$1:$CB$20,MATCH(B147,Weather!$BO$1:$BO$20,0),MATCH(C147,Weather!$BO$1:$CB$1,0))/VLOOKUP(B147,Weather!$BO$2:$CB$20,14,FALSE)</f>
        <v>580905.84369396314</v>
      </c>
      <c r="V147" s="47">
        <f t="shared" ca="1" si="128"/>
        <v>81751176.137170225</v>
      </c>
    </row>
    <row r="148" spans="1:22">
      <c r="A148" s="2">
        <f t="shared" si="131"/>
        <v>46843</v>
      </c>
      <c r="B148">
        <f t="shared" si="132"/>
        <v>2028</v>
      </c>
      <c r="C148">
        <f t="shared" si="133"/>
        <v>3</v>
      </c>
      <c r="E148" s="3">
        <f t="shared" ref="E148:F148" ca="1" si="186">E136</f>
        <v>596.21590579710141</v>
      </c>
      <c r="F148" s="3">
        <f t="shared" ca="1" si="186"/>
        <v>2.9583333333332896E-2</v>
      </c>
      <c r="G148">
        <f t="shared" si="185"/>
        <v>1</v>
      </c>
      <c r="H148" s="3">
        <f t="shared" si="150"/>
        <v>31</v>
      </c>
      <c r="I148" s="261">
        <f t="shared" si="151"/>
        <v>904812.6129999999</v>
      </c>
      <c r="J148" s="489">
        <f>'Monthly Data'!EJ148</f>
        <v>0</v>
      </c>
      <c r="L148" s="3">
        <f t="shared" si="160"/>
        <v>-4442160.1424492002</v>
      </c>
      <c r="M148" s="3">
        <f t="shared" ca="1" si="161"/>
        <v>12981904.149229543</v>
      </c>
      <c r="N148" s="3">
        <f t="shared" ca="1" si="162"/>
        <v>1907.1474734676008</v>
      </c>
      <c r="O148" s="3">
        <f t="shared" si="163"/>
        <v>1833644.83418835</v>
      </c>
      <c r="P148" s="3">
        <f t="shared" si="164"/>
        <v>40771613.817639098</v>
      </c>
      <c r="Q148" s="3">
        <f t="shared" si="165"/>
        <v>34216337.133582011</v>
      </c>
      <c r="R148" s="3">
        <f t="shared" si="166"/>
        <v>0</v>
      </c>
      <c r="S148" s="47">
        <f t="shared" ca="1" si="127"/>
        <v>85363246.939663261</v>
      </c>
      <c r="T148" s="47">
        <f>IFERROR(HLOOKUP(B148-1,'EV Forecast VRZ'!$F$124:$T$130,5,FALSE)/12,0)+IFERROR(((HLOOKUP(B148,'EV Forecast VRZ'!$F$116:$T$122,5,FALSE)-HLOOKUP(B148-1,'EV Forecast VRZ'!$F$124:$T$130,5,FALSE)))*C148/78,0)</f>
        <v>184612.18061281569</v>
      </c>
      <c r="U148" s="47">
        <f ca="1">HLOOKUP(B148,Heating!$C$102:$O$106,5,FALSE)*INDEX(Weather!$BO$1:$CB$20,MATCH(B148,Weather!$BO$1:$BO$20,0),MATCH(C148,Weather!$BO$1:$CB$1,0))/VLOOKUP(B148,Weather!$BO$2:$CB$20,14,FALSE)</f>
        <v>513623.79275215173</v>
      </c>
      <c r="V148" s="47">
        <f t="shared" ca="1" si="128"/>
        <v>86061482.913028225</v>
      </c>
    </row>
    <row r="149" spans="1:22">
      <c r="A149" s="2">
        <f t="shared" si="131"/>
        <v>46873</v>
      </c>
      <c r="B149">
        <f t="shared" si="132"/>
        <v>2028</v>
      </c>
      <c r="C149">
        <f t="shared" si="133"/>
        <v>4</v>
      </c>
      <c r="E149" s="3">
        <f t="shared" ref="E149:F149" ca="1" si="187">E137</f>
        <v>412.8885416666667</v>
      </c>
      <c r="F149" s="3">
        <f t="shared" ca="1" si="187"/>
        <v>6.0095833333333344</v>
      </c>
      <c r="G149">
        <f t="shared" si="185"/>
        <v>1</v>
      </c>
      <c r="H149" s="3">
        <f t="shared" si="150"/>
        <v>30</v>
      </c>
      <c r="I149" s="261">
        <f t="shared" si="151"/>
        <v>904812.6129999999</v>
      </c>
      <c r="J149" s="489">
        <f>'Monthly Data'!EJ149</f>
        <v>0</v>
      </c>
      <c r="L149" s="3">
        <f t="shared" si="160"/>
        <v>-4442160.1424492002</v>
      </c>
      <c r="M149" s="3">
        <f t="shared" ca="1" si="161"/>
        <v>8990165.1735804696</v>
      </c>
      <c r="N149" s="3">
        <f t="shared" ca="1" si="162"/>
        <v>387419.54943413549</v>
      </c>
      <c r="O149" s="3">
        <f t="shared" si="163"/>
        <v>1833644.83418835</v>
      </c>
      <c r="P149" s="3">
        <f t="shared" si="164"/>
        <v>39456400.468682997</v>
      </c>
      <c r="Q149" s="3">
        <f t="shared" si="165"/>
        <v>34216337.133582011</v>
      </c>
      <c r="R149" s="3">
        <f t="shared" si="166"/>
        <v>0</v>
      </c>
      <c r="S149" s="47">
        <f t="shared" ca="1" si="127"/>
        <v>80441807.017018765</v>
      </c>
      <c r="T149" s="47">
        <f>IFERROR(HLOOKUP(B149-1,'EV Forecast VRZ'!$F$124:$T$130,5,FALSE)/12,0)+IFERROR(((HLOOKUP(B149,'EV Forecast VRZ'!$F$116:$T$122,5,FALSE)-HLOOKUP(B149-1,'EV Forecast VRZ'!$F$124:$T$130,5,FALSE)))*C149/78,0)</f>
        <v>187152.31045295316</v>
      </c>
      <c r="U149" s="47">
        <f ca="1">HLOOKUP(B149,Heating!$C$102:$O$106,5,FALSE)*INDEX(Weather!$BO$1:$CB$20,MATCH(B149,Weather!$BO$1:$BO$20,0),MATCH(C149,Weather!$BO$1:$CB$1,0))/VLOOKUP(B149,Weather!$BO$2:$CB$20,14,FALSE)</f>
        <v>339319.20043071336</v>
      </c>
      <c r="V149" s="47">
        <f t="shared" ca="1" si="128"/>
        <v>80968278.527902424</v>
      </c>
    </row>
    <row r="150" spans="1:22">
      <c r="A150" s="2">
        <f t="shared" si="131"/>
        <v>46904</v>
      </c>
      <c r="B150">
        <f t="shared" si="132"/>
        <v>2028</v>
      </c>
      <c r="C150">
        <f t="shared" si="133"/>
        <v>5</v>
      </c>
      <c r="E150" s="3">
        <f t="shared" ref="E150:F150" ca="1" si="188">E138</f>
        <v>208.90012508544086</v>
      </c>
      <c r="F150" s="3">
        <f t="shared" ca="1" si="188"/>
        <v>81.50872474747473</v>
      </c>
      <c r="G150">
        <f t="shared" si="185"/>
        <v>1</v>
      </c>
      <c r="H150" s="3">
        <f t="shared" si="150"/>
        <v>31</v>
      </c>
      <c r="I150" s="261">
        <f t="shared" si="151"/>
        <v>904812.6129999999</v>
      </c>
      <c r="J150" s="489">
        <f>'Monthly Data'!EJ150</f>
        <v>0</v>
      </c>
      <c r="L150" s="3">
        <f t="shared" si="160"/>
        <v>-4442160.1424492002</v>
      </c>
      <c r="M150" s="3">
        <f t="shared" ca="1" si="161"/>
        <v>4548555.9413172565</v>
      </c>
      <c r="N150" s="3">
        <f t="shared" ca="1" si="162"/>
        <v>5254619.4411621923</v>
      </c>
      <c r="O150" s="3">
        <f t="shared" si="163"/>
        <v>1833644.83418835</v>
      </c>
      <c r="P150" s="3">
        <f t="shared" si="164"/>
        <v>40771613.817639098</v>
      </c>
      <c r="Q150" s="3">
        <f t="shared" si="165"/>
        <v>34216337.133582011</v>
      </c>
      <c r="R150" s="3">
        <f t="shared" si="166"/>
        <v>0</v>
      </c>
      <c r="S150" s="47">
        <f t="shared" ca="1" si="127"/>
        <v>82182611.025439709</v>
      </c>
      <c r="T150" s="47">
        <f>IFERROR(HLOOKUP(B150-1,'EV Forecast VRZ'!$F$124:$T$130,5,FALSE)/12,0)+IFERROR(((HLOOKUP(B150,'EV Forecast VRZ'!$F$116:$T$122,5,FALSE)-HLOOKUP(B150-1,'EV Forecast VRZ'!$F$124:$T$130,5,FALSE)))*C150/78,0)</f>
        <v>189692.44029309065</v>
      </c>
      <c r="U150" s="47">
        <f ca="1">HLOOKUP(B150,Heating!$C$102:$O$106,5,FALSE)*INDEX(Weather!$BO$1:$CB$20,MATCH(B150,Weather!$BO$1:$BO$20,0),MATCH(C150,Weather!$BO$1:$CB$1,0))/VLOOKUP(B150,Weather!$BO$2:$CB$20,14,FALSE)</f>
        <v>149262.98363066683</v>
      </c>
      <c r="V150" s="47">
        <f t="shared" ca="1" si="128"/>
        <v>82521566.44936347</v>
      </c>
    </row>
    <row r="151" spans="1:22">
      <c r="A151" s="2">
        <f t="shared" si="131"/>
        <v>46934</v>
      </c>
      <c r="B151">
        <f t="shared" si="132"/>
        <v>2028</v>
      </c>
      <c r="C151">
        <f t="shared" si="133"/>
        <v>6</v>
      </c>
      <c r="E151" s="3">
        <f t="shared" ref="E151:F151" ca="1" si="189">E139</f>
        <v>61.78217382617381</v>
      </c>
      <c r="F151" s="3">
        <f t="shared" ca="1" si="189"/>
        <v>202.3599342107168</v>
      </c>
      <c r="G151">
        <f t="shared" si="185"/>
        <v>0</v>
      </c>
      <c r="H151" s="3">
        <f t="shared" si="150"/>
        <v>30</v>
      </c>
      <c r="I151" s="261">
        <f t="shared" si="151"/>
        <v>904812.6129999999</v>
      </c>
      <c r="J151" s="489">
        <f>'Monthly Data'!EJ151</f>
        <v>0</v>
      </c>
      <c r="L151" s="3">
        <f t="shared" si="160"/>
        <v>-4442160.1424492002</v>
      </c>
      <c r="M151" s="3">
        <f t="shared" ca="1" si="161"/>
        <v>1345234.5885843791</v>
      </c>
      <c r="N151" s="3">
        <f t="shared" ca="1" si="162"/>
        <v>13045529.146852197</v>
      </c>
      <c r="O151" s="3">
        <f t="shared" si="163"/>
        <v>0</v>
      </c>
      <c r="P151" s="3">
        <f t="shared" si="164"/>
        <v>39456400.468682997</v>
      </c>
      <c r="Q151" s="3">
        <f t="shared" si="165"/>
        <v>34216337.133582011</v>
      </c>
      <c r="R151" s="3">
        <f t="shared" si="166"/>
        <v>0</v>
      </c>
      <c r="S151" s="47">
        <f t="shared" ca="1" si="127"/>
        <v>83621341.195252389</v>
      </c>
      <c r="T151" s="47">
        <f>IFERROR(HLOOKUP(B151-1,'EV Forecast VRZ'!$F$124:$T$130,5,FALSE)/12,0)+IFERROR(((HLOOKUP(B151,'EV Forecast VRZ'!$F$116:$T$122,5,FALSE)-HLOOKUP(B151-1,'EV Forecast VRZ'!$F$124:$T$130,5,FALSE)))*C151/78,0)</f>
        <v>192232.57013322815</v>
      </c>
      <c r="U151" s="47">
        <f ca="1">HLOOKUP(B151,Heating!$C$102:$O$106,5,FALSE)*INDEX(Weather!$BO$1:$CB$20,MATCH(B151,Weather!$BO$1:$BO$20,0),MATCH(C151,Weather!$BO$1:$CB$1,0))/VLOOKUP(B151,Weather!$BO$2:$CB$20,14,FALSE)</f>
        <v>29106.892187916528</v>
      </c>
      <c r="V151" s="47">
        <f t="shared" ca="1" si="128"/>
        <v>83842680.657573536</v>
      </c>
    </row>
    <row r="152" spans="1:22">
      <c r="A152" s="2">
        <f t="shared" si="131"/>
        <v>46965</v>
      </c>
      <c r="B152">
        <f t="shared" si="132"/>
        <v>2028</v>
      </c>
      <c r="C152">
        <f t="shared" si="133"/>
        <v>7</v>
      </c>
      <c r="E152" s="3">
        <f t="shared" ref="E152:F152" ca="1" si="190">E140</f>
        <v>8.334479813664597</v>
      </c>
      <c r="F152" s="3">
        <f t="shared" ca="1" si="190"/>
        <v>304.72508692061177</v>
      </c>
      <c r="G152">
        <f t="shared" si="185"/>
        <v>0</v>
      </c>
      <c r="H152" s="3">
        <f t="shared" si="150"/>
        <v>31</v>
      </c>
      <c r="I152" s="261">
        <f t="shared" si="151"/>
        <v>904812.6129999999</v>
      </c>
      <c r="J152" s="489">
        <f>'Monthly Data'!EJ152</f>
        <v>0</v>
      </c>
      <c r="L152" s="3">
        <f t="shared" si="160"/>
        <v>-4442160.1424492002</v>
      </c>
      <c r="M152" s="3">
        <f t="shared" ca="1" si="161"/>
        <v>181473.55181681956</v>
      </c>
      <c r="N152" s="3">
        <f t="shared" ca="1" si="162"/>
        <v>19644699.029504735</v>
      </c>
      <c r="O152" s="3">
        <f t="shared" si="163"/>
        <v>0</v>
      </c>
      <c r="P152" s="3">
        <f t="shared" si="164"/>
        <v>40771613.817639098</v>
      </c>
      <c r="Q152" s="3">
        <f t="shared" si="165"/>
        <v>34216337.133582011</v>
      </c>
      <c r="R152" s="3">
        <f t="shared" si="166"/>
        <v>0</v>
      </c>
      <c r="S152" s="47">
        <f t="shared" ca="1" si="127"/>
        <v>90371963.390093461</v>
      </c>
      <c r="T152" s="47">
        <f>IFERROR(HLOOKUP(B152-1,'EV Forecast VRZ'!$F$124:$T$130,5,FALSE)/12,0)+IFERROR(((HLOOKUP(B152,'EV Forecast VRZ'!$F$116:$T$122,5,FALSE)-HLOOKUP(B152-1,'EV Forecast VRZ'!$F$124:$T$130,5,FALSE)))*C152/78,0)</f>
        <v>194772.69997336564</v>
      </c>
      <c r="U152" s="47">
        <f ca="1">HLOOKUP(B152,Heating!$C$102:$O$106,5,FALSE)*INDEX(Weather!$BO$1:$CB$20,MATCH(B152,Weather!$BO$1:$BO$20,0),MATCH(C152,Weather!$BO$1:$CB$1,0))/VLOOKUP(B152,Weather!$BO$2:$CB$20,14,FALSE)</f>
        <v>1042.7765238311997</v>
      </c>
      <c r="V152" s="47">
        <f t="shared" ca="1" si="128"/>
        <v>90567778.866590649</v>
      </c>
    </row>
    <row r="153" spans="1:22">
      <c r="A153" s="2">
        <f t="shared" si="131"/>
        <v>46996</v>
      </c>
      <c r="B153">
        <f t="shared" si="132"/>
        <v>2028</v>
      </c>
      <c r="C153">
        <f t="shared" si="133"/>
        <v>8</v>
      </c>
      <c r="E153" s="3">
        <f t="shared" ref="E153:F153" ca="1" si="191">E141</f>
        <v>21.054927536231883</v>
      </c>
      <c r="F153" s="3">
        <f t="shared" ca="1" si="191"/>
        <v>275.96017127799735</v>
      </c>
      <c r="G153">
        <f t="shared" si="185"/>
        <v>0</v>
      </c>
      <c r="H153" s="3">
        <f t="shared" si="150"/>
        <v>31</v>
      </c>
      <c r="I153" s="261">
        <f t="shared" si="151"/>
        <v>904812.6129999999</v>
      </c>
      <c r="J153" s="489">
        <f>'Monthly Data'!EJ153</f>
        <v>0</v>
      </c>
      <c r="L153" s="3">
        <f t="shared" si="160"/>
        <v>-4442160.1424492002</v>
      </c>
      <c r="M153" s="3">
        <f t="shared" ca="1" si="161"/>
        <v>458446.42601224757</v>
      </c>
      <c r="N153" s="3">
        <f t="shared" ca="1" si="162"/>
        <v>17790312.45398964</v>
      </c>
      <c r="O153" s="3">
        <f t="shared" si="163"/>
        <v>0</v>
      </c>
      <c r="P153" s="3">
        <f t="shared" si="164"/>
        <v>40771613.817639098</v>
      </c>
      <c r="Q153" s="3">
        <f t="shared" si="165"/>
        <v>34216337.133582011</v>
      </c>
      <c r="R153" s="3">
        <f t="shared" si="166"/>
        <v>0</v>
      </c>
      <c r="S153" s="47">
        <f t="shared" ca="1" si="127"/>
        <v>88794549.688773796</v>
      </c>
      <c r="T153" s="47">
        <f>IFERROR(HLOOKUP(B153-1,'EV Forecast VRZ'!$F$124:$T$130,5,FALSE)/12,0)+IFERROR(((HLOOKUP(B153,'EV Forecast VRZ'!$F$116:$T$122,5,FALSE)-HLOOKUP(B153-1,'EV Forecast VRZ'!$F$124:$T$130,5,FALSE)))*C153/78,0)</f>
        <v>197312.82981350314</v>
      </c>
      <c r="U153" s="47">
        <f ca="1">HLOOKUP(B153,Heating!$C$102:$O$106,5,FALSE)*INDEX(Weather!$BO$1:$CB$20,MATCH(B153,Weather!$BO$1:$BO$20,0),MATCH(C153,Weather!$BO$1:$CB$1,0))/VLOOKUP(B153,Weather!$BO$2:$CB$20,14,FALSE)</f>
        <v>6176.9386173466355</v>
      </c>
      <c r="V153" s="47">
        <f t="shared" ca="1" si="128"/>
        <v>88998039.457204655</v>
      </c>
    </row>
    <row r="154" spans="1:22">
      <c r="A154" s="2">
        <f t="shared" si="131"/>
        <v>47026</v>
      </c>
      <c r="B154">
        <f t="shared" si="132"/>
        <v>2028</v>
      </c>
      <c r="C154">
        <f t="shared" si="133"/>
        <v>9</v>
      </c>
      <c r="E154" s="3">
        <f t="shared" ref="E154:F154" ca="1" si="192">E142</f>
        <v>97.667119565217376</v>
      </c>
      <c r="F154" s="3">
        <f t="shared" ca="1" si="192"/>
        <v>154.9849637681159</v>
      </c>
      <c r="G154">
        <f t="shared" si="185"/>
        <v>1</v>
      </c>
      <c r="H154" s="3">
        <f t="shared" si="150"/>
        <v>30</v>
      </c>
      <c r="I154" s="261">
        <f t="shared" si="151"/>
        <v>904812.6129999999</v>
      </c>
      <c r="J154" s="489">
        <f>'Monthly Data'!EJ154</f>
        <v>0</v>
      </c>
      <c r="L154" s="3">
        <f t="shared" si="160"/>
        <v>-4442160.1424492002</v>
      </c>
      <c r="M154" s="3">
        <f t="shared" ca="1" si="161"/>
        <v>2126587.3191220681</v>
      </c>
      <c r="N154" s="3">
        <f t="shared" ca="1" si="162"/>
        <v>9991408.9715774972</v>
      </c>
      <c r="O154" s="3">
        <f t="shared" si="163"/>
        <v>1833644.83418835</v>
      </c>
      <c r="P154" s="3">
        <f t="shared" si="164"/>
        <v>39456400.468682997</v>
      </c>
      <c r="Q154" s="3">
        <f t="shared" si="165"/>
        <v>34216337.133582011</v>
      </c>
      <c r="R154" s="3">
        <f t="shared" si="166"/>
        <v>0</v>
      </c>
      <c r="S154" s="47">
        <f t="shared" ca="1" si="127"/>
        <v>83182218.584703714</v>
      </c>
      <c r="T154" s="47">
        <f>IFERROR(HLOOKUP(B154-1,'EV Forecast VRZ'!$F$124:$T$130,5,FALSE)/12,0)+IFERROR(((HLOOKUP(B154,'EV Forecast VRZ'!$F$116:$T$122,5,FALSE)-HLOOKUP(B154-1,'EV Forecast VRZ'!$F$124:$T$130,5,FALSE)))*C154/78,0)</f>
        <v>199852.95965364063</v>
      </c>
      <c r="U154" s="47">
        <f ca="1">HLOOKUP(B154,Heating!$C$102:$O$106,5,FALSE)*INDEX(Weather!$BO$1:$CB$20,MATCH(B154,Weather!$BO$1:$BO$20,0),MATCH(C154,Weather!$BO$1:$CB$1,0))/VLOOKUP(B154,Weather!$BO$2:$CB$20,14,FALSE)</f>
        <v>52315.528121344556</v>
      </c>
      <c r="V154" s="47">
        <f t="shared" ca="1" si="128"/>
        <v>83434387.072478697</v>
      </c>
    </row>
    <row r="155" spans="1:22">
      <c r="A155" s="2">
        <f t="shared" si="131"/>
        <v>47057</v>
      </c>
      <c r="B155">
        <f t="shared" si="132"/>
        <v>2028</v>
      </c>
      <c r="C155">
        <f t="shared" si="133"/>
        <v>10</v>
      </c>
      <c r="E155" s="3">
        <f t="shared" ref="E155:F155" ca="1" si="193">E143</f>
        <v>292.46431159420291</v>
      </c>
      <c r="F155" s="3">
        <f t="shared" ca="1" si="193"/>
        <v>38.347916666666663</v>
      </c>
      <c r="G155">
        <f t="shared" si="185"/>
        <v>1</v>
      </c>
      <c r="H155" s="3">
        <f t="shared" si="150"/>
        <v>31</v>
      </c>
      <c r="I155" s="261">
        <f t="shared" si="151"/>
        <v>904812.6129999999</v>
      </c>
      <c r="J155" s="489">
        <f>'Monthly Data'!EJ155</f>
        <v>0</v>
      </c>
      <c r="L155" s="3">
        <f t="shared" si="160"/>
        <v>-4442160.1424492002</v>
      </c>
      <c r="M155" s="3">
        <f t="shared" ca="1" si="161"/>
        <v>6368068.3847411759</v>
      </c>
      <c r="N155" s="3">
        <f t="shared" ca="1" si="162"/>
        <v>2472173.4890224398</v>
      </c>
      <c r="O155" s="3">
        <f t="shared" si="163"/>
        <v>1833644.83418835</v>
      </c>
      <c r="P155" s="3">
        <f t="shared" si="164"/>
        <v>40771613.817639098</v>
      </c>
      <c r="Q155" s="3">
        <f t="shared" si="165"/>
        <v>34216337.133582011</v>
      </c>
      <c r="R155" s="3">
        <f t="shared" si="166"/>
        <v>0</v>
      </c>
      <c r="S155" s="47">
        <f t="shared" ca="1" si="127"/>
        <v>81219677.516723871</v>
      </c>
      <c r="T155" s="47">
        <f>IFERROR(HLOOKUP(B155-1,'EV Forecast VRZ'!$F$124:$T$130,5,FALSE)/12,0)+IFERROR(((HLOOKUP(B155,'EV Forecast VRZ'!$F$116:$T$122,5,FALSE)-HLOOKUP(B155-1,'EV Forecast VRZ'!$F$124:$T$130,5,FALSE)))*C155/78,0)</f>
        <v>202393.08949377813</v>
      </c>
      <c r="U155" s="47">
        <f ca="1">HLOOKUP(B155,Heating!$C$102:$O$106,5,FALSE)*INDEX(Weather!$BO$1:$CB$20,MATCH(B155,Weather!$BO$1:$BO$20,0),MATCH(C155,Weather!$BO$1:$CB$1,0))/VLOOKUP(B155,Weather!$BO$2:$CB$20,14,FALSE)</f>
        <v>223263.28017953891</v>
      </c>
      <c r="V155" s="47">
        <f t="shared" ca="1" si="128"/>
        <v>81645333.886397198</v>
      </c>
    </row>
    <row r="156" spans="1:22">
      <c r="A156" s="2">
        <f t="shared" si="131"/>
        <v>47087</v>
      </c>
      <c r="B156">
        <f t="shared" si="132"/>
        <v>2028</v>
      </c>
      <c r="C156">
        <f t="shared" si="133"/>
        <v>11</v>
      </c>
      <c r="E156" s="3">
        <f t="shared" ref="E156:F156" ca="1" si="194">E144</f>
        <v>495.51408055712409</v>
      </c>
      <c r="F156" s="3">
        <f t="shared" ca="1" si="194"/>
        <v>1.9241666666666659</v>
      </c>
      <c r="G156">
        <f t="shared" si="185"/>
        <v>1</v>
      </c>
      <c r="H156" s="3">
        <f t="shared" si="150"/>
        <v>30</v>
      </c>
      <c r="I156" s="261">
        <f t="shared" si="151"/>
        <v>904812.6129999999</v>
      </c>
      <c r="J156" s="489">
        <f>'Monthly Data'!EJ156</f>
        <v>0</v>
      </c>
      <c r="L156" s="3">
        <f t="shared" si="160"/>
        <v>-4442160.1424492002</v>
      </c>
      <c r="M156" s="3">
        <f t="shared" ca="1" si="161"/>
        <v>10789239.66274612</v>
      </c>
      <c r="N156" s="3">
        <f t="shared" ca="1" si="162"/>
        <v>124045.16947145785</v>
      </c>
      <c r="O156" s="3">
        <f t="shared" si="163"/>
        <v>1833644.83418835</v>
      </c>
      <c r="P156" s="3">
        <f t="shared" si="164"/>
        <v>39456400.468682997</v>
      </c>
      <c r="Q156" s="3">
        <f t="shared" si="165"/>
        <v>34216337.133582011</v>
      </c>
      <c r="R156" s="3">
        <f t="shared" si="166"/>
        <v>0</v>
      </c>
      <c r="S156" s="47">
        <f t="shared" ca="1" si="127"/>
        <v>81977507.126221731</v>
      </c>
      <c r="T156" s="47">
        <f>IFERROR(HLOOKUP(B156-1,'EV Forecast VRZ'!$F$124:$T$130,5,FALSE)/12,0)+IFERROR(((HLOOKUP(B156,'EV Forecast VRZ'!$F$116:$T$122,5,FALSE)-HLOOKUP(B156-1,'EV Forecast VRZ'!$F$124:$T$130,5,FALSE)))*C156/78,0)</f>
        <v>204933.21933391559</v>
      </c>
      <c r="U156" s="47">
        <f ca="1">HLOOKUP(B156,Heating!$C$102:$O$106,5,FALSE)*INDEX(Weather!$BO$1:$CB$20,MATCH(B156,Weather!$BO$1:$BO$20,0),MATCH(C156,Weather!$BO$1:$CB$1,0))/VLOOKUP(B156,Weather!$BO$2:$CB$20,14,FALSE)</f>
        <v>418726.56996041443</v>
      </c>
      <c r="V156" s="47">
        <f t="shared" ca="1" si="128"/>
        <v>82601166.915516064</v>
      </c>
    </row>
    <row r="157" spans="1:22">
      <c r="A157" s="2">
        <f t="shared" si="131"/>
        <v>47118</v>
      </c>
      <c r="B157">
        <f t="shared" si="132"/>
        <v>2028</v>
      </c>
      <c r="C157">
        <f t="shared" si="133"/>
        <v>12</v>
      </c>
      <c r="E157" s="3">
        <f t="shared" ref="E157:F157" ca="1" si="195">E145</f>
        <v>664.38541666666663</v>
      </c>
      <c r="F157" s="3">
        <f t="shared" ca="1" si="195"/>
        <v>0</v>
      </c>
      <c r="G157">
        <f t="shared" si="185"/>
        <v>0</v>
      </c>
      <c r="H157" s="3">
        <f t="shared" si="150"/>
        <v>31</v>
      </c>
      <c r="I157" s="261">
        <f t="shared" si="151"/>
        <v>904812.6129999999</v>
      </c>
      <c r="J157" s="489">
        <f>'Monthly Data'!EJ157</f>
        <v>0</v>
      </c>
      <c r="L157" s="3">
        <f t="shared" si="160"/>
        <v>-4442160.1424492002</v>
      </c>
      <c r="M157" s="3">
        <f t="shared" ca="1" si="161"/>
        <v>14466215.532746576</v>
      </c>
      <c r="N157" s="3">
        <f t="shared" ca="1" si="162"/>
        <v>0</v>
      </c>
      <c r="O157" s="3">
        <f t="shared" si="163"/>
        <v>0</v>
      </c>
      <c r="P157" s="3">
        <f t="shared" si="164"/>
        <v>40771613.817639098</v>
      </c>
      <c r="Q157" s="3">
        <f t="shared" si="165"/>
        <v>34216337.133582011</v>
      </c>
      <c r="R157" s="3">
        <f t="shared" si="166"/>
        <v>0</v>
      </c>
      <c r="S157" s="47">
        <f t="shared" ca="1" si="127"/>
        <v>85012006.341518492</v>
      </c>
      <c r="T157" s="47">
        <f>IFERROR(HLOOKUP(B157-1,'EV Forecast VRZ'!$F$124:$T$130,5,FALSE)/12,0)+IFERROR(((HLOOKUP(B157,'EV Forecast VRZ'!$F$116:$T$122,5,FALSE)-HLOOKUP(B157-1,'EV Forecast VRZ'!$F$124:$T$130,5,FALSE)))*C157/78,0)</f>
        <v>207473.34917405309</v>
      </c>
      <c r="U157" s="47">
        <f ca="1">HLOOKUP(B157,Heating!$C$102:$O$106,5,FALSE)*INDEX(Weather!$BO$1:$CB$20,MATCH(B157,Weather!$BO$1:$BO$20,0),MATCH(C157,Weather!$BO$1:$CB$1,0))/VLOOKUP(B157,Weather!$BO$2:$CB$20,14,FALSE)</f>
        <v>579165.61272219114</v>
      </c>
      <c r="V157" s="47">
        <f t="shared" ca="1" si="128"/>
        <v>85798645.303414732</v>
      </c>
    </row>
    <row r="158" spans="1:22">
      <c r="A158" s="2">
        <f t="shared" si="131"/>
        <v>47149</v>
      </c>
      <c r="B158">
        <f t="shared" si="132"/>
        <v>2029</v>
      </c>
      <c r="C158">
        <f t="shared" si="133"/>
        <v>1</v>
      </c>
      <c r="E158" s="3">
        <f t="shared" ref="E158:F158" ca="1" si="196">E146</f>
        <v>752.78750000000002</v>
      </c>
      <c r="F158" s="3">
        <f t="shared" ca="1" si="196"/>
        <v>0</v>
      </c>
      <c r="G158">
        <f t="shared" si="185"/>
        <v>0</v>
      </c>
      <c r="H158" s="3">
        <f t="shared" si="150"/>
        <v>31</v>
      </c>
      <c r="I158" s="261">
        <f>I146*(1+'Economic Data'!$AC$15)</f>
        <v>921099.2400339999</v>
      </c>
      <c r="J158" s="489">
        <f>'Monthly Data'!EJ158</f>
        <v>0</v>
      </c>
      <c r="L158" s="3">
        <f t="shared" si="160"/>
        <v>-4442160.1424492002</v>
      </c>
      <c r="M158" s="3">
        <f t="shared" ca="1" si="161"/>
        <v>16391067.522213772</v>
      </c>
      <c r="N158" s="3">
        <f t="shared" ca="1" si="162"/>
        <v>0</v>
      </c>
      <c r="O158" s="3">
        <f t="shared" si="163"/>
        <v>0</v>
      </c>
      <c r="P158" s="3">
        <f t="shared" si="164"/>
        <v>40771613.817639098</v>
      </c>
      <c r="Q158" s="3">
        <f t="shared" si="165"/>
        <v>34832231.201986492</v>
      </c>
      <c r="R158" s="3">
        <f t="shared" si="166"/>
        <v>0</v>
      </c>
      <c r="S158" s="47">
        <f t="shared" ca="1" si="127"/>
        <v>87552752.399390161</v>
      </c>
      <c r="T158" s="47">
        <f>IFERROR(HLOOKUP(B158-1,'EV Forecast VRZ'!$F$124:$T$130,5,FALSE)/12,0)+IFERROR(((HLOOKUP(B158,'EV Forecast VRZ'!$F$116:$T$122,5,FALSE)-HLOOKUP(B158-1,'EV Forecast VRZ'!$F$124:$T$130,5,FALSE)))*C158/78,0)</f>
        <v>219635.7636775487</v>
      </c>
      <c r="U158" s="47">
        <f ca="1">HLOOKUP(B158,Heating!$C$102:$O$106,5,FALSE)*INDEX(Weather!$BO$1:$CB$20,MATCH(B158,Weather!$BO$1:$BO$20,0),MATCH(C158,Weather!$BO$1:$CB$1,0))/VLOOKUP(B158,Weather!$BO$2:$CB$20,14,FALSE)</f>
        <v>753627.08382585761</v>
      </c>
      <c r="V158" s="47">
        <f t="shared" ca="1" si="128"/>
        <v>88526015.24689357</v>
      </c>
    </row>
    <row r="159" spans="1:22">
      <c r="A159" s="2">
        <f t="shared" si="131"/>
        <v>47177</v>
      </c>
      <c r="B159">
        <f t="shared" si="132"/>
        <v>2029</v>
      </c>
      <c r="C159">
        <f t="shared" si="133"/>
        <v>2</v>
      </c>
      <c r="E159" s="3">
        <f t="shared" ref="E159:F159" ca="1" si="197">E147</f>
        <v>660.7954166666666</v>
      </c>
      <c r="F159" s="3">
        <f t="shared" ca="1" si="197"/>
        <v>0</v>
      </c>
      <c r="G159">
        <f t="shared" si="185"/>
        <v>0</v>
      </c>
      <c r="H159" s="3">
        <f t="shared" si="150"/>
        <v>28</v>
      </c>
      <c r="I159" s="261">
        <f>I147*(1+'Economic Data'!$AC$15)</f>
        <v>921099.2400339999</v>
      </c>
      <c r="J159" s="489">
        <f>'Monthly Data'!EJ159</f>
        <v>0</v>
      </c>
      <c r="L159" s="3">
        <f t="shared" si="160"/>
        <v>-4442160.1424492002</v>
      </c>
      <c r="M159" s="3">
        <f t="shared" ca="1" si="161"/>
        <v>14388047.48079998</v>
      </c>
      <c r="N159" s="3">
        <f t="shared" ca="1" si="162"/>
        <v>0</v>
      </c>
      <c r="O159" s="3">
        <f t="shared" si="163"/>
        <v>0</v>
      </c>
      <c r="P159" s="3">
        <f t="shared" si="164"/>
        <v>36825973.770770796</v>
      </c>
      <c r="Q159" s="3">
        <f t="shared" si="165"/>
        <v>34832231.201986492</v>
      </c>
      <c r="R159" s="3">
        <f t="shared" si="166"/>
        <v>0</v>
      </c>
      <c r="S159" s="47">
        <f t="shared" ca="1" si="127"/>
        <v>81604092.311108068</v>
      </c>
      <c r="T159" s="47">
        <f>IFERROR(HLOOKUP(B159-1,'EV Forecast VRZ'!$F$124:$T$130,5,FALSE)/12,0)+IFERROR(((HLOOKUP(B159,'EV Forecast VRZ'!$F$116:$T$122,5,FALSE)-HLOOKUP(B159-1,'EV Forecast VRZ'!$F$124:$T$130,5,FALSE)))*C159/78,0)</f>
        <v>223309.49434090676</v>
      </c>
      <c r="U159" s="47">
        <f ca="1">HLOOKUP(B159,Heating!$C$102:$O$106,5,FALSE)*INDEX(Weather!$BO$1:$CB$20,MATCH(B159,Weather!$BO$1:$BO$20,0),MATCH(C159,Weather!$BO$1:$CB$1,0))/VLOOKUP(B159,Weather!$BO$2:$CB$20,14,FALSE)</f>
        <v>659157.88853076939</v>
      </c>
      <c r="V159" s="47">
        <f t="shared" ca="1" si="128"/>
        <v>82486559.693979755</v>
      </c>
    </row>
    <row r="160" spans="1:22">
      <c r="A160" s="2">
        <f t="shared" si="131"/>
        <v>47208</v>
      </c>
      <c r="B160">
        <f t="shared" si="132"/>
        <v>2029</v>
      </c>
      <c r="C160">
        <f t="shared" si="133"/>
        <v>3</v>
      </c>
      <c r="E160" s="3">
        <f t="shared" ref="E160:F160" ca="1" si="198">E148</f>
        <v>596.21590579710141</v>
      </c>
      <c r="F160" s="3">
        <f t="shared" ca="1" si="198"/>
        <v>2.9583333333332896E-2</v>
      </c>
      <c r="G160">
        <f t="shared" si="185"/>
        <v>1</v>
      </c>
      <c r="H160" s="3">
        <f t="shared" si="150"/>
        <v>31</v>
      </c>
      <c r="I160" s="261">
        <f>I148*(1+'Economic Data'!$AC$15)</f>
        <v>921099.2400339999</v>
      </c>
      <c r="J160" s="489">
        <f>'Monthly Data'!EJ160</f>
        <v>0</v>
      </c>
      <c r="L160" s="3">
        <f t="shared" si="160"/>
        <v>-4442160.1424492002</v>
      </c>
      <c r="M160" s="3">
        <f t="shared" ca="1" si="161"/>
        <v>12981904.149229543</v>
      </c>
      <c r="N160" s="3">
        <f t="shared" ca="1" si="162"/>
        <v>1907.1474734676008</v>
      </c>
      <c r="O160" s="3">
        <f t="shared" si="163"/>
        <v>1833644.83418835</v>
      </c>
      <c r="P160" s="3">
        <f t="shared" si="164"/>
        <v>40771613.817639098</v>
      </c>
      <c r="Q160" s="3">
        <f t="shared" si="165"/>
        <v>34832231.201986492</v>
      </c>
      <c r="R160" s="3">
        <f t="shared" si="166"/>
        <v>0</v>
      </c>
      <c r="S160" s="47">
        <f t="shared" ca="1" si="127"/>
        <v>85979141.008067757</v>
      </c>
      <c r="T160" s="47">
        <f>IFERROR(HLOOKUP(B160-1,'EV Forecast VRZ'!$F$124:$T$130,5,FALSE)/12,0)+IFERROR(((HLOOKUP(B160,'EV Forecast VRZ'!$F$116:$T$122,5,FALSE)-HLOOKUP(B160-1,'EV Forecast VRZ'!$F$124:$T$130,5,FALSE)))*C160/78,0)</f>
        <v>226983.22500426485</v>
      </c>
      <c r="U160" s="47">
        <f ca="1">HLOOKUP(B160,Heating!$C$102:$O$106,5,FALSE)*INDEX(Weather!$BO$1:$CB$20,MATCH(B160,Weather!$BO$1:$BO$20,0),MATCH(C160,Weather!$BO$1:$CB$1,0))/VLOOKUP(B160,Weather!$BO$2:$CB$20,14,FALSE)</f>
        <v>582812.47882924718</v>
      </c>
      <c r="V160" s="47">
        <f t="shared" ca="1" si="128"/>
        <v>86788936.711901277</v>
      </c>
    </row>
    <row r="161" spans="1:22">
      <c r="A161" s="2">
        <f t="shared" si="131"/>
        <v>47238</v>
      </c>
      <c r="B161">
        <f t="shared" si="132"/>
        <v>2029</v>
      </c>
      <c r="C161">
        <f t="shared" si="133"/>
        <v>4</v>
      </c>
      <c r="E161" s="3">
        <f t="shared" ref="E161:F161" ca="1" si="199">E149</f>
        <v>412.8885416666667</v>
      </c>
      <c r="F161" s="3">
        <f t="shared" ca="1" si="199"/>
        <v>6.0095833333333344</v>
      </c>
      <c r="G161">
        <f t="shared" si="185"/>
        <v>1</v>
      </c>
      <c r="H161" s="3">
        <f t="shared" si="150"/>
        <v>30</v>
      </c>
      <c r="I161" s="261">
        <f>I149*(1+'Economic Data'!$AC$15)</f>
        <v>921099.2400339999</v>
      </c>
      <c r="J161" s="489">
        <f>'Monthly Data'!EJ161</f>
        <v>0</v>
      </c>
      <c r="L161" s="3">
        <f t="shared" si="160"/>
        <v>-4442160.1424492002</v>
      </c>
      <c r="M161" s="3">
        <f t="shared" ca="1" si="161"/>
        <v>8990165.1735804696</v>
      </c>
      <c r="N161" s="3">
        <f t="shared" ca="1" si="162"/>
        <v>387419.54943413549</v>
      </c>
      <c r="O161" s="3">
        <f t="shared" si="163"/>
        <v>1833644.83418835</v>
      </c>
      <c r="P161" s="3">
        <f t="shared" si="164"/>
        <v>39456400.468682997</v>
      </c>
      <c r="Q161" s="3">
        <f t="shared" si="165"/>
        <v>34832231.201986492</v>
      </c>
      <c r="R161" s="3">
        <f t="shared" si="166"/>
        <v>0</v>
      </c>
      <c r="S161" s="47">
        <f t="shared" ca="1" si="127"/>
        <v>81057701.085423246</v>
      </c>
      <c r="T161" s="47">
        <f>IFERROR(HLOOKUP(B161-1,'EV Forecast VRZ'!$F$124:$T$130,5,FALSE)/12,0)+IFERROR(((HLOOKUP(B161,'EV Forecast VRZ'!$F$116:$T$122,5,FALSE)-HLOOKUP(B161-1,'EV Forecast VRZ'!$F$124:$T$130,5,FALSE)))*C161/78,0)</f>
        <v>230656.95566762294</v>
      </c>
      <c r="U161" s="47">
        <f ca="1">HLOOKUP(B161,Heating!$C$102:$O$106,5,FALSE)*INDEX(Weather!$BO$1:$CB$20,MATCH(B161,Weather!$BO$1:$BO$20,0),MATCH(C161,Weather!$BO$1:$CB$1,0))/VLOOKUP(B161,Weather!$BO$2:$CB$20,14,FALSE)</f>
        <v>385027.84938705264</v>
      </c>
      <c r="V161" s="47">
        <f t="shared" ca="1" si="128"/>
        <v>81673385.890477926</v>
      </c>
    </row>
    <row r="162" spans="1:22">
      <c r="A162" s="2">
        <f t="shared" si="131"/>
        <v>47269</v>
      </c>
      <c r="B162">
        <f t="shared" si="132"/>
        <v>2029</v>
      </c>
      <c r="C162">
        <f t="shared" si="133"/>
        <v>5</v>
      </c>
      <c r="E162" s="3">
        <f t="shared" ref="E162:F162" ca="1" si="200">E150</f>
        <v>208.90012508544086</v>
      </c>
      <c r="F162" s="3">
        <f t="shared" ca="1" si="200"/>
        <v>81.50872474747473</v>
      </c>
      <c r="G162">
        <f t="shared" si="185"/>
        <v>1</v>
      </c>
      <c r="H162" s="3">
        <f t="shared" si="150"/>
        <v>31</v>
      </c>
      <c r="I162" s="261">
        <f>I150*(1+'Economic Data'!$AC$15)</f>
        <v>921099.2400339999</v>
      </c>
      <c r="J162" s="489">
        <f>'Monthly Data'!EJ162</f>
        <v>0</v>
      </c>
      <c r="L162" s="3">
        <f t="shared" ref="L162:L193" si="201">$Z$8</f>
        <v>-4442160.1424492002</v>
      </c>
      <c r="M162" s="3">
        <f t="shared" ref="M162:M193" ca="1" si="202">E162*$Z$9</f>
        <v>4548555.9413172565</v>
      </c>
      <c r="N162" s="3">
        <f t="shared" ref="N162:N193" ca="1" si="203">F162*$Z$10</f>
        <v>5254619.4411621923</v>
      </c>
      <c r="O162" s="3">
        <f t="shared" ref="O162:O193" si="204">G162*$Z$11</f>
        <v>1833644.83418835</v>
      </c>
      <c r="P162" s="3">
        <f t="shared" ref="P162:P193" si="205">H162*$Z$12</f>
        <v>40771613.817639098</v>
      </c>
      <c r="Q162" s="3">
        <f t="shared" ref="Q162:Q193" si="206">I162*$Z$13</f>
        <v>34832231.201986492</v>
      </c>
      <c r="R162" s="3">
        <f t="shared" ref="R162:R193" si="207">J162*$Z$14</f>
        <v>0</v>
      </c>
      <c r="S162" s="47">
        <f t="shared" ca="1" si="127"/>
        <v>82798505.09384419</v>
      </c>
      <c r="T162" s="47">
        <f>IFERROR(HLOOKUP(B162-1,'EV Forecast VRZ'!$F$124:$T$130,5,FALSE)/12,0)+IFERROR(((HLOOKUP(B162,'EV Forecast VRZ'!$F$116:$T$122,5,FALSE)-HLOOKUP(B162-1,'EV Forecast VRZ'!$F$124:$T$130,5,FALSE)))*C162/78,0)</f>
        <v>234330.686330981</v>
      </c>
      <c r="U162" s="47">
        <f ca="1">HLOOKUP(B162,Heating!$C$102:$O$106,5,FALSE)*INDEX(Weather!$BO$1:$CB$20,MATCH(B162,Weather!$BO$1:$BO$20,0),MATCH(C162,Weather!$BO$1:$CB$1,0))/VLOOKUP(B162,Weather!$BO$2:$CB$20,14,FALSE)</f>
        <v>169369.74243562017</v>
      </c>
      <c r="V162" s="47">
        <f t="shared" ca="1" si="128"/>
        <v>83202205.522610784</v>
      </c>
    </row>
    <row r="163" spans="1:22">
      <c r="A163" s="2">
        <f t="shared" ref="A163:A193" si="208">EOMONTH(A162,1)</f>
        <v>47299</v>
      </c>
      <c r="B163">
        <f t="shared" ref="B163:B193" si="209">YEAR(A163)</f>
        <v>2029</v>
      </c>
      <c r="C163">
        <f t="shared" ref="C163:C193" si="210">MONTH(A163)</f>
        <v>6</v>
      </c>
      <c r="E163" s="3">
        <f t="shared" ref="E163:F163" ca="1" si="211">E151</f>
        <v>61.78217382617381</v>
      </c>
      <c r="F163" s="3">
        <f t="shared" ca="1" si="211"/>
        <v>202.3599342107168</v>
      </c>
      <c r="G163">
        <f t="shared" ref="G163:G178" si="212">G151</f>
        <v>0</v>
      </c>
      <c r="H163" s="3">
        <f t="shared" ref="H163:H193" si="213">H127</f>
        <v>30</v>
      </c>
      <c r="I163" s="261">
        <f>I151*(1+'Economic Data'!$AC$15)</f>
        <v>921099.2400339999</v>
      </c>
      <c r="J163" s="489">
        <f>'Monthly Data'!EJ163</f>
        <v>0</v>
      </c>
      <c r="L163" s="3">
        <f t="shared" si="201"/>
        <v>-4442160.1424492002</v>
      </c>
      <c r="M163" s="3">
        <f t="shared" ca="1" si="202"/>
        <v>1345234.5885843791</v>
      </c>
      <c r="N163" s="3">
        <f t="shared" ca="1" si="203"/>
        <v>13045529.146852197</v>
      </c>
      <c r="O163" s="3">
        <f t="shared" si="204"/>
        <v>0</v>
      </c>
      <c r="P163" s="3">
        <f t="shared" si="205"/>
        <v>39456400.468682997</v>
      </c>
      <c r="Q163" s="3">
        <f t="shared" si="206"/>
        <v>34832231.201986492</v>
      </c>
      <c r="R163" s="3">
        <f t="shared" si="207"/>
        <v>0</v>
      </c>
      <c r="S163" s="47">
        <f t="shared" ca="1" si="127"/>
        <v>84237235.26365687</v>
      </c>
      <c r="T163" s="47">
        <f>IFERROR(HLOOKUP(B163-1,'EV Forecast VRZ'!$F$124:$T$130,5,FALSE)/12,0)+IFERROR(((HLOOKUP(B163,'EV Forecast VRZ'!$F$116:$T$122,5,FALSE)-HLOOKUP(B163-1,'EV Forecast VRZ'!$F$124:$T$130,5,FALSE)))*C163/78,0)</f>
        <v>238004.41699433909</v>
      </c>
      <c r="U163" s="47">
        <f ca="1">HLOOKUP(B163,Heating!$C$102:$O$106,5,FALSE)*INDEX(Weather!$BO$1:$CB$20,MATCH(B163,Weather!$BO$1:$BO$20,0),MATCH(C163,Weather!$BO$1:$CB$1,0))/VLOOKUP(B163,Weather!$BO$2:$CB$20,14,FALSE)</f>
        <v>33027.792377291924</v>
      </c>
      <c r="V163" s="47">
        <f t="shared" ca="1" si="128"/>
        <v>84508267.473028496</v>
      </c>
    </row>
    <row r="164" spans="1:22">
      <c r="A164" s="2">
        <f t="shared" si="208"/>
        <v>47330</v>
      </c>
      <c r="B164">
        <f t="shared" si="209"/>
        <v>2029</v>
      </c>
      <c r="C164">
        <f t="shared" si="210"/>
        <v>7</v>
      </c>
      <c r="E164" s="3">
        <f t="shared" ref="E164:F164" ca="1" si="214">E152</f>
        <v>8.334479813664597</v>
      </c>
      <c r="F164" s="3">
        <f t="shared" ca="1" si="214"/>
        <v>304.72508692061177</v>
      </c>
      <c r="G164">
        <f t="shared" si="212"/>
        <v>0</v>
      </c>
      <c r="H164" s="3">
        <f t="shared" si="213"/>
        <v>31</v>
      </c>
      <c r="I164" s="261">
        <f>I152*(1+'Economic Data'!$AC$15)</f>
        <v>921099.2400339999</v>
      </c>
      <c r="J164" s="489">
        <f>'Monthly Data'!EJ164</f>
        <v>0</v>
      </c>
      <c r="L164" s="3">
        <f t="shared" si="201"/>
        <v>-4442160.1424492002</v>
      </c>
      <c r="M164" s="3">
        <f t="shared" ca="1" si="202"/>
        <v>181473.55181681956</v>
      </c>
      <c r="N164" s="3">
        <f t="shared" ca="1" si="203"/>
        <v>19644699.029504735</v>
      </c>
      <c r="O164" s="3">
        <f t="shared" si="204"/>
        <v>0</v>
      </c>
      <c r="P164" s="3">
        <f t="shared" si="205"/>
        <v>40771613.817639098</v>
      </c>
      <c r="Q164" s="3">
        <f t="shared" si="206"/>
        <v>34832231.201986492</v>
      </c>
      <c r="R164" s="3">
        <f t="shared" si="207"/>
        <v>0</v>
      </c>
      <c r="S164" s="47">
        <f t="shared" ca="1" si="127"/>
        <v>90987857.458497941</v>
      </c>
      <c r="T164" s="47">
        <f>IFERROR(HLOOKUP(B164-1,'EV Forecast VRZ'!$F$124:$T$130,5,FALSE)/12,0)+IFERROR(((HLOOKUP(B164,'EV Forecast VRZ'!$F$116:$T$122,5,FALSE)-HLOOKUP(B164-1,'EV Forecast VRZ'!$F$124:$T$130,5,FALSE)))*C164/78,0)</f>
        <v>241678.14765769718</v>
      </c>
      <c r="U164" s="47">
        <f ca="1">HLOOKUP(B164,Heating!$C$102:$O$106,5,FALSE)*INDEX(Weather!$BO$1:$CB$20,MATCH(B164,Weather!$BO$1:$BO$20,0),MATCH(C164,Weather!$BO$1:$CB$1,0))/VLOOKUP(B164,Weather!$BO$2:$CB$20,14,FALSE)</f>
        <v>1183.2457516473978</v>
      </c>
      <c r="V164" s="47">
        <f t="shared" ca="1" si="128"/>
        <v>91230718.851907283</v>
      </c>
    </row>
    <row r="165" spans="1:22">
      <c r="A165" s="2">
        <f t="shared" si="208"/>
        <v>47361</v>
      </c>
      <c r="B165">
        <f t="shared" si="209"/>
        <v>2029</v>
      </c>
      <c r="C165">
        <f t="shared" si="210"/>
        <v>8</v>
      </c>
      <c r="E165" s="3">
        <f t="shared" ref="E165:F165" ca="1" si="215">E153</f>
        <v>21.054927536231883</v>
      </c>
      <c r="F165" s="3">
        <f t="shared" ca="1" si="215"/>
        <v>275.96017127799735</v>
      </c>
      <c r="G165">
        <f t="shared" si="212"/>
        <v>0</v>
      </c>
      <c r="H165" s="3">
        <f t="shared" si="213"/>
        <v>31</v>
      </c>
      <c r="I165" s="261">
        <f>I153*(1+'Economic Data'!$AC$15)</f>
        <v>921099.2400339999</v>
      </c>
      <c r="J165" s="489">
        <f>'Monthly Data'!EJ165</f>
        <v>0</v>
      </c>
      <c r="L165" s="3">
        <f t="shared" si="201"/>
        <v>-4442160.1424492002</v>
      </c>
      <c r="M165" s="3">
        <f t="shared" ca="1" si="202"/>
        <v>458446.42601224757</v>
      </c>
      <c r="N165" s="3">
        <f t="shared" ca="1" si="203"/>
        <v>17790312.45398964</v>
      </c>
      <c r="O165" s="3">
        <f t="shared" si="204"/>
        <v>0</v>
      </c>
      <c r="P165" s="3">
        <f t="shared" si="205"/>
        <v>40771613.817639098</v>
      </c>
      <c r="Q165" s="3">
        <f t="shared" si="206"/>
        <v>34832231.201986492</v>
      </c>
      <c r="R165" s="3">
        <f t="shared" si="207"/>
        <v>0</v>
      </c>
      <c r="S165" s="47">
        <f t="shared" ca="1" si="127"/>
        <v>89410443.757178277</v>
      </c>
      <c r="T165" s="47">
        <f>IFERROR(HLOOKUP(B165-1,'EV Forecast VRZ'!$F$124:$T$130,5,FALSE)/12,0)+IFERROR(((HLOOKUP(B165,'EV Forecast VRZ'!$F$116:$T$122,5,FALSE)-HLOOKUP(B165-1,'EV Forecast VRZ'!$F$124:$T$130,5,FALSE)))*C165/78,0)</f>
        <v>245351.87832105524</v>
      </c>
      <c r="U165" s="47">
        <f ca="1">HLOOKUP(B165,Heating!$C$102:$O$106,5,FALSE)*INDEX(Weather!$BO$1:$CB$20,MATCH(B165,Weather!$BO$1:$BO$20,0),MATCH(C165,Weather!$BO$1:$CB$1,0))/VLOOKUP(B165,Weather!$BO$2:$CB$20,14,FALSE)</f>
        <v>7009.0150767004443</v>
      </c>
      <c r="V165" s="47">
        <f t="shared" ca="1" si="128"/>
        <v>89662804.650576025</v>
      </c>
    </row>
    <row r="166" spans="1:22">
      <c r="A166" s="2">
        <f t="shared" si="208"/>
        <v>47391</v>
      </c>
      <c r="B166">
        <f t="shared" si="209"/>
        <v>2029</v>
      </c>
      <c r="C166">
        <f t="shared" si="210"/>
        <v>9</v>
      </c>
      <c r="E166" s="3">
        <f t="shared" ref="E166:F166" ca="1" si="216">E154</f>
        <v>97.667119565217376</v>
      </c>
      <c r="F166" s="3">
        <f t="shared" ca="1" si="216"/>
        <v>154.9849637681159</v>
      </c>
      <c r="G166">
        <f t="shared" si="212"/>
        <v>1</v>
      </c>
      <c r="H166" s="3">
        <f t="shared" si="213"/>
        <v>30</v>
      </c>
      <c r="I166" s="261">
        <f>I154*(1+'Economic Data'!$AC$15)</f>
        <v>921099.2400339999</v>
      </c>
      <c r="J166" s="489">
        <f>'Monthly Data'!EJ166</f>
        <v>0</v>
      </c>
      <c r="L166" s="3">
        <f t="shared" si="201"/>
        <v>-4442160.1424492002</v>
      </c>
      <c r="M166" s="3">
        <f t="shared" ca="1" si="202"/>
        <v>2126587.3191220681</v>
      </c>
      <c r="N166" s="3">
        <f t="shared" ca="1" si="203"/>
        <v>9991408.9715774972</v>
      </c>
      <c r="O166" s="3">
        <f t="shared" si="204"/>
        <v>1833644.83418835</v>
      </c>
      <c r="P166" s="3">
        <f t="shared" si="205"/>
        <v>39456400.468682997</v>
      </c>
      <c r="Q166" s="3">
        <f t="shared" si="206"/>
        <v>34832231.201986492</v>
      </c>
      <c r="R166" s="3">
        <f t="shared" si="207"/>
        <v>0</v>
      </c>
      <c r="S166" s="47">
        <f t="shared" ca="1" si="127"/>
        <v>83798112.653108209</v>
      </c>
      <c r="T166" s="47">
        <f>IFERROR(HLOOKUP(B166-1,'EV Forecast VRZ'!$F$124:$T$130,5,FALSE)/12,0)+IFERROR(((HLOOKUP(B166,'EV Forecast VRZ'!$F$116:$T$122,5,FALSE)-HLOOKUP(B166-1,'EV Forecast VRZ'!$F$124:$T$130,5,FALSE)))*C166/78,0)</f>
        <v>249025.60898441332</v>
      </c>
      <c r="U166" s="47">
        <f ca="1">HLOOKUP(B166,Heating!$C$102:$O$106,5,FALSE)*INDEX(Weather!$BO$1:$CB$20,MATCH(B166,Weather!$BO$1:$BO$20,0),MATCH(C166,Weather!$BO$1:$CB$1,0))/VLOOKUP(B166,Weather!$BO$2:$CB$20,14,FALSE)</f>
        <v>59362.792487253362</v>
      </c>
      <c r="V166" s="47">
        <f t="shared" ca="1" si="128"/>
        <v>84106501.054579869</v>
      </c>
    </row>
    <row r="167" spans="1:22">
      <c r="A167" s="2">
        <f t="shared" si="208"/>
        <v>47422</v>
      </c>
      <c r="B167">
        <f t="shared" si="209"/>
        <v>2029</v>
      </c>
      <c r="C167">
        <f t="shared" si="210"/>
        <v>10</v>
      </c>
      <c r="E167" s="3">
        <f t="shared" ref="E167:F167" ca="1" si="217">E155</f>
        <v>292.46431159420291</v>
      </c>
      <c r="F167" s="3">
        <f t="shared" ca="1" si="217"/>
        <v>38.347916666666663</v>
      </c>
      <c r="G167">
        <f t="shared" si="212"/>
        <v>1</v>
      </c>
      <c r="H167" s="3">
        <f t="shared" si="213"/>
        <v>31</v>
      </c>
      <c r="I167" s="261">
        <f>I155*(1+'Economic Data'!$AC$15)</f>
        <v>921099.2400339999</v>
      </c>
      <c r="J167" s="489">
        <f>'Monthly Data'!EJ167</f>
        <v>0</v>
      </c>
      <c r="L167" s="3">
        <f t="shared" si="201"/>
        <v>-4442160.1424492002</v>
      </c>
      <c r="M167" s="3">
        <f t="shared" ca="1" si="202"/>
        <v>6368068.3847411759</v>
      </c>
      <c r="N167" s="3">
        <f t="shared" ca="1" si="203"/>
        <v>2472173.4890224398</v>
      </c>
      <c r="O167" s="3">
        <f t="shared" si="204"/>
        <v>1833644.83418835</v>
      </c>
      <c r="P167" s="3">
        <f t="shared" si="205"/>
        <v>40771613.817639098</v>
      </c>
      <c r="Q167" s="3">
        <f t="shared" si="206"/>
        <v>34832231.201986492</v>
      </c>
      <c r="R167" s="3">
        <f t="shared" si="207"/>
        <v>0</v>
      </c>
      <c r="S167" s="47">
        <f t="shared" ca="1" si="127"/>
        <v>81835571.585128352</v>
      </c>
      <c r="T167" s="47">
        <f>IFERROR(HLOOKUP(B167-1,'EV Forecast VRZ'!$F$124:$T$130,5,FALSE)/12,0)+IFERROR(((HLOOKUP(B167,'EV Forecast VRZ'!$F$116:$T$122,5,FALSE)-HLOOKUP(B167-1,'EV Forecast VRZ'!$F$124:$T$130,5,FALSE)))*C167/78,0)</f>
        <v>252699.33964777141</v>
      </c>
      <c r="U167" s="47">
        <f ca="1">HLOOKUP(B167,Heating!$C$102:$O$106,5,FALSE)*INDEX(Weather!$BO$1:$CB$20,MATCH(B167,Weather!$BO$1:$BO$20,0),MATCH(C167,Weather!$BO$1:$CB$1,0))/VLOOKUP(B167,Weather!$BO$2:$CB$20,14,FALSE)</f>
        <v>253338.39200820532</v>
      </c>
      <c r="V167" s="47">
        <f t="shared" ca="1" si="128"/>
        <v>82341609.316784322</v>
      </c>
    </row>
    <row r="168" spans="1:22">
      <c r="A168" s="2">
        <f t="shared" si="208"/>
        <v>47452</v>
      </c>
      <c r="B168">
        <f t="shared" si="209"/>
        <v>2029</v>
      </c>
      <c r="C168">
        <f t="shared" si="210"/>
        <v>11</v>
      </c>
      <c r="E168" s="3">
        <f t="shared" ref="E168:F168" ca="1" si="218">E156</f>
        <v>495.51408055712409</v>
      </c>
      <c r="F168" s="3">
        <f t="shared" ca="1" si="218"/>
        <v>1.9241666666666659</v>
      </c>
      <c r="G168">
        <f t="shared" si="212"/>
        <v>1</v>
      </c>
      <c r="H168" s="3">
        <f t="shared" si="213"/>
        <v>30</v>
      </c>
      <c r="I168" s="261">
        <f>I156*(1+'Economic Data'!$AC$15)</f>
        <v>921099.2400339999</v>
      </c>
      <c r="J168" s="489">
        <f>'Monthly Data'!EJ168</f>
        <v>0</v>
      </c>
      <c r="L168" s="3">
        <f t="shared" si="201"/>
        <v>-4442160.1424492002</v>
      </c>
      <c r="M168" s="3">
        <f t="shared" ca="1" si="202"/>
        <v>10789239.66274612</v>
      </c>
      <c r="N168" s="3">
        <f t="shared" ca="1" si="203"/>
        <v>124045.16947145785</v>
      </c>
      <c r="O168" s="3">
        <f t="shared" si="204"/>
        <v>1833644.83418835</v>
      </c>
      <c r="P168" s="3">
        <f t="shared" si="205"/>
        <v>39456400.468682997</v>
      </c>
      <c r="Q168" s="3">
        <f t="shared" si="206"/>
        <v>34832231.201986492</v>
      </c>
      <c r="R168" s="3">
        <f t="shared" si="207"/>
        <v>0</v>
      </c>
      <c r="S168" s="47">
        <f t="shared" ca="1" si="127"/>
        <v>82593401.194626212</v>
      </c>
      <c r="T168" s="47">
        <f>IFERROR(HLOOKUP(B168-1,'EV Forecast VRZ'!$F$124:$T$130,5,FALSE)/12,0)+IFERROR(((HLOOKUP(B168,'EV Forecast VRZ'!$F$116:$T$122,5,FALSE)-HLOOKUP(B168-1,'EV Forecast VRZ'!$F$124:$T$130,5,FALSE)))*C168/78,0)</f>
        <v>256373.07031112947</v>
      </c>
      <c r="U168" s="47">
        <f ca="1">HLOOKUP(B168,Heating!$C$102:$O$106,5,FALSE)*INDEX(Weather!$BO$1:$CB$20,MATCH(B168,Weather!$BO$1:$BO$20,0),MATCH(C168,Weather!$BO$1:$CB$1,0))/VLOOKUP(B168,Weather!$BO$2:$CB$20,14,FALSE)</f>
        <v>475131.94216074405</v>
      </c>
      <c r="V168" s="47">
        <f t="shared" ca="1" si="128"/>
        <v>83324906.207098082</v>
      </c>
    </row>
    <row r="169" spans="1:22">
      <c r="A169" s="2">
        <f t="shared" si="208"/>
        <v>47483</v>
      </c>
      <c r="B169">
        <f t="shared" si="209"/>
        <v>2029</v>
      </c>
      <c r="C169">
        <f t="shared" si="210"/>
        <v>12</v>
      </c>
      <c r="E169" s="3">
        <f t="shared" ref="E169:F169" ca="1" si="219">E157</f>
        <v>664.38541666666663</v>
      </c>
      <c r="F169" s="3">
        <f t="shared" ca="1" si="219"/>
        <v>0</v>
      </c>
      <c r="G169">
        <f t="shared" si="212"/>
        <v>0</v>
      </c>
      <c r="H169" s="3">
        <f t="shared" si="213"/>
        <v>31</v>
      </c>
      <c r="I169" s="261">
        <f>I157*(1+'Economic Data'!$AC$15)</f>
        <v>921099.2400339999</v>
      </c>
      <c r="J169" s="489">
        <f>'Monthly Data'!EJ169</f>
        <v>0</v>
      </c>
      <c r="L169" s="3">
        <f t="shared" si="201"/>
        <v>-4442160.1424492002</v>
      </c>
      <c r="M169" s="3">
        <f t="shared" ca="1" si="202"/>
        <v>14466215.532746576</v>
      </c>
      <c r="N169" s="3">
        <f t="shared" ca="1" si="203"/>
        <v>0</v>
      </c>
      <c r="O169" s="3">
        <f t="shared" si="204"/>
        <v>0</v>
      </c>
      <c r="P169" s="3">
        <f t="shared" si="205"/>
        <v>40771613.817639098</v>
      </c>
      <c r="Q169" s="3">
        <f t="shared" si="206"/>
        <v>34832231.201986492</v>
      </c>
      <c r="R169" s="3">
        <f t="shared" si="207"/>
        <v>0</v>
      </c>
      <c r="S169" s="47">
        <f t="shared" ca="1" si="127"/>
        <v>85627900.409922957</v>
      </c>
      <c r="T169" s="47">
        <f>IFERROR(HLOOKUP(B169-1,'EV Forecast VRZ'!$F$124:$T$130,5,FALSE)/12,0)+IFERROR(((HLOOKUP(B169,'EV Forecast VRZ'!$F$116:$T$122,5,FALSE)-HLOOKUP(B169-1,'EV Forecast VRZ'!$F$124:$T$130,5,FALSE)))*C169/78,0)</f>
        <v>260046.80097448756</v>
      </c>
      <c r="U169" s="47">
        <f ca="1">HLOOKUP(B169,Heating!$C$102:$O$106,5,FALSE)*INDEX(Weather!$BO$1:$CB$20,MATCH(B169,Weather!$BO$1:$BO$20,0),MATCH(C169,Weather!$BO$1:$CB$1,0))/VLOOKUP(B169,Weather!$BO$2:$CB$20,14,FALSE)</f>
        <v>657183.2363812665</v>
      </c>
      <c r="V169" s="47">
        <f t="shared" ca="1" si="128"/>
        <v>86545130.447278708</v>
      </c>
    </row>
    <row r="170" spans="1:22">
      <c r="A170" s="2">
        <f t="shared" si="208"/>
        <v>47514</v>
      </c>
      <c r="B170">
        <f t="shared" si="209"/>
        <v>2030</v>
      </c>
      <c r="C170">
        <f t="shared" si="210"/>
        <v>1</v>
      </c>
      <c r="E170" s="3">
        <f t="shared" ref="E170:F170" ca="1" si="220">E158</f>
        <v>752.78750000000002</v>
      </c>
      <c r="F170" s="3">
        <f t="shared" ca="1" si="220"/>
        <v>0</v>
      </c>
      <c r="G170">
        <f t="shared" si="212"/>
        <v>0</v>
      </c>
      <c r="H170" s="3">
        <f t="shared" si="213"/>
        <v>31</v>
      </c>
      <c r="I170" s="261">
        <f>I158*(1+'Economic Data'!$AC$15)</f>
        <v>937679.02635461197</v>
      </c>
      <c r="J170" s="489">
        <f>'Monthly Data'!EJ170</f>
        <v>0</v>
      </c>
      <c r="L170" s="3">
        <f t="shared" si="201"/>
        <v>-4442160.1424492002</v>
      </c>
      <c r="M170" s="3">
        <f t="shared" ca="1" si="202"/>
        <v>16391067.522213772</v>
      </c>
      <c r="N170" s="3">
        <f t="shared" ca="1" si="203"/>
        <v>0</v>
      </c>
      <c r="O170" s="3">
        <f t="shared" si="204"/>
        <v>0</v>
      </c>
      <c r="P170" s="3">
        <f t="shared" si="205"/>
        <v>40771613.817639098</v>
      </c>
      <c r="Q170" s="3">
        <f t="shared" si="206"/>
        <v>35459211.363622248</v>
      </c>
      <c r="R170" s="3">
        <f t="shared" si="207"/>
        <v>0</v>
      </c>
      <c r="S170" s="47">
        <f t="shared" ca="1" si="127"/>
        <v>88179732.561025918</v>
      </c>
      <c r="T170" s="47">
        <f>IFERROR(HLOOKUP(B170-1,'EV Forecast VRZ'!$F$124:$T$130,5,FALSE)/12,0)+IFERROR(((HLOOKUP(B170,'EV Forecast VRZ'!$F$116:$T$122,5,FALSE)-HLOOKUP(B170-1,'EV Forecast VRZ'!$F$124:$T$130,5,FALSE)))*C170/78,0)</f>
        <v>270907.86887747853</v>
      </c>
      <c r="U170" s="47">
        <f ca="1">HLOOKUP(B170,Heating!$C$102:$O$106,5,FALSE)*INDEX(Weather!$BO$1:$CB$20,MATCH(B170,Weather!$BO$1:$BO$20,0),MATCH(C170,Weather!$BO$1:$CB$1,0))/VLOOKUP(B170,Weather!$BO$2:$CB$20,14,FALSE)</f>
        <v>846674.30994104734</v>
      </c>
      <c r="V170" s="47">
        <f t="shared" ca="1" si="128"/>
        <v>89297314.739844456</v>
      </c>
    </row>
    <row r="171" spans="1:22">
      <c r="A171" s="2">
        <f t="shared" si="208"/>
        <v>47542</v>
      </c>
      <c r="B171">
        <f t="shared" si="209"/>
        <v>2030</v>
      </c>
      <c r="C171">
        <f t="shared" si="210"/>
        <v>2</v>
      </c>
      <c r="E171" s="3">
        <f t="shared" ref="E171:F171" ca="1" si="221">E159</f>
        <v>660.7954166666666</v>
      </c>
      <c r="F171" s="3">
        <f t="shared" ca="1" si="221"/>
        <v>0</v>
      </c>
      <c r="G171">
        <f t="shared" si="212"/>
        <v>0</v>
      </c>
      <c r="H171" s="3">
        <f t="shared" si="213"/>
        <v>29</v>
      </c>
      <c r="I171" s="261">
        <f>I159*(1+'Economic Data'!$AC$15)</f>
        <v>937679.02635461197</v>
      </c>
      <c r="J171" s="489">
        <f>'Monthly Data'!EJ171</f>
        <v>0</v>
      </c>
      <c r="L171" s="3">
        <f t="shared" si="201"/>
        <v>-4442160.1424492002</v>
      </c>
      <c r="M171" s="3">
        <f t="shared" ca="1" si="202"/>
        <v>14388047.48079998</v>
      </c>
      <c r="N171" s="3">
        <f t="shared" ca="1" si="203"/>
        <v>0</v>
      </c>
      <c r="O171" s="3">
        <f t="shared" si="204"/>
        <v>0</v>
      </c>
      <c r="P171" s="3">
        <f t="shared" si="205"/>
        <v>38141187.119726896</v>
      </c>
      <c r="Q171" s="3">
        <f t="shared" si="206"/>
        <v>35459211.363622248</v>
      </c>
      <c r="R171" s="3">
        <f t="shared" si="207"/>
        <v>0</v>
      </c>
      <c r="S171" s="47">
        <f t="shared" ref="S171:S193" ca="1" si="222">SUM(L171:R171)</f>
        <v>83546285.821699917</v>
      </c>
      <c r="T171" s="47">
        <f>IFERROR(HLOOKUP(B171-1,'EV Forecast VRZ'!$F$124:$T$130,5,FALSE)/12,0)+IFERROR(((HLOOKUP(B171,'EV Forecast VRZ'!$F$116:$T$122,5,FALSE)-HLOOKUP(B171-1,'EV Forecast VRZ'!$F$124:$T$130,5,FALSE)))*C171/78,0)</f>
        <v>275199.11611711152</v>
      </c>
      <c r="U171" s="47">
        <f ca="1">HLOOKUP(B171,Heating!$C$102:$O$106,5,FALSE)*INDEX(Weather!$BO$1:$CB$20,MATCH(B171,Weather!$BO$1:$BO$20,0),MATCH(C171,Weather!$BO$1:$CB$1,0))/VLOOKUP(B171,Weather!$BO$2:$CB$20,14,FALSE)</f>
        <v>740541.39294036652</v>
      </c>
      <c r="V171" s="47">
        <f t="shared" ref="V171:V193" ca="1" si="223">S171+T171+U171</f>
        <v>84562026.330757394</v>
      </c>
    </row>
    <row r="172" spans="1:22">
      <c r="A172" s="2">
        <f t="shared" si="208"/>
        <v>47573</v>
      </c>
      <c r="B172">
        <f t="shared" si="209"/>
        <v>2030</v>
      </c>
      <c r="C172">
        <f t="shared" si="210"/>
        <v>3</v>
      </c>
      <c r="E172" s="3">
        <f t="shared" ref="E172:F172" ca="1" si="224">E160</f>
        <v>596.21590579710141</v>
      </c>
      <c r="F172" s="3">
        <f t="shared" ca="1" si="224"/>
        <v>2.9583333333332896E-2</v>
      </c>
      <c r="G172">
        <f t="shared" si="212"/>
        <v>1</v>
      </c>
      <c r="H172" s="3">
        <f t="shared" si="213"/>
        <v>31</v>
      </c>
      <c r="I172" s="261">
        <f>I160*(1+'Economic Data'!$AC$15)</f>
        <v>937679.02635461197</v>
      </c>
      <c r="J172" s="489">
        <f>'Monthly Data'!EJ172</f>
        <v>0</v>
      </c>
      <c r="L172" s="3">
        <f t="shared" si="201"/>
        <v>-4442160.1424492002</v>
      </c>
      <c r="M172" s="3">
        <f t="shared" ca="1" si="202"/>
        <v>12981904.149229543</v>
      </c>
      <c r="N172" s="3">
        <f t="shared" ca="1" si="203"/>
        <v>1907.1474734676008</v>
      </c>
      <c r="O172" s="3">
        <f t="shared" si="204"/>
        <v>1833644.83418835</v>
      </c>
      <c r="P172" s="3">
        <f t="shared" si="205"/>
        <v>40771613.817639098</v>
      </c>
      <c r="Q172" s="3">
        <f t="shared" si="206"/>
        <v>35459211.363622248</v>
      </c>
      <c r="R172" s="3">
        <f t="shared" si="207"/>
        <v>0</v>
      </c>
      <c r="S172" s="47">
        <f t="shared" ca="1" si="222"/>
        <v>86606121.169703513</v>
      </c>
      <c r="T172" s="47">
        <f>IFERROR(HLOOKUP(B172-1,'EV Forecast VRZ'!$F$124:$T$130,5,FALSE)/12,0)+IFERROR(((HLOOKUP(B172,'EV Forecast VRZ'!$F$116:$T$122,5,FALSE)-HLOOKUP(B172-1,'EV Forecast VRZ'!$F$124:$T$130,5,FALSE)))*C172/78,0)</f>
        <v>279490.36335674446</v>
      </c>
      <c r="U172" s="47">
        <f ca="1">HLOOKUP(B172,Heating!$C$102:$O$106,5,FALSE)*INDEX(Weather!$BO$1:$CB$20,MATCH(B172,Weather!$BO$1:$BO$20,0),MATCH(C172,Weather!$BO$1:$CB$1,0))/VLOOKUP(B172,Weather!$BO$2:$CB$20,14,FALSE)</f>
        <v>654769.9305507011</v>
      </c>
      <c r="V172" s="47">
        <f t="shared" ca="1" si="223"/>
        <v>87540381.463610947</v>
      </c>
    </row>
    <row r="173" spans="1:22">
      <c r="A173" s="2">
        <f t="shared" si="208"/>
        <v>47603</v>
      </c>
      <c r="B173">
        <f t="shared" si="209"/>
        <v>2030</v>
      </c>
      <c r="C173">
        <f t="shared" si="210"/>
        <v>4</v>
      </c>
      <c r="E173" s="3">
        <f t="shared" ref="E173:F173" ca="1" si="225">E161</f>
        <v>412.8885416666667</v>
      </c>
      <c r="F173" s="3">
        <f t="shared" ca="1" si="225"/>
        <v>6.0095833333333344</v>
      </c>
      <c r="G173">
        <f t="shared" si="212"/>
        <v>1</v>
      </c>
      <c r="H173" s="3">
        <f t="shared" si="213"/>
        <v>30</v>
      </c>
      <c r="I173" s="261">
        <f>I161*(1+'Economic Data'!$AC$15)</f>
        <v>937679.02635461197</v>
      </c>
      <c r="J173" s="489">
        <f>'Monthly Data'!EJ173</f>
        <v>0</v>
      </c>
      <c r="L173" s="3">
        <f t="shared" si="201"/>
        <v>-4442160.1424492002</v>
      </c>
      <c r="M173" s="3">
        <f t="shared" ca="1" si="202"/>
        <v>8990165.1735804696</v>
      </c>
      <c r="N173" s="3">
        <f t="shared" ca="1" si="203"/>
        <v>387419.54943413549</v>
      </c>
      <c r="O173" s="3">
        <f t="shared" si="204"/>
        <v>1833644.83418835</v>
      </c>
      <c r="P173" s="3">
        <f t="shared" si="205"/>
        <v>39456400.468682997</v>
      </c>
      <c r="Q173" s="3">
        <f t="shared" si="206"/>
        <v>35459211.363622248</v>
      </c>
      <c r="R173" s="3">
        <f t="shared" si="207"/>
        <v>0</v>
      </c>
      <c r="S173" s="47">
        <f t="shared" ca="1" si="222"/>
        <v>81684681.247059003</v>
      </c>
      <c r="T173" s="47">
        <f>IFERROR(HLOOKUP(B173-1,'EV Forecast VRZ'!$F$124:$T$130,5,FALSE)/12,0)+IFERROR(((HLOOKUP(B173,'EV Forecast VRZ'!$F$116:$T$122,5,FALSE)-HLOOKUP(B173-1,'EV Forecast VRZ'!$F$124:$T$130,5,FALSE)))*C173/78,0)</f>
        <v>283781.6105963774</v>
      </c>
      <c r="U173" s="47">
        <f ca="1">HLOOKUP(B173,Heating!$C$102:$O$106,5,FALSE)*INDEX(Weather!$BO$1:$CB$20,MATCH(B173,Weather!$BO$1:$BO$20,0),MATCH(C173,Weather!$BO$1:$CB$1,0))/VLOOKUP(B173,Weather!$BO$2:$CB$20,14,FALSE)</f>
        <v>432565.64909123717</v>
      </c>
      <c r="V173" s="47">
        <f t="shared" ca="1" si="223"/>
        <v>82401028.50674662</v>
      </c>
    </row>
    <row r="174" spans="1:22">
      <c r="A174" s="2">
        <f t="shared" si="208"/>
        <v>47634</v>
      </c>
      <c r="B174">
        <f t="shared" si="209"/>
        <v>2030</v>
      </c>
      <c r="C174">
        <f t="shared" si="210"/>
        <v>5</v>
      </c>
      <c r="E174" s="3">
        <f t="shared" ref="E174:F174" ca="1" si="226">E162</f>
        <v>208.90012508544086</v>
      </c>
      <c r="F174" s="3">
        <f t="shared" ca="1" si="226"/>
        <v>81.50872474747473</v>
      </c>
      <c r="G174">
        <f t="shared" si="212"/>
        <v>1</v>
      </c>
      <c r="H174" s="3">
        <f t="shared" si="213"/>
        <v>31</v>
      </c>
      <c r="I174" s="261">
        <f>I162*(1+'Economic Data'!$AC$15)</f>
        <v>937679.02635461197</v>
      </c>
      <c r="J174" s="489">
        <f>'Monthly Data'!EJ174</f>
        <v>0</v>
      </c>
      <c r="L174" s="3">
        <f t="shared" si="201"/>
        <v>-4442160.1424492002</v>
      </c>
      <c r="M174" s="3">
        <f t="shared" ca="1" si="202"/>
        <v>4548555.9413172565</v>
      </c>
      <c r="N174" s="3">
        <f t="shared" ca="1" si="203"/>
        <v>5254619.4411621923</v>
      </c>
      <c r="O174" s="3">
        <f t="shared" si="204"/>
        <v>1833644.83418835</v>
      </c>
      <c r="P174" s="3">
        <f t="shared" si="205"/>
        <v>40771613.817639098</v>
      </c>
      <c r="Q174" s="3">
        <f t="shared" si="206"/>
        <v>35459211.363622248</v>
      </c>
      <c r="R174" s="3">
        <f t="shared" si="207"/>
        <v>0</v>
      </c>
      <c r="S174" s="47">
        <f t="shared" ca="1" si="222"/>
        <v>83425485.255479947</v>
      </c>
      <c r="T174" s="47">
        <f>IFERROR(HLOOKUP(B174-1,'EV Forecast VRZ'!$F$124:$T$130,5,FALSE)/12,0)+IFERROR(((HLOOKUP(B174,'EV Forecast VRZ'!$F$116:$T$122,5,FALSE)-HLOOKUP(B174-1,'EV Forecast VRZ'!$F$124:$T$130,5,FALSE)))*C174/78,0)</f>
        <v>288072.85783601034</v>
      </c>
      <c r="U174" s="47">
        <f ca="1">HLOOKUP(B174,Heating!$C$102:$O$106,5,FALSE)*INDEX(Weather!$BO$1:$CB$20,MATCH(B174,Weather!$BO$1:$BO$20,0),MATCH(C174,Weather!$BO$1:$CB$1,0))/VLOOKUP(B174,Weather!$BO$2:$CB$20,14,FALSE)</f>
        <v>190281.12561133437</v>
      </c>
      <c r="V174" s="47">
        <f t="shared" ca="1" si="223"/>
        <v>83903839.23892729</v>
      </c>
    </row>
    <row r="175" spans="1:22">
      <c r="A175" s="2">
        <f t="shared" si="208"/>
        <v>47664</v>
      </c>
      <c r="B175">
        <f t="shared" si="209"/>
        <v>2030</v>
      </c>
      <c r="C175">
        <f t="shared" si="210"/>
        <v>6</v>
      </c>
      <c r="E175" s="3">
        <f t="shared" ref="E175:F175" ca="1" si="227">E163</f>
        <v>61.78217382617381</v>
      </c>
      <c r="F175" s="3">
        <f t="shared" ca="1" si="227"/>
        <v>202.3599342107168</v>
      </c>
      <c r="G175">
        <f t="shared" si="212"/>
        <v>0</v>
      </c>
      <c r="H175" s="3">
        <f t="shared" si="213"/>
        <v>30</v>
      </c>
      <c r="I175" s="261">
        <f>I163*(1+'Economic Data'!$AC$15)</f>
        <v>937679.02635461197</v>
      </c>
      <c r="J175" s="489">
        <f>'Monthly Data'!EJ175</f>
        <v>0</v>
      </c>
      <c r="L175" s="3">
        <f t="shared" si="201"/>
        <v>-4442160.1424492002</v>
      </c>
      <c r="M175" s="3">
        <f t="shared" ca="1" si="202"/>
        <v>1345234.5885843791</v>
      </c>
      <c r="N175" s="3">
        <f t="shared" ca="1" si="203"/>
        <v>13045529.146852197</v>
      </c>
      <c r="O175" s="3">
        <f t="shared" si="204"/>
        <v>0</v>
      </c>
      <c r="P175" s="3">
        <f t="shared" si="205"/>
        <v>39456400.468682997</v>
      </c>
      <c r="Q175" s="3">
        <f t="shared" si="206"/>
        <v>35459211.363622248</v>
      </c>
      <c r="R175" s="3">
        <f t="shared" si="207"/>
        <v>0</v>
      </c>
      <c r="S175" s="47">
        <f t="shared" ca="1" si="222"/>
        <v>84864215.425292626</v>
      </c>
      <c r="T175" s="47">
        <f>IFERROR(HLOOKUP(B175-1,'EV Forecast VRZ'!$F$124:$T$130,5,FALSE)/12,0)+IFERROR(((HLOOKUP(B175,'EV Forecast VRZ'!$F$116:$T$122,5,FALSE)-HLOOKUP(B175-1,'EV Forecast VRZ'!$F$124:$T$130,5,FALSE)))*C175/78,0)</f>
        <v>292364.10507564334</v>
      </c>
      <c r="U175" s="47">
        <f ca="1">HLOOKUP(B175,Heating!$C$102:$O$106,5,FALSE)*INDEX(Weather!$BO$1:$CB$20,MATCH(B175,Weather!$BO$1:$BO$20,0),MATCH(C175,Weather!$BO$1:$CB$1,0))/VLOOKUP(B175,Weather!$BO$2:$CB$20,14,FALSE)</f>
        <v>37105.597609309749</v>
      </c>
      <c r="V175" s="47">
        <f t="shared" ca="1" si="223"/>
        <v>85193685.12797758</v>
      </c>
    </row>
    <row r="176" spans="1:22">
      <c r="A176" s="2">
        <f t="shared" si="208"/>
        <v>47695</v>
      </c>
      <c r="B176">
        <f t="shared" si="209"/>
        <v>2030</v>
      </c>
      <c r="C176">
        <f t="shared" si="210"/>
        <v>7</v>
      </c>
      <c r="E176" s="3">
        <f t="shared" ref="E176:F176" ca="1" si="228">E164</f>
        <v>8.334479813664597</v>
      </c>
      <c r="F176" s="3">
        <f t="shared" ca="1" si="228"/>
        <v>304.72508692061177</v>
      </c>
      <c r="G176">
        <f t="shared" si="212"/>
        <v>0</v>
      </c>
      <c r="H176" s="3">
        <f t="shared" si="213"/>
        <v>31</v>
      </c>
      <c r="I176" s="261">
        <f>I164*(1+'Economic Data'!$AC$15)</f>
        <v>937679.02635461197</v>
      </c>
      <c r="J176" s="489">
        <f>'Monthly Data'!EJ176</f>
        <v>0</v>
      </c>
      <c r="L176" s="3">
        <f t="shared" si="201"/>
        <v>-4442160.1424492002</v>
      </c>
      <c r="M176" s="3">
        <f t="shared" ca="1" si="202"/>
        <v>181473.55181681956</v>
      </c>
      <c r="N176" s="3">
        <f t="shared" ca="1" si="203"/>
        <v>19644699.029504735</v>
      </c>
      <c r="O176" s="3">
        <f t="shared" si="204"/>
        <v>0</v>
      </c>
      <c r="P176" s="3">
        <f t="shared" si="205"/>
        <v>40771613.817639098</v>
      </c>
      <c r="Q176" s="3">
        <f t="shared" si="206"/>
        <v>35459211.363622248</v>
      </c>
      <c r="R176" s="3">
        <f t="shared" si="207"/>
        <v>0</v>
      </c>
      <c r="S176" s="47">
        <f t="shared" ca="1" si="222"/>
        <v>91614837.620133698</v>
      </c>
      <c r="T176" s="47">
        <f>IFERROR(HLOOKUP(B176-1,'EV Forecast VRZ'!$F$124:$T$130,5,FALSE)/12,0)+IFERROR(((HLOOKUP(B176,'EV Forecast VRZ'!$F$116:$T$122,5,FALSE)-HLOOKUP(B176-1,'EV Forecast VRZ'!$F$124:$T$130,5,FALSE)))*C176/78,0)</f>
        <v>296655.35231527628</v>
      </c>
      <c r="U176" s="47">
        <f ca="1">HLOOKUP(B176,Heating!$C$102:$O$106,5,FALSE)*INDEX(Weather!$BO$1:$CB$20,MATCH(B176,Weather!$BO$1:$BO$20,0),MATCH(C176,Weather!$BO$1:$CB$1,0))/VLOOKUP(B176,Weather!$BO$2:$CB$20,14,FALSE)</f>
        <v>1329.3362218099771</v>
      </c>
      <c r="V176" s="47">
        <f t="shared" ca="1" si="223"/>
        <v>91912822.308670789</v>
      </c>
    </row>
    <row r="177" spans="1:22">
      <c r="A177" s="2">
        <f t="shared" si="208"/>
        <v>47726</v>
      </c>
      <c r="B177">
        <f t="shared" si="209"/>
        <v>2030</v>
      </c>
      <c r="C177">
        <f t="shared" si="210"/>
        <v>8</v>
      </c>
      <c r="E177" s="3">
        <f t="shared" ref="E177:F177" ca="1" si="229">E165</f>
        <v>21.054927536231883</v>
      </c>
      <c r="F177" s="3">
        <f t="shared" ca="1" si="229"/>
        <v>275.96017127799735</v>
      </c>
      <c r="G177">
        <f t="shared" si="212"/>
        <v>0</v>
      </c>
      <c r="H177" s="3">
        <f t="shared" si="213"/>
        <v>31</v>
      </c>
      <c r="I177" s="261">
        <f>I165*(1+'Economic Data'!$AC$15)</f>
        <v>937679.02635461197</v>
      </c>
      <c r="J177" s="489">
        <f>'Monthly Data'!EJ177</f>
        <v>0</v>
      </c>
      <c r="L177" s="3">
        <f t="shared" si="201"/>
        <v>-4442160.1424492002</v>
      </c>
      <c r="M177" s="3">
        <f t="shared" ca="1" si="202"/>
        <v>458446.42601224757</v>
      </c>
      <c r="N177" s="3">
        <f t="shared" ca="1" si="203"/>
        <v>17790312.45398964</v>
      </c>
      <c r="O177" s="3">
        <f t="shared" si="204"/>
        <v>0</v>
      </c>
      <c r="P177" s="3">
        <f t="shared" si="205"/>
        <v>40771613.817639098</v>
      </c>
      <c r="Q177" s="3">
        <f t="shared" si="206"/>
        <v>35459211.363622248</v>
      </c>
      <c r="R177" s="3">
        <f t="shared" si="207"/>
        <v>0</v>
      </c>
      <c r="S177" s="47">
        <f t="shared" ca="1" si="222"/>
        <v>90037423.918814033</v>
      </c>
      <c r="T177" s="47">
        <f>IFERROR(HLOOKUP(B177-1,'EV Forecast VRZ'!$F$124:$T$130,5,FALSE)/12,0)+IFERROR(((HLOOKUP(B177,'EV Forecast VRZ'!$F$116:$T$122,5,FALSE)-HLOOKUP(B177-1,'EV Forecast VRZ'!$F$124:$T$130,5,FALSE)))*C177/78,0)</f>
        <v>300946.59955490922</v>
      </c>
      <c r="U177" s="47">
        <f ca="1">HLOOKUP(B177,Heating!$C$102:$O$106,5,FALSE)*INDEX(Weather!$BO$1:$CB$20,MATCH(B177,Weather!$BO$1:$BO$20,0),MATCH(C177,Weather!$BO$1:$CB$1,0))/VLOOKUP(B177,Weather!$BO$2:$CB$20,14,FALSE)</f>
        <v>7874.3892447514663</v>
      </c>
      <c r="V177" s="47">
        <f t="shared" ca="1" si="223"/>
        <v>90346244.907613695</v>
      </c>
    </row>
    <row r="178" spans="1:22">
      <c r="A178" s="2">
        <f t="shared" si="208"/>
        <v>47756</v>
      </c>
      <c r="B178">
        <f t="shared" si="209"/>
        <v>2030</v>
      </c>
      <c r="C178">
        <f t="shared" si="210"/>
        <v>9</v>
      </c>
      <c r="E178" s="3">
        <f t="shared" ref="E178:F178" ca="1" si="230">E166</f>
        <v>97.667119565217376</v>
      </c>
      <c r="F178" s="3">
        <f t="shared" ca="1" si="230"/>
        <v>154.9849637681159</v>
      </c>
      <c r="G178">
        <f t="shared" si="212"/>
        <v>1</v>
      </c>
      <c r="H178" s="3">
        <f t="shared" si="213"/>
        <v>30</v>
      </c>
      <c r="I178" s="261">
        <f>I166*(1+'Economic Data'!$AC$15)</f>
        <v>937679.02635461197</v>
      </c>
      <c r="J178" s="489">
        <f>'Monthly Data'!EJ178</f>
        <v>0</v>
      </c>
      <c r="L178" s="3">
        <f t="shared" si="201"/>
        <v>-4442160.1424492002</v>
      </c>
      <c r="M178" s="3">
        <f t="shared" ca="1" si="202"/>
        <v>2126587.3191220681</v>
      </c>
      <c r="N178" s="3">
        <f t="shared" ca="1" si="203"/>
        <v>9991408.9715774972</v>
      </c>
      <c r="O178" s="3">
        <f t="shared" si="204"/>
        <v>1833644.83418835</v>
      </c>
      <c r="P178" s="3">
        <f t="shared" si="205"/>
        <v>39456400.468682997</v>
      </c>
      <c r="Q178" s="3">
        <f t="shared" si="206"/>
        <v>35459211.363622248</v>
      </c>
      <c r="R178" s="3">
        <f t="shared" si="207"/>
        <v>0</v>
      </c>
      <c r="S178" s="47">
        <f t="shared" ca="1" si="222"/>
        <v>84425092.814743966</v>
      </c>
      <c r="T178" s="47">
        <f>IFERROR(HLOOKUP(B178-1,'EV Forecast VRZ'!$F$124:$T$130,5,FALSE)/12,0)+IFERROR(((HLOOKUP(B178,'EV Forecast VRZ'!$F$116:$T$122,5,FALSE)-HLOOKUP(B178-1,'EV Forecast VRZ'!$F$124:$T$130,5,FALSE)))*C178/78,0)</f>
        <v>305237.84679454216</v>
      </c>
      <c r="U178" s="47">
        <f ca="1">HLOOKUP(B178,Heating!$C$102:$O$106,5,FALSE)*INDEX(Weather!$BO$1:$CB$20,MATCH(B178,Weather!$BO$1:$BO$20,0),MATCH(C178,Weather!$BO$1:$CB$1,0))/VLOOKUP(B178,Weather!$BO$2:$CB$20,14,FALSE)</f>
        <v>66692.071508582812</v>
      </c>
      <c r="V178" s="47">
        <f t="shared" ca="1" si="223"/>
        <v>84797022.733047098</v>
      </c>
    </row>
    <row r="179" spans="1:22">
      <c r="A179" s="2">
        <f t="shared" si="208"/>
        <v>47787</v>
      </c>
      <c r="B179">
        <f t="shared" si="209"/>
        <v>2030</v>
      </c>
      <c r="C179">
        <f t="shared" si="210"/>
        <v>10</v>
      </c>
      <c r="E179" s="3">
        <f t="shared" ref="E179:F179" ca="1" si="231">E167</f>
        <v>292.46431159420291</v>
      </c>
      <c r="F179" s="3">
        <f t="shared" ca="1" si="231"/>
        <v>38.347916666666663</v>
      </c>
      <c r="G179">
        <f t="shared" ref="G179:G193" si="232">G167</f>
        <v>1</v>
      </c>
      <c r="H179" s="3">
        <f t="shared" si="213"/>
        <v>31</v>
      </c>
      <c r="I179" s="261">
        <f>I167*(1+'Economic Data'!$AC$15)</f>
        <v>937679.02635461197</v>
      </c>
      <c r="J179" s="489">
        <f>'Monthly Data'!EJ179</f>
        <v>0</v>
      </c>
      <c r="L179" s="3">
        <f t="shared" si="201"/>
        <v>-4442160.1424492002</v>
      </c>
      <c r="M179" s="3">
        <f t="shared" ca="1" si="202"/>
        <v>6368068.3847411759</v>
      </c>
      <c r="N179" s="3">
        <f t="shared" ca="1" si="203"/>
        <v>2472173.4890224398</v>
      </c>
      <c r="O179" s="3">
        <f t="shared" si="204"/>
        <v>1833644.83418835</v>
      </c>
      <c r="P179" s="3">
        <f t="shared" si="205"/>
        <v>40771613.817639098</v>
      </c>
      <c r="Q179" s="3">
        <f t="shared" si="206"/>
        <v>35459211.363622248</v>
      </c>
      <c r="R179" s="3">
        <f t="shared" si="207"/>
        <v>0</v>
      </c>
      <c r="S179" s="47">
        <f t="shared" ca="1" si="222"/>
        <v>82462551.746764109</v>
      </c>
      <c r="T179" s="47">
        <f>IFERROR(HLOOKUP(B179-1,'EV Forecast VRZ'!$F$124:$T$130,5,FALSE)/12,0)+IFERROR(((HLOOKUP(B179,'EV Forecast VRZ'!$F$116:$T$122,5,FALSE)-HLOOKUP(B179-1,'EV Forecast VRZ'!$F$124:$T$130,5,FALSE)))*C179/78,0)</f>
        <v>309529.09403417516</v>
      </c>
      <c r="U179" s="47">
        <f ca="1">HLOOKUP(B179,Heating!$C$102:$O$106,5,FALSE)*INDEX(Weather!$BO$1:$CB$20,MATCH(B179,Weather!$BO$1:$BO$20,0),MATCH(C179,Weather!$BO$1:$CB$1,0))/VLOOKUP(B179,Weather!$BO$2:$CB$20,14,FALSE)</f>
        <v>284617.03784080781</v>
      </c>
      <c r="V179" s="47">
        <f t="shared" ca="1" si="223"/>
        <v>83056697.878639102</v>
      </c>
    </row>
    <row r="180" spans="1:22">
      <c r="A180" s="2">
        <f t="shared" si="208"/>
        <v>47817</v>
      </c>
      <c r="B180">
        <f t="shared" si="209"/>
        <v>2030</v>
      </c>
      <c r="C180">
        <f t="shared" si="210"/>
        <v>11</v>
      </c>
      <c r="E180" s="3">
        <f t="shared" ref="E180:F180" ca="1" si="233">E168</f>
        <v>495.51408055712409</v>
      </c>
      <c r="F180" s="3">
        <f t="shared" ca="1" si="233"/>
        <v>1.9241666666666659</v>
      </c>
      <c r="G180">
        <f t="shared" si="232"/>
        <v>1</v>
      </c>
      <c r="H180" s="3">
        <f t="shared" si="213"/>
        <v>30</v>
      </c>
      <c r="I180" s="261">
        <f>I168*(1+'Economic Data'!$AC$15)</f>
        <v>937679.02635461197</v>
      </c>
      <c r="J180" s="489">
        <f>'Monthly Data'!EJ180</f>
        <v>0</v>
      </c>
      <c r="L180" s="3">
        <f t="shared" si="201"/>
        <v>-4442160.1424492002</v>
      </c>
      <c r="M180" s="3">
        <f t="shared" ca="1" si="202"/>
        <v>10789239.66274612</v>
      </c>
      <c r="N180" s="3">
        <f t="shared" ca="1" si="203"/>
        <v>124045.16947145785</v>
      </c>
      <c r="O180" s="3">
        <f t="shared" si="204"/>
        <v>1833644.83418835</v>
      </c>
      <c r="P180" s="3">
        <f t="shared" si="205"/>
        <v>39456400.468682997</v>
      </c>
      <c r="Q180" s="3">
        <f t="shared" si="206"/>
        <v>35459211.363622248</v>
      </c>
      <c r="R180" s="3">
        <f t="shared" si="207"/>
        <v>0</v>
      </c>
      <c r="S180" s="47">
        <f t="shared" ca="1" si="222"/>
        <v>83220381.356261969</v>
      </c>
      <c r="T180" s="47">
        <f>IFERROR(HLOOKUP(B180-1,'EV Forecast VRZ'!$F$124:$T$130,5,FALSE)/12,0)+IFERROR(((HLOOKUP(B180,'EV Forecast VRZ'!$F$116:$T$122,5,FALSE)-HLOOKUP(B180-1,'EV Forecast VRZ'!$F$124:$T$130,5,FALSE)))*C180/78,0)</f>
        <v>313820.3412738081</v>
      </c>
      <c r="U180" s="47">
        <f ca="1">HLOOKUP(B180,Heating!$C$102:$O$106,5,FALSE)*INDEX(Weather!$BO$1:$CB$20,MATCH(B180,Weather!$BO$1:$BO$20,0),MATCH(C180,Weather!$BO$1:$CB$1,0))/VLOOKUP(B180,Weather!$BO$2:$CB$20,14,FALSE)</f>
        <v>533794.52237527841</v>
      </c>
      <c r="V180" s="47">
        <f t="shared" ca="1" si="223"/>
        <v>84067996.219911069</v>
      </c>
    </row>
    <row r="181" spans="1:22">
      <c r="A181" s="2">
        <f t="shared" si="208"/>
        <v>47848</v>
      </c>
      <c r="B181">
        <f t="shared" si="209"/>
        <v>2030</v>
      </c>
      <c r="C181">
        <f t="shared" si="210"/>
        <v>12</v>
      </c>
      <c r="E181" s="3">
        <f t="shared" ref="E181:F181" ca="1" si="234">E169</f>
        <v>664.38541666666663</v>
      </c>
      <c r="F181" s="3">
        <f t="shared" ca="1" si="234"/>
        <v>0</v>
      </c>
      <c r="G181">
        <f t="shared" si="232"/>
        <v>0</v>
      </c>
      <c r="H181" s="3">
        <f t="shared" si="213"/>
        <v>31</v>
      </c>
      <c r="I181" s="261">
        <f>I169*(1+'Economic Data'!$AC$15)</f>
        <v>937679.02635461197</v>
      </c>
      <c r="J181" s="489">
        <f>'Monthly Data'!EJ181</f>
        <v>0</v>
      </c>
      <c r="L181" s="3">
        <f t="shared" si="201"/>
        <v>-4442160.1424492002</v>
      </c>
      <c r="M181" s="3">
        <f t="shared" ca="1" si="202"/>
        <v>14466215.532746576</v>
      </c>
      <c r="N181" s="3">
        <f t="shared" ca="1" si="203"/>
        <v>0</v>
      </c>
      <c r="O181" s="3">
        <f t="shared" si="204"/>
        <v>0</v>
      </c>
      <c r="P181" s="3">
        <f t="shared" si="205"/>
        <v>40771613.817639098</v>
      </c>
      <c r="Q181" s="3">
        <f t="shared" si="206"/>
        <v>35459211.363622248</v>
      </c>
      <c r="R181" s="3">
        <f t="shared" si="207"/>
        <v>0</v>
      </c>
      <c r="S181" s="47">
        <f t="shared" ca="1" si="222"/>
        <v>86254880.571558714</v>
      </c>
      <c r="T181" s="47">
        <f>IFERROR(HLOOKUP(B181-1,'EV Forecast VRZ'!$F$124:$T$130,5,FALSE)/12,0)+IFERROR(((HLOOKUP(B181,'EV Forecast VRZ'!$F$116:$T$122,5,FALSE)-HLOOKUP(B181-1,'EV Forecast VRZ'!$F$124:$T$130,5,FALSE)))*C181/78,0)</f>
        <v>318111.58851344103</v>
      </c>
      <c r="U181" s="47">
        <f ca="1">HLOOKUP(B181,Heating!$C$102:$O$106,5,FALSE)*INDEX(Weather!$BO$1:$CB$20,MATCH(B181,Weather!$BO$1:$BO$20,0),MATCH(C181,Weather!$BO$1:$CB$1,0))/VLOOKUP(B181,Weather!$BO$2:$CB$20,14,FALSE)</f>
        <v>738322.93863858317</v>
      </c>
      <c r="V181" s="47">
        <f t="shared" ca="1" si="223"/>
        <v>87311315.098710731</v>
      </c>
    </row>
    <row r="182" spans="1:22">
      <c r="A182" s="2">
        <f t="shared" si="208"/>
        <v>47879</v>
      </c>
      <c r="B182">
        <f t="shared" si="209"/>
        <v>2031</v>
      </c>
      <c r="C182">
        <f t="shared" si="210"/>
        <v>1</v>
      </c>
      <c r="E182" s="3">
        <f t="shared" ref="E182:F182" ca="1" si="235">E170</f>
        <v>752.78750000000002</v>
      </c>
      <c r="F182" s="3">
        <f t="shared" ca="1" si="235"/>
        <v>0</v>
      </c>
      <c r="G182">
        <f t="shared" si="232"/>
        <v>0</v>
      </c>
      <c r="H182" s="3">
        <f t="shared" si="213"/>
        <v>31</v>
      </c>
      <c r="I182" s="261">
        <f>I170*(1+'Economic Data'!$AC$15)</f>
        <v>954557.24882899504</v>
      </c>
      <c r="J182" s="489">
        <f>'Monthly Data'!EJ182</f>
        <v>0</v>
      </c>
      <c r="L182" s="3">
        <f t="shared" si="201"/>
        <v>-4442160.1424492002</v>
      </c>
      <c r="M182" s="3">
        <f t="shared" ca="1" si="202"/>
        <v>16391067.522213772</v>
      </c>
      <c r="N182" s="3">
        <f t="shared" ca="1" si="203"/>
        <v>0</v>
      </c>
      <c r="O182" s="3">
        <f t="shared" si="204"/>
        <v>0</v>
      </c>
      <c r="P182" s="3">
        <f t="shared" si="205"/>
        <v>40771613.817639098</v>
      </c>
      <c r="Q182" s="3">
        <f t="shared" si="206"/>
        <v>36097477.16816745</v>
      </c>
      <c r="R182" s="3">
        <f t="shared" si="207"/>
        <v>0</v>
      </c>
      <c r="S182" s="47">
        <f t="shared" ca="1" si="222"/>
        <v>88817998.365571111</v>
      </c>
      <c r="T182" s="47">
        <f>IFERROR(HLOOKUP(B182-1,'EV Forecast VRZ'!$F$124:$T$130,5,FALSE)/12,0)+IFERROR(((HLOOKUP(B182,'EV Forecast VRZ'!$F$116:$T$122,5,FALSE)-HLOOKUP(B182-1,'EV Forecast VRZ'!$F$124:$T$130,5,FALSE)))*C182/78,0)</f>
        <v>330258.55717269058</v>
      </c>
      <c r="U182" s="47">
        <f ca="1">HLOOKUP(B182,Heating!$C$102:$O$106,5,FALSE)*INDEX(Weather!$BO$1:$CB$20,MATCH(B182,Weather!$BO$1:$BO$20,0),MATCH(C182,Weather!$BO$1:$CB$1,0))/VLOOKUP(B182,Weather!$BO$2:$CB$20,14,FALSE)</f>
        <v>943320.60746883822</v>
      </c>
      <c r="V182" s="47">
        <f t="shared" ca="1" si="223"/>
        <v>90091577.530212641</v>
      </c>
    </row>
    <row r="183" spans="1:22">
      <c r="A183" s="2">
        <f t="shared" si="208"/>
        <v>47907</v>
      </c>
      <c r="B183">
        <f t="shared" si="209"/>
        <v>2031</v>
      </c>
      <c r="C183">
        <f t="shared" si="210"/>
        <v>2</v>
      </c>
      <c r="E183" s="3">
        <f t="shared" ref="E183:F183" ca="1" si="236">E171</f>
        <v>660.7954166666666</v>
      </c>
      <c r="F183" s="3">
        <f t="shared" ca="1" si="236"/>
        <v>0</v>
      </c>
      <c r="G183">
        <f t="shared" si="232"/>
        <v>0</v>
      </c>
      <c r="H183" s="3">
        <f t="shared" si="213"/>
        <v>28</v>
      </c>
      <c r="I183" s="261">
        <f>I171*(1+'Economic Data'!$AC$15)</f>
        <v>954557.24882899504</v>
      </c>
      <c r="J183" s="489">
        <f>'Monthly Data'!EJ183</f>
        <v>0</v>
      </c>
      <c r="L183" s="3">
        <f t="shared" si="201"/>
        <v>-4442160.1424492002</v>
      </c>
      <c r="M183" s="3">
        <f t="shared" ca="1" si="202"/>
        <v>14388047.48079998</v>
      </c>
      <c r="N183" s="3">
        <f t="shared" ca="1" si="203"/>
        <v>0</v>
      </c>
      <c r="O183" s="3">
        <f t="shared" si="204"/>
        <v>0</v>
      </c>
      <c r="P183" s="3">
        <f t="shared" si="205"/>
        <v>36825973.770770796</v>
      </c>
      <c r="Q183" s="3">
        <f t="shared" si="206"/>
        <v>36097477.16816745</v>
      </c>
      <c r="R183" s="3">
        <f t="shared" si="207"/>
        <v>0</v>
      </c>
      <c r="S183" s="47">
        <f t="shared" ca="1" si="222"/>
        <v>82869338.277289033</v>
      </c>
      <c r="T183" s="47">
        <f>IFERROR(HLOOKUP(B183-1,'EV Forecast VRZ'!$F$124:$T$130,5,FALSE)/12,0)+IFERROR(((HLOOKUP(B183,'EV Forecast VRZ'!$F$116:$T$122,5,FALSE)-HLOOKUP(B183-1,'EV Forecast VRZ'!$F$124:$T$130,5,FALSE)))*C183/78,0)</f>
        <v>334752.45109230711</v>
      </c>
      <c r="U183" s="47">
        <f ca="1">HLOOKUP(B183,Heating!$C$102:$O$106,5,FALSE)*INDEX(Weather!$BO$1:$CB$20,MATCH(B183,Weather!$BO$1:$BO$20,0),MATCH(C183,Weather!$BO$1:$CB$1,0))/VLOOKUP(B183,Weather!$BO$2:$CB$20,14,FALSE)</f>
        <v>825072.81541702431</v>
      </c>
      <c r="V183" s="47">
        <f t="shared" ca="1" si="223"/>
        <v>84029163.543798357</v>
      </c>
    </row>
    <row r="184" spans="1:22">
      <c r="A184" s="2">
        <f t="shared" si="208"/>
        <v>47938</v>
      </c>
      <c r="B184">
        <f t="shared" si="209"/>
        <v>2031</v>
      </c>
      <c r="C184">
        <f t="shared" si="210"/>
        <v>3</v>
      </c>
      <c r="E184" s="3">
        <f t="shared" ref="E184:F184" ca="1" si="237">E172</f>
        <v>596.21590579710141</v>
      </c>
      <c r="F184" s="3">
        <f t="shared" ca="1" si="237"/>
        <v>2.9583333333332896E-2</v>
      </c>
      <c r="G184">
        <f t="shared" si="232"/>
        <v>1</v>
      </c>
      <c r="H184" s="3">
        <f t="shared" si="213"/>
        <v>31</v>
      </c>
      <c r="I184" s="261">
        <f>I172*(1+'Economic Data'!$AC$15)</f>
        <v>954557.24882899504</v>
      </c>
      <c r="J184" s="489">
        <f>'Monthly Data'!EJ184</f>
        <v>0</v>
      </c>
      <c r="L184" s="3">
        <f t="shared" si="201"/>
        <v>-4442160.1424492002</v>
      </c>
      <c r="M184" s="3">
        <f t="shared" ca="1" si="202"/>
        <v>12981904.149229543</v>
      </c>
      <c r="N184" s="3">
        <f t="shared" ca="1" si="203"/>
        <v>1907.1474734676008</v>
      </c>
      <c r="O184" s="3">
        <f t="shared" si="204"/>
        <v>1833644.83418835</v>
      </c>
      <c r="P184" s="3">
        <f t="shared" si="205"/>
        <v>40771613.817639098</v>
      </c>
      <c r="Q184" s="3">
        <f t="shared" si="206"/>
        <v>36097477.16816745</v>
      </c>
      <c r="R184" s="3">
        <f t="shared" si="207"/>
        <v>0</v>
      </c>
      <c r="S184" s="47">
        <f t="shared" ca="1" si="222"/>
        <v>87244386.974248707</v>
      </c>
      <c r="T184" s="47">
        <f>IFERROR(HLOOKUP(B184-1,'EV Forecast VRZ'!$F$124:$T$130,5,FALSE)/12,0)+IFERROR(((HLOOKUP(B184,'EV Forecast VRZ'!$F$116:$T$122,5,FALSE)-HLOOKUP(B184-1,'EV Forecast VRZ'!$F$124:$T$130,5,FALSE)))*C184/78,0)</f>
        <v>339246.34501192369</v>
      </c>
      <c r="U184" s="47">
        <f ca="1">HLOOKUP(B184,Heating!$C$102:$O$106,5,FALSE)*INDEX(Weather!$BO$1:$CB$20,MATCH(B184,Weather!$BO$1:$BO$20,0),MATCH(C184,Weather!$BO$1:$CB$1,0))/VLOOKUP(B184,Weather!$BO$2:$CB$20,14,FALSE)</f>
        <v>729510.70014445449</v>
      </c>
      <c r="V184" s="47">
        <f t="shared" ca="1" si="223"/>
        <v>88313144.019405082</v>
      </c>
    </row>
    <row r="185" spans="1:22">
      <c r="A185" s="2">
        <f t="shared" si="208"/>
        <v>47968</v>
      </c>
      <c r="B185">
        <f t="shared" si="209"/>
        <v>2031</v>
      </c>
      <c r="C185">
        <f t="shared" si="210"/>
        <v>4</v>
      </c>
      <c r="E185" s="3">
        <f t="shared" ref="E185:F185" ca="1" si="238">E173</f>
        <v>412.8885416666667</v>
      </c>
      <c r="F185" s="3">
        <f t="shared" ca="1" si="238"/>
        <v>6.0095833333333344</v>
      </c>
      <c r="G185">
        <f t="shared" si="232"/>
        <v>1</v>
      </c>
      <c r="H185" s="3">
        <f t="shared" si="213"/>
        <v>30</v>
      </c>
      <c r="I185" s="261">
        <f>I173*(1+'Economic Data'!$AC$15)</f>
        <v>954557.24882899504</v>
      </c>
      <c r="J185" s="489">
        <f>'Monthly Data'!EJ185</f>
        <v>0</v>
      </c>
      <c r="L185" s="3">
        <f t="shared" si="201"/>
        <v>-4442160.1424492002</v>
      </c>
      <c r="M185" s="3">
        <f t="shared" ca="1" si="202"/>
        <v>8990165.1735804696</v>
      </c>
      <c r="N185" s="3">
        <f t="shared" ca="1" si="203"/>
        <v>387419.54943413549</v>
      </c>
      <c r="O185" s="3">
        <f t="shared" si="204"/>
        <v>1833644.83418835</v>
      </c>
      <c r="P185" s="3">
        <f t="shared" si="205"/>
        <v>39456400.468682997</v>
      </c>
      <c r="Q185" s="3">
        <f t="shared" si="206"/>
        <v>36097477.16816745</v>
      </c>
      <c r="R185" s="3">
        <f t="shared" si="207"/>
        <v>0</v>
      </c>
      <c r="S185" s="47">
        <f t="shared" ca="1" si="222"/>
        <v>82322947.051604211</v>
      </c>
      <c r="T185" s="47">
        <f>IFERROR(HLOOKUP(B185-1,'EV Forecast VRZ'!$F$124:$T$130,5,FALSE)/12,0)+IFERROR(((HLOOKUP(B185,'EV Forecast VRZ'!$F$116:$T$122,5,FALSE)-HLOOKUP(B185-1,'EV Forecast VRZ'!$F$124:$T$130,5,FALSE)))*C185/78,0)</f>
        <v>343740.23893154028</v>
      </c>
      <c r="U185" s="47">
        <f ca="1">HLOOKUP(B185,Heating!$C$102:$O$106,5,FALSE)*INDEX(Weather!$BO$1:$CB$20,MATCH(B185,Weather!$BO$1:$BO$20,0),MATCH(C185,Weather!$BO$1:$CB$1,0))/VLOOKUP(B185,Weather!$BO$2:$CB$20,14,FALSE)</f>
        <v>481942.21329251141</v>
      </c>
      <c r="V185" s="47">
        <f t="shared" ca="1" si="223"/>
        <v>83148629.503828257</v>
      </c>
    </row>
    <row r="186" spans="1:22">
      <c r="A186" s="2">
        <f t="shared" si="208"/>
        <v>47999</v>
      </c>
      <c r="B186">
        <f t="shared" si="209"/>
        <v>2031</v>
      </c>
      <c r="C186">
        <f t="shared" si="210"/>
        <v>5</v>
      </c>
      <c r="E186" s="3">
        <f t="shared" ref="E186:F186" ca="1" si="239">E174</f>
        <v>208.90012508544086</v>
      </c>
      <c r="F186" s="3">
        <f t="shared" ca="1" si="239"/>
        <v>81.50872474747473</v>
      </c>
      <c r="G186">
        <f t="shared" si="232"/>
        <v>1</v>
      </c>
      <c r="H186" s="3">
        <f t="shared" si="213"/>
        <v>31</v>
      </c>
      <c r="I186" s="261">
        <f>I174*(1+'Economic Data'!$AC$15)</f>
        <v>954557.24882899504</v>
      </c>
      <c r="J186" s="489">
        <f>'Monthly Data'!EJ186</f>
        <v>0</v>
      </c>
      <c r="L186" s="3">
        <f t="shared" si="201"/>
        <v>-4442160.1424492002</v>
      </c>
      <c r="M186" s="3">
        <f t="shared" ca="1" si="202"/>
        <v>4548555.9413172565</v>
      </c>
      <c r="N186" s="3">
        <f t="shared" ca="1" si="203"/>
        <v>5254619.4411621923</v>
      </c>
      <c r="O186" s="3">
        <f t="shared" si="204"/>
        <v>1833644.83418835</v>
      </c>
      <c r="P186" s="3">
        <f t="shared" si="205"/>
        <v>40771613.817639098</v>
      </c>
      <c r="Q186" s="3">
        <f t="shared" si="206"/>
        <v>36097477.16816745</v>
      </c>
      <c r="R186" s="3">
        <f t="shared" si="207"/>
        <v>0</v>
      </c>
      <c r="S186" s="47">
        <f t="shared" ca="1" si="222"/>
        <v>84063751.060025156</v>
      </c>
      <c r="T186" s="47">
        <f>IFERROR(HLOOKUP(B186-1,'EV Forecast VRZ'!$F$124:$T$130,5,FALSE)/12,0)+IFERROR(((HLOOKUP(B186,'EV Forecast VRZ'!$F$116:$T$122,5,FALSE)-HLOOKUP(B186-1,'EV Forecast VRZ'!$F$124:$T$130,5,FALSE)))*C186/78,0)</f>
        <v>348234.13285115687</v>
      </c>
      <c r="U186" s="47">
        <f ca="1">HLOOKUP(B186,Heating!$C$102:$O$106,5,FALSE)*INDEX(Weather!$BO$1:$CB$20,MATCH(B186,Weather!$BO$1:$BO$20,0),MATCH(C186,Weather!$BO$1:$CB$1,0))/VLOOKUP(B186,Weather!$BO$2:$CB$20,14,FALSE)</f>
        <v>212001.36214601374</v>
      </c>
      <c r="V186" s="47">
        <f t="shared" ca="1" si="223"/>
        <v>84623986.555022329</v>
      </c>
    </row>
    <row r="187" spans="1:22">
      <c r="A187" s="2">
        <f t="shared" si="208"/>
        <v>48029</v>
      </c>
      <c r="B187">
        <f t="shared" si="209"/>
        <v>2031</v>
      </c>
      <c r="C187">
        <f t="shared" si="210"/>
        <v>6</v>
      </c>
      <c r="E187" s="3">
        <f t="shared" ref="E187:F187" ca="1" si="240">E175</f>
        <v>61.78217382617381</v>
      </c>
      <c r="F187" s="3">
        <f t="shared" ca="1" si="240"/>
        <v>202.3599342107168</v>
      </c>
      <c r="G187">
        <f t="shared" si="232"/>
        <v>0</v>
      </c>
      <c r="H187" s="3">
        <f t="shared" si="213"/>
        <v>30</v>
      </c>
      <c r="I187" s="261">
        <f>I175*(1+'Economic Data'!$AC$15)</f>
        <v>954557.24882899504</v>
      </c>
      <c r="J187" s="489">
        <f>'Monthly Data'!EJ187</f>
        <v>0</v>
      </c>
      <c r="L187" s="3">
        <f t="shared" si="201"/>
        <v>-4442160.1424492002</v>
      </c>
      <c r="M187" s="3">
        <f t="shared" ca="1" si="202"/>
        <v>1345234.5885843791</v>
      </c>
      <c r="N187" s="3">
        <f t="shared" ca="1" si="203"/>
        <v>13045529.146852197</v>
      </c>
      <c r="O187" s="3">
        <f t="shared" si="204"/>
        <v>0</v>
      </c>
      <c r="P187" s="3">
        <f t="shared" si="205"/>
        <v>39456400.468682997</v>
      </c>
      <c r="Q187" s="3">
        <f t="shared" si="206"/>
        <v>36097477.16816745</v>
      </c>
      <c r="R187" s="3">
        <f t="shared" si="207"/>
        <v>0</v>
      </c>
      <c r="S187" s="47">
        <f t="shared" ca="1" si="222"/>
        <v>85502481.229837835</v>
      </c>
      <c r="T187" s="47">
        <f>IFERROR(HLOOKUP(B187-1,'EV Forecast VRZ'!$F$124:$T$130,5,FALSE)/12,0)+IFERROR(((HLOOKUP(B187,'EV Forecast VRZ'!$F$116:$T$122,5,FALSE)-HLOOKUP(B187-1,'EV Forecast VRZ'!$F$124:$T$130,5,FALSE)))*C187/78,0)</f>
        <v>352728.0267707734</v>
      </c>
      <c r="U187" s="47">
        <f ca="1">HLOOKUP(B187,Heating!$C$102:$O$106,5,FALSE)*INDEX(Weather!$BO$1:$CB$20,MATCH(B187,Weather!$BO$1:$BO$20,0),MATCH(C187,Weather!$BO$1:$CB$1,0))/VLOOKUP(B187,Weather!$BO$2:$CB$20,14,FALSE)</f>
        <v>41341.13255396342</v>
      </c>
      <c r="V187" s="47">
        <f t="shared" ca="1" si="223"/>
        <v>85896550.38916257</v>
      </c>
    </row>
    <row r="188" spans="1:22">
      <c r="A188" s="2">
        <f t="shared" si="208"/>
        <v>48060</v>
      </c>
      <c r="B188">
        <f t="shared" si="209"/>
        <v>2031</v>
      </c>
      <c r="C188">
        <f t="shared" si="210"/>
        <v>7</v>
      </c>
      <c r="E188" s="3">
        <f t="shared" ref="E188:F188" ca="1" si="241">E176</f>
        <v>8.334479813664597</v>
      </c>
      <c r="F188" s="3">
        <f t="shared" ca="1" si="241"/>
        <v>304.72508692061177</v>
      </c>
      <c r="G188">
        <f t="shared" si="232"/>
        <v>0</v>
      </c>
      <c r="H188" s="3">
        <f t="shared" si="213"/>
        <v>31</v>
      </c>
      <c r="I188" s="261">
        <f>I176*(1+'Economic Data'!$AC$15)</f>
        <v>954557.24882899504</v>
      </c>
      <c r="J188" s="489">
        <f>'Monthly Data'!EJ188</f>
        <v>0</v>
      </c>
      <c r="L188" s="3">
        <f t="shared" si="201"/>
        <v>-4442160.1424492002</v>
      </c>
      <c r="M188" s="3">
        <f t="shared" ca="1" si="202"/>
        <v>181473.55181681956</v>
      </c>
      <c r="N188" s="3">
        <f t="shared" ca="1" si="203"/>
        <v>19644699.029504735</v>
      </c>
      <c r="O188" s="3">
        <f t="shared" si="204"/>
        <v>0</v>
      </c>
      <c r="P188" s="3">
        <f t="shared" si="205"/>
        <v>40771613.817639098</v>
      </c>
      <c r="Q188" s="3">
        <f t="shared" si="206"/>
        <v>36097477.16816745</v>
      </c>
      <c r="R188" s="3">
        <f t="shared" si="207"/>
        <v>0</v>
      </c>
      <c r="S188" s="47">
        <f t="shared" ca="1" si="222"/>
        <v>92253103.424678892</v>
      </c>
      <c r="T188" s="47">
        <f>IFERROR(HLOOKUP(B188-1,'EV Forecast VRZ'!$F$124:$T$130,5,FALSE)/12,0)+IFERROR(((HLOOKUP(B188,'EV Forecast VRZ'!$F$116:$T$122,5,FALSE)-HLOOKUP(B188-1,'EV Forecast VRZ'!$F$124:$T$130,5,FALSE)))*C188/78,0)</f>
        <v>357221.92069038999</v>
      </c>
      <c r="U188" s="47">
        <f ca="1">HLOOKUP(B188,Heating!$C$102:$O$106,5,FALSE)*INDEX(Weather!$BO$1:$CB$20,MATCH(B188,Weather!$BO$1:$BO$20,0),MATCH(C188,Weather!$BO$1:$CB$1,0))/VLOOKUP(B188,Weather!$BO$2:$CB$20,14,FALSE)</f>
        <v>1481.0774787479158</v>
      </c>
      <c r="V188" s="47">
        <f t="shared" ca="1" si="223"/>
        <v>92611806.422848031</v>
      </c>
    </row>
    <row r="189" spans="1:22">
      <c r="A189" s="2">
        <f t="shared" si="208"/>
        <v>48091</v>
      </c>
      <c r="B189">
        <f t="shared" si="209"/>
        <v>2031</v>
      </c>
      <c r="C189">
        <f t="shared" si="210"/>
        <v>8</v>
      </c>
      <c r="E189" s="3">
        <f t="shared" ref="E189:F189" ca="1" si="242">E177</f>
        <v>21.054927536231883</v>
      </c>
      <c r="F189" s="3">
        <f t="shared" ca="1" si="242"/>
        <v>275.96017127799735</v>
      </c>
      <c r="G189">
        <f t="shared" si="232"/>
        <v>0</v>
      </c>
      <c r="H189" s="3">
        <f t="shared" si="213"/>
        <v>31</v>
      </c>
      <c r="I189" s="261">
        <f>I177*(1+'Economic Data'!$AC$15)</f>
        <v>954557.24882899504</v>
      </c>
      <c r="J189" s="489">
        <f>'Monthly Data'!EJ189</f>
        <v>0</v>
      </c>
      <c r="L189" s="3">
        <f t="shared" si="201"/>
        <v>-4442160.1424492002</v>
      </c>
      <c r="M189" s="3">
        <f t="shared" ca="1" si="202"/>
        <v>458446.42601224757</v>
      </c>
      <c r="N189" s="3">
        <f t="shared" ca="1" si="203"/>
        <v>17790312.45398964</v>
      </c>
      <c r="O189" s="3">
        <f t="shared" si="204"/>
        <v>0</v>
      </c>
      <c r="P189" s="3">
        <f t="shared" si="205"/>
        <v>40771613.817639098</v>
      </c>
      <c r="Q189" s="3">
        <f t="shared" si="206"/>
        <v>36097477.16816745</v>
      </c>
      <c r="R189" s="3">
        <f t="shared" si="207"/>
        <v>0</v>
      </c>
      <c r="S189" s="47">
        <f t="shared" ca="1" si="222"/>
        <v>90675689.723359227</v>
      </c>
      <c r="T189" s="47">
        <f>IFERROR(HLOOKUP(B189-1,'EV Forecast VRZ'!$F$124:$T$130,5,FALSE)/12,0)+IFERROR(((HLOOKUP(B189,'EV Forecast VRZ'!$F$116:$T$122,5,FALSE)-HLOOKUP(B189-1,'EV Forecast VRZ'!$F$124:$T$130,5,FALSE)))*C189/78,0)</f>
        <v>361715.81461000658</v>
      </c>
      <c r="U189" s="47">
        <f ca="1">HLOOKUP(B189,Heating!$C$102:$O$106,5,FALSE)*INDEX(Weather!$BO$1:$CB$20,MATCH(B189,Weather!$BO$1:$BO$20,0),MATCH(C189,Weather!$BO$1:$CB$1,0))/VLOOKUP(B189,Weather!$BO$2:$CB$20,14,FALSE)</f>
        <v>8773.2361293946014</v>
      </c>
      <c r="V189" s="47">
        <f t="shared" ca="1" si="223"/>
        <v>91046178.77409862</v>
      </c>
    </row>
    <row r="190" spans="1:22">
      <c r="A190" s="2">
        <f t="shared" si="208"/>
        <v>48121</v>
      </c>
      <c r="B190">
        <f t="shared" si="209"/>
        <v>2031</v>
      </c>
      <c r="C190">
        <f t="shared" si="210"/>
        <v>9</v>
      </c>
      <c r="E190" s="3">
        <f t="shared" ref="E190:F190" ca="1" si="243">E178</f>
        <v>97.667119565217376</v>
      </c>
      <c r="F190" s="3">
        <f t="shared" ca="1" si="243"/>
        <v>154.9849637681159</v>
      </c>
      <c r="G190">
        <f t="shared" si="232"/>
        <v>1</v>
      </c>
      <c r="H190" s="3">
        <f t="shared" si="213"/>
        <v>30</v>
      </c>
      <c r="I190" s="261">
        <f>I178*(1+'Economic Data'!$AC$15)</f>
        <v>954557.24882899504</v>
      </c>
      <c r="J190" s="489">
        <f>'Monthly Data'!EJ190</f>
        <v>0</v>
      </c>
      <c r="L190" s="3">
        <f t="shared" si="201"/>
        <v>-4442160.1424492002</v>
      </c>
      <c r="M190" s="3">
        <f t="shared" ca="1" si="202"/>
        <v>2126587.3191220681</v>
      </c>
      <c r="N190" s="3">
        <f t="shared" ca="1" si="203"/>
        <v>9991408.9715774972</v>
      </c>
      <c r="O190" s="3">
        <f t="shared" si="204"/>
        <v>1833644.83418835</v>
      </c>
      <c r="P190" s="3">
        <f t="shared" si="205"/>
        <v>39456400.468682997</v>
      </c>
      <c r="Q190" s="3">
        <f t="shared" si="206"/>
        <v>36097477.16816745</v>
      </c>
      <c r="R190" s="3">
        <f t="shared" si="207"/>
        <v>0</v>
      </c>
      <c r="S190" s="47">
        <f t="shared" ca="1" si="222"/>
        <v>85063358.61928916</v>
      </c>
      <c r="T190" s="47">
        <f>IFERROR(HLOOKUP(B190-1,'EV Forecast VRZ'!$F$124:$T$130,5,FALSE)/12,0)+IFERROR(((HLOOKUP(B190,'EV Forecast VRZ'!$F$116:$T$122,5,FALSE)-HLOOKUP(B190-1,'EV Forecast VRZ'!$F$124:$T$130,5,FALSE)))*C190/78,0)</f>
        <v>366209.70852962317</v>
      </c>
      <c r="U190" s="47">
        <f ca="1">HLOOKUP(B190,Heating!$C$102:$O$106,5,FALSE)*INDEX(Weather!$BO$1:$CB$20,MATCH(B190,Weather!$BO$1:$BO$20,0),MATCH(C190,Weather!$BO$1:$CB$1,0))/VLOOKUP(B190,Weather!$BO$2:$CB$20,14,FALSE)</f>
        <v>74304.847413182986</v>
      </c>
      <c r="V190" s="47">
        <f t="shared" ca="1" si="223"/>
        <v>85503873.175231963</v>
      </c>
    </row>
    <row r="191" spans="1:22">
      <c r="A191" s="2">
        <f t="shared" si="208"/>
        <v>48152</v>
      </c>
      <c r="B191">
        <f t="shared" si="209"/>
        <v>2031</v>
      </c>
      <c r="C191">
        <f t="shared" si="210"/>
        <v>10</v>
      </c>
      <c r="E191" s="3">
        <f t="shared" ref="E191:F191" ca="1" si="244">E179</f>
        <v>292.46431159420291</v>
      </c>
      <c r="F191" s="3">
        <f t="shared" ca="1" si="244"/>
        <v>38.347916666666663</v>
      </c>
      <c r="G191">
        <f t="shared" si="232"/>
        <v>1</v>
      </c>
      <c r="H191" s="3">
        <f t="shared" si="213"/>
        <v>31</v>
      </c>
      <c r="I191" s="261">
        <f>I179*(1+'Economic Data'!$AC$15)</f>
        <v>954557.24882899504</v>
      </c>
      <c r="J191" s="489">
        <f>'Monthly Data'!EJ191</f>
        <v>0</v>
      </c>
      <c r="L191" s="3">
        <f t="shared" si="201"/>
        <v>-4442160.1424492002</v>
      </c>
      <c r="M191" s="3">
        <f t="shared" ca="1" si="202"/>
        <v>6368068.3847411759</v>
      </c>
      <c r="N191" s="3">
        <f t="shared" ca="1" si="203"/>
        <v>2472173.4890224398</v>
      </c>
      <c r="O191" s="3">
        <f t="shared" si="204"/>
        <v>1833644.83418835</v>
      </c>
      <c r="P191" s="3">
        <f t="shared" si="205"/>
        <v>40771613.817639098</v>
      </c>
      <c r="Q191" s="3">
        <f t="shared" si="206"/>
        <v>36097477.16816745</v>
      </c>
      <c r="R191" s="3">
        <f t="shared" si="207"/>
        <v>0</v>
      </c>
      <c r="S191" s="47">
        <f t="shared" ca="1" si="222"/>
        <v>83100817.551309317</v>
      </c>
      <c r="T191" s="47">
        <f>IFERROR(HLOOKUP(B191-1,'EV Forecast VRZ'!$F$124:$T$130,5,FALSE)/12,0)+IFERROR(((HLOOKUP(B191,'EV Forecast VRZ'!$F$116:$T$122,5,FALSE)-HLOOKUP(B191-1,'EV Forecast VRZ'!$F$124:$T$130,5,FALSE)))*C191/78,0)</f>
        <v>370703.6024492397</v>
      </c>
      <c r="U191" s="47">
        <f ca="1">HLOOKUP(B191,Heating!$C$102:$O$106,5,FALSE)*INDEX(Weather!$BO$1:$CB$20,MATCH(B191,Weather!$BO$1:$BO$20,0),MATCH(C191,Weather!$BO$1:$CB$1,0))/VLOOKUP(B191,Weather!$BO$2:$CB$20,14,FALSE)</f>
        <v>317105.54327633535</v>
      </c>
      <c r="V191" s="47">
        <f t="shared" ca="1" si="223"/>
        <v>83788626.697034895</v>
      </c>
    </row>
    <row r="192" spans="1:22">
      <c r="A192" s="2">
        <f t="shared" si="208"/>
        <v>48182</v>
      </c>
      <c r="B192">
        <f t="shared" si="209"/>
        <v>2031</v>
      </c>
      <c r="C192">
        <f t="shared" si="210"/>
        <v>11</v>
      </c>
      <c r="E192" s="3">
        <f t="shared" ref="E192:F192" ca="1" si="245">E180</f>
        <v>495.51408055712409</v>
      </c>
      <c r="F192" s="3">
        <f t="shared" ca="1" si="245"/>
        <v>1.9241666666666659</v>
      </c>
      <c r="G192">
        <f t="shared" si="232"/>
        <v>1</v>
      </c>
      <c r="H192" s="3">
        <f t="shared" si="213"/>
        <v>30</v>
      </c>
      <c r="I192" s="261">
        <f>I180*(1+'Economic Data'!$AC$15)</f>
        <v>954557.24882899504</v>
      </c>
      <c r="J192" s="489">
        <f>'Monthly Data'!EJ192</f>
        <v>0</v>
      </c>
      <c r="L192" s="3">
        <f t="shared" si="201"/>
        <v>-4442160.1424492002</v>
      </c>
      <c r="M192" s="3">
        <f t="shared" ca="1" si="202"/>
        <v>10789239.66274612</v>
      </c>
      <c r="N192" s="3">
        <f t="shared" ca="1" si="203"/>
        <v>124045.16947145785</v>
      </c>
      <c r="O192" s="3">
        <f t="shared" si="204"/>
        <v>1833644.83418835</v>
      </c>
      <c r="P192" s="3">
        <f t="shared" si="205"/>
        <v>39456400.468682997</v>
      </c>
      <c r="Q192" s="3">
        <f t="shared" si="206"/>
        <v>36097477.16816745</v>
      </c>
      <c r="R192" s="3">
        <f t="shared" si="207"/>
        <v>0</v>
      </c>
      <c r="S192" s="47">
        <f t="shared" ca="1" si="222"/>
        <v>83858647.160807163</v>
      </c>
      <c r="T192" s="47">
        <f>IFERROR(HLOOKUP(B192-1,'EV Forecast VRZ'!$F$124:$T$130,5,FALSE)/12,0)+IFERROR(((HLOOKUP(B192,'EV Forecast VRZ'!$F$116:$T$122,5,FALSE)-HLOOKUP(B192-1,'EV Forecast VRZ'!$F$124:$T$130,5,FALSE)))*C192/78,0)</f>
        <v>375197.49636885629</v>
      </c>
      <c r="U192" s="47">
        <f ca="1">HLOOKUP(B192,Heating!$C$102:$O$106,5,FALSE)*INDEX(Weather!$BO$1:$CB$20,MATCH(B192,Weather!$BO$1:$BO$20,0),MATCH(C192,Weather!$BO$1:$CB$1,0))/VLOOKUP(B192,Weather!$BO$2:$CB$20,14,FALSE)</f>
        <v>594726.17415975058</v>
      </c>
      <c r="V192" s="47">
        <f t="shared" ca="1" si="223"/>
        <v>84828570.831335768</v>
      </c>
    </row>
    <row r="193" spans="1:22">
      <c r="A193" s="2">
        <f t="shared" si="208"/>
        <v>48213</v>
      </c>
      <c r="B193">
        <f t="shared" si="209"/>
        <v>2031</v>
      </c>
      <c r="C193">
        <f t="shared" si="210"/>
        <v>12</v>
      </c>
      <c r="E193" s="3">
        <f t="shared" ref="E193:F193" ca="1" si="246">E181</f>
        <v>664.38541666666663</v>
      </c>
      <c r="F193" s="3">
        <f t="shared" ca="1" si="246"/>
        <v>0</v>
      </c>
      <c r="G193">
        <f t="shared" si="232"/>
        <v>0</v>
      </c>
      <c r="H193" s="3">
        <f t="shared" si="213"/>
        <v>31</v>
      </c>
      <c r="I193" s="261">
        <f>I181*(1+'Economic Data'!$AC$15)</f>
        <v>954557.24882899504</v>
      </c>
      <c r="J193" s="489">
        <f>'Monthly Data'!EJ193</f>
        <v>0</v>
      </c>
      <c r="L193" s="3">
        <f t="shared" si="201"/>
        <v>-4442160.1424492002</v>
      </c>
      <c r="M193" s="3">
        <f t="shared" ca="1" si="202"/>
        <v>14466215.532746576</v>
      </c>
      <c r="N193" s="3">
        <f t="shared" ca="1" si="203"/>
        <v>0</v>
      </c>
      <c r="O193" s="3">
        <f t="shared" si="204"/>
        <v>0</v>
      </c>
      <c r="P193" s="3">
        <f t="shared" si="205"/>
        <v>40771613.817639098</v>
      </c>
      <c r="Q193" s="3">
        <f t="shared" si="206"/>
        <v>36097477.16816745</v>
      </c>
      <c r="R193" s="3">
        <f t="shared" si="207"/>
        <v>0</v>
      </c>
      <c r="S193" s="47">
        <f t="shared" ca="1" si="222"/>
        <v>86893146.376103923</v>
      </c>
      <c r="T193" s="47">
        <f>IFERROR(HLOOKUP(B193-1,'EV Forecast VRZ'!$F$124:$T$130,5,FALSE)/12,0)+IFERROR(((HLOOKUP(B193,'EV Forecast VRZ'!$F$116:$T$122,5,FALSE)-HLOOKUP(B193-1,'EV Forecast VRZ'!$F$124:$T$130,5,FALSE)))*C193/78,0)</f>
        <v>379691.39028847287</v>
      </c>
      <c r="U193" s="47">
        <f ca="1">HLOOKUP(B193,Heating!$C$102:$O$106,5,FALSE)*INDEX(Weather!$BO$1:$CB$20,MATCH(B193,Weather!$BO$1:$BO$20,0),MATCH(C193,Weather!$BO$1:$CB$1,0))/VLOOKUP(B193,Weather!$BO$2:$CB$20,14,FALSE)</f>
        <v>822601.12868337845</v>
      </c>
      <c r="V193" s="47">
        <f t="shared" ca="1" si="223"/>
        <v>88095438.895075768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F7785-3807-418B-9C93-97655703412A}">
  <sheetPr codeName="Sheet31">
    <tabColor theme="7" tint="0.79998168889431442"/>
  </sheetPr>
  <dimension ref="A1:T193"/>
  <sheetViews>
    <sheetView topLeftCell="D132" workbookViewId="0">
      <selection activeCell="E143" sqref="E143:E157"/>
    </sheetView>
  </sheetViews>
  <sheetFormatPr defaultRowHeight="14.5"/>
  <cols>
    <col min="4" max="4" width="28.81640625" customWidth="1"/>
    <col min="5" max="5" width="11.1796875" bestFit="1" customWidth="1"/>
    <col min="6" max="6" width="8.81640625" style="3"/>
    <col min="7" max="7" width="8.81640625" customWidth="1"/>
    <col min="8" max="8" width="13.81640625" bestFit="1" customWidth="1"/>
    <col min="9" max="9" width="11.453125" bestFit="1" customWidth="1"/>
    <col min="10" max="10" width="11.1796875" bestFit="1" customWidth="1"/>
    <col min="11" max="13" width="12.54296875" customWidth="1"/>
    <col min="17" max="17" width="13.81640625" bestFit="1" customWidth="1"/>
    <col min="18" max="18" width="12.81640625" bestFit="1" customWidth="1"/>
    <col min="19" max="19" width="13.81640625" bestFit="1" customWidth="1"/>
    <col min="20" max="20" width="8.81640625" bestFit="1" customWidth="1"/>
  </cols>
  <sheetData>
    <row r="1" spans="1:20">
      <c r="A1" s="541" t="str">
        <f>'Monthly Data'!A1</f>
        <v>Date</v>
      </c>
      <c r="B1" s="541" t="str">
        <f>'Monthly Data'!B1</f>
        <v>Year</v>
      </c>
      <c r="C1" s="541" t="str">
        <f>'Monthly Data'!C1</f>
        <v>Month</v>
      </c>
      <c r="D1" s="541" t="str">
        <f>'Monthly Data'!AD1</f>
        <v>VRZ_GS3000to4999kWh_No_CDM</v>
      </c>
      <c r="E1" s="541" t="str">
        <f>'Monthly Data'!DL1</f>
        <v>OEA_GDP</v>
      </c>
      <c r="F1" s="541" t="str">
        <f>'Monthly Data'!DR1</f>
        <v>Peak Days</v>
      </c>
      <c r="G1" s="541"/>
      <c r="H1" s="541" t="str">
        <f>P8</f>
        <v>const</v>
      </c>
      <c r="I1" s="541" t="str">
        <f>E1</f>
        <v>OEA_GDP</v>
      </c>
      <c r="J1" s="541" t="str">
        <f>F1</f>
        <v>Peak Days</v>
      </c>
      <c r="K1" s="541" t="s">
        <v>610</v>
      </c>
      <c r="L1" s="541" t="s">
        <v>332</v>
      </c>
      <c r="M1" s="541" t="s">
        <v>619</v>
      </c>
    </row>
    <row r="2" spans="1:20">
      <c r="A2" s="2">
        <f>'Monthly Data'!A2</f>
        <v>42370</v>
      </c>
      <c r="B2">
        <f>'Monthly Data'!B2</f>
        <v>2016</v>
      </c>
      <c r="C2">
        <f>'Monthly Data'!C2</f>
        <v>1</v>
      </c>
      <c r="D2" s="3">
        <f>'Monthly Data'!AD2</f>
        <v>6829428.2044891594</v>
      </c>
      <c r="E2" s="3">
        <f>'Monthly Data'!DL2</f>
        <v>743835</v>
      </c>
      <c r="F2" s="3">
        <f>'Monthly Data'!DR2</f>
        <v>20</v>
      </c>
      <c r="H2" s="3">
        <f t="shared" ref="H2:H33" si="0">$Q$8</f>
        <v>-3751454.0580042</v>
      </c>
      <c r="I2" s="3">
        <f t="shared" ref="I2:I33" si="1">E2*$Q$9</f>
        <v>7241000.3417331809</v>
      </c>
      <c r="J2" s="3">
        <f t="shared" ref="J2:J33" si="2">F2*$Q$10</f>
        <v>3464593.4713132801</v>
      </c>
      <c r="K2" s="47">
        <f t="shared" ref="K2:K9" si="3">SUM(H2:J2)</f>
        <v>6954139.7550422605</v>
      </c>
      <c r="L2" s="47">
        <f>'Monthly Data'!AE2</f>
        <v>0</v>
      </c>
      <c r="M2" s="47">
        <f t="shared" ref="M2:M42" si="4">K2+L2</f>
        <v>6954139.7550422605</v>
      </c>
    </row>
    <row r="3" spans="1:20">
      <c r="A3" s="2">
        <f>'Monthly Data'!A3</f>
        <v>42401</v>
      </c>
      <c r="B3">
        <f>'Monthly Data'!B3</f>
        <v>2016</v>
      </c>
      <c r="C3">
        <f>'Monthly Data'!C3</f>
        <v>2</v>
      </c>
      <c r="D3" s="3">
        <f>'Monthly Data'!AD3</f>
        <v>6211239.2463130364</v>
      </c>
      <c r="E3" s="3">
        <f>'Monthly Data'!DL3</f>
        <v>743835</v>
      </c>
      <c r="F3" s="3">
        <f>'Monthly Data'!DR3</f>
        <v>20</v>
      </c>
      <c r="H3" s="3">
        <f t="shared" si="0"/>
        <v>-3751454.0580042</v>
      </c>
      <c r="I3" s="3">
        <f t="shared" si="1"/>
        <v>7241000.3417331809</v>
      </c>
      <c r="J3" s="3">
        <f t="shared" si="2"/>
        <v>3464593.4713132801</v>
      </c>
      <c r="K3" s="47">
        <f t="shared" si="3"/>
        <v>6954139.7550422605</v>
      </c>
      <c r="L3" s="47">
        <f>'Monthly Data'!AE3</f>
        <v>0</v>
      </c>
      <c r="M3" s="47">
        <f t="shared" si="4"/>
        <v>6954139.7550422605</v>
      </c>
      <c r="P3" s="436" t="str">
        <f>'VRZ GS 3,000-4,999'!R3</f>
        <v>Model 18: Prais-Winsten, using observations 2016:01-2025:12 (T = 120)</v>
      </c>
    </row>
    <row r="4" spans="1:20">
      <c r="A4" s="2">
        <f>'Monthly Data'!A4</f>
        <v>42430</v>
      </c>
      <c r="B4">
        <f>'Monthly Data'!B4</f>
        <v>2016</v>
      </c>
      <c r="C4">
        <f>'Monthly Data'!C4</f>
        <v>3</v>
      </c>
      <c r="D4" s="3">
        <f>'Monthly Data'!AD4</f>
        <v>6325936.2363030585</v>
      </c>
      <c r="E4" s="3">
        <f>'Monthly Data'!DL4</f>
        <v>743835</v>
      </c>
      <c r="F4" s="3">
        <f>'Monthly Data'!DR4</f>
        <v>21</v>
      </c>
      <c r="H4" s="3">
        <f t="shared" si="0"/>
        <v>-3751454.0580042</v>
      </c>
      <c r="I4" s="3">
        <f t="shared" si="1"/>
        <v>7241000.3417331809</v>
      </c>
      <c r="J4" s="3">
        <f t="shared" si="2"/>
        <v>3637823.1448789444</v>
      </c>
      <c r="K4" s="47">
        <f t="shared" si="3"/>
        <v>7127369.4286079258</v>
      </c>
      <c r="L4" s="47">
        <f>'Monthly Data'!AE4</f>
        <v>0</v>
      </c>
      <c r="M4" s="47">
        <f t="shared" si="4"/>
        <v>7127369.4286079258</v>
      </c>
      <c r="P4" s="436" t="str">
        <f>'VRZ GS 3,000-4,999'!R4</f>
        <v>Dependent variable: VRZ_GS3000to4999kWh_No_CDM_AL</v>
      </c>
    </row>
    <row r="5" spans="1:20">
      <c r="A5" s="2">
        <f>'Monthly Data'!A5</f>
        <v>42461</v>
      </c>
      <c r="B5">
        <f>'Monthly Data'!B5</f>
        <v>2016</v>
      </c>
      <c r="C5">
        <f>'Monthly Data'!C5</f>
        <v>4</v>
      </c>
      <c r="D5" s="3">
        <f>'Monthly Data'!AD5</f>
        <v>6487170.9253944736</v>
      </c>
      <c r="E5" s="3">
        <f>'Monthly Data'!DL5</f>
        <v>740829</v>
      </c>
      <c r="F5" s="3">
        <f>'Monthly Data'!DR5</f>
        <v>21</v>
      </c>
      <c r="H5" s="3">
        <f t="shared" si="0"/>
        <v>-3751454.0580042</v>
      </c>
      <c r="I5" s="3">
        <f t="shared" si="1"/>
        <v>7211737.8748860313</v>
      </c>
      <c r="J5" s="3">
        <f t="shared" si="2"/>
        <v>3637823.1448789444</v>
      </c>
      <c r="K5" s="47">
        <f t="shared" si="3"/>
        <v>7098106.9617607761</v>
      </c>
      <c r="L5" s="47">
        <f>'Monthly Data'!AE5</f>
        <v>0</v>
      </c>
      <c r="M5" s="47">
        <f t="shared" si="4"/>
        <v>7098106.9617607761</v>
      </c>
      <c r="P5" s="436" t="str">
        <f>'VRZ GS 3,000-4,999'!R5</f>
        <v>rho = 0.782277</v>
      </c>
    </row>
    <row r="6" spans="1:20">
      <c r="A6" s="2">
        <f>'Monthly Data'!A6</f>
        <v>42491</v>
      </c>
      <c r="B6">
        <f>'Monthly Data'!B6</f>
        <v>2016</v>
      </c>
      <c r="C6">
        <f>'Monthly Data'!C6</f>
        <v>5</v>
      </c>
      <c r="D6" s="3">
        <f>'Monthly Data'!AD6</f>
        <v>5710450.4966641441</v>
      </c>
      <c r="E6" s="3">
        <f>'Monthly Data'!DL6</f>
        <v>740829</v>
      </c>
      <c r="F6" s="3">
        <f>'Monthly Data'!DR6</f>
        <v>21</v>
      </c>
      <c r="H6" s="3">
        <f t="shared" si="0"/>
        <v>-3751454.0580042</v>
      </c>
      <c r="I6" s="3">
        <f t="shared" si="1"/>
        <v>7211737.8748860313</v>
      </c>
      <c r="J6" s="3">
        <f t="shared" si="2"/>
        <v>3637823.1448789444</v>
      </c>
      <c r="K6" s="47">
        <f t="shared" si="3"/>
        <v>7098106.9617607761</v>
      </c>
      <c r="L6" s="47">
        <f>'Monthly Data'!AE6</f>
        <v>0</v>
      </c>
      <c r="M6" s="47">
        <f t="shared" si="4"/>
        <v>7098106.9617607761</v>
      </c>
    </row>
    <row r="7" spans="1:20">
      <c r="A7" s="2">
        <f>'Monthly Data'!A7</f>
        <v>42522</v>
      </c>
      <c r="B7">
        <f>'Monthly Data'!B7</f>
        <v>2016</v>
      </c>
      <c r="C7">
        <f>'Monthly Data'!C7</f>
        <v>6</v>
      </c>
      <c r="D7" s="3">
        <f>'Monthly Data'!AD7</f>
        <v>6354773.8654192556</v>
      </c>
      <c r="E7" s="3">
        <f>'Monthly Data'!DL7</f>
        <v>740829</v>
      </c>
      <c r="F7" s="3">
        <f>'Monthly Data'!DR7</f>
        <v>22</v>
      </c>
      <c r="H7" s="3">
        <f t="shared" si="0"/>
        <v>-3751454.0580042</v>
      </c>
      <c r="I7" s="3">
        <f t="shared" si="1"/>
        <v>7211737.8748860313</v>
      </c>
      <c r="J7" s="3">
        <f t="shared" si="2"/>
        <v>3811052.8184446082</v>
      </c>
      <c r="K7" s="47">
        <f t="shared" si="3"/>
        <v>7271336.6353264395</v>
      </c>
      <c r="L7" s="47">
        <f>'Monthly Data'!AE7</f>
        <v>0</v>
      </c>
      <c r="M7" s="47">
        <f t="shared" si="4"/>
        <v>7271336.6353264395</v>
      </c>
      <c r="Q7" t="s">
        <v>300</v>
      </c>
      <c r="R7" t="s">
        <v>301</v>
      </c>
      <c r="S7" t="s">
        <v>302</v>
      </c>
      <c r="T7" t="s">
        <v>303</v>
      </c>
    </row>
    <row r="8" spans="1:20">
      <c r="A8" s="2">
        <f>'Monthly Data'!A8</f>
        <v>42552</v>
      </c>
      <c r="B8">
        <f>'Monthly Data'!B8</f>
        <v>2016</v>
      </c>
      <c r="C8">
        <f>'Monthly Data'!C8</f>
        <v>7</v>
      </c>
      <c r="D8" s="3">
        <f>'Monthly Data'!AD8</f>
        <v>6268114.5506925518</v>
      </c>
      <c r="E8" s="3">
        <f>'Monthly Data'!DL8</f>
        <v>746710</v>
      </c>
      <c r="F8" s="3">
        <f>'Monthly Data'!DR8</f>
        <v>20</v>
      </c>
      <c r="H8" s="3">
        <f t="shared" si="0"/>
        <v>-3751454.0580042</v>
      </c>
      <c r="I8" s="3">
        <f t="shared" si="1"/>
        <v>7268987.5646824678</v>
      </c>
      <c r="J8" s="3">
        <f t="shared" si="2"/>
        <v>3464593.4713132801</v>
      </c>
      <c r="K8" s="47">
        <f t="shared" si="3"/>
        <v>6982126.9779915474</v>
      </c>
      <c r="L8" s="47">
        <f>'Monthly Data'!AE8</f>
        <v>0</v>
      </c>
      <c r="M8" s="47">
        <f t="shared" si="4"/>
        <v>6982126.9779915474</v>
      </c>
      <c r="P8" t="s">
        <v>304</v>
      </c>
      <c r="Q8" s="436">
        <f>'VRZ GS 3,000-4,999'!S8</f>
        <v>-3751454.0580042</v>
      </c>
      <c r="R8" s="3">
        <f>'VRZ GS 3,000-4,999'!T8</f>
        <v>1831319.68667742</v>
      </c>
      <c r="S8" s="3">
        <f>'VRZ GS 3,000-4,999'!U8</f>
        <v>-2.04849764096104</v>
      </c>
      <c r="T8" s="3">
        <f>'VRZ GS 3,000-4,999'!V8</f>
        <v>4.2748701276686299E-2</v>
      </c>
    </row>
    <row r="9" spans="1:20">
      <c r="A9" s="2">
        <f>'Monthly Data'!A9</f>
        <v>42583</v>
      </c>
      <c r="B9">
        <f>'Monthly Data'!B9</f>
        <v>2016</v>
      </c>
      <c r="C9">
        <f>'Monthly Data'!C9</f>
        <v>8</v>
      </c>
      <c r="D9" s="3">
        <f>'Monthly Data'!AD9</f>
        <v>7327987.5983785894</v>
      </c>
      <c r="E9" s="3">
        <f>'Monthly Data'!DL9</f>
        <v>746710</v>
      </c>
      <c r="F9" s="3">
        <f>'Monthly Data'!DR9</f>
        <v>22</v>
      </c>
      <c r="H9" s="3">
        <f t="shared" si="0"/>
        <v>-3751454.0580042</v>
      </c>
      <c r="I9" s="3">
        <f t="shared" si="1"/>
        <v>7268987.5646824678</v>
      </c>
      <c r="J9" s="3">
        <f t="shared" si="2"/>
        <v>3811052.8184446082</v>
      </c>
      <c r="K9" s="47">
        <f t="shared" si="3"/>
        <v>7328586.3251228761</v>
      </c>
      <c r="L9" s="47">
        <f>'Monthly Data'!AE9</f>
        <v>0</v>
      </c>
      <c r="M9" s="47">
        <f t="shared" si="4"/>
        <v>7328586.3251228761</v>
      </c>
      <c r="P9" t="s">
        <v>140</v>
      </c>
      <c r="Q9" s="3">
        <f>'VRZ GS 3,000-4,999'!S9</f>
        <v>9.7346862432302608</v>
      </c>
      <c r="R9" s="3">
        <f>'VRZ GS 3,000-4,999'!T9</f>
        <v>2.16972614552426</v>
      </c>
      <c r="S9" s="3">
        <f>'VRZ GS 3,000-4,999'!U9</f>
        <v>4.4865967363259696</v>
      </c>
      <c r="T9" s="3">
        <f>'VRZ GS 3,000-4,999'!V9</f>
        <v>1.7027488231595799E-5</v>
      </c>
    </row>
    <row r="10" spans="1:20">
      <c r="A10" s="2">
        <f>'Monthly Data'!A10</f>
        <v>42614</v>
      </c>
      <c r="B10">
        <f>'Monthly Data'!B10</f>
        <v>2016</v>
      </c>
      <c r="C10">
        <f>'Monthly Data'!C10</f>
        <v>9</v>
      </c>
      <c r="D10" s="3">
        <f>'Monthly Data'!AD10</f>
        <v>6813308.6868683603</v>
      </c>
      <c r="E10" s="3">
        <f>'Monthly Data'!DL10</f>
        <v>746710</v>
      </c>
      <c r="F10" s="3">
        <f>'Monthly Data'!DR10</f>
        <v>21</v>
      </c>
      <c r="H10" s="3">
        <f t="shared" si="0"/>
        <v>-3751454.0580042</v>
      </c>
      <c r="I10" s="3">
        <f t="shared" si="1"/>
        <v>7268987.5646824678</v>
      </c>
      <c r="J10" s="3">
        <f t="shared" si="2"/>
        <v>3637823.1448789444</v>
      </c>
      <c r="K10" s="47">
        <f t="shared" ref="K10:K41" si="5">SUM(H10:J10)</f>
        <v>7155356.6515572127</v>
      </c>
      <c r="L10" s="47">
        <f>'Monthly Data'!AE10</f>
        <v>0</v>
      </c>
      <c r="M10" s="47">
        <f t="shared" si="4"/>
        <v>7155356.6515572127</v>
      </c>
      <c r="P10" t="s">
        <v>337</v>
      </c>
      <c r="Q10" s="3">
        <f>'VRZ GS 3,000-4,999'!S10</f>
        <v>173229.67356566401</v>
      </c>
      <c r="R10" s="3">
        <f>'VRZ GS 3,000-4,999'!T10</f>
        <v>21026.234023967401</v>
      </c>
      <c r="S10" s="3">
        <f>'VRZ GS 3,000-4,999'!U10</f>
        <v>8.2387399173909301</v>
      </c>
      <c r="T10" s="3">
        <f>'VRZ GS 3,000-4,999'!V10</f>
        <v>2.8488190950481802E-13</v>
      </c>
    </row>
    <row r="11" spans="1:20">
      <c r="A11" s="2">
        <f>'Monthly Data'!A11</f>
        <v>42644</v>
      </c>
      <c r="B11">
        <f>'Monthly Data'!B11</f>
        <v>2016</v>
      </c>
      <c r="C11">
        <f>'Monthly Data'!C11</f>
        <v>10</v>
      </c>
      <c r="D11" s="3">
        <f>'Monthly Data'!AD11</f>
        <v>6578748.5419900892</v>
      </c>
      <c r="E11" s="3">
        <f>'Monthly Data'!DL11</f>
        <v>745246</v>
      </c>
      <c r="F11" s="3">
        <f>'Monthly Data'!DR11</f>
        <v>20</v>
      </c>
      <c r="H11" s="3">
        <f t="shared" si="0"/>
        <v>-3751454.0580042</v>
      </c>
      <c r="I11" s="3">
        <f t="shared" si="1"/>
        <v>7254735.9840223789</v>
      </c>
      <c r="J11" s="3">
        <f t="shared" si="2"/>
        <v>3464593.4713132801</v>
      </c>
      <c r="K11" s="47">
        <f t="shared" si="5"/>
        <v>6967875.3973314594</v>
      </c>
      <c r="L11" s="47">
        <f>'Monthly Data'!AE11</f>
        <v>0</v>
      </c>
      <c r="M11" s="47">
        <f t="shared" si="4"/>
        <v>6967875.3973314594</v>
      </c>
      <c r="Q11" s="3"/>
      <c r="R11" s="3"/>
      <c r="S11" s="235"/>
      <c r="T11" s="100"/>
    </row>
    <row r="12" spans="1:20">
      <c r="A12" s="2">
        <f>'Monthly Data'!A12</f>
        <v>42675</v>
      </c>
      <c r="B12">
        <f>'Monthly Data'!B12</f>
        <v>2016</v>
      </c>
      <c r="C12">
        <f>'Monthly Data'!C12</f>
        <v>11</v>
      </c>
      <c r="D12" s="3">
        <f>'Monthly Data'!AD12</f>
        <v>7206991.8893405944</v>
      </c>
      <c r="E12" s="3">
        <f>'Monthly Data'!DL12</f>
        <v>745246</v>
      </c>
      <c r="F12" s="3">
        <f>'Monthly Data'!DR12</f>
        <v>22</v>
      </c>
      <c r="H12" s="3">
        <f t="shared" si="0"/>
        <v>-3751454.0580042</v>
      </c>
      <c r="I12" s="3">
        <f t="shared" si="1"/>
        <v>7254735.9840223789</v>
      </c>
      <c r="J12" s="3">
        <f t="shared" si="2"/>
        <v>3811052.8184446082</v>
      </c>
      <c r="K12" s="47">
        <f t="shared" si="5"/>
        <v>7314334.7444627872</v>
      </c>
      <c r="L12" s="47">
        <f>'Monthly Data'!AE12</f>
        <v>0</v>
      </c>
      <c r="M12" s="47">
        <f t="shared" si="4"/>
        <v>7314334.7444627872</v>
      </c>
      <c r="P12" t="s">
        <v>306</v>
      </c>
      <c r="Q12" s="3"/>
      <c r="R12" s="3"/>
      <c r="S12" s="235"/>
      <c r="T12" s="100"/>
    </row>
    <row r="13" spans="1:20">
      <c r="A13" s="2">
        <f>'Monthly Data'!A13</f>
        <v>42705</v>
      </c>
      <c r="B13">
        <f>'Monthly Data'!B13</f>
        <v>2016</v>
      </c>
      <c r="C13">
        <f>'Monthly Data'!C13</f>
        <v>12</v>
      </c>
      <c r="D13" s="3">
        <f>'Monthly Data'!AD13</f>
        <v>6750619.4589904584</v>
      </c>
      <c r="E13" s="3">
        <f>'Monthly Data'!DL13</f>
        <v>745246</v>
      </c>
      <c r="F13" s="3">
        <f>'Monthly Data'!DR13</f>
        <v>20</v>
      </c>
      <c r="H13" s="3">
        <f t="shared" si="0"/>
        <v>-3751454.0580042</v>
      </c>
      <c r="I13" s="3">
        <f t="shared" si="1"/>
        <v>7254735.9840223789</v>
      </c>
      <c r="J13" s="3">
        <f t="shared" si="2"/>
        <v>3464593.4713132801</v>
      </c>
      <c r="K13" s="47">
        <f t="shared" si="5"/>
        <v>6967875.3973314594</v>
      </c>
      <c r="L13" s="47">
        <f>'Monthly Data'!AE13</f>
        <v>0</v>
      </c>
      <c r="M13" s="47">
        <f t="shared" si="4"/>
        <v>6967875.3973314594</v>
      </c>
      <c r="P13" t="s">
        <v>307</v>
      </c>
      <c r="Q13" s="3">
        <v>21029019335848.801</v>
      </c>
      <c r="R13" s="3" t="s">
        <v>308</v>
      </c>
      <c r="S13" s="235">
        <v>425775.350915213</v>
      </c>
      <c r="T13" s="100"/>
    </row>
    <row r="14" spans="1:20">
      <c r="A14" s="2">
        <f>'Monthly Data'!A14</f>
        <v>42736</v>
      </c>
      <c r="B14">
        <f>'Monthly Data'!B14</f>
        <v>2017</v>
      </c>
      <c r="C14">
        <f>'Monthly Data'!C14</f>
        <v>1</v>
      </c>
      <c r="D14" s="3">
        <f>'Monthly Data'!AD14</f>
        <v>7047740.8089479189</v>
      </c>
      <c r="E14" s="3">
        <f>'Monthly Data'!DL14</f>
        <v>756670</v>
      </c>
      <c r="F14" s="3">
        <f>'Monthly Data'!DR14</f>
        <v>22</v>
      </c>
      <c r="H14" s="3">
        <f t="shared" si="0"/>
        <v>-3751454.0580042</v>
      </c>
      <c r="I14" s="3">
        <f t="shared" si="1"/>
        <v>7365945.0396650415</v>
      </c>
      <c r="J14" s="3">
        <f t="shared" si="2"/>
        <v>3811052.8184446082</v>
      </c>
      <c r="K14" s="47">
        <f t="shared" si="5"/>
        <v>7425543.8001054497</v>
      </c>
      <c r="L14" s="47">
        <f>'Monthly Data'!AE14</f>
        <v>28.486256410256409</v>
      </c>
      <c r="M14" s="47">
        <f t="shared" si="4"/>
        <v>7425572.2863618601</v>
      </c>
      <c r="P14" t="s">
        <v>309</v>
      </c>
      <c r="Q14" s="3">
        <v>0.82076908454291198</v>
      </c>
      <c r="R14" s="3" t="s">
        <v>310</v>
      </c>
      <c r="S14" s="235">
        <v>0.81767889634537605</v>
      </c>
      <c r="T14" s="100"/>
    </row>
    <row r="15" spans="1:20">
      <c r="A15" s="2">
        <f>'Monthly Data'!A15</f>
        <v>42767</v>
      </c>
      <c r="B15">
        <f>'Monthly Data'!B15</f>
        <v>2017</v>
      </c>
      <c r="C15">
        <f>'Monthly Data'!C15</f>
        <v>2</v>
      </c>
      <c r="D15" s="3">
        <f>'Monthly Data'!AD15</f>
        <v>6769431.5207739519</v>
      </c>
      <c r="E15" s="3">
        <f>'Monthly Data'!DL15</f>
        <v>756670</v>
      </c>
      <c r="F15" s="3">
        <f>'Monthly Data'!DR15</f>
        <v>19</v>
      </c>
      <c r="H15" s="3">
        <f t="shared" si="0"/>
        <v>-3751454.0580042</v>
      </c>
      <c r="I15" s="3">
        <f t="shared" si="1"/>
        <v>7365945.0396650415</v>
      </c>
      <c r="J15" s="3">
        <f t="shared" si="2"/>
        <v>3291363.7977476162</v>
      </c>
      <c r="K15" s="47">
        <f t="shared" si="5"/>
        <v>6905854.7794084577</v>
      </c>
      <c r="L15" s="47">
        <f>'Monthly Data'!AE15</f>
        <v>56.972512820512819</v>
      </c>
      <c r="M15" s="47">
        <f t="shared" si="4"/>
        <v>6905911.7519212784</v>
      </c>
      <c r="P15" t="s">
        <v>620</v>
      </c>
      <c r="Q15" s="3">
        <v>54.517745961368597</v>
      </c>
      <c r="R15" s="3" t="s">
        <v>312</v>
      </c>
      <c r="S15" s="235">
        <v>2.03237697104365E-17</v>
      </c>
      <c r="T15" s="100"/>
    </row>
    <row r="16" spans="1:20">
      <c r="A16" s="2">
        <f>'Monthly Data'!A16</f>
        <v>42795</v>
      </c>
      <c r="B16">
        <f>'Monthly Data'!B16</f>
        <v>2017</v>
      </c>
      <c r="C16">
        <f>'Monthly Data'!C16</f>
        <v>3</v>
      </c>
      <c r="D16" s="3">
        <f>'Monthly Data'!AD16</f>
        <v>8113433.1489484748</v>
      </c>
      <c r="E16" s="3">
        <f>'Monthly Data'!DL16</f>
        <v>756670</v>
      </c>
      <c r="F16" s="3">
        <f>'Monthly Data'!DR16</f>
        <v>23</v>
      </c>
      <c r="H16" s="3">
        <f t="shared" si="0"/>
        <v>-3751454.0580042</v>
      </c>
      <c r="I16" s="3">
        <f t="shared" si="1"/>
        <v>7365945.0396650415</v>
      </c>
      <c r="J16" s="3">
        <f t="shared" si="2"/>
        <v>3984282.4920102721</v>
      </c>
      <c r="K16" s="47">
        <f t="shared" si="5"/>
        <v>7598773.4736711141</v>
      </c>
      <c r="L16" s="47">
        <f>'Monthly Data'!AE16</f>
        <v>85.458769230769221</v>
      </c>
      <c r="M16" s="47">
        <f t="shared" si="4"/>
        <v>7598858.9324403452</v>
      </c>
      <c r="P16" t="s">
        <v>313</v>
      </c>
      <c r="Q16">
        <v>-0.164053018205782</v>
      </c>
      <c r="R16" t="s">
        <v>314</v>
      </c>
      <c r="S16">
        <v>2.3260308662116298</v>
      </c>
    </row>
    <row r="17" spans="1:19">
      <c r="A17" s="2">
        <f>'Monthly Data'!A17</f>
        <v>42826</v>
      </c>
      <c r="B17">
        <f>'Monthly Data'!B17</f>
        <v>2017</v>
      </c>
      <c r="C17">
        <f>'Monthly Data'!C17</f>
        <v>4</v>
      </c>
      <c r="D17" s="3">
        <f>'Monthly Data'!AD17</f>
        <v>7348657.3850137768</v>
      </c>
      <c r="E17" s="3">
        <f>'Monthly Data'!DL17</f>
        <v>764676</v>
      </c>
      <c r="F17" s="3">
        <f>'Monthly Data'!DR17</f>
        <v>19</v>
      </c>
      <c r="H17" s="3">
        <f t="shared" si="0"/>
        <v>-3751454.0580042</v>
      </c>
      <c r="I17" s="3">
        <f t="shared" si="1"/>
        <v>7443880.9377283426</v>
      </c>
      <c r="J17" s="3">
        <f t="shared" si="2"/>
        <v>3291363.7977476162</v>
      </c>
      <c r="K17" s="47">
        <f t="shared" si="5"/>
        <v>6983790.6774717588</v>
      </c>
      <c r="L17" s="47">
        <f>'Monthly Data'!AE17</f>
        <v>113.94502564102564</v>
      </c>
      <c r="M17" s="47">
        <f t="shared" si="4"/>
        <v>6983904.6224974003</v>
      </c>
    </row>
    <row r="18" spans="1:19">
      <c r="A18" s="2">
        <f>'Monthly Data'!A18</f>
        <v>42856</v>
      </c>
      <c r="B18">
        <f>'Monthly Data'!B18</f>
        <v>2017</v>
      </c>
      <c r="C18">
        <f>'Monthly Data'!C18</f>
        <v>5</v>
      </c>
      <c r="D18" s="3">
        <f>'Monthly Data'!AD18</f>
        <v>7426695.7674017288</v>
      </c>
      <c r="E18" s="3">
        <f>'Monthly Data'!DL18</f>
        <v>764676</v>
      </c>
      <c r="F18" s="3">
        <f>'Monthly Data'!DR18</f>
        <v>22</v>
      </c>
      <c r="H18" s="3">
        <f t="shared" si="0"/>
        <v>-3751454.0580042</v>
      </c>
      <c r="I18" s="3">
        <f t="shared" si="1"/>
        <v>7443880.9377283426</v>
      </c>
      <c r="J18" s="3">
        <f t="shared" si="2"/>
        <v>3811052.8184446082</v>
      </c>
      <c r="K18" s="47">
        <f t="shared" si="5"/>
        <v>7503479.6981687509</v>
      </c>
      <c r="L18" s="47">
        <f>'Monthly Data'!AE18</f>
        <v>142.43128205128204</v>
      </c>
      <c r="M18" s="47">
        <f t="shared" si="4"/>
        <v>7503622.1294508018</v>
      </c>
      <c r="P18" t="s">
        <v>315</v>
      </c>
      <c r="S18" s="3"/>
    </row>
    <row r="19" spans="1:19">
      <c r="A19" s="2">
        <f>'Monthly Data'!A19</f>
        <v>42887</v>
      </c>
      <c r="B19">
        <f>'Monthly Data'!B19</f>
        <v>2017</v>
      </c>
      <c r="C19">
        <f>'Monthly Data'!C19</f>
        <v>6</v>
      </c>
      <c r="D19" s="3">
        <f>'Monthly Data'!AD19</f>
        <v>7317704.1833428452</v>
      </c>
      <c r="E19" s="3">
        <f>'Monthly Data'!DL19</f>
        <v>764676</v>
      </c>
      <c r="F19" s="3">
        <f>'Monthly Data'!DR19</f>
        <v>22</v>
      </c>
      <c r="H19" s="3">
        <f t="shared" si="0"/>
        <v>-3751454.0580042</v>
      </c>
      <c r="I19" s="3">
        <f t="shared" si="1"/>
        <v>7443880.9377283426</v>
      </c>
      <c r="J19" s="3">
        <f t="shared" si="2"/>
        <v>3811052.8184446082</v>
      </c>
      <c r="K19" s="47">
        <f t="shared" si="5"/>
        <v>7503479.6981687509</v>
      </c>
      <c r="L19" s="47">
        <f>'Monthly Data'!AE19</f>
        <v>170.91753846153844</v>
      </c>
      <c r="M19" s="47">
        <f t="shared" si="4"/>
        <v>7503650.6157072121</v>
      </c>
      <c r="P19" t="s">
        <v>316</v>
      </c>
      <c r="Q19" s="99">
        <v>8005978.0185911199</v>
      </c>
      <c r="R19" t="s">
        <v>317</v>
      </c>
      <c r="S19" s="99">
        <v>996112.73743156798</v>
      </c>
    </row>
    <row r="20" spans="1:19">
      <c r="A20" s="2">
        <f>'Monthly Data'!A20</f>
        <v>42917</v>
      </c>
      <c r="B20">
        <f>'Monthly Data'!B20</f>
        <v>2017</v>
      </c>
      <c r="C20">
        <f>'Monthly Data'!C20</f>
        <v>7</v>
      </c>
      <c r="D20" s="3">
        <f>'Monthly Data'!AD20</f>
        <v>6914141.1638255948</v>
      </c>
      <c r="E20" s="3">
        <f>'Monthly Data'!DL20</f>
        <v>765009</v>
      </c>
      <c r="F20" s="3">
        <f>'Monthly Data'!DR20</f>
        <v>20</v>
      </c>
      <c r="H20" s="3">
        <f t="shared" si="0"/>
        <v>-3751454.0580042</v>
      </c>
      <c r="I20" s="3">
        <f t="shared" si="1"/>
        <v>7447122.5882473383</v>
      </c>
      <c r="J20" s="3">
        <f t="shared" si="2"/>
        <v>3464593.4713132801</v>
      </c>
      <c r="K20" s="47">
        <f t="shared" si="5"/>
        <v>7160262.0015564188</v>
      </c>
      <c r="L20" s="47">
        <f>'Monthly Data'!AE20</f>
        <v>199.40379487179487</v>
      </c>
      <c r="M20" s="47">
        <f t="shared" si="4"/>
        <v>7160461.4053512905</v>
      </c>
      <c r="Q20" s="235"/>
      <c r="S20" s="99"/>
    </row>
    <row r="21" spans="1:19">
      <c r="A21" s="2">
        <f>'Monthly Data'!A21</f>
        <v>42948</v>
      </c>
      <c r="B21">
        <f>'Monthly Data'!B21</f>
        <v>2017</v>
      </c>
      <c r="C21">
        <f>'Monthly Data'!C21</f>
        <v>8</v>
      </c>
      <c r="D21" s="3">
        <f>'Monthly Data'!AD21</f>
        <v>7671170.5890613236</v>
      </c>
      <c r="E21" s="3">
        <f>'Monthly Data'!DL21</f>
        <v>765009</v>
      </c>
      <c r="F21" s="3">
        <f>'Monthly Data'!DR21</f>
        <v>22</v>
      </c>
      <c r="H21" s="3">
        <f t="shared" si="0"/>
        <v>-3751454.0580042</v>
      </c>
      <c r="I21" s="3">
        <f t="shared" si="1"/>
        <v>7447122.5882473383</v>
      </c>
      <c r="J21" s="3">
        <f t="shared" si="2"/>
        <v>3811052.8184446082</v>
      </c>
      <c r="K21" s="47">
        <f t="shared" si="5"/>
        <v>7506721.3486877466</v>
      </c>
      <c r="L21" s="47">
        <f>'Monthly Data'!AE21</f>
        <v>227.89005128205127</v>
      </c>
      <c r="M21" s="47">
        <f t="shared" si="4"/>
        <v>7506949.2387390286</v>
      </c>
      <c r="Q21" s="99"/>
      <c r="S21" s="99"/>
    </row>
    <row r="22" spans="1:19">
      <c r="A22" s="2">
        <f>'Monthly Data'!A22</f>
        <v>42979</v>
      </c>
      <c r="B22">
        <f>'Monthly Data'!B22</f>
        <v>2017</v>
      </c>
      <c r="C22">
        <f>'Monthly Data'!C22</f>
        <v>9</v>
      </c>
      <c r="D22" s="3">
        <f>'Monthly Data'!AD22</f>
        <v>7255986.4310504943</v>
      </c>
      <c r="E22" s="3">
        <f>'Monthly Data'!DL22</f>
        <v>765009</v>
      </c>
      <c r="F22" s="3">
        <f>'Monthly Data'!DR22</f>
        <v>20</v>
      </c>
      <c r="H22" s="3">
        <f t="shared" si="0"/>
        <v>-3751454.0580042</v>
      </c>
      <c r="I22" s="3">
        <f t="shared" si="1"/>
        <v>7447122.5882473383</v>
      </c>
      <c r="J22" s="3">
        <f t="shared" si="2"/>
        <v>3464593.4713132801</v>
      </c>
      <c r="K22" s="47">
        <f t="shared" si="5"/>
        <v>7160262.0015564188</v>
      </c>
      <c r="L22" s="47">
        <f>'Monthly Data'!AE22</f>
        <v>256.37630769230771</v>
      </c>
      <c r="M22" s="47">
        <f t="shared" si="4"/>
        <v>7160518.3778641112</v>
      </c>
    </row>
    <row r="23" spans="1:19">
      <c r="A23" s="2">
        <f>'Monthly Data'!A23</f>
        <v>43009</v>
      </c>
      <c r="B23">
        <f>'Monthly Data'!B23</f>
        <v>2017</v>
      </c>
      <c r="C23">
        <f>'Monthly Data'!C23</f>
        <v>10</v>
      </c>
      <c r="D23" s="3">
        <f>'Monthly Data'!AD23</f>
        <v>7777872.6671929294</v>
      </c>
      <c r="E23" s="3">
        <f>'Monthly Data'!DL23</f>
        <v>771506</v>
      </c>
      <c r="F23" s="3">
        <f>'Monthly Data'!DR23</f>
        <v>21</v>
      </c>
      <c r="H23" s="3">
        <f t="shared" si="0"/>
        <v>-3751454.0580042</v>
      </c>
      <c r="I23" s="3">
        <f t="shared" si="1"/>
        <v>7510368.8447696054</v>
      </c>
      <c r="J23" s="3">
        <f t="shared" si="2"/>
        <v>3637823.1448789444</v>
      </c>
      <c r="K23" s="47">
        <f t="shared" si="5"/>
        <v>7396737.9316443503</v>
      </c>
      <c r="L23" s="47">
        <f>'Monthly Data'!AE23</f>
        <v>284.86256410256408</v>
      </c>
      <c r="M23" s="47">
        <f t="shared" si="4"/>
        <v>7397022.794208453</v>
      </c>
    </row>
    <row r="24" spans="1:19">
      <c r="A24" s="2">
        <f>'Monthly Data'!A24</f>
        <v>43040</v>
      </c>
      <c r="B24">
        <f>'Monthly Data'!B24</f>
        <v>2017</v>
      </c>
      <c r="C24">
        <f>'Monthly Data'!C24</f>
        <v>11</v>
      </c>
      <c r="D24" s="3">
        <f>'Monthly Data'!AD24</f>
        <v>7918329.3167720577</v>
      </c>
      <c r="E24" s="3">
        <f>'Monthly Data'!DL24</f>
        <v>771506</v>
      </c>
      <c r="F24" s="3">
        <f>'Monthly Data'!DR24</f>
        <v>22</v>
      </c>
      <c r="H24" s="3">
        <f t="shared" si="0"/>
        <v>-3751454.0580042</v>
      </c>
      <c r="I24" s="3">
        <f t="shared" si="1"/>
        <v>7510368.8447696054</v>
      </c>
      <c r="J24" s="3">
        <f t="shared" si="2"/>
        <v>3811052.8184446082</v>
      </c>
      <c r="K24" s="47">
        <f t="shared" si="5"/>
        <v>7569967.6052100137</v>
      </c>
      <c r="L24" s="47">
        <f>'Monthly Data'!AE24</f>
        <v>313.34882051282051</v>
      </c>
      <c r="M24" s="47">
        <f t="shared" si="4"/>
        <v>7570280.9540305268</v>
      </c>
      <c r="Q24" s="3"/>
      <c r="S24" s="3"/>
    </row>
    <row r="25" spans="1:19">
      <c r="A25" s="2">
        <f>'Monthly Data'!A25</f>
        <v>43070</v>
      </c>
      <c r="B25">
        <f>'Monthly Data'!B25</f>
        <v>2017</v>
      </c>
      <c r="C25">
        <f>'Monthly Data'!C25</f>
        <v>12</v>
      </c>
      <c r="D25" s="3">
        <f>'Monthly Data'!AD25</f>
        <v>7111379.5970349759</v>
      </c>
      <c r="E25" s="3">
        <f>'Monthly Data'!DL25</f>
        <v>771506</v>
      </c>
      <c r="F25" s="3">
        <f>'Monthly Data'!DR25</f>
        <v>19</v>
      </c>
      <c r="H25" s="3">
        <f t="shared" si="0"/>
        <v>-3751454.0580042</v>
      </c>
      <c r="I25" s="3">
        <f t="shared" si="1"/>
        <v>7510368.8447696054</v>
      </c>
      <c r="J25" s="3">
        <f t="shared" si="2"/>
        <v>3291363.7977476162</v>
      </c>
      <c r="K25" s="47">
        <f t="shared" si="5"/>
        <v>7050278.5845130216</v>
      </c>
      <c r="L25" s="47">
        <f>'Monthly Data'!AE25</f>
        <v>341.83507692307688</v>
      </c>
      <c r="M25" s="47">
        <f t="shared" si="4"/>
        <v>7050620.4195899451</v>
      </c>
    </row>
    <row r="26" spans="1:19">
      <c r="A26" s="2">
        <f>'Monthly Data'!A26</f>
        <v>43101</v>
      </c>
      <c r="B26">
        <f>'Monthly Data'!B26</f>
        <v>2018</v>
      </c>
      <c r="C26">
        <f>'Monthly Data'!C26</f>
        <v>1</v>
      </c>
      <c r="D26" s="3">
        <f>'Monthly Data'!AD26</f>
        <v>7471425.6848545587</v>
      </c>
      <c r="E26" s="3">
        <f>'Monthly Data'!DL26</f>
        <v>779694</v>
      </c>
      <c r="F26" s="3">
        <f>'Monthly Data'!DR26</f>
        <v>22</v>
      </c>
      <c r="H26" s="3">
        <f t="shared" si="0"/>
        <v>-3751454.0580042</v>
      </c>
      <c r="I26" s="3">
        <f t="shared" si="1"/>
        <v>7590076.4557291754</v>
      </c>
      <c r="J26" s="3">
        <f t="shared" si="2"/>
        <v>3811052.8184446082</v>
      </c>
      <c r="K26" s="47">
        <f t="shared" si="5"/>
        <v>7649675.2161695836</v>
      </c>
      <c r="L26" s="47">
        <f>'Monthly Data'!AE26</f>
        <v>442.10384615384612</v>
      </c>
      <c r="M26" s="47">
        <f t="shared" si="4"/>
        <v>7650117.3200157378</v>
      </c>
    </row>
    <row r="27" spans="1:19">
      <c r="A27" s="2">
        <f>'Monthly Data'!A27</f>
        <v>43132</v>
      </c>
      <c r="B27">
        <f>'Monthly Data'!B27</f>
        <v>2018</v>
      </c>
      <c r="C27">
        <f>'Monthly Data'!C27</f>
        <v>2</v>
      </c>
      <c r="D27" s="3">
        <f>'Monthly Data'!AD27</f>
        <v>6999611.2214055425</v>
      </c>
      <c r="E27" s="3">
        <f>'Monthly Data'!DL27</f>
        <v>779694</v>
      </c>
      <c r="F27" s="3">
        <f>'Monthly Data'!DR27</f>
        <v>19</v>
      </c>
      <c r="H27" s="3">
        <f t="shared" si="0"/>
        <v>-3751454.0580042</v>
      </c>
      <c r="I27" s="3">
        <f t="shared" si="1"/>
        <v>7590076.4557291754</v>
      </c>
      <c r="J27" s="3">
        <f t="shared" si="2"/>
        <v>3291363.7977476162</v>
      </c>
      <c r="K27" s="47">
        <f t="shared" si="5"/>
        <v>7129986.1954725916</v>
      </c>
      <c r="L27" s="47">
        <f>'Monthly Data'!AE27</f>
        <v>513.88635897435893</v>
      </c>
      <c r="M27" s="47">
        <f t="shared" si="4"/>
        <v>7130500.0818315661</v>
      </c>
    </row>
    <row r="28" spans="1:19">
      <c r="A28" s="2">
        <f>'Monthly Data'!A28</f>
        <v>43160</v>
      </c>
      <c r="B28">
        <f>'Monthly Data'!B28</f>
        <v>2018</v>
      </c>
      <c r="C28">
        <f>'Monthly Data'!C28</f>
        <v>3</v>
      </c>
      <c r="D28" s="3">
        <f>'Monthly Data'!AD28</f>
        <v>7240342.3343381844</v>
      </c>
      <c r="E28" s="3">
        <f>'Monthly Data'!DL28</f>
        <v>779694</v>
      </c>
      <c r="F28" s="3">
        <f>'Monthly Data'!DR28</f>
        <v>21</v>
      </c>
      <c r="H28" s="3">
        <f t="shared" si="0"/>
        <v>-3751454.0580042</v>
      </c>
      <c r="I28" s="3">
        <f t="shared" si="1"/>
        <v>7590076.4557291754</v>
      </c>
      <c r="J28" s="3">
        <f t="shared" si="2"/>
        <v>3637823.1448789444</v>
      </c>
      <c r="K28" s="47">
        <f t="shared" si="5"/>
        <v>7476445.5426039193</v>
      </c>
      <c r="L28" s="47">
        <f>'Monthly Data'!AE28</f>
        <v>585.66887179487185</v>
      </c>
      <c r="M28" s="47">
        <f t="shared" si="4"/>
        <v>7477031.2114757141</v>
      </c>
    </row>
    <row r="29" spans="1:19">
      <c r="A29" s="2">
        <f>'Monthly Data'!A29</f>
        <v>43191</v>
      </c>
      <c r="B29">
        <f>'Monthly Data'!B29</f>
        <v>2018</v>
      </c>
      <c r="C29">
        <f>'Monthly Data'!C29</f>
        <v>4</v>
      </c>
      <c r="D29" s="3">
        <f>'Monthly Data'!AD29</f>
        <v>7058027.6587714627</v>
      </c>
      <c r="E29" s="3">
        <f>'Monthly Data'!DL29</f>
        <v>785185</v>
      </c>
      <c r="F29" s="3">
        <f>'Monthly Data'!DR29</f>
        <v>21</v>
      </c>
      <c r="H29" s="3">
        <f t="shared" si="0"/>
        <v>-3751454.0580042</v>
      </c>
      <c r="I29" s="3">
        <f t="shared" si="1"/>
        <v>7643529.6178907519</v>
      </c>
      <c r="J29" s="3">
        <f t="shared" si="2"/>
        <v>3637823.1448789444</v>
      </c>
      <c r="K29" s="47">
        <f t="shared" si="5"/>
        <v>7529898.7047654968</v>
      </c>
      <c r="L29" s="47">
        <f>'Monthly Data'!AE29</f>
        <v>657.45138461538454</v>
      </c>
      <c r="M29" s="47">
        <f t="shared" si="4"/>
        <v>7530556.1561501119</v>
      </c>
    </row>
    <row r="30" spans="1:19">
      <c r="A30" s="2">
        <f>'Monthly Data'!A30</f>
        <v>43221</v>
      </c>
      <c r="B30">
        <f>'Monthly Data'!B30</f>
        <v>2018</v>
      </c>
      <c r="C30">
        <f>'Monthly Data'!C30</f>
        <v>5</v>
      </c>
      <c r="D30" s="3">
        <f>'Monthly Data'!AD30</f>
        <v>6910567.7982766684</v>
      </c>
      <c r="E30" s="3">
        <f>'Monthly Data'!DL30</f>
        <v>785185</v>
      </c>
      <c r="F30" s="3">
        <f>'Monthly Data'!DR30</f>
        <v>22</v>
      </c>
      <c r="H30" s="3">
        <f t="shared" si="0"/>
        <v>-3751454.0580042</v>
      </c>
      <c r="I30" s="3">
        <f t="shared" si="1"/>
        <v>7643529.6178907519</v>
      </c>
      <c r="J30" s="3">
        <f t="shared" si="2"/>
        <v>3811052.8184446082</v>
      </c>
      <c r="K30" s="47">
        <f t="shared" si="5"/>
        <v>7703128.3783311602</v>
      </c>
      <c r="L30" s="47">
        <f>'Monthly Data'!AE30</f>
        <v>729.23389743589746</v>
      </c>
      <c r="M30" s="47">
        <f t="shared" si="4"/>
        <v>7703857.6122285957</v>
      </c>
    </row>
    <row r="31" spans="1:19">
      <c r="A31" s="2">
        <f>'Monthly Data'!A31</f>
        <v>43252</v>
      </c>
      <c r="B31">
        <f>'Monthly Data'!B31</f>
        <v>2018</v>
      </c>
      <c r="C31">
        <f>'Monthly Data'!C31</f>
        <v>6</v>
      </c>
      <c r="D31" s="3">
        <f>'Monthly Data'!AD31</f>
        <v>7022043.4636409506</v>
      </c>
      <c r="E31" s="3">
        <f>'Monthly Data'!DL31</f>
        <v>785185</v>
      </c>
      <c r="F31" s="3">
        <f>'Monthly Data'!DR31</f>
        <v>21</v>
      </c>
      <c r="H31" s="3">
        <f t="shared" si="0"/>
        <v>-3751454.0580042</v>
      </c>
      <c r="I31" s="3">
        <f t="shared" si="1"/>
        <v>7643529.6178907519</v>
      </c>
      <c r="J31" s="3">
        <f t="shared" si="2"/>
        <v>3637823.1448789444</v>
      </c>
      <c r="K31" s="47">
        <f t="shared" si="5"/>
        <v>7529898.7047654968</v>
      </c>
      <c r="L31" s="47">
        <f>'Monthly Data'!AE31</f>
        <v>801.01641025641027</v>
      </c>
      <c r="M31" s="47">
        <f t="shared" si="4"/>
        <v>7530699.7211757535</v>
      </c>
    </row>
    <row r="32" spans="1:19">
      <c r="A32" s="2">
        <f>'Monthly Data'!A32</f>
        <v>43282</v>
      </c>
      <c r="B32">
        <f>'Monthly Data'!B32</f>
        <v>2018</v>
      </c>
      <c r="C32">
        <f>'Monthly Data'!C32</f>
        <v>7</v>
      </c>
      <c r="D32" s="3">
        <f>'Monthly Data'!AD32</f>
        <v>6253376.2002382157</v>
      </c>
      <c r="E32" s="3">
        <f>'Monthly Data'!DL32</f>
        <v>794512</v>
      </c>
      <c r="F32" s="3">
        <f>'Monthly Data'!DR32</f>
        <v>21</v>
      </c>
      <c r="H32" s="3">
        <f t="shared" si="0"/>
        <v>-3751454.0580042</v>
      </c>
      <c r="I32" s="3">
        <f t="shared" si="1"/>
        <v>7734325.0364813609</v>
      </c>
      <c r="J32" s="3">
        <f t="shared" si="2"/>
        <v>3637823.1448789444</v>
      </c>
      <c r="K32" s="47">
        <f t="shared" si="5"/>
        <v>7620694.1233561058</v>
      </c>
      <c r="L32" s="47">
        <f>'Monthly Data'!AE32</f>
        <v>872.79892307692307</v>
      </c>
      <c r="M32" s="47">
        <f t="shared" si="4"/>
        <v>7621566.9222791828</v>
      </c>
    </row>
    <row r="33" spans="1:13">
      <c r="A33" s="2">
        <f>'Monthly Data'!A33</f>
        <v>43313</v>
      </c>
      <c r="B33">
        <f>'Monthly Data'!B33</f>
        <v>2018</v>
      </c>
      <c r="C33">
        <f>'Monthly Data'!C33</f>
        <v>8</v>
      </c>
      <c r="D33" s="3">
        <f>'Monthly Data'!AD33</f>
        <v>6443270.6823713668</v>
      </c>
      <c r="E33" s="3">
        <f>'Monthly Data'!DL33</f>
        <v>794512</v>
      </c>
      <c r="F33" s="3">
        <f>'Monthly Data'!DR33</f>
        <v>22</v>
      </c>
      <c r="H33" s="3">
        <f t="shared" si="0"/>
        <v>-3751454.0580042</v>
      </c>
      <c r="I33" s="3">
        <f t="shared" si="1"/>
        <v>7734325.0364813609</v>
      </c>
      <c r="J33" s="3">
        <f t="shared" si="2"/>
        <v>3811052.8184446082</v>
      </c>
      <c r="K33" s="47">
        <f t="shared" si="5"/>
        <v>7793923.7969217692</v>
      </c>
      <c r="L33" s="47">
        <f>'Monthly Data'!AE33</f>
        <v>944.58143589743588</v>
      </c>
      <c r="M33" s="47">
        <f t="shared" si="4"/>
        <v>7794868.3783576665</v>
      </c>
    </row>
    <row r="34" spans="1:13">
      <c r="A34" s="2">
        <f>'Monthly Data'!A34</f>
        <v>43344</v>
      </c>
      <c r="B34">
        <f>'Monthly Data'!B34</f>
        <v>2018</v>
      </c>
      <c r="C34">
        <f>'Monthly Data'!C34</f>
        <v>9</v>
      </c>
      <c r="D34" s="3">
        <f>'Monthly Data'!AD34</f>
        <v>5965220.0162149593</v>
      </c>
      <c r="E34" s="3">
        <f>'Monthly Data'!DL34</f>
        <v>794512</v>
      </c>
      <c r="F34" s="3">
        <f>'Monthly Data'!DR34</f>
        <v>19</v>
      </c>
      <c r="H34" s="3">
        <f t="shared" ref="H34:H65" si="6">$Q$8</f>
        <v>-3751454.0580042</v>
      </c>
      <c r="I34" s="3">
        <f t="shared" ref="I34:I65" si="7">E34*$Q$9</f>
        <v>7734325.0364813609</v>
      </c>
      <c r="J34" s="3">
        <f t="shared" ref="J34:J65" si="8">F34*$Q$10</f>
        <v>3291363.7977476162</v>
      </c>
      <c r="K34" s="47">
        <f t="shared" si="5"/>
        <v>7274234.7762247771</v>
      </c>
      <c r="L34" s="47">
        <f>'Monthly Data'!AE34</f>
        <v>1016.3639487179487</v>
      </c>
      <c r="M34" s="47">
        <f t="shared" si="4"/>
        <v>7275251.1401734948</v>
      </c>
    </row>
    <row r="35" spans="1:13">
      <c r="A35" s="2">
        <f>'Monthly Data'!A35</f>
        <v>43374</v>
      </c>
      <c r="B35">
        <f>'Monthly Data'!B35</f>
        <v>2018</v>
      </c>
      <c r="C35">
        <f>'Monthly Data'!C35</f>
        <v>10</v>
      </c>
      <c r="D35" s="3">
        <f>'Monthly Data'!AD35</f>
        <v>6699044.3645211207</v>
      </c>
      <c r="E35" s="3">
        <f>'Monthly Data'!DL35</f>
        <v>799922</v>
      </c>
      <c r="F35" s="3">
        <f>'Monthly Data'!DR35</f>
        <v>22</v>
      </c>
      <c r="H35" s="3">
        <f t="shared" si="6"/>
        <v>-3751454.0580042</v>
      </c>
      <c r="I35" s="3">
        <f t="shared" si="7"/>
        <v>7786989.6890572365</v>
      </c>
      <c r="J35" s="3">
        <f t="shared" si="8"/>
        <v>3811052.8184446082</v>
      </c>
      <c r="K35" s="47">
        <f t="shared" si="5"/>
        <v>7846588.4494976448</v>
      </c>
      <c r="L35" s="47">
        <f>'Monthly Data'!AE35</f>
        <v>1088.1464615384616</v>
      </c>
      <c r="M35" s="47">
        <f t="shared" si="4"/>
        <v>7847676.5959591828</v>
      </c>
    </row>
    <row r="36" spans="1:13">
      <c r="A36" s="2">
        <f>'Monthly Data'!A36</f>
        <v>43405</v>
      </c>
      <c r="B36">
        <f>'Monthly Data'!B36</f>
        <v>2018</v>
      </c>
      <c r="C36">
        <f>'Monthly Data'!C36</f>
        <v>11</v>
      </c>
      <c r="D36" s="3">
        <f>'Monthly Data'!AD36</f>
        <v>7489442.5490724137</v>
      </c>
      <c r="E36" s="3">
        <f>'Monthly Data'!DL36</f>
        <v>799922</v>
      </c>
      <c r="F36" s="3">
        <f>'Monthly Data'!DR36</f>
        <v>22</v>
      </c>
      <c r="H36" s="3">
        <f t="shared" si="6"/>
        <v>-3751454.0580042</v>
      </c>
      <c r="I36" s="3">
        <f t="shared" si="7"/>
        <v>7786989.6890572365</v>
      </c>
      <c r="J36" s="3">
        <f t="shared" si="8"/>
        <v>3811052.8184446082</v>
      </c>
      <c r="K36" s="47">
        <f t="shared" si="5"/>
        <v>7846588.4494976448</v>
      </c>
      <c r="L36" s="47">
        <f>'Monthly Data'!AE36</f>
        <v>1159.9289743589743</v>
      </c>
      <c r="M36" s="47">
        <f t="shared" si="4"/>
        <v>7847748.3784720041</v>
      </c>
    </row>
    <row r="37" spans="1:13">
      <c r="A37" s="2">
        <f>'Monthly Data'!A37</f>
        <v>43435</v>
      </c>
      <c r="B37">
        <f>'Monthly Data'!B37</f>
        <v>2018</v>
      </c>
      <c r="C37">
        <f>'Monthly Data'!C37</f>
        <v>12</v>
      </c>
      <c r="D37" s="3">
        <f>'Monthly Data'!AD37</f>
        <v>7293651.3414373519</v>
      </c>
      <c r="E37" s="3">
        <f>'Monthly Data'!DL37</f>
        <v>799922</v>
      </c>
      <c r="F37" s="3">
        <f>'Monthly Data'!DR37</f>
        <v>19</v>
      </c>
      <c r="H37" s="3">
        <f t="shared" si="6"/>
        <v>-3751454.0580042</v>
      </c>
      <c r="I37" s="3">
        <f t="shared" si="7"/>
        <v>7786989.6890572365</v>
      </c>
      <c r="J37" s="3">
        <f t="shared" si="8"/>
        <v>3291363.7977476162</v>
      </c>
      <c r="K37" s="47">
        <f t="shared" si="5"/>
        <v>7326899.4288006527</v>
      </c>
      <c r="L37" s="47">
        <f>'Monthly Data'!AE37</f>
        <v>1231.7114871794872</v>
      </c>
      <c r="M37" s="47">
        <f t="shared" si="4"/>
        <v>7328131.1402878324</v>
      </c>
    </row>
    <row r="38" spans="1:13">
      <c r="A38" s="2">
        <f>'Monthly Data'!A38</f>
        <v>43466</v>
      </c>
      <c r="B38">
        <f>'Monthly Data'!B38</f>
        <v>2019</v>
      </c>
      <c r="C38">
        <f>'Monthly Data'!C38</f>
        <v>1</v>
      </c>
      <c r="D38" s="3">
        <f>'Monthly Data'!AD38</f>
        <v>7676817.8204247477</v>
      </c>
      <c r="E38" s="3">
        <f>'Monthly Data'!DL38</f>
        <v>800743</v>
      </c>
      <c r="F38" s="3">
        <f>'Monthly Data'!DR38</f>
        <v>22</v>
      </c>
      <c r="H38" s="3">
        <f t="shared" si="6"/>
        <v>-3751454.0580042</v>
      </c>
      <c r="I38" s="3">
        <f t="shared" si="7"/>
        <v>7794981.8664629282</v>
      </c>
      <c r="J38" s="3">
        <f t="shared" si="8"/>
        <v>3811052.8184446082</v>
      </c>
      <c r="K38" s="47">
        <f t="shared" si="5"/>
        <v>7854580.6269033365</v>
      </c>
      <c r="L38" s="47">
        <f>'Monthly Data'!AE38</f>
        <v>1328.9947692307692</v>
      </c>
      <c r="M38" s="47">
        <f t="shared" si="4"/>
        <v>7855909.621672567</v>
      </c>
    </row>
    <row r="39" spans="1:13">
      <c r="A39" s="2">
        <f>'Monthly Data'!A39</f>
        <v>43497</v>
      </c>
      <c r="B39">
        <f>'Monthly Data'!B39</f>
        <v>2019</v>
      </c>
      <c r="C39">
        <f>'Monthly Data'!C39</f>
        <v>2</v>
      </c>
      <c r="D39" s="3">
        <f>'Monthly Data'!AD39</f>
        <v>7639082.1224722965</v>
      </c>
      <c r="E39" s="3">
        <f>'Monthly Data'!DL39</f>
        <v>800743</v>
      </c>
      <c r="F39" s="3">
        <f>'Monthly Data'!DR39</f>
        <v>19</v>
      </c>
      <c r="H39" s="3">
        <f t="shared" si="6"/>
        <v>-3751454.0580042</v>
      </c>
      <c r="I39" s="3">
        <f t="shared" si="7"/>
        <v>7794981.8664629282</v>
      </c>
      <c r="J39" s="3">
        <f t="shared" si="8"/>
        <v>3291363.7977476162</v>
      </c>
      <c r="K39" s="47">
        <f t="shared" si="5"/>
        <v>7334891.6062063444</v>
      </c>
      <c r="L39" s="47">
        <f>'Monthly Data'!AE39</f>
        <v>1354.4955384615382</v>
      </c>
      <c r="M39" s="47">
        <f t="shared" si="4"/>
        <v>7336246.1017448064</v>
      </c>
    </row>
    <row r="40" spans="1:13">
      <c r="A40" s="2">
        <f>'Monthly Data'!A40</f>
        <v>43525</v>
      </c>
      <c r="B40">
        <f>'Monthly Data'!B40</f>
        <v>2019</v>
      </c>
      <c r="C40">
        <f>'Monthly Data'!C40</f>
        <v>3</v>
      </c>
      <c r="D40" s="3">
        <f>'Monthly Data'!AD40</f>
        <v>8304092.2207325809</v>
      </c>
      <c r="E40" s="3">
        <f>'Monthly Data'!DL40</f>
        <v>800743</v>
      </c>
      <c r="F40" s="3">
        <f>'Monthly Data'!DR40</f>
        <v>22</v>
      </c>
      <c r="H40" s="3">
        <f t="shared" si="6"/>
        <v>-3751454.0580042</v>
      </c>
      <c r="I40" s="3">
        <f t="shared" si="7"/>
        <v>7794981.8664629282</v>
      </c>
      <c r="J40" s="3">
        <f t="shared" si="8"/>
        <v>3811052.8184446082</v>
      </c>
      <c r="K40" s="47">
        <f t="shared" si="5"/>
        <v>7854580.6269033365</v>
      </c>
      <c r="L40" s="47">
        <f>'Monthly Data'!AE40</f>
        <v>1379.9963076923075</v>
      </c>
      <c r="M40" s="47">
        <f t="shared" si="4"/>
        <v>7855960.623211029</v>
      </c>
    </row>
    <row r="41" spans="1:13">
      <c r="A41" s="2">
        <f>'Monthly Data'!A41</f>
        <v>43556</v>
      </c>
      <c r="B41">
        <f>'Monthly Data'!B41</f>
        <v>2019</v>
      </c>
      <c r="C41">
        <f>'Monthly Data'!C41</f>
        <v>4</v>
      </c>
      <c r="D41" s="3">
        <f>'Monthly Data'!AD41</f>
        <v>7864643.9037049636</v>
      </c>
      <c r="E41" s="3">
        <f>'Monthly Data'!DL41</f>
        <v>806729</v>
      </c>
      <c r="F41" s="3">
        <f>'Monthly Data'!DR41</f>
        <v>21</v>
      </c>
      <c r="H41" s="3">
        <f t="shared" si="6"/>
        <v>-3751454.0580042</v>
      </c>
      <c r="I41" s="3">
        <f t="shared" si="7"/>
        <v>7853253.6983149052</v>
      </c>
      <c r="J41" s="3">
        <f t="shared" si="8"/>
        <v>3637823.1448789444</v>
      </c>
      <c r="K41" s="47">
        <f t="shared" si="5"/>
        <v>7739622.7851896491</v>
      </c>
      <c r="L41" s="47">
        <f>'Monthly Data'!AE41</f>
        <v>1405.4970769230767</v>
      </c>
      <c r="M41" s="47">
        <f t="shared" si="4"/>
        <v>7741028.2822665721</v>
      </c>
    </row>
    <row r="42" spans="1:13">
      <c r="A42" s="2">
        <f>'Monthly Data'!A42</f>
        <v>43586</v>
      </c>
      <c r="B42">
        <f>'Monthly Data'!B42</f>
        <v>2019</v>
      </c>
      <c r="C42">
        <f>'Monthly Data'!C42</f>
        <v>5</v>
      </c>
      <c r="D42" s="3">
        <f>'Monthly Data'!AD42</f>
        <v>8549530.6362357549</v>
      </c>
      <c r="E42" s="3">
        <f>'Monthly Data'!DL42</f>
        <v>806729</v>
      </c>
      <c r="F42" s="3">
        <f>'Monthly Data'!DR42</f>
        <v>20</v>
      </c>
      <c r="H42" s="3">
        <f t="shared" si="6"/>
        <v>-3751454.0580042</v>
      </c>
      <c r="I42" s="3">
        <f t="shared" si="7"/>
        <v>7853253.6983149052</v>
      </c>
      <c r="J42" s="3">
        <f t="shared" si="8"/>
        <v>3464593.4713132801</v>
      </c>
      <c r="K42" s="47">
        <f t="shared" ref="K42:K73" si="9">SUM(H42:J42)</f>
        <v>7566393.1116239857</v>
      </c>
      <c r="L42" s="47">
        <f>'Monthly Data'!AE42</f>
        <v>1430.997846153846</v>
      </c>
      <c r="M42" s="47">
        <f t="shared" si="4"/>
        <v>7567824.1094701393</v>
      </c>
    </row>
    <row r="43" spans="1:13">
      <c r="A43" s="2">
        <f>'Monthly Data'!A43</f>
        <v>43617</v>
      </c>
      <c r="B43">
        <f>'Monthly Data'!B43</f>
        <v>2019</v>
      </c>
      <c r="C43">
        <f>'Monthly Data'!C43</f>
        <v>6</v>
      </c>
      <c r="D43" s="3">
        <f>'Monthly Data'!AD43</f>
        <v>7934698.0776253538</v>
      </c>
      <c r="E43" s="3">
        <f>'Monthly Data'!DL43</f>
        <v>806729</v>
      </c>
      <c r="F43" s="3">
        <f>'Monthly Data'!DR43</f>
        <v>22</v>
      </c>
      <c r="H43" s="3">
        <f t="shared" si="6"/>
        <v>-3751454.0580042</v>
      </c>
      <c r="I43" s="3">
        <f t="shared" si="7"/>
        <v>7853253.6983149052</v>
      </c>
      <c r="J43" s="3">
        <f t="shared" si="8"/>
        <v>3811052.8184446082</v>
      </c>
      <c r="K43" s="47">
        <f t="shared" si="9"/>
        <v>7912852.4587553134</v>
      </c>
      <c r="L43" s="47">
        <f>'Monthly Data'!AE43</f>
        <v>1456.4986153846151</v>
      </c>
      <c r="M43" s="47">
        <f t="shared" ref="M43:M106" si="10">K43+L43</f>
        <v>7914308.9573706985</v>
      </c>
    </row>
    <row r="44" spans="1:13">
      <c r="A44" s="2">
        <f>'Monthly Data'!A44</f>
        <v>43647</v>
      </c>
      <c r="B44">
        <f>'Monthly Data'!B44</f>
        <v>2019</v>
      </c>
      <c r="C44">
        <f>'Monthly Data'!C44</f>
        <v>7</v>
      </c>
      <c r="D44" s="3">
        <f>'Monthly Data'!AD44</f>
        <v>7499230.9496138953</v>
      </c>
      <c r="E44" s="3">
        <f>'Monthly Data'!DL44</f>
        <v>810697</v>
      </c>
      <c r="F44" s="3">
        <f>'Monthly Data'!DR44</f>
        <v>22</v>
      </c>
      <c r="H44" s="3">
        <f t="shared" si="6"/>
        <v>-3751454.0580042</v>
      </c>
      <c r="I44" s="3">
        <f t="shared" si="7"/>
        <v>7891880.9333280427</v>
      </c>
      <c r="J44" s="3">
        <f t="shared" si="8"/>
        <v>3811052.8184446082</v>
      </c>
      <c r="K44" s="47">
        <f t="shared" si="9"/>
        <v>7951479.693768451</v>
      </c>
      <c r="L44" s="47">
        <f>'Monthly Data'!AE44</f>
        <v>1481.9993846153843</v>
      </c>
      <c r="M44" s="47">
        <f t="shared" si="10"/>
        <v>7952961.6931530666</v>
      </c>
    </row>
    <row r="45" spans="1:13">
      <c r="A45" s="2">
        <f>'Monthly Data'!A45</f>
        <v>43678</v>
      </c>
      <c r="B45">
        <f>'Monthly Data'!B45</f>
        <v>2019</v>
      </c>
      <c r="C45">
        <f>'Monthly Data'!C45</f>
        <v>8</v>
      </c>
      <c r="D45" s="3">
        <f>'Monthly Data'!AD45</f>
        <v>7456219.8457452906</v>
      </c>
      <c r="E45" s="3">
        <f>'Monthly Data'!DL45</f>
        <v>810697</v>
      </c>
      <c r="F45" s="3">
        <f>'Monthly Data'!DR45</f>
        <v>20</v>
      </c>
      <c r="H45" s="3">
        <f t="shared" si="6"/>
        <v>-3751454.0580042</v>
      </c>
      <c r="I45" s="3">
        <f t="shared" si="7"/>
        <v>7891880.9333280427</v>
      </c>
      <c r="J45" s="3">
        <f t="shared" si="8"/>
        <v>3464593.4713132801</v>
      </c>
      <c r="K45" s="47">
        <f t="shared" si="9"/>
        <v>7605020.3466371223</v>
      </c>
      <c r="L45" s="47">
        <f>'Monthly Data'!AE45</f>
        <v>1507.5001538461536</v>
      </c>
      <c r="M45" s="47">
        <f t="shared" si="10"/>
        <v>7606527.8467909684</v>
      </c>
    </row>
    <row r="46" spans="1:13">
      <c r="A46" s="2">
        <f>'Monthly Data'!A46</f>
        <v>43709</v>
      </c>
      <c r="B46">
        <f>'Monthly Data'!B46</f>
        <v>2019</v>
      </c>
      <c r="C46">
        <f>'Monthly Data'!C46</f>
        <v>9</v>
      </c>
      <c r="D46" s="3">
        <f>'Monthly Data'!AD46</f>
        <v>7219206.1482556416</v>
      </c>
      <c r="E46" s="3">
        <f>'Monthly Data'!DL46</f>
        <v>810697</v>
      </c>
      <c r="F46" s="3">
        <f>'Monthly Data'!DR46</f>
        <v>21</v>
      </c>
      <c r="H46" s="3">
        <f t="shared" si="6"/>
        <v>-3751454.0580042</v>
      </c>
      <c r="I46" s="3">
        <f t="shared" si="7"/>
        <v>7891880.9333280427</v>
      </c>
      <c r="J46" s="3">
        <f t="shared" si="8"/>
        <v>3637823.1448789444</v>
      </c>
      <c r="K46" s="47">
        <f t="shared" si="9"/>
        <v>7778250.0202027876</v>
      </c>
      <c r="L46" s="47">
        <f>'Monthly Data'!AE46</f>
        <v>1533.0009230769228</v>
      </c>
      <c r="M46" s="47">
        <f t="shared" si="10"/>
        <v>7779783.0211258642</v>
      </c>
    </row>
    <row r="47" spans="1:13">
      <c r="A47" s="2">
        <f>'Monthly Data'!A47</f>
        <v>43739</v>
      </c>
      <c r="B47">
        <f>'Monthly Data'!B47</f>
        <v>2019</v>
      </c>
      <c r="C47">
        <f>'Monthly Data'!C47</f>
        <v>10</v>
      </c>
      <c r="D47" s="3">
        <f>'Monthly Data'!AD47</f>
        <v>7638210.8567978488</v>
      </c>
      <c r="E47" s="3">
        <f>'Monthly Data'!DL47</f>
        <v>812164</v>
      </c>
      <c r="F47" s="3">
        <f>'Monthly Data'!DR47</f>
        <v>21</v>
      </c>
      <c r="H47" s="3">
        <f t="shared" si="6"/>
        <v>-3751454.0580042</v>
      </c>
      <c r="I47" s="3">
        <f t="shared" si="7"/>
        <v>7906161.7180468617</v>
      </c>
      <c r="J47" s="3">
        <f t="shared" si="8"/>
        <v>3637823.1448789444</v>
      </c>
      <c r="K47" s="47">
        <f t="shared" si="9"/>
        <v>7792530.8049216066</v>
      </c>
      <c r="L47" s="47">
        <f>'Monthly Data'!AE47</f>
        <v>1558.5016923076919</v>
      </c>
      <c r="M47" s="47">
        <f t="shared" si="10"/>
        <v>7794089.3066139147</v>
      </c>
    </row>
    <row r="48" spans="1:13">
      <c r="A48" s="2">
        <f>'Monthly Data'!A48</f>
        <v>43770</v>
      </c>
      <c r="B48">
        <f>'Monthly Data'!B48</f>
        <v>2019</v>
      </c>
      <c r="C48">
        <f>'Monthly Data'!C48</f>
        <v>11</v>
      </c>
      <c r="D48" s="3">
        <f>'Monthly Data'!AD48</f>
        <v>7592392.9632343063</v>
      </c>
      <c r="E48" s="3">
        <f>'Monthly Data'!DL48</f>
        <v>812164</v>
      </c>
      <c r="F48" s="3">
        <f>'Monthly Data'!DR48</f>
        <v>21</v>
      </c>
      <c r="H48" s="3">
        <f t="shared" si="6"/>
        <v>-3751454.0580042</v>
      </c>
      <c r="I48" s="3">
        <f t="shared" si="7"/>
        <v>7906161.7180468617</v>
      </c>
      <c r="J48" s="3">
        <f t="shared" si="8"/>
        <v>3637823.1448789444</v>
      </c>
      <c r="K48" s="47">
        <f t="shared" si="9"/>
        <v>7792530.8049216066</v>
      </c>
      <c r="L48" s="47">
        <f>'Monthly Data'!AE48</f>
        <v>1584.0024615384611</v>
      </c>
      <c r="M48" s="47">
        <f t="shared" si="10"/>
        <v>7794114.8073831452</v>
      </c>
    </row>
    <row r="49" spans="1:13">
      <c r="A49" s="2">
        <f>'Monthly Data'!A49</f>
        <v>43800</v>
      </c>
      <c r="B49">
        <f>'Monthly Data'!B49</f>
        <v>2019</v>
      </c>
      <c r="C49">
        <f>'Monthly Data'!C49</f>
        <v>12</v>
      </c>
      <c r="D49" s="3">
        <f>'Monthly Data'!AD49</f>
        <v>7075141.2986036194</v>
      </c>
      <c r="E49" s="3">
        <f>'Monthly Data'!DL49</f>
        <v>812164</v>
      </c>
      <c r="F49" s="3">
        <f>'Monthly Data'!DR49</f>
        <v>21</v>
      </c>
      <c r="H49" s="3">
        <f t="shared" si="6"/>
        <v>-3751454.0580042</v>
      </c>
      <c r="I49" s="3">
        <f t="shared" si="7"/>
        <v>7906161.7180468617</v>
      </c>
      <c r="J49" s="3">
        <f t="shared" si="8"/>
        <v>3637823.1448789444</v>
      </c>
      <c r="K49" s="47">
        <f t="shared" si="9"/>
        <v>7792530.8049216066</v>
      </c>
      <c r="L49" s="47">
        <f>'Monthly Data'!AE49</f>
        <v>1609.5032307692304</v>
      </c>
      <c r="M49" s="47">
        <f t="shared" si="10"/>
        <v>7794140.3081523757</v>
      </c>
    </row>
    <row r="50" spans="1:13">
      <c r="A50" s="2">
        <f>'Monthly Data'!A50</f>
        <v>43831</v>
      </c>
      <c r="B50">
        <f>'Monthly Data'!B50</f>
        <v>2020</v>
      </c>
      <c r="C50">
        <f>'Monthly Data'!C50</f>
        <v>1</v>
      </c>
      <c r="D50" s="3">
        <f>'Monthly Data'!AD50</f>
        <v>7596592.6077267649</v>
      </c>
      <c r="E50" s="3">
        <f>'Monthly Data'!DL50</f>
        <v>801246</v>
      </c>
      <c r="F50" s="3">
        <f>'Monthly Data'!DR50</f>
        <v>22</v>
      </c>
      <c r="H50" s="3">
        <f t="shared" si="6"/>
        <v>-3751454.0580042</v>
      </c>
      <c r="I50" s="3">
        <f t="shared" si="7"/>
        <v>7799878.4136432735</v>
      </c>
      <c r="J50" s="3">
        <f t="shared" si="8"/>
        <v>3811052.8184446082</v>
      </c>
      <c r="K50" s="47">
        <f t="shared" si="9"/>
        <v>7859477.1740836818</v>
      </c>
      <c r="L50" s="47">
        <f>'Monthly Data'!AE50</f>
        <v>1665.2332948717949</v>
      </c>
      <c r="M50" s="47">
        <f t="shared" si="10"/>
        <v>7861142.4073785534</v>
      </c>
    </row>
    <row r="51" spans="1:13">
      <c r="A51" s="2">
        <f>'Monthly Data'!A51</f>
        <v>43862</v>
      </c>
      <c r="B51">
        <f>'Monthly Data'!B51</f>
        <v>2020</v>
      </c>
      <c r="C51">
        <f>'Monthly Data'!C51</f>
        <v>2</v>
      </c>
      <c r="D51" s="3">
        <f>'Monthly Data'!AD51</f>
        <v>7748600.9521910278</v>
      </c>
      <c r="E51" s="3">
        <f>'Monthly Data'!DL51</f>
        <v>801246</v>
      </c>
      <c r="F51" s="3">
        <f>'Monthly Data'!DR51</f>
        <v>19</v>
      </c>
      <c r="H51" s="3">
        <f t="shared" si="6"/>
        <v>-3751454.0580042</v>
      </c>
      <c r="I51" s="3">
        <f t="shared" si="7"/>
        <v>7799878.4136432735</v>
      </c>
      <c r="J51" s="3">
        <f t="shared" si="8"/>
        <v>3291363.7977476162</v>
      </c>
      <c r="K51" s="47">
        <f t="shared" si="9"/>
        <v>7339788.1533866897</v>
      </c>
      <c r="L51" s="47">
        <f>'Monthly Data'!AE51</f>
        <v>1695.4625897435897</v>
      </c>
      <c r="M51" s="47">
        <f t="shared" si="10"/>
        <v>7341483.6159764333</v>
      </c>
    </row>
    <row r="52" spans="1:13">
      <c r="A52" s="2">
        <f>'Monthly Data'!A52</f>
        <v>43891</v>
      </c>
      <c r="B52">
        <f>'Monthly Data'!B52</f>
        <v>2020</v>
      </c>
      <c r="C52">
        <f>'Monthly Data'!C52</f>
        <v>3</v>
      </c>
      <c r="D52" s="3">
        <f>'Monthly Data'!AD52</f>
        <v>8017638.7231661472</v>
      </c>
      <c r="E52" s="3">
        <f>'Monthly Data'!DL52</f>
        <v>801246</v>
      </c>
      <c r="F52" s="3">
        <f>'Monthly Data'!DR52</f>
        <v>22</v>
      </c>
      <c r="H52" s="3">
        <f t="shared" si="6"/>
        <v>-3751454.0580042</v>
      </c>
      <c r="I52" s="3">
        <f t="shared" si="7"/>
        <v>7799878.4136432735</v>
      </c>
      <c r="J52" s="3">
        <f t="shared" si="8"/>
        <v>3811052.8184446082</v>
      </c>
      <c r="K52" s="47">
        <f t="shared" si="9"/>
        <v>7859477.1740836818</v>
      </c>
      <c r="L52" s="47">
        <f>'Monthly Data'!AE52</f>
        <v>1725.6918846153847</v>
      </c>
      <c r="M52" s="47">
        <f t="shared" si="10"/>
        <v>7861202.8659682972</v>
      </c>
    </row>
    <row r="53" spans="1:13">
      <c r="A53" s="2">
        <f>'Monthly Data'!A53</f>
        <v>43922</v>
      </c>
      <c r="B53">
        <f>'Monthly Data'!B53</f>
        <v>2020</v>
      </c>
      <c r="C53">
        <f>'Monthly Data'!C53</f>
        <v>4</v>
      </c>
      <c r="D53" s="3">
        <f>'Monthly Data'!AD53</f>
        <v>6836753.8399702618</v>
      </c>
      <c r="E53" s="3">
        <f>'Monthly Data'!DL53</f>
        <v>705711</v>
      </c>
      <c r="F53" s="3">
        <f>'Monthly Data'!DR53</f>
        <v>21</v>
      </c>
      <c r="H53" s="3">
        <f t="shared" si="6"/>
        <v>-3751454.0580042</v>
      </c>
      <c r="I53" s="3">
        <f t="shared" si="7"/>
        <v>6869875.1633962709</v>
      </c>
      <c r="J53" s="3">
        <f t="shared" si="8"/>
        <v>3637823.1448789444</v>
      </c>
      <c r="K53" s="47">
        <f t="shared" si="9"/>
        <v>6756244.2502710149</v>
      </c>
      <c r="L53" s="47">
        <f>'Monthly Data'!AE53</f>
        <v>1755.9211794871794</v>
      </c>
      <c r="M53" s="47">
        <f t="shared" si="10"/>
        <v>6758000.1714505022</v>
      </c>
    </row>
    <row r="54" spans="1:13">
      <c r="A54" s="2">
        <f>'Monthly Data'!A54</f>
        <v>43952</v>
      </c>
      <c r="B54">
        <f>'Monthly Data'!B54</f>
        <v>2020</v>
      </c>
      <c r="C54">
        <f>'Monthly Data'!C54</f>
        <v>5</v>
      </c>
      <c r="D54" s="3">
        <f>'Monthly Data'!AD54</f>
        <v>7002828.4808593774</v>
      </c>
      <c r="E54" s="3">
        <f>'Monthly Data'!DL54</f>
        <v>705711</v>
      </c>
      <c r="F54" s="3">
        <f>'Monthly Data'!DR54</f>
        <v>20</v>
      </c>
      <c r="H54" s="3">
        <f t="shared" si="6"/>
        <v>-3751454.0580042</v>
      </c>
      <c r="I54" s="3">
        <f t="shared" si="7"/>
        <v>6869875.1633962709</v>
      </c>
      <c r="J54" s="3">
        <f t="shared" si="8"/>
        <v>3464593.4713132801</v>
      </c>
      <c r="K54" s="47">
        <f t="shared" si="9"/>
        <v>6583014.5767053515</v>
      </c>
      <c r="L54" s="47">
        <f>'Monthly Data'!AE54</f>
        <v>1786.1504743589742</v>
      </c>
      <c r="M54" s="47">
        <f t="shared" si="10"/>
        <v>6584800.7271797108</v>
      </c>
    </row>
    <row r="55" spans="1:13">
      <c r="A55" s="2">
        <f>'Monthly Data'!A55</f>
        <v>43983</v>
      </c>
      <c r="B55">
        <f>'Monthly Data'!B55</f>
        <v>2020</v>
      </c>
      <c r="C55">
        <f>'Monthly Data'!C55</f>
        <v>6</v>
      </c>
      <c r="D55" s="3">
        <f>'Monthly Data'!AD55</f>
        <v>7389887.1454285411</v>
      </c>
      <c r="E55" s="3">
        <f>'Monthly Data'!DL55</f>
        <v>705711</v>
      </c>
      <c r="F55" s="3">
        <f>'Monthly Data'!DR55</f>
        <v>22</v>
      </c>
      <c r="H55" s="3">
        <f t="shared" si="6"/>
        <v>-3751454.0580042</v>
      </c>
      <c r="I55" s="3">
        <f t="shared" si="7"/>
        <v>6869875.1633962709</v>
      </c>
      <c r="J55" s="3">
        <f t="shared" si="8"/>
        <v>3811052.8184446082</v>
      </c>
      <c r="K55" s="47">
        <f t="shared" si="9"/>
        <v>6929473.9238366792</v>
      </c>
      <c r="L55" s="47">
        <f>'Monthly Data'!AE55</f>
        <v>1816.3797692307689</v>
      </c>
      <c r="M55" s="47">
        <f t="shared" si="10"/>
        <v>6931290.3036059104</v>
      </c>
    </row>
    <row r="56" spans="1:13">
      <c r="A56" s="2">
        <f>'Monthly Data'!A56</f>
        <v>44013</v>
      </c>
      <c r="B56">
        <f>'Monthly Data'!B56</f>
        <v>2020</v>
      </c>
      <c r="C56">
        <f>'Monthly Data'!C56</f>
        <v>7</v>
      </c>
      <c r="D56" s="3">
        <f>'Monthly Data'!AD56</f>
        <v>7694004.3930514287</v>
      </c>
      <c r="E56" s="3">
        <f>'Monthly Data'!DL56</f>
        <v>778294</v>
      </c>
      <c r="F56" s="3">
        <f>'Monthly Data'!DR56</f>
        <v>22</v>
      </c>
      <c r="H56" s="3">
        <f t="shared" si="6"/>
        <v>-3751454.0580042</v>
      </c>
      <c r="I56" s="3">
        <f t="shared" si="7"/>
        <v>7576447.8949886523</v>
      </c>
      <c r="J56" s="3">
        <f t="shared" si="8"/>
        <v>3811052.8184446082</v>
      </c>
      <c r="K56" s="47">
        <f t="shared" si="9"/>
        <v>7636046.6554290606</v>
      </c>
      <c r="L56" s="47">
        <f>'Monthly Data'!AE56</f>
        <v>1846.6090641025637</v>
      </c>
      <c r="M56" s="47">
        <f t="shared" si="10"/>
        <v>7637893.2644931627</v>
      </c>
    </row>
    <row r="57" spans="1:13">
      <c r="A57" s="2">
        <f>'Monthly Data'!A57</f>
        <v>44044</v>
      </c>
      <c r="B57">
        <f>'Monthly Data'!B57</f>
        <v>2020</v>
      </c>
      <c r="C57">
        <f>'Monthly Data'!C57</f>
        <v>8</v>
      </c>
      <c r="D57" s="3">
        <f>'Monthly Data'!AD57</f>
        <v>7442739.7131028725</v>
      </c>
      <c r="E57" s="3">
        <f>'Monthly Data'!DL57</f>
        <v>778294</v>
      </c>
      <c r="F57" s="3">
        <f>'Monthly Data'!DR57</f>
        <v>20</v>
      </c>
      <c r="H57" s="3">
        <f t="shared" si="6"/>
        <v>-3751454.0580042</v>
      </c>
      <c r="I57" s="3">
        <f t="shared" si="7"/>
        <v>7576447.8949886523</v>
      </c>
      <c r="J57" s="3">
        <f t="shared" si="8"/>
        <v>3464593.4713132801</v>
      </c>
      <c r="K57" s="47">
        <f t="shared" si="9"/>
        <v>7289587.3082977328</v>
      </c>
      <c r="L57" s="47">
        <f>'Monthly Data'!AE57</f>
        <v>1876.8383589743585</v>
      </c>
      <c r="M57" s="47">
        <f t="shared" si="10"/>
        <v>7291464.1466567069</v>
      </c>
    </row>
    <row r="58" spans="1:13">
      <c r="A58" s="2">
        <f>'Monthly Data'!A58</f>
        <v>44075</v>
      </c>
      <c r="B58">
        <f>'Monthly Data'!B58</f>
        <v>2020</v>
      </c>
      <c r="C58">
        <f>'Monthly Data'!C58</f>
        <v>9</v>
      </c>
      <c r="D58" s="3">
        <f>'Monthly Data'!AD58</f>
        <v>7353874.5857787905</v>
      </c>
      <c r="E58" s="3">
        <f>'Monthly Data'!DL58</f>
        <v>778294</v>
      </c>
      <c r="F58" s="3">
        <f>'Monthly Data'!DR58</f>
        <v>21</v>
      </c>
      <c r="H58" s="3">
        <f t="shared" si="6"/>
        <v>-3751454.0580042</v>
      </c>
      <c r="I58" s="3">
        <f t="shared" si="7"/>
        <v>7576447.8949886523</v>
      </c>
      <c r="J58" s="3">
        <f t="shared" si="8"/>
        <v>3637823.1448789444</v>
      </c>
      <c r="K58" s="47">
        <f t="shared" si="9"/>
        <v>7462816.9818633962</v>
      </c>
      <c r="L58" s="47">
        <f>'Monthly Data'!AE58</f>
        <v>1907.0676538461535</v>
      </c>
      <c r="M58" s="47">
        <f t="shared" si="10"/>
        <v>7464724.0495172422</v>
      </c>
    </row>
    <row r="59" spans="1:13">
      <c r="A59" s="2">
        <f>'Monthly Data'!A59</f>
        <v>44105</v>
      </c>
      <c r="B59">
        <f>'Monthly Data'!B59</f>
        <v>2020</v>
      </c>
      <c r="C59">
        <f>'Monthly Data'!C59</f>
        <v>10</v>
      </c>
      <c r="D59" s="3">
        <f>'Monthly Data'!AD59</f>
        <v>7594045.0170956114</v>
      </c>
      <c r="E59" s="3">
        <f>'Monthly Data'!DL59</f>
        <v>797313</v>
      </c>
      <c r="F59" s="3">
        <f>'Monthly Data'!DR59</f>
        <v>21</v>
      </c>
      <c r="H59" s="3">
        <f t="shared" si="6"/>
        <v>-3751454.0580042</v>
      </c>
      <c r="I59" s="3">
        <f t="shared" si="7"/>
        <v>7761591.8926486485</v>
      </c>
      <c r="J59" s="3">
        <f t="shared" si="8"/>
        <v>3637823.1448789444</v>
      </c>
      <c r="K59" s="47">
        <f t="shared" si="9"/>
        <v>7647960.9795233924</v>
      </c>
      <c r="L59" s="47">
        <f>'Monthly Data'!AE59</f>
        <v>1937.2969487179482</v>
      </c>
      <c r="M59" s="47">
        <f t="shared" si="10"/>
        <v>7649898.2764721103</v>
      </c>
    </row>
    <row r="60" spans="1:13">
      <c r="A60" s="2">
        <f>'Monthly Data'!A60</f>
        <v>44136</v>
      </c>
      <c r="B60">
        <f>'Monthly Data'!B60</f>
        <v>2020</v>
      </c>
      <c r="C60">
        <f>'Monthly Data'!C60</f>
        <v>11</v>
      </c>
      <c r="D60" s="3">
        <f>'Monthly Data'!AD60</f>
        <v>7315833.2701564273</v>
      </c>
      <c r="E60" s="3">
        <f>'Monthly Data'!DL60</f>
        <v>797313</v>
      </c>
      <c r="F60" s="3">
        <f>'Monthly Data'!DR60</f>
        <v>21</v>
      </c>
      <c r="H60" s="3">
        <f t="shared" si="6"/>
        <v>-3751454.0580042</v>
      </c>
      <c r="I60" s="3">
        <f t="shared" si="7"/>
        <v>7761591.8926486485</v>
      </c>
      <c r="J60" s="3">
        <f t="shared" si="8"/>
        <v>3637823.1448789444</v>
      </c>
      <c r="K60" s="47">
        <f t="shared" si="9"/>
        <v>7647960.9795233924</v>
      </c>
      <c r="L60" s="47">
        <f>'Monthly Data'!AE60</f>
        <v>1967.526243589743</v>
      </c>
      <c r="M60" s="47">
        <f t="shared" si="10"/>
        <v>7649928.5057669822</v>
      </c>
    </row>
    <row r="61" spans="1:13">
      <c r="A61" s="2">
        <f>'Monthly Data'!A61</f>
        <v>44166</v>
      </c>
      <c r="B61">
        <f>'Monthly Data'!B61</f>
        <v>2020</v>
      </c>
      <c r="C61">
        <f>'Monthly Data'!C61</f>
        <v>12</v>
      </c>
      <c r="D61" s="3">
        <f>'Monthly Data'!AD61</f>
        <v>6947730.7541941404</v>
      </c>
      <c r="E61" s="3">
        <f>'Monthly Data'!DL61</f>
        <v>797313</v>
      </c>
      <c r="F61" s="3">
        <f>'Monthly Data'!DR61</f>
        <v>21</v>
      </c>
      <c r="H61" s="3">
        <f t="shared" si="6"/>
        <v>-3751454.0580042</v>
      </c>
      <c r="I61" s="3">
        <f t="shared" si="7"/>
        <v>7761591.8926486485</v>
      </c>
      <c r="J61" s="3">
        <f t="shared" si="8"/>
        <v>3637823.1448789444</v>
      </c>
      <c r="K61" s="47">
        <f t="shared" si="9"/>
        <v>7647960.9795233924</v>
      </c>
      <c r="L61" s="47">
        <f>'Monthly Data'!AE61</f>
        <v>1997.7555384615378</v>
      </c>
      <c r="M61" s="47">
        <f t="shared" si="10"/>
        <v>7649958.7350618541</v>
      </c>
    </row>
    <row r="62" spans="1:13">
      <c r="A62" s="2">
        <f>'Monthly Data'!A62</f>
        <v>44197</v>
      </c>
      <c r="B62">
        <f>'Monthly Data'!B62</f>
        <v>2021</v>
      </c>
      <c r="C62">
        <f>'Monthly Data'!C62</f>
        <v>1</v>
      </c>
      <c r="D62" s="3">
        <f ca="1">'Monthly Data'!AD62</f>
        <v>7311941.7225813912</v>
      </c>
      <c r="E62" s="3">
        <f>'Monthly Data'!DL62</f>
        <v>809994</v>
      </c>
      <c r="F62" s="3">
        <f>'Monthly Data'!DR62</f>
        <v>20</v>
      </c>
      <c r="H62" s="3">
        <f t="shared" si="6"/>
        <v>-3751454.0580042</v>
      </c>
      <c r="I62" s="3">
        <f t="shared" si="7"/>
        <v>7885037.4488990521</v>
      </c>
      <c r="J62" s="3">
        <f t="shared" si="8"/>
        <v>3464593.4713132801</v>
      </c>
      <c r="K62" s="47">
        <f t="shared" si="9"/>
        <v>7598176.8622081317</v>
      </c>
      <c r="L62" s="47">
        <f>'Monthly Data'!AE62</f>
        <v>2091.1702435897432</v>
      </c>
      <c r="M62" s="47">
        <f t="shared" si="10"/>
        <v>7600268.0324517218</v>
      </c>
    </row>
    <row r="63" spans="1:13">
      <c r="A63" s="2">
        <f>'Monthly Data'!A63</f>
        <v>44228</v>
      </c>
      <c r="B63">
        <f>'Monthly Data'!B63</f>
        <v>2021</v>
      </c>
      <c r="C63">
        <f>'Monthly Data'!C63</f>
        <v>2</v>
      </c>
      <c r="D63" s="3">
        <f ca="1">'Monthly Data'!AD63</f>
        <v>7711149.2788526928</v>
      </c>
      <c r="E63" s="3">
        <f>'Monthly Data'!DL63</f>
        <v>809994</v>
      </c>
      <c r="F63" s="3">
        <f>'Monthly Data'!DR63</f>
        <v>19</v>
      </c>
      <c r="H63" s="3">
        <f t="shared" si="6"/>
        <v>-3751454.0580042</v>
      </c>
      <c r="I63" s="3">
        <f t="shared" si="7"/>
        <v>7885037.4488990521</v>
      </c>
      <c r="J63" s="3">
        <f t="shared" si="8"/>
        <v>3291363.7977476162</v>
      </c>
      <c r="K63" s="47">
        <f t="shared" si="9"/>
        <v>7424947.1886424683</v>
      </c>
      <c r="L63" s="47">
        <f>'Monthly Data'!AE63</f>
        <v>2154.3556538461535</v>
      </c>
      <c r="M63" s="47">
        <f t="shared" si="10"/>
        <v>7427101.544296314</v>
      </c>
    </row>
    <row r="64" spans="1:13">
      <c r="A64" s="2">
        <f>'Monthly Data'!A64</f>
        <v>44256</v>
      </c>
      <c r="B64">
        <f>'Monthly Data'!B64</f>
        <v>2021</v>
      </c>
      <c r="C64">
        <f>'Monthly Data'!C64</f>
        <v>3</v>
      </c>
      <c r="D64" s="3">
        <f ca="1">'Monthly Data'!AD64</f>
        <v>8508524.2634860594</v>
      </c>
      <c r="E64" s="3">
        <f>'Monthly Data'!DL64</f>
        <v>809994</v>
      </c>
      <c r="F64" s="3">
        <f>'Monthly Data'!DR64</f>
        <v>23</v>
      </c>
      <c r="H64" s="3">
        <f t="shared" si="6"/>
        <v>-3751454.0580042</v>
      </c>
      <c r="I64" s="3">
        <f t="shared" si="7"/>
        <v>7885037.4488990521</v>
      </c>
      <c r="J64" s="3">
        <f t="shared" si="8"/>
        <v>3984282.4920102721</v>
      </c>
      <c r="K64" s="47">
        <f t="shared" si="9"/>
        <v>8117865.8829051238</v>
      </c>
      <c r="L64" s="47">
        <f>'Monthly Data'!AE64</f>
        <v>2217.5410641025637</v>
      </c>
      <c r="M64" s="47">
        <f t="shared" si="10"/>
        <v>8120083.423969226</v>
      </c>
    </row>
    <row r="65" spans="1:13">
      <c r="A65" s="2">
        <f>'Monthly Data'!A65</f>
        <v>44287</v>
      </c>
      <c r="B65">
        <f>'Monthly Data'!B65</f>
        <v>2021</v>
      </c>
      <c r="C65">
        <f>'Monthly Data'!C65</f>
        <v>4</v>
      </c>
      <c r="D65" s="3">
        <f ca="1">'Monthly Data'!AD65</f>
        <v>7846268.8053719243</v>
      </c>
      <c r="E65" s="3">
        <f>'Monthly Data'!DL65</f>
        <v>803585</v>
      </c>
      <c r="F65" s="3">
        <f>'Monthly Data'!DR65</f>
        <v>21</v>
      </c>
      <c r="H65" s="3">
        <f t="shared" si="6"/>
        <v>-3751454.0580042</v>
      </c>
      <c r="I65" s="3">
        <f t="shared" si="7"/>
        <v>7822647.8447661893</v>
      </c>
      <c r="J65" s="3">
        <f t="shared" si="8"/>
        <v>3637823.1448789444</v>
      </c>
      <c r="K65" s="47">
        <f t="shared" si="9"/>
        <v>7709016.9316409342</v>
      </c>
      <c r="L65" s="47">
        <f>'Monthly Data'!AE65</f>
        <v>2280.726474358974</v>
      </c>
      <c r="M65" s="47">
        <f t="shared" si="10"/>
        <v>7711297.6581152929</v>
      </c>
    </row>
    <row r="66" spans="1:13">
      <c r="A66" s="2">
        <f>'Monthly Data'!A66</f>
        <v>44317</v>
      </c>
      <c r="B66">
        <f>'Monthly Data'!B66</f>
        <v>2021</v>
      </c>
      <c r="C66">
        <f>'Monthly Data'!C66</f>
        <v>5</v>
      </c>
      <c r="D66" s="3">
        <f ca="1">'Monthly Data'!AD66</f>
        <v>8442233.3229606692</v>
      </c>
      <c r="E66" s="3">
        <f>'Monthly Data'!DL66</f>
        <v>803585</v>
      </c>
      <c r="F66" s="3">
        <f>'Monthly Data'!DR66</f>
        <v>20</v>
      </c>
      <c r="H66" s="3">
        <f t="shared" ref="H66:H97" si="11">$Q$8</f>
        <v>-3751454.0580042</v>
      </c>
      <c r="I66" s="3">
        <f t="shared" ref="I66:I97" si="12">E66*$Q$9</f>
        <v>7822647.8447661893</v>
      </c>
      <c r="J66" s="3">
        <f t="shared" ref="J66:J97" si="13">F66*$Q$10</f>
        <v>3464593.4713132801</v>
      </c>
      <c r="K66" s="47">
        <f t="shared" si="9"/>
        <v>7535787.2580752689</v>
      </c>
      <c r="L66" s="47">
        <f>'Monthly Data'!AE66</f>
        <v>2343.9118846153842</v>
      </c>
      <c r="M66" s="47">
        <f t="shared" si="10"/>
        <v>7538131.1699598841</v>
      </c>
    </row>
    <row r="67" spans="1:13">
      <c r="A67" s="2">
        <f>'Monthly Data'!A67</f>
        <v>44348</v>
      </c>
      <c r="B67">
        <f>'Monthly Data'!B67</f>
        <v>2021</v>
      </c>
      <c r="C67">
        <f>'Monthly Data'!C67</f>
        <v>6</v>
      </c>
      <c r="D67" s="3">
        <f ca="1">'Monthly Data'!AD67</f>
        <v>8305622.2013037819</v>
      </c>
      <c r="E67" s="3">
        <f>'Monthly Data'!DL67</f>
        <v>803585</v>
      </c>
      <c r="F67" s="3">
        <f>'Monthly Data'!DR67</f>
        <v>22</v>
      </c>
      <c r="H67" s="3">
        <f t="shared" si="11"/>
        <v>-3751454.0580042</v>
      </c>
      <c r="I67" s="3">
        <f t="shared" si="12"/>
        <v>7822647.8447661893</v>
      </c>
      <c r="J67" s="3">
        <f t="shared" si="13"/>
        <v>3811052.8184446082</v>
      </c>
      <c r="K67" s="47">
        <f t="shared" si="9"/>
        <v>7882246.6052065976</v>
      </c>
      <c r="L67" s="47">
        <f>'Monthly Data'!AE67</f>
        <v>2407.0972948717945</v>
      </c>
      <c r="M67" s="47">
        <f t="shared" si="10"/>
        <v>7884653.7025014693</v>
      </c>
    </row>
    <row r="68" spans="1:13">
      <c r="A68" s="2">
        <f>'Monthly Data'!A68</f>
        <v>44378</v>
      </c>
      <c r="B68">
        <f>'Monthly Data'!B68</f>
        <v>2021</v>
      </c>
      <c r="C68">
        <f>'Monthly Data'!C68</f>
        <v>7</v>
      </c>
      <c r="D68" s="3">
        <f ca="1">'Monthly Data'!AD68</f>
        <v>7781154.4904996082</v>
      </c>
      <c r="E68" s="3">
        <f>'Monthly Data'!DL68</f>
        <v>821006</v>
      </c>
      <c r="F68" s="3">
        <f>'Monthly Data'!DR68</f>
        <v>21</v>
      </c>
      <c r="H68" s="3">
        <f t="shared" si="11"/>
        <v>-3751454.0580042</v>
      </c>
      <c r="I68" s="3">
        <f t="shared" si="12"/>
        <v>7992235.8138095038</v>
      </c>
      <c r="J68" s="3">
        <f t="shared" si="13"/>
        <v>3637823.1448789444</v>
      </c>
      <c r="K68" s="47">
        <f t="shared" si="9"/>
        <v>7878604.9006842487</v>
      </c>
      <c r="L68" s="47">
        <f>'Monthly Data'!AE68</f>
        <v>2470.2827051282047</v>
      </c>
      <c r="M68" s="47">
        <f t="shared" si="10"/>
        <v>7881075.1833893768</v>
      </c>
    </row>
    <row r="69" spans="1:13">
      <c r="A69" s="2">
        <f>'Monthly Data'!A69</f>
        <v>44409</v>
      </c>
      <c r="B69">
        <f>'Monthly Data'!B69</f>
        <v>2021</v>
      </c>
      <c r="C69">
        <f>'Monthly Data'!C69</f>
        <v>8</v>
      </c>
      <c r="D69" s="3">
        <f ca="1">'Monthly Data'!AD69</f>
        <v>8155849.2618582631</v>
      </c>
      <c r="E69" s="3">
        <f>'Monthly Data'!DL69</f>
        <v>821006</v>
      </c>
      <c r="F69" s="3">
        <f>'Monthly Data'!DR69</f>
        <v>20</v>
      </c>
      <c r="H69" s="3">
        <f t="shared" si="11"/>
        <v>-3751454.0580042</v>
      </c>
      <c r="I69" s="3">
        <f t="shared" si="12"/>
        <v>7992235.8138095038</v>
      </c>
      <c r="J69" s="3">
        <f t="shared" si="13"/>
        <v>3464593.4713132801</v>
      </c>
      <c r="K69" s="47">
        <f t="shared" si="9"/>
        <v>7705375.2271185843</v>
      </c>
      <c r="L69" s="47">
        <f>'Monthly Data'!AE69</f>
        <v>2533.468115384615</v>
      </c>
      <c r="M69" s="47">
        <f t="shared" si="10"/>
        <v>7707908.695233969</v>
      </c>
    </row>
    <row r="70" spans="1:13">
      <c r="A70" s="2">
        <f>'Monthly Data'!A70</f>
        <v>44440</v>
      </c>
      <c r="B70">
        <f>'Monthly Data'!B70</f>
        <v>2021</v>
      </c>
      <c r="C70">
        <f>'Monthly Data'!C70</f>
        <v>9</v>
      </c>
      <c r="D70" s="3">
        <f ca="1">'Monthly Data'!AD70</f>
        <v>8283106.6754321996</v>
      </c>
      <c r="E70" s="3">
        <f>'Monthly Data'!DL70</f>
        <v>821006</v>
      </c>
      <c r="F70" s="3">
        <f>'Monthly Data'!DR70</f>
        <v>20</v>
      </c>
      <c r="H70" s="3">
        <f t="shared" si="11"/>
        <v>-3751454.0580042</v>
      </c>
      <c r="I70" s="3">
        <f t="shared" si="12"/>
        <v>7992235.8138095038</v>
      </c>
      <c r="J70" s="3">
        <f t="shared" si="13"/>
        <v>3464593.4713132801</v>
      </c>
      <c r="K70" s="47">
        <f t="shared" si="9"/>
        <v>7705375.2271185843</v>
      </c>
      <c r="L70" s="47">
        <f>'Monthly Data'!AE70</f>
        <v>2596.6535256410252</v>
      </c>
      <c r="M70" s="47">
        <f t="shared" si="10"/>
        <v>7707971.8806442255</v>
      </c>
    </row>
    <row r="71" spans="1:13">
      <c r="A71" s="2">
        <f>'Monthly Data'!A71</f>
        <v>44470</v>
      </c>
      <c r="B71">
        <f>'Monthly Data'!B71</f>
        <v>2021</v>
      </c>
      <c r="C71">
        <f>'Monthly Data'!C71</f>
        <v>10</v>
      </c>
      <c r="D71" s="3">
        <f ca="1">'Monthly Data'!AD71</f>
        <v>8050729.6063805036</v>
      </c>
      <c r="E71" s="3">
        <f>'Monthly Data'!DL71</f>
        <v>840399</v>
      </c>
      <c r="F71" s="3">
        <f>'Monthly Data'!DR71</f>
        <v>20</v>
      </c>
      <c r="H71" s="3">
        <f t="shared" si="11"/>
        <v>-3751454.0580042</v>
      </c>
      <c r="I71" s="3">
        <f t="shared" si="12"/>
        <v>8181020.5841244683</v>
      </c>
      <c r="J71" s="3">
        <f t="shared" si="13"/>
        <v>3464593.4713132801</v>
      </c>
      <c r="K71" s="47">
        <f t="shared" si="9"/>
        <v>7894159.9974335479</v>
      </c>
      <c r="L71" s="47">
        <f>'Monthly Data'!AE71</f>
        <v>2659.8389358974355</v>
      </c>
      <c r="M71" s="47">
        <f t="shared" si="10"/>
        <v>7896819.8363694455</v>
      </c>
    </row>
    <row r="72" spans="1:13">
      <c r="A72" s="2">
        <f>'Monthly Data'!A72</f>
        <v>44501</v>
      </c>
      <c r="B72">
        <f>'Monthly Data'!B72</f>
        <v>2021</v>
      </c>
      <c r="C72">
        <f>'Monthly Data'!C72</f>
        <v>11</v>
      </c>
      <c r="D72" s="3">
        <f ca="1">'Monthly Data'!AD72</f>
        <v>8807569.4662500918</v>
      </c>
      <c r="E72" s="3">
        <f>'Monthly Data'!DL72</f>
        <v>840399</v>
      </c>
      <c r="F72" s="3">
        <f>'Monthly Data'!DR72</f>
        <v>22</v>
      </c>
      <c r="H72" s="3">
        <f t="shared" si="11"/>
        <v>-3751454.0580042</v>
      </c>
      <c r="I72" s="3">
        <f t="shared" si="12"/>
        <v>8181020.5841244683</v>
      </c>
      <c r="J72" s="3">
        <f t="shared" si="13"/>
        <v>3811052.8184446082</v>
      </c>
      <c r="K72" s="47">
        <f t="shared" si="9"/>
        <v>8240619.3445648756</v>
      </c>
      <c r="L72" s="47">
        <f>'Monthly Data'!AE72</f>
        <v>2723.0243461538457</v>
      </c>
      <c r="M72" s="47">
        <f t="shared" si="10"/>
        <v>8243342.3689110298</v>
      </c>
    </row>
    <row r="73" spans="1:13">
      <c r="A73" s="2">
        <f>'Monthly Data'!A73</f>
        <v>44531</v>
      </c>
      <c r="B73">
        <f>'Monthly Data'!B73</f>
        <v>2021</v>
      </c>
      <c r="C73">
        <f>'Monthly Data'!C73</f>
        <v>12</v>
      </c>
      <c r="D73" s="3">
        <f ca="1">'Monthly Data'!AD73</f>
        <v>8319053.826486066</v>
      </c>
      <c r="E73" s="3">
        <f>'Monthly Data'!DL73</f>
        <v>840399</v>
      </c>
      <c r="F73" s="3">
        <f>'Monthly Data'!DR73</f>
        <v>21</v>
      </c>
      <c r="H73" s="3">
        <f t="shared" si="11"/>
        <v>-3751454.0580042</v>
      </c>
      <c r="I73" s="3">
        <f t="shared" si="12"/>
        <v>8181020.5841244683</v>
      </c>
      <c r="J73" s="3">
        <f t="shared" si="13"/>
        <v>3637823.1448789444</v>
      </c>
      <c r="K73" s="47">
        <f t="shared" si="9"/>
        <v>8067389.6709992122</v>
      </c>
      <c r="L73" s="47">
        <f>'Monthly Data'!AE73</f>
        <v>2786.209756410256</v>
      </c>
      <c r="M73" s="47">
        <f t="shared" si="10"/>
        <v>8070175.8807556229</v>
      </c>
    </row>
    <row r="74" spans="1:13">
      <c r="A74" s="2">
        <f>'Monthly Data'!A74</f>
        <v>44562</v>
      </c>
      <c r="B74">
        <f>'Monthly Data'!B74</f>
        <v>2022</v>
      </c>
      <c r="C74">
        <f>'Monthly Data'!C74</f>
        <v>1</v>
      </c>
      <c r="D74" s="3">
        <f ca="1">'Monthly Data'!AD74</f>
        <v>8222653.7198879085</v>
      </c>
      <c r="E74" s="3">
        <f>'Monthly Data'!DL74</f>
        <v>847546</v>
      </c>
      <c r="F74" s="3">
        <f>'Monthly Data'!DR74</f>
        <v>20</v>
      </c>
      <c r="H74" s="3">
        <f t="shared" si="11"/>
        <v>-3751454.0580042</v>
      </c>
      <c r="I74" s="3">
        <f t="shared" si="12"/>
        <v>8250594.3867048342</v>
      </c>
      <c r="J74" s="3">
        <f t="shared" si="13"/>
        <v>3464593.4713132801</v>
      </c>
      <c r="K74" s="47">
        <f t="shared" ref="K74:K95" si="14">SUM(H74:J74)</f>
        <v>7963733.8000139138</v>
      </c>
      <c r="L74" s="47">
        <f>'Monthly Data'!AE74</f>
        <v>3000.4327179487182</v>
      </c>
      <c r="M74" s="47">
        <f t="shared" si="10"/>
        <v>7966734.2327318629</v>
      </c>
    </row>
    <row r="75" spans="1:13">
      <c r="A75" s="2">
        <f>'Monthly Data'!A75</f>
        <v>44593</v>
      </c>
      <c r="B75">
        <f>'Monthly Data'!B75</f>
        <v>2022</v>
      </c>
      <c r="C75">
        <f>'Monthly Data'!C75</f>
        <v>2</v>
      </c>
      <c r="D75" s="3">
        <f ca="1">'Monthly Data'!AD75</f>
        <v>8575796.2784495633</v>
      </c>
      <c r="E75" s="3">
        <f>'Monthly Data'!DL75</f>
        <v>847546</v>
      </c>
      <c r="F75" s="3">
        <f>'Monthly Data'!DR75</f>
        <v>19</v>
      </c>
      <c r="H75" s="3">
        <f t="shared" si="11"/>
        <v>-3751454.0580042</v>
      </c>
      <c r="I75" s="3">
        <f t="shared" si="12"/>
        <v>8250594.3867048342</v>
      </c>
      <c r="J75" s="3">
        <f t="shared" si="13"/>
        <v>3291363.7977476162</v>
      </c>
      <c r="K75" s="47">
        <f t="shared" si="14"/>
        <v>7790504.1264482494</v>
      </c>
      <c r="L75" s="47">
        <f>'Monthly Data'!AE75</f>
        <v>3151.4702692307692</v>
      </c>
      <c r="M75" s="47">
        <f t="shared" si="10"/>
        <v>7793655.5967174806</v>
      </c>
    </row>
    <row r="76" spans="1:13">
      <c r="A76" s="2">
        <f>'Monthly Data'!A76</f>
        <v>44621</v>
      </c>
      <c r="B76">
        <f>'Monthly Data'!B76</f>
        <v>2022</v>
      </c>
      <c r="C76">
        <f>'Monthly Data'!C76</f>
        <v>3</v>
      </c>
      <c r="D76" s="3">
        <f ca="1">'Monthly Data'!AD76</f>
        <v>9725758.3248433731</v>
      </c>
      <c r="E76" s="3">
        <f>'Monthly Data'!DL76</f>
        <v>847546</v>
      </c>
      <c r="F76" s="3">
        <f>'Monthly Data'!DR76</f>
        <v>23</v>
      </c>
      <c r="H76" s="3">
        <f t="shared" si="11"/>
        <v>-3751454.0580042</v>
      </c>
      <c r="I76" s="3">
        <f t="shared" si="12"/>
        <v>8250594.3867048342</v>
      </c>
      <c r="J76" s="3">
        <f t="shared" si="13"/>
        <v>3984282.4920102721</v>
      </c>
      <c r="K76" s="47">
        <f t="shared" si="14"/>
        <v>8483422.8207109049</v>
      </c>
      <c r="L76" s="47">
        <f>'Monthly Data'!AE76</f>
        <v>3302.5078205128207</v>
      </c>
      <c r="M76" s="47">
        <f t="shared" si="10"/>
        <v>8486725.328531418</v>
      </c>
    </row>
    <row r="77" spans="1:13">
      <c r="A77" s="2">
        <f>'Monthly Data'!A77</f>
        <v>44652</v>
      </c>
      <c r="B77">
        <f>'Monthly Data'!B77</f>
        <v>2022</v>
      </c>
      <c r="C77">
        <f>'Monthly Data'!C77</f>
        <v>4</v>
      </c>
      <c r="D77" s="3">
        <f ca="1">'Monthly Data'!AD77</f>
        <v>9164713.8534385804</v>
      </c>
      <c r="E77" s="3">
        <f>'Monthly Data'!DL77</f>
        <v>854755</v>
      </c>
      <c r="F77" s="3">
        <f>'Monthly Data'!DR77</f>
        <v>20</v>
      </c>
      <c r="H77" s="3">
        <f t="shared" si="11"/>
        <v>-3751454.0580042</v>
      </c>
      <c r="I77" s="3">
        <f t="shared" si="12"/>
        <v>8320771.7398322811</v>
      </c>
      <c r="J77" s="3">
        <f t="shared" si="13"/>
        <v>3464593.4713132801</v>
      </c>
      <c r="K77" s="47">
        <f t="shared" si="14"/>
        <v>8033911.1531413617</v>
      </c>
      <c r="L77" s="47">
        <f>'Monthly Data'!AE77</f>
        <v>3453.5453717948722</v>
      </c>
      <c r="M77" s="47">
        <f t="shared" si="10"/>
        <v>8037364.6985131567</v>
      </c>
    </row>
    <row r="78" spans="1:13">
      <c r="A78" s="2">
        <f>'Monthly Data'!A78</f>
        <v>44682</v>
      </c>
      <c r="B78">
        <f>'Monthly Data'!B78</f>
        <v>2022</v>
      </c>
      <c r="C78">
        <f>'Monthly Data'!C78</f>
        <v>5</v>
      </c>
      <c r="D78" s="3">
        <f ca="1">'Monthly Data'!AD78</f>
        <v>9417736.0641271975</v>
      </c>
      <c r="E78" s="3">
        <f>'Monthly Data'!DL78</f>
        <v>854755</v>
      </c>
      <c r="F78" s="3">
        <f>'Monthly Data'!DR78</f>
        <v>21</v>
      </c>
      <c r="H78" s="3">
        <f t="shared" si="11"/>
        <v>-3751454.0580042</v>
      </c>
      <c r="I78" s="3">
        <f t="shared" si="12"/>
        <v>8320771.7398322811</v>
      </c>
      <c r="J78" s="3">
        <f t="shared" si="13"/>
        <v>3637823.1448789444</v>
      </c>
      <c r="K78" s="47">
        <f t="shared" si="14"/>
        <v>8207140.826707026</v>
      </c>
      <c r="L78" s="47">
        <f>'Monthly Data'!AE78</f>
        <v>3604.5829230769232</v>
      </c>
      <c r="M78" s="47">
        <f t="shared" si="10"/>
        <v>8210745.409630103</v>
      </c>
    </row>
    <row r="79" spans="1:13">
      <c r="A79" s="2">
        <f>'Monthly Data'!A79</f>
        <v>44713</v>
      </c>
      <c r="B79">
        <f>'Monthly Data'!B79</f>
        <v>2022</v>
      </c>
      <c r="C79">
        <f>'Monthly Data'!C79</f>
        <v>6</v>
      </c>
      <c r="D79" s="3">
        <f ca="1">'Monthly Data'!AD79</f>
        <v>9541247.7460642233</v>
      </c>
      <c r="E79" s="3">
        <f>'Monthly Data'!DL79</f>
        <v>854755</v>
      </c>
      <c r="F79" s="3">
        <f>'Monthly Data'!DR79</f>
        <v>22</v>
      </c>
      <c r="H79" s="3">
        <f t="shared" si="11"/>
        <v>-3751454.0580042</v>
      </c>
      <c r="I79" s="3">
        <f t="shared" si="12"/>
        <v>8320771.7398322811</v>
      </c>
      <c r="J79" s="3">
        <f t="shared" si="13"/>
        <v>3811052.8184446082</v>
      </c>
      <c r="K79" s="47">
        <f t="shared" si="14"/>
        <v>8380370.5002726894</v>
      </c>
      <c r="L79" s="47">
        <f>'Monthly Data'!AE79</f>
        <v>3755.6204743589747</v>
      </c>
      <c r="M79" s="47">
        <f t="shared" si="10"/>
        <v>8384126.1207470484</v>
      </c>
    </row>
    <row r="80" spans="1:13">
      <c r="A80" s="2">
        <f>'Monthly Data'!A80</f>
        <v>44743</v>
      </c>
      <c r="B80">
        <f>'Monthly Data'!B80</f>
        <v>2022</v>
      </c>
      <c r="C80">
        <f>'Monthly Data'!C80</f>
        <v>7</v>
      </c>
      <c r="D80" s="3">
        <f ca="1">'Monthly Data'!AD80</f>
        <v>9222913.4543809798</v>
      </c>
      <c r="E80" s="3">
        <f>'Monthly Data'!DL80</f>
        <v>856819</v>
      </c>
      <c r="F80" s="3">
        <f>'Monthly Data'!DR80</f>
        <v>20</v>
      </c>
      <c r="H80" s="3">
        <f t="shared" si="11"/>
        <v>-3751454.0580042</v>
      </c>
      <c r="I80" s="3">
        <f t="shared" si="12"/>
        <v>8340864.1322383089</v>
      </c>
      <c r="J80" s="3">
        <f t="shared" si="13"/>
        <v>3464593.4713132801</v>
      </c>
      <c r="K80" s="47">
        <f t="shared" si="14"/>
        <v>8054003.5455473894</v>
      </c>
      <c r="L80" s="47">
        <f>'Monthly Data'!AE80</f>
        <v>3906.6580256410261</v>
      </c>
      <c r="M80" s="47">
        <f t="shared" si="10"/>
        <v>8057910.2035730304</v>
      </c>
    </row>
    <row r="81" spans="1:13">
      <c r="A81" s="2">
        <f>'Monthly Data'!A81</f>
        <v>44774</v>
      </c>
      <c r="B81">
        <f>'Monthly Data'!B81</f>
        <v>2022</v>
      </c>
      <c r="C81">
        <f>'Monthly Data'!C81</f>
        <v>8</v>
      </c>
      <c r="D81" s="3">
        <f ca="1">'Monthly Data'!AD81</f>
        <v>9449912.4574642107</v>
      </c>
      <c r="E81" s="3">
        <f>'Monthly Data'!DL81</f>
        <v>856819</v>
      </c>
      <c r="F81" s="3">
        <f>'Monthly Data'!DR81</f>
        <v>22</v>
      </c>
      <c r="H81" s="3">
        <f t="shared" si="11"/>
        <v>-3751454.0580042</v>
      </c>
      <c r="I81" s="3">
        <f t="shared" si="12"/>
        <v>8340864.1322383089</v>
      </c>
      <c r="J81" s="3">
        <f t="shared" si="13"/>
        <v>3811052.8184446082</v>
      </c>
      <c r="K81" s="47">
        <f t="shared" si="14"/>
        <v>8400462.8926787172</v>
      </c>
      <c r="L81" s="47">
        <f>'Monthly Data'!AE81</f>
        <v>4057.6955769230772</v>
      </c>
      <c r="M81" s="47">
        <f t="shared" si="10"/>
        <v>8404520.5882556401</v>
      </c>
    </row>
    <row r="82" spans="1:13">
      <c r="A82" s="2">
        <f>'Monthly Data'!A82</f>
        <v>44805</v>
      </c>
      <c r="B82">
        <f>'Monthly Data'!B82</f>
        <v>2022</v>
      </c>
      <c r="C82">
        <f>'Monthly Data'!C82</f>
        <v>9</v>
      </c>
      <c r="D82" s="3">
        <f ca="1">'Monthly Data'!AD82</f>
        <v>8795455.3689125944</v>
      </c>
      <c r="E82" s="3">
        <f>'Monthly Data'!DL82</f>
        <v>856819</v>
      </c>
      <c r="F82" s="3">
        <f>'Monthly Data'!DR82</f>
        <v>20</v>
      </c>
      <c r="H82" s="3">
        <f t="shared" si="11"/>
        <v>-3751454.0580042</v>
      </c>
      <c r="I82" s="3">
        <f t="shared" si="12"/>
        <v>8340864.1322383089</v>
      </c>
      <c r="J82" s="3">
        <f t="shared" si="13"/>
        <v>3464593.4713132801</v>
      </c>
      <c r="K82" s="47">
        <f t="shared" si="14"/>
        <v>8054003.5455473894</v>
      </c>
      <c r="L82" s="47">
        <f>'Monthly Data'!AE82</f>
        <v>4208.7331282051291</v>
      </c>
      <c r="M82" s="47">
        <f t="shared" si="10"/>
        <v>8058212.2786755944</v>
      </c>
    </row>
    <row r="83" spans="1:13">
      <c r="A83" s="2">
        <f>'Monthly Data'!A83</f>
        <v>44835</v>
      </c>
      <c r="B83">
        <f>'Monthly Data'!B83</f>
        <v>2022</v>
      </c>
      <c r="C83">
        <f>'Monthly Data'!C83</f>
        <v>10</v>
      </c>
      <c r="D83" s="3">
        <f ca="1">'Monthly Data'!AD83</f>
        <v>8660567.4114497211</v>
      </c>
      <c r="E83" s="3">
        <f>'Monthly Data'!DL83</f>
        <v>856887</v>
      </c>
      <c r="F83" s="3">
        <f>'Monthly Data'!DR83</f>
        <v>20</v>
      </c>
      <c r="H83" s="3">
        <f t="shared" si="11"/>
        <v>-3751454.0580042</v>
      </c>
      <c r="I83" s="3">
        <f t="shared" si="12"/>
        <v>8341526.0909028482</v>
      </c>
      <c r="J83" s="3">
        <f t="shared" si="13"/>
        <v>3464593.4713132801</v>
      </c>
      <c r="K83" s="47">
        <f t="shared" si="14"/>
        <v>8054665.5042119278</v>
      </c>
      <c r="L83" s="47">
        <f>'Monthly Data'!AE83</f>
        <v>4359.7706794871801</v>
      </c>
      <c r="M83" s="47">
        <f t="shared" si="10"/>
        <v>8059025.2748914147</v>
      </c>
    </row>
    <row r="84" spans="1:13">
      <c r="A84" s="2">
        <f>'Monthly Data'!A84</f>
        <v>44866</v>
      </c>
      <c r="B84">
        <f>'Monthly Data'!B84</f>
        <v>2022</v>
      </c>
      <c r="C84">
        <f>'Monthly Data'!C84</f>
        <v>11</v>
      </c>
      <c r="D84" s="3">
        <f ca="1">'Monthly Data'!AD84</f>
        <v>8725187.6976522412</v>
      </c>
      <c r="E84" s="3">
        <f>'Monthly Data'!DL84</f>
        <v>856887</v>
      </c>
      <c r="F84" s="3">
        <f>'Monthly Data'!DR84</f>
        <v>22</v>
      </c>
      <c r="H84" s="3">
        <f t="shared" si="11"/>
        <v>-3751454.0580042</v>
      </c>
      <c r="I84" s="3">
        <f t="shared" si="12"/>
        <v>8341526.0909028482</v>
      </c>
      <c r="J84" s="3">
        <f t="shared" si="13"/>
        <v>3811052.8184446082</v>
      </c>
      <c r="K84" s="47">
        <f t="shared" si="14"/>
        <v>8401124.8513432555</v>
      </c>
      <c r="L84" s="47">
        <f>'Monthly Data'!AE84</f>
        <v>4510.8082307692312</v>
      </c>
      <c r="M84" s="47">
        <f t="shared" si="10"/>
        <v>8405635.6595740244</v>
      </c>
    </row>
    <row r="85" spans="1:13">
      <c r="A85" s="2">
        <f>'Monthly Data'!A85</f>
        <v>44896</v>
      </c>
      <c r="B85">
        <f>'Monthly Data'!B85</f>
        <v>2022</v>
      </c>
      <c r="C85">
        <f>'Monthly Data'!C85</f>
        <v>12</v>
      </c>
      <c r="D85" s="3">
        <f ca="1">'Monthly Data'!AD85</f>
        <v>8689551.6588904355</v>
      </c>
      <c r="E85" s="3">
        <f>'Monthly Data'!DL85</f>
        <v>856887</v>
      </c>
      <c r="F85" s="3">
        <f>'Monthly Data'!DR85</f>
        <v>20</v>
      </c>
      <c r="H85" s="3">
        <f t="shared" si="11"/>
        <v>-3751454.0580042</v>
      </c>
      <c r="I85" s="3">
        <f t="shared" si="12"/>
        <v>8341526.0909028482</v>
      </c>
      <c r="J85" s="3">
        <f t="shared" si="13"/>
        <v>3464593.4713132801</v>
      </c>
      <c r="K85" s="47">
        <f t="shared" si="14"/>
        <v>8054665.5042119278</v>
      </c>
      <c r="L85" s="47">
        <f>'Monthly Data'!AE85</f>
        <v>4661.8457820512831</v>
      </c>
      <c r="M85" s="47">
        <f t="shared" si="10"/>
        <v>8059327.3499939786</v>
      </c>
    </row>
    <row r="86" spans="1:13">
      <c r="A86" s="2">
        <f>'Monthly Data'!A86</f>
        <v>44927</v>
      </c>
      <c r="B86">
        <f>'Monthly Data'!B86</f>
        <v>2023</v>
      </c>
      <c r="C86">
        <f>'Monthly Data'!C86</f>
        <v>1</v>
      </c>
      <c r="D86" s="3">
        <f ca="1">'Monthly Data'!AD86</f>
        <v>9730572.4603564199</v>
      </c>
      <c r="E86" s="3">
        <f>'Monthly Data'!DL86</f>
        <v>867096</v>
      </c>
      <c r="F86" s="3">
        <f>'Monthly Data'!DR86</f>
        <v>21</v>
      </c>
      <c r="H86" s="3">
        <f t="shared" si="11"/>
        <v>-3751454.0580042</v>
      </c>
      <c r="I86" s="3">
        <f t="shared" si="12"/>
        <v>8440907.5027599856</v>
      </c>
      <c r="J86" s="3">
        <f t="shared" si="13"/>
        <v>3637823.1448789444</v>
      </c>
      <c r="K86" s="47">
        <f t="shared" si="14"/>
        <v>8327276.5896347295</v>
      </c>
      <c r="L86" s="47">
        <f>'Monthly Data'!AE86</f>
        <v>5025.9360384615384</v>
      </c>
      <c r="M86" s="47">
        <f t="shared" si="10"/>
        <v>8332302.5256731911</v>
      </c>
    </row>
    <row r="87" spans="1:13">
      <c r="A87" s="2">
        <f>'Monthly Data'!A87</f>
        <v>44958</v>
      </c>
      <c r="B87">
        <f>'Monthly Data'!B87</f>
        <v>2023</v>
      </c>
      <c r="C87">
        <f>'Monthly Data'!C87</f>
        <v>2</v>
      </c>
      <c r="D87" s="3">
        <f ca="1">'Monthly Data'!AD87</f>
        <v>8937520.6493412629</v>
      </c>
      <c r="E87" s="3">
        <f>'Monthly Data'!DL87</f>
        <v>867096</v>
      </c>
      <c r="F87" s="3">
        <f>'Monthly Data'!DR87</f>
        <v>19</v>
      </c>
      <c r="H87" s="3">
        <f t="shared" si="11"/>
        <v>-3751454.0580042</v>
      </c>
      <c r="I87" s="3">
        <f t="shared" si="12"/>
        <v>8440907.5027599856</v>
      </c>
      <c r="J87" s="3">
        <f t="shared" si="13"/>
        <v>3291363.7977476162</v>
      </c>
      <c r="K87" s="47">
        <f t="shared" si="14"/>
        <v>7980817.2425034009</v>
      </c>
      <c r="L87" s="47">
        <f>'Monthly Data'!AE87</f>
        <v>5238.9887435897435</v>
      </c>
      <c r="M87" s="47">
        <f t="shared" si="10"/>
        <v>7986056.2312469911</v>
      </c>
    </row>
    <row r="88" spans="1:13">
      <c r="A88" s="2">
        <f>'Monthly Data'!A88</f>
        <v>44986</v>
      </c>
      <c r="B88">
        <f>'Monthly Data'!B88</f>
        <v>2023</v>
      </c>
      <c r="C88">
        <f>'Monthly Data'!C88</f>
        <v>3</v>
      </c>
      <c r="D88" s="3">
        <f ca="1">'Monthly Data'!AD88</f>
        <v>9847564.3202189635</v>
      </c>
      <c r="E88" s="3">
        <f>'Monthly Data'!DL88</f>
        <v>867096</v>
      </c>
      <c r="F88" s="3">
        <f>'Monthly Data'!DR88</f>
        <v>23</v>
      </c>
      <c r="H88" s="3">
        <f t="shared" si="11"/>
        <v>-3751454.0580042</v>
      </c>
      <c r="I88" s="3">
        <f t="shared" si="12"/>
        <v>8440907.5027599856</v>
      </c>
      <c r="J88" s="3">
        <f t="shared" si="13"/>
        <v>3984282.4920102721</v>
      </c>
      <c r="K88" s="47">
        <f t="shared" si="14"/>
        <v>8673735.9367660582</v>
      </c>
      <c r="L88" s="47">
        <f>'Monthly Data'!AE88</f>
        <v>5452.0414487179487</v>
      </c>
      <c r="M88" s="47">
        <f t="shared" si="10"/>
        <v>8679187.9782147761</v>
      </c>
    </row>
    <row r="89" spans="1:13">
      <c r="A89" s="2">
        <f>'Monthly Data'!A89</f>
        <v>45017</v>
      </c>
      <c r="B89">
        <f>'Monthly Data'!B89</f>
        <v>2023</v>
      </c>
      <c r="C89">
        <f>'Monthly Data'!C89</f>
        <v>4</v>
      </c>
      <c r="D89" s="3">
        <f ca="1">'Monthly Data'!AD89</f>
        <v>8825224.5497761406</v>
      </c>
      <c r="E89" s="3">
        <f>'Monthly Data'!DL89</f>
        <v>873385</v>
      </c>
      <c r="F89" s="3">
        <f>'Monthly Data'!DR89</f>
        <v>19</v>
      </c>
      <c r="H89" s="3">
        <f t="shared" si="11"/>
        <v>-3751454.0580042</v>
      </c>
      <c r="I89" s="3">
        <f t="shared" si="12"/>
        <v>8502128.9445436615</v>
      </c>
      <c r="J89" s="3">
        <f t="shared" si="13"/>
        <v>3291363.7977476162</v>
      </c>
      <c r="K89" s="47">
        <f t="shared" si="14"/>
        <v>8042038.6842870768</v>
      </c>
      <c r="L89" s="47">
        <f>'Monthly Data'!AE89</f>
        <v>5665.0941538461539</v>
      </c>
      <c r="M89" s="47">
        <f t="shared" si="10"/>
        <v>8047703.7784409234</v>
      </c>
    </row>
    <row r="90" spans="1:13">
      <c r="A90" s="2">
        <f>'Monthly Data'!A90</f>
        <v>45047</v>
      </c>
      <c r="B90">
        <f>'Monthly Data'!B90</f>
        <v>2023</v>
      </c>
      <c r="C90">
        <f>'Monthly Data'!C90</f>
        <v>5</v>
      </c>
      <c r="D90" s="3">
        <f ca="1">'Monthly Data'!AD90</f>
        <v>9305620.1142864563</v>
      </c>
      <c r="E90" s="3">
        <f>'Monthly Data'!DL90</f>
        <v>873385</v>
      </c>
      <c r="F90" s="3">
        <f>'Monthly Data'!DR90</f>
        <v>22</v>
      </c>
      <c r="H90" s="3">
        <f t="shared" si="11"/>
        <v>-3751454.0580042</v>
      </c>
      <c r="I90" s="3">
        <f t="shared" si="12"/>
        <v>8502128.9445436615</v>
      </c>
      <c r="J90" s="3">
        <f t="shared" si="13"/>
        <v>3811052.8184446082</v>
      </c>
      <c r="K90" s="47">
        <f t="shared" si="14"/>
        <v>8561727.7049840689</v>
      </c>
      <c r="L90" s="47">
        <f>'Monthly Data'!AE90</f>
        <v>5878.1468589743599</v>
      </c>
      <c r="M90" s="47">
        <f t="shared" si="10"/>
        <v>8567605.8518430442</v>
      </c>
    </row>
    <row r="91" spans="1:13">
      <c r="A91" s="2">
        <f>'Monthly Data'!A91</f>
        <v>45078</v>
      </c>
      <c r="B91">
        <f>'Monthly Data'!B91</f>
        <v>2023</v>
      </c>
      <c r="C91">
        <f>'Monthly Data'!C91</f>
        <v>6</v>
      </c>
      <c r="D91" s="3">
        <f ca="1">'Monthly Data'!AD91</f>
        <v>9581822.6902511287</v>
      </c>
      <c r="E91" s="3">
        <f>'Monthly Data'!DL91</f>
        <v>873385</v>
      </c>
      <c r="F91" s="3">
        <f>'Monthly Data'!DR91</f>
        <v>22</v>
      </c>
      <c r="H91" s="3">
        <f t="shared" si="11"/>
        <v>-3751454.0580042</v>
      </c>
      <c r="I91" s="3">
        <f t="shared" si="12"/>
        <v>8502128.9445436615</v>
      </c>
      <c r="J91" s="3">
        <f t="shared" si="13"/>
        <v>3811052.8184446082</v>
      </c>
      <c r="K91" s="47">
        <f t="shared" si="14"/>
        <v>8561727.7049840689</v>
      </c>
      <c r="L91" s="47">
        <f>'Monthly Data'!AE91</f>
        <v>6091.1995641025651</v>
      </c>
      <c r="M91" s="47">
        <f t="shared" si="10"/>
        <v>8567818.9045481719</v>
      </c>
    </row>
    <row r="92" spans="1:13">
      <c r="A92" s="2">
        <f>'Monthly Data'!A92</f>
        <v>45108</v>
      </c>
      <c r="B92">
        <f>'Monthly Data'!B92</f>
        <v>2023</v>
      </c>
      <c r="C92">
        <f>'Monthly Data'!C92</f>
        <v>7</v>
      </c>
      <c r="D92" s="3">
        <f ca="1">'Monthly Data'!AD92</f>
        <v>9483398.6319452897</v>
      </c>
      <c r="E92" s="3">
        <f>'Monthly Data'!DL92</f>
        <v>876964</v>
      </c>
      <c r="F92" s="3">
        <f>'Monthly Data'!DR92</f>
        <v>20</v>
      </c>
      <c r="H92" s="3">
        <f t="shared" si="11"/>
        <v>-3751454.0580042</v>
      </c>
      <c r="I92" s="3">
        <f t="shared" si="12"/>
        <v>8536969.3866081815</v>
      </c>
      <c r="J92" s="3">
        <f t="shared" si="13"/>
        <v>3464593.4713132801</v>
      </c>
      <c r="K92" s="47">
        <f t="shared" si="14"/>
        <v>8250108.7999172611</v>
      </c>
      <c r="L92" s="47">
        <f>'Monthly Data'!AE92</f>
        <v>6304.2522692307703</v>
      </c>
      <c r="M92" s="47">
        <f t="shared" si="10"/>
        <v>8256413.0521864919</v>
      </c>
    </row>
    <row r="93" spans="1:13">
      <c r="A93" s="2">
        <f>'Monthly Data'!A93</f>
        <v>45139</v>
      </c>
      <c r="B93">
        <f>'Monthly Data'!B93</f>
        <v>2023</v>
      </c>
      <c r="C93">
        <f>'Monthly Data'!C93</f>
        <v>8</v>
      </c>
      <c r="D93" s="3">
        <f ca="1">'Monthly Data'!AD93</f>
        <v>9688849.4627597444</v>
      </c>
      <c r="E93" s="3">
        <f>'Monthly Data'!DL93</f>
        <v>876964</v>
      </c>
      <c r="F93" s="3">
        <f>'Monthly Data'!DR93</f>
        <v>22</v>
      </c>
      <c r="H93" s="3">
        <f t="shared" si="11"/>
        <v>-3751454.0580042</v>
      </c>
      <c r="I93" s="3">
        <f t="shared" si="12"/>
        <v>8536969.3866081815</v>
      </c>
      <c r="J93" s="3">
        <f t="shared" si="13"/>
        <v>3811052.8184446082</v>
      </c>
      <c r="K93" s="47">
        <f t="shared" si="14"/>
        <v>8596568.1470485888</v>
      </c>
      <c r="L93" s="47">
        <f>'Monthly Data'!AE93</f>
        <v>6517.3049743589754</v>
      </c>
      <c r="M93" s="47">
        <f t="shared" si="10"/>
        <v>8603085.4520229474</v>
      </c>
    </row>
    <row r="94" spans="1:13">
      <c r="A94" s="2">
        <f>'Monthly Data'!A94</f>
        <v>45170</v>
      </c>
      <c r="B94">
        <f>'Monthly Data'!B94</f>
        <v>2023</v>
      </c>
      <c r="C94">
        <f>'Monthly Data'!C94</f>
        <v>9</v>
      </c>
      <c r="D94" s="3">
        <f ca="1">'Monthly Data'!AD94</f>
        <v>7708668.5781204598</v>
      </c>
      <c r="E94" s="3">
        <f>'Monthly Data'!DL94</f>
        <v>876964</v>
      </c>
      <c r="F94" s="3">
        <f>'Monthly Data'!DR94</f>
        <v>20</v>
      </c>
      <c r="H94" s="3">
        <f t="shared" si="11"/>
        <v>-3751454.0580042</v>
      </c>
      <c r="I94" s="3">
        <f t="shared" si="12"/>
        <v>8536969.3866081815</v>
      </c>
      <c r="J94" s="3">
        <f t="shared" si="13"/>
        <v>3464593.4713132801</v>
      </c>
      <c r="K94" s="47">
        <f t="shared" si="14"/>
        <v>8250108.7999172611</v>
      </c>
      <c r="L94" s="47">
        <f>'Monthly Data'!AE94</f>
        <v>6730.3576794871806</v>
      </c>
      <c r="M94" s="47">
        <f t="shared" si="10"/>
        <v>8256839.1575967483</v>
      </c>
    </row>
    <row r="95" spans="1:13">
      <c r="A95" s="2">
        <f>'Monthly Data'!A95</f>
        <v>45200</v>
      </c>
      <c r="B95">
        <f>'Monthly Data'!B95</f>
        <v>2023</v>
      </c>
      <c r="C95">
        <f>'Monthly Data'!C95</f>
        <v>10</v>
      </c>
      <c r="D95" s="3">
        <f ca="1">'Monthly Data'!AD95</f>
        <v>8898189.889863601</v>
      </c>
      <c r="E95" s="3">
        <f>'Monthly Data'!DL95</f>
        <v>880255</v>
      </c>
      <c r="F95" s="3">
        <f>'Monthly Data'!DR95</f>
        <v>21</v>
      </c>
      <c r="H95" s="3">
        <f t="shared" si="11"/>
        <v>-3751454.0580042</v>
      </c>
      <c r="I95" s="3">
        <f t="shared" si="12"/>
        <v>8569006.2390346527</v>
      </c>
      <c r="J95" s="3">
        <f t="shared" si="13"/>
        <v>3637823.1448789444</v>
      </c>
      <c r="K95" s="47">
        <f t="shared" si="14"/>
        <v>8455375.3259093966</v>
      </c>
      <c r="L95" s="47">
        <f>'Monthly Data'!AE95</f>
        <v>6943.4103846153857</v>
      </c>
      <c r="M95" s="47">
        <f t="shared" si="10"/>
        <v>8462318.7362940125</v>
      </c>
    </row>
    <row r="96" spans="1:13">
      <c r="A96" s="2">
        <f>'Monthly Data'!A96</f>
        <v>45231</v>
      </c>
      <c r="B96">
        <f>'Monthly Data'!B96</f>
        <v>2023</v>
      </c>
      <c r="C96">
        <f>'Monthly Data'!C96</f>
        <v>11</v>
      </c>
      <c r="D96" s="3">
        <f ca="1">'Monthly Data'!AD96</f>
        <v>8735405.0675483551</v>
      </c>
      <c r="E96" s="3">
        <f>'Monthly Data'!DL96</f>
        <v>880255</v>
      </c>
      <c r="F96" s="3">
        <f>'Monthly Data'!DR96</f>
        <v>22</v>
      </c>
      <c r="H96" s="3">
        <f t="shared" si="11"/>
        <v>-3751454.0580042</v>
      </c>
      <c r="I96" s="3">
        <f t="shared" si="12"/>
        <v>8569006.2390346527</v>
      </c>
      <c r="J96" s="3">
        <f t="shared" si="13"/>
        <v>3811052.8184446082</v>
      </c>
      <c r="K96" s="47">
        <f t="shared" ref="K96:K109" si="15">SUM(H96:J96)</f>
        <v>8628604.99947506</v>
      </c>
      <c r="L96" s="47">
        <f>'Monthly Data'!AE96</f>
        <v>7156.4630897435909</v>
      </c>
      <c r="M96" s="47">
        <f t="shared" si="10"/>
        <v>8635761.4625648037</v>
      </c>
    </row>
    <row r="97" spans="1:13">
      <c r="A97" s="2">
        <f>'Monthly Data'!A97</f>
        <v>45261</v>
      </c>
      <c r="B97">
        <f>'Monthly Data'!B97</f>
        <v>2023</v>
      </c>
      <c r="C97">
        <f>'Monthly Data'!C97</f>
        <v>12</v>
      </c>
      <c r="D97" s="3">
        <f ca="1">'Monthly Data'!AD97</f>
        <v>8636032.9684387874</v>
      </c>
      <c r="E97" s="3">
        <f>'Monthly Data'!DL97</f>
        <v>880255</v>
      </c>
      <c r="F97" s="3">
        <f>'Monthly Data'!DR97</f>
        <v>19</v>
      </c>
      <c r="H97" s="3">
        <f t="shared" si="11"/>
        <v>-3751454.0580042</v>
      </c>
      <c r="I97" s="3">
        <f t="shared" si="12"/>
        <v>8569006.2390346527</v>
      </c>
      <c r="J97" s="3">
        <f t="shared" si="13"/>
        <v>3291363.7977476162</v>
      </c>
      <c r="K97" s="47">
        <f t="shared" si="15"/>
        <v>8108915.978778068</v>
      </c>
      <c r="L97" s="47">
        <f>'Monthly Data'!AE97</f>
        <v>7369.515794871797</v>
      </c>
      <c r="M97" s="47">
        <f t="shared" si="10"/>
        <v>8116285.4945729394</v>
      </c>
    </row>
    <row r="98" spans="1:13">
      <c r="A98" s="2">
        <f>'Monthly Data'!A98</f>
        <v>45292</v>
      </c>
      <c r="B98">
        <f>'Monthly Data'!B98</f>
        <v>2024</v>
      </c>
      <c r="C98">
        <f>'Monthly Data'!C98</f>
        <v>1</v>
      </c>
      <c r="D98" s="3">
        <f ca="1">'Monthly Data'!AD98</f>
        <v>8707446.7690066565</v>
      </c>
      <c r="E98" s="3">
        <f>'Monthly Data'!DL98</f>
        <v>885802</v>
      </c>
      <c r="F98" s="3">
        <f>'Monthly Data'!DR98</f>
        <v>22</v>
      </c>
      <c r="H98" s="3">
        <f t="shared" ref="H98:H129" si="16">$Q$8</f>
        <v>-3751454.0580042</v>
      </c>
      <c r="I98" s="3">
        <f t="shared" ref="I98:I129" si="17">E98*$Q$9</f>
        <v>8623004.5436258521</v>
      </c>
      <c r="J98" s="3">
        <f t="shared" ref="J98:J129" si="18">F98*$Q$10</f>
        <v>3811052.8184446082</v>
      </c>
      <c r="K98" s="47">
        <f t="shared" si="15"/>
        <v>8682603.3040662594</v>
      </c>
      <c r="L98" s="47">
        <f>'Monthly Data'!AE98</f>
        <v>7866.3261410256418</v>
      </c>
      <c r="M98" s="47">
        <f t="shared" si="10"/>
        <v>8690469.6302072853</v>
      </c>
    </row>
    <row r="99" spans="1:13">
      <c r="A99" s="2">
        <f>'Monthly Data'!A99</f>
        <v>45323</v>
      </c>
      <c r="B99">
        <f>'Monthly Data'!B99</f>
        <v>2024</v>
      </c>
      <c r="C99">
        <f>'Monthly Data'!C99</f>
        <v>2</v>
      </c>
      <c r="D99" s="3">
        <f ca="1">'Monthly Data'!AD99</f>
        <v>8091456.5691889916</v>
      </c>
      <c r="E99" s="3">
        <f>'Monthly Data'!DL99</f>
        <v>885802</v>
      </c>
      <c r="F99" s="3">
        <f>'Monthly Data'!DR99</f>
        <v>20</v>
      </c>
      <c r="H99" s="3">
        <f t="shared" si="16"/>
        <v>-3751454.0580042</v>
      </c>
      <c r="I99" s="3">
        <f t="shared" si="17"/>
        <v>8623004.5436258521</v>
      </c>
      <c r="J99" s="3">
        <f t="shared" si="18"/>
        <v>3464593.4713132801</v>
      </c>
      <c r="K99" s="47">
        <f t="shared" si="15"/>
        <v>8336143.9569349317</v>
      </c>
      <c r="L99" s="47">
        <f>'Monthly Data'!AE99</f>
        <v>8150.0837820512834</v>
      </c>
      <c r="M99" s="47">
        <f t="shared" si="10"/>
        <v>8344294.0407169834</v>
      </c>
    </row>
    <row r="100" spans="1:13">
      <c r="A100" s="2">
        <f>'Monthly Data'!A100</f>
        <v>45352</v>
      </c>
      <c r="B100">
        <f>'Monthly Data'!B100</f>
        <v>2024</v>
      </c>
      <c r="C100">
        <f>'Monthly Data'!C100</f>
        <v>3</v>
      </c>
      <c r="D100" s="3">
        <f ca="1">'Monthly Data'!AD100</f>
        <v>8675091.4802510366</v>
      </c>
      <c r="E100" s="3">
        <f>'Monthly Data'!DL100</f>
        <v>885802</v>
      </c>
      <c r="F100" s="3">
        <f>'Monthly Data'!DR100</f>
        <v>20</v>
      </c>
      <c r="H100" s="3">
        <f t="shared" si="16"/>
        <v>-3751454.0580042</v>
      </c>
      <c r="I100" s="3">
        <f t="shared" si="17"/>
        <v>8623004.5436258521</v>
      </c>
      <c r="J100" s="3">
        <f t="shared" si="18"/>
        <v>3464593.4713132801</v>
      </c>
      <c r="K100" s="47">
        <f t="shared" si="15"/>
        <v>8336143.9569349317</v>
      </c>
      <c r="L100" s="47">
        <f>'Monthly Data'!AE100</f>
        <v>8433.8414230769231</v>
      </c>
      <c r="M100" s="47">
        <f t="shared" si="10"/>
        <v>8344577.7983580083</v>
      </c>
    </row>
    <row r="101" spans="1:13">
      <c r="A101" s="2">
        <f>'Monthly Data'!A101</f>
        <v>45383</v>
      </c>
      <c r="B101">
        <f>'Monthly Data'!B101</f>
        <v>2024</v>
      </c>
      <c r="C101">
        <f>'Monthly Data'!C101</f>
        <v>4</v>
      </c>
      <c r="D101" s="3">
        <f ca="1">'Monthly Data'!AD101</f>
        <v>8496879.1160614304</v>
      </c>
      <c r="E101" s="3">
        <f>'Monthly Data'!DL101</f>
        <v>888733</v>
      </c>
      <c r="F101" s="3">
        <f>'Monthly Data'!DR101</f>
        <v>22</v>
      </c>
      <c r="H101" s="3">
        <f t="shared" si="16"/>
        <v>-3751454.0580042</v>
      </c>
      <c r="I101" s="3">
        <f t="shared" si="17"/>
        <v>8651536.909004759</v>
      </c>
      <c r="J101" s="3">
        <f t="shared" si="18"/>
        <v>3811052.8184446082</v>
      </c>
      <c r="K101" s="47">
        <f t="shared" si="15"/>
        <v>8711135.6694451664</v>
      </c>
      <c r="L101" s="47">
        <f>'Monthly Data'!AE101</f>
        <v>8717.5990641025655</v>
      </c>
      <c r="M101" s="47">
        <f t="shared" si="10"/>
        <v>8719853.2685092688</v>
      </c>
    </row>
    <row r="102" spans="1:13">
      <c r="A102" s="2">
        <f>'Monthly Data'!A102</f>
        <v>45413</v>
      </c>
      <c r="B102">
        <f>'Monthly Data'!B102</f>
        <v>2024</v>
      </c>
      <c r="C102">
        <f>'Monthly Data'!C102</f>
        <v>5</v>
      </c>
      <c r="D102" s="3">
        <f ca="1">'Monthly Data'!AD102</f>
        <v>8458557.5594617855</v>
      </c>
      <c r="E102" s="3">
        <f>'Monthly Data'!DL102</f>
        <v>888733</v>
      </c>
      <c r="F102" s="3">
        <f>'Monthly Data'!DR102</f>
        <v>22</v>
      </c>
      <c r="H102" s="3">
        <f t="shared" si="16"/>
        <v>-3751454.0580042</v>
      </c>
      <c r="I102" s="3">
        <f t="shared" si="17"/>
        <v>8651536.909004759</v>
      </c>
      <c r="J102" s="3">
        <f t="shared" si="18"/>
        <v>3811052.8184446082</v>
      </c>
      <c r="K102" s="47">
        <f t="shared" si="15"/>
        <v>8711135.6694451664</v>
      </c>
      <c r="L102" s="47">
        <f>'Monthly Data'!AE102</f>
        <v>9001.3567051282062</v>
      </c>
      <c r="M102" s="47">
        <f t="shared" si="10"/>
        <v>8720137.0261502936</v>
      </c>
    </row>
    <row r="103" spans="1:13">
      <c r="A103" s="2">
        <f>'Monthly Data'!A103</f>
        <v>45444</v>
      </c>
      <c r="B103">
        <f>'Monthly Data'!B103</f>
        <v>2024</v>
      </c>
      <c r="C103">
        <f>'Monthly Data'!C103</f>
        <v>6</v>
      </c>
      <c r="D103" s="3">
        <f ca="1">'Monthly Data'!AD103</f>
        <v>8220654.7810641509</v>
      </c>
      <c r="E103" s="3">
        <f>'Monthly Data'!DL103</f>
        <v>888733</v>
      </c>
      <c r="F103" s="3">
        <f>'Monthly Data'!DR103</f>
        <v>20</v>
      </c>
      <c r="H103" s="3">
        <f t="shared" si="16"/>
        <v>-3751454.0580042</v>
      </c>
      <c r="I103" s="3">
        <f t="shared" si="17"/>
        <v>8651536.909004759</v>
      </c>
      <c r="J103" s="3">
        <f t="shared" si="18"/>
        <v>3464593.4713132801</v>
      </c>
      <c r="K103" s="47">
        <f t="shared" si="15"/>
        <v>8364676.3223138386</v>
      </c>
      <c r="L103" s="47">
        <f>'Monthly Data'!AE103</f>
        <v>9285.1143461538468</v>
      </c>
      <c r="M103" s="47">
        <f t="shared" si="10"/>
        <v>8373961.4366599927</v>
      </c>
    </row>
    <row r="104" spans="1:13">
      <c r="A104" s="2">
        <f>'Monthly Data'!A104</f>
        <v>45474</v>
      </c>
      <c r="B104">
        <f>'Monthly Data'!B104</f>
        <v>2024</v>
      </c>
      <c r="C104">
        <f>'Monthly Data'!C104</f>
        <v>7</v>
      </c>
      <c r="D104" s="3">
        <f ca="1">'Monthly Data'!AD104</f>
        <v>8242119.5351590924</v>
      </c>
      <c r="E104" s="3">
        <f>'Monthly Data'!DL104</f>
        <v>890079</v>
      </c>
      <c r="F104" s="3">
        <f>'Monthly Data'!DR104</f>
        <v>22</v>
      </c>
      <c r="H104" s="3">
        <f t="shared" si="16"/>
        <v>-3751454.0580042</v>
      </c>
      <c r="I104" s="3">
        <f t="shared" si="17"/>
        <v>8664639.7966881469</v>
      </c>
      <c r="J104" s="3">
        <f t="shared" si="18"/>
        <v>3811052.8184446082</v>
      </c>
      <c r="K104" s="47">
        <f t="shared" si="15"/>
        <v>8724238.5571285542</v>
      </c>
      <c r="L104" s="47">
        <f>'Monthly Data'!AE104</f>
        <v>9568.8719871794874</v>
      </c>
      <c r="M104" s="47">
        <f t="shared" si="10"/>
        <v>8733807.4291157331</v>
      </c>
    </row>
    <row r="105" spans="1:13">
      <c r="A105" s="2">
        <f>'Monthly Data'!A105</f>
        <v>45505</v>
      </c>
      <c r="B105">
        <f>'Monthly Data'!B105</f>
        <v>2024</v>
      </c>
      <c r="C105">
        <f>'Monthly Data'!C105</f>
        <v>8</v>
      </c>
      <c r="D105" s="3">
        <f ca="1">'Monthly Data'!AD105</f>
        <v>7635494.1488706814</v>
      </c>
      <c r="E105" s="3">
        <f>'Monthly Data'!DL105</f>
        <v>890079</v>
      </c>
      <c r="F105" s="3">
        <f>'Monthly Data'!DR105</f>
        <v>21</v>
      </c>
      <c r="H105" s="3">
        <f t="shared" si="16"/>
        <v>-3751454.0580042</v>
      </c>
      <c r="I105" s="3">
        <f t="shared" si="17"/>
        <v>8664639.7966881469</v>
      </c>
      <c r="J105" s="3">
        <f t="shared" si="18"/>
        <v>3637823.1448789444</v>
      </c>
      <c r="K105" s="47">
        <f t="shared" si="15"/>
        <v>8551008.8835628908</v>
      </c>
      <c r="L105" s="47">
        <f>'Monthly Data'!AE105</f>
        <v>9852.629628205128</v>
      </c>
      <c r="M105" s="47">
        <f t="shared" si="10"/>
        <v>8560861.5131910965</v>
      </c>
    </row>
    <row r="106" spans="1:13">
      <c r="A106" s="2">
        <f>'Monthly Data'!A106</f>
        <v>45536</v>
      </c>
      <c r="B106">
        <f>'Monthly Data'!B106</f>
        <v>2024</v>
      </c>
      <c r="C106">
        <f>'Monthly Data'!C106</f>
        <v>9</v>
      </c>
      <c r="D106" s="3">
        <f ca="1">'Monthly Data'!AD106</f>
        <v>7775850.9832618162</v>
      </c>
      <c r="E106" s="3">
        <f>'Monthly Data'!DL106</f>
        <v>890079</v>
      </c>
      <c r="F106" s="3">
        <f>'Monthly Data'!DR106</f>
        <v>20</v>
      </c>
      <c r="H106" s="3">
        <f t="shared" si="16"/>
        <v>-3751454.0580042</v>
      </c>
      <c r="I106" s="3">
        <f t="shared" si="17"/>
        <v>8664639.7966881469</v>
      </c>
      <c r="J106" s="3">
        <f t="shared" si="18"/>
        <v>3464593.4713132801</v>
      </c>
      <c r="K106" s="47">
        <f t="shared" si="15"/>
        <v>8377779.2099972265</v>
      </c>
      <c r="L106" s="47">
        <f>'Monthly Data'!AE106</f>
        <v>10136.38726923077</v>
      </c>
      <c r="M106" s="47">
        <f t="shared" si="10"/>
        <v>8387915.597266457</v>
      </c>
    </row>
    <row r="107" spans="1:13">
      <c r="A107" s="2">
        <f>'Monthly Data'!A107</f>
        <v>45566</v>
      </c>
      <c r="B107">
        <f>'Monthly Data'!B107</f>
        <v>2024</v>
      </c>
      <c r="C107">
        <f>'Monthly Data'!C107</f>
        <v>10</v>
      </c>
      <c r="D107" s="3">
        <f ca="1">'Monthly Data'!AD107</f>
        <v>8251249.1516804881</v>
      </c>
      <c r="E107" s="3">
        <f>'Monthly Data'!DL107</f>
        <v>893201</v>
      </c>
      <c r="F107" s="3">
        <f>'Monthly Data'!DR107</f>
        <v>22</v>
      </c>
      <c r="H107" s="3">
        <f t="shared" si="16"/>
        <v>-3751454.0580042</v>
      </c>
      <c r="I107" s="3">
        <f t="shared" si="17"/>
        <v>8695031.4871395119</v>
      </c>
      <c r="J107" s="3">
        <f t="shared" si="18"/>
        <v>3811052.8184446082</v>
      </c>
      <c r="K107" s="47">
        <f t="shared" si="15"/>
        <v>8754630.2475799192</v>
      </c>
      <c r="L107" s="47">
        <f>'Monthly Data'!AE107</f>
        <v>10420.144910256411</v>
      </c>
      <c r="M107" s="47">
        <f t="shared" ref="M107:M170" si="19">K107+L107</f>
        <v>8765050.3924901765</v>
      </c>
    </row>
    <row r="108" spans="1:13">
      <c r="A108" s="2">
        <f>'Monthly Data'!A108</f>
        <v>45597</v>
      </c>
      <c r="B108">
        <f>'Monthly Data'!B108</f>
        <v>2024</v>
      </c>
      <c r="C108">
        <f>'Monthly Data'!C108</f>
        <v>11</v>
      </c>
      <c r="D108" s="3">
        <f ca="1">'Monthly Data'!AD108</f>
        <v>8153792.7460700814</v>
      </c>
      <c r="E108" s="3">
        <f>'Monthly Data'!DL108</f>
        <v>893201</v>
      </c>
      <c r="F108" s="3">
        <f>'Monthly Data'!DR108</f>
        <v>21</v>
      </c>
      <c r="H108" s="3">
        <f t="shared" si="16"/>
        <v>-3751454.0580042</v>
      </c>
      <c r="I108" s="3">
        <f t="shared" si="17"/>
        <v>8695031.4871395119</v>
      </c>
      <c r="J108" s="3">
        <f t="shared" si="18"/>
        <v>3637823.1448789444</v>
      </c>
      <c r="K108" s="47">
        <f t="shared" si="15"/>
        <v>8581400.5740142558</v>
      </c>
      <c r="L108" s="47">
        <f>'Monthly Data'!AE108</f>
        <v>10703.902551282052</v>
      </c>
      <c r="M108" s="47">
        <f t="shared" si="19"/>
        <v>8592104.476565538</v>
      </c>
    </row>
    <row r="109" spans="1:13">
      <c r="A109" s="2">
        <f>'Monthly Data'!A109</f>
        <v>45627</v>
      </c>
      <c r="B109">
        <f>'Monthly Data'!B109</f>
        <v>2024</v>
      </c>
      <c r="C109">
        <f>'Monthly Data'!C109</f>
        <v>12</v>
      </c>
      <c r="D109" s="3">
        <f ca="1">'Monthly Data'!AD109</f>
        <v>8227836.6297110915</v>
      </c>
      <c r="E109" s="3">
        <f>'Monthly Data'!DL109</f>
        <v>893201</v>
      </c>
      <c r="F109" s="3">
        <f>'Monthly Data'!DR109</f>
        <v>20</v>
      </c>
      <c r="H109" s="3">
        <f t="shared" si="16"/>
        <v>-3751454.0580042</v>
      </c>
      <c r="I109" s="3">
        <f t="shared" si="17"/>
        <v>8695031.4871395119</v>
      </c>
      <c r="J109" s="3">
        <f t="shared" si="18"/>
        <v>3464593.4713132801</v>
      </c>
      <c r="K109" s="47">
        <f t="shared" si="15"/>
        <v>8408170.9004485905</v>
      </c>
      <c r="L109" s="47">
        <f>'Monthly Data'!AE109</f>
        <v>10987.660192307692</v>
      </c>
      <c r="M109" s="47">
        <f t="shared" si="19"/>
        <v>8419158.5606408976</v>
      </c>
    </row>
    <row r="110" spans="1:13">
      <c r="A110" s="2">
        <f>'Monthly Data'!A110</f>
        <v>45658</v>
      </c>
      <c r="B110">
        <f>'Monthly Data'!B110</f>
        <v>2025</v>
      </c>
      <c r="C110">
        <f>'Monthly Data'!C110</f>
        <v>1</v>
      </c>
      <c r="D110" s="3">
        <f ca="1">'Monthly Data'!AD110</f>
        <v>8865819.8255055025</v>
      </c>
      <c r="E110" s="3">
        <f>'Monthly Data'!DL110</f>
        <v>897872</v>
      </c>
      <c r="F110" s="3">
        <f>'Monthly Data'!DR110</f>
        <v>22</v>
      </c>
      <c r="H110" s="3">
        <f t="shared" si="16"/>
        <v>-3751454.0580042</v>
      </c>
      <c r="I110" s="3">
        <f t="shared" si="17"/>
        <v>8740502.206581641</v>
      </c>
      <c r="J110" s="3">
        <f t="shared" si="18"/>
        <v>3811052.8184446082</v>
      </c>
      <c r="K110" s="47">
        <f t="shared" ref="K110:K121" si="20">SUM(H110:J110)</f>
        <v>8800100.9670220483</v>
      </c>
      <c r="L110" s="47">
        <f>'Monthly Data'!AE110</f>
        <v>11636.574192307693</v>
      </c>
      <c r="M110" s="47">
        <f t="shared" ref="M110:M121" si="21">K110+L110</f>
        <v>8811737.5412143562</v>
      </c>
    </row>
    <row r="111" spans="1:13">
      <c r="A111" s="2">
        <f>'Monthly Data'!A111</f>
        <v>45689</v>
      </c>
      <c r="B111">
        <f>'Monthly Data'!B111</f>
        <v>2025</v>
      </c>
      <c r="C111">
        <f>'Monthly Data'!C111</f>
        <v>2</v>
      </c>
      <c r="D111" s="3">
        <f ca="1">'Monthly Data'!AD111</f>
        <v>8358863.2756082509</v>
      </c>
      <c r="E111" s="3">
        <f>'Monthly Data'!DL111</f>
        <v>897872</v>
      </c>
      <c r="F111" s="3">
        <f>'Monthly Data'!DR111</f>
        <v>19</v>
      </c>
      <c r="H111" s="3">
        <f t="shared" si="16"/>
        <v>-3751454.0580042</v>
      </c>
      <c r="I111" s="3">
        <f t="shared" si="17"/>
        <v>8740502.206581641</v>
      </c>
      <c r="J111" s="3">
        <f t="shared" si="18"/>
        <v>3291363.7977476162</v>
      </c>
      <c r="K111" s="47">
        <f t="shared" si="20"/>
        <v>8280411.9463250563</v>
      </c>
      <c r="L111" s="47">
        <f>'Monthly Data'!AE111</f>
        <v>12001.730551282053</v>
      </c>
      <c r="M111" s="47">
        <f t="shared" si="21"/>
        <v>8292413.6768763382</v>
      </c>
    </row>
    <row r="112" spans="1:13">
      <c r="A112" s="2">
        <f>'Monthly Data'!A112</f>
        <v>45717</v>
      </c>
      <c r="B112">
        <f>'Monthly Data'!B112</f>
        <v>2025</v>
      </c>
      <c r="C112">
        <f>'Monthly Data'!C112</f>
        <v>3</v>
      </c>
      <c r="D112" s="3">
        <f ca="1">'Monthly Data'!AD112</f>
        <v>8966750.9156141952</v>
      </c>
      <c r="E112" s="3">
        <f>'Monthly Data'!DL112</f>
        <v>897872</v>
      </c>
      <c r="F112" s="3">
        <f>'Monthly Data'!DR112</f>
        <v>21</v>
      </c>
      <c r="H112" s="3">
        <f t="shared" si="16"/>
        <v>-3751454.0580042</v>
      </c>
      <c r="I112" s="3">
        <f t="shared" si="17"/>
        <v>8740502.206581641</v>
      </c>
      <c r="J112" s="3">
        <f t="shared" si="18"/>
        <v>3637823.1448789444</v>
      </c>
      <c r="K112" s="47">
        <f t="shared" si="20"/>
        <v>8626871.2934563849</v>
      </c>
      <c r="L112" s="47">
        <f>'Monthly Data'!AE112</f>
        <v>12366.886910256411</v>
      </c>
      <c r="M112" s="47">
        <f t="shared" si="21"/>
        <v>8639238.1803666409</v>
      </c>
    </row>
    <row r="113" spans="1:13">
      <c r="A113" s="2">
        <f>'Monthly Data'!A113</f>
        <v>45748</v>
      </c>
      <c r="B113">
        <f>'Monthly Data'!B113</f>
        <v>2025</v>
      </c>
      <c r="C113">
        <f>'Monthly Data'!C113</f>
        <v>4</v>
      </c>
      <c r="D113" s="3">
        <f ca="1">'Monthly Data'!AD113</f>
        <v>8457916.0730716418</v>
      </c>
      <c r="E113" s="3">
        <f>'Monthly Data'!DL113</f>
        <v>894654</v>
      </c>
      <c r="F113" s="3">
        <f>'Monthly Data'!DR113</f>
        <v>21</v>
      </c>
      <c r="H113" s="3">
        <f t="shared" si="16"/>
        <v>-3751454.0580042</v>
      </c>
      <c r="I113" s="3">
        <f t="shared" si="17"/>
        <v>8709175.9862509258</v>
      </c>
      <c r="J113" s="3">
        <f t="shared" si="18"/>
        <v>3637823.1448789444</v>
      </c>
      <c r="K113" s="47">
        <f t="shared" si="20"/>
        <v>8595545.0731256697</v>
      </c>
      <c r="L113" s="47">
        <f>'Monthly Data'!AE113</f>
        <v>12732.04326923077</v>
      </c>
      <c r="M113" s="47">
        <f t="shared" si="21"/>
        <v>8608277.1163948998</v>
      </c>
    </row>
    <row r="114" spans="1:13">
      <c r="A114" s="2">
        <f>'Monthly Data'!A114</f>
        <v>45778</v>
      </c>
      <c r="B114">
        <f>'Monthly Data'!B114</f>
        <v>2025</v>
      </c>
      <c r="C114">
        <f>'Monthly Data'!C114</f>
        <v>5</v>
      </c>
      <c r="D114" s="3">
        <f ca="1">'Monthly Data'!AD114</f>
        <v>8587848.0553198643</v>
      </c>
      <c r="E114" s="3">
        <f>'Monthly Data'!DL114</f>
        <v>894654</v>
      </c>
      <c r="F114" s="3">
        <f>'Monthly Data'!DR114</f>
        <v>21</v>
      </c>
      <c r="H114" s="3">
        <f t="shared" si="16"/>
        <v>-3751454.0580042</v>
      </c>
      <c r="I114" s="3">
        <f t="shared" si="17"/>
        <v>8709175.9862509258</v>
      </c>
      <c r="J114" s="3">
        <f t="shared" si="18"/>
        <v>3637823.1448789444</v>
      </c>
      <c r="K114" s="47">
        <f t="shared" si="20"/>
        <v>8595545.0731256697</v>
      </c>
      <c r="L114" s="47">
        <f>'Monthly Data'!AE114</f>
        <v>13097.19962820513</v>
      </c>
      <c r="M114" s="47">
        <f t="shared" si="21"/>
        <v>8608642.2727538757</v>
      </c>
    </row>
    <row r="115" spans="1:13">
      <c r="A115" s="2">
        <f>'Monthly Data'!A115</f>
        <v>45809</v>
      </c>
      <c r="B115">
        <f>'Monthly Data'!B115</f>
        <v>2025</v>
      </c>
      <c r="C115">
        <f>'Monthly Data'!C115</f>
        <v>6</v>
      </c>
      <c r="D115" s="3">
        <f ca="1">'Monthly Data'!AD115</f>
        <v>8477088.1385361124</v>
      </c>
      <c r="E115" s="3">
        <f>'Monthly Data'!DL115</f>
        <v>894654</v>
      </c>
      <c r="F115" s="3">
        <f>'Monthly Data'!DR115</f>
        <v>21</v>
      </c>
      <c r="H115" s="3">
        <f t="shared" si="16"/>
        <v>-3751454.0580042</v>
      </c>
      <c r="I115" s="3">
        <f t="shared" si="17"/>
        <v>8709175.9862509258</v>
      </c>
      <c r="J115" s="3">
        <f t="shared" si="18"/>
        <v>3637823.1448789444</v>
      </c>
      <c r="K115" s="47">
        <f t="shared" si="20"/>
        <v>8595545.0731256697</v>
      </c>
      <c r="L115" s="47">
        <f>'Monthly Data'!AE115</f>
        <v>13462.355987179488</v>
      </c>
      <c r="M115" s="47">
        <f t="shared" si="21"/>
        <v>8609007.4291128498</v>
      </c>
    </row>
    <row r="116" spans="1:13">
      <c r="A116" s="2">
        <f>'Monthly Data'!A116</f>
        <v>45839</v>
      </c>
      <c r="B116">
        <f>'Monthly Data'!B116</f>
        <v>2025</v>
      </c>
      <c r="C116">
        <f>'Monthly Data'!C116</f>
        <v>7</v>
      </c>
      <c r="D116" s="3">
        <f ca="1">'Monthly Data'!AD116</f>
        <v>8391815.2150802948</v>
      </c>
      <c r="E116" s="3">
        <f>'Monthly Data'!DL116</f>
        <v>899254</v>
      </c>
      <c r="F116" s="3">
        <f>'Monthly Data'!DR116</f>
        <v>22</v>
      </c>
      <c r="H116" s="3">
        <f t="shared" si="16"/>
        <v>-3751454.0580042</v>
      </c>
      <c r="I116" s="3">
        <f t="shared" si="17"/>
        <v>8753955.5429697856</v>
      </c>
      <c r="J116" s="3">
        <f t="shared" si="18"/>
        <v>3811052.8184446082</v>
      </c>
      <c r="K116" s="47">
        <f t="shared" si="20"/>
        <v>8813554.303410193</v>
      </c>
      <c r="L116" s="47">
        <f>'Monthly Data'!AE116</f>
        <v>13827.512346153848</v>
      </c>
      <c r="M116" s="47">
        <f t="shared" si="21"/>
        <v>8827381.815756347</v>
      </c>
    </row>
    <row r="117" spans="1:13">
      <c r="A117" s="2">
        <f>'Monthly Data'!A117</f>
        <v>45870</v>
      </c>
      <c r="B117">
        <f>'Monthly Data'!B117</f>
        <v>2025</v>
      </c>
      <c r="C117">
        <f>'Monthly Data'!C117</f>
        <v>8</v>
      </c>
      <c r="D117" s="3">
        <f ca="1">'Monthly Data'!AD117</f>
        <v>8110611.085253234</v>
      </c>
      <c r="E117" s="3">
        <f>'Monthly Data'!DL117</f>
        <v>899254</v>
      </c>
      <c r="F117" s="3">
        <f>'Monthly Data'!DR117</f>
        <v>21</v>
      </c>
      <c r="H117" s="3">
        <f t="shared" si="16"/>
        <v>-3751454.0580042</v>
      </c>
      <c r="I117" s="3">
        <f t="shared" si="17"/>
        <v>8753955.5429697856</v>
      </c>
      <c r="J117" s="3">
        <f t="shared" si="18"/>
        <v>3637823.1448789444</v>
      </c>
      <c r="K117" s="47">
        <f t="shared" si="20"/>
        <v>8640324.6298445296</v>
      </c>
      <c r="L117" s="47">
        <f>'Monthly Data'!AE117</f>
        <v>14192.668705128206</v>
      </c>
      <c r="M117" s="47">
        <f t="shared" si="21"/>
        <v>8654517.2985496577</v>
      </c>
    </row>
    <row r="118" spans="1:13">
      <c r="A118" s="2">
        <f>'Monthly Data'!A118</f>
        <v>45901</v>
      </c>
      <c r="B118">
        <f>'Monthly Data'!B118</f>
        <v>2025</v>
      </c>
      <c r="C118">
        <f>'Monthly Data'!C118</f>
        <v>9</v>
      </c>
      <c r="D118" s="3">
        <f ca="1">'Monthly Data'!AD118</f>
        <v>7755167.0406589247</v>
      </c>
      <c r="E118" s="3">
        <f>'Monthly Data'!DL118</f>
        <v>899254</v>
      </c>
      <c r="F118" s="3">
        <f>'Monthly Data'!DR118</f>
        <v>21</v>
      </c>
      <c r="H118" s="3">
        <f t="shared" si="16"/>
        <v>-3751454.0580042</v>
      </c>
      <c r="I118" s="3">
        <f t="shared" si="17"/>
        <v>8753955.5429697856</v>
      </c>
      <c r="J118" s="3">
        <f t="shared" si="18"/>
        <v>3637823.1448789444</v>
      </c>
      <c r="K118" s="47">
        <f t="shared" si="20"/>
        <v>8640324.6298445296</v>
      </c>
      <c r="L118" s="47">
        <f>'Monthly Data'!AE118</f>
        <v>14557.825064102566</v>
      </c>
      <c r="M118" s="47">
        <f t="shared" si="21"/>
        <v>8654882.4549086317</v>
      </c>
    </row>
    <row r="119" spans="1:13">
      <c r="A119" s="2">
        <f>'Monthly Data'!A119</f>
        <v>45931</v>
      </c>
      <c r="B119">
        <f>'Monthly Data'!B119</f>
        <v>2025</v>
      </c>
      <c r="C119">
        <f>'Monthly Data'!C119</f>
        <v>10</v>
      </c>
      <c r="D119" s="3">
        <f ca="1">'Monthly Data'!AD119</f>
        <v>8241202.7484654002</v>
      </c>
      <c r="E119" s="3">
        <f>'Monthly Data'!DL119</f>
        <v>904812.6129999999</v>
      </c>
      <c r="F119" s="3">
        <f>'Monthly Data'!DR119</f>
        <v>22</v>
      </c>
      <c r="H119" s="3">
        <f t="shared" si="16"/>
        <v>-3751454.0580042</v>
      </c>
      <c r="I119" s="3">
        <f t="shared" si="17"/>
        <v>8808066.8964723255</v>
      </c>
      <c r="J119" s="3">
        <f t="shared" si="18"/>
        <v>3811052.8184446082</v>
      </c>
      <c r="K119" s="47">
        <f t="shared" si="20"/>
        <v>8867665.6569127329</v>
      </c>
      <c r="L119" s="47">
        <f>'Monthly Data'!AE119</f>
        <v>14922.981423076924</v>
      </c>
      <c r="M119" s="47">
        <f t="shared" si="21"/>
        <v>8882588.6383358091</v>
      </c>
    </row>
    <row r="120" spans="1:13">
      <c r="A120" s="2">
        <f>'Monthly Data'!A120</f>
        <v>45962</v>
      </c>
      <c r="B120">
        <f>'Monthly Data'!B120</f>
        <v>2025</v>
      </c>
      <c r="C120">
        <f>'Monthly Data'!C120</f>
        <v>11</v>
      </c>
      <c r="D120" s="3">
        <f ca="1">'Monthly Data'!AD120</f>
        <v>7765512.5219897991</v>
      </c>
      <c r="E120" s="3">
        <f>'Monthly Data'!DL120</f>
        <v>904812.6129999999</v>
      </c>
      <c r="F120" s="3">
        <f>'Monthly Data'!DR120</f>
        <v>20</v>
      </c>
      <c r="H120" s="3">
        <f t="shared" si="16"/>
        <v>-3751454.0580042</v>
      </c>
      <c r="I120" s="3">
        <f t="shared" si="17"/>
        <v>8808066.8964723255</v>
      </c>
      <c r="J120" s="3">
        <f t="shared" si="18"/>
        <v>3464593.4713132801</v>
      </c>
      <c r="K120" s="47">
        <f t="shared" si="20"/>
        <v>8521206.3097814061</v>
      </c>
      <c r="L120" s="47">
        <f>'Monthly Data'!AE120</f>
        <v>15288.137782051283</v>
      </c>
      <c r="M120" s="47">
        <f t="shared" si="21"/>
        <v>8536494.4475634582</v>
      </c>
    </row>
    <row r="121" spans="1:13">
      <c r="A121" s="2">
        <f>'Monthly Data'!A121</f>
        <v>45992</v>
      </c>
      <c r="B121">
        <f>'Monthly Data'!B121</f>
        <v>2025</v>
      </c>
      <c r="C121">
        <f>'Monthly Data'!C121</f>
        <v>12</v>
      </c>
      <c r="D121" s="3">
        <f ca="1">'Monthly Data'!AD121</f>
        <v>8289304.4969103169</v>
      </c>
      <c r="E121" s="3">
        <f>'Monthly Data'!DL121</f>
        <v>904812.6129999999</v>
      </c>
      <c r="F121" s="3">
        <f>'Monthly Data'!DR121</f>
        <v>21</v>
      </c>
      <c r="H121" s="3">
        <f t="shared" si="16"/>
        <v>-3751454.0580042</v>
      </c>
      <c r="I121" s="3">
        <f t="shared" si="17"/>
        <v>8808066.8964723255</v>
      </c>
      <c r="J121" s="3">
        <f t="shared" si="18"/>
        <v>3637823.1448789444</v>
      </c>
      <c r="K121" s="47">
        <f t="shared" si="20"/>
        <v>8694435.9833470695</v>
      </c>
      <c r="L121" s="47">
        <f>'Monthly Data'!AE121</f>
        <v>15653.294141025643</v>
      </c>
      <c r="M121" s="47">
        <f t="shared" si="21"/>
        <v>8710089.2774880957</v>
      </c>
    </row>
    <row r="122" spans="1:13">
      <c r="A122" s="2">
        <f t="shared" ref="A122:A162" si="22">EOMONTH(A121,1)</f>
        <v>46053</v>
      </c>
      <c r="B122">
        <f t="shared" ref="B122:B162" si="23">YEAR(A122)</f>
        <v>2026</v>
      </c>
      <c r="C122">
        <f t="shared" ref="C122:C162" si="24">MONTH(A122)</f>
        <v>1</v>
      </c>
      <c r="E122" s="261">
        <f t="shared" ref="E122:E157" si="25">E121</f>
        <v>904812.6129999999</v>
      </c>
      <c r="F122" s="3">
        <v>21</v>
      </c>
      <c r="H122" s="3">
        <f t="shared" si="16"/>
        <v>-3751454.0580042</v>
      </c>
      <c r="I122" s="3">
        <f t="shared" si="17"/>
        <v>8808066.8964723255</v>
      </c>
      <c r="J122" s="3">
        <f t="shared" si="18"/>
        <v>3637823.1448789444</v>
      </c>
      <c r="K122" s="47">
        <f t="shared" ref="K122:K161" si="26">SUM(H122:J122)</f>
        <v>8694435.9833470695</v>
      </c>
      <c r="L122" s="47">
        <f>IFERROR(HLOOKUP(B122-1,'EV Forecast VRZ'!$F$124:$T$130,6,FALSE)/12,0)+IFERROR(((HLOOKUP(B122,'EV Forecast VRZ'!$F$116:$T$122,6,FALSE)-HLOOKUP(B122-1,'EV Forecast VRZ'!$F$124:$T$130,6,FALSE)))*C122/78,0)</f>
        <v>16329.385421877389</v>
      </c>
      <c r="M122" s="47">
        <f t="shared" si="19"/>
        <v>8710765.3687689472</v>
      </c>
    </row>
    <row r="123" spans="1:13">
      <c r="A123" s="2">
        <f t="shared" si="22"/>
        <v>46081</v>
      </c>
      <c r="B123">
        <f t="shared" si="23"/>
        <v>2026</v>
      </c>
      <c r="C123">
        <f t="shared" si="24"/>
        <v>2</v>
      </c>
      <c r="E123" s="261">
        <f t="shared" si="25"/>
        <v>904812.6129999999</v>
      </c>
      <c r="F123" s="3">
        <v>19</v>
      </c>
      <c r="H123" s="3">
        <f t="shared" si="16"/>
        <v>-3751454.0580042</v>
      </c>
      <c r="I123" s="3">
        <f t="shared" si="17"/>
        <v>8808066.8964723255</v>
      </c>
      <c r="J123" s="3">
        <f t="shared" si="18"/>
        <v>3291363.7977476162</v>
      </c>
      <c r="K123" s="47">
        <f t="shared" si="26"/>
        <v>8347976.6362157408</v>
      </c>
      <c r="L123" s="47">
        <f>IFERROR(HLOOKUP(B123-1,'EV Forecast VRZ'!$F$124:$T$130,6,FALSE)/12,0)+IFERROR(((HLOOKUP(B123,'EV Forecast VRZ'!$F$116:$T$122,6,FALSE)-HLOOKUP(B123-1,'EV Forecast VRZ'!$F$124:$T$130,6,FALSE)))*C123/78,0)</f>
        <v>16640.320343754778</v>
      </c>
      <c r="M123" s="47">
        <f t="shared" si="19"/>
        <v>8364616.956559496</v>
      </c>
    </row>
    <row r="124" spans="1:13">
      <c r="A124" s="2">
        <f t="shared" si="22"/>
        <v>46112</v>
      </c>
      <c r="B124">
        <f t="shared" si="23"/>
        <v>2026</v>
      </c>
      <c r="C124">
        <f t="shared" si="24"/>
        <v>3</v>
      </c>
      <c r="E124" s="261">
        <f t="shared" si="25"/>
        <v>904812.6129999999</v>
      </c>
      <c r="F124" s="3">
        <v>22</v>
      </c>
      <c r="H124" s="3">
        <f t="shared" si="16"/>
        <v>-3751454.0580042</v>
      </c>
      <c r="I124" s="3">
        <f t="shared" si="17"/>
        <v>8808066.8964723255</v>
      </c>
      <c r="J124" s="3">
        <f t="shared" si="18"/>
        <v>3811052.8184446082</v>
      </c>
      <c r="K124" s="47">
        <f t="shared" si="26"/>
        <v>8867665.6569127329</v>
      </c>
      <c r="L124" s="47">
        <f>IFERROR(HLOOKUP(B124-1,'EV Forecast VRZ'!$F$124:$T$130,6,FALSE)/12,0)+IFERROR(((HLOOKUP(B124,'EV Forecast VRZ'!$F$116:$T$122,6,FALSE)-HLOOKUP(B124-1,'EV Forecast VRZ'!$F$124:$T$130,6,FALSE)))*C124/78,0)</f>
        <v>16951.255265632164</v>
      </c>
      <c r="M124" s="47">
        <f t="shared" si="19"/>
        <v>8884616.9121783655</v>
      </c>
    </row>
    <row r="125" spans="1:13">
      <c r="A125" s="2">
        <f t="shared" si="22"/>
        <v>46142</v>
      </c>
      <c r="B125">
        <f t="shared" si="23"/>
        <v>2026</v>
      </c>
      <c r="C125">
        <f t="shared" si="24"/>
        <v>4</v>
      </c>
      <c r="E125" s="261">
        <f t="shared" si="25"/>
        <v>904812.6129999999</v>
      </c>
      <c r="F125" s="3">
        <v>22</v>
      </c>
      <c r="H125" s="3">
        <f t="shared" si="16"/>
        <v>-3751454.0580042</v>
      </c>
      <c r="I125" s="3">
        <f t="shared" si="17"/>
        <v>8808066.8964723255</v>
      </c>
      <c r="J125" s="3">
        <f t="shared" si="18"/>
        <v>3811052.8184446082</v>
      </c>
      <c r="K125" s="47">
        <f t="shared" si="26"/>
        <v>8867665.6569127329</v>
      </c>
      <c r="L125" s="47">
        <f>IFERROR(HLOOKUP(B125-1,'EV Forecast VRZ'!$F$124:$T$130,6,FALSE)/12,0)+IFERROR(((HLOOKUP(B125,'EV Forecast VRZ'!$F$116:$T$122,6,FALSE)-HLOOKUP(B125-1,'EV Forecast VRZ'!$F$124:$T$130,6,FALSE)))*C125/78,0)</f>
        <v>17262.190187509554</v>
      </c>
      <c r="M125" s="47">
        <f t="shared" si="19"/>
        <v>8884927.847100243</v>
      </c>
    </row>
    <row r="126" spans="1:13">
      <c r="A126" s="2">
        <f t="shared" si="22"/>
        <v>46173</v>
      </c>
      <c r="B126">
        <f t="shared" si="23"/>
        <v>2026</v>
      </c>
      <c r="C126">
        <f t="shared" si="24"/>
        <v>5</v>
      </c>
      <c r="E126" s="261">
        <f t="shared" si="25"/>
        <v>904812.6129999999</v>
      </c>
      <c r="F126" s="3">
        <v>20</v>
      </c>
      <c r="H126" s="3">
        <f t="shared" si="16"/>
        <v>-3751454.0580042</v>
      </c>
      <c r="I126" s="3">
        <f t="shared" si="17"/>
        <v>8808066.8964723255</v>
      </c>
      <c r="J126" s="3">
        <f t="shared" si="18"/>
        <v>3464593.4713132801</v>
      </c>
      <c r="K126" s="47">
        <f t="shared" si="26"/>
        <v>8521206.3097814061</v>
      </c>
      <c r="L126" s="47">
        <f>IFERROR(HLOOKUP(B126-1,'EV Forecast VRZ'!$F$124:$T$130,6,FALSE)/12,0)+IFERROR(((HLOOKUP(B126,'EV Forecast VRZ'!$F$116:$T$122,6,FALSE)-HLOOKUP(B126-1,'EV Forecast VRZ'!$F$124:$T$130,6,FALSE)))*C126/78,0)</f>
        <v>17573.12510938694</v>
      </c>
      <c r="M126" s="47">
        <f t="shared" si="19"/>
        <v>8538779.4348907936</v>
      </c>
    </row>
    <row r="127" spans="1:13">
      <c r="A127" s="2">
        <f t="shared" si="22"/>
        <v>46203</v>
      </c>
      <c r="B127">
        <f t="shared" si="23"/>
        <v>2026</v>
      </c>
      <c r="C127">
        <f t="shared" si="24"/>
        <v>6</v>
      </c>
      <c r="E127" s="261">
        <f t="shared" si="25"/>
        <v>904812.6129999999</v>
      </c>
      <c r="F127" s="3">
        <v>22</v>
      </c>
      <c r="H127" s="3">
        <f t="shared" si="16"/>
        <v>-3751454.0580042</v>
      </c>
      <c r="I127" s="3">
        <f t="shared" si="17"/>
        <v>8808066.8964723255</v>
      </c>
      <c r="J127" s="3">
        <f t="shared" si="18"/>
        <v>3811052.8184446082</v>
      </c>
      <c r="K127" s="47">
        <f t="shared" si="26"/>
        <v>8867665.6569127329</v>
      </c>
      <c r="L127" s="47">
        <f>IFERROR(HLOOKUP(B127-1,'EV Forecast VRZ'!$F$124:$T$130,6,FALSE)/12,0)+IFERROR(((HLOOKUP(B127,'EV Forecast VRZ'!$F$116:$T$122,6,FALSE)-HLOOKUP(B127-1,'EV Forecast VRZ'!$F$124:$T$130,6,FALSE)))*C127/78,0)</f>
        <v>17884.060031264329</v>
      </c>
      <c r="M127" s="47">
        <f t="shared" si="19"/>
        <v>8885549.7169439979</v>
      </c>
    </row>
    <row r="128" spans="1:13">
      <c r="A128" s="2">
        <f t="shared" si="22"/>
        <v>46234</v>
      </c>
      <c r="B128">
        <f t="shared" si="23"/>
        <v>2026</v>
      </c>
      <c r="C128">
        <f t="shared" si="24"/>
        <v>7</v>
      </c>
      <c r="E128" s="261">
        <f t="shared" si="25"/>
        <v>904812.6129999999</v>
      </c>
      <c r="F128" s="3">
        <v>22</v>
      </c>
      <c r="H128" s="3">
        <f t="shared" si="16"/>
        <v>-3751454.0580042</v>
      </c>
      <c r="I128" s="3">
        <f t="shared" si="17"/>
        <v>8808066.8964723255</v>
      </c>
      <c r="J128" s="3">
        <f t="shared" si="18"/>
        <v>3811052.8184446082</v>
      </c>
      <c r="K128" s="47">
        <f t="shared" si="26"/>
        <v>8867665.6569127329</v>
      </c>
      <c r="L128" s="47">
        <f>IFERROR(HLOOKUP(B128-1,'EV Forecast VRZ'!$F$124:$T$130,6,FALSE)/12,0)+IFERROR(((HLOOKUP(B128,'EV Forecast VRZ'!$F$116:$T$122,6,FALSE)-HLOOKUP(B128-1,'EV Forecast VRZ'!$F$124:$T$130,6,FALSE)))*C128/78,0)</f>
        <v>18194.994953141715</v>
      </c>
      <c r="M128" s="47">
        <f t="shared" si="19"/>
        <v>8885860.6518658753</v>
      </c>
    </row>
    <row r="129" spans="1:13">
      <c r="A129" s="2">
        <f t="shared" si="22"/>
        <v>46265</v>
      </c>
      <c r="B129">
        <f t="shared" si="23"/>
        <v>2026</v>
      </c>
      <c r="C129">
        <f t="shared" si="24"/>
        <v>8</v>
      </c>
      <c r="E129" s="261">
        <f t="shared" si="25"/>
        <v>904812.6129999999</v>
      </c>
      <c r="F129" s="3">
        <v>20</v>
      </c>
      <c r="H129" s="3">
        <f t="shared" si="16"/>
        <v>-3751454.0580042</v>
      </c>
      <c r="I129" s="3">
        <f t="shared" si="17"/>
        <v>8808066.8964723255</v>
      </c>
      <c r="J129" s="3">
        <f t="shared" si="18"/>
        <v>3464593.4713132801</v>
      </c>
      <c r="K129" s="47">
        <f t="shared" si="26"/>
        <v>8521206.3097814061</v>
      </c>
      <c r="L129" s="47">
        <f>IFERROR(HLOOKUP(B129-1,'EV Forecast VRZ'!$F$124:$T$130,6,FALSE)/12,0)+IFERROR(((HLOOKUP(B129,'EV Forecast VRZ'!$F$116:$T$122,6,FALSE)-HLOOKUP(B129-1,'EV Forecast VRZ'!$F$124:$T$130,6,FALSE)))*C129/78,0)</f>
        <v>18505.929875019105</v>
      </c>
      <c r="M129" s="47">
        <f t="shared" si="19"/>
        <v>8539712.239656426</v>
      </c>
    </row>
    <row r="130" spans="1:13">
      <c r="A130" s="2">
        <f t="shared" si="22"/>
        <v>46295</v>
      </c>
      <c r="B130">
        <f t="shared" si="23"/>
        <v>2026</v>
      </c>
      <c r="C130">
        <f t="shared" si="24"/>
        <v>9</v>
      </c>
      <c r="E130" s="261">
        <f t="shared" si="25"/>
        <v>904812.6129999999</v>
      </c>
      <c r="F130" s="3">
        <v>21</v>
      </c>
      <c r="H130" s="3">
        <f t="shared" ref="H130:H161" si="27">$Q$8</f>
        <v>-3751454.0580042</v>
      </c>
      <c r="I130" s="3">
        <f t="shared" ref="I130:I161" si="28">E130*$Q$9</f>
        <v>8808066.8964723255</v>
      </c>
      <c r="J130" s="3">
        <f t="shared" ref="J130:J161" si="29">F130*$Q$10</f>
        <v>3637823.1448789444</v>
      </c>
      <c r="K130" s="47">
        <f t="shared" si="26"/>
        <v>8694435.9833470695</v>
      </c>
      <c r="L130" s="47">
        <f>IFERROR(HLOOKUP(B130-1,'EV Forecast VRZ'!$F$124:$T$130,6,FALSE)/12,0)+IFERROR(((HLOOKUP(B130,'EV Forecast VRZ'!$F$116:$T$122,6,FALSE)-HLOOKUP(B130-1,'EV Forecast VRZ'!$F$124:$T$130,6,FALSE)))*C130/78,0)</f>
        <v>18816.864796896491</v>
      </c>
      <c r="M130" s="47">
        <f t="shared" si="19"/>
        <v>8713252.8481439669</v>
      </c>
    </row>
    <row r="131" spans="1:13">
      <c r="A131" s="2">
        <f t="shared" si="22"/>
        <v>46326</v>
      </c>
      <c r="B131">
        <f t="shared" si="23"/>
        <v>2026</v>
      </c>
      <c r="C131">
        <f t="shared" si="24"/>
        <v>10</v>
      </c>
      <c r="E131" s="261">
        <f t="shared" si="25"/>
        <v>904812.6129999999</v>
      </c>
      <c r="F131" s="3">
        <v>21</v>
      </c>
      <c r="H131" s="3">
        <f t="shared" si="27"/>
        <v>-3751454.0580042</v>
      </c>
      <c r="I131" s="3">
        <f t="shared" si="28"/>
        <v>8808066.8964723255</v>
      </c>
      <c r="J131" s="3">
        <f t="shared" si="29"/>
        <v>3637823.1448789444</v>
      </c>
      <c r="K131" s="47">
        <f t="shared" si="26"/>
        <v>8694435.9833470695</v>
      </c>
      <c r="L131" s="47">
        <f>IFERROR(HLOOKUP(B131-1,'EV Forecast VRZ'!$F$124:$T$130,6,FALSE)/12,0)+IFERROR(((HLOOKUP(B131,'EV Forecast VRZ'!$F$116:$T$122,6,FALSE)-HLOOKUP(B131-1,'EV Forecast VRZ'!$F$124:$T$130,6,FALSE)))*C131/78,0)</f>
        <v>19127.79971877388</v>
      </c>
      <c r="M131" s="47">
        <f t="shared" si="19"/>
        <v>8713563.7830658425</v>
      </c>
    </row>
    <row r="132" spans="1:13">
      <c r="A132" s="2">
        <f t="shared" si="22"/>
        <v>46356</v>
      </c>
      <c r="B132">
        <f t="shared" si="23"/>
        <v>2026</v>
      </c>
      <c r="C132">
        <f t="shared" si="24"/>
        <v>11</v>
      </c>
      <c r="E132" s="261">
        <f t="shared" si="25"/>
        <v>904812.6129999999</v>
      </c>
      <c r="F132" s="3">
        <v>21</v>
      </c>
      <c r="H132" s="3">
        <f t="shared" si="27"/>
        <v>-3751454.0580042</v>
      </c>
      <c r="I132" s="3">
        <f t="shared" si="28"/>
        <v>8808066.8964723255</v>
      </c>
      <c r="J132" s="3">
        <f t="shared" si="29"/>
        <v>3637823.1448789444</v>
      </c>
      <c r="K132" s="47">
        <f t="shared" si="26"/>
        <v>8694435.9833470695</v>
      </c>
      <c r="L132" s="47">
        <f>IFERROR(HLOOKUP(B132-1,'EV Forecast VRZ'!$F$124:$T$130,6,FALSE)/12,0)+IFERROR(((HLOOKUP(B132,'EV Forecast VRZ'!$F$116:$T$122,6,FALSE)-HLOOKUP(B132-1,'EV Forecast VRZ'!$F$124:$T$130,6,FALSE)))*C132/78,0)</f>
        <v>19438.734640651266</v>
      </c>
      <c r="M132" s="47">
        <f t="shared" si="19"/>
        <v>8713874.7179877199</v>
      </c>
    </row>
    <row r="133" spans="1:13">
      <c r="A133" s="2">
        <f t="shared" si="22"/>
        <v>46387</v>
      </c>
      <c r="B133">
        <f t="shared" si="23"/>
        <v>2026</v>
      </c>
      <c r="C133">
        <f t="shared" si="24"/>
        <v>12</v>
      </c>
      <c r="E133" s="261">
        <f t="shared" si="25"/>
        <v>904812.6129999999</v>
      </c>
      <c r="F133" s="3">
        <v>21</v>
      </c>
      <c r="H133" s="3">
        <f t="shared" si="27"/>
        <v>-3751454.0580042</v>
      </c>
      <c r="I133" s="3">
        <f t="shared" si="28"/>
        <v>8808066.8964723255</v>
      </c>
      <c r="J133" s="3">
        <f t="shared" si="29"/>
        <v>3637823.1448789444</v>
      </c>
      <c r="K133" s="47">
        <f t="shared" si="26"/>
        <v>8694435.9833470695</v>
      </c>
      <c r="L133" s="47">
        <f>IFERROR(HLOOKUP(B133-1,'EV Forecast VRZ'!$F$124:$T$130,6,FALSE)/12,0)+IFERROR(((HLOOKUP(B133,'EV Forecast VRZ'!$F$116:$T$122,6,FALSE)-HLOOKUP(B133-1,'EV Forecast VRZ'!$F$124:$T$130,6,FALSE)))*C133/78,0)</f>
        <v>19749.669562528656</v>
      </c>
      <c r="M133" s="47">
        <f t="shared" si="19"/>
        <v>8714185.6529095974</v>
      </c>
    </row>
    <row r="134" spans="1:13">
      <c r="A134" s="2">
        <f t="shared" si="22"/>
        <v>46418</v>
      </c>
      <c r="B134">
        <f t="shared" si="23"/>
        <v>2027</v>
      </c>
      <c r="C134">
        <f t="shared" si="24"/>
        <v>1</v>
      </c>
      <c r="E134" s="261">
        <f t="shared" si="25"/>
        <v>904812.6129999999</v>
      </c>
      <c r="F134" s="3">
        <v>20</v>
      </c>
      <c r="H134" s="3">
        <f t="shared" si="27"/>
        <v>-3751454.0580042</v>
      </c>
      <c r="I134" s="3">
        <f t="shared" si="28"/>
        <v>8808066.8964723255</v>
      </c>
      <c r="J134" s="3">
        <f t="shared" si="29"/>
        <v>3464593.4713132801</v>
      </c>
      <c r="K134" s="47">
        <f t="shared" si="26"/>
        <v>8521206.3097814061</v>
      </c>
      <c r="L134" s="47">
        <f>IFERROR(HLOOKUP(B134-1,'EV Forecast VRZ'!$F$124:$T$130,6,FALSE)/12,0)+IFERROR(((HLOOKUP(B134,'EV Forecast VRZ'!$F$116:$T$122,6,FALSE)-HLOOKUP(B134-1,'EV Forecast VRZ'!$F$124:$T$130,6,FALSE)))*C134/78,0)</f>
        <v>20401.599327763201</v>
      </c>
      <c r="M134" s="47">
        <f t="shared" si="19"/>
        <v>8541607.9091091696</v>
      </c>
    </row>
    <row r="135" spans="1:13">
      <c r="A135" s="2">
        <f t="shared" si="22"/>
        <v>46446</v>
      </c>
      <c r="B135">
        <f t="shared" si="23"/>
        <v>2027</v>
      </c>
      <c r="C135">
        <f t="shared" si="24"/>
        <v>2</v>
      </c>
      <c r="E135" s="261">
        <f t="shared" si="25"/>
        <v>904812.6129999999</v>
      </c>
      <c r="F135" s="3">
        <v>19</v>
      </c>
      <c r="H135" s="3">
        <f t="shared" si="27"/>
        <v>-3751454.0580042</v>
      </c>
      <c r="I135" s="3">
        <f t="shared" si="28"/>
        <v>8808066.8964723255</v>
      </c>
      <c r="J135" s="3">
        <f t="shared" si="29"/>
        <v>3291363.7977476162</v>
      </c>
      <c r="K135" s="47">
        <f t="shared" si="26"/>
        <v>8347976.6362157408</v>
      </c>
      <c r="L135" s="47">
        <f>IFERROR(HLOOKUP(B135-1,'EV Forecast VRZ'!$F$124:$T$130,6,FALSE)/12,0)+IFERROR(((HLOOKUP(B135,'EV Forecast VRZ'!$F$116:$T$122,6,FALSE)-HLOOKUP(B135-1,'EV Forecast VRZ'!$F$124:$T$130,6,FALSE)))*C135/78,0)</f>
        <v>20742.594171120356</v>
      </c>
      <c r="M135" s="47">
        <f t="shared" si="19"/>
        <v>8368719.2303868616</v>
      </c>
    </row>
    <row r="136" spans="1:13">
      <c r="A136" s="2">
        <f t="shared" si="22"/>
        <v>46477</v>
      </c>
      <c r="B136">
        <f t="shared" si="23"/>
        <v>2027</v>
      </c>
      <c r="C136">
        <f t="shared" si="24"/>
        <v>3</v>
      </c>
      <c r="E136" s="261">
        <f t="shared" si="25"/>
        <v>904812.6129999999</v>
      </c>
      <c r="F136" s="3">
        <v>22</v>
      </c>
      <c r="H136" s="3">
        <f t="shared" si="27"/>
        <v>-3751454.0580042</v>
      </c>
      <c r="I136" s="3">
        <f t="shared" si="28"/>
        <v>8808066.8964723255</v>
      </c>
      <c r="J136" s="3">
        <f t="shared" si="29"/>
        <v>3811052.8184446082</v>
      </c>
      <c r="K136" s="47">
        <f t="shared" si="26"/>
        <v>8867665.6569127329</v>
      </c>
      <c r="L136" s="47">
        <f>IFERROR(HLOOKUP(B136-1,'EV Forecast VRZ'!$F$124:$T$130,6,FALSE)/12,0)+IFERROR(((HLOOKUP(B136,'EV Forecast VRZ'!$F$116:$T$122,6,FALSE)-HLOOKUP(B136-1,'EV Forecast VRZ'!$F$124:$T$130,6,FALSE)))*C136/78,0)</f>
        <v>21083.589014477515</v>
      </c>
      <c r="M136" s="47">
        <f t="shared" si="19"/>
        <v>8888749.2459272109</v>
      </c>
    </row>
    <row r="137" spans="1:13">
      <c r="A137" s="2">
        <f t="shared" si="22"/>
        <v>46507</v>
      </c>
      <c r="B137">
        <f t="shared" si="23"/>
        <v>2027</v>
      </c>
      <c r="C137">
        <f t="shared" si="24"/>
        <v>4</v>
      </c>
      <c r="E137" s="261">
        <f t="shared" si="25"/>
        <v>904812.6129999999</v>
      </c>
      <c r="F137" s="3">
        <v>22</v>
      </c>
      <c r="H137" s="3">
        <f t="shared" si="27"/>
        <v>-3751454.0580042</v>
      </c>
      <c r="I137" s="3">
        <f t="shared" si="28"/>
        <v>8808066.8964723255</v>
      </c>
      <c r="J137" s="3">
        <f t="shared" si="29"/>
        <v>3811052.8184446082</v>
      </c>
      <c r="K137" s="47">
        <f t="shared" si="26"/>
        <v>8867665.6569127329</v>
      </c>
      <c r="L137" s="47">
        <f>IFERROR(HLOOKUP(B137-1,'EV Forecast VRZ'!$F$124:$T$130,6,FALSE)/12,0)+IFERROR(((HLOOKUP(B137,'EV Forecast VRZ'!$F$116:$T$122,6,FALSE)-HLOOKUP(B137-1,'EV Forecast VRZ'!$F$124:$T$130,6,FALSE)))*C137/78,0)</f>
        <v>21424.58385783467</v>
      </c>
      <c r="M137" s="47">
        <f t="shared" si="19"/>
        <v>8889090.2407705672</v>
      </c>
    </row>
    <row r="138" spans="1:13">
      <c r="A138" s="2">
        <f t="shared" si="22"/>
        <v>46538</v>
      </c>
      <c r="B138">
        <f t="shared" si="23"/>
        <v>2027</v>
      </c>
      <c r="C138">
        <f t="shared" si="24"/>
        <v>5</v>
      </c>
      <c r="E138" s="261">
        <f t="shared" si="25"/>
        <v>904812.6129999999</v>
      </c>
      <c r="F138" s="3">
        <v>20</v>
      </c>
      <c r="H138" s="3">
        <f t="shared" si="27"/>
        <v>-3751454.0580042</v>
      </c>
      <c r="I138" s="3">
        <f t="shared" si="28"/>
        <v>8808066.8964723255</v>
      </c>
      <c r="J138" s="3">
        <f t="shared" si="29"/>
        <v>3464593.4713132801</v>
      </c>
      <c r="K138" s="47">
        <f t="shared" si="26"/>
        <v>8521206.3097814061</v>
      </c>
      <c r="L138" s="47">
        <f>IFERROR(HLOOKUP(B138-1,'EV Forecast VRZ'!$F$124:$T$130,6,FALSE)/12,0)+IFERROR(((HLOOKUP(B138,'EV Forecast VRZ'!$F$116:$T$122,6,FALSE)-HLOOKUP(B138-1,'EV Forecast VRZ'!$F$124:$T$130,6,FALSE)))*C138/78,0)</f>
        <v>21765.578701191829</v>
      </c>
      <c r="M138" s="47">
        <f t="shared" si="19"/>
        <v>8542971.8884825986</v>
      </c>
    </row>
    <row r="139" spans="1:13">
      <c r="A139" s="2">
        <f t="shared" si="22"/>
        <v>46568</v>
      </c>
      <c r="B139">
        <f t="shared" si="23"/>
        <v>2027</v>
      </c>
      <c r="C139">
        <f t="shared" si="24"/>
        <v>6</v>
      </c>
      <c r="E139" s="261">
        <f t="shared" si="25"/>
        <v>904812.6129999999</v>
      </c>
      <c r="F139" s="3">
        <v>22</v>
      </c>
      <c r="H139" s="3">
        <f t="shared" si="27"/>
        <v>-3751454.0580042</v>
      </c>
      <c r="I139" s="3">
        <f t="shared" si="28"/>
        <v>8808066.8964723255</v>
      </c>
      <c r="J139" s="3">
        <f t="shared" si="29"/>
        <v>3811052.8184446082</v>
      </c>
      <c r="K139" s="47">
        <f t="shared" si="26"/>
        <v>8867665.6569127329</v>
      </c>
      <c r="L139" s="47">
        <f>IFERROR(HLOOKUP(B139-1,'EV Forecast VRZ'!$F$124:$T$130,6,FALSE)/12,0)+IFERROR(((HLOOKUP(B139,'EV Forecast VRZ'!$F$116:$T$122,6,FALSE)-HLOOKUP(B139-1,'EV Forecast VRZ'!$F$124:$T$130,6,FALSE)))*C139/78,0)</f>
        <v>22106.573544548988</v>
      </c>
      <c r="M139" s="47">
        <f t="shared" si="19"/>
        <v>8889772.2304572817</v>
      </c>
    </row>
    <row r="140" spans="1:13">
      <c r="A140" s="2">
        <f t="shared" si="22"/>
        <v>46599</v>
      </c>
      <c r="B140">
        <f t="shared" si="23"/>
        <v>2027</v>
      </c>
      <c r="C140">
        <f t="shared" si="24"/>
        <v>7</v>
      </c>
      <c r="E140" s="261">
        <f t="shared" si="25"/>
        <v>904812.6129999999</v>
      </c>
      <c r="F140" s="3">
        <v>21</v>
      </c>
      <c r="H140" s="3">
        <f t="shared" si="27"/>
        <v>-3751454.0580042</v>
      </c>
      <c r="I140" s="3">
        <f t="shared" si="28"/>
        <v>8808066.8964723255</v>
      </c>
      <c r="J140" s="3">
        <f t="shared" si="29"/>
        <v>3637823.1448789444</v>
      </c>
      <c r="K140" s="47">
        <f t="shared" si="26"/>
        <v>8694435.9833470695</v>
      </c>
      <c r="L140" s="47">
        <f>IFERROR(HLOOKUP(B140-1,'EV Forecast VRZ'!$F$124:$T$130,6,FALSE)/12,0)+IFERROR(((HLOOKUP(B140,'EV Forecast VRZ'!$F$116:$T$122,6,FALSE)-HLOOKUP(B140-1,'EV Forecast VRZ'!$F$124:$T$130,6,FALSE)))*C140/78,0)</f>
        <v>22447.568387906143</v>
      </c>
      <c r="M140" s="47">
        <f t="shared" si="19"/>
        <v>8716883.5517349765</v>
      </c>
    </row>
    <row r="141" spans="1:13">
      <c r="A141" s="2">
        <f t="shared" si="22"/>
        <v>46630</v>
      </c>
      <c r="B141">
        <f t="shared" si="23"/>
        <v>2027</v>
      </c>
      <c r="C141">
        <f t="shared" si="24"/>
        <v>8</v>
      </c>
      <c r="E141" s="261">
        <f t="shared" si="25"/>
        <v>904812.6129999999</v>
      </c>
      <c r="F141" s="3">
        <v>21</v>
      </c>
      <c r="H141" s="3">
        <f t="shared" si="27"/>
        <v>-3751454.0580042</v>
      </c>
      <c r="I141" s="3">
        <f t="shared" si="28"/>
        <v>8808066.8964723255</v>
      </c>
      <c r="J141" s="3">
        <f t="shared" si="29"/>
        <v>3637823.1448789444</v>
      </c>
      <c r="K141" s="47">
        <f t="shared" si="26"/>
        <v>8694435.9833470695</v>
      </c>
      <c r="L141" s="47">
        <f>IFERROR(HLOOKUP(B141-1,'EV Forecast VRZ'!$F$124:$T$130,6,FALSE)/12,0)+IFERROR(((HLOOKUP(B141,'EV Forecast VRZ'!$F$116:$T$122,6,FALSE)-HLOOKUP(B141-1,'EV Forecast VRZ'!$F$124:$T$130,6,FALSE)))*C141/78,0)</f>
        <v>22788.563231263302</v>
      </c>
      <c r="M141" s="47">
        <f t="shared" si="19"/>
        <v>8717224.5465783328</v>
      </c>
    </row>
    <row r="142" spans="1:13">
      <c r="A142" s="2">
        <f t="shared" si="22"/>
        <v>46660</v>
      </c>
      <c r="B142">
        <f t="shared" si="23"/>
        <v>2027</v>
      </c>
      <c r="C142">
        <f t="shared" si="24"/>
        <v>9</v>
      </c>
      <c r="E142" s="261">
        <f t="shared" si="25"/>
        <v>904812.6129999999</v>
      </c>
      <c r="F142" s="3">
        <v>21</v>
      </c>
      <c r="H142" s="3">
        <f t="shared" si="27"/>
        <v>-3751454.0580042</v>
      </c>
      <c r="I142" s="3">
        <f t="shared" si="28"/>
        <v>8808066.8964723255</v>
      </c>
      <c r="J142" s="3">
        <f t="shared" si="29"/>
        <v>3637823.1448789444</v>
      </c>
      <c r="K142" s="47">
        <f t="shared" si="26"/>
        <v>8694435.9833470695</v>
      </c>
      <c r="L142" s="47">
        <f>IFERROR(HLOOKUP(B142-1,'EV Forecast VRZ'!$F$124:$T$130,6,FALSE)/12,0)+IFERROR(((HLOOKUP(B142,'EV Forecast VRZ'!$F$116:$T$122,6,FALSE)-HLOOKUP(B142-1,'EV Forecast VRZ'!$F$124:$T$130,6,FALSE)))*C142/78,0)</f>
        <v>23129.558074620458</v>
      </c>
      <c r="M142" s="47">
        <f t="shared" si="19"/>
        <v>8717565.5414216891</v>
      </c>
    </row>
    <row r="143" spans="1:13">
      <c r="A143" s="2">
        <f t="shared" si="22"/>
        <v>46691</v>
      </c>
      <c r="B143">
        <f t="shared" si="23"/>
        <v>2027</v>
      </c>
      <c r="C143">
        <f t="shared" si="24"/>
        <v>10</v>
      </c>
      <c r="E143" s="261">
        <f t="shared" si="25"/>
        <v>904812.6129999999</v>
      </c>
      <c r="F143" s="3">
        <v>20</v>
      </c>
      <c r="H143" s="3">
        <f t="shared" si="27"/>
        <v>-3751454.0580042</v>
      </c>
      <c r="I143" s="3">
        <f t="shared" si="28"/>
        <v>8808066.8964723255</v>
      </c>
      <c r="J143" s="3">
        <f t="shared" si="29"/>
        <v>3464593.4713132801</v>
      </c>
      <c r="K143" s="47">
        <f t="shared" si="26"/>
        <v>8521206.3097814061</v>
      </c>
      <c r="L143" s="47">
        <f>IFERROR(HLOOKUP(B143-1,'EV Forecast VRZ'!$F$124:$T$130,6,FALSE)/12,0)+IFERROR(((HLOOKUP(B143,'EV Forecast VRZ'!$F$116:$T$122,6,FALSE)-HLOOKUP(B143-1,'EV Forecast VRZ'!$F$124:$T$130,6,FALSE)))*C143/78,0)</f>
        <v>23470.552917977617</v>
      </c>
      <c r="M143" s="47">
        <f t="shared" si="19"/>
        <v>8544676.8626993839</v>
      </c>
    </row>
    <row r="144" spans="1:13">
      <c r="A144" s="2">
        <f t="shared" si="22"/>
        <v>46721</v>
      </c>
      <c r="B144">
        <f t="shared" si="23"/>
        <v>2027</v>
      </c>
      <c r="C144">
        <f t="shared" si="24"/>
        <v>11</v>
      </c>
      <c r="E144" s="261">
        <f t="shared" si="25"/>
        <v>904812.6129999999</v>
      </c>
      <c r="F144" s="3">
        <v>22</v>
      </c>
      <c r="H144" s="3">
        <f t="shared" si="27"/>
        <v>-3751454.0580042</v>
      </c>
      <c r="I144" s="3">
        <f t="shared" si="28"/>
        <v>8808066.8964723255</v>
      </c>
      <c r="J144" s="3">
        <f t="shared" si="29"/>
        <v>3811052.8184446082</v>
      </c>
      <c r="K144" s="47">
        <f t="shared" si="26"/>
        <v>8867665.6569127329</v>
      </c>
      <c r="L144" s="47">
        <f>IFERROR(HLOOKUP(B144-1,'EV Forecast VRZ'!$F$124:$T$130,6,FALSE)/12,0)+IFERROR(((HLOOKUP(B144,'EV Forecast VRZ'!$F$116:$T$122,6,FALSE)-HLOOKUP(B144-1,'EV Forecast VRZ'!$F$124:$T$130,6,FALSE)))*C144/78,0)</f>
        <v>23811.547761334776</v>
      </c>
      <c r="M144" s="47">
        <f t="shared" si="19"/>
        <v>8891477.204674067</v>
      </c>
    </row>
    <row r="145" spans="1:13">
      <c r="A145" s="2">
        <f t="shared" si="22"/>
        <v>46752</v>
      </c>
      <c r="B145">
        <f t="shared" si="23"/>
        <v>2027</v>
      </c>
      <c r="C145">
        <f t="shared" si="24"/>
        <v>12</v>
      </c>
      <c r="E145" s="261">
        <f t="shared" si="25"/>
        <v>904812.6129999999</v>
      </c>
      <c r="F145" s="3">
        <v>20</v>
      </c>
      <c r="H145" s="3">
        <f t="shared" si="27"/>
        <v>-3751454.0580042</v>
      </c>
      <c r="I145" s="3">
        <f t="shared" si="28"/>
        <v>8808066.8964723255</v>
      </c>
      <c r="J145" s="3">
        <f t="shared" si="29"/>
        <v>3464593.4713132801</v>
      </c>
      <c r="K145" s="47">
        <f t="shared" si="26"/>
        <v>8521206.3097814061</v>
      </c>
      <c r="L145" s="47">
        <f>IFERROR(HLOOKUP(B145-1,'EV Forecast VRZ'!$F$124:$T$130,6,FALSE)/12,0)+IFERROR(((HLOOKUP(B145,'EV Forecast VRZ'!$F$116:$T$122,6,FALSE)-HLOOKUP(B145-1,'EV Forecast VRZ'!$F$124:$T$130,6,FALSE)))*C145/78,0)</f>
        <v>24152.542604691931</v>
      </c>
      <c r="M145" s="47">
        <f t="shared" si="19"/>
        <v>8545358.8523860984</v>
      </c>
    </row>
    <row r="146" spans="1:13">
      <c r="A146" s="2">
        <f t="shared" si="22"/>
        <v>46783</v>
      </c>
      <c r="B146">
        <f t="shared" si="23"/>
        <v>2028</v>
      </c>
      <c r="C146">
        <f t="shared" si="24"/>
        <v>1</v>
      </c>
      <c r="E146" s="261">
        <f t="shared" si="25"/>
        <v>904812.6129999999</v>
      </c>
      <c r="F146" s="3">
        <v>20</v>
      </c>
      <c r="H146" s="3">
        <f t="shared" si="27"/>
        <v>-3751454.0580042</v>
      </c>
      <c r="I146" s="3">
        <f t="shared" si="28"/>
        <v>8808066.8964723255</v>
      </c>
      <c r="J146" s="3">
        <f t="shared" si="29"/>
        <v>3464593.4713132801</v>
      </c>
      <c r="K146" s="47">
        <f t="shared" si="26"/>
        <v>8521206.3097814061</v>
      </c>
      <c r="L146" s="47">
        <f>IFERROR(HLOOKUP(B146-1,'EV Forecast VRZ'!$F$124:$T$130,6,FALSE)/12,0)+IFERROR(((HLOOKUP(B146,'EV Forecast VRZ'!$F$116:$T$122,6,FALSE)-HLOOKUP(B146-1,'EV Forecast VRZ'!$F$124:$T$130,6,FALSE)))*C146/78,0)</f>
        <v>25208.650469622615</v>
      </c>
      <c r="M146" s="47">
        <f t="shared" si="19"/>
        <v>8546414.9602510296</v>
      </c>
    </row>
    <row r="147" spans="1:13">
      <c r="A147" s="2">
        <f t="shared" si="22"/>
        <v>46812</v>
      </c>
      <c r="B147">
        <f t="shared" si="23"/>
        <v>2028</v>
      </c>
      <c r="C147">
        <f t="shared" si="24"/>
        <v>2</v>
      </c>
      <c r="E147" s="261">
        <f t="shared" si="25"/>
        <v>904812.6129999999</v>
      </c>
      <c r="F147" s="3">
        <v>21</v>
      </c>
      <c r="H147" s="3">
        <f t="shared" si="27"/>
        <v>-3751454.0580042</v>
      </c>
      <c r="I147" s="3">
        <f t="shared" si="28"/>
        <v>8808066.8964723255</v>
      </c>
      <c r="J147" s="3">
        <f t="shared" si="29"/>
        <v>3637823.1448789444</v>
      </c>
      <c r="K147" s="47">
        <f t="shared" si="26"/>
        <v>8694435.9833470695</v>
      </c>
      <c r="L147" s="47">
        <f>IFERROR(HLOOKUP(B147-1,'EV Forecast VRZ'!$F$124:$T$130,6,FALSE)/12,0)+IFERROR(((HLOOKUP(B147,'EV Forecast VRZ'!$F$116:$T$122,6,FALSE)-HLOOKUP(B147-1,'EV Forecast VRZ'!$F$124:$T$130,6,FALSE)))*C147/78,0)</f>
        <v>25553.442157862803</v>
      </c>
      <c r="M147" s="47">
        <f t="shared" si="19"/>
        <v>8719989.4255049322</v>
      </c>
    </row>
    <row r="148" spans="1:13">
      <c r="A148" s="2">
        <f t="shared" si="22"/>
        <v>46843</v>
      </c>
      <c r="B148">
        <f t="shared" si="23"/>
        <v>2028</v>
      </c>
      <c r="C148">
        <f t="shared" si="24"/>
        <v>3</v>
      </c>
      <c r="E148" s="261">
        <f t="shared" si="25"/>
        <v>904812.6129999999</v>
      </c>
      <c r="F148" s="3">
        <v>23</v>
      </c>
      <c r="H148" s="3">
        <f t="shared" si="27"/>
        <v>-3751454.0580042</v>
      </c>
      <c r="I148" s="3">
        <f t="shared" si="28"/>
        <v>8808066.8964723255</v>
      </c>
      <c r="J148" s="3">
        <f t="shared" si="29"/>
        <v>3984282.4920102721</v>
      </c>
      <c r="K148" s="47">
        <f t="shared" si="26"/>
        <v>9040895.3304783963</v>
      </c>
      <c r="L148" s="47">
        <f>IFERROR(HLOOKUP(B148-1,'EV Forecast VRZ'!$F$124:$T$130,6,FALSE)/12,0)+IFERROR(((HLOOKUP(B148,'EV Forecast VRZ'!$F$116:$T$122,6,FALSE)-HLOOKUP(B148-1,'EV Forecast VRZ'!$F$124:$T$130,6,FALSE)))*C148/78,0)</f>
        <v>25898.23384610299</v>
      </c>
      <c r="M148" s="47">
        <f t="shared" si="19"/>
        <v>9066793.5643245</v>
      </c>
    </row>
    <row r="149" spans="1:13">
      <c r="A149" s="2">
        <f t="shared" si="22"/>
        <v>46873</v>
      </c>
      <c r="B149">
        <f t="shared" si="23"/>
        <v>2028</v>
      </c>
      <c r="C149">
        <f t="shared" si="24"/>
        <v>4</v>
      </c>
      <c r="E149" s="261">
        <f t="shared" si="25"/>
        <v>904812.6129999999</v>
      </c>
      <c r="F149" s="3">
        <v>19</v>
      </c>
      <c r="H149" s="3">
        <f t="shared" si="27"/>
        <v>-3751454.0580042</v>
      </c>
      <c r="I149" s="3">
        <f t="shared" si="28"/>
        <v>8808066.8964723255</v>
      </c>
      <c r="J149" s="3">
        <f t="shared" si="29"/>
        <v>3291363.7977476162</v>
      </c>
      <c r="K149" s="47">
        <f t="shared" si="26"/>
        <v>8347976.6362157408</v>
      </c>
      <c r="L149" s="47">
        <f>IFERROR(HLOOKUP(B149-1,'EV Forecast VRZ'!$F$124:$T$130,6,FALSE)/12,0)+IFERROR(((HLOOKUP(B149,'EV Forecast VRZ'!$F$116:$T$122,6,FALSE)-HLOOKUP(B149-1,'EV Forecast VRZ'!$F$124:$T$130,6,FALSE)))*C149/78,0)</f>
        <v>26243.025534343178</v>
      </c>
      <c r="M149" s="47">
        <f t="shared" si="19"/>
        <v>8374219.6617500838</v>
      </c>
    </row>
    <row r="150" spans="1:13">
      <c r="A150" s="2">
        <f t="shared" si="22"/>
        <v>46904</v>
      </c>
      <c r="B150">
        <f t="shared" si="23"/>
        <v>2028</v>
      </c>
      <c r="C150">
        <f t="shared" si="24"/>
        <v>5</v>
      </c>
      <c r="E150" s="261">
        <f t="shared" si="25"/>
        <v>904812.6129999999</v>
      </c>
      <c r="F150" s="3">
        <v>22</v>
      </c>
      <c r="H150" s="3">
        <f t="shared" si="27"/>
        <v>-3751454.0580042</v>
      </c>
      <c r="I150" s="3">
        <f t="shared" si="28"/>
        <v>8808066.8964723255</v>
      </c>
      <c r="J150" s="3">
        <f t="shared" si="29"/>
        <v>3811052.8184446082</v>
      </c>
      <c r="K150" s="47">
        <f t="shared" si="26"/>
        <v>8867665.6569127329</v>
      </c>
      <c r="L150" s="47">
        <f>IFERROR(HLOOKUP(B150-1,'EV Forecast VRZ'!$F$124:$T$130,6,FALSE)/12,0)+IFERROR(((HLOOKUP(B150,'EV Forecast VRZ'!$F$116:$T$122,6,FALSE)-HLOOKUP(B150-1,'EV Forecast VRZ'!$F$124:$T$130,6,FALSE)))*C150/78,0)</f>
        <v>26587.817222583366</v>
      </c>
      <c r="M150" s="47">
        <f t="shared" si="19"/>
        <v>8894253.4741353169</v>
      </c>
    </row>
    <row r="151" spans="1:13">
      <c r="A151" s="2">
        <f t="shared" si="22"/>
        <v>46934</v>
      </c>
      <c r="B151">
        <f t="shared" si="23"/>
        <v>2028</v>
      </c>
      <c r="C151">
        <f t="shared" si="24"/>
        <v>6</v>
      </c>
      <c r="E151" s="261">
        <f t="shared" si="25"/>
        <v>904812.6129999999</v>
      </c>
      <c r="F151" s="3">
        <v>22</v>
      </c>
      <c r="H151" s="3">
        <f t="shared" si="27"/>
        <v>-3751454.0580042</v>
      </c>
      <c r="I151" s="3">
        <f t="shared" si="28"/>
        <v>8808066.8964723255</v>
      </c>
      <c r="J151" s="3">
        <f t="shared" si="29"/>
        <v>3811052.8184446082</v>
      </c>
      <c r="K151" s="47">
        <f t="shared" si="26"/>
        <v>8867665.6569127329</v>
      </c>
      <c r="L151" s="47">
        <f>IFERROR(HLOOKUP(B151-1,'EV Forecast VRZ'!$F$124:$T$130,6,FALSE)/12,0)+IFERROR(((HLOOKUP(B151,'EV Forecast VRZ'!$F$116:$T$122,6,FALSE)-HLOOKUP(B151-1,'EV Forecast VRZ'!$F$124:$T$130,6,FALSE)))*C151/78,0)</f>
        <v>26932.608910823554</v>
      </c>
      <c r="M151" s="47">
        <f t="shared" si="19"/>
        <v>8894598.2658235561</v>
      </c>
    </row>
    <row r="152" spans="1:13">
      <c r="A152" s="2">
        <f t="shared" si="22"/>
        <v>46965</v>
      </c>
      <c r="B152">
        <f t="shared" si="23"/>
        <v>2028</v>
      </c>
      <c r="C152">
        <f t="shared" si="24"/>
        <v>7</v>
      </c>
      <c r="E152" s="261">
        <f t="shared" si="25"/>
        <v>904812.6129999999</v>
      </c>
      <c r="F152" s="3">
        <v>20</v>
      </c>
      <c r="H152" s="3">
        <f t="shared" si="27"/>
        <v>-3751454.0580042</v>
      </c>
      <c r="I152" s="3">
        <f t="shared" si="28"/>
        <v>8808066.8964723255</v>
      </c>
      <c r="J152" s="3">
        <f t="shared" si="29"/>
        <v>3464593.4713132801</v>
      </c>
      <c r="K152" s="47">
        <f t="shared" si="26"/>
        <v>8521206.3097814061</v>
      </c>
      <c r="L152" s="47">
        <f>IFERROR(HLOOKUP(B152-1,'EV Forecast VRZ'!$F$124:$T$130,6,FALSE)/12,0)+IFERROR(((HLOOKUP(B152,'EV Forecast VRZ'!$F$116:$T$122,6,FALSE)-HLOOKUP(B152-1,'EV Forecast VRZ'!$F$124:$T$130,6,FALSE)))*C152/78,0)</f>
        <v>27277.400599063742</v>
      </c>
      <c r="M152" s="47">
        <f t="shared" si="19"/>
        <v>8548483.7103804704</v>
      </c>
    </row>
    <row r="153" spans="1:13">
      <c r="A153" s="2">
        <f t="shared" si="22"/>
        <v>46996</v>
      </c>
      <c r="B153">
        <f t="shared" si="23"/>
        <v>2028</v>
      </c>
      <c r="C153">
        <f t="shared" si="24"/>
        <v>8</v>
      </c>
      <c r="E153" s="261">
        <f t="shared" si="25"/>
        <v>904812.6129999999</v>
      </c>
      <c r="F153" s="3">
        <v>22</v>
      </c>
      <c r="H153" s="3">
        <f t="shared" si="27"/>
        <v>-3751454.0580042</v>
      </c>
      <c r="I153" s="3">
        <f t="shared" si="28"/>
        <v>8808066.8964723255</v>
      </c>
      <c r="J153" s="3">
        <f t="shared" si="29"/>
        <v>3811052.8184446082</v>
      </c>
      <c r="K153" s="47">
        <f t="shared" si="26"/>
        <v>8867665.6569127329</v>
      </c>
      <c r="L153" s="47">
        <f>IFERROR(HLOOKUP(B153-1,'EV Forecast VRZ'!$F$124:$T$130,6,FALSE)/12,0)+IFERROR(((HLOOKUP(B153,'EV Forecast VRZ'!$F$116:$T$122,6,FALSE)-HLOOKUP(B153-1,'EV Forecast VRZ'!$F$124:$T$130,6,FALSE)))*C153/78,0)</f>
        <v>27622.192287303929</v>
      </c>
      <c r="M153" s="47">
        <f t="shared" si="19"/>
        <v>8895287.8492000364</v>
      </c>
    </row>
    <row r="154" spans="1:13">
      <c r="A154" s="2">
        <f t="shared" si="22"/>
        <v>47026</v>
      </c>
      <c r="B154">
        <f t="shared" si="23"/>
        <v>2028</v>
      </c>
      <c r="C154">
        <f t="shared" si="24"/>
        <v>9</v>
      </c>
      <c r="E154" s="261">
        <f t="shared" si="25"/>
        <v>904812.6129999999</v>
      </c>
      <c r="F154" s="3">
        <v>20</v>
      </c>
      <c r="H154" s="3">
        <f t="shared" si="27"/>
        <v>-3751454.0580042</v>
      </c>
      <c r="I154" s="3">
        <f t="shared" si="28"/>
        <v>8808066.8964723255</v>
      </c>
      <c r="J154" s="3">
        <f t="shared" si="29"/>
        <v>3464593.4713132801</v>
      </c>
      <c r="K154" s="47">
        <f t="shared" si="26"/>
        <v>8521206.3097814061</v>
      </c>
      <c r="L154" s="47">
        <f>IFERROR(HLOOKUP(B154-1,'EV Forecast VRZ'!$F$124:$T$130,6,FALSE)/12,0)+IFERROR(((HLOOKUP(B154,'EV Forecast VRZ'!$F$116:$T$122,6,FALSE)-HLOOKUP(B154-1,'EV Forecast VRZ'!$F$124:$T$130,6,FALSE)))*C154/78,0)</f>
        <v>27966.983975544117</v>
      </c>
      <c r="M154" s="47">
        <f t="shared" si="19"/>
        <v>8549173.2937569506</v>
      </c>
    </row>
    <row r="155" spans="1:13">
      <c r="A155" s="2">
        <f t="shared" si="22"/>
        <v>47057</v>
      </c>
      <c r="B155">
        <f t="shared" si="23"/>
        <v>2028</v>
      </c>
      <c r="C155">
        <f t="shared" si="24"/>
        <v>10</v>
      </c>
      <c r="E155" s="261">
        <f t="shared" si="25"/>
        <v>904812.6129999999</v>
      </c>
      <c r="F155" s="3">
        <v>21</v>
      </c>
      <c r="H155" s="3">
        <f t="shared" si="27"/>
        <v>-3751454.0580042</v>
      </c>
      <c r="I155" s="3">
        <f t="shared" si="28"/>
        <v>8808066.8964723255</v>
      </c>
      <c r="J155" s="3">
        <f t="shared" si="29"/>
        <v>3637823.1448789444</v>
      </c>
      <c r="K155" s="47">
        <f t="shared" si="26"/>
        <v>8694435.9833470695</v>
      </c>
      <c r="L155" s="47">
        <f>IFERROR(HLOOKUP(B155-1,'EV Forecast VRZ'!$F$124:$T$130,6,FALSE)/12,0)+IFERROR(((HLOOKUP(B155,'EV Forecast VRZ'!$F$116:$T$122,6,FALSE)-HLOOKUP(B155-1,'EV Forecast VRZ'!$F$124:$T$130,6,FALSE)))*C155/78,0)</f>
        <v>28311.775663784305</v>
      </c>
      <c r="M155" s="47">
        <f t="shared" si="19"/>
        <v>8722747.7590108532</v>
      </c>
    </row>
    <row r="156" spans="1:13">
      <c r="A156" s="2">
        <f t="shared" si="22"/>
        <v>47087</v>
      </c>
      <c r="B156">
        <f t="shared" si="23"/>
        <v>2028</v>
      </c>
      <c r="C156">
        <f t="shared" si="24"/>
        <v>11</v>
      </c>
      <c r="E156" s="261">
        <f t="shared" si="25"/>
        <v>904812.6129999999</v>
      </c>
      <c r="F156" s="3">
        <v>22</v>
      </c>
      <c r="H156" s="3">
        <f t="shared" si="27"/>
        <v>-3751454.0580042</v>
      </c>
      <c r="I156" s="3">
        <f t="shared" si="28"/>
        <v>8808066.8964723255</v>
      </c>
      <c r="J156" s="3">
        <f t="shared" si="29"/>
        <v>3811052.8184446082</v>
      </c>
      <c r="K156" s="47">
        <f t="shared" si="26"/>
        <v>8867665.6569127329</v>
      </c>
      <c r="L156" s="47">
        <f>IFERROR(HLOOKUP(B156-1,'EV Forecast VRZ'!$F$124:$T$130,6,FALSE)/12,0)+IFERROR(((HLOOKUP(B156,'EV Forecast VRZ'!$F$116:$T$122,6,FALSE)-HLOOKUP(B156-1,'EV Forecast VRZ'!$F$124:$T$130,6,FALSE)))*C156/78,0)</f>
        <v>28656.567352024493</v>
      </c>
      <c r="M156" s="47">
        <f t="shared" si="19"/>
        <v>8896322.2242647577</v>
      </c>
    </row>
    <row r="157" spans="1:13">
      <c r="A157" s="2">
        <f t="shared" si="22"/>
        <v>47118</v>
      </c>
      <c r="B157">
        <f t="shared" si="23"/>
        <v>2028</v>
      </c>
      <c r="C157">
        <f t="shared" si="24"/>
        <v>12</v>
      </c>
      <c r="E157" s="261">
        <f t="shared" si="25"/>
        <v>904812.6129999999</v>
      </c>
      <c r="F157" s="3">
        <v>19</v>
      </c>
      <c r="H157" s="3">
        <f t="shared" si="27"/>
        <v>-3751454.0580042</v>
      </c>
      <c r="I157" s="3">
        <f t="shared" si="28"/>
        <v>8808066.8964723255</v>
      </c>
      <c r="J157" s="3">
        <f t="shared" si="29"/>
        <v>3291363.7977476162</v>
      </c>
      <c r="K157" s="47">
        <f t="shared" si="26"/>
        <v>8347976.6362157408</v>
      </c>
      <c r="L157" s="47">
        <f>IFERROR(HLOOKUP(B157-1,'EV Forecast VRZ'!$F$124:$T$130,6,FALSE)/12,0)+IFERROR(((HLOOKUP(B157,'EV Forecast VRZ'!$F$116:$T$122,6,FALSE)-HLOOKUP(B157-1,'EV Forecast VRZ'!$F$124:$T$130,6,FALSE)))*C157/78,0)</f>
        <v>29001.359040264681</v>
      </c>
      <c r="M157" s="47">
        <f t="shared" si="19"/>
        <v>8376977.9952560058</v>
      </c>
    </row>
    <row r="158" spans="1:13">
      <c r="A158" s="2">
        <f t="shared" si="22"/>
        <v>47149</v>
      </c>
      <c r="B158">
        <f t="shared" si="23"/>
        <v>2029</v>
      </c>
      <c r="C158">
        <f t="shared" si="24"/>
        <v>1</v>
      </c>
      <c r="E158" s="261">
        <f>E146*(1+'Economic Data'!$AC$15)</f>
        <v>921099.2400339999</v>
      </c>
      <c r="F158" s="3">
        <v>22</v>
      </c>
      <c r="H158" s="3">
        <f t="shared" si="27"/>
        <v>-3751454.0580042</v>
      </c>
      <c r="I158" s="3">
        <f t="shared" si="28"/>
        <v>8966612.1006088275</v>
      </c>
      <c r="J158" s="3">
        <f t="shared" si="29"/>
        <v>3811052.8184446082</v>
      </c>
      <c r="K158" s="47">
        <f t="shared" si="26"/>
        <v>9026210.8610492349</v>
      </c>
      <c r="L158" s="47">
        <f>IFERROR(HLOOKUP(B158-1,'EV Forecast VRZ'!$F$124:$T$130,6,FALSE)/12,0)+IFERROR(((HLOOKUP(B158,'EV Forecast VRZ'!$F$116:$T$122,6,FALSE)-HLOOKUP(B158-1,'EV Forecast VRZ'!$F$124:$T$130,6,FALSE)))*C158/78,0)</f>
        <v>30810.524315660423</v>
      </c>
      <c r="M158" s="47">
        <f t="shared" si="19"/>
        <v>9057021.3853648957</v>
      </c>
    </row>
    <row r="159" spans="1:13">
      <c r="A159" s="2">
        <f t="shared" si="22"/>
        <v>47177</v>
      </c>
      <c r="B159">
        <f t="shared" si="23"/>
        <v>2029</v>
      </c>
      <c r="C159">
        <f t="shared" si="24"/>
        <v>2</v>
      </c>
      <c r="E159" s="261">
        <f>E147*(1+'Economic Data'!$AC$15)</f>
        <v>921099.2400339999</v>
      </c>
      <c r="F159" s="3">
        <v>19</v>
      </c>
      <c r="H159" s="3">
        <f t="shared" si="27"/>
        <v>-3751454.0580042</v>
      </c>
      <c r="I159" s="3">
        <f t="shared" si="28"/>
        <v>8966612.1006088275</v>
      </c>
      <c r="J159" s="3">
        <f t="shared" si="29"/>
        <v>3291363.7977476162</v>
      </c>
      <c r="K159" s="47">
        <f t="shared" si="26"/>
        <v>8506521.8403522428</v>
      </c>
      <c r="L159" s="47">
        <f>IFERROR(HLOOKUP(B159-1,'EV Forecast VRZ'!$F$124:$T$130,6,FALSE)/12,0)+IFERROR(((HLOOKUP(B159,'EV Forecast VRZ'!$F$116:$T$122,6,FALSE)-HLOOKUP(B159-1,'EV Forecast VRZ'!$F$124:$T$130,6,FALSE)))*C159/78,0)</f>
        <v>31341.725236149312</v>
      </c>
      <c r="M159" s="47">
        <f t="shared" si="19"/>
        <v>8537863.5655883923</v>
      </c>
    </row>
    <row r="160" spans="1:13">
      <c r="A160" s="2">
        <f t="shared" si="22"/>
        <v>47208</v>
      </c>
      <c r="B160">
        <f t="shared" si="23"/>
        <v>2029</v>
      </c>
      <c r="C160">
        <f t="shared" si="24"/>
        <v>3</v>
      </c>
      <c r="E160" s="261">
        <f>E148*(1+'Economic Data'!$AC$15)</f>
        <v>921099.2400339999</v>
      </c>
      <c r="F160" s="3">
        <v>21</v>
      </c>
      <c r="H160" s="3">
        <f t="shared" si="27"/>
        <v>-3751454.0580042</v>
      </c>
      <c r="I160" s="3">
        <f t="shared" si="28"/>
        <v>8966612.1006088275</v>
      </c>
      <c r="J160" s="3">
        <f t="shared" si="29"/>
        <v>3637823.1448789444</v>
      </c>
      <c r="K160" s="47">
        <f t="shared" si="26"/>
        <v>8852981.1874835715</v>
      </c>
      <c r="L160" s="47">
        <f>IFERROR(HLOOKUP(B160-1,'EV Forecast VRZ'!$F$124:$T$130,6,FALSE)/12,0)+IFERROR(((HLOOKUP(B160,'EV Forecast VRZ'!$F$116:$T$122,6,FALSE)-HLOOKUP(B160-1,'EV Forecast VRZ'!$F$124:$T$130,6,FALSE)))*C160/78,0)</f>
        <v>31872.926156638201</v>
      </c>
      <c r="M160" s="47">
        <f t="shared" si="19"/>
        <v>8884854.1136402097</v>
      </c>
    </row>
    <row r="161" spans="1:13">
      <c r="A161" s="2">
        <f t="shared" si="22"/>
        <v>47238</v>
      </c>
      <c r="B161">
        <f t="shared" si="23"/>
        <v>2029</v>
      </c>
      <c r="C161">
        <f t="shared" si="24"/>
        <v>4</v>
      </c>
      <c r="E161" s="261">
        <f>E149*(1+'Economic Data'!$AC$15)</f>
        <v>921099.2400339999</v>
      </c>
      <c r="F161" s="3">
        <v>21</v>
      </c>
      <c r="H161" s="3">
        <f t="shared" si="27"/>
        <v>-3751454.0580042</v>
      </c>
      <c r="I161" s="3">
        <f t="shared" si="28"/>
        <v>8966612.1006088275</v>
      </c>
      <c r="J161" s="3">
        <f t="shared" si="29"/>
        <v>3637823.1448789444</v>
      </c>
      <c r="K161" s="47">
        <f t="shared" si="26"/>
        <v>8852981.1874835715</v>
      </c>
      <c r="L161" s="47">
        <f>IFERROR(HLOOKUP(B161-1,'EV Forecast VRZ'!$F$124:$T$130,6,FALSE)/12,0)+IFERROR(((HLOOKUP(B161,'EV Forecast VRZ'!$F$116:$T$122,6,FALSE)-HLOOKUP(B161-1,'EV Forecast VRZ'!$F$124:$T$130,6,FALSE)))*C161/78,0)</f>
        <v>32404.12707712709</v>
      </c>
      <c r="M161" s="47">
        <f t="shared" si="19"/>
        <v>8885385.3145606983</v>
      </c>
    </row>
    <row r="162" spans="1:13">
      <c r="A162" s="2">
        <f t="shared" si="22"/>
        <v>47269</v>
      </c>
      <c r="B162">
        <f t="shared" si="23"/>
        <v>2029</v>
      </c>
      <c r="C162">
        <f t="shared" si="24"/>
        <v>5</v>
      </c>
      <c r="E162" s="261">
        <f>E150*(1+'Economic Data'!$AC$15)</f>
        <v>921099.2400339999</v>
      </c>
      <c r="F162" s="3">
        <v>22</v>
      </c>
      <c r="H162" s="3">
        <f t="shared" ref="H162:H193" si="30">$Q$8</f>
        <v>-3751454.0580042</v>
      </c>
      <c r="I162" s="3">
        <f t="shared" ref="I162:I193" si="31">E162*$Q$9</f>
        <v>8966612.1006088275</v>
      </c>
      <c r="J162" s="3">
        <f t="shared" ref="J162:J193" si="32">F162*$Q$10</f>
        <v>3811052.8184446082</v>
      </c>
      <c r="K162" s="47">
        <f t="shared" ref="K162:K193" si="33">SUM(H162:J162)</f>
        <v>9026210.8610492349</v>
      </c>
      <c r="L162" s="47">
        <f>IFERROR(HLOOKUP(B162-1,'EV Forecast VRZ'!$F$124:$T$130,6,FALSE)/12,0)+IFERROR(((HLOOKUP(B162,'EV Forecast VRZ'!$F$116:$T$122,6,FALSE)-HLOOKUP(B162-1,'EV Forecast VRZ'!$F$124:$T$130,6,FALSE)))*C162/78,0)</f>
        <v>32935.327997615983</v>
      </c>
      <c r="M162" s="47">
        <f t="shared" si="19"/>
        <v>9059146.1890468504</v>
      </c>
    </row>
    <row r="163" spans="1:13">
      <c r="A163" s="2">
        <f t="shared" ref="A163:A193" si="34">EOMONTH(A162,1)</f>
        <v>47299</v>
      </c>
      <c r="B163">
        <f t="shared" ref="B163:B193" si="35">YEAR(A163)</f>
        <v>2029</v>
      </c>
      <c r="C163">
        <f t="shared" ref="C163:C193" si="36">MONTH(A163)</f>
        <v>6</v>
      </c>
      <c r="E163" s="261">
        <f>E151*(1+'Economic Data'!$AC$15)</f>
        <v>921099.2400339999</v>
      </c>
      <c r="F163" s="3">
        <v>21</v>
      </c>
      <c r="H163" s="3">
        <f t="shared" si="30"/>
        <v>-3751454.0580042</v>
      </c>
      <c r="I163" s="3">
        <f t="shared" si="31"/>
        <v>8966612.1006088275</v>
      </c>
      <c r="J163" s="3">
        <f t="shared" si="32"/>
        <v>3637823.1448789444</v>
      </c>
      <c r="K163" s="47">
        <f t="shared" si="33"/>
        <v>8852981.1874835715</v>
      </c>
      <c r="L163" s="47">
        <f>IFERROR(HLOOKUP(B163-1,'EV Forecast VRZ'!$F$124:$T$130,6,FALSE)/12,0)+IFERROR(((HLOOKUP(B163,'EV Forecast VRZ'!$F$116:$T$122,6,FALSE)-HLOOKUP(B163-1,'EV Forecast VRZ'!$F$124:$T$130,6,FALSE)))*C163/78,0)</f>
        <v>33466.528918104872</v>
      </c>
      <c r="M163" s="47">
        <f t="shared" si="19"/>
        <v>8886447.7164016757</v>
      </c>
    </row>
    <row r="164" spans="1:13">
      <c r="A164" s="2">
        <f t="shared" si="34"/>
        <v>47330</v>
      </c>
      <c r="B164">
        <f t="shared" si="35"/>
        <v>2029</v>
      </c>
      <c r="C164">
        <f t="shared" si="36"/>
        <v>7</v>
      </c>
      <c r="E164" s="261">
        <f>E152*(1+'Economic Data'!$AC$15)</f>
        <v>921099.2400339999</v>
      </c>
      <c r="F164" s="3">
        <v>21</v>
      </c>
      <c r="H164" s="3">
        <f t="shared" si="30"/>
        <v>-3751454.0580042</v>
      </c>
      <c r="I164" s="3">
        <f t="shared" si="31"/>
        <v>8966612.1006088275</v>
      </c>
      <c r="J164" s="3">
        <f t="shared" si="32"/>
        <v>3637823.1448789444</v>
      </c>
      <c r="K164" s="47">
        <f t="shared" si="33"/>
        <v>8852981.1874835715</v>
      </c>
      <c r="L164" s="47">
        <f>IFERROR(HLOOKUP(B164-1,'EV Forecast VRZ'!$F$124:$T$130,6,FALSE)/12,0)+IFERROR(((HLOOKUP(B164,'EV Forecast VRZ'!$F$116:$T$122,6,FALSE)-HLOOKUP(B164-1,'EV Forecast VRZ'!$F$124:$T$130,6,FALSE)))*C164/78,0)</f>
        <v>33997.729838593761</v>
      </c>
      <c r="M164" s="47">
        <f t="shared" si="19"/>
        <v>8886978.9173221644</v>
      </c>
    </row>
    <row r="165" spans="1:13">
      <c r="A165" s="2">
        <f t="shared" si="34"/>
        <v>47361</v>
      </c>
      <c r="B165">
        <f t="shared" si="35"/>
        <v>2029</v>
      </c>
      <c r="C165">
        <f t="shared" si="36"/>
        <v>8</v>
      </c>
      <c r="E165" s="261">
        <f>E153*(1+'Economic Data'!$AC$15)</f>
        <v>921099.2400339999</v>
      </c>
      <c r="F165" s="3">
        <v>22</v>
      </c>
      <c r="H165" s="3">
        <f t="shared" si="30"/>
        <v>-3751454.0580042</v>
      </c>
      <c r="I165" s="3">
        <f t="shared" si="31"/>
        <v>8966612.1006088275</v>
      </c>
      <c r="J165" s="3">
        <f t="shared" si="32"/>
        <v>3811052.8184446082</v>
      </c>
      <c r="K165" s="47">
        <f t="shared" si="33"/>
        <v>9026210.8610492349</v>
      </c>
      <c r="L165" s="47">
        <f>IFERROR(HLOOKUP(B165-1,'EV Forecast VRZ'!$F$124:$T$130,6,FALSE)/12,0)+IFERROR(((HLOOKUP(B165,'EV Forecast VRZ'!$F$116:$T$122,6,FALSE)-HLOOKUP(B165-1,'EV Forecast VRZ'!$F$124:$T$130,6,FALSE)))*C165/78,0)</f>
        <v>34528.93075908265</v>
      </c>
      <c r="M165" s="47">
        <f t="shared" si="19"/>
        <v>9060739.7918083183</v>
      </c>
    </row>
    <row r="166" spans="1:13">
      <c r="A166" s="2">
        <f t="shared" si="34"/>
        <v>47391</v>
      </c>
      <c r="B166">
        <f t="shared" si="35"/>
        <v>2029</v>
      </c>
      <c r="C166">
        <f t="shared" si="36"/>
        <v>9</v>
      </c>
      <c r="E166" s="261">
        <f>E154*(1+'Economic Data'!$AC$15)</f>
        <v>921099.2400339999</v>
      </c>
      <c r="F166" s="3">
        <v>19</v>
      </c>
      <c r="H166" s="3">
        <f t="shared" si="30"/>
        <v>-3751454.0580042</v>
      </c>
      <c r="I166" s="3">
        <f t="shared" si="31"/>
        <v>8966612.1006088275</v>
      </c>
      <c r="J166" s="3">
        <f t="shared" si="32"/>
        <v>3291363.7977476162</v>
      </c>
      <c r="K166" s="47">
        <f t="shared" si="33"/>
        <v>8506521.8403522428</v>
      </c>
      <c r="L166" s="47">
        <f>IFERROR(HLOOKUP(B166-1,'EV Forecast VRZ'!$F$124:$T$130,6,FALSE)/12,0)+IFERROR(((HLOOKUP(B166,'EV Forecast VRZ'!$F$116:$T$122,6,FALSE)-HLOOKUP(B166-1,'EV Forecast VRZ'!$F$124:$T$130,6,FALSE)))*C166/78,0)</f>
        <v>35060.131679571539</v>
      </c>
      <c r="M166" s="47">
        <f t="shared" si="19"/>
        <v>8541581.972031815</v>
      </c>
    </row>
    <row r="167" spans="1:13">
      <c r="A167" s="2">
        <f t="shared" si="34"/>
        <v>47422</v>
      </c>
      <c r="B167">
        <f t="shared" si="35"/>
        <v>2029</v>
      </c>
      <c r="C167">
        <f t="shared" si="36"/>
        <v>10</v>
      </c>
      <c r="E167" s="261">
        <f>E155*(1+'Economic Data'!$AC$15)</f>
        <v>921099.2400339999</v>
      </c>
      <c r="F167" s="3">
        <v>22</v>
      </c>
      <c r="H167" s="3">
        <f t="shared" si="30"/>
        <v>-3751454.0580042</v>
      </c>
      <c r="I167" s="3">
        <f t="shared" si="31"/>
        <v>8966612.1006088275</v>
      </c>
      <c r="J167" s="3">
        <f t="shared" si="32"/>
        <v>3811052.8184446082</v>
      </c>
      <c r="K167" s="47">
        <f t="shared" si="33"/>
        <v>9026210.8610492349</v>
      </c>
      <c r="L167" s="47">
        <f>IFERROR(HLOOKUP(B167-1,'EV Forecast VRZ'!$F$124:$T$130,6,FALSE)/12,0)+IFERROR(((HLOOKUP(B167,'EV Forecast VRZ'!$F$116:$T$122,6,FALSE)-HLOOKUP(B167-1,'EV Forecast VRZ'!$F$124:$T$130,6,FALSE)))*C167/78,0)</f>
        <v>35591.332600060428</v>
      </c>
      <c r="M167" s="47">
        <f t="shared" si="19"/>
        <v>9061802.1936492957</v>
      </c>
    </row>
    <row r="168" spans="1:13">
      <c r="A168" s="2">
        <f t="shared" si="34"/>
        <v>47452</v>
      </c>
      <c r="B168">
        <f t="shared" si="35"/>
        <v>2029</v>
      </c>
      <c r="C168">
        <f t="shared" si="36"/>
        <v>11</v>
      </c>
      <c r="E168" s="261">
        <f>E156*(1+'Economic Data'!$AC$15)</f>
        <v>921099.2400339999</v>
      </c>
      <c r="F168" s="3">
        <v>22</v>
      </c>
      <c r="H168" s="3">
        <f t="shared" si="30"/>
        <v>-3751454.0580042</v>
      </c>
      <c r="I168" s="3">
        <f t="shared" si="31"/>
        <v>8966612.1006088275</v>
      </c>
      <c r="J168" s="3">
        <f t="shared" si="32"/>
        <v>3811052.8184446082</v>
      </c>
      <c r="K168" s="47">
        <f t="shared" si="33"/>
        <v>9026210.8610492349</v>
      </c>
      <c r="L168" s="47">
        <f>IFERROR(HLOOKUP(B168-1,'EV Forecast VRZ'!$F$124:$T$130,6,FALSE)/12,0)+IFERROR(((HLOOKUP(B168,'EV Forecast VRZ'!$F$116:$T$122,6,FALSE)-HLOOKUP(B168-1,'EV Forecast VRZ'!$F$124:$T$130,6,FALSE)))*C168/78,0)</f>
        <v>36122.533520549317</v>
      </c>
      <c r="M168" s="47">
        <f t="shared" si="19"/>
        <v>9062333.3945697844</v>
      </c>
    </row>
    <row r="169" spans="1:13">
      <c r="A169" s="2">
        <f t="shared" si="34"/>
        <v>47483</v>
      </c>
      <c r="B169">
        <f t="shared" si="35"/>
        <v>2029</v>
      </c>
      <c r="C169">
        <f t="shared" si="36"/>
        <v>12</v>
      </c>
      <c r="E169" s="261">
        <f>E157*(1+'Economic Data'!$AC$15)</f>
        <v>921099.2400339999</v>
      </c>
      <c r="F169" s="3">
        <v>19</v>
      </c>
      <c r="H169" s="3">
        <f t="shared" si="30"/>
        <v>-3751454.0580042</v>
      </c>
      <c r="I169" s="3">
        <f t="shared" si="31"/>
        <v>8966612.1006088275</v>
      </c>
      <c r="J169" s="3">
        <f t="shared" si="32"/>
        <v>3291363.7977476162</v>
      </c>
      <c r="K169" s="47">
        <f t="shared" si="33"/>
        <v>8506521.8403522428</v>
      </c>
      <c r="L169" s="47">
        <f>IFERROR(HLOOKUP(B169-1,'EV Forecast VRZ'!$F$124:$T$130,6,FALSE)/12,0)+IFERROR(((HLOOKUP(B169,'EV Forecast VRZ'!$F$116:$T$122,6,FALSE)-HLOOKUP(B169-1,'EV Forecast VRZ'!$F$124:$T$130,6,FALSE)))*C169/78,0)</f>
        <v>36653.734441038207</v>
      </c>
      <c r="M169" s="47">
        <f t="shared" si="19"/>
        <v>8543175.574793281</v>
      </c>
    </row>
    <row r="170" spans="1:13">
      <c r="A170" s="2">
        <f t="shared" si="34"/>
        <v>47514</v>
      </c>
      <c r="B170">
        <f t="shared" si="35"/>
        <v>2030</v>
      </c>
      <c r="C170">
        <f t="shared" si="36"/>
        <v>1</v>
      </c>
      <c r="E170" s="261">
        <f>E158*(1+'Economic Data'!$AC$15)</f>
        <v>937679.02635461197</v>
      </c>
      <c r="F170" s="3">
        <v>22</v>
      </c>
      <c r="H170" s="3">
        <f t="shared" si="30"/>
        <v>-3751454.0580042</v>
      </c>
      <c r="I170" s="3">
        <f t="shared" si="31"/>
        <v>9128011.1184197869</v>
      </c>
      <c r="J170" s="3">
        <f t="shared" si="32"/>
        <v>3811052.8184446082</v>
      </c>
      <c r="K170" s="47">
        <f t="shared" si="33"/>
        <v>9187609.8788601942</v>
      </c>
      <c r="L170" s="47">
        <f>IFERROR(HLOOKUP(B170-1,'EV Forecast VRZ'!$F$124:$T$130,6,FALSE)/12,0)+IFERROR(((HLOOKUP(B170,'EV Forecast VRZ'!$F$116:$T$122,6,FALSE)-HLOOKUP(B170-1,'EV Forecast VRZ'!$F$124:$T$130,6,FALSE)))*C170/78,0)</f>
        <v>38135.593462920348</v>
      </c>
      <c r="M170" s="47">
        <f t="shared" si="19"/>
        <v>9225745.4723231141</v>
      </c>
    </row>
    <row r="171" spans="1:13">
      <c r="A171" s="2">
        <f t="shared" si="34"/>
        <v>47542</v>
      </c>
      <c r="B171">
        <f t="shared" si="35"/>
        <v>2030</v>
      </c>
      <c r="C171">
        <f t="shared" si="36"/>
        <v>2</v>
      </c>
      <c r="E171" s="261">
        <f>E159*(1+'Economic Data'!$AC$15)</f>
        <v>937679.02635461197</v>
      </c>
      <c r="F171" s="3">
        <v>19</v>
      </c>
      <c r="H171" s="3">
        <f t="shared" si="30"/>
        <v>-3751454.0580042</v>
      </c>
      <c r="I171" s="3">
        <f t="shared" si="31"/>
        <v>9128011.1184197869</v>
      </c>
      <c r="J171" s="3">
        <f t="shared" si="32"/>
        <v>3291363.7977476162</v>
      </c>
      <c r="K171" s="47">
        <f t="shared" si="33"/>
        <v>8667920.8581632022</v>
      </c>
      <c r="L171" s="47">
        <f>IFERROR(HLOOKUP(B171-1,'EV Forecast VRZ'!$F$124:$T$130,6,FALSE)/12,0)+IFERROR(((HLOOKUP(B171,'EV Forecast VRZ'!$F$116:$T$122,6,FALSE)-HLOOKUP(B171-1,'EV Forecast VRZ'!$F$124:$T$130,6,FALSE)))*C171/78,0)</f>
        <v>38754.741564313619</v>
      </c>
      <c r="M171" s="47">
        <f t="shared" ref="M171:M193" si="37">K171+L171</f>
        <v>8706675.5997275151</v>
      </c>
    </row>
    <row r="172" spans="1:13">
      <c r="A172" s="2">
        <f t="shared" si="34"/>
        <v>47573</v>
      </c>
      <c r="B172">
        <f t="shared" si="35"/>
        <v>2030</v>
      </c>
      <c r="C172">
        <f t="shared" si="36"/>
        <v>3</v>
      </c>
      <c r="E172" s="261">
        <f>E160*(1+'Economic Data'!$AC$15)</f>
        <v>937679.02635461197</v>
      </c>
      <c r="F172" s="3">
        <v>21</v>
      </c>
      <c r="H172" s="3">
        <f t="shared" si="30"/>
        <v>-3751454.0580042</v>
      </c>
      <c r="I172" s="3">
        <f t="shared" si="31"/>
        <v>9128011.1184197869</v>
      </c>
      <c r="J172" s="3">
        <f t="shared" si="32"/>
        <v>3637823.1448789444</v>
      </c>
      <c r="K172" s="47">
        <f t="shared" si="33"/>
        <v>9014380.2052945308</v>
      </c>
      <c r="L172" s="47">
        <f>IFERROR(HLOOKUP(B172-1,'EV Forecast VRZ'!$F$124:$T$130,6,FALSE)/12,0)+IFERROR(((HLOOKUP(B172,'EV Forecast VRZ'!$F$116:$T$122,6,FALSE)-HLOOKUP(B172-1,'EV Forecast VRZ'!$F$124:$T$130,6,FALSE)))*C172/78,0)</f>
        <v>39373.889665706884</v>
      </c>
      <c r="M172" s="47">
        <f t="shared" si="37"/>
        <v>9053754.0949602369</v>
      </c>
    </row>
    <row r="173" spans="1:13">
      <c r="A173" s="2">
        <f t="shared" si="34"/>
        <v>47603</v>
      </c>
      <c r="B173">
        <f t="shared" si="35"/>
        <v>2030</v>
      </c>
      <c r="C173">
        <f t="shared" si="36"/>
        <v>4</v>
      </c>
      <c r="E173" s="261">
        <f>E161*(1+'Economic Data'!$AC$15)</f>
        <v>937679.02635461197</v>
      </c>
      <c r="F173" s="3">
        <v>21</v>
      </c>
      <c r="H173" s="3">
        <f t="shared" si="30"/>
        <v>-3751454.0580042</v>
      </c>
      <c r="I173" s="3">
        <f t="shared" si="31"/>
        <v>9128011.1184197869</v>
      </c>
      <c r="J173" s="3">
        <f t="shared" si="32"/>
        <v>3637823.1448789444</v>
      </c>
      <c r="K173" s="47">
        <f t="shared" si="33"/>
        <v>9014380.2052945308</v>
      </c>
      <c r="L173" s="47">
        <f>IFERROR(HLOOKUP(B173-1,'EV Forecast VRZ'!$F$124:$T$130,6,FALSE)/12,0)+IFERROR(((HLOOKUP(B173,'EV Forecast VRZ'!$F$116:$T$122,6,FALSE)-HLOOKUP(B173-1,'EV Forecast VRZ'!$F$124:$T$130,6,FALSE)))*C173/78,0)</f>
        <v>39993.037767100155</v>
      </c>
      <c r="M173" s="47">
        <f t="shared" si="37"/>
        <v>9054373.2430616319</v>
      </c>
    </row>
    <row r="174" spans="1:13">
      <c r="A174" s="2">
        <f t="shared" si="34"/>
        <v>47634</v>
      </c>
      <c r="B174">
        <f t="shared" si="35"/>
        <v>2030</v>
      </c>
      <c r="C174">
        <f t="shared" si="36"/>
        <v>5</v>
      </c>
      <c r="E174" s="261">
        <f>E162*(1+'Economic Data'!$AC$15)</f>
        <v>937679.02635461197</v>
      </c>
      <c r="F174" s="3">
        <v>22</v>
      </c>
      <c r="H174" s="3">
        <f t="shared" si="30"/>
        <v>-3751454.0580042</v>
      </c>
      <c r="I174" s="3">
        <f t="shared" si="31"/>
        <v>9128011.1184197869</v>
      </c>
      <c r="J174" s="3">
        <f t="shared" si="32"/>
        <v>3811052.8184446082</v>
      </c>
      <c r="K174" s="47">
        <f t="shared" si="33"/>
        <v>9187609.8788601942</v>
      </c>
      <c r="L174" s="47">
        <f>IFERROR(HLOOKUP(B174-1,'EV Forecast VRZ'!$F$124:$T$130,6,FALSE)/12,0)+IFERROR(((HLOOKUP(B174,'EV Forecast VRZ'!$F$116:$T$122,6,FALSE)-HLOOKUP(B174-1,'EV Forecast VRZ'!$F$124:$T$130,6,FALSE)))*C174/78,0)</f>
        <v>40612.18586849342</v>
      </c>
      <c r="M174" s="47">
        <f t="shared" si="37"/>
        <v>9228222.0647286884</v>
      </c>
    </row>
    <row r="175" spans="1:13">
      <c r="A175" s="2">
        <f t="shared" si="34"/>
        <v>47664</v>
      </c>
      <c r="B175">
        <f t="shared" si="35"/>
        <v>2030</v>
      </c>
      <c r="C175">
        <f t="shared" si="36"/>
        <v>6</v>
      </c>
      <c r="E175" s="261">
        <f>E163*(1+'Economic Data'!$AC$15)</f>
        <v>937679.02635461197</v>
      </c>
      <c r="F175" s="3">
        <v>20</v>
      </c>
      <c r="H175" s="3">
        <f t="shared" si="30"/>
        <v>-3751454.0580042</v>
      </c>
      <c r="I175" s="3">
        <f t="shared" si="31"/>
        <v>9128011.1184197869</v>
      </c>
      <c r="J175" s="3">
        <f t="shared" si="32"/>
        <v>3464593.4713132801</v>
      </c>
      <c r="K175" s="47">
        <f t="shared" si="33"/>
        <v>8841150.5317288674</v>
      </c>
      <c r="L175" s="47">
        <f>IFERROR(HLOOKUP(B175-1,'EV Forecast VRZ'!$F$124:$T$130,6,FALSE)/12,0)+IFERROR(((HLOOKUP(B175,'EV Forecast VRZ'!$F$116:$T$122,6,FALSE)-HLOOKUP(B175-1,'EV Forecast VRZ'!$F$124:$T$130,6,FALSE)))*C175/78,0)</f>
        <v>41231.333969886691</v>
      </c>
      <c r="M175" s="47">
        <f t="shared" si="37"/>
        <v>8882381.8656987548</v>
      </c>
    </row>
    <row r="176" spans="1:13">
      <c r="A176" s="2">
        <f t="shared" si="34"/>
        <v>47695</v>
      </c>
      <c r="B176">
        <f t="shared" si="35"/>
        <v>2030</v>
      </c>
      <c r="C176">
        <f t="shared" si="36"/>
        <v>7</v>
      </c>
      <c r="E176" s="261">
        <f>E164*(1+'Economic Data'!$AC$15)</f>
        <v>937679.02635461197</v>
      </c>
      <c r="F176" s="3">
        <v>22</v>
      </c>
      <c r="H176" s="3">
        <f t="shared" si="30"/>
        <v>-3751454.0580042</v>
      </c>
      <c r="I176" s="3">
        <f t="shared" si="31"/>
        <v>9128011.1184197869</v>
      </c>
      <c r="J176" s="3">
        <f t="shared" si="32"/>
        <v>3811052.8184446082</v>
      </c>
      <c r="K176" s="47">
        <f t="shared" si="33"/>
        <v>9187609.8788601942</v>
      </c>
      <c r="L176" s="47">
        <f>IFERROR(HLOOKUP(B176-1,'EV Forecast VRZ'!$F$124:$T$130,6,FALSE)/12,0)+IFERROR(((HLOOKUP(B176,'EV Forecast VRZ'!$F$116:$T$122,6,FALSE)-HLOOKUP(B176-1,'EV Forecast VRZ'!$F$124:$T$130,6,FALSE)))*C176/78,0)</f>
        <v>41850.482071279956</v>
      </c>
      <c r="M176" s="47">
        <f t="shared" si="37"/>
        <v>9229460.3609314747</v>
      </c>
    </row>
    <row r="177" spans="1:13">
      <c r="A177" s="2">
        <f t="shared" si="34"/>
        <v>47726</v>
      </c>
      <c r="B177">
        <f t="shared" si="35"/>
        <v>2030</v>
      </c>
      <c r="C177">
        <f t="shared" si="36"/>
        <v>8</v>
      </c>
      <c r="E177" s="261">
        <f>E165*(1+'Economic Data'!$AC$15)</f>
        <v>937679.02635461197</v>
      </c>
      <c r="F177" s="3">
        <v>21</v>
      </c>
      <c r="H177" s="3">
        <f t="shared" si="30"/>
        <v>-3751454.0580042</v>
      </c>
      <c r="I177" s="3">
        <f t="shared" si="31"/>
        <v>9128011.1184197869</v>
      </c>
      <c r="J177" s="3">
        <f t="shared" si="32"/>
        <v>3637823.1448789444</v>
      </c>
      <c r="K177" s="47">
        <f t="shared" si="33"/>
        <v>9014380.2052945308</v>
      </c>
      <c r="L177" s="47">
        <f>IFERROR(HLOOKUP(B177-1,'EV Forecast VRZ'!$F$124:$T$130,6,FALSE)/12,0)+IFERROR(((HLOOKUP(B177,'EV Forecast VRZ'!$F$116:$T$122,6,FALSE)-HLOOKUP(B177-1,'EV Forecast VRZ'!$F$124:$T$130,6,FALSE)))*C177/78,0)</f>
        <v>42469.630172673227</v>
      </c>
      <c r="M177" s="47">
        <f t="shared" si="37"/>
        <v>9056849.8354672045</v>
      </c>
    </row>
    <row r="178" spans="1:13">
      <c r="A178" s="2">
        <f t="shared" si="34"/>
        <v>47756</v>
      </c>
      <c r="B178">
        <f t="shared" si="35"/>
        <v>2030</v>
      </c>
      <c r="C178">
        <f t="shared" si="36"/>
        <v>9</v>
      </c>
      <c r="E178" s="261">
        <f>E166*(1+'Economic Data'!$AC$15)</f>
        <v>937679.02635461197</v>
      </c>
      <c r="F178" s="3">
        <v>20</v>
      </c>
      <c r="H178" s="3">
        <f t="shared" si="30"/>
        <v>-3751454.0580042</v>
      </c>
      <c r="I178" s="3">
        <f t="shared" si="31"/>
        <v>9128011.1184197869</v>
      </c>
      <c r="J178" s="3">
        <f t="shared" si="32"/>
        <v>3464593.4713132801</v>
      </c>
      <c r="K178" s="47">
        <f t="shared" si="33"/>
        <v>8841150.5317288674</v>
      </c>
      <c r="L178" s="47">
        <f>IFERROR(HLOOKUP(B178-1,'EV Forecast VRZ'!$F$124:$T$130,6,FALSE)/12,0)+IFERROR(((HLOOKUP(B178,'EV Forecast VRZ'!$F$116:$T$122,6,FALSE)-HLOOKUP(B178-1,'EV Forecast VRZ'!$F$124:$T$130,6,FALSE)))*C178/78,0)</f>
        <v>43088.778274066492</v>
      </c>
      <c r="M178" s="47">
        <f t="shared" si="37"/>
        <v>8884239.3100029342</v>
      </c>
    </row>
    <row r="179" spans="1:13">
      <c r="A179" s="2">
        <f t="shared" si="34"/>
        <v>47787</v>
      </c>
      <c r="B179">
        <f t="shared" si="35"/>
        <v>2030</v>
      </c>
      <c r="C179">
        <f t="shared" si="36"/>
        <v>10</v>
      </c>
      <c r="E179" s="261">
        <f>E167*(1+'Economic Data'!$AC$15)</f>
        <v>937679.02635461197</v>
      </c>
      <c r="F179" s="3">
        <v>22</v>
      </c>
      <c r="H179" s="3">
        <f t="shared" si="30"/>
        <v>-3751454.0580042</v>
      </c>
      <c r="I179" s="3">
        <f t="shared" si="31"/>
        <v>9128011.1184197869</v>
      </c>
      <c r="J179" s="3">
        <f t="shared" si="32"/>
        <v>3811052.8184446082</v>
      </c>
      <c r="K179" s="47">
        <f t="shared" si="33"/>
        <v>9187609.8788601942</v>
      </c>
      <c r="L179" s="47">
        <f>IFERROR(HLOOKUP(B179-1,'EV Forecast VRZ'!$F$124:$T$130,6,FALSE)/12,0)+IFERROR(((HLOOKUP(B179,'EV Forecast VRZ'!$F$116:$T$122,6,FALSE)-HLOOKUP(B179-1,'EV Forecast VRZ'!$F$124:$T$130,6,FALSE)))*C179/78,0)</f>
        <v>43707.926375459763</v>
      </c>
      <c r="M179" s="47">
        <f t="shared" si="37"/>
        <v>9231317.8052356541</v>
      </c>
    </row>
    <row r="180" spans="1:13">
      <c r="A180" s="2">
        <f t="shared" si="34"/>
        <v>47817</v>
      </c>
      <c r="B180">
        <f t="shared" si="35"/>
        <v>2030</v>
      </c>
      <c r="C180">
        <f t="shared" si="36"/>
        <v>11</v>
      </c>
      <c r="E180" s="261">
        <f>E168*(1+'Economic Data'!$AC$15)</f>
        <v>937679.02635461197</v>
      </c>
      <c r="F180" s="3">
        <v>21</v>
      </c>
      <c r="H180" s="3">
        <f t="shared" si="30"/>
        <v>-3751454.0580042</v>
      </c>
      <c r="I180" s="3">
        <f t="shared" si="31"/>
        <v>9128011.1184197869</v>
      </c>
      <c r="J180" s="3">
        <f t="shared" si="32"/>
        <v>3637823.1448789444</v>
      </c>
      <c r="K180" s="47">
        <f t="shared" si="33"/>
        <v>9014380.2052945308</v>
      </c>
      <c r="L180" s="47">
        <f>IFERROR(HLOOKUP(B180-1,'EV Forecast VRZ'!$F$124:$T$130,6,FALSE)/12,0)+IFERROR(((HLOOKUP(B180,'EV Forecast VRZ'!$F$116:$T$122,6,FALSE)-HLOOKUP(B180-1,'EV Forecast VRZ'!$F$124:$T$130,6,FALSE)))*C180/78,0)</f>
        <v>44327.074476853028</v>
      </c>
      <c r="M180" s="47">
        <f t="shared" si="37"/>
        <v>9058707.2797713839</v>
      </c>
    </row>
    <row r="181" spans="1:13">
      <c r="A181" s="2">
        <f t="shared" si="34"/>
        <v>47848</v>
      </c>
      <c r="B181">
        <f t="shared" si="35"/>
        <v>2030</v>
      </c>
      <c r="C181">
        <f t="shared" si="36"/>
        <v>12</v>
      </c>
      <c r="E181" s="261">
        <f>E169*(1+'Economic Data'!$AC$15)</f>
        <v>937679.02635461197</v>
      </c>
      <c r="F181" s="3">
        <v>20</v>
      </c>
      <c r="H181" s="3">
        <f t="shared" si="30"/>
        <v>-3751454.0580042</v>
      </c>
      <c r="I181" s="3">
        <f t="shared" si="31"/>
        <v>9128011.1184197869</v>
      </c>
      <c r="J181" s="3">
        <f t="shared" si="32"/>
        <v>3464593.4713132801</v>
      </c>
      <c r="K181" s="47">
        <f t="shared" si="33"/>
        <v>8841150.5317288674</v>
      </c>
      <c r="L181" s="47">
        <f>IFERROR(HLOOKUP(B181-1,'EV Forecast VRZ'!$F$124:$T$130,6,FALSE)/12,0)+IFERROR(((HLOOKUP(B181,'EV Forecast VRZ'!$F$116:$T$122,6,FALSE)-HLOOKUP(B181-1,'EV Forecast VRZ'!$F$124:$T$130,6,FALSE)))*C181/78,0)</f>
        <v>44946.222578246292</v>
      </c>
      <c r="M181" s="47">
        <f t="shared" si="37"/>
        <v>8886096.7543071136</v>
      </c>
    </row>
    <row r="182" spans="1:13">
      <c r="A182" s="2">
        <f t="shared" si="34"/>
        <v>47879</v>
      </c>
      <c r="B182">
        <f t="shared" si="35"/>
        <v>2031</v>
      </c>
      <c r="C182">
        <f t="shared" si="36"/>
        <v>1</v>
      </c>
      <c r="E182" s="261">
        <f>E170*(1+'Economic Data'!$AC$15)</f>
        <v>954557.24882899504</v>
      </c>
      <c r="F182" s="3">
        <v>22</v>
      </c>
      <c r="H182" s="3">
        <f t="shared" si="30"/>
        <v>-3751454.0580042</v>
      </c>
      <c r="I182" s="3">
        <f t="shared" si="31"/>
        <v>9292315.3185513429</v>
      </c>
      <c r="J182" s="3">
        <f t="shared" si="32"/>
        <v>3811052.8184446082</v>
      </c>
      <c r="K182" s="47">
        <f t="shared" si="33"/>
        <v>9351914.0789917503</v>
      </c>
      <c r="L182" s="47">
        <f>IFERROR(HLOOKUP(B182-1,'EV Forecast VRZ'!$F$124:$T$130,6,FALSE)/12,0)+IFERROR(((HLOOKUP(B182,'EV Forecast VRZ'!$F$116:$T$122,6,FALSE)-HLOOKUP(B182-1,'EV Forecast VRZ'!$F$124:$T$130,6,FALSE)))*C182/78,0)</f>
        <v>46612.654904087227</v>
      </c>
      <c r="M182" s="47">
        <f t="shared" si="37"/>
        <v>9398526.7338958383</v>
      </c>
    </row>
    <row r="183" spans="1:13">
      <c r="A183" s="2">
        <f t="shared" si="34"/>
        <v>47907</v>
      </c>
      <c r="B183">
        <f t="shared" si="35"/>
        <v>2031</v>
      </c>
      <c r="C183">
        <f t="shared" si="36"/>
        <v>2</v>
      </c>
      <c r="E183" s="261">
        <f>E171*(1+'Economic Data'!$AC$15)</f>
        <v>954557.24882899504</v>
      </c>
      <c r="F183" s="3">
        <v>19</v>
      </c>
      <c r="H183" s="3">
        <f t="shared" si="30"/>
        <v>-3751454.0580042</v>
      </c>
      <c r="I183" s="3">
        <f t="shared" si="31"/>
        <v>9292315.3185513429</v>
      </c>
      <c r="J183" s="3">
        <f t="shared" si="32"/>
        <v>3291363.7977476162</v>
      </c>
      <c r="K183" s="47">
        <f t="shared" si="33"/>
        <v>8832225.0582947582</v>
      </c>
      <c r="L183" s="47">
        <f>IFERROR(HLOOKUP(B183-1,'EV Forecast VRZ'!$F$124:$T$130,6,FALSE)/12,0)+IFERROR(((HLOOKUP(B183,'EV Forecast VRZ'!$F$116:$T$122,6,FALSE)-HLOOKUP(B183-1,'EV Forecast VRZ'!$F$124:$T$130,6,FALSE)))*C183/78,0)</f>
        <v>47266.95829520157</v>
      </c>
      <c r="M183" s="47">
        <f t="shared" si="37"/>
        <v>8879492.0165899601</v>
      </c>
    </row>
    <row r="184" spans="1:13">
      <c r="A184" s="2">
        <f t="shared" si="34"/>
        <v>47938</v>
      </c>
      <c r="B184">
        <f t="shared" si="35"/>
        <v>2031</v>
      </c>
      <c r="C184">
        <f t="shared" si="36"/>
        <v>3</v>
      </c>
      <c r="E184" s="261">
        <f>E172*(1+'Economic Data'!$AC$15)</f>
        <v>954557.24882899504</v>
      </c>
      <c r="F184" s="3">
        <v>21</v>
      </c>
      <c r="H184" s="3">
        <f t="shared" si="30"/>
        <v>-3751454.0580042</v>
      </c>
      <c r="I184" s="3">
        <f t="shared" si="31"/>
        <v>9292315.3185513429</v>
      </c>
      <c r="J184" s="3">
        <f t="shared" si="32"/>
        <v>3637823.1448789444</v>
      </c>
      <c r="K184" s="47">
        <f t="shared" si="33"/>
        <v>9178684.4054260869</v>
      </c>
      <c r="L184" s="47">
        <f>IFERROR(HLOOKUP(B184-1,'EV Forecast VRZ'!$F$124:$T$130,6,FALSE)/12,0)+IFERROR(((HLOOKUP(B184,'EV Forecast VRZ'!$F$116:$T$122,6,FALSE)-HLOOKUP(B184-1,'EV Forecast VRZ'!$F$124:$T$130,6,FALSE)))*C184/78,0)</f>
        <v>47921.26168631592</v>
      </c>
      <c r="M184" s="47">
        <f t="shared" si="37"/>
        <v>9226605.6671124026</v>
      </c>
    </row>
    <row r="185" spans="1:13">
      <c r="A185" s="2">
        <f t="shared" si="34"/>
        <v>47968</v>
      </c>
      <c r="B185">
        <f t="shared" si="35"/>
        <v>2031</v>
      </c>
      <c r="C185">
        <f t="shared" si="36"/>
        <v>4</v>
      </c>
      <c r="E185" s="261">
        <f>E173*(1+'Economic Data'!$AC$15)</f>
        <v>954557.24882899504</v>
      </c>
      <c r="F185" s="3">
        <v>21</v>
      </c>
      <c r="H185" s="3">
        <f t="shared" si="30"/>
        <v>-3751454.0580042</v>
      </c>
      <c r="I185" s="3">
        <f t="shared" si="31"/>
        <v>9292315.3185513429</v>
      </c>
      <c r="J185" s="3">
        <f t="shared" si="32"/>
        <v>3637823.1448789444</v>
      </c>
      <c r="K185" s="47">
        <f t="shared" si="33"/>
        <v>9178684.4054260869</v>
      </c>
      <c r="L185" s="47">
        <f>IFERROR(HLOOKUP(B185-1,'EV Forecast VRZ'!$F$124:$T$130,6,FALSE)/12,0)+IFERROR(((HLOOKUP(B185,'EV Forecast VRZ'!$F$116:$T$122,6,FALSE)-HLOOKUP(B185-1,'EV Forecast VRZ'!$F$124:$T$130,6,FALSE)))*C185/78,0)</f>
        <v>48575.565077430263</v>
      </c>
      <c r="M185" s="47">
        <f t="shared" si="37"/>
        <v>9227259.9705035165</v>
      </c>
    </row>
    <row r="186" spans="1:13">
      <c r="A186" s="2">
        <f t="shared" si="34"/>
        <v>47999</v>
      </c>
      <c r="B186">
        <f t="shared" si="35"/>
        <v>2031</v>
      </c>
      <c r="C186">
        <f t="shared" si="36"/>
        <v>5</v>
      </c>
      <c r="E186" s="261">
        <f>E174*(1+'Economic Data'!$AC$15)</f>
        <v>954557.24882899504</v>
      </c>
      <c r="F186" s="3">
        <v>21</v>
      </c>
      <c r="H186" s="3">
        <f t="shared" si="30"/>
        <v>-3751454.0580042</v>
      </c>
      <c r="I186" s="3">
        <f t="shared" si="31"/>
        <v>9292315.3185513429</v>
      </c>
      <c r="J186" s="3">
        <f t="shared" si="32"/>
        <v>3637823.1448789444</v>
      </c>
      <c r="K186" s="47">
        <f t="shared" si="33"/>
        <v>9178684.4054260869</v>
      </c>
      <c r="L186" s="47">
        <f>IFERROR(HLOOKUP(B186-1,'EV Forecast VRZ'!$F$124:$T$130,6,FALSE)/12,0)+IFERROR(((HLOOKUP(B186,'EV Forecast VRZ'!$F$116:$T$122,6,FALSE)-HLOOKUP(B186-1,'EV Forecast VRZ'!$F$124:$T$130,6,FALSE)))*C186/78,0)</f>
        <v>49229.868468544606</v>
      </c>
      <c r="M186" s="47">
        <f t="shared" si="37"/>
        <v>9227914.2738946322</v>
      </c>
    </row>
    <row r="187" spans="1:13">
      <c r="A187" s="2">
        <f t="shared" si="34"/>
        <v>48029</v>
      </c>
      <c r="B187">
        <f t="shared" si="35"/>
        <v>2031</v>
      </c>
      <c r="C187">
        <f t="shared" si="36"/>
        <v>6</v>
      </c>
      <c r="E187" s="261">
        <f>E175*(1+'Economic Data'!$AC$15)</f>
        <v>954557.24882899504</v>
      </c>
      <c r="F187" s="3">
        <v>21</v>
      </c>
      <c r="H187" s="3">
        <f t="shared" si="30"/>
        <v>-3751454.0580042</v>
      </c>
      <c r="I187" s="3">
        <f t="shared" si="31"/>
        <v>9292315.3185513429</v>
      </c>
      <c r="J187" s="3">
        <f t="shared" si="32"/>
        <v>3637823.1448789444</v>
      </c>
      <c r="K187" s="47">
        <f t="shared" si="33"/>
        <v>9178684.4054260869</v>
      </c>
      <c r="L187" s="47">
        <f>IFERROR(HLOOKUP(B187-1,'EV Forecast VRZ'!$F$124:$T$130,6,FALSE)/12,0)+IFERROR(((HLOOKUP(B187,'EV Forecast VRZ'!$F$116:$T$122,6,FALSE)-HLOOKUP(B187-1,'EV Forecast VRZ'!$F$124:$T$130,6,FALSE)))*C187/78,0)</f>
        <v>49884.171859658949</v>
      </c>
      <c r="M187" s="47">
        <f t="shared" si="37"/>
        <v>9228568.5772857461</v>
      </c>
    </row>
    <row r="188" spans="1:13">
      <c r="A188" s="2">
        <f t="shared" si="34"/>
        <v>48060</v>
      </c>
      <c r="B188">
        <f t="shared" si="35"/>
        <v>2031</v>
      </c>
      <c r="C188">
        <f t="shared" si="36"/>
        <v>7</v>
      </c>
      <c r="E188" s="261">
        <f>E176*(1+'Economic Data'!$AC$15)</f>
        <v>954557.24882899504</v>
      </c>
      <c r="F188" s="3">
        <v>22</v>
      </c>
      <c r="H188" s="3">
        <f t="shared" si="30"/>
        <v>-3751454.0580042</v>
      </c>
      <c r="I188" s="3">
        <f t="shared" si="31"/>
        <v>9292315.3185513429</v>
      </c>
      <c r="J188" s="3">
        <f t="shared" si="32"/>
        <v>3811052.8184446082</v>
      </c>
      <c r="K188" s="47">
        <f t="shared" si="33"/>
        <v>9351914.0789917503</v>
      </c>
      <c r="L188" s="47">
        <f>IFERROR(HLOOKUP(B188-1,'EV Forecast VRZ'!$F$124:$T$130,6,FALSE)/12,0)+IFERROR(((HLOOKUP(B188,'EV Forecast VRZ'!$F$116:$T$122,6,FALSE)-HLOOKUP(B188-1,'EV Forecast VRZ'!$F$124:$T$130,6,FALSE)))*C188/78,0)</f>
        <v>50538.475250773292</v>
      </c>
      <c r="M188" s="47">
        <f t="shared" si="37"/>
        <v>9402452.5542425234</v>
      </c>
    </row>
    <row r="189" spans="1:13">
      <c r="A189" s="2">
        <f t="shared" si="34"/>
        <v>48091</v>
      </c>
      <c r="B189">
        <f t="shared" si="35"/>
        <v>2031</v>
      </c>
      <c r="C189">
        <f t="shared" si="36"/>
        <v>8</v>
      </c>
      <c r="E189" s="261">
        <f>E177*(1+'Economic Data'!$AC$15)</f>
        <v>954557.24882899504</v>
      </c>
      <c r="F189" s="3">
        <v>20</v>
      </c>
      <c r="H189" s="3">
        <f t="shared" si="30"/>
        <v>-3751454.0580042</v>
      </c>
      <c r="I189" s="3">
        <f t="shared" si="31"/>
        <v>9292315.3185513429</v>
      </c>
      <c r="J189" s="3">
        <f t="shared" si="32"/>
        <v>3464593.4713132801</v>
      </c>
      <c r="K189" s="47">
        <f t="shared" si="33"/>
        <v>9005454.7318604216</v>
      </c>
      <c r="L189" s="47">
        <f>IFERROR(HLOOKUP(B189-1,'EV Forecast VRZ'!$F$124:$T$130,6,FALSE)/12,0)+IFERROR(((HLOOKUP(B189,'EV Forecast VRZ'!$F$116:$T$122,6,FALSE)-HLOOKUP(B189-1,'EV Forecast VRZ'!$F$124:$T$130,6,FALSE)))*C189/78,0)</f>
        <v>51192.778641887642</v>
      </c>
      <c r="M189" s="47">
        <f t="shared" si="37"/>
        <v>9056647.5105023086</v>
      </c>
    </row>
    <row r="190" spans="1:13">
      <c r="A190" s="2">
        <f t="shared" si="34"/>
        <v>48121</v>
      </c>
      <c r="B190">
        <f t="shared" si="35"/>
        <v>2031</v>
      </c>
      <c r="C190">
        <f t="shared" si="36"/>
        <v>9</v>
      </c>
      <c r="E190" s="261">
        <f>E178*(1+'Economic Data'!$AC$15)</f>
        <v>954557.24882899504</v>
      </c>
      <c r="F190" s="3">
        <v>21</v>
      </c>
      <c r="H190" s="3">
        <f t="shared" si="30"/>
        <v>-3751454.0580042</v>
      </c>
      <c r="I190" s="3">
        <f t="shared" si="31"/>
        <v>9292315.3185513429</v>
      </c>
      <c r="J190" s="3">
        <f t="shared" si="32"/>
        <v>3637823.1448789444</v>
      </c>
      <c r="K190" s="47">
        <f t="shared" si="33"/>
        <v>9178684.4054260869</v>
      </c>
      <c r="L190" s="47">
        <f>IFERROR(HLOOKUP(B190-1,'EV Forecast VRZ'!$F$124:$T$130,6,FALSE)/12,0)+IFERROR(((HLOOKUP(B190,'EV Forecast VRZ'!$F$116:$T$122,6,FALSE)-HLOOKUP(B190-1,'EV Forecast VRZ'!$F$124:$T$130,6,FALSE)))*C190/78,0)</f>
        <v>51847.082033001985</v>
      </c>
      <c r="M190" s="47">
        <f t="shared" si="37"/>
        <v>9230531.4874590896</v>
      </c>
    </row>
    <row r="191" spans="1:13">
      <c r="A191" s="2">
        <f t="shared" si="34"/>
        <v>48152</v>
      </c>
      <c r="B191">
        <f t="shared" si="35"/>
        <v>2031</v>
      </c>
      <c r="C191">
        <f t="shared" si="36"/>
        <v>10</v>
      </c>
      <c r="E191" s="261">
        <f>E179*(1+'Economic Data'!$AC$15)</f>
        <v>954557.24882899504</v>
      </c>
      <c r="F191" s="3">
        <v>22</v>
      </c>
      <c r="H191" s="3">
        <f t="shared" si="30"/>
        <v>-3751454.0580042</v>
      </c>
      <c r="I191" s="3">
        <f t="shared" si="31"/>
        <v>9292315.3185513429</v>
      </c>
      <c r="J191" s="3">
        <f t="shared" si="32"/>
        <v>3811052.8184446082</v>
      </c>
      <c r="K191" s="47">
        <f t="shared" si="33"/>
        <v>9351914.0789917503</v>
      </c>
      <c r="L191" s="47">
        <f>IFERROR(HLOOKUP(B191-1,'EV Forecast VRZ'!$F$124:$T$130,6,FALSE)/12,0)+IFERROR(((HLOOKUP(B191,'EV Forecast VRZ'!$F$116:$T$122,6,FALSE)-HLOOKUP(B191-1,'EV Forecast VRZ'!$F$124:$T$130,6,FALSE)))*C191/78,0)</f>
        <v>52501.385424116328</v>
      </c>
      <c r="M191" s="47">
        <f t="shared" si="37"/>
        <v>9404415.4644158669</v>
      </c>
    </row>
    <row r="192" spans="1:13">
      <c r="A192" s="2">
        <f t="shared" si="34"/>
        <v>48182</v>
      </c>
      <c r="B192">
        <f t="shared" si="35"/>
        <v>2031</v>
      </c>
      <c r="C192">
        <f t="shared" si="36"/>
        <v>11</v>
      </c>
      <c r="E192" s="261">
        <f>E180*(1+'Economic Data'!$AC$15)</f>
        <v>954557.24882899504</v>
      </c>
      <c r="F192" s="3">
        <v>20</v>
      </c>
      <c r="H192" s="3">
        <f t="shared" si="30"/>
        <v>-3751454.0580042</v>
      </c>
      <c r="I192" s="3">
        <f t="shared" si="31"/>
        <v>9292315.3185513429</v>
      </c>
      <c r="J192" s="3">
        <f t="shared" si="32"/>
        <v>3464593.4713132801</v>
      </c>
      <c r="K192" s="47">
        <f t="shared" si="33"/>
        <v>9005454.7318604216</v>
      </c>
      <c r="L192" s="47">
        <f>IFERROR(HLOOKUP(B192-1,'EV Forecast VRZ'!$F$124:$T$130,6,FALSE)/12,0)+IFERROR(((HLOOKUP(B192,'EV Forecast VRZ'!$F$116:$T$122,6,FALSE)-HLOOKUP(B192-1,'EV Forecast VRZ'!$F$124:$T$130,6,FALSE)))*C192/78,0)</f>
        <v>53155.688815230671</v>
      </c>
      <c r="M192" s="47">
        <f t="shared" si="37"/>
        <v>9058610.4206756521</v>
      </c>
    </row>
    <row r="193" spans="1:13">
      <c r="A193" s="2">
        <f t="shared" si="34"/>
        <v>48213</v>
      </c>
      <c r="B193">
        <f t="shared" si="35"/>
        <v>2031</v>
      </c>
      <c r="C193">
        <f t="shared" si="36"/>
        <v>12</v>
      </c>
      <c r="E193" s="261">
        <f>E181*(1+'Economic Data'!$AC$15)</f>
        <v>954557.24882899504</v>
      </c>
      <c r="F193" s="3">
        <v>21</v>
      </c>
      <c r="H193" s="3">
        <f t="shared" si="30"/>
        <v>-3751454.0580042</v>
      </c>
      <c r="I193" s="3">
        <f t="shared" si="31"/>
        <v>9292315.3185513429</v>
      </c>
      <c r="J193" s="3">
        <f t="shared" si="32"/>
        <v>3637823.1448789444</v>
      </c>
      <c r="K193" s="47">
        <f t="shared" si="33"/>
        <v>9178684.4054260869</v>
      </c>
      <c r="L193" s="47">
        <f>IFERROR(HLOOKUP(B193-1,'EV Forecast VRZ'!$F$124:$T$130,6,FALSE)/12,0)+IFERROR(((HLOOKUP(B193,'EV Forecast VRZ'!$F$116:$T$122,6,FALSE)-HLOOKUP(B193-1,'EV Forecast VRZ'!$F$124:$T$130,6,FALSE)))*C193/78,0)</f>
        <v>53809.992206345021</v>
      </c>
      <c r="M193" s="47">
        <f t="shared" si="37"/>
        <v>9232494.3976324312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2AC49-7259-4E30-B197-4BC4CC238F3F}">
  <sheetPr codeName="Sheet32">
    <tabColor theme="7" tint="0.79998168889431442"/>
  </sheetPr>
  <dimension ref="A1:X193"/>
  <sheetViews>
    <sheetView topLeftCell="A132" workbookViewId="0">
      <selection activeCell="F145" sqref="F145:F157"/>
    </sheetView>
  </sheetViews>
  <sheetFormatPr defaultRowHeight="14.5"/>
  <cols>
    <col min="4" max="4" width="24.81640625" customWidth="1"/>
    <col min="5" max="5" width="8.81640625" style="3"/>
    <col min="6" max="6" width="10.1796875" style="3" bestFit="1" customWidth="1"/>
    <col min="7" max="8" width="8.81640625" style="3"/>
    <col min="9" max="9" width="8.81640625" customWidth="1"/>
    <col min="10" max="10" width="13.81640625" bestFit="1" customWidth="1"/>
    <col min="11" max="11" width="11.1796875" bestFit="1" customWidth="1"/>
    <col min="12" max="14" width="11.1796875" customWidth="1"/>
    <col min="15" max="17" width="12.54296875" customWidth="1"/>
    <col min="21" max="21" width="13.81640625" bestFit="1" customWidth="1"/>
    <col min="22" max="22" width="12.81640625" bestFit="1" customWidth="1"/>
    <col min="23" max="23" width="13.81640625" bestFit="1" customWidth="1"/>
    <col min="24" max="24" width="8.81640625" bestFit="1" customWidth="1"/>
  </cols>
  <sheetData>
    <row r="1" spans="1:24">
      <c r="A1" s="541" t="str">
        <f>'Monthly Data'!A1</f>
        <v>Date</v>
      </c>
      <c r="B1" s="541" t="str">
        <f>'Monthly Data'!B1</f>
        <v>Year</v>
      </c>
      <c r="C1" s="541" t="str">
        <f>'Monthly Data'!C1</f>
        <v>Month</v>
      </c>
      <c r="D1" s="541" t="str">
        <f>'Monthly Data'!AI1</f>
        <v>VRZ_LargeUsekWh_No_CDM</v>
      </c>
      <c r="E1" s="541" t="str">
        <f>'Monthly Data'!DR1</f>
        <v>Peak Days</v>
      </c>
      <c r="F1" s="541" t="str">
        <f>'Monthly Data'!DL1</f>
        <v>OEA_GDP</v>
      </c>
      <c r="G1" s="541" t="str">
        <f>'Monthly Data'!EE1</f>
        <v>Spring</v>
      </c>
      <c r="H1" s="541" t="str">
        <f>'Monthly Data'!EJ1</f>
        <v>COVID_AM</v>
      </c>
      <c r="I1" s="541"/>
      <c r="J1" s="541" t="str">
        <f>T8</f>
        <v>const</v>
      </c>
      <c r="K1" s="541" t="str">
        <f>E1</f>
        <v>Peak Days</v>
      </c>
      <c r="L1" s="541" t="str">
        <f t="shared" ref="L1:N1" si="0">F1</f>
        <v>OEA_GDP</v>
      </c>
      <c r="M1" s="541" t="str">
        <f t="shared" si="0"/>
        <v>Spring</v>
      </c>
      <c r="N1" s="541" t="str">
        <f t="shared" si="0"/>
        <v>COVID_AM</v>
      </c>
      <c r="O1" s="541" t="s">
        <v>610</v>
      </c>
      <c r="P1" s="541" t="s">
        <v>332</v>
      </c>
      <c r="Q1" s="541" t="s">
        <v>619</v>
      </c>
    </row>
    <row r="2" spans="1:24">
      <c r="A2" s="2">
        <f>'Monthly Data'!A2</f>
        <v>42370</v>
      </c>
      <c r="B2">
        <f>'Monthly Data'!B2</f>
        <v>2016</v>
      </c>
      <c r="C2">
        <f>'Monthly Data'!C2</f>
        <v>1</v>
      </c>
      <c r="D2" s="3">
        <f>'Monthly Data'!AI2</f>
        <v>17864052.490613706</v>
      </c>
      <c r="E2" s="3">
        <f>'Monthly Data'!DR2</f>
        <v>20</v>
      </c>
      <c r="F2" s="3">
        <f>'Monthly Data'!DL2</f>
        <v>743835</v>
      </c>
      <c r="G2" s="3">
        <f>'Monthly Data'!EE2</f>
        <v>0</v>
      </c>
      <c r="H2" s="3">
        <f>'Monthly Data'!EJ2</f>
        <v>0</v>
      </c>
      <c r="J2" s="3">
        <f t="shared" ref="J2:J33" si="1">$U$8</f>
        <v>-35488752.832239702</v>
      </c>
      <c r="K2" s="3">
        <f t="shared" ref="K2:K33" si="2">E2*$U$9</f>
        <v>7837435.9638456805</v>
      </c>
      <c r="L2" s="3">
        <f t="shared" ref="L2:L33" si="3">F2*$U$10</f>
        <v>46221923.301725991</v>
      </c>
      <c r="M2" s="3">
        <f t="shared" ref="M2:M33" si="4">G2*$U$11</f>
        <v>0</v>
      </c>
      <c r="N2" s="3">
        <f t="shared" ref="N2:N33" si="5">H2*$U$12</f>
        <v>0</v>
      </c>
      <c r="O2" s="47">
        <f t="shared" ref="O2:O42" si="6">SUM(J2:N2)</f>
        <v>18570606.43333197</v>
      </c>
      <c r="P2" s="47">
        <f>'Monthly Data'!AJ2</f>
        <v>0</v>
      </c>
      <c r="Q2" s="47">
        <f t="shared" ref="Q2:Q42" si="7">O2+P2</f>
        <v>18570606.43333197</v>
      </c>
    </row>
    <row r="3" spans="1:24">
      <c r="A3" s="2">
        <f>'Monthly Data'!A3</f>
        <v>42401</v>
      </c>
      <c r="B3">
        <f>'Monthly Data'!B3</f>
        <v>2016</v>
      </c>
      <c r="C3">
        <f>'Monthly Data'!C3</f>
        <v>2</v>
      </c>
      <c r="D3" s="3">
        <f>'Monthly Data'!AI3</f>
        <v>18903195.738566063</v>
      </c>
      <c r="E3" s="3">
        <f>'Monthly Data'!DR3</f>
        <v>20</v>
      </c>
      <c r="F3" s="3">
        <f>'Monthly Data'!DL3</f>
        <v>743835</v>
      </c>
      <c r="G3" s="3">
        <f>'Monthly Data'!EE3</f>
        <v>0</v>
      </c>
      <c r="H3" s="3">
        <f>'Monthly Data'!EJ3</f>
        <v>0</v>
      </c>
      <c r="J3" s="3">
        <f t="shared" si="1"/>
        <v>-35488752.832239702</v>
      </c>
      <c r="K3" s="3">
        <f t="shared" si="2"/>
        <v>7837435.9638456805</v>
      </c>
      <c r="L3" s="3">
        <f t="shared" si="3"/>
        <v>46221923.301725991</v>
      </c>
      <c r="M3" s="3">
        <f t="shared" si="4"/>
        <v>0</v>
      </c>
      <c r="N3" s="3">
        <f t="shared" si="5"/>
        <v>0</v>
      </c>
      <c r="O3" s="47">
        <f t="shared" si="6"/>
        <v>18570606.43333197</v>
      </c>
      <c r="P3" s="47">
        <f>'Monthly Data'!AJ3</f>
        <v>0</v>
      </c>
      <c r="Q3" s="47">
        <f t="shared" si="7"/>
        <v>18570606.43333197</v>
      </c>
      <c r="T3" t="s">
        <v>621</v>
      </c>
    </row>
    <row r="4" spans="1:24">
      <c r="A4" s="2">
        <f>'Monthly Data'!A4</f>
        <v>42430</v>
      </c>
      <c r="B4">
        <f>'Monthly Data'!B4</f>
        <v>2016</v>
      </c>
      <c r="C4">
        <f>'Monthly Data'!C4</f>
        <v>3</v>
      </c>
      <c r="D4" s="3">
        <f>'Monthly Data'!AI4</f>
        <v>19497740.562806401</v>
      </c>
      <c r="E4" s="3">
        <f>'Monthly Data'!DR4</f>
        <v>21</v>
      </c>
      <c r="F4" s="3">
        <f>'Monthly Data'!DL4</f>
        <v>743835</v>
      </c>
      <c r="G4" s="3">
        <f>'Monthly Data'!EE4</f>
        <v>1</v>
      </c>
      <c r="H4" s="3">
        <f>'Monthly Data'!EJ4</f>
        <v>0</v>
      </c>
      <c r="J4" s="3">
        <f t="shared" si="1"/>
        <v>-35488752.832239702</v>
      </c>
      <c r="K4" s="3">
        <f t="shared" si="2"/>
        <v>8229307.7620379645</v>
      </c>
      <c r="L4" s="3">
        <f t="shared" si="3"/>
        <v>46221923.301725991</v>
      </c>
      <c r="M4" s="3">
        <f t="shared" si="4"/>
        <v>0</v>
      </c>
      <c r="N4" s="3">
        <f t="shared" si="5"/>
        <v>0</v>
      </c>
      <c r="O4" s="47">
        <f t="shared" si="6"/>
        <v>18962478.231524251</v>
      </c>
      <c r="P4" s="47">
        <f>'Monthly Data'!AJ4</f>
        <v>0</v>
      </c>
      <c r="Q4" s="47">
        <f t="shared" si="7"/>
        <v>18962478.231524251</v>
      </c>
      <c r="T4" t="s">
        <v>622</v>
      </c>
    </row>
    <row r="5" spans="1:24">
      <c r="A5" s="2">
        <f>'Monthly Data'!A5</f>
        <v>42461</v>
      </c>
      <c r="B5">
        <f>'Monthly Data'!B5</f>
        <v>2016</v>
      </c>
      <c r="C5">
        <f>'Monthly Data'!C5</f>
        <v>4</v>
      </c>
      <c r="D5" s="3">
        <f>'Monthly Data'!AI5</f>
        <v>19439681.389309034</v>
      </c>
      <c r="E5" s="3">
        <f>'Monthly Data'!DR5</f>
        <v>21</v>
      </c>
      <c r="F5" s="3">
        <f>'Monthly Data'!DL5</f>
        <v>740829</v>
      </c>
      <c r="G5" s="3">
        <f>'Monthly Data'!EE5</f>
        <v>1</v>
      </c>
      <c r="H5" s="3">
        <f>'Monthly Data'!EJ5</f>
        <v>0</v>
      </c>
      <c r="J5" s="3">
        <f t="shared" si="1"/>
        <v>-35488752.832239702</v>
      </c>
      <c r="K5" s="3">
        <f t="shared" si="2"/>
        <v>8229307.7620379645</v>
      </c>
      <c r="L5" s="3">
        <f t="shared" si="3"/>
        <v>46035130.395443022</v>
      </c>
      <c r="M5" s="3">
        <f t="shared" si="4"/>
        <v>0</v>
      </c>
      <c r="N5" s="3">
        <f t="shared" si="5"/>
        <v>0</v>
      </c>
      <c r="O5" s="47">
        <f t="shared" si="6"/>
        <v>18775685.325241283</v>
      </c>
      <c r="P5" s="47">
        <f>'Monthly Data'!AJ5</f>
        <v>0</v>
      </c>
      <c r="Q5" s="47">
        <f t="shared" si="7"/>
        <v>18775685.325241283</v>
      </c>
      <c r="T5" t="s">
        <v>623</v>
      </c>
    </row>
    <row r="6" spans="1:24">
      <c r="A6" s="2">
        <f>'Monthly Data'!A6</f>
        <v>42491</v>
      </c>
      <c r="B6">
        <f>'Monthly Data'!B6</f>
        <v>2016</v>
      </c>
      <c r="C6">
        <f>'Monthly Data'!C6</f>
        <v>5</v>
      </c>
      <c r="D6" s="3">
        <f>'Monthly Data'!AI6</f>
        <v>18414999.330826461</v>
      </c>
      <c r="E6" s="3">
        <f>'Monthly Data'!DR6</f>
        <v>21</v>
      </c>
      <c r="F6" s="3">
        <f>'Monthly Data'!DL6</f>
        <v>740829</v>
      </c>
      <c r="G6" s="3">
        <f>'Monthly Data'!EE6</f>
        <v>1</v>
      </c>
      <c r="H6" s="3">
        <f>'Monthly Data'!EJ6</f>
        <v>0</v>
      </c>
      <c r="J6" s="3">
        <f t="shared" si="1"/>
        <v>-35488752.832239702</v>
      </c>
      <c r="K6" s="3">
        <f t="shared" si="2"/>
        <v>8229307.7620379645</v>
      </c>
      <c r="L6" s="3">
        <f t="shared" si="3"/>
        <v>46035130.395443022</v>
      </c>
      <c r="M6" s="3">
        <f t="shared" si="4"/>
        <v>0</v>
      </c>
      <c r="N6" s="3">
        <f t="shared" si="5"/>
        <v>0</v>
      </c>
      <c r="O6" s="47">
        <f t="shared" si="6"/>
        <v>18775685.325241283</v>
      </c>
      <c r="P6" s="47">
        <f>'Monthly Data'!AJ6</f>
        <v>0</v>
      </c>
      <c r="Q6" s="47">
        <f t="shared" si="7"/>
        <v>18775685.325241283</v>
      </c>
    </row>
    <row r="7" spans="1:24">
      <c r="A7" s="2">
        <f>'Monthly Data'!A7</f>
        <v>42522</v>
      </c>
      <c r="B7">
        <f>'Monthly Data'!B7</f>
        <v>2016</v>
      </c>
      <c r="C7">
        <f>'Monthly Data'!C7</f>
        <v>6</v>
      </c>
      <c r="D7" s="3">
        <f>'Monthly Data'!AI7</f>
        <v>16316229.452765189</v>
      </c>
      <c r="E7" s="3">
        <f>'Monthly Data'!DR7</f>
        <v>22</v>
      </c>
      <c r="F7" s="3">
        <f>'Monthly Data'!DL7</f>
        <v>740829</v>
      </c>
      <c r="G7" s="3">
        <f>'Monthly Data'!EE7</f>
        <v>0</v>
      </c>
      <c r="H7" s="3">
        <f>'Monthly Data'!EJ7</f>
        <v>0</v>
      </c>
      <c r="J7" s="3">
        <f t="shared" si="1"/>
        <v>-35488752.832239702</v>
      </c>
      <c r="K7" s="3">
        <f t="shared" si="2"/>
        <v>8621179.5602302477</v>
      </c>
      <c r="L7" s="3">
        <f t="shared" si="3"/>
        <v>46035130.395443022</v>
      </c>
      <c r="M7" s="3">
        <f t="shared" si="4"/>
        <v>0</v>
      </c>
      <c r="N7" s="3">
        <f t="shared" si="5"/>
        <v>0</v>
      </c>
      <c r="O7" s="47">
        <f t="shared" si="6"/>
        <v>19167557.123433568</v>
      </c>
      <c r="P7" s="47">
        <f>'Monthly Data'!AJ7</f>
        <v>0</v>
      </c>
      <c r="Q7" s="47">
        <f t="shared" si="7"/>
        <v>19167557.123433568</v>
      </c>
      <c r="U7" t="s">
        <v>300</v>
      </c>
      <c r="V7" t="s">
        <v>301</v>
      </c>
      <c r="W7" t="s">
        <v>302</v>
      </c>
      <c r="X7" t="s">
        <v>303</v>
      </c>
    </row>
    <row r="8" spans="1:24">
      <c r="A8" s="2">
        <f>'Monthly Data'!A8</f>
        <v>42552</v>
      </c>
      <c r="B8">
        <f>'Monthly Data'!B8</f>
        <v>2016</v>
      </c>
      <c r="C8">
        <f>'Monthly Data'!C8</f>
        <v>7</v>
      </c>
      <c r="D8" s="3">
        <f>'Monthly Data'!AI8</f>
        <v>18134539.214080028</v>
      </c>
      <c r="E8" s="3">
        <f>'Monthly Data'!DR8</f>
        <v>20</v>
      </c>
      <c r="F8" s="3">
        <f>'Monthly Data'!DL8</f>
        <v>746710</v>
      </c>
      <c r="G8" s="3">
        <f>'Monthly Data'!EE8</f>
        <v>0</v>
      </c>
      <c r="H8" s="3">
        <f>'Monthly Data'!EJ8</f>
        <v>0</v>
      </c>
      <c r="J8" s="3">
        <f t="shared" si="1"/>
        <v>-35488752.832239702</v>
      </c>
      <c r="K8" s="3">
        <f t="shared" si="2"/>
        <v>7837435.9638456805</v>
      </c>
      <c r="L8" s="3">
        <f t="shared" si="3"/>
        <v>46400575.865120374</v>
      </c>
      <c r="M8" s="3">
        <f t="shared" si="4"/>
        <v>0</v>
      </c>
      <c r="N8" s="3">
        <f t="shared" si="5"/>
        <v>0</v>
      </c>
      <c r="O8" s="47">
        <f t="shared" si="6"/>
        <v>18749258.996726353</v>
      </c>
      <c r="P8" s="47">
        <f>'Monthly Data'!AJ8</f>
        <v>0</v>
      </c>
      <c r="Q8" s="47">
        <f t="shared" si="7"/>
        <v>18749258.996726353</v>
      </c>
      <c r="T8" t="s">
        <v>304</v>
      </c>
      <c r="U8" s="436">
        <f>'VRZ Large Use'!W8</f>
        <v>-35488752.832239702</v>
      </c>
      <c r="V8" s="3">
        <f>'VRZ Large Use'!X8</f>
        <v>3601175.8685497702</v>
      </c>
      <c r="W8" s="3">
        <f>'VRZ Large Use'!Y8</f>
        <v>-9.8547680334566596</v>
      </c>
      <c r="X8" s="3">
        <f>'VRZ Large Use'!Z8</f>
        <v>5.1751597779777198E-17</v>
      </c>
    </row>
    <row r="9" spans="1:24">
      <c r="A9" s="2">
        <f>'Monthly Data'!A9</f>
        <v>42583</v>
      </c>
      <c r="B9">
        <f>'Monthly Data'!B9</f>
        <v>2016</v>
      </c>
      <c r="C9">
        <f>'Monthly Data'!C9</f>
        <v>8</v>
      </c>
      <c r="D9" s="3">
        <f>'Monthly Data'!AI9</f>
        <v>19491540.796973322</v>
      </c>
      <c r="E9" s="3">
        <f>'Monthly Data'!DR9</f>
        <v>22</v>
      </c>
      <c r="F9" s="3">
        <f>'Monthly Data'!DL9</f>
        <v>746710</v>
      </c>
      <c r="G9" s="3">
        <f>'Monthly Data'!EE9</f>
        <v>0</v>
      </c>
      <c r="H9" s="3">
        <f>'Monthly Data'!EJ9</f>
        <v>0</v>
      </c>
      <c r="J9" s="3">
        <f t="shared" si="1"/>
        <v>-35488752.832239702</v>
      </c>
      <c r="K9" s="3">
        <f t="shared" si="2"/>
        <v>8621179.5602302477</v>
      </c>
      <c r="L9" s="3">
        <f t="shared" si="3"/>
        <v>46400575.865120374</v>
      </c>
      <c r="M9" s="3">
        <f t="shared" si="4"/>
        <v>0</v>
      </c>
      <c r="N9" s="3">
        <f t="shared" si="5"/>
        <v>0</v>
      </c>
      <c r="O9" s="47">
        <f t="shared" si="6"/>
        <v>19533002.593110919</v>
      </c>
      <c r="P9" s="47">
        <f>'Monthly Data'!AJ9</f>
        <v>0</v>
      </c>
      <c r="Q9" s="47">
        <f t="shared" si="7"/>
        <v>19533002.593110919</v>
      </c>
      <c r="T9" t="s">
        <v>337</v>
      </c>
      <c r="U9" s="3">
        <f>'VRZ Large Use'!W9</f>
        <v>391871.79819228401</v>
      </c>
      <c r="V9" s="3">
        <f>'VRZ Large Use'!X9</f>
        <v>100062.99649905101</v>
      </c>
      <c r="W9" s="3">
        <f>'VRZ Large Use'!Y9</f>
        <v>3.9162508809737799</v>
      </c>
      <c r="X9" s="3">
        <f>'VRZ Large Use'!Z9</f>
        <v>1.5233184713201299E-4</v>
      </c>
    </row>
    <row r="10" spans="1:24">
      <c r="A10" s="2">
        <f>'Monthly Data'!A10</f>
        <v>42614</v>
      </c>
      <c r="B10">
        <f>'Monthly Data'!B10</f>
        <v>2016</v>
      </c>
      <c r="C10">
        <f>'Monthly Data'!C10</f>
        <v>9</v>
      </c>
      <c r="D10" s="3">
        <f>'Monthly Data'!AI10</f>
        <v>17994099.467884108</v>
      </c>
      <c r="E10" s="3">
        <f>'Monthly Data'!DR10</f>
        <v>21</v>
      </c>
      <c r="F10" s="3">
        <f>'Monthly Data'!DL10</f>
        <v>746710</v>
      </c>
      <c r="G10" s="3">
        <f>'Monthly Data'!EE10</f>
        <v>0</v>
      </c>
      <c r="H10" s="3">
        <f>'Monthly Data'!EJ10</f>
        <v>0</v>
      </c>
      <c r="J10" s="3">
        <f t="shared" si="1"/>
        <v>-35488752.832239702</v>
      </c>
      <c r="K10" s="3">
        <f t="shared" si="2"/>
        <v>8229307.7620379645</v>
      </c>
      <c r="L10" s="3">
        <f t="shared" si="3"/>
        <v>46400575.865120374</v>
      </c>
      <c r="M10" s="3">
        <f t="shared" si="4"/>
        <v>0</v>
      </c>
      <c r="N10" s="3">
        <f t="shared" si="5"/>
        <v>0</v>
      </c>
      <c r="O10" s="47">
        <f t="shared" si="6"/>
        <v>19141130.794918634</v>
      </c>
      <c r="P10" s="47">
        <f>'Monthly Data'!AJ10</f>
        <v>0</v>
      </c>
      <c r="Q10" s="47">
        <f t="shared" si="7"/>
        <v>19141130.794918634</v>
      </c>
      <c r="T10" t="s">
        <v>140</v>
      </c>
      <c r="U10" s="3">
        <f>'VRZ Large Use'!W10</f>
        <v>62.1400220502208</v>
      </c>
      <c r="V10" s="3">
        <f>'VRZ Large Use'!X10</f>
        <v>3.5486481490672501</v>
      </c>
      <c r="W10" s="3">
        <f>'VRZ Large Use'!Y10</f>
        <v>17.510899768001501</v>
      </c>
      <c r="X10" s="3">
        <f>'VRZ Large Use'!Z10</f>
        <v>2.3433371478002301E-34</v>
      </c>
    </row>
    <row r="11" spans="1:24">
      <c r="A11" s="2">
        <f>'Monthly Data'!A11</f>
        <v>42644</v>
      </c>
      <c r="B11">
        <f>'Monthly Data'!B11</f>
        <v>2016</v>
      </c>
      <c r="C11">
        <f>'Monthly Data'!C11</f>
        <v>10</v>
      </c>
      <c r="D11" s="3">
        <f>'Monthly Data'!AI11</f>
        <v>18123722.930889193</v>
      </c>
      <c r="E11" s="3">
        <f>'Monthly Data'!DR11</f>
        <v>20</v>
      </c>
      <c r="F11" s="3">
        <f>'Monthly Data'!DL11</f>
        <v>745246</v>
      </c>
      <c r="G11" s="3">
        <f>'Monthly Data'!EE11</f>
        <v>0</v>
      </c>
      <c r="H11" s="3">
        <f>'Monthly Data'!EJ11</f>
        <v>0</v>
      </c>
      <c r="J11" s="3">
        <f t="shared" si="1"/>
        <v>-35488752.832239702</v>
      </c>
      <c r="K11" s="3">
        <f t="shared" si="2"/>
        <v>7837435.9638456805</v>
      </c>
      <c r="L11" s="3">
        <f t="shared" si="3"/>
        <v>46309602.872838847</v>
      </c>
      <c r="M11" s="3">
        <f t="shared" si="4"/>
        <v>0</v>
      </c>
      <c r="N11" s="3">
        <f t="shared" si="5"/>
        <v>0</v>
      </c>
      <c r="O11" s="47">
        <f t="shared" si="6"/>
        <v>18658286.004444826</v>
      </c>
      <c r="P11" s="47">
        <f>'Monthly Data'!AJ11</f>
        <v>0</v>
      </c>
      <c r="Q11" s="47">
        <f t="shared" si="7"/>
        <v>18658286.004444826</v>
      </c>
      <c r="T11" t="s">
        <v>159</v>
      </c>
      <c r="U11" s="3">
        <f>'VRZ Large Use'!W11</f>
        <v>0</v>
      </c>
      <c r="V11" s="3">
        <f>'VRZ Large Use'!X11</f>
        <v>0</v>
      </c>
      <c r="W11" s="3">
        <f>'VRZ Large Use'!Y11</f>
        <v>0</v>
      </c>
      <c r="X11" s="3">
        <f>'VRZ Large Use'!Z11</f>
        <v>0</v>
      </c>
    </row>
    <row r="12" spans="1:24">
      <c r="A12" s="2">
        <f>'Monthly Data'!A12</f>
        <v>42675</v>
      </c>
      <c r="B12">
        <f>'Monthly Data'!B12</f>
        <v>2016</v>
      </c>
      <c r="C12">
        <f>'Monthly Data'!C12</f>
        <v>11</v>
      </c>
      <c r="D12" s="3">
        <f>'Monthly Data'!AI12</f>
        <v>18466480.125477254</v>
      </c>
      <c r="E12" s="3">
        <f>'Monthly Data'!DR12</f>
        <v>22</v>
      </c>
      <c r="F12" s="3">
        <f>'Monthly Data'!DL12</f>
        <v>745246</v>
      </c>
      <c r="G12" s="3">
        <f>'Monthly Data'!EE12</f>
        <v>0</v>
      </c>
      <c r="H12" s="3">
        <f>'Monthly Data'!EJ12</f>
        <v>0</v>
      </c>
      <c r="J12" s="3">
        <f t="shared" si="1"/>
        <v>-35488752.832239702</v>
      </c>
      <c r="K12" s="3">
        <f t="shared" si="2"/>
        <v>8621179.5602302477</v>
      </c>
      <c r="L12" s="3">
        <f t="shared" si="3"/>
        <v>46309602.872838847</v>
      </c>
      <c r="M12" s="3">
        <f t="shared" si="4"/>
        <v>0</v>
      </c>
      <c r="N12" s="3">
        <f t="shared" si="5"/>
        <v>0</v>
      </c>
      <c r="O12" s="47">
        <f t="shared" si="6"/>
        <v>19442029.600829393</v>
      </c>
      <c r="P12" s="47">
        <f>'Monthly Data'!AJ12</f>
        <v>0</v>
      </c>
      <c r="Q12" s="47">
        <f t="shared" si="7"/>
        <v>19442029.600829393</v>
      </c>
      <c r="T12" t="s">
        <v>164</v>
      </c>
      <c r="U12" s="436">
        <f>'VRZ Large Use'!W12</f>
        <v>3799275.8570409101</v>
      </c>
      <c r="V12" s="3">
        <f>'VRZ Large Use'!X12</f>
        <v>846710.30857808294</v>
      </c>
      <c r="W12" s="3">
        <f>'VRZ Large Use'!Y12</f>
        <v>4.48710239919152</v>
      </c>
      <c r="X12" s="3">
        <f>'VRZ Large Use'!Z12</f>
        <v>1.71064257102583E-5</v>
      </c>
    </row>
    <row r="13" spans="1:24">
      <c r="A13" s="2">
        <f>'Monthly Data'!A13</f>
        <v>42705</v>
      </c>
      <c r="B13">
        <f>'Monthly Data'!B13</f>
        <v>2016</v>
      </c>
      <c r="C13">
        <f>'Monthly Data'!C13</f>
        <v>12</v>
      </c>
      <c r="D13" s="3">
        <f>'Monthly Data'!AI13</f>
        <v>18772356.144670393</v>
      </c>
      <c r="E13" s="3">
        <f>'Monthly Data'!DR13</f>
        <v>20</v>
      </c>
      <c r="F13" s="3">
        <f>'Monthly Data'!DL13</f>
        <v>745246</v>
      </c>
      <c r="G13" s="3">
        <f>'Monthly Data'!EE13</f>
        <v>0</v>
      </c>
      <c r="H13" s="3">
        <f>'Monthly Data'!EJ13</f>
        <v>0</v>
      </c>
      <c r="J13" s="3">
        <f t="shared" si="1"/>
        <v>-35488752.832239702</v>
      </c>
      <c r="K13" s="3">
        <f t="shared" si="2"/>
        <v>7837435.9638456805</v>
      </c>
      <c r="L13" s="3">
        <f t="shared" si="3"/>
        <v>46309602.872838847</v>
      </c>
      <c r="M13" s="3">
        <f t="shared" si="4"/>
        <v>0</v>
      </c>
      <c r="N13" s="3">
        <f t="shared" si="5"/>
        <v>0</v>
      </c>
      <c r="O13" s="47">
        <f t="shared" si="6"/>
        <v>18658286.004444826</v>
      </c>
      <c r="P13" s="47">
        <f>'Monthly Data'!AJ13</f>
        <v>0</v>
      </c>
      <c r="Q13" s="47">
        <f t="shared" si="7"/>
        <v>18658286.004444826</v>
      </c>
      <c r="U13" s="3"/>
      <c r="V13" s="3"/>
      <c r="W13" s="235"/>
      <c r="X13" s="100"/>
    </row>
    <row r="14" spans="1:24">
      <c r="A14" s="2">
        <f>'Monthly Data'!A14</f>
        <v>42736</v>
      </c>
      <c r="B14">
        <f>'Monthly Data'!B14</f>
        <v>2017</v>
      </c>
      <c r="C14">
        <f>'Monthly Data'!C14</f>
        <v>1</v>
      </c>
      <c r="D14" s="3">
        <f>'Monthly Data'!AI14</f>
        <v>18867835.198601972</v>
      </c>
      <c r="E14" s="3">
        <f>'Monthly Data'!DR14</f>
        <v>22</v>
      </c>
      <c r="F14" s="3">
        <f>'Monthly Data'!DL14</f>
        <v>756670</v>
      </c>
      <c r="G14" s="3">
        <f>'Monthly Data'!EE14</f>
        <v>0</v>
      </c>
      <c r="H14" s="3">
        <f>'Monthly Data'!EJ14</f>
        <v>0</v>
      </c>
      <c r="J14" s="3">
        <f t="shared" si="1"/>
        <v>-35488752.832239702</v>
      </c>
      <c r="K14" s="3">
        <f t="shared" si="2"/>
        <v>8621179.5602302477</v>
      </c>
      <c r="L14" s="3">
        <f t="shared" si="3"/>
        <v>47019490.48474057</v>
      </c>
      <c r="M14" s="3">
        <f t="shared" si="4"/>
        <v>0</v>
      </c>
      <c r="N14" s="3">
        <f t="shared" si="5"/>
        <v>0</v>
      </c>
      <c r="O14" s="47">
        <f t="shared" si="6"/>
        <v>20151917.212731116</v>
      </c>
      <c r="P14" s="47">
        <f>'Monthly Data'!AJ14</f>
        <v>0</v>
      </c>
      <c r="Q14" s="47">
        <f t="shared" si="7"/>
        <v>20151917.212731116</v>
      </c>
      <c r="T14" t="s">
        <v>306</v>
      </c>
      <c r="U14" s="3"/>
      <c r="V14" s="3"/>
      <c r="W14" s="235"/>
      <c r="X14" s="100"/>
    </row>
    <row r="15" spans="1:24">
      <c r="A15" s="2">
        <f>'Monthly Data'!A15</f>
        <v>42767</v>
      </c>
      <c r="B15">
        <f>'Monthly Data'!B15</f>
        <v>2017</v>
      </c>
      <c r="C15">
        <f>'Monthly Data'!C15</f>
        <v>2</v>
      </c>
      <c r="D15" s="3">
        <f>'Monthly Data'!AI15</f>
        <v>17298663.511402015</v>
      </c>
      <c r="E15" s="3">
        <f>'Monthly Data'!DR15</f>
        <v>19</v>
      </c>
      <c r="F15" s="3">
        <f>'Monthly Data'!DL15</f>
        <v>756670</v>
      </c>
      <c r="G15" s="3">
        <f>'Monthly Data'!EE15</f>
        <v>0</v>
      </c>
      <c r="H15" s="3">
        <f>'Monthly Data'!EJ15</f>
        <v>0</v>
      </c>
      <c r="J15" s="3">
        <f t="shared" si="1"/>
        <v>-35488752.832239702</v>
      </c>
      <c r="K15" s="3">
        <f t="shared" si="2"/>
        <v>7445564.1656533964</v>
      </c>
      <c r="L15" s="3">
        <f t="shared" si="3"/>
        <v>47019490.48474057</v>
      </c>
      <c r="M15" s="3">
        <f t="shared" si="4"/>
        <v>0</v>
      </c>
      <c r="N15" s="3">
        <f t="shared" si="5"/>
        <v>0</v>
      </c>
      <c r="O15" s="47">
        <f t="shared" si="6"/>
        <v>18976301.818154264</v>
      </c>
      <c r="P15" s="47">
        <f>'Monthly Data'!AJ15</f>
        <v>0</v>
      </c>
      <c r="Q15" s="47">
        <f t="shared" si="7"/>
        <v>18976301.818154264</v>
      </c>
      <c r="T15" t="s">
        <v>307</v>
      </c>
      <c r="U15" s="3">
        <v>252641270642456</v>
      </c>
      <c r="V15" s="3" t="s">
        <v>308</v>
      </c>
      <c r="W15" s="235">
        <v>1488674.4092862101</v>
      </c>
      <c r="X15" s="100"/>
    </row>
    <row r="16" spans="1:24">
      <c r="A16" s="2">
        <f>'Monthly Data'!A16</f>
        <v>42795</v>
      </c>
      <c r="B16">
        <f>'Monthly Data'!B16</f>
        <v>2017</v>
      </c>
      <c r="C16">
        <f>'Monthly Data'!C16</f>
        <v>3</v>
      </c>
      <c r="D16" s="3">
        <f>'Monthly Data'!AI16</f>
        <v>20471192.422566071</v>
      </c>
      <c r="E16" s="3">
        <f>'Monthly Data'!DR16</f>
        <v>23</v>
      </c>
      <c r="F16" s="3">
        <f>'Monthly Data'!DL16</f>
        <v>756670</v>
      </c>
      <c r="G16" s="3">
        <f>'Monthly Data'!EE16</f>
        <v>1</v>
      </c>
      <c r="H16" s="3">
        <f>'Monthly Data'!EJ16</f>
        <v>0</v>
      </c>
      <c r="J16" s="3">
        <f t="shared" si="1"/>
        <v>-35488752.832239702</v>
      </c>
      <c r="K16" s="3">
        <f t="shared" si="2"/>
        <v>9013051.3584225327</v>
      </c>
      <c r="L16" s="3">
        <f t="shared" si="3"/>
        <v>47019490.48474057</v>
      </c>
      <c r="M16" s="3">
        <f t="shared" si="4"/>
        <v>0</v>
      </c>
      <c r="N16" s="3">
        <f t="shared" si="5"/>
        <v>0</v>
      </c>
      <c r="O16" s="47">
        <f t="shared" si="6"/>
        <v>20543789.010923401</v>
      </c>
      <c r="P16" s="47">
        <f>'Monthly Data'!AJ16</f>
        <v>0</v>
      </c>
      <c r="Q16" s="47">
        <f t="shared" si="7"/>
        <v>20543789.010923401</v>
      </c>
      <c r="T16" t="s">
        <v>309</v>
      </c>
      <c r="U16">
        <v>0.85245320695433702</v>
      </c>
      <c r="V16" t="s">
        <v>310</v>
      </c>
      <c r="W16">
        <v>0.84727612649659501</v>
      </c>
    </row>
    <row r="17" spans="1:23">
      <c r="A17" s="2">
        <f>'Monthly Data'!A17</f>
        <v>42826</v>
      </c>
      <c r="B17">
        <f>'Monthly Data'!B17</f>
        <v>2017</v>
      </c>
      <c r="C17">
        <f>'Monthly Data'!C17</f>
        <v>4</v>
      </c>
      <c r="D17" s="3">
        <f>'Monthly Data'!AI17</f>
        <v>17581793.730776858</v>
      </c>
      <c r="E17" s="3">
        <f>'Monthly Data'!DR17</f>
        <v>19</v>
      </c>
      <c r="F17" s="3">
        <f>'Monthly Data'!DL17</f>
        <v>764676</v>
      </c>
      <c r="G17" s="3">
        <f>'Monthly Data'!EE17</f>
        <v>1</v>
      </c>
      <c r="H17" s="3">
        <f>'Monthly Data'!EJ17</f>
        <v>0</v>
      </c>
      <c r="J17" s="3">
        <f t="shared" si="1"/>
        <v>-35488752.832239702</v>
      </c>
      <c r="K17" s="3">
        <f t="shared" si="2"/>
        <v>7445564.1656533964</v>
      </c>
      <c r="L17" s="3">
        <f t="shared" si="3"/>
        <v>47516983.501274638</v>
      </c>
      <c r="M17" s="3">
        <f t="shared" si="4"/>
        <v>0</v>
      </c>
      <c r="N17" s="3">
        <f t="shared" si="5"/>
        <v>0</v>
      </c>
      <c r="O17" s="47">
        <f t="shared" si="6"/>
        <v>19473794.834688332</v>
      </c>
      <c r="P17" s="47">
        <f>'Monthly Data'!AJ17</f>
        <v>0</v>
      </c>
      <c r="Q17" s="47">
        <f t="shared" si="7"/>
        <v>19473794.834688332</v>
      </c>
      <c r="T17" t="s">
        <v>624</v>
      </c>
      <c r="U17">
        <v>63.212832286360197</v>
      </c>
      <c r="V17" t="s">
        <v>312</v>
      </c>
      <c r="W17">
        <v>4.7076810938331504E-28</v>
      </c>
    </row>
    <row r="18" spans="1:23">
      <c r="A18" s="2">
        <f>'Monthly Data'!A18</f>
        <v>42856</v>
      </c>
      <c r="B18">
        <f>'Monthly Data'!B18</f>
        <v>2017</v>
      </c>
      <c r="C18">
        <f>'Monthly Data'!C18</f>
        <v>5</v>
      </c>
      <c r="D18" s="3">
        <f>'Monthly Data'!AI18</f>
        <v>21839661.826738212</v>
      </c>
      <c r="E18" s="3">
        <f>'Monthly Data'!DR18</f>
        <v>22</v>
      </c>
      <c r="F18" s="3">
        <f>'Monthly Data'!DL18</f>
        <v>764676</v>
      </c>
      <c r="G18" s="3">
        <f>'Monthly Data'!EE18</f>
        <v>1</v>
      </c>
      <c r="H18" s="3">
        <f>'Monthly Data'!EJ18</f>
        <v>0</v>
      </c>
      <c r="J18" s="3">
        <f t="shared" si="1"/>
        <v>-35488752.832239702</v>
      </c>
      <c r="K18" s="3">
        <f t="shared" si="2"/>
        <v>8621179.5602302477</v>
      </c>
      <c r="L18" s="3">
        <f t="shared" si="3"/>
        <v>47516983.501274638</v>
      </c>
      <c r="M18" s="3">
        <f t="shared" si="4"/>
        <v>0</v>
      </c>
      <c r="N18" s="3">
        <f t="shared" si="5"/>
        <v>0</v>
      </c>
      <c r="O18" s="47">
        <f t="shared" si="6"/>
        <v>20649410.229265183</v>
      </c>
      <c r="P18" s="47">
        <f>'Monthly Data'!AJ18</f>
        <v>0</v>
      </c>
      <c r="Q18" s="47">
        <f t="shared" si="7"/>
        <v>20649410.229265183</v>
      </c>
      <c r="T18" t="s">
        <v>313</v>
      </c>
      <c r="U18">
        <v>-7.9293071971009692E-3</v>
      </c>
      <c r="V18" t="s">
        <v>314</v>
      </c>
      <c r="W18" s="3">
        <v>2.0081465518372901</v>
      </c>
    </row>
    <row r="19" spans="1:23">
      <c r="A19" s="2">
        <f>'Monthly Data'!A19</f>
        <v>42887</v>
      </c>
      <c r="B19">
        <f>'Monthly Data'!B19</f>
        <v>2017</v>
      </c>
      <c r="C19">
        <f>'Monthly Data'!C19</f>
        <v>6</v>
      </c>
      <c r="D19" s="3">
        <f>'Monthly Data'!AI19</f>
        <v>19976393.698196478</v>
      </c>
      <c r="E19" s="3">
        <f>'Monthly Data'!DR19</f>
        <v>22</v>
      </c>
      <c r="F19" s="3">
        <f>'Monthly Data'!DL19</f>
        <v>764676</v>
      </c>
      <c r="G19" s="3">
        <f>'Monthly Data'!EE19</f>
        <v>0</v>
      </c>
      <c r="H19" s="3">
        <f>'Monthly Data'!EJ19</f>
        <v>0</v>
      </c>
      <c r="J19" s="3">
        <f t="shared" si="1"/>
        <v>-35488752.832239702</v>
      </c>
      <c r="K19" s="3">
        <f t="shared" si="2"/>
        <v>8621179.5602302477</v>
      </c>
      <c r="L19" s="3">
        <f t="shared" si="3"/>
        <v>47516983.501274638</v>
      </c>
      <c r="M19" s="3">
        <f t="shared" si="4"/>
        <v>0</v>
      </c>
      <c r="N19" s="3">
        <f t="shared" si="5"/>
        <v>0</v>
      </c>
      <c r="O19" s="47">
        <f t="shared" si="6"/>
        <v>20649410.229265183</v>
      </c>
      <c r="P19" s="47">
        <f>'Monthly Data'!AJ19</f>
        <v>0</v>
      </c>
      <c r="Q19" s="47">
        <f t="shared" si="7"/>
        <v>20649410.229265183</v>
      </c>
      <c r="U19" s="99"/>
      <c r="W19" s="99"/>
    </row>
    <row r="20" spans="1:23">
      <c r="A20" s="2">
        <f>'Monthly Data'!A20</f>
        <v>42917</v>
      </c>
      <c r="B20">
        <f>'Monthly Data'!B20</f>
        <v>2017</v>
      </c>
      <c r="C20">
        <f>'Monthly Data'!C20</f>
        <v>7</v>
      </c>
      <c r="D20" s="3">
        <f>'Monthly Data'!AI20</f>
        <v>18586436.138722062</v>
      </c>
      <c r="E20" s="3">
        <f>'Monthly Data'!DR20</f>
        <v>20</v>
      </c>
      <c r="F20" s="3">
        <f>'Monthly Data'!DL20</f>
        <v>765009</v>
      </c>
      <c r="G20" s="3">
        <f>'Monthly Data'!EE20</f>
        <v>0</v>
      </c>
      <c r="H20" s="3">
        <f>'Monthly Data'!EJ20</f>
        <v>0</v>
      </c>
      <c r="J20" s="3">
        <f t="shared" si="1"/>
        <v>-35488752.832239702</v>
      </c>
      <c r="K20" s="3">
        <f t="shared" si="2"/>
        <v>7837435.9638456805</v>
      </c>
      <c r="L20" s="3">
        <f t="shared" si="3"/>
        <v>47537676.128617361</v>
      </c>
      <c r="M20" s="3">
        <f t="shared" si="4"/>
        <v>0</v>
      </c>
      <c r="N20" s="3">
        <f t="shared" si="5"/>
        <v>0</v>
      </c>
      <c r="O20" s="47">
        <f t="shared" si="6"/>
        <v>19886359.26022334</v>
      </c>
      <c r="P20" s="47">
        <f>'Monthly Data'!AJ20</f>
        <v>0</v>
      </c>
      <c r="Q20" s="47">
        <f t="shared" si="7"/>
        <v>19886359.26022334</v>
      </c>
      <c r="T20" t="s">
        <v>315</v>
      </c>
      <c r="U20" s="235"/>
      <c r="W20" s="99"/>
    </row>
    <row r="21" spans="1:23">
      <c r="A21" s="2">
        <f>'Monthly Data'!A21</f>
        <v>42948</v>
      </c>
      <c r="B21">
        <f>'Monthly Data'!B21</f>
        <v>2017</v>
      </c>
      <c r="C21">
        <f>'Monthly Data'!C21</f>
        <v>8</v>
      </c>
      <c r="D21" s="3">
        <f>'Monthly Data'!AI21</f>
        <v>18855423.642073181</v>
      </c>
      <c r="E21" s="3">
        <f>'Monthly Data'!DR21</f>
        <v>22</v>
      </c>
      <c r="F21" s="3">
        <f>'Monthly Data'!DL21</f>
        <v>765009</v>
      </c>
      <c r="G21" s="3">
        <f>'Monthly Data'!EE21</f>
        <v>0</v>
      </c>
      <c r="H21" s="3">
        <f>'Monthly Data'!EJ21</f>
        <v>0</v>
      </c>
      <c r="J21" s="3">
        <f t="shared" si="1"/>
        <v>-35488752.832239702</v>
      </c>
      <c r="K21" s="3">
        <f t="shared" si="2"/>
        <v>8621179.5602302477</v>
      </c>
      <c r="L21" s="3">
        <f t="shared" si="3"/>
        <v>47537676.128617361</v>
      </c>
      <c r="M21" s="3">
        <f t="shared" si="4"/>
        <v>0</v>
      </c>
      <c r="N21" s="3">
        <f t="shared" si="5"/>
        <v>0</v>
      </c>
      <c r="O21" s="47">
        <f t="shared" si="6"/>
        <v>20670102.856607907</v>
      </c>
      <c r="P21" s="47">
        <f>'Monthly Data'!AJ21</f>
        <v>0</v>
      </c>
      <c r="Q21" s="47">
        <f t="shared" si="7"/>
        <v>20670102.856607907</v>
      </c>
      <c r="T21" t="s">
        <v>316</v>
      </c>
      <c r="U21" s="99">
        <v>23332118.1769448</v>
      </c>
      <c r="V21" t="s">
        <v>317</v>
      </c>
      <c r="W21" s="99">
        <v>3808903.2293846798</v>
      </c>
    </row>
    <row r="22" spans="1:23">
      <c r="A22" s="2">
        <f>'Monthly Data'!A22</f>
        <v>42979</v>
      </c>
      <c r="B22">
        <f>'Monthly Data'!B22</f>
        <v>2017</v>
      </c>
      <c r="C22">
        <f>'Monthly Data'!C22</f>
        <v>9</v>
      </c>
      <c r="D22" s="3">
        <f>'Monthly Data'!AI22</f>
        <v>17895401.745719053</v>
      </c>
      <c r="E22" s="3">
        <f>'Monthly Data'!DR22</f>
        <v>20</v>
      </c>
      <c r="F22" s="3">
        <f>'Monthly Data'!DL22</f>
        <v>765009</v>
      </c>
      <c r="G22" s="3">
        <f>'Monthly Data'!EE22</f>
        <v>0</v>
      </c>
      <c r="H22" s="3">
        <f>'Monthly Data'!EJ22</f>
        <v>0</v>
      </c>
      <c r="J22" s="3">
        <f t="shared" si="1"/>
        <v>-35488752.832239702</v>
      </c>
      <c r="K22" s="3">
        <f t="shared" si="2"/>
        <v>7837435.9638456805</v>
      </c>
      <c r="L22" s="3">
        <f t="shared" si="3"/>
        <v>47537676.128617361</v>
      </c>
      <c r="M22" s="3">
        <f t="shared" si="4"/>
        <v>0</v>
      </c>
      <c r="N22" s="3">
        <f t="shared" si="5"/>
        <v>0</v>
      </c>
      <c r="O22" s="47">
        <f t="shared" si="6"/>
        <v>19886359.26022334</v>
      </c>
      <c r="P22" s="47">
        <f>'Monthly Data'!AJ22</f>
        <v>0</v>
      </c>
      <c r="Q22" s="47">
        <f t="shared" si="7"/>
        <v>19886359.26022334</v>
      </c>
    </row>
    <row r="23" spans="1:23">
      <c r="A23" s="2">
        <f>'Monthly Data'!A23</f>
        <v>43009</v>
      </c>
      <c r="B23">
        <f>'Monthly Data'!B23</f>
        <v>2017</v>
      </c>
      <c r="C23">
        <f>'Monthly Data'!C23</f>
        <v>10</v>
      </c>
      <c r="D23" s="3">
        <f>'Monthly Data'!AI23</f>
        <v>19118533.461100705</v>
      </c>
      <c r="E23" s="3">
        <f>'Monthly Data'!DR23</f>
        <v>21</v>
      </c>
      <c r="F23" s="3">
        <f>'Monthly Data'!DL23</f>
        <v>771506</v>
      </c>
      <c r="G23" s="3">
        <f>'Monthly Data'!EE23</f>
        <v>0</v>
      </c>
      <c r="H23" s="3">
        <f>'Monthly Data'!EJ23</f>
        <v>0</v>
      </c>
      <c r="J23" s="3">
        <f t="shared" si="1"/>
        <v>-35488752.832239702</v>
      </c>
      <c r="K23" s="3">
        <f t="shared" si="2"/>
        <v>8229307.7620379645</v>
      </c>
      <c r="L23" s="3">
        <f t="shared" si="3"/>
        <v>47941399.851877652</v>
      </c>
      <c r="M23" s="3">
        <f t="shared" si="4"/>
        <v>0</v>
      </c>
      <c r="N23" s="3">
        <f t="shared" si="5"/>
        <v>0</v>
      </c>
      <c r="O23" s="47">
        <f t="shared" si="6"/>
        <v>20681954.781675912</v>
      </c>
      <c r="P23" s="47">
        <f>'Monthly Data'!AJ23</f>
        <v>0</v>
      </c>
      <c r="Q23" s="47">
        <f t="shared" si="7"/>
        <v>20681954.781675912</v>
      </c>
    </row>
    <row r="24" spans="1:23">
      <c r="A24" s="2">
        <f>'Monthly Data'!A24</f>
        <v>43040</v>
      </c>
      <c r="B24">
        <f>'Monthly Data'!B24</f>
        <v>2017</v>
      </c>
      <c r="C24">
        <f>'Monthly Data'!C24</f>
        <v>11</v>
      </c>
      <c r="D24" s="3">
        <f>'Monthly Data'!AI24</f>
        <v>21382229.087633248</v>
      </c>
      <c r="E24" s="3">
        <f>'Monthly Data'!DR24</f>
        <v>22</v>
      </c>
      <c r="F24" s="3">
        <f>'Monthly Data'!DL24</f>
        <v>771506</v>
      </c>
      <c r="G24" s="3">
        <f>'Monthly Data'!EE24</f>
        <v>0</v>
      </c>
      <c r="H24" s="3">
        <f>'Monthly Data'!EJ24</f>
        <v>0</v>
      </c>
      <c r="J24" s="3">
        <f t="shared" si="1"/>
        <v>-35488752.832239702</v>
      </c>
      <c r="K24" s="3">
        <f t="shared" si="2"/>
        <v>8621179.5602302477</v>
      </c>
      <c r="L24" s="3">
        <f t="shared" si="3"/>
        <v>47941399.851877652</v>
      </c>
      <c r="M24" s="3">
        <f t="shared" si="4"/>
        <v>0</v>
      </c>
      <c r="N24" s="3">
        <f t="shared" si="5"/>
        <v>0</v>
      </c>
      <c r="O24" s="47">
        <f t="shared" si="6"/>
        <v>21073826.579868197</v>
      </c>
      <c r="P24" s="47">
        <f>'Monthly Data'!AJ24</f>
        <v>0</v>
      </c>
      <c r="Q24" s="47">
        <f t="shared" si="7"/>
        <v>21073826.579868197</v>
      </c>
      <c r="U24" s="3"/>
      <c r="W24" s="3"/>
    </row>
    <row r="25" spans="1:23">
      <c r="A25" s="2">
        <f>'Monthly Data'!A25</f>
        <v>43070</v>
      </c>
      <c r="B25">
        <f>'Monthly Data'!B25</f>
        <v>2017</v>
      </c>
      <c r="C25">
        <f>'Monthly Data'!C25</f>
        <v>12</v>
      </c>
      <c r="D25" s="3">
        <f>'Monthly Data'!AI25</f>
        <v>20274762.624763876</v>
      </c>
      <c r="E25" s="3">
        <f>'Monthly Data'!DR25</f>
        <v>19</v>
      </c>
      <c r="F25" s="3">
        <f>'Monthly Data'!DL25</f>
        <v>771506</v>
      </c>
      <c r="G25" s="3">
        <f>'Monthly Data'!EE25</f>
        <v>0</v>
      </c>
      <c r="H25" s="3">
        <f>'Monthly Data'!EJ25</f>
        <v>0</v>
      </c>
      <c r="J25" s="3">
        <f t="shared" si="1"/>
        <v>-35488752.832239702</v>
      </c>
      <c r="K25" s="3">
        <f t="shared" si="2"/>
        <v>7445564.1656533964</v>
      </c>
      <c r="L25" s="3">
        <f t="shared" si="3"/>
        <v>47941399.851877652</v>
      </c>
      <c r="M25" s="3">
        <f t="shared" si="4"/>
        <v>0</v>
      </c>
      <c r="N25" s="3">
        <f t="shared" si="5"/>
        <v>0</v>
      </c>
      <c r="O25" s="47">
        <f t="shared" si="6"/>
        <v>19898211.185291346</v>
      </c>
      <c r="P25" s="47">
        <f>'Monthly Data'!AJ25</f>
        <v>0</v>
      </c>
      <c r="Q25" s="47">
        <f t="shared" si="7"/>
        <v>19898211.185291346</v>
      </c>
    </row>
    <row r="26" spans="1:23">
      <c r="A26" s="2">
        <f>'Monthly Data'!A26</f>
        <v>43101</v>
      </c>
      <c r="B26">
        <f>'Monthly Data'!B26</f>
        <v>2018</v>
      </c>
      <c r="C26">
        <f>'Monthly Data'!C26</f>
        <v>1</v>
      </c>
      <c r="D26" s="3">
        <f>'Monthly Data'!AI26</f>
        <v>22549544.756564576</v>
      </c>
      <c r="E26" s="3">
        <f>'Monthly Data'!DR26</f>
        <v>22</v>
      </c>
      <c r="F26" s="3">
        <f>'Monthly Data'!DL26</f>
        <v>779694</v>
      </c>
      <c r="G26" s="3">
        <f>'Monthly Data'!EE26</f>
        <v>0</v>
      </c>
      <c r="H26" s="3">
        <f>'Monthly Data'!EJ26</f>
        <v>0</v>
      </c>
      <c r="J26" s="3">
        <f t="shared" si="1"/>
        <v>-35488752.832239702</v>
      </c>
      <c r="K26" s="3">
        <f t="shared" si="2"/>
        <v>8621179.5602302477</v>
      </c>
      <c r="L26" s="3">
        <f t="shared" si="3"/>
        <v>48450202.35242486</v>
      </c>
      <c r="M26" s="3">
        <f t="shared" si="4"/>
        <v>0</v>
      </c>
      <c r="N26" s="3">
        <f t="shared" si="5"/>
        <v>0</v>
      </c>
      <c r="O26" s="47">
        <f t="shared" si="6"/>
        <v>21582629.080415405</v>
      </c>
      <c r="P26" s="47">
        <f>'Monthly Data'!AJ26</f>
        <v>0</v>
      </c>
      <c r="Q26" s="47">
        <f t="shared" si="7"/>
        <v>21582629.080415405</v>
      </c>
    </row>
    <row r="27" spans="1:23">
      <c r="A27" s="2">
        <f>'Monthly Data'!A27</f>
        <v>43132</v>
      </c>
      <c r="B27">
        <f>'Monthly Data'!B27</f>
        <v>2018</v>
      </c>
      <c r="C27">
        <f>'Monthly Data'!C27</f>
        <v>2</v>
      </c>
      <c r="D27" s="3">
        <f>'Monthly Data'!AI27</f>
        <v>20756840.14507037</v>
      </c>
      <c r="E27" s="3">
        <f>'Monthly Data'!DR27</f>
        <v>19</v>
      </c>
      <c r="F27" s="3">
        <f>'Monthly Data'!DL27</f>
        <v>779694</v>
      </c>
      <c r="G27" s="3">
        <f>'Monthly Data'!EE27</f>
        <v>0</v>
      </c>
      <c r="H27" s="3">
        <f>'Monthly Data'!EJ27</f>
        <v>0</v>
      </c>
      <c r="J27" s="3">
        <f t="shared" si="1"/>
        <v>-35488752.832239702</v>
      </c>
      <c r="K27" s="3">
        <f t="shared" si="2"/>
        <v>7445564.1656533964</v>
      </c>
      <c r="L27" s="3">
        <f t="shared" si="3"/>
        <v>48450202.35242486</v>
      </c>
      <c r="M27" s="3">
        <f t="shared" si="4"/>
        <v>0</v>
      </c>
      <c r="N27" s="3">
        <f t="shared" si="5"/>
        <v>0</v>
      </c>
      <c r="O27" s="47">
        <f t="shared" si="6"/>
        <v>20407013.685838554</v>
      </c>
      <c r="P27" s="47">
        <f>'Monthly Data'!AJ27</f>
        <v>0</v>
      </c>
      <c r="Q27" s="47">
        <f t="shared" si="7"/>
        <v>20407013.685838554</v>
      </c>
    </row>
    <row r="28" spans="1:23">
      <c r="A28" s="2">
        <f>'Monthly Data'!A28</f>
        <v>43160</v>
      </c>
      <c r="B28">
        <f>'Monthly Data'!B28</f>
        <v>2018</v>
      </c>
      <c r="C28">
        <f>'Monthly Data'!C28</f>
        <v>3</v>
      </c>
      <c r="D28" s="3">
        <f>'Monthly Data'!AI28</f>
        <v>23787063.783911549</v>
      </c>
      <c r="E28" s="3">
        <f>'Monthly Data'!DR28</f>
        <v>21</v>
      </c>
      <c r="F28" s="3">
        <f>'Monthly Data'!DL28</f>
        <v>779694</v>
      </c>
      <c r="G28" s="3">
        <f>'Monthly Data'!EE28</f>
        <v>1</v>
      </c>
      <c r="H28" s="3">
        <f>'Monthly Data'!EJ28</f>
        <v>0</v>
      </c>
      <c r="J28" s="3">
        <f t="shared" si="1"/>
        <v>-35488752.832239702</v>
      </c>
      <c r="K28" s="3">
        <f t="shared" si="2"/>
        <v>8229307.7620379645</v>
      </c>
      <c r="L28" s="3">
        <f t="shared" si="3"/>
        <v>48450202.35242486</v>
      </c>
      <c r="M28" s="3">
        <f t="shared" si="4"/>
        <v>0</v>
      </c>
      <c r="N28" s="3">
        <f t="shared" si="5"/>
        <v>0</v>
      </c>
      <c r="O28" s="47">
        <f t="shared" si="6"/>
        <v>21190757.28222312</v>
      </c>
      <c r="P28" s="47">
        <f>'Monthly Data'!AJ28</f>
        <v>0</v>
      </c>
      <c r="Q28" s="47">
        <f t="shared" si="7"/>
        <v>21190757.28222312</v>
      </c>
    </row>
    <row r="29" spans="1:23">
      <c r="A29" s="2">
        <f>'Monthly Data'!A29</f>
        <v>43191</v>
      </c>
      <c r="B29">
        <f>'Monthly Data'!B29</f>
        <v>2018</v>
      </c>
      <c r="C29">
        <f>'Monthly Data'!C29</f>
        <v>4</v>
      </c>
      <c r="D29" s="3">
        <f>'Monthly Data'!AI29</f>
        <v>22899290.21702826</v>
      </c>
      <c r="E29" s="3">
        <f>'Monthly Data'!DR29</f>
        <v>21</v>
      </c>
      <c r="F29" s="3">
        <f>'Monthly Data'!DL29</f>
        <v>785185</v>
      </c>
      <c r="G29" s="3">
        <f>'Monthly Data'!EE29</f>
        <v>1</v>
      </c>
      <c r="H29" s="3">
        <f>'Monthly Data'!EJ29</f>
        <v>0</v>
      </c>
      <c r="J29" s="3">
        <f t="shared" si="1"/>
        <v>-35488752.832239702</v>
      </c>
      <c r="K29" s="3">
        <f t="shared" si="2"/>
        <v>8229307.7620379645</v>
      </c>
      <c r="L29" s="3">
        <f t="shared" si="3"/>
        <v>48791413.213502616</v>
      </c>
      <c r="M29" s="3">
        <f t="shared" si="4"/>
        <v>0</v>
      </c>
      <c r="N29" s="3">
        <f t="shared" si="5"/>
        <v>0</v>
      </c>
      <c r="O29" s="47">
        <f t="shared" si="6"/>
        <v>21531968.143300876</v>
      </c>
      <c r="P29" s="47">
        <f>'Monthly Data'!AJ29</f>
        <v>0</v>
      </c>
      <c r="Q29" s="47">
        <f t="shared" si="7"/>
        <v>21531968.143300876</v>
      </c>
    </row>
    <row r="30" spans="1:23">
      <c r="A30" s="2">
        <f>'Monthly Data'!A30</f>
        <v>43221</v>
      </c>
      <c r="B30">
        <f>'Monthly Data'!B30</f>
        <v>2018</v>
      </c>
      <c r="C30">
        <f>'Monthly Data'!C30</f>
        <v>5</v>
      </c>
      <c r="D30" s="3">
        <f>'Monthly Data'!AI30</f>
        <v>22458260.548706152</v>
      </c>
      <c r="E30" s="3">
        <f>'Monthly Data'!DR30</f>
        <v>22</v>
      </c>
      <c r="F30" s="3">
        <f>'Monthly Data'!DL30</f>
        <v>785185</v>
      </c>
      <c r="G30" s="3">
        <f>'Monthly Data'!EE30</f>
        <v>1</v>
      </c>
      <c r="H30" s="3">
        <f>'Monthly Data'!EJ30</f>
        <v>0</v>
      </c>
      <c r="J30" s="3">
        <f t="shared" si="1"/>
        <v>-35488752.832239702</v>
      </c>
      <c r="K30" s="3">
        <f t="shared" si="2"/>
        <v>8621179.5602302477</v>
      </c>
      <c r="L30" s="3">
        <f t="shared" si="3"/>
        <v>48791413.213502616</v>
      </c>
      <c r="M30" s="3">
        <f t="shared" si="4"/>
        <v>0</v>
      </c>
      <c r="N30" s="3">
        <f t="shared" si="5"/>
        <v>0</v>
      </c>
      <c r="O30" s="47">
        <f t="shared" si="6"/>
        <v>21923839.941493161</v>
      </c>
      <c r="P30" s="47">
        <f>'Monthly Data'!AJ30</f>
        <v>0</v>
      </c>
      <c r="Q30" s="47">
        <f t="shared" si="7"/>
        <v>21923839.941493161</v>
      </c>
    </row>
    <row r="31" spans="1:23">
      <c r="A31" s="2">
        <f>'Monthly Data'!A31</f>
        <v>43252</v>
      </c>
      <c r="B31">
        <f>'Monthly Data'!B31</f>
        <v>2018</v>
      </c>
      <c r="C31">
        <f>'Monthly Data'!C31</f>
        <v>6</v>
      </c>
      <c r="D31" s="3">
        <f>'Monthly Data'!AI31</f>
        <v>19919954.16441917</v>
      </c>
      <c r="E31" s="3">
        <f>'Monthly Data'!DR31</f>
        <v>21</v>
      </c>
      <c r="F31" s="3">
        <f>'Monthly Data'!DL31</f>
        <v>785185</v>
      </c>
      <c r="G31" s="3">
        <f>'Monthly Data'!EE31</f>
        <v>0</v>
      </c>
      <c r="H31" s="3">
        <f>'Monthly Data'!EJ31</f>
        <v>0</v>
      </c>
      <c r="J31" s="3">
        <f t="shared" si="1"/>
        <v>-35488752.832239702</v>
      </c>
      <c r="K31" s="3">
        <f t="shared" si="2"/>
        <v>8229307.7620379645</v>
      </c>
      <c r="L31" s="3">
        <f t="shared" si="3"/>
        <v>48791413.213502616</v>
      </c>
      <c r="M31" s="3">
        <f t="shared" si="4"/>
        <v>0</v>
      </c>
      <c r="N31" s="3">
        <f t="shared" si="5"/>
        <v>0</v>
      </c>
      <c r="O31" s="47">
        <f t="shared" si="6"/>
        <v>21531968.143300876</v>
      </c>
      <c r="P31" s="47">
        <f>'Monthly Data'!AJ31</f>
        <v>0</v>
      </c>
      <c r="Q31" s="47">
        <f t="shared" si="7"/>
        <v>21531968.143300876</v>
      </c>
    </row>
    <row r="32" spans="1:23">
      <c r="A32" s="2">
        <f>'Monthly Data'!A32</f>
        <v>43282</v>
      </c>
      <c r="B32">
        <f>'Monthly Data'!B32</f>
        <v>2018</v>
      </c>
      <c r="C32">
        <f>'Monthly Data'!C32</f>
        <v>7</v>
      </c>
      <c r="D32" s="3">
        <f>'Monthly Data'!AI32</f>
        <v>20896865.447711267</v>
      </c>
      <c r="E32" s="3">
        <f>'Monthly Data'!DR32</f>
        <v>21</v>
      </c>
      <c r="F32" s="3">
        <f>'Monthly Data'!DL32</f>
        <v>794512</v>
      </c>
      <c r="G32" s="3">
        <f>'Monthly Data'!EE32</f>
        <v>0</v>
      </c>
      <c r="H32" s="3">
        <f>'Monthly Data'!EJ32</f>
        <v>0</v>
      </c>
      <c r="J32" s="3">
        <f t="shared" si="1"/>
        <v>-35488752.832239702</v>
      </c>
      <c r="K32" s="3">
        <f t="shared" si="2"/>
        <v>8229307.7620379645</v>
      </c>
      <c r="L32" s="3">
        <f t="shared" si="3"/>
        <v>49370993.199165031</v>
      </c>
      <c r="M32" s="3">
        <f t="shared" si="4"/>
        <v>0</v>
      </c>
      <c r="N32" s="3">
        <f t="shared" si="5"/>
        <v>0</v>
      </c>
      <c r="O32" s="47">
        <f t="shared" si="6"/>
        <v>22111548.128963292</v>
      </c>
      <c r="P32" s="47">
        <f>'Monthly Data'!AJ32</f>
        <v>0</v>
      </c>
      <c r="Q32" s="47">
        <f t="shared" si="7"/>
        <v>22111548.128963292</v>
      </c>
    </row>
    <row r="33" spans="1:17">
      <c r="A33" s="2">
        <f>'Monthly Data'!A33</f>
        <v>43313</v>
      </c>
      <c r="B33">
        <f>'Monthly Data'!B33</f>
        <v>2018</v>
      </c>
      <c r="C33">
        <f>'Monthly Data'!C33</f>
        <v>8</v>
      </c>
      <c r="D33" s="3">
        <f>'Monthly Data'!AI33</f>
        <v>21873671.96954979</v>
      </c>
      <c r="E33" s="3">
        <f>'Monthly Data'!DR33</f>
        <v>22</v>
      </c>
      <c r="F33" s="3">
        <f>'Monthly Data'!DL33</f>
        <v>794512</v>
      </c>
      <c r="G33" s="3">
        <f>'Monthly Data'!EE33</f>
        <v>0</v>
      </c>
      <c r="H33" s="3">
        <f>'Monthly Data'!EJ33</f>
        <v>0</v>
      </c>
      <c r="J33" s="3">
        <f t="shared" si="1"/>
        <v>-35488752.832239702</v>
      </c>
      <c r="K33" s="3">
        <f t="shared" si="2"/>
        <v>8621179.5602302477</v>
      </c>
      <c r="L33" s="3">
        <f t="shared" si="3"/>
        <v>49370993.199165031</v>
      </c>
      <c r="M33" s="3">
        <f t="shared" si="4"/>
        <v>0</v>
      </c>
      <c r="N33" s="3">
        <f t="shared" si="5"/>
        <v>0</v>
      </c>
      <c r="O33" s="47">
        <f t="shared" si="6"/>
        <v>22503419.927155577</v>
      </c>
      <c r="P33" s="47">
        <f>'Monthly Data'!AJ33</f>
        <v>0</v>
      </c>
      <c r="Q33" s="47">
        <f t="shared" si="7"/>
        <v>22503419.927155577</v>
      </c>
    </row>
    <row r="34" spans="1:17">
      <c r="A34" s="2">
        <f>'Monthly Data'!A34</f>
        <v>43344</v>
      </c>
      <c r="B34">
        <f>'Monthly Data'!B34</f>
        <v>2018</v>
      </c>
      <c r="C34">
        <f>'Monthly Data'!C34</f>
        <v>9</v>
      </c>
      <c r="D34" s="3">
        <f>'Monthly Data'!AI34</f>
        <v>21241416.513205495</v>
      </c>
      <c r="E34" s="3">
        <f>'Monthly Data'!DR34</f>
        <v>19</v>
      </c>
      <c r="F34" s="3">
        <f>'Monthly Data'!DL34</f>
        <v>794512</v>
      </c>
      <c r="G34" s="3">
        <f>'Monthly Data'!EE34</f>
        <v>0</v>
      </c>
      <c r="H34" s="3">
        <f>'Monthly Data'!EJ34</f>
        <v>0</v>
      </c>
      <c r="J34" s="3">
        <f t="shared" ref="J34:J65" si="8">$U$8</f>
        <v>-35488752.832239702</v>
      </c>
      <c r="K34" s="3">
        <f t="shared" ref="K34:K65" si="9">E34*$U$9</f>
        <v>7445564.1656533964</v>
      </c>
      <c r="L34" s="3">
        <f t="shared" ref="L34:L65" si="10">F34*$U$10</f>
        <v>49370993.199165031</v>
      </c>
      <c r="M34" s="3">
        <f t="shared" ref="M34:M65" si="11">G34*$U$11</f>
        <v>0</v>
      </c>
      <c r="N34" s="3">
        <f t="shared" ref="N34:N65" si="12">H34*$U$12</f>
        <v>0</v>
      </c>
      <c r="O34" s="47">
        <f t="shared" si="6"/>
        <v>21327804.532578725</v>
      </c>
      <c r="P34" s="47">
        <f>'Monthly Data'!AJ34</f>
        <v>0</v>
      </c>
      <c r="Q34" s="47">
        <f t="shared" si="7"/>
        <v>21327804.532578725</v>
      </c>
    </row>
    <row r="35" spans="1:17">
      <c r="A35" s="2">
        <f>'Monthly Data'!A35</f>
        <v>43374</v>
      </c>
      <c r="B35">
        <f>'Monthly Data'!B35</f>
        <v>2018</v>
      </c>
      <c r="C35">
        <f>'Monthly Data'!C35</f>
        <v>10</v>
      </c>
      <c r="D35" s="3">
        <f>'Monthly Data'!AI35</f>
        <v>23752933.684608001</v>
      </c>
      <c r="E35" s="3">
        <f>'Monthly Data'!DR35</f>
        <v>22</v>
      </c>
      <c r="F35" s="3">
        <f>'Monthly Data'!DL35</f>
        <v>799922</v>
      </c>
      <c r="G35" s="3">
        <f>'Monthly Data'!EE35</f>
        <v>0</v>
      </c>
      <c r="H35" s="3">
        <f>'Monthly Data'!EJ35</f>
        <v>0</v>
      </c>
      <c r="J35" s="3">
        <f t="shared" si="8"/>
        <v>-35488752.832239702</v>
      </c>
      <c r="K35" s="3">
        <f t="shared" si="9"/>
        <v>8621179.5602302477</v>
      </c>
      <c r="L35" s="3">
        <f t="shared" si="10"/>
        <v>49707170.718456723</v>
      </c>
      <c r="M35" s="3">
        <f t="shared" si="11"/>
        <v>0</v>
      </c>
      <c r="N35" s="3">
        <f t="shared" si="12"/>
        <v>0</v>
      </c>
      <c r="O35" s="47">
        <f t="shared" si="6"/>
        <v>22839597.446447268</v>
      </c>
      <c r="P35" s="47">
        <f>'Monthly Data'!AJ35</f>
        <v>0</v>
      </c>
      <c r="Q35" s="47">
        <f t="shared" si="7"/>
        <v>22839597.446447268</v>
      </c>
    </row>
    <row r="36" spans="1:17">
      <c r="A36" s="2">
        <f>'Monthly Data'!A36</f>
        <v>43405</v>
      </c>
      <c r="B36">
        <f>'Monthly Data'!B36</f>
        <v>2018</v>
      </c>
      <c r="C36">
        <f>'Monthly Data'!C36</f>
        <v>11</v>
      </c>
      <c r="D36" s="3">
        <f>'Monthly Data'!AI36</f>
        <v>22198124.241722956</v>
      </c>
      <c r="E36" s="3">
        <f>'Monthly Data'!DR36</f>
        <v>22</v>
      </c>
      <c r="F36" s="3">
        <f>'Monthly Data'!DL36</f>
        <v>799922</v>
      </c>
      <c r="G36" s="3">
        <f>'Monthly Data'!EE36</f>
        <v>0</v>
      </c>
      <c r="H36" s="3">
        <f>'Monthly Data'!EJ36</f>
        <v>0</v>
      </c>
      <c r="J36" s="3">
        <f t="shared" si="8"/>
        <v>-35488752.832239702</v>
      </c>
      <c r="K36" s="3">
        <f t="shared" si="9"/>
        <v>8621179.5602302477</v>
      </c>
      <c r="L36" s="3">
        <f t="shared" si="10"/>
        <v>49707170.718456723</v>
      </c>
      <c r="M36" s="3">
        <f t="shared" si="11"/>
        <v>0</v>
      </c>
      <c r="N36" s="3">
        <f t="shared" si="12"/>
        <v>0</v>
      </c>
      <c r="O36" s="47">
        <f t="shared" si="6"/>
        <v>22839597.446447268</v>
      </c>
      <c r="P36" s="47">
        <f>'Monthly Data'!AJ36</f>
        <v>0</v>
      </c>
      <c r="Q36" s="47">
        <f t="shared" si="7"/>
        <v>22839597.446447268</v>
      </c>
    </row>
    <row r="37" spans="1:17">
      <c r="A37" s="2">
        <f>'Monthly Data'!A37</f>
        <v>43435</v>
      </c>
      <c r="B37">
        <f>'Monthly Data'!B37</f>
        <v>2018</v>
      </c>
      <c r="C37">
        <f>'Monthly Data'!C37</f>
        <v>12</v>
      </c>
      <c r="D37" s="3">
        <f>'Monthly Data'!AI37</f>
        <v>22380991.281551104</v>
      </c>
      <c r="E37" s="3">
        <f>'Monthly Data'!DR37</f>
        <v>19</v>
      </c>
      <c r="F37" s="3">
        <f>'Monthly Data'!DL37</f>
        <v>799922</v>
      </c>
      <c r="G37" s="3">
        <f>'Monthly Data'!EE37</f>
        <v>0</v>
      </c>
      <c r="H37" s="3">
        <f>'Monthly Data'!EJ37</f>
        <v>0</v>
      </c>
      <c r="J37" s="3">
        <f t="shared" si="8"/>
        <v>-35488752.832239702</v>
      </c>
      <c r="K37" s="3">
        <f t="shared" si="9"/>
        <v>7445564.1656533964</v>
      </c>
      <c r="L37" s="3">
        <f t="shared" si="10"/>
        <v>49707170.718456723</v>
      </c>
      <c r="M37" s="3">
        <f t="shared" si="11"/>
        <v>0</v>
      </c>
      <c r="N37" s="3">
        <f t="shared" si="12"/>
        <v>0</v>
      </c>
      <c r="O37" s="47">
        <f t="shared" si="6"/>
        <v>21663982.051870417</v>
      </c>
      <c r="P37" s="47">
        <f>'Monthly Data'!AJ37</f>
        <v>0</v>
      </c>
      <c r="Q37" s="47">
        <f t="shared" si="7"/>
        <v>21663982.051870417</v>
      </c>
    </row>
    <row r="38" spans="1:17">
      <c r="A38" s="2">
        <f>'Monthly Data'!A38</f>
        <v>43466</v>
      </c>
      <c r="B38">
        <f>'Monthly Data'!B38</f>
        <v>2019</v>
      </c>
      <c r="C38">
        <f>'Monthly Data'!C38</f>
        <v>1</v>
      </c>
      <c r="D38" s="3">
        <f>'Monthly Data'!AI38</f>
        <v>23102214.374920584</v>
      </c>
      <c r="E38" s="3">
        <f>'Monthly Data'!DR38</f>
        <v>22</v>
      </c>
      <c r="F38" s="3">
        <f>'Monthly Data'!DL38</f>
        <v>800743</v>
      </c>
      <c r="G38" s="3">
        <f>'Monthly Data'!EE38</f>
        <v>0</v>
      </c>
      <c r="H38" s="3">
        <f>'Monthly Data'!EJ38</f>
        <v>0</v>
      </c>
      <c r="J38" s="3">
        <f t="shared" si="8"/>
        <v>-35488752.832239702</v>
      </c>
      <c r="K38" s="3">
        <f t="shared" si="9"/>
        <v>8621179.5602302477</v>
      </c>
      <c r="L38" s="3">
        <f t="shared" si="10"/>
        <v>49758187.676559955</v>
      </c>
      <c r="M38" s="3">
        <f t="shared" si="11"/>
        <v>0</v>
      </c>
      <c r="N38" s="3">
        <f t="shared" si="12"/>
        <v>0</v>
      </c>
      <c r="O38" s="47">
        <f t="shared" si="6"/>
        <v>22890614.4045505</v>
      </c>
      <c r="P38" s="47">
        <f>'Monthly Data'!AJ38</f>
        <v>0</v>
      </c>
      <c r="Q38" s="47">
        <f t="shared" si="7"/>
        <v>22890614.4045505</v>
      </c>
    </row>
    <row r="39" spans="1:17">
      <c r="A39" s="2">
        <f>'Monthly Data'!A39</f>
        <v>43497</v>
      </c>
      <c r="B39">
        <f>'Monthly Data'!B39</f>
        <v>2019</v>
      </c>
      <c r="C39">
        <f>'Monthly Data'!C39</f>
        <v>2</v>
      </c>
      <c r="D39" s="3">
        <f>'Monthly Data'!AI39</f>
        <v>21315753.793941069</v>
      </c>
      <c r="E39" s="3">
        <f>'Monthly Data'!DR39</f>
        <v>19</v>
      </c>
      <c r="F39" s="3">
        <f>'Monthly Data'!DL39</f>
        <v>800743</v>
      </c>
      <c r="G39" s="3">
        <f>'Monthly Data'!EE39</f>
        <v>0</v>
      </c>
      <c r="H39" s="3">
        <f>'Monthly Data'!EJ39</f>
        <v>0</v>
      </c>
      <c r="J39" s="3">
        <f t="shared" si="8"/>
        <v>-35488752.832239702</v>
      </c>
      <c r="K39" s="3">
        <f t="shared" si="9"/>
        <v>7445564.1656533964</v>
      </c>
      <c r="L39" s="3">
        <f t="shared" si="10"/>
        <v>49758187.676559955</v>
      </c>
      <c r="M39" s="3">
        <f t="shared" si="11"/>
        <v>0</v>
      </c>
      <c r="N39" s="3">
        <f t="shared" si="12"/>
        <v>0</v>
      </c>
      <c r="O39" s="47">
        <f t="shared" si="6"/>
        <v>21714999.009973649</v>
      </c>
      <c r="P39" s="47">
        <f>'Monthly Data'!AJ39</f>
        <v>0</v>
      </c>
      <c r="Q39" s="47">
        <f t="shared" si="7"/>
        <v>21714999.009973649</v>
      </c>
    </row>
    <row r="40" spans="1:17">
      <c r="A40" s="2">
        <f>'Monthly Data'!A40</f>
        <v>43525</v>
      </c>
      <c r="B40">
        <f>'Monthly Data'!B40</f>
        <v>2019</v>
      </c>
      <c r="C40">
        <f>'Monthly Data'!C40</f>
        <v>3</v>
      </c>
      <c r="D40" s="3">
        <f>'Monthly Data'!AI40</f>
        <v>22284080.158749774</v>
      </c>
      <c r="E40" s="3">
        <f>'Monthly Data'!DR40</f>
        <v>22</v>
      </c>
      <c r="F40" s="3">
        <f>'Monthly Data'!DL40</f>
        <v>800743</v>
      </c>
      <c r="G40" s="3">
        <f>'Monthly Data'!EE40</f>
        <v>1</v>
      </c>
      <c r="H40" s="3">
        <f>'Monthly Data'!EJ40</f>
        <v>0</v>
      </c>
      <c r="J40" s="3">
        <f t="shared" si="8"/>
        <v>-35488752.832239702</v>
      </c>
      <c r="K40" s="3">
        <f t="shared" si="9"/>
        <v>8621179.5602302477</v>
      </c>
      <c r="L40" s="3">
        <f t="shared" si="10"/>
        <v>49758187.676559955</v>
      </c>
      <c r="M40" s="3">
        <f t="shared" si="11"/>
        <v>0</v>
      </c>
      <c r="N40" s="3">
        <f t="shared" si="12"/>
        <v>0</v>
      </c>
      <c r="O40" s="47">
        <f t="shared" si="6"/>
        <v>22890614.4045505</v>
      </c>
      <c r="P40" s="47">
        <f>'Monthly Data'!AJ40</f>
        <v>0</v>
      </c>
      <c r="Q40" s="47">
        <f t="shared" si="7"/>
        <v>22890614.4045505</v>
      </c>
    </row>
    <row r="41" spans="1:17">
      <c r="A41" s="2">
        <f>'Monthly Data'!A41</f>
        <v>43556</v>
      </c>
      <c r="B41">
        <f>'Monthly Data'!B41</f>
        <v>2019</v>
      </c>
      <c r="C41">
        <f>'Monthly Data'!C41</f>
        <v>4</v>
      </c>
      <c r="D41" s="3">
        <f>'Monthly Data'!AI41</f>
        <v>22534922.417074468</v>
      </c>
      <c r="E41" s="3">
        <f>'Monthly Data'!DR41</f>
        <v>21</v>
      </c>
      <c r="F41" s="3">
        <f>'Monthly Data'!DL41</f>
        <v>806729</v>
      </c>
      <c r="G41" s="3">
        <f>'Monthly Data'!EE41</f>
        <v>1</v>
      </c>
      <c r="H41" s="3">
        <f>'Monthly Data'!EJ41</f>
        <v>0</v>
      </c>
      <c r="J41" s="3">
        <f t="shared" si="8"/>
        <v>-35488752.832239702</v>
      </c>
      <c r="K41" s="3">
        <f t="shared" si="9"/>
        <v>8229307.7620379645</v>
      </c>
      <c r="L41" s="3">
        <f t="shared" si="10"/>
        <v>50130157.848552577</v>
      </c>
      <c r="M41" s="3">
        <f t="shared" si="11"/>
        <v>0</v>
      </c>
      <c r="N41" s="3">
        <f t="shared" si="12"/>
        <v>0</v>
      </c>
      <c r="O41" s="47">
        <f t="shared" si="6"/>
        <v>22870712.778350838</v>
      </c>
      <c r="P41" s="47">
        <f>'Monthly Data'!AJ41</f>
        <v>0</v>
      </c>
      <c r="Q41" s="47">
        <f t="shared" si="7"/>
        <v>22870712.778350838</v>
      </c>
    </row>
    <row r="42" spans="1:17">
      <c r="A42" s="2">
        <f>'Monthly Data'!A42</f>
        <v>43586</v>
      </c>
      <c r="B42">
        <f>'Monthly Data'!B42</f>
        <v>2019</v>
      </c>
      <c r="C42">
        <f>'Monthly Data'!C42</f>
        <v>5</v>
      </c>
      <c r="D42" s="3">
        <f>'Monthly Data'!AI42</f>
        <v>23423953.516985402</v>
      </c>
      <c r="E42" s="3">
        <f>'Monthly Data'!DR42</f>
        <v>20</v>
      </c>
      <c r="F42" s="3">
        <f>'Monthly Data'!DL42</f>
        <v>806729</v>
      </c>
      <c r="G42" s="3">
        <f>'Monthly Data'!EE42</f>
        <v>1</v>
      </c>
      <c r="H42" s="3">
        <f>'Monthly Data'!EJ42</f>
        <v>0</v>
      </c>
      <c r="J42" s="3">
        <f t="shared" si="8"/>
        <v>-35488752.832239702</v>
      </c>
      <c r="K42" s="3">
        <f t="shared" si="9"/>
        <v>7837435.9638456805</v>
      </c>
      <c r="L42" s="3">
        <f t="shared" si="10"/>
        <v>50130157.848552577</v>
      </c>
      <c r="M42" s="3">
        <f t="shared" si="11"/>
        <v>0</v>
      </c>
      <c r="N42" s="3">
        <f t="shared" si="12"/>
        <v>0</v>
      </c>
      <c r="O42" s="47">
        <f t="shared" si="6"/>
        <v>22478840.980158556</v>
      </c>
      <c r="P42" s="47">
        <f>'Monthly Data'!AJ42</f>
        <v>0</v>
      </c>
      <c r="Q42" s="47">
        <f t="shared" si="7"/>
        <v>22478840.980158556</v>
      </c>
    </row>
    <row r="43" spans="1:17">
      <c r="A43" s="2">
        <f>'Monthly Data'!A43</f>
        <v>43617</v>
      </c>
      <c r="B43">
        <f>'Monthly Data'!B43</f>
        <v>2019</v>
      </c>
      <c r="C43">
        <f>'Monthly Data'!C43</f>
        <v>6</v>
      </c>
      <c r="D43" s="3">
        <f>'Monthly Data'!AI43</f>
        <v>24112197.633311499</v>
      </c>
      <c r="E43" s="3">
        <f>'Monthly Data'!DR43</f>
        <v>22</v>
      </c>
      <c r="F43" s="3">
        <f>'Monthly Data'!DL43</f>
        <v>806729</v>
      </c>
      <c r="G43" s="3">
        <f>'Monthly Data'!EE43</f>
        <v>0</v>
      </c>
      <c r="H43" s="3">
        <f>'Monthly Data'!EJ43</f>
        <v>0</v>
      </c>
      <c r="J43" s="3">
        <f t="shared" si="8"/>
        <v>-35488752.832239702</v>
      </c>
      <c r="K43" s="3">
        <f t="shared" si="9"/>
        <v>8621179.5602302477</v>
      </c>
      <c r="L43" s="3">
        <f t="shared" si="10"/>
        <v>50130157.848552577</v>
      </c>
      <c r="M43" s="3">
        <f t="shared" si="11"/>
        <v>0</v>
      </c>
      <c r="N43" s="3">
        <f t="shared" si="12"/>
        <v>0</v>
      </c>
      <c r="O43" s="47">
        <f t="shared" ref="O43:O97" si="13">SUM(J43:N43)</f>
        <v>23262584.576543123</v>
      </c>
      <c r="P43" s="47">
        <f>'Monthly Data'!AJ43</f>
        <v>0</v>
      </c>
      <c r="Q43" s="47">
        <f t="shared" ref="Q43:Q106" si="14">O43+P43</f>
        <v>23262584.576543123</v>
      </c>
    </row>
    <row r="44" spans="1:17">
      <c r="A44" s="2">
        <f>'Monthly Data'!A44</f>
        <v>43647</v>
      </c>
      <c r="B44">
        <f>'Monthly Data'!B44</f>
        <v>2019</v>
      </c>
      <c r="C44">
        <f>'Monthly Data'!C44</f>
        <v>7</v>
      </c>
      <c r="D44" s="3">
        <f>'Monthly Data'!AI44</f>
        <v>24159197.130645622</v>
      </c>
      <c r="E44" s="3">
        <f>'Monthly Data'!DR44</f>
        <v>22</v>
      </c>
      <c r="F44" s="3">
        <f>'Monthly Data'!DL44</f>
        <v>810697</v>
      </c>
      <c r="G44" s="3">
        <f>'Monthly Data'!EE44</f>
        <v>0</v>
      </c>
      <c r="H44" s="3">
        <f>'Monthly Data'!EJ44</f>
        <v>0</v>
      </c>
      <c r="J44" s="3">
        <f t="shared" si="8"/>
        <v>-35488752.832239702</v>
      </c>
      <c r="K44" s="3">
        <f t="shared" si="9"/>
        <v>8621179.5602302477</v>
      </c>
      <c r="L44" s="3">
        <f t="shared" si="10"/>
        <v>50376729.456047855</v>
      </c>
      <c r="M44" s="3">
        <f t="shared" si="11"/>
        <v>0</v>
      </c>
      <c r="N44" s="3">
        <f t="shared" si="12"/>
        <v>0</v>
      </c>
      <c r="O44" s="47">
        <f t="shared" si="13"/>
        <v>23509156.184038401</v>
      </c>
      <c r="P44" s="47">
        <f>'Monthly Data'!AJ44</f>
        <v>0</v>
      </c>
      <c r="Q44" s="47">
        <f t="shared" si="14"/>
        <v>23509156.184038401</v>
      </c>
    </row>
    <row r="45" spans="1:17">
      <c r="A45" s="2">
        <f>'Monthly Data'!A45</f>
        <v>43678</v>
      </c>
      <c r="B45">
        <f>'Monthly Data'!B45</f>
        <v>2019</v>
      </c>
      <c r="C45">
        <f>'Monthly Data'!C45</f>
        <v>8</v>
      </c>
      <c r="D45" s="3">
        <f>'Monthly Data'!AI45</f>
        <v>20560969.589388464</v>
      </c>
      <c r="E45" s="3">
        <f>'Monthly Data'!DR45</f>
        <v>20</v>
      </c>
      <c r="F45" s="3">
        <f>'Monthly Data'!DL45</f>
        <v>810697</v>
      </c>
      <c r="G45" s="3">
        <f>'Monthly Data'!EE45</f>
        <v>0</v>
      </c>
      <c r="H45" s="3">
        <f>'Monthly Data'!EJ45</f>
        <v>0</v>
      </c>
      <c r="J45" s="3">
        <f t="shared" si="8"/>
        <v>-35488752.832239702</v>
      </c>
      <c r="K45" s="3">
        <f t="shared" si="9"/>
        <v>7837435.9638456805</v>
      </c>
      <c r="L45" s="3">
        <f t="shared" si="10"/>
        <v>50376729.456047855</v>
      </c>
      <c r="M45" s="3">
        <f t="shared" si="11"/>
        <v>0</v>
      </c>
      <c r="N45" s="3">
        <f t="shared" si="12"/>
        <v>0</v>
      </c>
      <c r="O45" s="47">
        <f t="shared" si="13"/>
        <v>22725412.587653834</v>
      </c>
      <c r="P45" s="47">
        <f>'Monthly Data'!AJ45</f>
        <v>0</v>
      </c>
      <c r="Q45" s="47">
        <f t="shared" si="14"/>
        <v>22725412.587653834</v>
      </c>
    </row>
    <row r="46" spans="1:17">
      <c r="A46" s="2">
        <f>'Monthly Data'!A46</f>
        <v>43709</v>
      </c>
      <c r="B46">
        <f>'Monthly Data'!B46</f>
        <v>2019</v>
      </c>
      <c r="C46">
        <f>'Monthly Data'!C46</f>
        <v>9</v>
      </c>
      <c r="D46" s="3">
        <f>'Monthly Data'!AI46</f>
        <v>22666422.479033254</v>
      </c>
      <c r="E46" s="3">
        <f>'Monthly Data'!DR46</f>
        <v>21</v>
      </c>
      <c r="F46" s="3">
        <f>'Monthly Data'!DL46</f>
        <v>810697</v>
      </c>
      <c r="G46" s="3">
        <f>'Monthly Data'!EE46</f>
        <v>0</v>
      </c>
      <c r="H46" s="3">
        <f>'Monthly Data'!EJ46</f>
        <v>0</v>
      </c>
      <c r="J46" s="3">
        <f t="shared" si="8"/>
        <v>-35488752.832239702</v>
      </c>
      <c r="K46" s="3">
        <f t="shared" si="9"/>
        <v>8229307.7620379645</v>
      </c>
      <c r="L46" s="3">
        <f t="shared" si="10"/>
        <v>50376729.456047855</v>
      </c>
      <c r="M46" s="3">
        <f t="shared" si="11"/>
        <v>0</v>
      </c>
      <c r="N46" s="3">
        <f t="shared" si="12"/>
        <v>0</v>
      </c>
      <c r="O46" s="47">
        <f t="shared" si="13"/>
        <v>23117284.385846116</v>
      </c>
      <c r="P46" s="47">
        <f>'Monthly Data'!AJ46</f>
        <v>0</v>
      </c>
      <c r="Q46" s="47">
        <f t="shared" si="14"/>
        <v>23117284.385846116</v>
      </c>
    </row>
    <row r="47" spans="1:17">
      <c r="A47" s="2">
        <f>'Monthly Data'!A47</f>
        <v>43739</v>
      </c>
      <c r="B47">
        <f>'Monthly Data'!B47</f>
        <v>2019</v>
      </c>
      <c r="C47">
        <f>'Monthly Data'!C47</f>
        <v>10</v>
      </c>
      <c r="D47" s="3">
        <f>'Monthly Data'!AI47</f>
        <v>24902468.71280143</v>
      </c>
      <c r="E47" s="3">
        <f>'Monthly Data'!DR47</f>
        <v>21</v>
      </c>
      <c r="F47" s="3">
        <f>'Monthly Data'!DL47</f>
        <v>812164</v>
      </c>
      <c r="G47" s="3">
        <f>'Monthly Data'!EE47</f>
        <v>0</v>
      </c>
      <c r="H47" s="3">
        <f>'Monthly Data'!EJ47</f>
        <v>0</v>
      </c>
      <c r="J47" s="3">
        <f t="shared" si="8"/>
        <v>-35488752.832239702</v>
      </c>
      <c r="K47" s="3">
        <f t="shared" si="9"/>
        <v>8229307.7620379645</v>
      </c>
      <c r="L47" s="3">
        <f t="shared" si="10"/>
        <v>50467888.868395522</v>
      </c>
      <c r="M47" s="3">
        <f t="shared" si="11"/>
        <v>0</v>
      </c>
      <c r="N47" s="3">
        <f t="shared" si="12"/>
        <v>0</v>
      </c>
      <c r="O47" s="47">
        <f t="shared" si="13"/>
        <v>23208443.798193783</v>
      </c>
      <c r="P47" s="47">
        <f>'Monthly Data'!AJ47</f>
        <v>0</v>
      </c>
      <c r="Q47" s="47">
        <f t="shared" si="14"/>
        <v>23208443.798193783</v>
      </c>
    </row>
    <row r="48" spans="1:17">
      <c r="A48" s="2">
        <f>'Monthly Data'!A48</f>
        <v>43770</v>
      </c>
      <c r="B48">
        <f>'Monthly Data'!B48</f>
        <v>2019</v>
      </c>
      <c r="C48">
        <f>'Monthly Data'!C48</f>
        <v>11</v>
      </c>
      <c r="D48" s="3">
        <f>'Monthly Data'!AI48</f>
        <v>23543510.459450614</v>
      </c>
      <c r="E48" s="3">
        <f>'Monthly Data'!DR48</f>
        <v>21</v>
      </c>
      <c r="F48" s="3">
        <f>'Monthly Data'!DL48</f>
        <v>812164</v>
      </c>
      <c r="G48" s="3">
        <f>'Monthly Data'!EE48</f>
        <v>0</v>
      </c>
      <c r="H48" s="3">
        <f>'Monthly Data'!EJ48</f>
        <v>0</v>
      </c>
      <c r="J48" s="3">
        <f t="shared" si="8"/>
        <v>-35488752.832239702</v>
      </c>
      <c r="K48" s="3">
        <f t="shared" si="9"/>
        <v>8229307.7620379645</v>
      </c>
      <c r="L48" s="3">
        <f t="shared" si="10"/>
        <v>50467888.868395522</v>
      </c>
      <c r="M48" s="3">
        <f t="shared" si="11"/>
        <v>0</v>
      </c>
      <c r="N48" s="3">
        <f t="shared" si="12"/>
        <v>0</v>
      </c>
      <c r="O48" s="47">
        <f t="shared" si="13"/>
        <v>23208443.798193783</v>
      </c>
      <c r="P48" s="47">
        <f>'Monthly Data'!AJ48</f>
        <v>0</v>
      </c>
      <c r="Q48" s="47">
        <f t="shared" si="14"/>
        <v>23208443.798193783</v>
      </c>
    </row>
    <row r="49" spans="1:17">
      <c r="A49" s="2">
        <f>'Monthly Data'!A49</f>
        <v>43800</v>
      </c>
      <c r="B49">
        <f>'Monthly Data'!B49</f>
        <v>2019</v>
      </c>
      <c r="C49">
        <f>'Monthly Data'!C49</f>
        <v>12</v>
      </c>
      <c r="D49" s="3">
        <f>'Monthly Data'!AI49</f>
        <v>23918338.166187197</v>
      </c>
      <c r="E49" s="3">
        <f>'Monthly Data'!DR49</f>
        <v>21</v>
      </c>
      <c r="F49" s="3">
        <f>'Monthly Data'!DL49</f>
        <v>812164</v>
      </c>
      <c r="G49" s="3">
        <f>'Monthly Data'!EE49</f>
        <v>0</v>
      </c>
      <c r="H49" s="3">
        <f>'Monthly Data'!EJ49</f>
        <v>0</v>
      </c>
      <c r="J49" s="3">
        <f t="shared" si="8"/>
        <v>-35488752.832239702</v>
      </c>
      <c r="K49" s="3">
        <f t="shared" si="9"/>
        <v>8229307.7620379645</v>
      </c>
      <c r="L49" s="3">
        <f t="shared" si="10"/>
        <v>50467888.868395522</v>
      </c>
      <c r="M49" s="3">
        <f t="shared" si="11"/>
        <v>0</v>
      </c>
      <c r="N49" s="3">
        <f t="shared" si="12"/>
        <v>0</v>
      </c>
      <c r="O49" s="47">
        <f t="shared" si="13"/>
        <v>23208443.798193783</v>
      </c>
      <c r="P49" s="47">
        <f>'Monthly Data'!AJ49</f>
        <v>0</v>
      </c>
      <c r="Q49" s="47">
        <f t="shared" si="14"/>
        <v>23208443.798193783</v>
      </c>
    </row>
    <row r="50" spans="1:17">
      <c r="A50" s="2">
        <f>'Monthly Data'!A50</f>
        <v>43831</v>
      </c>
      <c r="B50">
        <f>'Monthly Data'!B50</f>
        <v>2020</v>
      </c>
      <c r="C50">
        <f>'Monthly Data'!C50</f>
        <v>1</v>
      </c>
      <c r="D50" s="3">
        <f>'Monthly Data'!AI50</f>
        <v>24698084.943008494</v>
      </c>
      <c r="E50" s="3">
        <f>'Monthly Data'!DR50</f>
        <v>22</v>
      </c>
      <c r="F50" s="3">
        <f>'Monthly Data'!DL50</f>
        <v>801246</v>
      </c>
      <c r="G50" s="3">
        <f>'Monthly Data'!EE50</f>
        <v>0</v>
      </c>
      <c r="H50" s="3">
        <f>'Monthly Data'!EJ50</f>
        <v>0</v>
      </c>
      <c r="J50" s="3">
        <f t="shared" si="8"/>
        <v>-35488752.832239702</v>
      </c>
      <c r="K50" s="3">
        <f t="shared" si="9"/>
        <v>8621179.5602302477</v>
      </c>
      <c r="L50" s="3">
        <f t="shared" si="10"/>
        <v>49789444.107651219</v>
      </c>
      <c r="M50" s="3">
        <f t="shared" si="11"/>
        <v>0</v>
      </c>
      <c r="N50" s="3">
        <f t="shared" si="12"/>
        <v>0</v>
      </c>
      <c r="O50" s="47">
        <f t="shared" si="13"/>
        <v>22921870.835641764</v>
      </c>
      <c r="P50" s="47">
        <f>'Monthly Data'!AJ50</f>
        <v>0</v>
      </c>
      <c r="Q50" s="47">
        <f t="shared" si="14"/>
        <v>22921870.835641764</v>
      </c>
    </row>
    <row r="51" spans="1:17">
      <c r="A51" s="2">
        <f>'Monthly Data'!A51</f>
        <v>43862</v>
      </c>
      <c r="B51">
        <f>'Monthly Data'!B51</f>
        <v>2020</v>
      </c>
      <c r="C51">
        <f>'Monthly Data'!C51</f>
        <v>2</v>
      </c>
      <c r="D51" s="3">
        <f>'Monthly Data'!AI51</f>
        <v>22856300.672675312</v>
      </c>
      <c r="E51" s="3">
        <f>'Monthly Data'!DR51</f>
        <v>19</v>
      </c>
      <c r="F51" s="3">
        <f>'Monthly Data'!DL51</f>
        <v>801246</v>
      </c>
      <c r="G51" s="3">
        <f>'Monthly Data'!EE51</f>
        <v>0</v>
      </c>
      <c r="H51" s="3">
        <f>'Monthly Data'!EJ51</f>
        <v>0</v>
      </c>
      <c r="J51" s="3">
        <f t="shared" si="8"/>
        <v>-35488752.832239702</v>
      </c>
      <c r="K51" s="3">
        <f t="shared" si="9"/>
        <v>7445564.1656533964</v>
      </c>
      <c r="L51" s="3">
        <f t="shared" si="10"/>
        <v>49789444.107651219</v>
      </c>
      <c r="M51" s="3">
        <f t="shared" si="11"/>
        <v>0</v>
      </c>
      <c r="N51" s="3">
        <f t="shared" si="12"/>
        <v>0</v>
      </c>
      <c r="O51" s="47">
        <f t="shared" si="13"/>
        <v>21746255.441064913</v>
      </c>
      <c r="P51" s="47">
        <f>'Monthly Data'!AJ51</f>
        <v>0</v>
      </c>
      <c r="Q51" s="47">
        <f t="shared" si="14"/>
        <v>21746255.441064913</v>
      </c>
    </row>
    <row r="52" spans="1:17">
      <c r="A52" s="2">
        <f>'Monthly Data'!A52</f>
        <v>43891</v>
      </c>
      <c r="B52">
        <f>'Monthly Data'!B52</f>
        <v>2020</v>
      </c>
      <c r="C52">
        <f>'Monthly Data'!C52</f>
        <v>3</v>
      </c>
      <c r="D52" s="3">
        <f>'Monthly Data'!AI52</f>
        <v>24723944.506790649</v>
      </c>
      <c r="E52" s="3">
        <f>'Monthly Data'!DR52</f>
        <v>22</v>
      </c>
      <c r="F52" s="3">
        <f>'Monthly Data'!DL52</f>
        <v>801246</v>
      </c>
      <c r="G52" s="3">
        <f>'Monthly Data'!EE52</f>
        <v>1</v>
      </c>
      <c r="H52" s="3">
        <f>'Monthly Data'!EJ52</f>
        <v>0.5</v>
      </c>
      <c r="J52" s="3">
        <f t="shared" si="8"/>
        <v>-35488752.832239702</v>
      </c>
      <c r="K52" s="3">
        <f t="shared" si="9"/>
        <v>8621179.5602302477</v>
      </c>
      <c r="L52" s="3">
        <f t="shared" si="10"/>
        <v>49789444.107651219</v>
      </c>
      <c r="M52" s="3">
        <f t="shared" si="11"/>
        <v>0</v>
      </c>
      <c r="N52" s="3">
        <f t="shared" si="12"/>
        <v>1899637.928520455</v>
      </c>
      <c r="O52" s="47">
        <f t="shared" si="13"/>
        <v>24821508.76416222</v>
      </c>
      <c r="P52" s="47">
        <f>'Monthly Data'!AJ52</f>
        <v>0</v>
      </c>
      <c r="Q52" s="47">
        <f t="shared" si="14"/>
        <v>24821508.76416222</v>
      </c>
    </row>
    <row r="53" spans="1:17">
      <c r="A53" s="2">
        <f>'Monthly Data'!A53</f>
        <v>43922</v>
      </c>
      <c r="B53">
        <f>'Monthly Data'!B53</f>
        <v>2020</v>
      </c>
      <c r="C53">
        <f>'Monthly Data'!C53</f>
        <v>4</v>
      </c>
      <c r="D53" s="3">
        <f>'Monthly Data'!AI53</f>
        <v>20883726.349137239</v>
      </c>
      <c r="E53" s="3">
        <f>'Monthly Data'!DR53</f>
        <v>21</v>
      </c>
      <c r="F53" s="3">
        <f>'Monthly Data'!DL53</f>
        <v>705711</v>
      </c>
      <c r="G53" s="3">
        <f>'Monthly Data'!EE53</f>
        <v>1</v>
      </c>
      <c r="H53" s="3">
        <f>'Monthly Data'!EJ53</f>
        <v>1</v>
      </c>
      <c r="J53" s="3">
        <f t="shared" si="8"/>
        <v>-35488752.832239702</v>
      </c>
      <c r="K53" s="3">
        <f t="shared" si="9"/>
        <v>8229307.7620379645</v>
      </c>
      <c r="L53" s="3">
        <f t="shared" si="10"/>
        <v>43852897.101083368</v>
      </c>
      <c r="M53" s="3">
        <f t="shared" si="11"/>
        <v>0</v>
      </c>
      <c r="N53" s="3">
        <f t="shared" si="12"/>
        <v>3799275.8570409101</v>
      </c>
      <c r="O53" s="47">
        <f t="shared" si="13"/>
        <v>20392727.88792254</v>
      </c>
      <c r="P53" s="47">
        <f>'Monthly Data'!AJ53</f>
        <v>0</v>
      </c>
      <c r="Q53" s="47">
        <f t="shared" si="14"/>
        <v>20392727.88792254</v>
      </c>
    </row>
    <row r="54" spans="1:17">
      <c r="A54" s="2">
        <f>'Monthly Data'!A54</f>
        <v>43952</v>
      </c>
      <c r="B54">
        <f>'Monthly Data'!B54</f>
        <v>2020</v>
      </c>
      <c r="C54">
        <f>'Monthly Data'!C54</f>
        <v>5</v>
      </c>
      <c r="D54" s="3">
        <f>'Monthly Data'!AI54</f>
        <v>22175174.890061915</v>
      </c>
      <c r="E54" s="3">
        <f>'Monthly Data'!DR54</f>
        <v>20</v>
      </c>
      <c r="F54" s="3">
        <f>'Monthly Data'!DL54</f>
        <v>705711</v>
      </c>
      <c r="G54" s="3">
        <f>'Monthly Data'!EE54</f>
        <v>1</v>
      </c>
      <c r="H54" s="3">
        <f>'Monthly Data'!EJ54</f>
        <v>1</v>
      </c>
      <c r="J54" s="3">
        <f t="shared" si="8"/>
        <v>-35488752.832239702</v>
      </c>
      <c r="K54" s="3">
        <f t="shared" si="9"/>
        <v>7837435.9638456805</v>
      </c>
      <c r="L54" s="3">
        <f t="shared" si="10"/>
        <v>43852897.101083368</v>
      </c>
      <c r="M54" s="3">
        <f t="shared" si="11"/>
        <v>0</v>
      </c>
      <c r="N54" s="3">
        <f t="shared" si="12"/>
        <v>3799275.8570409101</v>
      </c>
      <c r="O54" s="47">
        <f t="shared" si="13"/>
        <v>20000856.089730255</v>
      </c>
      <c r="P54" s="47">
        <f>'Monthly Data'!AJ54</f>
        <v>0</v>
      </c>
      <c r="Q54" s="47">
        <f t="shared" si="14"/>
        <v>20000856.089730255</v>
      </c>
    </row>
    <row r="55" spans="1:17">
      <c r="A55" s="2">
        <f>'Monthly Data'!A55</f>
        <v>43983</v>
      </c>
      <c r="B55">
        <f>'Monthly Data'!B55</f>
        <v>2020</v>
      </c>
      <c r="C55">
        <f>'Monthly Data'!C55</f>
        <v>6</v>
      </c>
      <c r="D55" s="3">
        <f>'Monthly Data'!AI55</f>
        <v>24128951.853554606</v>
      </c>
      <c r="E55" s="3">
        <f>'Monthly Data'!DR55</f>
        <v>22</v>
      </c>
      <c r="F55" s="3">
        <f>'Monthly Data'!DL55</f>
        <v>705711</v>
      </c>
      <c r="G55" s="3">
        <f>'Monthly Data'!EE55</f>
        <v>0</v>
      </c>
      <c r="H55" s="3">
        <f>'Monthly Data'!EJ55</f>
        <v>0.5</v>
      </c>
      <c r="J55" s="3">
        <f t="shared" si="8"/>
        <v>-35488752.832239702</v>
      </c>
      <c r="K55" s="3">
        <f t="shared" si="9"/>
        <v>8621179.5602302477</v>
      </c>
      <c r="L55" s="3">
        <f t="shared" si="10"/>
        <v>43852897.101083368</v>
      </c>
      <c r="M55" s="3">
        <f t="shared" si="11"/>
        <v>0</v>
      </c>
      <c r="N55" s="3">
        <f t="shared" si="12"/>
        <v>1899637.928520455</v>
      </c>
      <c r="O55" s="47">
        <f t="shared" si="13"/>
        <v>18884961.757594369</v>
      </c>
      <c r="P55" s="47">
        <f>'Monthly Data'!AJ55</f>
        <v>0</v>
      </c>
      <c r="Q55" s="47">
        <f t="shared" si="14"/>
        <v>18884961.757594369</v>
      </c>
    </row>
    <row r="56" spans="1:17">
      <c r="A56" s="2">
        <f>'Monthly Data'!A56</f>
        <v>44013</v>
      </c>
      <c r="B56">
        <f>'Monthly Data'!B56</f>
        <v>2020</v>
      </c>
      <c r="C56">
        <f>'Monthly Data'!C56</f>
        <v>7</v>
      </c>
      <c r="D56" s="3">
        <f>'Monthly Data'!AI56</f>
        <v>24825722.509709779</v>
      </c>
      <c r="E56" s="3">
        <f>'Monthly Data'!DR56</f>
        <v>22</v>
      </c>
      <c r="F56" s="3">
        <f>'Monthly Data'!DL56</f>
        <v>778294</v>
      </c>
      <c r="G56" s="3">
        <f>'Monthly Data'!EE56</f>
        <v>0</v>
      </c>
      <c r="H56" s="3">
        <f>'Monthly Data'!EJ56</f>
        <v>0.5</v>
      </c>
      <c r="J56" s="3">
        <f t="shared" si="8"/>
        <v>-35488752.832239702</v>
      </c>
      <c r="K56" s="3">
        <f t="shared" si="9"/>
        <v>8621179.5602302477</v>
      </c>
      <c r="L56" s="3">
        <f t="shared" si="10"/>
        <v>48363206.321554549</v>
      </c>
      <c r="M56" s="3">
        <f t="shared" si="11"/>
        <v>0</v>
      </c>
      <c r="N56" s="3">
        <f t="shared" si="12"/>
        <v>1899637.928520455</v>
      </c>
      <c r="O56" s="47">
        <f t="shared" si="13"/>
        <v>23395270.97806555</v>
      </c>
      <c r="P56" s="47">
        <f>'Monthly Data'!AJ56</f>
        <v>0</v>
      </c>
      <c r="Q56" s="47">
        <f t="shared" si="14"/>
        <v>23395270.97806555</v>
      </c>
    </row>
    <row r="57" spans="1:17">
      <c r="A57" s="2">
        <f>'Monthly Data'!A57</f>
        <v>44044</v>
      </c>
      <c r="B57">
        <f>'Monthly Data'!B57</f>
        <v>2020</v>
      </c>
      <c r="C57">
        <f>'Monthly Data'!C57</f>
        <v>8</v>
      </c>
      <c r="D57" s="3">
        <f>'Monthly Data'!AI57</f>
        <v>22517423.441537522</v>
      </c>
      <c r="E57" s="3">
        <f>'Monthly Data'!DR57</f>
        <v>20</v>
      </c>
      <c r="F57" s="3">
        <f>'Monthly Data'!DL57</f>
        <v>778294</v>
      </c>
      <c r="G57" s="3">
        <f>'Monthly Data'!EE57</f>
        <v>0</v>
      </c>
      <c r="H57" s="3">
        <f>'Monthly Data'!EJ57</f>
        <v>0.5</v>
      </c>
      <c r="J57" s="3">
        <f t="shared" si="8"/>
        <v>-35488752.832239702</v>
      </c>
      <c r="K57" s="3">
        <f t="shared" si="9"/>
        <v>7837435.9638456805</v>
      </c>
      <c r="L57" s="3">
        <f t="shared" si="10"/>
        <v>48363206.321554549</v>
      </c>
      <c r="M57" s="3">
        <f t="shared" si="11"/>
        <v>0</v>
      </c>
      <c r="N57" s="3">
        <f t="shared" si="12"/>
        <v>1899637.928520455</v>
      </c>
      <c r="O57" s="47">
        <f t="shared" si="13"/>
        <v>22611527.381680984</v>
      </c>
      <c r="P57" s="47">
        <f>'Monthly Data'!AJ57</f>
        <v>0</v>
      </c>
      <c r="Q57" s="47">
        <f t="shared" si="14"/>
        <v>22611527.381680984</v>
      </c>
    </row>
    <row r="58" spans="1:17">
      <c r="A58" s="2">
        <f>'Monthly Data'!A58</f>
        <v>44075</v>
      </c>
      <c r="B58">
        <f>'Monthly Data'!B58</f>
        <v>2020</v>
      </c>
      <c r="C58">
        <f>'Monthly Data'!C58</f>
        <v>9</v>
      </c>
      <c r="D58" s="3">
        <f>'Monthly Data'!AI58</f>
        <v>23104655.938898016</v>
      </c>
      <c r="E58" s="3">
        <f>'Monthly Data'!DR58</f>
        <v>21</v>
      </c>
      <c r="F58" s="3">
        <f>'Monthly Data'!DL58</f>
        <v>778294</v>
      </c>
      <c r="G58" s="3">
        <f>'Monthly Data'!EE58</f>
        <v>0</v>
      </c>
      <c r="H58" s="3">
        <f>'Monthly Data'!EJ58</f>
        <v>0.5</v>
      </c>
      <c r="J58" s="3">
        <f t="shared" si="8"/>
        <v>-35488752.832239702</v>
      </c>
      <c r="K58" s="3">
        <f t="shared" si="9"/>
        <v>8229307.7620379645</v>
      </c>
      <c r="L58" s="3">
        <f t="shared" si="10"/>
        <v>48363206.321554549</v>
      </c>
      <c r="M58" s="3">
        <f t="shared" si="11"/>
        <v>0</v>
      </c>
      <c r="N58" s="3">
        <f t="shared" si="12"/>
        <v>1899637.928520455</v>
      </c>
      <c r="O58" s="47">
        <f t="shared" si="13"/>
        <v>23003399.179873265</v>
      </c>
      <c r="P58" s="47">
        <f>'Monthly Data'!AJ58</f>
        <v>0</v>
      </c>
      <c r="Q58" s="47">
        <f t="shared" si="14"/>
        <v>23003399.179873265</v>
      </c>
    </row>
    <row r="59" spans="1:17">
      <c r="A59" s="2">
        <f>'Monthly Data'!A59</f>
        <v>44105</v>
      </c>
      <c r="B59">
        <f>'Monthly Data'!B59</f>
        <v>2020</v>
      </c>
      <c r="C59">
        <f>'Monthly Data'!C59</f>
        <v>10</v>
      </c>
      <c r="D59" s="3">
        <f>'Monthly Data'!AI59</f>
        <v>24111573.215971805</v>
      </c>
      <c r="E59" s="3">
        <f>'Monthly Data'!DR59</f>
        <v>21</v>
      </c>
      <c r="F59" s="3">
        <f>'Monthly Data'!DL59</f>
        <v>797313</v>
      </c>
      <c r="G59" s="3">
        <f>'Monthly Data'!EE59</f>
        <v>0</v>
      </c>
      <c r="H59" s="3">
        <f>'Monthly Data'!EJ59</f>
        <v>0.5</v>
      </c>
      <c r="J59" s="3">
        <f t="shared" si="8"/>
        <v>-35488752.832239702</v>
      </c>
      <c r="K59" s="3">
        <f t="shared" si="9"/>
        <v>8229307.7620379645</v>
      </c>
      <c r="L59" s="3">
        <f t="shared" si="10"/>
        <v>49545047.4009277</v>
      </c>
      <c r="M59" s="3">
        <f t="shared" si="11"/>
        <v>0</v>
      </c>
      <c r="N59" s="3">
        <f t="shared" si="12"/>
        <v>1899637.928520455</v>
      </c>
      <c r="O59" s="47">
        <f t="shared" si="13"/>
        <v>24185240.259246416</v>
      </c>
      <c r="P59" s="47">
        <f>'Monthly Data'!AJ59</f>
        <v>0</v>
      </c>
      <c r="Q59" s="47">
        <f t="shared" si="14"/>
        <v>24185240.259246416</v>
      </c>
    </row>
    <row r="60" spans="1:17">
      <c r="A60" s="2">
        <f>'Monthly Data'!A60</f>
        <v>44136</v>
      </c>
      <c r="B60">
        <f>'Monthly Data'!B60</f>
        <v>2020</v>
      </c>
      <c r="C60">
        <f>'Monthly Data'!C60</f>
        <v>11</v>
      </c>
      <c r="D60" s="3">
        <f>'Monthly Data'!AI60</f>
        <v>23937218.623693932</v>
      </c>
      <c r="E60" s="3">
        <f>'Monthly Data'!DR60</f>
        <v>21</v>
      </c>
      <c r="F60" s="3">
        <f>'Monthly Data'!DL60</f>
        <v>797313</v>
      </c>
      <c r="G60" s="3">
        <f>'Monthly Data'!EE60</f>
        <v>0</v>
      </c>
      <c r="H60" s="3">
        <f>'Monthly Data'!EJ60</f>
        <v>0.5</v>
      </c>
      <c r="J60" s="3">
        <f t="shared" si="8"/>
        <v>-35488752.832239702</v>
      </c>
      <c r="K60" s="3">
        <f t="shared" si="9"/>
        <v>8229307.7620379645</v>
      </c>
      <c r="L60" s="3">
        <f t="shared" si="10"/>
        <v>49545047.4009277</v>
      </c>
      <c r="M60" s="3">
        <f t="shared" si="11"/>
        <v>0</v>
      </c>
      <c r="N60" s="3">
        <f t="shared" si="12"/>
        <v>1899637.928520455</v>
      </c>
      <c r="O60" s="47">
        <f t="shared" si="13"/>
        <v>24185240.259246416</v>
      </c>
      <c r="P60" s="47">
        <f>'Monthly Data'!AJ60</f>
        <v>0</v>
      </c>
      <c r="Q60" s="47">
        <f t="shared" si="14"/>
        <v>24185240.259246416</v>
      </c>
    </row>
    <row r="61" spans="1:17">
      <c r="A61" s="2">
        <f>'Monthly Data'!A61</f>
        <v>44166</v>
      </c>
      <c r="B61">
        <f>'Monthly Data'!B61</f>
        <v>2020</v>
      </c>
      <c r="C61">
        <f>'Monthly Data'!C61</f>
        <v>12</v>
      </c>
      <c r="D61" s="3">
        <f>'Monthly Data'!AI61</f>
        <v>23963891.936554126</v>
      </c>
      <c r="E61" s="3">
        <f>'Monthly Data'!DR61</f>
        <v>21</v>
      </c>
      <c r="F61" s="3">
        <f>'Monthly Data'!DL61</f>
        <v>797313</v>
      </c>
      <c r="G61" s="3">
        <f>'Monthly Data'!EE61</f>
        <v>0</v>
      </c>
      <c r="H61" s="3">
        <f>'Monthly Data'!EJ61</f>
        <v>0.5</v>
      </c>
      <c r="J61" s="3">
        <f t="shared" si="8"/>
        <v>-35488752.832239702</v>
      </c>
      <c r="K61" s="3">
        <f t="shared" si="9"/>
        <v>8229307.7620379645</v>
      </c>
      <c r="L61" s="3">
        <f t="shared" si="10"/>
        <v>49545047.4009277</v>
      </c>
      <c r="M61" s="3">
        <f t="shared" si="11"/>
        <v>0</v>
      </c>
      <c r="N61" s="3">
        <f t="shared" si="12"/>
        <v>1899637.928520455</v>
      </c>
      <c r="O61" s="47">
        <f t="shared" si="13"/>
        <v>24185240.259246416</v>
      </c>
      <c r="P61" s="47">
        <f>'Monthly Data'!AJ61</f>
        <v>0</v>
      </c>
      <c r="Q61" s="47">
        <f t="shared" si="14"/>
        <v>24185240.259246416</v>
      </c>
    </row>
    <row r="62" spans="1:17">
      <c r="A62" s="2">
        <f>'Monthly Data'!A62</f>
        <v>44197</v>
      </c>
      <c r="B62">
        <f>'Monthly Data'!B62</f>
        <v>2021</v>
      </c>
      <c r="C62">
        <f>'Monthly Data'!C62</f>
        <v>1</v>
      </c>
      <c r="D62" s="3">
        <f ca="1">'Monthly Data'!AI62</f>
        <v>26189938.431877881</v>
      </c>
      <c r="E62" s="3">
        <f>'Monthly Data'!DR62</f>
        <v>20</v>
      </c>
      <c r="F62" s="3">
        <f>'Monthly Data'!DL62</f>
        <v>809994</v>
      </c>
      <c r="G62" s="3">
        <f>'Monthly Data'!EE62</f>
        <v>0</v>
      </c>
      <c r="H62" s="3">
        <f>'Monthly Data'!EJ62</f>
        <v>0.5</v>
      </c>
      <c r="J62" s="3">
        <f t="shared" si="8"/>
        <v>-35488752.832239702</v>
      </c>
      <c r="K62" s="3">
        <f t="shared" si="9"/>
        <v>7837435.9638456805</v>
      </c>
      <c r="L62" s="3">
        <f t="shared" si="10"/>
        <v>50333045.020546548</v>
      </c>
      <c r="M62" s="3">
        <f t="shared" si="11"/>
        <v>0</v>
      </c>
      <c r="N62" s="3">
        <f t="shared" si="12"/>
        <v>1899637.928520455</v>
      </c>
      <c r="O62" s="47">
        <f t="shared" si="13"/>
        <v>24581366.080672983</v>
      </c>
      <c r="P62" s="47">
        <f>'Monthly Data'!AJ62</f>
        <v>0</v>
      </c>
      <c r="Q62" s="47">
        <f t="shared" si="14"/>
        <v>24581366.080672983</v>
      </c>
    </row>
    <row r="63" spans="1:17">
      <c r="A63" s="2">
        <f>'Monthly Data'!A63</f>
        <v>44228</v>
      </c>
      <c r="B63">
        <f>'Monthly Data'!B63</f>
        <v>2021</v>
      </c>
      <c r="C63">
        <f>'Monthly Data'!C63</f>
        <v>2</v>
      </c>
      <c r="D63" s="3">
        <f ca="1">'Monthly Data'!AI63</f>
        <v>24141908.835624848</v>
      </c>
      <c r="E63" s="3">
        <f>'Monthly Data'!DR63</f>
        <v>19</v>
      </c>
      <c r="F63" s="3">
        <f>'Monthly Data'!DL63</f>
        <v>809994</v>
      </c>
      <c r="G63" s="3">
        <f>'Monthly Data'!EE63</f>
        <v>0</v>
      </c>
      <c r="H63" s="3">
        <f>'Monthly Data'!EJ63</f>
        <v>0.5</v>
      </c>
      <c r="J63" s="3">
        <f t="shared" si="8"/>
        <v>-35488752.832239702</v>
      </c>
      <c r="K63" s="3">
        <f t="shared" si="9"/>
        <v>7445564.1656533964</v>
      </c>
      <c r="L63" s="3">
        <f t="shared" si="10"/>
        <v>50333045.020546548</v>
      </c>
      <c r="M63" s="3">
        <f t="shared" si="11"/>
        <v>0</v>
      </c>
      <c r="N63" s="3">
        <f t="shared" si="12"/>
        <v>1899637.928520455</v>
      </c>
      <c r="O63" s="47">
        <f t="shared" si="13"/>
        <v>24189494.282480698</v>
      </c>
      <c r="P63" s="47">
        <f>'Monthly Data'!AJ63</f>
        <v>0</v>
      </c>
      <c r="Q63" s="47">
        <f t="shared" si="14"/>
        <v>24189494.282480698</v>
      </c>
    </row>
    <row r="64" spans="1:17">
      <c r="A64" s="2">
        <f>'Monthly Data'!A64</f>
        <v>44256</v>
      </c>
      <c r="B64">
        <f>'Monthly Data'!B64</f>
        <v>2021</v>
      </c>
      <c r="C64">
        <f>'Monthly Data'!C64</f>
        <v>3</v>
      </c>
      <c r="D64" s="3">
        <f ca="1">'Monthly Data'!AI64</f>
        <v>26234461.586210579</v>
      </c>
      <c r="E64" s="3">
        <f>'Monthly Data'!DR64</f>
        <v>23</v>
      </c>
      <c r="F64" s="3">
        <f>'Monthly Data'!DL64</f>
        <v>809994</v>
      </c>
      <c r="G64" s="3">
        <f>'Monthly Data'!EE64</f>
        <v>1</v>
      </c>
      <c r="H64" s="3">
        <f>'Monthly Data'!EJ64</f>
        <v>0.5</v>
      </c>
      <c r="J64" s="3">
        <f t="shared" si="8"/>
        <v>-35488752.832239702</v>
      </c>
      <c r="K64" s="3">
        <f t="shared" si="9"/>
        <v>9013051.3584225327</v>
      </c>
      <c r="L64" s="3">
        <f t="shared" si="10"/>
        <v>50333045.020546548</v>
      </c>
      <c r="M64" s="3">
        <f t="shared" si="11"/>
        <v>0</v>
      </c>
      <c r="N64" s="3">
        <f t="shared" si="12"/>
        <v>1899637.928520455</v>
      </c>
      <c r="O64" s="47">
        <f t="shared" si="13"/>
        <v>25756981.475249834</v>
      </c>
      <c r="P64" s="47">
        <f>'Monthly Data'!AJ64</f>
        <v>0</v>
      </c>
      <c r="Q64" s="47">
        <f t="shared" si="14"/>
        <v>25756981.475249834</v>
      </c>
    </row>
    <row r="65" spans="1:17">
      <c r="A65" s="2">
        <f>'Monthly Data'!A65</f>
        <v>44287</v>
      </c>
      <c r="B65">
        <f>'Monthly Data'!B65</f>
        <v>2021</v>
      </c>
      <c r="C65">
        <f>'Monthly Data'!C65</f>
        <v>4</v>
      </c>
      <c r="D65" s="3">
        <f ca="1">'Monthly Data'!AI65</f>
        <v>24262627.358479142</v>
      </c>
      <c r="E65" s="3">
        <f>'Monthly Data'!DR65</f>
        <v>21</v>
      </c>
      <c r="F65" s="3">
        <f>'Monthly Data'!DL65</f>
        <v>803585</v>
      </c>
      <c r="G65" s="3">
        <f>'Monthly Data'!EE65</f>
        <v>1</v>
      </c>
      <c r="H65" s="3">
        <f>'Monthly Data'!EJ65</f>
        <v>0.5</v>
      </c>
      <c r="J65" s="3">
        <f t="shared" si="8"/>
        <v>-35488752.832239702</v>
      </c>
      <c r="K65" s="3">
        <f t="shared" si="9"/>
        <v>8229307.7620379645</v>
      </c>
      <c r="L65" s="3">
        <f t="shared" si="10"/>
        <v>49934789.619226679</v>
      </c>
      <c r="M65" s="3">
        <f t="shared" si="11"/>
        <v>0</v>
      </c>
      <c r="N65" s="3">
        <f t="shared" si="12"/>
        <v>1899637.928520455</v>
      </c>
      <c r="O65" s="47">
        <f t="shared" si="13"/>
        <v>24574982.477545395</v>
      </c>
      <c r="P65" s="47">
        <f>'Monthly Data'!AJ65</f>
        <v>0</v>
      </c>
      <c r="Q65" s="47">
        <f t="shared" si="14"/>
        <v>24574982.477545395</v>
      </c>
    </row>
    <row r="66" spans="1:17">
      <c r="A66" s="2">
        <f>'Monthly Data'!A66</f>
        <v>44317</v>
      </c>
      <c r="B66">
        <f>'Monthly Data'!B66</f>
        <v>2021</v>
      </c>
      <c r="C66">
        <f>'Monthly Data'!C66</f>
        <v>5</v>
      </c>
      <c r="D66" s="3">
        <f ca="1">'Monthly Data'!AI66</f>
        <v>27208862.188208409</v>
      </c>
      <c r="E66" s="3">
        <f>'Monthly Data'!DR66</f>
        <v>20</v>
      </c>
      <c r="F66" s="3">
        <f>'Monthly Data'!DL66</f>
        <v>803585</v>
      </c>
      <c r="G66" s="3">
        <f>'Monthly Data'!EE66</f>
        <v>1</v>
      </c>
      <c r="H66" s="3">
        <f>'Monthly Data'!EJ66</f>
        <v>0.5</v>
      </c>
      <c r="J66" s="3">
        <f t="shared" ref="J66:J97" si="15">$U$8</f>
        <v>-35488752.832239702</v>
      </c>
      <c r="K66" s="3">
        <f t="shared" ref="K66:K97" si="16">E66*$U$9</f>
        <v>7837435.9638456805</v>
      </c>
      <c r="L66" s="3">
        <f t="shared" ref="L66:L97" si="17">F66*$U$10</f>
        <v>49934789.619226679</v>
      </c>
      <c r="M66" s="3">
        <f t="shared" ref="M66:M97" si="18">G66*$U$11</f>
        <v>0</v>
      </c>
      <c r="N66" s="3">
        <f t="shared" ref="N66:N97" si="19">H66*$U$12</f>
        <v>1899637.928520455</v>
      </c>
      <c r="O66" s="47">
        <f t="shared" si="13"/>
        <v>24183110.679353114</v>
      </c>
      <c r="P66" s="47">
        <f>'Monthly Data'!AJ66</f>
        <v>0</v>
      </c>
      <c r="Q66" s="47">
        <f t="shared" si="14"/>
        <v>24183110.679353114</v>
      </c>
    </row>
    <row r="67" spans="1:17">
      <c r="A67" s="2">
        <f>'Monthly Data'!A67</f>
        <v>44348</v>
      </c>
      <c r="B67">
        <f>'Monthly Data'!B67</f>
        <v>2021</v>
      </c>
      <c r="C67">
        <f>'Monthly Data'!C67</f>
        <v>6</v>
      </c>
      <c r="D67" s="3">
        <f ca="1">'Monthly Data'!AI67</f>
        <v>26492589.334294867</v>
      </c>
      <c r="E67" s="3">
        <f>'Monthly Data'!DR67</f>
        <v>22</v>
      </c>
      <c r="F67" s="3">
        <f>'Monthly Data'!DL67</f>
        <v>803585</v>
      </c>
      <c r="G67" s="3">
        <f>'Monthly Data'!EE67</f>
        <v>0</v>
      </c>
      <c r="H67" s="3">
        <f>'Monthly Data'!EJ67</f>
        <v>0.5</v>
      </c>
      <c r="J67" s="3">
        <f t="shared" si="15"/>
        <v>-35488752.832239702</v>
      </c>
      <c r="K67" s="3">
        <f t="shared" si="16"/>
        <v>8621179.5602302477</v>
      </c>
      <c r="L67" s="3">
        <f t="shared" si="17"/>
        <v>49934789.619226679</v>
      </c>
      <c r="M67" s="3">
        <f t="shared" si="18"/>
        <v>0</v>
      </c>
      <c r="N67" s="3">
        <f t="shared" si="19"/>
        <v>1899637.928520455</v>
      </c>
      <c r="O67" s="47">
        <f t="shared" si="13"/>
        <v>24966854.27573768</v>
      </c>
      <c r="P67" s="47">
        <f>'Monthly Data'!AJ67</f>
        <v>0</v>
      </c>
      <c r="Q67" s="47">
        <f t="shared" si="14"/>
        <v>24966854.27573768</v>
      </c>
    </row>
    <row r="68" spans="1:17">
      <c r="A68" s="2">
        <f>'Monthly Data'!A68</f>
        <v>44378</v>
      </c>
      <c r="B68">
        <f>'Monthly Data'!B68</f>
        <v>2021</v>
      </c>
      <c r="C68">
        <f>'Monthly Data'!C68</f>
        <v>7</v>
      </c>
      <c r="D68" s="3">
        <f ca="1">'Monthly Data'!AI68</f>
        <v>26773869.976003654</v>
      </c>
      <c r="E68" s="3">
        <f>'Monthly Data'!DR68</f>
        <v>21</v>
      </c>
      <c r="F68" s="3">
        <f>'Monthly Data'!DL68</f>
        <v>821006</v>
      </c>
      <c r="G68" s="3">
        <f>'Monthly Data'!EE68</f>
        <v>0</v>
      </c>
      <c r="H68" s="3">
        <f>'Monthly Data'!EJ68</f>
        <v>0.5</v>
      </c>
      <c r="J68" s="3">
        <f t="shared" si="15"/>
        <v>-35488752.832239702</v>
      </c>
      <c r="K68" s="3">
        <f t="shared" si="16"/>
        <v>8229307.7620379645</v>
      </c>
      <c r="L68" s="3">
        <f t="shared" si="17"/>
        <v>51017330.943363577</v>
      </c>
      <c r="M68" s="3">
        <f t="shared" si="18"/>
        <v>0</v>
      </c>
      <c r="N68" s="3">
        <f t="shared" si="19"/>
        <v>1899637.928520455</v>
      </c>
      <c r="O68" s="47">
        <f t="shared" si="13"/>
        <v>25657523.801682293</v>
      </c>
      <c r="P68" s="47">
        <f>'Monthly Data'!AJ68</f>
        <v>0</v>
      </c>
      <c r="Q68" s="47">
        <f t="shared" si="14"/>
        <v>25657523.801682293</v>
      </c>
    </row>
    <row r="69" spans="1:17">
      <c r="A69" s="2">
        <f>'Monthly Data'!A69</f>
        <v>44409</v>
      </c>
      <c r="B69">
        <f>'Monthly Data'!B69</f>
        <v>2021</v>
      </c>
      <c r="C69">
        <f>'Monthly Data'!C69</f>
        <v>8</v>
      </c>
      <c r="D69" s="3">
        <f ca="1">'Monthly Data'!AI69</f>
        <v>23634495.910954766</v>
      </c>
      <c r="E69" s="3">
        <f>'Monthly Data'!DR69</f>
        <v>20</v>
      </c>
      <c r="F69" s="3">
        <f>'Monthly Data'!DL69</f>
        <v>821006</v>
      </c>
      <c r="G69" s="3">
        <f>'Monthly Data'!EE69</f>
        <v>0</v>
      </c>
      <c r="H69" s="3">
        <f>'Monthly Data'!EJ69</f>
        <v>0.5</v>
      </c>
      <c r="J69" s="3">
        <f t="shared" si="15"/>
        <v>-35488752.832239702</v>
      </c>
      <c r="K69" s="3">
        <f t="shared" si="16"/>
        <v>7837435.9638456805</v>
      </c>
      <c r="L69" s="3">
        <f t="shared" si="17"/>
        <v>51017330.943363577</v>
      </c>
      <c r="M69" s="3">
        <f t="shared" si="18"/>
        <v>0</v>
      </c>
      <c r="N69" s="3">
        <f t="shared" si="19"/>
        <v>1899637.928520455</v>
      </c>
      <c r="O69" s="47">
        <f t="shared" si="13"/>
        <v>25265652.003490012</v>
      </c>
      <c r="P69" s="47">
        <f>'Monthly Data'!AJ69</f>
        <v>0</v>
      </c>
      <c r="Q69" s="47">
        <f t="shared" si="14"/>
        <v>25265652.003490012</v>
      </c>
    </row>
    <row r="70" spans="1:17">
      <c r="A70" s="2">
        <f>'Monthly Data'!A70</f>
        <v>44440</v>
      </c>
      <c r="B70">
        <f>'Monthly Data'!B70</f>
        <v>2021</v>
      </c>
      <c r="C70">
        <f>'Monthly Data'!C70</f>
        <v>9</v>
      </c>
      <c r="D70" s="3">
        <f ca="1">'Monthly Data'!AI70</f>
        <v>24565533.412133057</v>
      </c>
      <c r="E70" s="3">
        <f>'Monthly Data'!DR70</f>
        <v>20</v>
      </c>
      <c r="F70" s="3">
        <f>'Monthly Data'!DL70</f>
        <v>821006</v>
      </c>
      <c r="G70" s="3">
        <f>'Monthly Data'!EE70</f>
        <v>0</v>
      </c>
      <c r="H70" s="3">
        <f>'Monthly Data'!EJ70</f>
        <v>0.5</v>
      </c>
      <c r="J70" s="3">
        <f t="shared" si="15"/>
        <v>-35488752.832239702</v>
      </c>
      <c r="K70" s="3">
        <f t="shared" si="16"/>
        <v>7837435.9638456805</v>
      </c>
      <c r="L70" s="3">
        <f t="shared" si="17"/>
        <v>51017330.943363577</v>
      </c>
      <c r="M70" s="3">
        <f t="shared" si="18"/>
        <v>0</v>
      </c>
      <c r="N70" s="3">
        <f t="shared" si="19"/>
        <v>1899637.928520455</v>
      </c>
      <c r="O70" s="47">
        <f t="shared" si="13"/>
        <v>25265652.003490012</v>
      </c>
      <c r="P70" s="47">
        <f>'Monthly Data'!AJ70</f>
        <v>0</v>
      </c>
      <c r="Q70" s="47">
        <f t="shared" si="14"/>
        <v>25265652.003490012</v>
      </c>
    </row>
    <row r="71" spans="1:17">
      <c r="A71" s="2">
        <f>'Monthly Data'!A71</f>
        <v>44470</v>
      </c>
      <c r="B71">
        <f>'Monthly Data'!B71</f>
        <v>2021</v>
      </c>
      <c r="C71">
        <f>'Monthly Data'!C71</f>
        <v>10</v>
      </c>
      <c r="D71" s="3">
        <f ca="1">'Monthly Data'!AI71</f>
        <v>24983050.912364129</v>
      </c>
      <c r="E71" s="3">
        <f>'Monthly Data'!DR71</f>
        <v>20</v>
      </c>
      <c r="F71" s="3">
        <f>'Monthly Data'!DL71</f>
        <v>840399</v>
      </c>
      <c r="G71" s="3">
        <f>'Monthly Data'!EE71</f>
        <v>0</v>
      </c>
      <c r="H71" s="3">
        <f>'Monthly Data'!EJ71</f>
        <v>0.5</v>
      </c>
      <c r="J71" s="3">
        <f t="shared" si="15"/>
        <v>-35488752.832239702</v>
      </c>
      <c r="K71" s="3">
        <f t="shared" si="16"/>
        <v>7837435.9638456805</v>
      </c>
      <c r="L71" s="3">
        <f t="shared" si="17"/>
        <v>52222412.390983507</v>
      </c>
      <c r="M71" s="3">
        <f t="shared" si="18"/>
        <v>0</v>
      </c>
      <c r="N71" s="3">
        <f t="shared" si="19"/>
        <v>1899637.928520455</v>
      </c>
      <c r="O71" s="47">
        <f t="shared" si="13"/>
        <v>26470733.451109942</v>
      </c>
      <c r="P71" s="47">
        <f>'Monthly Data'!AJ71</f>
        <v>0</v>
      </c>
      <c r="Q71" s="47">
        <f t="shared" si="14"/>
        <v>26470733.451109942</v>
      </c>
    </row>
    <row r="72" spans="1:17">
      <c r="A72" s="2">
        <f>'Monthly Data'!A72</f>
        <v>44501</v>
      </c>
      <c r="B72">
        <f>'Monthly Data'!B72</f>
        <v>2021</v>
      </c>
      <c r="C72">
        <f>'Monthly Data'!C72</f>
        <v>11</v>
      </c>
      <c r="D72" s="3">
        <f ca="1">'Monthly Data'!AI72</f>
        <v>24894524.973444503</v>
      </c>
      <c r="E72" s="3">
        <f>'Monthly Data'!DR72</f>
        <v>22</v>
      </c>
      <c r="F72" s="3">
        <f>'Monthly Data'!DL72</f>
        <v>840399</v>
      </c>
      <c r="G72" s="3">
        <f>'Monthly Data'!EE72</f>
        <v>0</v>
      </c>
      <c r="H72" s="3">
        <f>'Monthly Data'!EJ72</f>
        <v>0.5</v>
      </c>
      <c r="J72" s="3">
        <f t="shared" si="15"/>
        <v>-35488752.832239702</v>
      </c>
      <c r="K72" s="3">
        <f t="shared" si="16"/>
        <v>8621179.5602302477</v>
      </c>
      <c r="L72" s="3">
        <f t="shared" si="17"/>
        <v>52222412.390983507</v>
      </c>
      <c r="M72" s="3">
        <f t="shared" si="18"/>
        <v>0</v>
      </c>
      <c r="N72" s="3">
        <f t="shared" si="19"/>
        <v>1899637.928520455</v>
      </c>
      <c r="O72" s="47">
        <f t="shared" si="13"/>
        <v>27254477.047494508</v>
      </c>
      <c r="P72" s="47">
        <f>'Monthly Data'!AJ72</f>
        <v>0</v>
      </c>
      <c r="Q72" s="47">
        <f t="shared" si="14"/>
        <v>27254477.047494508</v>
      </c>
    </row>
    <row r="73" spans="1:17">
      <c r="A73" s="2">
        <f>'Monthly Data'!A73</f>
        <v>44531</v>
      </c>
      <c r="B73">
        <f>'Monthly Data'!B73</f>
        <v>2021</v>
      </c>
      <c r="C73">
        <f>'Monthly Data'!C73</f>
        <v>12</v>
      </c>
      <c r="D73" s="3">
        <f ca="1">'Monthly Data'!AI73</f>
        <v>24087532.811756127</v>
      </c>
      <c r="E73" s="3">
        <f>'Monthly Data'!DR73</f>
        <v>21</v>
      </c>
      <c r="F73" s="3">
        <f>'Monthly Data'!DL73</f>
        <v>840399</v>
      </c>
      <c r="G73" s="3">
        <f>'Monthly Data'!EE73</f>
        <v>0</v>
      </c>
      <c r="H73" s="3">
        <f>'Monthly Data'!EJ73</f>
        <v>0.5</v>
      </c>
      <c r="J73" s="3">
        <f t="shared" si="15"/>
        <v>-35488752.832239702</v>
      </c>
      <c r="K73" s="3">
        <f t="shared" si="16"/>
        <v>8229307.7620379645</v>
      </c>
      <c r="L73" s="3">
        <f t="shared" si="17"/>
        <v>52222412.390983507</v>
      </c>
      <c r="M73" s="3">
        <f t="shared" si="18"/>
        <v>0</v>
      </c>
      <c r="N73" s="3">
        <f t="shared" si="19"/>
        <v>1899637.928520455</v>
      </c>
      <c r="O73" s="47">
        <f t="shared" si="13"/>
        <v>26862605.249302223</v>
      </c>
      <c r="P73" s="47">
        <f>'Monthly Data'!AJ73</f>
        <v>0</v>
      </c>
      <c r="Q73" s="47">
        <f t="shared" si="14"/>
        <v>26862605.249302223</v>
      </c>
    </row>
    <row r="74" spans="1:17">
      <c r="A74" s="2">
        <f>'Monthly Data'!A74</f>
        <v>44562</v>
      </c>
      <c r="B74">
        <f>'Monthly Data'!B74</f>
        <v>2022</v>
      </c>
      <c r="C74">
        <f>'Monthly Data'!C74</f>
        <v>1</v>
      </c>
      <c r="D74" s="3">
        <f ca="1">'Monthly Data'!AI74</f>
        <v>25714750.850941792</v>
      </c>
      <c r="E74" s="3">
        <f>'Monthly Data'!DR74</f>
        <v>20</v>
      </c>
      <c r="F74" s="3">
        <f>'Monthly Data'!DL74</f>
        <v>847546</v>
      </c>
      <c r="G74" s="3">
        <f>'Monthly Data'!EE74</f>
        <v>0</v>
      </c>
      <c r="H74" s="3">
        <f>'Monthly Data'!EJ74</f>
        <v>0.25</v>
      </c>
      <c r="J74" s="3">
        <f t="shared" si="15"/>
        <v>-35488752.832239702</v>
      </c>
      <c r="K74" s="3">
        <f t="shared" si="16"/>
        <v>7837435.9638456805</v>
      </c>
      <c r="L74" s="3">
        <f t="shared" si="17"/>
        <v>52666527.128576435</v>
      </c>
      <c r="M74" s="3">
        <f t="shared" si="18"/>
        <v>0</v>
      </c>
      <c r="N74" s="3">
        <f t="shared" si="19"/>
        <v>949818.96426022751</v>
      </c>
      <c r="O74" s="47">
        <f t="shared" si="13"/>
        <v>25965029.224442642</v>
      </c>
      <c r="P74" s="47">
        <f>'Monthly Data'!AJ74</f>
        <v>13.461538461538462</v>
      </c>
      <c r="Q74" s="47">
        <f t="shared" si="14"/>
        <v>25965042.685981102</v>
      </c>
    </row>
    <row r="75" spans="1:17">
      <c r="A75" s="2">
        <f>'Monthly Data'!A75</f>
        <v>44593</v>
      </c>
      <c r="B75">
        <f>'Monthly Data'!B75</f>
        <v>2022</v>
      </c>
      <c r="C75">
        <f>'Monthly Data'!C75</f>
        <v>2</v>
      </c>
      <c r="D75" s="3">
        <f ca="1">'Monthly Data'!AI75</f>
        <v>24633344.4596388</v>
      </c>
      <c r="E75" s="3">
        <f>'Monthly Data'!DR75</f>
        <v>19</v>
      </c>
      <c r="F75" s="3">
        <f>'Monthly Data'!DL75</f>
        <v>847546</v>
      </c>
      <c r="G75" s="3">
        <f>'Monthly Data'!EE75</f>
        <v>0</v>
      </c>
      <c r="H75" s="3">
        <f>'Monthly Data'!EJ75</f>
        <v>0.25</v>
      </c>
      <c r="J75" s="3">
        <f t="shared" si="15"/>
        <v>-35488752.832239702</v>
      </c>
      <c r="K75" s="3">
        <f t="shared" si="16"/>
        <v>7445564.1656533964</v>
      </c>
      <c r="L75" s="3">
        <f t="shared" si="17"/>
        <v>52666527.128576435</v>
      </c>
      <c r="M75" s="3">
        <f t="shared" si="18"/>
        <v>0</v>
      </c>
      <c r="N75" s="3">
        <f t="shared" si="19"/>
        <v>949818.96426022751</v>
      </c>
      <c r="O75" s="47">
        <f t="shared" si="13"/>
        <v>25573157.426250357</v>
      </c>
      <c r="P75" s="47">
        <f>'Monthly Data'!AJ75</f>
        <v>26.923076923076923</v>
      </c>
      <c r="Q75" s="47">
        <f t="shared" si="14"/>
        <v>25573184.349327281</v>
      </c>
    </row>
    <row r="76" spans="1:17">
      <c r="A76" s="2">
        <f>'Monthly Data'!A76</f>
        <v>44621</v>
      </c>
      <c r="B76">
        <f>'Monthly Data'!B76</f>
        <v>2022</v>
      </c>
      <c r="C76">
        <f>'Monthly Data'!C76</f>
        <v>3</v>
      </c>
      <c r="D76" s="3">
        <f ca="1">'Monthly Data'!AI76</f>
        <v>27835611.741129071</v>
      </c>
      <c r="E76" s="3">
        <f>'Monthly Data'!DR76</f>
        <v>23</v>
      </c>
      <c r="F76" s="3">
        <f>'Monthly Data'!DL76</f>
        <v>847546</v>
      </c>
      <c r="G76" s="3">
        <f>'Monthly Data'!EE76</f>
        <v>1</v>
      </c>
      <c r="H76" s="3">
        <f>'Monthly Data'!EJ76</f>
        <v>0.25</v>
      </c>
      <c r="J76" s="3">
        <f t="shared" si="15"/>
        <v>-35488752.832239702</v>
      </c>
      <c r="K76" s="3">
        <f t="shared" si="16"/>
        <v>9013051.3584225327</v>
      </c>
      <c r="L76" s="3">
        <f t="shared" si="17"/>
        <v>52666527.128576435</v>
      </c>
      <c r="M76" s="3">
        <f t="shared" si="18"/>
        <v>0</v>
      </c>
      <c r="N76" s="3">
        <f t="shared" si="19"/>
        <v>949818.96426022751</v>
      </c>
      <c r="O76" s="47">
        <f t="shared" si="13"/>
        <v>27140644.619019493</v>
      </c>
      <c r="P76" s="47">
        <f>'Monthly Data'!AJ76</f>
        <v>40.384615384615387</v>
      </c>
      <c r="Q76" s="47">
        <f t="shared" si="14"/>
        <v>27140685.003634878</v>
      </c>
    </row>
    <row r="77" spans="1:17">
      <c r="A77" s="2">
        <f>'Monthly Data'!A77</f>
        <v>44652</v>
      </c>
      <c r="B77">
        <f>'Monthly Data'!B77</f>
        <v>2022</v>
      </c>
      <c r="C77">
        <f>'Monthly Data'!C77</f>
        <v>4</v>
      </c>
      <c r="D77" s="3">
        <f ca="1">'Monthly Data'!AI77</f>
        <v>26219154.21886107</v>
      </c>
      <c r="E77" s="3">
        <f>'Monthly Data'!DR77</f>
        <v>20</v>
      </c>
      <c r="F77" s="3">
        <f>'Monthly Data'!DL77</f>
        <v>854755</v>
      </c>
      <c r="G77" s="3">
        <f>'Monthly Data'!EE77</f>
        <v>1</v>
      </c>
      <c r="H77" s="3">
        <f>'Monthly Data'!EJ77</f>
        <v>0.25</v>
      </c>
      <c r="J77" s="3">
        <f t="shared" si="15"/>
        <v>-35488752.832239702</v>
      </c>
      <c r="K77" s="3">
        <f t="shared" si="16"/>
        <v>7837435.9638456805</v>
      </c>
      <c r="L77" s="3">
        <f t="shared" si="17"/>
        <v>53114494.547536477</v>
      </c>
      <c r="M77" s="3">
        <f t="shared" si="18"/>
        <v>0</v>
      </c>
      <c r="N77" s="3">
        <f t="shared" si="19"/>
        <v>949818.96426022751</v>
      </c>
      <c r="O77" s="47">
        <f t="shared" si="13"/>
        <v>26412996.643402684</v>
      </c>
      <c r="P77" s="47">
        <f>'Monthly Data'!AJ77</f>
        <v>53.846153846153847</v>
      </c>
      <c r="Q77" s="47">
        <f t="shared" si="14"/>
        <v>26413050.489556532</v>
      </c>
    </row>
    <row r="78" spans="1:17">
      <c r="A78" s="2">
        <f>'Monthly Data'!A78</f>
        <v>44682</v>
      </c>
      <c r="B78">
        <f>'Monthly Data'!B78</f>
        <v>2022</v>
      </c>
      <c r="C78">
        <f>'Monthly Data'!C78</f>
        <v>5</v>
      </c>
      <c r="D78" s="3">
        <f ca="1">'Monthly Data'!AI78</f>
        <v>27190067.63039704</v>
      </c>
      <c r="E78" s="3">
        <f>'Monthly Data'!DR78</f>
        <v>21</v>
      </c>
      <c r="F78" s="3">
        <f>'Monthly Data'!DL78</f>
        <v>854755</v>
      </c>
      <c r="G78" s="3">
        <f>'Monthly Data'!EE78</f>
        <v>1</v>
      </c>
      <c r="H78" s="3">
        <f>'Monthly Data'!EJ78</f>
        <v>0.25</v>
      </c>
      <c r="J78" s="3">
        <f t="shared" si="15"/>
        <v>-35488752.832239702</v>
      </c>
      <c r="K78" s="3">
        <f t="shared" si="16"/>
        <v>8229307.7620379645</v>
      </c>
      <c r="L78" s="3">
        <f t="shared" si="17"/>
        <v>53114494.547536477</v>
      </c>
      <c r="M78" s="3">
        <f t="shared" si="18"/>
        <v>0</v>
      </c>
      <c r="N78" s="3">
        <f t="shared" si="19"/>
        <v>949818.96426022751</v>
      </c>
      <c r="O78" s="47">
        <f t="shared" si="13"/>
        <v>26804868.441594966</v>
      </c>
      <c r="P78" s="47">
        <f>'Monthly Data'!AJ78</f>
        <v>67.307692307692307</v>
      </c>
      <c r="Q78" s="47">
        <f t="shared" si="14"/>
        <v>26804935.749287274</v>
      </c>
    </row>
    <row r="79" spans="1:17">
      <c r="A79" s="2">
        <f>'Monthly Data'!A79</f>
        <v>44713</v>
      </c>
      <c r="B79">
        <f>'Monthly Data'!B79</f>
        <v>2022</v>
      </c>
      <c r="C79">
        <f>'Monthly Data'!C79</f>
        <v>6</v>
      </c>
      <c r="D79" s="3">
        <f ca="1">'Monthly Data'!AI79</f>
        <v>26845969.559002332</v>
      </c>
      <c r="E79" s="3">
        <f>'Monthly Data'!DR79</f>
        <v>22</v>
      </c>
      <c r="F79" s="3">
        <f>'Monthly Data'!DL79</f>
        <v>854755</v>
      </c>
      <c r="G79" s="3">
        <f>'Monthly Data'!EE79</f>
        <v>0</v>
      </c>
      <c r="H79" s="3">
        <f>'Monthly Data'!EJ79</f>
        <v>0.25</v>
      </c>
      <c r="J79" s="3">
        <f t="shared" si="15"/>
        <v>-35488752.832239702</v>
      </c>
      <c r="K79" s="3">
        <f t="shared" si="16"/>
        <v>8621179.5602302477</v>
      </c>
      <c r="L79" s="3">
        <f t="shared" si="17"/>
        <v>53114494.547536477</v>
      </c>
      <c r="M79" s="3">
        <f t="shared" si="18"/>
        <v>0</v>
      </c>
      <c r="N79" s="3">
        <f t="shared" si="19"/>
        <v>949818.96426022751</v>
      </c>
      <c r="O79" s="47">
        <f t="shared" si="13"/>
        <v>27196740.239787251</v>
      </c>
      <c r="P79" s="47">
        <f>'Monthly Data'!AJ79</f>
        <v>80.769230769230774</v>
      </c>
      <c r="Q79" s="47">
        <f t="shared" si="14"/>
        <v>27196821.009018019</v>
      </c>
    </row>
    <row r="80" spans="1:17">
      <c r="A80" s="2">
        <f>'Monthly Data'!A80</f>
        <v>44743</v>
      </c>
      <c r="B80">
        <f>'Monthly Data'!B80</f>
        <v>2022</v>
      </c>
      <c r="C80">
        <f>'Monthly Data'!C80</f>
        <v>7</v>
      </c>
      <c r="D80" s="3">
        <f ca="1">'Monthly Data'!AI80</f>
        <v>26578206.888927151</v>
      </c>
      <c r="E80" s="3">
        <f>'Monthly Data'!DR80</f>
        <v>20</v>
      </c>
      <c r="F80" s="3">
        <f>'Monthly Data'!DL80</f>
        <v>856819</v>
      </c>
      <c r="G80" s="3">
        <f>'Monthly Data'!EE80</f>
        <v>0</v>
      </c>
      <c r="H80" s="3">
        <f>'Monthly Data'!EJ80</f>
        <v>0.25</v>
      </c>
      <c r="J80" s="3">
        <f t="shared" si="15"/>
        <v>-35488752.832239702</v>
      </c>
      <c r="K80" s="3">
        <f t="shared" si="16"/>
        <v>7837435.9638456805</v>
      </c>
      <c r="L80" s="3">
        <f t="shared" si="17"/>
        <v>53242751.553048134</v>
      </c>
      <c r="M80" s="3">
        <f t="shared" si="18"/>
        <v>0</v>
      </c>
      <c r="N80" s="3">
        <f t="shared" si="19"/>
        <v>949818.96426022751</v>
      </c>
      <c r="O80" s="47">
        <f t="shared" si="13"/>
        <v>26541253.648914341</v>
      </c>
      <c r="P80" s="47">
        <f>'Monthly Data'!AJ80</f>
        <v>94.230769230769226</v>
      </c>
      <c r="Q80" s="47">
        <f t="shared" si="14"/>
        <v>26541347.879683573</v>
      </c>
    </row>
    <row r="81" spans="1:17">
      <c r="A81" s="2">
        <f>'Monthly Data'!A81</f>
        <v>44774</v>
      </c>
      <c r="B81">
        <f>'Monthly Data'!B81</f>
        <v>2022</v>
      </c>
      <c r="C81">
        <f>'Monthly Data'!C81</f>
        <v>8</v>
      </c>
      <c r="D81" s="3">
        <f ca="1">'Monthly Data'!AI81</f>
        <v>20993520.046876647</v>
      </c>
      <c r="E81" s="3">
        <f>'Monthly Data'!DR81</f>
        <v>22</v>
      </c>
      <c r="F81" s="3">
        <f>'Monthly Data'!DL81</f>
        <v>856819</v>
      </c>
      <c r="G81" s="3">
        <f>'Monthly Data'!EE81</f>
        <v>0</v>
      </c>
      <c r="H81" s="3">
        <f>'Monthly Data'!EJ81</f>
        <v>0.25</v>
      </c>
      <c r="J81" s="3">
        <f t="shared" si="15"/>
        <v>-35488752.832239702</v>
      </c>
      <c r="K81" s="3">
        <f t="shared" si="16"/>
        <v>8621179.5602302477</v>
      </c>
      <c r="L81" s="3">
        <f t="shared" si="17"/>
        <v>53242751.553048134</v>
      </c>
      <c r="M81" s="3">
        <f t="shared" si="18"/>
        <v>0</v>
      </c>
      <c r="N81" s="3">
        <f t="shared" si="19"/>
        <v>949818.96426022751</v>
      </c>
      <c r="O81" s="47">
        <f t="shared" si="13"/>
        <v>27324997.245298907</v>
      </c>
      <c r="P81" s="47">
        <f>'Monthly Data'!AJ81</f>
        <v>107.69230769230769</v>
      </c>
      <c r="Q81" s="47">
        <f t="shared" si="14"/>
        <v>27325104.937606599</v>
      </c>
    </row>
    <row r="82" spans="1:17">
      <c r="A82" s="2">
        <f>'Monthly Data'!A82</f>
        <v>44805</v>
      </c>
      <c r="B82">
        <f>'Monthly Data'!B82</f>
        <v>2022</v>
      </c>
      <c r="C82">
        <f>'Monthly Data'!C82</f>
        <v>9</v>
      </c>
      <c r="D82" s="3">
        <f ca="1">'Monthly Data'!AI82</f>
        <v>25449598.868150312</v>
      </c>
      <c r="E82" s="3">
        <f>'Monthly Data'!DR82</f>
        <v>20</v>
      </c>
      <c r="F82" s="3">
        <f>'Monthly Data'!DL82</f>
        <v>856819</v>
      </c>
      <c r="G82" s="3">
        <f>'Monthly Data'!EE82</f>
        <v>0</v>
      </c>
      <c r="H82" s="3">
        <f>'Monthly Data'!EJ82</f>
        <v>0.25</v>
      </c>
      <c r="J82" s="3">
        <f t="shared" si="15"/>
        <v>-35488752.832239702</v>
      </c>
      <c r="K82" s="3">
        <f t="shared" si="16"/>
        <v>7837435.9638456805</v>
      </c>
      <c r="L82" s="3">
        <f t="shared" si="17"/>
        <v>53242751.553048134</v>
      </c>
      <c r="M82" s="3">
        <f t="shared" si="18"/>
        <v>0</v>
      </c>
      <c r="N82" s="3">
        <f t="shared" si="19"/>
        <v>949818.96426022751</v>
      </c>
      <c r="O82" s="47">
        <f t="shared" si="13"/>
        <v>26541253.648914341</v>
      </c>
      <c r="P82" s="47">
        <f>'Monthly Data'!AJ82</f>
        <v>121.15384615384616</v>
      </c>
      <c r="Q82" s="47">
        <f t="shared" si="14"/>
        <v>26541374.802760493</v>
      </c>
    </row>
    <row r="83" spans="1:17">
      <c r="A83" s="2">
        <f>'Monthly Data'!A83</f>
        <v>44835</v>
      </c>
      <c r="B83">
        <f>'Monthly Data'!B83</f>
        <v>2022</v>
      </c>
      <c r="C83">
        <f>'Monthly Data'!C83</f>
        <v>10</v>
      </c>
      <c r="D83" s="3">
        <f ca="1">'Monthly Data'!AI83</f>
        <v>25929089.388716023</v>
      </c>
      <c r="E83" s="3">
        <f>'Monthly Data'!DR83</f>
        <v>20</v>
      </c>
      <c r="F83" s="3">
        <f>'Monthly Data'!DL83</f>
        <v>856887</v>
      </c>
      <c r="G83" s="3">
        <f>'Monthly Data'!EE83</f>
        <v>0</v>
      </c>
      <c r="H83" s="3">
        <f>'Monthly Data'!EJ83</f>
        <v>0.25</v>
      </c>
      <c r="J83" s="3">
        <f t="shared" si="15"/>
        <v>-35488752.832239702</v>
      </c>
      <c r="K83" s="3">
        <f t="shared" si="16"/>
        <v>7837435.9638456805</v>
      </c>
      <c r="L83" s="3">
        <f t="shared" si="17"/>
        <v>53246977.074547552</v>
      </c>
      <c r="M83" s="3">
        <f t="shared" si="18"/>
        <v>0</v>
      </c>
      <c r="N83" s="3">
        <f t="shared" si="19"/>
        <v>949818.96426022751</v>
      </c>
      <c r="O83" s="47">
        <f t="shared" si="13"/>
        <v>26545479.170413759</v>
      </c>
      <c r="P83" s="47">
        <f>'Monthly Data'!AJ83</f>
        <v>134.61538461538461</v>
      </c>
      <c r="Q83" s="47">
        <f t="shared" si="14"/>
        <v>26545613.785798375</v>
      </c>
    </row>
    <row r="84" spans="1:17">
      <c r="A84" s="2">
        <f>'Monthly Data'!A84</f>
        <v>44866</v>
      </c>
      <c r="B84">
        <f>'Monthly Data'!B84</f>
        <v>2022</v>
      </c>
      <c r="C84">
        <f>'Monthly Data'!C84</f>
        <v>11</v>
      </c>
      <c r="D84" s="3">
        <f ca="1">'Monthly Data'!AI84</f>
        <v>25110158.162168786</v>
      </c>
      <c r="E84" s="3">
        <f>'Monthly Data'!DR84</f>
        <v>22</v>
      </c>
      <c r="F84" s="3">
        <f>'Monthly Data'!DL84</f>
        <v>856887</v>
      </c>
      <c r="G84" s="3">
        <f>'Monthly Data'!EE84</f>
        <v>0</v>
      </c>
      <c r="H84" s="3">
        <f>'Monthly Data'!EJ84</f>
        <v>0.25</v>
      </c>
      <c r="J84" s="3">
        <f t="shared" si="15"/>
        <v>-35488752.832239702</v>
      </c>
      <c r="K84" s="3">
        <f t="shared" si="16"/>
        <v>8621179.5602302477</v>
      </c>
      <c r="L84" s="3">
        <f t="shared" si="17"/>
        <v>53246977.074547552</v>
      </c>
      <c r="M84" s="3">
        <f t="shared" si="18"/>
        <v>0</v>
      </c>
      <c r="N84" s="3">
        <f t="shared" si="19"/>
        <v>949818.96426022751</v>
      </c>
      <c r="O84" s="47">
        <f t="shared" si="13"/>
        <v>27329222.766798325</v>
      </c>
      <c r="P84" s="47">
        <f>'Monthly Data'!AJ84</f>
        <v>148.07692307692307</v>
      </c>
      <c r="Q84" s="47">
        <f t="shared" si="14"/>
        <v>27329370.843721401</v>
      </c>
    </row>
    <row r="85" spans="1:17">
      <c r="A85" s="2">
        <f>'Monthly Data'!A85</f>
        <v>44896</v>
      </c>
      <c r="B85">
        <f>'Monthly Data'!B85</f>
        <v>2022</v>
      </c>
      <c r="C85">
        <f>'Monthly Data'!C85</f>
        <v>12</v>
      </c>
      <c r="D85" s="3">
        <f ca="1">'Monthly Data'!AI85</f>
        <v>25555432.132288653</v>
      </c>
      <c r="E85" s="3">
        <f>'Monthly Data'!DR85</f>
        <v>20</v>
      </c>
      <c r="F85" s="3">
        <f>'Monthly Data'!DL85</f>
        <v>856887</v>
      </c>
      <c r="G85" s="3">
        <f>'Monthly Data'!EE85</f>
        <v>0</v>
      </c>
      <c r="H85" s="3">
        <f>'Monthly Data'!EJ85</f>
        <v>0.25</v>
      </c>
      <c r="J85" s="3">
        <f t="shared" si="15"/>
        <v>-35488752.832239702</v>
      </c>
      <c r="K85" s="3">
        <f t="shared" si="16"/>
        <v>7837435.9638456805</v>
      </c>
      <c r="L85" s="3">
        <f t="shared" si="17"/>
        <v>53246977.074547552</v>
      </c>
      <c r="M85" s="3">
        <f t="shared" si="18"/>
        <v>0</v>
      </c>
      <c r="N85" s="3">
        <f t="shared" si="19"/>
        <v>949818.96426022751</v>
      </c>
      <c r="O85" s="47">
        <f t="shared" si="13"/>
        <v>26545479.170413759</v>
      </c>
      <c r="P85" s="47">
        <f>'Monthly Data'!AJ85</f>
        <v>161.53846153846155</v>
      </c>
      <c r="Q85" s="47">
        <f t="shared" si="14"/>
        <v>26545640.708875299</v>
      </c>
    </row>
    <row r="86" spans="1:17">
      <c r="A86" s="2">
        <f>'Monthly Data'!A86</f>
        <v>44927</v>
      </c>
      <c r="B86">
        <f>'Monthly Data'!B86</f>
        <v>2023</v>
      </c>
      <c r="C86">
        <f>'Monthly Data'!C86</f>
        <v>1</v>
      </c>
      <c r="D86" s="3">
        <f ca="1">'Monthly Data'!AI86</f>
        <v>26662521.527001314</v>
      </c>
      <c r="E86" s="3">
        <f>'Monthly Data'!DR86</f>
        <v>21</v>
      </c>
      <c r="F86" s="3">
        <f>'Monthly Data'!DL86</f>
        <v>867096</v>
      </c>
      <c r="G86" s="3">
        <f>'Monthly Data'!EE86</f>
        <v>0</v>
      </c>
      <c r="H86" s="3">
        <f>'Monthly Data'!EJ86</f>
        <v>0</v>
      </c>
      <c r="J86" s="3">
        <f t="shared" si="15"/>
        <v>-35488752.832239702</v>
      </c>
      <c r="K86" s="3">
        <f t="shared" si="16"/>
        <v>8229307.7620379645</v>
      </c>
      <c r="L86" s="3">
        <f t="shared" si="17"/>
        <v>53881364.559658252</v>
      </c>
      <c r="M86" s="3">
        <f t="shared" si="18"/>
        <v>0</v>
      </c>
      <c r="N86" s="3">
        <f t="shared" si="19"/>
        <v>0</v>
      </c>
      <c r="O86" s="47">
        <f t="shared" si="13"/>
        <v>26621919.489456512</v>
      </c>
      <c r="P86" s="47">
        <f>'Monthly Data'!AJ86</f>
        <v>215.38461538461539</v>
      </c>
      <c r="Q86" s="47">
        <f t="shared" si="14"/>
        <v>26622134.874071896</v>
      </c>
    </row>
    <row r="87" spans="1:17">
      <c r="A87" s="2">
        <f>'Monthly Data'!A87</f>
        <v>44958</v>
      </c>
      <c r="B87">
        <f>'Monthly Data'!B87</f>
        <v>2023</v>
      </c>
      <c r="C87">
        <f>'Monthly Data'!C87</f>
        <v>2</v>
      </c>
      <c r="D87" s="3">
        <f ca="1">'Monthly Data'!AI87</f>
        <v>24798406.9429878</v>
      </c>
      <c r="E87" s="3">
        <f>'Monthly Data'!DR87</f>
        <v>19</v>
      </c>
      <c r="F87" s="3">
        <f>'Monthly Data'!DL87</f>
        <v>867096</v>
      </c>
      <c r="G87" s="3">
        <f>'Monthly Data'!EE87</f>
        <v>0</v>
      </c>
      <c r="H87" s="3">
        <f>'Monthly Data'!EJ87</f>
        <v>0</v>
      </c>
      <c r="J87" s="3">
        <f t="shared" si="15"/>
        <v>-35488752.832239702</v>
      </c>
      <c r="K87" s="3">
        <f t="shared" si="16"/>
        <v>7445564.1656533964</v>
      </c>
      <c r="L87" s="3">
        <f t="shared" si="17"/>
        <v>53881364.559658252</v>
      </c>
      <c r="M87" s="3">
        <f t="shared" si="18"/>
        <v>0</v>
      </c>
      <c r="N87" s="3">
        <f t="shared" si="19"/>
        <v>0</v>
      </c>
      <c r="O87" s="47">
        <f t="shared" si="13"/>
        <v>25838175.893071946</v>
      </c>
      <c r="P87" s="47">
        <f>'Monthly Data'!AJ87</f>
        <v>255.76923076923077</v>
      </c>
      <c r="Q87" s="47">
        <f t="shared" si="14"/>
        <v>25838431.662302714</v>
      </c>
    </row>
    <row r="88" spans="1:17">
      <c r="A88" s="2">
        <f>'Monthly Data'!A88</f>
        <v>44986</v>
      </c>
      <c r="B88">
        <f>'Monthly Data'!B88</f>
        <v>2023</v>
      </c>
      <c r="C88">
        <f>'Monthly Data'!C88</f>
        <v>3</v>
      </c>
      <c r="D88" s="3">
        <f ca="1">'Monthly Data'!AI88</f>
        <v>27926512.923752379</v>
      </c>
      <c r="E88" s="3">
        <f>'Monthly Data'!DR88</f>
        <v>23</v>
      </c>
      <c r="F88" s="3">
        <f>'Monthly Data'!DL88</f>
        <v>867096</v>
      </c>
      <c r="G88" s="3">
        <f>'Monthly Data'!EE88</f>
        <v>1</v>
      </c>
      <c r="H88" s="3">
        <f>'Monthly Data'!EJ88</f>
        <v>0</v>
      </c>
      <c r="J88" s="3">
        <f t="shared" si="15"/>
        <v>-35488752.832239702</v>
      </c>
      <c r="K88" s="3">
        <f t="shared" si="16"/>
        <v>9013051.3584225327</v>
      </c>
      <c r="L88" s="3">
        <f t="shared" si="17"/>
        <v>53881364.559658252</v>
      </c>
      <c r="M88" s="3">
        <f t="shared" si="18"/>
        <v>0</v>
      </c>
      <c r="N88" s="3">
        <f t="shared" si="19"/>
        <v>0</v>
      </c>
      <c r="O88" s="47">
        <f t="shared" si="13"/>
        <v>27405663.085841082</v>
      </c>
      <c r="P88" s="47">
        <f>'Monthly Data'!AJ88</f>
        <v>296.15384615384619</v>
      </c>
      <c r="Q88" s="47">
        <f t="shared" si="14"/>
        <v>27405959.239687234</v>
      </c>
    </row>
    <row r="89" spans="1:17">
      <c r="A89" s="2">
        <f>'Monthly Data'!A89</f>
        <v>45017</v>
      </c>
      <c r="B89">
        <f>'Monthly Data'!B89</f>
        <v>2023</v>
      </c>
      <c r="C89">
        <f>'Monthly Data'!C89</f>
        <v>4</v>
      </c>
      <c r="D89" s="3">
        <f ca="1">'Monthly Data'!AI89</f>
        <v>26103228.316903759</v>
      </c>
      <c r="E89" s="3">
        <f>'Monthly Data'!DR89</f>
        <v>19</v>
      </c>
      <c r="F89" s="3">
        <f>'Monthly Data'!DL89</f>
        <v>873385</v>
      </c>
      <c r="G89" s="3">
        <f>'Monthly Data'!EE89</f>
        <v>1</v>
      </c>
      <c r="H89" s="3">
        <f>'Monthly Data'!EJ89</f>
        <v>0</v>
      </c>
      <c r="J89" s="3">
        <f t="shared" si="15"/>
        <v>-35488752.832239702</v>
      </c>
      <c r="K89" s="3">
        <f t="shared" si="16"/>
        <v>7445564.1656533964</v>
      </c>
      <c r="L89" s="3">
        <f t="shared" si="17"/>
        <v>54272163.158332095</v>
      </c>
      <c r="M89" s="3">
        <f t="shared" si="18"/>
        <v>0</v>
      </c>
      <c r="N89" s="3">
        <f t="shared" si="19"/>
        <v>0</v>
      </c>
      <c r="O89" s="47">
        <f t="shared" si="13"/>
        <v>26228974.491745789</v>
      </c>
      <c r="P89" s="47">
        <f>'Monthly Data'!AJ89</f>
        <v>336.53846153846155</v>
      </c>
      <c r="Q89" s="47">
        <f t="shared" si="14"/>
        <v>26229311.030207328</v>
      </c>
    </row>
    <row r="90" spans="1:17">
      <c r="A90" s="2">
        <f>'Monthly Data'!A90</f>
        <v>45047</v>
      </c>
      <c r="B90">
        <f>'Monthly Data'!B90</f>
        <v>2023</v>
      </c>
      <c r="C90">
        <f>'Monthly Data'!C90</f>
        <v>5</v>
      </c>
      <c r="D90" s="3">
        <f ca="1">'Monthly Data'!AI90</f>
        <v>25031148.66160468</v>
      </c>
      <c r="E90" s="3">
        <f>'Monthly Data'!DR90</f>
        <v>22</v>
      </c>
      <c r="F90" s="3">
        <f>'Monthly Data'!DL90</f>
        <v>873385</v>
      </c>
      <c r="G90" s="3">
        <f>'Monthly Data'!EE90</f>
        <v>1</v>
      </c>
      <c r="H90" s="3">
        <f>'Monthly Data'!EJ90</f>
        <v>0</v>
      </c>
      <c r="J90" s="3">
        <f t="shared" si="15"/>
        <v>-35488752.832239702</v>
      </c>
      <c r="K90" s="3">
        <f t="shared" si="16"/>
        <v>8621179.5602302477</v>
      </c>
      <c r="L90" s="3">
        <f t="shared" si="17"/>
        <v>54272163.158332095</v>
      </c>
      <c r="M90" s="3">
        <f t="shared" si="18"/>
        <v>0</v>
      </c>
      <c r="N90" s="3">
        <f t="shared" si="19"/>
        <v>0</v>
      </c>
      <c r="O90" s="47">
        <f t="shared" si="13"/>
        <v>27404589.88632264</v>
      </c>
      <c r="P90" s="47">
        <f>'Monthly Data'!AJ90</f>
        <v>376.92307692307691</v>
      </c>
      <c r="Q90" s="47">
        <f t="shared" si="14"/>
        <v>27404966.809399564</v>
      </c>
    </row>
    <row r="91" spans="1:17">
      <c r="A91" s="2">
        <f>'Monthly Data'!A91</f>
        <v>45078</v>
      </c>
      <c r="B91">
        <f>'Monthly Data'!B91</f>
        <v>2023</v>
      </c>
      <c r="C91">
        <f>'Monthly Data'!C91</f>
        <v>6</v>
      </c>
      <c r="D91" s="3">
        <f ca="1">'Monthly Data'!AI91</f>
        <v>26944484.766983312</v>
      </c>
      <c r="E91" s="3">
        <f>'Monthly Data'!DR91</f>
        <v>22</v>
      </c>
      <c r="F91" s="3">
        <f>'Monthly Data'!DL91</f>
        <v>873385</v>
      </c>
      <c r="G91" s="3">
        <f>'Monthly Data'!EE91</f>
        <v>0</v>
      </c>
      <c r="H91" s="3">
        <f>'Monthly Data'!EJ91</f>
        <v>0</v>
      </c>
      <c r="J91" s="3">
        <f t="shared" si="15"/>
        <v>-35488752.832239702</v>
      </c>
      <c r="K91" s="3">
        <f t="shared" si="16"/>
        <v>8621179.5602302477</v>
      </c>
      <c r="L91" s="3">
        <f t="shared" si="17"/>
        <v>54272163.158332095</v>
      </c>
      <c r="M91" s="3">
        <f t="shared" si="18"/>
        <v>0</v>
      </c>
      <c r="N91" s="3">
        <f t="shared" si="19"/>
        <v>0</v>
      </c>
      <c r="O91" s="47">
        <f t="shared" si="13"/>
        <v>27404589.88632264</v>
      </c>
      <c r="P91" s="47">
        <f>'Monthly Data'!AJ91</f>
        <v>417.30769230769232</v>
      </c>
      <c r="Q91" s="47">
        <f t="shared" si="14"/>
        <v>27405007.194014948</v>
      </c>
    </row>
    <row r="92" spans="1:17">
      <c r="A92" s="2">
        <f>'Monthly Data'!A92</f>
        <v>45108</v>
      </c>
      <c r="B92">
        <f>'Monthly Data'!B92</f>
        <v>2023</v>
      </c>
      <c r="C92">
        <f>'Monthly Data'!C92</f>
        <v>7</v>
      </c>
      <c r="D92" s="3">
        <f ca="1">'Monthly Data'!AI92</f>
        <v>25371368.634494543</v>
      </c>
      <c r="E92" s="3">
        <f>'Monthly Data'!DR92</f>
        <v>20</v>
      </c>
      <c r="F92" s="3">
        <f>'Monthly Data'!DL92</f>
        <v>876964</v>
      </c>
      <c r="G92" s="3">
        <f>'Monthly Data'!EE92</f>
        <v>0</v>
      </c>
      <c r="H92" s="3">
        <f>'Monthly Data'!EJ92</f>
        <v>0</v>
      </c>
      <c r="J92" s="3">
        <f t="shared" si="15"/>
        <v>-35488752.832239702</v>
      </c>
      <c r="K92" s="3">
        <f t="shared" si="16"/>
        <v>7837435.9638456805</v>
      </c>
      <c r="L92" s="3">
        <f t="shared" si="17"/>
        <v>54494562.297249831</v>
      </c>
      <c r="M92" s="3">
        <f t="shared" si="18"/>
        <v>0</v>
      </c>
      <c r="N92" s="3">
        <f t="shared" si="19"/>
        <v>0</v>
      </c>
      <c r="O92" s="47">
        <f t="shared" si="13"/>
        <v>26843245.42885581</v>
      </c>
      <c r="P92" s="47">
        <f>'Monthly Data'!AJ92</f>
        <v>457.69230769230768</v>
      </c>
      <c r="Q92" s="47">
        <f t="shared" si="14"/>
        <v>26843703.121163502</v>
      </c>
    </row>
    <row r="93" spans="1:17">
      <c r="A93" s="2">
        <f>'Monthly Data'!A93</f>
        <v>45139</v>
      </c>
      <c r="B93">
        <f>'Monthly Data'!B93</f>
        <v>2023</v>
      </c>
      <c r="C93">
        <f>'Monthly Data'!C93</f>
        <v>8</v>
      </c>
      <c r="D93" s="3">
        <f ca="1">'Monthly Data'!AI93</f>
        <v>27448956.79707963</v>
      </c>
      <c r="E93" s="3">
        <f>'Monthly Data'!DR93</f>
        <v>22</v>
      </c>
      <c r="F93" s="3">
        <f>'Monthly Data'!DL93</f>
        <v>876964</v>
      </c>
      <c r="G93" s="3">
        <f>'Monthly Data'!EE93</f>
        <v>0</v>
      </c>
      <c r="H93" s="3">
        <f>'Monthly Data'!EJ93</f>
        <v>0</v>
      </c>
      <c r="J93" s="3">
        <f t="shared" si="15"/>
        <v>-35488752.832239702</v>
      </c>
      <c r="K93" s="3">
        <f t="shared" si="16"/>
        <v>8621179.5602302477</v>
      </c>
      <c r="L93" s="3">
        <f t="shared" si="17"/>
        <v>54494562.297249831</v>
      </c>
      <c r="M93" s="3">
        <f t="shared" si="18"/>
        <v>0</v>
      </c>
      <c r="N93" s="3">
        <f t="shared" si="19"/>
        <v>0</v>
      </c>
      <c r="O93" s="47">
        <f t="shared" si="13"/>
        <v>27626989.025240377</v>
      </c>
      <c r="P93" s="47">
        <f>'Monthly Data'!AJ93</f>
        <v>498.07692307692309</v>
      </c>
      <c r="Q93" s="47">
        <f t="shared" si="14"/>
        <v>27627487.102163453</v>
      </c>
    </row>
    <row r="94" spans="1:17">
      <c r="A94" s="2">
        <f>'Monthly Data'!A94</f>
        <v>45170</v>
      </c>
      <c r="B94">
        <f>'Monthly Data'!B94</f>
        <v>2023</v>
      </c>
      <c r="C94">
        <f>'Monthly Data'!C94</f>
        <v>9</v>
      </c>
      <c r="D94" s="3">
        <f ca="1">'Monthly Data'!AI94</f>
        <v>28072962.413866222</v>
      </c>
      <c r="E94" s="3">
        <f>'Monthly Data'!DR94</f>
        <v>20</v>
      </c>
      <c r="F94" s="3">
        <f>'Monthly Data'!DL94</f>
        <v>876964</v>
      </c>
      <c r="G94" s="3">
        <f>'Monthly Data'!EE94</f>
        <v>0</v>
      </c>
      <c r="H94" s="3">
        <f>'Monthly Data'!EJ94</f>
        <v>0</v>
      </c>
      <c r="J94" s="3">
        <f t="shared" si="15"/>
        <v>-35488752.832239702</v>
      </c>
      <c r="K94" s="3">
        <f t="shared" si="16"/>
        <v>7837435.9638456805</v>
      </c>
      <c r="L94" s="3">
        <f t="shared" si="17"/>
        <v>54494562.297249831</v>
      </c>
      <c r="M94" s="3">
        <f t="shared" si="18"/>
        <v>0</v>
      </c>
      <c r="N94" s="3">
        <f t="shared" si="19"/>
        <v>0</v>
      </c>
      <c r="O94" s="47">
        <f t="shared" si="13"/>
        <v>26843245.42885581</v>
      </c>
      <c r="P94" s="47">
        <f>'Monthly Data'!AJ94</f>
        <v>538.46153846153845</v>
      </c>
      <c r="Q94" s="47">
        <f t="shared" si="14"/>
        <v>26843783.89039427</v>
      </c>
    </row>
    <row r="95" spans="1:17">
      <c r="A95" s="2">
        <f>'Monthly Data'!A95</f>
        <v>45200</v>
      </c>
      <c r="B95">
        <f>'Monthly Data'!B95</f>
        <v>2023</v>
      </c>
      <c r="C95">
        <f>'Monthly Data'!C95</f>
        <v>10</v>
      </c>
      <c r="D95" s="3">
        <f ca="1">'Monthly Data'!AI95</f>
        <v>29837767.631071053</v>
      </c>
      <c r="E95" s="3">
        <f>'Monthly Data'!DR95</f>
        <v>21</v>
      </c>
      <c r="F95" s="3">
        <f>'Monthly Data'!DL95</f>
        <v>880255</v>
      </c>
      <c r="G95" s="3">
        <f>'Monthly Data'!EE95</f>
        <v>0</v>
      </c>
      <c r="H95" s="3">
        <f>'Monthly Data'!EJ95</f>
        <v>0</v>
      </c>
      <c r="J95" s="3">
        <f t="shared" si="15"/>
        <v>-35488752.832239702</v>
      </c>
      <c r="K95" s="3">
        <f t="shared" si="16"/>
        <v>8229307.7620379645</v>
      </c>
      <c r="L95" s="3">
        <f t="shared" si="17"/>
        <v>54699065.10981711</v>
      </c>
      <c r="M95" s="3">
        <f t="shared" si="18"/>
        <v>0</v>
      </c>
      <c r="N95" s="3">
        <f t="shared" si="19"/>
        <v>0</v>
      </c>
      <c r="O95" s="47">
        <f t="shared" si="13"/>
        <v>27439620.03961537</v>
      </c>
      <c r="P95" s="47">
        <f>'Monthly Data'!AJ95</f>
        <v>578.84615384615381</v>
      </c>
      <c r="Q95" s="47">
        <f t="shared" si="14"/>
        <v>27440198.885769218</v>
      </c>
    </row>
    <row r="96" spans="1:17">
      <c r="A96" s="2">
        <f>'Monthly Data'!A96</f>
        <v>45231</v>
      </c>
      <c r="B96">
        <f>'Monthly Data'!B96</f>
        <v>2023</v>
      </c>
      <c r="C96">
        <f>'Monthly Data'!C96</f>
        <v>11</v>
      </c>
      <c r="D96" s="3">
        <f ca="1">'Monthly Data'!AI96</f>
        <v>28237094.767794933</v>
      </c>
      <c r="E96" s="3">
        <f>'Monthly Data'!DR96</f>
        <v>22</v>
      </c>
      <c r="F96" s="3">
        <f>'Monthly Data'!DL96</f>
        <v>880255</v>
      </c>
      <c r="G96" s="3">
        <f>'Monthly Data'!EE96</f>
        <v>0</v>
      </c>
      <c r="H96" s="3">
        <f>'Monthly Data'!EJ96</f>
        <v>0</v>
      </c>
      <c r="J96" s="3">
        <f t="shared" si="15"/>
        <v>-35488752.832239702</v>
      </c>
      <c r="K96" s="3">
        <f t="shared" si="16"/>
        <v>8621179.5602302477</v>
      </c>
      <c r="L96" s="3">
        <f t="shared" si="17"/>
        <v>54699065.10981711</v>
      </c>
      <c r="M96" s="3">
        <f t="shared" si="18"/>
        <v>0</v>
      </c>
      <c r="N96" s="3">
        <f t="shared" si="19"/>
        <v>0</v>
      </c>
      <c r="O96" s="47">
        <f t="shared" si="13"/>
        <v>27831491.837807655</v>
      </c>
      <c r="P96" s="47">
        <f>'Monthly Data'!AJ96</f>
        <v>619.23076923076928</v>
      </c>
      <c r="Q96" s="47">
        <f t="shared" si="14"/>
        <v>27832111.068576887</v>
      </c>
    </row>
    <row r="97" spans="1:17">
      <c r="A97" s="2">
        <f>'Monthly Data'!A97</f>
        <v>45261</v>
      </c>
      <c r="B97">
        <f>'Monthly Data'!B97</f>
        <v>2023</v>
      </c>
      <c r="C97">
        <f>'Monthly Data'!C97</f>
        <v>12</v>
      </c>
      <c r="D97" s="3">
        <f ca="1">'Monthly Data'!AI97</f>
        <v>27574553.180735718</v>
      </c>
      <c r="E97" s="3">
        <f>'Monthly Data'!DR97</f>
        <v>19</v>
      </c>
      <c r="F97" s="3">
        <f>'Monthly Data'!DL97</f>
        <v>880255</v>
      </c>
      <c r="G97" s="3">
        <f>'Monthly Data'!EE97</f>
        <v>0</v>
      </c>
      <c r="H97" s="3">
        <f>'Monthly Data'!EJ97</f>
        <v>0</v>
      </c>
      <c r="J97" s="3">
        <f t="shared" si="15"/>
        <v>-35488752.832239702</v>
      </c>
      <c r="K97" s="3">
        <f t="shared" si="16"/>
        <v>7445564.1656533964</v>
      </c>
      <c r="L97" s="3">
        <f t="shared" si="17"/>
        <v>54699065.10981711</v>
      </c>
      <c r="M97" s="3">
        <f t="shared" si="18"/>
        <v>0</v>
      </c>
      <c r="N97" s="3">
        <f t="shared" si="19"/>
        <v>0</v>
      </c>
      <c r="O97" s="47">
        <f t="shared" si="13"/>
        <v>26655876.443230804</v>
      </c>
      <c r="P97" s="47">
        <f>'Monthly Data'!AJ97</f>
        <v>659.61538461538464</v>
      </c>
      <c r="Q97" s="47">
        <f t="shared" si="14"/>
        <v>26656536.05861542</v>
      </c>
    </row>
    <row r="98" spans="1:17">
      <c r="A98" s="2">
        <f>'Monthly Data'!A98</f>
        <v>45292</v>
      </c>
      <c r="B98">
        <f>'Monthly Data'!B98</f>
        <v>2024</v>
      </c>
      <c r="C98">
        <f>'Monthly Data'!C98</f>
        <v>1</v>
      </c>
      <c r="D98" s="3">
        <f ca="1">'Monthly Data'!AI98</f>
        <v>28487457.895537898</v>
      </c>
      <c r="E98" s="3">
        <f>'Monthly Data'!DR98</f>
        <v>22</v>
      </c>
      <c r="F98" s="3">
        <f>'Monthly Data'!DL98</f>
        <v>885802</v>
      </c>
      <c r="G98" s="3">
        <f>'Monthly Data'!EE98</f>
        <v>0</v>
      </c>
      <c r="H98" s="3">
        <f>'Monthly Data'!EJ98</f>
        <v>0</v>
      </c>
      <c r="J98" s="3">
        <f t="shared" ref="J98:J129" si="20">$U$8</f>
        <v>-35488752.832239702</v>
      </c>
      <c r="K98" s="3">
        <f t="shared" ref="K98:K129" si="21">E98*$U$9</f>
        <v>8621179.5602302477</v>
      </c>
      <c r="L98" s="3">
        <f t="shared" ref="L98:L129" si="22">F98*$U$10</f>
        <v>55043755.812129684</v>
      </c>
      <c r="M98" s="3">
        <f t="shared" ref="M98:M129" si="23">G98*$U$11</f>
        <v>0</v>
      </c>
      <c r="N98" s="3">
        <f t="shared" ref="N98:N129" si="24">H98*$U$12</f>
        <v>0</v>
      </c>
      <c r="O98" s="47">
        <f t="shared" ref="O98:O109" si="25">SUM(J98:N98)</f>
        <v>28176182.540120229</v>
      </c>
      <c r="P98" s="47">
        <f>'Monthly Data'!AJ98</f>
        <v>790.38461538461536</v>
      </c>
      <c r="Q98" s="47">
        <f t="shared" si="14"/>
        <v>28176972.924735613</v>
      </c>
    </row>
    <row r="99" spans="1:17">
      <c r="A99" s="2">
        <f>'Monthly Data'!A99</f>
        <v>45323</v>
      </c>
      <c r="B99">
        <f>'Monthly Data'!B99</f>
        <v>2024</v>
      </c>
      <c r="C99">
        <f>'Monthly Data'!C99</f>
        <v>2</v>
      </c>
      <c r="D99" s="3">
        <f ca="1">'Monthly Data'!AI99</f>
        <v>28602328.805234969</v>
      </c>
      <c r="E99" s="3">
        <f>'Monthly Data'!DR99</f>
        <v>20</v>
      </c>
      <c r="F99" s="3">
        <f>'Monthly Data'!DL99</f>
        <v>885802</v>
      </c>
      <c r="G99" s="3">
        <f>'Monthly Data'!EE99</f>
        <v>0</v>
      </c>
      <c r="H99" s="3">
        <f>'Monthly Data'!EJ99</f>
        <v>0</v>
      </c>
      <c r="J99" s="3">
        <f t="shared" si="20"/>
        <v>-35488752.832239702</v>
      </c>
      <c r="K99" s="3">
        <f t="shared" si="21"/>
        <v>7837435.9638456805</v>
      </c>
      <c r="L99" s="3">
        <f t="shared" si="22"/>
        <v>55043755.812129684</v>
      </c>
      <c r="M99" s="3">
        <f t="shared" si="23"/>
        <v>0</v>
      </c>
      <c r="N99" s="3">
        <f t="shared" si="24"/>
        <v>0</v>
      </c>
      <c r="O99" s="47">
        <f t="shared" si="25"/>
        <v>27392438.943735663</v>
      </c>
      <c r="P99" s="47">
        <f>'Monthly Data'!AJ99</f>
        <v>880.76923076923072</v>
      </c>
      <c r="Q99" s="47">
        <f t="shared" si="14"/>
        <v>27393319.712966431</v>
      </c>
    </row>
    <row r="100" spans="1:17">
      <c r="A100" s="2">
        <f>'Monthly Data'!A100</f>
        <v>45352</v>
      </c>
      <c r="B100">
        <f>'Monthly Data'!B100</f>
        <v>2024</v>
      </c>
      <c r="C100">
        <f>'Monthly Data'!C100</f>
        <v>3</v>
      </c>
      <c r="D100" s="3">
        <f ca="1">'Monthly Data'!AI100</f>
        <v>29363092.588848915</v>
      </c>
      <c r="E100" s="3">
        <f>'Monthly Data'!DR100</f>
        <v>20</v>
      </c>
      <c r="F100" s="3">
        <f>'Monthly Data'!DL100</f>
        <v>885802</v>
      </c>
      <c r="G100" s="3">
        <f>'Monthly Data'!EE100</f>
        <v>1</v>
      </c>
      <c r="H100" s="3">
        <f>'Monthly Data'!EJ100</f>
        <v>0</v>
      </c>
      <c r="J100" s="3">
        <f t="shared" si="20"/>
        <v>-35488752.832239702</v>
      </c>
      <c r="K100" s="3">
        <f t="shared" si="21"/>
        <v>7837435.9638456805</v>
      </c>
      <c r="L100" s="3">
        <f t="shared" si="22"/>
        <v>55043755.812129684</v>
      </c>
      <c r="M100" s="3">
        <f t="shared" si="23"/>
        <v>0</v>
      </c>
      <c r="N100" s="3">
        <f t="shared" si="24"/>
        <v>0</v>
      </c>
      <c r="O100" s="47">
        <f t="shared" si="25"/>
        <v>27392438.943735663</v>
      </c>
      <c r="P100" s="47">
        <f>'Monthly Data'!AJ100</f>
        <v>971.15384615384619</v>
      </c>
      <c r="Q100" s="47">
        <f t="shared" si="14"/>
        <v>27393410.097581815</v>
      </c>
    </row>
    <row r="101" spans="1:17">
      <c r="A101" s="2">
        <f>'Monthly Data'!A101</f>
        <v>45383</v>
      </c>
      <c r="B101">
        <f>'Monthly Data'!B101</f>
        <v>2024</v>
      </c>
      <c r="C101">
        <f>'Monthly Data'!C101</f>
        <v>4</v>
      </c>
      <c r="D101" s="3">
        <f ca="1">'Monthly Data'!AI101</f>
        <v>24355003.501614686</v>
      </c>
      <c r="E101" s="3">
        <f>'Monthly Data'!DR101</f>
        <v>22</v>
      </c>
      <c r="F101" s="3">
        <f>'Monthly Data'!DL101</f>
        <v>888733</v>
      </c>
      <c r="G101" s="3">
        <f>'Monthly Data'!EE101</f>
        <v>1</v>
      </c>
      <c r="H101" s="3">
        <f>'Monthly Data'!EJ101</f>
        <v>0</v>
      </c>
      <c r="J101" s="3">
        <f t="shared" si="20"/>
        <v>-35488752.832239702</v>
      </c>
      <c r="K101" s="3">
        <f t="shared" si="21"/>
        <v>8621179.5602302477</v>
      </c>
      <c r="L101" s="3">
        <f t="shared" si="22"/>
        <v>55225888.216758884</v>
      </c>
      <c r="M101" s="3">
        <f t="shared" si="23"/>
        <v>0</v>
      </c>
      <c r="N101" s="3">
        <f t="shared" si="24"/>
        <v>0</v>
      </c>
      <c r="O101" s="47">
        <f t="shared" si="25"/>
        <v>28358314.94474943</v>
      </c>
      <c r="P101" s="47">
        <f>'Monthly Data'!AJ101</f>
        <v>1061.5384615384614</v>
      </c>
      <c r="Q101" s="47">
        <f t="shared" si="14"/>
        <v>28359376.48321097</v>
      </c>
    </row>
    <row r="102" spans="1:17">
      <c r="A102" s="2">
        <f>'Monthly Data'!A102</f>
        <v>45413</v>
      </c>
      <c r="B102">
        <f>'Monthly Data'!B102</f>
        <v>2024</v>
      </c>
      <c r="C102">
        <f>'Monthly Data'!C102</f>
        <v>5</v>
      </c>
      <c r="D102" s="3">
        <f ca="1">'Monthly Data'!AI102</f>
        <v>29075946.28509783</v>
      </c>
      <c r="E102" s="3">
        <f>'Monthly Data'!DR102</f>
        <v>22</v>
      </c>
      <c r="F102" s="3">
        <f>'Monthly Data'!DL102</f>
        <v>888733</v>
      </c>
      <c r="G102" s="3">
        <f>'Monthly Data'!EE102</f>
        <v>1</v>
      </c>
      <c r="H102" s="3">
        <f>'Monthly Data'!EJ102</f>
        <v>0</v>
      </c>
      <c r="J102" s="3">
        <f t="shared" si="20"/>
        <v>-35488752.832239702</v>
      </c>
      <c r="K102" s="3">
        <f t="shared" si="21"/>
        <v>8621179.5602302477</v>
      </c>
      <c r="L102" s="3">
        <f t="shared" si="22"/>
        <v>55225888.216758884</v>
      </c>
      <c r="M102" s="3">
        <f t="shared" si="23"/>
        <v>0</v>
      </c>
      <c r="N102" s="3">
        <f t="shared" si="24"/>
        <v>0</v>
      </c>
      <c r="O102" s="47">
        <f t="shared" si="25"/>
        <v>28358314.94474943</v>
      </c>
      <c r="P102" s="47">
        <f>'Monthly Data'!AJ102</f>
        <v>1151.9230769230769</v>
      </c>
      <c r="Q102" s="47">
        <f t="shared" si="14"/>
        <v>28359466.867826354</v>
      </c>
    </row>
    <row r="103" spans="1:17">
      <c r="A103" s="2">
        <f>'Monthly Data'!A103</f>
        <v>45444</v>
      </c>
      <c r="B103">
        <f>'Monthly Data'!B103</f>
        <v>2024</v>
      </c>
      <c r="C103">
        <f>'Monthly Data'!C103</f>
        <v>6</v>
      </c>
      <c r="D103" s="3">
        <f ca="1">'Monthly Data'!AI103</f>
        <v>28951172.626360152</v>
      </c>
      <c r="E103" s="3">
        <f>'Monthly Data'!DR103</f>
        <v>20</v>
      </c>
      <c r="F103" s="3">
        <f>'Monthly Data'!DL103</f>
        <v>888733</v>
      </c>
      <c r="G103" s="3">
        <f>'Monthly Data'!EE103</f>
        <v>0</v>
      </c>
      <c r="H103" s="3">
        <f>'Monthly Data'!EJ103</f>
        <v>0</v>
      </c>
      <c r="J103" s="3">
        <f t="shared" si="20"/>
        <v>-35488752.832239702</v>
      </c>
      <c r="K103" s="3">
        <f t="shared" si="21"/>
        <v>7837435.9638456805</v>
      </c>
      <c r="L103" s="3">
        <f t="shared" si="22"/>
        <v>55225888.216758884</v>
      </c>
      <c r="M103" s="3">
        <f t="shared" si="23"/>
        <v>0</v>
      </c>
      <c r="N103" s="3">
        <f t="shared" si="24"/>
        <v>0</v>
      </c>
      <c r="O103" s="47">
        <f t="shared" si="25"/>
        <v>27574571.348364864</v>
      </c>
      <c r="P103" s="47">
        <f>'Monthly Data'!AJ103</f>
        <v>1242.3076923076924</v>
      </c>
      <c r="Q103" s="47">
        <f t="shared" si="14"/>
        <v>27575813.656057172</v>
      </c>
    </row>
    <row r="104" spans="1:17">
      <c r="A104" s="2">
        <f>'Monthly Data'!A104</f>
        <v>45474</v>
      </c>
      <c r="B104">
        <f>'Monthly Data'!B104</f>
        <v>2024</v>
      </c>
      <c r="C104">
        <f>'Monthly Data'!C104</f>
        <v>7</v>
      </c>
      <c r="D104" s="3">
        <f ca="1">'Monthly Data'!AI104</f>
        <v>30087644.082628775</v>
      </c>
      <c r="E104" s="3">
        <f>'Monthly Data'!DR104</f>
        <v>22</v>
      </c>
      <c r="F104" s="3">
        <f>'Monthly Data'!DL104</f>
        <v>890079</v>
      </c>
      <c r="G104" s="3">
        <f>'Monthly Data'!EE104</f>
        <v>0</v>
      </c>
      <c r="H104" s="3">
        <f>'Monthly Data'!EJ104</f>
        <v>0</v>
      </c>
      <c r="J104" s="3">
        <f t="shared" si="20"/>
        <v>-35488752.832239702</v>
      </c>
      <c r="K104" s="3">
        <f t="shared" si="21"/>
        <v>8621179.5602302477</v>
      </c>
      <c r="L104" s="3">
        <f t="shared" si="22"/>
        <v>55309528.686438479</v>
      </c>
      <c r="M104" s="3">
        <f t="shared" si="23"/>
        <v>0</v>
      </c>
      <c r="N104" s="3">
        <f t="shared" si="24"/>
        <v>0</v>
      </c>
      <c r="O104" s="47">
        <f t="shared" si="25"/>
        <v>28441955.414429024</v>
      </c>
      <c r="P104" s="47">
        <f>'Monthly Data'!AJ104</f>
        <v>1332.6923076923076</v>
      </c>
      <c r="Q104" s="47">
        <f t="shared" si="14"/>
        <v>28443288.106736716</v>
      </c>
    </row>
    <row r="105" spans="1:17">
      <c r="A105" s="2">
        <f>'Monthly Data'!A105</f>
        <v>45505</v>
      </c>
      <c r="B105">
        <f>'Monthly Data'!B105</f>
        <v>2024</v>
      </c>
      <c r="C105">
        <f>'Monthly Data'!C105</f>
        <v>8</v>
      </c>
      <c r="D105" s="3">
        <f ca="1">'Monthly Data'!AI105</f>
        <v>29302430.072760686</v>
      </c>
      <c r="E105" s="3">
        <f>'Monthly Data'!DR105</f>
        <v>21</v>
      </c>
      <c r="F105" s="3">
        <f>'Monthly Data'!DL105</f>
        <v>890079</v>
      </c>
      <c r="G105" s="3">
        <f>'Monthly Data'!EE105</f>
        <v>0</v>
      </c>
      <c r="H105" s="3">
        <f>'Monthly Data'!EJ105</f>
        <v>0</v>
      </c>
      <c r="J105" s="3">
        <f t="shared" si="20"/>
        <v>-35488752.832239702</v>
      </c>
      <c r="K105" s="3">
        <f t="shared" si="21"/>
        <v>8229307.7620379645</v>
      </c>
      <c r="L105" s="3">
        <f t="shared" si="22"/>
        <v>55309528.686438479</v>
      </c>
      <c r="M105" s="3">
        <f t="shared" si="23"/>
        <v>0</v>
      </c>
      <c r="N105" s="3">
        <f t="shared" si="24"/>
        <v>0</v>
      </c>
      <c r="O105" s="47">
        <f t="shared" si="25"/>
        <v>28050083.616236739</v>
      </c>
      <c r="P105" s="47">
        <f>'Monthly Data'!AJ105</f>
        <v>1423.0769230769231</v>
      </c>
      <c r="Q105" s="47">
        <f t="shared" si="14"/>
        <v>28051506.693159815</v>
      </c>
    </row>
    <row r="106" spans="1:17">
      <c r="A106" s="2">
        <f>'Monthly Data'!A106</f>
        <v>45536</v>
      </c>
      <c r="B106">
        <f>'Monthly Data'!B106</f>
        <v>2024</v>
      </c>
      <c r="C106">
        <f>'Monthly Data'!C106</f>
        <v>9</v>
      </c>
      <c r="D106" s="3">
        <f ca="1">'Monthly Data'!AI106</f>
        <v>29339226.816615965</v>
      </c>
      <c r="E106" s="3">
        <f>'Monthly Data'!DR106</f>
        <v>20</v>
      </c>
      <c r="F106" s="3">
        <f>'Monthly Data'!DL106</f>
        <v>890079</v>
      </c>
      <c r="G106" s="3">
        <f>'Monthly Data'!EE106</f>
        <v>0</v>
      </c>
      <c r="H106" s="3">
        <f>'Monthly Data'!EJ106</f>
        <v>0</v>
      </c>
      <c r="J106" s="3">
        <f t="shared" si="20"/>
        <v>-35488752.832239702</v>
      </c>
      <c r="K106" s="3">
        <f t="shared" si="21"/>
        <v>7837435.9638456805</v>
      </c>
      <c r="L106" s="3">
        <f t="shared" si="22"/>
        <v>55309528.686438479</v>
      </c>
      <c r="M106" s="3">
        <f t="shared" si="23"/>
        <v>0</v>
      </c>
      <c r="N106" s="3">
        <f t="shared" si="24"/>
        <v>0</v>
      </c>
      <c r="O106" s="47">
        <f t="shared" si="25"/>
        <v>27658211.818044458</v>
      </c>
      <c r="P106" s="47">
        <f>'Monthly Data'!AJ106</f>
        <v>1513.4615384615386</v>
      </c>
      <c r="Q106" s="47">
        <f t="shared" si="14"/>
        <v>27659725.279582918</v>
      </c>
    </row>
    <row r="107" spans="1:17">
      <c r="A107" s="2">
        <f>'Monthly Data'!A107</f>
        <v>45566</v>
      </c>
      <c r="B107">
        <f>'Monthly Data'!B107</f>
        <v>2024</v>
      </c>
      <c r="C107">
        <f>'Monthly Data'!C107</f>
        <v>10</v>
      </c>
      <c r="D107" s="3">
        <f ca="1">'Monthly Data'!AI107</f>
        <v>29094842.562664524</v>
      </c>
      <c r="E107" s="3">
        <f>'Monthly Data'!DR107</f>
        <v>22</v>
      </c>
      <c r="F107" s="3">
        <f>'Monthly Data'!DL107</f>
        <v>893201</v>
      </c>
      <c r="G107" s="3">
        <f>'Monthly Data'!EE107</f>
        <v>0</v>
      </c>
      <c r="H107" s="3">
        <f>'Monthly Data'!EJ107</f>
        <v>0</v>
      </c>
      <c r="J107" s="3">
        <f t="shared" si="20"/>
        <v>-35488752.832239702</v>
      </c>
      <c r="K107" s="3">
        <f t="shared" si="21"/>
        <v>8621179.5602302477</v>
      </c>
      <c r="L107" s="3">
        <f t="shared" si="22"/>
        <v>55503529.835279271</v>
      </c>
      <c r="M107" s="3">
        <f t="shared" si="23"/>
        <v>0</v>
      </c>
      <c r="N107" s="3">
        <f t="shared" si="24"/>
        <v>0</v>
      </c>
      <c r="O107" s="47">
        <f t="shared" si="25"/>
        <v>28635956.563269816</v>
      </c>
      <c r="P107" s="47">
        <f>'Monthly Data'!AJ107</f>
        <v>1603.8461538461538</v>
      </c>
      <c r="Q107" s="47">
        <f t="shared" ref="Q107:Q170" si="26">O107+P107</f>
        <v>28637560.409423664</v>
      </c>
    </row>
    <row r="108" spans="1:17">
      <c r="A108" s="2">
        <f>'Monthly Data'!A108</f>
        <v>45597</v>
      </c>
      <c r="B108">
        <f>'Monthly Data'!B108</f>
        <v>2024</v>
      </c>
      <c r="C108">
        <f>'Monthly Data'!C108</f>
        <v>11</v>
      </c>
      <c r="D108" s="3">
        <f ca="1">'Monthly Data'!AI108</f>
        <v>28865745.64565761</v>
      </c>
      <c r="E108" s="3">
        <f>'Monthly Data'!DR108</f>
        <v>21</v>
      </c>
      <c r="F108" s="3">
        <f>'Monthly Data'!DL108</f>
        <v>893201</v>
      </c>
      <c r="G108" s="3">
        <f>'Monthly Data'!EE108</f>
        <v>0</v>
      </c>
      <c r="H108" s="3">
        <f>'Monthly Data'!EJ108</f>
        <v>0</v>
      </c>
      <c r="J108" s="3">
        <f t="shared" si="20"/>
        <v>-35488752.832239702</v>
      </c>
      <c r="K108" s="3">
        <f t="shared" si="21"/>
        <v>8229307.7620379645</v>
      </c>
      <c r="L108" s="3">
        <f t="shared" si="22"/>
        <v>55503529.835279271</v>
      </c>
      <c r="M108" s="3">
        <f t="shared" si="23"/>
        <v>0</v>
      </c>
      <c r="N108" s="3">
        <f t="shared" si="24"/>
        <v>0</v>
      </c>
      <c r="O108" s="47">
        <f t="shared" si="25"/>
        <v>28244084.765077531</v>
      </c>
      <c r="P108" s="47">
        <f>'Monthly Data'!AJ108</f>
        <v>1694.2307692307693</v>
      </c>
      <c r="Q108" s="47">
        <f t="shared" si="26"/>
        <v>28245778.995846763</v>
      </c>
    </row>
    <row r="109" spans="1:17">
      <c r="A109" s="2">
        <f>'Monthly Data'!A109</f>
        <v>45627</v>
      </c>
      <c r="B109">
        <f>'Monthly Data'!B109</f>
        <v>2024</v>
      </c>
      <c r="C109">
        <f>'Monthly Data'!C109</f>
        <v>12</v>
      </c>
      <c r="D109" s="3">
        <f ca="1">'Monthly Data'!AI109</f>
        <v>28392937.062120438</v>
      </c>
      <c r="E109" s="3">
        <f>'Monthly Data'!DR109</f>
        <v>20</v>
      </c>
      <c r="F109" s="3">
        <f>'Monthly Data'!DL109</f>
        <v>893201</v>
      </c>
      <c r="G109" s="3">
        <f>'Monthly Data'!EE109</f>
        <v>0</v>
      </c>
      <c r="H109" s="3">
        <f>'Monthly Data'!EJ109</f>
        <v>0</v>
      </c>
      <c r="J109" s="3">
        <f t="shared" si="20"/>
        <v>-35488752.832239702</v>
      </c>
      <c r="K109" s="3">
        <f t="shared" si="21"/>
        <v>7837435.9638456805</v>
      </c>
      <c r="L109" s="3">
        <f t="shared" si="22"/>
        <v>55503529.835279271</v>
      </c>
      <c r="M109" s="3">
        <f t="shared" si="23"/>
        <v>0</v>
      </c>
      <c r="N109" s="3">
        <f t="shared" si="24"/>
        <v>0</v>
      </c>
      <c r="O109" s="47">
        <f t="shared" si="25"/>
        <v>27852212.96688525</v>
      </c>
      <c r="P109" s="47">
        <f>'Monthly Data'!AJ109</f>
        <v>1784.6153846153845</v>
      </c>
      <c r="Q109" s="47">
        <f t="shared" si="26"/>
        <v>27853997.582269866</v>
      </c>
    </row>
    <row r="110" spans="1:17">
      <c r="A110" s="2">
        <f>'Monthly Data'!A110</f>
        <v>45658</v>
      </c>
      <c r="B110">
        <f>'Monthly Data'!B110</f>
        <v>2025</v>
      </c>
      <c r="C110">
        <f>'Monthly Data'!C110</f>
        <v>1</v>
      </c>
      <c r="D110" s="3">
        <f ca="1">'Monthly Data'!AI110</f>
        <v>28350275.697790779</v>
      </c>
      <c r="E110" s="3">
        <f>'Monthly Data'!DR110</f>
        <v>22</v>
      </c>
      <c r="F110" s="3">
        <f>'Monthly Data'!DL110</f>
        <v>897872</v>
      </c>
      <c r="G110" s="3">
        <f>'Monthly Data'!EE110</f>
        <v>0</v>
      </c>
      <c r="H110" s="3">
        <f>'Monthly Data'!EJ110</f>
        <v>0</v>
      </c>
      <c r="J110" s="3">
        <f t="shared" si="20"/>
        <v>-35488752.832239702</v>
      </c>
      <c r="K110" s="3">
        <f t="shared" si="21"/>
        <v>8621179.5602302477</v>
      </c>
      <c r="L110" s="3">
        <f t="shared" si="22"/>
        <v>55793785.878275849</v>
      </c>
      <c r="M110" s="3">
        <f t="shared" si="23"/>
        <v>0</v>
      </c>
      <c r="N110" s="3">
        <f t="shared" si="24"/>
        <v>0</v>
      </c>
      <c r="O110" s="47">
        <f t="shared" ref="O110:O121" si="27">SUM(J110:N110)</f>
        <v>28926212.606266394</v>
      </c>
      <c r="P110" s="47">
        <f>'Monthly Data'!AJ110</f>
        <v>1989.4230769230769</v>
      </c>
      <c r="Q110" s="47">
        <f t="shared" si="26"/>
        <v>28928202.029343318</v>
      </c>
    </row>
    <row r="111" spans="1:17">
      <c r="A111" s="2">
        <f>'Monthly Data'!A111</f>
        <v>45689</v>
      </c>
      <c r="B111">
        <f>'Monthly Data'!B111</f>
        <v>2025</v>
      </c>
      <c r="C111">
        <f>'Monthly Data'!C111</f>
        <v>2</v>
      </c>
      <c r="D111" s="3">
        <f ca="1">'Monthly Data'!AI111</f>
        <v>27236939.524469193</v>
      </c>
      <c r="E111" s="3">
        <f>'Monthly Data'!DR111</f>
        <v>19</v>
      </c>
      <c r="F111" s="3">
        <f>'Monthly Data'!DL111</f>
        <v>897872</v>
      </c>
      <c r="G111" s="3">
        <f>'Monthly Data'!EE111</f>
        <v>0</v>
      </c>
      <c r="H111" s="3">
        <f>'Monthly Data'!EJ111</f>
        <v>0</v>
      </c>
      <c r="J111" s="3">
        <f t="shared" si="20"/>
        <v>-35488752.832239702</v>
      </c>
      <c r="K111" s="3">
        <f t="shared" si="21"/>
        <v>7445564.1656533964</v>
      </c>
      <c r="L111" s="3">
        <f t="shared" si="22"/>
        <v>55793785.878275849</v>
      </c>
      <c r="M111" s="3">
        <f t="shared" si="23"/>
        <v>0</v>
      </c>
      <c r="N111" s="3">
        <f t="shared" si="24"/>
        <v>0</v>
      </c>
      <c r="O111" s="47">
        <f t="shared" si="27"/>
        <v>27750597.211689543</v>
      </c>
      <c r="P111" s="47">
        <f>'Monthly Data'!AJ111</f>
        <v>2103.8461538461538</v>
      </c>
      <c r="Q111" s="47">
        <f t="shared" ref="Q111:Q121" si="28">O111+P111</f>
        <v>27752701.057843391</v>
      </c>
    </row>
    <row r="112" spans="1:17">
      <c r="A112" s="2">
        <f>'Monthly Data'!A112</f>
        <v>45717</v>
      </c>
      <c r="B112">
        <f>'Monthly Data'!B112</f>
        <v>2025</v>
      </c>
      <c r="C112">
        <f>'Monthly Data'!C112</f>
        <v>3</v>
      </c>
      <c r="D112" s="3">
        <f ca="1">'Monthly Data'!AI112</f>
        <v>29418694.335992847</v>
      </c>
      <c r="E112" s="3">
        <f>'Monthly Data'!DR112</f>
        <v>21</v>
      </c>
      <c r="F112" s="3">
        <f>'Monthly Data'!DL112</f>
        <v>897872</v>
      </c>
      <c r="G112" s="3">
        <f>'Monthly Data'!EE112</f>
        <v>1</v>
      </c>
      <c r="H112" s="3">
        <f>'Monthly Data'!EJ112</f>
        <v>0</v>
      </c>
      <c r="J112" s="3">
        <f t="shared" si="20"/>
        <v>-35488752.832239702</v>
      </c>
      <c r="K112" s="3">
        <f t="shared" si="21"/>
        <v>8229307.7620379645</v>
      </c>
      <c r="L112" s="3">
        <f t="shared" si="22"/>
        <v>55793785.878275849</v>
      </c>
      <c r="M112" s="3">
        <f t="shared" si="23"/>
        <v>0</v>
      </c>
      <c r="N112" s="3">
        <f t="shared" si="24"/>
        <v>0</v>
      </c>
      <c r="O112" s="47">
        <f t="shared" si="27"/>
        <v>28534340.808074109</v>
      </c>
      <c r="P112" s="47">
        <f>'Monthly Data'!AJ112</f>
        <v>2218.2692307692309</v>
      </c>
      <c r="Q112" s="47">
        <f t="shared" si="28"/>
        <v>28536559.077304877</v>
      </c>
    </row>
    <row r="113" spans="1:17">
      <c r="A113" s="2">
        <f>'Monthly Data'!A113</f>
        <v>45748</v>
      </c>
      <c r="B113">
        <f>'Monthly Data'!B113</f>
        <v>2025</v>
      </c>
      <c r="C113">
        <f>'Monthly Data'!C113</f>
        <v>4</v>
      </c>
      <c r="D113" s="3">
        <f ca="1">'Monthly Data'!AI113</f>
        <v>25520852.259343944</v>
      </c>
      <c r="E113" s="3">
        <f>'Monthly Data'!DR113</f>
        <v>21</v>
      </c>
      <c r="F113" s="3">
        <f>'Monthly Data'!DL113</f>
        <v>894654</v>
      </c>
      <c r="G113" s="3">
        <f>'Monthly Data'!EE113</f>
        <v>1</v>
      </c>
      <c r="H113" s="3">
        <f>'Monthly Data'!EJ113</f>
        <v>0</v>
      </c>
      <c r="J113" s="3">
        <f t="shared" si="20"/>
        <v>-35488752.832239702</v>
      </c>
      <c r="K113" s="3">
        <f t="shared" si="21"/>
        <v>8229307.7620379645</v>
      </c>
      <c r="L113" s="3">
        <f t="shared" si="22"/>
        <v>55593819.287318237</v>
      </c>
      <c r="M113" s="3">
        <f t="shared" si="23"/>
        <v>0</v>
      </c>
      <c r="N113" s="3">
        <f t="shared" si="24"/>
        <v>0</v>
      </c>
      <c r="O113" s="47">
        <f t="shared" si="27"/>
        <v>28334374.217116497</v>
      </c>
      <c r="P113" s="47">
        <f>'Monthly Data'!AJ113</f>
        <v>2332.6923076923076</v>
      </c>
      <c r="Q113" s="47">
        <f t="shared" si="28"/>
        <v>28336706.909424189</v>
      </c>
    </row>
    <row r="114" spans="1:17">
      <c r="A114" s="2">
        <f>'Monthly Data'!A114</f>
        <v>45778</v>
      </c>
      <c r="B114">
        <f>'Monthly Data'!B114</f>
        <v>2025</v>
      </c>
      <c r="C114">
        <f>'Monthly Data'!C114</f>
        <v>5</v>
      </c>
      <c r="D114" s="3">
        <f ca="1">'Monthly Data'!AI114</f>
        <v>29794028.892617255</v>
      </c>
      <c r="E114" s="3">
        <f>'Monthly Data'!DR114</f>
        <v>21</v>
      </c>
      <c r="F114" s="3">
        <f>'Monthly Data'!DL114</f>
        <v>894654</v>
      </c>
      <c r="G114" s="3">
        <f>'Monthly Data'!EE114</f>
        <v>1</v>
      </c>
      <c r="H114" s="3">
        <f>'Monthly Data'!EJ114</f>
        <v>0</v>
      </c>
      <c r="J114" s="3">
        <f t="shared" si="20"/>
        <v>-35488752.832239702</v>
      </c>
      <c r="K114" s="3">
        <f t="shared" si="21"/>
        <v>8229307.7620379645</v>
      </c>
      <c r="L114" s="3">
        <f t="shared" si="22"/>
        <v>55593819.287318237</v>
      </c>
      <c r="M114" s="3">
        <f t="shared" si="23"/>
        <v>0</v>
      </c>
      <c r="N114" s="3">
        <f t="shared" si="24"/>
        <v>0</v>
      </c>
      <c r="O114" s="47">
        <f t="shared" si="27"/>
        <v>28334374.217116497</v>
      </c>
      <c r="P114" s="47">
        <f>'Monthly Data'!AJ114</f>
        <v>2447.1153846153848</v>
      </c>
      <c r="Q114" s="47">
        <f t="shared" si="28"/>
        <v>28336821.332501113</v>
      </c>
    </row>
    <row r="115" spans="1:17">
      <c r="A115" s="2">
        <f>'Monthly Data'!A115</f>
        <v>45809</v>
      </c>
      <c r="B115">
        <f>'Monthly Data'!B115</f>
        <v>2025</v>
      </c>
      <c r="C115">
        <f>'Monthly Data'!C115</f>
        <v>6</v>
      </c>
      <c r="D115" s="3">
        <f ca="1">'Monthly Data'!AI115</f>
        <v>30614865.305405341</v>
      </c>
      <c r="E115" s="3">
        <f>'Monthly Data'!DR115</f>
        <v>21</v>
      </c>
      <c r="F115" s="3">
        <f>'Monthly Data'!DL115</f>
        <v>894654</v>
      </c>
      <c r="G115" s="3">
        <f>'Monthly Data'!EE115</f>
        <v>0</v>
      </c>
      <c r="H115" s="3">
        <f>'Monthly Data'!EJ115</f>
        <v>0</v>
      </c>
      <c r="J115" s="3">
        <f t="shared" si="20"/>
        <v>-35488752.832239702</v>
      </c>
      <c r="K115" s="3">
        <f t="shared" si="21"/>
        <v>8229307.7620379645</v>
      </c>
      <c r="L115" s="3">
        <f t="shared" si="22"/>
        <v>55593819.287318237</v>
      </c>
      <c r="M115" s="3">
        <f t="shared" si="23"/>
        <v>0</v>
      </c>
      <c r="N115" s="3">
        <f t="shared" si="24"/>
        <v>0</v>
      </c>
      <c r="O115" s="47">
        <f t="shared" si="27"/>
        <v>28334374.217116497</v>
      </c>
      <c r="P115" s="47">
        <f>'Monthly Data'!AJ115</f>
        <v>2561.5384615384614</v>
      </c>
      <c r="Q115" s="47">
        <f t="shared" si="28"/>
        <v>28336935.755578037</v>
      </c>
    </row>
    <row r="116" spans="1:17">
      <c r="A116" s="2">
        <f>'Monthly Data'!A116</f>
        <v>45839</v>
      </c>
      <c r="B116">
        <f>'Monthly Data'!B116</f>
        <v>2025</v>
      </c>
      <c r="C116">
        <f>'Monthly Data'!C116</f>
        <v>7</v>
      </c>
      <c r="D116" s="3">
        <f ca="1">'Monthly Data'!AI116</f>
        <v>31727218.177868605</v>
      </c>
      <c r="E116" s="3">
        <f>'Monthly Data'!DR116</f>
        <v>22</v>
      </c>
      <c r="F116" s="3">
        <f>'Monthly Data'!DL116</f>
        <v>899254</v>
      </c>
      <c r="G116" s="3">
        <f>'Monthly Data'!EE116</f>
        <v>0</v>
      </c>
      <c r="H116" s="3">
        <f>'Monthly Data'!EJ116</f>
        <v>0</v>
      </c>
      <c r="J116" s="3">
        <f t="shared" si="20"/>
        <v>-35488752.832239702</v>
      </c>
      <c r="K116" s="3">
        <f t="shared" si="21"/>
        <v>8621179.5602302477</v>
      </c>
      <c r="L116" s="3">
        <f t="shared" si="22"/>
        <v>55879663.388749257</v>
      </c>
      <c r="M116" s="3">
        <f t="shared" si="23"/>
        <v>0</v>
      </c>
      <c r="N116" s="3">
        <f t="shared" si="24"/>
        <v>0</v>
      </c>
      <c r="O116" s="47">
        <f t="shared" si="27"/>
        <v>29012090.116739802</v>
      </c>
      <c r="P116" s="47">
        <f>'Monthly Data'!AJ116</f>
        <v>2675.9615384615386</v>
      </c>
      <c r="Q116" s="47">
        <f t="shared" si="28"/>
        <v>29014766.078278262</v>
      </c>
    </row>
    <row r="117" spans="1:17">
      <c r="A117" s="2">
        <f>'Monthly Data'!A117</f>
        <v>45870</v>
      </c>
      <c r="B117">
        <f>'Monthly Data'!B117</f>
        <v>2025</v>
      </c>
      <c r="C117">
        <f>'Monthly Data'!C117</f>
        <v>8</v>
      </c>
      <c r="D117" s="3">
        <f ca="1">'Monthly Data'!AI117</f>
        <v>30575986.092831805</v>
      </c>
      <c r="E117" s="3">
        <f>'Monthly Data'!DR117</f>
        <v>21</v>
      </c>
      <c r="F117" s="3">
        <f>'Monthly Data'!DL117</f>
        <v>899254</v>
      </c>
      <c r="G117" s="3">
        <f>'Monthly Data'!EE117</f>
        <v>0</v>
      </c>
      <c r="H117" s="3">
        <f>'Monthly Data'!EJ117</f>
        <v>0</v>
      </c>
      <c r="J117" s="3">
        <f t="shared" si="20"/>
        <v>-35488752.832239702</v>
      </c>
      <c r="K117" s="3">
        <f t="shared" si="21"/>
        <v>8229307.7620379645</v>
      </c>
      <c r="L117" s="3">
        <f t="shared" si="22"/>
        <v>55879663.388749257</v>
      </c>
      <c r="M117" s="3">
        <f t="shared" si="23"/>
        <v>0</v>
      </c>
      <c r="N117" s="3">
        <f t="shared" si="24"/>
        <v>0</v>
      </c>
      <c r="O117" s="47">
        <f t="shared" si="27"/>
        <v>28620218.318547517</v>
      </c>
      <c r="P117" s="47">
        <f>'Monthly Data'!AJ117</f>
        <v>2790.3846153846152</v>
      </c>
      <c r="Q117" s="47">
        <f t="shared" si="28"/>
        <v>28623008.703162901</v>
      </c>
    </row>
    <row r="118" spans="1:17">
      <c r="A118" s="2">
        <f>'Monthly Data'!A118</f>
        <v>45901</v>
      </c>
      <c r="B118">
        <f>'Monthly Data'!B118</f>
        <v>2025</v>
      </c>
      <c r="C118">
        <f>'Monthly Data'!C118</f>
        <v>9</v>
      </c>
      <c r="D118" s="3">
        <f ca="1">'Monthly Data'!AI118</f>
        <v>29232613.696968108</v>
      </c>
      <c r="E118" s="3">
        <f>'Monthly Data'!DR118</f>
        <v>21</v>
      </c>
      <c r="F118" s="3">
        <f>'Monthly Data'!DL118</f>
        <v>899254</v>
      </c>
      <c r="G118" s="3">
        <f>'Monthly Data'!EE118</f>
        <v>0</v>
      </c>
      <c r="H118" s="3">
        <f>'Monthly Data'!EJ118</f>
        <v>0</v>
      </c>
      <c r="J118" s="3">
        <f t="shared" si="20"/>
        <v>-35488752.832239702</v>
      </c>
      <c r="K118" s="3">
        <f t="shared" si="21"/>
        <v>8229307.7620379645</v>
      </c>
      <c r="L118" s="3">
        <f t="shared" si="22"/>
        <v>55879663.388749257</v>
      </c>
      <c r="M118" s="3">
        <f t="shared" si="23"/>
        <v>0</v>
      </c>
      <c r="N118" s="3">
        <f t="shared" si="24"/>
        <v>0</v>
      </c>
      <c r="O118" s="47">
        <f t="shared" si="27"/>
        <v>28620218.318547517</v>
      </c>
      <c r="P118" s="47">
        <f>'Monthly Data'!AJ118</f>
        <v>2904.8076923076924</v>
      </c>
      <c r="Q118" s="47">
        <f t="shared" si="28"/>
        <v>28623123.126239825</v>
      </c>
    </row>
    <row r="119" spans="1:17">
      <c r="A119" s="2">
        <f>'Monthly Data'!A119</f>
        <v>45931</v>
      </c>
      <c r="B119">
        <f>'Monthly Data'!B119</f>
        <v>2025</v>
      </c>
      <c r="C119">
        <f>'Monthly Data'!C119</f>
        <v>10</v>
      </c>
      <c r="D119" s="3">
        <f ca="1">'Monthly Data'!AI119</f>
        <v>28773558.578480989</v>
      </c>
      <c r="E119" s="3">
        <f>'Monthly Data'!DR119</f>
        <v>22</v>
      </c>
      <c r="F119" s="3">
        <f>'Monthly Data'!DL119</f>
        <v>904812.6129999999</v>
      </c>
      <c r="G119" s="3">
        <f>'Monthly Data'!EE119</f>
        <v>0</v>
      </c>
      <c r="H119" s="3">
        <f>'Monthly Data'!EJ119</f>
        <v>0</v>
      </c>
      <c r="J119" s="3">
        <f t="shared" si="20"/>
        <v>-35488752.832239702</v>
      </c>
      <c r="K119" s="3">
        <f t="shared" si="21"/>
        <v>8621179.5602302477</v>
      </c>
      <c r="L119" s="3">
        <f t="shared" si="22"/>
        <v>56225075.723137893</v>
      </c>
      <c r="M119" s="3">
        <f t="shared" si="23"/>
        <v>0</v>
      </c>
      <c r="N119" s="3">
        <f t="shared" si="24"/>
        <v>0</v>
      </c>
      <c r="O119" s="47">
        <f t="shared" si="27"/>
        <v>29357502.451128438</v>
      </c>
      <c r="P119" s="47">
        <f>'Monthly Data'!AJ119</f>
        <v>3019.2307692307695</v>
      </c>
      <c r="Q119" s="47">
        <f t="shared" si="28"/>
        <v>29360521.68189767</v>
      </c>
    </row>
    <row r="120" spans="1:17">
      <c r="A120" s="2">
        <f>'Monthly Data'!A120</f>
        <v>45962</v>
      </c>
      <c r="B120">
        <f>'Monthly Data'!B120</f>
        <v>2025</v>
      </c>
      <c r="C120">
        <f>'Monthly Data'!C120</f>
        <v>11</v>
      </c>
      <c r="D120" s="3">
        <f ca="1">'Monthly Data'!AI120</f>
        <v>28636957.327388141</v>
      </c>
      <c r="E120" s="3">
        <f>'Monthly Data'!DR120</f>
        <v>20</v>
      </c>
      <c r="F120" s="3">
        <f>'Monthly Data'!DL120</f>
        <v>904812.6129999999</v>
      </c>
      <c r="G120" s="3">
        <f>'Monthly Data'!EE120</f>
        <v>0</v>
      </c>
      <c r="H120" s="3">
        <f>'Monthly Data'!EJ120</f>
        <v>0</v>
      </c>
      <c r="J120" s="3">
        <f t="shared" si="20"/>
        <v>-35488752.832239702</v>
      </c>
      <c r="K120" s="3">
        <f t="shared" si="21"/>
        <v>7837435.9638456805</v>
      </c>
      <c r="L120" s="3">
        <f t="shared" si="22"/>
        <v>56225075.723137893</v>
      </c>
      <c r="M120" s="3">
        <f t="shared" si="23"/>
        <v>0</v>
      </c>
      <c r="N120" s="3">
        <f t="shared" si="24"/>
        <v>0</v>
      </c>
      <c r="O120" s="47">
        <f t="shared" si="27"/>
        <v>28573758.854743872</v>
      </c>
      <c r="P120" s="47">
        <f>'Monthly Data'!AJ120</f>
        <v>3133.6538461538462</v>
      </c>
      <c r="Q120" s="47">
        <f t="shared" si="28"/>
        <v>28576892.508590024</v>
      </c>
    </row>
    <row r="121" spans="1:17">
      <c r="A121" s="2">
        <f>'Monthly Data'!A121</f>
        <v>45992</v>
      </c>
      <c r="B121">
        <f>'Monthly Data'!B121</f>
        <v>2025</v>
      </c>
      <c r="C121">
        <f>'Monthly Data'!C121</f>
        <v>12</v>
      </c>
      <c r="D121" s="3">
        <f ca="1">'Monthly Data'!AI121</f>
        <v>29219345.500602182</v>
      </c>
      <c r="E121" s="3">
        <f>'Monthly Data'!DR121</f>
        <v>21</v>
      </c>
      <c r="F121" s="3">
        <f>'Monthly Data'!DL121</f>
        <v>904812.6129999999</v>
      </c>
      <c r="G121" s="3">
        <f>'Monthly Data'!EE121</f>
        <v>0</v>
      </c>
      <c r="H121" s="3">
        <f>'Monthly Data'!EJ121</f>
        <v>0</v>
      </c>
      <c r="J121" s="3">
        <f t="shared" si="20"/>
        <v>-35488752.832239702</v>
      </c>
      <c r="K121" s="3">
        <f t="shared" si="21"/>
        <v>8229307.7620379645</v>
      </c>
      <c r="L121" s="3">
        <f t="shared" si="22"/>
        <v>56225075.723137893</v>
      </c>
      <c r="M121" s="3">
        <f t="shared" si="23"/>
        <v>0</v>
      </c>
      <c r="N121" s="3">
        <f t="shared" si="24"/>
        <v>0</v>
      </c>
      <c r="O121" s="47">
        <f t="shared" si="27"/>
        <v>28965630.652936153</v>
      </c>
      <c r="P121" s="47">
        <f>'Monthly Data'!AJ121</f>
        <v>3248.0769230769229</v>
      </c>
      <c r="Q121" s="47">
        <f t="shared" si="28"/>
        <v>28968878.729859229</v>
      </c>
    </row>
    <row r="122" spans="1:17">
      <c r="A122" s="2">
        <f t="shared" ref="A122:A162" si="29">EOMONTH(A121,1)</f>
        <v>46053</v>
      </c>
      <c r="B122">
        <f t="shared" ref="B122:B162" si="30">YEAR(A122)</f>
        <v>2026</v>
      </c>
      <c r="C122">
        <f t="shared" ref="C122:C162" si="31">MONTH(A122)</f>
        <v>1</v>
      </c>
      <c r="E122" s="3">
        <v>21</v>
      </c>
      <c r="F122" s="261">
        <f t="shared" ref="F122:F157" si="32">F121</f>
        <v>904812.6129999999</v>
      </c>
      <c r="G122" s="3">
        <f t="shared" ref="G122:G162" si="33">G110</f>
        <v>0</v>
      </c>
      <c r="J122" s="3">
        <f t="shared" si="20"/>
        <v>-35488752.832239702</v>
      </c>
      <c r="K122" s="3">
        <f t="shared" si="21"/>
        <v>8229307.7620379645</v>
      </c>
      <c r="L122" s="3">
        <f t="shared" si="22"/>
        <v>56225075.723137893</v>
      </c>
      <c r="M122" s="3">
        <f t="shared" si="23"/>
        <v>0</v>
      </c>
      <c r="N122" s="3">
        <f t="shared" si="24"/>
        <v>0</v>
      </c>
      <c r="O122" s="47">
        <f t="shared" ref="O122:O161" si="34">SUM(J122:N122)</f>
        <v>28965630.652936153</v>
      </c>
      <c r="P122" s="47">
        <f>IFERROR(HLOOKUP(B122-1,'EV Forecast VRZ'!$F$124:$T$130,7,FALSE)/12,0)+IFERROR(((HLOOKUP(B122,'EV Forecast VRZ'!$F$116:$T$122,7,FALSE)-HLOOKUP(B122-1,'EV Forecast VRZ'!$F$124:$T$130,7,FALSE)))*C122/78,0)</f>
        <v>3424.6434054076162</v>
      </c>
      <c r="Q122" s="47">
        <f t="shared" si="26"/>
        <v>28969055.296341561</v>
      </c>
    </row>
    <row r="123" spans="1:17">
      <c r="A123" s="2">
        <f t="shared" si="29"/>
        <v>46081</v>
      </c>
      <c r="B123">
        <f t="shared" si="30"/>
        <v>2026</v>
      </c>
      <c r="C123">
        <f t="shared" si="31"/>
        <v>2</v>
      </c>
      <c r="E123" s="3">
        <v>19</v>
      </c>
      <c r="F123" s="261">
        <f t="shared" si="32"/>
        <v>904812.6129999999</v>
      </c>
      <c r="G123" s="3">
        <f t="shared" si="33"/>
        <v>0</v>
      </c>
      <c r="J123" s="3">
        <f t="shared" si="20"/>
        <v>-35488752.832239702</v>
      </c>
      <c r="K123" s="3">
        <f t="shared" si="21"/>
        <v>7445564.1656533964</v>
      </c>
      <c r="L123" s="3">
        <f t="shared" si="22"/>
        <v>56225075.723137893</v>
      </c>
      <c r="M123" s="3">
        <f t="shared" si="23"/>
        <v>0</v>
      </c>
      <c r="N123" s="3">
        <f t="shared" si="24"/>
        <v>0</v>
      </c>
      <c r="O123" s="47">
        <f t="shared" si="34"/>
        <v>28181887.056551587</v>
      </c>
      <c r="P123" s="47">
        <f>IFERROR(HLOOKUP(B123-1,'EV Forecast VRZ'!$F$124:$T$130,7,FALSE)/12,0)+IFERROR(((HLOOKUP(B123,'EV Forecast VRZ'!$F$116:$T$122,7,FALSE)-HLOOKUP(B123-1,'EV Forecast VRZ'!$F$124:$T$130,7,FALSE)))*C123/78,0)</f>
        <v>3486.786810815232</v>
      </c>
      <c r="Q123" s="47">
        <f t="shared" si="26"/>
        <v>28185373.843362402</v>
      </c>
    </row>
    <row r="124" spans="1:17">
      <c r="A124" s="2">
        <f t="shared" si="29"/>
        <v>46112</v>
      </c>
      <c r="B124">
        <f t="shared" si="30"/>
        <v>2026</v>
      </c>
      <c r="C124">
        <f t="shared" si="31"/>
        <v>3</v>
      </c>
      <c r="E124" s="3">
        <v>22</v>
      </c>
      <c r="F124" s="261">
        <f t="shared" si="32"/>
        <v>904812.6129999999</v>
      </c>
      <c r="G124" s="3">
        <f t="shared" si="33"/>
        <v>1</v>
      </c>
      <c r="J124" s="3">
        <f t="shared" si="20"/>
        <v>-35488752.832239702</v>
      </c>
      <c r="K124" s="3">
        <f t="shared" si="21"/>
        <v>8621179.5602302477</v>
      </c>
      <c r="L124" s="3">
        <f t="shared" si="22"/>
        <v>56225075.723137893</v>
      </c>
      <c r="M124" s="3">
        <f t="shared" si="23"/>
        <v>0</v>
      </c>
      <c r="N124" s="3">
        <f t="shared" si="24"/>
        <v>0</v>
      </c>
      <c r="O124" s="47">
        <f t="shared" si="34"/>
        <v>29357502.451128438</v>
      </c>
      <c r="P124" s="47">
        <f>IFERROR(HLOOKUP(B124-1,'EV Forecast VRZ'!$F$124:$T$130,7,FALSE)/12,0)+IFERROR(((HLOOKUP(B124,'EV Forecast VRZ'!$F$116:$T$122,7,FALSE)-HLOOKUP(B124-1,'EV Forecast VRZ'!$F$124:$T$130,7,FALSE)))*C124/78,0)</f>
        <v>3548.9302162228482</v>
      </c>
      <c r="Q124" s="47">
        <f t="shared" si="26"/>
        <v>29361051.381344661</v>
      </c>
    </row>
    <row r="125" spans="1:17">
      <c r="A125" s="2">
        <f t="shared" si="29"/>
        <v>46142</v>
      </c>
      <c r="B125">
        <f t="shared" si="30"/>
        <v>2026</v>
      </c>
      <c r="C125">
        <f t="shared" si="31"/>
        <v>4</v>
      </c>
      <c r="E125" s="3">
        <v>22</v>
      </c>
      <c r="F125" s="261">
        <f t="shared" si="32"/>
        <v>904812.6129999999</v>
      </c>
      <c r="G125" s="3">
        <f t="shared" si="33"/>
        <v>1</v>
      </c>
      <c r="J125" s="3">
        <f t="shared" si="20"/>
        <v>-35488752.832239702</v>
      </c>
      <c r="K125" s="3">
        <f t="shared" si="21"/>
        <v>8621179.5602302477</v>
      </c>
      <c r="L125" s="3">
        <f t="shared" si="22"/>
        <v>56225075.723137893</v>
      </c>
      <c r="M125" s="3">
        <f t="shared" si="23"/>
        <v>0</v>
      </c>
      <c r="N125" s="3">
        <f t="shared" si="24"/>
        <v>0</v>
      </c>
      <c r="O125" s="47">
        <f t="shared" si="34"/>
        <v>29357502.451128438</v>
      </c>
      <c r="P125" s="47">
        <f>IFERROR(HLOOKUP(B125-1,'EV Forecast VRZ'!$F$124:$T$130,7,FALSE)/12,0)+IFERROR(((HLOOKUP(B125,'EV Forecast VRZ'!$F$116:$T$122,7,FALSE)-HLOOKUP(B125-1,'EV Forecast VRZ'!$F$124:$T$130,7,FALSE)))*C125/78,0)</f>
        <v>3611.073621630464</v>
      </c>
      <c r="Q125" s="47">
        <f t="shared" si="26"/>
        <v>29361113.524750069</v>
      </c>
    </row>
    <row r="126" spans="1:17">
      <c r="A126" s="2">
        <f t="shared" si="29"/>
        <v>46173</v>
      </c>
      <c r="B126">
        <f t="shared" si="30"/>
        <v>2026</v>
      </c>
      <c r="C126">
        <f t="shared" si="31"/>
        <v>5</v>
      </c>
      <c r="E126" s="3">
        <v>20</v>
      </c>
      <c r="F126" s="261">
        <f t="shared" si="32"/>
        <v>904812.6129999999</v>
      </c>
      <c r="G126" s="3">
        <f t="shared" si="33"/>
        <v>1</v>
      </c>
      <c r="J126" s="3">
        <f t="shared" si="20"/>
        <v>-35488752.832239702</v>
      </c>
      <c r="K126" s="3">
        <f t="shared" si="21"/>
        <v>7837435.9638456805</v>
      </c>
      <c r="L126" s="3">
        <f t="shared" si="22"/>
        <v>56225075.723137893</v>
      </c>
      <c r="M126" s="3">
        <f t="shared" si="23"/>
        <v>0</v>
      </c>
      <c r="N126" s="3">
        <f t="shared" si="24"/>
        <v>0</v>
      </c>
      <c r="O126" s="47">
        <f t="shared" si="34"/>
        <v>28573758.854743872</v>
      </c>
      <c r="P126" s="47">
        <f>IFERROR(HLOOKUP(B126-1,'EV Forecast VRZ'!$F$124:$T$130,7,FALSE)/12,0)+IFERROR(((HLOOKUP(B126,'EV Forecast VRZ'!$F$116:$T$122,7,FALSE)-HLOOKUP(B126-1,'EV Forecast VRZ'!$F$124:$T$130,7,FALSE)))*C126/78,0)</f>
        <v>3673.2170270380802</v>
      </c>
      <c r="Q126" s="47">
        <f t="shared" si="26"/>
        <v>28577432.07177091</v>
      </c>
    </row>
    <row r="127" spans="1:17">
      <c r="A127" s="2">
        <f t="shared" si="29"/>
        <v>46203</v>
      </c>
      <c r="B127">
        <f t="shared" si="30"/>
        <v>2026</v>
      </c>
      <c r="C127">
        <f t="shared" si="31"/>
        <v>6</v>
      </c>
      <c r="E127" s="3">
        <v>22</v>
      </c>
      <c r="F127" s="261">
        <f t="shared" si="32"/>
        <v>904812.6129999999</v>
      </c>
      <c r="G127" s="3">
        <f t="shared" si="33"/>
        <v>0</v>
      </c>
      <c r="J127" s="3">
        <f t="shared" si="20"/>
        <v>-35488752.832239702</v>
      </c>
      <c r="K127" s="3">
        <f t="shared" si="21"/>
        <v>8621179.5602302477</v>
      </c>
      <c r="L127" s="3">
        <f t="shared" si="22"/>
        <v>56225075.723137893</v>
      </c>
      <c r="M127" s="3">
        <f t="shared" si="23"/>
        <v>0</v>
      </c>
      <c r="N127" s="3">
        <f t="shared" si="24"/>
        <v>0</v>
      </c>
      <c r="O127" s="47">
        <f t="shared" si="34"/>
        <v>29357502.451128438</v>
      </c>
      <c r="P127" s="47">
        <f>IFERROR(HLOOKUP(B127-1,'EV Forecast VRZ'!$F$124:$T$130,7,FALSE)/12,0)+IFERROR(((HLOOKUP(B127,'EV Forecast VRZ'!$F$116:$T$122,7,FALSE)-HLOOKUP(B127-1,'EV Forecast VRZ'!$F$124:$T$130,7,FALSE)))*C127/78,0)</f>
        <v>3735.3604324456965</v>
      </c>
      <c r="Q127" s="47">
        <f t="shared" si="26"/>
        <v>29361237.811560884</v>
      </c>
    </row>
    <row r="128" spans="1:17">
      <c r="A128" s="2">
        <f t="shared" si="29"/>
        <v>46234</v>
      </c>
      <c r="B128">
        <f t="shared" si="30"/>
        <v>2026</v>
      </c>
      <c r="C128">
        <f t="shared" si="31"/>
        <v>7</v>
      </c>
      <c r="E128" s="3">
        <v>22</v>
      </c>
      <c r="F128" s="261">
        <f t="shared" si="32"/>
        <v>904812.6129999999</v>
      </c>
      <c r="G128" s="3">
        <f t="shared" si="33"/>
        <v>0</v>
      </c>
      <c r="J128" s="3">
        <f t="shared" si="20"/>
        <v>-35488752.832239702</v>
      </c>
      <c r="K128" s="3">
        <f t="shared" si="21"/>
        <v>8621179.5602302477</v>
      </c>
      <c r="L128" s="3">
        <f t="shared" si="22"/>
        <v>56225075.723137893</v>
      </c>
      <c r="M128" s="3">
        <f t="shared" si="23"/>
        <v>0</v>
      </c>
      <c r="N128" s="3">
        <f t="shared" si="24"/>
        <v>0</v>
      </c>
      <c r="O128" s="47">
        <f t="shared" si="34"/>
        <v>29357502.451128438</v>
      </c>
      <c r="P128" s="47">
        <f>IFERROR(HLOOKUP(B128-1,'EV Forecast VRZ'!$F$124:$T$130,7,FALSE)/12,0)+IFERROR(((HLOOKUP(B128,'EV Forecast VRZ'!$F$116:$T$122,7,FALSE)-HLOOKUP(B128-1,'EV Forecast VRZ'!$F$124:$T$130,7,FALSE)))*C128/78,0)</f>
        <v>3797.5038378533122</v>
      </c>
      <c r="Q128" s="47">
        <f t="shared" si="26"/>
        <v>29361299.954966292</v>
      </c>
    </row>
    <row r="129" spans="1:17">
      <c r="A129" s="2">
        <f t="shared" si="29"/>
        <v>46265</v>
      </c>
      <c r="B129">
        <f t="shared" si="30"/>
        <v>2026</v>
      </c>
      <c r="C129">
        <f t="shared" si="31"/>
        <v>8</v>
      </c>
      <c r="E129" s="3">
        <v>20</v>
      </c>
      <c r="F129" s="261">
        <f t="shared" si="32"/>
        <v>904812.6129999999</v>
      </c>
      <c r="G129" s="3">
        <f t="shared" si="33"/>
        <v>0</v>
      </c>
      <c r="J129" s="3">
        <f t="shared" si="20"/>
        <v>-35488752.832239702</v>
      </c>
      <c r="K129" s="3">
        <f t="shared" si="21"/>
        <v>7837435.9638456805</v>
      </c>
      <c r="L129" s="3">
        <f t="shared" si="22"/>
        <v>56225075.723137893</v>
      </c>
      <c r="M129" s="3">
        <f t="shared" si="23"/>
        <v>0</v>
      </c>
      <c r="N129" s="3">
        <f t="shared" si="24"/>
        <v>0</v>
      </c>
      <c r="O129" s="47">
        <f t="shared" si="34"/>
        <v>28573758.854743872</v>
      </c>
      <c r="P129" s="47">
        <f>IFERROR(HLOOKUP(B129-1,'EV Forecast VRZ'!$F$124:$T$130,7,FALSE)/12,0)+IFERROR(((HLOOKUP(B129,'EV Forecast VRZ'!$F$116:$T$122,7,FALSE)-HLOOKUP(B129-1,'EV Forecast VRZ'!$F$124:$T$130,7,FALSE)))*C129/78,0)</f>
        <v>3859.6472432609285</v>
      </c>
      <c r="Q129" s="47">
        <f t="shared" si="26"/>
        <v>28577618.501987133</v>
      </c>
    </row>
    <row r="130" spans="1:17">
      <c r="A130" s="2">
        <f t="shared" si="29"/>
        <v>46295</v>
      </c>
      <c r="B130">
        <f t="shared" si="30"/>
        <v>2026</v>
      </c>
      <c r="C130">
        <f t="shared" si="31"/>
        <v>9</v>
      </c>
      <c r="E130" s="3">
        <v>21</v>
      </c>
      <c r="F130" s="261">
        <f t="shared" si="32"/>
        <v>904812.6129999999</v>
      </c>
      <c r="G130" s="3">
        <f t="shared" si="33"/>
        <v>0</v>
      </c>
      <c r="J130" s="3">
        <f t="shared" ref="J130:J161" si="35">$U$8</f>
        <v>-35488752.832239702</v>
      </c>
      <c r="K130" s="3">
        <f t="shared" ref="K130:K161" si="36">E130*$U$9</f>
        <v>8229307.7620379645</v>
      </c>
      <c r="L130" s="3">
        <f t="shared" ref="L130:L161" si="37">F130*$U$10</f>
        <v>56225075.723137893</v>
      </c>
      <c r="M130" s="3">
        <f t="shared" ref="M130:M161" si="38">G130*$U$11</f>
        <v>0</v>
      </c>
      <c r="N130" s="3">
        <f t="shared" ref="N130:N161" si="39">H130*$U$12</f>
        <v>0</v>
      </c>
      <c r="O130" s="47">
        <f t="shared" si="34"/>
        <v>28965630.652936153</v>
      </c>
      <c r="P130" s="47">
        <f>IFERROR(HLOOKUP(B130-1,'EV Forecast VRZ'!$F$124:$T$130,7,FALSE)/12,0)+IFERROR(((HLOOKUP(B130,'EV Forecast VRZ'!$F$116:$T$122,7,FALSE)-HLOOKUP(B130-1,'EV Forecast VRZ'!$F$124:$T$130,7,FALSE)))*C130/78,0)</f>
        <v>3921.7906486685442</v>
      </c>
      <c r="Q130" s="47">
        <f t="shared" si="26"/>
        <v>28969552.443584822</v>
      </c>
    </row>
    <row r="131" spans="1:17">
      <c r="A131" s="2">
        <f t="shared" si="29"/>
        <v>46326</v>
      </c>
      <c r="B131">
        <f t="shared" si="30"/>
        <v>2026</v>
      </c>
      <c r="C131">
        <f t="shared" si="31"/>
        <v>10</v>
      </c>
      <c r="E131" s="3">
        <v>21</v>
      </c>
      <c r="F131" s="261">
        <f t="shared" si="32"/>
        <v>904812.6129999999</v>
      </c>
      <c r="G131" s="3">
        <f t="shared" si="33"/>
        <v>0</v>
      </c>
      <c r="J131" s="3">
        <f t="shared" si="35"/>
        <v>-35488752.832239702</v>
      </c>
      <c r="K131" s="3">
        <f t="shared" si="36"/>
        <v>8229307.7620379645</v>
      </c>
      <c r="L131" s="3">
        <f t="shared" si="37"/>
        <v>56225075.723137893</v>
      </c>
      <c r="M131" s="3">
        <f t="shared" si="38"/>
        <v>0</v>
      </c>
      <c r="N131" s="3">
        <f t="shared" si="39"/>
        <v>0</v>
      </c>
      <c r="O131" s="47">
        <f t="shared" si="34"/>
        <v>28965630.652936153</v>
      </c>
      <c r="P131" s="47">
        <f>IFERROR(HLOOKUP(B131-1,'EV Forecast VRZ'!$F$124:$T$130,7,FALSE)/12,0)+IFERROR(((HLOOKUP(B131,'EV Forecast VRZ'!$F$116:$T$122,7,FALSE)-HLOOKUP(B131-1,'EV Forecast VRZ'!$F$124:$T$130,7,FALSE)))*C131/78,0)</f>
        <v>3983.9340540761605</v>
      </c>
      <c r="Q131" s="47">
        <f t="shared" si="26"/>
        <v>28969614.58699023</v>
      </c>
    </row>
    <row r="132" spans="1:17">
      <c r="A132" s="2">
        <f t="shared" si="29"/>
        <v>46356</v>
      </c>
      <c r="B132">
        <f t="shared" si="30"/>
        <v>2026</v>
      </c>
      <c r="C132">
        <f t="shared" si="31"/>
        <v>11</v>
      </c>
      <c r="E132" s="3">
        <v>21</v>
      </c>
      <c r="F132" s="261">
        <f t="shared" si="32"/>
        <v>904812.6129999999</v>
      </c>
      <c r="G132" s="3">
        <f t="shared" si="33"/>
        <v>0</v>
      </c>
      <c r="J132" s="3">
        <f t="shared" si="35"/>
        <v>-35488752.832239702</v>
      </c>
      <c r="K132" s="3">
        <f t="shared" si="36"/>
        <v>8229307.7620379645</v>
      </c>
      <c r="L132" s="3">
        <f t="shared" si="37"/>
        <v>56225075.723137893</v>
      </c>
      <c r="M132" s="3">
        <f t="shared" si="38"/>
        <v>0</v>
      </c>
      <c r="N132" s="3">
        <f t="shared" si="39"/>
        <v>0</v>
      </c>
      <c r="O132" s="47">
        <f t="shared" si="34"/>
        <v>28965630.652936153</v>
      </c>
      <c r="P132" s="47">
        <f>IFERROR(HLOOKUP(B132-1,'EV Forecast VRZ'!$F$124:$T$130,7,FALSE)/12,0)+IFERROR(((HLOOKUP(B132,'EV Forecast VRZ'!$F$116:$T$122,7,FALSE)-HLOOKUP(B132-1,'EV Forecast VRZ'!$F$124:$T$130,7,FALSE)))*C132/78,0)</f>
        <v>4046.0774594837767</v>
      </c>
      <c r="Q132" s="47">
        <f t="shared" si="26"/>
        <v>28969676.730395637</v>
      </c>
    </row>
    <row r="133" spans="1:17">
      <c r="A133" s="2">
        <f t="shared" si="29"/>
        <v>46387</v>
      </c>
      <c r="B133">
        <f t="shared" si="30"/>
        <v>2026</v>
      </c>
      <c r="C133">
        <f t="shared" si="31"/>
        <v>12</v>
      </c>
      <c r="E133" s="3">
        <v>21</v>
      </c>
      <c r="F133" s="261">
        <f t="shared" si="32"/>
        <v>904812.6129999999</v>
      </c>
      <c r="G133" s="3">
        <f t="shared" si="33"/>
        <v>0</v>
      </c>
      <c r="J133" s="3">
        <f t="shared" si="35"/>
        <v>-35488752.832239702</v>
      </c>
      <c r="K133" s="3">
        <f t="shared" si="36"/>
        <v>8229307.7620379645</v>
      </c>
      <c r="L133" s="3">
        <f t="shared" si="37"/>
        <v>56225075.723137893</v>
      </c>
      <c r="M133" s="3">
        <f t="shared" si="38"/>
        <v>0</v>
      </c>
      <c r="N133" s="3">
        <f t="shared" si="39"/>
        <v>0</v>
      </c>
      <c r="O133" s="47">
        <f t="shared" si="34"/>
        <v>28965630.652936153</v>
      </c>
      <c r="P133" s="47">
        <f>IFERROR(HLOOKUP(B133-1,'EV Forecast VRZ'!$F$124:$T$130,7,FALSE)/12,0)+IFERROR(((HLOOKUP(B133,'EV Forecast VRZ'!$F$116:$T$122,7,FALSE)-HLOOKUP(B133-1,'EV Forecast VRZ'!$F$124:$T$130,7,FALSE)))*C133/78,0)</f>
        <v>4108.2208648913929</v>
      </c>
      <c r="Q133" s="47">
        <f t="shared" si="26"/>
        <v>28969738.873801045</v>
      </c>
    </row>
    <row r="134" spans="1:17">
      <c r="A134" s="2">
        <f t="shared" si="29"/>
        <v>46418</v>
      </c>
      <c r="B134">
        <f t="shared" si="30"/>
        <v>2027</v>
      </c>
      <c r="C134">
        <f t="shared" si="31"/>
        <v>1</v>
      </c>
      <c r="E134" s="3">
        <v>20</v>
      </c>
      <c r="F134" s="261">
        <f t="shared" si="32"/>
        <v>904812.6129999999</v>
      </c>
      <c r="G134" s="3">
        <f t="shared" si="33"/>
        <v>0</v>
      </c>
      <c r="J134" s="3">
        <f t="shared" si="35"/>
        <v>-35488752.832239702</v>
      </c>
      <c r="K134" s="3">
        <f t="shared" si="36"/>
        <v>7837435.9638456805</v>
      </c>
      <c r="L134" s="3">
        <f t="shared" si="37"/>
        <v>56225075.723137893</v>
      </c>
      <c r="M134" s="3">
        <f t="shared" si="38"/>
        <v>0</v>
      </c>
      <c r="N134" s="3">
        <f t="shared" si="39"/>
        <v>0</v>
      </c>
      <c r="O134" s="47">
        <f t="shared" si="34"/>
        <v>28573758.854743872</v>
      </c>
      <c r="P134" s="47">
        <f>IFERROR(HLOOKUP(B134-1,'EV Forecast VRZ'!$F$124:$T$130,7,FALSE)/12,0)+IFERROR(((HLOOKUP(B134,'EV Forecast VRZ'!$F$116:$T$122,7,FALSE)-HLOOKUP(B134-1,'EV Forecast VRZ'!$F$124:$T$130,7,FALSE)))*C134/78,0)</f>
        <v>4249.901964568352</v>
      </c>
      <c r="Q134" s="47">
        <f t="shared" si="26"/>
        <v>28578008.756708439</v>
      </c>
    </row>
    <row r="135" spans="1:17">
      <c r="A135" s="2">
        <f t="shared" si="29"/>
        <v>46446</v>
      </c>
      <c r="B135">
        <f t="shared" si="30"/>
        <v>2027</v>
      </c>
      <c r="C135">
        <f t="shared" si="31"/>
        <v>2</v>
      </c>
      <c r="E135" s="3">
        <v>19</v>
      </c>
      <c r="F135" s="261">
        <f t="shared" si="32"/>
        <v>904812.6129999999</v>
      </c>
      <c r="G135" s="3">
        <f t="shared" si="33"/>
        <v>0</v>
      </c>
      <c r="J135" s="3">
        <f t="shared" si="35"/>
        <v>-35488752.832239702</v>
      </c>
      <c r="K135" s="3">
        <f t="shared" si="36"/>
        <v>7445564.1656533964</v>
      </c>
      <c r="L135" s="3">
        <f t="shared" si="37"/>
        <v>56225075.723137893</v>
      </c>
      <c r="M135" s="3">
        <f t="shared" si="38"/>
        <v>0</v>
      </c>
      <c r="N135" s="3">
        <f t="shared" si="39"/>
        <v>0</v>
      </c>
      <c r="O135" s="47">
        <f t="shared" si="34"/>
        <v>28181887.056551587</v>
      </c>
      <c r="P135" s="47">
        <f>IFERROR(HLOOKUP(B135-1,'EV Forecast VRZ'!$F$124:$T$130,7,FALSE)/12,0)+IFERROR(((HLOOKUP(B135,'EV Forecast VRZ'!$F$116:$T$122,7,FALSE)-HLOOKUP(B135-1,'EV Forecast VRZ'!$F$124:$T$130,7,FALSE)))*C135/78,0)</f>
        <v>4329.4396588376958</v>
      </c>
      <c r="Q135" s="47">
        <f t="shared" si="26"/>
        <v>28186216.496210426</v>
      </c>
    </row>
    <row r="136" spans="1:17">
      <c r="A136" s="2">
        <f t="shared" si="29"/>
        <v>46477</v>
      </c>
      <c r="B136">
        <f t="shared" si="30"/>
        <v>2027</v>
      </c>
      <c r="C136">
        <f t="shared" si="31"/>
        <v>3</v>
      </c>
      <c r="E136" s="3">
        <v>22</v>
      </c>
      <c r="F136" s="261">
        <f t="shared" si="32"/>
        <v>904812.6129999999</v>
      </c>
      <c r="G136" s="3">
        <f t="shared" si="33"/>
        <v>1</v>
      </c>
      <c r="J136" s="3">
        <f t="shared" si="35"/>
        <v>-35488752.832239702</v>
      </c>
      <c r="K136" s="3">
        <f t="shared" si="36"/>
        <v>8621179.5602302477</v>
      </c>
      <c r="L136" s="3">
        <f t="shared" si="37"/>
        <v>56225075.723137893</v>
      </c>
      <c r="M136" s="3">
        <f t="shared" si="38"/>
        <v>0</v>
      </c>
      <c r="N136" s="3">
        <f t="shared" si="39"/>
        <v>0</v>
      </c>
      <c r="O136" s="47">
        <f t="shared" si="34"/>
        <v>29357502.451128438</v>
      </c>
      <c r="P136" s="47">
        <f>IFERROR(HLOOKUP(B136-1,'EV Forecast VRZ'!$F$124:$T$130,7,FALSE)/12,0)+IFERROR(((HLOOKUP(B136,'EV Forecast VRZ'!$F$116:$T$122,7,FALSE)-HLOOKUP(B136-1,'EV Forecast VRZ'!$F$124:$T$130,7,FALSE)))*C136/78,0)</f>
        <v>4408.9773531070405</v>
      </c>
      <c r="Q136" s="47">
        <f t="shared" si="26"/>
        <v>29361911.428481545</v>
      </c>
    </row>
    <row r="137" spans="1:17">
      <c r="A137" s="2">
        <f t="shared" si="29"/>
        <v>46507</v>
      </c>
      <c r="B137">
        <f t="shared" si="30"/>
        <v>2027</v>
      </c>
      <c r="C137">
        <f t="shared" si="31"/>
        <v>4</v>
      </c>
      <c r="E137" s="3">
        <v>22</v>
      </c>
      <c r="F137" s="261">
        <f t="shared" si="32"/>
        <v>904812.6129999999</v>
      </c>
      <c r="G137" s="3">
        <f t="shared" si="33"/>
        <v>1</v>
      </c>
      <c r="J137" s="3">
        <f t="shared" si="35"/>
        <v>-35488752.832239702</v>
      </c>
      <c r="K137" s="3">
        <f t="shared" si="36"/>
        <v>8621179.5602302477</v>
      </c>
      <c r="L137" s="3">
        <f t="shared" si="37"/>
        <v>56225075.723137893</v>
      </c>
      <c r="M137" s="3">
        <f t="shared" si="38"/>
        <v>0</v>
      </c>
      <c r="N137" s="3">
        <f t="shared" si="39"/>
        <v>0</v>
      </c>
      <c r="O137" s="47">
        <f t="shared" si="34"/>
        <v>29357502.451128438</v>
      </c>
      <c r="P137" s="47">
        <f>IFERROR(HLOOKUP(B137-1,'EV Forecast VRZ'!$F$124:$T$130,7,FALSE)/12,0)+IFERROR(((HLOOKUP(B137,'EV Forecast VRZ'!$F$116:$T$122,7,FALSE)-HLOOKUP(B137-1,'EV Forecast VRZ'!$F$124:$T$130,7,FALSE)))*C137/78,0)</f>
        <v>4488.5150473763842</v>
      </c>
      <c r="Q137" s="47">
        <f t="shared" si="26"/>
        <v>29361990.966175813</v>
      </c>
    </row>
    <row r="138" spans="1:17">
      <c r="A138" s="2">
        <f t="shared" si="29"/>
        <v>46538</v>
      </c>
      <c r="B138">
        <f t="shared" si="30"/>
        <v>2027</v>
      </c>
      <c r="C138">
        <f t="shared" si="31"/>
        <v>5</v>
      </c>
      <c r="E138" s="3">
        <v>20</v>
      </c>
      <c r="F138" s="261">
        <f t="shared" si="32"/>
        <v>904812.6129999999</v>
      </c>
      <c r="G138" s="3">
        <f t="shared" si="33"/>
        <v>1</v>
      </c>
      <c r="J138" s="3">
        <f t="shared" si="35"/>
        <v>-35488752.832239702</v>
      </c>
      <c r="K138" s="3">
        <f t="shared" si="36"/>
        <v>7837435.9638456805</v>
      </c>
      <c r="L138" s="3">
        <f t="shared" si="37"/>
        <v>56225075.723137893</v>
      </c>
      <c r="M138" s="3">
        <f t="shared" si="38"/>
        <v>0</v>
      </c>
      <c r="N138" s="3">
        <f t="shared" si="39"/>
        <v>0</v>
      </c>
      <c r="O138" s="47">
        <f t="shared" si="34"/>
        <v>28573758.854743872</v>
      </c>
      <c r="P138" s="47">
        <f>IFERROR(HLOOKUP(B138-1,'EV Forecast VRZ'!$F$124:$T$130,7,FALSE)/12,0)+IFERROR(((HLOOKUP(B138,'EV Forecast VRZ'!$F$116:$T$122,7,FALSE)-HLOOKUP(B138-1,'EV Forecast VRZ'!$F$124:$T$130,7,FALSE)))*C138/78,0)</f>
        <v>4568.052741645728</v>
      </c>
      <c r="Q138" s="47">
        <f t="shared" si="26"/>
        <v>28578326.907485519</v>
      </c>
    </row>
    <row r="139" spans="1:17">
      <c r="A139" s="2">
        <f t="shared" si="29"/>
        <v>46568</v>
      </c>
      <c r="B139">
        <f t="shared" si="30"/>
        <v>2027</v>
      </c>
      <c r="C139">
        <f t="shared" si="31"/>
        <v>6</v>
      </c>
      <c r="E139" s="3">
        <v>22</v>
      </c>
      <c r="F139" s="261">
        <f t="shared" si="32"/>
        <v>904812.6129999999</v>
      </c>
      <c r="G139" s="3">
        <f t="shared" si="33"/>
        <v>0</v>
      </c>
      <c r="J139" s="3">
        <f t="shared" si="35"/>
        <v>-35488752.832239702</v>
      </c>
      <c r="K139" s="3">
        <f t="shared" si="36"/>
        <v>8621179.5602302477</v>
      </c>
      <c r="L139" s="3">
        <f t="shared" si="37"/>
        <v>56225075.723137893</v>
      </c>
      <c r="M139" s="3">
        <f t="shared" si="38"/>
        <v>0</v>
      </c>
      <c r="N139" s="3">
        <f t="shared" si="39"/>
        <v>0</v>
      </c>
      <c r="O139" s="47">
        <f t="shared" si="34"/>
        <v>29357502.451128438</v>
      </c>
      <c r="P139" s="47">
        <f>IFERROR(HLOOKUP(B139-1,'EV Forecast VRZ'!$F$124:$T$130,7,FALSE)/12,0)+IFERROR(((HLOOKUP(B139,'EV Forecast VRZ'!$F$116:$T$122,7,FALSE)-HLOOKUP(B139-1,'EV Forecast VRZ'!$F$124:$T$130,7,FALSE)))*C139/78,0)</f>
        <v>4647.5904359150718</v>
      </c>
      <c r="Q139" s="47">
        <f t="shared" si="26"/>
        <v>29362150.041564353</v>
      </c>
    </row>
    <row r="140" spans="1:17">
      <c r="A140" s="2">
        <f t="shared" si="29"/>
        <v>46599</v>
      </c>
      <c r="B140">
        <f t="shared" si="30"/>
        <v>2027</v>
      </c>
      <c r="C140">
        <f t="shared" si="31"/>
        <v>7</v>
      </c>
      <c r="E140" s="3">
        <v>21</v>
      </c>
      <c r="F140" s="261">
        <f t="shared" si="32"/>
        <v>904812.6129999999</v>
      </c>
      <c r="G140" s="3">
        <f t="shared" si="33"/>
        <v>0</v>
      </c>
      <c r="J140" s="3">
        <f t="shared" si="35"/>
        <v>-35488752.832239702</v>
      </c>
      <c r="K140" s="3">
        <f t="shared" si="36"/>
        <v>8229307.7620379645</v>
      </c>
      <c r="L140" s="3">
        <f t="shared" si="37"/>
        <v>56225075.723137893</v>
      </c>
      <c r="M140" s="3">
        <f t="shared" si="38"/>
        <v>0</v>
      </c>
      <c r="N140" s="3">
        <f t="shared" si="39"/>
        <v>0</v>
      </c>
      <c r="O140" s="47">
        <f t="shared" si="34"/>
        <v>28965630.652936153</v>
      </c>
      <c r="P140" s="47">
        <f>IFERROR(HLOOKUP(B140-1,'EV Forecast VRZ'!$F$124:$T$130,7,FALSE)/12,0)+IFERROR(((HLOOKUP(B140,'EV Forecast VRZ'!$F$116:$T$122,7,FALSE)-HLOOKUP(B140-1,'EV Forecast VRZ'!$F$124:$T$130,7,FALSE)))*C140/78,0)</f>
        <v>4727.1281301844156</v>
      </c>
      <c r="Q140" s="47">
        <f t="shared" si="26"/>
        <v>28970357.781066336</v>
      </c>
    </row>
    <row r="141" spans="1:17">
      <c r="A141" s="2">
        <f t="shared" si="29"/>
        <v>46630</v>
      </c>
      <c r="B141">
        <f t="shared" si="30"/>
        <v>2027</v>
      </c>
      <c r="C141">
        <f t="shared" si="31"/>
        <v>8</v>
      </c>
      <c r="E141" s="3">
        <v>21</v>
      </c>
      <c r="F141" s="261">
        <f t="shared" si="32"/>
        <v>904812.6129999999</v>
      </c>
      <c r="G141" s="3">
        <f t="shared" si="33"/>
        <v>0</v>
      </c>
      <c r="J141" s="3">
        <f t="shared" si="35"/>
        <v>-35488752.832239702</v>
      </c>
      <c r="K141" s="3">
        <f t="shared" si="36"/>
        <v>8229307.7620379645</v>
      </c>
      <c r="L141" s="3">
        <f t="shared" si="37"/>
        <v>56225075.723137893</v>
      </c>
      <c r="M141" s="3">
        <f t="shared" si="38"/>
        <v>0</v>
      </c>
      <c r="N141" s="3">
        <f t="shared" si="39"/>
        <v>0</v>
      </c>
      <c r="O141" s="47">
        <f t="shared" si="34"/>
        <v>28965630.652936153</v>
      </c>
      <c r="P141" s="47">
        <f>IFERROR(HLOOKUP(B141-1,'EV Forecast VRZ'!$F$124:$T$130,7,FALSE)/12,0)+IFERROR(((HLOOKUP(B141,'EV Forecast VRZ'!$F$116:$T$122,7,FALSE)-HLOOKUP(B141-1,'EV Forecast VRZ'!$F$124:$T$130,7,FALSE)))*C141/78,0)</f>
        <v>4806.6658244537603</v>
      </c>
      <c r="Q141" s="47">
        <f t="shared" si="26"/>
        <v>28970437.318760607</v>
      </c>
    </row>
    <row r="142" spans="1:17">
      <c r="A142" s="2">
        <f t="shared" si="29"/>
        <v>46660</v>
      </c>
      <c r="B142">
        <f t="shared" si="30"/>
        <v>2027</v>
      </c>
      <c r="C142">
        <f t="shared" si="31"/>
        <v>9</v>
      </c>
      <c r="E142" s="3">
        <v>21</v>
      </c>
      <c r="F142" s="261">
        <f t="shared" si="32"/>
        <v>904812.6129999999</v>
      </c>
      <c r="G142" s="3">
        <f t="shared" si="33"/>
        <v>0</v>
      </c>
      <c r="J142" s="3">
        <f t="shared" si="35"/>
        <v>-35488752.832239702</v>
      </c>
      <c r="K142" s="3">
        <f t="shared" si="36"/>
        <v>8229307.7620379645</v>
      </c>
      <c r="L142" s="3">
        <f t="shared" si="37"/>
        <v>56225075.723137893</v>
      </c>
      <c r="M142" s="3">
        <f t="shared" si="38"/>
        <v>0</v>
      </c>
      <c r="N142" s="3">
        <f t="shared" si="39"/>
        <v>0</v>
      </c>
      <c r="O142" s="47">
        <f t="shared" si="34"/>
        <v>28965630.652936153</v>
      </c>
      <c r="P142" s="47">
        <f>IFERROR(HLOOKUP(B142-1,'EV Forecast VRZ'!$F$124:$T$130,7,FALSE)/12,0)+IFERROR(((HLOOKUP(B142,'EV Forecast VRZ'!$F$116:$T$122,7,FALSE)-HLOOKUP(B142-1,'EV Forecast VRZ'!$F$124:$T$130,7,FALSE)))*C142/78,0)</f>
        <v>4886.203518723104</v>
      </c>
      <c r="Q142" s="47">
        <f t="shared" si="26"/>
        <v>28970516.856454875</v>
      </c>
    </row>
    <row r="143" spans="1:17">
      <c r="A143" s="2">
        <f t="shared" si="29"/>
        <v>46691</v>
      </c>
      <c r="B143">
        <f t="shared" si="30"/>
        <v>2027</v>
      </c>
      <c r="C143">
        <f t="shared" si="31"/>
        <v>10</v>
      </c>
      <c r="E143" s="3">
        <v>20</v>
      </c>
      <c r="F143" s="261">
        <f t="shared" si="32"/>
        <v>904812.6129999999</v>
      </c>
      <c r="G143" s="3">
        <f t="shared" si="33"/>
        <v>0</v>
      </c>
      <c r="J143" s="3">
        <f t="shared" si="35"/>
        <v>-35488752.832239702</v>
      </c>
      <c r="K143" s="3">
        <f t="shared" si="36"/>
        <v>7837435.9638456805</v>
      </c>
      <c r="L143" s="3">
        <f t="shared" si="37"/>
        <v>56225075.723137893</v>
      </c>
      <c r="M143" s="3">
        <f t="shared" si="38"/>
        <v>0</v>
      </c>
      <c r="N143" s="3">
        <f t="shared" si="39"/>
        <v>0</v>
      </c>
      <c r="O143" s="47">
        <f t="shared" si="34"/>
        <v>28573758.854743872</v>
      </c>
      <c r="P143" s="47">
        <f>IFERROR(HLOOKUP(B143-1,'EV Forecast VRZ'!$F$124:$T$130,7,FALSE)/12,0)+IFERROR(((HLOOKUP(B143,'EV Forecast VRZ'!$F$116:$T$122,7,FALSE)-HLOOKUP(B143-1,'EV Forecast VRZ'!$F$124:$T$130,7,FALSE)))*C143/78,0)</f>
        <v>4965.7412129924478</v>
      </c>
      <c r="Q143" s="47">
        <f t="shared" si="26"/>
        <v>28578724.595956866</v>
      </c>
    </row>
    <row r="144" spans="1:17">
      <c r="A144" s="2">
        <f t="shared" si="29"/>
        <v>46721</v>
      </c>
      <c r="B144">
        <f t="shared" si="30"/>
        <v>2027</v>
      </c>
      <c r="C144">
        <f t="shared" si="31"/>
        <v>11</v>
      </c>
      <c r="E144" s="3">
        <v>22</v>
      </c>
      <c r="F144" s="261">
        <f t="shared" si="32"/>
        <v>904812.6129999999</v>
      </c>
      <c r="G144" s="3">
        <f t="shared" si="33"/>
        <v>0</v>
      </c>
      <c r="J144" s="3">
        <f t="shared" si="35"/>
        <v>-35488752.832239702</v>
      </c>
      <c r="K144" s="3">
        <f t="shared" si="36"/>
        <v>8621179.5602302477</v>
      </c>
      <c r="L144" s="3">
        <f t="shared" si="37"/>
        <v>56225075.723137893</v>
      </c>
      <c r="M144" s="3">
        <f t="shared" si="38"/>
        <v>0</v>
      </c>
      <c r="N144" s="3">
        <f t="shared" si="39"/>
        <v>0</v>
      </c>
      <c r="O144" s="47">
        <f t="shared" si="34"/>
        <v>29357502.451128438</v>
      </c>
      <c r="P144" s="47">
        <f>IFERROR(HLOOKUP(B144-1,'EV Forecast VRZ'!$F$124:$T$130,7,FALSE)/12,0)+IFERROR(((HLOOKUP(B144,'EV Forecast VRZ'!$F$116:$T$122,7,FALSE)-HLOOKUP(B144-1,'EV Forecast VRZ'!$F$124:$T$130,7,FALSE)))*C144/78,0)</f>
        <v>5045.2789072617916</v>
      </c>
      <c r="Q144" s="47">
        <f t="shared" si="26"/>
        <v>29362547.7300357</v>
      </c>
    </row>
    <row r="145" spans="1:17">
      <c r="A145" s="2">
        <f t="shared" si="29"/>
        <v>46752</v>
      </c>
      <c r="B145">
        <f t="shared" si="30"/>
        <v>2027</v>
      </c>
      <c r="C145">
        <f t="shared" si="31"/>
        <v>12</v>
      </c>
      <c r="E145" s="3">
        <v>20</v>
      </c>
      <c r="F145" s="261">
        <f t="shared" si="32"/>
        <v>904812.6129999999</v>
      </c>
      <c r="G145" s="3">
        <f t="shared" si="33"/>
        <v>0</v>
      </c>
      <c r="J145" s="3">
        <f t="shared" si="35"/>
        <v>-35488752.832239702</v>
      </c>
      <c r="K145" s="3">
        <f t="shared" si="36"/>
        <v>7837435.9638456805</v>
      </c>
      <c r="L145" s="3">
        <f t="shared" si="37"/>
        <v>56225075.723137893</v>
      </c>
      <c r="M145" s="3">
        <f t="shared" si="38"/>
        <v>0</v>
      </c>
      <c r="N145" s="3">
        <f t="shared" si="39"/>
        <v>0</v>
      </c>
      <c r="O145" s="47">
        <f t="shared" si="34"/>
        <v>28573758.854743872</v>
      </c>
      <c r="P145" s="47">
        <f>IFERROR(HLOOKUP(B145-1,'EV Forecast VRZ'!$F$124:$T$130,7,FALSE)/12,0)+IFERROR(((HLOOKUP(B145,'EV Forecast VRZ'!$F$116:$T$122,7,FALSE)-HLOOKUP(B145-1,'EV Forecast VRZ'!$F$124:$T$130,7,FALSE)))*C145/78,0)</f>
        <v>5124.8166015311363</v>
      </c>
      <c r="Q145" s="47">
        <f t="shared" si="26"/>
        <v>28578883.671345402</v>
      </c>
    </row>
    <row r="146" spans="1:17">
      <c r="A146" s="2">
        <f t="shared" si="29"/>
        <v>46783</v>
      </c>
      <c r="B146">
        <f t="shared" si="30"/>
        <v>2028</v>
      </c>
      <c r="C146">
        <f t="shared" si="31"/>
        <v>1</v>
      </c>
      <c r="E146" s="3">
        <v>20</v>
      </c>
      <c r="F146" s="261">
        <f t="shared" si="32"/>
        <v>904812.6129999999</v>
      </c>
      <c r="G146" s="3">
        <f t="shared" si="33"/>
        <v>0</v>
      </c>
      <c r="J146" s="3">
        <f t="shared" si="35"/>
        <v>-35488752.832239702</v>
      </c>
      <c r="K146" s="3">
        <f t="shared" si="36"/>
        <v>7837435.9638456805</v>
      </c>
      <c r="L146" s="3">
        <f t="shared" si="37"/>
        <v>56225075.723137893</v>
      </c>
      <c r="M146" s="3">
        <f t="shared" si="38"/>
        <v>0</v>
      </c>
      <c r="N146" s="3">
        <f t="shared" si="39"/>
        <v>0</v>
      </c>
      <c r="O146" s="47">
        <f t="shared" si="34"/>
        <v>28573758.854743872</v>
      </c>
      <c r="P146" s="47">
        <f>IFERROR(HLOOKUP(B146-1,'EV Forecast VRZ'!$F$124:$T$130,7,FALSE)/12,0)+IFERROR(((HLOOKUP(B146,'EV Forecast VRZ'!$F$116:$T$122,7,FALSE)-HLOOKUP(B146-1,'EV Forecast VRZ'!$F$124:$T$130,7,FALSE)))*C146/78,0)</f>
        <v>5301.9571931238606</v>
      </c>
      <c r="Q146" s="47">
        <f t="shared" si="26"/>
        <v>28579060.811936997</v>
      </c>
    </row>
    <row r="147" spans="1:17">
      <c r="A147" s="2">
        <f t="shared" si="29"/>
        <v>46812</v>
      </c>
      <c r="B147">
        <f t="shared" si="30"/>
        <v>2028</v>
      </c>
      <c r="C147">
        <f t="shared" si="31"/>
        <v>2</v>
      </c>
      <c r="E147" s="3">
        <v>21</v>
      </c>
      <c r="F147" s="261">
        <f t="shared" si="32"/>
        <v>904812.6129999999</v>
      </c>
      <c r="G147" s="3">
        <f t="shared" si="33"/>
        <v>0</v>
      </c>
      <c r="J147" s="3">
        <f t="shared" si="35"/>
        <v>-35488752.832239702</v>
      </c>
      <c r="K147" s="3">
        <f t="shared" si="36"/>
        <v>8229307.7620379645</v>
      </c>
      <c r="L147" s="3">
        <f t="shared" si="37"/>
        <v>56225075.723137893</v>
      </c>
      <c r="M147" s="3">
        <f t="shared" si="38"/>
        <v>0</v>
      </c>
      <c r="N147" s="3">
        <f t="shared" si="39"/>
        <v>0</v>
      </c>
      <c r="O147" s="47">
        <f t="shared" si="34"/>
        <v>28965630.652936153</v>
      </c>
      <c r="P147" s="47">
        <f>IFERROR(HLOOKUP(B147-1,'EV Forecast VRZ'!$F$124:$T$130,7,FALSE)/12,0)+IFERROR(((HLOOKUP(B147,'EV Forecast VRZ'!$F$116:$T$122,7,FALSE)-HLOOKUP(B147-1,'EV Forecast VRZ'!$F$124:$T$130,7,FALSE)))*C147/78,0)</f>
        <v>5399.5600904472385</v>
      </c>
      <c r="Q147" s="47">
        <f t="shared" si="26"/>
        <v>28971030.213026602</v>
      </c>
    </row>
    <row r="148" spans="1:17">
      <c r="A148" s="2">
        <f t="shared" si="29"/>
        <v>46843</v>
      </c>
      <c r="B148">
        <f t="shared" si="30"/>
        <v>2028</v>
      </c>
      <c r="C148">
        <f t="shared" si="31"/>
        <v>3</v>
      </c>
      <c r="E148" s="3">
        <v>23</v>
      </c>
      <c r="F148" s="261">
        <f t="shared" si="32"/>
        <v>904812.6129999999</v>
      </c>
      <c r="G148" s="3">
        <f t="shared" si="33"/>
        <v>1</v>
      </c>
      <c r="J148" s="3">
        <f t="shared" si="35"/>
        <v>-35488752.832239702</v>
      </c>
      <c r="K148" s="3">
        <f t="shared" si="36"/>
        <v>9013051.3584225327</v>
      </c>
      <c r="L148" s="3">
        <f t="shared" si="37"/>
        <v>56225075.723137893</v>
      </c>
      <c r="M148" s="3">
        <f t="shared" si="38"/>
        <v>0</v>
      </c>
      <c r="N148" s="3">
        <f t="shared" si="39"/>
        <v>0</v>
      </c>
      <c r="O148" s="47">
        <f t="shared" si="34"/>
        <v>29749374.249320723</v>
      </c>
      <c r="P148" s="47">
        <f>IFERROR(HLOOKUP(B148-1,'EV Forecast VRZ'!$F$124:$T$130,7,FALSE)/12,0)+IFERROR(((HLOOKUP(B148,'EV Forecast VRZ'!$F$116:$T$122,7,FALSE)-HLOOKUP(B148-1,'EV Forecast VRZ'!$F$124:$T$130,7,FALSE)))*C148/78,0)</f>
        <v>5497.1629877706173</v>
      </c>
      <c r="Q148" s="47">
        <f t="shared" si="26"/>
        <v>29754871.412308495</v>
      </c>
    </row>
    <row r="149" spans="1:17">
      <c r="A149" s="2">
        <f t="shared" si="29"/>
        <v>46873</v>
      </c>
      <c r="B149">
        <f t="shared" si="30"/>
        <v>2028</v>
      </c>
      <c r="C149">
        <f t="shared" si="31"/>
        <v>4</v>
      </c>
      <c r="E149" s="3">
        <v>19</v>
      </c>
      <c r="F149" s="261">
        <f t="shared" si="32"/>
        <v>904812.6129999999</v>
      </c>
      <c r="G149" s="3">
        <f t="shared" si="33"/>
        <v>1</v>
      </c>
      <c r="J149" s="3">
        <f t="shared" si="35"/>
        <v>-35488752.832239702</v>
      </c>
      <c r="K149" s="3">
        <f t="shared" si="36"/>
        <v>7445564.1656533964</v>
      </c>
      <c r="L149" s="3">
        <f t="shared" si="37"/>
        <v>56225075.723137893</v>
      </c>
      <c r="M149" s="3">
        <f t="shared" si="38"/>
        <v>0</v>
      </c>
      <c r="N149" s="3">
        <f t="shared" si="39"/>
        <v>0</v>
      </c>
      <c r="O149" s="47">
        <f t="shared" si="34"/>
        <v>28181887.056551587</v>
      </c>
      <c r="P149" s="47">
        <f>IFERROR(HLOOKUP(B149-1,'EV Forecast VRZ'!$F$124:$T$130,7,FALSE)/12,0)+IFERROR(((HLOOKUP(B149,'EV Forecast VRZ'!$F$116:$T$122,7,FALSE)-HLOOKUP(B149-1,'EV Forecast VRZ'!$F$124:$T$130,7,FALSE)))*C149/78,0)</f>
        <v>5594.7658850939952</v>
      </c>
      <c r="Q149" s="47">
        <f t="shared" si="26"/>
        <v>28187481.822436679</v>
      </c>
    </row>
    <row r="150" spans="1:17">
      <c r="A150" s="2">
        <f t="shared" si="29"/>
        <v>46904</v>
      </c>
      <c r="B150">
        <f t="shared" si="30"/>
        <v>2028</v>
      </c>
      <c r="C150">
        <f t="shared" si="31"/>
        <v>5</v>
      </c>
      <c r="E150" s="3">
        <v>22</v>
      </c>
      <c r="F150" s="261">
        <f t="shared" si="32"/>
        <v>904812.6129999999</v>
      </c>
      <c r="G150" s="3">
        <f t="shared" si="33"/>
        <v>1</v>
      </c>
      <c r="J150" s="3">
        <f t="shared" si="35"/>
        <v>-35488752.832239702</v>
      </c>
      <c r="K150" s="3">
        <f t="shared" si="36"/>
        <v>8621179.5602302477</v>
      </c>
      <c r="L150" s="3">
        <f t="shared" si="37"/>
        <v>56225075.723137893</v>
      </c>
      <c r="M150" s="3">
        <f t="shared" si="38"/>
        <v>0</v>
      </c>
      <c r="N150" s="3">
        <f t="shared" si="39"/>
        <v>0</v>
      </c>
      <c r="O150" s="47">
        <f t="shared" si="34"/>
        <v>29357502.451128438</v>
      </c>
      <c r="P150" s="47">
        <f>IFERROR(HLOOKUP(B150-1,'EV Forecast VRZ'!$F$124:$T$130,7,FALSE)/12,0)+IFERROR(((HLOOKUP(B150,'EV Forecast VRZ'!$F$116:$T$122,7,FALSE)-HLOOKUP(B150-1,'EV Forecast VRZ'!$F$124:$T$130,7,FALSE)))*C150/78,0)</f>
        <v>5692.368782417374</v>
      </c>
      <c r="Q150" s="47">
        <f t="shared" si="26"/>
        <v>29363194.819910854</v>
      </c>
    </row>
    <row r="151" spans="1:17">
      <c r="A151" s="2">
        <f t="shared" si="29"/>
        <v>46934</v>
      </c>
      <c r="B151">
        <f t="shared" si="30"/>
        <v>2028</v>
      </c>
      <c r="C151">
        <f t="shared" si="31"/>
        <v>6</v>
      </c>
      <c r="E151" s="3">
        <v>22</v>
      </c>
      <c r="F151" s="261">
        <f t="shared" si="32"/>
        <v>904812.6129999999</v>
      </c>
      <c r="G151" s="3">
        <f t="shared" si="33"/>
        <v>0</v>
      </c>
      <c r="J151" s="3">
        <f t="shared" si="35"/>
        <v>-35488752.832239702</v>
      </c>
      <c r="K151" s="3">
        <f t="shared" si="36"/>
        <v>8621179.5602302477</v>
      </c>
      <c r="L151" s="3">
        <f t="shared" si="37"/>
        <v>56225075.723137893</v>
      </c>
      <c r="M151" s="3">
        <f t="shared" si="38"/>
        <v>0</v>
      </c>
      <c r="N151" s="3">
        <f t="shared" si="39"/>
        <v>0</v>
      </c>
      <c r="O151" s="47">
        <f t="shared" si="34"/>
        <v>29357502.451128438</v>
      </c>
      <c r="P151" s="47">
        <f>IFERROR(HLOOKUP(B151-1,'EV Forecast VRZ'!$F$124:$T$130,7,FALSE)/12,0)+IFERROR(((HLOOKUP(B151,'EV Forecast VRZ'!$F$116:$T$122,7,FALSE)-HLOOKUP(B151-1,'EV Forecast VRZ'!$F$124:$T$130,7,FALSE)))*C151/78,0)</f>
        <v>5789.9716797407518</v>
      </c>
      <c r="Q151" s="47">
        <f t="shared" si="26"/>
        <v>29363292.422808178</v>
      </c>
    </row>
    <row r="152" spans="1:17">
      <c r="A152" s="2">
        <f t="shared" si="29"/>
        <v>46965</v>
      </c>
      <c r="B152">
        <f t="shared" si="30"/>
        <v>2028</v>
      </c>
      <c r="C152">
        <f t="shared" si="31"/>
        <v>7</v>
      </c>
      <c r="E152" s="3">
        <v>20</v>
      </c>
      <c r="F152" s="261">
        <f t="shared" si="32"/>
        <v>904812.6129999999</v>
      </c>
      <c r="G152" s="3">
        <f t="shared" si="33"/>
        <v>0</v>
      </c>
      <c r="J152" s="3">
        <f t="shared" si="35"/>
        <v>-35488752.832239702</v>
      </c>
      <c r="K152" s="3">
        <f t="shared" si="36"/>
        <v>7837435.9638456805</v>
      </c>
      <c r="L152" s="3">
        <f t="shared" si="37"/>
        <v>56225075.723137893</v>
      </c>
      <c r="M152" s="3">
        <f t="shared" si="38"/>
        <v>0</v>
      </c>
      <c r="N152" s="3">
        <f t="shared" si="39"/>
        <v>0</v>
      </c>
      <c r="O152" s="47">
        <f t="shared" si="34"/>
        <v>28573758.854743872</v>
      </c>
      <c r="P152" s="47">
        <f>IFERROR(HLOOKUP(B152-1,'EV Forecast VRZ'!$F$124:$T$130,7,FALSE)/12,0)+IFERROR(((HLOOKUP(B152,'EV Forecast VRZ'!$F$116:$T$122,7,FALSE)-HLOOKUP(B152-1,'EV Forecast VRZ'!$F$124:$T$130,7,FALSE)))*C152/78,0)</f>
        <v>5887.5745770641306</v>
      </c>
      <c r="Q152" s="47">
        <f t="shared" si="26"/>
        <v>28579646.429320935</v>
      </c>
    </row>
    <row r="153" spans="1:17">
      <c r="A153" s="2">
        <f t="shared" si="29"/>
        <v>46996</v>
      </c>
      <c r="B153">
        <f t="shared" si="30"/>
        <v>2028</v>
      </c>
      <c r="C153">
        <f t="shared" si="31"/>
        <v>8</v>
      </c>
      <c r="E153" s="3">
        <v>22</v>
      </c>
      <c r="F153" s="261">
        <f t="shared" si="32"/>
        <v>904812.6129999999</v>
      </c>
      <c r="G153" s="3">
        <f t="shared" si="33"/>
        <v>0</v>
      </c>
      <c r="J153" s="3">
        <f t="shared" si="35"/>
        <v>-35488752.832239702</v>
      </c>
      <c r="K153" s="3">
        <f t="shared" si="36"/>
        <v>8621179.5602302477</v>
      </c>
      <c r="L153" s="3">
        <f t="shared" si="37"/>
        <v>56225075.723137893</v>
      </c>
      <c r="M153" s="3">
        <f t="shared" si="38"/>
        <v>0</v>
      </c>
      <c r="N153" s="3">
        <f t="shared" si="39"/>
        <v>0</v>
      </c>
      <c r="O153" s="47">
        <f t="shared" si="34"/>
        <v>29357502.451128438</v>
      </c>
      <c r="P153" s="47">
        <f>IFERROR(HLOOKUP(B153-1,'EV Forecast VRZ'!$F$124:$T$130,7,FALSE)/12,0)+IFERROR(((HLOOKUP(B153,'EV Forecast VRZ'!$F$116:$T$122,7,FALSE)-HLOOKUP(B153-1,'EV Forecast VRZ'!$F$124:$T$130,7,FALSE)))*C153/78,0)</f>
        <v>5985.1774743875085</v>
      </c>
      <c r="Q153" s="47">
        <f t="shared" si="26"/>
        <v>29363487.628602825</v>
      </c>
    </row>
    <row r="154" spans="1:17">
      <c r="A154" s="2">
        <f t="shared" si="29"/>
        <v>47026</v>
      </c>
      <c r="B154">
        <f t="shared" si="30"/>
        <v>2028</v>
      </c>
      <c r="C154">
        <f t="shared" si="31"/>
        <v>9</v>
      </c>
      <c r="E154" s="3">
        <v>20</v>
      </c>
      <c r="F154" s="261">
        <f t="shared" si="32"/>
        <v>904812.6129999999</v>
      </c>
      <c r="G154" s="3">
        <f t="shared" si="33"/>
        <v>0</v>
      </c>
      <c r="J154" s="3">
        <f t="shared" si="35"/>
        <v>-35488752.832239702</v>
      </c>
      <c r="K154" s="3">
        <f t="shared" si="36"/>
        <v>7837435.9638456805</v>
      </c>
      <c r="L154" s="3">
        <f t="shared" si="37"/>
        <v>56225075.723137893</v>
      </c>
      <c r="M154" s="3">
        <f t="shared" si="38"/>
        <v>0</v>
      </c>
      <c r="N154" s="3">
        <f t="shared" si="39"/>
        <v>0</v>
      </c>
      <c r="O154" s="47">
        <f t="shared" si="34"/>
        <v>28573758.854743872</v>
      </c>
      <c r="P154" s="47">
        <f>IFERROR(HLOOKUP(B154-1,'EV Forecast VRZ'!$F$124:$T$130,7,FALSE)/12,0)+IFERROR(((HLOOKUP(B154,'EV Forecast VRZ'!$F$116:$T$122,7,FALSE)-HLOOKUP(B154-1,'EV Forecast VRZ'!$F$124:$T$130,7,FALSE)))*C154/78,0)</f>
        <v>6082.7803717108873</v>
      </c>
      <c r="Q154" s="47">
        <f t="shared" si="26"/>
        <v>28579841.635115582</v>
      </c>
    </row>
    <row r="155" spans="1:17">
      <c r="A155" s="2">
        <f t="shared" si="29"/>
        <v>47057</v>
      </c>
      <c r="B155">
        <f t="shared" si="30"/>
        <v>2028</v>
      </c>
      <c r="C155">
        <f t="shared" si="31"/>
        <v>10</v>
      </c>
      <c r="E155" s="3">
        <v>21</v>
      </c>
      <c r="F155" s="261">
        <f t="shared" si="32"/>
        <v>904812.6129999999</v>
      </c>
      <c r="G155" s="3">
        <f t="shared" si="33"/>
        <v>0</v>
      </c>
      <c r="J155" s="3">
        <f t="shared" si="35"/>
        <v>-35488752.832239702</v>
      </c>
      <c r="K155" s="3">
        <f t="shared" si="36"/>
        <v>8229307.7620379645</v>
      </c>
      <c r="L155" s="3">
        <f t="shared" si="37"/>
        <v>56225075.723137893</v>
      </c>
      <c r="M155" s="3">
        <f t="shared" si="38"/>
        <v>0</v>
      </c>
      <c r="N155" s="3">
        <f t="shared" si="39"/>
        <v>0</v>
      </c>
      <c r="O155" s="47">
        <f t="shared" si="34"/>
        <v>28965630.652936153</v>
      </c>
      <c r="P155" s="47">
        <f>IFERROR(HLOOKUP(B155-1,'EV Forecast VRZ'!$F$124:$T$130,7,FALSE)/12,0)+IFERROR(((HLOOKUP(B155,'EV Forecast VRZ'!$F$116:$T$122,7,FALSE)-HLOOKUP(B155-1,'EV Forecast VRZ'!$F$124:$T$130,7,FALSE)))*C155/78,0)</f>
        <v>6180.3832690342651</v>
      </c>
      <c r="Q155" s="47">
        <f t="shared" si="26"/>
        <v>28971811.036205187</v>
      </c>
    </row>
    <row r="156" spans="1:17">
      <c r="A156" s="2">
        <f t="shared" si="29"/>
        <v>47087</v>
      </c>
      <c r="B156">
        <f t="shared" si="30"/>
        <v>2028</v>
      </c>
      <c r="C156">
        <f t="shared" si="31"/>
        <v>11</v>
      </c>
      <c r="E156" s="3">
        <v>22</v>
      </c>
      <c r="F156" s="261">
        <f t="shared" si="32"/>
        <v>904812.6129999999</v>
      </c>
      <c r="G156" s="3">
        <f t="shared" si="33"/>
        <v>0</v>
      </c>
      <c r="J156" s="3">
        <f t="shared" si="35"/>
        <v>-35488752.832239702</v>
      </c>
      <c r="K156" s="3">
        <f t="shared" si="36"/>
        <v>8621179.5602302477</v>
      </c>
      <c r="L156" s="3">
        <f t="shared" si="37"/>
        <v>56225075.723137893</v>
      </c>
      <c r="M156" s="3">
        <f t="shared" si="38"/>
        <v>0</v>
      </c>
      <c r="N156" s="3">
        <f t="shared" si="39"/>
        <v>0</v>
      </c>
      <c r="O156" s="47">
        <f t="shared" si="34"/>
        <v>29357502.451128438</v>
      </c>
      <c r="P156" s="47">
        <f>IFERROR(HLOOKUP(B156-1,'EV Forecast VRZ'!$F$124:$T$130,7,FALSE)/12,0)+IFERROR(((HLOOKUP(B156,'EV Forecast VRZ'!$F$116:$T$122,7,FALSE)-HLOOKUP(B156-1,'EV Forecast VRZ'!$F$124:$T$130,7,FALSE)))*C156/78,0)</f>
        <v>6277.9861663576439</v>
      </c>
      <c r="Q156" s="47">
        <f t="shared" si="26"/>
        <v>29363780.437294796</v>
      </c>
    </row>
    <row r="157" spans="1:17">
      <c r="A157" s="2">
        <f t="shared" si="29"/>
        <v>47118</v>
      </c>
      <c r="B157">
        <f t="shared" si="30"/>
        <v>2028</v>
      </c>
      <c r="C157">
        <f t="shared" si="31"/>
        <v>12</v>
      </c>
      <c r="E157" s="3">
        <v>19</v>
      </c>
      <c r="F157" s="261">
        <f t="shared" si="32"/>
        <v>904812.6129999999</v>
      </c>
      <c r="G157" s="3">
        <f t="shared" si="33"/>
        <v>0</v>
      </c>
      <c r="J157" s="3">
        <f t="shared" si="35"/>
        <v>-35488752.832239702</v>
      </c>
      <c r="K157" s="3">
        <f t="shared" si="36"/>
        <v>7445564.1656533964</v>
      </c>
      <c r="L157" s="3">
        <f t="shared" si="37"/>
        <v>56225075.723137893</v>
      </c>
      <c r="M157" s="3">
        <f t="shared" si="38"/>
        <v>0</v>
      </c>
      <c r="N157" s="3">
        <f t="shared" si="39"/>
        <v>0</v>
      </c>
      <c r="O157" s="47">
        <f t="shared" si="34"/>
        <v>28181887.056551587</v>
      </c>
      <c r="P157" s="47">
        <f>IFERROR(HLOOKUP(B157-1,'EV Forecast VRZ'!$F$124:$T$130,7,FALSE)/12,0)+IFERROR(((HLOOKUP(B157,'EV Forecast VRZ'!$F$116:$T$122,7,FALSE)-HLOOKUP(B157-1,'EV Forecast VRZ'!$F$124:$T$130,7,FALSE)))*C157/78,0)</f>
        <v>6375.5890636810218</v>
      </c>
      <c r="Q157" s="47">
        <f t="shared" si="26"/>
        <v>28188262.645615268</v>
      </c>
    </row>
    <row r="158" spans="1:17">
      <c r="A158" s="2">
        <f t="shared" si="29"/>
        <v>47149</v>
      </c>
      <c r="B158">
        <f t="shared" si="30"/>
        <v>2029</v>
      </c>
      <c r="C158">
        <f t="shared" si="31"/>
        <v>1</v>
      </c>
      <c r="E158" s="3">
        <v>22</v>
      </c>
      <c r="F158" s="261">
        <f>F146*(1+'Economic Data'!$AC$15)</f>
        <v>921099.2400339999</v>
      </c>
      <c r="G158" s="3">
        <f t="shared" si="33"/>
        <v>0</v>
      </c>
      <c r="J158" s="3">
        <f t="shared" si="35"/>
        <v>-35488752.832239702</v>
      </c>
      <c r="K158" s="3">
        <f t="shared" si="36"/>
        <v>8621179.5602302477</v>
      </c>
      <c r="L158" s="3">
        <f t="shared" si="37"/>
        <v>57237127.086154379</v>
      </c>
      <c r="M158" s="3">
        <f t="shared" si="38"/>
        <v>0</v>
      </c>
      <c r="N158" s="3">
        <f t="shared" si="39"/>
        <v>0</v>
      </c>
      <c r="O158" s="47">
        <f t="shared" si="34"/>
        <v>30369553.814144924</v>
      </c>
      <c r="P158" s="47">
        <f>IFERROR(HLOOKUP(B158-1,'EV Forecast VRZ'!$F$124:$T$130,7,FALSE)/12,0)+IFERROR(((HLOOKUP(B158,'EV Forecast VRZ'!$F$116:$T$122,7,FALSE)-HLOOKUP(B158-1,'EV Forecast VRZ'!$F$124:$T$130,7,FALSE)))*C158/78,0)</f>
        <v>6589.5508544262684</v>
      </c>
      <c r="Q158" s="47">
        <f t="shared" si="26"/>
        <v>30376143.36499935</v>
      </c>
    </row>
    <row r="159" spans="1:17">
      <c r="A159" s="2">
        <f t="shared" si="29"/>
        <v>47177</v>
      </c>
      <c r="B159">
        <f t="shared" si="30"/>
        <v>2029</v>
      </c>
      <c r="C159">
        <f t="shared" si="31"/>
        <v>2</v>
      </c>
      <c r="E159" s="3">
        <v>19</v>
      </c>
      <c r="F159" s="261">
        <f>F147*(1+'Economic Data'!$AC$15)</f>
        <v>921099.2400339999</v>
      </c>
      <c r="G159" s="3">
        <f t="shared" si="33"/>
        <v>0</v>
      </c>
      <c r="J159" s="3">
        <f t="shared" si="35"/>
        <v>-35488752.832239702</v>
      </c>
      <c r="K159" s="3">
        <f t="shared" si="36"/>
        <v>7445564.1656533964</v>
      </c>
      <c r="L159" s="3">
        <f t="shared" si="37"/>
        <v>57237127.086154379</v>
      </c>
      <c r="M159" s="3">
        <f t="shared" si="38"/>
        <v>0</v>
      </c>
      <c r="N159" s="3">
        <f t="shared" si="39"/>
        <v>0</v>
      </c>
      <c r="O159" s="47">
        <f t="shared" si="34"/>
        <v>29193938.419568073</v>
      </c>
      <c r="P159" s="47">
        <f>IFERROR(HLOOKUP(B159-1,'EV Forecast VRZ'!$F$124:$T$130,7,FALSE)/12,0)+IFERROR(((HLOOKUP(B159,'EV Forecast VRZ'!$F$116:$T$122,7,FALSE)-HLOOKUP(B159-1,'EV Forecast VRZ'!$F$124:$T$130,7,FALSE)))*C159/78,0)</f>
        <v>6705.9097478481344</v>
      </c>
      <c r="Q159" s="47">
        <f t="shared" si="26"/>
        <v>29200644.329315919</v>
      </c>
    </row>
    <row r="160" spans="1:17">
      <c r="A160" s="2">
        <f t="shared" si="29"/>
        <v>47208</v>
      </c>
      <c r="B160">
        <f t="shared" si="30"/>
        <v>2029</v>
      </c>
      <c r="C160">
        <f t="shared" si="31"/>
        <v>3</v>
      </c>
      <c r="E160" s="3">
        <v>21</v>
      </c>
      <c r="F160" s="261">
        <f>F148*(1+'Economic Data'!$AC$15)</f>
        <v>921099.2400339999</v>
      </c>
      <c r="G160" s="3">
        <f t="shared" si="33"/>
        <v>1</v>
      </c>
      <c r="J160" s="3">
        <f t="shared" si="35"/>
        <v>-35488752.832239702</v>
      </c>
      <c r="K160" s="3">
        <f t="shared" si="36"/>
        <v>8229307.7620379645</v>
      </c>
      <c r="L160" s="3">
        <f t="shared" si="37"/>
        <v>57237127.086154379</v>
      </c>
      <c r="M160" s="3">
        <f t="shared" si="38"/>
        <v>0</v>
      </c>
      <c r="N160" s="3">
        <f t="shared" si="39"/>
        <v>0</v>
      </c>
      <c r="O160" s="47">
        <f t="shared" si="34"/>
        <v>29977682.015952639</v>
      </c>
      <c r="P160" s="47">
        <f>IFERROR(HLOOKUP(B160-1,'EV Forecast VRZ'!$F$124:$T$130,7,FALSE)/12,0)+IFERROR(((HLOOKUP(B160,'EV Forecast VRZ'!$F$116:$T$122,7,FALSE)-HLOOKUP(B160-1,'EV Forecast VRZ'!$F$124:$T$130,7,FALSE)))*C160/78,0)</f>
        <v>6822.2686412700014</v>
      </c>
      <c r="Q160" s="47">
        <f t="shared" si="26"/>
        <v>29984504.28459391</v>
      </c>
    </row>
    <row r="161" spans="1:17">
      <c r="A161" s="2">
        <f t="shared" si="29"/>
        <v>47238</v>
      </c>
      <c r="B161">
        <f t="shared" si="30"/>
        <v>2029</v>
      </c>
      <c r="C161">
        <f t="shared" si="31"/>
        <v>4</v>
      </c>
      <c r="E161" s="3">
        <v>21</v>
      </c>
      <c r="F161" s="261">
        <f>F149*(1+'Economic Data'!$AC$15)</f>
        <v>921099.2400339999</v>
      </c>
      <c r="G161" s="3">
        <f t="shared" si="33"/>
        <v>1</v>
      </c>
      <c r="J161" s="3">
        <f t="shared" si="35"/>
        <v>-35488752.832239702</v>
      </c>
      <c r="K161" s="3">
        <f t="shared" si="36"/>
        <v>8229307.7620379645</v>
      </c>
      <c r="L161" s="3">
        <f t="shared" si="37"/>
        <v>57237127.086154379</v>
      </c>
      <c r="M161" s="3">
        <f t="shared" si="38"/>
        <v>0</v>
      </c>
      <c r="N161" s="3">
        <f t="shared" si="39"/>
        <v>0</v>
      </c>
      <c r="O161" s="47">
        <f t="shared" si="34"/>
        <v>29977682.015952639</v>
      </c>
      <c r="P161" s="47">
        <f>IFERROR(HLOOKUP(B161-1,'EV Forecast VRZ'!$F$124:$T$130,7,FALSE)/12,0)+IFERROR(((HLOOKUP(B161,'EV Forecast VRZ'!$F$116:$T$122,7,FALSE)-HLOOKUP(B161-1,'EV Forecast VRZ'!$F$124:$T$130,7,FALSE)))*C161/78,0)</f>
        <v>6938.6275346918674</v>
      </c>
      <c r="Q161" s="47">
        <f t="shared" si="26"/>
        <v>29984620.643487331</v>
      </c>
    </row>
    <row r="162" spans="1:17">
      <c r="A162" s="2">
        <f t="shared" si="29"/>
        <v>47269</v>
      </c>
      <c r="B162">
        <f t="shared" si="30"/>
        <v>2029</v>
      </c>
      <c r="C162">
        <f t="shared" si="31"/>
        <v>5</v>
      </c>
      <c r="E162" s="3">
        <v>22</v>
      </c>
      <c r="F162" s="261">
        <f>F150*(1+'Economic Data'!$AC$15)</f>
        <v>921099.2400339999</v>
      </c>
      <c r="G162" s="3">
        <f t="shared" si="33"/>
        <v>1</v>
      </c>
      <c r="J162" s="3">
        <f t="shared" ref="J162:J193" si="40">$U$8</f>
        <v>-35488752.832239702</v>
      </c>
      <c r="K162" s="3">
        <f t="shared" ref="K162:K193" si="41">E162*$U$9</f>
        <v>8621179.5602302477</v>
      </c>
      <c r="L162" s="3">
        <f t="shared" ref="L162:L193" si="42">F162*$U$10</f>
        <v>57237127.086154379</v>
      </c>
      <c r="M162" s="3">
        <f t="shared" ref="M162:M193" si="43">G162*$U$11</f>
        <v>0</v>
      </c>
      <c r="N162" s="3">
        <f t="shared" ref="N162:N193" si="44">H162*$U$12</f>
        <v>0</v>
      </c>
      <c r="O162" s="47">
        <f t="shared" ref="O162:O193" si="45">SUM(J162:N162)</f>
        <v>30369553.814144924</v>
      </c>
      <c r="P162" s="47">
        <f>IFERROR(HLOOKUP(B162-1,'EV Forecast VRZ'!$F$124:$T$130,7,FALSE)/12,0)+IFERROR(((HLOOKUP(B162,'EV Forecast VRZ'!$F$116:$T$122,7,FALSE)-HLOOKUP(B162-1,'EV Forecast VRZ'!$F$124:$T$130,7,FALSE)))*C162/78,0)</f>
        <v>7054.9864281137334</v>
      </c>
      <c r="Q162" s="47">
        <f t="shared" si="26"/>
        <v>30376608.80057304</v>
      </c>
    </row>
    <row r="163" spans="1:17">
      <c r="A163" s="2">
        <f t="shared" ref="A163:A193" si="46">EOMONTH(A162,1)</f>
        <v>47299</v>
      </c>
      <c r="B163">
        <f t="shared" ref="B163:B193" si="47">YEAR(A163)</f>
        <v>2029</v>
      </c>
      <c r="C163">
        <f t="shared" ref="C163:C193" si="48">MONTH(A163)</f>
        <v>6</v>
      </c>
      <c r="E163" s="3">
        <v>21</v>
      </c>
      <c r="F163" s="261">
        <f>F151*(1+'Economic Data'!$AC$15)</f>
        <v>921099.2400339999</v>
      </c>
      <c r="G163" s="3">
        <f t="shared" ref="G163:G193" si="49">G151</f>
        <v>0</v>
      </c>
      <c r="J163" s="3">
        <f t="shared" si="40"/>
        <v>-35488752.832239702</v>
      </c>
      <c r="K163" s="3">
        <f t="shared" si="41"/>
        <v>8229307.7620379645</v>
      </c>
      <c r="L163" s="3">
        <f t="shared" si="42"/>
        <v>57237127.086154379</v>
      </c>
      <c r="M163" s="3">
        <f t="shared" si="43"/>
        <v>0</v>
      </c>
      <c r="N163" s="3">
        <f t="shared" si="44"/>
        <v>0</v>
      </c>
      <c r="O163" s="47">
        <f t="shared" si="45"/>
        <v>29977682.015952639</v>
      </c>
      <c r="P163" s="47">
        <f>IFERROR(HLOOKUP(B163-1,'EV Forecast VRZ'!$F$124:$T$130,7,FALSE)/12,0)+IFERROR(((HLOOKUP(B163,'EV Forecast VRZ'!$F$116:$T$122,7,FALSE)-HLOOKUP(B163-1,'EV Forecast VRZ'!$F$124:$T$130,7,FALSE)))*C163/78,0)</f>
        <v>7171.3453215356003</v>
      </c>
      <c r="Q163" s="47">
        <f t="shared" si="26"/>
        <v>29984853.361274175</v>
      </c>
    </row>
    <row r="164" spans="1:17">
      <c r="A164" s="2">
        <f t="shared" si="46"/>
        <v>47330</v>
      </c>
      <c r="B164">
        <f t="shared" si="47"/>
        <v>2029</v>
      </c>
      <c r="C164">
        <f t="shared" si="48"/>
        <v>7</v>
      </c>
      <c r="E164" s="3">
        <v>21</v>
      </c>
      <c r="F164" s="261">
        <f>F152*(1+'Economic Data'!$AC$15)</f>
        <v>921099.2400339999</v>
      </c>
      <c r="G164" s="3">
        <f t="shared" si="49"/>
        <v>0</v>
      </c>
      <c r="J164" s="3">
        <f t="shared" si="40"/>
        <v>-35488752.832239702</v>
      </c>
      <c r="K164" s="3">
        <f t="shared" si="41"/>
        <v>8229307.7620379645</v>
      </c>
      <c r="L164" s="3">
        <f t="shared" si="42"/>
        <v>57237127.086154379</v>
      </c>
      <c r="M164" s="3">
        <f t="shared" si="43"/>
        <v>0</v>
      </c>
      <c r="N164" s="3">
        <f t="shared" si="44"/>
        <v>0</v>
      </c>
      <c r="O164" s="47">
        <f t="shared" si="45"/>
        <v>29977682.015952639</v>
      </c>
      <c r="P164" s="47">
        <f>IFERROR(HLOOKUP(B164-1,'EV Forecast VRZ'!$F$124:$T$130,7,FALSE)/12,0)+IFERROR(((HLOOKUP(B164,'EV Forecast VRZ'!$F$116:$T$122,7,FALSE)-HLOOKUP(B164-1,'EV Forecast VRZ'!$F$124:$T$130,7,FALSE)))*C164/78,0)</f>
        <v>7287.7042149574663</v>
      </c>
      <c r="Q164" s="47">
        <f t="shared" si="26"/>
        <v>29984969.720167596</v>
      </c>
    </row>
    <row r="165" spans="1:17">
      <c r="A165" s="2">
        <f t="shared" si="46"/>
        <v>47361</v>
      </c>
      <c r="B165">
        <f t="shared" si="47"/>
        <v>2029</v>
      </c>
      <c r="C165">
        <f t="shared" si="48"/>
        <v>8</v>
      </c>
      <c r="E165" s="3">
        <v>22</v>
      </c>
      <c r="F165" s="261">
        <f>F153*(1+'Economic Data'!$AC$15)</f>
        <v>921099.2400339999</v>
      </c>
      <c r="G165" s="3">
        <f t="shared" si="49"/>
        <v>0</v>
      </c>
      <c r="J165" s="3">
        <f t="shared" si="40"/>
        <v>-35488752.832239702</v>
      </c>
      <c r="K165" s="3">
        <f t="shared" si="41"/>
        <v>8621179.5602302477</v>
      </c>
      <c r="L165" s="3">
        <f t="shared" si="42"/>
        <v>57237127.086154379</v>
      </c>
      <c r="M165" s="3">
        <f t="shared" si="43"/>
        <v>0</v>
      </c>
      <c r="N165" s="3">
        <f t="shared" si="44"/>
        <v>0</v>
      </c>
      <c r="O165" s="47">
        <f t="shared" si="45"/>
        <v>30369553.814144924</v>
      </c>
      <c r="P165" s="47">
        <f>IFERROR(HLOOKUP(B165-1,'EV Forecast VRZ'!$F$124:$T$130,7,FALSE)/12,0)+IFERROR(((HLOOKUP(B165,'EV Forecast VRZ'!$F$116:$T$122,7,FALSE)-HLOOKUP(B165-1,'EV Forecast VRZ'!$F$124:$T$130,7,FALSE)))*C165/78,0)</f>
        <v>7404.0631083793323</v>
      </c>
      <c r="Q165" s="47">
        <f t="shared" si="26"/>
        <v>30376957.877253305</v>
      </c>
    </row>
    <row r="166" spans="1:17">
      <c r="A166" s="2">
        <f t="shared" si="46"/>
        <v>47391</v>
      </c>
      <c r="B166">
        <f t="shared" si="47"/>
        <v>2029</v>
      </c>
      <c r="C166">
        <f t="shared" si="48"/>
        <v>9</v>
      </c>
      <c r="E166" s="3">
        <v>19</v>
      </c>
      <c r="F166" s="261">
        <f>F154*(1+'Economic Data'!$AC$15)</f>
        <v>921099.2400339999</v>
      </c>
      <c r="G166" s="3">
        <f t="shared" si="49"/>
        <v>0</v>
      </c>
      <c r="J166" s="3">
        <f t="shared" si="40"/>
        <v>-35488752.832239702</v>
      </c>
      <c r="K166" s="3">
        <f t="shared" si="41"/>
        <v>7445564.1656533964</v>
      </c>
      <c r="L166" s="3">
        <f t="shared" si="42"/>
        <v>57237127.086154379</v>
      </c>
      <c r="M166" s="3">
        <f t="shared" si="43"/>
        <v>0</v>
      </c>
      <c r="N166" s="3">
        <f t="shared" si="44"/>
        <v>0</v>
      </c>
      <c r="O166" s="47">
        <f t="shared" si="45"/>
        <v>29193938.419568073</v>
      </c>
      <c r="P166" s="47">
        <f>IFERROR(HLOOKUP(B166-1,'EV Forecast VRZ'!$F$124:$T$130,7,FALSE)/12,0)+IFERROR(((HLOOKUP(B166,'EV Forecast VRZ'!$F$116:$T$122,7,FALSE)-HLOOKUP(B166-1,'EV Forecast VRZ'!$F$124:$T$130,7,FALSE)))*C166/78,0)</f>
        <v>7520.4220018011983</v>
      </c>
      <c r="Q166" s="47">
        <f t="shared" si="26"/>
        <v>29201458.841569874</v>
      </c>
    </row>
    <row r="167" spans="1:17">
      <c r="A167" s="2">
        <f t="shared" si="46"/>
        <v>47422</v>
      </c>
      <c r="B167">
        <f t="shared" si="47"/>
        <v>2029</v>
      </c>
      <c r="C167">
        <f t="shared" si="48"/>
        <v>10</v>
      </c>
      <c r="E167" s="3">
        <v>22</v>
      </c>
      <c r="F167" s="261">
        <f>F155*(1+'Economic Data'!$AC$15)</f>
        <v>921099.2400339999</v>
      </c>
      <c r="G167" s="3">
        <f t="shared" si="49"/>
        <v>0</v>
      </c>
      <c r="J167" s="3">
        <f t="shared" si="40"/>
        <v>-35488752.832239702</v>
      </c>
      <c r="K167" s="3">
        <f t="shared" si="41"/>
        <v>8621179.5602302477</v>
      </c>
      <c r="L167" s="3">
        <f t="shared" si="42"/>
        <v>57237127.086154379</v>
      </c>
      <c r="M167" s="3">
        <f t="shared" si="43"/>
        <v>0</v>
      </c>
      <c r="N167" s="3">
        <f t="shared" si="44"/>
        <v>0</v>
      </c>
      <c r="O167" s="47">
        <f t="shared" si="45"/>
        <v>30369553.814144924</v>
      </c>
      <c r="P167" s="47">
        <f>IFERROR(HLOOKUP(B167-1,'EV Forecast VRZ'!$F$124:$T$130,7,FALSE)/12,0)+IFERROR(((HLOOKUP(B167,'EV Forecast VRZ'!$F$116:$T$122,7,FALSE)-HLOOKUP(B167-1,'EV Forecast VRZ'!$F$124:$T$130,7,FALSE)))*C167/78,0)</f>
        <v>7636.7808952230644</v>
      </c>
      <c r="Q167" s="47">
        <f t="shared" si="26"/>
        <v>30377190.595040146</v>
      </c>
    </row>
    <row r="168" spans="1:17">
      <c r="A168" s="2">
        <f t="shared" si="46"/>
        <v>47452</v>
      </c>
      <c r="B168">
        <f t="shared" si="47"/>
        <v>2029</v>
      </c>
      <c r="C168">
        <f t="shared" si="48"/>
        <v>11</v>
      </c>
      <c r="E168" s="3">
        <v>22</v>
      </c>
      <c r="F168" s="261">
        <f>F156*(1+'Economic Data'!$AC$15)</f>
        <v>921099.2400339999</v>
      </c>
      <c r="G168" s="3">
        <f t="shared" si="49"/>
        <v>0</v>
      </c>
      <c r="J168" s="3">
        <f t="shared" si="40"/>
        <v>-35488752.832239702</v>
      </c>
      <c r="K168" s="3">
        <f t="shared" si="41"/>
        <v>8621179.5602302477</v>
      </c>
      <c r="L168" s="3">
        <f t="shared" si="42"/>
        <v>57237127.086154379</v>
      </c>
      <c r="M168" s="3">
        <f t="shared" si="43"/>
        <v>0</v>
      </c>
      <c r="N168" s="3">
        <f t="shared" si="44"/>
        <v>0</v>
      </c>
      <c r="O168" s="47">
        <f t="shared" si="45"/>
        <v>30369553.814144924</v>
      </c>
      <c r="P168" s="47">
        <f>IFERROR(HLOOKUP(B168-1,'EV Forecast VRZ'!$F$124:$T$130,7,FALSE)/12,0)+IFERROR(((HLOOKUP(B168,'EV Forecast VRZ'!$F$116:$T$122,7,FALSE)-HLOOKUP(B168-1,'EV Forecast VRZ'!$F$124:$T$130,7,FALSE)))*C168/78,0)</f>
        <v>7753.1397886449313</v>
      </c>
      <c r="Q168" s="47">
        <f t="shared" si="26"/>
        <v>30377306.953933571</v>
      </c>
    </row>
    <row r="169" spans="1:17">
      <c r="A169" s="2">
        <f t="shared" si="46"/>
        <v>47483</v>
      </c>
      <c r="B169">
        <f t="shared" si="47"/>
        <v>2029</v>
      </c>
      <c r="C169">
        <f t="shared" si="48"/>
        <v>12</v>
      </c>
      <c r="E169" s="3">
        <v>19</v>
      </c>
      <c r="F169" s="261">
        <f>F157*(1+'Economic Data'!$AC$15)</f>
        <v>921099.2400339999</v>
      </c>
      <c r="G169" s="3">
        <f t="shared" si="49"/>
        <v>0</v>
      </c>
      <c r="J169" s="3">
        <f t="shared" si="40"/>
        <v>-35488752.832239702</v>
      </c>
      <c r="K169" s="3">
        <f t="shared" si="41"/>
        <v>7445564.1656533964</v>
      </c>
      <c r="L169" s="3">
        <f t="shared" si="42"/>
        <v>57237127.086154379</v>
      </c>
      <c r="M169" s="3">
        <f t="shared" si="43"/>
        <v>0</v>
      </c>
      <c r="N169" s="3">
        <f t="shared" si="44"/>
        <v>0</v>
      </c>
      <c r="O169" s="47">
        <f t="shared" si="45"/>
        <v>29193938.419568073</v>
      </c>
      <c r="P169" s="47">
        <f>IFERROR(HLOOKUP(B169-1,'EV Forecast VRZ'!$F$124:$T$130,7,FALSE)/12,0)+IFERROR(((HLOOKUP(B169,'EV Forecast VRZ'!$F$116:$T$122,7,FALSE)-HLOOKUP(B169-1,'EV Forecast VRZ'!$F$124:$T$130,7,FALSE)))*C169/78,0)</f>
        <v>7869.4986820667973</v>
      </c>
      <c r="Q169" s="47">
        <f t="shared" si="26"/>
        <v>29201807.91825014</v>
      </c>
    </row>
    <row r="170" spans="1:17">
      <c r="A170" s="2">
        <f t="shared" si="46"/>
        <v>47514</v>
      </c>
      <c r="B170">
        <f t="shared" si="47"/>
        <v>2030</v>
      </c>
      <c r="C170">
        <f t="shared" si="48"/>
        <v>1</v>
      </c>
      <c r="E170" s="3">
        <v>22</v>
      </c>
      <c r="F170" s="261">
        <f>F158*(1+'Economic Data'!$AC$15)</f>
        <v>937679.02635461197</v>
      </c>
      <c r="G170" s="3">
        <f t="shared" si="49"/>
        <v>0</v>
      </c>
      <c r="J170" s="3">
        <f t="shared" si="40"/>
        <v>-35488752.832239702</v>
      </c>
      <c r="K170" s="3">
        <f t="shared" si="41"/>
        <v>8621179.5602302477</v>
      </c>
      <c r="L170" s="3">
        <f t="shared" si="42"/>
        <v>58267395.373705156</v>
      </c>
      <c r="M170" s="3">
        <f t="shared" si="43"/>
        <v>0</v>
      </c>
      <c r="N170" s="3">
        <f t="shared" si="44"/>
        <v>0</v>
      </c>
      <c r="O170" s="47">
        <f t="shared" si="45"/>
        <v>31399822.101695701</v>
      </c>
      <c r="P170" s="47">
        <f>IFERROR(HLOOKUP(B170-1,'EV Forecast VRZ'!$F$124:$T$130,7,FALSE)/12,0)+IFERROR(((HLOOKUP(B170,'EV Forecast VRZ'!$F$116:$T$122,7,FALSE)-HLOOKUP(B170-1,'EV Forecast VRZ'!$F$124:$T$130,7,FALSE)))*C170/78,0)</f>
        <v>8121.6836636940297</v>
      </c>
      <c r="Q170" s="47">
        <f t="shared" si="26"/>
        <v>31407943.785359394</v>
      </c>
    </row>
    <row r="171" spans="1:17">
      <c r="A171" s="2">
        <f t="shared" si="46"/>
        <v>47542</v>
      </c>
      <c r="B171">
        <f t="shared" si="47"/>
        <v>2030</v>
      </c>
      <c r="C171">
        <f t="shared" si="48"/>
        <v>2</v>
      </c>
      <c r="E171" s="3">
        <v>19</v>
      </c>
      <c r="F171" s="261">
        <f>F159*(1+'Economic Data'!$AC$15)</f>
        <v>937679.02635461197</v>
      </c>
      <c r="G171" s="3">
        <f t="shared" si="49"/>
        <v>0</v>
      </c>
      <c r="J171" s="3">
        <f t="shared" si="40"/>
        <v>-35488752.832239702</v>
      </c>
      <c r="K171" s="3">
        <f t="shared" si="41"/>
        <v>7445564.1656533964</v>
      </c>
      <c r="L171" s="3">
        <f t="shared" si="42"/>
        <v>58267395.373705156</v>
      </c>
      <c r="M171" s="3">
        <f t="shared" si="43"/>
        <v>0</v>
      </c>
      <c r="N171" s="3">
        <f t="shared" si="44"/>
        <v>0</v>
      </c>
      <c r="O171" s="47">
        <f t="shared" si="45"/>
        <v>30224206.70711885</v>
      </c>
      <c r="P171" s="47">
        <f>IFERROR(HLOOKUP(B171-1,'EV Forecast VRZ'!$F$124:$T$130,7,FALSE)/12,0)+IFERROR(((HLOOKUP(B171,'EV Forecast VRZ'!$F$116:$T$122,7,FALSE)-HLOOKUP(B171-1,'EV Forecast VRZ'!$F$124:$T$130,7,FALSE)))*C171/78,0)</f>
        <v>8257.5097518993935</v>
      </c>
      <c r="Q171" s="47">
        <f t="shared" ref="Q171:Q193" si="50">O171+P171</f>
        <v>30232464.216870751</v>
      </c>
    </row>
    <row r="172" spans="1:17">
      <c r="A172" s="2">
        <f t="shared" si="46"/>
        <v>47573</v>
      </c>
      <c r="B172">
        <f t="shared" si="47"/>
        <v>2030</v>
      </c>
      <c r="C172">
        <f t="shared" si="48"/>
        <v>3</v>
      </c>
      <c r="E172" s="3">
        <v>21</v>
      </c>
      <c r="F172" s="261">
        <f>F160*(1+'Economic Data'!$AC$15)</f>
        <v>937679.02635461197</v>
      </c>
      <c r="G172" s="3">
        <f t="shared" si="49"/>
        <v>1</v>
      </c>
      <c r="J172" s="3">
        <f t="shared" si="40"/>
        <v>-35488752.832239702</v>
      </c>
      <c r="K172" s="3">
        <f t="shared" si="41"/>
        <v>8229307.7620379645</v>
      </c>
      <c r="L172" s="3">
        <f t="shared" si="42"/>
        <v>58267395.373705156</v>
      </c>
      <c r="M172" s="3">
        <f t="shared" si="43"/>
        <v>0</v>
      </c>
      <c r="N172" s="3">
        <f t="shared" si="44"/>
        <v>0</v>
      </c>
      <c r="O172" s="47">
        <f t="shared" si="45"/>
        <v>31007950.303503416</v>
      </c>
      <c r="P172" s="47">
        <f>IFERROR(HLOOKUP(B172-1,'EV Forecast VRZ'!$F$124:$T$130,7,FALSE)/12,0)+IFERROR(((HLOOKUP(B172,'EV Forecast VRZ'!$F$116:$T$122,7,FALSE)-HLOOKUP(B172-1,'EV Forecast VRZ'!$F$124:$T$130,7,FALSE)))*C172/78,0)</f>
        <v>8393.3358401047572</v>
      </c>
      <c r="Q172" s="47">
        <f t="shared" si="50"/>
        <v>31016343.639343522</v>
      </c>
    </row>
    <row r="173" spans="1:17">
      <c r="A173" s="2">
        <f t="shared" si="46"/>
        <v>47603</v>
      </c>
      <c r="B173">
        <f t="shared" si="47"/>
        <v>2030</v>
      </c>
      <c r="C173">
        <f t="shared" si="48"/>
        <v>4</v>
      </c>
      <c r="E173" s="3">
        <v>21</v>
      </c>
      <c r="F173" s="261">
        <f>F161*(1+'Economic Data'!$AC$15)</f>
        <v>937679.02635461197</v>
      </c>
      <c r="G173" s="3">
        <f t="shared" si="49"/>
        <v>1</v>
      </c>
      <c r="J173" s="3">
        <f t="shared" si="40"/>
        <v>-35488752.832239702</v>
      </c>
      <c r="K173" s="3">
        <f t="shared" si="41"/>
        <v>8229307.7620379645</v>
      </c>
      <c r="L173" s="3">
        <f t="shared" si="42"/>
        <v>58267395.373705156</v>
      </c>
      <c r="M173" s="3">
        <f t="shared" si="43"/>
        <v>0</v>
      </c>
      <c r="N173" s="3">
        <f t="shared" si="44"/>
        <v>0</v>
      </c>
      <c r="O173" s="47">
        <f t="shared" si="45"/>
        <v>31007950.303503416</v>
      </c>
      <c r="P173" s="47">
        <f>IFERROR(HLOOKUP(B173-1,'EV Forecast VRZ'!$F$124:$T$130,7,FALSE)/12,0)+IFERROR(((HLOOKUP(B173,'EV Forecast VRZ'!$F$116:$T$122,7,FALSE)-HLOOKUP(B173-1,'EV Forecast VRZ'!$F$124:$T$130,7,FALSE)))*C173/78,0)</f>
        <v>8529.1619283101227</v>
      </c>
      <c r="Q173" s="47">
        <f t="shared" si="50"/>
        <v>31016479.465431727</v>
      </c>
    </row>
    <row r="174" spans="1:17">
      <c r="A174" s="2">
        <f t="shared" si="46"/>
        <v>47634</v>
      </c>
      <c r="B174">
        <f t="shared" si="47"/>
        <v>2030</v>
      </c>
      <c r="C174">
        <f t="shared" si="48"/>
        <v>5</v>
      </c>
      <c r="E174" s="3">
        <v>22</v>
      </c>
      <c r="F174" s="261">
        <f>F162*(1+'Economic Data'!$AC$15)</f>
        <v>937679.02635461197</v>
      </c>
      <c r="G174" s="3">
        <f t="shared" si="49"/>
        <v>1</v>
      </c>
      <c r="J174" s="3">
        <f t="shared" si="40"/>
        <v>-35488752.832239702</v>
      </c>
      <c r="K174" s="3">
        <f t="shared" si="41"/>
        <v>8621179.5602302477</v>
      </c>
      <c r="L174" s="3">
        <f t="shared" si="42"/>
        <v>58267395.373705156</v>
      </c>
      <c r="M174" s="3">
        <f t="shared" si="43"/>
        <v>0</v>
      </c>
      <c r="N174" s="3">
        <f t="shared" si="44"/>
        <v>0</v>
      </c>
      <c r="O174" s="47">
        <f t="shared" si="45"/>
        <v>31399822.101695701</v>
      </c>
      <c r="P174" s="47">
        <f>IFERROR(HLOOKUP(B174-1,'EV Forecast VRZ'!$F$124:$T$130,7,FALSE)/12,0)+IFERROR(((HLOOKUP(B174,'EV Forecast VRZ'!$F$116:$T$122,7,FALSE)-HLOOKUP(B174-1,'EV Forecast VRZ'!$F$124:$T$130,7,FALSE)))*C174/78,0)</f>
        <v>8664.9880165154864</v>
      </c>
      <c r="Q174" s="47">
        <f t="shared" si="50"/>
        <v>31408487.089712217</v>
      </c>
    </row>
    <row r="175" spans="1:17">
      <c r="A175" s="2">
        <f t="shared" si="46"/>
        <v>47664</v>
      </c>
      <c r="B175">
        <f t="shared" si="47"/>
        <v>2030</v>
      </c>
      <c r="C175">
        <f t="shared" si="48"/>
        <v>6</v>
      </c>
      <c r="E175" s="3">
        <v>20</v>
      </c>
      <c r="F175" s="261">
        <f>F163*(1+'Economic Data'!$AC$15)</f>
        <v>937679.02635461197</v>
      </c>
      <c r="G175" s="3">
        <f t="shared" si="49"/>
        <v>0</v>
      </c>
      <c r="J175" s="3">
        <f t="shared" si="40"/>
        <v>-35488752.832239702</v>
      </c>
      <c r="K175" s="3">
        <f t="shared" si="41"/>
        <v>7837435.9638456805</v>
      </c>
      <c r="L175" s="3">
        <f t="shared" si="42"/>
        <v>58267395.373705156</v>
      </c>
      <c r="M175" s="3">
        <f t="shared" si="43"/>
        <v>0</v>
      </c>
      <c r="N175" s="3">
        <f t="shared" si="44"/>
        <v>0</v>
      </c>
      <c r="O175" s="47">
        <f t="shared" si="45"/>
        <v>30616078.505311135</v>
      </c>
      <c r="P175" s="47">
        <f>IFERROR(HLOOKUP(B175-1,'EV Forecast VRZ'!$F$124:$T$130,7,FALSE)/12,0)+IFERROR(((HLOOKUP(B175,'EV Forecast VRZ'!$F$116:$T$122,7,FALSE)-HLOOKUP(B175-1,'EV Forecast VRZ'!$F$124:$T$130,7,FALSE)))*C175/78,0)</f>
        <v>8800.8141047208501</v>
      </c>
      <c r="Q175" s="47">
        <f t="shared" si="50"/>
        <v>30624879.319415856</v>
      </c>
    </row>
    <row r="176" spans="1:17">
      <c r="A176" s="2">
        <f t="shared" si="46"/>
        <v>47695</v>
      </c>
      <c r="B176">
        <f t="shared" si="47"/>
        <v>2030</v>
      </c>
      <c r="C176">
        <f t="shared" si="48"/>
        <v>7</v>
      </c>
      <c r="E176" s="3">
        <v>22</v>
      </c>
      <c r="F176" s="261">
        <f>F164*(1+'Economic Data'!$AC$15)</f>
        <v>937679.02635461197</v>
      </c>
      <c r="G176" s="3">
        <f t="shared" si="49"/>
        <v>0</v>
      </c>
      <c r="J176" s="3">
        <f t="shared" si="40"/>
        <v>-35488752.832239702</v>
      </c>
      <c r="K176" s="3">
        <f t="shared" si="41"/>
        <v>8621179.5602302477</v>
      </c>
      <c r="L176" s="3">
        <f t="shared" si="42"/>
        <v>58267395.373705156</v>
      </c>
      <c r="M176" s="3">
        <f t="shared" si="43"/>
        <v>0</v>
      </c>
      <c r="N176" s="3">
        <f t="shared" si="44"/>
        <v>0</v>
      </c>
      <c r="O176" s="47">
        <f t="shared" si="45"/>
        <v>31399822.101695701</v>
      </c>
      <c r="P176" s="47">
        <f>IFERROR(HLOOKUP(B176-1,'EV Forecast VRZ'!$F$124:$T$130,7,FALSE)/12,0)+IFERROR(((HLOOKUP(B176,'EV Forecast VRZ'!$F$116:$T$122,7,FALSE)-HLOOKUP(B176-1,'EV Forecast VRZ'!$F$124:$T$130,7,FALSE)))*C176/78,0)</f>
        <v>8936.6401929262138</v>
      </c>
      <c r="Q176" s="47">
        <f t="shared" si="50"/>
        <v>31408758.741888627</v>
      </c>
    </row>
    <row r="177" spans="1:17">
      <c r="A177" s="2">
        <f t="shared" si="46"/>
        <v>47726</v>
      </c>
      <c r="B177">
        <f t="shared" si="47"/>
        <v>2030</v>
      </c>
      <c r="C177">
        <f t="shared" si="48"/>
        <v>8</v>
      </c>
      <c r="E177" s="3">
        <v>21</v>
      </c>
      <c r="F177" s="261">
        <f>F165*(1+'Economic Data'!$AC$15)</f>
        <v>937679.02635461197</v>
      </c>
      <c r="G177" s="3">
        <f t="shared" si="49"/>
        <v>0</v>
      </c>
      <c r="J177" s="3">
        <f t="shared" si="40"/>
        <v>-35488752.832239702</v>
      </c>
      <c r="K177" s="3">
        <f t="shared" si="41"/>
        <v>8229307.7620379645</v>
      </c>
      <c r="L177" s="3">
        <f t="shared" si="42"/>
        <v>58267395.373705156</v>
      </c>
      <c r="M177" s="3">
        <f t="shared" si="43"/>
        <v>0</v>
      </c>
      <c r="N177" s="3">
        <f t="shared" si="44"/>
        <v>0</v>
      </c>
      <c r="O177" s="47">
        <f t="shared" si="45"/>
        <v>31007950.303503416</v>
      </c>
      <c r="P177" s="47">
        <f>IFERROR(HLOOKUP(B177-1,'EV Forecast VRZ'!$F$124:$T$130,7,FALSE)/12,0)+IFERROR(((HLOOKUP(B177,'EV Forecast VRZ'!$F$116:$T$122,7,FALSE)-HLOOKUP(B177-1,'EV Forecast VRZ'!$F$124:$T$130,7,FALSE)))*C177/78,0)</f>
        <v>9072.4662811315793</v>
      </c>
      <c r="Q177" s="47">
        <f t="shared" si="50"/>
        <v>31017022.769784547</v>
      </c>
    </row>
    <row r="178" spans="1:17">
      <c r="A178" s="2">
        <f t="shared" si="46"/>
        <v>47756</v>
      </c>
      <c r="B178">
        <f t="shared" si="47"/>
        <v>2030</v>
      </c>
      <c r="C178">
        <f t="shared" si="48"/>
        <v>9</v>
      </c>
      <c r="E178" s="3">
        <v>20</v>
      </c>
      <c r="F178" s="261">
        <f>F166*(1+'Economic Data'!$AC$15)</f>
        <v>937679.02635461197</v>
      </c>
      <c r="G178" s="3">
        <f t="shared" si="49"/>
        <v>0</v>
      </c>
      <c r="J178" s="3">
        <f t="shared" si="40"/>
        <v>-35488752.832239702</v>
      </c>
      <c r="K178" s="3">
        <f t="shared" si="41"/>
        <v>7837435.9638456805</v>
      </c>
      <c r="L178" s="3">
        <f t="shared" si="42"/>
        <v>58267395.373705156</v>
      </c>
      <c r="M178" s="3">
        <f t="shared" si="43"/>
        <v>0</v>
      </c>
      <c r="N178" s="3">
        <f t="shared" si="44"/>
        <v>0</v>
      </c>
      <c r="O178" s="47">
        <f t="shared" si="45"/>
        <v>30616078.505311135</v>
      </c>
      <c r="P178" s="47">
        <f>IFERROR(HLOOKUP(B178-1,'EV Forecast VRZ'!$F$124:$T$130,7,FALSE)/12,0)+IFERROR(((HLOOKUP(B178,'EV Forecast VRZ'!$F$116:$T$122,7,FALSE)-HLOOKUP(B178-1,'EV Forecast VRZ'!$F$124:$T$130,7,FALSE)))*C178/78,0)</f>
        <v>9208.292369336943</v>
      </c>
      <c r="Q178" s="47">
        <f t="shared" si="50"/>
        <v>30625286.797680471</v>
      </c>
    </row>
    <row r="179" spans="1:17">
      <c r="A179" s="2">
        <f t="shared" si="46"/>
        <v>47787</v>
      </c>
      <c r="B179">
        <f t="shared" si="47"/>
        <v>2030</v>
      </c>
      <c r="C179">
        <f t="shared" si="48"/>
        <v>10</v>
      </c>
      <c r="E179" s="3">
        <v>22</v>
      </c>
      <c r="F179" s="261">
        <f>F167*(1+'Economic Data'!$AC$15)</f>
        <v>937679.02635461197</v>
      </c>
      <c r="G179" s="3">
        <f t="shared" si="49"/>
        <v>0</v>
      </c>
      <c r="J179" s="3">
        <f t="shared" si="40"/>
        <v>-35488752.832239702</v>
      </c>
      <c r="K179" s="3">
        <f t="shared" si="41"/>
        <v>8621179.5602302477</v>
      </c>
      <c r="L179" s="3">
        <f t="shared" si="42"/>
        <v>58267395.373705156</v>
      </c>
      <c r="M179" s="3">
        <f t="shared" si="43"/>
        <v>0</v>
      </c>
      <c r="N179" s="3">
        <f t="shared" si="44"/>
        <v>0</v>
      </c>
      <c r="O179" s="47">
        <f t="shared" si="45"/>
        <v>31399822.101695701</v>
      </c>
      <c r="P179" s="47">
        <f>IFERROR(HLOOKUP(B179-1,'EV Forecast VRZ'!$F$124:$T$130,7,FALSE)/12,0)+IFERROR(((HLOOKUP(B179,'EV Forecast VRZ'!$F$116:$T$122,7,FALSE)-HLOOKUP(B179-1,'EV Forecast VRZ'!$F$124:$T$130,7,FALSE)))*C179/78,0)</f>
        <v>9344.1184575423067</v>
      </c>
      <c r="Q179" s="47">
        <f t="shared" si="50"/>
        <v>31409166.220153242</v>
      </c>
    </row>
    <row r="180" spans="1:17">
      <c r="A180" s="2">
        <f t="shared" si="46"/>
        <v>47817</v>
      </c>
      <c r="B180">
        <f t="shared" si="47"/>
        <v>2030</v>
      </c>
      <c r="C180">
        <f t="shared" si="48"/>
        <v>11</v>
      </c>
      <c r="E180" s="3">
        <v>21</v>
      </c>
      <c r="F180" s="261">
        <f>F168*(1+'Economic Data'!$AC$15)</f>
        <v>937679.02635461197</v>
      </c>
      <c r="G180" s="3">
        <f t="shared" si="49"/>
        <v>0</v>
      </c>
      <c r="J180" s="3">
        <f t="shared" si="40"/>
        <v>-35488752.832239702</v>
      </c>
      <c r="K180" s="3">
        <f t="shared" si="41"/>
        <v>8229307.7620379645</v>
      </c>
      <c r="L180" s="3">
        <f t="shared" si="42"/>
        <v>58267395.373705156</v>
      </c>
      <c r="M180" s="3">
        <f t="shared" si="43"/>
        <v>0</v>
      </c>
      <c r="N180" s="3">
        <f t="shared" si="44"/>
        <v>0</v>
      </c>
      <c r="O180" s="47">
        <f t="shared" si="45"/>
        <v>31007950.303503416</v>
      </c>
      <c r="P180" s="47">
        <f>IFERROR(HLOOKUP(B180-1,'EV Forecast VRZ'!$F$124:$T$130,7,FALSE)/12,0)+IFERROR(((HLOOKUP(B180,'EV Forecast VRZ'!$F$116:$T$122,7,FALSE)-HLOOKUP(B180-1,'EV Forecast VRZ'!$F$124:$T$130,7,FALSE)))*C180/78,0)</f>
        <v>9479.9445457476722</v>
      </c>
      <c r="Q180" s="47">
        <f t="shared" si="50"/>
        <v>31017430.248049162</v>
      </c>
    </row>
    <row r="181" spans="1:17">
      <c r="A181" s="2">
        <f t="shared" si="46"/>
        <v>47848</v>
      </c>
      <c r="B181">
        <f t="shared" si="47"/>
        <v>2030</v>
      </c>
      <c r="C181">
        <f t="shared" si="48"/>
        <v>12</v>
      </c>
      <c r="E181" s="3">
        <v>20</v>
      </c>
      <c r="F181" s="261">
        <f>F169*(1+'Economic Data'!$AC$15)</f>
        <v>937679.02635461197</v>
      </c>
      <c r="G181" s="3">
        <f t="shared" si="49"/>
        <v>0</v>
      </c>
      <c r="J181" s="3">
        <f t="shared" si="40"/>
        <v>-35488752.832239702</v>
      </c>
      <c r="K181" s="3">
        <f t="shared" si="41"/>
        <v>7837435.9638456805</v>
      </c>
      <c r="L181" s="3">
        <f t="shared" si="42"/>
        <v>58267395.373705156</v>
      </c>
      <c r="M181" s="3">
        <f t="shared" si="43"/>
        <v>0</v>
      </c>
      <c r="N181" s="3">
        <f t="shared" si="44"/>
        <v>0</v>
      </c>
      <c r="O181" s="47">
        <f t="shared" si="45"/>
        <v>30616078.505311135</v>
      </c>
      <c r="P181" s="47">
        <f>IFERROR(HLOOKUP(B181-1,'EV Forecast VRZ'!$F$124:$T$130,7,FALSE)/12,0)+IFERROR(((HLOOKUP(B181,'EV Forecast VRZ'!$F$116:$T$122,7,FALSE)-HLOOKUP(B181-1,'EV Forecast VRZ'!$F$124:$T$130,7,FALSE)))*C181/78,0)</f>
        <v>9615.7706339530359</v>
      </c>
      <c r="Q181" s="47">
        <f t="shared" si="50"/>
        <v>30625694.27594509</v>
      </c>
    </row>
    <row r="182" spans="1:17">
      <c r="A182" s="2">
        <f t="shared" si="46"/>
        <v>47879</v>
      </c>
      <c r="B182">
        <f t="shared" si="47"/>
        <v>2031</v>
      </c>
      <c r="C182">
        <f t="shared" si="48"/>
        <v>1</v>
      </c>
      <c r="E182" s="3">
        <v>22</v>
      </c>
      <c r="F182" s="261">
        <f>F170*(1+'Economic Data'!$AC$15)</f>
        <v>954557.24882899504</v>
      </c>
      <c r="G182" s="3">
        <f t="shared" si="49"/>
        <v>0</v>
      </c>
      <c r="J182" s="3">
        <f t="shared" si="40"/>
        <v>-35488752.832239702</v>
      </c>
      <c r="K182" s="3">
        <f t="shared" si="41"/>
        <v>8621179.5602302477</v>
      </c>
      <c r="L182" s="3">
        <f t="shared" si="42"/>
        <v>59316208.490431853</v>
      </c>
      <c r="M182" s="3">
        <f t="shared" si="43"/>
        <v>0</v>
      </c>
      <c r="N182" s="3">
        <f t="shared" si="44"/>
        <v>0</v>
      </c>
      <c r="O182" s="47">
        <f t="shared" si="45"/>
        <v>32448635.218422398</v>
      </c>
      <c r="P182" s="47">
        <f>IFERROR(HLOOKUP(B182-1,'EV Forecast VRZ'!$F$124:$T$130,7,FALSE)/12,0)+IFERROR(((HLOOKUP(B182,'EV Forecast VRZ'!$F$116:$T$122,7,FALSE)-HLOOKUP(B182-1,'EV Forecast VRZ'!$F$124:$T$130,7,FALSE)))*C182/78,0)</f>
        <v>9907.6221493812354</v>
      </c>
      <c r="Q182" s="47">
        <f t="shared" si="50"/>
        <v>32458542.84057178</v>
      </c>
    </row>
    <row r="183" spans="1:17">
      <c r="A183" s="2">
        <f t="shared" si="46"/>
        <v>47907</v>
      </c>
      <c r="B183">
        <f t="shared" si="47"/>
        <v>2031</v>
      </c>
      <c r="C183">
        <f t="shared" si="48"/>
        <v>2</v>
      </c>
      <c r="E183" s="3">
        <v>19</v>
      </c>
      <c r="F183" s="261">
        <f>F171*(1+'Economic Data'!$AC$15)</f>
        <v>954557.24882899504</v>
      </c>
      <c r="G183" s="3">
        <f t="shared" si="49"/>
        <v>0</v>
      </c>
      <c r="J183" s="3">
        <f t="shared" si="40"/>
        <v>-35488752.832239702</v>
      </c>
      <c r="K183" s="3">
        <f t="shared" si="41"/>
        <v>7445564.1656533964</v>
      </c>
      <c r="L183" s="3">
        <f t="shared" si="42"/>
        <v>59316208.490431853</v>
      </c>
      <c r="M183" s="3">
        <f t="shared" si="43"/>
        <v>0</v>
      </c>
      <c r="N183" s="3">
        <f t="shared" si="44"/>
        <v>0</v>
      </c>
      <c r="O183" s="47">
        <f t="shared" si="45"/>
        <v>31273019.823845547</v>
      </c>
      <c r="P183" s="47">
        <f>IFERROR(HLOOKUP(B183-1,'EV Forecast VRZ'!$F$124:$T$130,7,FALSE)/12,0)+IFERROR(((HLOOKUP(B183,'EV Forecast VRZ'!$F$116:$T$122,7,FALSE)-HLOOKUP(B183-1,'EV Forecast VRZ'!$F$124:$T$130,7,FALSE)))*C183/78,0)</f>
        <v>10063.647576604068</v>
      </c>
      <c r="Q183" s="47">
        <f t="shared" si="50"/>
        <v>31283083.471422151</v>
      </c>
    </row>
    <row r="184" spans="1:17">
      <c r="A184" s="2">
        <f t="shared" si="46"/>
        <v>47938</v>
      </c>
      <c r="B184">
        <f t="shared" si="47"/>
        <v>2031</v>
      </c>
      <c r="C184">
        <f t="shared" si="48"/>
        <v>3</v>
      </c>
      <c r="E184" s="3">
        <v>21</v>
      </c>
      <c r="F184" s="261">
        <f>F172*(1+'Economic Data'!$AC$15)</f>
        <v>954557.24882899504</v>
      </c>
      <c r="G184" s="3">
        <f t="shared" si="49"/>
        <v>1</v>
      </c>
      <c r="J184" s="3">
        <f t="shared" si="40"/>
        <v>-35488752.832239702</v>
      </c>
      <c r="K184" s="3">
        <f t="shared" si="41"/>
        <v>8229307.7620379645</v>
      </c>
      <c r="L184" s="3">
        <f t="shared" si="42"/>
        <v>59316208.490431853</v>
      </c>
      <c r="M184" s="3">
        <f t="shared" si="43"/>
        <v>0</v>
      </c>
      <c r="N184" s="3">
        <f t="shared" si="44"/>
        <v>0</v>
      </c>
      <c r="O184" s="47">
        <f t="shared" si="45"/>
        <v>32056763.420230113</v>
      </c>
      <c r="P184" s="47">
        <f>IFERROR(HLOOKUP(B184-1,'EV Forecast VRZ'!$F$124:$T$130,7,FALSE)/12,0)+IFERROR(((HLOOKUP(B184,'EV Forecast VRZ'!$F$116:$T$122,7,FALSE)-HLOOKUP(B184-1,'EV Forecast VRZ'!$F$124:$T$130,7,FALSE)))*C184/78,0)</f>
        <v>10219.673003826902</v>
      </c>
      <c r="Q184" s="47">
        <f t="shared" si="50"/>
        <v>32066983.093233939</v>
      </c>
    </row>
    <row r="185" spans="1:17">
      <c r="A185" s="2">
        <f t="shared" si="46"/>
        <v>47968</v>
      </c>
      <c r="B185">
        <f t="shared" si="47"/>
        <v>2031</v>
      </c>
      <c r="C185">
        <f t="shared" si="48"/>
        <v>4</v>
      </c>
      <c r="E185" s="3">
        <v>21</v>
      </c>
      <c r="F185" s="261">
        <f>F173*(1+'Economic Data'!$AC$15)</f>
        <v>954557.24882899504</v>
      </c>
      <c r="G185" s="3">
        <f t="shared" si="49"/>
        <v>1</v>
      </c>
      <c r="J185" s="3">
        <f t="shared" si="40"/>
        <v>-35488752.832239702</v>
      </c>
      <c r="K185" s="3">
        <f t="shared" si="41"/>
        <v>8229307.7620379645</v>
      </c>
      <c r="L185" s="3">
        <f t="shared" si="42"/>
        <v>59316208.490431853</v>
      </c>
      <c r="M185" s="3">
        <f t="shared" si="43"/>
        <v>0</v>
      </c>
      <c r="N185" s="3">
        <f t="shared" si="44"/>
        <v>0</v>
      </c>
      <c r="O185" s="47">
        <f t="shared" si="45"/>
        <v>32056763.420230113</v>
      </c>
      <c r="P185" s="47">
        <f>IFERROR(HLOOKUP(B185-1,'EV Forecast VRZ'!$F$124:$T$130,7,FALSE)/12,0)+IFERROR(((HLOOKUP(B185,'EV Forecast VRZ'!$F$116:$T$122,7,FALSE)-HLOOKUP(B185-1,'EV Forecast VRZ'!$F$124:$T$130,7,FALSE)))*C185/78,0)</f>
        <v>10375.698431049736</v>
      </c>
      <c r="Q185" s="47">
        <f t="shared" si="50"/>
        <v>32067139.118661162</v>
      </c>
    </row>
    <row r="186" spans="1:17">
      <c r="A186" s="2">
        <f t="shared" si="46"/>
        <v>47999</v>
      </c>
      <c r="B186">
        <f t="shared" si="47"/>
        <v>2031</v>
      </c>
      <c r="C186">
        <f t="shared" si="48"/>
        <v>5</v>
      </c>
      <c r="E186" s="3">
        <v>21</v>
      </c>
      <c r="F186" s="261">
        <f>F174*(1+'Economic Data'!$AC$15)</f>
        <v>954557.24882899504</v>
      </c>
      <c r="G186" s="3">
        <f t="shared" si="49"/>
        <v>1</v>
      </c>
      <c r="J186" s="3">
        <f t="shared" si="40"/>
        <v>-35488752.832239702</v>
      </c>
      <c r="K186" s="3">
        <f t="shared" si="41"/>
        <v>8229307.7620379645</v>
      </c>
      <c r="L186" s="3">
        <f t="shared" si="42"/>
        <v>59316208.490431853</v>
      </c>
      <c r="M186" s="3">
        <f t="shared" si="43"/>
        <v>0</v>
      </c>
      <c r="N186" s="3">
        <f t="shared" si="44"/>
        <v>0</v>
      </c>
      <c r="O186" s="47">
        <f t="shared" si="45"/>
        <v>32056763.420230113</v>
      </c>
      <c r="P186" s="47">
        <f>IFERROR(HLOOKUP(B186-1,'EV Forecast VRZ'!$F$124:$T$130,7,FALSE)/12,0)+IFERROR(((HLOOKUP(B186,'EV Forecast VRZ'!$F$116:$T$122,7,FALSE)-HLOOKUP(B186-1,'EV Forecast VRZ'!$F$124:$T$130,7,FALSE)))*C186/78,0)</f>
        <v>10531.723858272568</v>
      </c>
      <c r="Q186" s="47">
        <f t="shared" si="50"/>
        <v>32067295.144088384</v>
      </c>
    </row>
    <row r="187" spans="1:17">
      <c r="A187" s="2">
        <f t="shared" si="46"/>
        <v>48029</v>
      </c>
      <c r="B187">
        <f t="shared" si="47"/>
        <v>2031</v>
      </c>
      <c r="C187">
        <f t="shared" si="48"/>
        <v>6</v>
      </c>
      <c r="E187" s="3">
        <v>21</v>
      </c>
      <c r="F187" s="261">
        <f>F175*(1+'Economic Data'!$AC$15)</f>
        <v>954557.24882899504</v>
      </c>
      <c r="G187" s="3">
        <f t="shared" si="49"/>
        <v>0</v>
      </c>
      <c r="J187" s="3">
        <f t="shared" si="40"/>
        <v>-35488752.832239702</v>
      </c>
      <c r="K187" s="3">
        <f t="shared" si="41"/>
        <v>8229307.7620379645</v>
      </c>
      <c r="L187" s="3">
        <f t="shared" si="42"/>
        <v>59316208.490431853</v>
      </c>
      <c r="M187" s="3">
        <f t="shared" si="43"/>
        <v>0</v>
      </c>
      <c r="N187" s="3">
        <f t="shared" si="44"/>
        <v>0</v>
      </c>
      <c r="O187" s="47">
        <f t="shared" si="45"/>
        <v>32056763.420230113</v>
      </c>
      <c r="P187" s="47">
        <f>IFERROR(HLOOKUP(B187-1,'EV Forecast VRZ'!$F$124:$T$130,7,FALSE)/12,0)+IFERROR(((HLOOKUP(B187,'EV Forecast VRZ'!$F$116:$T$122,7,FALSE)-HLOOKUP(B187-1,'EV Forecast VRZ'!$F$124:$T$130,7,FALSE)))*C187/78,0)</f>
        <v>10687.749285495402</v>
      </c>
      <c r="Q187" s="47">
        <f t="shared" si="50"/>
        <v>32067451.16951561</v>
      </c>
    </row>
    <row r="188" spans="1:17">
      <c r="A188" s="2">
        <f t="shared" si="46"/>
        <v>48060</v>
      </c>
      <c r="B188">
        <f t="shared" si="47"/>
        <v>2031</v>
      </c>
      <c r="C188">
        <f t="shared" si="48"/>
        <v>7</v>
      </c>
      <c r="E188" s="3">
        <v>22</v>
      </c>
      <c r="F188" s="261">
        <f>F176*(1+'Economic Data'!$AC$15)</f>
        <v>954557.24882899504</v>
      </c>
      <c r="G188" s="3">
        <f t="shared" si="49"/>
        <v>0</v>
      </c>
      <c r="J188" s="3">
        <f t="shared" si="40"/>
        <v>-35488752.832239702</v>
      </c>
      <c r="K188" s="3">
        <f t="shared" si="41"/>
        <v>8621179.5602302477</v>
      </c>
      <c r="L188" s="3">
        <f t="shared" si="42"/>
        <v>59316208.490431853</v>
      </c>
      <c r="M188" s="3">
        <f t="shared" si="43"/>
        <v>0</v>
      </c>
      <c r="N188" s="3">
        <f t="shared" si="44"/>
        <v>0</v>
      </c>
      <c r="O188" s="47">
        <f t="shared" si="45"/>
        <v>32448635.218422398</v>
      </c>
      <c r="P188" s="47">
        <f>IFERROR(HLOOKUP(B188-1,'EV Forecast VRZ'!$F$124:$T$130,7,FALSE)/12,0)+IFERROR(((HLOOKUP(B188,'EV Forecast VRZ'!$F$116:$T$122,7,FALSE)-HLOOKUP(B188-1,'EV Forecast VRZ'!$F$124:$T$130,7,FALSE)))*C188/78,0)</f>
        <v>10843.774712718236</v>
      </c>
      <c r="Q188" s="47">
        <f t="shared" si="50"/>
        <v>32459478.993135117</v>
      </c>
    </row>
    <row r="189" spans="1:17">
      <c r="A189" s="2">
        <f t="shared" si="46"/>
        <v>48091</v>
      </c>
      <c r="B189">
        <f t="shared" si="47"/>
        <v>2031</v>
      </c>
      <c r="C189">
        <f t="shared" si="48"/>
        <v>8</v>
      </c>
      <c r="E189" s="3">
        <v>20</v>
      </c>
      <c r="F189" s="261">
        <f>F177*(1+'Economic Data'!$AC$15)</f>
        <v>954557.24882899504</v>
      </c>
      <c r="G189" s="3">
        <f t="shared" si="49"/>
        <v>0</v>
      </c>
      <c r="J189" s="3">
        <f t="shared" si="40"/>
        <v>-35488752.832239702</v>
      </c>
      <c r="K189" s="3">
        <f t="shared" si="41"/>
        <v>7837435.9638456805</v>
      </c>
      <c r="L189" s="3">
        <f t="shared" si="42"/>
        <v>59316208.490431853</v>
      </c>
      <c r="M189" s="3">
        <f t="shared" si="43"/>
        <v>0</v>
      </c>
      <c r="N189" s="3">
        <f t="shared" si="44"/>
        <v>0</v>
      </c>
      <c r="O189" s="47">
        <f t="shared" si="45"/>
        <v>31664891.622037832</v>
      </c>
      <c r="P189" s="47">
        <f>IFERROR(HLOOKUP(B189-1,'EV Forecast VRZ'!$F$124:$T$130,7,FALSE)/12,0)+IFERROR(((HLOOKUP(B189,'EV Forecast VRZ'!$F$116:$T$122,7,FALSE)-HLOOKUP(B189-1,'EV Forecast VRZ'!$F$124:$T$130,7,FALSE)))*C189/78,0)</f>
        <v>10999.800139941068</v>
      </c>
      <c r="Q189" s="47">
        <f t="shared" si="50"/>
        <v>31675891.422177773</v>
      </c>
    </row>
    <row r="190" spans="1:17">
      <c r="A190" s="2">
        <f t="shared" si="46"/>
        <v>48121</v>
      </c>
      <c r="B190">
        <f t="shared" si="47"/>
        <v>2031</v>
      </c>
      <c r="C190">
        <f t="shared" si="48"/>
        <v>9</v>
      </c>
      <c r="E190" s="3">
        <v>21</v>
      </c>
      <c r="F190" s="261">
        <f>F178*(1+'Economic Data'!$AC$15)</f>
        <v>954557.24882899504</v>
      </c>
      <c r="G190" s="3">
        <f t="shared" si="49"/>
        <v>0</v>
      </c>
      <c r="J190" s="3">
        <f t="shared" si="40"/>
        <v>-35488752.832239702</v>
      </c>
      <c r="K190" s="3">
        <f t="shared" si="41"/>
        <v>8229307.7620379645</v>
      </c>
      <c r="L190" s="3">
        <f t="shared" si="42"/>
        <v>59316208.490431853</v>
      </c>
      <c r="M190" s="3">
        <f t="shared" si="43"/>
        <v>0</v>
      </c>
      <c r="N190" s="3">
        <f t="shared" si="44"/>
        <v>0</v>
      </c>
      <c r="O190" s="47">
        <f t="shared" si="45"/>
        <v>32056763.420230113</v>
      </c>
      <c r="P190" s="47">
        <f>IFERROR(HLOOKUP(B190-1,'EV Forecast VRZ'!$F$124:$T$130,7,FALSE)/12,0)+IFERROR(((HLOOKUP(B190,'EV Forecast VRZ'!$F$116:$T$122,7,FALSE)-HLOOKUP(B190-1,'EV Forecast VRZ'!$F$124:$T$130,7,FALSE)))*C190/78,0)</f>
        <v>11155.825567163902</v>
      </c>
      <c r="Q190" s="47">
        <f t="shared" si="50"/>
        <v>32067919.245797276</v>
      </c>
    </row>
    <row r="191" spans="1:17">
      <c r="A191" s="2">
        <f t="shared" si="46"/>
        <v>48152</v>
      </c>
      <c r="B191">
        <f t="shared" si="47"/>
        <v>2031</v>
      </c>
      <c r="C191">
        <f t="shared" si="48"/>
        <v>10</v>
      </c>
      <c r="E191" s="3">
        <v>22</v>
      </c>
      <c r="F191" s="261">
        <f>F179*(1+'Economic Data'!$AC$15)</f>
        <v>954557.24882899504</v>
      </c>
      <c r="G191" s="3">
        <f t="shared" si="49"/>
        <v>0</v>
      </c>
      <c r="J191" s="3">
        <f t="shared" si="40"/>
        <v>-35488752.832239702</v>
      </c>
      <c r="K191" s="3">
        <f t="shared" si="41"/>
        <v>8621179.5602302477</v>
      </c>
      <c r="L191" s="3">
        <f t="shared" si="42"/>
        <v>59316208.490431853</v>
      </c>
      <c r="M191" s="3">
        <f t="shared" si="43"/>
        <v>0</v>
      </c>
      <c r="N191" s="3">
        <f t="shared" si="44"/>
        <v>0</v>
      </c>
      <c r="O191" s="47">
        <f t="shared" si="45"/>
        <v>32448635.218422398</v>
      </c>
      <c r="P191" s="47">
        <f>IFERROR(HLOOKUP(B191-1,'EV Forecast VRZ'!$F$124:$T$130,7,FALSE)/12,0)+IFERROR(((HLOOKUP(B191,'EV Forecast VRZ'!$F$116:$T$122,7,FALSE)-HLOOKUP(B191-1,'EV Forecast VRZ'!$F$124:$T$130,7,FALSE)))*C191/78,0)</f>
        <v>11311.850994386736</v>
      </c>
      <c r="Q191" s="47">
        <f t="shared" si="50"/>
        <v>32459947.069416784</v>
      </c>
    </row>
    <row r="192" spans="1:17">
      <c r="A192" s="2">
        <f t="shared" si="46"/>
        <v>48182</v>
      </c>
      <c r="B192">
        <f t="shared" si="47"/>
        <v>2031</v>
      </c>
      <c r="C192">
        <f t="shared" si="48"/>
        <v>11</v>
      </c>
      <c r="E192" s="3">
        <v>20</v>
      </c>
      <c r="F192" s="261">
        <f>F180*(1+'Economic Data'!$AC$15)</f>
        <v>954557.24882899504</v>
      </c>
      <c r="G192" s="3">
        <f t="shared" si="49"/>
        <v>0</v>
      </c>
      <c r="J192" s="3">
        <f t="shared" si="40"/>
        <v>-35488752.832239702</v>
      </c>
      <c r="K192" s="3">
        <f t="shared" si="41"/>
        <v>7837435.9638456805</v>
      </c>
      <c r="L192" s="3">
        <f t="shared" si="42"/>
        <v>59316208.490431853</v>
      </c>
      <c r="M192" s="3">
        <f t="shared" si="43"/>
        <v>0</v>
      </c>
      <c r="N192" s="3">
        <f t="shared" si="44"/>
        <v>0</v>
      </c>
      <c r="O192" s="47">
        <f t="shared" si="45"/>
        <v>31664891.622037832</v>
      </c>
      <c r="P192" s="47">
        <f>IFERROR(HLOOKUP(B192-1,'EV Forecast VRZ'!$F$124:$T$130,7,FALSE)/12,0)+IFERROR(((HLOOKUP(B192,'EV Forecast VRZ'!$F$116:$T$122,7,FALSE)-HLOOKUP(B192-1,'EV Forecast VRZ'!$F$124:$T$130,7,FALSE)))*C192/78,0)</f>
        <v>11467.87642160957</v>
      </c>
      <c r="Q192" s="47">
        <f t="shared" si="50"/>
        <v>31676359.49845944</v>
      </c>
    </row>
    <row r="193" spans="1:17">
      <c r="A193" s="2">
        <f t="shared" si="46"/>
        <v>48213</v>
      </c>
      <c r="B193">
        <f t="shared" si="47"/>
        <v>2031</v>
      </c>
      <c r="C193">
        <f t="shared" si="48"/>
        <v>12</v>
      </c>
      <c r="E193" s="3">
        <v>21</v>
      </c>
      <c r="F193" s="261">
        <f>F181*(1+'Economic Data'!$AC$15)</f>
        <v>954557.24882899504</v>
      </c>
      <c r="G193" s="3">
        <f t="shared" si="49"/>
        <v>0</v>
      </c>
      <c r="J193" s="3">
        <f t="shared" si="40"/>
        <v>-35488752.832239702</v>
      </c>
      <c r="K193" s="3">
        <f t="shared" si="41"/>
        <v>8229307.7620379645</v>
      </c>
      <c r="L193" s="3">
        <f t="shared" si="42"/>
        <v>59316208.490431853</v>
      </c>
      <c r="M193" s="3">
        <f t="shared" si="43"/>
        <v>0</v>
      </c>
      <c r="N193" s="3">
        <f t="shared" si="44"/>
        <v>0</v>
      </c>
      <c r="O193" s="47">
        <f t="shared" si="45"/>
        <v>32056763.420230113</v>
      </c>
      <c r="P193" s="47">
        <f>IFERROR(HLOOKUP(B193-1,'EV Forecast VRZ'!$F$124:$T$130,7,FALSE)/12,0)+IFERROR(((HLOOKUP(B193,'EV Forecast VRZ'!$F$116:$T$122,7,FALSE)-HLOOKUP(B193-1,'EV Forecast VRZ'!$F$124:$T$130,7,FALSE)))*C193/78,0)</f>
        <v>11623.901848832402</v>
      </c>
      <c r="Q193" s="47">
        <f t="shared" si="50"/>
        <v>32068387.322078947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42D2E-E130-418A-B8E9-ED233A25CC93}">
  <sheetPr codeName="Sheet7"/>
  <dimension ref="A1:FM156"/>
  <sheetViews>
    <sheetView topLeftCell="EY145" workbookViewId="0">
      <selection activeCell="AP28" sqref="AP28"/>
    </sheetView>
  </sheetViews>
  <sheetFormatPr defaultRowHeight="14.5"/>
  <cols>
    <col min="19" max="19" width="18.1796875" bestFit="1" customWidth="1"/>
    <col min="20" max="20" width="17.54296875" bestFit="1" customWidth="1"/>
    <col min="21" max="21" width="15.81640625" bestFit="1" customWidth="1"/>
    <col min="22" max="22" width="16.1796875" bestFit="1" customWidth="1"/>
    <col min="23" max="23" width="14.81640625" bestFit="1" customWidth="1"/>
    <col min="24" max="24" width="16.54296875" bestFit="1" customWidth="1"/>
    <col min="25" max="25" width="13.81640625" bestFit="1" customWidth="1"/>
    <col min="26" max="26" width="10.1796875" customWidth="1"/>
    <col min="27" max="27" width="12.81640625" bestFit="1" customWidth="1"/>
    <col min="28" max="28" width="22.81640625" bestFit="1" customWidth="1"/>
    <col min="80" max="80" width="10.81640625" bestFit="1" customWidth="1"/>
    <col min="151" max="155" width="14.81640625" style="1" customWidth="1"/>
    <col min="156" max="157" width="14.1796875" bestFit="1" customWidth="1"/>
    <col min="158" max="158" width="13.1796875" bestFit="1" customWidth="1"/>
    <col min="159" max="159" width="14.1796875" bestFit="1" customWidth="1"/>
    <col min="160" max="160" width="13.1796875" bestFit="1" customWidth="1"/>
  </cols>
  <sheetData>
    <row r="1" spans="1:169">
      <c r="A1" t="s">
        <v>27</v>
      </c>
      <c r="B1" t="s">
        <v>28</v>
      </c>
      <c r="C1" t="s">
        <v>116</v>
      </c>
      <c r="D1" t="s">
        <v>117</v>
      </c>
      <c r="E1" t="s">
        <v>118</v>
      </c>
      <c r="F1" t="s">
        <v>119</v>
      </c>
      <c r="G1" t="s">
        <v>120</v>
      </c>
      <c r="H1" t="s">
        <v>121</v>
      </c>
      <c r="I1" t="s">
        <v>122</v>
      </c>
      <c r="J1" t="s">
        <v>123</v>
      </c>
      <c r="K1" t="s">
        <v>124</v>
      </c>
      <c r="L1" t="s">
        <v>125</v>
      </c>
      <c r="M1" t="s">
        <v>126</v>
      </c>
      <c r="N1" t="s">
        <v>127</v>
      </c>
      <c r="O1" t="s">
        <v>128</v>
      </c>
      <c r="P1" t="s">
        <v>129</v>
      </c>
      <c r="Q1" t="s">
        <v>211</v>
      </c>
      <c r="S1" s="3" t="str">
        <f>'Monthly Data'!D1</f>
        <v>VRZ_ResidentialkWh</v>
      </c>
      <c r="T1" s="3" t="str">
        <f>'Monthly Data'!J1</f>
        <v>VRZ_SeasonalReskWh</v>
      </c>
      <c r="U1" s="3" t="str">
        <f>'Monthly Data'!P1</f>
        <v>VRZ_GSlt50kWh</v>
      </c>
      <c r="V1" s="3" t="str">
        <f>'Monthly Data'!V1</f>
        <v>VRZ_GS50to2999kWh</v>
      </c>
      <c r="W1" s="3" t="str">
        <f>'Monthly Data'!AB1</f>
        <v>VRZ_GS3000to4999kWh</v>
      </c>
      <c r="X1" s="3" t="str">
        <f>'Monthly Data'!AG1</f>
        <v>VRZ_LargeUsekWh</v>
      </c>
      <c r="Y1" s="3" t="str">
        <f>'Monthly Data'!BC1</f>
        <v>WRZ_ResidentialkWh</v>
      </c>
      <c r="Z1" s="3" t="str">
        <f>'Monthly Data'!BI1</f>
        <v>WRZ_GSlt50kWh</v>
      </c>
      <c r="AA1" s="3" t="str">
        <f>'Monthly Data'!BO1</f>
        <v>WRZ_GS50to2999kWh</v>
      </c>
      <c r="AB1" s="3" t="str">
        <f>'Monthly Data'!BU1</f>
        <v>WRZ_GS3000to4999kWh</v>
      </c>
      <c r="BA1" s="236"/>
      <c r="BB1">
        <v>1</v>
      </c>
      <c r="BC1">
        <f>BB1+1</f>
        <v>2</v>
      </c>
      <c r="BD1">
        <f t="shared" ref="BD1:BM1" si="0">BC1+1</f>
        <v>3</v>
      </c>
      <c r="BE1">
        <f t="shared" si="0"/>
        <v>4</v>
      </c>
      <c r="BF1">
        <f t="shared" si="0"/>
        <v>5</v>
      </c>
      <c r="BG1">
        <f t="shared" si="0"/>
        <v>6</v>
      </c>
      <c r="BH1">
        <f t="shared" si="0"/>
        <v>7</v>
      </c>
      <c r="BI1">
        <f t="shared" si="0"/>
        <v>8</v>
      </c>
      <c r="BJ1">
        <f t="shared" si="0"/>
        <v>9</v>
      </c>
      <c r="BK1">
        <f t="shared" si="0"/>
        <v>10</v>
      </c>
      <c r="BL1">
        <f t="shared" si="0"/>
        <v>11</v>
      </c>
      <c r="BM1">
        <f t="shared" si="0"/>
        <v>12</v>
      </c>
      <c r="BO1" s="236"/>
      <c r="BP1">
        <v>1</v>
      </c>
      <c r="BQ1">
        <f>BP1+1</f>
        <v>2</v>
      </c>
      <c r="BR1">
        <f t="shared" ref="BR1" si="1">BQ1+1</f>
        <v>3</v>
      </c>
      <c r="BS1">
        <f t="shared" ref="BS1" si="2">BR1+1</f>
        <v>4</v>
      </c>
      <c r="BT1">
        <f t="shared" ref="BT1" si="3">BS1+1</f>
        <v>5</v>
      </c>
      <c r="BU1">
        <f t="shared" ref="BU1" si="4">BT1+1</f>
        <v>6</v>
      </c>
      <c r="BV1">
        <f t="shared" ref="BV1" si="5">BU1+1</f>
        <v>7</v>
      </c>
      <c r="BW1">
        <f t="shared" ref="BW1" si="6">BV1+1</f>
        <v>8</v>
      </c>
      <c r="BX1">
        <f t="shared" ref="BX1" si="7">BW1+1</f>
        <v>9</v>
      </c>
      <c r="BY1">
        <f t="shared" ref="BY1" si="8">BX1+1</f>
        <v>10</v>
      </c>
      <c r="BZ1">
        <f t="shared" ref="BZ1" si="9">BY1+1</f>
        <v>11</v>
      </c>
      <c r="CA1">
        <f t="shared" ref="CA1" si="10">BZ1+1</f>
        <v>12</v>
      </c>
      <c r="CC1" s="236"/>
      <c r="CD1">
        <v>1</v>
      </c>
      <c r="CE1">
        <f>CD1+1</f>
        <v>2</v>
      </c>
      <c r="CF1">
        <f t="shared" ref="CF1" si="11">CE1+1</f>
        <v>3</v>
      </c>
      <c r="CG1">
        <f t="shared" ref="CG1" si="12">CF1+1</f>
        <v>4</v>
      </c>
      <c r="CH1">
        <f t="shared" ref="CH1" si="13">CG1+1</f>
        <v>5</v>
      </c>
      <c r="CI1">
        <f t="shared" ref="CI1" si="14">CH1+1</f>
        <v>6</v>
      </c>
      <c r="CJ1">
        <f t="shared" ref="CJ1" si="15">CI1+1</f>
        <v>7</v>
      </c>
      <c r="CK1">
        <f t="shared" ref="CK1" si="16">CJ1+1</f>
        <v>8</v>
      </c>
      <c r="CL1">
        <f t="shared" ref="CL1" si="17">CK1+1</f>
        <v>9</v>
      </c>
      <c r="CM1">
        <f t="shared" ref="CM1" si="18">CL1+1</f>
        <v>10</v>
      </c>
      <c r="CN1">
        <f t="shared" ref="CN1" si="19">CM1+1</f>
        <v>11</v>
      </c>
      <c r="CO1">
        <f t="shared" ref="CO1" si="20">CN1+1</f>
        <v>12</v>
      </c>
      <c r="CQ1" s="236"/>
      <c r="CR1">
        <v>1</v>
      </c>
      <c r="CS1">
        <f>CR1+1</f>
        <v>2</v>
      </c>
      <c r="CT1">
        <f t="shared" ref="CT1" si="21">CS1+1</f>
        <v>3</v>
      </c>
      <c r="CU1">
        <f t="shared" ref="CU1" si="22">CT1+1</f>
        <v>4</v>
      </c>
      <c r="CV1">
        <f t="shared" ref="CV1" si="23">CU1+1</f>
        <v>5</v>
      </c>
      <c r="CW1">
        <f t="shared" ref="CW1" si="24">CV1+1</f>
        <v>6</v>
      </c>
      <c r="CX1">
        <f t="shared" ref="CX1" si="25">CW1+1</f>
        <v>7</v>
      </c>
      <c r="CY1">
        <f t="shared" ref="CY1" si="26">CX1+1</f>
        <v>8</v>
      </c>
      <c r="CZ1">
        <f t="shared" ref="CZ1" si="27">CY1+1</f>
        <v>9</v>
      </c>
      <c r="DA1">
        <f t="shared" ref="DA1" si="28">CZ1+1</f>
        <v>10</v>
      </c>
      <c r="DB1">
        <f t="shared" ref="DB1" si="29">DA1+1</f>
        <v>11</v>
      </c>
      <c r="DC1">
        <f t="shared" ref="DC1" si="30">DB1+1</f>
        <v>12</v>
      </c>
      <c r="DE1" s="236"/>
      <c r="DF1">
        <v>1</v>
      </c>
      <c r="DG1">
        <f>DF1+1</f>
        <v>2</v>
      </c>
      <c r="DH1">
        <f t="shared" ref="DH1" si="31">DG1+1</f>
        <v>3</v>
      </c>
      <c r="DI1">
        <f t="shared" ref="DI1" si="32">DH1+1</f>
        <v>4</v>
      </c>
      <c r="DJ1">
        <f t="shared" ref="DJ1" si="33">DI1+1</f>
        <v>5</v>
      </c>
      <c r="DK1">
        <f t="shared" ref="DK1" si="34">DJ1+1</f>
        <v>6</v>
      </c>
      <c r="DL1">
        <f t="shared" ref="DL1" si="35">DK1+1</f>
        <v>7</v>
      </c>
      <c r="DM1">
        <f t="shared" ref="DM1" si="36">DL1+1</f>
        <v>8</v>
      </c>
      <c r="DN1">
        <f t="shared" ref="DN1" si="37">DM1+1</f>
        <v>9</v>
      </c>
      <c r="DO1">
        <f t="shared" ref="DO1" si="38">DN1+1</f>
        <v>10</v>
      </c>
      <c r="DP1">
        <f t="shared" ref="DP1" si="39">DO1+1</f>
        <v>11</v>
      </c>
      <c r="DQ1">
        <f t="shared" ref="DQ1" si="40">DP1+1</f>
        <v>12</v>
      </c>
      <c r="DS1" s="236"/>
      <c r="DT1">
        <v>1</v>
      </c>
      <c r="DU1">
        <f>DT1+1</f>
        <v>2</v>
      </c>
      <c r="DV1">
        <f t="shared" ref="DV1" si="41">DU1+1</f>
        <v>3</v>
      </c>
      <c r="DW1">
        <f t="shared" ref="DW1" si="42">DV1+1</f>
        <v>4</v>
      </c>
      <c r="DX1">
        <f t="shared" ref="DX1" si="43">DW1+1</f>
        <v>5</v>
      </c>
      <c r="DY1">
        <f t="shared" ref="DY1" si="44">DX1+1</f>
        <v>6</v>
      </c>
      <c r="DZ1">
        <f t="shared" ref="DZ1" si="45">DY1+1</f>
        <v>7</v>
      </c>
      <c r="EA1">
        <f t="shared" ref="EA1" si="46">DZ1+1</f>
        <v>8</v>
      </c>
      <c r="EB1">
        <f t="shared" ref="EB1" si="47">EA1+1</f>
        <v>9</v>
      </c>
      <c r="EC1">
        <f t="shared" ref="EC1" si="48">EB1+1</f>
        <v>10</v>
      </c>
      <c r="ED1">
        <f t="shared" ref="ED1" si="49">EC1+1</f>
        <v>11</v>
      </c>
      <c r="EE1">
        <f t="shared" ref="EE1" si="50">ED1+1</f>
        <v>12</v>
      </c>
      <c r="EG1" s="236"/>
      <c r="EH1">
        <v>1</v>
      </c>
      <c r="EI1">
        <f>EH1+1</f>
        <v>2</v>
      </c>
      <c r="EJ1">
        <f t="shared" ref="EJ1" si="51">EI1+1</f>
        <v>3</v>
      </c>
      <c r="EK1">
        <f t="shared" ref="EK1" si="52">EJ1+1</f>
        <v>4</v>
      </c>
      <c r="EL1">
        <f t="shared" ref="EL1" si="53">EK1+1</f>
        <v>5</v>
      </c>
      <c r="EM1">
        <f t="shared" ref="EM1" si="54">EL1+1</f>
        <v>6</v>
      </c>
      <c r="EN1">
        <f t="shared" ref="EN1" si="55">EM1+1</f>
        <v>7</v>
      </c>
      <c r="EO1">
        <f t="shared" ref="EO1" si="56">EN1+1</f>
        <v>8</v>
      </c>
      <c r="EP1">
        <f t="shared" ref="EP1" si="57">EO1+1</f>
        <v>9</v>
      </c>
      <c r="EQ1">
        <f t="shared" ref="EQ1" si="58">EP1+1</f>
        <v>10</v>
      </c>
      <c r="ER1">
        <f t="shared" ref="ER1" si="59">EQ1+1</f>
        <v>11</v>
      </c>
      <c r="ES1">
        <f t="shared" ref="ES1" si="60">ER1+1</f>
        <v>12</v>
      </c>
      <c r="EU1" s="2" t="str">
        <f>'Monthly Data'!FO1</f>
        <v>AvgVRZ_ResidentialkWh</v>
      </c>
      <c r="EV1" s="2" t="str">
        <f>'Monthly Data'!FP1</f>
        <v>AvgVRZ_SeasonalReskWh</v>
      </c>
      <c r="EW1" s="2" t="str">
        <f>'Monthly Data'!FQ1</f>
        <v>AvgVRZ_GSlt50kWh</v>
      </c>
      <c r="EX1" s="2" t="str">
        <f>'Monthly Data'!FR1</f>
        <v>AvgVRZ_GS50to2999kWh</v>
      </c>
      <c r="EY1" s="2" t="str">
        <f>'Monthly Data'!FS1</f>
        <v>AvgVRZ_GS3000to4999kWh</v>
      </c>
      <c r="EZ1" s="2" t="str">
        <f>'Monthly Data'!FT1</f>
        <v>AvgVRZ_LargeUsekWh</v>
      </c>
      <c r="FA1" s="2" t="str">
        <f>'Monthly Data'!FX1</f>
        <v>AvgWRZ_ResidentialkWh</v>
      </c>
      <c r="FB1" s="2" t="str">
        <f>'Monthly Data'!FY1</f>
        <v>AvgWRZ_GSlt50kWh</v>
      </c>
      <c r="FC1" s="2" t="str">
        <f>'Monthly Data'!FZ1</f>
        <v>AvgWRZ_GS50to2999kWh</v>
      </c>
      <c r="FD1" s="2" t="str">
        <f>'Monthly Data'!GA1</f>
        <v>AvgWRZ_GS3000to4999kWh</v>
      </c>
      <c r="FE1" s="4"/>
      <c r="FF1" s="4"/>
      <c r="FG1" s="4"/>
      <c r="FH1" s="4"/>
      <c r="FI1" s="4"/>
      <c r="FJ1" s="4"/>
      <c r="FK1" s="4"/>
      <c r="FL1" s="4"/>
      <c r="FM1" s="4"/>
    </row>
    <row r="2" spans="1:169">
      <c r="A2">
        <v>2014</v>
      </c>
      <c r="B2">
        <v>1</v>
      </c>
      <c r="C2" s="200">
        <v>884.74166666666679</v>
      </c>
      <c r="D2" s="200">
        <v>0</v>
      </c>
      <c r="E2" s="200">
        <v>822.74166666666679</v>
      </c>
      <c r="F2" s="200">
        <v>0</v>
      </c>
      <c r="G2" s="200">
        <v>760.74166666666679</v>
      </c>
      <c r="H2" s="200">
        <v>0</v>
      </c>
      <c r="I2" s="200">
        <v>698.74166666666679</v>
      </c>
      <c r="J2" s="200">
        <v>0</v>
      </c>
      <c r="K2" s="200">
        <v>636.74166666666679</v>
      </c>
      <c r="L2" s="200">
        <v>0</v>
      </c>
      <c r="M2" s="200">
        <v>574.74166666666679</v>
      </c>
      <c r="N2" s="200">
        <v>0</v>
      </c>
      <c r="O2" s="200">
        <v>512.74166666666679</v>
      </c>
      <c r="P2" s="200">
        <v>0</v>
      </c>
      <c r="Q2" s="257">
        <v>-8.5400537634408611</v>
      </c>
      <c r="S2" s="3"/>
      <c r="T2" s="3"/>
      <c r="U2" s="3"/>
      <c r="V2" s="3"/>
      <c r="W2" s="3"/>
      <c r="X2" s="3"/>
      <c r="Y2" s="3"/>
      <c r="Z2" s="3"/>
      <c r="AA2" s="3"/>
      <c r="AB2" s="3"/>
      <c r="BA2" s="275" t="str">
        <f>C1</f>
        <v>HDD20</v>
      </c>
      <c r="BB2" s="276" t="s">
        <v>147</v>
      </c>
      <c r="BC2" s="276" t="s">
        <v>148</v>
      </c>
      <c r="BD2" s="276" t="s">
        <v>149</v>
      </c>
      <c r="BE2" s="276" t="s">
        <v>150</v>
      </c>
      <c r="BF2" s="276" t="s">
        <v>151</v>
      </c>
      <c r="BG2" s="276" t="s">
        <v>212</v>
      </c>
      <c r="BH2" s="276" t="s">
        <v>213</v>
      </c>
      <c r="BI2" s="276" t="s">
        <v>214</v>
      </c>
      <c r="BJ2" s="276" t="s">
        <v>155</v>
      </c>
      <c r="BK2" s="276" t="s">
        <v>156</v>
      </c>
      <c r="BL2" s="276" t="s">
        <v>157</v>
      </c>
      <c r="BM2" s="276" t="s">
        <v>158</v>
      </c>
      <c r="BN2" s="277"/>
      <c r="BO2" s="275" t="str">
        <f>E1</f>
        <v>HDD18</v>
      </c>
      <c r="BP2" s="276" t="s">
        <v>147</v>
      </c>
      <c r="BQ2" s="276" t="s">
        <v>148</v>
      </c>
      <c r="BR2" s="276" t="s">
        <v>149</v>
      </c>
      <c r="BS2" s="276" t="s">
        <v>150</v>
      </c>
      <c r="BT2" s="276" t="s">
        <v>151</v>
      </c>
      <c r="BU2" s="276" t="s">
        <v>212</v>
      </c>
      <c r="BV2" s="276" t="s">
        <v>213</v>
      </c>
      <c r="BW2" s="276" t="s">
        <v>214</v>
      </c>
      <c r="BX2" s="276" t="s">
        <v>155</v>
      </c>
      <c r="BY2" s="276" t="s">
        <v>156</v>
      </c>
      <c r="BZ2" s="276" t="s">
        <v>157</v>
      </c>
      <c r="CA2" s="276" t="s">
        <v>158</v>
      </c>
      <c r="CB2" s="277"/>
      <c r="CC2" s="275" t="str">
        <f>G1</f>
        <v>HDD16</v>
      </c>
      <c r="CD2" s="276" t="s">
        <v>147</v>
      </c>
      <c r="CE2" s="276" t="s">
        <v>148</v>
      </c>
      <c r="CF2" s="276" t="s">
        <v>149</v>
      </c>
      <c r="CG2" s="276" t="s">
        <v>150</v>
      </c>
      <c r="CH2" s="276" t="s">
        <v>151</v>
      </c>
      <c r="CI2" s="276" t="s">
        <v>212</v>
      </c>
      <c r="CJ2" s="276" t="s">
        <v>213</v>
      </c>
      <c r="CK2" s="276" t="s">
        <v>214</v>
      </c>
      <c r="CL2" s="276" t="s">
        <v>155</v>
      </c>
      <c r="CM2" s="276" t="s">
        <v>156</v>
      </c>
      <c r="CN2" s="276" t="s">
        <v>157</v>
      </c>
      <c r="CO2" s="276" t="s">
        <v>158</v>
      </c>
      <c r="CP2" s="277"/>
      <c r="CQ2" s="275" t="str">
        <f>I1</f>
        <v>HDD14</v>
      </c>
      <c r="CR2" s="276" t="s">
        <v>147</v>
      </c>
      <c r="CS2" s="276" t="s">
        <v>148</v>
      </c>
      <c r="CT2" s="276" t="s">
        <v>149</v>
      </c>
      <c r="CU2" s="276" t="s">
        <v>150</v>
      </c>
      <c r="CV2" s="276" t="s">
        <v>151</v>
      </c>
      <c r="CW2" s="276" t="s">
        <v>212</v>
      </c>
      <c r="CX2" s="276" t="s">
        <v>213</v>
      </c>
      <c r="CY2" s="276" t="s">
        <v>214</v>
      </c>
      <c r="CZ2" s="276" t="s">
        <v>155</v>
      </c>
      <c r="DA2" s="276" t="s">
        <v>156</v>
      </c>
      <c r="DB2" s="276" t="s">
        <v>157</v>
      </c>
      <c r="DC2" s="276" t="s">
        <v>158</v>
      </c>
      <c r="DD2" s="277"/>
      <c r="DE2" s="275" t="str">
        <f>K1</f>
        <v>HDD12</v>
      </c>
      <c r="DF2" s="276" t="s">
        <v>147</v>
      </c>
      <c r="DG2" s="276" t="s">
        <v>148</v>
      </c>
      <c r="DH2" s="276" t="s">
        <v>149</v>
      </c>
      <c r="DI2" s="276" t="s">
        <v>150</v>
      </c>
      <c r="DJ2" s="276" t="s">
        <v>151</v>
      </c>
      <c r="DK2" s="276" t="s">
        <v>212</v>
      </c>
      <c r="DL2" s="276" t="s">
        <v>213</v>
      </c>
      <c r="DM2" s="276" t="s">
        <v>214</v>
      </c>
      <c r="DN2" s="276" t="s">
        <v>155</v>
      </c>
      <c r="DO2" s="276" t="s">
        <v>156</v>
      </c>
      <c r="DP2" s="276" t="s">
        <v>157</v>
      </c>
      <c r="DQ2" s="276" t="s">
        <v>158</v>
      </c>
      <c r="DR2" s="277"/>
      <c r="DS2" s="275" t="str">
        <f>M1</f>
        <v>HDD10</v>
      </c>
      <c r="DT2" s="276" t="s">
        <v>147</v>
      </c>
      <c r="DU2" s="276" t="s">
        <v>148</v>
      </c>
      <c r="DV2" s="276" t="s">
        <v>149</v>
      </c>
      <c r="DW2" s="276" t="s">
        <v>150</v>
      </c>
      <c r="DX2" s="276" t="s">
        <v>151</v>
      </c>
      <c r="DY2" s="276" t="s">
        <v>212</v>
      </c>
      <c r="DZ2" s="276" t="s">
        <v>213</v>
      </c>
      <c r="EA2" s="276" t="s">
        <v>214</v>
      </c>
      <c r="EB2" s="276" t="s">
        <v>155</v>
      </c>
      <c r="EC2" s="276" t="s">
        <v>156</v>
      </c>
      <c r="ED2" s="276" t="s">
        <v>157</v>
      </c>
      <c r="EE2" s="276" t="s">
        <v>158</v>
      </c>
      <c r="EF2" s="277"/>
      <c r="EG2" s="275" t="str">
        <f>O1</f>
        <v>HDD8</v>
      </c>
      <c r="EH2" s="276" t="s">
        <v>147</v>
      </c>
      <c r="EI2" s="276" t="s">
        <v>148</v>
      </c>
      <c r="EJ2" s="276" t="s">
        <v>149</v>
      </c>
      <c r="EK2" s="276" t="s">
        <v>150</v>
      </c>
      <c r="EL2" s="276" t="s">
        <v>151</v>
      </c>
      <c r="EM2" s="276" t="s">
        <v>212</v>
      </c>
      <c r="EN2" s="276" t="s">
        <v>213</v>
      </c>
      <c r="EO2" s="276" t="s">
        <v>214</v>
      </c>
      <c r="EP2" s="276" t="s">
        <v>155</v>
      </c>
      <c r="EQ2" s="276" t="s">
        <v>156</v>
      </c>
      <c r="ER2" s="276" t="s">
        <v>157</v>
      </c>
      <c r="ES2" s="276" t="s">
        <v>158</v>
      </c>
    </row>
    <row r="3" spans="1:169">
      <c r="A3">
        <v>2014</v>
      </c>
      <c r="B3">
        <v>2</v>
      </c>
      <c r="C3" s="200">
        <v>792.68333333333317</v>
      </c>
      <c r="D3" s="200">
        <v>0</v>
      </c>
      <c r="E3" s="200">
        <v>736.68333333333317</v>
      </c>
      <c r="F3" s="200">
        <v>0</v>
      </c>
      <c r="G3" s="200">
        <v>680.68333333333317</v>
      </c>
      <c r="H3" s="200">
        <v>0</v>
      </c>
      <c r="I3" s="200">
        <v>624.68333333333317</v>
      </c>
      <c r="J3" s="200">
        <v>0</v>
      </c>
      <c r="K3" s="200">
        <v>568.68333333333328</v>
      </c>
      <c r="L3" s="200">
        <v>0</v>
      </c>
      <c r="M3" s="200">
        <v>512.68333333333328</v>
      </c>
      <c r="N3" s="200">
        <v>0</v>
      </c>
      <c r="O3" s="200">
        <v>456.68333333333328</v>
      </c>
      <c r="P3" s="200">
        <v>0</v>
      </c>
      <c r="Q3" s="257">
        <v>-8.3101190476190503</v>
      </c>
      <c r="S3" s="3"/>
      <c r="T3" s="3"/>
      <c r="U3" s="3"/>
      <c r="V3" s="3"/>
      <c r="W3" s="3"/>
      <c r="X3" s="3"/>
      <c r="Y3" s="3"/>
      <c r="Z3" s="3"/>
      <c r="AA3" s="3"/>
      <c r="AB3" s="3"/>
      <c r="BA3" s="277">
        <v>2014</v>
      </c>
      <c r="BB3" s="278">
        <f>SUMIFS($C:$C,$A:$A,$BA3,$B:$B,BB$1)</f>
        <v>884.74166666666679</v>
      </c>
      <c r="BC3" s="278">
        <f t="shared" ref="BC3:BM14" si="61">SUMIFS($C:$C,$A:$A,$BA3,$B:$B,BC$1)</f>
        <v>792.68333333333317</v>
      </c>
      <c r="BD3" s="278">
        <f t="shared" si="61"/>
        <v>757.25416666666638</v>
      </c>
      <c r="BE3" s="278">
        <f t="shared" si="61"/>
        <v>435.43749999999994</v>
      </c>
      <c r="BF3" s="278">
        <f t="shared" si="61"/>
        <v>199.43764822134381</v>
      </c>
      <c r="BG3" s="278">
        <f t="shared" si="61"/>
        <v>55.654166666666669</v>
      </c>
      <c r="BH3" s="278">
        <f t="shared" si="61"/>
        <v>44.441666666666691</v>
      </c>
      <c r="BI3" s="278">
        <f t="shared" si="61"/>
        <v>43.762500000000003</v>
      </c>
      <c r="BJ3" s="278">
        <f t="shared" si="61"/>
        <v>135.82499999999999</v>
      </c>
      <c r="BK3" s="278">
        <f t="shared" si="61"/>
        <v>303.07083333333338</v>
      </c>
      <c r="BL3" s="278">
        <f t="shared" si="61"/>
        <v>542.00719696969691</v>
      </c>
      <c r="BM3" s="278">
        <f t="shared" si="61"/>
        <v>636.0291666666667</v>
      </c>
      <c r="BN3" s="277"/>
      <c r="BO3" s="277">
        <f>BA3</f>
        <v>2014</v>
      </c>
      <c r="BP3" s="278">
        <f>SUMIFS($E:$E,$A:$A,$BA3,$B:$B,BP$1)</f>
        <v>822.74166666666679</v>
      </c>
      <c r="BQ3" s="278">
        <f t="shared" ref="BQ3:CA14" si="62">SUMIFS($E:$E,$A:$A,$BA3,$B:$B,BQ$1)</f>
        <v>736.68333333333317</v>
      </c>
      <c r="BR3" s="278">
        <f t="shared" si="62"/>
        <v>695.25416666666649</v>
      </c>
      <c r="BS3" s="278">
        <f t="shared" si="62"/>
        <v>375.43749999999994</v>
      </c>
      <c r="BT3" s="278">
        <f t="shared" si="62"/>
        <v>141.86264822134387</v>
      </c>
      <c r="BU3" s="278">
        <f t="shared" si="62"/>
        <v>22.774999999999995</v>
      </c>
      <c r="BV3" s="278">
        <f t="shared" si="62"/>
        <v>9.9666666666666774</v>
      </c>
      <c r="BW3" s="278">
        <f t="shared" si="62"/>
        <v>18.450000000000006</v>
      </c>
      <c r="BX3" s="278">
        <f t="shared" si="62"/>
        <v>88.55</v>
      </c>
      <c r="BY3" s="278">
        <f t="shared" si="62"/>
        <v>241.41666666666669</v>
      </c>
      <c r="BZ3" s="278">
        <f t="shared" si="62"/>
        <v>482.00719696969691</v>
      </c>
      <c r="CA3" s="278">
        <f t="shared" si="62"/>
        <v>574.0291666666667</v>
      </c>
      <c r="CB3" s="353">
        <f t="shared" ref="CB3:CB13" si="63">SUM(BP3:CA3)</f>
        <v>4209.1740118577072</v>
      </c>
      <c r="CC3" s="277">
        <f>BO3</f>
        <v>2014</v>
      </c>
      <c r="CD3" s="278">
        <f>SUMIFS($G:$G,$A:$A,$BA3,$B:$B,CD$1)</f>
        <v>760.74166666666679</v>
      </c>
      <c r="CE3" s="278">
        <f t="shared" ref="CE3:CO14" si="64">SUMIFS($G:$G,$A:$A,$BA3,$B:$B,CE$1)</f>
        <v>680.68333333333317</v>
      </c>
      <c r="CF3" s="278">
        <f t="shared" si="64"/>
        <v>633.25416666666649</v>
      </c>
      <c r="CG3" s="278">
        <f t="shared" si="64"/>
        <v>315.4375</v>
      </c>
      <c r="CH3" s="278">
        <f t="shared" si="64"/>
        <v>89.379314888010541</v>
      </c>
      <c r="CI3" s="278">
        <f t="shared" si="64"/>
        <v>6.4124999999999996</v>
      </c>
      <c r="CJ3" s="278">
        <f t="shared" si="64"/>
        <v>8.333333333334636E-3</v>
      </c>
      <c r="CK3" s="278">
        <f t="shared" si="64"/>
        <v>4.9875000000000025</v>
      </c>
      <c r="CL3" s="278">
        <f t="shared" si="64"/>
        <v>51.670833333333341</v>
      </c>
      <c r="CM3" s="278">
        <f t="shared" si="64"/>
        <v>182.14999999999998</v>
      </c>
      <c r="CN3" s="278">
        <f t="shared" si="64"/>
        <v>422.00719696969691</v>
      </c>
      <c r="CO3" s="278">
        <f t="shared" si="64"/>
        <v>512.0291666666667</v>
      </c>
      <c r="CP3" s="277"/>
      <c r="CQ3" s="277">
        <f>CC3</f>
        <v>2014</v>
      </c>
      <c r="CR3" s="278">
        <f>SUMIFS($I:$I,$A:$A,$BA3,$B:$B,CR$1)</f>
        <v>698.74166666666679</v>
      </c>
      <c r="CS3" s="278">
        <f t="shared" ref="CS3:DC14" si="65">SUMIFS($I:$I,$A:$A,$BA3,$B:$B,CS$1)</f>
        <v>624.68333333333317</v>
      </c>
      <c r="CT3" s="278">
        <f t="shared" si="65"/>
        <v>571.25416666666661</v>
      </c>
      <c r="CU3" s="278">
        <f t="shared" si="65"/>
        <v>255.43749999999994</v>
      </c>
      <c r="CV3" s="278">
        <f t="shared" si="65"/>
        <v>55.487499999999997</v>
      </c>
      <c r="CW3" s="278">
        <f t="shared" si="65"/>
        <v>0.97500000000000142</v>
      </c>
      <c r="CX3" s="278">
        <f t="shared" si="65"/>
        <v>0</v>
      </c>
      <c r="CY3" s="278">
        <f t="shared" si="65"/>
        <v>0.6708333333333325</v>
      </c>
      <c r="CZ3" s="278">
        <f t="shared" si="65"/>
        <v>28.333333333333329</v>
      </c>
      <c r="DA3" s="278">
        <f t="shared" si="65"/>
        <v>128.43333333333334</v>
      </c>
      <c r="DB3" s="278">
        <f t="shared" si="65"/>
        <v>362.00719696969685</v>
      </c>
      <c r="DC3" s="278">
        <f t="shared" si="65"/>
        <v>450.02916666666664</v>
      </c>
      <c r="DD3" s="277"/>
      <c r="DE3" s="277">
        <f>CQ3</f>
        <v>2014</v>
      </c>
      <c r="DF3" s="278">
        <f>SUMIFS($K:$K,$A:$A,$BA3,$B:$B,DF$1)</f>
        <v>636.74166666666679</v>
      </c>
      <c r="DG3" s="278">
        <f t="shared" ref="DG3:DQ14" si="66">SUMIFS($K:$K,$A:$A,$BA3,$B:$B,DG$1)</f>
        <v>568.68333333333328</v>
      </c>
      <c r="DH3" s="278">
        <f t="shared" si="66"/>
        <v>509.25416666666666</v>
      </c>
      <c r="DI3" s="278">
        <f t="shared" si="66"/>
        <v>195.43749999999997</v>
      </c>
      <c r="DJ3" s="278">
        <f t="shared" si="66"/>
        <v>32.75833333333334</v>
      </c>
      <c r="DK3" s="278">
        <f t="shared" si="66"/>
        <v>0</v>
      </c>
      <c r="DL3" s="278">
        <f t="shared" si="66"/>
        <v>0</v>
      </c>
      <c r="DM3" s="278">
        <f t="shared" si="66"/>
        <v>0</v>
      </c>
      <c r="DN3" s="278">
        <f t="shared" si="66"/>
        <v>11.749999999999998</v>
      </c>
      <c r="DO3" s="278">
        <f t="shared" si="66"/>
        <v>81.950000000000017</v>
      </c>
      <c r="DP3" s="278">
        <f t="shared" si="66"/>
        <v>302.00719696969691</v>
      </c>
      <c r="DQ3" s="278">
        <f t="shared" si="66"/>
        <v>388.02916666666664</v>
      </c>
      <c r="DR3" s="277"/>
      <c r="DS3" s="277">
        <f>DE3</f>
        <v>2014</v>
      </c>
      <c r="DT3" s="278">
        <f>SUMIFS($M:$M,$A:$A,$BA3,$B:$B,DT$1)</f>
        <v>574.74166666666679</v>
      </c>
      <c r="DU3" s="278">
        <f t="shared" ref="DU3:EE14" si="67">SUMIFS($M:$M,$A:$A,$BA3,$B:$B,DU$1)</f>
        <v>512.68333333333328</v>
      </c>
      <c r="DV3" s="278">
        <f t="shared" si="67"/>
        <v>447.25416666666672</v>
      </c>
      <c r="DW3" s="278">
        <f t="shared" si="67"/>
        <v>139.75833333333333</v>
      </c>
      <c r="DX3" s="278">
        <f t="shared" si="67"/>
        <v>13.012499999999998</v>
      </c>
      <c r="DY3" s="278">
        <f t="shared" si="67"/>
        <v>0</v>
      </c>
      <c r="DZ3" s="278">
        <f t="shared" si="67"/>
        <v>0</v>
      </c>
      <c r="EA3" s="278">
        <f t="shared" si="67"/>
        <v>0</v>
      </c>
      <c r="EB3" s="278">
        <f t="shared" si="67"/>
        <v>1.4374999999999964</v>
      </c>
      <c r="EC3" s="278">
        <f t="shared" si="67"/>
        <v>45.041666666666657</v>
      </c>
      <c r="ED3" s="278">
        <f t="shared" si="67"/>
        <v>242.40303030303033</v>
      </c>
      <c r="EE3" s="278">
        <f t="shared" si="67"/>
        <v>326.02916666666664</v>
      </c>
      <c r="EF3" s="277"/>
      <c r="EG3" s="277">
        <f>DS3</f>
        <v>2014</v>
      </c>
      <c r="EH3" s="278">
        <f>SUMIFS($O:$O,$A:$A,$BA3,$B:$B,EH$1)</f>
        <v>512.74166666666679</v>
      </c>
      <c r="EI3" s="278">
        <f t="shared" ref="EI3:ES14" si="68">SUMIFS($O:$O,$A:$A,$BA3,$B:$B,EI$1)</f>
        <v>456.68333333333328</v>
      </c>
      <c r="EJ3" s="278">
        <f t="shared" si="68"/>
        <v>385.25416666666672</v>
      </c>
      <c r="EK3" s="278">
        <f t="shared" si="68"/>
        <v>87.316666666666691</v>
      </c>
      <c r="EL3" s="278">
        <f t="shared" si="68"/>
        <v>1.3749999999999973</v>
      </c>
      <c r="EM3" s="278">
        <f t="shared" si="68"/>
        <v>0</v>
      </c>
      <c r="EN3" s="278">
        <f t="shared" si="68"/>
        <v>0</v>
      </c>
      <c r="EO3" s="278">
        <f t="shared" si="68"/>
        <v>0</v>
      </c>
      <c r="EP3" s="278">
        <f t="shared" si="68"/>
        <v>0</v>
      </c>
      <c r="EQ3" s="278">
        <f t="shared" si="68"/>
        <v>17.908333333333335</v>
      </c>
      <c r="ER3" s="278">
        <f t="shared" si="68"/>
        <v>188.37386363636367</v>
      </c>
      <c r="ES3" s="278">
        <f t="shared" si="68"/>
        <v>264.0291666666667</v>
      </c>
    </row>
    <row r="4" spans="1:169">
      <c r="A4">
        <v>2014</v>
      </c>
      <c r="B4">
        <v>3</v>
      </c>
      <c r="C4" s="200">
        <v>757.25416666666638</v>
      </c>
      <c r="D4" s="200">
        <v>0</v>
      </c>
      <c r="E4" s="200">
        <v>695.25416666666649</v>
      </c>
      <c r="F4" s="200">
        <v>0</v>
      </c>
      <c r="G4" s="200">
        <v>633.25416666666649</v>
      </c>
      <c r="H4" s="200">
        <v>0</v>
      </c>
      <c r="I4" s="200">
        <v>571.25416666666661</v>
      </c>
      <c r="J4" s="200">
        <v>0</v>
      </c>
      <c r="K4" s="200">
        <v>509.25416666666666</v>
      </c>
      <c r="L4" s="200">
        <v>0</v>
      </c>
      <c r="M4" s="200">
        <v>447.25416666666672</v>
      </c>
      <c r="N4" s="200">
        <v>0</v>
      </c>
      <c r="O4" s="200">
        <v>385.25416666666672</v>
      </c>
      <c r="P4" s="200">
        <v>0</v>
      </c>
      <c r="Q4" s="257">
        <v>-4.4275537634408613</v>
      </c>
      <c r="S4" s="3"/>
      <c r="T4" s="3"/>
      <c r="U4" s="3"/>
      <c r="V4" s="3"/>
      <c r="W4" s="3"/>
      <c r="X4" s="3"/>
      <c r="Y4" s="3"/>
      <c r="Z4" s="3"/>
      <c r="AA4" s="3"/>
      <c r="AB4" s="3"/>
      <c r="BA4" s="277">
        <f t="shared" ref="BA4:BA15" si="69">BA3+1</f>
        <v>2015</v>
      </c>
      <c r="BB4" s="278">
        <f t="shared" ref="BB4:BB14" si="70">SUMIFS($C:$C,$A:$A,$BA4,$B:$B,BB$1)</f>
        <v>859.89184782608675</v>
      </c>
      <c r="BC4" s="278">
        <f t="shared" si="61"/>
        <v>921.85434782608706</v>
      </c>
      <c r="BD4" s="278">
        <f t="shared" si="61"/>
        <v>699.80000000000007</v>
      </c>
      <c r="BE4" s="278">
        <f t="shared" si="61"/>
        <v>406.75037878787873</v>
      </c>
      <c r="BF4" s="278">
        <f t="shared" si="61"/>
        <v>159.09689440993785</v>
      </c>
      <c r="BG4" s="278">
        <f t="shared" si="61"/>
        <v>93.137500000000045</v>
      </c>
      <c r="BH4" s="278">
        <f t="shared" si="61"/>
        <v>25.987500000000004</v>
      </c>
      <c r="BI4" s="278">
        <f t="shared" si="61"/>
        <v>40.1875</v>
      </c>
      <c r="BJ4" s="278">
        <f t="shared" si="61"/>
        <v>78.99404761904762</v>
      </c>
      <c r="BK4" s="278">
        <f t="shared" si="61"/>
        <v>338.98750000000007</v>
      </c>
      <c r="BL4" s="278">
        <f t="shared" si="61"/>
        <v>431.77083333333331</v>
      </c>
      <c r="BM4" s="278">
        <f t="shared" si="61"/>
        <v>499.62590579710155</v>
      </c>
      <c r="BN4" s="277"/>
      <c r="BO4" s="277">
        <f t="shared" ref="BO4:BO15" si="71">BO3+1</f>
        <v>2015</v>
      </c>
      <c r="BP4" s="278">
        <f t="shared" ref="BP4:BP14" si="72">SUMIFS($E:$E,$A:$A,$BA4,$B:$B,BP$1)</f>
        <v>797.89184782608675</v>
      </c>
      <c r="BQ4" s="278">
        <f t="shared" si="62"/>
        <v>865.85434782608706</v>
      </c>
      <c r="BR4" s="278">
        <f t="shared" si="62"/>
        <v>637.79999999999995</v>
      </c>
      <c r="BS4" s="278">
        <f t="shared" si="62"/>
        <v>346.75037878787867</v>
      </c>
      <c r="BT4" s="278">
        <f t="shared" si="62"/>
        <v>108.22189440993786</v>
      </c>
      <c r="BU4" s="278">
        <f t="shared" si="62"/>
        <v>44.925000000000004</v>
      </c>
      <c r="BV4" s="278">
        <f t="shared" si="62"/>
        <v>6.0874999999999986</v>
      </c>
      <c r="BW4" s="278">
        <f t="shared" si="62"/>
        <v>9.4166666666666572</v>
      </c>
      <c r="BX4" s="278">
        <f t="shared" si="62"/>
        <v>42.631547619047623</v>
      </c>
      <c r="BY4" s="278">
        <f t="shared" si="62"/>
        <v>276.98750000000001</v>
      </c>
      <c r="BZ4" s="278">
        <f t="shared" si="62"/>
        <v>371.77083333333326</v>
      </c>
      <c r="CA4" s="278">
        <f t="shared" si="62"/>
        <v>437.62590579710155</v>
      </c>
      <c r="CB4" s="353">
        <f t="shared" si="63"/>
        <v>3945.9634222661393</v>
      </c>
      <c r="CC4" s="277">
        <f t="shared" ref="CC4:CC15" si="73">CC3+1</f>
        <v>2015</v>
      </c>
      <c r="CD4" s="278">
        <f t="shared" ref="CD4:CD14" si="74">SUMIFS($G:$G,$A:$A,$BA4,$B:$B,CD$1)</f>
        <v>735.89184782608675</v>
      </c>
      <c r="CE4" s="278">
        <f t="shared" si="64"/>
        <v>809.85434782608706</v>
      </c>
      <c r="CF4" s="278">
        <f t="shared" si="64"/>
        <v>575.79999999999995</v>
      </c>
      <c r="CG4" s="278">
        <f t="shared" si="64"/>
        <v>286.75037878787873</v>
      </c>
      <c r="CH4" s="278">
        <f t="shared" si="64"/>
        <v>67.211775362318832</v>
      </c>
      <c r="CI4" s="278">
        <f t="shared" si="64"/>
        <v>17.725000000000009</v>
      </c>
      <c r="CJ4" s="278">
        <f t="shared" si="64"/>
        <v>0</v>
      </c>
      <c r="CK4" s="278">
        <f t="shared" si="64"/>
        <v>0.49166666666666714</v>
      </c>
      <c r="CL4" s="278">
        <f t="shared" si="64"/>
        <v>18.695833333333333</v>
      </c>
      <c r="CM4" s="278">
        <f t="shared" si="64"/>
        <v>215.98749999999998</v>
      </c>
      <c r="CN4" s="278">
        <f t="shared" si="64"/>
        <v>311.77083333333331</v>
      </c>
      <c r="CO4" s="278">
        <f t="shared" si="64"/>
        <v>375.6259057971015</v>
      </c>
      <c r="CP4" s="277"/>
      <c r="CQ4" s="277">
        <f t="shared" ref="CQ4:CQ15" si="75">CQ3+1</f>
        <v>2015</v>
      </c>
      <c r="CR4" s="278">
        <f t="shared" ref="CR4:CR14" si="76">SUMIFS($I:$I,$A:$A,$BA4,$B:$B,CR$1)</f>
        <v>673.89184782608697</v>
      </c>
      <c r="CS4" s="278">
        <f t="shared" si="65"/>
        <v>753.85434782608695</v>
      </c>
      <c r="CT4" s="278">
        <f t="shared" si="65"/>
        <v>513.79999999999995</v>
      </c>
      <c r="CU4" s="278">
        <f t="shared" si="65"/>
        <v>226.75037878787884</v>
      </c>
      <c r="CV4" s="278">
        <f t="shared" si="65"/>
        <v>35.578442028985506</v>
      </c>
      <c r="CW4" s="278">
        <f t="shared" si="65"/>
        <v>5.9875000000000078</v>
      </c>
      <c r="CX4" s="278">
        <f t="shared" si="65"/>
        <v>0</v>
      </c>
      <c r="CY4" s="278">
        <f t="shared" si="65"/>
        <v>0</v>
      </c>
      <c r="CZ4" s="278">
        <f t="shared" si="65"/>
        <v>6.0041666666666682</v>
      </c>
      <c r="DA4" s="278">
        <f t="shared" si="65"/>
        <v>157.34583333333333</v>
      </c>
      <c r="DB4" s="278">
        <f t="shared" si="65"/>
        <v>252.04166666666663</v>
      </c>
      <c r="DC4" s="278">
        <f t="shared" si="65"/>
        <v>313.62590579710144</v>
      </c>
      <c r="DD4" s="277"/>
      <c r="DE4" s="277">
        <f t="shared" ref="DE4:DE15" si="77">DE3+1</f>
        <v>2015</v>
      </c>
      <c r="DF4" s="278">
        <f t="shared" ref="DF4:DF14" si="78">SUMIFS($K:$K,$A:$A,$BA4,$B:$B,DF$1)</f>
        <v>611.89184782608697</v>
      </c>
      <c r="DG4" s="278">
        <f t="shared" si="66"/>
        <v>697.85434782608695</v>
      </c>
      <c r="DH4" s="278">
        <f t="shared" si="66"/>
        <v>451.8</v>
      </c>
      <c r="DI4" s="278">
        <f t="shared" si="66"/>
        <v>168.28371212121215</v>
      </c>
      <c r="DJ4" s="278">
        <f t="shared" si="66"/>
        <v>16.190942028985511</v>
      </c>
      <c r="DK4" s="278">
        <f t="shared" si="66"/>
        <v>0.6458333333333357</v>
      </c>
      <c r="DL4" s="278">
        <f t="shared" si="66"/>
        <v>0</v>
      </c>
      <c r="DM4" s="278">
        <f t="shared" si="66"/>
        <v>0</v>
      </c>
      <c r="DN4" s="278">
        <f t="shared" si="66"/>
        <v>3.7500000000001421E-2</v>
      </c>
      <c r="DO4" s="278">
        <f t="shared" si="66"/>
        <v>104.88333333333331</v>
      </c>
      <c r="DP4" s="278">
        <f t="shared" si="66"/>
        <v>195.30833333333331</v>
      </c>
      <c r="DQ4" s="278">
        <f t="shared" si="66"/>
        <v>251.62590579710138</v>
      </c>
      <c r="DR4" s="277"/>
      <c r="DS4" s="277">
        <f t="shared" ref="DS4:DS15" si="79">DS3+1</f>
        <v>2015</v>
      </c>
      <c r="DT4" s="278">
        <f t="shared" ref="DT4:DT14" si="80">SUMIFS($M:$M,$A:$A,$BA4,$B:$B,DT$1)</f>
        <v>549.89184782608709</v>
      </c>
      <c r="DU4" s="278">
        <f t="shared" si="67"/>
        <v>641.85434782608695</v>
      </c>
      <c r="DV4" s="278">
        <f t="shared" si="67"/>
        <v>389.8</v>
      </c>
      <c r="DW4" s="278">
        <f t="shared" si="67"/>
        <v>116.58371212121212</v>
      </c>
      <c r="DX4" s="278">
        <f t="shared" si="67"/>
        <v>4.3916666666666675</v>
      </c>
      <c r="DY4" s="278">
        <f t="shared" si="67"/>
        <v>0</v>
      </c>
      <c r="DZ4" s="278">
        <f t="shared" si="67"/>
        <v>0</v>
      </c>
      <c r="EA4" s="278">
        <f t="shared" si="67"/>
        <v>0</v>
      </c>
      <c r="EB4" s="278">
        <f t="shared" si="67"/>
        <v>0</v>
      </c>
      <c r="EC4" s="278">
        <f t="shared" si="67"/>
        <v>61.262500000000003</v>
      </c>
      <c r="ED4" s="278">
        <f t="shared" si="67"/>
        <v>143.67916666666665</v>
      </c>
      <c r="EE4" s="278">
        <f t="shared" si="67"/>
        <v>190.49257246376811</v>
      </c>
      <c r="EF4" s="277"/>
      <c r="EG4" s="277">
        <f t="shared" ref="EG4:EG15" si="81">EG3+1</f>
        <v>2015</v>
      </c>
      <c r="EH4" s="278">
        <f t="shared" ref="EH4:EH14" si="82">SUMIFS($O:$O,$A:$A,$BA4,$B:$B,EH$1)</f>
        <v>487.89184782608703</v>
      </c>
      <c r="EI4" s="278">
        <f t="shared" si="68"/>
        <v>585.85434782608695</v>
      </c>
      <c r="EJ4" s="278">
        <f t="shared" si="68"/>
        <v>327.79999999999995</v>
      </c>
      <c r="EK4" s="278">
        <f t="shared" si="68"/>
        <v>72.862878787878799</v>
      </c>
      <c r="EL4" s="278">
        <f t="shared" si="68"/>
        <v>0</v>
      </c>
      <c r="EM4" s="278">
        <f t="shared" si="68"/>
        <v>0</v>
      </c>
      <c r="EN4" s="278">
        <f t="shared" si="68"/>
        <v>0</v>
      </c>
      <c r="EO4" s="278">
        <f t="shared" si="68"/>
        <v>0</v>
      </c>
      <c r="EP4" s="278">
        <f t="shared" si="68"/>
        <v>0</v>
      </c>
      <c r="EQ4" s="278">
        <f t="shared" si="68"/>
        <v>33.92916666666666</v>
      </c>
      <c r="ER4" s="278">
        <f t="shared" si="68"/>
        <v>99.970833333333317</v>
      </c>
      <c r="ES4" s="278">
        <f t="shared" si="68"/>
        <v>134.45072463768119</v>
      </c>
    </row>
    <row r="5" spans="1:169">
      <c r="A5">
        <v>2014</v>
      </c>
      <c r="B5">
        <v>4</v>
      </c>
      <c r="C5" s="200">
        <v>435.43749999999994</v>
      </c>
      <c r="D5" s="200">
        <v>0</v>
      </c>
      <c r="E5" s="200">
        <v>375.43749999999994</v>
      </c>
      <c r="F5" s="200">
        <v>0</v>
      </c>
      <c r="G5" s="200">
        <v>315.4375</v>
      </c>
      <c r="H5" s="200">
        <v>0</v>
      </c>
      <c r="I5" s="200">
        <v>255.43749999999994</v>
      </c>
      <c r="J5" s="200">
        <v>0</v>
      </c>
      <c r="K5" s="200">
        <v>195.43749999999997</v>
      </c>
      <c r="L5" s="200">
        <v>0</v>
      </c>
      <c r="M5" s="200">
        <v>139.75833333333333</v>
      </c>
      <c r="N5" s="200">
        <v>4.3208333333333346</v>
      </c>
      <c r="O5" s="200">
        <v>87.316666666666691</v>
      </c>
      <c r="P5" s="200">
        <v>11.87916666666667</v>
      </c>
      <c r="Q5" s="257">
        <v>5.4854166666666657</v>
      </c>
      <c r="S5" s="3"/>
      <c r="T5" s="3"/>
      <c r="U5" s="3"/>
      <c r="V5" s="3"/>
      <c r="W5" s="3"/>
      <c r="X5" s="3"/>
      <c r="Y5" s="3"/>
      <c r="Z5" s="3"/>
      <c r="AA5" s="3"/>
      <c r="AB5" s="3"/>
      <c r="BA5" s="277">
        <f t="shared" si="69"/>
        <v>2016</v>
      </c>
      <c r="BB5" s="278">
        <f t="shared" si="70"/>
        <v>737.87916666666683</v>
      </c>
      <c r="BC5" s="278">
        <f t="shared" si="61"/>
        <v>661.70833333333326</v>
      </c>
      <c r="BD5" s="278">
        <f t="shared" si="61"/>
        <v>577.07934782608709</v>
      </c>
      <c r="BE5" s="278">
        <f t="shared" si="61"/>
        <v>465.98333333333341</v>
      </c>
      <c r="BF5" s="278">
        <f t="shared" si="61"/>
        <v>203.72361111111115</v>
      </c>
      <c r="BG5" s="278">
        <f t="shared" si="61"/>
        <v>56.883333333333326</v>
      </c>
      <c r="BH5" s="278">
        <f t="shared" si="61"/>
        <v>8.75416666666667</v>
      </c>
      <c r="BI5" s="278">
        <f t="shared" si="61"/>
        <v>4.029166666666665</v>
      </c>
      <c r="BJ5" s="278">
        <f t="shared" si="61"/>
        <v>80.145833333333343</v>
      </c>
      <c r="BK5" s="278">
        <f t="shared" si="61"/>
        <v>283.19583333333327</v>
      </c>
      <c r="BL5" s="278">
        <f t="shared" si="61"/>
        <v>437.33511904761912</v>
      </c>
      <c r="BM5" s="278">
        <f t="shared" si="61"/>
        <v>678.67083333333323</v>
      </c>
      <c r="BN5" s="277"/>
      <c r="BO5" s="277">
        <f t="shared" si="71"/>
        <v>2016</v>
      </c>
      <c r="BP5" s="278">
        <f t="shared" si="72"/>
        <v>675.87916666666683</v>
      </c>
      <c r="BQ5" s="278">
        <f t="shared" si="62"/>
        <v>603.70833333333337</v>
      </c>
      <c r="BR5" s="278">
        <f t="shared" si="62"/>
        <v>515.07934782608686</v>
      </c>
      <c r="BS5" s="278">
        <f t="shared" si="62"/>
        <v>405.98333333333341</v>
      </c>
      <c r="BT5" s="278">
        <f t="shared" si="62"/>
        <v>154.58611111111114</v>
      </c>
      <c r="BU5" s="278">
        <f t="shared" si="62"/>
        <v>30.204166666666669</v>
      </c>
      <c r="BV5" s="278">
        <f t="shared" si="62"/>
        <v>1.6583333333333314</v>
      </c>
      <c r="BW5" s="278">
        <f t="shared" si="62"/>
        <v>1.1291666666666664</v>
      </c>
      <c r="BX5" s="278">
        <f t="shared" si="62"/>
        <v>40.929166666666667</v>
      </c>
      <c r="BY5" s="278">
        <f t="shared" si="62"/>
        <v>222.13333333333333</v>
      </c>
      <c r="BZ5" s="278">
        <f t="shared" si="62"/>
        <v>377.33511904761912</v>
      </c>
      <c r="CA5" s="278">
        <f t="shared" si="62"/>
        <v>616.67083333333335</v>
      </c>
      <c r="CB5" s="353">
        <f t="shared" si="63"/>
        <v>3645.2964113181506</v>
      </c>
      <c r="CC5" s="277">
        <f t="shared" si="73"/>
        <v>2016</v>
      </c>
      <c r="CD5" s="278">
        <f t="shared" si="74"/>
        <v>613.87916666666683</v>
      </c>
      <c r="CE5" s="278">
        <f t="shared" si="64"/>
        <v>545.70833333333337</v>
      </c>
      <c r="CF5" s="278">
        <f t="shared" si="64"/>
        <v>453.07934782608692</v>
      </c>
      <c r="CG5" s="278">
        <f t="shared" si="64"/>
        <v>345.98333333333335</v>
      </c>
      <c r="CH5" s="278">
        <f t="shared" si="64"/>
        <v>111.69444444444443</v>
      </c>
      <c r="CI5" s="278">
        <f t="shared" si="64"/>
        <v>14.133333333333335</v>
      </c>
      <c r="CJ5" s="278">
        <f t="shared" si="64"/>
        <v>0</v>
      </c>
      <c r="CK5" s="278">
        <f t="shared" si="64"/>
        <v>0</v>
      </c>
      <c r="CL5" s="278">
        <f t="shared" si="64"/>
        <v>15.7875</v>
      </c>
      <c r="CM5" s="278">
        <f t="shared" si="64"/>
        <v>166.45</v>
      </c>
      <c r="CN5" s="278">
        <f t="shared" si="64"/>
        <v>317.335119047619</v>
      </c>
      <c r="CO5" s="278">
        <f t="shared" si="64"/>
        <v>554.67083333333346</v>
      </c>
      <c r="CP5" s="277"/>
      <c r="CQ5" s="277">
        <f t="shared" si="75"/>
        <v>2016</v>
      </c>
      <c r="CR5" s="278">
        <f t="shared" si="76"/>
        <v>551.87916666666672</v>
      </c>
      <c r="CS5" s="278">
        <f t="shared" si="65"/>
        <v>487.70833333333337</v>
      </c>
      <c r="CT5" s="278">
        <f t="shared" si="65"/>
        <v>391.07934782608697</v>
      </c>
      <c r="CU5" s="278">
        <f t="shared" si="65"/>
        <v>286.81666666666661</v>
      </c>
      <c r="CV5" s="278">
        <f t="shared" si="65"/>
        <v>75.344444444444463</v>
      </c>
      <c r="CW5" s="278">
        <f t="shared" si="65"/>
        <v>3.9749999999999996</v>
      </c>
      <c r="CX5" s="278">
        <f t="shared" si="65"/>
        <v>0</v>
      </c>
      <c r="CY5" s="278">
        <f t="shared" si="65"/>
        <v>0</v>
      </c>
      <c r="CZ5" s="278">
        <f t="shared" si="65"/>
        <v>4.9124999999999979</v>
      </c>
      <c r="DA5" s="278">
        <f t="shared" si="65"/>
        <v>121.96666666666667</v>
      </c>
      <c r="DB5" s="278">
        <f t="shared" si="65"/>
        <v>257.33511904761906</v>
      </c>
      <c r="DC5" s="278">
        <f t="shared" si="65"/>
        <v>492.67083333333335</v>
      </c>
      <c r="DD5" s="277"/>
      <c r="DE5" s="277">
        <f t="shared" si="77"/>
        <v>2016</v>
      </c>
      <c r="DF5" s="278">
        <f t="shared" si="78"/>
        <v>489.87916666666672</v>
      </c>
      <c r="DG5" s="278">
        <f t="shared" si="66"/>
        <v>429.70833333333337</v>
      </c>
      <c r="DH5" s="278">
        <f t="shared" si="66"/>
        <v>329.07934782608692</v>
      </c>
      <c r="DI5" s="278">
        <f t="shared" si="66"/>
        <v>229.20416666666662</v>
      </c>
      <c r="DJ5" s="278">
        <f t="shared" si="66"/>
        <v>45.036111111111126</v>
      </c>
      <c r="DK5" s="278">
        <f t="shared" si="66"/>
        <v>0.65000000000000036</v>
      </c>
      <c r="DL5" s="278">
        <f t="shared" si="66"/>
        <v>0</v>
      </c>
      <c r="DM5" s="278">
        <f t="shared" si="66"/>
        <v>0</v>
      </c>
      <c r="DN5" s="278">
        <f t="shared" si="66"/>
        <v>0.8125</v>
      </c>
      <c r="DO5" s="278">
        <f t="shared" si="66"/>
        <v>87.579166666666666</v>
      </c>
      <c r="DP5" s="278">
        <f t="shared" si="66"/>
        <v>198.66428571428571</v>
      </c>
      <c r="DQ5" s="278">
        <f t="shared" si="66"/>
        <v>430.67083333333341</v>
      </c>
      <c r="DR5" s="277"/>
      <c r="DS5" s="277">
        <f t="shared" si="79"/>
        <v>2016</v>
      </c>
      <c r="DT5" s="278">
        <f t="shared" si="80"/>
        <v>427.87916666666672</v>
      </c>
      <c r="DU5" s="278">
        <f t="shared" si="67"/>
        <v>371.70833333333337</v>
      </c>
      <c r="DV5" s="278">
        <f t="shared" si="67"/>
        <v>267.07934782608692</v>
      </c>
      <c r="DW5" s="278">
        <f t="shared" si="67"/>
        <v>175.33749999999998</v>
      </c>
      <c r="DX5" s="278">
        <f t="shared" si="67"/>
        <v>18.829166666666676</v>
      </c>
      <c r="DY5" s="278">
        <f t="shared" si="67"/>
        <v>0</v>
      </c>
      <c r="DZ5" s="278">
        <f t="shared" si="67"/>
        <v>0</v>
      </c>
      <c r="EA5" s="278">
        <f t="shared" si="67"/>
        <v>0</v>
      </c>
      <c r="EB5" s="278">
        <f t="shared" si="67"/>
        <v>0</v>
      </c>
      <c r="EC5" s="278">
        <f t="shared" si="67"/>
        <v>58.995833333333337</v>
      </c>
      <c r="ED5" s="278">
        <f t="shared" si="67"/>
        <v>141.00178571428572</v>
      </c>
      <c r="EE5" s="278">
        <f t="shared" si="67"/>
        <v>368.67083333333341</v>
      </c>
      <c r="EF5" s="277"/>
      <c r="EG5" s="277">
        <f t="shared" si="81"/>
        <v>2016</v>
      </c>
      <c r="EH5" s="278">
        <f t="shared" si="82"/>
        <v>365.87916666666672</v>
      </c>
      <c r="EI5" s="278">
        <f t="shared" si="68"/>
        <v>313.70833333333326</v>
      </c>
      <c r="EJ5" s="278">
        <f t="shared" si="68"/>
        <v>207.6751811594203</v>
      </c>
      <c r="EK5" s="278">
        <f t="shared" si="68"/>
        <v>127.94999999999997</v>
      </c>
      <c r="EL5" s="278">
        <f t="shared" si="68"/>
        <v>4.2083333333333348</v>
      </c>
      <c r="EM5" s="278">
        <f t="shared" si="68"/>
        <v>0</v>
      </c>
      <c r="EN5" s="278">
        <f t="shared" si="68"/>
        <v>0</v>
      </c>
      <c r="EO5" s="278">
        <f t="shared" si="68"/>
        <v>0</v>
      </c>
      <c r="EP5" s="278">
        <f t="shared" si="68"/>
        <v>0</v>
      </c>
      <c r="EQ5" s="278">
        <f t="shared" si="68"/>
        <v>33.25</v>
      </c>
      <c r="ER5" s="278">
        <f t="shared" si="68"/>
        <v>89.230952380952388</v>
      </c>
      <c r="ES5" s="278">
        <f t="shared" si="68"/>
        <v>306.67083333333341</v>
      </c>
    </row>
    <row r="6" spans="1:169">
      <c r="A6">
        <v>2014</v>
      </c>
      <c r="B6">
        <v>5</v>
      </c>
      <c r="C6" s="200">
        <v>199.43764822134381</v>
      </c>
      <c r="D6" s="200">
        <v>2.8750000000000071</v>
      </c>
      <c r="E6" s="200">
        <v>141.86264822134387</v>
      </c>
      <c r="F6" s="200">
        <v>7.3000000000000043</v>
      </c>
      <c r="G6" s="200">
        <v>89.379314888010541</v>
      </c>
      <c r="H6" s="200">
        <v>16.816666666666681</v>
      </c>
      <c r="I6" s="200">
        <v>55.487499999999997</v>
      </c>
      <c r="J6" s="200">
        <v>44.924851778656141</v>
      </c>
      <c r="K6" s="200">
        <v>32.75833333333334</v>
      </c>
      <c r="L6" s="200">
        <v>84.195685111989476</v>
      </c>
      <c r="M6" s="200">
        <v>13.012499999999998</v>
      </c>
      <c r="N6" s="200">
        <v>126.44985177865614</v>
      </c>
      <c r="O6" s="200">
        <v>1.3749999999999973</v>
      </c>
      <c r="P6" s="200">
        <v>176.81235177865619</v>
      </c>
      <c r="Q6" s="257">
        <v>13.659269412214714</v>
      </c>
      <c r="S6" s="3"/>
      <c r="T6" s="3"/>
      <c r="U6" s="3"/>
      <c r="V6" s="3"/>
      <c r="W6" s="3"/>
      <c r="X6" s="3"/>
      <c r="Y6" s="3"/>
      <c r="Z6" s="3"/>
      <c r="AA6" s="3"/>
      <c r="AB6" s="3"/>
      <c r="BA6" s="277">
        <f t="shared" si="69"/>
        <v>2017</v>
      </c>
      <c r="BB6" s="278">
        <f t="shared" si="70"/>
        <v>682.2166666666667</v>
      </c>
      <c r="BC6" s="278">
        <f t="shared" si="61"/>
        <v>586.08333333333337</v>
      </c>
      <c r="BD6" s="278">
        <f t="shared" si="61"/>
        <v>661.67916666666667</v>
      </c>
      <c r="BE6" s="278">
        <f t="shared" si="61"/>
        <v>348.38749999999999</v>
      </c>
      <c r="BF6" s="278">
        <f t="shared" si="61"/>
        <v>247.16666666666663</v>
      </c>
      <c r="BG6" s="278">
        <f t="shared" si="61"/>
        <v>85.453333333333319</v>
      </c>
      <c r="BH6" s="278">
        <f t="shared" si="61"/>
        <v>14.412500000000009</v>
      </c>
      <c r="BI6" s="278">
        <f t="shared" si="61"/>
        <v>46.587500000000006</v>
      </c>
      <c r="BJ6" s="278">
        <f t="shared" si="61"/>
        <v>100.06666666666666</v>
      </c>
      <c r="BK6" s="278">
        <f t="shared" si="61"/>
        <v>238.48333333333335</v>
      </c>
      <c r="BL6" s="278">
        <f t="shared" si="61"/>
        <v>502.61174242424244</v>
      </c>
      <c r="BM6" s="278">
        <f t="shared" si="61"/>
        <v>798.31250000000011</v>
      </c>
      <c r="BN6" s="277"/>
      <c r="BO6" s="277">
        <f t="shared" si="71"/>
        <v>2017</v>
      </c>
      <c r="BP6" s="278">
        <f t="shared" si="72"/>
        <v>620.2166666666667</v>
      </c>
      <c r="BQ6" s="278">
        <f t="shared" si="62"/>
        <v>530.08333333333337</v>
      </c>
      <c r="BR6" s="278">
        <f t="shared" si="62"/>
        <v>599.67916666666667</v>
      </c>
      <c r="BS6" s="278">
        <f t="shared" si="62"/>
        <v>288.73333333333335</v>
      </c>
      <c r="BT6" s="278">
        <f t="shared" si="62"/>
        <v>188.63749999999999</v>
      </c>
      <c r="BU6" s="278">
        <f t="shared" si="62"/>
        <v>47.73249999999998</v>
      </c>
      <c r="BV6" s="278">
        <f t="shared" si="62"/>
        <v>1.8041666666666707</v>
      </c>
      <c r="BW6" s="278">
        <f t="shared" si="62"/>
        <v>17.950000000000006</v>
      </c>
      <c r="BX6" s="278">
        <f t="shared" si="62"/>
        <v>65.699999999999989</v>
      </c>
      <c r="BY6" s="278">
        <f t="shared" si="62"/>
        <v>179.70833333333334</v>
      </c>
      <c r="BZ6" s="278">
        <f t="shared" si="62"/>
        <v>442.61174242424244</v>
      </c>
      <c r="CA6" s="278">
        <f t="shared" si="62"/>
        <v>736.31250000000011</v>
      </c>
      <c r="CB6" s="353">
        <f t="shared" si="63"/>
        <v>3719.1692424242428</v>
      </c>
      <c r="CC6" s="277">
        <f t="shared" si="73"/>
        <v>2017</v>
      </c>
      <c r="CD6" s="278">
        <f t="shared" si="74"/>
        <v>558.21666666666658</v>
      </c>
      <c r="CE6" s="278">
        <f t="shared" si="64"/>
        <v>474.08333333333337</v>
      </c>
      <c r="CF6" s="278">
        <f t="shared" si="64"/>
        <v>537.67916666666656</v>
      </c>
      <c r="CG6" s="278">
        <f t="shared" si="64"/>
        <v>230.73333333333338</v>
      </c>
      <c r="CH6" s="278">
        <f t="shared" si="64"/>
        <v>134.83333333333331</v>
      </c>
      <c r="CI6" s="278">
        <f t="shared" si="64"/>
        <v>20.287499999999987</v>
      </c>
      <c r="CJ6" s="278">
        <f t="shared" si="64"/>
        <v>0</v>
      </c>
      <c r="CK6" s="278">
        <f t="shared" si="64"/>
        <v>3.6416666666666693</v>
      </c>
      <c r="CL6" s="278">
        <f t="shared" si="64"/>
        <v>37.391666666666666</v>
      </c>
      <c r="CM6" s="278">
        <f t="shared" si="64"/>
        <v>124.7625</v>
      </c>
      <c r="CN6" s="278">
        <f t="shared" si="64"/>
        <v>382.61174242424244</v>
      </c>
      <c r="CO6" s="278">
        <f t="shared" si="64"/>
        <v>674.31250000000011</v>
      </c>
      <c r="CP6" s="277"/>
      <c r="CQ6" s="277">
        <f t="shared" si="75"/>
        <v>2017</v>
      </c>
      <c r="CR6" s="278">
        <f t="shared" si="76"/>
        <v>496.21666666666664</v>
      </c>
      <c r="CS6" s="278">
        <f t="shared" si="65"/>
        <v>418.08333333333331</v>
      </c>
      <c r="CT6" s="278">
        <f t="shared" si="65"/>
        <v>475.67916666666662</v>
      </c>
      <c r="CU6" s="278">
        <f t="shared" si="65"/>
        <v>174.03750000000005</v>
      </c>
      <c r="CV6" s="278">
        <f t="shared" si="65"/>
        <v>88.129166666666677</v>
      </c>
      <c r="CW6" s="278">
        <f t="shared" si="65"/>
        <v>4.091666666666665</v>
      </c>
      <c r="CX6" s="278">
        <f t="shared" si="65"/>
        <v>0</v>
      </c>
      <c r="CY6" s="278">
        <f t="shared" si="65"/>
        <v>0</v>
      </c>
      <c r="CZ6" s="278">
        <f t="shared" si="65"/>
        <v>16.833333333333329</v>
      </c>
      <c r="DA6" s="278">
        <f t="shared" si="65"/>
        <v>82.137500000000017</v>
      </c>
      <c r="DB6" s="278">
        <f t="shared" si="65"/>
        <v>322.61174242424249</v>
      </c>
      <c r="DC6" s="278">
        <f t="shared" si="65"/>
        <v>612.31250000000011</v>
      </c>
      <c r="DD6" s="277"/>
      <c r="DE6" s="277">
        <f t="shared" si="77"/>
        <v>2017</v>
      </c>
      <c r="DF6" s="278">
        <f t="shared" si="78"/>
        <v>434.21666666666664</v>
      </c>
      <c r="DG6" s="278">
        <f t="shared" si="66"/>
        <v>362.08333333333331</v>
      </c>
      <c r="DH6" s="278">
        <f t="shared" si="66"/>
        <v>413.67916666666662</v>
      </c>
      <c r="DI6" s="278">
        <f t="shared" si="66"/>
        <v>120.79999999999997</v>
      </c>
      <c r="DJ6" s="278">
        <f t="shared" si="66"/>
        <v>52.287499999999987</v>
      </c>
      <c r="DK6" s="278">
        <f t="shared" si="66"/>
        <v>0</v>
      </c>
      <c r="DL6" s="278">
        <f t="shared" si="66"/>
        <v>0</v>
      </c>
      <c r="DM6" s="278">
        <f t="shared" si="66"/>
        <v>0</v>
      </c>
      <c r="DN6" s="278">
        <f t="shared" si="66"/>
        <v>5.466666666666665</v>
      </c>
      <c r="DO6" s="278">
        <f t="shared" si="66"/>
        <v>49.88333333333334</v>
      </c>
      <c r="DP6" s="278">
        <f t="shared" si="66"/>
        <v>262.61174242424244</v>
      </c>
      <c r="DQ6" s="278">
        <f t="shared" si="66"/>
        <v>550.3125</v>
      </c>
      <c r="DR6" s="277"/>
      <c r="DS6" s="277">
        <f t="shared" si="79"/>
        <v>2017</v>
      </c>
      <c r="DT6" s="278">
        <f t="shared" si="80"/>
        <v>372.2166666666667</v>
      </c>
      <c r="DU6" s="278">
        <f t="shared" si="67"/>
        <v>306.08333333333326</v>
      </c>
      <c r="DV6" s="278">
        <f t="shared" si="67"/>
        <v>351.67916666666656</v>
      </c>
      <c r="DW6" s="278">
        <f t="shared" si="67"/>
        <v>73.1458333333333</v>
      </c>
      <c r="DX6" s="278">
        <f t="shared" si="67"/>
        <v>26.741666666666656</v>
      </c>
      <c r="DY6" s="278">
        <f t="shared" si="67"/>
        <v>0</v>
      </c>
      <c r="DZ6" s="278">
        <f t="shared" si="67"/>
        <v>0</v>
      </c>
      <c r="EA6" s="278">
        <f t="shared" si="67"/>
        <v>0</v>
      </c>
      <c r="EB6" s="278">
        <f t="shared" si="67"/>
        <v>1.3833333333333311</v>
      </c>
      <c r="EC6" s="278">
        <f t="shared" si="67"/>
        <v>26.758333333333336</v>
      </c>
      <c r="ED6" s="278">
        <f t="shared" si="67"/>
        <v>203.9075757575757</v>
      </c>
      <c r="EE6" s="278">
        <f t="shared" si="67"/>
        <v>488.31250000000011</v>
      </c>
      <c r="EF6" s="277"/>
      <c r="EG6" s="277">
        <f t="shared" si="81"/>
        <v>2017</v>
      </c>
      <c r="EH6" s="278">
        <f t="shared" si="82"/>
        <v>310.2166666666667</v>
      </c>
      <c r="EI6" s="278">
        <f t="shared" si="68"/>
        <v>251.42499999999998</v>
      </c>
      <c r="EJ6" s="278">
        <f t="shared" si="68"/>
        <v>290.67916666666662</v>
      </c>
      <c r="EK6" s="278">
        <f t="shared" si="68"/>
        <v>34.695833333333326</v>
      </c>
      <c r="EL6" s="278">
        <f t="shared" si="68"/>
        <v>10.045833333333327</v>
      </c>
      <c r="EM6" s="278">
        <f t="shared" si="68"/>
        <v>0</v>
      </c>
      <c r="EN6" s="278">
        <f t="shared" si="68"/>
        <v>0</v>
      </c>
      <c r="EO6" s="278">
        <f t="shared" si="68"/>
        <v>0</v>
      </c>
      <c r="EP6" s="278">
        <f t="shared" si="68"/>
        <v>0</v>
      </c>
      <c r="EQ6" s="278">
        <f t="shared" si="68"/>
        <v>11.620833333333334</v>
      </c>
      <c r="ER6" s="278">
        <f t="shared" si="68"/>
        <v>148.02424242424243</v>
      </c>
      <c r="ES6" s="278">
        <f t="shared" si="68"/>
        <v>426.3125</v>
      </c>
    </row>
    <row r="7" spans="1:169">
      <c r="A7">
        <v>2014</v>
      </c>
      <c r="B7">
        <v>6</v>
      </c>
      <c r="C7" s="200">
        <v>55.654166666666669</v>
      </c>
      <c r="D7" s="200">
        <v>14.625</v>
      </c>
      <c r="E7" s="200">
        <v>22.774999999999995</v>
      </c>
      <c r="F7" s="200">
        <v>41.745833333333323</v>
      </c>
      <c r="G7" s="200">
        <v>6.4124999999999996</v>
      </c>
      <c r="H7" s="200">
        <v>85.383333333333326</v>
      </c>
      <c r="I7" s="200">
        <v>0.97500000000000142</v>
      </c>
      <c r="J7" s="200">
        <v>139.94583333333335</v>
      </c>
      <c r="K7" s="200">
        <v>0</v>
      </c>
      <c r="L7" s="200">
        <v>198.97083333333333</v>
      </c>
      <c r="M7" s="200">
        <v>0</v>
      </c>
      <c r="N7" s="200">
        <v>258.97083333333342</v>
      </c>
      <c r="O7" s="200">
        <v>0</v>
      </c>
      <c r="P7" s="200">
        <v>318.97083333333336</v>
      </c>
      <c r="Q7" s="257">
        <v>18.632361111111106</v>
      </c>
      <c r="S7" s="3"/>
      <c r="T7" s="3"/>
      <c r="U7" s="3"/>
      <c r="V7" s="3"/>
      <c r="W7" s="3"/>
      <c r="X7" s="3"/>
      <c r="Y7" s="3"/>
      <c r="Z7" s="3"/>
      <c r="AA7" s="3"/>
      <c r="AB7" s="3"/>
      <c r="BA7" s="277">
        <f t="shared" si="69"/>
        <v>2018</v>
      </c>
      <c r="BB7" s="278">
        <f t="shared" si="70"/>
        <v>812.53750000000002</v>
      </c>
      <c r="BC7" s="278">
        <f t="shared" si="61"/>
        <v>632.49583333333328</v>
      </c>
      <c r="BD7" s="278">
        <f t="shared" si="61"/>
        <v>629.27916666666681</v>
      </c>
      <c r="BE7" s="278">
        <f t="shared" si="61"/>
        <v>512.51666666666677</v>
      </c>
      <c r="BF7" s="278">
        <f t="shared" si="61"/>
        <v>140.84469696969697</v>
      </c>
      <c r="BG7" s="278">
        <f t="shared" si="61"/>
        <v>63.468560606060585</v>
      </c>
      <c r="BH7" s="278">
        <f t="shared" si="61"/>
        <v>4.9668995859213254</v>
      </c>
      <c r="BI7" s="278">
        <f t="shared" si="61"/>
        <v>7.2291666666666679</v>
      </c>
      <c r="BJ7" s="278">
        <f t="shared" si="61"/>
        <v>92.370833333333337</v>
      </c>
      <c r="BK7" s="278">
        <f t="shared" si="61"/>
        <v>364.80833333333339</v>
      </c>
      <c r="BL7" s="278">
        <f t="shared" si="61"/>
        <v>563.52499999999998</v>
      </c>
      <c r="BM7" s="278">
        <f t="shared" si="61"/>
        <v>646.91666666666663</v>
      </c>
      <c r="BN7" s="277"/>
      <c r="BO7" s="277">
        <f t="shared" si="71"/>
        <v>2018</v>
      </c>
      <c r="BP7" s="278">
        <f t="shared" si="72"/>
        <v>750.53750000000002</v>
      </c>
      <c r="BQ7" s="278">
        <f t="shared" si="62"/>
        <v>576.49583333333317</v>
      </c>
      <c r="BR7" s="278">
        <f t="shared" si="62"/>
        <v>567.2791666666667</v>
      </c>
      <c r="BS7" s="278">
        <f t="shared" si="62"/>
        <v>452.51666666666677</v>
      </c>
      <c r="BT7" s="278">
        <f t="shared" si="62"/>
        <v>95.407196969696969</v>
      </c>
      <c r="BU7" s="278">
        <f t="shared" si="62"/>
        <v>23.060227272727261</v>
      </c>
      <c r="BV7" s="278">
        <f t="shared" si="62"/>
        <v>0.19999999999999574</v>
      </c>
      <c r="BW7" s="278">
        <f t="shared" si="62"/>
        <v>0.90833333333333144</v>
      </c>
      <c r="BX7" s="278">
        <f t="shared" si="62"/>
        <v>59.1875</v>
      </c>
      <c r="BY7" s="278">
        <f t="shared" si="62"/>
        <v>305.10000000000002</v>
      </c>
      <c r="BZ7" s="278">
        <f t="shared" si="62"/>
        <v>503.52500000000003</v>
      </c>
      <c r="CA7" s="278">
        <f t="shared" si="62"/>
        <v>584.91666666666663</v>
      </c>
      <c r="CB7" s="353">
        <f t="shared" si="63"/>
        <v>3919.1340909090909</v>
      </c>
      <c r="CC7" s="277">
        <f t="shared" si="73"/>
        <v>2018</v>
      </c>
      <c r="CD7" s="278">
        <f t="shared" si="74"/>
        <v>688.53749999999991</v>
      </c>
      <c r="CE7" s="278">
        <f t="shared" si="64"/>
        <v>520.49583333333328</v>
      </c>
      <c r="CF7" s="278">
        <f t="shared" si="64"/>
        <v>505.2791666666667</v>
      </c>
      <c r="CG7" s="278">
        <f t="shared" si="64"/>
        <v>392.51666666666677</v>
      </c>
      <c r="CH7" s="278">
        <f t="shared" si="64"/>
        <v>53.462500000000013</v>
      </c>
      <c r="CI7" s="278">
        <f t="shared" si="64"/>
        <v>7.645833333333325</v>
      </c>
      <c r="CJ7" s="278">
        <f t="shared" si="64"/>
        <v>0</v>
      </c>
      <c r="CK7" s="278">
        <f t="shared" si="64"/>
        <v>0</v>
      </c>
      <c r="CL7" s="278">
        <f t="shared" si="64"/>
        <v>33.279166666666669</v>
      </c>
      <c r="CM7" s="278">
        <f t="shared" si="64"/>
        <v>248.88749999999993</v>
      </c>
      <c r="CN7" s="278">
        <f t="shared" si="64"/>
        <v>443.52500000000003</v>
      </c>
      <c r="CO7" s="278">
        <f t="shared" si="64"/>
        <v>522.91666666666663</v>
      </c>
      <c r="CP7" s="277"/>
      <c r="CQ7" s="277">
        <f t="shared" si="75"/>
        <v>2018</v>
      </c>
      <c r="CR7" s="278">
        <f t="shared" si="76"/>
        <v>626.53750000000002</v>
      </c>
      <c r="CS7" s="278">
        <f t="shared" si="65"/>
        <v>464.49583333333334</v>
      </c>
      <c r="CT7" s="278">
        <f t="shared" si="65"/>
        <v>443.2791666666667</v>
      </c>
      <c r="CU7" s="278">
        <f t="shared" si="65"/>
        <v>332.51666666666671</v>
      </c>
      <c r="CV7" s="278">
        <f t="shared" si="65"/>
        <v>22.062500000000014</v>
      </c>
      <c r="CW7" s="278">
        <f t="shared" si="65"/>
        <v>3.3208333333333275</v>
      </c>
      <c r="CX7" s="278">
        <f t="shared" si="65"/>
        <v>0</v>
      </c>
      <c r="CY7" s="278">
        <f t="shared" si="65"/>
        <v>0</v>
      </c>
      <c r="CZ7" s="278">
        <f t="shared" si="65"/>
        <v>13.695833333333338</v>
      </c>
      <c r="DA7" s="278">
        <f t="shared" si="65"/>
        <v>194.17916666666662</v>
      </c>
      <c r="DB7" s="278">
        <f t="shared" si="65"/>
        <v>383.52500000000003</v>
      </c>
      <c r="DC7" s="278">
        <f t="shared" si="65"/>
        <v>460.91666666666657</v>
      </c>
      <c r="DD7" s="277"/>
      <c r="DE7" s="277">
        <f t="shared" si="77"/>
        <v>2018</v>
      </c>
      <c r="DF7" s="278">
        <f t="shared" si="78"/>
        <v>564.53750000000002</v>
      </c>
      <c r="DG7" s="278">
        <f t="shared" si="66"/>
        <v>408.49583333333334</v>
      </c>
      <c r="DH7" s="278">
        <f t="shared" si="66"/>
        <v>381.27916666666664</v>
      </c>
      <c r="DI7" s="278">
        <f t="shared" si="66"/>
        <v>272.51666666666665</v>
      </c>
      <c r="DJ7" s="278">
        <f t="shared" si="66"/>
        <v>6.9291666666666698</v>
      </c>
      <c r="DK7" s="278">
        <f t="shared" si="66"/>
        <v>0</v>
      </c>
      <c r="DL7" s="278">
        <f t="shared" si="66"/>
        <v>0</v>
      </c>
      <c r="DM7" s="278">
        <f t="shared" si="66"/>
        <v>0</v>
      </c>
      <c r="DN7" s="278">
        <f t="shared" si="66"/>
        <v>2.1166666666666636</v>
      </c>
      <c r="DO7" s="278">
        <f t="shared" si="66"/>
        <v>142.14999999999998</v>
      </c>
      <c r="DP7" s="278">
        <f t="shared" si="66"/>
        <v>323.52500000000003</v>
      </c>
      <c r="DQ7" s="278">
        <f t="shared" si="66"/>
        <v>398.91666666666657</v>
      </c>
      <c r="DR7" s="277"/>
      <c r="DS7" s="277">
        <f t="shared" si="79"/>
        <v>2018</v>
      </c>
      <c r="DT7" s="278">
        <f t="shared" si="80"/>
        <v>502.53750000000002</v>
      </c>
      <c r="DU7" s="278">
        <f t="shared" si="67"/>
        <v>352.49583333333334</v>
      </c>
      <c r="DV7" s="278">
        <f t="shared" si="67"/>
        <v>319.2791666666667</v>
      </c>
      <c r="DW7" s="278">
        <f t="shared" si="67"/>
        <v>212.57916666666659</v>
      </c>
      <c r="DX7" s="278">
        <f t="shared" si="67"/>
        <v>2.7874999999999988</v>
      </c>
      <c r="DY7" s="278">
        <f t="shared" si="67"/>
        <v>0</v>
      </c>
      <c r="DZ7" s="278">
        <f t="shared" si="67"/>
        <v>0</v>
      </c>
      <c r="EA7" s="278">
        <f t="shared" si="67"/>
        <v>0</v>
      </c>
      <c r="EB7" s="278">
        <f t="shared" si="67"/>
        <v>0</v>
      </c>
      <c r="EC7" s="278">
        <f t="shared" si="67"/>
        <v>96.316666666666663</v>
      </c>
      <c r="ED7" s="278">
        <f t="shared" si="67"/>
        <v>263.86666666666662</v>
      </c>
      <c r="EE7" s="278">
        <f t="shared" si="67"/>
        <v>336.91666666666657</v>
      </c>
      <c r="EF7" s="277"/>
      <c r="EG7" s="277">
        <f t="shared" si="81"/>
        <v>2018</v>
      </c>
      <c r="EH7" s="278">
        <f t="shared" si="82"/>
        <v>440.53750000000002</v>
      </c>
      <c r="EI7" s="278">
        <f t="shared" si="68"/>
        <v>296.49583333333334</v>
      </c>
      <c r="EJ7" s="278">
        <f t="shared" si="68"/>
        <v>257.2791666666667</v>
      </c>
      <c r="EK7" s="278">
        <f t="shared" si="68"/>
        <v>158.6666666666666</v>
      </c>
      <c r="EL7" s="278">
        <f t="shared" si="68"/>
        <v>0.50416666666666554</v>
      </c>
      <c r="EM7" s="278">
        <f t="shared" si="68"/>
        <v>0</v>
      </c>
      <c r="EN7" s="278">
        <f t="shared" si="68"/>
        <v>0</v>
      </c>
      <c r="EO7" s="278">
        <f t="shared" si="68"/>
        <v>0</v>
      </c>
      <c r="EP7" s="278">
        <f t="shared" si="68"/>
        <v>0</v>
      </c>
      <c r="EQ7" s="278">
        <f t="shared" si="68"/>
        <v>55.56666666666667</v>
      </c>
      <c r="ER7" s="278">
        <f t="shared" si="68"/>
        <v>206.24583333333334</v>
      </c>
      <c r="ES7" s="278">
        <f t="shared" si="68"/>
        <v>274.91666666666663</v>
      </c>
    </row>
    <row r="8" spans="1:169">
      <c r="A8">
        <v>2014</v>
      </c>
      <c r="B8">
        <v>7</v>
      </c>
      <c r="C8" s="200">
        <v>44.441666666666691</v>
      </c>
      <c r="D8" s="200">
        <v>20.045833333333324</v>
      </c>
      <c r="E8" s="200">
        <v>9.9666666666666774</v>
      </c>
      <c r="F8" s="200">
        <v>47.570833333333312</v>
      </c>
      <c r="G8" s="200">
        <v>8.333333333334636E-3</v>
      </c>
      <c r="H8" s="200">
        <v>99.612499999999969</v>
      </c>
      <c r="I8" s="200">
        <v>0</v>
      </c>
      <c r="J8" s="200">
        <v>161.60416666666666</v>
      </c>
      <c r="K8" s="200">
        <v>0</v>
      </c>
      <c r="L8" s="200">
        <v>223.6041666666666</v>
      </c>
      <c r="M8" s="200">
        <v>0</v>
      </c>
      <c r="N8" s="200">
        <v>285.60416666666657</v>
      </c>
      <c r="O8" s="200">
        <v>0</v>
      </c>
      <c r="P8" s="200">
        <v>347.60416666666657</v>
      </c>
      <c r="Q8" s="257">
        <v>19.213037634408604</v>
      </c>
      <c r="S8" s="3"/>
      <c r="T8" s="3"/>
      <c r="U8" s="3"/>
      <c r="V8" s="3"/>
      <c r="W8" s="3"/>
      <c r="X8" s="3"/>
      <c r="Y8" s="3"/>
      <c r="Z8" s="3"/>
      <c r="AA8" s="3"/>
      <c r="AB8" s="3"/>
      <c r="BA8" s="277">
        <f t="shared" si="69"/>
        <v>2019</v>
      </c>
      <c r="BB8" s="278">
        <f t="shared" si="70"/>
        <v>841.93333333333351</v>
      </c>
      <c r="BC8" s="278">
        <f t="shared" si="61"/>
        <v>695.30416666666645</v>
      </c>
      <c r="BD8" s="278">
        <f t="shared" si="61"/>
        <v>673.45833333333326</v>
      </c>
      <c r="BE8" s="278">
        <f t="shared" si="61"/>
        <v>426.6541666666667</v>
      </c>
      <c r="BF8" s="278">
        <f t="shared" si="61"/>
        <v>267.53464912280702</v>
      </c>
      <c r="BG8" s="278">
        <f t="shared" si="61"/>
        <v>80.695833333333368</v>
      </c>
      <c r="BH8" s="278">
        <f t="shared" si="61"/>
        <v>0.97500000000000497</v>
      </c>
      <c r="BI8" s="278">
        <f t="shared" si="61"/>
        <v>19.091666666666661</v>
      </c>
      <c r="BJ8" s="278">
        <f t="shared" si="61"/>
        <v>113.56666666666666</v>
      </c>
      <c r="BK8" s="278">
        <f t="shared" si="61"/>
        <v>303.96666666666664</v>
      </c>
      <c r="BL8" s="278">
        <f t="shared" si="61"/>
        <v>589.72500000000002</v>
      </c>
      <c r="BM8" s="278">
        <f t="shared" si="61"/>
        <v>676.42916666666656</v>
      </c>
      <c r="BN8" s="277"/>
      <c r="BO8" s="277">
        <f t="shared" si="71"/>
        <v>2019</v>
      </c>
      <c r="BP8" s="278">
        <f t="shared" si="72"/>
        <v>779.93333333333351</v>
      </c>
      <c r="BQ8" s="278">
        <f t="shared" si="62"/>
        <v>639.30416666666645</v>
      </c>
      <c r="BR8" s="278">
        <f t="shared" si="62"/>
        <v>611.45833333333337</v>
      </c>
      <c r="BS8" s="278">
        <f t="shared" si="62"/>
        <v>366.65416666666664</v>
      </c>
      <c r="BT8" s="278">
        <f t="shared" si="62"/>
        <v>205.53464912280697</v>
      </c>
      <c r="BU8" s="278">
        <f t="shared" si="62"/>
        <v>46.120833333333351</v>
      </c>
      <c r="BV8" s="278">
        <f t="shared" si="62"/>
        <v>0</v>
      </c>
      <c r="BW8" s="278">
        <f t="shared" si="62"/>
        <v>4.645833333333325</v>
      </c>
      <c r="BX8" s="278">
        <f t="shared" si="62"/>
        <v>62.054166666666653</v>
      </c>
      <c r="BY8" s="278">
        <f t="shared" si="62"/>
        <v>243.77916666666664</v>
      </c>
      <c r="BZ8" s="278">
        <f t="shared" si="62"/>
        <v>529.72500000000002</v>
      </c>
      <c r="CA8" s="278">
        <f t="shared" si="62"/>
        <v>614.42916666666667</v>
      </c>
      <c r="CB8" s="353">
        <f t="shared" si="63"/>
        <v>4103.6388157894735</v>
      </c>
      <c r="CC8" s="277">
        <f t="shared" si="73"/>
        <v>2019</v>
      </c>
      <c r="CD8" s="278">
        <f t="shared" si="74"/>
        <v>717.93333333333339</v>
      </c>
      <c r="CE8" s="278">
        <f t="shared" si="64"/>
        <v>583.30416666666656</v>
      </c>
      <c r="CF8" s="278">
        <f t="shared" si="64"/>
        <v>549.45833333333326</v>
      </c>
      <c r="CG8" s="278">
        <f t="shared" si="64"/>
        <v>306.65416666666664</v>
      </c>
      <c r="CH8" s="278">
        <f t="shared" si="64"/>
        <v>145.93881578947367</v>
      </c>
      <c r="CI8" s="278">
        <f t="shared" si="64"/>
        <v>21.925000000000018</v>
      </c>
      <c r="CJ8" s="278">
        <f t="shared" si="64"/>
        <v>0</v>
      </c>
      <c r="CK8" s="278">
        <f t="shared" si="64"/>
        <v>0</v>
      </c>
      <c r="CL8" s="278">
        <f t="shared" si="64"/>
        <v>21.004166666666656</v>
      </c>
      <c r="CM8" s="278">
        <f t="shared" si="64"/>
        <v>183.7791666666667</v>
      </c>
      <c r="CN8" s="278">
        <f t="shared" si="64"/>
        <v>469.72499999999997</v>
      </c>
      <c r="CO8" s="278">
        <f t="shared" si="64"/>
        <v>552.42916666666667</v>
      </c>
      <c r="CP8" s="277"/>
      <c r="CQ8" s="277">
        <f t="shared" si="75"/>
        <v>2019</v>
      </c>
      <c r="CR8" s="278">
        <f t="shared" si="76"/>
        <v>655.93333333333339</v>
      </c>
      <c r="CS8" s="278">
        <f t="shared" si="65"/>
        <v>527.30416666666656</v>
      </c>
      <c r="CT8" s="278">
        <f t="shared" si="65"/>
        <v>487.45833333333331</v>
      </c>
      <c r="CU8" s="278">
        <f t="shared" si="65"/>
        <v>246.6541666666667</v>
      </c>
      <c r="CV8" s="278">
        <f t="shared" si="65"/>
        <v>92.742982456140368</v>
      </c>
      <c r="CW8" s="278">
        <f t="shared" si="65"/>
        <v>9.0750000000000011</v>
      </c>
      <c r="CX8" s="278">
        <f t="shared" si="65"/>
        <v>0</v>
      </c>
      <c r="CY8" s="278">
        <f t="shared" si="65"/>
        <v>0</v>
      </c>
      <c r="CZ8" s="278">
        <f t="shared" si="65"/>
        <v>4.9833333333333325</v>
      </c>
      <c r="DA8" s="278">
        <f t="shared" si="65"/>
        <v>125.30000000000004</v>
      </c>
      <c r="DB8" s="278">
        <f t="shared" si="65"/>
        <v>409.72499999999997</v>
      </c>
      <c r="DC8" s="278">
        <f t="shared" si="65"/>
        <v>490.42916666666656</v>
      </c>
      <c r="DD8" s="277"/>
      <c r="DE8" s="277">
        <f t="shared" si="77"/>
        <v>2019</v>
      </c>
      <c r="DF8" s="278">
        <f t="shared" si="78"/>
        <v>593.93333333333339</v>
      </c>
      <c r="DG8" s="278">
        <f t="shared" si="66"/>
        <v>471.30416666666662</v>
      </c>
      <c r="DH8" s="278">
        <f t="shared" si="66"/>
        <v>425.45833333333326</v>
      </c>
      <c r="DI8" s="278">
        <f t="shared" si="66"/>
        <v>187.50000000000003</v>
      </c>
      <c r="DJ8" s="278">
        <f t="shared" si="66"/>
        <v>47.113815789473684</v>
      </c>
      <c r="DK8" s="278">
        <f t="shared" si="66"/>
        <v>3.9291666666666671</v>
      </c>
      <c r="DL8" s="278">
        <f t="shared" si="66"/>
        <v>0</v>
      </c>
      <c r="DM8" s="278">
        <f t="shared" si="66"/>
        <v>0</v>
      </c>
      <c r="DN8" s="278">
        <f t="shared" si="66"/>
        <v>0.4208333333333325</v>
      </c>
      <c r="DO8" s="278">
        <f t="shared" si="66"/>
        <v>72.637500000000017</v>
      </c>
      <c r="DP8" s="278">
        <f t="shared" si="66"/>
        <v>349.72499999999997</v>
      </c>
      <c r="DQ8" s="278">
        <f t="shared" si="66"/>
        <v>428.42916666666656</v>
      </c>
      <c r="DR8" s="277"/>
      <c r="DS8" s="277">
        <f t="shared" si="79"/>
        <v>2019</v>
      </c>
      <c r="DT8" s="278">
        <f t="shared" si="80"/>
        <v>531.93333333333328</v>
      </c>
      <c r="DU8" s="278">
        <f t="shared" si="67"/>
        <v>415.30416666666656</v>
      </c>
      <c r="DV8" s="278">
        <f t="shared" si="67"/>
        <v>363.45833333333326</v>
      </c>
      <c r="DW8" s="278">
        <f t="shared" si="67"/>
        <v>129.53333333333336</v>
      </c>
      <c r="DX8" s="278">
        <f t="shared" si="67"/>
        <v>21.337500000000002</v>
      </c>
      <c r="DY8" s="278">
        <f t="shared" si="67"/>
        <v>0.97916666666666963</v>
      </c>
      <c r="DZ8" s="278">
        <f t="shared" si="67"/>
        <v>0</v>
      </c>
      <c r="EA8" s="278">
        <f t="shared" si="67"/>
        <v>0</v>
      </c>
      <c r="EB8" s="278">
        <f t="shared" si="67"/>
        <v>0</v>
      </c>
      <c r="EC8" s="278">
        <f t="shared" si="67"/>
        <v>31.19583333333334</v>
      </c>
      <c r="ED8" s="278">
        <f t="shared" si="67"/>
        <v>289.72499999999997</v>
      </c>
      <c r="EE8" s="278">
        <f t="shared" si="67"/>
        <v>366.42916666666656</v>
      </c>
      <c r="EF8" s="277"/>
      <c r="EG8" s="277">
        <f t="shared" si="81"/>
        <v>2019</v>
      </c>
      <c r="EH8" s="278">
        <f t="shared" si="82"/>
        <v>469.93333333333328</v>
      </c>
      <c r="EI8" s="278">
        <f t="shared" si="68"/>
        <v>359.30416666666662</v>
      </c>
      <c r="EJ8" s="278">
        <f t="shared" si="68"/>
        <v>301.45833333333326</v>
      </c>
      <c r="EK8" s="278">
        <f t="shared" si="68"/>
        <v>81.245833333333351</v>
      </c>
      <c r="EL8" s="278">
        <f t="shared" si="68"/>
        <v>5.4041666666666659</v>
      </c>
      <c r="EM8" s="278">
        <f t="shared" si="68"/>
        <v>0</v>
      </c>
      <c r="EN8" s="278">
        <f t="shared" si="68"/>
        <v>0</v>
      </c>
      <c r="EO8" s="278">
        <f t="shared" si="68"/>
        <v>0</v>
      </c>
      <c r="EP8" s="278">
        <f t="shared" si="68"/>
        <v>0</v>
      </c>
      <c r="EQ8" s="278">
        <f t="shared" si="68"/>
        <v>8.0666666666666664</v>
      </c>
      <c r="ER8" s="278">
        <f t="shared" si="68"/>
        <v>229.72499999999999</v>
      </c>
      <c r="ES8" s="278">
        <f t="shared" si="68"/>
        <v>304.42916666666662</v>
      </c>
    </row>
    <row r="9" spans="1:169">
      <c r="A9">
        <v>2014</v>
      </c>
      <c r="B9">
        <v>8</v>
      </c>
      <c r="C9" s="200">
        <v>43.762500000000003</v>
      </c>
      <c r="D9" s="200">
        <v>13.233333333333348</v>
      </c>
      <c r="E9" s="200">
        <v>18.450000000000006</v>
      </c>
      <c r="F9" s="200">
        <v>49.920833333333348</v>
      </c>
      <c r="G9" s="200">
        <v>4.9875000000000025</v>
      </c>
      <c r="H9" s="200">
        <v>98.458333333333343</v>
      </c>
      <c r="I9" s="200">
        <v>0.6708333333333325</v>
      </c>
      <c r="J9" s="200">
        <v>156.14166666666665</v>
      </c>
      <c r="K9" s="200">
        <v>0</v>
      </c>
      <c r="L9" s="200">
        <v>217.47083333333336</v>
      </c>
      <c r="M9" s="200">
        <v>0</v>
      </c>
      <c r="N9" s="200">
        <v>279.47083333333336</v>
      </c>
      <c r="O9" s="200">
        <v>0</v>
      </c>
      <c r="P9" s="200">
        <v>341.4708333333333</v>
      </c>
      <c r="Q9" s="257">
        <v>19.015188172043011</v>
      </c>
      <c r="S9" s="3"/>
      <c r="T9" s="3"/>
      <c r="U9" s="3"/>
      <c r="V9" s="3"/>
      <c r="W9" s="3"/>
      <c r="X9" s="3"/>
      <c r="Y9" s="3"/>
      <c r="Z9" s="3"/>
      <c r="AA9" s="3"/>
      <c r="AB9" s="3"/>
      <c r="BA9" s="277">
        <f t="shared" si="69"/>
        <v>2020</v>
      </c>
      <c r="BB9" s="278">
        <f t="shared" si="70"/>
        <v>690.82083333333321</v>
      </c>
      <c r="BC9" s="278">
        <f t="shared" si="61"/>
        <v>678.4000000000002</v>
      </c>
      <c r="BD9" s="278">
        <f t="shared" si="61"/>
        <v>543.57083333333344</v>
      </c>
      <c r="BE9" s="278">
        <f t="shared" si="61"/>
        <v>439.67500000000013</v>
      </c>
      <c r="BF9" s="278">
        <f t="shared" si="61"/>
        <v>265.14107142857148</v>
      </c>
      <c r="BG9" s="278">
        <f t="shared" si="61"/>
        <v>53.275000000000006</v>
      </c>
      <c r="BH9" s="278">
        <f t="shared" si="61"/>
        <v>0</v>
      </c>
      <c r="BI9" s="278">
        <f t="shared" si="61"/>
        <v>19.720833333333321</v>
      </c>
      <c r="BJ9" s="278">
        <f t="shared" si="61"/>
        <v>132.75869565217394</v>
      </c>
      <c r="BK9" s="278">
        <f t="shared" si="61"/>
        <v>349.83333333333326</v>
      </c>
      <c r="BL9" s="278">
        <f t="shared" si="61"/>
        <v>426.30072463768113</v>
      </c>
      <c r="BM9" s="278">
        <f t="shared" si="61"/>
        <v>644.90416666666681</v>
      </c>
      <c r="BN9" s="277"/>
      <c r="BO9" s="277">
        <f t="shared" si="71"/>
        <v>2020</v>
      </c>
      <c r="BP9" s="278">
        <f t="shared" si="72"/>
        <v>628.82083333333333</v>
      </c>
      <c r="BQ9" s="278">
        <f t="shared" si="62"/>
        <v>620.40000000000009</v>
      </c>
      <c r="BR9" s="278">
        <f t="shared" si="62"/>
        <v>481.57083333333344</v>
      </c>
      <c r="BS9" s="278">
        <f t="shared" si="62"/>
        <v>379.67500000000013</v>
      </c>
      <c r="BT9" s="278">
        <f t="shared" si="62"/>
        <v>212.73690476190475</v>
      </c>
      <c r="BU9" s="278">
        <f t="shared" si="62"/>
        <v>29.733333333333348</v>
      </c>
      <c r="BV9" s="278">
        <f t="shared" si="62"/>
        <v>0</v>
      </c>
      <c r="BW9" s="278">
        <f t="shared" si="62"/>
        <v>3.4874999999999972</v>
      </c>
      <c r="BX9" s="278">
        <f t="shared" si="62"/>
        <v>85.042028985507244</v>
      </c>
      <c r="BY9" s="278">
        <f t="shared" si="62"/>
        <v>287.83333333333331</v>
      </c>
      <c r="BZ9" s="278">
        <f t="shared" si="62"/>
        <v>366.30072463768118</v>
      </c>
      <c r="CA9" s="278">
        <f t="shared" si="62"/>
        <v>582.90416666666681</v>
      </c>
      <c r="CB9" s="353">
        <f t="shared" si="63"/>
        <v>3678.5046583850935</v>
      </c>
      <c r="CC9" s="277">
        <f t="shared" si="73"/>
        <v>2020</v>
      </c>
      <c r="CD9" s="278">
        <f t="shared" si="74"/>
        <v>566.82083333333333</v>
      </c>
      <c r="CE9" s="278">
        <f t="shared" si="64"/>
        <v>562.4</v>
      </c>
      <c r="CF9" s="278">
        <f t="shared" si="64"/>
        <v>419.57083333333344</v>
      </c>
      <c r="CG9" s="278">
        <f t="shared" si="64"/>
        <v>319.67500000000007</v>
      </c>
      <c r="CH9" s="278">
        <f t="shared" si="64"/>
        <v>164.60000000000005</v>
      </c>
      <c r="CI9" s="278">
        <f t="shared" si="64"/>
        <v>13.145833333333346</v>
      </c>
      <c r="CJ9" s="278">
        <f t="shared" si="64"/>
        <v>0</v>
      </c>
      <c r="CK9" s="278">
        <f t="shared" si="64"/>
        <v>0</v>
      </c>
      <c r="CL9" s="278">
        <f t="shared" si="64"/>
        <v>46.033695652173925</v>
      </c>
      <c r="CM9" s="278">
        <f t="shared" si="64"/>
        <v>226.0625</v>
      </c>
      <c r="CN9" s="278">
        <f t="shared" si="64"/>
        <v>306.30072463768124</v>
      </c>
      <c r="CO9" s="278">
        <f t="shared" si="64"/>
        <v>520.90416666666681</v>
      </c>
      <c r="CP9" s="277"/>
      <c r="CQ9" s="277">
        <f t="shared" si="75"/>
        <v>2020</v>
      </c>
      <c r="CR9" s="278">
        <f t="shared" si="76"/>
        <v>504.82083333333333</v>
      </c>
      <c r="CS9" s="278">
        <f t="shared" si="65"/>
        <v>504.40000000000003</v>
      </c>
      <c r="CT9" s="278">
        <f t="shared" si="65"/>
        <v>357.57083333333344</v>
      </c>
      <c r="CU9" s="278">
        <f t="shared" si="65"/>
        <v>259.67500000000007</v>
      </c>
      <c r="CV9" s="278">
        <f t="shared" si="65"/>
        <v>122.05</v>
      </c>
      <c r="CW9" s="278">
        <f t="shared" si="65"/>
        <v>3.4333333333333353</v>
      </c>
      <c r="CX9" s="278">
        <f t="shared" si="65"/>
        <v>0</v>
      </c>
      <c r="CY9" s="278">
        <f t="shared" si="65"/>
        <v>0</v>
      </c>
      <c r="CZ9" s="278">
        <f t="shared" si="65"/>
        <v>23.967028985507248</v>
      </c>
      <c r="DA9" s="278">
        <f t="shared" si="65"/>
        <v>167.76250000000005</v>
      </c>
      <c r="DB9" s="278">
        <f t="shared" si="65"/>
        <v>246.30072463768118</v>
      </c>
      <c r="DC9" s="278">
        <f t="shared" si="65"/>
        <v>458.90416666666681</v>
      </c>
      <c r="DD9" s="277"/>
      <c r="DE9" s="277">
        <f t="shared" si="77"/>
        <v>2020</v>
      </c>
      <c r="DF9" s="278">
        <f t="shared" si="78"/>
        <v>442.82083333333327</v>
      </c>
      <c r="DG9" s="278">
        <f t="shared" si="66"/>
        <v>446.40000000000003</v>
      </c>
      <c r="DH9" s="278">
        <f t="shared" si="66"/>
        <v>295.57083333333338</v>
      </c>
      <c r="DI9" s="278">
        <f t="shared" si="66"/>
        <v>199.67500000000004</v>
      </c>
      <c r="DJ9" s="278">
        <f t="shared" si="66"/>
        <v>86.899999999999977</v>
      </c>
      <c r="DK9" s="278">
        <f t="shared" si="66"/>
        <v>0</v>
      </c>
      <c r="DL9" s="278">
        <f t="shared" si="66"/>
        <v>0</v>
      </c>
      <c r="DM9" s="278">
        <f t="shared" si="66"/>
        <v>0</v>
      </c>
      <c r="DN9" s="278">
        <f t="shared" si="66"/>
        <v>8.9666666666666686</v>
      </c>
      <c r="DO9" s="278">
        <f t="shared" si="66"/>
        <v>112.09583333333335</v>
      </c>
      <c r="DP9" s="278">
        <f t="shared" si="66"/>
        <v>188.12989130434778</v>
      </c>
      <c r="DQ9" s="278">
        <f t="shared" si="66"/>
        <v>396.9041666666667</v>
      </c>
      <c r="DR9" s="277"/>
      <c r="DS9" s="277">
        <f t="shared" si="79"/>
        <v>2020</v>
      </c>
      <c r="DT9" s="278">
        <f t="shared" si="80"/>
        <v>380.82083333333333</v>
      </c>
      <c r="DU9" s="278">
        <f t="shared" si="67"/>
        <v>388.40000000000003</v>
      </c>
      <c r="DV9" s="278">
        <f t="shared" si="67"/>
        <v>233.60833333333338</v>
      </c>
      <c r="DW9" s="278">
        <f t="shared" si="67"/>
        <v>141.82916666666665</v>
      </c>
      <c r="DX9" s="278">
        <f t="shared" si="67"/>
        <v>59.029166666666669</v>
      </c>
      <c r="DY9" s="278">
        <f t="shared" si="67"/>
        <v>0</v>
      </c>
      <c r="DZ9" s="278">
        <f t="shared" si="67"/>
        <v>0</v>
      </c>
      <c r="EA9" s="278">
        <f t="shared" si="67"/>
        <v>0</v>
      </c>
      <c r="EB9" s="278">
        <f t="shared" si="67"/>
        <v>2.2333333333333343</v>
      </c>
      <c r="EC9" s="278">
        <f t="shared" si="67"/>
        <v>71.3</v>
      </c>
      <c r="ED9" s="278">
        <f t="shared" si="67"/>
        <v>136.26322463768113</v>
      </c>
      <c r="EE9" s="278">
        <f t="shared" si="67"/>
        <v>334.90416666666664</v>
      </c>
      <c r="EF9" s="277"/>
      <c r="EG9" s="277">
        <f t="shared" si="81"/>
        <v>2020</v>
      </c>
      <c r="EH9" s="278">
        <f t="shared" si="82"/>
        <v>318.82083333333333</v>
      </c>
      <c r="EI9" s="278">
        <f t="shared" si="68"/>
        <v>330.40000000000003</v>
      </c>
      <c r="EJ9" s="278">
        <f t="shared" si="68"/>
        <v>174.47500000000005</v>
      </c>
      <c r="EK9" s="278">
        <f t="shared" si="68"/>
        <v>89.183333333333337</v>
      </c>
      <c r="EL9" s="278">
        <f t="shared" si="68"/>
        <v>36.524999999999999</v>
      </c>
      <c r="EM9" s="278">
        <f t="shared" si="68"/>
        <v>0</v>
      </c>
      <c r="EN9" s="278">
        <f t="shared" si="68"/>
        <v>0</v>
      </c>
      <c r="EO9" s="278">
        <f t="shared" si="68"/>
        <v>0</v>
      </c>
      <c r="EP9" s="278">
        <f t="shared" si="68"/>
        <v>0</v>
      </c>
      <c r="EQ9" s="278">
        <f t="shared" si="68"/>
        <v>38.454166666666666</v>
      </c>
      <c r="ER9" s="278">
        <f t="shared" si="68"/>
        <v>92.875724637681159</v>
      </c>
      <c r="ES9" s="278">
        <f t="shared" si="68"/>
        <v>272.9041666666667</v>
      </c>
    </row>
    <row r="10" spans="1:169">
      <c r="A10">
        <v>2014</v>
      </c>
      <c r="B10">
        <v>9</v>
      </c>
      <c r="C10" s="200">
        <v>135.82499999999999</v>
      </c>
      <c r="D10" s="200">
        <v>5.1333333333333293</v>
      </c>
      <c r="E10" s="200">
        <v>88.55</v>
      </c>
      <c r="F10" s="200">
        <v>17.858333333333327</v>
      </c>
      <c r="G10" s="200">
        <v>51.670833333333341</v>
      </c>
      <c r="H10" s="200">
        <v>40.979166666666657</v>
      </c>
      <c r="I10" s="200">
        <v>28.333333333333329</v>
      </c>
      <c r="J10" s="200">
        <v>77.641666666666652</v>
      </c>
      <c r="K10" s="200">
        <v>11.749999999999998</v>
      </c>
      <c r="L10" s="200">
        <v>121.05833333333331</v>
      </c>
      <c r="M10" s="200">
        <v>1.4374999999999964</v>
      </c>
      <c r="N10" s="200">
        <v>170.74583333333334</v>
      </c>
      <c r="O10" s="200">
        <v>0</v>
      </c>
      <c r="P10" s="200">
        <v>229.30833333333334</v>
      </c>
      <c r="Q10" s="257">
        <v>15.643611111111113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BA10" s="277">
        <f t="shared" si="69"/>
        <v>2021</v>
      </c>
      <c r="BB10" s="278">
        <f t="shared" si="70"/>
        <v>715.50416666666661</v>
      </c>
      <c r="BC10" s="278">
        <f t="shared" si="61"/>
        <v>709.45416666666654</v>
      </c>
      <c r="BD10" s="278">
        <f t="shared" si="61"/>
        <v>554.59637681159427</v>
      </c>
      <c r="BE10" s="278">
        <f t="shared" si="61"/>
        <v>379.79583333333329</v>
      </c>
      <c r="BF10" s="278">
        <f t="shared" si="61"/>
        <v>221.92222222222222</v>
      </c>
      <c r="BG10" s="278">
        <f t="shared" si="61"/>
        <v>36.066666666666677</v>
      </c>
      <c r="BH10" s="278">
        <f t="shared" si="61"/>
        <v>25.516666666666669</v>
      </c>
      <c r="BI10" s="278">
        <f t="shared" si="61"/>
        <v>8.524999999999995</v>
      </c>
      <c r="BJ10" s="278">
        <f t="shared" si="61"/>
        <v>93.104166666666671</v>
      </c>
      <c r="BK10" s="278">
        <f t="shared" si="61"/>
        <v>214.18749999999994</v>
      </c>
      <c r="BL10" s="278">
        <f t="shared" si="61"/>
        <v>506.31260351966881</v>
      </c>
      <c r="BM10" s="278">
        <f t="shared" si="61"/>
        <v>595.04583333333335</v>
      </c>
      <c r="BN10" s="277"/>
      <c r="BO10" s="277">
        <f t="shared" si="71"/>
        <v>2021</v>
      </c>
      <c r="BP10" s="278">
        <f t="shared" si="72"/>
        <v>653.50416666666661</v>
      </c>
      <c r="BQ10" s="278">
        <f t="shared" si="62"/>
        <v>653.45416666666654</v>
      </c>
      <c r="BR10" s="278">
        <f t="shared" si="62"/>
        <v>492.59637681159415</v>
      </c>
      <c r="BS10" s="278">
        <f t="shared" si="62"/>
        <v>319.79583333333329</v>
      </c>
      <c r="BT10" s="278">
        <f t="shared" si="62"/>
        <v>173.64305555555555</v>
      </c>
      <c r="BU10" s="278">
        <f t="shared" si="62"/>
        <v>14.254166666666677</v>
      </c>
      <c r="BV10" s="278">
        <f t="shared" si="62"/>
        <v>5.3541666666666572</v>
      </c>
      <c r="BW10" s="278">
        <f t="shared" si="62"/>
        <v>0.69166666666666643</v>
      </c>
      <c r="BX10" s="278">
        <f t="shared" si="62"/>
        <v>45.679166666666674</v>
      </c>
      <c r="BY10" s="278">
        <f t="shared" si="62"/>
        <v>153.47499999999997</v>
      </c>
      <c r="BZ10" s="278">
        <f t="shared" si="62"/>
        <v>446.3126035196687</v>
      </c>
      <c r="CA10" s="278">
        <f t="shared" si="62"/>
        <v>533.04583333333346</v>
      </c>
      <c r="CB10" s="353">
        <f t="shared" si="63"/>
        <v>3491.806202553485</v>
      </c>
      <c r="CC10" s="277">
        <f t="shared" si="73"/>
        <v>2021</v>
      </c>
      <c r="CD10" s="278">
        <f t="shared" si="74"/>
        <v>591.50416666666661</v>
      </c>
      <c r="CE10" s="278">
        <f t="shared" si="64"/>
        <v>597.45416666666665</v>
      </c>
      <c r="CF10" s="278">
        <f t="shared" si="64"/>
        <v>430.59637681159427</v>
      </c>
      <c r="CG10" s="278">
        <f t="shared" si="64"/>
        <v>260.00833333333338</v>
      </c>
      <c r="CH10" s="278">
        <f t="shared" si="64"/>
        <v>127.04305555555555</v>
      </c>
      <c r="CI10" s="278">
        <f t="shared" si="64"/>
        <v>3.2708333333333357</v>
      </c>
      <c r="CJ10" s="278">
        <f t="shared" si="64"/>
        <v>0.74583333333333002</v>
      </c>
      <c r="CK10" s="278">
        <f t="shared" si="64"/>
        <v>0</v>
      </c>
      <c r="CL10" s="278">
        <f t="shared" si="64"/>
        <v>20.066666666666677</v>
      </c>
      <c r="CM10" s="278">
        <f t="shared" si="64"/>
        <v>108.43333333333334</v>
      </c>
      <c r="CN10" s="278">
        <f t="shared" si="64"/>
        <v>386.3126035196687</v>
      </c>
      <c r="CO10" s="278">
        <f t="shared" si="64"/>
        <v>471.04583333333335</v>
      </c>
      <c r="CP10" s="277"/>
      <c r="CQ10" s="277">
        <f t="shared" si="75"/>
        <v>2021</v>
      </c>
      <c r="CR10" s="278">
        <f t="shared" si="76"/>
        <v>529.50416666666661</v>
      </c>
      <c r="CS10" s="278">
        <f t="shared" si="65"/>
        <v>541.45416666666677</v>
      </c>
      <c r="CT10" s="278">
        <f t="shared" si="65"/>
        <v>368.59637681159427</v>
      </c>
      <c r="CU10" s="278">
        <f t="shared" si="65"/>
        <v>203.50416666666672</v>
      </c>
      <c r="CV10" s="278">
        <f t="shared" si="65"/>
        <v>83.376388888888897</v>
      </c>
      <c r="CW10" s="278">
        <f t="shared" si="65"/>
        <v>0</v>
      </c>
      <c r="CX10" s="278">
        <f t="shared" si="65"/>
        <v>0</v>
      </c>
      <c r="CY10" s="278">
        <f t="shared" si="65"/>
        <v>0</v>
      </c>
      <c r="CZ10" s="278">
        <f t="shared" si="65"/>
        <v>5.9833333333333432</v>
      </c>
      <c r="DA10" s="278">
        <f t="shared" si="65"/>
        <v>72.749999999999986</v>
      </c>
      <c r="DB10" s="278">
        <f t="shared" si="65"/>
        <v>326.31260351966864</v>
      </c>
      <c r="DC10" s="278">
        <f t="shared" si="65"/>
        <v>409.04583333333335</v>
      </c>
      <c r="DD10" s="277"/>
      <c r="DE10" s="277">
        <f t="shared" si="77"/>
        <v>2021</v>
      </c>
      <c r="DF10" s="278">
        <f t="shared" si="78"/>
        <v>467.50416666666661</v>
      </c>
      <c r="DG10" s="278">
        <f t="shared" si="66"/>
        <v>485.45416666666677</v>
      </c>
      <c r="DH10" s="278">
        <f t="shared" si="66"/>
        <v>306.89221014492756</v>
      </c>
      <c r="DI10" s="278">
        <f t="shared" si="66"/>
        <v>150.85000000000002</v>
      </c>
      <c r="DJ10" s="278">
        <f t="shared" si="66"/>
        <v>50.724999999999987</v>
      </c>
      <c r="DK10" s="278">
        <f t="shared" si="66"/>
        <v>0</v>
      </c>
      <c r="DL10" s="278">
        <f t="shared" si="66"/>
        <v>0</v>
      </c>
      <c r="DM10" s="278">
        <f t="shared" si="66"/>
        <v>0</v>
      </c>
      <c r="DN10" s="278">
        <f t="shared" si="66"/>
        <v>0.28333333333333321</v>
      </c>
      <c r="DO10" s="278">
        <f t="shared" si="66"/>
        <v>44.166666666666664</v>
      </c>
      <c r="DP10" s="278">
        <f t="shared" si="66"/>
        <v>266.31260351966876</v>
      </c>
      <c r="DQ10" s="278">
        <f t="shared" si="66"/>
        <v>347.04583333333335</v>
      </c>
      <c r="DR10" s="277"/>
      <c r="DS10" s="277">
        <f t="shared" si="79"/>
        <v>2021</v>
      </c>
      <c r="DT10" s="278">
        <f t="shared" si="80"/>
        <v>405.50416666666661</v>
      </c>
      <c r="DU10" s="278">
        <f t="shared" si="67"/>
        <v>429.45416666666677</v>
      </c>
      <c r="DV10" s="278">
        <f t="shared" si="67"/>
        <v>249.74637681159425</v>
      </c>
      <c r="DW10" s="278">
        <f t="shared" si="67"/>
        <v>102.15833333333332</v>
      </c>
      <c r="DX10" s="278">
        <f t="shared" si="67"/>
        <v>25.983333333333327</v>
      </c>
      <c r="DY10" s="278">
        <f t="shared" si="67"/>
        <v>0</v>
      </c>
      <c r="DZ10" s="278">
        <f t="shared" si="67"/>
        <v>0</v>
      </c>
      <c r="EA10" s="278">
        <f t="shared" si="67"/>
        <v>0</v>
      </c>
      <c r="EB10" s="278">
        <f t="shared" si="67"/>
        <v>0</v>
      </c>
      <c r="EC10" s="278">
        <f t="shared" si="67"/>
        <v>22.266666666666666</v>
      </c>
      <c r="ED10" s="278">
        <f t="shared" si="67"/>
        <v>206.31260351966876</v>
      </c>
      <c r="EE10" s="278">
        <f t="shared" si="67"/>
        <v>285.45833333333331</v>
      </c>
      <c r="EF10" s="277"/>
      <c r="EG10" s="277">
        <f t="shared" si="81"/>
        <v>2021</v>
      </c>
      <c r="EH10" s="278">
        <f t="shared" si="82"/>
        <v>343.50416666666661</v>
      </c>
      <c r="EI10" s="278">
        <f t="shared" si="68"/>
        <v>373.45416666666665</v>
      </c>
      <c r="EJ10" s="278">
        <f t="shared" si="68"/>
        <v>194.65054347826086</v>
      </c>
      <c r="EK10" s="278">
        <f t="shared" si="68"/>
        <v>60.454166666666659</v>
      </c>
      <c r="EL10" s="278">
        <f t="shared" si="68"/>
        <v>8.125</v>
      </c>
      <c r="EM10" s="278">
        <f t="shared" si="68"/>
        <v>0</v>
      </c>
      <c r="EN10" s="278">
        <f t="shared" si="68"/>
        <v>0</v>
      </c>
      <c r="EO10" s="278">
        <f t="shared" si="68"/>
        <v>0</v>
      </c>
      <c r="EP10" s="278">
        <f t="shared" si="68"/>
        <v>0</v>
      </c>
      <c r="EQ10" s="278">
        <f t="shared" si="68"/>
        <v>6.6666666666666643</v>
      </c>
      <c r="ER10" s="278">
        <f t="shared" si="68"/>
        <v>148.50427018633536</v>
      </c>
      <c r="ES10" s="278">
        <f t="shared" si="68"/>
        <v>225.45833333333331</v>
      </c>
    </row>
    <row r="11" spans="1:169">
      <c r="A11">
        <v>2014</v>
      </c>
      <c r="B11">
        <v>10</v>
      </c>
      <c r="C11" s="200">
        <v>303.07083333333338</v>
      </c>
      <c r="D11" s="200">
        <v>0</v>
      </c>
      <c r="E11" s="200">
        <v>241.41666666666669</v>
      </c>
      <c r="F11" s="200">
        <v>0.34583333333333499</v>
      </c>
      <c r="G11" s="200">
        <v>182.14999999999998</v>
      </c>
      <c r="H11" s="200">
        <v>3.0791666666666693</v>
      </c>
      <c r="I11" s="200">
        <v>128.43333333333334</v>
      </c>
      <c r="J11" s="200">
        <v>11.362500000000011</v>
      </c>
      <c r="K11" s="200">
        <v>81.950000000000017</v>
      </c>
      <c r="L11" s="200">
        <v>26.879166666666691</v>
      </c>
      <c r="M11" s="200">
        <v>45.041666666666657</v>
      </c>
      <c r="N11" s="200">
        <v>51.970833333333353</v>
      </c>
      <c r="O11" s="200">
        <v>17.908333333333335</v>
      </c>
      <c r="P11" s="200">
        <v>86.83750000000002</v>
      </c>
      <c r="Q11" s="257">
        <v>10.223521505376343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BA11" s="277">
        <f t="shared" si="69"/>
        <v>2022</v>
      </c>
      <c r="BB11" s="278">
        <f t="shared" si="70"/>
        <v>887.49166666666656</v>
      </c>
      <c r="BC11" s="278">
        <f t="shared" si="61"/>
        <v>692.85</v>
      </c>
      <c r="BD11" s="278">
        <f t="shared" si="61"/>
        <v>606.7208333333333</v>
      </c>
      <c r="BE11" s="278">
        <f t="shared" si="61"/>
        <v>414.33333333333331</v>
      </c>
      <c r="BF11" s="278">
        <f t="shared" si="61"/>
        <v>158.97916666666669</v>
      </c>
      <c r="BG11" s="278">
        <f t="shared" si="61"/>
        <v>75.529010989011013</v>
      </c>
      <c r="BH11" s="278">
        <f t="shared" si="61"/>
        <v>8.9945652173913082</v>
      </c>
      <c r="BI11" s="278">
        <f t="shared" si="61"/>
        <v>7.3916666666666764</v>
      </c>
      <c r="BJ11" s="278">
        <f t="shared" si="61"/>
        <v>111.79166666666666</v>
      </c>
      <c r="BK11" s="278">
        <f t="shared" si="61"/>
        <v>330.85561594202903</v>
      </c>
      <c r="BL11" s="278">
        <f t="shared" si="61"/>
        <v>471.83333333333348</v>
      </c>
      <c r="BM11" s="278">
        <f t="shared" si="61"/>
        <v>647.12083333333328</v>
      </c>
      <c r="BN11" s="277"/>
      <c r="BO11" s="277">
        <f t="shared" si="71"/>
        <v>2022</v>
      </c>
      <c r="BP11" s="278">
        <f t="shared" si="72"/>
        <v>825.49166666666656</v>
      </c>
      <c r="BQ11" s="278">
        <f t="shared" si="62"/>
        <v>636.84999999999991</v>
      </c>
      <c r="BR11" s="278">
        <f t="shared" si="62"/>
        <v>544.7208333333333</v>
      </c>
      <c r="BS11" s="278">
        <f t="shared" si="62"/>
        <v>354.33333333333331</v>
      </c>
      <c r="BT11" s="278">
        <f t="shared" si="62"/>
        <v>109.50833333333333</v>
      </c>
      <c r="BU11" s="278">
        <f t="shared" si="62"/>
        <v>36.166510989010987</v>
      </c>
      <c r="BV11" s="278">
        <f t="shared" si="62"/>
        <v>0.62083333333333357</v>
      </c>
      <c r="BW11" s="278">
        <f t="shared" si="62"/>
        <v>0.76250000000000284</v>
      </c>
      <c r="BX11" s="278">
        <f t="shared" si="62"/>
        <v>71.412499999999994</v>
      </c>
      <c r="BY11" s="278">
        <f t="shared" si="62"/>
        <v>268.85561594202898</v>
      </c>
      <c r="BZ11" s="278">
        <f t="shared" si="62"/>
        <v>411.83333333333348</v>
      </c>
      <c r="CA11" s="278">
        <f t="shared" si="62"/>
        <v>585.12083333333328</v>
      </c>
      <c r="CB11" s="353">
        <f t="shared" si="63"/>
        <v>3845.6762935977063</v>
      </c>
      <c r="CC11" s="277">
        <f t="shared" si="73"/>
        <v>2022</v>
      </c>
      <c r="CD11" s="278">
        <f t="shared" si="74"/>
        <v>763.49166666666656</v>
      </c>
      <c r="CE11" s="278">
        <f t="shared" si="64"/>
        <v>580.84999999999991</v>
      </c>
      <c r="CF11" s="278">
        <f t="shared" si="64"/>
        <v>482.72083333333353</v>
      </c>
      <c r="CG11" s="278">
        <f t="shared" si="64"/>
        <v>294.33333333333337</v>
      </c>
      <c r="CH11" s="278">
        <f t="shared" si="64"/>
        <v>70.650000000000006</v>
      </c>
      <c r="CI11" s="278">
        <f t="shared" si="64"/>
        <v>6.1903205128205077</v>
      </c>
      <c r="CJ11" s="278">
        <f t="shared" si="64"/>
        <v>0</v>
      </c>
      <c r="CK11" s="278">
        <f t="shared" si="64"/>
        <v>0</v>
      </c>
      <c r="CL11" s="278">
        <f t="shared" si="64"/>
        <v>45.029166666666661</v>
      </c>
      <c r="CM11" s="278">
        <f t="shared" si="64"/>
        <v>206.85561594202895</v>
      </c>
      <c r="CN11" s="278">
        <f t="shared" si="64"/>
        <v>351.83333333333343</v>
      </c>
      <c r="CO11" s="278">
        <f t="shared" si="64"/>
        <v>523.12083333333328</v>
      </c>
      <c r="CP11" s="277"/>
      <c r="CQ11" s="277">
        <f t="shared" si="75"/>
        <v>2022</v>
      </c>
      <c r="CR11" s="278">
        <f t="shared" si="76"/>
        <v>701.49166666666656</v>
      </c>
      <c r="CS11" s="278">
        <f t="shared" si="65"/>
        <v>524.84999999999991</v>
      </c>
      <c r="CT11" s="278">
        <f t="shared" si="65"/>
        <v>420.72083333333353</v>
      </c>
      <c r="CU11" s="278">
        <f t="shared" si="65"/>
        <v>234.33333333333331</v>
      </c>
      <c r="CV11" s="278">
        <f t="shared" si="65"/>
        <v>39.324999999999996</v>
      </c>
      <c r="CW11" s="278">
        <f t="shared" si="65"/>
        <v>0</v>
      </c>
      <c r="CX11" s="278">
        <f t="shared" si="65"/>
        <v>0</v>
      </c>
      <c r="CY11" s="278">
        <f t="shared" si="65"/>
        <v>0</v>
      </c>
      <c r="CZ11" s="278">
        <f t="shared" si="65"/>
        <v>22.833333333333329</v>
      </c>
      <c r="DA11" s="278">
        <f t="shared" si="65"/>
        <v>147.2764492753623</v>
      </c>
      <c r="DB11" s="278">
        <f t="shared" si="65"/>
        <v>294.14166666666671</v>
      </c>
      <c r="DC11" s="278">
        <f t="shared" si="65"/>
        <v>461.12083333333328</v>
      </c>
      <c r="DD11" s="277"/>
      <c r="DE11" s="277">
        <f t="shared" si="77"/>
        <v>2022</v>
      </c>
      <c r="DF11" s="278">
        <f t="shared" si="78"/>
        <v>639.49166666666679</v>
      </c>
      <c r="DG11" s="278">
        <f t="shared" si="66"/>
        <v>468.84999999999991</v>
      </c>
      <c r="DH11" s="278">
        <f t="shared" si="66"/>
        <v>358.72083333333347</v>
      </c>
      <c r="DI11" s="278">
        <f t="shared" si="66"/>
        <v>176.58749999999998</v>
      </c>
      <c r="DJ11" s="278">
        <f t="shared" si="66"/>
        <v>14.399999999999993</v>
      </c>
      <c r="DK11" s="278">
        <f t="shared" si="66"/>
        <v>0</v>
      </c>
      <c r="DL11" s="278">
        <f t="shared" si="66"/>
        <v>0</v>
      </c>
      <c r="DM11" s="278">
        <f t="shared" si="66"/>
        <v>0</v>
      </c>
      <c r="DN11" s="278">
        <f t="shared" si="66"/>
        <v>8.5708333333333329</v>
      </c>
      <c r="DO11" s="278">
        <f t="shared" si="66"/>
        <v>94.459782608695647</v>
      </c>
      <c r="DP11" s="278">
        <f t="shared" si="66"/>
        <v>238.41249999999999</v>
      </c>
      <c r="DQ11" s="278">
        <f t="shared" si="66"/>
        <v>399.12083333333328</v>
      </c>
      <c r="DR11" s="277"/>
      <c r="DS11" s="277">
        <f t="shared" si="79"/>
        <v>2022</v>
      </c>
      <c r="DT11" s="278">
        <f t="shared" si="80"/>
        <v>577.49166666666656</v>
      </c>
      <c r="DU11" s="278">
        <f t="shared" si="67"/>
        <v>412.84999999999991</v>
      </c>
      <c r="DV11" s="278">
        <f t="shared" si="67"/>
        <v>296.72083333333336</v>
      </c>
      <c r="DW11" s="278">
        <f t="shared" si="67"/>
        <v>123.04166666666666</v>
      </c>
      <c r="DX11" s="278">
        <f t="shared" si="67"/>
        <v>0.93333333333333179</v>
      </c>
      <c r="DY11" s="278">
        <f t="shared" si="67"/>
        <v>0</v>
      </c>
      <c r="DZ11" s="278">
        <f t="shared" si="67"/>
        <v>0</v>
      </c>
      <c r="EA11" s="278">
        <f t="shared" si="67"/>
        <v>0</v>
      </c>
      <c r="EB11" s="278">
        <f t="shared" si="67"/>
        <v>2.1000000000000014</v>
      </c>
      <c r="EC11" s="278">
        <f t="shared" si="67"/>
        <v>52.855615942028983</v>
      </c>
      <c r="ED11" s="278">
        <f t="shared" si="67"/>
        <v>185.6583333333333</v>
      </c>
      <c r="EE11" s="278">
        <f t="shared" si="67"/>
        <v>337.12083333333322</v>
      </c>
      <c r="EF11" s="277"/>
      <c r="EG11" s="277">
        <f t="shared" si="81"/>
        <v>2022</v>
      </c>
      <c r="EH11" s="278">
        <f t="shared" si="82"/>
        <v>515.49166666666679</v>
      </c>
      <c r="EI11" s="278">
        <f t="shared" si="68"/>
        <v>356.85</v>
      </c>
      <c r="EJ11" s="278">
        <f t="shared" si="68"/>
        <v>236.04166666666666</v>
      </c>
      <c r="EK11" s="278">
        <f t="shared" si="68"/>
        <v>75.575000000000003</v>
      </c>
      <c r="EL11" s="278">
        <f t="shared" si="68"/>
        <v>0</v>
      </c>
      <c r="EM11" s="278">
        <f t="shared" si="68"/>
        <v>0</v>
      </c>
      <c r="EN11" s="278">
        <f t="shared" si="68"/>
        <v>0</v>
      </c>
      <c r="EO11" s="278">
        <f t="shared" si="68"/>
        <v>0</v>
      </c>
      <c r="EP11" s="278">
        <f t="shared" si="68"/>
        <v>0</v>
      </c>
      <c r="EQ11" s="278">
        <f t="shared" si="68"/>
        <v>23.659782608695654</v>
      </c>
      <c r="ER11" s="278">
        <f t="shared" si="68"/>
        <v>138.80000000000001</v>
      </c>
      <c r="ES11" s="278">
        <f t="shared" si="68"/>
        <v>275.12083333333322</v>
      </c>
    </row>
    <row r="12" spans="1:169">
      <c r="A12">
        <v>2014</v>
      </c>
      <c r="B12">
        <v>11</v>
      </c>
      <c r="C12" s="200">
        <v>542.00719696969691</v>
      </c>
      <c r="D12" s="200">
        <v>0</v>
      </c>
      <c r="E12" s="200">
        <v>482.00719696969691</v>
      </c>
      <c r="F12" s="200">
        <v>0</v>
      </c>
      <c r="G12" s="200">
        <v>422.00719696969691</v>
      </c>
      <c r="H12" s="200">
        <v>0</v>
      </c>
      <c r="I12" s="200">
        <v>362.00719696969685</v>
      </c>
      <c r="J12" s="200">
        <v>0</v>
      </c>
      <c r="K12" s="200">
        <v>302.00719696969691</v>
      </c>
      <c r="L12" s="200">
        <v>0</v>
      </c>
      <c r="M12" s="200">
        <v>242.40303030303033</v>
      </c>
      <c r="N12" s="200">
        <v>0.39583333333333215</v>
      </c>
      <c r="O12" s="200">
        <v>188.37386363636367</v>
      </c>
      <c r="P12" s="200">
        <v>6.3666666666666671</v>
      </c>
      <c r="Q12" s="257">
        <v>1.9330934343434341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BA12" s="277">
        <f t="shared" si="69"/>
        <v>2023</v>
      </c>
      <c r="BB12" s="278">
        <f t="shared" si="70"/>
        <v>666.07083333333355</v>
      </c>
      <c r="BC12" s="278">
        <f t="shared" si="61"/>
        <v>629.43333333333328</v>
      </c>
      <c r="BD12" s="278">
        <f t="shared" si="61"/>
        <v>613.0333333333333</v>
      </c>
      <c r="BE12" s="278">
        <f t="shared" si="61"/>
        <v>361.4</v>
      </c>
      <c r="BF12" s="278">
        <f t="shared" si="61"/>
        <v>219.04750000000001</v>
      </c>
      <c r="BG12" s="278">
        <f t="shared" si="61"/>
        <v>55.599999999999994</v>
      </c>
      <c r="BH12" s="278">
        <f t="shared" si="61"/>
        <v>7.3166666666666593</v>
      </c>
      <c r="BI12" s="278">
        <f t="shared" si="61"/>
        <v>32.211775362318839</v>
      </c>
      <c r="BJ12" s="278">
        <f t="shared" si="61"/>
        <v>95.22083333333336</v>
      </c>
      <c r="BK12" s="278">
        <f t="shared" si="61"/>
        <v>261.85000000000002</v>
      </c>
      <c r="BL12" s="278">
        <f t="shared" si="61"/>
        <v>510.59311594202899</v>
      </c>
      <c r="BM12" s="278">
        <f t="shared" si="61"/>
        <v>551.67916666666667</v>
      </c>
      <c r="BN12" s="277"/>
      <c r="BO12" s="277">
        <f t="shared" si="71"/>
        <v>2023</v>
      </c>
      <c r="BP12" s="278">
        <f t="shared" si="72"/>
        <v>604.07083333333344</v>
      </c>
      <c r="BQ12" s="278">
        <f t="shared" si="62"/>
        <v>573.43333333333328</v>
      </c>
      <c r="BR12" s="278">
        <f t="shared" si="62"/>
        <v>551.03333333333342</v>
      </c>
      <c r="BS12" s="278">
        <f t="shared" si="62"/>
        <v>301.39999999999998</v>
      </c>
      <c r="BT12" s="278">
        <f t="shared" si="62"/>
        <v>163.56416666666669</v>
      </c>
      <c r="BU12" s="278">
        <f t="shared" si="62"/>
        <v>21.441666666666659</v>
      </c>
      <c r="BV12" s="278">
        <f t="shared" si="62"/>
        <v>0.12499999999999645</v>
      </c>
      <c r="BW12" s="278">
        <f t="shared" si="62"/>
        <v>9.274999999999995</v>
      </c>
      <c r="BX12" s="278">
        <f t="shared" si="62"/>
        <v>47.591666666666676</v>
      </c>
      <c r="BY12" s="278">
        <f t="shared" si="62"/>
        <v>207.15416666666667</v>
      </c>
      <c r="BZ12" s="278">
        <f t="shared" si="62"/>
        <v>450.59311594202899</v>
      </c>
      <c r="CA12" s="278">
        <f t="shared" si="62"/>
        <v>489.67916666666667</v>
      </c>
      <c r="CB12" s="353">
        <f t="shared" si="63"/>
        <v>3419.3614492753622</v>
      </c>
      <c r="CC12" s="277">
        <f t="shared" si="73"/>
        <v>2023</v>
      </c>
      <c r="CD12" s="278">
        <f t="shared" si="74"/>
        <v>542.07083333333333</v>
      </c>
      <c r="CE12" s="278">
        <f t="shared" si="64"/>
        <v>517.43333333333328</v>
      </c>
      <c r="CF12" s="278">
        <f t="shared" si="64"/>
        <v>489.03333333333336</v>
      </c>
      <c r="CG12" s="278">
        <f t="shared" si="64"/>
        <v>243.15833333333336</v>
      </c>
      <c r="CH12" s="278">
        <f t="shared" si="64"/>
        <v>113.00166666666665</v>
      </c>
      <c r="CI12" s="278">
        <f t="shared" si="64"/>
        <v>4.2708333333333268</v>
      </c>
      <c r="CJ12" s="278">
        <f t="shared" si="64"/>
        <v>0</v>
      </c>
      <c r="CK12" s="278">
        <f t="shared" si="64"/>
        <v>1.6125000000000007</v>
      </c>
      <c r="CL12" s="278">
        <f t="shared" si="64"/>
        <v>15.216666666666669</v>
      </c>
      <c r="CM12" s="278">
        <f t="shared" si="64"/>
        <v>157.42916666666665</v>
      </c>
      <c r="CN12" s="278">
        <f t="shared" si="64"/>
        <v>390.59311594202899</v>
      </c>
      <c r="CO12" s="278">
        <f t="shared" si="64"/>
        <v>427.67916666666667</v>
      </c>
      <c r="CP12" s="277"/>
      <c r="CQ12" s="277">
        <f t="shared" si="75"/>
        <v>2023</v>
      </c>
      <c r="CR12" s="278">
        <f t="shared" si="76"/>
        <v>480.07083333333327</v>
      </c>
      <c r="CS12" s="278">
        <f t="shared" si="65"/>
        <v>461.43333333333328</v>
      </c>
      <c r="CT12" s="278">
        <f t="shared" si="65"/>
        <v>427.0333333333333</v>
      </c>
      <c r="CU12" s="278">
        <f t="shared" si="65"/>
        <v>193.11666666666667</v>
      </c>
      <c r="CV12" s="278">
        <f t="shared" si="65"/>
        <v>68.776666666666671</v>
      </c>
      <c r="CW12" s="278">
        <f t="shared" si="65"/>
        <v>0</v>
      </c>
      <c r="CX12" s="278">
        <f t="shared" si="65"/>
        <v>0</v>
      </c>
      <c r="CY12" s="278">
        <f t="shared" si="65"/>
        <v>0</v>
      </c>
      <c r="CZ12" s="278">
        <f t="shared" si="65"/>
        <v>2.3583333333333378</v>
      </c>
      <c r="DA12" s="278">
        <f t="shared" si="65"/>
        <v>111.18333333333332</v>
      </c>
      <c r="DB12" s="278">
        <f t="shared" si="65"/>
        <v>330.59311594202904</v>
      </c>
      <c r="DC12" s="278">
        <f t="shared" si="65"/>
        <v>365.67916666666667</v>
      </c>
      <c r="DD12" s="277"/>
      <c r="DE12" s="277">
        <f t="shared" si="77"/>
        <v>2023</v>
      </c>
      <c r="DF12" s="278">
        <f t="shared" si="78"/>
        <v>418.07083333333327</v>
      </c>
      <c r="DG12" s="278">
        <f t="shared" si="66"/>
        <v>405.43333333333328</v>
      </c>
      <c r="DH12" s="278">
        <f t="shared" si="66"/>
        <v>365.03333333333336</v>
      </c>
      <c r="DI12" s="278">
        <f t="shared" si="66"/>
        <v>144.11666666666667</v>
      </c>
      <c r="DJ12" s="278">
        <f t="shared" si="66"/>
        <v>37.480833333333329</v>
      </c>
      <c r="DK12" s="278">
        <f t="shared" si="66"/>
        <v>0</v>
      </c>
      <c r="DL12" s="278">
        <f t="shared" si="66"/>
        <v>0</v>
      </c>
      <c r="DM12" s="278">
        <f t="shared" si="66"/>
        <v>0</v>
      </c>
      <c r="DN12" s="278">
        <f t="shared" si="66"/>
        <v>0</v>
      </c>
      <c r="DO12" s="278">
        <f t="shared" si="66"/>
        <v>68.475000000000009</v>
      </c>
      <c r="DP12" s="278">
        <f t="shared" si="66"/>
        <v>270.59311594202899</v>
      </c>
      <c r="DQ12" s="278">
        <f t="shared" si="66"/>
        <v>303.67916666666667</v>
      </c>
      <c r="DR12" s="277"/>
      <c r="DS12" s="277">
        <f t="shared" si="79"/>
        <v>2023</v>
      </c>
      <c r="DT12" s="278">
        <f t="shared" si="80"/>
        <v>356.07083333333321</v>
      </c>
      <c r="DU12" s="278">
        <f t="shared" si="67"/>
        <v>349.43333333333328</v>
      </c>
      <c r="DV12" s="278">
        <f t="shared" si="67"/>
        <v>303.03333333333342</v>
      </c>
      <c r="DW12" s="278">
        <f t="shared" si="67"/>
        <v>98.574999999999989</v>
      </c>
      <c r="DX12" s="278">
        <f t="shared" si="67"/>
        <v>20.284999999999989</v>
      </c>
      <c r="DY12" s="278">
        <f t="shared" si="67"/>
        <v>0</v>
      </c>
      <c r="DZ12" s="278">
        <f t="shared" si="67"/>
        <v>0</v>
      </c>
      <c r="EA12" s="278">
        <f t="shared" si="67"/>
        <v>0</v>
      </c>
      <c r="EB12" s="278">
        <f t="shared" si="67"/>
        <v>0</v>
      </c>
      <c r="EC12" s="278">
        <f t="shared" si="67"/>
        <v>37.779166666666669</v>
      </c>
      <c r="ED12" s="278">
        <f t="shared" si="67"/>
        <v>210.95561594202897</v>
      </c>
      <c r="EE12" s="278">
        <f t="shared" si="67"/>
        <v>241.67916666666659</v>
      </c>
      <c r="EF12" s="277"/>
      <c r="EG12" s="277">
        <f t="shared" si="81"/>
        <v>2023</v>
      </c>
      <c r="EH12" s="278">
        <f t="shared" si="82"/>
        <v>294.07083333333327</v>
      </c>
      <c r="EI12" s="278">
        <f t="shared" si="68"/>
        <v>293.51666666666665</v>
      </c>
      <c r="EJ12" s="278">
        <f t="shared" si="68"/>
        <v>241.03333333333333</v>
      </c>
      <c r="EK12" s="278">
        <f t="shared" si="68"/>
        <v>58.116666666666674</v>
      </c>
      <c r="EL12" s="278">
        <f t="shared" si="68"/>
        <v>7.2058333333333309</v>
      </c>
      <c r="EM12" s="278">
        <f t="shared" si="68"/>
        <v>0</v>
      </c>
      <c r="EN12" s="278">
        <f t="shared" si="68"/>
        <v>0</v>
      </c>
      <c r="EO12" s="278">
        <f t="shared" si="68"/>
        <v>0</v>
      </c>
      <c r="EP12" s="278">
        <f t="shared" si="68"/>
        <v>0</v>
      </c>
      <c r="EQ12" s="278">
        <f t="shared" si="68"/>
        <v>17.783333333333335</v>
      </c>
      <c r="ER12" s="278">
        <f t="shared" si="68"/>
        <v>153.42644927536227</v>
      </c>
      <c r="ES12" s="278">
        <f t="shared" si="68"/>
        <v>180.36666666666662</v>
      </c>
    </row>
    <row r="13" spans="1:169">
      <c r="A13">
        <v>2014</v>
      </c>
      <c r="B13">
        <v>12</v>
      </c>
      <c r="C13" s="200">
        <v>636.0291666666667</v>
      </c>
      <c r="D13" s="200">
        <v>0</v>
      </c>
      <c r="E13" s="200">
        <v>574.0291666666667</v>
      </c>
      <c r="F13" s="200">
        <v>0</v>
      </c>
      <c r="G13" s="200">
        <v>512.0291666666667</v>
      </c>
      <c r="H13" s="200">
        <v>0</v>
      </c>
      <c r="I13" s="200">
        <v>450.02916666666664</v>
      </c>
      <c r="J13" s="200">
        <v>0</v>
      </c>
      <c r="K13" s="200">
        <v>388.02916666666664</v>
      </c>
      <c r="L13" s="200">
        <v>0</v>
      </c>
      <c r="M13" s="200">
        <v>326.02916666666664</v>
      </c>
      <c r="N13" s="200">
        <v>0</v>
      </c>
      <c r="O13" s="200">
        <v>264.0291666666667</v>
      </c>
      <c r="P13" s="200">
        <v>0</v>
      </c>
      <c r="Q13" s="257">
        <v>-0.5170698924731183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BA13" s="277">
        <f t="shared" si="69"/>
        <v>2024</v>
      </c>
      <c r="BB13" s="278">
        <f t="shared" si="70"/>
        <v>698.99583333333328</v>
      </c>
      <c r="BC13" s="278">
        <f t="shared" si="61"/>
        <v>600.96666666666647</v>
      </c>
      <c r="BD13" s="278">
        <f t="shared" si="61"/>
        <v>522.11249999999995</v>
      </c>
      <c r="BE13" s="278">
        <f t="shared" si="61"/>
        <v>368.29791666666671</v>
      </c>
      <c r="BF13" s="278">
        <f t="shared" si="61"/>
        <v>143.5708333333333</v>
      </c>
      <c r="BG13" s="278">
        <f t="shared" si="61"/>
        <v>60.86249999999999</v>
      </c>
      <c r="BH13" s="278">
        <f t="shared" si="61"/>
        <v>5.5666666666666629</v>
      </c>
      <c r="BI13" s="278">
        <f t="shared" si="61"/>
        <v>26.975000000000016</v>
      </c>
      <c r="BJ13" s="278">
        <f t="shared" si="61"/>
        <v>69.33750000000002</v>
      </c>
      <c r="BK13" s="278">
        <f t="shared" si="61"/>
        <v>295.94166666666661</v>
      </c>
      <c r="BL13" s="278">
        <f t="shared" si="61"/>
        <v>426.29166666666663</v>
      </c>
      <c r="BM13" s="278">
        <f t="shared" si="61"/>
        <v>660.57500000000016</v>
      </c>
      <c r="BN13" s="277"/>
      <c r="BO13" s="277">
        <f t="shared" si="71"/>
        <v>2024</v>
      </c>
      <c r="BP13" s="278">
        <f t="shared" si="72"/>
        <v>636.99583333333339</v>
      </c>
      <c r="BQ13" s="278">
        <f t="shared" si="62"/>
        <v>542.96666666666658</v>
      </c>
      <c r="BR13" s="278">
        <f t="shared" si="62"/>
        <v>460.11250000000001</v>
      </c>
      <c r="BS13" s="278">
        <f t="shared" si="62"/>
        <v>308.29791666666665</v>
      </c>
      <c r="BT13" s="278">
        <f t="shared" si="62"/>
        <v>89.52916666666664</v>
      </c>
      <c r="BU13" s="278">
        <f t="shared" si="62"/>
        <v>31.570833333333319</v>
      </c>
      <c r="BV13" s="278">
        <f t="shared" si="62"/>
        <v>0.32916666666666927</v>
      </c>
      <c r="BW13" s="278">
        <f t="shared" si="62"/>
        <v>8.2333333333333432</v>
      </c>
      <c r="BX13" s="278">
        <f t="shared" si="62"/>
        <v>29.36666666666666</v>
      </c>
      <c r="BY13" s="278">
        <f t="shared" si="62"/>
        <v>233.94166666666658</v>
      </c>
      <c r="BZ13" s="278">
        <f t="shared" si="62"/>
        <v>366.29166666666663</v>
      </c>
      <c r="CA13" s="278">
        <f t="shared" si="62"/>
        <v>598.57499999999993</v>
      </c>
      <c r="CB13" s="353">
        <f t="shared" si="63"/>
        <v>3306.2104166666663</v>
      </c>
      <c r="CC13" s="277">
        <f t="shared" si="73"/>
        <v>2024</v>
      </c>
      <c r="CD13" s="278">
        <f t="shared" si="74"/>
        <v>574.99583333333339</v>
      </c>
      <c r="CE13" s="278">
        <f t="shared" si="64"/>
        <v>484.96666666666658</v>
      </c>
      <c r="CF13" s="278">
        <f t="shared" si="64"/>
        <v>398.11250000000001</v>
      </c>
      <c r="CG13" s="278">
        <f t="shared" si="64"/>
        <v>248.29791666666665</v>
      </c>
      <c r="CH13" s="278">
        <f t="shared" si="64"/>
        <v>44.158333333333317</v>
      </c>
      <c r="CI13" s="278">
        <f t="shared" si="64"/>
        <v>10.312499999999995</v>
      </c>
      <c r="CJ13" s="278">
        <f t="shared" si="64"/>
        <v>0</v>
      </c>
      <c r="CK13" s="278">
        <f t="shared" si="64"/>
        <v>1.7583333333333346</v>
      </c>
      <c r="CL13" s="278">
        <f t="shared" si="64"/>
        <v>10.920833333333333</v>
      </c>
      <c r="CM13" s="278">
        <f t="shared" si="64"/>
        <v>174.98749999999998</v>
      </c>
      <c r="CN13" s="278">
        <f t="shared" si="64"/>
        <v>307.79583333333329</v>
      </c>
      <c r="CO13" s="278">
        <f t="shared" si="64"/>
        <v>536.57500000000005</v>
      </c>
      <c r="CP13" s="277"/>
      <c r="CQ13" s="277">
        <f t="shared" si="75"/>
        <v>2024</v>
      </c>
      <c r="CR13" s="278">
        <f t="shared" si="76"/>
        <v>512.99583333333328</v>
      </c>
      <c r="CS13" s="278">
        <f t="shared" si="65"/>
        <v>426.96666666666664</v>
      </c>
      <c r="CT13" s="278">
        <f t="shared" si="65"/>
        <v>336.11249999999995</v>
      </c>
      <c r="CU13" s="278">
        <f t="shared" si="65"/>
        <v>188.29791666666671</v>
      </c>
      <c r="CV13" s="278">
        <f t="shared" si="65"/>
        <v>15.562499999999984</v>
      </c>
      <c r="CW13" s="278">
        <f t="shared" si="65"/>
        <v>2.4583333333333321</v>
      </c>
      <c r="CX13" s="278">
        <f t="shared" si="65"/>
        <v>0</v>
      </c>
      <c r="CY13" s="278">
        <f t="shared" si="65"/>
        <v>0</v>
      </c>
      <c r="CZ13" s="278">
        <f t="shared" si="65"/>
        <v>2.5625000000000036</v>
      </c>
      <c r="DA13" s="278">
        <f t="shared" si="65"/>
        <v>122.06250000000001</v>
      </c>
      <c r="DB13" s="278">
        <f t="shared" si="65"/>
        <v>251.79583333333335</v>
      </c>
      <c r="DC13" s="278">
        <f t="shared" si="65"/>
        <v>474.57499999999999</v>
      </c>
      <c r="DD13" s="277"/>
      <c r="DE13" s="277">
        <f t="shared" si="77"/>
        <v>2024</v>
      </c>
      <c r="DF13" s="278">
        <f t="shared" si="78"/>
        <v>450.99583333333322</v>
      </c>
      <c r="DG13" s="278">
        <f t="shared" si="66"/>
        <v>368.96666666666664</v>
      </c>
      <c r="DH13" s="278">
        <f t="shared" si="66"/>
        <v>274.11250000000001</v>
      </c>
      <c r="DI13" s="278">
        <f t="shared" si="66"/>
        <v>130.68125000000001</v>
      </c>
      <c r="DJ13" s="278">
        <f t="shared" si="66"/>
        <v>2.9208333333333272</v>
      </c>
      <c r="DK13" s="278">
        <f t="shared" si="66"/>
        <v>0</v>
      </c>
      <c r="DL13" s="278">
        <f t="shared" si="66"/>
        <v>0</v>
      </c>
      <c r="DM13" s="278">
        <f t="shared" si="66"/>
        <v>0</v>
      </c>
      <c r="DN13" s="278">
        <f t="shared" si="66"/>
        <v>0</v>
      </c>
      <c r="DO13" s="278">
        <f t="shared" si="66"/>
        <v>79.04583333333332</v>
      </c>
      <c r="DP13" s="278">
        <f t="shared" si="66"/>
        <v>195.79583333333335</v>
      </c>
      <c r="DQ13" s="278">
        <f t="shared" si="66"/>
        <v>412.57499999999999</v>
      </c>
      <c r="DR13" s="277"/>
      <c r="DS13" s="277">
        <f t="shared" si="79"/>
        <v>2024</v>
      </c>
      <c r="DT13" s="278">
        <f t="shared" si="80"/>
        <v>388.99583333333317</v>
      </c>
      <c r="DU13" s="278">
        <f t="shared" si="67"/>
        <v>310.9666666666667</v>
      </c>
      <c r="DV13" s="278">
        <f t="shared" si="67"/>
        <v>212.11250000000004</v>
      </c>
      <c r="DW13" s="278">
        <f t="shared" si="67"/>
        <v>78.922916666666652</v>
      </c>
      <c r="DX13" s="278">
        <f t="shared" si="67"/>
        <v>0</v>
      </c>
      <c r="DY13" s="278">
        <f t="shared" si="67"/>
        <v>0</v>
      </c>
      <c r="DZ13" s="278">
        <f t="shared" si="67"/>
        <v>0</v>
      </c>
      <c r="EA13" s="278">
        <f t="shared" si="67"/>
        <v>0</v>
      </c>
      <c r="EB13" s="278">
        <f t="shared" si="67"/>
        <v>0</v>
      </c>
      <c r="EC13" s="278">
        <f t="shared" si="67"/>
        <v>46.029166666666669</v>
      </c>
      <c r="ED13" s="278">
        <f t="shared" si="67"/>
        <v>141.32083333333335</v>
      </c>
      <c r="EE13" s="278">
        <f t="shared" si="67"/>
        <v>350.57499999999993</v>
      </c>
      <c r="EF13" s="277"/>
      <c r="EG13" s="277">
        <f t="shared" si="81"/>
        <v>2024</v>
      </c>
      <c r="EH13" s="278">
        <f t="shared" si="82"/>
        <v>326.99583333333317</v>
      </c>
      <c r="EI13" s="278">
        <f t="shared" si="68"/>
        <v>252.9666666666667</v>
      </c>
      <c r="EJ13" s="278">
        <f t="shared" si="68"/>
        <v>154.69166666666669</v>
      </c>
      <c r="EK13" s="278">
        <f t="shared" si="68"/>
        <v>41.093749999999993</v>
      </c>
      <c r="EL13" s="278">
        <f t="shared" si="68"/>
        <v>0</v>
      </c>
      <c r="EM13" s="278">
        <f t="shared" si="68"/>
        <v>0</v>
      </c>
      <c r="EN13" s="278">
        <f t="shared" si="68"/>
        <v>0</v>
      </c>
      <c r="EO13" s="278">
        <f t="shared" si="68"/>
        <v>0</v>
      </c>
      <c r="EP13" s="278">
        <f t="shared" si="68"/>
        <v>0</v>
      </c>
      <c r="EQ13" s="278">
        <f t="shared" si="68"/>
        <v>18.616666666666671</v>
      </c>
      <c r="ER13" s="278">
        <f t="shared" si="68"/>
        <v>93.433333333333351</v>
      </c>
      <c r="ES13" s="278">
        <f t="shared" si="68"/>
        <v>288.57499999999993</v>
      </c>
    </row>
    <row r="14" spans="1:169">
      <c r="A14">
        <v>2015</v>
      </c>
      <c r="B14">
        <v>1</v>
      </c>
      <c r="C14" s="200">
        <v>859.89184782608675</v>
      </c>
      <c r="D14" s="200">
        <v>0</v>
      </c>
      <c r="E14" s="200">
        <v>797.89184782608675</v>
      </c>
      <c r="F14" s="200">
        <v>0</v>
      </c>
      <c r="G14" s="200">
        <v>735.89184782608675</v>
      </c>
      <c r="H14" s="200">
        <v>0</v>
      </c>
      <c r="I14" s="200">
        <v>673.89184782608697</v>
      </c>
      <c r="J14" s="200">
        <v>0</v>
      </c>
      <c r="K14" s="200">
        <v>611.89184782608697</v>
      </c>
      <c r="L14" s="200">
        <v>0</v>
      </c>
      <c r="M14" s="200">
        <v>549.89184782608709</v>
      </c>
      <c r="N14" s="200">
        <v>0</v>
      </c>
      <c r="O14" s="200">
        <v>487.89184782608703</v>
      </c>
      <c r="P14" s="200">
        <v>0</v>
      </c>
      <c r="Q14" s="257">
        <v>-7.7384467040673215</v>
      </c>
      <c r="S14" s="3"/>
      <c r="T14" s="3"/>
      <c r="U14" s="3"/>
      <c r="V14" s="3"/>
      <c r="W14" s="3"/>
      <c r="X14" s="3"/>
      <c r="Y14" s="3"/>
      <c r="Z14" s="3"/>
      <c r="AA14" s="3"/>
      <c r="AB14" s="3"/>
      <c r="BA14" s="277">
        <f t="shared" si="69"/>
        <v>2025</v>
      </c>
      <c r="BB14" s="278">
        <f t="shared" si="70"/>
        <v>794.42499999999995</v>
      </c>
      <c r="BC14" s="278">
        <f t="shared" si="61"/>
        <v>721.25833333333333</v>
      </c>
      <c r="BD14" s="278">
        <f t="shared" si="61"/>
        <v>580.62916666666672</v>
      </c>
      <c r="BE14" s="278">
        <f t="shared" si="61"/>
        <v>411.84166666666653</v>
      </c>
      <c r="BF14" s="278">
        <f t="shared" si="61"/>
        <v>221.07083333333333</v>
      </c>
      <c r="BG14" s="278">
        <f t="shared" si="61"/>
        <v>49.987500000000011</v>
      </c>
      <c r="BH14" s="278">
        <f t="shared" si="61"/>
        <v>6.8416666666666615</v>
      </c>
      <c r="BI14" s="278">
        <f t="shared" si="61"/>
        <v>38.787499999999994</v>
      </c>
      <c r="BJ14" s="278">
        <f t="shared" si="61"/>
        <v>88.308333333333323</v>
      </c>
      <c r="BK14" s="278">
        <f t="shared" si="61"/>
        <v>281.52083333333331</v>
      </c>
      <c r="BL14" s="278">
        <f t="shared" si="61"/>
        <v>520.61249999999995</v>
      </c>
      <c r="BM14" s="278">
        <f t="shared" si="61"/>
        <v>744.19999999999993</v>
      </c>
      <c r="BN14" s="277"/>
      <c r="BO14" s="277">
        <f t="shared" si="71"/>
        <v>2025</v>
      </c>
      <c r="BP14" s="278">
        <f t="shared" si="72"/>
        <v>732.42499999999995</v>
      </c>
      <c r="BQ14" s="278">
        <f t="shared" si="62"/>
        <v>665.25833333333344</v>
      </c>
      <c r="BR14" s="278">
        <f t="shared" si="62"/>
        <v>518.62916666666672</v>
      </c>
      <c r="BS14" s="278">
        <f t="shared" si="62"/>
        <v>351.84166666666653</v>
      </c>
      <c r="BT14" s="278">
        <f t="shared" si="62"/>
        <v>159.32500000000002</v>
      </c>
      <c r="BU14" s="278">
        <f t="shared" si="62"/>
        <v>22.454166666666659</v>
      </c>
      <c r="BV14" s="278">
        <f t="shared" si="62"/>
        <v>0.75416666666666288</v>
      </c>
      <c r="BW14" s="278">
        <f t="shared" si="62"/>
        <v>17.162500000000001</v>
      </c>
      <c r="BX14" s="278">
        <f t="shared" si="62"/>
        <v>37.166666666666657</v>
      </c>
      <c r="BY14" s="278">
        <f t="shared" si="62"/>
        <v>220.16250000000002</v>
      </c>
      <c r="BZ14" s="278">
        <f t="shared" si="62"/>
        <v>460.61250000000013</v>
      </c>
      <c r="CA14" s="278">
        <f t="shared" si="62"/>
        <v>682.2</v>
      </c>
      <c r="CB14" s="353">
        <f t="shared" ref="CB14" si="83">SUM(BP14:CA14)</f>
        <v>3867.9916666666668</v>
      </c>
      <c r="CC14" s="277">
        <f t="shared" si="73"/>
        <v>2025</v>
      </c>
      <c r="CD14" s="278">
        <f t="shared" si="74"/>
        <v>670.42499999999995</v>
      </c>
      <c r="CE14" s="278">
        <f t="shared" si="64"/>
        <v>609.25833333333344</v>
      </c>
      <c r="CF14" s="278">
        <f t="shared" si="64"/>
        <v>456.62916666666672</v>
      </c>
      <c r="CG14" s="278">
        <f t="shared" si="64"/>
        <v>291.84166666666658</v>
      </c>
      <c r="CH14" s="278">
        <f t="shared" si="64"/>
        <v>104.65416666666668</v>
      </c>
      <c r="CI14" s="278">
        <f t="shared" si="64"/>
        <v>10.320833333333331</v>
      </c>
      <c r="CJ14" s="278">
        <f t="shared" si="64"/>
        <v>0</v>
      </c>
      <c r="CK14" s="278">
        <f t="shared" si="64"/>
        <v>4.2333333333333343</v>
      </c>
      <c r="CL14" s="278">
        <f t="shared" si="64"/>
        <v>13.245833333333335</v>
      </c>
      <c r="CM14" s="278">
        <f t="shared" si="64"/>
        <v>166.80416666666662</v>
      </c>
      <c r="CN14" s="278">
        <f t="shared" si="64"/>
        <v>400.61250000000013</v>
      </c>
      <c r="CO14" s="278">
        <f t="shared" si="64"/>
        <v>620.20000000000005</v>
      </c>
      <c r="CP14" s="277"/>
      <c r="CQ14" s="277">
        <f t="shared" si="75"/>
        <v>2025</v>
      </c>
      <c r="CR14" s="278">
        <f t="shared" si="76"/>
        <v>608.42499999999984</v>
      </c>
      <c r="CS14" s="278">
        <f t="shared" si="65"/>
        <v>553.25833333333333</v>
      </c>
      <c r="CT14" s="278">
        <f t="shared" si="65"/>
        <v>394.62916666666666</v>
      </c>
      <c r="CU14" s="278">
        <f t="shared" si="65"/>
        <v>231.95833333333334</v>
      </c>
      <c r="CV14" s="278">
        <f t="shared" si="65"/>
        <v>62.479166666666679</v>
      </c>
      <c r="CW14" s="278">
        <f t="shared" si="65"/>
        <v>4.9291666666666671</v>
      </c>
      <c r="CX14" s="278">
        <f t="shared" si="65"/>
        <v>0</v>
      </c>
      <c r="CY14" s="278">
        <f t="shared" si="65"/>
        <v>0.65416666666666856</v>
      </c>
      <c r="CZ14" s="278">
        <f t="shared" si="65"/>
        <v>2.7291666666666696</v>
      </c>
      <c r="DA14" s="278">
        <f t="shared" si="65"/>
        <v>117.42083333333332</v>
      </c>
      <c r="DB14" s="278">
        <f t="shared" si="65"/>
        <v>340.61250000000007</v>
      </c>
      <c r="DC14" s="278">
        <f t="shared" si="65"/>
        <v>558.20000000000005</v>
      </c>
      <c r="DD14" s="277"/>
      <c r="DE14" s="277">
        <f t="shared" si="77"/>
        <v>2025</v>
      </c>
      <c r="DF14" s="278">
        <f t="shared" si="78"/>
        <v>546.42499999999984</v>
      </c>
      <c r="DG14" s="278">
        <f t="shared" si="66"/>
        <v>497.25833333333333</v>
      </c>
      <c r="DH14" s="278">
        <f t="shared" si="66"/>
        <v>332.62916666666672</v>
      </c>
      <c r="DI14" s="278">
        <f t="shared" si="66"/>
        <v>177.05</v>
      </c>
      <c r="DJ14" s="278">
        <f t="shared" si="66"/>
        <v>31.741666666666674</v>
      </c>
      <c r="DK14" s="278">
        <f t="shared" si="66"/>
        <v>1.1875</v>
      </c>
      <c r="DL14" s="278">
        <f t="shared" si="66"/>
        <v>0</v>
      </c>
      <c r="DM14" s="278">
        <f t="shared" si="66"/>
        <v>0</v>
      </c>
      <c r="DN14" s="278">
        <f t="shared" si="66"/>
        <v>0</v>
      </c>
      <c r="DO14" s="278">
        <f t="shared" si="66"/>
        <v>77.612499999999997</v>
      </c>
      <c r="DP14" s="278">
        <f t="shared" si="66"/>
        <v>280.61250000000001</v>
      </c>
      <c r="DQ14" s="278">
        <f t="shared" si="66"/>
        <v>496.20000000000005</v>
      </c>
      <c r="DR14" s="277"/>
      <c r="DS14" s="277">
        <f t="shared" si="79"/>
        <v>2025</v>
      </c>
      <c r="DT14" s="278">
        <f t="shared" si="80"/>
        <v>484.42500000000007</v>
      </c>
      <c r="DU14" s="278">
        <f t="shared" si="67"/>
        <v>441.25833333333333</v>
      </c>
      <c r="DV14" s="278">
        <f t="shared" si="67"/>
        <v>272.45416666666665</v>
      </c>
      <c r="DW14" s="278">
        <f t="shared" si="67"/>
        <v>129.10416666666666</v>
      </c>
      <c r="DX14" s="278">
        <f t="shared" si="67"/>
        <v>9.9166666666666732</v>
      </c>
      <c r="DY14" s="278">
        <f t="shared" si="67"/>
        <v>0</v>
      </c>
      <c r="DZ14" s="278">
        <f t="shared" si="67"/>
        <v>0</v>
      </c>
      <c r="EA14" s="278">
        <f t="shared" si="67"/>
        <v>0</v>
      </c>
      <c r="EB14" s="278">
        <f t="shared" si="67"/>
        <v>0</v>
      </c>
      <c r="EC14" s="278">
        <f t="shared" si="67"/>
        <v>43.8125</v>
      </c>
      <c r="ED14" s="278">
        <f t="shared" si="67"/>
        <v>220.61249999999995</v>
      </c>
      <c r="EE14" s="278">
        <f t="shared" si="67"/>
        <v>434.20000000000005</v>
      </c>
      <c r="EF14" s="277"/>
      <c r="EG14" s="277">
        <f t="shared" si="81"/>
        <v>2025</v>
      </c>
      <c r="EH14" s="278">
        <f t="shared" si="82"/>
        <v>422.42500000000007</v>
      </c>
      <c r="EI14" s="278">
        <f t="shared" si="68"/>
        <v>385.25833333333333</v>
      </c>
      <c r="EJ14" s="278">
        <f t="shared" si="68"/>
        <v>216.0958333333333</v>
      </c>
      <c r="EK14" s="278">
        <f t="shared" si="68"/>
        <v>89.212499999999991</v>
      </c>
      <c r="EL14" s="278">
        <f t="shared" si="68"/>
        <v>0</v>
      </c>
      <c r="EM14" s="278">
        <f t="shared" si="68"/>
        <v>0</v>
      </c>
      <c r="EN14" s="278">
        <f t="shared" si="68"/>
        <v>0</v>
      </c>
      <c r="EO14" s="278">
        <f t="shared" si="68"/>
        <v>0</v>
      </c>
      <c r="EP14" s="278">
        <f t="shared" si="68"/>
        <v>0</v>
      </c>
      <c r="EQ14" s="278">
        <f t="shared" si="68"/>
        <v>17.445833333333326</v>
      </c>
      <c r="ER14" s="278">
        <f t="shared" si="68"/>
        <v>160.61250000000001</v>
      </c>
      <c r="ES14" s="278">
        <f t="shared" si="68"/>
        <v>372.20000000000005</v>
      </c>
      <c r="EU14" s="488"/>
      <c r="EV14" s="488"/>
      <c r="EW14" s="488"/>
      <c r="EX14" s="488"/>
      <c r="EY14" s="488"/>
      <c r="EZ14" s="488"/>
      <c r="FA14" s="488"/>
      <c r="FB14" s="488"/>
      <c r="FC14" s="488"/>
      <c r="FD14" s="488"/>
    </row>
    <row r="15" spans="1:169">
      <c r="A15">
        <v>2015</v>
      </c>
      <c r="B15">
        <v>2</v>
      </c>
      <c r="C15" s="200">
        <v>921.85434782608706</v>
      </c>
      <c r="D15" s="200">
        <v>0</v>
      </c>
      <c r="E15" s="200">
        <v>865.85434782608706</v>
      </c>
      <c r="F15" s="200">
        <v>0</v>
      </c>
      <c r="G15" s="200">
        <v>809.85434782608706</v>
      </c>
      <c r="H15" s="200">
        <v>0</v>
      </c>
      <c r="I15" s="200">
        <v>753.85434782608695</v>
      </c>
      <c r="J15" s="200">
        <v>0</v>
      </c>
      <c r="K15" s="200">
        <v>697.85434782608695</v>
      </c>
      <c r="L15" s="200">
        <v>0</v>
      </c>
      <c r="M15" s="200">
        <v>641.85434782608695</v>
      </c>
      <c r="N15" s="200">
        <v>0</v>
      </c>
      <c r="O15" s="200">
        <v>585.85434782608695</v>
      </c>
      <c r="P15" s="200">
        <v>0</v>
      </c>
      <c r="Q15" s="257">
        <v>-12.92336956521739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BA15" s="279">
        <f t="shared" si="69"/>
        <v>2026</v>
      </c>
      <c r="BB15" s="280">
        <f>AVERAGE(BB5:BB14)</f>
        <v>752.78750000000002</v>
      </c>
      <c r="BC15" s="280">
        <f t="shared" ref="BC15:BM15" si="84">AVERAGE(BC5:BC14)</f>
        <v>660.7954166666666</v>
      </c>
      <c r="BD15" s="280">
        <f t="shared" si="84"/>
        <v>596.21590579710141</v>
      </c>
      <c r="BE15" s="280">
        <f t="shared" si="84"/>
        <v>412.8885416666667</v>
      </c>
      <c r="BF15" s="280">
        <f t="shared" si="84"/>
        <v>208.90012508544086</v>
      </c>
      <c r="BG15" s="280">
        <f t="shared" si="84"/>
        <v>61.78217382617381</v>
      </c>
      <c r="BH15" s="280">
        <f t="shared" si="84"/>
        <v>8.334479813664597</v>
      </c>
      <c r="BI15" s="280">
        <f t="shared" si="84"/>
        <v>21.054927536231883</v>
      </c>
      <c r="BJ15" s="280">
        <f t="shared" si="84"/>
        <v>97.667119565217376</v>
      </c>
      <c r="BK15" s="280">
        <f t="shared" si="84"/>
        <v>292.46431159420291</v>
      </c>
      <c r="BL15" s="280">
        <f t="shared" si="84"/>
        <v>495.51408055712409</v>
      </c>
      <c r="BM15" s="280">
        <f t="shared" si="84"/>
        <v>664.38541666666663</v>
      </c>
      <c r="BN15" s="277"/>
      <c r="BO15" s="279">
        <f t="shared" si="71"/>
        <v>2026</v>
      </c>
      <c r="BP15" s="280">
        <f>AVERAGE(BP5:BP14)</f>
        <v>690.78750000000002</v>
      </c>
      <c r="BQ15" s="280">
        <f t="shared" ref="BQ15:CA15" si="85">AVERAGE(BQ5:BQ14)</f>
        <v>604.19541666666657</v>
      </c>
      <c r="BR15" s="280">
        <f t="shared" si="85"/>
        <v>534.21590579710141</v>
      </c>
      <c r="BS15" s="280">
        <f t="shared" si="85"/>
        <v>352.92312500000003</v>
      </c>
      <c r="BT15" s="280">
        <f t="shared" si="85"/>
        <v>155.24720841877425</v>
      </c>
      <c r="BU15" s="280">
        <f t="shared" si="85"/>
        <v>30.273840492840492</v>
      </c>
      <c r="BV15" s="280">
        <f t="shared" si="85"/>
        <v>1.0845833333333317</v>
      </c>
      <c r="BW15" s="280">
        <f t="shared" si="85"/>
        <v>6.4245833333333335</v>
      </c>
      <c r="BX15" s="280">
        <f t="shared" si="85"/>
        <v>54.412952898550728</v>
      </c>
      <c r="BY15" s="280">
        <f t="shared" si="85"/>
        <v>232.21431159420285</v>
      </c>
      <c r="BZ15" s="280">
        <f t="shared" si="85"/>
        <v>435.51408055712398</v>
      </c>
      <c r="CA15" s="280">
        <f t="shared" si="85"/>
        <v>602.38541666666674</v>
      </c>
      <c r="CB15" s="354">
        <f t="shared" ref="CB15" si="86">SUM(BP15:CA15)</f>
        <v>3699.6789247585939</v>
      </c>
      <c r="CC15" s="279">
        <f t="shared" si="73"/>
        <v>2026</v>
      </c>
      <c r="CD15" s="280">
        <f>AVERAGE(CD5:CD14)</f>
        <v>628.78750000000002</v>
      </c>
      <c r="CE15" s="280">
        <f t="shared" ref="CE15:CO15" si="87">AVERAGE(CE5:CE14)</f>
        <v>547.59541666666655</v>
      </c>
      <c r="CF15" s="280">
        <f t="shared" si="87"/>
        <v>472.21590579710147</v>
      </c>
      <c r="CG15" s="280">
        <f t="shared" si="87"/>
        <v>293.32020833333331</v>
      </c>
      <c r="CH15" s="280">
        <f t="shared" si="87"/>
        <v>107.00363157894738</v>
      </c>
      <c r="CI15" s="280">
        <f t="shared" si="87"/>
        <v>11.150282051282051</v>
      </c>
      <c r="CJ15" s="280">
        <f t="shared" si="87"/>
        <v>7.4583333333333002E-2</v>
      </c>
      <c r="CK15" s="280">
        <f t="shared" si="87"/>
        <v>1.1245833333333339</v>
      </c>
      <c r="CL15" s="280">
        <f t="shared" si="87"/>
        <v>25.797536231884056</v>
      </c>
      <c r="CM15" s="280">
        <f t="shared" si="87"/>
        <v>176.44514492753621</v>
      </c>
      <c r="CN15" s="280">
        <f t="shared" si="87"/>
        <v>375.6644972237907</v>
      </c>
      <c r="CO15" s="280">
        <f t="shared" si="87"/>
        <v>540.38541666666674</v>
      </c>
      <c r="CP15" s="277"/>
      <c r="CQ15" s="279">
        <f t="shared" si="75"/>
        <v>2026</v>
      </c>
      <c r="CR15" s="280">
        <f>AVERAGE(CR5:CR14)</f>
        <v>566.78750000000002</v>
      </c>
      <c r="CS15" s="280">
        <f t="shared" ref="CS15:DC15" si="88">AVERAGE(CS5:CS14)</f>
        <v>490.99541666666664</v>
      </c>
      <c r="CT15" s="280">
        <f t="shared" si="88"/>
        <v>410.21590579710147</v>
      </c>
      <c r="CU15" s="280">
        <f t="shared" si="88"/>
        <v>235.09104166666671</v>
      </c>
      <c r="CV15" s="280">
        <f t="shared" si="88"/>
        <v>66.98488157894738</v>
      </c>
      <c r="CW15" s="280">
        <f t="shared" si="88"/>
        <v>3.128333333333333</v>
      </c>
      <c r="CX15" s="280">
        <f t="shared" si="88"/>
        <v>0</v>
      </c>
      <c r="CY15" s="280">
        <f t="shared" si="88"/>
        <v>6.5416666666666859E-2</v>
      </c>
      <c r="CZ15" s="280">
        <f t="shared" si="88"/>
        <v>10.085869565217392</v>
      </c>
      <c r="DA15" s="280">
        <f t="shared" si="88"/>
        <v>126.20389492753625</v>
      </c>
      <c r="DB15" s="280">
        <f t="shared" si="88"/>
        <v>316.29533055712409</v>
      </c>
      <c r="DC15" s="280">
        <f t="shared" si="88"/>
        <v>478.38541666666663</v>
      </c>
      <c r="DD15" s="277"/>
      <c r="DE15" s="279">
        <f t="shared" si="77"/>
        <v>2026</v>
      </c>
      <c r="DF15" s="280">
        <f>AVERAGE(DF5:DF14)</f>
        <v>504.78750000000002</v>
      </c>
      <c r="DG15" s="280">
        <f t="shared" ref="DG15:DQ15" si="89">AVERAGE(DG5:DG14)</f>
        <v>434.39541666666673</v>
      </c>
      <c r="DH15" s="280">
        <f t="shared" si="89"/>
        <v>348.24548913043475</v>
      </c>
      <c r="DI15" s="280">
        <f t="shared" si="89"/>
        <v>178.89812499999999</v>
      </c>
      <c r="DJ15" s="280">
        <f t="shared" si="89"/>
        <v>37.553492690058476</v>
      </c>
      <c r="DK15" s="280">
        <f t="shared" si="89"/>
        <v>0.57666666666666677</v>
      </c>
      <c r="DL15" s="280">
        <f t="shared" si="89"/>
        <v>0</v>
      </c>
      <c r="DM15" s="280">
        <f t="shared" si="89"/>
        <v>0</v>
      </c>
      <c r="DN15" s="280">
        <f t="shared" si="89"/>
        <v>2.6637499999999994</v>
      </c>
      <c r="DO15" s="280">
        <f t="shared" si="89"/>
        <v>82.810561594202895</v>
      </c>
      <c r="DP15" s="280">
        <f t="shared" si="89"/>
        <v>257.43824722379065</v>
      </c>
      <c r="DQ15" s="280">
        <f t="shared" si="89"/>
        <v>416.38541666666663</v>
      </c>
      <c r="DR15" s="277"/>
      <c r="DS15" s="279">
        <f t="shared" si="79"/>
        <v>2026</v>
      </c>
      <c r="DT15" s="280">
        <f>AVERAGE(DT5:DT14)</f>
        <v>442.78750000000002</v>
      </c>
      <c r="DU15" s="280">
        <f t="shared" ref="DU15:EE15" si="90">AVERAGE(DU5:DU14)</f>
        <v>377.79541666666665</v>
      </c>
      <c r="DV15" s="280">
        <f t="shared" si="90"/>
        <v>286.91715579710143</v>
      </c>
      <c r="DW15" s="280">
        <f t="shared" si="90"/>
        <v>126.42270833333332</v>
      </c>
      <c r="DX15" s="280">
        <f t="shared" si="90"/>
        <v>18.584333333333337</v>
      </c>
      <c r="DY15" s="280">
        <f t="shared" si="90"/>
        <v>9.7916666666666957E-2</v>
      </c>
      <c r="DZ15" s="280">
        <f t="shared" si="90"/>
        <v>0</v>
      </c>
      <c r="EA15" s="280">
        <f t="shared" si="90"/>
        <v>0</v>
      </c>
      <c r="EB15" s="280">
        <f t="shared" si="90"/>
        <v>0.57166666666666666</v>
      </c>
      <c r="EC15" s="280">
        <f t="shared" si="90"/>
        <v>48.730978260869563</v>
      </c>
      <c r="ED15" s="280">
        <f t="shared" si="90"/>
        <v>199.96241389045736</v>
      </c>
      <c r="EE15" s="280">
        <f t="shared" si="90"/>
        <v>354.42666666666662</v>
      </c>
      <c r="EF15" s="277"/>
      <c r="EG15" s="279">
        <f t="shared" si="81"/>
        <v>2026</v>
      </c>
      <c r="EH15" s="280">
        <f>AVERAGE(EH5:EH14)</f>
        <v>380.78750000000002</v>
      </c>
      <c r="EI15" s="280">
        <f t="shared" ref="EI15:ES15" si="91">AVERAGE(EI5:EI14)</f>
        <v>321.33791666666662</v>
      </c>
      <c r="EJ15" s="280">
        <f t="shared" si="91"/>
        <v>227.40798913043483</v>
      </c>
      <c r="EK15" s="280">
        <f t="shared" si="91"/>
        <v>81.619374999999991</v>
      </c>
      <c r="EL15" s="280">
        <f t="shared" si="91"/>
        <v>7.2018333333333331</v>
      </c>
      <c r="EM15" s="280">
        <f t="shared" si="91"/>
        <v>0</v>
      </c>
      <c r="EN15" s="280">
        <f t="shared" si="91"/>
        <v>0</v>
      </c>
      <c r="EO15" s="280">
        <f t="shared" si="91"/>
        <v>0</v>
      </c>
      <c r="EP15" s="280">
        <f t="shared" si="91"/>
        <v>0</v>
      </c>
      <c r="EQ15" s="280">
        <f t="shared" si="91"/>
        <v>23.113061594202897</v>
      </c>
      <c r="ER15" s="280">
        <f t="shared" si="91"/>
        <v>146.08783055712405</v>
      </c>
      <c r="ES15" s="280">
        <f t="shared" si="91"/>
        <v>292.69541666666663</v>
      </c>
      <c r="EU15" s="488"/>
      <c r="EV15" s="488"/>
      <c r="EW15" s="488"/>
      <c r="EX15" s="488"/>
      <c r="EY15" s="488"/>
      <c r="EZ15" s="488"/>
      <c r="FA15" s="488"/>
      <c r="FB15" s="488"/>
      <c r="FC15" s="488"/>
      <c r="FD15" s="488"/>
    </row>
    <row r="16" spans="1:169">
      <c r="A16">
        <v>2015</v>
      </c>
      <c r="B16">
        <v>3</v>
      </c>
      <c r="C16" s="200">
        <v>699.80000000000007</v>
      </c>
      <c r="D16" s="200">
        <v>0</v>
      </c>
      <c r="E16" s="200">
        <v>637.79999999999995</v>
      </c>
      <c r="F16" s="200">
        <v>0</v>
      </c>
      <c r="G16" s="200">
        <v>575.79999999999995</v>
      </c>
      <c r="H16" s="200">
        <v>0</v>
      </c>
      <c r="I16" s="200">
        <v>513.79999999999995</v>
      </c>
      <c r="J16" s="200">
        <v>0</v>
      </c>
      <c r="K16" s="200">
        <v>451.8</v>
      </c>
      <c r="L16" s="200">
        <v>0</v>
      </c>
      <c r="M16" s="200">
        <v>389.8</v>
      </c>
      <c r="N16" s="200">
        <v>0</v>
      </c>
      <c r="O16" s="200">
        <v>327.79999999999995</v>
      </c>
      <c r="P16" s="200">
        <v>0</v>
      </c>
      <c r="Q16" s="257">
        <v>-2.5741935483870972</v>
      </c>
      <c r="S16" s="3"/>
      <c r="T16" s="3"/>
      <c r="U16" s="3"/>
      <c r="V16" s="3"/>
      <c r="W16" s="3"/>
      <c r="X16" s="3"/>
      <c r="Y16" s="3"/>
      <c r="Z16" s="3"/>
      <c r="AA16" s="3"/>
      <c r="AB16" s="3"/>
      <c r="BA16" s="279">
        <f t="shared" ref="BA16:BA18" si="92">BA15+1</f>
        <v>2027</v>
      </c>
      <c r="BB16" s="280">
        <f t="shared" ref="BB16:BB20" si="93">BB15</f>
        <v>752.78750000000002</v>
      </c>
      <c r="BC16" s="280">
        <f t="shared" ref="BC16:BC20" si="94">BC15</f>
        <v>660.7954166666666</v>
      </c>
      <c r="BD16" s="280">
        <f t="shared" ref="BD16:BD20" si="95">BD15</f>
        <v>596.21590579710141</v>
      </c>
      <c r="BE16" s="280">
        <f t="shared" ref="BE16:BE20" si="96">BE15</f>
        <v>412.8885416666667</v>
      </c>
      <c r="BF16" s="280">
        <f t="shared" ref="BF16:BF20" si="97">BF15</f>
        <v>208.90012508544086</v>
      </c>
      <c r="BG16" s="280">
        <f t="shared" ref="BG16:BG20" si="98">BG15</f>
        <v>61.78217382617381</v>
      </c>
      <c r="BH16" s="280">
        <f t="shared" ref="BH16:BH20" si="99">BH15</f>
        <v>8.334479813664597</v>
      </c>
      <c r="BI16" s="280">
        <f t="shared" ref="BI16:BI20" si="100">BI15</f>
        <v>21.054927536231883</v>
      </c>
      <c r="BJ16" s="280">
        <f t="shared" ref="BJ16:BJ20" si="101">BJ15</f>
        <v>97.667119565217376</v>
      </c>
      <c r="BK16" s="280">
        <f t="shared" ref="BK16:BK20" si="102">BK15</f>
        <v>292.46431159420291</v>
      </c>
      <c r="BL16" s="280">
        <f t="shared" ref="BL16:BL20" si="103">BL15</f>
        <v>495.51408055712409</v>
      </c>
      <c r="BM16" s="280">
        <f t="shared" ref="BM16:BM20" si="104">BM15</f>
        <v>664.38541666666663</v>
      </c>
      <c r="BN16" s="277"/>
      <c r="BO16" s="279">
        <f t="shared" ref="BO16:BO20" si="105">BO15+1</f>
        <v>2027</v>
      </c>
      <c r="BP16" s="280">
        <f t="shared" ref="BP16:BP20" si="106">BP15</f>
        <v>690.78750000000002</v>
      </c>
      <c r="BQ16" s="280">
        <f t="shared" ref="BQ16:BQ20" si="107">BQ15</f>
        <v>604.19541666666657</v>
      </c>
      <c r="BR16" s="280">
        <f t="shared" ref="BR16:BR20" si="108">BR15</f>
        <v>534.21590579710141</v>
      </c>
      <c r="BS16" s="280">
        <f t="shared" ref="BS16:BS20" si="109">BS15</f>
        <v>352.92312500000003</v>
      </c>
      <c r="BT16" s="280">
        <f t="shared" ref="BT16:BT20" si="110">BT15</f>
        <v>155.24720841877425</v>
      </c>
      <c r="BU16" s="280">
        <f t="shared" ref="BU16:BU20" si="111">BU15</f>
        <v>30.273840492840492</v>
      </c>
      <c r="BV16" s="280">
        <f t="shared" ref="BV16:BV20" si="112">BV15</f>
        <v>1.0845833333333317</v>
      </c>
      <c r="BW16" s="280">
        <f t="shared" ref="BW16:BW20" si="113">BW15</f>
        <v>6.4245833333333335</v>
      </c>
      <c r="BX16" s="280">
        <f t="shared" ref="BX16:BX20" si="114">BX15</f>
        <v>54.412952898550728</v>
      </c>
      <c r="BY16" s="280">
        <f t="shared" ref="BY16:BY20" si="115">BY15</f>
        <v>232.21431159420285</v>
      </c>
      <c r="BZ16" s="280">
        <f t="shared" ref="BZ16:BZ20" si="116">BZ15</f>
        <v>435.51408055712398</v>
      </c>
      <c r="CA16" s="280">
        <f t="shared" ref="CA16:CA20" si="117">CA15</f>
        <v>602.38541666666674</v>
      </c>
      <c r="CB16" s="354">
        <f t="shared" ref="CB16:CB20" si="118">SUM(BP16:CA16)</f>
        <v>3699.6789247585939</v>
      </c>
      <c r="CC16" s="279">
        <f t="shared" ref="CC16:CC20" si="119">CC15+1</f>
        <v>2027</v>
      </c>
      <c r="CD16" s="280">
        <f t="shared" ref="CD16:CD20" si="120">CD15</f>
        <v>628.78750000000002</v>
      </c>
      <c r="CE16" s="280">
        <f t="shared" ref="CE16:CE20" si="121">CE15</f>
        <v>547.59541666666655</v>
      </c>
      <c r="CF16" s="280">
        <f t="shared" ref="CF16:CF20" si="122">CF15</f>
        <v>472.21590579710147</v>
      </c>
      <c r="CG16" s="280">
        <f t="shared" ref="CG16:CG20" si="123">CG15</f>
        <v>293.32020833333331</v>
      </c>
      <c r="CH16" s="280">
        <f t="shared" ref="CH16:CH20" si="124">CH15</f>
        <v>107.00363157894738</v>
      </c>
      <c r="CI16" s="280">
        <f t="shared" ref="CI16:CI20" si="125">CI15</f>
        <v>11.150282051282051</v>
      </c>
      <c r="CJ16" s="280">
        <f t="shared" ref="CJ16:CJ20" si="126">CJ15</f>
        <v>7.4583333333333002E-2</v>
      </c>
      <c r="CK16" s="280">
        <f t="shared" ref="CK16:CK20" si="127">CK15</f>
        <v>1.1245833333333339</v>
      </c>
      <c r="CL16" s="280">
        <f t="shared" ref="CL16:CL20" si="128">CL15</f>
        <v>25.797536231884056</v>
      </c>
      <c r="CM16" s="280">
        <f t="shared" ref="CM16:CM20" si="129">CM15</f>
        <v>176.44514492753621</v>
      </c>
      <c r="CN16" s="280">
        <f t="shared" ref="CN16:CN20" si="130">CN15</f>
        <v>375.6644972237907</v>
      </c>
      <c r="CO16" s="280">
        <f t="shared" ref="CO16:CO20" si="131">CO15</f>
        <v>540.38541666666674</v>
      </c>
      <c r="CP16" s="277"/>
      <c r="CQ16" s="279">
        <f t="shared" ref="CQ16:CQ20" si="132">CQ15+1</f>
        <v>2027</v>
      </c>
      <c r="CR16" s="280">
        <f t="shared" ref="CR16:CR20" si="133">CR15</f>
        <v>566.78750000000002</v>
      </c>
      <c r="CS16" s="280">
        <f t="shared" ref="CS16:CS20" si="134">CS15</f>
        <v>490.99541666666664</v>
      </c>
      <c r="CT16" s="280">
        <f t="shared" ref="CT16:CT20" si="135">CT15</f>
        <v>410.21590579710147</v>
      </c>
      <c r="CU16" s="280">
        <f t="shared" ref="CU16:CU20" si="136">CU15</f>
        <v>235.09104166666671</v>
      </c>
      <c r="CV16" s="280">
        <f t="shared" ref="CV16:CV20" si="137">CV15</f>
        <v>66.98488157894738</v>
      </c>
      <c r="CW16" s="280">
        <f t="shared" ref="CW16:CW20" si="138">CW15</f>
        <v>3.128333333333333</v>
      </c>
      <c r="CX16" s="280">
        <f t="shared" ref="CX16:CX20" si="139">CX15</f>
        <v>0</v>
      </c>
      <c r="CY16" s="280">
        <f t="shared" ref="CY16:CY20" si="140">CY15</f>
        <v>6.5416666666666859E-2</v>
      </c>
      <c r="CZ16" s="280">
        <f t="shared" ref="CZ16:CZ20" si="141">CZ15</f>
        <v>10.085869565217392</v>
      </c>
      <c r="DA16" s="280">
        <f t="shared" ref="DA16:DA20" si="142">DA15</f>
        <v>126.20389492753625</v>
      </c>
      <c r="DB16" s="280">
        <f t="shared" ref="DB16:DB20" si="143">DB15</f>
        <v>316.29533055712409</v>
      </c>
      <c r="DC16" s="280">
        <f t="shared" ref="DC16:DC20" si="144">DC15</f>
        <v>478.38541666666663</v>
      </c>
      <c r="DD16" s="277"/>
      <c r="DE16" s="279">
        <f t="shared" ref="DE16:DE20" si="145">DE15+1</f>
        <v>2027</v>
      </c>
      <c r="DF16" s="280">
        <f t="shared" ref="DF16:DF20" si="146">DF15</f>
        <v>504.78750000000002</v>
      </c>
      <c r="DG16" s="280">
        <f t="shared" ref="DG16:DG20" si="147">DG15</f>
        <v>434.39541666666673</v>
      </c>
      <c r="DH16" s="280">
        <f t="shared" ref="DH16:DH20" si="148">DH15</f>
        <v>348.24548913043475</v>
      </c>
      <c r="DI16" s="280">
        <f t="shared" ref="DI16:DI20" si="149">DI15</f>
        <v>178.89812499999999</v>
      </c>
      <c r="DJ16" s="280">
        <f t="shared" ref="DJ16:DJ20" si="150">DJ15</f>
        <v>37.553492690058476</v>
      </c>
      <c r="DK16" s="280">
        <f t="shared" ref="DK16:DK20" si="151">DK15</f>
        <v>0.57666666666666677</v>
      </c>
      <c r="DL16" s="280">
        <f t="shared" ref="DL16:DL20" si="152">DL15</f>
        <v>0</v>
      </c>
      <c r="DM16" s="280">
        <f t="shared" ref="DM16:DM20" si="153">DM15</f>
        <v>0</v>
      </c>
      <c r="DN16" s="280">
        <f t="shared" ref="DN16:DN20" si="154">DN15</f>
        <v>2.6637499999999994</v>
      </c>
      <c r="DO16" s="280">
        <f t="shared" ref="DO16:DO20" si="155">DO15</f>
        <v>82.810561594202895</v>
      </c>
      <c r="DP16" s="280">
        <f t="shared" ref="DP16:DP20" si="156">DP15</f>
        <v>257.43824722379065</v>
      </c>
      <c r="DQ16" s="280">
        <f t="shared" ref="DQ16:DQ20" si="157">DQ15</f>
        <v>416.38541666666663</v>
      </c>
      <c r="DR16" s="277"/>
      <c r="DS16" s="279">
        <f t="shared" ref="DS16:DS20" si="158">DS15+1</f>
        <v>2027</v>
      </c>
      <c r="DT16" s="280">
        <f t="shared" ref="DT16:DT20" si="159">DT15</f>
        <v>442.78750000000002</v>
      </c>
      <c r="DU16" s="280">
        <f t="shared" ref="DU16:DU20" si="160">DU15</f>
        <v>377.79541666666665</v>
      </c>
      <c r="DV16" s="280">
        <f t="shared" ref="DV16:DV20" si="161">DV15</f>
        <v>286.91715579710143</v>
      </c>
      <c r="DW16" s="280">
        <f t="shared" ref="DW16:DW20" si="162">DW15</f>
        <v>126.42270833333332</v>
      </c>
      <c r="DX16" s="280">
        <f t="shared" ref="DX16:DX20" si="163">DX15</f>
        <v>18.584333333333337</v>
      </c>
      <c r="DY16" s="280">
        <f t="shared" ref="DY16:DY20" si="164">DY15</f>
        <v>9.7916666666666957E-2</v>
      </c>
      <c r="DZ16" s="280">
        <f t="shared" ref="DZ16:DZ20" si="165">DZ15</f>
        <v>0</v>
      </c>
      <c r="EA16" s="280">
        <f t="shared" ref="EA16:EA20" si="166">EA15</f>
        <v>0</v>
      </c>
      <c r="EB16" s="280">
        <f t="shared" ref="EB16:EB20" si="167">EB15</f>
        <v>0.57166666666666666</v>
      </c>
      <c r="EC16" s="280">
        <f t="shared" ref="EC16:EC20" si="168">EC15</f>
        <v>48.730978260869563</v>
      </c>
      <c r="ED16" s="280">
        <f t="shared" ref="ED16:ED20" si="169">ED15</f>
        <v>199.96241389045736</v>
      </c>
      <c r="EE16" s="280">
        <f t="shared" ref="EE16:EE20" si="170">EE15</f>
        <v>354.42666666666662</v>
      </c>
      <c r="EF16" s="277"/>
      <c r="EG16" s="279">
        <f t="shared" ref="EG16:EG20" si="171">EG15+1</f>
        <v>2027</v>
      </c>
      <c r="EH16" s="280">
        <f t="shared" ref="EH16:EH20" si="172">EH15</f>
        <v>380.78750000000002</v>
      </c>
      <c r="EI16" s="280">
        <f t="shared" ref="EI16:EI20" si="173">EI15</f>
        <v>321.33791666666662</v>
      </c>
      <c r="EJ16" s="280">
        <f t="shared" ref="EJ16:EJ20" si="174">EJ15</f>
        <v>227.40798913043483</v>
      </c>
      <c r="EK16" s="280">
        <f t="shared" ref="EK16:EK20" si="175">EK15</f>
        <v>81.619374999999991</v>
      </c>
      <c r="EL16" s="280">
        <f t="shared" ref="EL16:EL20" si="176">EL15</f>
        <v>7.2018333333333331</v>
      </c>
      <c r="EM16" s="280">
        <f t="shared" ref="EM16:EM20" si="177">EM15</f>
        <v>0</v>
      </c>
      <c r="EN16" s="280">
        <f t="shared" ref="EN16:EN20" si="178">EN15</f>
        <v>0</v>
      </c>
      <c r="EO16" s="280">
        <f t="shared" ref="EO16:EO20" si="179">EO15</f>
        <v>0</v>
      </c>
      <c r="EP16" s="280">
        <f t="shared" ref="EP16:EP20" si="180">EP15</f>
        <v>0</v>
      </c>
      <c r="EQ16" s="280">
        <f t="shared" ref="EQ16:EQ20" si="181">EQ15</f>
        <v>23.113061594202897</v>
      </c>
      <c r="ER16" s="280">
        <f t="shared" ref="ER16:ER20" si="182">ER15</f>
        <v>146.08783055712405</v>
      </c>
      <c r="ES16" s="280">
        <f t="shared" ref="ES16:ES20" si="183">ES15</f>
        <v>292.69541666666663</v>
      </c>
      <c r="EU16" s="488"/>
      <c r="EV16" s="488"/>
      <c r="EW16" s="488"/>
      <c r="EX16" s="488"/>
      <c r="EY16" s="488"/>
      <c r="EZ16" s="488"/>
      <c r="FA16" s="488"/>
      <c r="FB16" s="488"/>
      <c r="FC16" s="488"/>
      <c r="FD16" s="488"/>
    </row>
    <row r="17" spans="1:160">
      <c r="A17">
        <v>2015</v>
      </c>
      <c r="B17">
        <v>4</v>
      </c>
      <c r="C17" s="200">
        <v>406.75037878787873</v>
      </c>
      <c r="D17" s="200">
        <v>0</v>
      </c>
      <c r="E17" s="200">
        <v>346.75037878787867</v>
      </c>
      <c r="F17" s="200">
        <v>0</v>
      </c>
      <c r="G17" s="200">
        <v>286.75037878787873</v>
      </c>
      <c r="H17" s="200">
        <v>0</v>
      </c>
      <c r="I17" s="200">
        <v>226.75037878787884</v>
      </c>
      <c r="J17" s="200">
        <v>0</v>
      </c>
      <c r="K17" s="200">
        <v>168.28371212121215</v>
      </c>
      <c r="L17" s="200">
        <v>1.5333333333333332</v>
      </c>
      <c r="M17" s="200">
        <v>116.58371212121212</v>
      </c>
      <c r="N17" s="200">
        <v>9.8333333333333321</v>
      </c>
      <c r="O17" s="200">
        <v>72.862878787878799</v>
      </c>
      <c r="P17" s="200">
        <v>26.112499999999997</v>
      </c>
      <c r="Q17" s="257">
        <v>6.4416540404040381</v>
      </c>
      <c r="S17" s="3"/>
      <c r="T17" s="3"/>
      <c r="U17" s="3"/>
      <c r="V17" s="3"/>
      <c r="W17" s="3"/>
      <c r="X17" s="3"/>
      <c r="Y17" s="3"/>
      <c r="Z17" s="3"/>
      <c r="AA17" s="3"/>
      <c r="AB17" s="3"/>
      <c r="BA17" s="279">
        <f t="shared" si="92"/>
        <v>2028</v>
      </c>
      <c r="BB17" s="280">
        <f t="shared" si="93"/>
        <v>752.78750000000002</v>
      </c>
      <c r="BC17" s="280">
        <f t="shared" si="94"/>
        <v>660.7954166666666</v>
      </c>
      <c r="BD17" s="280">
        <f t="shared" si="95"/>
        <v>596.21590579710141</v>
      </c>
      <c r="BE17" s="280">
        <f t="shared" si="96"/>
        <v>412.8885416666667</v>
      </c>
      <c r="BF17" s="280">
        <f t="shared" si="97"/>
        <v>208.90012508544086</v>
      </c>
      <c r="BG17" s="280">
        <f t="shared" si="98"/>
        <v>61.78217382617381</v>
      </c>
      <c r="BH17" s="280">
        <f t="shared" si="99"/>
        <v>8.334479813664597</v>
      </c>
      <c r="BI17" s="280">
        <f t="shared" si="100"/>
        <v>21.054927536231883</v>
      </c>
      <c r="BJ17" s="280">
        <f t="shared" si="101"/>
        <v>97.667119565217376</v>
      </c>
      <c r="BK17" s="280">
        <f t="shared" si="102"/>
        <v>292.46431159420291</v>
      </c>
      <c r="BL17" s="280">
        <f t="shared" si="103"/>
        <v>495.51408055712409</v>
      </c>
      <c r="BM17" s="280">
        <f t="shared" si="104"/>
        <v>664.38541666666663</v>
      </c>
      <c r="BN17" s="277"/>
      <c r="BO17" s="279">
        <f t="shared" si="105"/>
        <v>2028</v>
      </c>
      <c r="BP17" s="280">
        <f t="shared" si="106"/>
        <v>690.78750000000002</v>
      </c>
      <c r="BQ17" s="280">
        <f t="shared" si="107"/>
        <v>604.19541666666657</v>
      </c>
      <c r="BR17" s="280">
        <f t="shared" si="108"/>
        <v>534.21590579710141</v>
      </c>
      <c r="BS17" s="280">
        <f t="shared" si="109"/>
        <v>352.92312500000003</v>
      </c>
      <c r="BT17" s="280">
        <f t="shared" si="110"/>
        <v>155.24720841877425</v>
      </c>
      <c r="BU17" s="280">
        <f t="shared" si="111"/>
        <v>30.273840492840492</v>
      </c>
      <c r="BV17" s="280">
        <f t="shared" si="112"/>
        <v>1.0845833333333317</v>
      </c>
      <c r="BW17" s="280">
        <f t="shared" si="113"/>
        <v>6.4245833333333335</v>
      </c>
      <c r="BX17" s="280">
        <f t="shared" si="114"/>
        <v>54.412952898550728</v>
      </c>
      <c r="BY17" s="280">
        <f t="shared" si="115"/>
        <v>232.21431159420285</v>
      </c>
      <c r="BZ17" s="280">
        <f t="shared" si="116"/>
        <v>435.51408055712398</v>
      </c>
      <c r="CA17" s="280">
        <f t="shared" si="117"/>
        <v>602.38541666666674</v>
      </c>
      <c r="CB17" s="354">
        <f t="shared" si="118"/>
        <v>3699.6789247585939</v>
      </c>
      <c r="CC17" s="279">
        <f t="shared" si="119"/>
        <v>2028</v>
      </c>
      <c r="CD17" s="280">
        <f t="shared" si="120"/>
        <v>628.78750000000002</v>
      </c>
      <c r="CE17" s="280">
        <f t="shared" si="121"/>
        <v>547.59541666666655</v>
      </c>
      <c r="CF17" s="280">
        <f t="shared" si="122"/>
        <v>472.21590579710147</v>
      </c>
      <c r="CG17" s="280">
        <f t="shared" si="123"/>
        <v>293.32020833333331</v>
      </c>
      <c r="CH17" s="280">
        <f t="shared" si="124"/>
        <v>107.00363157894738</v>
      </c>
      <c r="CI17" s="280">
        <f t="shared" si="125"/>
        <v>11.150282051282051</v>
      </c>
      <c r="CJ17" s="280">
        <f t="shared" si="126"/>
        <v>7.4583333333333002E-2</v>
      </c>
      <c r="CK17" s="280">
        <f t="shared" si="127"/>
        <v>1.1245833333333339</v>
      </c>
      <c r="CL17" s="280">
        <f t="shared" si="128"/>
        <v>25.797536231884056</v>
      </c>
      <c r="CM17" s="280">
        <f t="shared" si="129"/>
        <v>176.44514492753621</v>
      </c>
      <c r="CN17" s="280">
        <f t="shared" si="130"/>
        <v>375.6644972237907</v>
      </c>
      <c r="CO17" s="280">
        <f t="shared" si="131"/>
        <v>540.38541666666674</v>
      </c>
      <c r="CP17" s="277"/>
      <c r="CQ17" s="279">
        <f t="shared" si="132"/>
        <v>2028</v>
      </c>
      <c r="CR17" s="280">
        <f t="shared" si="133"/>
        <v>566.78750000000002</v>
      </c>
      <c r="CS17" s="280">
        <f t="shared" si="134"/>
        <v>490.99541666666664</v>
      </c>
      <c r="CT17" s="280">
        <f t="shared" si="135"/>
        <v>410.21590579710147</v>
      </c>
      <c r="CU17" s="280">
        <f t="shared" si="136"/>
        <v>235.09104166666671</v>
      </c>
      <c r="CV17" s="280">
        <f t="shared" si="137"/>
        <v>66.98488157894738</v>
      </c>
      <c r="CW17" s="280">
        <f t="shared" si="138"/>
        <v>3.128333333333333</v>
      </c>
      <c r="CX17" s="280">
        <f t="shared" si="139"/>
        <v>0</v>
      </c>
      <c r="CY17" s="280">
        <f t="shared" si="140"/>
        <v>6.5416666666666859E-2</v>
      </c>
      <c r="CZ17" s="280">
        <f t="shared" si="141"/>
        <v>10.085869565217392</v>
      </c>
      <c r="DA17" s="280">
        <f t="shared" si="142"/>
        <v>126.20389492753625</v>
      </c>
      <c r="DB17" s="280">
        <f t="shared" si="143"/>
        <v>316.29533055712409</v>
      </c>
      <c r="DC17" s="280">
        <f t="shared" si="144"/>
        <v>478.38541666666663</v>
      </c>
      <c r="DD17" s="277"/>
      <c r="DE17" s="279">
        <f t="shared" si="145"/>
        <v>2028</v>
      </c>
      <c r="DF17" s="280">
        <f t="shared" si="146"/>
        <v>504.78750000000002</v>
      </c>
      <c r="DG17" s="280">
        <f t="shared" si="147"/>
        <v>434.39541666666673</v>
      </c>
      <c r="DH17" s="280">
        <f t="shared" si="148"/>
        <v>348.24548913043475</v>
      </c>
      <c r="DI17" s="280">
        <f t="shared" si="149"/>
        <v>178.89812499999999</v>
      </c>
      <c r="DJ17" s="280">
        <f t="shared" si="150"/>
        <v>37.553492690058476</v>
      </c>
      <c r="DK17" s="280">
        <f t="shared" si="151"/>
        <v>0.57666666666666677</v>
      </c>
      <c r="DL17" s="280">
        <f t="shared" si="152"/>
        <v>0</v>
      </c>
      <c r="DM17" s="280">
        <f t="shared" si="153"/>
        <v>0</v>
      </c>
      <c r="DN17" s="280">
        <f t="shared" si="154"/>
        <v>2.6637499999999994</v>
      </c>
      <c r="DO17" s="280">
        <f t="shared" si="155"/>
        <v>82.810561594202895</v>
      </c>
      <c r="DP17" s="280">
        <f t="shared" si="156"/>
        <v>257.43824722379065</v>
      </c>
      <c r="DQ17" s="280">
        <f t="shared" si="157"/>
        <v>416.38541666666663</v>
      </c>
      <c r="DR17" s="277"/>
      <c r="DS17" s="279">
        <f t="shared" si="158"/>
        <v>2028</v>
      </c>
      <c r="DT17" s="280">
        <f t="shared" si="159"/>
        <v>442.78750000000002</v>
      </c>
      <c r="DU17" s="280">
        <f t="shared" si="160"/>
        <v>377.79541666666665</v>
      </c>
      <c r="DV17" s="280">
        <f t="shared" si="161"/>
        <v>286.91715579710143</v>
      </c>
      <c r="DW17" s="280">
        <f t="shared" si="162"/>
        <v>126.42270833333332</v>
      </c>
      <c r="DX17" s="280">
        <f t="shared" si="163"/>
        <v>18.584333333333337</v>
      </c>
      <c r="DY17" s="280">
        <f t="shared" si="164"/>
        <v>9.7916666666666957E-2</v>
      </c>
      <c r="DZ17" s="280">
        <f t="shared" si="165"/>
        <v>0</v>
      </c>
      <c r="EA17" s="280">
        <f t="shared" si="166"/>
        <v>0</v>
      </c>
      <c r="EB17" s="280">
        <f t="shared" si="167"/>
        <v>0.57166666666666666</v>
      </c>
      <c r="EC17" s="280">
        <f t="shared" si="168"/>
        <v>48.730978260869563</v>
      </c>
      <c r="ED17" s="280">
        <f t="shared" si="169"/>
        <v>199.96241389045736</v>
      </c>
      <c r="EE17" s="280">
        <f t="shared" si="170"/>
        <v>354.42666666666662</v>
      </c>
      <c r="EF17" s="277"/>
      <c r="EG17" s="279">
        <f t="shared" si="171"/>
        <v>2028</v>
      </c>
      <c r="EH17" s="280">
        <f t="shared" si="172"/>
        <v>380.78750000000002</v>
      </c>
      <c r="EI17" s="280">
        <f t="shared" si="173"/>
        <v>321.33791666666662</v>
      </c>
      <c r="EJ17" s="280">
        <f t="shared" si="174"/>
        <v>227.40798913043483</v>
      </c>
      <c r="EK17" s="280">
        <f t="shared" si="175"/>
        <v>81.619374999999991</v>
      </c>
      <c r="EL17" s="280">
        <f t="shared" si="176"/>
        <v>7.2018333333333331</v>
      </c>
      <c r="EM17" s="280">
        <f t="shared" si="177"/>
        <v>0</v>
      </c>
      <c r="EN17" s="280">
        <f t="shared" si="178"/>
        <v>0</v>
      </c>
      <c r="EO17" s="280">
        <f t="shared" si="179"/>
        <v>0</v>
      </c>
      <c r="EP17" s="280">
        <f t="shared" si="180"/>
        <v>0</v>
      </c>
      <c r="EQ17" s="280">
        <f t="shared" si="181"/>
        <v>23.113061594202897</v>
      </c>
      <c r="ER17" s="280">
        <f t="shared" si="182"/>
        <v>146.08783055712405</v>
      </c>
      <c r="ES17" s="280">
        <f t="shared" si="183"/>
        <v>292.69541666666663</v>
      </c>
      <c r="EU17" s="488"/>
      <c r="EV17" s="488"/>
      <c r="EW17" s="488"/>
      <c r="EX17" s="488"/>
      <c r="EY17" s="488"/>
      <c r="EZ17" s="488"/>
      <c r="FA17" s="488"/>
      <c r="FB17" s="488"/>
      <c r="FC17" s="488"/>
      <c r="FD17" s="488"/>
    </row>
    <row r="18" spans="1:160">
      <c r="A18">
        <v>2015</v>
      </c>
      <c r="B18">
        <v>5</v>
      </c>
      <c r="C18" s="200">
        <v>159.09689440993785</v>
      </c>
      <c r="D18" s="200">
        <v>0.39999999999999503</v>
      </c>
      <c r="E18" s="200">
        <v>108.22189440993786</v>
      </c>
      <c r="F18" s="200">
        <v>11.524999999999999</v>
      </c>
      <c r="G18" s="200">
        <v>67.211775362318832</v>
      </c>
      <c r="H18" s="200">
        <v>32.514880952380949</v>
      </c>
      <c r="I18" s="200">
        <v>35.578442028985506</v>
      </c>
      <c r="J18" s="200">
        <v>62.881547619047637</v>
      </c>
      <c r="K18" s="200">
        <v>16.190942028985511</v>
      </c>
      <c r="L18" s="200">
        <v>105.49404761904762</v>
      </c>
      <c r="M18" s="200">
        <v>4.3916666666666675</v>
      </c>
      <c r="N18" s="200">
        <v>155.69477225672881</v>
      </c>
      <c r="O18" s="200">
        <v>0</v>
      </c>
      <c r="P18" s="200">
        <v>213.30310559006219</v>
      </c>
      <c r="Q18" s="257">
        <v>14.880745341614906</v>
      </c>
      <c r="S18" s="3"/>
      <c r="T18" s="3"/>
      <c r="U18" s="3"/>
      <c r="V18" s="3"/>
      <c r="W18" s="3"/>
      <c r="X18" s="3"/>
      <c r="Y18" s="3"/>
      <c r="Z18" s="3"/>
      <c r="AA18" s="3"/>
      <c r="AB18" s="3"/>
      <c r="BA18" s="279">
        <f t="shared" si="92"/>
        <v>2029</v>
      </c>
      <c r="BB18" s="280">
        <f t="shared" si="93"/>
        <v>752.78750000000002</v>
      </c>
      <c r="BC18" s="280">
        <f t="shared" si="94"/>
        <v>660.7954166666666</v>
      </c>
      <c r="BD18" s="280">
        <f t="shared" si="95"/>
        <v>596.21590579710141</v>
      </c>
      <c r="BE18" s="280">
        <f t="shared" si="96"/>
        <v>412.8885416666667</v>
      </c>
      <c r="BF18" s="280">
        <f t="shared" si="97"/>
        <v>208.90012508544086</v>
      </c>
      <c r="BG18" s="280">
        <f t="shared" si="98"/>
        <v>61.78217382617381</v>
      </c>
      <c r="BH18" s="280">
        <f t="shared" si="99"/>
        <v>8.334479813664597</v>
      </c>
      <c r="BI18" s="280">
        <f t="shared" si="100"/>
        <v>21.054927536231883</v>
      </c>
      <c r="BJ18" s="280">
        <f t="shared" si="101"/>
        <v>97.667119565217376</v>
      </c>
      <c r="BK18" s="280">
        <f t="shared" si="102"/>
        <v>292.46431159420291</v>
      </c>
      <c r="BL18" s="280">
        <f t="shared" si="103"/>
        <v>495.51408055712409</v>
      </c>
      <c r="BM18" s="280">
        <f t="shared" si="104"/>
        <v>664.38541666666663</v>
      </c>
      <c r="BN18" s="277"/>
      <c r="BO18" s="279">
        <f t="shared" si="105"/>
        <v>2029</v>
      </c>
      <c r="BP18" s="280">
        <f t="shared" si="106"/>
        <v>690.78750000000002</v>
      </c>
      <c r="BQ18" s="280">
        <f t="shared" si="107"/>
        <v>604.19541666666657</v>
      </c>
      <c r="BR18" s="280">
        <f t="shared" si="108"/>
        <v>534.21590579710141</v>
      </c>
      <c r="BS18" s="280">
        <f t="shared" si="109"/>
        <v>352.92312500000003</v>
      </c>
      <c r="BT18" s="280">
        <f t="shared" si="110"/>
        <v>155.24720841877425</v>
      </c>
      <c r="BU18" s="280">
        <f t="shared" si="111"/>
        <v>30.273840492840492</v>
      </c>
      <c r="BV18" s="280">
        <f t="shared" si="112"/>
        <v>1.0845833333333317</v>
      </c>
      <c r="BW18" s="280">
        <f t="shared" si="113"/>
        <v>6.4245833333333335</v>
      </c>
      <c r="BX18" s="280">
        <f t="shared" si="114"/>
        <v>54.412952898550728</v>
      </c>
      <c r="BY18" s="280">
        <f t="shared" si="115"/>
        <v>232.21431159420285</v>
      </c>
      <c r="BZ18" s="280">
        <f t="shared" si="116"/>
        <v>435.51408055712398</v>
      </c>
      <c r="CA18" s="280">
        <f t="shared" si="117"/>
        <v>602.38541666666674</v>
      </c>
      <c r="CB18" s="354">
        <f t="shared" si="118"/>
        <v>3699.6789247585939</v>
      </c>
      <c r="CC18" s="279">
        <f t="shared" si="119"/>
        <v>2029</v>
      </c>
      <c r="CD18" s="280">
        <f t="shared" si="120"/>
        <v>628.78750000000002</v>
      </c>
      <c r="CE18" s="280">
        <f t="shared" si="121"/>
        <v>547.59541666666655</v>
      </c>
      <c r="CF18" s="280">
        <f t="shared" si="122"/>
        <v>472.21590579710147</v>
      </c>
      <c r="CG18" s="280">
        <f t="shared" si="123"/>
        <v>293.32020833333331</v>
      </c>
      <c r="CH18" s="280">
        <f t="shared" si="124"/>
        <v>107.00363157894738</v>
      </c>
      <c r="CI18" s="280">
        <f t="shared" si="125"/>
        <v>11.150282051282051</v>
      </c>
      <c r="CJ18" s="280">
        <f t="shared" si="126"/>
        <v>7.4583333333333002E-2</v>
      </c>
      <c r="CK18" s="280">
        <f t="shared" si="127"/>
        <v>1.1245833333333339</v>
      </c>
      <c r="CL18" s="280">
        <f t="shared" si="128"/>
        <v>25.797536231884056</v>
      </c>
      <c r="CM18" s="280">
        <f t="shared" si="129"/>
        <v>176.44514492753621</v>
      </c>
      <c r="CN18" s="280">
        <f t="shared" si="130"/>
        <v>375.6644972237907</v>
      </c>
      <c r="CO18" s="280">
        <f t="shared" si="131"/>
        <v>540.38541666666674</v>
      </c>
      <c r="CP18" s="277"/>
      <c r="CQ18" s="279">
        <f t="shared" si="132"/>
        <v>2029</v>
      </c>
      <c r="CR18" s="280">
        <f t="shared" si="133"/>
        <v>566.78750000000002</v>
      </c>
      <c r="CS18" s="280">
        <f t="shared" si="134"/>
        <v>490.99541666666664</v>
      </c>
      <c r="CT18" s="280">
        <f t="shared" si="135"/>
        <v>410.21590579710147</v>
      </c>
      <c r="CU18" s="280">
        <f t="shared" si="136"/>
        <v>235.09104166666671</v>
      </c>
      <c r="CV18" s="280">
        <f t="shared" si="137"/>
        <v>66.98488157894738</v>
      </c>
      <c r="CW18" s="280">
        <f t="shared" si="138"/>
        <v>3.128333333333333</v>
      </c>
      <c r="CX18" s="280">
        <f t="shared" si="139"/>
        <v>0</v>
      </c>
      <c r="CY18" s="280">
        <f t="shared" si="140"/>
        <v>6.5416666666666859E-2</v>
      </c>
      <c r="CZ18" s="280">
        <f t="shared" si="141"/>
        <v>10.085869565217392</v>
      </c>
      <c r="DA18" s="280">
        <f t="shared" si="142"/>
        <v>126.20389492753625</v>
      </c>
      <c r="DB18" s="280">
        <f t="shared" si="143"/>
        <v>316.29533055712409</v>
      </c>
      <c r="DC18" s="280">
        <f t="shared" si="144"/>
        <v>478.38541666666663</v>
      </c>
      <c r="DD18" s="277"/>
      <c r="DE18" s="279">
        <f t="shared" si="145"/>
        <v>2029</v>
      </c>
      <c r="DF18" s="280">
        <f t="shared" si="146"/>
        <v>504.78750000000002</v>
      </c>
      <c r="DG18" s="280">
        <f t="shared" si="147"/>
        <v>434.39541666666673</v>
      </c>
      <c r="DH18" s="280">
        <f t="shared" si="148"/>
        <v>348.24548913043475</v>
      </c>
      <c r="DI18" s="280">
        <f t="shared" si="149"/>
        <v>178.89812499999999</v>
      </c>
      <c r="DJ18" s="280">
        <f t="shared" si="150"/>
        <v>37.553492690058476</v>
      </c>
      <c r="DK18" s="280">
        <f t="shared" si="151"/>
        <v>0.57666666666666677</v>
      </c>
      <c r="DL18" s="280">
        <f t="shared" si="152"/>
        <v>0</v>
      </c>
      <c r="DM18" s="280">
        <f t="shared" si="153"/>
        <v>0</v>
      </c>
      <c r="DN18" s="280">
        <f t="shared" si="154"/>
        <v>2.6637499999999994</v>
      </c>
      <c r="DO18" s="280">
        <f t="shared" si="155"/>
        <v>82.810561594202895</v>
      </c>
      <c r="DP18" s="280">
        <f t="shared" si="156"/>
        <v>257.43824722379065</v>
      </c>
      <c r="DQ18" s="280">
        <f t="shared" si="157"/>
        <v>416.38541666666663</v>
      </c>
      <c r="DR18" s="277"/>
      <c r="DS18" s="279">
        <f t="shared" si="158"/>
        <v>2029</v>
      </c>
      <c r="DT18" s="280">
        <f t="shared" si="159"/>
        <v>442.78750000000002</v>
      </c>
      <c r="DU18" s="280">
        <f t="shared" si="160"/>
        <v>377.79541666666665</v>
      </c>
      <c r="DV18" s="280">
        <f t="shared" si="161"/>
        <v>286.91715579710143</v>
      </c>
      <c r="DW18" s="280">
        <f t="shared" si="162"/>
        <v>126.42270833333332</v>
      </c>
      <c r="DX18" s="280">
        <f t="shared" si="163"/>
        <v>18.584333333333337</v>
      </c>
      <c r="DY18" s="280">
        <f t="shared" si="164"/>
        <v>9.7916666666666957E-2</v>
      </c>
      <c r="DZ18" s="280">
        <f t="shared" si="165"/>
        <v>0</v>
      </c>
      <c r="EA18" s="280">
        <f t="shared" si="166"/>
        <v>0</v>
      </c>
      <c r="EB18" s="280">
        <f t="shared" si="167"/>
        <v>0.57166666666666666</v>
      </c>
      <c r="EC18" s="280">
        <f t="shared" si="168"/>
        <v>48.730978260869563</v>
      </c>
      <c r="ED18" s="280">
        <f t="shared" si="169"/>
        <v>199.96241389045736</v>
      </c>
      <c r="EE18" s="280">
        <f t="shared" si="170"/>
        <v>354.42666666666662</v>
      </c>
      <c r="EF18" s="277"/>
      <c r="EG18" s="279">
        <f t="shared" si="171"/>
        <v>2029</v>
      </c>
      <c r="EH18" s="280">
        <f t="shared" si="172"/>
        <v>380.78750000000002</v>
      </c>
      <c r="EI18" s="280">
        <f t="shared" si="173"/>
        <v>321.33791666666662</v>
      </c>
      <c r="EJ18" s="280">
        <f t="shared" si="174"/>
        <v>227.40798913043483</v>
      </c>
      <c r="EK18" s="280">
        <f t="shared" si="175"/>
        <v>81.619374999999991</v>
      </c>
      <c r="EL18" s="280">
        <f t="shared" si="176"/>
        <v>7.2018333333333331</v>
      </c>
      <c r="EM18" s="280">
        <f t="shared" si="177"/>
        <v>0</v>
      </c>
      <c r="EN18" s="280">
        <f t="shared" si="178"/>
        <v>0</v>
      </c>
      <c r="EO18" s="280">
        <f t="shared" si="179"/>
        <v>0</v>
      </c>
      <c r="EP18" s="280">
        <f t="shared" si="180"/>
        <v>0</v>
      </c>
      <c r="EQ18" s="280">
        <f t="shared" si="181"/>
        <v>23.113061594202897</v>
      </c>
      <c r="ER18" s="280">
        <f t="shared" si="182"/>
        <v>146.08783055712405</v>
      </c>
      <c r="ES18" s="280">
        <f t="shared" si="183"/>
        <v>292.69541666666663</v>
      </c>
      <c r="EU18" s="488"/>
      <c r="EV18" s="488"/>
      <c r="EW18" s="488"/>
      <c r="EX18" s="488"/>
      <c r="EY18" s="488"/>
      <c r="EZ18" s="488"/>
      <c r="FA18" s="488"/>
      <c r="FB18" s="488"/>
      <c r="FC18" s="488"/>
      <c r="FD18" s="488"/>
    </row>
    <row r="19" spans="1:160">
      <c r="A19">
        <v>2015</v>
      </c>
      <c r="B19">
        <v>6</v>
      </c>
      <c r="C19" s="200">
        <v>93.137500000000045</v>
      </c>
      <c r="D19" s="200">
        <v>2.7499999999999964</v>
      </c>
      <c r="E19" s="200">
        <v>44.925000000000004</v>
      </c>
      <c r="F19" s="200">
        <v>14.537499999999991</v>
      </c>
      <c r="G19" s="200">
        <v>17.725000000000009</v>
      </c>
      <c r="H19" s="200">
        <v>47.337499999999999</v>
      </c>
      <c r="I19" s="200">
        <v>5.9875000000000078</v>
      </c>
      <c r="J19" s="200">
        <v>95.599999999999966</v>
      </c>
      <c r="K19" s="200">
        <v>0.6458333333333357</v>
      </c>
      <c r="L19" s="200">
        <v>150.2583333333333</v>
      </c>
      <c r="M19" s="200">
        <v>0</v>
      </c>
      <c r="N19" s="200">
        <v>209.61250000000001</v>
      </c>
      <c r="O19" s="200">
        <v>0</v>
      </c>
      <c r="P19" s="200">
        <v>269.61250000000001</v>
      </c>
      <c r="Q19" s="257">
        <v>16.987083333333334</v>
      </c>
      <c r="S19" s="3"/>
      <c r="T19" s="3"/>
      <c r="U19" s="3"/>
      <c r="V19" s="3"/>
      <c r="W19" s="3"/>
      <c r="X19" s="3"/>
      <c r="Y19" s="3"/>
      <c r="Z19" s="3"/>
      <c r="AA19" s="3"/>
      <c r="AB19" s="3"/>
      <c r="BA19" s="279">
        <f t="shared" ref="BA19:BA20" si="184">BA18+1</f>
        <v>2030</v>
      </c>
      <c r="BB19" s="280">
        <f t="shared" si="93"/>
        <v>752.78750000000002</v>
      </c>
      <c r="BC19" s="280">
        <f t="shared" si="94"/>
        <v>660.7954166666666</v>
      </c>
      <c r="BD19" s="280">
        <f t="shared" si="95"/>
        <v>596.21590579710141</v>
      </c>
      <c r="BE19" s="280">
        <f t="shared" si="96"/>
        <v>412.8885416666667</v>
      </c>
      <c r="BF19" s="280">
        <f t="shared" si="97"/>
        <v>208.90012508544086</v>
      </c>
      <c r="BG19" s="280">
        <f t="shared" si="98"/>
        <v>61.78217382617381</v>
      </c>
      <c r="BH19" s="280">
        <f t="shared" si="99"/>
        <v>8.334479813664597</v>
      </c>
      <c r="BI19" s="280">
        <f t="shared" si="100"/>
        <v>21.054927536231883</v>
      </c>
      <c r="BJ19" s="280">
        <f t="shared" si="101"/>
        <v>97.667119565217376</v>
      </c>
      <c r="BK19" s="280">
        <f t="shared" si="102"/>
        <v>292.46431159420291</v>
      </c>
      <c r="BL19" s="280">
        <f t="shared" si="103"/>
        <v>495.51408055712409</v>
      </c>
      <c r="BM19" s="280">
        <f t="shared" si="104"/>
        <v>664.38541666666663</v>
      </c>
      <c r="BN19" s="277"/>
      <c r="BO19" s="279">
        <f t="shared" si="105"/>
        <v>2030</v>
      </c>
      <c r="BP19" s="280">
        <f t="shared" si="106"/>
        <v>690.78750000000002</v>
      </c>
      <c r="BQ19" s="280">
        <f t="shared" si="107"/>
        <v>604.19541666666657</v>
      </c>
      <c r="BR19" s="280">
        <f t="shared" si="108"/>
        <v>534.21590579710141</v>
      </c>
      <c r="BS19" s="280">
        <f t="shared" si="109"/>
        <v>352.92312500000003</v>
      </c>
      <c r="BT19" s="280">
        <f t="shared" si="110"/>
        <v>155.24720841877425</v>
      </c>
      <c r="BU19" s="280">
        <f t="shared" si="111"/>
        <v>30.273840492840492</v>
      </c>
      <c r="BV19" s="280">
        <f t="shared" si="112"/>
        <v>1.0845833333333317</v>
      </c>
      <c r="BW19" s="280">
        <f t="shared" si="113"/>
        <v>6.4245833333333335</v>
      </c>
      <c r="BX19" s="280">
        <f t="shared" si="114"/>
        <v>54.412952898550728</v>
      </c>
      <c r="BY19" s="280">
        <f t="shared" si="115"/>
        <v>232.21431159420285</v>
      </c>
      <c r="BZ19" s="280">
        <f t="shared" si="116"/>
        <v>435.51408055712398</v>
      </c>
      <c r="CA19" s="280">
        <f t="shared" si="117"/>
        <v>602.38541666666674</v>
      </c>
      <c r="CB19" s="354">
        <f t="shared" si="118"/>
        <v>3699.6789247585939</v>
      </c>
      <c r="CC19" s="279">
        <f t="shared" si="119"/>
        <v>2030</v>
      </c>
      <c r="CD19" s="280">
        <f t="shared" si="120"/>
        <v>628.78750000000002</v>
      </c>
      <c r="CE19" s="280">
        <f t="shared" si="121"/>
        <v>547.59541666666655</v>
      </c>
      <c r="CF19" s="280">
        <f t="shared" si="122"/>
        <v>472.21590579710147</v>
      </c>
      <c r="CG19" s="280">
        <f t="shared" si="123"/>
        <v>293.32020833333331</v>
      </c>
      <c r="CH19" s="280">
        <f t="shared" si="124"/>
        <v>107.00363157894738</v>
      </c>
      <c r="CI19" s="280">
        <f t="shared" si="125"/>
        <v>11.150282051282051</v>
      </c>
      <c r="CJ19" s="280">
        <f t="shared" si="126"/>
        <v>7.4583333333333002E-2</v>
      </c>
      <c r="CK19" s="280">
        <f t="shared" si="127"/>
        <v>1.1245833333333339</v>
      </c>
      <c r="CL19" s="280">
        <f t="shared" si="128"/>
        <v>25.797536231884056</v>
      </c>
      <c r="CM19" s="280">
        <f t="shared" si="129"/>
        <v>176.44514492753621</v>
      </c>
      <c r="CN19" s="280">
        <f t="shared" si="130"/>
        <v>375.6644972237907</v>
      </c>
      <c r="CO19" s="280">
        <f t="shared" si="131"/>
        <v>540.38541666666674</v>
      </c>
      <c r="CP19" s="277"/>
      <c r="CQ19" s="279">
        <f t="shared" si="132"/>
        <v>2030</v>
      </c>
      <c r="CR19" s="280">
        <f t="shared" si="133"/>
        <v>566.78750000000002</v>
      </c>
      <c r="CS19" s="280">
        <f t="shared" si="134"/>
        <v>490.99541666666664</v>
      </c>
      <c r="CT19" s="280">
        <f t="shared" si="135"/>
        <v>410.21590579710147</v>
      </c>
      <c r="CU19" s="280">
        <f t="shared" si="136"/>
        <v>235.09104166666671</v>
      </c>
      <c r="CV19" s="280">
        <f t="shared" si="137"/>
        <v>66.98488157894738</v>
      </c>
      <c r="CW19" s="280">
        <f t="shared" si="138"/>
        <v>3.128333333333333</v>
      </c>
      <c r="CX19" s="280">
        <f t="shared" si="139"/>
        <v>0</v>
      </c>
      <c r="CY19" s="280">
        <f t="shared" si="140"/>
        <v>6.5416666666666859E-2</v>
      </c>
      <c r="CZ19" s="280">
        <f t="shared" si="141"/>
        <v>10.085869565217392</v>
      </c>
      <c r="DA19" s="280">
        <f t="shared" si="142"/>
        <v>126.20389492753625</v>
      </c>
      <c r="DB19" s="280">
        <f t="shared" si="143"/>
        <v>316.29533055712409</v>
      </c>
      <c r="DC19" s="280">
        <f t="shared" si="144"/>
        <v>478.38541666666663</v>
      </c>
      <c r="DD19" s="277"/>
      <c r="DE19" s="279">
        <f t="shared" si="145"/>
        <v>2030</v>
      </c>
      <c r="DF19" s="280">
        <f t="shared" si="146"/>
        <v>504.78750000000002</v>
      </c>
      <c r="DG19" s="280">
        <f t="shared" si="147"/>
        <v>434.39541666666673</v>
      </c>
      <c r="DH19" s="280">
        <f t="shared" si="148"/>
        <v>348.24548913043475</v>
      </c>
      <c r="DI19" s="280">
        <f t="shared" si="149"/>
        <v>178.89812499999999</v>
      </c>
      <c r="DJ19" s="280">
        <f t="shared" si="150"/>
        <v>37.553492690058476</v>
      </c>
      <c r="DK19" s="280">
        <f t="shared" si="151"/>
        <v>0.57666666666666677</v>
      </c>
      <c r="DL19" s="280">
        <f t="shared" si="152"/>
        <v>0</v>
      </c>
      <c r="DM19" s="280">
        <f t="shared" si="153"/>
        <v>0</v>
      </c>
      <c r="DN19" s="280">
        <f t="shared" si="154"/>
        <v>2.6637499999999994</v>
      </c>
      <c r="DO19" s="280">
        <f t="shared" si="155"/>
        <v>82.810561594202895</v>
      </c>
      <c r="DP19" s="280">
        <f t="shared" si="156"/>
        <v>257.43824722379065</v>
      </c>
      <c r="DQ19" s="280">
        <f t="shared" si="157"/>
        <v>416.38541666666663</v>
      </c>
      <c r="DR19" s="277"/>
      <c r="DS19" s="279">
        <f t="shared" si="158"/>
        <v>2030</v>
      </c>
      <c r="DT19" s="280">
        <f t="shared" si="159"/>
        <v>442.78750000000002</v>
      </c>
      <c r="DU19" s="280">
        <f t="shared" si="160"/>
        <v>377.79541666666665</v>
      </c>
      <c r="DV19" s="280">
        <f t="shared" si="161"/>
        <v>286.91715579710143</v>
      </c>
      <c r="DW19" s="280">
        <f t="shared" si="162"/>
        <v>126.42270833333332</v>
      </c>
      <c r="DX19" s="280">
        <f t="shared" si="163"/>
        <v>18.584333333333337</v>
      </c>
      <c r="DY19" s="280">
        <f t="shared" si="164"/>
        <v>9.7916666666666957E-2</v>
      </c>
      <c r="DZ19" s="280">
        <f t="shared" si="165"/>
        <v>0</v>
      </c>
      <c r="EA19" s="280">
        <f t="shared" si="166"/>
        <v>0</v>
      </c>
      <c r="EB19" s="280">
        <f t="shared" si="167"/>
        <v>0.57166666666666666</v>
      </c>
      <c r="EC19" s="280">
        <f t="shared" si="168"/>
        <v>48.730978260869563</v>
      </c>
      <c r="ED19" s="280">
        <f t="shared" si="169"/>
        <v>199.96241389045736</v>
      </c>
      <c r="EE19" s="280">
        <f t="shared" si="170"/>
        <v>354.42666666666662</v>
      </c>
      <c r="EF19" s="277"/>
      <c r="EG19" s="279">
        <f t="shared" si="171"/>
        <v>2030</v>
      </c>
      <c r="EH19" s="280">
        <f t="shared" si="172"/>
        <v>380.78750000000002</v>
      </c>
      <c r="EI19" s="280">
        <f t="shared" si="173"/>
        <v>321.33791666666662</v>
      </c>
      <c r="EJ19" s="280">
        <f t="shared" si="174"/>
        <v>227.40798913043483</v>
      </c>
      <c r="EK19" s="280">
        <f t="shared" si="175"/>
        <v>81.619374999999991</v>
      </c>
      <c r="EL19" s="280">
        <f t="shared" si="176"/>
        <v>7.2018333333333331</v>
      </c>
      <c r="EM19" s="280">
        <f t="shared" si="177"/>
        <v>0</v>
      </c>
      <c r="EN19" s="280">
        <f t="shared" si="178"/>
        <v>0</v>
      </c>
      <c r="EO19" s="280">
        <f t="shared" si="179"/>
        <v>0</v>
      </c>
      <c r="EP19" s="280">
        <f t="shared" si="180"/>
        <v>0</v>
      </c>
      <c r="EQ19" s="280">
        <f t="shared" si="181"/>
        <v>23.113061594202897</v>
      </c>
      <c r="ER19" s="280">
        <f t="shared" si="182"/>
        <v>146.08783055712405</v>
      </c>
      <c r="ES19" s="280">
        <f t="shared" si="183"/>
        <v>292.69541666666663</v>
      </c>
      <c r="EU19" s="488"/>
      <c r="EV19" s="488"/>
      <c r="EW19" s="488"/>
      <c r="EX19" s="488"/>
      <c r="EY19" s="488"/>
      <c r="EZ19" s="488"/>
      <c r="FA19" s="488"/>
      <c r="FB19" s="488"/>
      <c r="FC19" s="488"/>
      <c r="FD19" s="488"/>
    </row>
    <row r="20" spans="1:160">
      <c r="A20">
        <v>2015</v>
      </c>
      <c r="B20">
        <v>7</v>
      </c>
      <c r="C20" s="200">
        <v>25.987500000000004</v>
      </c>
      <c r="D20" s="200">
        <v>45.524999999999991</v>
      </c>
      <c r="E20" s="200">
        <v>6.0874999999999986</v>
      </c>
      <c r="F20" s="200">
        <v>87.624999999999986</v>
      </c>
      <c r="G20" s="200">
        <v>0</v>
      </c>
      <c r="H20" s="200">
        <v>143.53749999999999</v>
      </c>
      <c r="I20" s="200">
        <v>0</v>
      </c>
      <c r="J20" s="200">
        <v>205.53749999999997</v>
      </c>
      <c r="K20" s="200">
        <v>0</v>
      </c>
      <c r="L20" s="200">
        <v>267.53749999999997</v>
      </c>
      <c r="M20" s="200">
        <v>0</v>
      </c>
      <c r="N20" s="200">
        <v>329.53750000000002</v>
      </c>
      <c r="O20" s="200">
        <v>0</v>
      </c>
      <c r="P20" s="200">
        <v>391.53750000000014</v>
      </c>
      <c r="Q20" s="257">
        <v>20.63024193548387</v>
      </c>
      <c r="S20" s="3"/>
      <c r="T20" s="3"/>
      <c r="U20" s="3"/>
      <c r="V20" s="3"/>
      <c r="W20" s="3"/>
      <c r="X20" s="3"/>
      <c r="Y20" s="3"/>
      <c r="Z20" s="3"/>
      <c r="AA20" s="3"/>
      <c r="AB20" s="3"/>
      <c r="BA20" s="279">
        <f t="shared" si="184"/>
        <v>2031</v>
      </c>
      <c r="BB20" s="280">
        <f t="shared" si="93"/>
        <v>752.78750000000002</v>
      </c>
      <c r="BC20" s="280">
        <f t="shared" si="94"/>
        <v>660.7954166666666</v>
      </c>
      <c r="BD20" s="280">
        <f t="shared" si="95"/>
        <v>596.21590579710141</v>
      </c>
      <c r="BE20" s="280">
        <f t="shared" si="96"/>
        <v>412.8885416666667</v>
      </c>
      <c r="BF20" s="280">
        <f t="shared" si="97"/>
        <v>208.90012508544086</v>
      </c>
      <c r="BG20" s="280">
        <f t="shared" si="98"/>
        <v>61.78217382617381</v>
      </c>
      <c r="BH20" s="280">
        <f t="shared" si="99"/>
        <v>8.334479813664597</v>
      </c>
      <c r="BI20" s="280">
        <f t="shared" si="100"/>
        <v>21.054927536231883</v>
      </c>
      <c r="BJ20" s="280">
        <f t="shared" si="101"/>
        <v>97.667119565217376</v>
      </c>
      <c r="BK20" s="280">
        <f t="shared" si="102"/>
        <v>292.46431159420291</v>
      </c>
      <c r="BL20" s="280">
        <f t="shared" si="103"/>
        <v>495.51408055712409</v>
      </c>
      <c r="BM20" s="280">
        <f t="shared" si="104"/>
        <v>664.38541666666663</v>
      </c>
      <c r="BN20" s="277"/>
      <c r="BO20" s="279">
        <f t="shared" si="105"/>
        <v>2031</v>
      </c>
      <c r="BP20" s="280">
        <f t="shared" si="106"/>
        <v>690.78750000000002</v>
      </c>
      <c r="BQ20" s="280">
        <f t="shared" si="107"/>
        <v>604.19541666666657</v>
      </c>
      <c r="BR20" s="280">
        <f t="shared" si="108"/>
        <v>534.21590579710141</v>
      </c>
      <c r="BS20" s="280">
        <f t="shared" si="109"/>
        <v>352.92312500000003</v>
      </c>
      <c r="BT20" s="280">
        <f t="shared" si="110"/>
        <v>155.24720841877425</v>
      </c>
      <c r="BU20" s="280">
        <f t="shared" si="111"/>
        <v>30.273840492840492</v>
      </c>
      <c r="BV20" s="280">
        <f t="shared" si="112"/>
        <v>1.0845833333333317</v>
      </c>
      <c r="BW20" s="280">
        <f t="shared" si="113"/>
        <v>6.4245833333333335</v>
      </c>
      <c r="BX20" s="280">
        <f t="shared" si="114"/>
        <v>54.412952898550728</v>
      </c>
      <c r="BY20" s="280">
        <f t="shared" si="115"/>
        <v>232.21431159420285</v>
      </c>
      <c r="BZ20" s="280">
        <f t="shared" si="116"/>
        <v>435.51408055712398</v>
      </c>
      <c r="CA20" s="280">
        <f t="shared" si="117"/>
        <v>602.38541666666674</v>
      </c>
      <c r="CB20" s="354">
        <f t="shared" si="118"/>
        <v>3699.6789247585939</v>
      </c>
      <c r="CC20" s="279">
        <f t="shared" si="119"/>
        <v>2031</v>
      </c>
      <c r="CD20" s="280">
        <f t="shared" si="120"/>
        <v>628.78750000000002</v>
      </c>
      <c r="CE20" s="280">
        <f t="shared" si="121"/>
        <v>547.59541666666655</v>
      </c>
      <c r="CF20" s="280">
        <f t="shared" si="122"/>
        <v>472.21590579710147</v>
      </c>
      <c r="CG20" s="280">
        <f t="shared" si="123"/>
        <v>293.32020833333331</v>
      </c>
      <c r="CH20" s="280">
        <f t="shared" si="124"/>
        <v>107.00363157894738</v>
      </c>
      <c r="CI20" s="280">
        <f t="shared" si="125"/>
        <v>11.150282051282051</v>
      </c>
      <c r="CJ20" s="280">
        <f t="shared" si="126"/>
        <v>7.4583333333333002E-2</v>
      </c>
      <c r="CK20" s="280">
        <f t="shared" si="127"/>
        <v>1.1245833333333339</v>
      </c>
      <c r="CL20" s="280">
        <f t="shared" si="128"/>
        <v>25.797536231884056</v>
      </c>
      <c r="CM20" s="280">
        <f t="shared" si="129"/>
        <v>176.44514492753621</v>
      </c>
      <c r="CN20" s="280">
        <f t="shared" si="130"/>
        <v>375.6644972237907</v>
      </c>
      <c r="CO20" s="280">
        <f t="shared" si="131"/>
        <v>540.38541666666674</v>
      </c>
      <c r="CP20" s="277"/>
      <c r="CQ20" s="279">
        <f t="shared" si="132"/>
        <v>2031</v>
      </c>
      <c r="CR20" s="280">
        <f t="shared" si="133"/>
        <v>566.78750000000002</v>
      </c>
      <c r="CS20" s="280">
        <f t="shared" si="134"/>
        <v>490.99541666666664</v>
      </c>
      <c r="CT20" s="280">
        <f t="shared" si="135"/>
        <v>410.21590579710147</v>
      </c>
      <c r="CU20" s="280">
        <f t="shared" si="136"/>
        <v>235.09104166666671</v>
      </c>
      <c r="CV20" s="280">
        <f t="shared" si="137"/>
        <v>66.98488157894738</v>
      </c>
      <c r="CW20" s="280">
        <f t="shared" si="138"/>
        <v>3.128333333333333</v>
      </c>
      <c r="CX20" s="280">
        <f t="shared" si="139"/>
        <v>0</v>
      </c>
      <c r="CY20" s="280">
        <f t="shared" si="140"/>
        <v>6.5416666666666859E-2</v>
      </c>
      <c r="CZ20" s="280">
        <f t="shared" si="141"/>
        <v>10.085869565217392</v>
      </c>
      <c r="DA20" s="280">
        <f t="shared" si="142"/>
        <v>126.20389492753625</v>
      </c>
      <c r="DB20" s="280">
        <f t="shared" si="143"/>
        <v>316.29533055712409</v>
      </c>
      <c r="DC20" s="280">
        <f t="shared" si="144"/>
        <v>478.38541666666663</v>
      </c>
      <c r="DD20" s="277"/>
      <c r="DE20" s="279">
        <f t="shared" si="145"/>
        <v>2031</v>
      </c>
      <c r="DF20" s="280">
        <f t="shared" si="146"/>
        <v>504.78750000000002</v>
      </c>
      <c r="DG20" s="280">
        <f t="shared" si="147"/>
        <v>434.39541666666673</v>
      </c>
      <c r="DH20" s="280">
        <f t="shared" si="148"/>
        <v>348.24548913043475</v>
      </c>
      <c r="DI20" s="280">
        <f t="shared" si="149"/>
        <v>178.89812499999999</v>
      </c>
      <c r="DJ20" s="280">
        <f t="shared" si="150"/>
        <v>37.553492690058476</v>
      </c>
      <c r="DK20" s="280">
        <f t="shared" si="151"/>
        <v>0.57666666666666677</v>
      </c>
      <c r="DL20" s="280">
        <f t="shared" si="152"/>
        <v>0</v>
      </c>
      <c r="DM20" s="280">
        <f t="shared" si="153"/>
        <v>0</v>
      </c>
      <c r="DN20" s="280">
        <f t="shared" si="154"/>
        <v>2.6637499999999994</v>
      </c>
      <c r="DO20" s="280">
        <f t="shared" si="155"/>
        <v>82.810561594202895</v>
      </c>
      <c r="DP20" s="280">
        <f t="shared" si="156"/>
        <v>257.43824722379065</v>
      </c>
      <c r="DQ20" s="280">
        <f t="shared" si="157"/>
        <v>416.38541666666663</v>
      </c>
      <c r="DR20" s="277"/>
      <c r="DS20" s="279">
        <f t="shared" si="158"/>
        <v>2031</v>
      </c>
      <c r="DT20" s="280">
        <f t="shared" si="159"/>
        <v>442.78750000000002</v>
      </c>
      <c r="DU20" s="280">
        <f t="shared" si="160"/>
        <v>377.79541666666665</v>
      </c>
      <c r="DV20" s="280">
        <f t="shared" si="161"/>
        <v>286.91715579710143</v>
      </c>
      <c r="DW20" s="280">
        <f t="shared" si="162"/>
        <v>126.42270833333332</v>
      </c>
      <c r="DX20" s="280">
        <f t="shared" si="163"/>
        <v>18.584333333333337</v>
      </c>
      <c r="DY20" s="280">
        <f t="shared" si="164"/>
        <v>9.7916666666666957E-2</v>
      </c>
      <c r="DZ20" s="280">
        <f t="shared" si="165"/>
        <v>0</v>
      </c>
      <c r="EA20" s="280">
        <f t="shared" si="166"/>
        <v>0</v>
      </c>
      <c r="EB20" s="280">
        <f t="shared" si="167"/>
        <v>0.57166666666666666</v>
      </c>
      <c r="EC20" s="280">
        <f t="shared" si="168"/>
        <v>48.730978260869563</v>
      </c>
      <c r="ED20" s="280">
        <f t="shared" si="169"/>
        <v>199.96241389045736</v>
      </c>
      <c r="EE20" s="280">
        <f t="shared" si="170"/>
        <v>354.42666666666662</v>
      </c>
      <c r="EF20" s="277"/>
      <c r="EG20" s="279">
        <f t="shared" si="171"/>
        <v>2031</v>
      </c>
      <c r="EH20" s="280">
        <f t="shared" si="172"/>
        <v>380.78750000000002</v>
      </c>
      <c r="EI20" s="280">
        <f t="shared" si="173"/>
        <v>321.33791666666662</v>
      </c>
      <c r="EJ20" s="280">
        <f t="shared" si="174"/>
        <v>227.40798913043483</v>
      </c>
      <c r="EK20" s="280">
        <f t="shared" si="175"/>
        <v>81.619374999999991</v>
      </c>
      <c r="EL20" s="280">
        <f t="shared" si="176"/>
        <v>7.2018333333333331</v>
      </c>
      <c r="EM20" s="280">
        <f t="shared" si="177"/>
        <v>0</v>
      </c>
      <c r="EN20" s="280">
        <f t="shared" si="178"/>
        <v>0</v>
      </c>
      <c r="EO20" s="280">
        <f t="shared" si="179"/>
        <v>0</v>
      </c>
      <c r="EP20" s="280">
        <f t="shared" si="180"/>
        <v>0</v>
      </c>
      <c r="EQ20" s="280">
        <f t="shared" si="181"/>
        <v>23.113061594202897</v>
      </c>
      <c r="ER20" s="280">
        <f t="shared" si="182"/>
        <v>146.08783055712405</v>
      </c>
      <c r="ES20" s="280">
        <f t="shared" si="183"/>
        <v>292.69541666666663</v>
      </c>
      <c r="EU20" s="488"/>
      <c r="EV20" s="488"/>
      <c r="EW20" s="488"/>
      <c r="EX20" s="488"/>
      <c r="EY20" s="488"/>
      <c r="EZ20" s="488"/>
      <c r="FA20" s="488"/>
      <c r="FB20" s="488"/>
      <c r="FC20" s="488"/>
      <c r="FD20" s="488"/>
    </row>
    <row r="21" spans="1:160">
      <c r="A21">
        <v>2015</v>
      </c>
      <c r="B21">
        <v>8</v>
      </c>
      <c r="C21" s="200">
        <v>40.1875</v>
      </c>
      <c r="D21" s="200">
        <v>22.12916666666667</v>
      </c>
      <c r="E21" s="200">
        <v>9.4166666666666572</v>
      </c>
      <c r="F21" s="200">
        <v>53.358333333333334</v>
      </c>
      <c r="G21" s="200">
        <v>0.49166666666666714</v>
      </c>
      <c r="H21" s="200">
        <v>106.43333333333335</v>
      </c>
      <c r="I21" s="200">
        <v>0</v>
      </c>
      <c r="J21" s="200">
        <v>167.94166666666666</v>
      </c>
      <c r="K21" s="200">
        <v>0</v>
      </c>
      <c r="L21" s="200">
        <v>229.94166666666666</v>
      </c>
      <c r="M21" s="200">
        <v>0</v>
      </c>
      <c r="N21" s="200">
        <v>291.94166666666666</v>
      </c>
      <c r="O21" s="200">
        <v>0</v>
      </c>
      <c r="P21" s="200">
        <v>353.94166666666678</v>
      </c>
      <c r="Q21" s="257">
        <v>19.41747311827957</v>
      </c>
      <c r="S21" s="3"/>
      <c r="T21" s="3"/>
      <c r="U21" s="3"/>
      <c r="V21" s="3"/>
      <c r="W21" s="3"/>
      <c r="X21" s="3"/>
      <c r="Y21" s="3"/>
      <c r="Z21" s="3"/>
      <c r="AA21" s="3"/>
      <c r="AB21" s="3"/>
      <c r="BA21" s="277"/>
      <c r="BB21" s="277"/>
      <c r="BC21" s="277"/>
      <c r="BD21" s="277"/>
      <c r="BE21" s="277"/>
      <c r="BF21" s="277"/>
      <c r="BG21" s="277"/>
      <c r="BH21" s="277"/>
      <c r="BI21" s="277"/>
      <c r="BJ21" s="277"/>
      <c r="BK21" s="277"/>
      <c r="BL21" s="277"/>
      <c r="BM21" s="277"/>
      <c r="BN21" s="277"/>
      <c r="BO21" s="277"/>
      <c r="BP21" s="277"/>
      <c r="BQ21" s="277"/>
      <c r="BR21" s="277"/>
      <c r="BS21" s="277"/>
      <c r="BT21" s="277"/>
      <c r="BU21" s="277"/>
      <c r="BV21" s="277"/>
      <c r="BW21" s="277"/>
      <c r="BX21" s="277"/>
      <c r="BY21" s="277"/>
      <c r="BZ21" s="277"/>
      <c r="CA21" s="277"/>
      <c r="CB21" s="277"/>
      <c r="CC21" s="277"/>
      <c r="CD21" s="277"/>
      <c r="CE21" s="277"/>
      <c r="CF21" s="277"/>
      <c r="CG21" s="277"/>
      <c r="CH21" s="277"/>
      <c r="CI21" s="277"/>
      <c r="CJ21" s="277"/>
      <c r="CK21" s="277"/>
      <c r="CL21" s="277"/>
      <c r="CM21" s="277"/>
      <c r="CN21" s="277"/>
      <c r="CO21" s="277"/>
      <c r="CP21" s="277"/>
      <c r="CQ21" s="277"/>
      <c r="CR21" s="277"/>
      <c r="CS21" s="277"/>
      <c r="CT21" s="277"/>
      <c r="CU21" s="277"/>
      <c r="CV21" s="277"/>
      <c r="CW21" s="277"/>
      <c r="CX21" s="277"/>
      <c r="CY21" s="277"/>
      <c r="CZ21" s="277"/>
      <c r="DA21" s="277"/>
      <c r="DB21" s="277"/>
      <c r="DC21" s="277"/>
      <c r="DD21" s="277"/>
      <c r="DE21" s="277"/>
      <c r="DF21" s="277"/>
      <c r="DG21" s="277"/>
      <c r="DH21" s="277"/>
      <c r="DI21" s="277"/>
      <c r="DJ21" s="277"/>
      <c r="DK21" s="277"/>
      <c r="DL21" s="277"/>
      <c r="DM21" s="277"/>
      <c r="DN21" s="277"/>
      <c r="DO21" s="277"/>
      <c r="DP21" s="277"/>
      <c r="DQ21" s="277"/>
      <c r="DR21" s="277"/>
      <c r="DS21" s="277"/>
      <c r="DT21" s="277"/>
      <c r="DU21" s="277"/>
      <c r="DV21" s="277"/>
      <c r="DW21" s="277"/>
      <c r="DX21" s="277"/>
      <c r="DY21" s="277"/>
      <c r="DZ21" s="277"/>
      <c r="EA21" s="277"/>
      <c r="EB21" s="277"/>
      <c r="EC21" s="277"/>
      <c r="ED21" s="277"/>
      <c r="EE21" s="277"/>
      <c r="EF21" s="277"/>
      <c r="EG21" s="277"/>
      <c r="EH21" s="277"/>
      <c r="EI21" s="277"/>
      <c r="EJ21" s="277"/>
      <c r="EK21" s="277"/>
      <c r="EL21" s="277"/>
      <c r="EM21" s="277"/>
      <c r="EN21" s="277"/>
      <c r="EO21" s="277"/>
      <c r="EP21" s="277"/>
      <c r="EQ21" s="277"/>
      <c r="ER21" s="277"/>
      <c r="ES21" s="277"/>
      <c r="EU21" s="488"/>
      <c r="EV21" s="488"/>
      <c r="EW21" s="488"/>
      <c r="EX21" s="488"/>
      <c r="EY21" s="488"/>
      <c r="EZ21" s="488"/>
      <c r="FA21" s="488"/>
      <c r="FB21" s="488"/>
      <c r="FC21" s="488"/>
      <c r="FD21" s="488"/>
    </row>
    <row r="22" spans="1:160">
      <c r="A22">
        <v>2015</v>
      </c>
      <c r="B22">
        <v>9</v>
      </c>
      <c r="C22" s="200">
        <v>78.99404761904762</v>
      </c>
      <c r="D22" s="200">
        <v>27.916666666666675</v>
      </c>
      <c r="E22" s="200">
        <v>42.631547619047623</v>
      </c>
      <c r="F22" s="200">
        <v>51.55416666666666</v>
      </c>
      <c r="G22" s="200">
        <v>18.695833333333333</v>
      </c>
      <c r="H22" s="200">
        <v>87.618452380952391</v>
      </c>
      <c r="I22" s="200">
        <v>6.0041666666666682</v>
      </c>
      <c r="J22" s="200">
        <v>134.9267857142857</v>
      </c>
      <c r="K22" s="200">
        <v>3.7500000000001421E-2</v>
      </c>
      <c r="L22" s="200">
        <v>188.96011904761906</v>
      </c>
      <c r="M22" s="200">
        <v>0</v>
      </c>
      <c r="N22" s="200">
        <v>248.92261904761907</v>
      </c>
      <c r="O22" s="200">
        <v>0</v>
      </c>
      <c r="P22" s="200">
        <v>308.92261904761898</v>
      </c>
      <c r="Q22" s="257">
        <v>18.297420634920634</v>
      </c>
      <c r="S22" s="3"/>
      <c r="T22" s="3"/>
      <c r="U22" s="3"/>
      <c r="V22" s="3"/>
      <c r="W22" s="3"/>
      <c r="X22" s="3"/>
      <c r="Y22" s="3"/>
      <c r="Z22" s="3"/>
      <c r="AA22" s="3"/>
      <c r="AB22" s="3"/>
      <c r="BA22" s="275" t="str">
        <f>D1</f>
        <v>CDD20</v>
      </c>
      <c r="BB22" s="276" t="s">
        <v>147</v>
      </c>
      <c r="BC22" s="276" t="s">
        <v>148</v>
      </c>
      <c r="BD22" s="276" t="s">
        <v>149</v>
      </c>
      <c r="BE22" s="276" t="s">
        <v>150</v>
      </c>
      <c r="BF22" s="276" t="s">
        <v>151</v>
      </c>
      <c r="BG22" s="276" t="s">
        <v>212</v>
      </c>
      <c r="BH22" s="276" t="s">
        <v>213</v>
      </c>
      <c r="BI22" s="276" t="s">
        <v>214</v>
      </c>
      <c r="BJ22" s="276" t="s">
        <v>155</v>
      </c>
      <c r="BK22" s="276" t="s">
        <v>156</v>
      </c>
      <c r="BL22" s="276" t="s">
        <v>157</v>
      </c>
      <c r="BM22" s="276" t="s">
        <v>158</v>
      </c>
      <c r="BN22" s="277"/>
      <c r="BO22" s="275" t="str">
        <f>F1</f>
        <v>CDD18</v>
      </c>
      <c r="BP22" s="276" t="s">
        <v>147</v>
      </c>
      <c r="BQ22" s="276" t="s">
        <v>148</v>
      </c>
      <c r="BR22" s="276" t="s">
        <v>149</v>
      </c>
      <c r="BS22" s="276" t="s">
        <v>150</v>
      </c>
      <c r="BT22" s="276" t="s">
        <v>151</v>
      </c>
      <c r="BU22" s="276" t="s">
        <v>212</v>
      </c>
      <c r="BV22" s="276" t="s">
        <v>213</v>
      </c>
      <c r="BW22" s="276" t="s">
        <v>214</v>
      </c>
      <c r="BX22" s="276" t="s">
        <v>155</v>
      </c>
      <c r="BY22" s="276" t="s">
        <v>156</v>
      </c>
      <c r="BZ22" s="276" t="s">
        <v>157</v>
      </c>
      <c r="CA22" s="276" t="s">
        <v>158</v>
      </c>
      <c r="CB22" s="277"/>
      <c r="CC22" s="275" t="str">
        <f>H1</f>
        <v>CDD16</v>
      </c>
      <c r="CD22" s="276" t="s">
        <v>147</v>
      </c>
      <c r="CE22" s="276" t="s">
        <v>148</v>
      </c>
      <c r="CF22" s="276" t="s">
        <v>149</v>
      </c>
      <c r="CG22" s="276" t="s">
        <v>150</v>
      </c>
      <c r="CH22" s="276" t="s">
        <v>151</v>
      </c>
      <c r="CI22" s="276" t="s">
        <v>212</v>
      </c>
      <c r="CJ22" s="276" t="s">
        <v>213</v>
      </c>
      <c r="CK22" s="276" t="s">
        <v>214</v>
      </c>
      <c r="CL22" s="276" t="s">
        <v>155</v>
      </c>
      <c r="CM22" s="276" t="s">
        <v>156</v>
      </c>
      <c r="CN22" s="276" t="s">
        <v>157</v>
      </c>
      <c r="CO22" s="276" t="s">
        <v>158</v>
      </c>
      <c r="CP22" s="277"/>
      <c r="CQ22" s="275" t="str">
        <f>J1</f>
        <v>CDD14</v>
      </c>
      <c r="CR22" s="276" t="s">
        <v>147</v>
      </c>
      <c r="CS22" s="276" t="s">
        <v>148</v>
      </c>
      <c r="CT22" s="276" t="s">
        <v>149</v>
      </c>
      <c r="CU22" s="276" t="s">
        <v>150</v>
      </c>
      <c r="CV22" s="276" t="s">
        <v>151</v>
      </c>
      <c r="CW22" s="276" t="s">
        <v>212</v>
      </c>
      <c r="CX22" s="276" t="s">
        <v>213</v>
      </c>
      <c r="CY22" s="276" t="s">
        <v>214</v>
      </c>
      <c r="CZ22" s="276" t="s">
        <v>155</v>
      </c>
      <c r="DA22" s="276" t="s">
        <v>156</v>
      </c>
      <c r="DB22" s="276" t="s">
        <v>157</v>
      </c>
      <c r="DC22" s="276" t="s">
        <v>158</v>
      </c>
      <c r="DD22" s="277"/>
      <c r="DE22" s="275" t="str">
        <f>L1</f>
        <v>CDD12</v>
      </c>
      <c r="DF22" s="276" t="s">
        <v>147</v>
      </c>
      <c r="DG22" s="276" t="s">
        <v>148</v>
      </c>
      <c r="DH22" s="276" t="s">
        <v>149</v>
      </c>
      <c r="DI22" s="276" t="s">
        <v>150</v>
      </c>
      <c r="DJ22" s="276" t="s">
        <v>151</v>
      </c>
      <c r="DK22" s="276" t="s">
        <v>212</v>
      </c>
      <c r="DL22" s="276" t="s">
        <v>213</v>
      </c>
      <c r="DM22" s="276" t="s">
        <v>214</v>
      </c>
      <c r="DN22" s="276" t="s">
        <v>155</v>
      </c>
      <c r="DO22" s="276" t="s">
        <v>156</v>
      </c>
      <c r="DP22" s="276" t="s">
        <v>157</v>
      </c>
      <c r="DQ22" s="276" t="s">
        <v>158</v>
      </c>
      <c r="DR22" s="277"/>
      <c r="DS22" s="275" t="str">
        <f>N1</f>
        <v>CDD10</v>
      </c>
      <c r="DT22" s="276" t="s">
        <v>147</v>
      </c>
      <c r="DU22" s="276" t="s">
        <v>148</v>
      </c>
      <c r="DV22" s="276" t="s">
        <v>149</v>
      </c>
      <c r="DW22" s="276" t="s">
        <v>150</v>
      </c>
      <c r="DX22" s="276" t="s">
        <v>151</v>
      </c>
      <c r="DY22" s="276" t="s">
        <v>212</v>
      </c>
      <c r="DZ22" s="276" t="s">
        <v>213</v>
      </c>
      <c r="EA22" s="276" t="s">
        <v>214</v>
      </c>
      <c r="EB22" s="276" t="s">
        <v>155</v>
      </c>
      <c r="EC22" s="276" t="s">
        <v>156</v>
      </c>
      <c r="ED22" s="276" t="s">
        <v>157</v>
      </c>
      <c r="EE22" s="276" t="s">
        <v>158</v>
      </c>
      <c r="EF22" s="277"/>
      <c r="EG22" s="275" t="str">
        <f>P1</f>
        <v>CDD8</v>
      </c>
      <c r="EH22" s="276" t="s">
        <v>147</v>
      </c>
      <c r="EI22" s="276" t="s">
        <v>148</v>
      </c>
      <c r="EJ22" s="276" t="s">
        <v>149</v>
      </c>
      <c r="EK22" s="276" t="s">
        <v>150</v>
      </c>
      <c r="EL22" s="276" t="s">
        <v>151</v>
      </c>
      <c r="EM22" s="276" t="s">
        <v>212</v>
      </c>
      <c r="EN22" s="276" t="s">
        <v>213</v>
      </c>
      <c r="EO22" s="276" t="s">
        <v>214</v>
      </c>
      <c r="EP22" s="276" t="s">
        <v>155</v>
      </c>
      <c r="EQ22" s="276" t="s">
        <v>156</v>
      </c>
      <c r="ER22" s="276" t="s">
        <v>157</v>
      </c>
      <c r="ES22" s="276" t="s">
        <v>158</v>
      </c>
      <c r="EU22" s="488"/>
      <c r="EV22" s="488"/>
      <c r="EW22" s="488"/>
      <c r="EX22" s="488"/>
      <c r="EY22" s="488"/>
      <c r="EZ22" s="488"/>
      <c r="FA22" s="488"/>
      <c r="FB22" s="488"/>
      <c r="FC22" s="488"/>
      <c r="FD22" s="488"/>
    </row>
    <row r="23" spans="1:160">
      <c r="A23">
        <v>2015</v>
      </c>
      <c r="B23">
        <v>10</v>
      </c>
      <c r="C23" s="200">
        <v>338.98750000000007</v>
      </c>
      <c r="D23" s="200">
        <v>0</v>
      </c>
      <c r="E23" s="200">
        <v>276.98750000000001</v>
      </c>
      <c r="F23" s="200">
        <v>0</v>
      </c>
      <c r="G23" s="200">
        <v>215.98749999999998</v>
      </c>
      <c r="H23" s="200">
        <v>1</v>
      </c>
      <c r="I23" s="200">
        <v>157.34583333333333</v>
      </c>
      <c r="J23" s="200">
        <v>4.3583333333333325</v>
      </c>
      <c r="K23" s="200">
        <v>104.88333333333331</v>
      </c>
      <c r="L23" s="200">
        <v>13.895833333333337</v>
      </c>
      <c r="M23" s="200">
        <v>61.262500000000003</v>
      </c>
      <c r="N23" s="200">
        <v>32.275000000000006</v>
      </c>
      <c r="O23" s="200">
        <v>33.92916666666666</v>
      </c>
      <c r="P23" s="200">
        <v>66.941666666666677</v>
      </c>
      <c r="Q23" s="257">
        <v>9.0649193548387093</v>
      </c>
      <c r="S23" s="3"/>
      <c r="T23" s="3"/>
      <c r="U23" s="3"/>
      <c r="V23" s="3"/>
      <c r="W23" s="3"/>
      <c r="X23" s="3"/>
      <c r="Y23" s="3"/>
      <c r="Z23" s="3"/>
      <c r="AA23" s="3"/>
      <c r="AB23" s="3"/>
      <c r="BA23" s="277">
        <v>2014</v>
      </c>
      <c r="BB23" s="281">
        <f>SUMIFS($D:$D,$A:$A,$BA23,$B:$B,BB$1)</f>
        <v>0</v>
      </c>
      <c r="BC23" s="281">
        <f t="shared" ref="BC23:BM23" si="185">SUMIFS($D:$D,$A:$A,$BA23,$B:$B,BC$1)</f>
        <v>0</v>
      </c>
      <c r="BD23" s="281">
        <f t="shared" si="185"/>
        <v>0</v>
      </c>
      <c r="BE23" s="281">
        <f t="shared" si="185"/>
        <v>0</v>
      </c>
      <c r="BF23" s="281">
        <f t="shared" si="185"/>
        <v>2.8750000000000071</v>
      </c>
      <c r="BG23" s="281">
        <f t="shared" si="185"/>
        <v>14.625</v>
      </c>
      <c r="BH23" s="281">
        <f t="shared" si="185"/>
        <v>20.045833333333324</v>
      </c>
      <c r="BI23" s="281">
        <f t="shared" si="185"/>
        <v>13.233333333333348</v>
      </c>
      <c r="BJ23" s="281">
        <f t="shared" si="185"/>
        <v>5.1333333333333293</v>
      </c>
      <c r="BK23" s="281">
        <f t="shared" si="185"/>
        <v>0</v>
      </c>
      <c r="BL23" s="281">
        <f t="shared" si="185"/>
        <v>0</v>
      </c>
      <c r="BM23" s="281">
        <f t="shared" si="185"/>
        <v>0</v>
      </c>
      <c r="BN23" s="277"/>
      <c r="BO23" s="277">
        <f>BA23</f>
        <v>2014</v>
      </c>
      <c r="BP23" s="281">
        <f>SUMIFS($F:$F,$A:$A,$BA23,$B:$B,BP$1)</f>
        <v>0</v>
      </c>
      <c r="BQ23" s="281">
        <f t="shared" ref="BQ23:CA34" si="186">SUMIFS($F:$F,$A:$A,$BA23,$B:$B,BQ$1)</f>
        <v>0</v>
      </c>
      <c r="BR23" s="281">
        <f t="shared" si="186"/>
        <v>0</v>
      </c>
      <c r="BS23" s="281">
        <f t="shared" si="186"/>
        <v>0</v>
      </c>
      <c r="BT23" s="281">
        <f t="shared" si="186"/>
        <v>7.3000000000000043</v>
      </c>
      <c r="BU23" s="281">
        <f t="shared" si="186"/>
        <v>41.745833333333323</v>
      </c>
      <c r="BV23" s="281">
        <f t="shared" si="186"/>
        <v>47.570833333333312</v>
      </c>
      <c r="BW23" s="281">
        <f t="shared" si="186"/>
        <v>49.920833333333348</v>
      </c>
      <c r="BX23" s="281">
        <f t="shared" si="186"/>
        <v>17.858333333333327</v>
      </c>
      <c r="BY23" s="281">
        <f t="shared" si="186"/>
        <v>0.34583333333333499</v>
      </c>
      <c r="BZ23" s="281">
        <f t="shared" si="186"/>
        <v>0</v>
      </c>
      <c r="CA23" s="281">
        <f t="shared" si="186"/>
        <v>0</v>
      </c>
      <c r="CB23" s="281">
        <f>SUM(BP23:CA23)</f>
        <v>164.74166666666665</v>
      </c>
      <c r="CC23" s="277">
        <f>BO23</f>
        <v>2014</v>
      </c>
      <c r="CD23" s="281">
        <f>SUMIFS($H:$H,$A:$A,$BA23,$B:$B,CD$1)</f>
        <v>0</v>
      </c>
      <c r="CE23" s="281">
        <f t="shared" ref="CE23:CO34" si="187">SUMIFS($H:$H,$A:$A,$BA23,$B:$B,CE$1)</f>
        <v>0</v>
      </c>
      <c r="CF23" s="281">
        <f t="shared" si="187"/>
        <v>0</v>
      </c>
      <c r="CG23" s="281">
        <f t="shared" si="187"/>
        <v>0</v>
      </c>
      <c r="CH23" s="281">
        <f t="shared" si="187"/>
        <v>16.816666666666681</v>
      </c>
      <c r="CI23" s="281">
        <f t="shared" si="187"/>
        <v>85.383333333333326</v>
      </c>
      <c r="CJ23" s="281">
        <f t="shared" si="187"/>
        <v>99.612499999999969</v>
      </c>
      <c r="CK23" s="281">
        <f t="shared" si="187"/>
        <v>98.458333333333343</v>
      </c>
      <c r="CL23" s="281">
        <f t="shared" si="187"/>
        <v>40.979166666666657</v>
      </c>
      <c r="CM23" s="281">
        <f t="shared" si="187"/>
        <v>3.0791666666666693</v>
      </c>
      <c r="CN23" s="281">
        <f t="shared" si="187"/>
        <v>0</v>
      </c>
      <c r="CO23" s="281">
        <f t="shared" si="187"/>
        <v>0</v>
      </c>
      <c r="CP23" s="277"/>
      <c r="CQ23" s="277">
        <f>CC23</f>
        <v>2014</v>
      </c>
      <c r="CR23" s="281">
        <f>SUMIFS($J:$J,$A:$A,$BA23,$B:$B,CR$1)</f>
        <v>0</v>
      </c>
      <c r="CS23" s="281">
        <f t="shared" ref="CS23:DC34" si="188">SUMIFS($J:$J,$A:$A,$BA23,$B:$B,CS$1)</f>
        <v>0</v>
      </c>
      <c r="CT23" s="281">
        <f t="shared" si="188"/>
        <v>0</v>
      </c>
      <c r="CU23" s="281">
        <f t="shared" si="188"/>
        <v>0</v>
      </c>
      <c r="CV23" s="281">
        <f t="shared" si="188"/>
        <v>44.924851778656141</v>
      </c>
      <c r="CW23" s="281">
        <f t="shared" si="188"/>
        <v>139.94583333333335</v>
      </c>
      <c r="CX23" s="281">
        <f t="shared" si="188"/>
        <v>161.60416666666666</v>
      </c>
      <c r="CY23" s="281">
        <f t="shared" si="188"/>
        <v>156.14166666666665</v>
      </c>
      <c r="CZ23" s="281">
        <f t="shared" si="188"/>
        <v>77.641666666666652</v>
      </c>
      <c r="DA23" s="281">
        <f t="shared" si="188"/>
        <v>11.362500000000011</v>
      </c>
      <c r="DB23" s="281">
        <f t="shared" si="188"/>
        <v>0</v>
      </c>
      <c r="DC23" s="281">
        <f t="shared" si="188"/>
        <v>0</v>
      </c>
      <c r="DD23" s="277"/>
      <c r="DE23" s="277">
        <f>CQ23</f>
        <v>2014</v>
      </c>
      <c r="DF23" s="281">
        <f>SUMIFS($L:$L,$A:$A,$BA23,$B:$B,DF$1)</f>
        <v>0</v>
      </c>
      <c r="DG23" s="281">
        <f t="shared" ref="DG23:DQ34" si="189">SUMIFS($L:$L,$A:$A,$BA23,$B:$B,DG$1)</f>
        <v>0</v>
      </c>
      <c r="DH23" s="281">
        <f t="shared" si="189"/>
        <v>0</v>
      </c>
      <c r="DI23" s="281">
        <f t="shared" si="189"/>
        <v>0</v>
      </c>
      <c r="DJ23" s="281">
        <f t="shared" si="189"/>
        <v>84.195685111989476</v>
      </c>
      <c r="DK23" s="281">
        <f t="shared" si="189"/>
        <v>198.97083333333333</v>
      </c>
      <c r="DL23" s="281">
        <f t="shared" si="189"/>
        <v>223.6041666666666</v>
      </c>
      <c r="DM23" s="281">
        <f t="shared" si="189"/>
        <v>217.47083333333336</v>
      </c>
      <c r="DN23" s="281">
        <f t="shared" si="189"/>
        <v>121.05833333333331</v>
      </c>
      <c r="DO23" s="281">
        <f t="shared" si="189"/>
        <v>26.879166666666691</v>
      </c>
      <c r="DP23" s="281">
        <f t="shared" si="189"/>
        <v>0</v>
      </c>
      <c r="DQ23" s="281">
        <f t="shared" si="189"/>
        <v>0</v>
      </c>
      <c r="DR23" s="277"/>
      <c r="DS23" s="277">
        <f>DE23</f>
        <v>2014</v>
      </c>
      <c r="DT23" s="281">
        <f>SUMIFS($N:$N,$A:$A,$BA23,$B:$B,DT$1)</f>
        <v>0</v>
      </c>
      <c r="DU23" s="281">
        <f t="shared" ref="DU23:EE34" si="190">SUMIFS($N:$N,$A:$A,$BA23,$B:$B,DU$1)</f>
        <v>0</v>
      </c>
      <c r="DV23" s="281">
        <f t="shared" si="190"/>
        <v>0</v>
      </c>
      <c r="DW23" s="281">
        <f t="shared" si="190"/>
        <v>4.3208333333333346</v>
      </c>
      <c r="DX23" s="281">
        <f t="shared" si="190"/>
        <v>126.44985177865614</v>
      </c>
      <c r="DY23" s="281">
        <f t="shared" si="190"/>
        <v>258.97083333333342</v>
      </c>
      <c r="DZ23" s="281">
        <f t="shared" si="190"/>
        <v>285.60416666666657</v>
      </c>
      <c r="EA23" s="281">
        <f t="shared" si="190"/>
        <v>279.47083333333336</v>
      </c>
      <c r="EB23" s="281">
        <f t="shared" si="190"/>
        <v>170.74583333333334</v>
      </c>
      <c r="EC23" s="281">
        <f t="shared" si="190"/>
        <v>51.970833333333353</v>
      </c>
      <c r="ED23" s="281">
        <f t="shared" si="190"/>
        <v>0.39583333333333215</v>
      </c>
      <c r="EE23" s="281">
        <f t="shared" si="190"/>
        <v>0</v>
      </c>
      <c r="EF23" s="277"/>
      <c r="EG23" s="277">
        <f>DS23</f>
        <v>2014</v>
      </c>
      <c r="EH23" s="281">
        <f>SUMIFS($P:$P,$A:$A,$BA23,$B:$B,EH$1)</f>
        <v>0</v>
      </c>
      <c r="EI23" s="281">
        <f t="shared" ref="EI23:ES34" si="191">SUMIFS($P:$P,$A:$A,$BA23,$B:$B,EI$1)</f>
        <v>0</v>
      </c>
      <c r="EJ23" s="281">
        <f t="shared" si="191"/>
        <v>0</v>
      </c>
      <c r="EK23" s="281">
        <f t="shared" si="191"/>
        <v>11.87916666666667</v>
      </c>
      <c r="EL23" s="281">
        <f t="shared" si="191"/>
        <v>176.81235177865619</v>
      </c>
      <c r="EM23" s="281">
        <f t="shared" si="191"/>
        <v>318.97083333333336</v>
      </c>
      <c r="EN23" s="281">
        <f t="shared" si="191"/>
        <v>347.60416666666657</v>
      </c>
      <c r="EO23" s="281">
        <f t="shared" si="191"/>
        <v>341.4708333333333</v>
      </c>
      <c r="EP23" s="281">
        <f t="shared" si="191"/>
        <v>229.30833333333334</v>
      </c>
      <c r="EQ23" s="281">
        <f t="shared" si="191"/>
        <v>86.83750000000002</v>
      </c>
      <c r="ER23" s="281">
        <f t="shared" si="191"/>
        <v>6.3666666666666671</v>
      </c>
      <c r="ES23" s="281">
        <f t="shared" si="191"/>
        <v>0</v>
      </c>
      <c r="EU23" s="488"/>
      <c r="EV23" s="488"/>
      <c r="EW23" s="488"/>
      <c r="EX23" s="488"/>
      <c r="EY23" s="488"/>
      <c r="EZ23" s="488"/>
      <c r="FA23" s="488"/>
      <c r="FB23" s="488"/>
      <c r="FC23" s="488"/>
      <c r="FD23" s="488"/>
    </row>
    <row r="24" spans="1:160">
      <c r="A24">
        <v>2015</v>
      </c>
      <c r="B24">
        <v>11</v>
      </c>
      <c r="C24" s="200">
        <v>431.77083333333331</v>
      </c>
      <c r="D24" s="200">
        <v>0</v>
      </c>
      <c r="E24" s="200">
        <v>371.77083333333326</v>
      </c>
      <c r="F24" s="200">
        <v>0</v>
      </c>
      <c r="G24" s="200">
        <v>311.77083333333331</v>
      </c>
      <c r="H24" s="200">
        <v>0</v>
      </c>
      <c r="I24" s="200">
        <v>252.04166666666663</v>
      </c>
      <c r="J24" s="200">
        <v>0.27083333333333393</v>
      </c>
      <c r="K24" s="200">
        <v>195.30833333333331</v>
      </c>
      <c r="L24" s="200">
        <v>3.5374999999999979</v>
      </c>
      <c r="M24" s="200">
        <v>143.67916666666665</v>
      </c>
      <c r="N24" s="200">
        <v>11.908333333333333</v>
      </c>
      <c r="O24" s="200">
        <v>99.970833333333317</v>
      </c>
      <c r="P24" s="200">
        <v>28.199999999999996</v>
      </c>
      <c r="Q24" s="257">
        <v>5.6076388888888893</v>
      </c>
      <c r="S24" s="3"/>
      <c r="T24" s="3"/>
      <c r="U24" s="3"/>
      <c r="V24" s="3"/>
      <c r="W24" s="3"/>
      <c r="X24" s="3"/>
      <c r="Y24" s="3"/>
      <c r="Z24" s="3"/>
      <c r="AA24" s="3"/>
      <c r="AB24" s="3"/>
      <c r="BA24" s="277">
        <f t="shared" ref="BA24:BA35" si="192">BA23+1</f>
        <v>2015</v>
      </c>
      <c r="BB24" s="281">
        <f t="shared" ref="BB24:BM34" si="193">SUMIFS($D:$D,$A:$A,$BA24,$B:$B,BB$1)</f>
        <v>0</v>
      </c>
      <c r="BC24" s="281">
        <f t="shared" si="193"/>
        <v>0</v>
      </c>
      <c r="BD24" s="281">
        <f t="shared" si="193"/>
        <v>0</v>
      </c>
      <c r="BE24" s="281">
        <f t="shared" si="193"/>
        <v>0</v>
      </c>
      <c r="BF24" s="281">
        <f t="shared" si="193"/>
        <v>0.39999999999999503</v>
      </c>
      <c r="BG24" s="281">
        <f t="shared" si="193"/>
        <v>2.7499999999999964</v>
      </c>
      <c r="BH24" s="281">
        <f t="shared" si="193"/>
        <v>45.524999999999991</v>
      </c>
      <c r="BI24" s="281">
        <f t="shared" si="193"/>
        <v>22.12916666666667</v>
      </c>
      <c r="BJ24" s="281">
        <f t="shared" si="193"/>
        <v>27.916666666666675</v>
      </c>
      <c r="BK24" s="281">
        <f t="shared" si="193"/>
        <v>0</v>
      </c>
      <c r="BL24" s="281">
        <f t="shared" si="193"/>
        <v>0</v>
      </c>
      <c r="BM24" s="281">
        <f t="shared" si="193"/>
        <v>0</v>
      </c>
      <c r="BN24" s="277"/>
      <c r="BO24" s="277">
        <f t="shared" ref="BO24:BO35" si="194">BO23+1</f>
        <v>2015</v>
      </c>
      <c r="BP24" s="281">
        <f t="shared" ref="BP24:BP34" si="195">SUMIFS($F:$F,$A:$A,$BA24,$B:$B,BP$1)</f>
        <v>0</v>
      </c>
      <c r="BQ24" s="281">
        <f t="shared" si="186"/>
        <v>0</v>
      </c>
      <c r="BR24" s="281">
        <f t="shared" si="186"/>
        <v>0</v>
      </c>
      <c r="BS24" s="281">
        <f t="shared" si="186"/>
        <v>0</v>
      </c>
      <c r="BT24" s="281">
        <f t="shared" si="186"/>
        <v>11.524999999999999</v>
      </c>
      <c r="BU24" s="281">
        <f t="shared" si="186"/>
        <v>14.537499999999991</v>
      </c>
      <c r="BV24" s="281">
        <f t="shared" si="186"/>
        <v>87.624999999999986</v>
      </c>
      <c r="BW24" s="281">
        <f t="shared" si="186"/>
        <v>53.358333333333334</v>
      </c>
      <c r="BX24" s="281">
        <f t="shared" si="186"/>
        <v>51.55416666666666</v>
      </c>
      <c r="BY24" s="281">
        <f t="shared" si="186"/>
        <v>0</v>
      </c>
      <c r="BZ24" s="281">
        <f t="shared" si="186"/>
        <v>0</v>
      </c>
      <c r="CA24" s="281">
        <f t="shared" si="186"/>
        <v>0</v>
      </c>
      <c r="CB24" s="281">
        <f t="shared" ref="CB24:CB40" si="196">SUM(BP24:CA24)</f>
        <v>218.59999999999997</v>
      </c>
      <c r="CC24" s="277">
        <f t="shared" ref="CC24:CC35" si="197">CC23+1</f>
        <v>2015</v>
      </c>
      <c r="CD24" s="281">
        <f t="shared" ref="CD24:CD34" si="198">SUMIFS($H:$H,$A:$A,$BA24,$B:$B,CD$1)</f>
        <v>0</v>
      </c>
      <c r="CE24" s="281">
        <f t="shared" si="187"/>
        <v>0</v>
      </c>
      <c r="CF24" s="281">
        <f t="shared" si="187"/>
        <v>0</v>
      </c>
      <c r="CG24" s="281">
        <f t="shared" si="187"/>
        <v>0</v>
      </c>
      <c r="CH24" s="281">
        <f t="shared" si="187"/>
        <v>32.514880952380949</v>
      </c>
      <c r="CI24" s="281">
        <f t="shared" si="187"/>
        <v>47.337499999999999</v>
      </c>
      <c r="CJ24" s="281">
        <f t="shared" si="187"/>
        <v>143.53749999999999</v>
      </c>
      <c r="CK24" s="281">
        <f t="shared" si="187"/>
        <v>106.43333333333335</v>
      </c>
      <c r="CL24" s="281">
        <f t="shared" si="187"/>
        <v>87.618452380952391</v>
      </c>
      <c r="CM24" s="281">
        <f t="shared" si="187"/>
        <v>1</v>
      </c>
      <c r="CN24" s="281">
        <f t="shared" si="187"/>
        <v>0</v>
      </c>
      <c r="CO24" s="281">
        <f t="shared" si="187"/>
        <v>0</v>
      </c>
      <c r="CP24" s="277"/>
      <c r="CQ24" s="277">
        <f t="shared" ref="CQ24:CQ35" si="199">CQ23+1</f>
        <v>2015</v>
      </c>
      <c r="CR24" s="281">
        <f t="shared" ref="CR24:CR34" si="200">SUMIFS($J:$J,$A:$A,$BA24,$B:$B,CR$1)</f>
        <v>0</v>
      </c>
      <c r="CS24" s="281">
        <f t="shared" si="188"/>
        <v>0</v>
      </c>
      <c r="CT24" s="281">
        <f t="shared" si="188"/>
        <v>0</v>
      </c>
      <c r="CU24" s="281">
        <f t="shared" si="188"/>
        <v>0</v>
      </c>
      <c r="CV24" s="281">
        <f t="shared" si="188"/>
        <v>62.881547619047637</v>
      </c>
      <c r="CW24" s="281">
        <f t="shared" si="188"/>
        <v>95.599999999999966</v>
      </c>
      <c r="CX24" s="281">
        <f t="shared" si="188"/>
        <v>205.53749999999997</v>
      </c>
      <c r="CY24" s="281">
        <f t="shared" si="188"/>
        <v>167.94166666666666</v>
      </c>
      <c r="CZ24" s="281">
        <f t="shared" si="188"/>
        <v>134.9267857142857</v>
      </c>
      <c r="DA24" s="281">
        <f t="shared" si="188"/>
        <v>4.3583333333333325</v>
      </c>
      <c r="DB24" s="281">
        <f t="shared" si="188"/>
        <v>0.27083333333333393</v>
      </c>
      <c r="DC24" s="281">
        <f t="shared" si="188"/>
        <v>0</v>
      </c>
      <c r="DD24" s="277"/>
      <c r="DE24" s="277">
        <f t="shared" ref="DE24:DE35" si="201">DE23+1</f>
        <v>2015</v>
      </c>
      <c r="DF24" s="281">
        <f t="shared" ref="DF24:DF34" si="202">SUMIFS($L:$L,$A:$A,$BA24,$B:$B,DF$1)</f>
        <v>0</v>
      </c>
      <c r="DG24" s="281">
        <f t="shared" si="189"/>
        <v>0</v>
      </c>
      <c r="DH24" s="281">
        <f t="shared" si="189"/>
        <v>0</v>
      </c>
      <c r="DI24" s="281">
        <f t="shared" si="189"/>
        <v>1.5333333333333332</v>
      </c>
      <c r="DJ24" s="281">
        <f t="shared" si="189"/>
        <v>105.49404761904762</v>
      </c>
      <c r="DK24" s="281">
        <f t="shared" si="189"/>
        <v>150.2583333333333</v>
      </c>
      <c r="DL24" s="281">
        <f t="shared" si="189"/>
        <v>267.53749999999997</v>
      </c>
      <c r="DM24" s="281">
        <f t="shared" si="189"/>
        <v>229.94166666666666</v>
      </c>
      <c r="DN24" s="281">
        <f t="shared" si="189"/>
        <v>188.96011904761906</v>
      </c>
      <c r="DO24" s="281">
        <f t="shared" si="189"/>
        <v>13.895833333333337</v>
      </c>
      <c r="DP24" s="281">
        <f t="shared" si="189"/>
        <v>3.5374999999999979</v>
      </c>
      <c r="DQ24" s="281">
        <f t="shared" si="189"/>
        <v>0</v>
      </c>
      <c r="DR24" s="277"/>
      <c r="DS24" s="277">
        <f t="shared" ref="DS24:DS35" si="203">DS23+1</f>
        <v>2015</v>
      </c>
      <c r="DT24" s="281">
        <f t="shared" ref="DT24:DT34" si="204">SUMIFS($N:$N,$A:$A,$BA24,$B:$B,DT$1)</f>
        <v>0</v>
      </c>
      <c r="DU24" s="281">
        <f t="shared" si="190"/>
        <v>0</v>
      </c>
      <c r="DV24" s="281">
        <f t="shared" si="190"/>
        <v>0</v>
      </c>
      <c r="DW24" s="281">
        <f t="shared" si="190"/>
        <v>9.8333333333333321</v>
      </c>
      <c r="DX24" s="281">
        <f t="shared" si="190"/>
        <v>155.69477225672881</v>
      </c>
      <c r="DY24" s="281">
        <f t="shared" si="190"/>
        <v>209.61250000000001</v>
      </c>
      <c r="DZ24" s="281">
        <f t="shared" si="190"/>
        <v>329.53750000000002</v>
      </c>
      <c r="EA24" s="281">
        <f t="shared" si="190"/>
        <v>291.94166666666666</v>
      </c>
      <c r="EB24" s="281">
        <f t="shared" si="190"/>
        <v>248.92261904761907</v>
      </c>
      <c r="EC24" s="281">
        <f t="shared" si="190"/>
        <v>32.275000000000006</v>
      </c>
      <c r="ED24" s="281">
        <f t="shared" si="190"/>
        <v>11.908333333333333</v>
      </c>
      <c r="EE24" s="281">
        <f t="shared" si="190"/>
        <v>0.86666666666666714</v>
      </c>
      <c r="EF24" s="277"/>
      <c r="EG24" s="277">
        <f t="shared" ref="EG24:EG35" si="205">EG23+1</f>
        <v>2015</v>
      </c>
      <c r="EH24" s="281">
        <f t="shared" ref="EH24:EH34" si="206">SUMIFS($P:$P,$A:$A,$BA24,$B:$B,EH$1)</f>
        <v>0</v>
      </c>
      <c r="EI24" s="281">
        <f t="shared" si="191"/>
        <v>0</v>
      </c>
      <c r="EJ24" s="281">
        <f t="shared" si="191"/>
        <v>0</v>
      </c>
      <c r="EK24" s="281">
        <f t="shared" si="191"/>
        <v>26.112499999999997</v>
      </c>
      <c r="EL24" s="281">
        <f t="shared" si="191"/>
        <v>213.30310559006219</v>
      </c>
      <c r="EM24" s="281">
        <f t="shared" si="191"/>
        <v>269.61250000000001</v>
      </c>
      <c r="EN24" s="281">
        <f t="shared" si="191"/>
        <v>391.53750000000014</v>
      </c>
      <c r="EO24" s="281">
        <f t="shared" si="191"/>
        <v>353.94166666666678</v>
      </c>
      <c r="EP24" s="281">
        <f t="shared" si="191"/>
        <v>308.92261904761898</v>
      </c>
      <c r="EQ24" s="281">
        <f t="shared" si="191"/>
        <v>66.941666666666677</v>
      </c>
      <c r="ER24" s="281">
        <f t="shared" si="191"/>
        <v>28.199999999999996</v>
      </c>
      <c r="ES24" s="281">
        <f t="shared" si="191"/>
        <v>6.8248188405797094</v>
      </c>
      <c r="EU24" s="488"/>
      <c r="EV24" s="488"/>
      <c r="EW24" s="488"/>
      <c r="EX24" s="488"/>
      <c r="EY24" s="488"/>
      <c r="EZ24" s="488"/>
      <c r="FA24" s="488"/>
      <c r="FB24" s="488"/>
      <c r="FC24" s="488"/>
      <c r="FD24" s="488"/>
    </row>
    <row r="25" spans="1:160">
      <c r="A25">
        <v>2015</v>
      </c>
      <c r="B25">
        <v>12</v>
      </c>
      <c r="C25" s="200">
        <v>499.62590579710155</v>
      </c>
      <c r="D25" s="200">
        <v>0</v>
      </c>
      <c r="E25" s="200">
        <v>437.62590579710155</v>
      </c>
      <c r="F25" s="200">
        <v>0</v>
      </c>
      <c r="G25" s="200">
        <v>375.6259057971015</v>
      </c>
      <c r="H25" s="200">
        <v>0</v>
      </c>
      <c r="I25" s="200">
        <v>313.62590579710144</v>
      </c>
      <c r="J25" s="200">
        <v>0</v>
      </c>
      <c r="K25" s="200">
        <v>251.62590579710138</v>
      </c>
      <c r="L25" s="200">
        <v>0</v>
      </c>
      <c r="M25" s="200">
        <v>190.49257246376811</v>
      </c>
      <c r="N25" s="200">
        <v>0.86666666666666714</v>
      </c>
      <c r="O25" s="200">
        <v>134.45072463768119</v>
      </c>
      <c r="P25" s="200">
        <v>6.8248188405797094</v>
      </c>
      <c r="Q25" s="257">
        <v>3.8830352968676944</v>
      </c>
      <c r="S25" s="3"/>
      <c r="T25" s="3"/>
      <c r="U25" s="3"/>
      <c r="V25" s="3"/>
      <c r="W25" s="3"/>
      <c r="X25" s="3"/>
      <c r="Y25" s="3"/>
      <c r="Z25" s="3"/>
      <c r="AA25" s="3"/>
      <c r="AB25" s="3"/>
      <c r="BA25" s="277">
        <f t="shared" si="192"/>
        <v>2016</v>
      </c>
      <c r="BB25" s="281">
        <f t="shared" si="193"/>
        <v>0</v>
      </c>
      <c r="BC25" s="281">
        <f t="shared" si="193"/>
        <v>0</v>
      </c>
      <c r="BD25" s="281">
        <f t="shared" si="193"/>
        <v>0</v>
      </c>
      <c r="BE25" s="281">
        <f t="shared" si="193"/>
        <v>0</v>
      </c>
      <c r="BF25" s="281">
        <f t="shared" si="193"/>
        <v>8.9833333333333307</v>
      </c>
      <c r="BG25" s="281">
        <f t="shared" si="193"/>
        <v>20.087500000000002</v>
      </c>
      <c r="BH25" s="281">
        <f t="shared" si="193"/>
        <v>73.983333333333334</v>
      </c>
      <c r="BI25" s="281">
        <f t="shared" si="193"/>
        <v>84.054166666666674</v>
      </c>
      <c r="BJ25" s="281">
        <f t="shared" si="193"/>
        <v>15.887500000000006</v>
      </c>
      <c r="BK25" s="281">
        <f t="shared" si="193"/>
        <v>0</v>
      </c>
      <c r="BL25" s="281">
        <f t="shared" si="193"/>
        <v>0</v>
      </c>
      <c r="BM25" s="281">
        <f t="shared" si="193"/>
        <v>0</v>
      </c>
      <c r="BN25" s="277"/>
      <c r="BO25" s="277">
        <f t="shared" si="194"/>
        <v>2016</v>
      </c>
      <c r="BP25" s="281">
        <f t="shared" si="195"/>
        <v>0</v>
      </c>
      <c r="BQ25" s="281">
        <f t="shared" si="186"/>
        <v>0</v>
      </c>
      <c r="BR25" s="281">
        <f t="shared" si="186"/>
        <v>0</v>
      </c>
      <c r="BS25" s="281">
        <f t="shared" si="186"/>
        <v>0</v>
      </c>
      <c r="BT25" s="281">
        <f t="shared" si="186"/>
        <v>21.845833333333335</v>
      </c>
      <c r="BU25" s="281">
        <f t="shared" si="186"/>
        <v>53.40833333333336</v>
      </c>
      <c r="BV25" s="281">
        <f t="shared" si="186"/>
        <v>128.88749999999999</v>
      </c>
      <c r="BW25" s="281">
        <f t="shared" si="186"/>
        <v>143.1541666666667</v>
      </c>
      <c r="BX25" s="281">
        <f t="shared" si="186"/>
        <v>36.670833333333334</v>
      </c>
      <c r="BY25" s="281">
        <f t="shared" si="186"/>
        <v>0.93750000000000355</v>
      </c>
      <c r="BZ25" s="281">
        <f t="shared" si="186"/>
        <v>0</v>
      </c>
      <c r="CA25" s="281">
        <f t="shared" si="186"/>
        <v>0</v>
      </c>
      <c r="CB25" s="281">
        <f t="shared" si="196"/>
        <v>384.9041666666667</v>
      </c>
      <c r="CC25" s="277">
        <f t="shared" si="197"/>
        <v>2016</v>
      </c>
      <c r="CD25" s="281">
        <f t="shared" si="198"/>
        <v>0</v>
      </c>
      <c r="CE25" s="281">
        <f t="shared" si="187"/>
        <v>0</v>
      </c>
      <c r="CF25" s="281">
        <f t="shared" si="187"/>
        <v>0</v>
      </c>
      <c r="CG25" s="281">
        <f t="shared" si="187"/>
        <v>0</v>
      </c>
      <c r="CH25" s="281">
        <f t="shared" si="187"/>
        <v>40.95416666666668</v>
      </c>
      <c r="CI25" s="281">
        <f t="shared" si="187"/>
        <v>97.33750000000002</v>
      </c>
      <c r="CJ25" s="281">
        <f t="shared" si="187"/>
        <v>189.22916666666666</v>
      </c>
      <c r="CK25" s="281">
        <f t="shared" si="187"/>
        <v>204.02500000000006</v>
      </c>
      <c r="CL25" s="281">
        <f t="shared" si="187"/>
        <v>71.529166666666654</v>
      </c>
      <c r="CM25" s="281">
        <f t="shared" si="187"/>
        <v>7.2541666666666735</v>
      </c>
      <c r="CN25" s="281">
        <f t="shared" si="187"/>
        <v>0</v>
      </c>
      <c r="CO25" s="281">
        <f t="shared" si="187"/>
        <v>0</v>
      </c>
      <c r="CP25" s="277"/>
      <c r="CQ25" s="277">
        <f t="shared" si="199"/>
        <v>2016</v>
      </c>
      <c r="CR25" s="281">
        <f t="shared" si="200"/>
        <v>0</v>
      </c>
      <c r="CS25" s="281">
        <f t="shared" si="188"/>
        <v>0</v>
      </c>
      <c r="CT25" s="281">
        <f t="shared" si="188"/>
        <v>0</v>
      </c>
      <c r="CU25" s="281">
        <f t="shared" si="188"/>
        <v>0.83333333333333393</v>
      </c>
      <c r="CV25" s="281">
        <f t="shared" si="188"/>
        <v>66.604166666666671</v>
      </c>
      <c r="CW25" s="281">
        <f t="shared" si="188"/>
        <v>147.17916666666667</v>
      </c>
      <c r="CX25" s="281">
        <f t="shared" si="188"/>
        <v>251.2291666666666</v>
      </c>
      <c r="CY25" s="281">
        <f t="shared" si="188"/>
        <v>266.02500000000003</v>
      </c>
      <c r="CZ25" s="281">
        <f t="shared" si="188"/>
        <v>120.65416666666664</v>
      </c>
      <c r="DA25" s="281">
        <f t="shared" si="188"/>
        <v>24.770833333333336</v>
      </c>
      <c r="DB25" s="281">
        <f t="shared" si="188"/>
        <v>0</v>
      </c>
      <c r="DC25" s="281">
        <f t="shared" si="188"/>
        <v>0</v>
      </c>
      <c r="DD25" s="277"/>
      <c r="DE25" s="277">
        <f t="shared" si="201"/>
        <v>2016</v>
      </c>
      <c r="DF25" s="281">
        <f t="shared" si="202"/>
        <v>0</v>
      </c>
      <c r="DG25" s="281">
        <f t="shared" si="189"/>
        <v>0</v>
      </c>
      <c r="DH25" s="281">
        <f t="shared" si="189"/>
        <v>0</v>
      </c>
      <c r="DI25" s="281">
        <f t="shared" si="189"/>
        <v>3.2208333333333368</v>
      </c>
      <c r="DJ25" s="281">
        <f t="shared" si="189"/>
        <v>98.295833333333348</v>
      </c>
      <c r="DK25" s="281">
        <f t="shared" si="189"/>
        <v>203.85416666666669</v>
      </c>
      <c r="DL25" s="281">
        <f t="shared" si="189"/>
        <v>313.22916666666657</v>
      </c>
      <c r="DM25" s="281">
        <f t="shared" si="189"/>
        <v>328.02499999999998</v>
      </c>
      <c r="DN25" s="281">
        <f t="shared" si="189"/>
        <v>176.5541666666667</v>
      </c>
      <c r="DO25" s="281">
        <f t="shared" si="189"/>
        <v>52.383333333333333</v>
      </c>
      <c r="DP25" s="281">
        <f t="shared" si="189"/>
        <v>1.3291666666666675</v>
      </c>
      <c r="DQ25" s="281">
        <f t="shared" si="189"/>
        <v>0</v>
      </c>
      <c r="DR25" s="277"/>
      <c r="DS25" s="277">
        <f t="shared" si="203"/>
        <v>2016</v>
      </c>
      <c r="DT25" s="281">
        <f t="shared" si="204"/>
        <v>0</v>
      </c>
      <c r="DU25" s="281">
        <f t="shared" si="190"/>
        <v>0</v>
      </c>
      <c r="DV25" s="281">
        <f t="shared" si="190"/>
        <v>0</v>
      </c>
      <c r="DW25" s="281">
        <f t="shared" si="190"/>
        <v>9.3541666666666732</v>
      </c>
      <c r="DX25" s="281">
        <f t="shared" si="190"/>
        <v>134.0888888888889</v>
      </c>
      <c r="DY25" s="281">
        <f t="shared" si="190"/>
        <v>263.20416666666671</v>
      </c>
      <c r="DZ25" s="281">
        <f t="shared" si="190"/>
        <v>375.22916666666669</v>
      </c>
      <c r="EA25" s="281">
        <f t="shared" si="190"/>
        <v>390.02499999999998</v>
      </c>
      <c r="EB25" s="281">
        <f t="shared" si="190"/>
        <v>235.7416666666667</v>
      </c>
      <c r="EC25" s="281">
        <f t="shared" si="190"/>
        <v>85.800000000000011</v>
      </c>
      <c r="ED25" s="281">
        <f t="shared" si="190"/>
        <v>3.6666666666666679</v>
      </c>
      <c r="EE25" s="281">
        <f t="shared" si="190"/>
        <v>0</v>
      </c>
      <c r="EF25" s="277"/>
      <c r="EG25" s="277">
        <f t="shared" si="205"/>
        <v>2016</v>
      </c>
      <c r="EH25" s="281">
        <f t="shared" si="206"/>
        <v>0</v>
      </c>
      <c r="EI25" s="281">
        <f t="shared" si="191"/>
        <v>0</v>
      </c>
      <c r="EJ25" s="281">
        <f t="shared" si="191"/>
        <v>2.595833333333335</v>
      </c>
      <c r="EK25" s="281">
        <f t="shared" si="191"/>
        <v>21.966666666666676</v>
      </c>
      <c r="EL25" s="281">
        <f t="shared" si="191"/>
        <v>181.46805555555554</v>
      </c>
      <c r="EM25" s="281">
        <f t="shared" si="191"/>
        <v>323.20416666666671</v>
      </c>
      <c r="EN25" s="281">
        <f t="shared" si="191"/>
        <v>437.22916666666669</v>
      </c>
      <c r="EO25" s="281">
        <f t="shared" si="191"/>
        <v>452.02499999999998</v>
      </c>
      <c r="EP25" s="281">
        <f t="shared" si="191"/>
        <v>295.74166666666667</v>
      </c>
      <c r="EQ25" s="281">
        <f t="shared" si="191"/>
        <v>122.05416666666669</v>
      </c>
      <c r="ER25" s="281">
        <f t="shared" si="191"/>
        <v>11.895833333333334</v>
      </c>
      <c r="ES25" s="281">
        <f t="shared" si="191"/>
        <v>0</v>
      </c>
      <c r="EU25" s="488"/>
      <c r="EV25" s="488"/>
      <c r="EW25" s="488"/>
      <c r="EX25" s="488"/>
      <c r="EY25" s="488"/>
      <c r="EZ25" s="488"/>
      <c r="FA25" s="488"/>
      <c r="FB25" s="488"/>
      <c r="FC25" s="488"/>
      <c r="FD25" s="488"/>
    </row>
    <row r="26" spans="1:160">
      <c r="A26">
        <v>2016</v>
      </c>
      <c r="B26">
        <v>1</v>
      </c>
      <c r="C26" s="200">
        <v>737.87916666666683</v>
      </c>
      <c r="D26" s="200">
        <v>0</v>
      </c>
      <c r="E26" s="200">
        <v>675.87916666666683</v>
      </c>
      <c r="F26" s="200">
        <v>0</v>
      </c>
      <c r="G26" s="200">
        <v>613.87916666666683</v>
      </c>
      <c r="H26" s="200">
        <v>0</v>
      </c>
      <c r="I26" s="200">
        <v>551.87916666666672</v>
      </c>
      <c r="J26" s="200">
        <v>0</v>
      </c>
      <c r="K26" s="200">
        <v>489.87916666666672</v>
      </c>
      <c r="L26" s="200">
        <v>0</v>
      </c>
      <c r="M26" s="200">
        <v>427.87916666666672</v>
      </c>
      <c r="N26" s="200">
        <v>0</v>
      </c>
      <c r="O26" s="200">
        <v>365.87916666666672</v>
      </c>
      <c r="P26" s="200">
        <v>0</v>
      </c>
      <c r="Q26" s="257">
        <v>-3.8025537634408595</v>
      </c>
      <c r="S26" s="3">
        <f>'Monthly Data'!D2</f>
        <v>84351404.803892285</v>
      </c>
      <c r="T26" s="3">
        <f>'Monthly Data'!J2</f>
        <v>924771.20503720664</v>
      </c>
      <c r="U26" s="3">
        <f>'Monthly Data'!P2</f>
        <v>25156953.226493035</v>
      </c>
      <c r="V26" s="3">
        <f>'Monthly Data'!V2</f>
        <v>80445928.487482429</v>
      </c>
      <c r="W26" s="3">
        <f>'Monthly Data'!AB2</f>
        <v>6800270.7104014782</v>
      </c>
      <c r="X26" s="3">
        <f>'Monthly Data'!AG2</f>
        <v>17368267.928497635</v>
      </c>
      <c r="Y26" s="3">
        <f>'Monthly Data'!BC2</f>
        <v>29474749.559862249</v>
      </c>
      <c r="Z26" s="3">
        <f>'Monthly Data'!BI2</f>
        <v>7573140.8147790404</v>
      </c>
      <c r="AA26" s="3">
        <f>'Monthly Data'!BO2</f>
        <v>30479657.856499549</v>
      </c>
      <c r="AB26" s="3">
        <f>'Monthly Data'!BU2</f>
        <v>5059810.2410800382</v>
      </c>
      <c r="BA26" s="277">
        <f t="shared" si="192"/>
        <v>2017</v>
      </c>
      <c r="BB26" s="281">
        <f t="shared" si="193"/>
        <v>0</v>
      </c>
      <c r="BC26" s="281">
        <f t="shared" si="193"/>
        <v>0</v>
      </c>
      <c r="BD26" s="281">
        <f t="shared" si="193"/>
        <v>0</v>
      </c>
      <c r="BE26" s="281">
        <f t="shared" si="193"/>
        <v>0</v>
      </c>
      <c r="BF26" s="281">
        <f t="shared" si="193"/>
        <v>1.4083333333333314</v>
      </c>
      <c r="BG26" s="281">
        <f t="shared" si="193"/>
        <v>14.074999999999999</v>
      </c>
      <c r="BH26" s="281">
        <f t="shared" si="193"/>
        <v>26.579166666666627</v>
      </c>
      <c r="BI26" s="281">
        <f t="shared" si="193"/>
        <v>16.01159420289855</v>
      </c>
      <c r="BJ26" s="281">
        <f t="shared" si="193"/>
        <v>15.912499999999994</v>
      </c>
      <c r="BK26" s="281">
        <f t="shared" si="193"/>
        <v>0</v>
      </c>
      <c r="BL26" s="281">
        <f t="shared" si="193"/>
        <v>0</v>
      </c>
      <c r="BM26" s="281">
        <f t="shared" si="193"/>
        <v>0</v>
      </c>
      <c r="BN26" s="277"/>
      <c r="BO26" s="277">
        <f t="shared" si="194"/>
        <v>2017</v>
      </c>
      <c r="BP26" s="281">
        <f t="shared" si="195"/>
        <v>0</v>
      </c>
      <c r="BQ26" s="281">
        <f t="shared" si="186"/>
        <v>0</v>
      </c>
      <c r="BR26" s="281">
        <f t="shared" si="186"/>
        <v>0</v>
      </c>
      <c r="BS26" s="281">
        <f t="shared" si="186"/>
        <v>0.34583333333333854</v>
      </c>
      <c r="BT26" s="281">
        <f t="shared" si="186"/>
        <v>4.8791666666666664</v>
      </c>
      <c r="BU26" s="281">
        <f t="shared" si="186"/>
        <v>36.354166666666671</v>
      </c>
      <c r="BV26" s="281">
        <f t="shared" si="186"/>
        <v>75.970833333333289</v>
      </c>
      <c r="BW26" s="281">
        <f t="shared" si="186"/>
        <v>49.374094202898547</v>
      </c>
      <c r="BX26" s="281">
        <f t="shared" si="186"/>
        <v>41.54583333333332</v>
      </c>
      <c r="BY26" s="281">
        <f t="shared" si="186"/>
        <v>3.2250000000000014</v>
      </c>
      <c r="BZ26" s="281">
        <f t="shared" si="186"/>
        <v>0</v>
      </c>
      <c r="CA26" s="281">
        <f t="shared" si="186"/>
        <v>0</v>
      </c>
      <c r="CB26" s="281">
        <f t="shared" si="196"/>
        <v>211.69492753623183</v>
      </c>
      <c r="CC26" s="277">
        <f t="shared" si="197"/>
        <v>2017</v>
      </c>
      <c r="CD26" s="281">
        <f t="shared" si="198"/>
        <v>0</v>
      </c>
      <c r="CE26" s="281">
        <f t="shared" si="187"/>
        <v>0</v>
      </c>
      <c r="CF26" s="281">
        <f t="shared" si="187"/>
        <v>0</v>
      </c>
      <c r="CG26" s="281">
        <f t="shared" si="187"/>
        <v>2.3458333333333385</v>
      </c>
      <c r="CH26" s="281">
        <f t="shared" si="187"/>
        <v>13.075000000000003</v>
      </c>
      <c r="CI26" s="281">
        <f t="shared" si="187"/>
        <v>68.909166666666678</v>
      </c>
      <c r="CJ26" s="281">
        <f t="shared" si="187"/>
        <v>136.16666666666663</v>
      </c>
      <c r="CK26" s="281">
        <f t="shared" si="187"/>
        <v>97.06576086956521</v>
      </c>
      <c r="CL26" s="281">
        <f t="shared" si="187"/>
        <v>73.237499999999983</v>
      </c>
      <c r="CM26" s="281">
        <f t="shared" si="187"/>
        <v>10.279166666666672</v>
      </c>
      <c r="CN26" s="281">
        <f t="shared" si="187"/>
        <v>0</v>
      </c>
      <c r="CO26" s="281">
        <f t="shared" si="187"/>
        <v>0</v>
      </c>
      <c r="CP26" s="277"/>
      <c r="CQ26" s="277">
        <f t="shared" si="199"/>
        <v>2017</v>
      </c>
      <c r="CR26" s="281">
        <f t="shared" si="200"/>
        <v>0</v>
      </c>
      <c r="CS26" s="281">
        <f t="shared" si="188"/>
        <v>0</v>
      </c>
      <c r="CT26" s="281">
        <f t="shared" si="188"/>
        <v>0</v>
      </c>
      <c r="CU26" s="281">
        <f t="shared" si="188"/>
        <v>5.6500000000000057</v>
      </c>
      <c r="CV26" s="281">
        <f t="shared" si="188"/>
        <v>28.370833333333344</v>
      </c>
      <c r="CW26" s="281">
        <f t="shared" si="188"/>
        <v>112.71333333333334</v>
      </c>
      <c r="CX26" s="281">
        <f t="shared" si="188"/>
        <v>198.16666666666666</v>
      </c>
      <c r="CY26" s="281">
        <f t="shared" si="188"/>
        <v>155.42409420289857</v>
      </c>
      <c r="CZ26" s="281">
        <f t="shared" si="188"/>
        <v>112.67916666666666</v>
      </c>
      <c r="DA26" s="281">
        <f t="shared" si="188"/>
        <v>29.654166666666669</v>
      </c>
      <c r="DB26" s="281">
        <f t="shared" si="188"/>
        <v>0</v>
      </c>
      <c r="DC26" s="281">
        <f t="shared" si="188"/>
        <v>0</v>
      </c>
      <c r="DD26" s="277"/>
      <c r="DE26" s="277">
        <f t="shared" si="201"/>
        <v>2017</v>
      </c>
      <c r="DF26" s="281">
        <f t="shared" si="202"/>
        <v>0</v>
      </c>
      <c r="DG26" s="281">
        <f t="shared" si="189"/>
        <v>0</v>
      </c>
      <c r="DH26" s="281">
        <f t="shared" si="189"/>
        <v>0</v>
      </c>
      <c r="DI26" s="281">
        <f t="shared" si="189"/>
        <v>12.412500000000001</v>
      </c>
      <c r="DJ26" s="281">
        <f t="shared" si="189"/>
        <v>54.529166666666683</v>
      </c>
      <c r="DK26" s="281">
        <f t="shared" si="189"/>
        <v>168.62166666666667</v>
      </c>
      <c r="DL26" s="281">
        <f t="shared" si="189"/>
        <v>260.16666666666657</v>
      </c>
      <c r="DM26" s="281">
        <f t="shared" si="189"/>
        <v>217.42409420289852</v>
      </c>
      <c r="DN26" s="281">
        <f t="shared" si="189"/>
        <v>161.3125</v>
      </c>
      <c r="DO26" s="281">
        <f t="shared" si="189"/>
        <v>59.400000000000006</v>
      </c>
      <c r="DP26" s="281">
        <f t="shared" si="189"/>
        <v>0</v>
      </c>
      <c r="DQ26" s="281">
        <f t="shared" si="189"/>
        <v>0</v>
      </c>
      <c r="DR26" s="277"/>
      <c r="DS26" s="277">
        <f t="shared" si="203"/>
        <v>2017</v>
      </c>
      <c r="DT26" s="281">
        <f t="shared" si="204"/>
        <v>0</v>
      </c>
      <c r="DU26" s="281">
        <f t="shared" si="190"/>
        <v>0</v>
      </c>
      <c r="DV26" s="281">
        <f t="shared" si="190"/>
        <v>0</v>
      </c>
      <c r="DW26" s="281">
        <f t="shared" si="190"/>
        <v>24.758333333333333</v>
      </c>
      <c r="DX26" s="281">
        <f t="shared" si="190"/>
        <v>90.983333333333348</v>
      </c>
      <c r="DY26" s="281">
        <f t="shared" si="190"/>
        <v>228.62166666666667</v>
      </c>
      <c r="DZ26" s="281">
        <f t="shared" si="190"/>
        <v>322.16666666666657</v>
      </c>
      <c r="EA26" s="281">
        <f t="shared" si="190"/>
        <v>279.42409420289852</v>
      </c>
      <c r="EB26" s="281">
        <f t="shared" si="190"/>
        <v>217.22916666666663</v>
      </c>
      <c r="EC26" s="281">
        <f t="shared" si="190"/>
        <v>98.274999999999977</v>
      </c>
      <c r="ED26" s="281">
        <f t="shared" si="190"/>
        <v>1.2958333333333325</v>
      </c>
      <c r="EE26" s="281">
        <f t="shared" si="190"/>
        <v>0</v>
      </c>
      <c r="EF26" s="277"/>
      <c r="EG26" s="277">
        <f t="shared" si="205"/>
        <v>2017</v>
      </c>
      <c r="EH26" s="281">
        <f t="shared" si="206"/>
        <v>0</v>
      </c>
      <c r="EI26" s="281">
        <f t="shared" si="191"/>
        <v>1.3416666666666668</v>
      </c>
      <c r="EJ26" s="281">
        <f t="shared" si="191"/>
        <v>0.99999999999999645</v>
      </c>
      <c r="EK26" s="281">
        <f t="shared" si="191"/>
        <v>46.308333333333337</v>
      </c>
      <c r="EL26" s="281">
        <f t="shared" si="191"/>
        <v>136.28750000000002</v>
      </c>
      <c r="EM26" s="281">
        <f t="shared" si="191"/>
        <v>288.62166666666667</v>
      </c>
      <c r="EN26" s="281">
        <f t="shared" si="191"/>
        <v>384.16666666666657</v>
      </c>
      <c r="EO26" s="281">
        <f t="shared" si="191"/>
        <v>341.42409420289852</v>
      </c>
      <c r="EP26" s="281">
        <f t="shared" si="191"/>
        <v>275.8458333333333</v>
      </c>
      <c r="EQ26" s="281">
        <f t="shared" si="191"/>
        <v>145.13749999999999</v>
      </c>
      <c r="ER26" s="281">
        <f t="shared" si="191"/>
        <v>5.4124999999999979</v>
      </c>
      <c r="ES26" s="281">
        <f t="shared" si="191"/>
        <v>0</v>
      </c>
      <c r="EU26" s="488">
        <f>'Monthly Data'!FO2</f>
        <v>797.94584378551588</v>
      </c>
      <c r="EV26" s="488">
        <f>'Monthly Data'!FP2</f>
        <v>589.5571110945383</v>
      </c>
      <c r="EW26" s="488">
        <f>'Monthly Data'!FQ2</f>
        <v>2870.6668288131686</v>
      </c>
      <c r="EX26" s="488">
        <f>'Monthly Data'!FR2</f>
        <v>77297.977781686568</v>
      </c>
      <c r="EY26" s="488">
        <f>'Monthly Data'!FS2</f>
        <v>1365885.6408978319</v>
      </c>
      <c r="EZ26" s="488">
        <f>'Monthly Data'!FT2</f>
        <v>5954684.1635379018</v>
      </c>
      <c r="FA26" s="488">
        <f>'Monthly Data'!FX2</f>
        <v>762.77014130927898</v>
      </c>
      <c r="FB26" s="488">
        <f>'Monthly Data'!FY2</f>
        <v>3518.4011241614344</v>
      </c>
      <c r="FC26" s="488">
        <f>'Monthly Data'!FZ2</f>
        <v>84234.463220239515</v>
      </c>
      <c r="FD26" s="488">
        <f>'Monthly Data'!GA2</f>
        <v>398353.41017792228</v>
      </c>
    </row>
    <row r="27" spans="1:160">
      <c r="A27">
        <v>2016</v>
      </c>
      <c r="B27">
        <v>2</v>
      </c>
      <c r="C27" s="200">
        <v>661.70833333333326</v>
      </c>
      <c r="D27" s="200">
        <v>0</v>
      </c>
      <c r="E27" s="200">
        <v>603.70833333333337</v>
      </c>
      <c r="F27" s="200">
        <v>0</v>
      </c>
      <c r="G27" s="200">
        <v>545.70833333333337</v>
      </c>
      <c r="H27" s="200">
        <v>0</v>
      </c>
      <c r="I27" s="200">
        <v>487.70833333333337</v>
      </c>
      <c r="J27" s="200">
        <v>0</v>
      </c>
      <c r="K27" s="200">
        <v>429.70833333333337</v>
      </c>
      <c r="L27" s="200">
        <v>0</v>
      </c>
      <c r="M27" s="200">
        <v>371.70833333333337</v>
      </c>
      <c r="N27" s="200">
        <v>0</v>
      </c>
      <c r="O27" s="200">
        <v>313.70833333333326</v>
      </c>
      <c r="P27" s="200">
        <v>0</v>
      </c>
      <c r="Q27" s="257">
        <v>-2.8175287356321834</v>
      </c>
      <c r="S27" s="3">
        <f>'Monthly Data'!D3</f>
        <v>76305256.827142537</v>
      </c>
      <c r="T27" s="3">
        <f>'Monthly Data'!J3</f>
        <v>884883.73710169818</v>
      </c>
      <c r="U27" s="3">
        <f>'Monthly Data'!P3</f>
        <v>23393877.938437324</v>
      </c>
      <c r="V27" s="3">
        <f>'Monthly Data'!V3</f>
        <v>76333258.280687109</v>
      </c>
      <c r="W27" s="3">
        <f>'Monthly Data'!AB3</f>
        <v>6179829.3320220588</v>
      </c>
      <c r="X27" s="3">
        <f>'Monthly Data'!AG3</f>
        <v>18389541.442927673</v>
      </c>
      <c r="Y27" s="3">
        <f>'Monthly Data'!BC3</f>
        <v>26393046.563640803</v>
      </c>
      <c r="Z27" s="3">
        <f>'Monthly Data'!BI3</f>
        <v>7092291.0563994637</v>
      </c>
      <c r="AA27" s="3">
        <f>'Monthly Data'!BO3</f>
        <v>29860209.647553287</v>
      </c>
      <c r="AB27" s="3">
        <f>'Monthly Data'!BU3</f>
        <v>4725349.5467695286</v>
      </c>
      <c r="BA27" s="277">
        <f t="shared" si="192"/>
        <v>2018</v>
      </c>
      <c r="BB27" s="281">
        <f t="shared" si="193"/>
        <v>0</v>
      </c>
      <c r="BC27" s="281">
        <f t="shared" si="193"/>
        <v>0</v>
      </c>
      <c r="BD27" s="281">
        <f t="shared" si="193"/>
        <v>0</v>
      </c>
      <c r="BE27" s="281">
        <f t="shared" si="193"/>
        <v>0</v>
      </c>
      <c r="BF27" s="281">
        <f t="shared" si="193"/>
        <v>13.3827380952381</v>
      </c>
      <c r="BG27" s="281">
        <f t="shared" si="193"/>
        <v>21.662499999999998</v>
      </c>
      <c r="BH27" s="281">
        <f t="shared" si="193"/>
        <v>75.365513833992097</v>
      </c>
      <c r="BI27" s="281">
        <f t="shared" si="193"/>
        <v>73.474999999999994</v>
      </c>
      <c r="BJ27" s="281">
        <f t="shared" si="193"/>
        <v>33.737500000000011</v>
      </c>
      <c r="BK27" s="281">
        <f t="shared" si="193"/>
        <v>1.6666666666665719E-2</v>
      </c>
      <c r="BL27" s="281">
        <f t="shared" si="193"/>
        <v>0</v>
      </c>
      <c r="BM27" s="281">
        <f t="shared" si="193"/>
        <v>0</v>
      </c>
      <c r="BN27" s="277"/>
      <c r="BO27" s="277">
        <f t="shared" si="194"/>
        <v>2018</v>
      </c>
      <c r="BP27" s="281">
        <f t="shared" si="195"/>
        <v>0</v>
      </c>
      <c r="BQ27" s="281">
        <f t="shared" si="186"/>
        <v>0</v>
      </c>
      <c r="BR27" s="281">
        <f t="shared" si="186"/>
        <v>0</v>
      </c>
      <c r="BS27" s="281">
        <f t="shared" si="186"/>
        <v>0</v>
      </c>
      <c r="BT27" s="281">
        <f t="shared" si="186"/>
        <v>29.9452380952381</v>
      </c>
      <c r="BU27" s="281">
        <f t="shared" si="186"/>
        <v>41.254166666666663</v>
      </c>
      <c r="BV27" s="281">
        <f t="shared" si="186"/>
        <v>132.59861424807079</v>
      </c>
      <c r="BW27" s="281">
        <f t="shared" si="186"/>
        <v>129.1541666666667</v>
      </c>
      <c r="BX27" s="281">
        <f t="shared" si="186"/>
        <v>60.55416666666666</v>
      </c>
      <c r="BY27" s="281">
        <f t="shared" si="186"/>
        <v>2.30833333333333</v>
      </c>
      <c r="BZ27" s="281">
        <f t="shared" si="186"/>
        <v>0</v>
      </c>
      <c r="CA27" s="281">
        <f t="shared" si="186"/>
        <v>0</v>
      </c>
      <c r="CB27" s="281">
        <f t="shared" si="196"/>
        <v>395.81468567664223</v>
      </c>
      <c r="CC27" s="277">
        <f t="shared" si="197"/>
        <v>2018</v>
      </c>
      <c r="CD27" s="281">
        <f t="shared" si="198"/>
        <v>0</v>
      </c>
      <c r="CE27" s="281">
        <f t="shared" si="187"/>
        <v>0</v>
      </c>
      <c r="CF27" s="281">
        <f t="shared" si="187"/>
        <v>0</v>
      </c>
      <c r="CG27" s="281">
        <f t="shared" si="187"/>
        <v>0</v>
      </c>
      <c r="CH27" s="281">
        <f t="shared" si="187"/>
        <v>50.000541125541133</v>
      </c>
      <c r="CI27" s="281">
        <f t="shared" si="187"/>
        <v>85.839772727272717</v>
      </c>
      <c r="CJ27" s="281">
        <f t="shared" si="187"/>
        <v>194.39861424807077</v>
      </c>
      <c r="CK27" s="281">
        <f t="shared" si="187"/>
        <v>190.24583333333339</v>
      </c>
      <c r="CL27" s="281">
        <f t="shared" si="187"/>
        <v>94.645833333333329</v>
      </c>
      <c r="CM27" s="281">
        <f t="shared" si="187"/>
        <v>8.0958333333333314</v>
      </c>
      <c r="CN27" s="281">
        <f t="shared" si="187"/>
        <v>0</v>
      </c>
      <c r="CO27" s="281">
        <f t="shared" si="187"/>
        <v>0</v>
      </c>
      <c r="CP27" s="277"/>
      <c r="CQ27" s="277">
        <f t="shared" si="199"/>
        <v>2018</v>
      </c>
      <c r="CR27" s="281">
        <f t="shared" si="200"/>
        <v>0</v>
      </c>
      <c r="CS27" s="281">
        <f t="shared" si="188"/>
        <v>0</v>
      </c>
      <c r="CT27" s="281">
        <f t="shared" si="188"/>
        <v>0</v>
      </c>
      <c r="CU27" s="281">
        <f t="shared" si="188"/>
        <v>0</v>
      </c>
      <c r="CV27" s="281">
        <f t="shared" si="188"/>
        <v>80.600541125541127</v>
      </c>
      <c r="CW27" s="281">
        <f t="shared" si="188"/>
        <v>141.51477272727271</v>
      </c>
      <c r="CX27" s="281">
        <f t="shared" si="188"/>
        <v>256.39861424807077</v>
      </c>
      <c r="CY27" s="281">
        <f t="shared" si="188"/>
        <v>252.24583333333339</v>
      </c>
      <c r="CZ27" s="281">
        <f t="shared" si="188"/>
        <v>135.06250000000003</v>
      </c>
      <c r="DA27" s="281">
        <f t="shared" si="188"/>
        <v>15.387500000000001</v>
      </c>
      <c r="DB27" s="281">
        <f t="shared" si="188"/>
        <v>0</v>
      </c>
      <c r="DC27" s="281">
        <f t="shared" si="188"/>
        <v>0</v>
      </c>
      <c r="DD27" s="277"/>
      <c r="DE27" s="277">
        <f t="shared" si="201"/>
        <v>2018</v>
      </c>
      <c r="DF27" s="281">
        <f t="shared" si="202"/>
        <v>0</v>
      </c>
      <c r="DG27" s="281">
        <f t="shared" si="189"/>
        <v>0</v>
      </c>
      <c r="DH27" s="281">
        <f t="shared" si="189"/>
        <v>0</v>
      </c>
      <c r="DI27" s="281">
        <f t="shared" si="189"/>
        <v>0</v>
      </c>
      <c r="DJ27" s="281">
        <f t="shared" si="189"/>
        <v>127.46720779220779</v>
      </c>
      <c r="DK27" s="281">
        <f t="shared" si="189"/>
        <v>198.19393939393944</v>
      </c>
      <c r="DL27" s="281">
        <f t="shared" si="189"/>
        <v>318.39861424807077</v>
      </c>
      <c r="DM27" s="281">
        <f t="shared" si="189"/>
        <v>314.24583333333334</v>
      </c>
      <c r="DN27" s="281">
        <f t="shared" si="189"/>
        <v>183.48333333333329</v>
      </c>
      <c r="DO27" s="281">
        <f t="shared" si="189"/>
        <v>25.358333333333334</v>
      </c>
      <c r="DP27" s="281">
        <f t="shared" si="189"/>
        <v>0</v>
      </c>
      <c r="DQ27" s="281">
        <f t="shared" si="189"/>
        <v>0</v>
      </c>
      <c r="DR27" s="277"/>
      <c r="DS27" s="277">
        <f t="shared" si="203"/>
        <v>2018</v>
      </c>
      <c r="DT27" s="281">
        <f t="shared" si="204"/>
        <v>0</v>
      </c>
      <c r="DU27" s="281">
        <f t="shared" si="190"/>
        <v>0</v>
      </c>
      <c r="DV27" s="281">
        <f t="shared" si="190"/>
        <v>0</v>
      </c>
      <c r="DW27" s="281">
        <f t="shared" si="190"/>
        <v>6.2499999999998224E-2</v>
      </c>
      <c r="DX27" s="281">
        <f t="shared" si="190"/>
        <v>185.32554112554109</v>
      </c>
      <c r="DY27" s="281">
        <f t="shared" si="190"/>
        <v>258.19393939393944</v>
      </c>
      <c r="DZ27" s="281">
        <f t="shared" si="190"/>
        <v>380.39861424807083</v>
      </c>
      <c r="EA27" s="281">
        <f t="shared" si="190"/>
        <v>376.24583333333334</v>
      </c>
      <c r="EB27" s="281">
        <f t="shared" si="190"/>
        <v>241.36666666666665</v>
      </c>
      <c r="EC27" s="281">
        <f t="shared" si="190"/>
        <v>41.524999999999999</v>
      </c>
      <c r="ED27" s="281">
        <f t="shared" si="190"/>
        <v>0.34166666666666856</v>
      </c>
      <c r="EE27" s="281">
        <f t="shared" si="190"/>
        <v>0</v>
      </c>
      <c r="EF27" s="277"/>
      <c r="EG27" s="277">
        <f t="shared" si="205"/>
        <v>2018</v>
      </c>
      <c r="EH27" s="281">
        <f t="shared" si="206"/>
        <v>0</v>
      </c>
      <c r="EI27" s="281">
        <f t="shared" si="191"/>
        <v>0</v>
      </c>
      <c r="EJ27" s="281">
        <f t="shared" si="191"/>
        <v>0</v>
      </c>
      <c r="EK27" s="281">
        <f t="shared" si="191"/>
        <v>6.15</v>
      </c>
      <c r="EL27" s="281">
        <f t="shared" si="191"/>
        <v>245.04220779220779</v>
      </c>
      <c r="EM27" s="281">
        <f t="shared" si="191"/>
        <v>318.19393939393939</v>
      </c>
      <c r="EN27" s="281">
        <f t="shared" si="191"/>
        <v>442.39861424807088</v>
      </c>
      <c r="EO27" s="281">
        <f t="shared" si="191"/>
        <v>438.24583333333322</v>
      </c>
      <c r="EP27" s="281">
        <f t="shared" si="191"/>
        <v>301.3666666666665</v>
      </c>
      <c r="EQ27" s="281">
        <f t="shared" si="191"/>
        <v>62.774999999999991</v>
      </c>
      <c r="ER27" s="281">
        <f t="shared" si="191"/>
        <v>2.7208333333333368</v>
      </c>
      <c r="ES27" s="281">
        <f t="shared" si="191"/>
        <v>0</v>
      </c>
      <c r="EU27" s="488">
        <f>'Monthly Data'!FO3</f>
        <v>722.66631449012436</v>
      </c>
      <c r="EV27" s="488">
        <f>'Monthly Data'!FP3</f>
        <v>564.99278997013653</v>
      </c>
      <c r="EW27" s="488">
        <f>'Monthly Data'!FQ3</f>
        <v>2672.5998672998135</v>
      </c>
      <c r="EX27" s="488">
        <f>'Monthly Data'!FR3</f>
        <v>73532.173439465114</v>
      </c>
      <c r="EY27" s="488">
        <f>'Monthly Data'!FS3</f>
        <v>1242247.8492626073</v>
      </c>
      <c r="EZ27" s="488">
        <f>'Monthly Data'!FT3</f>
        <v>6301065.2461886881</v>
      </c>
      <c r="FA27" s="488">
        <f>'Monthly Data'!FX3</f>
        <v>684.59299951174501</v>
      </c>
      <c r="FB27" s="488">
        <f>'Monthly Data'!FY3</f>
        <v>3293.7480316094448</v>
      </c>
      <c r="FC27" s="488">
        <f>'Monthly Data'!FZ3</f>
        <v>82535.19609303445</v>
      </c>
      <c r="FD27" s="488">
        <f>'Monthly Data'!GA3</f>
        <v>331818.14616414765</v>
      </c>
    </row>
    <row r="28" spans="1:160">
      <c r="A28">
        <v>2016</v>
      </c>
      <c r="B28">
        <v>3</v>
      </c>
      <c r="C28" s="200">
        <v>577.07934782608709</v>
      </c>
      <c r="D28" s="200">
        <v>0</v>
      </c>
      <c r="E28" s="200">
        <v>515.07934782608686</v>
      </c>
      <c r="F28" s="200">
        <v>0</v>
      </c>
      <c r="G28" s="200">
        <v>453.07934782608692</v>
      </c>
      <c r="H28" s="200">
        <v>0</v>
      </c>
      <c r="I28" s="200">
        <v>391.07934782608697</v>
      </c>
      <c r="J28" s="200">
        <v>0</v>
      </c>
      <c r="K28" s="200">
        <v>329.07934782608692</v>
      </c>
      <c r="L28" s="200">
        <v>0</v>
      </c>
      <c r="M28" s="200">
        <v>267.07934782608692</v>
      </c>
      <c r="N28" s="200">
        <v>0</v>
      </c>
      <c r="O28" s="200">
        <v>207.6751811594203</v>
      </c>
      <c r="P28" s="200">
        <v>2.595833333333335</v>
      </c>
      <c r="Q28" s="257">
        <v>1.3845371669004212</v>
      </c>
      <c r="S28" s="3">
        <f>'Monthly Data'!D4</f>
        <v>72844786.655513629</v>
      </c>
      <c r="T28" s="3">
        <f>'Monthly Data'!J4</f>
        <v>771186.06976722099</v>
      </c>
      <c r="U28" s="3">
        <f>'Monthly Data'!P4</f>
        <v>23034725.464434173</v>
      </c>
      <c r="V28" s="3">
        <f>'Monthly Data'!V4</f>
        <v>78356213.261571378</v>
      </c>
      <c r="W28" s="3">
        <f>'Monthly Data'!AB4</f>
        <v>6292273.9018087834</v>
      </c>
      <c r="X28" s="3">
        <f>'Monthly Data'!AG4</f>
        <v>18966216.533645697</v>
      </c>
      <c r="Y28" s="3">
        <f>'Monthly Data'!BC4</f>
        <v>25767519.902783524</v>
      </c>
      <c r="Z28" s="3">
        <f>'Monthly Data'!BI4</f>
        <v>7005032.8680409407</v>
      </c>
      <c r="AA28" s="3">
        <f>'Monthly Data'!BO4</f>
        <v>28965707.460822575</v>
      </c>
      <c r="AB28" s="3">
        <f>'Monthly Data'!BU4</f>
        <v>5043583.8862102227</v>
      </c>
      <c r="BA28" s="277">
        <f t="shared" si="192"/>
        <v>2019</v>
      </c>
      <c r="BB28" s="281">
        <f t="shared" si="193"/>
        <v>0</v>
      </c>
      <c r="BC28" s="281">
        <f t="shared" si="193"/>
        <v>0</v>
      </c>
      <c r="BD28" s="281">
        <f t="shared" si="193"/>
        <v>0</v>
      </c>
      <c r="BE28" s="281">
        <f t="shared" si="193"/>
        <v>0</v>
      </c>
      <c r="BF28" s="281">
        <f t="shared" si="193"/>
        <v>0</v>
      </c>
      <c r="BG28" s="281">
        <f t="shared" si="193"/>
        <v>10.4375</v>
      </c>
      <c r="BH28" s="281">
        <f t="shared" si="193"/>
        <v>74.574999999999989</v>
      </c>
      <c r="BI28" s="281">
        <f t="shared" si="193"/>
        <v>23.162500000000009</v>
      </c>
      <c r="BJ28" s="281">
        <f t="shared" si="193"/>
        <v>5.0833333333333286</v>
      </c>
      <c r="BK28" s="281">
        <f t="shared" si="193"/>
        <v>0</v>
      </c>
      <c r="BL28" s="281">
        <f t="shared" si="193"/>
        <v>0</v>
      </c>
      <c r="BM28" s="281">
        <f t="shared" si="193"/>
        <v>0</v>
      </c>
      <c r="BN28" s="277"/>
      <c r="BO28" s="277">
        <f t="shared" si="194"/>
        <v>2019</v>
      </c>
      <c r="BP28" s="281">
        <f t="shared" si="195"/>
        <v>0</v>
      </c>
      <c r="BQ28" s="281">
        <f t="shared" si="186"/>
        <v>0</v>
      </c>
      <c r="BR28" s="281">
        <f t="shared" si="186"/>
        <v>0</v>
      </c>
      <c r="BS28" s="281">
        <f t="shared" si="186"/>
        <v>0</v>
      </c>
      <c r="BT28" s="281">
        <f t="shared" si="186"/>
        <v>0</v>
      </c>
      <c r="BU28" s="281">
        <f t="shared" si="186"/>
        <v>35.862499999999976</v>
      </c>
      <c r="BV28" s="281">
        <f t="shared" si="186"/>
        <v>135.6</v>
      </c>
      <c r="BW28" s="281">
        <f t="shared" si="186"/>
        <v>70.716666666666669</v>
      </c>
      <c r="BX28" s="281">
        <f t="shared" si="186"/>
        <v>13.570833333333326</v>
      </c>
      <c r="BY28" s="281">
        <f t="shared" si="186"/>
        <v>1.8125000000000036</v>
      </c>
      <c r="BZ28" s="281">
        <f t="shared" si="186"/>
        <v>0</v>
      </c>
      <c r="CA28" s="281">
        <f t="shared" si="186"/>
        <v>0</v>
      </c>
      <c r="CB28" s="281">
        <f t="shared" si="196"/>
        <v>257.5625</v>
      </c>
      <c r="CC28" s="277">
        <f t="shared" si="197"/>
        <v>2019</v>
      </c>
      <c r="CD28" s="281">
        <f t="shared" si="198"/>
        <v>0</v>
      </c>
      <c r="CE28" s="281">
        <f t="shared" si="187"/>
        <v>0</v>
      </c>
      <c r="CF28" s="281">
        <f t="shared" si="187"/>
        <v>0</v>
      </c>
      <c r="CG28" s="281">
        <f t="shared" si="187"/>
        <v>0</v>
      </c>
      <c r="CH28" s="281">
        <f t="shared" si="187"/>
        <v>2.4041666666666686</v>
      </c>
      <c r="CI28" s="281">
        <f t="shared" si="187"/>
        <v>71.666666666666629</v>
      </c>
      <c r="CJ28" s="281">
        <f t="shared" si="187"/>
        <v>197.60000000000005</v>
      </c>
      <c r="CK28" s="281">
        <f t="shared" si="187"/>
        <v>128.07083333333338</v>
      </c>
      <c r="CL28" s="281">
        <f t="shared" si="187"/>
        <v>32.520833333333329</v>
      </c>
      <c r="CM28" s="281">
        <f t="shared" si="187"/>
        <v>3.8125000000000036</v>
      </c>
      <c r="CN28" s="281">
        <f t="shared" si="187"/>
        <v>0</v>
      </c>
      <c r="CO28" s="281">
        <f t="shared" si="187"/>
        <v>0</v>
      </c>
      <c r="CP28" s="277"/>
      <c r="CQ28" s="277">
        <f t="shared" si="199"/>
        <v>2019</v>
      </c>
      <c r="CR28" s="281">
        <f t="shared" si="200"/>
        <v>0</v>
      </c>
      <c r="CS28" s="281">
        <f t="shared" si="188"/>
        <v>0</v>
      </c>
      <c r="CT28" s="281">
        <f t="shared" si="188"/>
        <v>0</v>
      </c>
      <c r="CU28" s="281">
        <f t="shared" si="188"/>
        <v>0</v>
      </c>
      <c r="CV28" s="281">
        <f t="shared" si="188"/>
        <v>11.208333333333332</v>
      </c>
      <c r="CW28" s="281">
        <f t="shared" si="188"/>
        <v>118.81666666666663</v>
      </c>
      <c r="CX28" s="281">
        <f t="shared" si="188"/>
        <v>259.60000000000008</v>
      </c>
      <c r="CY28" s="281">
        <f t="shared" si="188"/>
        <v>190.07083333333335</v>
      </c>
      <c r="CZ28" s="281">
        <f t="shared" si="188"/>
        <v>76.5</v>
      </c>
      <c r="DA28" s="281">
        <f t="shared" si="188"/>
        <v>7.3333333333333357</v>
      </c>
      <c r="DB28" s="281">
        <f t="shared" si="188"/>
        <v>0</v>
      </c>
      <c r="DC28" s="281">
        <f t="shared" si="188"/>
        <v>0</v>
      </c>
      <c r="DD28" s="277"/>
      <c r="DE28" s="277">
        <f t="shared" si="201"/>
        <v>2019</v>
      </c>
      <c r="DF28" s="281">
        <f t="shared" si="202"/>
        <v>0</v>
      </c>
      <c r="DG28" s="281">
        <f t="shared" si="189"/>
        <v>0</v>
      </c>
      <c r="DH28" s="281">
        <f t="shared" si="189"/>
        <v>0</v>
      </c>
      <c r="DI28" s="281">
        <f t="shared" si="189"/>
        <v>0.84583333333333144</v>
      </c>
      <c r="DJ28" s="281">
        <f t="shared" si="189"/>
        <v>27.579166666666666</v>
      </c>
      <c r="DK28" s="281">
        <f t="shared" si="189"/>
        <v>173.67083333333326</v>
      </c>
      <c r="DL28" s="281">
        <f t="shared" si="189"/>
        <v>321.60000000000002</v>
      </c>
      <c r="DM28" s="281">
        <f t="shared" si="189"/>
        <v>252.07083333333335</v>
      </c>
      <c r="DN28" s="281">
        <f t="shared" si="189"/>
        <v>131.93750000000003</v>
      </c>
      <c r="DO28" s="281">
        <f t="shared" si="189"/>
        <v>16.670833333333334</v>
      </c>
      <c r="DP28" s="281">
        <f t="shared" si="189"/>
        <v>0</v>
      </c>
      <c r="DQ28" s="281">
        <f t="shared" si="189"/>
        <v>0</v>
      </c>
      <c r="DR28" s="277"/>
      <c r="DS28" s="277">
        <f t="shared" si="203"/>
        <v>2019</v>
      </c>
      <c r="DT28" s="281">
        <f t="shared" si="204"/>
        <v>0</v>
      </c>
      <c r="DU28" s="281">
        <f t="shared" si="190"/>
        <v>0</v>
      </c>
      <c r="DV28" s="281">
        <f t="shared" si="190"/>
        <v>0</v>
      </c>
      <c r="DW28" s="281">
        <f t="shared" si="190"/>
        <v>2.8791666666666664</v>
      </c>
      <c r="DX28" s="281">
        <f t="shared" si="190"/>
        <v>63.802850877192981</v>
      </c>
      <c r="DY28" s="281">
        <f t="shared" si="190"/>
        <v>230.72083333333327</v>
      </c>
      <c r="DZ28" s="281">
        <f t="shared" si="190"/>
        <v>383.6</v>
      </c>
      <c r="EA28" s="281">
        <f t="shared" si="190"/>
        <v>314.07083333333338</v>
      </c>
      <c r="EB28" s="281">
        <f t="shared" si="190"/>
        <v>191.51666666666671</v>
      </c>
      <c r="EC28" s="281">
        <f t="shared" si="190"/>
        <v>37.229166666666664</v>
      </c>
      <c r="ED28" s="281">
        <f t="shared" si="190"/>
        <v>0</v>
      </c>
      <c r="EE28" s="281">
        <f t="shared" si="190"/>
        <v>0</v>
      </c>
      <c r="EF28" s="277"/>
      <c r="EG28" s="277">
        <f t="shared" si="205"/>
        <v>2019</v>
      </c>
      <c r="EH28" s="281">
        <f t="shared" si="206"/>
        <v>0</v>
      </c>
      <c r="EI28" s="281">
        <f t="shared" si="191"/>
        <v>0</v>
      </c>
      <c r="EJ28" s="281">
        <f t="shared" si="191"/>
        <v>0</v>
      </c>
      <c r="EK28" s="281">
        <f t="shared" si="191"/>
        <v>14.591666666666663</v>
      </c>
      <c r="EL28" s="281">
        <f t="shared" si="191"/>
        <v>109.86951754385964</v>
      </c>
      <c r="EM28" s="281">
        <f t="shared" si="191"/>
        <v>289.74166666666656</v>
      </c>
      <c r="EN28" s="281">
        <f t="shared" si="191"/>
        <v>445.60000000000008</v>
      </c>
      <c r="EO28" s="281">
        <f t="shared" si="191"/>
        <v>376.07083333333338</v>
      </c>
      <c r="EP28" s="281">
        <f t="shared" si="191"/>
        <v>251.51666666666671</v>
      </c>
      <c r="EQ28" s="281">
        <f t="shared" si="191"/>
        <v>76.099999999999994</v>
      </c>
      <c r="ER28" s="281">
        <f t="shared" si="191"/>
        <v>0</v>
      </c>
      <c r="ES28" s="281">
        <f t="shared" si="191"/>
        <v>0</v>
      </c>
      <c r="EU28" s="488">
        <f>'Monthly Data'!FO4</f>
        <v>690.29525864385846</v>
      </c>
      <c r="EV28" s="488">
        <f>'Monthly Data'!FP4</f>
        <v>493.91838146299892</v>
      </c>
      <c r="EW28" s="488">
        <f>'Monthly Data'!FQ4</f>
        <v>2632.0590527368186</v>
      </c>
      <c r="EX28" s="488">
        <f>'Monthly Data'!FR4</f>
        <v>75552.275363991052</v>
      </c>
      <c r="EY28" s="488">
        <f>'Monthly Data'!FS4</f>
        <v>1265187.2472606117</v>
      </c>
      <c r="EZ28" s="488">
        <f>'Monthly Data'!FT4</f>
        <v>6499246.8542688005</v>
      </c>
      <c r="FA28" s="488">
        <f>'Monthly Data'!FX4</f>
        <v>668.96960492132052</v>
      </c>
      <c r="FB28" s="488">
        <f>'Monthly Data'!FY4</f>
        <v>3249.5798994259949</v>
      </c>
      <c r="FC28" s="488">
        <f>'Monthly Data'!FZ4</f>
        <v>80086.986113418126</v>
      </c>
      <c r="FD28" s="488">
        <f>'Monthly Data'!GA4</f>
        <v>300357.91563038068</v>
      </c>
    </row>
    <row r="29" spans="1:160">
      <c r="A29">
        <v>2016</v>
      </c>
      <c r="B29">
        <v>4</v>
      </c>
      <c r="C29" s="200">
        <v>465.98333333333341</v>
      </c>
      <c r="D29" s="200">
        <v>0</v>
      </c>
      <c r="E29" s="200">
        <v>405.98333333333341</v>
      </c>
      <c r="F29" s="200">
        <v>0</v>
      </c>
      <c r="G29" s="200">
        <v>345.98333333333335</v>
      </c>
      <c r="H29" s="200">
        <v>0</v>
      </c>
      <c r="I29" s="200">
        <v>286.81666666666661</v>
      </c>
      <c r="J29" s="200">
        <v>0.83333333333333393</v>
      </c>
      <c r="K29" s="200">
        <v>229.20416666666662</v>
      </c>
      <c r="L29" s="200">
        <v>3.2208333333333368</v>
      </c>
      <c r="M29" s="200">
        <v>175.33749999999998</v>
      </c>
      <c r="N29" s="200">
        <v>9.3541666666666732</v>
      </c>
      <c r="O29" s="200">
        <v>127.94999999999997</v>
      </c>
      <c r="P29" s="200">
        <v>21.966666666666676</v>
      </c>
      <c r="Q29" s="257">
        <v>4.4672222222222224</v>
      </c>
      <c r="S29" s="3">
        <f>'Monthly Data'!D5</f>
        <v>64239807.943303466</v>
      </c>
      <c r="T29" s="3">
        <f>'Monthly Data'!J5</f>
        <v>644320.35460789921</v>
      </c>
      <c r="U29" s="3">
        <f>'Monthly Data'!P5</f>
        <v>21056387.070368249</v>
      </c>
      <c r="V29" s="3">
        <f>'Monthly Data'!V5</f>
        <v>74223294.75648424</v>
      </c>
      <c r="W29" s="3">
        <f>'Monthly Data'!AB5</f>
        <v>6451256.1706969012</v>
      </c>
      <c r="X29" s="3">
        <f>'Monthly Data'!AG5</f>
        <v>18890287.626626015</v>
      </c>
      <c r="Y29" s="3">
        <f>'Monthly Data'!BC5</f>
        <v>23310126.27999799</v>
      </c>
      <c r="Z29" s="3">
        <f>'Monthly Data'!BI5</f>
        <v>6516276.3955519414</v>
      </c>
      <c r="AA29" s="3">
        <f>'Monthly Data'!BO5</f>
        <v>27734037.547883518</v>
      </c>
      <c r="AB29" s="3">
        <f>'Monthly Data'!BU5</f>
        <v>4946593.6451301835</v>
      </c>
      <c r="BA29" s="277">
        <f t="shared" si="192"/>
        <v>2020</v>
      </c>
      <c r="BB29" s="281">
        <f t="shared" si="193"/>
        <v>0</v>
      </c>
      <c r="BC29" s="281">
        <f t="shared" si="193"/>
        <v>0</v>
      </c>
      <c r="BD29" s="281">
        <f t="shared" si="193"/>
        <v>0</v>
      </c>
      <c r="BE29" s="281">
        <f t="shared" si="193"/>
        <v>0</v>
      </c>
      <c r="BF29" s="281">
        <f t="shared" si="193"/>
        <v>7.9916666666666636</v>
      </c>
      <c r="BG29" s="281">
        <f t="shared" si="193"/>
        <v>35.811231884057946</v>
      </c>
      <c r="BH29" s="281">
        <f t="shared" si="193"/>
        <v>122.88750000000002</v>
      </c>
      <c r="BI29" s="281">
        <f t="shared" si="193"/>
        <v>50.651893939393972</v>
      </c>
      <c r="BJ29" s="281">
        <f t="shared" si="193"/>
        <v>4.6041666666666714</v>
      </c>
      <c r="BK29" s="281">
        <f t="shared" si="193"/>
        <v>0</v>
      </c>
      <c r="BL29" s="281">
        <f t="shared" si="193"/>
        <v>0</v>
      </c>
      <c r="BM29" s="281">
        <f t="shared" si="193"/>
        <v>0</v>
      </c>
      <c r="BN29" s="277"/>
      <c r="BO29" s="277">
        <f t="shared" si="194"/>
        <v>2020</v>
      </c>
      <c r="BP29" s="281">
        <f t="shared" si="195"/>
        <v>0</v>
      </c>
      <c r="BQ29" s="281">
        <f t="shared" si="186"/>
        <v>0</v>
      </c>
      <c r="BR29" s="281">
        <f t="shared" si="186"/>
        <v>0</v>
      </c>
      <c r="BS29" s="281">
        <f t="shared" si="186"/>
        <v>0</v>
      </c>
      <c r="BT29" s="281">
        <f t="shared" si="186"/>
        <v>17.587499999999995</v>
      </c>
      <c r="BU29" s="281">
        <f t="shared" si="186"/>
        <v>72.269565217391289</v>
      </c>
      <c r="BV29" s="281">
        <f t="shared" si="186"/>
        <v>184.88749999999999</v>
      </c>
      <c r="BW29" s="281">
        <f t="shared" si="186"/>
        <v>96.418560606060637</v>
      </c>
      <c r="BX29" s="281">
        <f t="shared" si="186"/>
        <v>16.887500000000003</v>
      </c>
      <c r="BY29" s="281">
        <f t="shared" si="186"/>
        <v>0</v>
      </c>
      <c r="BZ29" s="281">
        <f t="shared" si="186"/>
        <v>0</v>
      </c>
      <c r="CA29" s="281">
        <f t="shared" si="186"/>
        <v>0</v>
      </c>
      <c r="CB29" s="281">
        <f t="shared" si="196"/>
        <v>388.05062582345187</v>
      </c>
      <c r="CC29" s="277">
        <f t="shared" si="197"/>
        <v>2020</v>
      </c>
      <c r="CD29" s="281">
        <f t="shared" si="198"/>
        <v>0</v>
      </c>
      <c r="CE29" s="281">
        <f t="shared" si="187"/>
        <v>0</v>
      </c>
      <c r="CF29" s="281">
        <f t="shared" si="187"/>
        <v>0</v>
      </c>
      <c r="CG29" s="281">
        <f t="shared" si="187"/>
        <v>0</v>
      </c>
      <c r="CH29" s="281">
        <f t="shared" si="187"/>
        <v>31.450595238095232</v>
      </c>
      <c r="CI29" s="281">
        <f t="shared" si="187"/>
        <v>115.68206521739128</v>
      </c>
      <c r="CJ29" s="281">
        <f t="shared" si="187"/>
        <v>246.88749999999999</v>
      </c>
      <c r="CK29" s="281">
        <f t="shared" si="187"/>
        <v>154.93106060606064</v>
      </c>
      <c r="CL29" s="281">
        <f t="shared" si="187"/>
        <v>37.879166666666663</v>
      </c>
      <c r="CM29" s="281">
        <f t="shared" si="187"/>
        <v>0.22916666666666785</v>
      </c>
      <c r="CN29" s="281">
        <f t="shared" si="187"/>
        <v>0</v>
      </c>
      <c r="CO29" s="281">
        <f t="shared" si="187"/>
        <v>0</v>
      </c>
      <c r="CP29" s="277"/>
      <c r="CQ29" s="277">
        <f t="shared" si="199"/>
        <v>2020</v>
      </c>
      <c r="CR29" s="281">
        <f t="shared" si="200"/>
        <v>0</v>
      </c>
      <c r="CS29" s="281">
        <f t="shared" si="188"/>
        <v>0</v>
      </c>
      <c r="CT29" s="281">
        <f t="shared" si="188"/>
        <v>0</v>
      </c>
      <c r="CU29" s="281">
        <f t="shared" si="188"/>
        <v>0</v>
      </c>
      <c r="CV29" s="281">
        <f t="shared" si="188"/>
        <v>50.900595238095221</v>
      </c>
      <c r="CW29" s="281">
        <f t="shared" si="188"/>
        <v>165.96956521739128</v>
      </c>
      <c r="CX29" s="281">
        <f t="shared" si="188"/>
        <v>308.88750000000005</v>
      </c>
      <c r="CY29" s="281">
        <f t="shared" si="188"/>
        <v>216.93106060606064</v>
      </c>
      <c r="CZ29" s="281">
        <f t="shared" si="188"/>
        <v>75.812499999999972</v>
      </c>
      <c r="DA29" s="281">
        <f t="shared" si="188"/>
        <v>3.9291666666666654</v>
      </c>
      <c r="DB29" s="281">
        <f t="shared" si="188"/>
        <v>0</v>
      </c>
      <c r="DC29" s="281">
        <f t="shared" si="188"/>
        <v>0</v>
      </c>
      <c r="DD29" s="277"/>
      <c r="DE29" s="277">
        <f t="shared" si="201"/>
        <v>2020</v>
      </c>
      <c r="DF29" s="281">
        <f t="shared" si="202"/>
        <v>0</v>
      </c>
      <c r="DG29" s="281">
        <f t="shared" si="189"/>
        <v>0</v>
      </c>
      <c r="DH29" s="281">
        <f t="shared" si="189"/>
        <v>0</v>
      </c>
      <c r="DI29" s="281">
        <f t="shared" si="189"/>
        <v>0</v>
      </c>
      <c r="DJ29" s="281">
        <f t="shared" si="189"/>
        <v>77.750595238095229</v>
      </c>
      <c r="DK29" s="281">
        <f t="shared" si="189"/>
        <v>222.53623188405788</v>
      </c>
      <c r="DL29" s="281">
        <f t="shared" si="189"/>
        <v>370.88750000000005</v>
      </c>
      <c r="DM29" s="281">
        <f t="shared" si="189"/>
        <v>278.93106060606061</v>
      </c>
      <c r="DN29" s="281">
        <f t="shared" si="189"/>
        <v>120.81213768115938</v>
      </c>
      <c r="DO29" s="281">
        <f t="shared" si="189"/>
        <v>10.262500000000003</v>
      </c>
      <c r="DP29" s="281">
        <f t="shared" si="189"/>
        <v>1.8291666666666622</v>
      </c>
      <c r="DQ29" s="281">
        <f t="shared" si="189"/>
        <v>0</v>
      </c>
      <c r="DR29" s="277"/>
      <c r="DS29" s="277">
        <f t="shared" si="203"/>
        <v>2020</v>
      </c>
      <c r="DT29" s="281">
        <f t="shared" si="204"/>
        <v>0</v>
      </c>
      <c r="DU29" s="281">
        <f t="shared" si="190"/>
        <v>0</v>
      </c>
      <c r="DV29" s="281">
        <f t="shared" si="190"/>
        <v>3.7499999999999645E-2</v>
      </c>
      <c r="DW29" s="281">
        <f t="shared" si="190"/>
        <v>2.1541666666666721</v>
      </c>
      <c r="DX29" s="281">
        <f t="shared" si="190"/>
        <v>111.87976190476191</v>
      </c>
      <c r="DY29" s="281">
        <f t="shared" si="190"/>
        <v>282.53623188405788</v>
      </c>
      <c r="DZ29" s="281">
        <f t="shared" si="190"/>
        <v>432.88750000000005</v>
      </c>
      <c r="EA29" s="281">
        <f t="shared" si="190"/>
        <v>340.93106060606056</v>
      </c>
      <c r="EB29" s="281">
        <f t="shared" si="190"/>
        <v>174.07880434782609</v>
      </c>
      <c r="EC29" s="281">
        <f t="shared" si="190"/>
        <v>31.466666666666676</v>
      </c>
      <c r="ED29" s="281">
        <f t="shared" si="190"/>
        <v>9.9624999999999932</v>
      </c>
      <c r="EE29" s="281">
        <f t="shared" si="190"/>
        <v>0</v>
      </c>
      <c r="EF29" s="277"/>
      <c r="EG29" s="277">
        <f t="shared" si="205"/>
        <v>2020</v>
      </c>
      <c r="EH29" s="281">
        <f t="shared" si="206"/>
        <v>0</v>
      </c>
      <c r="EI29" s="281">
        <f t="shared" si="191"/>
        <v>0</v>
      </c>
      <c r="EJ29" s="281">
        <f t="shared" si="191"/>
        <v>2.9041666666666668</v>
      </c>
      <c r="EK29" s="281">
        <f t="shared" si="191"/>
        <v>9.5083333333333364</v>
      </c>
      <c r="EL29" s="281">
        <f t="shared" si="191"/>
        <v>151.37559523809523</v>
      </c>
      <c r="EM29" s="281">
        <f t="shared" si="191"/>
        <v>342.536231884058</v>
      </c>
      <c r="EN29" s="281">
        <f t="shared" si="191"/>
        <v>494.88750000000005</v>
      </c>
      <c r="EO29" s="281">
        <f t="shared" si="191"/>
        <v>402.93106060606067</v>
      </c>
      <c r="EP29" s="281">
        <f t="shared" si="191"/>
        <v>231.84547101449272</v>
      </c>
      <c r="EQ29" s="281">
        <f t="shared" si="191"/>
        <v>60.620833333333344</v>
      </c>
      <c r="ER29" s="281">
        <f t="shared" si="191"/>
        <v>26.574999999999996</v>
      </c>
      <c r="ES29" s="281">
        <f t="shared" si="191"/>
        <v>0</v>
      </c>
      <c r="EU29" s="488">
        <f>'Monthly Data'!FO5</f>
        <v>610.00283335376878</v>
      </c>
      <c r="EV29" s="488">
        <f>'Monthly Data'!FP5</f>
        <v>414.50174092476385</v>
      </c>
      <c r="EW29" s="488">
        <f>'Monthly Data'!FQ5</f>
        <v>2410.3889313443547</v>
      </c>
      <c r="EX29" s="488">
        <f>'Monthly Data'!FR5</f>
        <v>71759.303305106179</v>
      </c>
      <c r="EY29" s="488">
        <f>'Monthly Data'!FS5</f>
        <v>1297434.1850788947</v>
      </c>
      <c r="EZ29" s="488">
        <f>'Monthly Data'!FT5</f>
        <v>6479893.7964363443</v>
      </c>
      <c r="FA29" s="488">
        <f>'Monthly Data'!FX5</f>
        <v>606.8311087660195</v>
      </c>
      <c r="FB29" s="488">
        <f>'Monthly Data'!FY5</f>
        <v>3022.4398296199133</v>
      </c>
      <c r="FC29" s="488">
        <f>'Monthly Data'!FZ5</f>
        <v>76721.453435033269</v>
      </c>
      <c r="FD29" s="488">
        <f>'Monthly Data'!GA5</f>
        <v>260013.59766596518</v>
      </c>
    </row>
    <row r="30" spans="1:160">
      <c r="A30">
        <v>2016</v>
      </c>
      <c r="B30">
        <v>5</v>
      </c>
      <c r="C30" s="200">
        <v>203.72361111111115</v>
      </c>
      <c r="D30" s="200">
        <v>8.9833333333333307</v>
      </c>
      <c r="E30" s="200">
        <v>154.58611111111114</v>
      </c>
      <c r="F30" s="200">
        <v>21.845833333333335</v>
      </c>
      <c r="G30" s="200">
        <v>111.69444444444443</v>
      </c>
      <c r="H30" s="200">
        <v>40.95416666666668</v>
      </c>
      <c r="I30" s="200">
        <v>75.344444444444463</v>
      </c>
      <c r="J30" s="200">
        <v>66.604166666666671</v>
      </c>
      <c r="K30" s="200">
        <v>45.036111111111126</v>
      </c>
      <c r="L30" s="200">
        <v>98.295833333333348</v>
      </c>
      <c r="M30" s="200">
        <v>18.829166666666676</v>
      </c>
      <c r="N30" s="200">
        <v>134.0888888888889</v>
      </c>
      <c r="O30" s="200">
        <v>4.2083333333333348</v>
      </c>
      <c r="P30" s="200">
        <v>181.46805555555554</v>
      </c>
      <c r="Q30" s="257">
        <v>13.718055555555555</v>
      </c>
      <c r="S30" s="3">
        <f>'Monthly Data'!D6</f>
        <v>63958037.171408132</v>
      </c>
      <c r="T30" s="3">
        <f>'Monthly Data'!J6</f>
        <v>628366.47031100933</v>
      </c>
      <c r="U30" s="3">
        <f>'Monthly Data'!P6</f>
        <v>20712117.338446863</v>
      </c>
      <c r="V30" s="3">
        <f>'Monthly Data'!V6</f>
        <v>75508795.924534813</v>
      </c>
      <c r="W30" s="3">
        <f>'Monthly Data'!AB6</f>
        <v>5672283.3217632752</v>
      </c>
      <c r="X30" s="3">
        <f>'Monthly Data'!AG6</f>
        <v>17847735.834621124</v>
      </c>
      <c r="Y30" s="3">
        <f>'Monthly Data'!BC6</f>
        <v>25746095.995293856</v>
      </c>
      <c r="Z30" s="3">
        <f>'Monthly Data'!BI6</f>
        <v>6531592.6086187009</v>
      </c>
      <c r="AA30" s="3">
        <f>'Monthly Data'!BO6</f>
        <v>27479675.090963673</v>
      </c>
      <c r="AB30" s="3">
        <f>'Monthly Data'!BU6</f>
        <v>5092232.2854387658</v>
      </c>
      <c r="BA30" s="277">
        <f t="shared" si="192"/>
        <v>2021</v>
      </c>
      <c r="BB30" s="281">
        <f t="shared" si="193"/>
        <v>0</v>
      </c>
      <c r="BC30" s="281">
        <f t="shared" si="193"/>
        <v>0</v>
      </c>
      <c r="BD30" s="281">
        <f t="shared" si="193"/>
        <v>0</v>
      </c>
      <c r="BE30" s="281">
        <f t="shared" si="193"/>
        <v>0</v>
      </c>
      <c r="BF30" s="281">
        <f t="shared" si="193"/>
        <v>6.4541666666666622</v>
      </c>
      <c r="BG30" s="281">
        <f t="shared" si="193"/>
        <v>37.74166666666666</v>
      </c>
      <c r="BH30" s="281">
        <f t="shared" si="193"/>
        <v>32.391666666666652</v>
      </c>
      <c r="BI30" s="281">
        <f t="shared" si="193"/>
        <v>88.587499999999991</v>
      </c>
      <c r="BJ30" s="281">
        <f t="shared" si="193"/>
        <v>2.37916666666667</v>
      </c>
      <c r="BK30" s="281">
        <f t="shared" si="193"/>
        <v>0</v>
      </c>
      <c r="BL30" s="281">
        <f t="shared" si="193"/>
        <v>0</v>
      </c>
      <c r="BM30" s="281">
        <f t="shared" si="193"/>
        <v>0</v>
      </c>
      <c r="BN30" s="277"/>
      <c r="BO30" s="277">
        <f t="shared" si="194"/>
        <v>2021</v>
      </c>
      <c r="BP30" s="281">
        <f t="shared" si="195"/>
        <v>0</v>
      </c>
      <c r="BQ30" s="281">
        <f t="shared" si="186"/>
        <v>0</v>
      </c>
      <c r="BR30" s="281">
        <f t="shared" si="186"/>
        <v>0</v>
      </c>
      <c r="BS30" s="281">
        <f t="shared" si="186"/>
        <v>0</v>
      </c>
      <c r="BT30" s="281">
        <f t="shared" si="186"/>
        <v>20.174999999999997</v>
      </c>
      <c r="BU30" s="281">
        <f t="shared" si="186"/>
        <v>75.92916666666666</v>
      </c>
      <c r="BV30" s="281">
        <f t="shared" si="186"/>
        <v>74.229166666666615</v>
      </c>
      <c r="BW30" s="281">
        <f t="shared" si="186"/>
        <v>142.75416666666666</v>
      </c>
      <c r="BX30" s="281">
        <f t="shared" si="186"/>
        <v>14.954166666666683</v>
      </c>
      <c r="BY30" s="281">
        <f t="shared" si="186"/>
        <v>1.2875000000000014</v>
      </c>
      <c r="BZ30" s="281">
        <f t="shared" si="186"/>
        <v>0</v>
      </c>
      <c r="CA30" s="281">
        <f t="shared" si="186"/>
        <v>0</v>
      </c>
      <c r="CB30" s="281">
        <f t="shared" si="196"/>
        <v>329.32916666666665</v>
      </c>
      <c r="CC30" s="277">
        <f t="shared" si="197"/>
        <v>2021</v>
      </c>
      <c r="CD30" s="281">
        <f t="shared" si="198"/>
        <v>0</v>
      </c>
      <c r="CE30" s="281">
        <f t="shared" si="187"/>
        <v>0</v>
      </c>
      <c r="CF30" s="281">
        <f t="shared" si="187"/>
        <v>0</v>
      </c>
      <c r="CG30" s="281">
        <f t="shared" si="187"/>
        <v>0.21249999999999858</v>
      </c>
      <c r="CH30" s="281">
        <f t="shared" si="187"/>
        <v>35.574999999999996</v>
      </c>
      <c r="CI30" s="281">
        <f t="shared" si="187"/>
        <v>124.94583333333331</v>
      </c>
      <c r="CJ30" s="281">
        <f t="shared" si="187"/>
        <v>131.62083333333331</v>
      </c>
      <c r="CK30" s="281">
        <f t="shared" si="187"/>
        <v>204.06249999999994</v>
      </c>
      <c r="CL30" s="281">
        <f t="shared" si="187"/>
        <v>49.341666666666683</v>
      </c>
      <c r="CM30" s="281">
        <f t="shared" si="187"/>
        <v>18.245833333333344</v>
      </c>
      <c r="CN30" s="281">
        <f t="shared" si="187"/>
        <v>0</v>
      </c>
      <c r="CO30" s="281">
        <f t="shared" si="187"/>
        <v>0</v>
      </c>
      <c r="CP30" s="277"/>
      <c r="CQ30" s="277">
        <f t="shared" si="199"/>
        <v>2021</v>
      </c>
      <c r="CR30" s="281">
        <f t="shared" si="200"/>
        <v>0</v>
      </c>
      <c r="CS30" s="281">
        <f t="shared" si="188"/>
        <v>0</v>
      </c>
      <c r="CT30" s="281">
        <f t="shared" si="188"/>
        <v>0</v>
      </c>
      <c r="CU30" s="281">
        <f t="shared" si="188"/>
        <v>3.7083333333333339</v>
      </c>
      <c r="CV30" s="281">
        <f t="shared" si="188"/>
        <v>53.908333333333317</v>
      </c>
      <c r="CW30" s="281">
        <f t="shared" si="188"/>
        <v>181.67499999999995</v>
      </c>
      <c r="CX30" s="281">
        <f t="shared" si="188"/>
        <v>192.87499999999994</v>
      </c>
      <c r="CY30" s="281">
        <f t="shared" si="188"/>
        <v>266.0625</v>
      </c>
      <c r="CZ30" s="281">
        <f t="shared" si="188"/>
        <v>95.25833333333334</v>
      </c>
      <c r="DA30" s="281">
        <f t="shared" si="188"/>
        <v>44.562500000000028</v>
      </c>
      <c r="DB30" s="281">
        <f t="shared" si="188"/>
        <v>0</v>
      </c>
      <c r="DC30" s="281">
        <f t="shared" si="188"/>
        <v>0</v>
      </c>
      <c r="DD30" s="277"/>
      <c r="DE30" s="277">
        <f t="shared" si="201"/>
        <v>2021</v>
      </c>
      <c r="DF30" s="281">
        <f t="shared" si="202"/>
        <v>0</v>
      </c>
      <c r="DG30" s="281">
        <f t="shared" si="189"/>
        <v>0</v>
      </c>
      <c r="DH30" s="281">
        <f t="shared" si="189"/>
        <v>0.29583333333332895</v>
      </c>
      <c r="DI30" s="281">
        <f t="shared" si="189"/>
        <v>11.054166666666664</v>
      </c>
      <c r="DJ30" s="281">
        <f t="shared" si="189"/>
        <v>83.256944444444414</v>
      </c>
      <c r="DK30" s="281">
        <f t="shared" si="189"/>
        <v>241.67500000000001</v>
      </c>
      <c r="DL30" s="281">
        <f t="shared" si="189"/>
        <v>254.87499999999994</v>
      </c>
      <c r="DM30" s="281">
        <f t="shared" si="189"/>
        <v>328.06249999999989</v>
      </c>
      <c r="DN30" s="281">
        <f t="shared" si="189"/>
        <v>149.55833333333328</v>
      </c>
      <c r="DO30" s="281">
        <f t="shared" si="189"/>
        <v>77.979166666666686</v>
      </c>
      <c r="DP30" s="281">
        <f t="shared" si="189"/>
        <v>0</v>
      </c>
      <c r="DQ30" s="281">
        <f t="shared" si="189"/>
        <v>0</v>
      </c>
      <c r="DR30" s="277"/>
      <c r="DS30" s="277">
        <f t="shared" si="203"/>
        <v>2021</v>
      </c>
      <c r="DT30" s="281">
        <f t="shared" si="204"/>
        <v>0</v>
      </c>
      <c r="DU30" s="281">
        <f t="shared" si="190"/>
        <v>0</v>
      </c>
      <c r="DV30" s="281">
        <f t="shared" si="190"/>
        <v>5.1499999999999932</v>
      </c>
      <c r="DW30" s="281">
        <f t="shared" si="190"/>
        <v>22.362499999999997</v>
      </c>
      <c r="DX30" s="281">
        <f t="shared" si="190"/>
        <v>120.51527777777777</v>
      </c>
      <c r="DY30" s="281">
        <f t="shared" si="190"/>
        <v>301.67500000000001</v>
      </c>
      <c r="DZ30" s="281">
        <f t="shared" si="190"/>
        <v>316.87499999999994</v>
      </c>
      <c r="EA30" s="281">
        <f t="shared" si="190"/>
        <v>390.06249999999989</v>
      </c>
      <c r="EB30" s="281">
        <f t="shared" si="190"/>
        <v>209.27500000000001</v>
      </c>
      <c r="EC30" s="281">
        <f t="shared" si="190"/>
        <v>118.07916666666668</v>
      </c>
      <c r="ED30" s="281">
        <f t="shared" si="190"/>
        <v>0</v>
      </c>
      <c r="EE30" s="281">
        <f t="shared" si="190"/>
        <v>0.41249999999999964</v>
      </c>
      <c r="EF30" s="277"/>
      <c r="EG30" s="277">
        <f t="shared" si="205"/>
        <v>2021</v>
      </c>
      <c r="EH30" s="281">
        <f t="shared" si="206"/>
        <v>0</v>
      </c>
      <c r="EI30" s="281">
        <f t="shared" si="191"/>
        <v>0</v>
      </c>
      <c r="EJ30" s="281">
        <f t="shared" si="191"/>
        <v>12.05416666666666</v>
      </c>
      <c r="EK30" s="281">
        <f t="shared" si="191"/>
        <v>40.658333333333331</v>
      </c>
      <c r="EL30" s="281">
        <f t="shared" si="191"/>
        <v>164.65694444444446</v>
      </c>
      <c r="EM30" s="281">
        <f t="shared" si="191"/>
        <v>361.67500000000001</v>
      </c>
      <c r="EN30" s="281">
        <f t="shared" si="191"/>
        <v>378.87499999999994</v>
      </c>
      <c r="EO30" s="281">
        <f t="shared" si="191"/>
        <v>452.06249999999989</v>
      </c>
      <c r="EP30" s="281">
        <f t="shared" si="191"/>
        <v>269.27499999999998</v>
      </c>
      <c r="EQ30" s="281">
        <f t="shared" si="191"/>
        <v>164.47916666666669</v>
      </c>
      <c r="ER30" s="281">
        <f t="shared" si="191"/>
        <v>2.1916666666666682</v>
      </c>
      <c r="ES30" s="281">
        <f t="shared" si="191"/>
        <v>2.4124999999999996</v>
      </c>
      <c r="EU30" s="488">
        <f>'Monthly Data'!FO6</f>
        <v>607.38545395754784</v>
      </c>
      <c r="EV30" s="488">
        <f>'Monthly Data'!FP6</f>
        <v>404.94480049487652</v>
      </c>
      <c r="EW30" s="488">
        <f>'Monthly Data'!FQ6</f>
        <v>2371.7745680320154</v>
      </c>
      <c r="EX30" s="488">
        <f>'Monthly Data'!FR6</f>
        <v>73083.959955525206</v>
      </c>
      <c r="EY30" s="488">
        <f>'Monthly Data'!FS6</f>
        <v>1142090.0993328288</v>
      </c>
      <c r="EZ30" s="488">
        <f>'Monthly Data'!FT6</f>
        <v>6138333.1102754874</v>
      </c>
      <c r="FA30" s="488">
        <f>'Monthly Data'!FX6</f>
        <v>669.00531483515715</v>
      </c>
      <c r="FB30" s="488">
        <f>'Monthly Data'!FY6</f>
        <v>3025.5391144373361</v>
      </c>
      <c r="FC30" s="488">
        <f>'Monthly Data'!FZ6</f>
        <v>76023.151924968261</v>
      </c>
      <c r="FD30" s="488">
        <f>'Monthly Data'!GA6</f>
        <v>210771.01109623109</v>
      </c>
    </row>
    <row r="31" spans="1:160">
      <c r="A31">
        <v>2016</v>
      </c>
      <c r="B31">
        <v>6</v>
      </c>
      <c r="C31" s="200">
        <v>56.883333333333326</v>
      </c>
      <c r="D31" s="200">
        <v>20.087500000000002</v>
      </c>
      <c r="E31" s="200">
        <v>30.204166666666669</v>
      </c>
      <c r="F31" s="200">
        <v>53.40833333333336</v>
      </c>
      <c r="G31" s="200">
        <v>14.133333333333335</v>
      </c>
      <c r="H31" s="200">
        <v>97.33750000000002</v>
      </c>
      <c r="I31" s="200">
        <v>3.9749999999999996</v>
      </c>
      <c r="J31" s="200">
        <v>147.17916666666667</v>
      </c>
      <c r="K31" s="200">
        <v>0.65000000000000036</v>
      </c>
      <c r="L31" s="200">
        <v>203.85416666666669</v>
      </c>
      <c r="M31" s="200">
        <v>0</v>
      </c>
      <c r="N31" s="200">
        <v>263.20416666666671</v>
      </c>
      <c r="O31" s="200">
        <v>0</v>
      </c>
      <c r="P31" s="200">
        <v>323.20416666666671</v>
      </c>
      <c r="Q31" s="257">
        <v>18.773472222222221</v>
      </c>
      <c r="S31" s="3">
        <f>'Monthly Data'!D7</f>
        <v>73391084.5386471</v>
      </c>
      <c r="T31" s="3">
        <f>'Monthly Data'!J7</f>
        <v>611305.16543598648</v>
      </c>
      <c r="U31" s="3">
        <f>'Monthly Data'!P7</f>
        <v>21725500.608920053</v>
      </c>
      <c r="V31" s="3">
        <f>'Monthly Data'!V7</f>
        <v>78236837.379537284</v>
      </c>
      <c r="W31" s="3">
        <f>'Monthly Data'!AB7</f>
        <v>6314354.2703150893</v>
      </c>
      <c r="X31" s="3">
        <f>'Monthly Data'!AG7</f>
        <v>15731096.223037537</v>
      </c>
      <c r="Y31" s="3">
        <f>'Monthly Data'!BC7</f>
        <v>31465507.591429017</v>
      </c>
      <c r="Z31" s="3">
        <f>'Monthly Data'!BI7</f>
        <v>7051957.149378228</v>
      </c>
      <c r="AA31" s="3">
        <f>'Monthly Data'!BO7</f>
        <v>28479494.513359349</v>
      </c>
      <c r="AB31" s="3">
        <f>'Monthly Data'!BU7</f>
        <v>4944554.8119575698</v>
      </c>
      <c r="BA31" s="277">
        <f t="shared" si="192"/>
        <v>2022</v>
      </c>
      <c r="BB31" s="281">
        <f t="shared" si="193"/>
        <v>0</v>
      </c>
      <c r="BC31" s="281">
        <f t="shared" si="193"/>
        <v>0</v>
      </c>
      <c r="BD31" s="281">
        <f t="shared" si="193"/>
        <v>0</v>
      </c>
      <c r="BE31" s="281">
        <f t="shared" si="193"/>
        <v>0</v>
      </c>
      <c r="BF31" s="281">
        <f t="shared" si="193"/>
        <v>6.0166666666666657</v>
      </c>
      <c r="BG31" s="281">
        <f t="shared" si="193"/>
        <v>16.451515151515149</v>
      </c>
      <c r="BH31" s="281">
        <f t="shared" si="193"/>
        <v>44.848903508771912</v>
      </c>
      <c r="BI31" s="281">
        <f t="shared" si="193"/>
        <v>49.674999999999997</v>
      </c>
      <c r="BJ31" s="281">
        <f t="shared" si="193"/>
        <v>3.0124999999999957</v>
      </c>
      <c r="BK31" s="281">
        <f t="shared" si="193"/>
        <v>0</v>
      </c>
      <c r="BL31" s="281">
        <f t="shared" si="193"/>
        <v>0</v>
      </c>
      <c r="BM31" s="281">
        <f t="shared" si="193"/>
        <v>0</v>
      </c>
      <c r="BN31" s="277"/>
      <c r="BO31" s="277">
        <f t="shared" si="194"/>
        <v>2022</v>
      </c>
      <c r="BP31" s="281">
        <f t="shared" si="195"/>
        <v>0</v>
      </c>
      <c r="BQ31" s="281">
        <f t="shared" si="186"/>
        <v>0</v>
      </c>
      <c r="BR31" s="281">
        <f t="shared" si="186"/>
        <v>0</v>
      </c>
      <c r="BS31" s="281">
        <f t="shared" si="186"/>
        <v>0</v>
      </c>
      <c r="BT31" s="281">
        <f t="shared" si="186"/>
        <v>18.545833333333334</v>
      </c>
      <c r="BU31" s="281">
        <f t="shared" si="186"/>
        <v>37.089015151515156</v>
      </c>
      <c r="BV31" s="281">
        <f t="shared" si="186"/>
        <v>98.475171624713937</v>
      </c>
      <c r="BW31" s="281">
        <f t="shared" si="186"/>
        <v>105.04583333333332</v>
      </c>
      <c r="BX31" s="281">
        <f t="shared" si="186"/>
        <v>22.633333333333329</v>
      </c>
      <c r="BY31" s="281">
        <f t="shared" si="186"/>
        <v>0</v>
      </c>
      <c r="BZ31" s="281">
        <f t="shared" si="186"/>
        <v>0</v>
      </c>
      <c r="CA31" s="281">
        <f t="shared" si="186"/>
        <v>0</v>
      </c>
      <c r="CB31" s="281">
        <f t="shared" si="196"/>
        <v>281.78918677622903</v>
      </c>
      <c r="CC31" s="277">
        <f t="shared" si="197"/>
        <v>2022</v>
      </c>
      <c r="CD31" s="281">
        <f t="shared" si="198"/>
        <v>0</v>
      </c>
      <c r="CE31" s="281">
        <f t="shared" si="187"/>
        <v>0</v>
      </c>
      <c r="CF31" s="281">
        <f t="shared" si="187"/>
        <v>0</v>
      </c>
      <c r="CG31" s="281">
        <f t="shared" si="187"/>
        <v>0</v>
      </c>
      <c r="CH31" s="281">
        <f t="shared" si="187"/>
        <v>41.6875</v>
      </c>
      <c r="CI31" s="281">
        <f t="shared" si="187"/>
        <v>67.11282467532466</v>
      </c>
      <c r="CJ31" s="281">
        <f t="shared" si="187"/>
        <v>159.8543382913806</v>
      </c>
      <c r="CK31" s="281">
        <f t="shared" si="187"/>
        <v>166.28333333333327</v>
      </c>
      <c r="CL31" s="281">
        <f t="shared" si="187"/>
        <v>56.250000000000007</v>
      </c>
      <c r="CM31" s="281">
        <f t="shared" si="187"/>
        <v>0</v>
      </c>
      <c r="CN31" s="281">
        <f t="shared" si="187"/>
        <v>0</v>
      </c>
      <c r="CO31" s="281">
        <f t="shared" si="187"/>
        <v>0</v>
      </c>
      <c r="CP31" s="277"/>
      <c r="CQ31" s="277">
        <f t="shared" si="199"/>
        <v>2022</v>
      </c>
      <c r="CR31" s="281">
        <f t="shared" si="200"/>
        <v>0</v>
      </c>
      <c r="CS31" s="281">
        <f t="shared" si="188"/>
        <v>0</v>
      </c>
      <c r="CT31" s="281">
        <f t="shared" si="188"/>
        <v>0</v>
      </c>
      <c r="CU31" s="281">
        <f t="shared" si="188"/>
        <v>0</v>
      </c>
      <c r="CV31" s="281">
        <f t="shared" si="188"/>
        <v>72.362499999999997</v>
      </c>
      <c r="CW31" s="281">
        <f t="shared" si="188"/>
        <v>120.92250416250417</v>
      </c>
      <c r="CX31" s="281">
        <f t="shared" si="188"/>
        <v>221.8543382913806</v>
      </c>
      <c r="CY31" s="281">
        <f t="shared" si="188"/>
        <v>228.28333333333333</v>
      </c>
      <c r="CZ31" s="281">
        <f t="shared" si="188"/>
        <v>94.054166666666674</v>
      </c>
      <c r="DA31" s="281">
        <f t="shared" si="188"/>
        <v>2.4208333333333307</v>
      </c>
      <c r="DB31" s="281">
        <f t="shared" si="188"/>
        <v>2.3083333333333318</v>
      </c>
      <c r="DC31" s="281">
        <f t="shared" si="188"/>
        <v>0</v>
      </c>
      <c r="DD31" s="277"/>
      <c r="DE31" s="277">
        <f t="shared" si="201"/>
        <v>2022</v>
      </c>
      <c r="DF31" s="281">
        <f t="shared" si="202"/>
        <v>0</v>
      </c>
      <c r="DG31" s="281">
        <f t="shared" si="189"/>
        <v>0</v>
      </c>
      <c r="DH31" s="281">
        <f t="shared" si="189"/>
        <v>0</v>
      </c>
      <c r="DI31" s="281">
        <f t="shared" si="189"/>
        <v>2.2541666666666629</v>
      </c>
      <c r="DJ31" s="281">
        <f t="shared" si="189"/>
        <v>109.43749999999997</v>
      </c>
      <c r="DK31" s="281">
        <f t="shared" si="189"/>
        <v>180.92250416250408</v>
      </c>
      <c r="DL31" s="281">
        <f t="shared" si="189"/>
        <v>283.8543382913806</v>
      </c>
      <c r="DM31" s="281">
        <f t="shared" si="189"/>
        <v>290.28333333333336</v>
      </c>
      <c r="DN31" s="281">
        <f t="shared" si="189"/>
        <v>139.79166666666663</v>
      </c>
      <c r="DO31" s="281">
        <f t="shared" si="189"/>
        <v>11.604166666666668</v>
      </c>
      <c r="DP31" s="281">
        <f t="shared" si="189"/>
        <v>6.5791666666666675</v>
      </c>
      <c r="DQ31" s="281">
        <f t="shared" si="189"/>
        <v>0</v>
      </c>
      <c r="DR31" s="277"/>
      <c r="DS31" s="277">
        <f t="shared" si="203"/>
        <v>2022</v>
      </c>
      <c r="DT31" s="281">
        <f t="shared" si="204"/>
        <v>0</v>
      </c>
      <c r="DU31" s="281">
        <f t="shared" si="190"/>
        <v>0</v>
      </c>
      <c r="DV31" s="281">
        <f t="shared" si="190"/>
        <v>0</v>
      </c>
      <c r="DW31" s="281">
        <f t="shared" si="190"/>
        <v>8.7083333333333286</v>
      </c>
      <c r="DX31" s="281">
        <f t="shared" si="190"/>
        <v>157.97083333333333</v>
      </c>
      <c r="DY31" s="281">
        <f t="shared" si="190"/>
        <v>240.92250416250408</v>
      </c>
      <c r="DZ31" s="281">
        <f t="shared" si="190"/>
        <v>345.85433829138066</v>
      </c>
      <c r="EA31" s="281">
        <f t="shared" si="190"/>
        <v>352.28333333333342</v>
      </c>
      <c r="EB31" s="281">
        <f t="shared" si="190"/>
        <v>193.32083333333327</v>
      </c>
      <c r="EC31" s="281">
        <f t="shared" si="190"/>
        <v>32</v>
      </c>
      <c r="ED31" s="281">
        <f t="shared" si="190"/>
        <v>13.824999999999999</v>
      </c>
      <c r="EE31" s="281">
        <f t="shared" si="190"/>
        <v>0</v>
      </c>
      <c r="EF31" s="277"/>
      <c r="EG31" s="277">
        <f t="shared" si="205"/>
        <v>2022</v>
      </c>
      <c r="EH31" s="281">
        <f t="shared" si="206"/>
        <v>0</v>
      </c>
      <c r="EI31" s="281">
        <f t="shared" si="191"/>
        <v>0</v>
      </c>
      <c r="EJ31" s="281">
        <f t="shared" si="191"/>
        <v>1.3208333333333311</v>
      </c>
      <c r="EK31" s="281">
        <f t="shared" si="191"/>
        <v>21.24166666666666</v>
      </c>
      <c r="EL31" s="281">
        <f t="shared" si="191"/>
        <v>219.03749999999999</v>
      </c>
      <c r="EM31" s="281">
        <f t="shared" si="191"/>
        <v>300.92250416250414</v>
      </c>
      <c r="EN31" s="281">
        <f t="shared" si="191"/>
        <v>407.8543382913806</v>
      </c>
      <c r="EO31" s="281">
        <f t="shared" si="191"/>
        <v>414.28333333333336</v>
      </c>
      <c r="EP31" s="281">
        <f t="shared" si="191"/>
        <v>251.2208333333333</v>
      </c>
      <c r="EQ31" s="281">
        <f t="shared" si="191"/>
        <v>64.804166666666674</v>
      </c>
      <c r="ER31" s="281">
        <f t="shared" si="191"/>
        <v>26.966666666666669</v>
      </c>
      <c r="ES31" s="281">
        <f t="shared" si="191"/>
        <v>0</v>
      </c>
      <c r="EU31" s="488">
        <f>'Monthly Data'!FO7</f>
        <v>695.22115419845306</v>
      </c>
      <c r="EV31" s="488">
        <f>'Monthly Data'!FP7</f>
        <v>394.68358672415513</v>
      </c>
      <c r="EW31" s="488">
        <f>'Monthly Data'!FQ7</f>
        <v>2484.9122418176103</v>
      </c>
      <c r="EX31" s="488">
        <f>'Monthly Data'!FR7</f>
        <v>75776.310713037776</v>
      </c>
      <c r="EY31" s="488">
        <f>'Monthly Data'!FS7</f>
        <v>1270954.7730838512</v>
      </c>
      <c r="EZ31" s="488">
        <f>'Monthly Data'!FT7</f>
        <v>5438743.1509217294</v>
      </c>
      <c r="FA31" s="488">
        <f>'Monthly Data'!FX7</f>
        <v>814.38579604557617</v>
      </c>
      <c r="FB31" s="488">
        <f>'Monthly Data'!FY7</f>
        <v>3258.2483784529932</v>
      </c>
      <c r="FC31" s="488">
        <f>'Monthly Data'!FZ7</f>
        <v>78742.873974809379</v>
      </c>
      <c r="FD31" s="488">
        <f>'Monthly Data'!GA7</f>
        <v>170973.00076525728</v>
      </c>
    </row>
    <row r="32" spans="1:160">
      <c r="A32">
        <v>2016</v>
      </c>
      <c r="B32">
        <v>7</v>
      </c>
      <c r="C32" s="200">
        <v>8.75416666666667</v>
      </c>
      <c r="D32" s="200">
        <v>73.983333333333334</v>
      </c>
      <c r="E32" s="200">
        <v>1.6583333333333314</v>
      </c>
      <c r="F32" s="200">
        <v>128.88749999999999</v>
      </c>
      <c r="G32" s="200">
        <v>0</v>
      </c>
      <c r="H32" s="200">
        <v>189.22916666666666</v>
      </c>
      <c r="I32" s="200">
        <v>0</v>
      </c>
      <c r="J32" s="200">
        <v>251.2291666666666</v>
      </c>
      <c r="K32" s="200">
        <v>0</v>
      </c>
      <c r="L32" s="200">
        <v>313.22916666666657</v>
      </c>
      <c r="M32" s="200">
        <v>0</v>
      </c>
      <c r="N32" s="200">
        <v>375.22916666666669</v>
      </c>
      <c r="O32" s="200">
        <v>0</v>
      </c>
      <c r="P32" s="200">
        <v>437.22916666666669</v>
      </c>
      <c r="Q32" s="257">
        <v>22.104166666666661</v>
      </c>
      <c r="S32" s="3">
        <f>'Monthly Data'!D8</f>
        <v>96583630.139895052</v>
      </c>
      <c r="T32" s="3">
        <f>'Monthly Data'!J8</f>
        <v>937897.66052280192</v>
      </c>
      <c r="U32" s="3">
        <f>'Monthly Data'!P8</f>
        <v>24156395.982446101</v>
      </c>
      <c r="V32" s="3">
        <f>'Monthly Data'!V8</f>
        <v>80426261.077292815</v>
      </c>
      <c r="W32" s="3">
        <f>'Monthly Data'!AB8</f>
        <v>6225442.535385089</v>
      </c>
      <c r="X32" s="3">
        <f>'Monthly Data'!AG8</f>
        <v>17531536.250830062</v>
      </c>
      <c r="Y32" s="3">
        <f>'Monthly Data'!BC8</f>
        <v>41146282.504744686</v>
      </c>
      <c r="Z32" s="3">
        <f>'Monthly Data'!BI8</f>
        <v>7799625.6606944604</v>
      </c>
      <c r="AA32" s="3">
        <f>'Monthly Data'!BO8</f>
        <v>29062275.881116781</v>
      </c>
      <c r="AB32" s="3">
        <f>'Monthly Data'!BU8</f>
        <v>5237434.0405014465</v>
      </c>
      <c r="BA32" s="277">
        <f t="shared" si="192"/>
        <v>2023</v>
      </c>
      <c r="BB32" s="281">
        <f t="shared" si="193"/>
        <v>0</v>
      </c>
      <c r="BC32" s="281">
        <f t="shared" si="193"/>
        <v>0</v>
      </c>
      <c r="BD32" s="281">
        <f t="shared" si="193"/>
        <v>0</v>
      </c>
      <c r="BE32" s="281">
        <f t="shared" si="193"/>
        <v>0</v>
      </c>
      <c r="BF32" s="281">
        <f t="shared" si="193"/>
        <v>1.6166666666666636</v>
      </c>
      <c r="BG32" s="281">
        <f t="shared" si="193"/>
        <v>21.141666666666666</v>
      </c>
      <c r="BH32" s="281">
        <f t="shared" si="193"/>
        <v>45.099999999999966</v>
      </c>
      <c r="BI32" s="281">
        <f t="shared" si="193"/>
        <v>12.016666666666676</v>
      </c>
      <c r="BJ32" s="281">
        <f t="shared" si="193"/>
        <v>18.212499999999995</v>
      </c>
      <c r="BK32" s="281">
        <f t="shared" si="193"/>
        <v>0</v>
      </c>
      <c r="BL32" s="281">
        <f t="shared" si="193"/>
        <v>0</v>
      </c>
      <c r="BM32" s="281">
        <f t="shared" si="193"/>
        <v>0</v>
      </c>
      <c r="BN32" s="277"/>
      <c r="BO32" s="277">
        <f t="shared" si="194"/>
        <v>2023</v>
      </c>
      <c r="BP32" s="281">
        <f t="shared" si="195"/>
        <v>0</v>
      </c>
      <c r="BQ32" s="281">
        <f t="shared" si="186"/>
        <v>0</v>
      </c>
      <c r="BR32" s="281">
        <f t="shared" si="186"/>
        <v>0</v>
      </c>
      <c r="BS32" s="281">
        <f t="shared" si="186"/>
        <v>0</v>
      </c>
      <c r="BT32" s="281">
        <f t="shared" si="186"/>
        <v>8.1333333333333258</v>
      </c>
      <c r="BU32" s="281">
        <f t="shared" si="186"/>
        <v>46.983333333333334</v>
      </c>
      <c r="BV32" s="281">
        <f t="shared" si="186"/>
        <v>99.908333333333317</v>
      </c>
      <c r="BW32" s="281">
        <f t="shared" si="186"/>
        <v>51.079891304347839</v>
      </c>
      <c r="BX32" s="281">
        <f t="shared" si="186"/>
        <v>30.583333333333329</v>
      </c>
      <c r="BY32" s="281">
        <f t="shared" si="186"/>
        <v>7.3041666666666707</v>
      </c>
      <c r="BZ32" s="281">
        <f t="shared" si="186"/>
        <v>0</v>
      </c>
      <c r="CA32" s="281">
        <f t="shared" si="186"/>
        <v>0</v>
      </c>
      <c r="CB32" s="281">
        <f t="shared" si="196"/>
        <v>243.99239130434779</v>
      </c>
      <c r="CC32" s="277">
        <f t="shared" si="197"/>
        <v>2023</v>
      </c>
      <c r="CD32" s="281">
        <f t="shared" si="198"/>
        <v>0</v>
      </c>
      <c r="CE32" s="281">
        <f t="shared" si="187"/>
        <v>0</v>
      </c>
      <c r="CF32" s="281">
        <f t="shared" si="187"/>
        <v>0</v>
      </c>
      <c r="CG32" s="281">
        <f t="shared" si="187"/>
        <v>1.75833333333334</v>
      </c>
      <c r="CH32" s="281">
        <f t="shared" si="187"/>
        <v>19.570833333333329</v>
      </c>
      <c r="CI32" s="281">
        <f t="shared" si="187"/>
        <v>89.8125</v>
      </c>
      <c r="CJ32" s="281">
        <f t="shared" si="187"/>
        <v>161.78333333333336</v>
      </c>
      <c r="CK32" s="281">
        <f t="shared" si="187"/>
        <v>105.41739130434784</v>
      </c>
      <c r="CL32" s="281">
        <f t="shared" si="187"/>
        <v>58.208333333333314</v>
      </c>
      <c r="CM32" s="281">
        <f t="shared" si="187"/>
        <v>19.579166666666676</v>
      </c>
      <c r="CN32" s="281">
        <f t="shared" si="187"/>
        <v>0</v>
      </c>
      <c r="CO32" s="281">
        <f t="shared" si="187"/>
        <v>0</v>
      </c>
      <c r="CP32" s="277"/>
      <c r="CQ32" s="277">
        <f t="shared" si="199"/>
        <v>2023</v>
      </c>
      <c r="CR32" s="281">
        <f t="shared" si="200"/>
        <v>0</v>
      </c>
      <c r="CS32" s="281">
        <f t="shared" si="188"/>
        <v>0</v>
      </c>
      <c r="CT32" s="281">
        <f t="shared" si="188"/>
        <v>0</v>
      </c>
      <c r="CU32" s="281">
        <f t="shared" si="188"/>
        <v>11.71666666666667</v>
      </c>
      <c r="CV32" s="281">
        <f t="shared" si="188"/>
        <v>37.345833333333331</v>
      </c>
      <c r="CW32" s="281">
        <f t="shared" si="188"/>
        <v>145.54166666666666</v>
      </c>
      <c r="CX32" s="281">
        <f t="shared" si="188"/>
        <v>223.78333333333336</v>
      </c>
      <c r="CY32" s="281">
        <f t="shared" si="188"/>
        <v>165.80489130434788</v>
      </c>
      <c r="CZ32" s="281">
        <f t="shared" si="188"/>
        <v>105.35</v>
      </c>
      <c r="DA32" s="281">
        <f t="shared" si="188"/>
        <v>35.333333333333343</v>
      </c>
      <c r="DB32" s="281">
        <f t="shared" si="188"/>
        <v>0</v>
      </c>
      <c r="DC32" s="281">
        <f t="shared" si="188"/>
        <v>0</v>
      </c>
      <c r="DD32" s="277"/>
      <c r="DE32" s="277">
        <f t="shared" si="201"/>
        <v>2023</v>
      </c>
      <c r="DF32" s="281">
        <f t="shared" si="202"/>
        <v>0</v>
      </c>
      <c r="DG32" s="281">
        <f t="shared" si="189"/>
        <v>0</v>
      </c>
      <c r="DH32" s="281">
        <f t="shared" si="189"/>
        <v>0</v>
      </c>
      <c r="DI32" s="281">
        <f t="shared" si="189"/>
        <v>22.716666666666676</v>
      </c>
      <c r="DJ32" s="281">
        <f t="shared" si="189"/>
        <v>68.049999999999983</v>
      </c>
      <c r="DK32" s="281">
        <f t="shared" si="189"/>
        <v>205.54166666666669</v>
      </c>
      <c r="DL32" s="281">
        <f t="shared" si="189"/>
        <v>285.78333333333342</v>
      </c>
      <c r="DM32" s="281">
        <f t="shared" si="189"/>
        <v>227.80489130434788</v>
      </c>
      <c r="DN32" s="281">
        <f t="shared" si="189"/>
        <v>162.99166666666662</v>
      </c>
      <c r="DO32" s="281">
        <f t="shared" si="189"/>
        <v>54.625</v>
      </c>
      <c r="DP32" s="281">
        <f t="shared" si="189"/>
        <v>0</v>
      </c>
      <c r="DQ32" s="281">
        <f t="shared" si="189"/>
        <v>0</v>
      </c>
      <c r="DR32" s="277"/>
      <c r="DS32" s="277">
        <f t="shared" si="203"/>
        <v>2023</v>
      </c>
      <c r="DT32" s="281">
        <f t="shared" si="204"/>
        <v>0</v>
      </c>
      <c r="DU32" s="281">
        <f t="shared" si="190"/>
        <v>0</v>
      </c>
      <c r="DV32" s="281">
        <f t="shared" si="190"/>
        <v>0</v>
      </c>
      <c r="DW32" s="281">
        <f t="shared" si="190"/>
        <v>37.175000000000004</v>
      </c>
      <c r="DX32" s="281">
        <f t="shared" si="190"/>
        <v>112.85416666666666</v>
      </c>
      <c r="DY32" s="281">
        <f t="shared" si="190"/>
        <v>265.54166666666669</v>
      </c>
      <c r="DZ32" s="281">
        <f t="shared" si="190"/>
        <v>347.78333333333342</v>
      </c>
      <c r="EA32" s="281">
        <f t="shared" si="190"/>
        <v>289.8048913043479</v>
      </c>
      <c r="EB32" s="281">
        <f t="shared" si="190"/>
        <v>222.99166666666656</v>
      </c>
      <c r="EC32" s="281">
        <f t="shared" si="190"/>
        <v>85.929166666666674</v>
      </c>
      <c r="ED32" s="281">
        <f t="shared" si="190"/>
        <v>0.36249999999999893</v>
      </c>
      <c r="EE32" s="281">
        <f t="shared" si="190"/>
        <v>0</v>
      </c>
      <c r="EF32" s="277"/>
      <c r="EG32" s="277">
        <f t="shared" si="205"/>
        <v>2023</v>
      </c>
      <c r="EH32" s="281">
        <f t="shared" si="206"/>
        <v>0</v>
      </c>
      <c r="EI32" s="281">
        <f t="shared" si="191"/>
        <v>8.3333333333332149E-2</v>
      </c>
      <c r="EJ32" s="281">
        <f t="shared" si="191"/>
        <v>0</v>
      </c>
      <c r="EK32" s="281">
        <f t="shared" si="191"/>
        <v>56.716666666666676</v>
      </c>
      <c r="EL32" s="281">
        <f t="shared" si="191"/>
        <v>161.77500000000001</v>
      </c>
      <c r="EM32" s="281">
        <f t="shared" si="191"/>
        <v>325.54166666666669</v>
      </c>
      <c r="EN32" s="281">
        <f t="shared" si="191"/>
        <v>409.7833333333333</v>
      </c>
      <c r="EO32" s="281">
        <f t="shared" si="191"/>
        <v>351.80489130434785</v>
      </c>
      <c r="EP32" s="281">
        <f t="shared" si="191"/>
        <v>282.99166666666656</v>
      </c>
      <c r="EQ32" s="281">
        <f t="shared" si="191"/>
        <v>127.93333333333337</v>
      </c>
      <c r="ER32" s="281">
        <f t="shared" si="191"/>
        <v>2.8333333333333304</v>
      </c>
      <c r="ES32" s="281">
        <f t="shared" si="191"/>
        <v>0.68750000000000178</v>
      </c>
      <c r="EU32" s="488">
        <f>'Monthly Data'!FO8</f>
        <v>910.93115999523593</v>
      </c>
      <c r="EV32" s="488">
        <f>'Monthly Data'!FP8</f>
        <v>601.16380388882794</v>
      </c>
      <c r="EW32" s="488">
        <f>'Monthly Data'!FQ8</f>
        <v>2756.1376945627835</v>
      </c>
      <c r="EX32" s="488">
        <f>'Monthly Data'!FR8</f>
        <v>77963.081509210009</v>
      </c>
      <c r="EY32" s="488">
        <f>'Monthly Data'!FS8</f>
        <v>1253622.9101385104</v>
      </c>
      <c r="EZ32" s="488">
        <f>'Monthly Data'!FT8</f>
        <v>6044846.4046933427</v>
      </c>
      <c r="FA32" s="488">
        <f>'Monthly Data'!FX8</f>
        <v>1059.9802180378138</v>
      </c>
      <c r="FB32" s="488">
        <f>'Monthly Data'!FY8</f>
        <v>3593.4189811117812</v>
      </c>
      <c r="FC32" s="488">
        <f>'Monthly Data'!FZ8</f>
        <v>80324.299260270491</v>
      </c>
      <c r="FD32" s="488">
        <f>'Monthly Data'!GA8</f>
        <v>172365.11383202599</v>
      </c>
    </row>
    <row r="33" spans="1:160">
      <c r="A33">
        <v>2016</v>
      </c>
      <c r="B33">
        <v>8</v>
      </c>
      <c r="C33" s="200">
        <v>4.029166666666665</v>
      </c>
      <c r="D33" s="200">
        <v>84.054166666666674</v>
      </c>
      <c r="E33" s="200">
        <v>1.1291666666666664</v>
      </c>
      <c r="F33" s="200">
        <v>143.1541666666667</v>
      </c>
      <c r="G33" s="200">
        <v>0</v>
      </c>
      <c r="H33" s="200">
        <v>204.02500000000006</v>
      </c>
      <c r="I33" s="200">
        <v>0</v>
      </c>
      <c r="J33" s="200">
        <v>266.02500000000003</v>
      </c>
      <c r="K33" s="200">
        <v>0</v>
      </c>
      <c r="L33" s="200">
        <v>328.02499999999998</v>
      </c>
      <c r="M33" s="200">
        <v>0</v>
      </c>
      <c r="N33" s="200">
        <v>390.02499999999998</v>
      </c>
      <c r="O33" s="200">
        <v>0</v>
      </c>
      <c r="P33" s="200">
        <v>452.02499999999998</v>
      </c>
      <c r="Q33" s="257">
        <v>22.581451612903233</v>
      </c>
      <c r="S33" s="3">
        <f>'Monthly Data'!D9</f>
        <v>102725683.51117057</v>
      </c>
      <c r="T33" s="3">
        <f>'Monthly Data'!J9</f>
        <v>923727.44066017843</v>
      </c>
      <c r="U33" s="3">
        <f>'Monthly Data'!P9</f>
        <v>25266141.456735358</v>
      </c>
      <c r="V33" s="3">
        <f>'Monthly Data'!V9</f>
        <v>84270895.748487771</v>
      </c>
      <c r="W33" s="3">
        <f>'Monthly Data'!AB9</f>
        <v>7283063.1628678292</v>
      </c>
      <c r="X33" s="3">
        <f>'Monthly Data'!AG9</f>
        <v>18870668.100201037</v>
      </c>
      <c r="Y33" s="3">
        <f>'Monthly Data'!BC9</f>
        <v>43606608.474373631</v>
      </c>
      <c r="Z33" s="3">
        <f>'Monthly Data'!BI9</f>
        <v>8138705.7718672082</v>
      </c>
      <c r="AA33" s="3">
        <f>'Monthly Data'!BO9</f>
        <v>31049623.776643649</v>
      </c>
      <c r="AB33" s="3">
        <f>'Monthly Data'!BU9</f>
        <v>5373284.7444551596</v>
      </c>
      <c r="BA33" s="277">
        <f t="shared" si="192"/>
        <v>2024</v>
      </c>
      <c r="BB33" s="281">
        <f t="shared" si="193"/>
        <v>0</v>
      </c>
      <c r="BC33" s="281">
        <f t="shared" si="193"/>
        <v>0</v>
      </c>
      <c r="BD33" s="281">
        <f t="shared" si="193"/>
        <v>0</v>
      </c>
      <c r="BE33" s="281">
        <f t="shared" si="193"/>
        <v>0</v>
      </c>
      <c r="BF33" s="281">
        <f t="shared" si="193"/>
        <v>2.6999999999999957</v>
      </c>
      <c r="BG33" s="281">
        <f t="shared" si="193"/>
        <v>25.01666666666668</v>
      </c>
      <c r="BH33" s="281">
        <f t="shared" si="193"/>
        <v>60.708333333333343</v>
      </c>
      <c r="BI33" s="281">
        <f t="shared" si="193"/>
        <v>41.841666666666654</v>
      </c>
      <c r="BJ33" s="281">
        <f t="shared" si="193"/>
        <v>0.63750000000000284</v>
      </c>
      <c r="BK33" s="281">
        <f t="shared" si="193"/>
        <v>0</v>
      </c>
      <c r="BL33" s="281">
        <f t="shared" si="193"/>
        <v>0</v>
      </c>
      <c r="BM33" s="281">
        <f t="shared" si="193"/>
        <v>0</v>
      </c>
      <c r="BN33" s="277"/>
      <c r="BO33" s="277">
        <f t="shared" si="194"/>
        <v>2024</v>
      </c>
      <c r="BP33" s="281">
        <f t="shared" si="195"/>
        <v>0</v>
      </c>
      <c r="BQ33" s="281">
        <f t="shared" si="186"/>
        <v>0</v>
      </c>
      <c r="BR33" s="281">
        <f t="shared" si="186"/>
        <v>0</v>
      </c>
      <c r="BS33" s="281">
        <f t="shared" si="186"/>
        <v>0</v>
      </c>
      <c r="BT33" s="281">
        <f t="shared" si="186"/>
        <v>10.658333333333328</v>
      </c>
      <c r="BU33" s="281">
        <f t="shared" si="186"/>
        <v>55.725000000000009</v>
      </c>
      <c r="BV33" s="281">
        <f t="shared" si="186"/>
        <v>117.47083333333335</v>
      </c>
      <c r="BW33" s="281">
        <f t="shared" si="186"/>
        <v>85.09999999999998</v>
      </c>
      <c r="BX33" s="281">
        <f t="shared" si="186"/>
        <v>20.666666666666679</v>
      </c>
      <c r="BY33" s="281">
        <f t="shared" si="186"/>
        <v>0</v>
      </c>
      <c r="BZ33" s="281">
        <f t="shared" si="186"/>
        <v>0</v>
      </c>
      <c r="CA33" s="281">
        <f t="shared" si="186"/>
        <v>0</v>
      </c>
      <c r="CB33" s="281">
        <f t="shared" si="196"/>
        <v>289.62083333333334</v>
      </c>
      <c r="CC33" s="277">
        <f t="shared" si="197"/>
        <v>2024</v>
      </c>
      <c r="CD33" s="281">
        <f t="shared" si="198"/>
        <v>0</v>
      </c>
      <c r="CE33" s="281">
        <f t="shared" si="187"/>
        <v>0</v>
      </c>
      <c r="CF33" s="281">
        <f t="shared" si="187"/>
        <v>0</v>
      </c>
      <c r="CG33" s="281">
        <f t="shared" si="187"/>
        <v>0</v>
      </c>
      <c r="CH33" s="281">
        <f t="shared" si="187"/>
        <v>27.287500000000005</v>
      </c>
      <c r="CI33" s="281">
        <f t="shared" si="187"/>
        <v>94.466666666666669</v>
      </c>
      <c r="CJ33" s="281">
        <f t="shared" si="187"/>
        <v>179.14166666666668</v>
      </c>
      <c r="CK33" s="281">
        <f t="shared" si="187"/>
        <v>140.625</v>
      </c>
      <c r="CL33" s="281">
        <f t="shared" si="187"/>
        <v>62.220833333333331</v>
      </c>
      <c r="CM33" s="281">
        <f t="shared" si="187"/>
        <v>3.0458333333333378</v>
      </c>
      <c r="CN33" s="281">
        <f t="shared" si="187"/>
        <v>1.5041666666666629</v>
      </c>
      <c r="CO33" s="281">
        <f t="shared" si="187"/>
        <v>0</v>
      </c>
      <c r="CP33" s="277"/>
      <c r="CQ33" s="277">
        <f t="shared" si="199"/>
        <v>2024</v>
      </c>
      <c r="CR33" s="281">
        <f t="shared" si="200"/>
        <v>0</v>
      </c>
      <c r="CS33" s="281">
        <f t="shared" si="188"/>
        <v>0</v>
      </c>
      <c r="CT33" s="281">
        <f t="shared" si="188"/>
        <v>0</v>
      </c>
      <c r="CU33" s="281">
        <f t="shared" si="188"/>
        <v>0</v>
      </c>
      <c r="CV33" s="281">
        <f t="shared" si="188"/>
        <v>60.691666666666663</v>
      </c>
      <c r="CW33" s="281">
        <f t="shared" si="188"/>
        <v>146.61250000000007</v>
      </c>
      <c r="CX33" s="281">
        <f t="shared" si="188"/>
        <v>241.14166666666668</v>
      </c>
      <c r="CY33" s="281">
        <f t="shared" si="188"/>
        <v>200.86666666666665</v>
      </c>
      <c r="CZ33" s="281">
        <f t="shared" si="188"/>
        <v>113.86250000000001</v>
      </c>
      <c r="DA33" s="281">
        <f t="shared" si="188"/>
        <v>12.120833333333337</v>
      </c>
      <c r="DB33" s="281">
        <f t="shared" si="188"/>
        <v>5.5041666666666629</v>
      </c>
      <c r="DC33" s="281">
        <f t="shared" si="188"/>
        <v>0</v>
      </c>
      <c r="DD33" s="277"/>
      <c r="DE33" s="277">
        <f t="shared" si="201"/>
        <v>2024</v>
      </c>
      <c r="DF33" s="281">
        <f t="shared" si="202"/>
        <v>0</v>
      </c>
      <c r="DG33" s="281">
        <f t="shared" si="189"/>
        <v>0</v>
      </c>
      <c r="DH33" s="281">
        <f t="shared" si="189"/>
        <v>0</v>
      </c>
      <c r="DI33" s="281">
        <f t="shared" si="189"/>
        <v>2.3833333333333346</v>
      </c>
      <c r="DJ33" s="281">
        <f t="shared" si="189"/>
        <v>110.05000000000001</v>
      </c>
      <c r="DK33" s="281">
        <f t="shared" si="189"/>
        <v>204.15416666666667</v>
      </c>
      <c r="DL33" s="281">
        <f t="shared" si="189"/>
        <v>303.14166666666665</v>
      </c>
      <c r="DM33" s="281">
        <f t="shared" si="189"/>
        <v>262.86666666666667</v>
      </c>
      <c r="DN33" s="281">
        <f t="shared" si="189"/>
        <v>171.29999999999998</v>
      </c>
      <c r="DO33" s="281">
        <f t="shared" si="189"/>
        <v>31.104166666666679</v>
      </c>
      <c r="DP33" s="281">
        <f t="shared" si="189"/>
        <v>9.5041666666666629</v>
      </c>
      <c r="DQ33" s="281">
        <f t="shared" si="189"/>
        <v>0</v>
      </c>
      <c r="DR33" s="277"/>
      <c r="DS33" s="277">
        <f t="shared" si="203"/>
        <v>2024</v>
      </c>
      <c r="DT33" s="281">
        <f t="shared" si="204"/>
        <v>0</v>
      </c>
      <c r="DU33" s="281">
        <f t="shared" si="190"/>
        <v>0</v>
      </c>
      <c r="DV33" s="281">
        <f t="shared" si="190"/>
        <v>0</v>
      </c>
      <c r="DW33" s="281">
        <f t="shared" si="190"/>
        <v>10.625</v>
      </c>
      <c r="DX33" s="281">
        <f t="shared" si="190"/>
        <v>169.12916666666669</v>
      </c>
      <c r="DY33" s="281">
        <f t="shared" si="190"/>
        <v>264.15416666666664</v>
      </c>
      <c r="DZ33" s="281">
        <f t="shared" si="190"/>
        <v>365.14166666666671</v>
      </c>
      <c r="EA33" s="281">
        <f t="shared" si="190"/>
        <v>324.86666666666667</v>
      </c>
      <c r="EB33" s="281">
        <f t="shared" si="190"/>
        <v>231.3</v>
      </c>
      <c r="EC33" s="281">
        <f t="shared" si="190"/>
        <v>60.087500000000006</v>
      </c>
      <c r="ED33" s="281">
        <f t="shared" si="190"/>
        <v>15.029166666666661</v>
      </c>
      <c r="EE33" s="281">
        <f t="shared" si="190"/>
        <v>0</v>
      </c>
      <c r="EF33" s="277"/>
      <c r="EG33" s="277">
        <f t="shared" si="205"/>
        <v>2024</v>
      </c>
      <c r="EH33" s="281">
        <f t="shared" si="206"/>
        <v>0</v>
      </c>
      <c r="EI33" s="281">
        <f t="shared" si="191"/>
        <v>0</v>
      </c>
      <c r="EJ33" s="281">
        <f t="shared" si="191"/>
        <v>4.5791666666666657</v>
      </c>
      <c r="EK33" s="281">
        <f t="shared" si="191"/>
        <v>32.795833333333334</v>
      </c>
      <c r="EL33" s="281">
        <f t="shared" si="191"/>
        <v>231.12916666666669</v>
      </c>
      <c r="EM33" s="281">
        <f t="shared" si="191"/>
        <v>324.1541666666667</v>
      </c>
      <c r="EN33" s="281">
        <f t="shared" si="191"/>
        <v>427.14166666666677</v>
      </c>
      <c r="EO33" s="281">
        <f t="shared" si="191"/>
        <v>386.86666666666656</v>
      </c>
      <c r="EP33" s="281">
        <f t="shared" si="191"/>
        <v>291.30000000000007</v>
      </c>
      <c r="EQ33" s="281">
        <f t="shared" si="191"/>
        <v>94.675000000000011</v>
      </c>
      <c r="ER33" s="281">
        <f t="shared" si="191"/>
        <v>27.141666666666666</v>
      </c>
      <c r="ES33" s="281">
        <f t="shared" si="191"/>
        <v>0</v>
      </c>
      <c r="EU33" s="488">
        <f>'Monthly Data'!FO9</f>
        <v>967.80675386012251</v>
      </c>
      <c r="EV33" s="488">
        <f>'Monthly Data'!FP9</f>
        <v>592.7820433044318</v>
      </c>
      <c r="EW33" s="488">
        <f>'Monthly Data'!FQ9</f>
        <v>2879.5601670813789</v>
      </c>
      <c r="EX33" s="488">
        <f>'Monthly Data'!FR9</f>
        <v>81723.069802126003</v>
      </c>
      <c r="EY33" s="488">
        <f>'Monthly Data'!FS9</f>
        <v>1465597.5196757179</v>
      </c>
      <c r="EZ33" s="488">
        <f>'Monthly Data'!FT9</f>
        <v>6497180.2656577742</v>
      </c>
      <c r="FA33" s="488">
        <f>'Monthly Data'!FX9</f>
        <v>1122.3163501876518</v>
      </c>
      <c r="FB33" s="488">
        <f>'Monthly Data'!FY9</f>
        <v>3742.3626313933287</v>
      </c>
      <c r="FC33" s="488">
        <f>'Monthly Data'!FZ9</f>
        <v>85727.973327966494</v>
      </c>
      <c r="FD33" s="488">
        <f>'Monthly Data'!GA9</f>
        <v>194987.52152286202</v>
      </c>
    </row>
    <row r="34" spans="1:160">
      <c r="A34">
        <v>2016</v>
      </c>
      <c r="B34">
        <v>9</v>
      </c>
      <c r="C34" s="200">
        <v>80.145833333333343</v>
      </c>
      <c r="D34" s="200">
        <v>15.887500000000006</v>
      </c>
      <c r="E34" s="200">
        <v>40.929166666666667</v>
      </c>
      <c r="F34" s="200">
        <v>36.670833333333334</v>
      </c>
      <c r="G34" s="200">
        <v>15.7875</v>
      </c>
      <c r="H34" s="200">
        <v>71.529166666666654</v>
      </c>
      <c r="I34" s="200">
        <v>4.9124999999999979</v>
      </c>
      <c r="J34" s="200">
        <v>120.65416666666664</v>
      </c>
      <c r="K34" s="200">
        <v>0.8125</v>
      </c>
      <c r="L34" s="200">
        <v>176.5541666666667</v>
      </c>
      <c r="M34" s="200">
        <v>0</v>
      </c>
      <c r="N34" s="200">
        <v>235.7416666666667</v>
      </c>
      <c r="O34" s="200">
        <v>0</v>
      </c>
      <c r="P34" s="200">
        <v>295.74166666666667</v>
      </c>
      <c r="Q34" s="257">
        <v>17.858055555555556</v>
      </c>
      <c r="S34" s="3">
        <f>'Monthly Data'!D10</f>
        <v>71436986.026025772</v>
      </c>
      <c r="T34" s="3">
        <f>'Monthly Data'!J10</f>
        <v>623418.73019462032</v>
      </c>
      <c r="U34" s="3">
        <f>'Monthly Data'!P10</f>
        <v>21326121.855075274</v>
      </c>
      <c r="V34" s="3">
        <f>'Monthly Data'!V10</f>
        <v>76514957.839849949</v>
      </c>
      <c r="W34" s="3">
        <f>'Monthly Data'!AB10</f>
        <v>6766131.8311543036</v>
      </c>
      <c r="X34" s="3">
        <f>'Monthly Data'!AG10</f>
        <v>17355357.037589509</v>
      </c>
      <c r="Y34" s="3">
        <f>'Monthly Data'!BC10</f>
        <v>30169775.615706906</v>
      </c>
      <c r="Z34" s="3">
        <f>'Monthly Data'!BI10</f>
        <v>7015180.0928257024</v>
      </c>
      <c r="AA34" s="3">
        <f>'Monthly Data'!BO10</f>
        <v>29046642.300810564</v>
      </c>
      <c r="AB34" s="3">
        <f>'Monthly Data'!BU10</f>
        <v>5137017.6567020249</v>
      </c>
      <c r="BA34" s="277">
        <f t="shared" si="192"/>
        <v>2025</v>
      </c>
      <c r="BB34" s="281">
        <f t="shared" si="193"/>
        <v>0</v>
      </c>
      <c r="BC34" s="281">
        <f t="shared" si="193"/>
        <v>0</v>
      </c>
      <c r="BD34" s="281">
        <f t="shared" si="193"/>
        <v>0</v>
      </c>
      <c r="BE34" s="281">
        <f t="shared" si="193"/>
        <v>0</v>
      </c>
      <c r="BF34" s="281">
        <f t="shared" si="193"/>
        <v>0</v>
      </c>
      <c r="BG34" s="281">
        <f t="shared" si="193"/>
        <v>33.229166666666671</v>
      </c>
      <c r="BH34" s="281">
        <f t="shared" si="193"/>
        <v>94.156250000000028</v>
      </c>
      <c r="BI34" s="281">
        <f t="shared" si="193"/>
        <v>50.675000000000011</v>
      </c>
      <c r="BJ34" s="281">
        <f t="shared" si="193"/>
        <v>0.41666666666666075</v>
      </c>
      <c r="BK34" s="281">
        <f t="shared" si="193"/>
        <v>0</v>
      </c>
      <c r="BL34" s="281">
        <f t="shared" si="193"/>
        <v>0</v>
      </c>
      <c r="BM34" s="281">
        <f t="shared" si="193"/>
        <v>0</v>
      </c>
      <c r="BN34" s="277"/>
      <c r="BO34" s="277">
        <f t="shared" si="194"/>
        <v>2025</v>
      </c>
      <c r="BP34" s="281">
        <f t="shared" si="195"/>
        <v>0</v>
      </c>
      <c r="BQ34" s="281">
        <f t="shared" si="186"/>
        <v>0</v>
      </c>
      <c r="BR34" s="281">
        <f t="shared" si="186"/>
        <v>0</v>
      </c>
      <c r="BS34" s="281">
        <f t="shared" si="186"/>
        <v>0</v>
      </c>
      <c r="BT34" s="281">
        <f t="shared" si="186"/>
        <v>0.25416666666666643</v>
      </c>
      <c r="BU34" s="281">
        <f t="shared" si="186"/>
        <v>65.695833333333326</v>
      </c>
      <c r="BV34" s="281">
        <f t="shared" si="186"/>
        <v>150.06875000000005</v>
      </c>
      <c r="BW34" s="281">
        <f t="shared" si="186"/>
        <v>91.05000000000004</v>
      </c>
      <c r="BX34" s="281">
        <f t="shared" si="186"/>
        <v>9.2749999999999808</v>
      </c>
      <c r="BY34" s="281">
        <f t="shared" si="186"/>
        <v>0.64166666666666927</v>
      </c>
      <c r="BZ34" s="281">
        <f t="shared" si="186"/>
        <v>0</v>
      </c>
      <c r="CA34" s="281">
        <f t="shared" si="186"/>
        <v>0</v>
      </c>
      <c r="CB34" s="281">
        <f t="shared" ref="CB34" si="207">SUM(BP34:CA34)</f>
        <v>316.98541666666671</v>
      </c>
      <c r="CC34" s="277">
        <f t="shared" si="197"/>
        <v>2025</v>
      </c>
      <c r="CD34" s="281">
        <f t="shared" si="198"/>
        <v>0</v>
      </c>
      <c r="CE34" s="281">
        <f t="shared" si="187"/>
        <v>0</v>
      </c>
      <c r="CF34" s="281">
        <f t="shared" si="187"/>
        <v>0</v>
      </c>
      <c r="CG34" s="281">
        <f t="shared" si="187"/>
        <v>0</v>
      </c>
      <c r="CH34" s="281">
        <f t="shared" si="187"/>
        <v>7.5833333333333321</v>
      </c>
      <c r="CI34" s="281">
        <f t="shared" si="187"/>
        <v>113.56249999999999</v>
      </c>
      <c r="CJ34" s="281">
        <f t="shared" si="187"/>
        <v>211.31458333333339</v>
      </c>
      <c r="CK34" s="281">
        <f t="shared" si="187"/>
        <v>140.12083333333339</v>
      </c>
      <c r="CL34" s="281">
        <f t="shared" si="187"/>
        <v>45.354166666666657</v>
      </c>
      <c r="CM34" s="281">
        <f t="shared" si="187"/>
        <v>9.283333333333335</v>
      </c>
      <c r="CN34" s="281">
        <f t="shared" si="187"/>
        <v>0</v>
      </c>
      <c r="CO34" s="281">
        <f t="shared" si="187"/>
        <v>0</v>
      </c>
      <c r="CP34" s="277"/>
      <c r="CQ34" s="277">
        <f t="shared" si="199"/>
        <v>2025</v>
      </c>
      <c r="CR34" s="281">
        <f t="shared" si="200"/>
        <v>0</v>
      </c>
      <c r="CS34" s="281">
        <f t="shared" si="188"/>
        <v>0</v>
      </c>
      <c r="CT34" s="281">
        <f t="shared" si="188"/>
        <v>0</v>
      </c>
      <c r="CU34" s="281">
        <f t="shared" si="188"/>
        <v>0.11666666666666714</v>
      </c>
      <c r="CV34" s="281">
        <f t="shared" si="188"/>
        <v>27.408333333333335</v>
      </c>
      <c r="CW34" s="281">
        <f t="shared" si="188"/>
        <v>168.17083333333329</v>
      </c>
      <c r="CX34" s="281">
        <f t="shared" si="188"/>
        <v>273.3145833333333</v>
      </c>
      <c r="CY34" s="281">
        <f t="shared" si="188"/>
        <v>198.54166666666663</v>
      </c>
      <c r="CZ34" s="281">
        <f t="shared" si="188"/>
        <v>94.837499999999977</v>
      </c>
      <c r="DA34" s="281">
        <f t="shared" si="188"/>
        <v>21.899999999999995</v>
      </c>
      <c r="DB34" s="281">
        <f t="shared" si="188"/>
        <v>0</v>
      </c>
      <c r="DC34" s="281">
        <f t="shared" si="188"/>
        <v>0</v>
      </c>
      <c r="DD34" s="277"/>
      <c r="DE34" s="277">
        <f t="shared" si="201"/>
        <v>2025</v>
      </c>
      <c r="DF34" s="281">
        <f t="shared" si="202"/>
        <v>0</v>
      </c>
      <c r="DG34" s="281">
        <f t="shared" si="189"/>
        <v>0</v>
      </c>
      <c r="DH34" s="281">
        <f t="shared" si="189"/>
        <v>0</v>
      </c>
      <c r="DI34" s="281">
        <f t="shared" si="189"/>
        <v>5.2083333333333321</v>
      </c>
      <c r="DJ34" s="281">
        <f t="shared" si="189"/>
        <v>58.67083333333332</v>
      </c>
      <c r="DK34" s="281">
        <f t="shared" si="189"/>
        <v>224.42916666666662</v>
      </c>
      <c r="DL34" s="281">
        <f t="shared" si="189"/>
        <v>335.3145833333333</v>
      </c>
      <c r="DM34" s="281">
        <f t="shared" si="189"/>
        <v>259.88749999999993</v>
      </c>
      <c r="DN34" s="281">
        <f t="shared" si="189"/>
        <v>152.10833333333332</v>
      </c>
      <c r="DO34" s="281">
        <f t="shared" si="189"/>
        <v>44.091666666666669</v>
      </c>
      <c r="DP34" s="281">
        <f t="shared" si="189"/>
        <v>0</v>
      </c>
      <c r="DQ34" s="281">
        <f t="shared" si="189"/>
        <v>0</v>
      </c>
      <c r="DR34" s="277"/>
      <c r="DS34" s="277">
        <f t="shared" si="203"/>
        <v>2025</v>
      </c>
      <c r="DT34" s="281">
        <f t="shared" si="204"/>
        <v>0</v>
      </c>
      <c r="DU34" s="281">
        <f t="shared" si="190"/>
        <v>0</v>
      </c>
      <c r="DV34" s="281">
        <f t="shared" si="190"/>
        <v>1.8249999999999993</v>
      </c>
      <c r="DW34" s="281">
        <f t="shared" si="190"/>
        <v>17.262499999999992</v>
      </c>
      <c r="DX34" s="281">
        <f t="shared" si="190"/>
        <v>98.845833333333317</v>
      </c>
      <c r="DY34" s="281">
        <f t="shared" si="190"/>
        <v>283.24166666666662</v>
      </c>
      <c r="DZ34" s="281">
        <f t="shared" si="190"/>
        <v>397.31458333333319</v>
      </c>
      <c r="EA34" s="281">
        <f t="shared" si="190"/>
        <v>321.88749999999999</v>
      </c>
      <c r="EB34" s="281">
        <f t="shared" si="190"/>
        <v>212.10833333333332</v>
      </c>
      <c r="EC34" s="281">
        <f t="shared" si="190"/>
        <v>72.291666666666686</v>
      </c>
      <c r="ED34" s="281">
        <f t="shared" si="190"/>
        <v>0</v>
      </c>
      <c r="EE34" s="281">
        <f t="shared" si="190"/>
        <v>0</v>
      </c>
      <c r="EF34" s="277"/>
      <c r="EG34" s="277">
        <f t="shared" si="205"/>
        <v>2025</v>
      </c>
      <c r="EH34" s="281">
        <f t="shared" si="206"/>
        <v>0</v>
      </c>
      <c r="EI34" s="281">
        <f t="shared" si="191"/>
        <v>0</v>
      </c>
      <c r="EJ34" s="281">
        <f t="shared" si="191"/>
        <v>7.4666666666666668</v>
      </c>
      <c r="EK34" s="281">
        <f t="shared" si="191"/>
        <v>37.370833333333316</v>
      </c>
      <c r="EL34" s="281">
        <f t="shared" si="191"/>
        <v>150.92916666666665</v>
      </c>
      <c r="EM34" s="281">
        <f t="shared" si="191"/>
        <v>343.24166666666662</v>
      </c>
      <c r="EN34" s="281">
        <f t="shared" si="191"/>
        <v>459.31458333333325</v>
      </c>
      <c r="EO34" s="281">
        <f t="shared" si="191"/>
        <v>383.88749999999999</v>
      </c>
      <c r="EP34" s="281">
        <f t="shared" si="191"/>
        <v>272.10833333333335</v>
      </c>
      <c r="EQ34" s="281">
        <f t="shared" si="191"/>
        <v>107.925</v>
      </c>
      <c r="ER34" s="281">
        <f t="shared" si="191"/>
        <v>0</v>
      </c>
      <c r="ES34" s="281">
        <f t="shared" si="191"/>
        <v>0</v>
      </c>
      <c r="EU34" s="488">
        <f>'Monthly Data'!FO10</f>
        <v>676.89807840094261</v>
      </c>
      <c r="EV34" s="488">
        <f>'Monthly Data'!FP10</f>
        <v>403.80900953384509</v>
      </c>
      <c r="EW34" s="488">
        <f>'Monthly Data'!FQ10</f>
        <v>2439.864435515427</v>
      </c>
      <c r="EX34" s="488">
        <f>'Monthly Data'!FR10</f>
        <v>74480.752739917487</v>
      </c>
      <c r="EY34" s="488">
        <f>'Monthly Data'!FS10</f>
        <v>1362661.737373672</v>
      </c>
      <c r="EZ34" s="488">
        <f>'Monthly Data'!FT10</f>
        <v>5998033.1559613692</v>
      </c>
      <c r="FA34" s="488">
        <f>'Monthly Data'!FX10</f>
        <v>782.14233985604415</v>
      </c>
      <c r="FB34" s="488">
        <f>'Monthly Data'!FY10</f>
        <v>3228.9582460036409</v>
      </c>
      <c r="FC34" s="488">
        <f>'Monthly Data'!FZ10</f>
        <v>80268.706998249734</v>
      </c>
      <c r="FD34" s="488">
        <f>'Monthly Data'!GA10</f>
        <v>209995.49933039985</v>
      </c>
    </row>
    <row r="35" spans="1:160">
      <c r="A35">
        <v>2016</v>
      </c>
      <c r="B35">
        <v>10</v>
      </c>
      <c r="C35" s="200">
        <v>283.19583333333327</v>
      </c>
      <c r="D35" s="200">
        <v>0</v>
      </c>
      <c r="E35" s="200">
        <v>222.13333333333333</v>
      </c>
      <c r="F35" s="200">
        <v>0.93750000000000355</v>
      </c>
      <c r="G35" s="200">
        <v>166.45</v>
      </c>
      <c r="H35" s="200">
        <v>7.2541666666666735</v>
      </c>
      <c r="I35" s="200">
        <v>121.96666666666667</v>
      </c>
      <c r="J35" s="200">
        <v>24.770833333333336</v>
      </c>
      <c r="K35" s="200">
        <v>87.579166666666666</v>
      </c>
      <c r="L35" s="200">
        <v>52.383333333333333</v>
      </c>
      <c r="M35" s="200">
        <v>58.995833333333337</v>
      </c>
      <c r="N35" s="200">
        <v>85.800000000000011</v>
      </c>
      <c r="O35" s="200">
        <v>33.25</v>
      </c>
      <c r="P35" s="200">
        <v>122.05416666666669</v>
      </c>
      <c r="Q35" s="257">
        <v>10.864650537634409</v>
      </c>
      <c r="S35" s="3">
        <f>'Monthly Data'!D11</f>
        <v>61935878.390775234</v>
      </c>
      <c r="T35" s="3">
        <f>'Monthly Data'!J11</f>
        <v>695768.63185460784</v>
      </c>
      <c r="U35" s="3">
        <f>'Monthly Data'!P11</f>
        <v>20149312.582388859</v>
      </c>
      <c r="V35" s="3">
        <f>'Monthly Data'!V11</f>
        <v>74081415.120858461</v>
      </c>
      <c r="W35" s="3">
        <f>'Monthly Data'!AB11</f>
        <v>6529319.2660727352</v>
      </c>
      <c r="X35" s="3">
        <f>'Monthly Data'!AG11</f>
        <v>17467110.767072275</v>
      </c>
      <c r="Y35" s="3">
        <f>'Monthly Data'!BC11</f>
        <v>24014557.459508415</v>
      </c>
      <c r="Z35" s="3">
        <f>'Monthly Data'!BI11</f>
        <v>6463146.9084752146</v>
      </c>
      <c r="AA35" s="3">
        <f>'Monthly Data'!BO11</f>
        <v>27914943.481236864</v>
      </c>
      <c r="AB35" s="3">
        <f>'Monthly Data'!BU11</f>
        <v>5156148.9585342333</v>
      </c>
      <c r="BA35" s="279">
        <f t="shared" si="192"/>
        <v>2026</v>
      </c>
      <c r="BB35" s="280">
        <f>AVERAGE(BB25:BB34)</f>
        <v>0</v>
      </c>
      <c r="BC35" s="280">
        <f t="shared" ref="BC35:BM35" si="208">AVERAGE(BC25:BC34)</f>
        <v>0</v>
      </c>
      <c r="BD35" s="280">
        <f t="shared" si="208"/>
        <v>0</v>
      </c>
      <c r="BE35" s="280">
        <f t="shared" si="208"/>
        <v>0</v>
      </c>
      <c r="BF35" s="280">
        <f t="shared" si="208"/>
        <v>4.8553571428571409</v>
      </c>
      <c r="BG35" s="280">
        <f t="shared" si="208"/>
        <v>23.565441370223976</v>
      </c>
      <c r="BH35" s="280">
        <f t="shared" si="208"/>
        <v>65.059566734276387</v>
      </c>
      <c r="BI35" s="280">
        <f t="shared" si="208"/>
        <v>49.015098814229248</v>
      </c>
      <c r="BJ35" s="280">
        <f t="shared" si="208"/>
        <v>9.9883333333333333</v>
      </c>
      <c r="BK35" s="280">
        <f t="shared" si="208"/>
        <v>1.666666666666572E-3</v>
      </c>
      <c r="BL35" s="280">
        <f t="shared" si="208"/>
        <v>0</v>
      </c>
      <c r="BM35" s="280">
        <f t="shared" si="208"/>
        <v>0</v>
      </c>
      <c r="BN35" s="277"/>
      <c r="BO35" s="279">
        <f t="shared" si="194"/>
        <v>2026</v>
      </c>
      <c r="BP35" s="280">
        <f>AVERAGE(BP25:BP34)</f>
        <v>0</v>
      </c>
      <c r="BQ35" s="280">
        <f t="shared" ref="BQ35:CA35" si="209">AVERAGE(BQ25:BQ34)</f>
        <v>0</v>
      </c>
      <c r="BR35" s="280">
        <f t="shared" si="209"/>
        <v>0</v>
      </c>
      <c r="BS35" s="280">
        <f t="shared" si="209"/>
        <v>3.4583333333333854E-2</v>
      </c>
      <c r="BT35" s="280">
        <f t="shared" si="209"/>
        <v>13.202440476190475</v>
      </c>
      <c r="BU35" s="280">
        <f t="shared" si="209"/>
        <v>52.057108036890646</v>
      </c>
      <c r="BV35" s="280">
        <f t="shared" si="209"/>
        <v>119.80967025394514</v>
      </c>
      <c r="BW35" s="280">
        <f t="shared" si="209"/>
        <v>96.38475461133072</v>
      </c>
      <c r="BX35" s="280">
        <f t="shared" si="209"/>
        <v>26.734166666666663</v>
      </c>
      <c r="BY35" s="280">
        <f t="shared" si="209"/>
        <v>1.751666666666668</v>
      </c>
      <c r="BZ35" s="280">
        <f t="shared" si="209"/>
        <v>0</v>
      </c>
      <c r="CA35" s="280">
        <f t="shared" si="209"/>
        <v>0</v>
      </c>
      <c r="CB35" s="281">
        <f t="shared" ref="CB35" si="210">SUM(BP35:CA35)</f>
        <v>309.97439004502365</v>
      </c>
      <c r="CC35" s="279">
        <f t="shared" si="197"/>
        <v>2026</v>
      </c>
      <c r="CD35" s="280">
        <f>AVERAGE(CD25:CD34)</f>
        <v>0</v>
      </c>
      <c r="CE35" s="280">
        <f t="shared" ref="CE35:CO35" si="211">AVERAGE(CE25:CE34)</f>
        <v>0</v>
      </c>
      <c r="CF35" s="280">
        <f t="shared" si="211"/>
        <v>0</v>
      </c>
      <c r="CG35" s="280">
        <f t="shared" si="211"/>
        <v>0.4316666666666677</v>
      </c>
      <c r="CH35" s="280">
        <f t="shared" si="211"/>
        <v>26.958863636363635</v>
      </c>
      <c r="CI35" s="280">
        <f t="shared" si="211"/>
        <v>92.933549595332209</v>
      </c>
      <c r="CJ35" s="280">
        <f t="shared" si="211"/>
        <v>180.79967025394512</v>
      </c>
      <c r="CK35" s="280">
        <f t="shared" si="211"/>
        <v>153.08475461133071</v>
      </c>
      <c r="CL35" s="280">
        <f t="shared" si="211"/>
        <v>58.118749999999991</v>
      </c>
      <c r="CM35" s="280">
        <f t="shared" si="211"/>
        <v>7.9825000000000035</v>
      </c>
      <c r="CN35" s="280">
        <f t="shared" si="211"/>
        <v>0.15041666666666628</v>
      </c>
      <c r="CO35" s="280">
        <f t="shared" si="211"/>
        <v>0</v>
      </c>
      <c r="CP35" s="277"/>
      <c r="CQ35" s="279">
        <f t="shared" si="199"/>
        <v>2026</v>
      </c>
      <c r="CR35" s="280">
        <f>AVERAGE(CR25:CR34)</f>
        <v>0</v>
      </c>
      <c r="CS35" s="280">
        <f t="shared" ref="CS35:DC35" si="212">AVERAGE(CS25:CS34)</f>
        <v>0</v>
      </c>
      <c r="CT35" s="280">
        <f t="shared" si="212"/>
        <v>0</v>
      </c>
      <c r="CU35" s="280">
        <f t="shared" si="212"/>
        <v>2.2025000000000015</v>
      </c>
      <c r="CV35" s="280">
        <f t="shared" si="212"/>
        <v>48.940113636363641</v>
      </c>
      <c r="CW35" s="280">
        <f t="shared" si="212"/>
        <v>144.91160087738351</v>
      </c>
      <c r="CX35" s="280">
        <f t="shared" si="212"/>
        <v>242.72508692061183</v>
      </c>
      <c r="CY35" s="280">
        <f t="shared" si="212"/>
        <v>214.02558794466404</v>
      </c>
      <c r="CZ35" s="280">
        <f t="shared" si="212"/>
        <v>102.40708333333332</v>
      </c>
      <c r="DA35" s="280">
        <f t="shared" si="212"/>
        <v>19.741250000000004</v>
      </c>
      <c r="DB35" s="280">
        <f t="shared" si="212"/>
        <v>0.78124999999999944</v>
      </c>
      <c r="DC35" s="280">
        <f t="shared" si="212"/>
        <v>0</v>
      </c>
      <c r="DD35" s="277"/>
      <c r="DE35" s="279">
        <f t="shared" si="201"/>
        <v>2026</v>
      </c>
      <c r="DF35" s="280">
        <f>AVERAGE(DF25:DF34)</f>
        <v>0</v>
      </c>
      <c r="DG35" s="280">
        <f t="shared" ref="DG35:DQ35" si="213">AVERAGE(DG25:DG34)</f>
        <v>0</v>
      </c>
      <c r="DH35" s="280">
        <f t="shared" si="213"/>
        <v>2.9583333333332896E-2</v>
      </c>
      <c r="DI35" s="280">
        <f t="shared" si="213"/>
        <v>6.0095833333333344</v>
      </c>
      <c r="DJ35" s="280">
        <f t="shared" si="213"/>
        <v>81.50872474747473</v>
      </c>
      <c r="DK35" s="280">
        <f t="shared" si="213"/>
        <v>202.3599342107168</v>
      </c>
      <c r="DL35" s="280">
        <f t="shared" si="213"/>
        <v>304.72508692061177</v>
      </c>
      <c r="DM35" s="280">
        <f t="shared" si="213"/>
        <v>275.96017127799735</v>
      </c>
      <c r="DN35" s="280">
        <f t="shared" si="213"/>
        <v>154.9849637681159</v>
      </c>
      <c r="DO35" s="280">
        <f t="shared" si="213"/>
        <v>38.347916666666663</v>
      </c>
      <c r="DP35" s="280">
        <f t="shared" si="213"/>
        <v>1.9241666666666659</v>
      </c>
      <c r="DQ35" s="280">
        <f t="shared" si="213"/>
        <v>0</v>
      </c>
      <c r="DR35" s="277"/>
      <c r="DS35" s="279">
        <f t="shared" si="203"/>
        <v>2026</v>
      </c>
      <c r="DT35" s="280">
        <f>AVERAGE(DT25:DT34)</f>
        <v>0</v>
      </c>
      <c r="DU35" s="280">
        <f t="shared" ref="DU35:EE35" si="214">AVERAGE(DU25:DU34)</f>
        <v>0</v>
      </c>
      <c r="DV35" s="280">
        <f t="shared" si="214"/>
        <v>0.70124999999999926</v>
      </c>
      <c r="DW35" s="280">
        <f t="shared" si="214"/>
        <v>13.534166666666668</v>
      </c>
      <c r="DX35" s="280">
        <f t="shared" si="214"/>
        <v>124.53956539074959</v>
      </c>
      <c r="DY35" s="280">
        <f t="shared" si="214"/>
        <v>261.88118421071681</v>
      </c>
      <c r="DZ35" s="280">
        <f t="shared" si="214"/>
        <v>366.72508692061183</v>
      </c>
      <c r="EA35" s="280">
        <f t="shared" si="214"/>
        <v>337.96017127799735</v>
      </c>
      <c r="EB35" s="280">
        <f t="shared" si="214"/>
        <v>212.8928804347826</v>
      </c>
      <c r="EC35" s="280">
        <f t="shared" si="214"/>
        <v>66.268333333333345</v>
      </c>
      <c r="ED35" s="280">
        <f t="shared" si="214"/>
        <v>4.4483333333333324</v>
      </c>
      <c r="EE35" s="280">
        <f t="shared" si="214"/>
        <v>4.1249999999999967E-2</v>
      </c>
      <c r="EF35" s="277"/>
      <c r="EG35" s="279">
        <f t="shared" si="205"/>
        <v>2026</v>
      </c>
      <c r="EH35" s="280">
        <f>AVERAGE(EH25:EH34)</f>
        <v>0</v>
      </c>
      <c r="EI35" s="280">
        <f t="shared" ref="EI35:ES35" si="215">AVERAGE(EI25:EI34)</f>
        <v>0.1424999999999999</v>
      </c>
      <c r="EJ35" s="280">
        <f t="shared" si="215"/>
        <v>3.1920833333333327</v>
      </c>
      <c r="EK35" s="280">
        <f t="shared" si="215"/>
        <v>28.730833333333333</v>
      </c>
      <c r="EL35" s="280">
        <f t="shared" si="215"/>
        <v>175.15706539074958</v>
      </c>
      <c r="EM35" s="280">
        <f t="shared" si="215"/>
        <v>321.78326754405015</v>
      </c>
      <c r="EN35" s="280">
        <f t="shared" si="215"/>
        <v>428.72508692061183</v>
      </c>
      <c r="EO35" s="280">
        <f t="shared" si="215"/>
        <v>399.96017127799735</v>
      </c>
      <c r="EP35" s="280">
        <f t="shared" si="215"/>
        <v>272.32121376811591</v>
      </c>
      <c r="EQ35" s="280">
        <f t="shared" si="215"/>
        <v>102.65041666666666</v>
      </c>
      <c r="ER35" s="280">
        <f t="shared" si="215"/>
        <v>10.57375</v>
      </c>
      <c r="ES35" s="280">
        <f t="shared" si="215"/>
        <v>0.31000000000000016</v>
      </c>
      <c r="EU35" s="488">
        <f>'Monthly Data'!FO11</f>
        <v>588.66581254683513</v>
      </c>
      <c r="EV35" s="488">
        <f>'Monthly Data'!FP11</f>
        <v>449.98094993735873</v>
      </c>
      <c r="EW35" s="488">
        <f>'Monthly Data'!FQ11</f>
        <v>2308.6366421610905</v>
      </c>
      <c r="EX35" s="488">
        <f>'Monthly Data'!FR11</f>
        <v>72281.130889074135</v>
      </c>
      <c r="EY35" s="488">
        <f>'Monthly Data'!FS11</f>
        <v>1315749.7083980178</v>
      </c>
      <c r="EZ35" s="488">
        <f>'Monthly Data'!FT11</f>
        <v>6041240.9769630646</v>
      </c>
      <c r="FA35" s="488">
        <f>'Monthly Data'!FX11</f>
        <v>626.64787831124181</v>
      </c>
      <c r="FB35" s="488">
        <f>'Monthly Data'!FY11</f>
        <v>2975.3629236418224</v>
      </c>
      <c r="FC35" s="488">
        <f>'Monthly Data'!FZ11</f>
        <v>77184.152577062341</v>
      </c>
      <c r="FD35" s="488">
        <f>'Monthly Data'!GA11</f>
        <v>252419.82494738852</v>
      </c>
    </row>
    <row r="36" spans="1:160">
      <c r="A36">
        <v>2016</v>
      </c>
      <c r="B36">
        <v>11</v>
      </c>
      <c r="C36" s="200">
        <v>437.33511904761912</v>
      </c>
      <c r="D36" s="200">
        <v>0</v>
      </c>
      <c r="E36" s="200">
        <v>377.33511904761912</v>
      </c>
      <c r="F36" s="200">
        <v>0</v>
      </c>
      <c r="G36" s="200">
        <v>317.335119047619</v>
      </c>
      <c r="H36" s="200">
        <v>0</v>
      </c>
      <c r="I36" s="200">
        <v>257.33511904761906</v>
      </c>
      <c r="J36" s="200">
        <v>0</v>
      </c>
      <c r="K36" s="200">
        <v>198.66428571428571</v>
      </c>
      <c r="L36" s="200">
        <v>1.3291666666666675</v>
      </c>
      <c r="M36" s="200">
        <v>141.00178571428572</v>
      </c>
      <c r="N36" s="200">
        <v>3.6666666666666679</v>
      </c>
      <c r="O36" s="200">
        <v>89.230952380952388</v>
      </c>
      <c r="P36" s="200">
        <v>11.895833333333334</v>
      </c>
      <c r="Q36" s="257">
        <v>5.4221626984126994</v>
      </c>
      <c r="S36" s="3">
        <f>'Monthly Data'!D12</f>
        <v>64742977.349493615</v>
      </c>
      <c r="T36" s="3">
        <f>'Monthly Data'!J12</f>
        <v>568227.3082808624</v>
      </c>
      <c r="U36" s="3">
        <f>'Monthly Data'!P12</f>
        <v>21005476.845153596</v>
      </c>
      <c r="V36" s="3">
        <f>'Monthly Data'!V12</f>
        <v>74139683.096125528</v>
      </c>
      <c r="W36" s="3">
        <f>'Monthly Data'!AB12</f>
        <v>7155310.1932199439</v>
      </c>
      <c r="X36" s="3">
        <f>'Monthly Data'!AG12</f>
        <v>17791998.228138022</v>
      </c>
      <c r="Y36" s="3">
        <f>'Monthly Data'!BC12</f>
        <v>23774002.988262866</v>
      </c>
      <c r="Z36" s="3">
        <f>'Monthly Data'!BI12</f>
        <v>6627638.8134493968</v>
      </c>
      <c r="AA36" s="3">
        <f>'Monthly Data'!BO12</f>
        <v>27090703.668567996</v>
      </c>
      <c r="AB36" s="3">
        <f>'Monthly Data'!BU12</f>
        <v>4886018.8331726138</v>
      </c>
      <c r="BA36" s="279">
        <f t="shared" ref="BA36:BA40" si="216">BA35+1</f>
        <v>2027</v>
      </c>
      <c r="BB36" s="280">
        <f t="shared" ref="BB36:BB40" si="217">BB35</f>
        <v>0</v>
      </c>
      <c r="BC36" s="280">
        <f t="shared" ref="BC36:BM40" si="218">BC35</f>
        <v>0</v>
      </c>
      <c r="BD36" s="280">
        <f t="shared" si="218"/>
        <v>0</v>
      </c>
      <c r="BE36" s="280">
        <f t="shared" si="218"/>
        <v>0</v>
      </c>
      <c r="BF36" s="280">
        <f t="shared" si="218"/>
        <v>4.8553571428571409</v>
      </c>
      <c r="BG36" s="280">
        <f t="shared" si="218"/>
        <v>23.565441370223976</v>
      </c>
      <c r="BH36" s="280">
        <f t="shared" si="218"/>
        <v>65.059566734276387</v>
      </c>
      <c r="BI36" s="280">
        <f t="shared" si="218"/>
        <v>49.015098814229248</v>
      </c>
      <c r="BJ36" s="280">
        <f t="shared" si="218"/>
        <v>9.9883333333333333</v>
      </c>
      <c r="BK36" s="280">
        <f t="shared" si="218"/>
        <v>1.666666666666572E-3</v>
      </c>
      <c r="BL36" s="280">
        <f t="shared" si="218"/>
        <v>0</v>
      </c>
      <c r="BM36" s="280">
        <f t="shared" si="218"/>
        <v>0</v>
      </c>
      <c r="BN36" s="277"/>
      <c r="BO36" s="279">
        <f t="shared" ref="BO36:BO40" si="219">BO35+1</f>
        <v>2027</v>
      </c>
      <c r="BP36" s="280">
        <f t="shared" ref="BP36:BP40" si="220">BP35</f>
        <v>0</v>
      </c>
      <c r="BQ36" s="280">
        <f t="shared" ref="BQ36:BQ40" si="221">BQ35</f>
        <v>0</v>
      </c>
      <c r="BR36" s="280">
        <f t="shared" ref="BR36:BR40" si="222">BR35</f>
        <v>0</v>
      </c>
      <c r="BS36" s="280">
        <f t="shared" ref="BS36:BS40" si="223">BS35</f>
        <v>3.4583333333333854E-2</v>
      </c>
      <c r="BT36" s="280">
        <f t="shared" ref="BT36:BT40" si="224">BT35</f>
        <v>13.202440476190475</v>
      </c>
      <c r="BU36" s="280">
        <f t="shared" ref="BU36:BU40" si="225">BU35</f>
        <v>52.057108036890646</v>
      </c>
      <c r="BV36" s="280">
        <f t="shared" ref="BV36:BV40" si="226">BV35</f>
        <v>119.80967025394514</v>
      </c>
      <c r="BW36" s="280">
        <f t="shared" ref="BW36:BW40" si="227">BW35</f>
        <v>96.38475461133072</v>
      </c>
      <c r="BX36" s="280">
        <f t="shared" ref="BX36:BX40" si="228">BX35</f>
        <v>26.734166666666663</v>
      </c>
      <c r="BY36" s="280">
        <f t="shared" ref="BY36:BY40" si="229">BY35</f>
        <v>1.751666666666668</v>
      </c>
      <c r="BZ36" s="280">
        <f t="shared" ref="BZ36:BZ40" si="230">BZ35</f>
        <v>0</v>
      </c>
      <c r="CA36" s="280">
        <f t="shared" ref="CA36:CA40" si="231">CA35</f>
        <v>0</v>
      </c>
      <c r="CB36" s="281">
        <f t="shared" si="196"/>
        <v>309.97439004502365</v>
      </c>
      <c r="CC36" s="279">
        <f t="shared" ref="CC36:CC40" si="232">CC35+1</f>
        <v>2027</v>
      </c>
      <c r="CD36" s="280">
        <f t="shared" ref="CD36:CD40" si="233">CD35</f>
        <v>0</v>
      </c>
      <c r="CE36" s="280">
        <f t="shared" ref="CE36:CE40" si="234">CE35</f>
        <v>0</v>
      </c>
      <c r="CF36" s="280">
        <f t="shared" ref="CF36:CF40" si="235">CF35</f>
        <v>0</v>
      </c>
      <c r="CG36" s="280">
        <f t="shared" ref="CG36:CG40" si="236">CG35</f>
        <v>0.4316666666666677</v>
      </c>
      <c r="CH36" s="280">
        <f t="shared" ref="CH36:CH40" si="237">CH35</f>
        <v>26.958863636363635</v>
      </c>
      <c r="CI36" s="280">
        <f t="shared" ref="CI36:CI40" si="238">CI35</f>
        <v>92.933549595332209</v>
      </c>
      <c r="CJ36" s="280">
        <f t="shared" ref="CJ36:CJ40" si="239">CJ35</f>
        <v>180.79967025394512</v>
      </c>
      <c r="CK36" s="280">
        <f t="shared" ref="CK36:CK40" si="240">CK35</f>
        <v>153.08475461133071</v>
      </c>
      <c r="CL36" s="280">
        <f t="shared" ref="CL36:CL40" si="241">CL35</f>
        <v>58.118749999999991</v>
      </c>
      <c r="CM36" s="280">
        <f t="shared" ref="CM36:CM40" si="242">CM35</f>
        <v>7.9825000000000035</v>
      </c>
      <c r="CN36" s="280">
        <f t="shared" ref="CN36:CN40" si="243">CN35</f>
        <v>0.15041666666666628</v>
      </c>
      <c r="CO36" s="280">
        <f t="shared" ref="CO36:CO40" si="244">CO35</f>
        <v>0</v>
      </c>
      <c r="CP36" s="277"/>
      <c r="CQ36" s="279">
        <f t="shared" ref="CQ36:CQ40" si="245">CQ35+1</f>
        <v>2027</v>
      </c>
      <c r="CR36" s="280">
        <f t="shared" ref="CR36:CR40" si="246">CR35</f>
        <v>0</v>
      </c>
      <c r="CS36" s="280">
        <f t="shared" ref="CS36:CS40" si="247">CS35</f>
        <v>0</v>
      </c>
      <c r="CT36" s="280">
        <f t="shared" ref="CT36:CT40" si="248">CT35</f>
        <v>0</v>
      </c>
      <c r="CU36" s="280">
        <f t="shared" ref="CU36:CU40" si="249">CU35</f>
        <v>2.2025000000000015</v>
      </c>
      <c r="CV36" s="280">
        <f t="shared" ref="CV36:CV40" si="250">CV35</f>
        <v>48.940113636363641</v>
      </c>
      <c r="CW36" s="280">
        <f t="shared" ref="CW36:CW40" si="251">CW35</f>
        <v>144.91160087738351</v>
      </c>
      <c r="CX36" s="280">
        <f t="shared" ref="CX36:CX40" si="252">CX35</f>
        <v>242.72508692061183</v>
      </c>
      <c r="CY36" s="280">
        <f t="shared" ref="CY36:CY40" si="253">CY35</f>
        <v>214.02558794466404</v>
      </c>
      <c r="CZ36" s="280">
        <f t="shared" ref="CZ36:CZ40" si="254">CZ35</f>
        <v>102.40708333333332</v>
      </c>
      <c r="DA36" s="280">
        <f t="shared" ref="DA36:DA40" si="255">DA35</f>
        <v>19.741250000000004</v>
      </c>
      <c r="DB36" s="280">
        <f t="shared" ref="DB36:DB40" si="256">DB35</f>
        <v>0.78124999999999944</v>
      </c>
      <c r="DC36" s="280">
        <f t="shared" ref="DC36:DC40" si="257">DC35</f>
        <v>0</v>
      </c>
      <c r="DD36" s="277"/>
      <c r="DE36" s="279">
        <f t="shared" ref="DE36:DE40" si="258">DE35+1</f>
        <v>2027</v>
      </c>
      <c r="DF36" s="280">
        <f t="shared" ref="DF36:DF40" si="259">DF35</f>
        <v>0</v>
      </c>
      <c r="DG36" s="280">
        <f t="shared" ref="DG36:DG40" si="260">DG35</f>
        <v>0</v>
      </c>
      <c r="DH36" s="280">
        <f t="shared" ref="DH36:DH40" si="261">DH35</f>
        <v>2.9583333333332896E-2</v>
      </c>
      <c r="DI36" s="280">
        <f t="shared" ref="DI36:DI40" si="262">DI35</f>
        <v>6.0095833333333344</v>
      </c>
      <c r="DJ36" s="280">
        <f t="shared" ref="DJ36:DJ40" si="263">DJ35</f>
        <v>81.50872474747473</v>
      </c>
      <c r="DK36" s="280">
        <f t="shared" ref="DK36:DK40" si="264">DK35</f>
        <v>202.3599342107168</v>
      </c>
      <c r="DL36" s="280">
        <f t="shared" ref="DL36:DL40" si="265">DL35</f>
        <v>304.72508692061177</v>
      </c>
      <c r="DM36" s="280">
        <f t="shared" ref="DM36:DM40" si="266">DM35</f>
        <v>275.96017127799735</v>
      </c>
      <c r="DN36" s="280">
        <f t="shared" ref="DN36:DN40" si="267">DN35</f>
        <v>154.9849637681159</v>
      </c>
      <c r="DO36" s="280">
        <f t="shared" ref="DO36:DO40" si="268">DO35</f>
        <v>38.347916666666663</v>
      </c>
      <c r="DP36" s="280">
        <f t="shared" ref="DP36:DP40" si="269">DP35</f>
        <v>1.9241666666666659</v>
      </c>
      <c r="DQ36" s="280">
        <f t="shared" ref="DQ36:DQ40" si="270">DQ35</f>
        <v>0</v>
      </c>
      <c r="DR36" s="277"/>
      <c r="DS36" s="279">
        <f t="shared" ref="DS36:DS40" si="271">DS35+1</f>
        <v>2027</v>
      </c>
      <c r="DT36" s="280">
        <f t="shared" ref="DT36:DT40" si="272">DT35</f>
        <v>0</v>
      </c>
      <c r="DU36" s="280">
        <f t="shared" ref="DU36:DU40" si="273">DU35</f>
        <v>0</v>
      </c>
      <c r="DV36" s="280">
        <f t="shared" ref="DV36:DV40" si="274">DV35</f>
        <v>0.70124999999999926</v>
      </c>
      <c r="DW36" s="280">
        <f t="shared" ref="DW36:DW40" si="275">DW35</f>
        <v>13.534166666666668</v>
      </c>
      <c r="DX36" s="280">
        <f t="shared" ref="DX36:DX40" si="276">DX35</f>
        <v>124.53956539074959</v>
      </c>
      <c r="DY36" s="280">
        <f t="shared" ref="DY36:DY40" si="277">DY35</f>
        <v>261.88118421071681</v>
      </c>
      <c r="DZ36" s="280">
        <f t="shared" ref="DZ36:DZ40" si="278">DZ35</f>
        <v>366.72508692061183</v>
      </c>
      <c r="EA36" s="280">
        <f t="shared" ref="EA36:EA40" si="279">EA35</f>
        <v>337.96017127799735</v>
      </c>
      <c r="EB36" s="280">
        <f t="shared" ref="EB36:EB40" si="280">EB35</f>
        <v>212.8928804347826</v>
      </c>
      <c r="EC36" s="280">
        <f t="shared" ref="EC36:EC40" si="281">EC35</f>
        <v>66.268333333333345</v>
      </c>
      <c r="ED36" s="280">
        <f t="shared" ref="ED36:ED40" si="282">ED35</f>
        <v>4.4483333333333324</v>
      </c>
      <c r="EE36" s="280">
        <f t="shared" ref="EE36:EE40" si="283">EE35</f>
        <v>4.1249999999999967E-2</v>
      </c>
      <c r="EF36" s="277"/>
      <c r="EG36" s="279">
        <f t="shared" ref="EG36:EG40" si="284">EG35+1</f>
        <v>2027</v>
      </c>
      <c r="EH36" s="280">
        <f t="shared" ref="EH36:EH40" si="285">EH35</f>
        <v>0</v>
      </c>
      <c r="EI36" s="280">
        <f t="shared" ref="EI36:EI40" si="286">EI35</f>
        <v>0.1424999999999999</v>
      </c>
      <c r="EJ36" s="280">
        <f t="shared" ref="EJ36:EJ40" si="287">EJ35</f>
        <v>3.1920833333333327</v>
      </c>
      <c r="EK36" s="280">
        <f t="shared" ref="EK36:EK40" si="288">EK35</f>
        <v>28.730833333333333</v>
      </c>
      <c r="EL36" s="280">
        <f t="shared" ref="EL36:EL40" si="289">EL35</f>
        <v>175.15706539074958</v>
      </c>
      <c r="EM36" s="280">
        <f t="shared" ref="EM36:EM40" si="290">EM35</f>
        <v>321.78326754405015</v>
      </c>
      <c r="EN36" s="280">
        <f t="shared" ref="EN36:EN40" si="291">EN35</f>
        <v>428.72508692061183</v>
      </c>
      <c r="EO36" s="280">
        <f t="shared" ref="EO36:EO40" si="292">EO35</f>
        <v>399.96017127799735</v>
      </c>
      <c r="EP36" s="280">
        <f t="shared" ref="EP36:EP40" si="293">EP35</f>
        <v>272.32121376811591</v>
      </c>
      <c r="EQ36" s="280">
        <f t="shared" ref="EQ36:EQ40" si="294">EQ35</f>
        <v>102.65041666666666</v>
      </c>
      <c r="ER36" s="280">
        <f t="shared" ref="ER36:ER40" si="295">ER35</f>
        <v>10.57375</v>
      </c>
      <c r="ES36" s="280">
        <f t="shared" ref="ES36:ES40" si="296">ES35</f>
        <v>0.31000000000000016</v>
      </c>
      <c r="EU36" s="488">
        <f>'Monthly Data'!FO12</f>
        <v>614.72568135239112</v>
      </c>
      <c r="EV36" s="488">
        <f>'Monthly Data'!FP12</f>
        <v>369.94824664442189</v>
      </c>
      <c r="EW36" s="488">
        <f>'Monthly Data'!FQ12</f>
        <v>2403.8925125070036</v>
      </c>
      <c r="EX36" s="488">
        <f>'Monthly Data'!FR12</f>
        <v>72446.504415746764</v>
      </c>
      <c r="EY36" s="488">
        <f>'Monthly Data'!FS12</f>
        <v>1441398.3778681189</v>
      </c>
      <c r="EZ36" s="488">
        <f>'Monthly Data'!FT12</f>
        <v>6155493.3751590848</v>
      </c>
      <c r="FA36" s="488">
        <f>'Monthly Data'!FX12</f>
        <v>620.88571626681005</v>
      </c>
      <c r="FB36" s="488">
        <f>'Monthly Data'!FY12</f>
        <v>3045.8059443880056</v>
      </c>
      <c r="FC36" s="488">
        <f>'Monthly Data'!FZ12</f>
        <v>74938.25839614289</v>
      </c>
      <c r="FD36" s="488">
        <f>'Monthly Data'!GA12</f>
        <v>257294.39927300552</v>
      </c>
    </row>
    <row r="37" spans="1:160">
      <c r="A37">
        <v>2016</v>
      </c>
      <c r="B37">
        <v>12</v>
      </c>
      <c r="C37" s="200">
        <v>678.67083333333323</v>
      </c>
      <c r="D37" s="200">
        <v>0</v>
      </c>
      <c r="E37" s="200">
        <v>616.67083333333335</v>
      </c>
      <c r="F37" s="200">
        <v>0</v>
      </c>
      <c r="G37" s="200">
        <v>554.67083333333346</v>
      </c>
      <c r="H37" s="200">
        <v>0</v>
      </c>
      <c r="I37" s="200">
        <v>492.67083333333335</v>
      </c>
      <c r="J37" s="200">
        <v>0</v>
      </c>
      <c r="K37" s="200">
        <v>430.67083333333341</v>
      </c>
      <c r="L37" s="200">
        <v>0</v>
      </c>
      <c r="M37" s="200">
        <v>368.67083333333341</v>
      </c>
      <c r="N37" s="200">
        <v>0</v>
      </c>
      <c r="O37" s="200">
        <v>306.67083333333341</v>
      </c>
      <c r="P37" s="200">
        <v>0</v>
      </c>
      <c r="Q37" s="257">
        <v>-1.8926075268817202</v>
      </c>
      <c r="S37" s="3">
        <f>'Monthly Data'!D13</f>
        <v>82597411.819910794</v>
      </c>
      <c r="T37" s="3">
        <f>'Monthly Data'!J13</f>
        <v>837700.0414901746</v>
      </c>
      <c r="U37" s="3">
        <f>'Monthly Data'!P13</f>
        <v>24055048.727322936</v>
      </c>
      <c r="V37" s="3">
        <f>'Monthly Data'!V13</f>
        <v>74916545.093468025</v>
      </c>
      <c r="W37" s="3">
        <f>'Monthly Data'!AB13</f>
        <v>6696685.3426665105</v>
      </c>
      <c r="X37" s="3">
        <f>'Monthly Data'!AG13</f>
        <v>18080004.513808846</v>
      </c>
      <c r="Y37" s="3">
        <f>'Monthly Data'!BC13</f>
        <v>29394224.101253107</v>
      </c>
      <c r="Z37" s="3">
        <f>'Monthly Data'!BI13</f>
        <v>7529984.8022383861</v>
      </c>
      <c r="AA37" s="3">
        <f>'Monthly Data'!BO13</f>
        <v>27501318.570999697</v>
      </c>
      <c r="AB37" s="3">
        <f>'Monthly Data'!BU13</f>
        <v>4789925.37126326</v>
      </c>
      <c r="BA37" s="279">
        <f t="shared" si="216"/>
        <v>2028</v>
      </c>
      <c r="BB37" s="280">
        <f t="shared" si="217"/>
        <v>0</v>
      </c>
      <c r="BC37" s="280">
        <f t="shared" si="218"/>
        <v>0</v>
      </c>
      <c r="BD37" s="280">
        <f t="shared" si="218"/>
        <v>0</v>
      </c>
      <c r="BE37" s="280">
        <f t="shared" si="218"/>
        <v>0</v>
      </c>
      <c r="BF37" s="280">
        <f t="shared" si="218"/>
        <v>4.8553571428571409</v>
      </c>
      <c r="BG37" s="280">
        <f t="shared" si="218"/>
        <v>23.565441370223976</v>
      </c>
      <c r="BH37" s="280">
        <f t="shared" si="218"/>
        <v>65.059566734276387</v>
      </c>
      <c r="BI37" s="280">
        <f t="shared" si="218"/>
        <v>49.015098814229248</v>
      </c>
      <c r="BJ37" s="280">
        <f t="shared" si="218"/>
        <v>9.9883333333333333</v>
      </c>
      <c r="BK37" s="280">
        <f t="shared" si="218"/>
        <v>1.666666666666572E-3</v>
      </c>
      <c r="BL37" s="280">
        <f t="shared" si="218"/>
        <v>0</v>
      </c>
      <c r="BM37" s="280">
        <f t="shared" si="218"/>
        <v>0</v>
      </c>
      <c r="BN37" s="277"/>
      <c r="BO37" s="279">
        <f t="shared" si="219"/>
        <v>2028</v>
      </c>
      <c r="BP37" s="280">
        <f t="shared" si="220"/>
        <v>0</v>
      </c>
      <c r="BQ37" s="280">
        <f t="shared" si="221"/>
        <v>0</v>
      </c>
      <c r="BR37" s="280">
        <f t="shared" si="222"/>
        <v>0</v>
      </c>
      <c r="BS37" s="280">
        <f t="shared" si="223"/>
        <v>3.4583333333333854E-2</v>
      </c>
      <c r="BT37" s="280">
        <f t="shared" si="224"/>
        <v>13.202440476190475</v>
      </c>
      <c r="BU37" s="280">
        <f t="shared" si="225"/>
        <v>52.057108036890646</v>
      </c>
      <c r="BV37" s="280">
        <f t="shared" si="226"/>
        <v>119.80967025394514</v>
      </c>
      <c r="BW37" s="280">
        <f t="shared" si="227"/>
        <v>96.38475461133072</v>
      </c>
      <c r="BX37" s="280">
        <f t="shared" si="228"/>
        <v>26.734166666666663</v>
      </c>
      <c r="BY37" s="280">
        <f t="shared" si="229"/>
        <v>1.751666666666668</v>
      </c>
      <c r="BZ37" s="280">
        <f t="shared" si="230"/>
        <v>0</v>
      </c>
      <c r="CA37" s="280">
        <f t="shared" si="231"/>
        <v>0</v>
      </c>
      <c r="CB37" s="281">
        <f t="shared" si="196"/>
        <v>309.97439004502365</v>
      </c>
      <c r="CC37" s="279">
        <f t="shared" si="232"/>
        <v>2028</v>
      </c>
      <c r="CD37" s="280">
        <f t="shared" si="233"/>
        <v>0</v>
      </c>
      <c r="CE37" s="280">
        <f t="shared" si="234"/>
        <v>0</v>
      </c>
      <c r="CF37" s="280">
        <f t="shared" si="235"/>
        <v>0</v>
      </c>
      <c r="CG37" s="280">
        <f t="shared" si="236"/>
        <v>0.4316666666666677</v>
      </c>
      <c r="CH37" s="280">
        <f t="shared" si="237"/>
        <v>26.958863636363635</v>
      </c>
      <c r="CI37" s="280">
        <f t="shared" si="238"/>
        <v>92.933549595332209</v>
      </c>
      <c r="CJ37" s="280">
        <f t="shared" si="239"/>
        <v>180.79967025394512</v>
      </c>
      <c r="CK37" s="280">
        <f t="shared" si="240"/>
        <v>153.08475461133071</v>
      </c>
      <c r="CL37" s="280">
        <f t="shared" si="241"/>
        <v>58.118749999999991</v>
      </c>
      <c r="CM37" s="280">
        <f t="shared" si="242"/>
        <v>7.9825000000000035</v>
      </c>
      <c r="CN37" s="280">
        <f t="shared" si="243"/>
        <v>0.15041666666666628</v>
      </c>
      <c r="CO37" s="280">
        <f t="shared" si="244"/>
        <v>0</v>
      </c>
      <c r="CP37" s="277"/>
      <c r="CQ37" s="279">
        <f t="shared" si="245"/>
        <v>2028</v>
      </c>
      <c r="CR37" s="280">
        <f t="shared" si="246"/>
        <v>0</v>
      </c>
      <c r="CS37" s="280">
        <f t="shared" si="247"/>
        <v>0</v>
      </c>
      <c r="CT37" s="280">
        <f t="shared" si="248"/>
        <v>0</v>
      </c>
      <c r="CU37" s="280">
        <f t="shared" si="249"/>
        <v>2.2025000000000015</v>
      </c>
      <c r="CV37" s="280">
        <f t="shared" si="250"/>
        <v>48.940113636363641</v>
      </c>
      <c r="CW37" s="280">
        <f t="shared" si="251"/>
        <v>144.91160087738351</v>
      </c>
      <c r="CX37" s="280">
        <f t="shared" si="252"/>
        <v>242.72508692061183</v>
      </c>
      <c r="CY37" s="280">
        <f t="shared" si="253"/>
        <v>214.02558794466404</v>
      </c>
      <c r="CZ37" s="280">
        <f t="shared" si="254"/>
        <v>102.40708333333332</v>
      </c>
      <c r="DA37" s="280">
        <f t="shared" si="255"/>
        <v>19.741250000000004</v>
      </c>
      <c r="DB37" s="280">
        <f t="shared" si="256"/>
        <v>0.78124999999999944</v>
      </c>
      <c r="DC37" s="280">
        <f t="shared" si="257"/>
        <v>0</v>
      </c>
      <c r="DD37" s="277"/>
      <c r="DE37" s="279">
        <f t="shared" si="258"/>
        <v>2028</v>
      </c>
      <c r="DF37" s="280">
        <f t="shared" si="259"/>
        <v>0</v>
      </c>
      <c r="DG37" s="280">
        <f t="shared" si="260"/>
        <v>0</v>
      </c>
      <c r="DH37" s="280">
        <f t="shared" si="261"/>
        <v>2.9583333333332896E-2</v>
      </c>
      <c r="DI37" s="280">
        <f t="shared" si="262"/>
        <v>6.0095833333333344</v>
      </c>
      <c r="DJ37" s="280">
        <f t="shared" si="263"/>
        <v>81.50872474747473</v>
      </c>
      <c r="DK37" s="280">
        <f t="shared" si="264"/>
        <v>202.3599342107168</v>
      </c>
      <c r="DL37" s="280">
        <f t="shared" si="265"/>
        <v>304.72508692061177</v>
      </c>
      <c r="DM37" s="280">
        <f t="shared" si="266"/>
        <v>275.96017127799735</v>
      </c>
      <c r="DN37" s="280">
        <f t="shared" si="267"/>
        <v>154.9849637681159</v>
      </c>
      <c r="DO37" s="280">
        <f t="shared" si="268"/>
        <v>38.347916666666663</v>
      </c>
      <c r="DP37" s="280">
        <f t="shared" si="269"/>
        <v>1.9241666666666659</v>
      </c>
      <c r="DQ37" s="280">
        <f t="shared" si="270"/>
        <v>0</v>
      </c>
      <c r="DR37" s="277"/>
      <c r="DS37" s="279">
        <f t="shared" si="271"/>
        <v>2028</v>
      </c>
      <c r="DT37" s="280">
        <f t="shared" si="272"/>
        <v>0</v>
      </c>
      <c r="DU37" s="280">
        <f t="shared" si="273"/>
        <v>0</v>
      </c>
      <c r="DV37" s="280">
        <f t="shared" si="274"/>
        <v>0.70124999999999926</v>
      </c>
      <c r="DW37" s="280">
        <f t="shared" si="275"/>
        <v>13.534166666666668</v>
      </c>
      <c r="DX37" s="280">
        <f t="shared" si="276"/>
        <v>124.53956539074959</v>
      </c>
      <c r="DY37" s="280">
        <f t="shared" si="277"/>
        <v>261.88118421071681</v>
      </c>
      <c r="DZ37" s="280">
        <f t="shared" si="278"/>
        <v>366.72508692061183</v>
      </c>
      <c r="EA37" s="280">
        <f t="shared" si="279"/>
        <v>337.96017127799735</v>
      </c>
      <c r="EB37" s="280">
        <f t="shared" si="280"/>
        <v>212.8928804347826</v>
      </c>
      <c r="EC37" s="280">
        <f t="shared" si="281"/>
        <v>66.268333333333345</v>
      </c>
      <c r="ED37" s="280">
        <f t="shared" si="282"/>
        <v>4.4483333333333324</v>
      </c>
      <c r="EE37" s="280">
        <f t="shared" si="283"/>
        <v>4.1249999999999967E-2</v>
      </c>
      <c r="EF37" s="277"/>
      <c r="EG37" s="279">
        <f t="shared" si="284"/>
        <v>2028</v>
      </c>
      <c r="EH37" s="280">
        <f t="shared" si="285"/>
        <v>0</v>
      </c>
      <c r="EI37" s="280">
        <f t="shared" si="286"/>
        <v>0.1424999999999999</v>
      </c>
      <c r="EJ37" s="280">
        <f t="shared" si="287"/>
        <v>3.1920833333333327</v>
      </c>
      <c r="EK37" s="280">
        <f t="shared" si="288"/>
        <v>28.730833333333333</v>
      </c>
      <c r="EL37" s="280">
        <f t="shared" si="289"/>
        <v>175.15706539074958</v>
      </c>
      <c r="EM37" s="280">
        <f t="shared" si="290"/>
        <v>321.78326754405015</v>
      </c>
      <c r="EN37" s="280">
        <f t="shared" si="291"/>
        <v>428.72508692061183</v>
      </c>
      <c r="EO37" s="280">
        <f t="shared" si="292"/>
        <v>399.96017127799735</v>
      </c>
      <c r="EP37" s="280">
        <f t="shared" si="293"/>
        <v>272.32121376811591</v>
      </c>
      <c r="EQ37" s="280">
        <f t="shared" si="294"/>
        <v>102.65041666666666</v>
      </c>
      <c r="ER37" s="280">
        <f t="shared" si="295"/>
        <v>10.57375</v>
      </c>
      <c r="ES37" s="280">
        <f t="shared" si="296"/>
        <v>0.31000000000000016</v>
      </c>
      <c r="EU37" s="488">
        <f>'Monthly Data'!FO13</f>
        <v>780.20212720410348</v>
      </c>
      <c r="EV37" s="488">
        <f>'Monthly Data'!FP13</f>
        <v>540.66350549915694</v>
      </c>
      <c r="EW37" s="488">
        <f>'Monthly Data'!FQ13</f>
        <v>2742.9595038824523</v>
      </c>
      <c r="EX37" s="488">
        <f>'Monthly Data'!FR13</f>
        <v>73295.890508427256</v>
      </c>
      <c r="EY37" s="488">
        <f>'Monthly Data'!FS13</f>
        <v>1350123.8917980916</v>
      </c>
      <c r="EZ37" s="488">
        <f>'Monthly Data'!FT13</f>
        <v>6257452.0482234647</v>
      </c>
      <c r="FA37" s="488">
        <f>'Monthly Data'!FX13</f>
        <v>763.1759747960532</v>
      </c>
      <c r="FB37" s="488">
        <f>'Monthly Data'!FY13</f>
        <v>3448.3988404373581</v>
      </c>
      <c r="FC37" s="488">
        <f>'Monthly Data'!FZ13</f>
        <v>76049.982004609919</v>
      </c>
      <c r="FD37" s="488">
        <f>'Monthly Data'!GA13</f>
        <v>260856.47599005161</v>
      </c>
    </row>
    <row r="38" spans="1:160">
      <c r="A38">
        <v>2017</v>
      </c>
      <c r="B38">
        <v>1</v>
      </c>
      <c r="C38" s="200">
        <v>682.2166666666667</v>
      </c>
      <c r="D38" s="200">
        <v>0</v>
      </c>
      <c r="E38" s="200">
        <v>620.2166666666667</v>
      </c>
      <c r="F38" s="200">
        <v>0</v>
      </c>
      <c r="G38" s="200">
        <v>558.21666666666658</v>
      </c>
      <c r="H38" s="200">
        <v>0</v>
      </c>
      <c r="I38" s="200">
        <v>496.21666666666664</v>
      </c>
      <c r="J38" s="200">
        <v>0</v>
      </c>
      <c r="K38" s="200">
        <v>434.21666666666664</v>
      </c>
      <c r="L38" s="200">
        <v>0</v>
      </c>
      <c r="M38" s="200">
        <v>372.2166666666667</v>
      </c>
      <c r="N38" s="200">
        <v>0</v>
      </c>
      <c r="O38" s="200">
        <v>310.2166666666667</v>
      </c>
      <c r="P38" s="200">
        <v>0</v>
      </c>
      <c r="Q38" s="257">
        <v>-2.0069892473118278</v>
      </c>
      <c r="S38" s="3">
        <f>'Monthly Data'!D14</f>
        <v>80431611.130882367</v>
      </c>
      <c r="T38" s="3">
        <f>'Monthly Data'!J14</f>
        <v>878051.2710742224</v>
      </c>
      <c r="U38" s="3">
        <f>'Monthly Data'!P14</f>
        <v>24474875.015311867</v>
      </c>
      <c r="V38" s="3">
        <f>'Monthly Data'!V14</f>
        <v>78740461.694177017</v>
      </c>
      <c r="W38" s="3">
        <f>'Monthly Data'!AB14</f>
        <v>6974132.3614485692</v>
      </c>
      <c r="X38" s="3">
        <f>'Monthly Data'!AG14</f>
        <v>18142660.631230786</v>
      </c>
      <c r="Y38" s="3">
        <f>'Monthly Data'!BC14</f>
        <v>28109661.463612199</v>
      </c>
      <c r="Z38" s="3">
        <f>'Monthly Data'!BI14</f>
        <v>7668144.9489286384</v>
      </c>
      <c r="AA38" s="3">
        <f>'Monthly Data'!BO14</f>
        <v>29289183.327529266</v>
      </c>
      <c r="AB38" s="3">
        <f>'Monthly Data'!BU14</f>
        <v>4986534.8601735784</v>
      </c>
      <c r="BA38" s="279">
        <f t="shared" si="216"/>
        <v>2029</v>
      </c>
      <c r="BB38" s="280">
        <f t="shared" si="217"/>
        <v>0</v>
      </c>
      <c r="BC38" s="280">
        <f t="shared" si="218"/>
        <v>0</v>
      </c>
      <c r="BD38" s="280">
        <f t="shared" si="218"/>
        <v>0</v>
      </c>
      <c r="BE38" s="280">
        <f t="shared" si="218"/>
        <v>0</v>
      </c>
      <c r="BF38" s="280">
        <f t="shared" si="218"/>
        <v>4.8553571428571409</v>
      </c>
      <c r="BG38" s="280">
        <f t="shared" si="218"/>
        <v>23.565441370223976</v>
      </c>
      <c r="BH38" s="280">
        <f t="shared" si="218"/>
        <v>65.059566734276387</v>
      </c>
      <c r="BI38" s="280">
        <f t="shared" si="218"/>
        <v>49.015098814229248</v>
      </c>
      <c r="BJ38" s="280">
        <f t="shared" si="218"/>
        <v>9.9883333333333333</v>
      </c>
      <c r="BK38" s="280">
        <f t="shared" si="218"/>
        <v>1.666666666666572E-3</v>
      </c>
      <c r="BL38" s="280">
        <f t="shared" si="218"/>
        <v>0</v>
      </c>
      <c r="BM38" s="280">
        <f t="shared" si="218"/>
        <v>0</v>
      </c>
      <c r="BN38" s="277"/>
      <c r="BO38" s="279">
        <f t="shared" si="219"/>
        <v>2029</v>
      </c>
      <c r="BP38" s="280">
        <f t="shared" si="220"/>
        <v>0</v>
      </c>
      <c r="BQ38" s="280">
        <f t="shared" si="221"/>
        <v>0</v>
      </c>
      <c r="BR38" s="280">
        <f t="shared" si="222"/>
        <v>0</v>
      </c>
      <c r="BS38" s="280">
        <f t="shared" si="223"/>
        <v>3.4583333333333854E-2</v>
      </c>
      <c r="BT38" s="280">
        <f t="shared" si="224"/>
        <v>13.202440476190475</v>
      </c>
      <c r="BU38" s="280">
        <f t="shared" si="225"/>
        <v>52.057108036890646</v>
      </c>
      <c r="BV38" s="280">
        <f t="shared" si="226"/>
        <v>119.80967025394514</v>
      </c>
      <c r="BW38" s="280">
        <f t="shared" si="227"/>
        <v>96.38475461133072</v>
      </c>
      <c r="BX38" s="280">
        <f t="shared" si="228"/>
        <v>26.734166666666663</v>
      </c>
      <c r="BY38" s="280">
        <f t="shared" si="229"/>
        <v>1.751666666666668</v>
      </c>
      <c r="BZ38" s="280">
        <f t="shared" si="230"/>
        <v>0</v>
      </c>
      <c r="CA38" s="280">
        <f t="shared" si="231"/>
        <v>0</v>
      </c>
      <c r="CB38" s="281">
        <f t="shared" si="196"/>
        <v>309.97439004502365</v>
      </c>
      <c r="CC38" s="279">
        <f t="shared" si="232"/>
        <v>2029</v>
      </c>
      <c r="CD38" s="280">
        <f t="shared" si="233"/>
        <v>0</v>
      </c>
      <c r="CE38" s="280">
        <f t="shared" si="234"/>
        <v>0</v>
      </c>
      <c r="CF38" s="280">
        <f t="shared" si="235"/>
        <v>0</v>
      </c>
      <c r="CG38" s="280">
        <f t="shared" si="236"/>
        <v>0.4316666666666677</v>
      </c>
      <c r="CH38" s="280">
        <f t="shared" si="237"/>
        <v>26.958863636363635</v>
      </c>
      <c r="CI38" s="280">
        <f t="shared" si="238"/>
        <v>92.933549595332209</v>
      </c>
      <c r="CJ38" s="280">
        <f t="shared" si="239"/>
        <v>180.79967025394512</v>
      </c>
      <c r="CK38" s="280">
        <f t="shared" si="240"/>
        <v>153.08475461133071</v>
      </c>
      <c r="CL38" s="280">
        <f t="shared" si="241"/>
        <v>58.118749999999991</v>
      </c>
      <c r="CM38" s="280">
        <f t="shared" si="242"/>
        <v>7.9825000000000035</v>
      </c>
      <c r="CN38" s="280">
        <f t="shared" si="243"/>
        <v>0.15041666666666628</v>
      </c>
      <c r="CO38" s="280">
        <f t="shared" si="244"/>
        <v>0</v>
      </c>
      <c r="CP38" s="277"/>
      <c r="CQ38" s="279">
        <f t="shared" si="245"/>
        <v>2029</v>
      </c>
      <c r="CR38" s="280">
        <f t="shared" si="246"/>
        <v>0</v>
      </c>
      <c r="CS38" s="280">
        <f t="shared" si="247"/>
        <v>0</v>
      </c>
      <c r="CT38" s="280">
        <f t="shared" si="248"/>
        <v>0</v>
      </c>
      <c r="CU38" s="280">
        <f t="shared" si="249"/>
        <v>2.2025000000000015</v>
      </c>
      <c r="CV38" s="280">
        <f t="shared" si="250"/>
        <v>48.940113636363641</v>
      </c>
      <c r="CW38" s="280">
        <f t="shared" si="251"/>
        <v>144.91160087738351</v>
      </c>
      <c r="CX38" s="280">
        <f t="shared" si="252"/>
        <v>242.72508692061183</v>
      </c>
      <c r="CY38" s="280">
        <f t="shared" si="253"/>
        <v>214.02558794466404</v>
      </c>
      <c r="CZ38" s="280">
        <f t="shared" si="254"/>
        <v>102.40708333333332</v>
      </c>
      <c r="DA38" s="280">
        <f t="shared" si="255"/>
        <v>19.741250000000004</v>
      </c>
      <c r="DB38" s="280">
        <f t="shared" si="256"/>
        <v>0.78124999999999944</v>
      </c>
      <c r="DC38" s="280">
        <f t="shared" si="257"/>
        <v>0</v>
      </c>
      <c r="DD38" s="277"/>
      <c r="DE38" s="279">
        <f t="shared" si="258"/>
        <v>2029</v>
      </c>
      <c r="DF38" s="280">
        <f t="shared" si="259"/>
        <v>0</v>
      </c>
      <c r="DG38" s="280">
        <f t="shared" si="260"/>
        <v>0</v>
      </c>
      <c r="DH38" s="280">
        <f t="shared" si="261"/>
        <v>2.9583333333332896E-2</v>
      </c>
      <c r="DI38" s="280">
        <f t="shared" si="262"/>
        <v>6.0095833333333344</v>
      </c>
      <c r="DJ38" s="280">
        <f t="shared" si="263"/>
        <v>81.50872474747473</v>
      </c>
      <c r="DK38" s="280">
        <f t="shared" si="264"/>
        <v>202.3599342107168</v>
      </c>
      <c r="DL38" s="280">
        <f t="shared" si="265"/>
        <v>304.72508692061177</v>
      </c>
      <c r="DM38" s="280">
        <f t="shared" si="266"/>
        <v>275.96017127799735</v>
      </c>
      <c r="DN38" s="280">
        <f t="shared" si="267"/>
        <v>154.9849637681159</v>
      </c>
      <c r="DO38" s="280">
        <f t="shared" si="268"/>
        <v>38.347916666666663</v>
      </c>
      <c r="DP38" s="280">
        <f t="shared" si="269"/>
        <v>1.9241666666666659</v>
      </c>
      <c r="DQ38" s="280">
        <f t="shared" si="270"/>
        <v>0</v>
      </c>
      <c r="DR38" s="277"/>
      <c r="DS38" s="279">
        <f t="shared" si="271"/>
        <v>2029</v>
      </c>
      <c r="DT38" s="280">
        <f t="shared" si="272"/>
        <v>0</v>
      </c>
      <c r="DU38" s="280">
        <f t="shared" si="273"/>
        <v>0</v>
      </c>
      <c r="DV38" s="280">
        <f t="shared" si="274"/>
        <v>0.70124999999999926</v>
      </c>
      <c r="DW38" s="280">
        <f t="shared" si="275"/>
        <v>13.534166666666668</v>
      </c>
      <c r="DX38" s="280">
        <f t="shared" si="276"/>
        <v>124.53956539074959</v>
      </c>
      <c r="DY38" s="280">
        <f t="shared" si="277"/>
        <v>261.88118421071681</v>
      </c>
      <c r="DZ38" s="280">
        <f t="shared" si="278"/>
        <v>366.72508692061183</v>
      </c>
      <c r="EA38" s="280">
        <f t="shared" si="279"/>
        <v>337.96017127799735</v>
      </c>
      <c r="EB38" s="280">
        <f t="shared" si="280"/>
        <v>212.8928804347826</v>
      </c>
      <c r="EC38" s="280">
        <f t="shared" si="281"/>
        <v>66.268333333333345</v>
      </c>
      <c r="ED38" s="280">
        <f t="shared" si="282"/>
        <v>4.4483333333333324</v>
      </c>
      <c r="EE38" s="280">
        <f t="shared" si="283"/>
        <v>4.1249999999999967E-2</v>
      </c>
      <c r="EF38" s="277"/>
      <c r="EG38" s="279">
        <f t="shared" si="284"/>
        <v>2029</v>
      </c>
      <c r="EH38" s="280">
        <f t="shared" si="285"/>
        <v>0</v>
      </c>
      <c r="EI38" s="280">
        <f t="shared" si="286"/>
        <v>0.1424999999999999</v>
      </c>
      <c r="EJ38" s="280">
        <f t="shared" si="287"/>
        <v>3.1920833333333327</v>
      </c>
      <c r="EK38" s="280">
        <f t="shared" si="288"/>
        <v>28.730833333333333</v>
      </c>
      <c r="EL38" s="280">
        <f t="shared" si="289"/>
        <v>175.15706539074958</v>
      </c>
      <c r="EM38" s="280">
        <f t="shared" si="290"/>
        <v>321.78326754405015</v>
      </c>
      <c r="EN38" s="280">
        <f t="shared" si="291"/>
        <v>428.72508692061183</v>
      </c>
      <c r="EO38" s="280">
        <f t="shared" si="292"/>
        <v>399.96017127799735</v>
      </c>
      <c r="EP38" s="280">
        <f t="shared" si="293"/>
        <v>272.32121376811591</v>
      </c>
      <c r="EQ38" s="280">
        <f t="shared" si="294"/>
        <v>102.65041666666666</v>
      </c>
      <c r="ER38" s="280">
        <f t="shared" si="295"/>
        <v>10.57375</v>
      </c>
      <c r="ES38" s="280">
        <f t="shared" si="296"/>
        <v>0.31000000000000016</v>
      </c>
      <c r="EU38" s="488">
        <f>'Monthly Data'!FO14</f>
        <v>764.73257827985401</v>
      </c>
      <c r="EV38" s="488">
        <f>'Monthly Data'!FP14</f>
        <v>570.49597171668597</v>
      </c>
      <c r="EW38" s="488">
        <f>'Monthly Data'!FQ14</f>
        <v>2790.4520774988005</v>
      </c>
      <c r="EX38" s="488">
        <f>'Monthly Data'!FR14</f>
        <v>76885.90656498044</v>
      </c>
      <c r="EY38" s="488">
        <f>'Monthly Data'!FS14</f>
        <v>1409548.1617895837</v>
      </c>
      <c r="EZ38" s="488">
        <f>'Monthly Data'!FT14</f>
        <v>6289278.3995339908</v>
      </c>
      <c r="FA38" s="488">
        <f>'Monthly Data'!FX14</f>
        <v>737.36286779986017</v>
      </c>
      <c r="FB38" s="488">
        <f>'Monthly Data'!FY14</f>
        <v>3509.5818486763487</v>
      </c>
      <c r="FC38" s="488">
        <f>'Monthly Data'!FZ14</f>
        <v>81203.313612894897</v>
      </c>
      <c r="FD38" s="488">
        <f>'Monthly Data'!GA14</f>
        <v>252310.24009948343</v>
      </c>
    </row>
    <row r="39" spans="1:160">
      <c r="A39">
        <v>2017</v>
      </c>
      <c r="B39">
        <v>2</v>
      </c>
      <c r="C39" s="200">
        <v>586.08333333333337</v>
      </c>
      <c r="D39" s="200">
        <v>0</v>
      </c>
      <c r="E39" s="200">
        <v>530.08333333333337</v>
      </c>
      <c r="F39" s="200">
        <v>0</v>
      </c>
      <c r="G39" s="200">
        <v>474.08333333333337</v>
      </c>
      <c r="H39" s="200">
        <v>0</v>
      </c>
      <c r="I39" s="200">
        <v>418.08333333333331</v>
      </c>
      <c r="J39" s="200">
        <v>0</v>
      </c>
      <c r="K39" s="200">
        <v>362.08333333333331</v>
      </c>
      <c r="L39" s="200">
        <v>0</v>
      </c>
      <c r="M39" s="200">
        <v>306.08333333333326</v>
      </c>
      <c r="N39" s="200">
        <v>0</v>
      </c>
      <c r="O39" s="200">
        <v>251.42499999999998</v>
      </c>
      <c r="P39" s="200">
        <v>1.3416666666666668</v>
      </c>
      <c r="Q39" s="257">
        <v>-0.93154761904761851</v>
      </c>
      <c r="S39" s="3">
        <f>'Monthly Data'!D15</f>
        <v>69353400.333466798</v>
      </c>
      <c r="T39" s="3">
        <f>'Monthly Data'!J15</f>
        <v>798355.14911276568</v>
      </c>
      <c r="U39" s="3">
        <f>'Monthly Data'!P15</f>
        <v>21820121.617983211</v>
      </c>
      <c r="V39" s="3">
        <f>'Monthly Data'!V15</f>
        <v>71116753.126394108</v>
      </c>
      <c r="W39" s="3">
        <f>'Monthly Data'!AB15</f>
        <v>6691548.0543021308</v>
      </c>
      <c r="X39" s="3">
        <f>'Monthly Data'!AG15</f>
        <v>16556008.081246514</v>
      </c>
      <c r="Y39" s="3">
        <f>'Monthly Data'!BC15</f>
        <v>24136788.428477325</v>
      </c>
      <c r="Z39" s="3">
        <f>'Monthly Data'!BI15</f>
        <v>6853330.5177252814</v>
      </c>
      <c r="AA39" s="3">
        <f>'Monthly Data'!BO15</f>
        <v>26667171.679375559</v>
      </c>
      <c r="AB39" s="3">
        <f>'Monthly Data'!BU15</f>
        <v>4463091.1475409837</v>
      </c>
      <c r="BA39" s="279">
        <f t="shared" si="216"/>
        <v>2030</v>
      </c>
      <c r="BB39" s="280">
        <f t="shared" si="217"/>
        <v>0</v>
      </c>
      <c r="BC39" s="280">
        <f t="shared" si="218"/>
        <v>0</v>
      </c>
      <c r="BD39" s="280">
        <f t="shared" si="218"/>
        <v>0</v>
      </c>
      <c r="BE39" s="280">
        <f t="shared" si="218"/>
        <v>0</v>
      </c>
      <c r="BF39" s="280">
        <f t="shared" si="218"/>
        <v>4.8553571428571409</v>
      </c>
      <c r="BG39" s="280">
        <f t="shared" si="218"/>
        <v>23.565441370223976</v>
      </c>
      <c r="BH39" s="280">
        <f t="shared" si="218"/>
        <v>65.059566734276387</v>
      </c>
      <c r="BI39" s="280">
        <f t="shared" si="218"/>
        <v>49.015098814229248</v>
      </c>
      <c r="BJ39" s="280">
        <f t="shared" si="218"/>
        <v>9.9883333333333333</v>
      </c>
      <c r="BK39" s="280">
        <f t="shared" si="218"/>
        <v>1.666666666666572E-3</v>
      </c>
      <c r="BL39" s="280">
        <f t="shared" si="218"/>
        <v>0</v>
      </c>
      <c r="BM39" s="280">
        <f t="shared" si="218"/>
        <v>0</v>
      </c>
      <c r="BN39" s="277"/>
      <c r="BO39" s="279">
        <f t="shared" si="219"/>
        <v>2030</v>
      </c>
      <c r="BP39" s="280">
        <f t="shared" si="220"/>
        <v>0</v>
      </c>
      <c r="BQ39" s="280">
        <f t="shared" si="221"/>
        <v>0</v>
      </c>
      <c r="BR39" s="280">
        <f t="shared" si="222"/>
        <v>0</v>
      </c>
      <c r="BS39" s="280">
        <f t="shared" si="223"/>
        <v>3.4583333333333854E-2</v>
      </c>
      <c r="BT39" s="280">
        <f t="shared" si="224"/>
        <v>13.202440476190475</v>
      </c>
      <c r="BU39" s="280">
        <f t="shared" si="225"/>
        <v>52.057108036890646</v>
      </c>
      <c r="BV39" s="280">
        <f t="shared" si="226"/>
        <v>119.80967025394514</v>
      </c>
      <c r="BW39" s="280">
        <f t="shared" si="227"/>
        <v>96.38475461133072</v>
      </c>
      <c r="BX39" s="280">
        <f t="shared" si="228"/>
        <v>26.734166666666663</v>
      </c>
      <c r="BY39" s="280">
        <f t="shared" si="229"/>
        <v>1.751666666666668</v>
      </c>
      <c r="BZ39" s="280">
        <f t="shared" si="230"/>
        <v>0</v>
      </c>
      <c r="CA39" s="280">
        <f t="shared" si="231"/>
        <v>0</v>
      </c>
      <c r="CB39" s="281">
        <f t="shared" si="196"/>
        <v>309.97439004502365</v>
      </c>
      <c r="CC39" s="279">
        <f t="shared" si="232"/>
        <v>2030</v>
      </c>
      <c r="CD39" s="280">
        <f t="shared" si="233"/>
        <v>0</v>
      </c>
      <c r="CE39" s="280">
        <f t="shared" si="234"/>
        <v>0</v>
      </c>
      <c r="CF39" s="280">
        <f t="shared" si="235"/>
        <v>0</v>
      </c>
      <c r="CG39" s="280">
        <f t="shared" si="236"/>
        <v>0.4316666666666677</v>
      </c>
      <c r="CH39" s="280">
        <f t="shared" si="237"/>
        <v>26.958863636363635</v>
      </c>
      <c r="CI39" s="280">
        <f t="shared" si="238"/>
        <v>92.933549595332209</v>
      </c>
      <c r="CJ39" s="280">
        <f t="shared" si="239"/>
        <v>180.79967025394512</v>
      </c>
      <c r="CK39" s="280">
        <f t="shared" si="240"/>
        <v>153.08475461133071</v>
      </c>
      <c r="CL39" s="280">
        <f t="shared" si="241"/>
        <v>58.118749999999991</v>
      </c>
      <c r="CM39" s="280">
        <f t="shared" si="242"/>
        <v>7.9825000000000035</v>
      </c>
      <c r="CN39" s="280">
        <f t="shared" si="243"/>
        <v>0.15041666666666628</v>
      </c>
      <c r="CO39" s="280">
        <f t="shared" si="244"/>
        <v>0</v>
      </c>
      <c r="CP39" s="277"/>
      <c r="CQ39" s="279">
        <f t="shared" si="245"/>
        <v>2030</v>
      </c>
      <c r="CR39" s="280">
        <f t="shared" si="246"/>
        <v>0</v>
      </c>
      <c r="CS39" s="280">
        <f t="shared" si="247"/>
        <v>0</v>
      </c>
      <c r="CT39" s="280">
        <f t="shared" si="248"/>
        <v>0</v>
      </c>
      <c r="CU39" s="280">
        <f t="shared" si="249"/>
        <v>2.2025000000000015</v>
      </c>
      <c r="CV39" s="280">
        <f t="shared" si="250"/>
        <v>48.940113636363641</v>
      </c>
      <c r="CW39" s="280">
        <f t="shared" si="251"/>
        <v>144.91160087738351</v>
      </c>
      <c r="CX39" s="280">
        <f t="shared" si="252"/>
        <v>242.72508692061183</v>
      </c>
      <c r="CY39" s="280">
        <f t="shared" si="253"/>
        <v>214.02558794466404</v>
      </c>
      <c r="CZ39" s="280">
        <f t="shared" si="254"/>
        <v>102.40708333333332</v>
      </c>
      <c r="DA39" s="280">
        <f t="shared" si="255"/>
        <v>19.741250000000004</v>
      </c>
      <c r="DB39" s="280">
        <f t="shared" si="256"/>
        <v>0.78124999999999944</v>
      </c>
      <c r="DC39" s="280">
        <f t="shared" si="257"/>
        <v>0</v>
      </c>
      <c r="DD39" s="277"/>
      <c r="DE39" s="279">
        <f t="shared" si="258"/>
        <v>2030</v>
      </c>
      <c r="DF39" s="280">
        <f t="shared" si="259"/>
        <v>0</v>
      </c>
      <c r="DG39" s="280">
        <f t="shared" si="260"/>
        <v>0</v>
      </c>
      <c r="DH39" s="280">
        <f t="shared" si="261"/>
        <v>2.9583333333332896E-2</v>
      </c>
      <c r="DI39" s="280">
        <f t="shared" si="262"/>
        <v>6.0095833333333344</v>
      </c>
      <c r="DJ39" s="280">
        <f t="shared" si="263"/>
        <v>81.50872474747473</v>
      </c>
      <c r="DK39" s="280">
        <f t="shared" si="264"/>
        <v>202.3599342107168</v>
      </c>
      <c r="DL39" s="280">
        <f t="shared" si="265"/>
        <v>304.72508692061177</v>
      </c>
      <c r="DM39" s="280">
        <f t="shared" si="266"/>
        <v>275.96017127799735</v>
      </c>
      <c r="DN39" s="280">
        <f t="shared" si="267"/>
        <v>154.9849637681159</v>
      </c>
      <c r="DO39" s="280">
        <f t="shared" si="268"/>
        <v>38.347916666666663</v>
      </c>
      <c r="DP39" s="280">
        <f t="shared" si="269"/>
        <v>1.9241666666666659</v>
      </c>
      <c r="DQ39" s="280">
        <f t="shared" si="270"/>
        <v>0</v>
      </c>
      <c r="DR39" s="277"/>
      <c r="DS39" s="279">
        <f t="shared" si="271"/>
        <v>2030</v>
      </c>
      <c r="DT39" s="280">
        <f t="shared" si="272"/>
        <v>0</v>
      </c>
      <c r="DU39" s="280">
        <f t="shared" si="273"/>
        <v>0</v>
      </c>
      <c r="DV39" s="280">
        <f t="shared" si="274"/>
        <v>0.70124999999999926</v>
      </c>
      <c r="DW39" s="280">
        <f t="shared" si="275"/>
        <v>13.534166666666668</v>
      </c>
      <c r="DX39" s="280">
        <f t="shared" si="276"/>
        <v>124.53956539074959</v>
      </c>
      <c r="DY39" s="280">
        <f t="shared" si="277"/>
        <v>261.88118421071681</v>
      </c>
      <c r="DZ39" s="280">
        <f t="shared" si="278"/>
        <v>366.72508692061183</v>
      </c>
      <c r="EA39" s="280">
        <f t="shared" si="279"/>
        <v>337.96017127799735</v>
      </c>
      <c r="EB39" s="280">
        <f t="shared" si="280"/>
        <v>212.8928804347826</v>
      </c>
      <c r="EC39" s="280">
        <f t="shared" si="281"/>
        <v>66.268333333333345</v>
      </c>
      <c r="ED39" s="280">
        <f t="shared" si="282"/>
        <v>4.4483333333333324</v>
      </c>
      <c r="EE39" s="280">
        <f t="shared" si="283"/>
        <v>4.1249999999999967E-2</v>
      </c>
      <c r="EF39" s="277"/>
      <c r="EG39" s="279">
        <f t="shared" si="284"/>
        <v>2030</v>
      </c>
      <c r="EH39" s="280">
        <f t="shared" si="285"/>
        <v>0</v>
      </c>
      <c r="EI39" s="280">
        <f t="shared" si="286"/>
        <v>0.1424999999999999</v>
      </c>
      <c r="EJ39" s="280">
        <f t="shared" si="287"/>
        <v>3.1920833333333327</v>
      </c>
      <c r="EK39" s="280">
        <f t="shared" si="288"/>
        <v>28.730833333333333</v>
      </c>
      <c r="EL39" s="280">
        <f t="shared" si="289"/>
        <v>175.15706539074958</v>
      </c>
      <c r="EM39" s="280">
        <f t="shared" si="290"/>
        <v>321.78326754405015</v>
      </c>
      <c r="EN39" s="280">
        <f t="shared" si="291"/>
        <v>428.72508692061183</v>
      </c>
      <c r="EO39" s="280">
        <f t="shared" si="292"/>
        <v>399.96017127799735</v>
      </c>
      <c r="EP39" s="280">
        <f t="shared" si="293"/>
        <v>272.32121376811591</v>
      </c>
      <c r="EQ39" s="280">
        <f t="shared" si="294"/>
        <v>102.65041666666666</v>
      </c>
      <c r="ER39" s="280">
        <f t="shared" si="295"/>
        <v>10.57375</v>
      </c>
      <c r="ES39" s="280">
        <f t="shared" si="296"/>
        <v>0.31000000000000016</v>
      </c>
      <c r="EU39" s="488">
        <f>'Monthly Data'!FO15</f>
        <v>662.69287555013238</v>
      </c>
      <c r="EV39" s="488">
        <f>'Monthly Data'!FP15</f>
        <v>521.22997536643391</v>
      </c>
      <c r="EW39" s="488">
        <f>'Monthly Data'!FQ15</f>
        <v>2495.78437200295</v>
      </c>
      <c r="EX39" s="488">
        <f>'Monthly Data'!FR15</f>
        <v>69528.452625713413</v>
      </c>
      <c r="EY39" s="488">
        <f>'Monthly Data'!FS15</f>
        <v>1353886.3041547905</v>
      </c>
      <c r="EZ39" s="488">
        <f>'Monthly Data'!FT15</f>
        <v>5766221.1704673385</v>
      </c>
      <c r="FA39" s="488">
        <f>'Monthly Data'!FX15</f>
        <v>638.17140270515551</v>
      </c>
      <c r="FB39" s="488">
        <f>'Monthly Data'!FY15</f>
        <v>3141.4505886380821</v>
      </c>
      <c r="FC39" s="488">
        <f>'Monthly Data'!FZ15</f>
        <v>74139.514315017776</v>
      </c>
      <c r="FD39" s="488">
        <f>'Monthly Data'!GA15</f>
        <v>209204.23761239715</v>
      </c>
    </row>
    <row r="40" spans="1:160">
      <c r="A40">
        <v>2017</v>
      </c>
      <c r="B40">
        <v>3</v>
      </c>
      <c r="C40" s="200">
        <v>661.67916666666667</v>
      </c>
      <c r="D40" s="200">
        <v>0</v>
      </c>
      <c r="E40" s="200">
        <v>599.67916666666667</v>
      </c>
      <c r="F40" s="200">
        <v>0</v>
      </c>
      <c r="G40" s="200">
        <v>537.67916666666656</v>
      </c>
      <c r="H40" s="200">
        <v>0</v>
      </c>
      <c r="I40" s="200">
        <v>475.67916666666662</v>
      </c>
      <c r="J40" s="200">
        <v>0</v>
      </c>
      <c r="K40" s="200">
        <v>413.67916666666662</v>
      </c>
      <c r="L40" s="200">
        <v>0</v>
      </c>
      <c r="M40" s="200">
        <v>351.67916666666656</v>
      </c>
      <c r="N40" s="200">
        <v>0</v>
      </c>
      <c r="O40" s="200">
        <v>290.67916666666662</v>
      </c>
      <c r="P40" s="200">
        <v>0.99999999999999645</v>
      </c>
      <c r="Q40" s="257">
        <v>-1.3444892473118288</v>
      </c>
      <c r="S40" s="3">
        <f>'Monthly Data'!D16</f>
        <v>75699751.055361286</v>
      </c>
      <c r="T40" s="3">
        <f>'Monthly Data'!J16</f>
        <v>878726.28685365384</v>
      </c>
      <c r="U40" s="3">
        <f>'Monthly Data'!P16</f>
        <v>24111572.313776091</v>
      </c>
      <c r="V40" s="3">
        <f>'Monthly Data'!V16</f>
        <v>79264887.699252158</v>
      </c>
      <c r="W40" s="3">
        <f>'Monthly Data'!AB16</f>
        <v>8031274.6635041824</v>
      </c>
      <c r="X40" s="3">
        <f>'Monthly Data'!AG16</f>
        <v>19711056.129626252</v>
      </c>
      <c r="Y40" s="3">
        <f>'Monthly Data'!BC16</f>
        <v>26179931.265620716</v>
      </c>
      <c r="Z40" s="3">
        <f>'Monthly Data'!BI16</f>
        <v>7489940.1332121668</v>
      </c>
      <c r="AA40" s="3">
        <f>'Monthly Data'!BO16</f>
        <v>27829498.235965174</v>
      </c>
      <c r="AB40" s="3">
        <f>'Monthly Data'!BU16</f>
        <v>5115686.5380906472</v>
      </c>
      <c r="BA40" s="279">
        <f t="shared" si="216"/>
        <v>2031</v>
      </c>
      <c r="BB40" s="280">
        <f t="shared" si="217"/>
        <v>0</v>
      </c>
      <c r="BC40" s="280">
        <f t="shared" si="218"/>
        <v>0</v>
      </c>
      <c r="BD40" s="280">
        <f t="shared" si="218"/>
        <v>0</v>
      </c>
      <c r="BE40" s="280">
        <f t="shared" si="218"/>
        <v>0</v>
      </c>
      <c r="BF40" s="280">
        <f t="shared" si="218"/>
        <v>4.8553571428571409</v>
      </c>
      <c r="BG40" s="280">
        <f t="shared" si="218"/>
        <v>23.565441370223976</v>
      </c>
      <c r="BH40" s="280">
        <f t="shared" si="218"/>
        <v>65.059566734276387</v>
      </c>
      <c r="BI40" s="280">
        <f t="shared" si="218"/>
        <v>49.015098814229248</v>
      </c>
      <c r="BJ40" s="280">
        <f t="shared" si="218"/>
        <v>9.9883333333333333</v>
      </c>
      <c r="BK40" s="280">
        <f t="shared" si="218"/>
        <v>1.666666666666572E-3</v>
      </c>
      <c r="BL40" s="280">
        <f t="shared" si="218"/>
        <v>0</v>
      </c>
      <c r="BM40" s="280">
        <f t="shared" si="218"/>
        <v>0</v>
      </c>
      <c r="BN40" s="277"/>
      <c r="BO40" s="279">
        <f t="shared" si="219"/>
        <v>2031</v>
      </c>
      <c r="BP40" s="280">
        <f t="shared" si="220"/>
        <v>0</v>
      </c>
      <c r="BQ40" s="280">
        <f t="shared" si="221"/>
        <v>0</v>
      </c>
      <c r="BR40" s="280">
        <f t="shared" si="222"/>
        <v>0</v>
      </c>
      <c r="BS40" s="280">
        <f t="shared" si="223"/>
        <v>3.4583333333333854E-2</v>
      </c>
      <c r="BT40" s="280">
        <f t="shared" si="224"/>
        <v>13.202440476190475</v>
      </c>
      <c r="BU40" s="280">
        <f t="shared" si="225"/>
        <v>52.057108036890646</v>
      </c>
      <c r="BV40" s="280">
        <f t="shared" si="226"/>
        <v>119.80967025394514</v>
      </c>
      <c r="BW40" s="280">
        <f t="shared" si="227"/>
        <v>96.38475461133072</v>
      </c>
      <c r="BX40" s="280">
        <f t="shared" si="228"/>
        <v>26.734166666666663</v>
      </c>
      <c r="BY40" s="280">
        <f t="shared" si="229"/>
        <v>1.751666666666668</v>
      </c>
      <c r="BZ40" s="280">
        <f t="shared" si="230"/>
        <v>0</v>
      </c>
      <c r="CA40" s="280">
        <f t="shared" si="231"/>
        <v>0</v>
      </c>
      <c r="CB40" s="281">
        <f t="shared" si="196"/>
        <v>309.97439004502365</v>
      </c>
      <c r="CC40" s="279">
        <f t="shared" si="232"/>
        <v>2031</v>
      </c>
      <c r="CD40" s="280">
        <f t="shared" si="233"/>
        <v>0</v>
      </c>
      <c r="CE40" s="280">
        <f t="shared" si="234"/>
        <v>0</v>
      </c>
      <c r="CF40" s="280">
        <f t="shared" si="235"/>
        <v>0</v>
      </c>
      <c r="CG40" s="280">
        <f t="shared" si="236"/>
        <v>0.4316666666666677</v>
      </c>
      <c r="CH40" s="280">
        <f t="shared" si="237"/>
        <v>26.958863636363635</v>
      </c>
      <c r="CI40" s="280">
        <f t="shared" si="238"/>
        <v>92.933549595332209</v>
      </c>
      <c r="CJ40" s="280">
        <f t="shared" si="239"/>
        <v>180.79967025394512</v>
      </c>
      <c r="CK40" s="280">
        <f t="shared" si="240"/>
        <v>153.08475461133071</v>
      </c>
      <c r="CL40" s="280">
        <f t="shared" si="241"/>
        <v>58.118749999999991</v>
      </c>
      <c r="CM40" s="280">
        <f t="shared" si="242"/>
        <v>7.9825000000000035</v>
      </c>
      <c r="CN40" s="280">
        <f t="shared" si="243"/>
        <v>0.15041666666666628</v>
      </c>
      <c r="CO40" s="280">
        <f t="shared" si="244"/>
        <v>0</v>
      </c>
      <c r="CP40" s="277"/>
      <c r="CQ40" s="279">
        <f t="shared" si="245"/>
        <v>2031</v>
      </c>
      <c r="CR40" s="280">
        <f t="shared" si="246"/>
        <v>0</v>
      </c>
      <c r="CS40" s="280">
        <f t="shared" si="247"/>
        <v>0</v>
      </c>
      <c r="CT40" s="280">
        <f t="shared" si="248"/>
        <v>0</v>
      </c>
      <c r="CU40" s="280">
        <f t="shared" si="249"/>
        <v>2.2025000000000015</v>
      </c>
      <c r="CV40" s="280">
        <f t="shared" si="250"/>
        <v>48.940113636363641</v>
      </c>
      <c r="CW40" s="280">
        <f t="shared" si="251"/>
        <v>144.91160087738351</v>
      </c>
      <c r="CX40" s="280">
        <f t="shared" si="252"/>
        <v>242.72508692061183</v>
      </c>
      <c r="CY40" s="280">
        <f t="shared" si="253"/>
        <v>214.02558794466404</v>
      </c>
      <c r="CZ40" s="280">
        <f t="shared" si="254"/>
        <v>102.40708333333332</v>
      </c>
      <c r="DA40" s="280">
        <f t="shared" si="255"/>
        <v>19.741250000000004</v>
      </c>
      <c r="DB40" s="280">
        <f t="shared" si="256"/>
        <v>0.78124999999999944</v>
      </c>
      <c r="DC40" s="280">
        <f t="shared" si="257"/>
        <v>0</v>
      </c>
      <c r="DD40" s="277"/>
      <c r="DE40" s="279">
        <f t="shared" si="258"/>
        <v>2031</v>
      </c>
      <c r="DF40" s="280">
        <f t="shared" si="259"/>
        <v>0</v>
      </c>
      <c r="DG40" s="280">
        <f t="shared" si="260"/>
        <v>0</v>
      </c>
      <c r="DH40" s="280">
        <f t="shared" si="261"/>
        <v>2.9583333333332896E-2</v>
      </c>
      <c r="DI40" s="280">
        <f t="shared" si="262"/>
        <v>6.0095833333333344</v>
      </c>
      <c r="DJ40" s="280">
        <f t="shared" si="263"/>
        <v>81.50872474747473</v>
      </c>
      <c r="DK40" s="280">
        <f t="shared" si="264"/>
        <v>202.3599342107168</v>
      </c>
      <c r="DL40" s="280">
        <f t="shared" si="265"/>
        <v>304.72508692061177</v>
      </c>
      <c r="DM40" s="280">
        <f t="shared" si="266"/>
        <v>275.96017127799735</v>
      </c>
      <c r="DN40" s="280">
        <f t="shared" si="267"/>
        <v>154.9849637681159</v>
      </c>
      <c r="DO40" s="280">
        <f t="shared" si="268"/>
        <v>38.347916666666663</v>
      </c>
      <c r="DP40" s="280">
        <f t="shared" si="269"/>
        <v>1.9241666666666659</v>
      </c>
      <c r="DQ40" s="280">
        <f t="shared" si="270"/>
        <v>0</v>
      </c>
      <c r="DR40" s="277"/>
      <c r="DS40" s="279">
        <f t="shared" si="271"/>
        <v>2031</v>
      </c>
      <c r="DT40" s="280">
        <f t="shared" si="272"/>
        <v>0</v>
      </c>
      <c r="DU40" s="280">
        <f t="shared" si="273"/>
        <v>0</v>
      </c>
      <c r="DV40" s="280">
        <f t="shared" si="274"/>
        <v>0.70124999999999926</v>
      </c>
      <c r="DW40" s="280">
        <f t="shared" si="275"/>
        <v>13.534166666666668</v>
      </c>
      <c r="DX40" s="280">
        <f t="shared" si="276"/>
        <v>124.53956539074959</v>
      </c>
      <c r="DY40" s="280">
        <f t="shared" si="277"/>
        <v>261.88118421071681</v>
      </c>
      <c r="DZ40" s="280">
        <f t="shared" si="278"/>
        <v>366.72508692061183</v>
      </c>
      <c r="EA40" s="280">
        <f t="shared" si="279"/>
        <v>337.96017127799735</v>
      </c>
      <c r="EB40" s="280">
        <f t="shared" si="280"/>
        <v>212.8928804347826</v>
      </c>
      <c r="EC40" s="280">
        <f t="shared" si="281"/>
        <v>66.268333333333345</v>
      </c>
      <c r="ED40" s="280">
        <f t="shared" si="282"/>
        <v>4.4483333333333324</v>
      </c>
      <c r="EE40" s="280">
        <f t="shared" si="283"/>
        <v>4.1249999999999967E-2</v>
      </c>
      <c r="EF40" s="277"/>
      <c r="EG40" s="279">
        <f t="shared" si="284"/>
        <v>2031</v>
      </c>
      <c r="EH40" s="280">
        <f t="shared" si="285"/>
        <v>0</v>
      </c>
      <c r="EI40" s="280">
        <f t="shared" si="286"/>
        <v>0.1424999999999999</v>
      </c>
      <c r="EJ40" s="280">
        <f t="shared" si="287"/>
        <v>3.1920833333333327</v>
      </c>
      <c r="EK40" s="280">
        <f t="shared" si="288"/>
        <v>28.730833333333333</v>
      </c>
      <c r="EL40" s="280">
        <f t="shared" si="289"/>
        <v>175.15706539074958</v>
      </c>
      <c r="EM40" s="280">
        <f t="shared" si="290"/>
        <v>321.78326754405015</v>
      </c>
      <c r="EN40" s="280">
        <f t="shared" si="291"/>
        <v>428.72508692061183</v>
      </c>
      <c r="EO40" s="280">
        <f t="shared" si="292"/>
        <v>399.96017127799735</v>
      </c>
      <c r="EP40" s="280">
        <f t="shared" si="293"/>
        <v>272.32121376811591</v>
      </c>
      <c r="EQ40" s="280">
        <f t="shared" si="294"/>
        <v>102.65041666666666</v>
      </c>
      <c r="ER40" s="280">
        <f t="shared" si="295"/>
        <v>10.57375</v>
      </c>
      <c r="ES40" s="280">
        <f t="shared" si="296"/>
        <v>0.31000000000000016</v>
      </c>
      <c r="EU40" s="488">
        <f>'Monthly Data'!FO16</f>
        <v>721.95580287281291</v>
      </c>
      <c r="EV40" s="488">
        <f>'Monthly Data'!FP16</f>
        <v>573.19918781797662</v>
      </c>
      <c r="EW40" s="488">
        <f>'Monthly Data'!FQ16</f>
        <v>2750.8030339055563</v>
      </c>
      <c r="EX40" s="488">
        <f>'Monthly Data'!FR16</f>
        <v>77101.199720425357</v>
      </c>
      <c r="EY40" s="488">
        <f>'Monthly Data'!FS16</f>
        <v>1622686.6297896949</v>
      </c>
      <c r="EZ40" s="488">
        <f>'Monthly Data'!FT16</f>
        <v>6823730.807522024</v>
      </c>
      <c r="FA40" s="488">
        <f>'Monthly Data'!FX16</f>
        <v>690.78218676533368</v>
      </c>
      <c r="FB40" s="488">
        <f>'Monthly Data'!FY16</f>
        <v>3426.2878340933457</v>
      </c>
      <c r="FC40" s="488">
        <f>'Monthly Data'!FZ16</f>
        <v>77359.242747421406</v>
      </c>
      <c r="FD40" s="488">
        <f>'Monthly Data'!GA16</f>
        <v>198531.90644729289</v>
      </c>
    </row>
    <row r="41" spans="1:160">
      <c r="A41">
        <v>2017</v>
      </c>
      <c r="B41">
        <v>4</v>
      </c>
      <c r="C41" s="200">
        <v>348.38749999999999</v>
      </c>
      <c r="D41" s="200">
        <v>0</v>
      </c>
      <c r="E41" s="200">
        <v>288.73333333333335</v>
      </c>
      <c r="F41" s="200">
        <v>0.34583333333333854</v>
      </c>
      <c r="G41" s="200">
        <v>230.73333333333338</v>
      </c>
      <c r="H41" s="200">
        <v>2.3458333333333385</v>
      </c>
      <c r="I41" s="200">
        <v>174.03750000000005</v>
      </c>
      <c r="J41" s="200">
        <v>5.6500000000000057</v>
      </c>
      <c r="K41" s="200">
        <v>120.79999999999997</v>
      </c>
      <c r="L41" s="200">
        <v>12.412500000000001</v>
      </c>
      <c r="M41" s="200">
        <v>73.1458333333333</v>
      </c>
      <c r="N41" s="200">
        <v>24.758333333333333</v>
      </c>
      <c r="O41" s="200">
        <v>34.695833333333326</v>
      </c>
      <c r="P41" s="200">
        <v>46.308333333333337</v>
      </c>
      <c r="Q41" s="257">
        <v>8.3870833333333312</v>
      </c>
      <c r="S41" s="3">
        <f>'Monthly Data'!D17</f>
        <v>60663563.421417959</v>
      </c>
      <c r="T41" s="3">
        <f>'Monthly Data'!J17</f>
        <v>594145.12858233065</v>
      </c>
      <c r="U41" s="3">
        <f>'Monthly Data'!P17</f>
        <v>19763187.335718375</v>
      </c>
      <c r="V41" s="3">
        <f>'Monthly Data'!V17</f>
        <v>70340485.947416142</v>
      </c>
      <c r="W41" s="3">
        <f>'Monthly Data'!AB17</f>
        <v>7262223.880597013</v>
      </c>
      <c r="X41" s="3">
        <f>'Monthly Data'!AG17</f>
        <v>16804176.575052723</v>
      </c>
      <c r="Y41" s="3">
        <f>'Monthly Data'!BC17</f>
        <v>22284050.018021807</v>
      </c>
      <c r="Z41" s="3">
        <f>'Monthly Data'!BI17</f>
        <v>6199555.6943944888</v>
      </c>
      <c r="AA41" s="3">
        <f>'Monthly Data'!BO17</f>
        <v>26261545.779645748</v>
      </c>
      <c r="AB41" s="3">
        <f>'Monthly Data'!BU17</f>
        <v>4936023.2690453231</v>
      </c>
      <c r="BA41" s="146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O41" s="146"/>
      <c r="BP41" s="145"/>
      <c r="BQ41" s="145"/>
      <c r="BR41" s="145"/>
      <c r="BS41" s="145"/>
      <c r="BT41" s="145"/>
      <c r="BU41" s="145"/>
      <c r="BV41" s="145"/>
      <c r="BW41" s="145"/>
      <c r="BX41" s="145"/>
      <c r="BY41" s="145"/>
      <c r="BZ41" s="145"/>
      <c r="CA41" s="145"/>
      <c r="CC41" s="146"/>
      <c r="CD41" s="145"/>
      <c r="CE41" s="145"/>
      <c r="CF41" s="145"/>
      <c r="CG41" s="145"/>
      <c r="CH41" s="145"/>
      <c r="CI41" s="145"/>
      <c r="CJ41" s="145"/>
      <c r="CK41" s="145"/>
      <c r="CL41" s="145"/>
      <c r="CM41" s="145"/>
      <c r="CN41" s="145"/>
      <c r="CO41" s="145"/>
      <c r="CQ41" s="146"/>
      <c r="CR41" s="145"/>
      <c r="CS41" s="145"/>
      <c r="CT41" s="145"/>
      <c r="CU41" s="145"/>
      <c r="CV41" s="145"/>
      <c r="CW41" s="145"/>
      <c r="CX41" s="145"/>
      <c r="CY41" s="145"/>
      <c r="CZ41" s="145"/>
      <c r="DA41" s="145"/>
      <c r="DB41" s="145"/>
      <c r="DC41" s="145"/>
      <c r="DE41" s="146"/>
      <c r="DF41" s="145"/>
      <c r="DG41" s="145"/>
      <c r="DH41" s="145"/>
      <c r="DI41" s="145"/>
      <c r="DJ41" s="145"/>
      <c r="DK41" s="145"/>
      <c r="DL41" s="145"/>
      <c r="DM41" s="145"/>
      <c r="DN41" s="145"/>
      <c r="DO41" s="145"/>
      <c r="DP41" s="145"/>
      <c r="DQ41" s="145"/>
      <c r="DS41" s="146"/>
      <c r="DT41" s="145"/>
      <c r="DU41" s="145"/>
      <c r="DV41" s="145"/>
      <c r="DW41" s="145"/>
      <c r="DX41" s="145"/>
      <c r="DY41" s="145"/>
      <c r="DZ41" s="145"/>
      <c r="EA41" s="145"/>
      <c r="EB41" s="145"/>
      <c r="EC41" s="145"/>
      <c r="ED41" s="145"/>
      <c r="EE41" s="145"/>
      <c r="EG41" s="146"/>
      <c r="EH41" s="145"/>
      <c r="EI41" s="145"/>
      <c r="EJ41" s="145"/>
      <c r="EK41" s="145"/>
      <c r="EL41" s="145"/>
      <c r="EM41" s="145"/>
      <c r="EN41" s="145"/>
      <c r="EO41" s="145"/>
      <c r="EP41" s="145"/>
      <c r="EQ41" s="145"/>
      <c r="ER41" s="145"/>
      <c r="ES41" s="145"/>
      <c r="EU41" s="488">
        <f>'Monthly Data'!FO17</f>
        <v>583.49432080384406</v>
      </c>
      <c r="EV41" s="488">
        <f>'Monthly Data'!FP17</f>
        <v>394.14875962617816</v>
      </c>
      <c r="EW41" s="488">
        <f>'Monthly Data'!FQ17</f>
        <v>2268.3413145273648</v>
      </c>
      <c r="EX41" s="488">
        <f>'Monthly Data'!FR17</f>
        <v>68555.022819031292</v>
      </c>
      <c r="EY41" s="488">
        <f>'Monthly Data'!FS17</f>
        <v>1469731.4770027553</v>
      </c>
      <c r="EZ41" s="488">
        <f>'Monthly Data'!FT17</f>
        <v>5860597.9102589525</v>
      </c>
      <c r="FA41" s="488">
        <f>'Monthly Data'!FX17</f>
        <v>593.68594713596178</v>
      </c>
      <c r="FB41" s="488">
        <f>'Monthly Data'!FY17</f>
        <v>2845.0655260711028</v>
      </c>
      <c r="FC41" s="488">
        <f>'Monthly Data'!FZ17</f>
        <v>73159.734731702658</v>
      </c>
      <c r="FD41" s="488">
        <f>'Monthly Data'!GA17</f>
        <v>179915.09948345128</v>
      </c>
    </row>
    <row r="42" spans="1:160">
      <c r="A42">
        <v>2017</v>
      </c>
      <c r="B42">
        <v>5</v>
      </c>
      <c r="C42" s="200">
        <v>247.16666666666663</v>
      </c>
      <c r="D42" s="200">
        <v>1.4083333333333314</v>
      </c>
      <c r="E42" s="200">
        <v>188.63749999999999</v>
      </c>
      <c r="F42" s="200">
        <v>4.8791666666666664</v>
      </c>
      <c r="G42" s="200">
        <v>134.83333333333331</v>
      </c>
      <c r="H42" s="200">
        <v>13.075000000000003</v>
      </c>
      <c r="I42" s="200">
        <v>88.129166666666677</v>
      </c>
      <c r="J42" s="200">
        <v>28.370833333333344</v>
      </c>
      <c r="K42" s="200">
        <v>52.287499999999987</v>
      </c>
      <c r="L42" s="200">
        <v>54.529166666666683</v>
      </c>
      <c r="M42" s="200">
        <v>26.741666666666656</v>
      </c>
      <c r="N42" s="200">
        <v>90.983333333333348</v>
      </c>
      <c r="O42" s="200">
        <v>10.045833333333327</v>
      </c>
      <c r="P42" s="200">
        <v>136.28750000000002</v>
      </c>
      <c r="Q42" s="257">
        <v>12.072311827956989</v>
      </c>
      <c r="S42" s="3">
        <f>'Monthly Data'!D18</f>
        <v>59935314.111009158</v>
      </c>
      <c r="T42" s="3">
        <f>'Monthly Data'!J18</f>
        <v>685175.75076321315</v>
      </c>
      <c r="U42" s="3">
        <f>'Monthly Data'!P18</f>
        <v>20040808.994056478</v>
      </c>
      <c r="V42" s="3">
        <f>'Monthly Data'!V18</f>
        <v>73891874.733171195</v>
      </c>
      <c r="W42" s="3">
        <f>'Monthly Data'!AB18</f>
        <v>7335987.2440124936</v>
      </c>
      <c r="X42" s="3">
        <f>'Monthly Data'!AG18</f>
        <v>21044563.808229759</v>
      </c>
      <c r="Y42" s="3">
        <f>'Monthly Data'!BC18</f>
        <v>23164685.985412475</v>
      </c>
      <c r="Z42" s="3">
        <f>'Monthly Data'!BI18</f>
        <v>6375052.2866175622</v>
      </c>
      <c r="AA42" s="3">
        <f>'Monthly Data'!BO18</f>
        <v>26113958.215550885</v>
      </c>
      <c r="AB42" s="3">
        <f>'Monthly Data'!BU18</f>
        <v>5089756.8852459015</v>
      </c>
      <c r="BA42" s="236"/>
      <c r="BO42" s="236"/>
      <c r="CC42" s="236"/>
      <c r="CQ42" s="236"/>
      <c r="DE42" s="236"/>
      <c r="DS42" s="236"/>
      <c r="EG42" s="236"/>
      <c r="EU42" s="488">
        <f>'Monthly Data'!FO18</f>
        <v>577.38152880688324</v>
      </c>
      <c r="EV42" s="488">
        <f>'Monthly Data'!FP18</f>
        <v>452.85780854785037</v>
      </c>
      <c r="EW42" s="488">
        <f>'Monthly Data'!FQ18</f>
        <v>2299.7257173269422</v>
      </c>
      <c r="EX42" s="488">
        <f>'Monthly Data'!FR18</f>
        <v>71773.365317322648</v>
      </c>
      <c r="EY42" s="488">
        <f>'Monthly Data'!FS18</f>
        <v>1485339.1534803458</v>
      </c>
      <c r="EZ42" s="488">
        <f>'Monthly Data'!FT18</f>
        <v>7279887.2755794041</v>
      </c>
      <c r="FA42" s="488">
        <f>'Monthly Data'!FX18</f>
        <v>616.98615355731738</v>
      </c>
      <c r="FB42" s="488">
        <f>'Monthly Data'!FY18</f>
        <v>2922.7095246548388</v>
      </c>
      <c r="FC42" s="488">
        <f>'Monthly Data'!FZ18</f>
        <v>72819.913923115862</v>
      </c>
      <c r="FD42" s="488">
        <f>'Monthly Data'!GA18</f>
        <v>165193.42356992536</v>
      </c>
    </row>
    <row r="43" spans="1:160">
      <c r="A43">
        <v>2017</v>
      </c>
      <c r="B43">
        <v>6</v>
      </c>
      <c r="C43" s="200">
        <v>85.453333333333319</v>
      </c>
      <c r="D43" s="200">
        <v>14.074999999999999</v>
      </c>
      <c r="E43" s="200">
        <v>47.73249999999998</v>
      </c>
      <c r="F43" s="200">
        <v>36.354166666666671</v>
      </c>
      <c r="G43" s="200">
        <v>20.287499999999987</v>
      </c>
      <c r="H43" s="200">
        <v>68.909166666666678</v>
      </c>
      <c r="I43" s="200">
        <v>4.091666666666665</v>
      </c>
      <c r="J43" s="200">
        <v>112.71333333333334</v>
      </c>
      <c r="K43" s="200">
        <v>0</v>
      </c>
      <c r="L43" s="200">
        <v>168.62166666666667</v>
      </c>
      <c r="M43" s="200">
        <v>0</v>
      </c>
      <c r="N43" s="200">
        <v>228.62166666666667</v>
      </c>
      <c r="O43" s="200">
        <v>0</v>
      </c>
      <c r="P43" s="200">
        <v>288.62166666666667</v>
      </c>
      <c r="Q43" s="257">
        <v>17.620722222222227</v>
      </c>
      <c r="S43" s="3">
        <f>'Monthly Data'!D19</f>
        <v>66835340.77071131</v>
      </c>
      <c r="T43" s="3">
        <f>'Monthly Data'!J19</f>
        <v>623119.48953443998</v>
      </c>
      <c r="U43" s="3">
        <f>'Monthly Data'!P19</f>
        <v>20516245.702165615</v>
      </c>
      <c r="V43" s="3">
        <f>'Monthly Data'!V19</f>
        <v>74526309.814023316</v>
      </c>
      <c r="W43" s="3">
        <f>'Monthly Data'!AB19</f>
        <v>7222720.6409811387</v>
      </c>
      <c r="X43" s="3">
        <f>'Monthly Data'!AG19</f>
        <v>19163814.81690371</v>
      </c>
      <c r="Y43" s="3">
        <f>'Monthly Data'!BC19</f>
        <v>27922666.180007745</v>
      </c>
      <c r="Z43" s="3">
        <f>'Monthly Data'!BI19</f>
        <v>6638000.9862253685</v>
      </c>
      <c r="AA43" s="3">
        <f>'Monthly Data'!BO19</f>
        <v>27520202.202341639</v>
      </c>
      <c r="AB43" s="3">
        <f>'Monthly Data'!BU19</f>
        <v>4888029.8746383805</v>
      </c>
      <c r="BA43" s="236"/>
      <c r="BO43" s="236"/>
      <c r="CC43" s="236"/>
      <c r="CQ43" s="236"/>
      <c r="DE43" s="236"/>
      <c r="DS43" s="236"/>
      <c r="EG43" s="236"/>
      <c r="EU43" s="488">
        <f>'Monthly Data'!FO19</f>
        <v>641.69447783371561</v>
      </c>
      <c r="EV43" s="488">
        <f>'Monthly Data'!FP19</f>
        <v>414.5911045989684</v>
      </c>
      <c r="EW43" s="488">
        <f>'Monthly Data'!FQ19</f>
        <v>2353.0305358085566</v>
      </c>
      <c r="EX43" s="488">
        <f>'Monthly Data'!FR19</f>
        <v>72241.831341174286</v>
      </c>
      <c r="EY43" s="488">
        <f>'Monthly Data'!FS19</f>
        <v>1463540.8366685691</v>
      </c>
      <c r="EZ43" s="488">
        <f>'Monthly Data'!FT19</f>
        <v>6658797.8993988261</v>
      </c>
      <c r="FA43" s="488">
        <f>'Monthly Data'!FX19</f>
        <v>737.82709955813061</v>
      </c>
      <c r="FB43" s="488">
        <f>'Monthly Data'!FY19</f>
        <v>3039.4828078455653</v>
      </c>
      <c r="FC43" s="488">
        <f>'Monthly Data'!FZ19</f>
        <v>76702.461459326951</v>
      </c>
      <c r="FD43" s="488">
        <f>'Monthly Data'!GA19</f>
        <v>147774.00038262864</v>
      </c>
    </row>
    <row r="44" spans="1:160">
      <c r="A44">
        <v>2017</v>
      </c>
      <c r="B44">
        <v>7</v>
      </c>
      <c r="C44" s="200">
        <v>14.412500000000009</v>
      </c>
      <c r="D44" s="200">
        <v>26.579166666666627</v>
      </c>
      <c r="E44" s="200">
        <v>1.8041666666666707</v>
      </c>
      <c r="F44" s="200">
        <v>75.970833333333289</v>
      </c>
      <c r="G44" s="200">
        <v>0</v>
      </c>
      <c r="H44" s="200">
        <v>136.16666666666663</v>
      </c>
      <c r="I44" s="200">
        <v>0</v>
      </c>
      <c r="J44" s="200">
        <v>198.16666666666666</v>
      </c>
      <c r="K44" s="200">
        <v>0</v>
      </c>
      <c r="L44" s="200">
        <v>260.16666666666657</v>
      </c>
      <c r="M44" s="200">
        <v>0</v>
      </c>
      <c r="N44" s="200">
        <v>322.16666666666657</v>
      </c>
      <c r="O44" s="200">
        <v>0</v>
      </c>
      <c r="P44" s="200">
        <v>384.16666666666657</v>
      </c>
      <c r="Q44" s="257">
        <v>20.392473118279565</v>
      </c>
      <c r="S44" s="3">
        <f>'Monthly Data'!D20</f>
        <v>83114868.687091783</v>
      </c>
      <c r="T44" s="3">
        <f>'Monthly Data'!J20</f>
        <v>945558.65553329419</v>
      </c>
      <c r="U44" s="3">
        <f>'Monthly Data'!P20</f>
        <v>22374809.6364149</v>
      </c>
      <c r="V44" s="3">
        <f>'Monthly Data'!V20</f>
        <v>76421197.148709387</v>
      </c>
      <c r="W44" s="3">
        <f>'Monthly Data'!AB20</f>
        <v>6814882.602491417</v>
      </c>
      <c r="X44" s="3">
        <f>'Monthly Data'!AG20</f>
        <v>17756376.394644976</v>
      </c>
      <c r="Y44" s="3">
        <f>'Monthly Data'!BC20</f>
        <v>34948587.693629228</v>
      </c>
      <c r="Z44" s="3">
        <f>'Monthly Data'!BI20</f>
        <v>7218224.2818634007</v>
      </c>
      <c r="AA44" s="3">
        <f>'Monthly Data'!BO20</f>
        <v>26946433.969378561</v>
      </c>
      <c r="AB44" s="3">
        <f>'Monthly Data'!BU20</f>
        <v>4954209.5756991329</v>
      </c>
      <c r="BA44" s="236"/>
      <c r="BE44" s="144" t="s">
        <v>215</v>
      </c>
      <c r="BO44" s="236"/>
      <c r="BS44" s="144" t="s">
        <v>215</v>
      </c>
      <c r="CC44" s="236"/>
      <c r="CG44" s="144" t="s">
        <v>215</v>
      </c>
      <c r="CQ44" s="236"/>
      <c r="CU44" s="144" t="s">
        <v>215</v>
      </c>
      <c r="DE44" s="236"/>
      <c r="DI44" s="144" t="s">
        <v>215</v>
      </c>
      <c r="DS44" s="236"/>
      <c r="DW44" s="144" t="s">
        <v>215</v>
      </c>
      <c r="EG44" s="236"/>
      <c r="EK44" s="144" t="s">
        <v>215</v>
      </c>
      <c r="EU44" s="488">
        <f>'Monthly Data'!FO20</f>
        <v>792.44895162258797</v>
      </c>
      <c r="EV44" s="488">
        <f>'Monthly Data'!FP20</f>
        <v>620.15881363410529</v>
      </c>
      <c r="EW44" s="488">
        <f>'Monthly Data'!FQ20</f>
        <v>2559.6778301005938</v>
      </c>
      <c r="EX44" s="488">
        <f>'Monthly Data'!FR20</f>
        <v>73886.321455122627</v>
      </c>
      <c r="EY44" s="488">
        <f>'Monthly Data'!FS20</f>
        <v>1382828.2327651191</v>
      </c>
      <c r="EZ44" s="488">
        <f>'Monthly Data'!FT20</f>
        <v>6195478.7129073543</v>
      </c>
      <c r="FA44" s="488">
        <f>'Monthly Data'!FX20</f>
        <v>915.54988619630592</v>
      </c>
      <c r="FB44" s="488">
        <f>'Monthly Data'!FY20</f>
        <v>3298.3427425407322</v>
      </c>
      <c r="FC44" s="488">
        <f>'Monthly Data'!FZ20</f>
        <v>75204.541007076536</v>
      </c>
      <c r="FD44" s="488">
        <f>'Monthly Data'!GA20</f>
        <v>156899.36866271283</v>
      </c>
    </row>
    <row r="45" spans="1:160">
      <c r="A45">
        <v>2017</v>
      </c>
      <c r="B45">
        <v>8</v>
      </c>
      <c r="C45" s="200">
        <v>46.587500000000006</v>
      </c>
      <c r="D45" s="200">
        <v>16.01159420289855</v>
      </c>
      <c r="E45" s="200">
        <v>17.950000000000006</v>
      </c>
      <c r="F45" s="200">
        <v>49.374094202898547</v>
      </c>
      <c r="G45" s="200">
        <v>3.6416666666666693</v>
      </c>
      <c r="H45" s="200">
        <v>97.06576086956521</v>
      </c>
      <c r="I45" s="200">
        <v>0</v>
      </c>
      <c r="J45" s="200">
        <v>155.42409420289857</v>
      </c>
      <c r="K45" s="200">
        <v>0</v>
      </c>
      <c r="L45" s="200">
        <v>217.42409420289852</v>
      </c>
      <c r="M45" s="200">
        <v>0</v>
      </c>
      <c r="N45" s="200">
        <v>279.42409420289852</v>
      </c>
      <c r="O45" s="200">
        <v>0</v>
      </c>
      <c r="P45" s="200">
        <v>341.42409420289852</v>
      </c>
      <c r="Q45" s="257">
        <v>19.013680458158017</v>
      </c>
      <c r="S45" s="3">
        <f>'Monthly Data'!D21</f>
        <v>77096964.269862339</v>
      </c>
      <c r="T45" s="3">
        <f>'Monthly Data'!J21</f>
        <v>962190.88470711792</v>
      </c>
      <c r="U45" s="3">
        <f>'Monthly Data'!P21</f>
        <v>22115011.819499996</v>
      </c>
      <c r="V45" s="3">
        <f>'Monthly Data'!V21</f>
        <v>79283324.823593184</v>
      </c>
      <c r="W45" s="3">
        <f>'Monthly Data'!AB21</f>
        <v>7567637.0087546743</v>
      </c>
      <c r="X45" s="3">
        <f>'Monthly Data'!AG21</f>
        <v>18007883.035211779</v>
      </c>
      <c r="Y45" s="3">
        <f>'Monthly Data'!BC21</f>
        <v>32178395.126726512</v>
      </c>
      <c r="Z45" s="3">
        <f>'Monthly Data'!BI21</f>
        <v>7140459.6759039592</v>
      </c>
      <c r="AA45" s="3">
        <f>'Monthly Data'!BO21</f>
        <v>27848042.528970275</v>
      </c>
      <c r="AB45" s="3">
        <f>'Monthly Data'!BU21</f>
        <v>5042444.696239152</v>
      </c>
      <c r="BA45" s="236"/>
      <c r="BB45" s="200"/>
      <c r="BG45" s="16" t="str">
        <f>BA2</f>
        <v>HDD20</v>
      </c>
      <c r="BH45" s="16" t="str">
        <f>BA22</f>
        <v>CDD20</v>
      </c>
      <c r="BO45" s="236"/>
      <c r="BP45" s="200"/>
      <c r="BU45" s="16" t="str">
        <f>BO2</f>
        <v>HDD18</v>
      </c>
      <c r="BV45" s="16" t="str">
        <f>BO22</f>
        <v>CDD18</v>
      </c>
      <c r="CC45" s="236"/>
      <c r="CD45" s="200"/>
      <c r="CI45" s="16" t="str">
        <f>CC2</f>
        <v>HDD16</v>
      </c>
      <c r="CJ45" s="16" t="str">
        <f>CC22</f>
        <v>CDD16</v>
      </c>
      <c r="CQ45" s="236"/>
      <c r="CR45" s="200"/>
      <c r="CW45" s="16" t="str">
        <f>CQ2</f>
        <v>HDD14</v>
      </c>
      <c r="CX45" s="16" t="str">
        <f>CQ22</f>
        <v>CDD14</v>
      </c>
      <c r="DE45" s="236"/>
      <c r="DF45" s="200"/>
      <c r="DK45" s="16" t="str">
        <f>DE2</f>
        <v>HDD12</v>
      </c>
      <c r="DL45" s="16" t="str">
        <f>DE22</f>
        <v>CDD12</v>
      </c>
      <c r="DS45" s="236"/>
      <c r="DT45" s="200"/>
      <c r="DY45" s="16" t="str">
        <f>DS2</f>
        <v>HDD10</v>
      </c>
      <c r="DZ45" s="16" t="str">
        <f>DS22</f>
        <v>CDD10</v>
      </c>
      <c r="EG45" s="236"/>
      <c r="EH45" s="200"/>
      <c r="EM45" s="16" t="str">
        <f>EG2</f>
        <v>HDD8</v>
      </c>
      <c r="EN45" s="16" t="str">
        <f>EG22</f>
        <v>CDD8</v>
      </c>
      <c r="EU45" s="488">
        <f>'Monthly Data'!FO21</f>
        <v>737.44534753549476</v>
      </c>
      <c r="EV45" s="488">
        <f>'Monthly Data'!FP21</f>
        <v>631.88472278022209</v>
      </c>
      <c r="EW45" s="488">
        <f>'Monthly Data'!FQ21</f>
        <v>2531.3277176892298</v>
      </c>
      <c r="EX45" s="488">
        <f>'Monthly Data'!FR21</f>
        <v>76424.628534806106</v>
      </c>
      <c r="EY45" s="488">
        <f>'Monthly Data'!FS21</f>
        <v>1534234.1178122647</v>
      </c>
      <c r="EZ45" s="488">
        <f>'Monthly Data'!FT21</f>
        <v>6285141.2140243938</v>
      </c>
      <c r="FA45" s="488">
        <f>'Monthly Data'!FX21</f>
        <v>846.84835155612359</v>
      </c>
      <c r="FB45" s="488">
        <f>'Monthly Data'!FY21</f>
        <v>3262.0573002638739</v>
      </c>
      <c r="FC45" s="488">
        <f>'Monthly Data'!FZ21</f>
        <v>77715.796621551097</v>
      </c>
      <c r="FD45" s="488">
        <f>'Monthly Data'!GA21</f>
        <v>177786.23971685476</v>
      </c>
    </row>
    <row r="46" spans="1:160">
      <c r="A46">
        <v>2017</v>
      </c>
      <c r="B46">
        <v>9</v>
      </c>
      <c r="C46" s="200">
        <v>100.06666666666666</v>
      </c>
      <c r="D46" s="200">
        <v>15.912499999999994</v>
      </c>
      <c r="E46" s="200">
        <v>65.699999999999989</v>
      </c>
      <c r="F46" s="200">
        <v>41.54583333333332</v>
      </c>
      <c r="G46" s="200">
        <v>37.391666666666666</v>
      </c>
      <c r="H46" s="200">
        <v>73.237499999999983</v>
      </c>
      <c r="I46" s="200">
        <v>16.833333333333329</v>
      </c>
      <c r="J46" s="200">
        <v>112.67916666666666</v>
      </c>
      <c r="K46" s="200">
        <v>5.466666666666665</v>
      </c>
      <c r="L46" s="200">
        <v>161.3125</v>
      </c>
      <c r="M46" s="200">
        <v>1.3833333333333311</v>
      </c>
      <c r="N46" s="200">
        <v>217.22916666666663</v>
      </c>
      <c r="O46" s="200">
        <v>0</v>
      </c>
      <c r="P46" s="200">
        <v>275.8458333333333</v>
      </c>
      <c r="Q46" s="257">
        <v>17.194861111111109</v>
      </c>
      <c r="S46" s="3">
        <f>'Monthly Data'!D22</f>
        <v>70602414.11987263</v>
      </c>
      <c r="T46" s="3">
        <f>'Monthly Data'!J22</f>
        <v>695787.52546269796</v>
      </c>
      <c r="U46" s="3">
        <f>'Monthly Data'!P22</f>
        <v>20683479.45913003</v>
      </c>
      <c r="V46" s="3">
        <f>'Monthly Data'!V22</f>
        <v>76220334.671674654</v>
      </c>
      <c r="W46" s="3">
        <f>'Monthly Data'!AB22</f>
        <v>7148177.8317713737</v>
      </c>
      <c r="X46" s="3">
        <f>'Monthly Data'!AG22</f>
        <v>17030380.276073333</v>
      </c>
      <c r="Y46" s="3">
        <f>'Monthly Data'!BC22</f>
        <v>29656980.814740859</v>
      </c>
      <c r="Z46" s="3">
        <f>'Monthly Data'!BI22</f>
        <v>6804017.4160225745</v>
      </c>
      <c r="AA46" s="3">
        <f>'Monthly Data'!BO22</f>
        <v>28438429.156409487</v>
      </c>
      <c r="AB46" s="3">
        <f>'Monthly Data'!BU22</f>
        <v>4925611.9382835105</v>
      </c>
      <c r="BA46" s="236"/>
      <c r="BE46" t="s">
        <v>216</v>
      </c>
      <c r="BF46" t="s">
        <v>217</v>
      </c>
      <c r="BG46" s="8">
        <f ca="1">OFFSET($BB$16,0,(ROW()-ROW(BG$46)))</f>
        <v>752.78750000000002</v>
      </c>
      <c r="BH46" s="8">
        <f ca="1">OFFSET(BB$36,0,(ROW()-ROW(BH$46)))</f>
        <v>0</v>
      </c>
      <c r="BO46" s="236"/>
      <c r="BS46" t="s">
        <v>216</v>
      </c>
      <c r="BT46" t="s">
        <v>217</v>
      </c>
      <c r="BU46" s="8">
        <f ca="1">OFFSET(BP$16,0,(ROW()-ROW(BU$46)))</f>
        <v>690.78750000000002</v>
      </c>
      <c r="BV46" s="8">
        <f ca="1">OFFSET(BP$36,0,(ROW()-ROW(BV$46)))</f>
        <v>0</v>
      </c>
      <c r="CC46" s="236"/>
      <c r="CG46" t="s">
        <v>216</v>
      </c>
      <c r="CH46" t="s">
        <v>217</v>
      </c>
      <c r="CI46" s="8">
        <f ca="1">OFFSET(CD$16,0,(ROW()-ROW(CI$46)))</f>
        <v>628.78750000000002</v>
      </c>
      <c r="CJ46" s="8">
        <f ca="1">OFFSET(CD$36,0,(ROW()-ROW(CJ$46)))</f>
        <v>0</v>
      </c>
      <c r="CQ46" s="236"/>
      <c r="CU46" t="s">
        <v>216</v>
      </c>
      <c r="CV46" t="s">
        <v>217</v>
      </c>
      <c r="CW46" s="8">
        <f ca="1">OFFSET(CR$16,0,(ROW()-ROW(CW$46)))</f>
        <v>566.78750000000002</v>
      </c>
      <c r="CX46" s="8">
        <f ca="1">OFFSET(CR$36,0,(ROW()-ROW(CX$46)))</f>
        <v>0</v>
      </c>
      <c r="DE46" s="236"/>
      <c r="DI46" t="s">
        <v>216</v>
      </c>
      <c r="DJ46" t="s">
        <v>217</v>
      </c>
      <c r="DK46" s="8">
        <f ca="1">OFFSET(DF$16,0,(ROW()-ROW(DK$46)))</f>
        <v>504.78750000000002</v>
      </c>
      <c r="DL46" s="8">
        <f ca="1">OFFSET(DF$36,0,(ROW()-ROW(DL$46)))</f>
        <v>0</v>
      </c>
      <c r="DS46" s="236"/>
      <c r="DW46" t="s">
        <v>216</v>
      </c>
      <c r="DX46" t="s">
        <v>217</v>
      </c>
      <c r="DY46" s="8">
        <f ca="1">OFFSET(DT$16,0,(ROW()-ROW(DY$46)))</f>
        <v>442.78750000000002</v>
      </c>
      <c r="DZ46" s="8">
        <f ca="1">OFFSET(DT$36,0,(ROW()-ROW(DZ$46)))</f>
        <v>0</v>
      </c>
      <c r="EG46" s="236"/>
      <c r="EK46" t="s">
        <v>216</v>
      </c>
      <c r="EL46" t="s">
        <v>217</v>
      </c>
      <c r="EM46" s="8">
        <f ca="1">OFFSET(EH$16,0,(ROW()-ROW(EM$46)))</f>
        <v>380.78750000000002</v>
      </c>
      <c r="EN46" s="8">
        <f ca="1">OFFSET(EH$36,0,(ROW()-ROW(EN$46)))</f>
        <v>0</v>
      </c>
      <c r="EU46" s="488">
        <f>'Monthly Data'!FO22</f>
        <v>678.12291995942405</v>
      </c>
      <c r="EV46" s="488">
        <f>'Monthly Data'!FP22</f>
        <v>463.89061864286998</v>
      </c>
      <c r="EW46" s="488">
        <f>'Monthly Data'!FQ22</f>
        <v>2373.165486647214</v>
      </c>
      <c r="EX46" s="488">
        <f>'Monthly Data'!FR22</f>
        <v>73438.604949782035</v>
      </c>
      <c r="EY46" s="488">
        <f>'Monthly Data'!FS22</f>
        <v>1451197.2862100988</v>
      </c>
      <c r="EZ46" s="488">
        <f>'Monthly Data'!FT22</f>
        <v>5965133.9152396843</v>
      </c>
      <c r="FA46" s="488">
        <f>'Monthly Data'!FX22</f>
        <v>784.48210260735095</v>
      </c>
      <c r="FB46" s="488">
        <f>'Monthly Data'!FY22</f>
        <v>3110.0034238723474</v>
      </c>
      <c r="FC46" s="488">
        <f>'Monthly Data'!FZ22</f>
        <v>79381.340463872111</v>
      </c>
      <c r="FD46" s="488">
        <f>'Monthly Data'!GA22</f>
        <v>192213.44939735986</v>
      </c>
    </row>
    <row r="47" spans="1:160">
      <c r="A47">
        <v>2017</v>
      </c>
      <c r="B47">
        <v>10</v>
      </c>
      <c r="C47" s="200">
        <v>238.48333333333335</v>
      </c>
      <c r="D47" s="200">
        <v>0</v>
      </c>
      <c r="E47" s="200">
        <v>179.70833333333334</v>
      </c>
      <c r="F47" s="200">
        <v>3.2250000000000014</v>
      </c>
      <c r="G47" s="200">
        <v>124.7625</v>
      </c>
      <c r="H47" s="200">
        <v>10.279166666666672</v>
      </c>
      <c r="I47" s="200">
        <v>82.137500000000017</v>
      </c>
      <c r="J47" s="200">
        <v>29.654166666666669</v>
      </c>
      <c r="K47" s="200">
        <v>49.88333333333334</v>
      </c>
      <c r="L47" s="200">
        <v>59.400000000000006</v>
      </c>
      <c r="M47" s="200">
        <v>26.758333333333336</v>
      </c>
      <c r="N47" s="200">
        <v>98.274999999999977</v>
      </c>
      <c r="O47" s="200">
        <v>11.620833333333334</v>
      </c>
      <c r="P47" s="200">
        <v>145.13749999999999</v>
      </c>
      <c r="Q47" s="257">
        <v>12.306989247311826</v>
      </c>
      <c r="S47" s="3">
        <f>'Monthly Data'!D23</f>
        <v>60761893.54912287</v>
      </c>
      <c r="T47" s="3">
        <f>'Monthly Data'!J23</f>
        <v>626632.5452108368</v>
      </c>
      <c r="U47" s="3">
        <f>'Monthly Data'!P23</f>
        <v>19632186.614300705</v>
      </c>
      <c r="V47" s="3">
        <f>'Monthly Data'!V23</f>
        <v>74161631.749869287</v>
      </c>
      <c r="W47" s="3">
        <f>'Monthly Data'!AB23</f>
        <v>7665789.0489413375</v>
      </c>
      <c r="X47" s="3">
        <f>'Monthly Data'!AG23</f>
        <v>18236031.12867067</v>
      </c>
      <c r="Y47" s="3">
        <f>'Monthly Data'!BC23</f>
        <v>23753454.971475031</v>
      </c>
      <c r="Z47" s="3">
        <f>'Monthly Data'!BI23</f>
        <v>6356344.5662425766</v>
      </c>
      <c r="AA47" s="3">
        <f>'Monthly Data'!BO23</f>
        <v>26419075.977184027</v>
      </c>
      <c r="AB47" s="3">
        <f>'Monthly Data'!BU23</f>
        <v>5056612.4204435879</v>
      </c>
      <c r="BA47" s="236"/>
      <c r="BE47" t="s">
        <v>216</v>
      </c>
      <c r="BF47" t="s">
        <v>218</v>
      </c>
      <c r="BG47" s="8">
        <f t="shared" ref="BG47:BG57" ca="1" si="297">OFFSET($BB$16,0,(ROW()-ROW(BG$46)))</f>
        <v>660.7954166666666</v>
      </c>
      <c r="BH47" s="8">
        <f t="shared" ref="BH47:BH57" ca="1" si="298">OFFSET(BB$36,0,(ROW()-ROW(BH$46)))</f>
        <v>0</v>
      </c>
      <c r="BO47" s="236"/>
      <c r="BS47" t="s">
        <v>216</v>
      </c>
      <c r="BT47" t="s">
        <v>218</v>
      </c>
      <c r="BU47" s="8">
        <f t="shared" ref="BU47:BU57" ca="1" si="299">OFFSET(BP$16,0,(ROW()-ROW(BU$46)))</f>
        <v>604.19541666666657</v>
      </c>
      <c r="BV47" s="8">
        <f t="shared" ref="BV47:BV57" ca="1" si="300">OFFSET(BP$36,0,(ROW()-ROW(BV$46)))</f>
        <v>0</v>
      </c>
      <c r="CC47" s="236"/>
      <c r="CG47" t="s">
        <v>216</v>
      </c>
      <c r="CH47" t="s">
        <v>218</v>
      </c>
      <c r="CI47" s="8">
        <f t="shared" ref="CI47:CI57" ca="1" si="301">OFFSET(CD$16,0,(ROW()-ROW(CI$46)))</f>
        <v>547.59541666666655</v>
      </c>
      <c r="CJ47" s="8">
        <f t="shared" ref="CJ47:CJ57" ca="1" si="302">OFFSET(CD$36,0,(ROW()-ROW(CJ$46)))</f>
        <v>0</v>
      </c>
      <c r="CQ47" s="236"/>
      <c r="CU47" t="s">
        <v>216</v>
      </c>
      <c r="CV47" t="s">
        <v>218</v>
      </c>
      <c r="CW47" s="8">
        <f t="shared" ref="CW47:CW57" ca="1" si="303">OFFSET(CR$16,0,(ROW()-ROW(CW$46)))</f>
        <v>490.99541666666664</v>
      </c>
      <c r="CX47" s="8">
        <f t="shared" ref="CX47:CX57" ca="1" si="304">OFFSET(CR$36,0,(ROW()-ROW(CX$46)))</f>
        <v>0</v>
      </c>
      <c r="DE47" s="236"/>
      <c r="DI47" t="s">
        <v>216</v>
      </c>
      <c r="DJ47" t="s">
        <v>218</v>
      </c>
      <c r="DK47" s="8">
        <f t="shared" ref="DK47:DK57" ca="1" si="305">OFFSET(DF$16,0,(ROW()-ROW(DK$46)))</f>
        <v>434.39541666666673</v>
      </c>
      <c r="DL47" s="8">
        <f t="shared" ref="DL47:DL57" ca="1" si="306">OFFSET(DF$36,0,(ROW()-ROW(DL$46)))</f>
        <v>0</v>
      </c>
      <c r="DS47" s="236"/>
      <c r="DW47" t="s">
        <v>216</v>
      </c>
      <c r="DX47" t="s">
        <v>218</v>
      </c>
      <c r="DY47" s="8">
        <f t="shared" ref="DY47:DY57" ca="1" si="307">OFFSET(DT$16,0,(ROW()-ROW(DY$46)))</f>
        <v>377.79541666666665</v>
      </c>
      <c r="DZ47" s="8">
        <f t="shared" ref="DZ47:DZ57" ca="1" si="308">OFFSET(DT$36,0,(ROW()-ROW(DZ$46)))</f>
        <v>0</v>
      </c>
      <c r="EG47" s="236"/>
      <c r="EK47" t="s">
        <v>216</v>
      </c>
      <c r="EL47" t="s">
        <v>218</v>
      </c>
      <c r="EM47" s="8">
        <f t="shared" ref="EM47:EM57" ca="1" si="309">OFFSET(EH$16,0,(ROW()-ROW(EM$46)))</f>
        <v>321.33791666666662</v>
      </c>
      <c r="EN47" s="8">
        <f t="shared" ref="EN47:EN57" ca="1" si="310">OFFSET(EH$36,0,(ROW()-ROW(EN$46)))</f>
        <v>0.1424999999999999</v>
      </c>
      <c r="EU47" s="488">
        <f>'Monthly Data'!FO23</f>
        <v>588.07280915712624</v>
      </c>
      <c r="EV47" s="488">
        <f>'Monthly Data'!FP23</f>
        <v>421.03072384681218</v>
      </c>
      <c r="EW47" s="488">
        <f>'Monthly Data'!FQ23</f>
        <v>2257.2501108163028</v>
      </c>
      <c r="EX47" s="488">
        <f>'Monthly Data'!FR23</f>
        <v>71399.268054426953</v>
      </c>
      <c r="EY47" s="488">
        <f>'Monthly Data'!FS23</f>
        <v>1555574.5334385859</v>
      </c>
      <c r="EZ47" s="488">
        <f>'Monthly Data'!FT23</f>
        <v>6372844.4870335683</v>
      </c>
      <c r="FA47" s="488">
        <f>'Monthly Data'!FX23</f>
        <v>637.30157902233395</v>
      </c>
      <c r="FB47" s="488">
        <f>'Monthly Data'!FY23</f>
        <v>2908.386044899416</v>
      </c>
      <c r="FC47" s="488">
        <f>'Monthly Data'!FZ23</f>
        <v>73955.200048952174</v>
      </c>
      <c r="FD47" s="488">
        <f>'Monthly Data'!GA23</f>
        <v>223621.75722211591</v>
      </c>
    </row>
    <row r="48" spans="1:160">
      <c r="A48">
        <v>2017</v>
      </c>
      <c r="B48">
        <v>11</v>
      </c>
      <c r="C48" s="200">
        <v>502.61174242424244</v>
      </c>
      <c r="D48" s="200">
        <v>0</v>
      </c>
      <c r="E48" s="200">
        <v>442.61174242424244</v>
      </c>
      <c r="F48" s="200">
        <v>0</v>
      </c>
      <c r="G48" s="200">
        <v>382.61174242424244</v>
      </c>
      <c r="H48" s="200">
        <v>0</v>
      </c>
      <c r="I48" s="200">
        <v>322.61174242424249</v>
      </c>
      <c r="J48" s="200">
        <v>0</v>
      </c>
      <c r="K48" s="200">
        <v>262.61174242424244</v>
      </c>
      <c r="L48" s="200">
        <v>0</v>
      </c>
      <c r="M48" s="200">
        <v>203.9075757575757</v>
      </c>
      <c r="N48" s="200">
        <v>1.2958333333333325</v>
      </c>
      <c r="O48" s="200">
        <v>148.02424242424243</v>
      </c>
      <c r="P48" s="200">
        <v>5.4124999999999979</v>
      </c>
      <c r="Q48" s="257">
        <v>3.2462752525252521</v>
      </c>
      <c r="S48" s="3">
        <f>'Monthly Data'!D24</f>
        <v>68569104.110036552</v>
      </c>
      <c r="T48" s="3">
        <f>'Monthly Data'!J24</f>
        <v>713353.19553520321</v>
      </c>
      <c r="U48" s="3">
        <f>'Monthly Data'!P24</f>
        <v>21379874.800209884</v>
      </c>
      <c r="V48" s="3">
        <f>'Monthly Data'!V24</f>
        <v>75304172.602858007</v>
      </c>
      <c r="W48" s="3">
        <f>'Monthly Data'!AB24</f>
        <v>7801970.6795479944</v>
      </c>
      <c r="X48" s="3">
        <f>'Monthly Data'!AG24</f>
        <v>20482245.892418895</v>
      </c>
      <c r="Y48" s="3">
        <f>'Monthly Data'!BC24</f>
        <v>24730968.903510712</v>
      </c>
      <c r="Z48" s="3">
        <f>'Monthly Data'!BI24</f>
        <v>6793306.6769657535</v>
      </c>
      <c r="AA48" s="3">
        <f>'Monthly Data'!BO24</f>
        <v>28029100.623236265</v>
      </c>
      <c r="AB48" s="3">
        <f>'Monthly Data'!BU24</f>
        <v>4904841.6297010602</v>
      </c>
      <c r="BA48" s="236"/>
      <c r="BE48" t="s">
        <v>216</v>
      </c>
      <c r="BF48" t="s">
        <v>219</v>
      </c>
      <c r="BG48" s="8">
        <f t="shared" ca="1" si="297"/>
        <v>596.21590579710141</v>
      </c>
      <c r="BH48" s="8">
        <f t="shared" ca="1" si="298"/>
        <v>0</v>
      </c>
      <c r="BO48" s="236"/>
      <c r="BS48" t="s">
        <v>216</v>
      </c>
      <c r="BT48" t="s">
        <v>219</v>
      </c>
      <c r="BU48" s="8">
        <f t="shared" ca="1" si="299"/>
        <v>534.21590579710141</v>
      </c>
      <c r="BV48" s="8">
        <f t="shared" ca="1" si="300"/>
        <v>0</v>
      </c>
      <c r="CC48" s="236"/>
      <c r="CG48" t="s">
        <v>216</v>
      </c>
      <c r="CH48" t="s">
        <v>219</v>
      </c>
      <c r="CI48" s="8">
        <f t="shared" ca="1" si="301"/>
        <v>472.21590579710147</v>
      </c>
      <c r="CJ48" s="8">
        <f t="shared" ca="1" si="302"/>
        <v>0</v>
      </c>
      <c r="CQ48" s="236"/>
      <c r="CU48" t="s">
        <v>216</v>
      </c>
      <c r="CV48" t="s">
        <v>219</v>
      </c>
      <c r="CW48" s="8">
        <f t="shared" ca="1" si="303"/>
        <v>410.21590579710147</v>
      </c>
      <c r="CX48" s="8">
        <f t="shared" ca="1" si="304"/>
        <v>0</v>
      </c>
      <c r="DE48" s="236"/>
      <c r="DI48" t="s">
        <v>216</v>
      </c>
      <c r="DJ48" t="s">
        <v>219</v>
      </c>
      <c r="DK48" s="8">
        <f t="shared" ca="1" si="305"/>
        <v>348.24548913043475</v>
      </c>
      <c r="DL48" s="8">
        <f t="shared" ca="1" si="306"/>
        <v>2.9583333333332896E-2</v>
      </c>
      <c r="DS48" s="236"/>
      <c r="DW48" t="s">
        <v>216</v>
      </c>
      <c r="DX48" t="s">
        <v>219</v>
      </c>
      <c r="DY48" s="8">
        <f t="shared" ca="1" si="307"/>
        <v>286.91715579710143</v>
      </c>
      <c r="DZ48" s="8">
        <f t="shared" ca="1" si="308"/>
        <v>0.70124999999999926</v>
      </c>
      <c r="EG48" s="236"/>
      <c r="EK48" t="s">
        <v>216</v>
      </c>
      <c r="EL48" t="s">
        <v>219</v>
      </c>
      <c r="EM48" s="8">
        <f t="shared" ca="1" si="309"/>
        <v>227.40798913043483</v>
      </c>
      <c r="EN48" s="8">
        <f t="shared" ca="1" si="310"/>
        <v>3.1920833333333327</v>
      </c>
      <c r="EU48" s="488">
        <f>'Monthly Data'!FO24</f>
        <v>660.51397645751979</v>
      </c>
      <c r="EV48" s="488">
        <f>'Monthly Data'!FP24</f>
        <v>477.22061179137529</v>
      </c>
      <c r="EW48" s="488">
        <f>'Monthly Data'!FQ24</f>
        <v>2451.318448462901</v>
      </c>
      <c r="EX48" s="488">
        <f>'Monthly Data'!FR24</f>
        <v>72333.198889620442</v>
      </c>
      <c r="EY48" s="488">
        <f>'Monthly Data'!FS24</f>
        <v>1583665.8633544114</v>
      </c>
      <c r="EZ48" s="488">
        <f>'Monthly Data'!FT24</f>
        <v>7127409.6958777495</v>
      </c>
      <c r="FA48" s="488">
        <f>'Monthly Data'!FX24</f>
        <v>662.91615542072657</v>
      </c>
      <c r="FB48" s="488">
        <f>'Monthly Data'!FY24</f>
        <v>3102.5834714887892</v>
      </c>
      <c r="FC48" s="488">
        <f>'Monthly Data'!FZ24</f>
        <v>78391.499376634689</v>
      </c>
      <c r="FD48" s="488">
        <f>'Monthly Data'!GA24</f>
        <v>237441.60130093741</v>
      </c>
    </row>
    <row r="49" spans="1:160">
      <c r="A49">
        <v>2017</v>
      </c>
      <c r="B49">
        <v>12</v>
      </c>
      <c r="C49" s="200">
        <v>798.31250000000011</v>
      </c>
      <c r="D49" s="200">
        <v>0</v>
      </c>
      <c r="E49" s="200">
        <v>736.31250000000011</v>
      </c>
      <c r="F49" s="200">
        <v>0</v>
      </c>
      <c r="G49" s="200">
        <v>674.31250000000011</v>
      </c>
      <c r="H49" s="200">
        <v>0</v>
      </c>
      <c r="I49" s="200">
        <v>612.31250000000011</v>
      </c>
      <c r="J49" s="200">
        <v>0</v>
      </c>
      <c r="K49" s="200">
        <v>550.3125</v>
      </c>
      <c r="L49" s="200">
        <v>0</v>
      </c>
      <c r="M49" s="200">
        <v>488.31250000000011</v>
      </c>
      <c r="N49" s="200">
        <v>0</v>
      </c>
      <c r="O49" s="200">
        <v>426.3125</v>
      </c>
      <c r="P49" s="200">
        <v>0</v>
      </c>
      <c r="Q49" s="257">
        <v>-5.7520161290322589</v>
      </c>
      <c r="S49" s="3">
        <f>'Monthly Data'!D25</f>
        <v>87431618.858394295</v>
      </c>
      <c r="T49" s="3">
        <f>'Monthly Data'!J25</f>
        <v>1055766.9901450106</v>
      </c>
      <c r="U49" s="3">
        <f>'Monthly Data'!P25</f>
        <v>24453816.475529481</v>
      </c>
      <c r="V49" s="3">
        <f>'Monthly Data'!V25</f>
        <v>77012309.075297296</v>
      </c>
      <c r="W49" s="3">
        <f>'Monthly Data'!AB25</f>
        <v>6990745.9408384413</v>
      </c>
      <c r="X49" s="3">
        <f>'Monthly Data'!AG25</f>
        <v>19357298.566765208</v>
      </c>
      <c r="Y49" s="3">
        <f>'Monthly Data'!BC25</f>
        <v>30460020.905452266</v>
      </c>
      <c r="Z49" s="3">
        <f>'Monthly Data'!BI25</f>
        <v>7712997.8109527342</v>
      </c>
      <c r="AA49" s="3">
        <f>'Monthly Data'!BO25</f>
        <v>28554675.299909934</v>
      </c>
      <c r="AB49" s="3">
        <f>'Monthly Data'!BU25</f>
        <v>4598970.2796528451</v>
      </c>
      <c r="BA49" s="236"/>
      <c r="BE49" t="s">
        <v>216</v>
      </c>
      <c r="BF49" t="s">
        <v>220</v>
      </c>
      <c r="BG49" s="8">
        <f t="shared" ca="1" si="297"/>
        <v>412.8885416666667</v>
      </c>
      <c r="BH49" s="8">
        <f t="shared" ca="1" si="298"/>
        <v>0</v>
      </c>
      <c r="BO49" s="236"/>
      <c r="BS49" t="s">
        <v>216</v>
      </c>
      <c r="BT49" t="s">
        <v>220</v>
      </c>
      <c r="BU49" s="8">
        <f t="shared" ca="1" si="299"/>
        <v>352.92312500000003</v>
      </c>
      <c r="BV49" s="8">
        <f t="shared" ca="1" si="300"/>
        <v>3.4583333333333854E-2</v>
      </c>
      <c r="CC49" s="236"/>
      <c r="CG49" t="s">
        <v>216</v>
      </c>
      <c r="CH49" t="s">
        <v>220</v>
      </c>
      <c r="CI49" s="8">
        <f t="shared" ca="1" si="301"/>
        <v>293.32020833333331</v>
      </c>
      <c r="CJ49" s="8">
        <f t="shared" ca="1" si="302"/>
        <v>0.4316666666666677</v>
      </c>
      <c r="CQ49" s="236"/>
      <c r="CU49" t="s">
        <v>216</v>
      </c>
      <c r="CV49" t="s">
        <v>220</v>
      </c>
      <c r="CW49" s="8">
        <f t="shared" ca="1" si="303"/>
        <v>235.09104166666671</v>
      </c>
      <c r="CX49" s="8">
        <f t="shared" ca="1" si="304"/>
        <v>2.2025000000000015</v>
      </c>
      <c r="DE49" s="236"/>
      <c r="DI49" t="s">
        <v>216</v>
      </c>
      <c r="DJ49" t="s">
        <v>220</v>
      </c>
      <c r="DK49" s="8">
        <f t="shared" ca="1" si="305"/>
        <v>178.89812499999999</v>
      </c>
      <c r="DL49" s="8">
        <f t="shared" ca="1" si="306"/>
        <v>6.0095833333333344</v>
      </c>
      <c r="DS49" s="236"/>
      <c r="DW49" t="s">
        <v>216</v>
      </c>
      <c r="DX49" t="s">
        <v>220</v>
      </c>
      <c r="DY49" s="8">
        <f t="shared" ca="1" si="307"/>
        <v>126.42270833333332</v>
      </c>
      <c r="DZ49" s="8">
        <f t="shared" ca="1" si="308"/>
        <v>13.534166666666668</v>
      </c>
      <c r="EG49" s="236"/>
      <c r="EK49" t="s">
        <v>216</v>
      </c>
      <c r="EL49" t="s">
        <v>220</v>
      </c>
      <c r="EM49" s="8">
        <f t="shared" ca="1" si="309"/>
        <v>81.619374999999991</v>
      </c>
      <c r="EN49" s="8">
        <f t="shared" ca="1" si="310"/>
        <v>28.730833333333333</v>
      </c>
      <c r="EU49" s="488">
        <f>'Monthly Data'!FO25</f>
        <v>834.51038659540677</v>
      </c>
      <c r="EV49" s="488">
        <f>'Monthly Data'!FP25</f>
        <v>696.13070271304116</v>
      </c>
      <c r="EW49" s="488">
        <f>'Monthly Data'!FQ25</f>
        <v>2792.0001080304896</v>
      </c>
      <c r="EX49" s="488">
        <f>'Monthly Data'!FR25</f>
        <v>73784.779452418981</v>
      </c>
      <c r="EY49" s="488">
        <f>'Monthly Data'!FS25</f>
        <v>1422275.9194069952</v>
      </c>
      <c r="EZ49" s="488">
        <f>'Monthly Data'!FT25</f>
        <v>6758254.2082546251</v>
      </c>
      <c r="FA49" s="488">
        <f>'Monthly Data'!FX25</f>
        <v>807.61443206714625</v>
      </c>
      <c r="FB49" s="488">
        <f>'Monthly Data'!FY25</f>
        <v>3512.2171943176781</v>
      </c>
      <c r="FC49" s="488">
        <f>'Monthly Data'!FZ25</f>
        <v>79880.923787527601</v>
      </c>
      <c r="FD49" s="488">
        <f>'Monthly Data'!GA25</f>
        <v>245314.62598048593</v>
      </c>
    </row>
    <row r="50" spans="1:160">
      <c r="A50">
        <v>2018</v>
      </c>
      <c r="B50">
        <v>1</v>
      </c>
      <c r="C50" s="200">
        <v>812.53750000000002</v>
      </c>
      <c r="D50" s="200">
        <v>0</v>
      </c>
      <c r="E50" s="200">
        <v>750.53750000000002</v>
      </c>
      <c r="F50" s="200">
        <v>0</v>
      </c>
      <c r="G50" s="200">
        <v>688.53749999999991</v>
      </c>
      <c r="H50" s="200">
        <v>0</v>
      </c>
      <c r="I50" s="200">
        <v>626.53750000000002</v>
      </c>
      <c r="J50" s="200">
        <v>0</v>
      </c>
      <c r="K50" s="200">
        <v>564.53750000000002</v>
      </c>
      <c r="L50" s="200">
        <v>0</v>
      </c>
      <c r="M50" s="200">
        <v>502.53750000000002</v>
      </c>
      <c r="N50" s="200">
        <v>0</v>
      </c>
      <c r="O50" s="200">
        <v>440.53750000000002</v>
      </c>
      <c r="P50" s="200">
        <v>0</v>
      </c>
      <c r="Q50" s="257">
        <v>-6.2108870967741945</v>
      </c>
      <c r="S50" s="3">
        <f>'Monthly Data'!D26</f>
        <v>88386960.733181074</v>
      </c>
      <c r="T50" s="3">
        <f>'Monthly Data'!J26</f>
        <v>1114965.4943140622</v>
      </c>
      <c r="U50" s="3">
        <f>'Monthly Data'!P26</f>
        <v>26209048.012411751</v>
      </c>
      <c r="V50" s="3">
        <f>'Monthly Data'!V26</f>
        <v>82599665.251574591</v>
      </c>
      <c r="W50" s="3">
        <f>'Monthly Data'!AB26</f>
        <v>7334786.4456785824</v>
      </c>
      <c r="X50" s="3">
        <f>'Monthly Data'!AG26</f>
        <v>21421028.460837428</v>
      </c>
      <c r="Y50" s="3">
        <f>'Monthly Data'!BC26</f>
        <v>29626164.073780365</v>
      </c>
      <c r="Z50" s="3">
        <f>'Monthly Data'!BI26</f>
        <v>8247087.0773196947</v>
      </c>
      <c r="AA50" s="3">
        <f>'Monthly Data'!BO26</f>
        <v>31903706.716301411</v>
      </c>
      <c r="AB50" s="3">
        <f>'Monthly Data'!BU26</f>
        <v>4973802.0540019292</v>
      </c>
      <c r="BA50" s="236"/>
      <c r="BE50" t="s">
        <v>216</v>
      </c>
      <c r="BF50" t="s">
        <v>151</v>
      </c>
      <c r="BG50" s="8">
        <f t="shared" ca="1" si="297"/>
        <v>208.90012508544086</v>
      </c>
      <c r="BH50" s="8">
        <f t="shared" ca="1" si="298"/>
        <v>4.8553571428571409</v>
      </c>
      <c r="BO50" s="236"/>
      <c r="BS50" t="s">
        <v>216</v>
      </c>
      <c r="BT50" t="s">
        <v>151</v>
      </c>
      <c r="BU50" s="8">
        <f t="shared" ca="1" si="299"/>
        <v>155.24720841877425</v>
      </c>
      <c r="BV50" s="8">
        <f t="shared" ca="1" si="300"/>
        <v>13.202440476190475</v>
      </c>
      <c r="CC50" s="236"/>
      <c r="CG50" t="s">
        <v>216</v>
      </c>
      <c r="CH50" t="s">
        <v>151</v>
      </c>
      <c r="CI50" s="8">
        <f t="shared" ca="1" si="301"/>
        <v>107.00363157894738</v>
      </c>
      <c r="CJ50" s="8">
        <f t="shared" ca="1" si="302"/>
        <v>26.958863636363635</v>
      </c>
      <c r="CQ50" s="236"/>
      <c r="CU50" t="s">
        <v>216</v>
      </c>
      <c r="CV50" t="s">
        <v>151</v>
      </c>
      <c r="CW50" s="8">
        <f t="shared" ca="1" si="303"/>
        <v>66.98488157894738</v>
      </c>
      <c r="CX50" s="8">
        <f t="shared" ca="1" si="304"/>
        <v>48.940113636363641</v>
      </c>
      <c r="DE50" s="236"/>
      <c r="DI50" t="s">
        <v>216</v>
      </c>
      <c r="DJ50" t="s">
        <v>151</v>
      </c>
      <c r="DK50" s="8">
        <f t="shared" ca="1" si="305"/>
        <v>37.553492690058476</v>
      </c>
      <c r="DL50" s="8">
        <f t="shared" ca="1" si="306"/>
        <v>81.50872474747473</v>
      </c>
      <c r="DS50" s="236"/>
      <c r="DW50" t="s">
        <v>216</v>
      </c>
      <c r="DX50" t="s">
        <v>151</v>
      </c>
      <c r="DY50" s="8">
        <f t="shared" ca="1" si="307"/>
        <v>18.584333333333337</v>
      </c>
      <c r="DZ50" s="8">
        <f t="shared" ca="1" si="308"/>
        <v>124.53956539074959</v>
      </c>
      <c r="EG50" s="236"/>
      <c r="EK50" t="s">
        <v>216</v>
      </c>
      <c r="EL50" t="s">
        <v>151</v>
      </c>
      <c r="EM50" s="8">
        <f t="shared" ca="1" si="309"/>
        <v>7.2018333333333331</v>
      </c>
      <c r="EN50" s="8">
        <f t="shared" ca="1" si="310"/>
        <v>175.15706539074958</v>
      </c>
      <c r="EU50" s="488">
        <f>'Monthly Data'!FO26</f>
        <v>841.03273861227001</v>
      </c>
      <c r="EV50" s="488">
        <f>'Monthly Data'!FP26</f>
        <v>732.82542228269631</v>
      </c>
      <c r="EW50" s="488">
        <f>'Monthly Data'!FQ26</f>
        <v>2994.57292994198</v>
      </c>
      <c r="EX50" s="488">
        <f>'Monthly Data'!FR26</f>
        <v>79409.487350026364</v>
      </c>
      <c r="EY50" s="488">
        <f>'Monthly Data'!FS26</f>
        <v>1519612.0036992321</v>
      </c>
      <c r="EZ50" s="488">
        <f>'Monthly Data'!FT26</f>
        <v>7313365.8669939162</v>
      </c>
      <c r="FA50" s="488">
        <f>'Monthly Data'!FX26</f>
        <v>783.42746722585628</v>
      </c>
      <c r="FB50" s="488">
        <f>'Monthly Data'!FY26</f>
        <v>3755.6574239176862</v>
      </c>
      <c r="FC50" s="488">
        <f>'Monthly Data'!FZ26</f>
        <v>88980.632693126667</v>
      </c>
      <c r="FD50" s="488">
        <f>'Monthly Data'!GA26</f>
        <v>214459.1880619858</v>
      </c>
    </row>
    <row r="51" spans="1:160">
      <c r="A51">
        <v>2018</v>
      </c>
      <c r="B51">
        <v>2</v>
      </c>
      <c r="C51" s="200">
        <v>632.49583333333328</v>
      </c>
      <c r="D51" s="200">
        <v>0</v>
      </c>
      <c r="E51" s="200">
        <v>576.49583333333317</v>
      </c>
      <c r="F51" s="200">
        <v>0</v>
      </c>
      <c r="G51" s="200">
        <v>520.49583333333328</v>
      </c>
      <c r="H51" s="200">
        <v>0</v>
      </c>
      <c r="I51" s="200">
        <v>464.49583333333334</v>
      </c>
      <c r="J51" s="200">
        <v>0</v>
      </c>
      <c r="K51" s="200">
        <v>408.49583333333334</v>
      </c>
      <c r="L51" s="200">
        <v>0</v>
      </c>
      <c r="M51" s="200">
        <v>352.49583333333334</v>
      </c>
      <c r="N51" s="200">
        <v>0</v>
      </c>
      <c r="O51" s="200">
        <v>296.49583333333334</v>
      </c>
      <c r="P51" s="200">
        <v>0</v>
      </c>
      <c r="Q51" s="257">
        <v>-2.5891369047619053</v>
      </c>
      <c r="S51" s="3">
        <f>'Monthly Data'!D27</f>
        <v>72303102.74749133</v>
      </c>
      <c r="T51" s="3">
        <f>'Monthly Data'!J27</f>
        <v>900637.66719137563</v>
      </c>
      <c r="U51" s="3">
        <f>'Monthly Data'!P27</f>
        <v>22264620.847481303</v>
      </c>
      <c r="V51" s="3">
        <f>'Monthly Data'!V27</f>
        <v>72928537.495143116</v>
      </c>
      <c r="W51" s="3">
        <f>'Monthly Data'!AB27</f>
        <v>6857702.8905858286</v>
      </c>
      <c r="X51" s="3">
        <f>'Monthly Data'!AG27</f>
        <v>19587364.251604259</v>
      </c>
      <c r="Y51" s="3">
        <f>'Monthly Data'!BC27</f>
        <v>24750064.131002389</v>
      </c>
      <c r="Z51" s="3">
        <f>'Monthly Data'!BI27</f>
        <v>7011920.8255978469</v>
      </c>
      <c r="AA51" s="3">
        <f>'Monthly Data'!BO27</f>
        <v>27515243.364755329</v>
      </c>
      <c r="AB51" s="3">
        <f>'Monthly Data'!BU27</f>
        <v>4533346.5959498556</v>
      </c>
      <c r="BA51" s="236"/>
      <c r="BE51" t="s">
        <v>216</v>
      </c>
      <c r="BF51" t="s">
        <v>212</v>
      </c>
      <c r="BG51" s="8">
        <f t="shared" ca="1" si="297"/>
        <v>61.78217382617381</v>
      </c>
      <c r="BH51" s="8">
        <f t="shared" ca="1" si="298"/>
        <v>23.565441370223976</v>
      </c>
      <c r="BO51" s="236"/>
      <c r="BS51" t="s">
        <v>216</v>
      </c>
      <c r="BT51" t="s">
        <v>212</v>
      </c>
      <c r="BU51" s="8">
        <f t="shared" ca="1" si="299"/>
        <v>30.273840492840492</v>
      </c>
      <c r="BV51" s="8">
        <f t="shared" ca="1" si="300"/>
        <v>52.057108036890646</v>
      </c>
      <c r="CC51" s="236"/>
      <c r="CG51" t="s">
        <v>216</v>
      </c>
      <c r="CH51" t="s">
        <v>212</v>
      </c>
      <c r="CI51" s="8">
        <f t="shared" ca="1" si="301"/>
        <v>11.150282051282051</v>
      </c>
      <c r="CJ51" s="8">
        <f t="shared" ca="1" si="302"/>
        <v>92.933549595332209</v>
      </c>
      <c r="CQ51" s="236"/>
      <c r="CU51" t="s">
        <v>216</v>
      </c>
      <c r="CV51" t="s">
        <v>212</v>
      </c>
      <c r="CW51" s="8">
        <f t="shared" ca="1" si="303"/>
        <v>3.128333333333333</v>
      </c>
      <c r="CX51" s="8">
        <f t="shared" ca="1" si="304"/>
        <v>144.91160087738351</v>
      </c>
      <c r="DE51" s="236"/>
      <c r="DI51" t="s">
        <v>216</v>
      </c>
      <c r="DJ51" t="s">
        <v>212</v>
      </c>
      <c r="DK51" s="8">
        <f t="shared" ca="1" si="305"/>
        <v>0.57666666666666677</v>
      </c>
      <c r="DL51" s="8">
        <f t="shared" ca="1" si="306"/>
        <v>202.3599342107168</v>
      </c>
      <c r="DS51" s="236"/>
      <c r="DW51" t="s">
        <v>216</v>
      </c>
      <c r="DX51" t="s">
        <v>212</v>
      </c>
      <c r="DY51" s="8">
        <f t="shared" ca="1" si="307"/>
        <v>9.7916666666666957E-2</v>
      </c>
      <c r="DZ51" s="8">
        <f t="shared" ca="1" si="308"/>
        <v>261.88118421071681</v>
      </c>
      <c r="EG51" s="236"/>
      <c r="EK51" t="s">
        <v>216</v>
      </c>
      <c r="EL51" t="s">
        <v>212</v>
      </c>
      <c r="EM51" s="8">
        <f t="shared" ca="1" si="309"/>
        <v>0</v>
      </c>
      <c r="EN51" s="8">
        <f t="shared" ca="1" si="310"/>
        <v>321.78326754405015</v>
      </c>
      <c r="EU51" s="488">
        <f>'Monthly Data'!FO27</f>
        <v>693.10049218489485</v>
      </c>
      <c r="EV51" s="488">
        <f>'Monthly Data'!FP27</f>
        <v>596.98962794848114</v>
      </c>
      <c r="EW51" s="488">
        <f>'Monthly Data'!FQ27</f>
        <v>2558.6934140439075</v>
      </c>
      <c r="EX51" s="488">
        <f>'Monthly Data'!FR27</f>
        <v>70746.511647640902</v>
      </c>
      <c r="EY51" s="488">
        <f>'Monthly Data'!FS27</f>
        <v>1448195.4251183879</v>
      </c>
      <c r="EZ51" s="488">
        <f>'Monthly Data'!FT27</f>
        <v>6554791.6247590641</v>
      </c>
      <c r="FA51" s="488">
        <f>'Monthly Data'!FX27</f>
        <v>661.50035522745861</v>
      </c>
      <c r="FB51" s="488">
        <f>'Monthly Data'!FY27</f>
        <v>3203.6735274326461</v>
      </c>
      <c r="FC51" s="488">
        <f>'Monthly Data'!FZ27</f>
        <v>76991.941678543517</v>
      </c>
      <c r="FD51" s="488">
        <f>'Monthly Data'!GA27</f>
        <v>162703.217024032</v>
      </c>
    </row>
    <row r="52" spans="1:160">
      <c r="A52">
        <v>2018</v>
      </c>
      <c r="B52">
        <v>3</v>
      </c>
      <c r="C52" s="200">
        <v>629.27916666666681</v>
      </c>
      <c r="D52" s="200">
        <v>0</v>
      </c>
      <c r="E52" s="200">
        <v>567.2791666666667</v>
      </c>
      <c r="F52" s="200">
        <v>0</v>
      </c>
      <c r="G52" s="200">
        <v>505.2791666666667</v>
      </c>
      <c r="H52" s="200">
        <v>0</v>
      </c>
      <c r="I52" s="200">
        <v>443.2791666666667</v>
      </c>
      <c r="J52" s="200">
        <v>0</v>
      </c>
      <c r="K52" s="200">
        <v>381.27916666666664</v>
      </c>
      <c r="L52" s="200">
        <v>0</v>
      </c>
      <c r="M52" s="200">
        <v>319.2791666666667</v>
      </c>
      <c r="N52" s="200">
        <v>0</v>
      </c>
      <c r="O52" s="200">
        <v>257.2791666666667</v>
      </c>
      <c r="P52" s="200">
        <v>0</v>
      </c>
      <c r="Q52" s="257">
        <v>-0.29932795698924713</v>
      </c>
      <c r="S52" s="3">
        <f>'Monthly Data'!D28</f>
        <v>74007193.097547501</v>
      </c>
      <c r="T52" s="3">
        <f>'Monthly Data'!J28</f>
        <v>867100.11301278486</v>
      </c>
      <c r="U52" s="3">
        <f>'Monthly Data'!P28</f>
        <v>23149724.903787542</v>
      </c>
      <c r="V52" s="3">
        <f>'Monthly Data'!V28</f>
        <v>77848162.855511904</v>
      </c>
      <c r="W52" s="3">
        <f>'Monthly Data'!AB28</f>
        <v>7093164.9118747329</v>
      </c>
      <c r="X52" s="3">
        <f>'Monthly Data'!AG28</f>
        <v>22576628.292706475</v>
      </c>
      <c r="Y52" s="3">
        <f>'Monthly Data'!BC28</f>
        <v>25695491.716988713</v>
      </c>
      <c r="Z52" s="3">
        <f>'Monthly Data'!BI28</f>
        <v>7360051.9802755015</v>
      </c>
      <c r="AA52" s="3">
        <f>'Monthly Data'!BO28</f>
        <v>27734501.7544281</v>
      </c>
      <c r="AB52" s="3">
        <f>'Monthly Data'!BU28</f>
        <v>4710344.127290261</v>
      </c>
      <c r="BA52" s="236"/>
      <c r="BE52" t="s">
        <v>216</v>
      </c>
      <c r="BF52" t="s">
        <v>213</v>
      </c>
      <c r="BG52" s="8">
        <f t="shared" ca="1" si="297"/>
        <v>8.334479813664597</v>
      </c>
      <c r="BH52" s="8">
        <f t="shared" ca="1" si="298"/>
        <v>65.059566734276387</v>
      </c>
      <c r="BO52" s="236"/>
      <c r="BS52" t="s">
        <v>216</v>
      </c>
      <c r="BT52" t="s">
        <v>213</v>
      </c>
      <c r="BU52" s="8">
        <f t="shared" ca="1" si="299"/>
        <v>1.0845833333333317</v>
      </c>
      <c r="BV52" s="8">
        <f t="shared" ca="1" si="300"/>
        <v>119.80967025394514</v>
      </c>
      <c r="CC52" s="236"/>
      <c r="CG52" t="s">
        <v>216</v>
      </c>
      <c r="CH52" t="s">
        <v>213</v>
      </c>
      <c r="CI52" s="8">
        <f t="shared" ca="1" si="301"/>
        <v>7.4583333333333002E-2</v>
      </c>
      <c r="CJ52" s="8">
        <f t="shared" ca="1" si="302"/>
        <v>180.79967025394512</v>
      </c>
      <c r="CQ52" s="236"/>
      <c r="CU52" t="s">
        <v>216</v>
      </c>
      <c r="CV52" t="s">
        <v>213</v>
      </c>
      <c r="CW52" s="8">
        <f t="shared" ca="1" si="303"/>
        <v>0</v>
      </c>
      <c r="CX52" s="8">
        <f t="shared" ca="1" si="304"/>
        <v>242.72508692061183</v>
      </c>
      <c r="DE52" s="236"/>
      <c r="DI52" t="s">
        <v>216</v>
      </c>
      <c r="DJ52" t="s">
        <v>213</v>
      </c>
      <c r="DK52" s="8">
        <f t="shared" ca="1" si="305"/>
        <v>0</v>
      </c>
      <c r="DL52" s="8">
        <f t="shared" ca="1" si="306"/>
        <v>304.72508692061177</v>
      </c>
      <c r="DS52" s="236"/>
      <c r="DW52" t="s">
        <v>216</v>
      </c>
      <c r="DX52" t="s">
        <v>213</v>
      </c>
      <c r="DY52" s="8">
        <f t="shared" ca="1" si="307"/>
        <v>0</v>
      </c>
      <c r="DZ52" s="8">
        <f t="shared" ca="1" si="308"/>
        <v>366.72508692061183</v>
      </c>
      <c r="EG52" s="236"/>
      <c r="EK52" t="s">
        <v>216</v>
      </c>
      <c r="EL52" t="s">
        <v>213</v>
      </c>
      <c r="EM52" s="8">
        <f t="shared" ca="1" si="309"/>
        <v>0</v>
      </c>
      <c r="EN52" s="8">
        <f t="shared" ca="1" si="310"/>
        <v>428.72508692061183</v>
      </c>
      <c r="EU52" s="488">
        <f>'Monthly Data'!FO28</f>
        <v>708.52801527724512</v>
      </c>
      <c r="EV52" s="488">
        <f>'Monthly Data'!FP28</f>
        <v>576.16814754744098</v>
      </c>
      <c r="EW52" s="488">
        <f>'Monthly Data'!FQ28</f>
        <v>2656.6243700437467</v>
      </c>
      <c r="EX52" s="488">
        <f>'Monthly Data'!FR28</f>
        <v>75631.426189435937</v>
      </c>
      <c r="EY52" s="488">
        <f>'Monthly Data'!FS28</f>
        <v>1524282.5967027755</v>
      </c>
      <c r="EZ52" s="488">
        <f>'Monthly Data'!FT28</f>
        <v>7319096.5488958601</v>
      </c>
      <c r="FA52" s="488">
        <f>'Monthly Data'!FX28</f>
        <v>685.35834586780584</v>
      </c>
      <c r="FB52" s="488">
        <f>'Monthly Data'!FY28</f>
        <v>3358.5448332030896</v>
      </c>
      <c r="FC52" s="488">
        <f>'Monthly Data'!FZ28</f>
        <v>77496.713939424852</v>
      </c>
      <c r="FD52" s="488">
        <f>'Monthly Data'!GA28</f>
        <v>137876.15160597747</v>
      </c>
    </row>
    <row r="53" spans="1:160">
      <c r="A53">
        <v>2018</v>
      </c>
      <c r="B53">
        <v>4</v>
      </c>
      <c r="C53" s="200">
        <v>512.51666666666677</v>
      </c>
      <c r="D53" s="200">
        <v>0</v>
      </c>
      <c r="E53" s="200">
        <v>452.51666666666677</v>
      </c>
      <c r="F53" s="200">
        <v>0</v>
      </c>
      <c r="G53" s="200">
        <v>392.51666666666677</v>
      </c>
      <c r="H53" s="200">
        <v>0</v>
      </c>
      <c r="I53" s="200">
        <v>332.51666666666671</v>
      </c>
      <c r="J53" s="200">
        <v>0</v>
      </c>
      <c r="K53" s="200">
        <v>272.51666666666665</v>
      </c>
      <c r="L53" s="200">
        <v>0</v>
      </c>
      <c r="M53" s="200">
        <v>212.57916666666659</v>
      </c>
      <c r="N53" s="200">
        <v>6.2499999999998224E-2</v>
      </c>
      <c r="O53" s="200">
        <v>158.6666666666666</v>
      </c>
      <c r="P53" s="200">
        <v>6.15</v>
      </c>
      <c r="Q53" s="257">
        <v>2.9161111111111113</v>
      </c>
      <c r="S53" s="3">
        <f>'Monthly Data'!D29</f>
        <v>68167462.877580613</v>
      </c>
      <c r="T53" s="3">
        <f>'Monthly Data'!J29</f>
        <v>750415.51834573643</v>
      </c>
      <c r="U53" s="3">
        <f>'Monthly Data'!P29</f>
        <v>21213773.761419673</v>
      </c>
      <c r="V53" s="3">
        <f>'Monthly Data'!V29</f>
        <v>73929052.598252967</v>
      </c>
      <c r="W53" s="3">
        <f>'Monthly Data'!AB29</f>
        <v>6905581.1446642736</v>
      </c>
      <c r="X53" s="3">
        <f>'Monthly Data'!AG29</f>
        <v>21647895.128084224</v>
      </c>
      <c r="Y53" s="3">
        <f>'Monthly Data'!BC29</f>
        <v>24135629.067199349</v>
      </c>
      <c r="Z53" s="3">
        <f>'Monthly Data'!BI29</f>
        <v>6696666.3979433803</v>
      </c>
      <c r="AA53" s="3">
        <f>'Monthly Data'!BO29</f>
        <v>26606366.799159411</v>
      </c>
      <c r="AB53" s="3">
        <f>'Monthly Data'!BU29</f>
        <v>6205058.360655738</v>
      </c>
      <c r="BA53" s="236"/>
      <c r="BE53" t="s">
        <v>216</v>
      </c>
      <c r="BF53" t="s">
        <v>214</v>
      </c>
      <c r="BG53" s="8">
        <f t="shared" ca="1" si="297"/>
        <v>21.054927536231883</v>
      </c>
      <c r="BH53" s="8">
        <f t="shared" ca="1" si="298"/>
        <v>49.015098814229248</v>
      </c>
      <c r="BO53" s="236"/>
      <c r="BS53" t="s">
        <v>216</v>
      </c>
      <c r="BT53" t="s">
        <v>214</v>
      </c>
      <c r="BU53" s="8">
        <f t="shared" ca="1" si="299"/>
        <v>6.4245833333333335</v>
      </c>
      <c r="BV53" s="8">
        <f t="shared" ca="1" si="300"/>
        <v>96.38475461133072</v>
      </c>
      <c r="CC53" s="236"/>
      <c r="CG53" t="s">
        <v>216</v>
      </c>
      <c r="CH53" t="s">
        <v>214</v>
      </c>
      <c r="CI53" s="8">
        <f t="shared" ca="1" si="301"/>
        <v>1.1245833333333339</v>
      </c>
      <c r="CJ53" s="8">
        <f t="shared" ca="1" si="302"/>
        <v>153.08475461133071</v>
      </c>
      <c r="CQ53" s="236"/>
      <c r="CU53" t="s">
        <v>216</v>
      </c>
      <c r="CV53" t="s">
        <v>214</v>
      </c>
      <c r="CW53" s="8">
        <f t="shared" ca="1" si="303"/>
        <v>6.5416666666666859E-2</v>
      </c>
      <c r="CX53" s="8">
        <f t="shared" ca="1" si="304"/>
        <v>214.02558794466404</v>
      </c>
      <c r="DE53" s="236"/>
      <c r="DI53" t="s">
        <v>216</v>
      </c>
      <c r="DJ53" t="s">
        <v>214</v>
      </c>
      <c r="DK53" s="8">
        <f t="shared" ca="1" si="305"/>
        <v>0</v>
      </c>
      <c r="DL53" s="8">
        <f t="shared" ca="1" si="306"/>
        <v>275.96017127799735</v>
      </c>
      <c r="DS53" s="236"/>
      <c r="DW53" t="s">
        <v>216</v>
      </c>
      <c r="DX53" t="s">
        <v>214</v>
      </c>
      <c r="DY53" s="8">
        <f t="shared" ca="1" si="307"/>
        <v>0</v>
      </c>
      <c r="DZ53" s="8">
        <f t="shared" ca="1" si="308"/>
        <v>337.96017127799735</v>
      </c>
      <c r="EG53" s="236"/>
      <c r="EK53" t="s">
        <v>216</v>
      </c>
      <c r="EL53" t="s">
        <v>214</v>
      </c>
      <c r="EM53" s="8">
        <f t="shared" ca="1" si="309"/>
        <v>0</v>
      </c>
      <c r="EN53" s="8">
        <f t="shared" ca="1" si="310"/>
        <v>399.96017127799735</v>
      </c>
      <c r="EU53" s="488">
        <f>'Monthly Data'!FO29</f>
        <v>654.83946087975789</v>
      </c>
      <c r="EV53" s="488">
        <f>'Monthly Data'!FP29</f>
        <v>502.42729019566383</v>
      </c>
      <c r="EW53" s="488">
        <f>'Monthly Data'!FQ29</f>
        <v>2443.3114116706556</v>
      </c>
      <c r="EX53" s="488">
        <f>'Monthly Data'!FR29</f>
        <v>72280.100117727547</v>
      </c>
      <c r="EY53" s="488">
        <f>'Monthly Data'!FS29</f>
        <v>1512434.4983081701</v>
      </c>
      <c r="EZ53" s="488">
        <f>'Monthly Data'!FT29</f>
        <v>6869787.0651084771</v>
      </c>
      <c r="FA53" s="488">
        <f>'Monthly Data'!FX29</f>
        <v>646.57325198195292</v>
      </c>
      <c r="FB53" s="488">
        <f>'Monthly Data'!FY29</f>
        <v>3062.3330510871306</v>
      </c>
      <c r="FC53" s="488">
        <f>'Monthly Data'!FZ29</f>
        <v>74367.657350352616</v>
      </c>
      <c r="FD53" s="488">
        <f>'Monthly Data'!GA29</f>
        <v>116172.2553226379</v>
      </c>
    </row>
    <row r="54" spans="1:160">
      <c r="A54">
        <v>2018</v>
      </c>
      <c r="B54">
        <v>5</v>
      </c>
      <c r="C54" s="200">
        <v>140.84469696969697</v>
      </c>
      <c r="D54" s="200">
        <v>13.3827380952381</v>
      </c>
      <c r="E54" s="200">
        <v>95.407196969696969</v>
      </c>
      <c r="F54" s="200">
        <v>29.9452380952381</v>
      </c>
      <c r="G54" s="200">
        <v>53.462500000000013</v>
      </c>
      <c r="H54" s="200">
        <v>50.000541125541133</v>
      </c>
      <c r="I54" s="200">
        <v>22.062500000000014</v>
      </c>
      <c r="J54" s="200">
        <v>80.600541125541127</v>
      </c>
      <c r="K54" s="200">
        <v>6.9291666666666698</v>
      </c>
      <c r="L54" s="200">
        <v>127.46720779220779</v>
      </c>
      <c r="M54" s="200">
        <v>2.7874999999999988</v>
      </c>
      <c r="N54" s="200">
        <v>185.32554112554109</v>
      </c>
      <c r="O54" s="200">
        <v>0.50416666666666554</v>
      </c>
      <c r="P54" s="200">
        <v>245.04220779220779</v>
      </c>
      <c r="Q54" s="257">
        <v>15.888323907275522</v>
      </c>
      <c r="S54" s="3">
        <f>'Monthly Data'!D30</f>
        <v>62617818.816704452</v>
      </c>
      <c r="T54" s="3">
        <f>'Monthly Data'!J30</f>
        <v>613334.78465941607</v>
      </c>
      <c r="U54" s="3">
        <f>'Monthly Data'!P30</f>
        <v>20364446.795248903</v>
      </c>
      <c r="V54" s="3">
        <f>'Monthly Data'!V30</f>
        <v>75260784.335170552</v>
      </c>
      <c r="W54" s="3">
        <f>'Monthly Data'!AB30</f>
        <v>6752852.1925257407</v>
      </c>
      <c r="X54" s="3">
        <f>'Monthly Data'!AG30</f>
        <v>21165905.862023152</v>
      </c>
      <c r="Y54" s="3">
        <f>'Monthly Data'!BC30</f>
        <v>25133747.708580349</v>
      </c>
      <c r="Z54" s="3">
        <f>'Monthly Data'!BI30</f>
        <v>6593580.7971781138</v>
      </c>
      <c r="AA54" s="3">
        <f>'Monthly Data'!BO30</f>
        <v>26507399.233863704</v>
      </c>
      <c r="AB54" s="3">
        <f>'Monthly Data'!BU30</f>
        <v>5714625.2362584388</v>
      </c>
      <c r="BE54" t="s">
        <v>216</v>
      </c>
      <c r="BF54" t="s">
        <v>221</v>
      </c>
      <c r="BG54" s="8">
        <f t="shared" ca="1" si="297"/>
        <v>97.667119565217376</v>
      </c>
      <c r="BH54" s="8">
        <f t="shared" ca="1" si="298"/>
        <v>9.9883333333333333</v>
      </c>
      <c r="BS54" t="s">
        <v>216</v>
      </c>
      <c r="BT54" t="s">
        <v>221</v>
      </c>
      <c r="BU54" s="8">
        <f t="shared" ca="1" si="299"/>
        <v>54.412952898550728</v>
      </c>
      <c r="BV54" s="8">
        <f t="shared" ca="1" si="300"/>
        <v>26.734166666666663</v>
      </c>
      <c r="CG54" t="s">
        <v>216</v>
      </c>
      <c r="CH54" t="s">
        <v>221</v>
      </c>
      <c r="CI54" s="8">
        <f t="shared" ca="1" si="301"/>
        <v>25.797536231884056</v>
      </c>
      <c r="CJ54" s="8">
        <f t="shared" ca="1" si="302"/>
        <v>58.118749999999991</v>
      </c>
      <c r="CU54" t="s">
        <v>216</v>
      </c>
      <c r="CV54" t="s">
        <v>221</v>
      </c>
      <c r="CW54" s="8">
        <f t="shared" ca="1" si="303"/>
        <v>10.085869565217392</v>
      </c>
      <c r="CX54" s="8">
        <f t="shared" ca="1" si="304"/>
        <v>102.40708333333332</v>
      </c>
      <c r="DI54" t="s">
        <v>216</v>
      </c>
      <c r="DJ54" t="s">
        <v>221</v>
      </c>
      <c r="DK54" s="8">
        <f t="shared" ca="1" si="305"/>
        <v>2.6637499999999994</v>
      </c>
      <c r="DL54" s="8">
        <f t="shared" ca="1" si="306"/>
        <v>154.9849637681159</v>
      </c>
      <c r="DW54" t="s">
        <v>216</v>
      </c>
      <c r="DX54" t="s">
        <v>221</v>
      </c>
      <c r="DY54" s="8">
        <f t="shared" ca="1" si="307"/>
        <v>0.57166666666666666</v>
      </c>
      <c r="DZ54" s="8">
        <f t="shared" ca="1" si="308"/>
        <v>212.8928804347826</v>
      </c>
      <c r="EK54" t="s">
        <v>216</v>
      </c>
      <c r="EL54" t="s">
        <v>221</v>
      </c>
      <c r="EM54" s="8">
        <f t="shared" ca="1" si="309"/>
        <v>0</v>
      </c>
      <c r="EN54" s="8">
        <f t="shared" ca="1" si="310"/>
        <v>272.32121376811591</v>
      </c>
      <c r="EU54" s="488">
        <f>'Monthly Data'!FO30</f>
        <v>603.91237733692833</v>
      </c>
      <c r="EV54" s="488">
        <f>'Monthly Data'!FP30</f>
        <v>415.68926345486204</v>
      </c>
      <c r="EW54" s="488">
        <f>'Monthly Data'!FQ30</f>
        <v>2350.0947203399237</v>
      </c>
      <c r="EX54" s="488">
        <f>'Monthly Data'!FR30</f>
        <v>73834.811316478605</v>
      </c>
      <c r="EY54" s="488">
        <f>'Monthly Data'!FS30</f>
        <v>1507760.2468967272</v>
      </c>
      <c r="EZ54" s="488">
        <f>'Monthly Data'!FT30</f>
        <v>6573149.4288896043</v>
      </c>
      <c r="FA54" s="488">
        <f>'Monthly Data'!FX30</f>
        <v>671.72083939569666</v>
      </c>
      <c r="FB54" s="488">
        <f>'Monthly Data'!FY30</f>
        <v>3016.0870603221501</v>
      </c>
      <c r="FC54" s="488">
        <f>'Monthly Data'!FZ30</f>
        <v>74019.665925655863</v>
      </c>
      <c r="FD54" s="488">
        <f>'Monthly Data'!GA30</f>
        <v>101236.33520909333</v>
      </c>
    </row>
    <row r="55" spans="1:160">
      <c r="A55">
        <v>2018</v>
      </c>
      <c r="B55">
        <v>6</v>
      </c>
      <c r="C55" s="200">
        <v>63.468560606060585</v>
      </c>
      <c r="D55" s="200">
        <v>21.662499999999998</v>
      </c>
      <c r="E55" s="200">
        <v>23.060227272727261</v>
      </c>
      <c r="F55" s="200">
        <v>41.254166666666663</v>
      </c>
      <c r="G55" s="200">
        <v>7.645833333333325</v>
      </c>
      <c r="H55" s="200">
        <v>85.839772727272717</v>
      </c>
      <c r="I55" s="200">
        <v>3.3208333333333275</v>
      </c>
      <c r="J55" s="200">
        <v>141.51477272727271</v>
      </c>
      <c r="K55" s="200">
        <v>0</v>
      </c>
      <c r="L55" s="200">
        <v>198.19393939393944</v>
      </c>
      <c r="M55" s="200">
        <v>0</v>
      </c>
      <c r="N55" s="200">
        <v>258.19393939393944</v>
      </c>
      <c r="O55" s="200">
        <v>0</v>
      </c>
      <c r="P55" s="200">
        <v>318.19393939393939</v>
      </c>
      <c r="Q55" s="257">
        <v>18.606464646464644</v>
      </c>
      <c r="S55" s="3">
        <f>'Monthly Data'!D31</f>
        <v>71839856.426635936</v>
      </c>
      <c r="T55" s="3">
        <f>'Monthly Data'!J31</f>
        <v>646738.79149971472</v>
      </c>
      <c r="U55" s="3">
        <f>'Monthly Data'!P31</f>
        <v>20807660.659444761</v>
      </c>
      <c r="V55" s="3">
        <f>'Monthly Data'!V31</f>
        <v>76315520.509241268</v>
      </c>
      <c r="W55" s="3">
        <f>'Monthly Data'!AB31</f>
        <v>6859058.7662462853</v>
      </c>
      <c r="X55" s="3">
        <f>'Monthly Data'!AG31</f>
        <v>18586639.879997209</v>
      </c>
      <c r="Y55" s="3">
        <f>'Monthly Data'!BC31</f>
        <v>30153452.757604837</v>
      </c>
      <c r="Z55" s="3">
        <f>'Monthly Data'!BI31</f>
        <v>6805710.3719915822</v>
      </c>
      <c r="AA55" s="3">
        <f>'Monthly Data'!BO31</f>
        <v>27090917.965776045</v>
      </c>
      <c r="AB55" s="3">
        <f>'Monthly Data'!BU31</f>
        <v>5987468.7367405985</v>
      </c>
      <c r="BE55" t="s">
        <v>216</v>
      </c>
      <c r="BF55" t="s">
        <v>222</v>
      </c>
      <c r="BG55" s="8">
        <f t="shared" ca="1" si="297"/>
        <v>292.46431159420291</v>
      </c>
      <c r="BH55" s="8">
        <f t="shared" ca="1" si="298"/>
        <v>1.666666666666572E-3</v>
      </c>
      <c r="BS55" t="s">
        <v>216</v>
      </c>
      <c r="BT55" t="s">
        <v>222</v>
      </c>
      <c r="BU55" s="8">
        <f t="shared" ca="1" si="299"/>
        <v>232.21431159420285</v>
      </c>
      <c r="BV55" s="8">
        <f t="shared" ca="1" si="300"/>
        <v>1.751666666666668</v>
      </c>
      <c r="CG55" t="s">
        <v>216</v>
      </c>
      <c r="CH55" t="s">
        <v>222</v>
      </c>
      <c r="CI55" s="8">
        <f t="shared" ca="1" si="301"/>
        <v>176.44514492753621</v>
      </c>
      <c r="CJ55" s="8">
        <f t="shared" ca="1" si="302"/>
        <v>7.9825000000000035</v>
      </c>
      <c r="CU55" t="s">
        <v>216</v>
      </c>
      <c r="CV55" t="s">
        <v>222</v>
      </c>
      <c r="CW55" s="8">
        <f t="shared" ca="1" si="303"/>
        <v>126.20389492753625</v>
      </c>
      <c r="CX55" s="8">
        <f t="shared" ca="1" si="304"/>
        <v>19.741250000000004</v>
      </c>
      <c r="DI55" t="s">
        <v>216</v>
      </c>
      <c r="DJ55" t="s">
        <v>222</v>
      </c>
      <c r="DK55" s="8">
        <f t="shared" ca="1" si="305"/>
        <v>82.810561594202895</v>
      </c>
      <c r="DL55" s="8">
        <f t="shared" ca="1" si="306"/>
        <v>38.347916666666663</v>
      </c>
      <c r="DW55" t="s">
        <v>216</v>
      </c>
      <c r="DX55" t="s">
        <v>222</v>
      </c>
      <c r="DY55" s="8">
        <f t="shared" ca="1" si="307"/>
        <v>48.730978260869563</v>
      </c>
      <c r="DZ55" s="8">
        <f t="shared" ca="1" si="308"/>
        <v>66.268333333333345</v>
      </c>
      <c r="EK55" t="s">
        <v>216</v>
      </c>
      <c r="EL55" t="s">
        <v>222</v>
      </c>
      <c r="EM55" s="8">
        <f t="shared" ca="1" si="309"/>
        <v>23.113061594202897</v>
      </c>
      <c r="EN55" s="8">
        <f t="shared" ca="1" si="310"/>
        <v>102.65041666666666</v>
      </c>
      <c r="EU55" s="488">
        <f>'Monthly Data'!FO31</f>
        <v>688.09322873997928</v>
      </c>
      <c r="EV55" s="488">
        <f>'Monthly Data'!FP31</f>
        <v>437.45271847792964</v>
      </c>
      <c r="EW55" s="488">
        <f>'Monthly Data'!FQ31</f>
        <v>2399.3114565336637</v>
      </c>
      <c r="EX55" s="488">
        <f>'Monthly Data'!FR31</f>
        <v>75138.945693708389</v>
      </c>
      <c r="EY55" s="488">
        <f>'Monthly Data'!FS31</f>
        <v>1560454.1030313217</v>
      </c>
      <c r="EZ55" s="488">
        <f>'Monthly Data'!FT31</f>
        <v>5691415.4755483326</v>
      </c>
      <c r="FA55" s="488">
        <f>'Monthly Data'!FX31</f>
        <v>797.16495994429602</v>
      </c>
      <c r="FB55" s="488">
        <f>'Monthly Data'!FY31</f>
        <v>3110.2411132885923</v>
      </c>
      <c r="FC55" s="488">
        <f>'Monthly Data'!FZ31</f>
        <v>75505.253787791575</v>
      </c>
      <c r="FD55" s="488">
        <f>'Monthly Data'!GA31</f>
        <v>87542.399081691168</v>
      </c>
    </row>
    <row r="56" spans="1:160">
      <c r="A56">
        <v>2018</v>
      </c>
      <c r="B56">
        <v>7</v>
      </c>
      <c r="C56" s="200">
        <v>4.9668995859213254</v>
      </c>
      <c r="D56" s="200">
        <v>75.365513833992097</v>
      </c>
      <c r="E56" s="200">
        <v>0.19999999999999574</v>
      </c>
      <c r="F56" s="200">
        <v>132.59861424807079</v>
      </c>
      <c r="G56" s="200">
        <v>0</v>
      </c>
      <c r="H56" s="200">
        <v>194.39861424807077</v>
      </c>
      <c r="I56" s="200">
        <v>0</v>
      </c>
      <c r="J56" s="200">
        <v>256.39861424807077</v>
      </c>
      <c r="K56" s="200">
        <v>0</v>
      </c>
      <c r="L56" s="200">
        <v>318.39861424807077</v>
      </c>
      <c r="M56" s="200">
        <v>0</v>
      </c>
      <c r="N56" s="200">
        <v>380.39861424807083</v>
      </c>
      <c r="O56" s="200">
        <v>0</v>
      </c>
      <c r="P56" s="200">
        <v>442.39861424807088</v>
      </c>
      <c r="Q56" s="257">
        <v>22.270923040260342</v>
      </c>
      <c r="S56" s="3">
        <f>'Monthly Data'!D32</f>
        <v>100738340.34786299</v>
      </c>
      <c r="T56" s="3">
        <f>'Monthly Data'!J32</f>
        <v>961128.55411181075</v>
      </c>
      <c r="U56" s="3">
        <f>'Monthly Data'!P32</f>
        <v>24142415.593045317</v>
      </c>
      <c r="V56" s="3">
        <f>'Monthly Data'!V32</f>
        <v>81703900.080108598</v>
      </c>
      <c r="W56" s="3">
        <f>'Monthly Data'!AB32</f>
        <v>6085122.4111998128</v>
      </c>
      <c r="X56" s="3">
        <f>'Monthly Data'!AG32</f>
        <v>19522591.565550342</v>
      </c>
      <c r="Y56" s="3">
        <f>'Monthly Data'!BC32</f>
        <v>41659739.647656202</v>
      </c>
      <c r="Z56" s="3">
        <f>'Monthly Data'!BI32</f>
        <v>7810699.477855375</v>
      </c>
      <c r="AA56" s="3">
        <f>'Monthly Data'!BO32</f>
        <v>28570245.456619631</v>
      </c>
      <c r="AB56" s="3">
        <f>'Monthly Data'!BU32</f>
        <v>6154325.1108968183</v>
      </c>
      <c r="BE56" t="s">
        <v>216</v>
      </c>
      <c r="BF56" t="s">
        <v>223</v>
      </c>
      <c r="BG56" s="8">
        <f t="shared" ca="1" si="297"/>
        <v>495.51408055712409</v>
      </c>
      <c r="BH56" s="8">
        <f t="shared" ca="1" si="298"/>
        <v>0</v>
      </c>
      <c r="BS56" t="s">
        <v>216</v>
      </c>
      <c r="BT56" t="s">
        <v>223</v>
      </c>
      <c r="BU56" s="8">
        <f t="shared" ca="1" si="299"/>
        <v>435.51408055712398</v>
      </c>
      <c r="BV56" s="8">
        <f t="shared" ca="1" si="300"/>
        <v>0</v>
      </c>
      <c r="CG56" t="s">
        <v>216</v>
      </c>
      <c r="CH56" t="s">
        <v>223</v>
      </c>
      <c r="CI56" s="8">
        <f t="shared" ca="1" si="301"/>
        <v>375.6644972237907</v>
      </c>
      <c r="CJ56" s="8">
        <f t="shared" ca="1" si="302"/>
        <v>0.15041666666666628</v>
      </c>
      <c r="CU56" t="s">
        <v>216</v>
      </c>
      <c r="CV56" t="s">
        <v>223</v>
      </c>
      <c r="CW56" s="8">
        <f t="shared" ca="1" si="303"/>
        <v>316.29533055712409</v>
      </c>
      <c r="CX56" s="8">
        <f t="shared" ca="1" si="304"/>
        <v>0.78124999999999944</v>
      </c>
      <c r="DI56" t="s">
        <v>216</v>
      </c>
      <c r="DJ56" t="s">
        <v>223</v>
      </c>
      <c r="DK56" s="8">
        <f t="shared" ca="1" si="305"/>
        <v>257.43824722379065</v>
      </c>
      <c r="DL56" s="8">
        <f t="shared" ca="1" si="306"/>
        <v>1.9241666666666659</v>
      </c>
      <c r="DW56" t="s">
        <v>216</v>
      </c>
      <c r="DX56" t="s">
        <v>223</v>
      </c>
      <c r="DY56" s="8">
        <f t="shared" ca="1" si="307"/>
        <v>199.96241389045736</v>
      </c>
      <c r="DZ56" s="8">
        <f t="shared" ca="1" si="308"/>
        <v>4.4483333333333324</v>
      </c>
      <c r="EK56" t="s">
        <v>216</v>
      </c>
      <c r="EL56" t="s">
        <v>223</v>
      </c>
      <c r="EM56" s="8">
        <f t="shared" ca="1" si="309"/>
        <v>146.08783055712405</v>
      </c>
      <c r="EN56" s="8">
        <f t="shared" ca="1" si="310"/>
        <v>10.57375</v>
      </c>
      <c r="EU56" s="488">
        <f>'Monthly Data'!FO32</f>
        <v>951.75913330317519</v>
      </c>
      <c r="EV56" s="488">
        <f>'Monthly Data'!FP32</f>
        <v>638.09766544166894</v>
      </c>
      <c r="EW56" s="488">
        <f>'Monthly Data'!FQ32</f>
        <v>2766.4090442196371</v>
      </c>
      <c r="EX56" s="488">
        <f>'Monthly Data'!FR32</f>
        <v>80545.840899882169</v>
      </c>
      <c r="EY56" s="488">
        <f>'Monthly Data'!FS32</f>
        <v>1415858.7623180859</v>
      </c>
      <c r="EZ56" s="488">
        <f>'Monthly Data'!FT32</f>
        <v>5831683.3807566306</v>
      </c>
      <c r="FA56" s="488">
        <f>'Monthly Data'!FX32</f>
        <v>1084.118370504453</v>
      </c>
      <c r="FB56" s="488">
        <f>'Monthly Data'!FY32</f>
        <v>3557.0835911626641</v>
      </c>
      <c r="FC56" s="488">
        <f>'Monthly Data'!FZ32</f>
        <v>79384.89490414843</v>
      </c>
      <c r="FD56" s="488">
        <f>'Monthly Data'!GA32</f>
        <v>89929.919709695881</v>
      </c>
    </row>
    <row r="57" spans="1:160">
      <c r="A57">
        <v>2018</v>
      </c>
      <c r="B57">
        <v>8</v>
      </c>
      <c r="C57" s="200">
        <v>7.2291666666666679</v>
      </c>
      <c r="D57" s="200">
        <v>73.474999999999994</v>
      </c>
      <c r="E57" s="200">
        <v>0.90833333333333144</v>
      </c>
      <c r="F57" s="200">
        <v>129.1541666666667</v>
      </c>
      <c r="G57" s="200">
        <v>0</v>
      </c>
      <c r="H57" s="200">
        <v>190.24583333333339</v>
      </c>
      <c r="I57" s="200">
        <v>0</v>
      </c>
      <c r="J57" s="200">
        <v>252.24583333333339</v>
      </c>
      <c r="K57" s="200">
        <v>0</v>
      </c>
      <c r="L57" s="200">
        <v>314.24583333333334</v>
      </c>
      <c r="M57" s="200">
        <v>0</v>
      </c>
      <c r="N57" s="200">
        <v>376.24583333333334</v>
      </c>
      <c r="O57" s="200">
        <v>0</v>
      </c>
      <c r="P57" s="200">
        <v>438.24583333333322</v>
      </c>
      <c r="Q57" s="257">
        <v>22.136962365591401</v>
      </c>
      <c r="S57" s="3">
        <f>'Monthly Data'!D33</f>
        <v>98184402.805218473</v>
      </c>
      <c r="T57" s="3">
        <f>'Monthly Data'!J33</f>
        <v>969442.12606372824</v>
      </c>
      <c r="U57" s="3">
        <f>'Monthly Data'!P33</f>
        <v>24007737.816828944</v>
      </c>
      <c r="V57" s="3">
        <f>'Monthly Data'!V33</f>
        <v>83624825.636671513</v>
      </c>
      <c r="W57" s="3">
        <f>'Monthly Data'!AB33</f>
        <v>6269747.8016892262</v>
      </c>
      <c r="X57" s="3">
        <f>'Monthly Data'!AG33</f>
        <v>20458438.489649903</v>
      </c>
      <c r="Y57" s="3">
        <f>'Monthly Data'!BC33</f>
        <v>40703067.229988225</v>
      </c>
      <c r="Z57" s="3">
        <f>'Monthly Data'!BI33</f>
        <v>7890814.6008896204</v>
      </c>
      <c r="AA57" s="3">
        <f>'Monthly Data'!BO33</f>
        <v>29842141.348543979</v>
      </c>
      <c r="AB57" s="3">
        <f>'Monthly Data'!BU33</f>
        <v>6120759.9614271941</v>
      </c>
      <c r="BE57" t="s">
        <v>216</v>
      </c>
      <c r="BF57" t="s">
        <v>224</v>
      </c>
      <c r="BG57" s="8">
        <f t="shared" ca="1" si="297"/>
        <v>664.38541666666663</v>
      </c>
      <c r="BH57" s="8">
        <f t="shared" ca="1" si="298"/>
        <v>0</v>
      </c>
      <c r="BS57" t="s">
        <v>216</v>
      </c>
      <c r="BT57" t="s">
        <v>224</v>
      </c>
      <c r="BU57" s="8">
        <f t="shared" ca="1" si="299"/>
        <v>602.38541666666674</v>
      </c>
      <c r="BV57" s="8">
        <f t="shared" ca="1" si="300"/>
        <v>0</v>
      </c>
      <c r="CG57" t="s">
        <v>216</v>
      </c>
      <c r="CH57" t="s">
        <v>224</v>
      </c>
      <c r="CI57" s="8">
        <f t="shared" ca="1" si="301"/>
        <v>540.38541666666674</v>
      </c>
      <c r="CJ57" s="8">
        <f t="shared" ca="1" si="302"/>
        <v>0</v>
      </c>
      <c r="CU57" t="s">
        <v>216</v>
      </c>
      <c r="CV57" t="s">
        <v>224</v>
      </c>
      <c r="CW57" s="8">
        <f t="shared" ca="1" si="303"/>
        <v>478.38541666666663</v>
      </c>
      <c r="CX57" s="8">
        <f t="shared" ca="1" si="304"/>
        <v>0</v>
      </c>
      <c r="DI57" t="s">
        <v>216</v>
      </c>
      <c r="DJ57" t="s">
        <v>224</v>
      </c>
      <c r="DK57" s="8">
        <f t="shared" ca="1" si="305"/>
        <v>416.38541666666663</v>
      </c>
      <c r="DL57" s="8">
        <f t="shared" ca="1" si="306"/>
        <v>0</v>
      </c>
      <c r="DW57" t="s">
        <v>216</v>
      </c>
      <c r="DX57" t="s">
        <v>224</v>
      </c>
      <c r="DY57" s="8">
        <f t="shared" ca="1" si="307"/>
        <v>354.42666666666662</v>
      </c>
      <c r="DZ57" s="8">
        <f t="shared" ca="1" si="308"/>
        <v>4.1249999999999967E-2</v>
      </c>
      <c r="EK57" t="s">
        <v>216</v>
      </c>
      <c r="EL57" t="s">
        <v>224</v>
      </c>
      <c r="EM57" s="8">
        <f t="shared" ca="1" si="309"/>
        <v>292.69541666666663</v>
      </c>
      <c r="EN57" s="8">
        <f t="shared" ca="1" si="310"/>
        <v>0.31000000000000016</v>
      </c>
      <c r="EU57" s="488">
        <f>'Monthly Data'!FO33</f>
        <v>928.01269956829844</v>
      </c>
      <c r="EV57" s="488">
        <f>'Monthly Data'!FP33</f>
        <v>643.91495386687427</v>
      </c>
      <c r="EW57" s="488">
        <f>'Monthly Data'!FQ33</f>
        <v>2751.6685941102082</v>
      </c>
      <c r="EX57" s="488">
        <f>'Monthly Data'!FR33</f>
        <v>82701.924970642489</v>
      </c>
      <c r="EY57" s="488">
        <f>'Monthly Data'!FS33</f>
        <v>1486908.619008776</v>
      </c>
      <c r="EZ57" s="488">
        <f>'Monthly Data'!FT33</f>
        <v>5965546.9007863048</v>
      </c>
      <c r="FA57" s="488">
        <f>'Monthly Data'!FX33</f>
        <v>1060.1655085454295</v>
      </c>
      <c r="FB57" s="488">
        <f>'Monthly Data'!FY33</f>
        <v>3592.0973278105821</v>
      </c>
      <c r="FC57" s="488">
        <f>'Monthly Data'!FZ33</f>
        <v>82694.346018917655</v>
      </c>
      <c r="FD57" s="488">
        <f>'Monthly Data'!GA33</f>
        <v>99294.239047254581</v>
      </c>
    </row>
    <row r="58" spans="1:160">
      <c r="A58">
        <v>2018</v>
      </c>
      <c r="B58">
        <v>9</v>
      </c>
      <c r="C58" s="200">
        <v>92.370833333333337</v>
      </c>
      <c r="D58" s="200">
        <v>33.737500000000011</v>
      </c>
      <c r="E58" s="200">
        <v>59.1875</v>
      </c>
      <c r="F58" s="200">
        <v>60.55416666666666</v>
      </c>
      <c r="G58" s="200">
        <v>33.279166666666669</v>
      </c>
      <c r="H58" s="200">
        <v>94.645833333333329</v>
      </c>
      <c r="I58" s="200">
        <v>13.695833333333338</v>
      </c>
      <c r="J58" s="200">
        <v>135.06250000000003</v>
      </c>
      <c r="K58" s="200">
        <v>2.1166666666666636</v>
      </c>
      <c r="L58" s="200">
        <v>183.48333333333329</v>
      </c>
      <c r="M58" s="200">
        <v>0</v>
      </c>
      <c r="N58" s="200">
        <v>241.36666666666665</v>
      </c>
      <c r="O58" s="200">
        <v>0</v>
      </c>
      <c r="P58" s="200">
        <v>301.3666666666665</v>
      </c>
      <c r="Q58" s="257">
        <v>18.045555555555556</v>
      </c>
      <c r="S58" s="3">
        <f>'Monthly Data'!D34</f>
        <v>77321092.571608752</v>
      </c>
      <c r="T58" s="3">
        <f>'Monthly Data'!J34</f>
        <v>683917.70233734022</v>
      </c>
      <c r="U58" s="3">
        <f>'Monthly Data'!P34</f>
        <v>20753628.792348787</v>
      </c>
      <c r="V58" s="3">
        <f>'Monthly Data'!V34</f>
        <v>77538035.593163431</v>
      </c>
      <c r="W58" s="3">
        <f>'Monthly Data'!AB34</f>
        <v>5786428.0438890802</v>
      </c>
      <c r="X58" s="3">
        <f>'Monthly Data'!AG34</f>
        <v>19785223.435566645</v>
      </c>
      <c r="Y58" s="3">
        <f>'Monthly Data'!BC34</f>
        <v>31942199.854438491</v>
      </c>
      <c r="Z58" s="3">
        <f>'Monthly Data'!BI34</f>
        <v>6859369.0010044193</v>
      </c>
      <c r="AA58" s="3">
        <f>'Monthly Data'!BO34</f>
        <v>29454586.456919841</v>
      </c>
      <c r="AB58" s="3">
        <f>'Monthly Data'!BU34</f>
        <v>6215289.3635486988</v>
      </c>
      <c r="EU58" s="488">
        <f>'Monthly Data'!FO34</f>
        <v>737.47577508019015</v>
      </c>
      <c r="EV58" s="488">
        <f>'Monthly Data'!FP34</f>
        <v>462.63510343046619</v>
      </c>
      <c r="EW58" s="488">
        <f>'Monthly Data'!FQ34</f>
        <v>2394.5458788777619</v>
      </c>
      <c r="EX58" s="488">
        <f>'Monthly Data'!FR34</f>
        <v>77256.84593006123</v>
      </c>
      <c r="EY58" s="488">
        <f>'Monthly Data'!FS34</f>
        <v>1403581.180285872</v>
      </c>
      <c r="EZ58" s="488">
        <f>'Monthly Data'!FT34</f>
        <v>5664377.7368547963</v>
      </c>
      <c r="FA58" s="488">
        <f>'Monthly Data'!FX34</f>
        <v>842.00284834604895</v>
      </c>
      <c r="FB58" s="488">
        <f>'Monthly Data'!FY34</f>
        <v>3133.0425787323493</v>
      </c>
      <c r="FC58" s="488">
        <f>'Monthly Data'!FZ34</f>
        <v>81562.396305879971</v>
      </c>
      <c r="FD58" s="488">
        <f>'Monthly Data'!GA34</f>
        <v>104114.39901212232</v>
      </c>
    </row>
    <row r="59" spans="1:160">
      <c r="A59">
        <v>2018</v>
      </c>
      <c r="B59">
        <v>10</v>
      </c>
      <c r="C59" s="200">
        <v>364.80833333333339</v>
      </c>
      <c r="D59" s="200">
        <v>1.6666666666665719E-2</v>
      </c>
      <c r="E59" s="200">
        <v>305.10000000000002</v>
      </c>
      <c r="F59" s="200">
        <v>2.30833333333333</v>
      </c>
      <c r="G59" s="200">
        <v>248.88749999999993</v>
      </c>
      <c r="H59" s="200">
        <v>8.0958333333333314</v>
      </c>
      <c r="I59" s="200">
        <v>194.17916666666662</v>
      </c>
      <c r="J59" s="200">
        <v>15.387500000000001</v>
      </c>
      <c r="K59" s="200">
        <v>142.14999999999998</v>
      </c>
      <c r="L59" s="200">
        <v>25.358333333333334</v>
      </c>
      <c r="M59" s="200">
        <v>96.316666666666663</v>
      </c>
      <c r="N59" s="200">
        <v>41.524999999999999</v>
      </c>
      <c r="O59" s="200">
        <v>55.56666666666667</v>
      </c>
      <c r="P59" s="200">
        <v>62.774999999999991</v>
      </c>
      <c r="Q59" s="257">
        <v>8.2325268817204318</v>
      </c>
      <c r="S59" s="3">
        <f>'Monthly Data'!D35</f>
        <v>65214276.319920994</v>
      </c>
      <c r="T59" s="3">
        <f>'Monthly Data'!J35</f>
        <v>817269.26046556002</v>
      </c>
      <c r="U59" s="3">
        <f>'Monthly Data'!P35</f>
        <v>20054893.161419574</v>
      </c>
      <c r="V59" s="3">
        <f>'Monthly Data'!V35</f>
        <v>75743049.096499681</v>
      </c>
      <c r="W59" s="3">
        <f>'Monthly Data'!AB35</f>
        <v>6514983.3005515039</v>
      </c>
      <c r="X59" s="3">
        <f>'Monthly Data'!AG35</f>
        <v>22255781.009230189</v>
      </c>
      <c r="Y59" s="3">
        <f>'Monthly Data'!BC35</f>
        <v>24406132.598163284</v>
      </c>
      <c r="Z59" s="3">
        <f>'Monthly Data'!BI35</f>
        <v>6516201.3182705082</v>
      </c>
      <c r="AA59" s="3">
        <f>'Monthly Data'!BO35</f>
        <v>27103451.273491442</v>
      </c>
      <c r="AB59" s="3">
        <f>'Monthly Data'!BU35</f>
        <v>6039879.7396335592</v>
      </c>
      <c r="BG59" s="789">
        <v>8</v>
      </c>
      <c r="BH59" s="789"/>
      <c r="BI59" s="789">
        <v>10</v>
      </c>
      <c r="BJ59" s="789"/>
      <c r="BK59" s="789">
        <v>12</v>
      </c>
      <c r="BL59" s="789"/>
      <c r="BM59" s="789">
        <v>14</v>
      </c>
      <c r="BN59" s="789"/>
      <c r="BO59" s="789">
        <v>16</v>
      </c>
      <c r="BP59" s="789"/>
      <c r="BQ59" s="789">
        <v>18</v>
      </c>
      <c r="BR59" s="789"/>
      <c r="BS59" s="789">
        <v>20</v>
      </c>
      <c r="BT59" s="789"/>
      <c r="EU59" s="488">
        <f>'Monthly Data'!FO35</f>
        <v>627.02971354880447</v>
      </c>
      <c r="EV59" s="488">
        <f>'Monthly Data'!FP35</f>
        <v>548.06012790668547</v>
      </c>
      <c r="EW59" s="488">
        <f>'Monthly Data'!FQ35</f>
        <v>2318.3099233483667</v>
      </c>
      <c r="EX59" s="488">
        <f>'Monthly Data'!FR35</f>
        <v>75870.629478755029</v>
      </c>
      <c r="EY59" s="488">
        <f>'Monthly Data'!FS35</f>
        <v>1607770.6474850678</v>
      </c>
      <c r="EZ59" s="488">
        <f>'Monthly Data'!FT35</f>
        <v>6196417.4829412149</v>
      </c>
      <c r="FA59" s="488">
        <f>'Monthly Data'!FX35</f>
        <v>654.64698131493117</v>
      </c>
      <c r="FB59" s="488">
        <f>'Monthly Data'!FY35</f>
        <v>2980.25170135185</v>
      </c>
      <c r="FC59" s="488">
        <f>'Monthly Data'!FZ35</f>
        <v>75205.726573575434</v>
      </c>
      <c r="FD59" s="488">
        <f>'Monthly Data'!GA35</f>
        <v>113653.87861668479</v>
      </c>
    </row>
    <row r="60" spans="1:160">
      <c r="A60">
        <v>2018</v>
      </c>
      <c r="B60">
        <v>11</v>
      </c>
      <c r="C60" s="200">
        <v>563.52499999999998</v>
      </c>
      <c r="D60" s="200">
        <v>0</v>
      </c>
      <c r="E60" s="200">
        <v>503.52500000000003</v>
      </c>
      <c r="F60" s="200">
        <v>0</v>
      </c>
      <c r="G60" s="200">
        <v>443.52500000000003</v>
      </c>
      <c r="H60" s="200">
        <v>0</v>
      </c>
      <c r="I60" s="200">
        <v>383.52500000000003</v>
      </c>
      <c r="J60" s="200">
        <v>0</v>
      </c>
      <c r="K60" s="200">
        <v>323.52500000000003</v>
      </c>
      <c r="L60" s="200">
        <v>0</v>
      </c>
      <c r="M60" s="200">
        <v>263.86666666666662</v>
      </c>
      <c r="N60" s="200">
        <v>0.34166666666666856</v>
      </c>
      <c r="O60" s="200">
        <v>206.24583333333334</v>
      </c>
      <c r="P60" s="200">
        <v>2.7208333333333368</v>
      </c>
      <c r="Q60" s="257">
        <v>1.2158333333333335</v>
      </c>
      <c r="S60" s="3">
        <f>'Monthly Data'!D36</f>
        <v>72692428.615771025</v>
      </c>
      <c r="T60" s="3">
        <f>'Monthly Data'!J36</f>
        <v>774707.25074413186</v>
      </c>
      <c r="U60" s="3">
        <f>'Monthly Data'!P36</f>
        <v>21971894.719824459</v>
      </c>
      <c r="V60" s="3">
        <f>'Monthly Data'!V36</f>
        <v>76037891.762245342</v>
      </c>
      <c r="W60" s="3">
        <f>'Monthly Data'!AB36</f>
        <v>7300112.3934590593</v>
      </c>
      <c r="X60" s="3">
        <f>'Monthly Data'!AG36</f>
        <v>20660011.968606181</v>
      </c>
      <c r="Y60" s="3">
        <f>'Monthly Data'!BC36</f>
        <v>25420242.441945475</v>
      </c>
      <c r="Z60" s="3">
        <f>'Monthly Data'!BI36</f>
        <v>7058858.3298737323</v>
      </c>
      <c r="AA60" s="3">
        <f>'Monthly Data'!BO36</f>
        <v>27096579.650555387</v>
      </c>
      <c r="AB60" s="3">
        <f>'Monthly Data'!BU36</f>
        <v>6380350.5207328843</v>
      </c>
      <c r="BG60" t="s">
        <v>225</v>
      </c>
      <c r="BH60" t="s">
        <v>226</v>
      </c>
      <c r="BI60" t="str">
        <f>BG60</f>
        <v>HDD</v>
      </c>
      <c r="BJ60" t="str">
        <f t="shared" ref="BJ60:BT60" si="311">BH60</f>
        <v>CDD</v>
      </c>
      <c r="BK60" t="str">
        <f t="shared" si="311"/>
        <v>HDD</v>
      </c>
      <c r="BL60" t="str">
        <f t="shared" si="311"/>
        <v>CDD</v>
      </c>
      <c r="BM60" t="str">
        <f t="shared" si="311"/>
        <v>HDD</v>
      </c>
      <c r="BN60" t="str">
        <f t="shared" si="311"/>
        <v>CDD</v>
      </c>
      <c r="BO60" t="str">
        <f t="shared" si="311"/>
        <v>HDD</v>
      </c>
      <c r="BP60" t="str">
        <f t="shared" si="311"/>
        <v>CDD</v>
      </c>
      <c r="BQ60" t="str">
        <f t="shared" si="311"/>
        <v>HDD</v>
      </c>
      <c r="BR60" t="str">
        <f t="shared" si="311"/>
        <v>CDD</v>
      </c>
      <c r="BS60" t="str">
        <f t="shared" si="311"/>
        <v>HDD</v>
      </c>
      <c r="BT60" t="str">
        <f t="shared" si="311"/>
        <v>CDD</v>
      </c>
      <c r="EU60" s="488">
        <f>'Monthly Data'!FO36</f>
        <v>694.90950160262446</v>
      </c>
      <c r="EV60" s="488">
        <f>'Monthly Data'!FP36</f>
        <v>521.46832221106138</v>
      </c>
      <c r="EW60" s="488">
        <f>'Monthly Data'!FQ36</f>
        <v>2528.812958434507</v>
      </c>
      <c r="EX60" s="488">
        <f>'Monthly Data'!FR36</f>
        <v>76475.916758660183</v>
      </c>
      <c r="EY60" s="488">
        <f>'Monthly Data'!FS36</f>
        <v>1834149.1956912018</v>
      </c>
      <c r="EZ60" s="488">
        <f>'Monthly Data'!FT36</f>
        <v>5667606.189376072</v>
      </c>
      <c r="FA60" s="488">
        <f>'Monthly Data'!FX36</f>
        <v>680.06621272007817</v>
      </c>
      <c r="FB60" s="488">
        <f>'Monthly Data'!FY36</f>
        <v>3220.8755043546662</v>
      </c>
      <c r="FC60" s="488">
        <f>'Monthly Data'!FZ36</f>
        <v>75104.999871412554</v>
      </c>
      <c r="FD60" s="488">
        <f>'Monthly Data'!GA36</f>
        <v>117360.8231982289</v>
      </c>
    </row>
    <row r="61" spans="1:160">
      <c r="A61">
        <v>2018</v>
      </c>
      <c r="B61">
        <v>12</v>
      </c>
      <c r="C61" s="200">
        <v>646.91666666666663</v>
      </c>
      <c r="D61" s="200">
        <v>0</v>
      </c>
      <c r="E61" s="200">
        <v>584.91666666666663</v>
      </c>
      <c r="F61" s="200">
        <v>0</v>
      </c>
      <c r="G61" s="200">
        <v>522.91666666666663</v>
      </c>
      <c r="H61" s="200">
        <v>0</v>
      </c>
      <c r="I61" s="200">
        <v>460.91666666666657</v>
      </c>
      <c r="J61" s="200">
        <v>0</v>
      </c>
      <c r="K61" s="200">
        <v>398.91666666666657</v>
      </c>
      <c r="L61" s="200">
        <v>0</v>
      </c>
      <c r="M61" s="200">
        <v>336.91666666666657</v>
      </c>
      <c r="N61" s="200">
        <v>0</v>
      </c>
      <c r="O61" s="200">
        <v>274.91666666666663</v>
      </c>
      <c r="P61" s="200">
        <v>0</v>
      </c>
      <c r="Q61" s="257">
        <v>-0.86827956989247324</v>
      </c>
      <c r="S61" s="3">
        <f>'Monthly Data'!D37</f>
        <v>83176963.075081185</v>
      </c>
      <c r="T61" s="3">
        <f>'Monthly Data'!J37</f>
        <v>934056.20900591486</v>
      </c>
      <c r="U61" s="3">
        <f>'Monthly Data'!P37</f>
        <v>23094985.827580612</v>
      </c>
      <c r="V61" s="3">
        <f>'Monthly Data'!V37</f>
        <v>74058919.28218855</v>
      </c>
      <c r="W61" s="3">
        <f>'Monthly Data'!AB37</f>
        <v>7099052.0941802599</v>
      </c>
      <c r="X61" s="3">
        <f>'Monthly Data'!AG37</f>
        <v>20801919.410695367</v>
      </c>
      <c r="Y61" s="3">
        <f>'Monthly Data'!BC37</f>
        <v>29051844.708637647</v>
      </c>
      <c r="Z61" s="3">
        <f>'Monthly Data'!BI37</f>
        <v>7380250.4419935038</v>
      </c>
      <c r="AA61" s="3">
        <f>'Monthly Data'!BO37</f>
        <v>27452864.682077449</v>
      </c>
      <c r="AB61" s="3">
        <f>'Monthly Data'!BU37</f>
        <v>6583465.4001928642</v>
      </c>
      <c r="BF61" t="str">
        <f>BF46</f>
        <v>January</v>
      </c>
      <c r="BG61" s="521">
        <f t="shared" ref="BG61:BH61" ca="1" si="312">EM46</f>
        <v>380.78750000000002</v>
      </c>
      <c r="BH61" s="521">
        <f t="shared" ca="1" si="312"/>
        <v>0</v>
      </c>
      <c r="BI61" s="521">
        <f t="shared" ref="BI61:BI72" ca="1" si="313">DY46</f>
        <v>442.78750000000002</v>
      </c>
      <c r="BJ61" s="521">
        <f t="shared" ref="BJ61:BJ72" ca="1" si="314">DZ46</f>
        <v>0</v>
      </c>
      <c r="BK61" s="521">
        <f t="shared" ref="BK61:BK72" ca="1" si="315">DK46</f>
        <v>504.78750000000002</v>
      </c>
      <c r="BL61" s="521">
        <f t="shared" ref="BL61:BL72" ca="1" si="316">DL46</f>
        <v>0</v>
      </c>
      <c r="BM61" s="521">
        <f t="shared" ref="BM61:BM72" ca="1" si="317">CW46</f>
        <v>566.78750000000002</v>
      </c>
      <c r="BN61" s="521">
        <f t="shared" ref="BN61:BN72" ca="1" si="318">CX46</f>
        <v>0</v>
      </c>
      <c r="BO61" s="521">
        <f t="shared" ref="BO61:BO72" ca="1" si="319">CI46</f>
        <v>628.78750000000002</v>
      </c>
      <c r="BP61" s="521">
        <f t="shared" ref="BP61:BP72" ca="1" si="320">CJ46</f>
        <v>0</v>
      </c>
      <c r="BQ61" s="521">
        <f t="shared" ref="BQ61:BQ72" ca="1" si="321">BU46</f>
        <v>690.78750000000002</v>
      </c>
      <c r="BR61" s="521">
        <f t="shared" ref="BR61:BR72" ca="1" si="322">BV46</f>
        <v>0</v>
      </c>
      <c r="BS61" s="521">
        <f t="shared" ref="BS61:BT61" ca="1" si="323">BG46</f>
        <v>752.78750000000002</v>
      </c>
      <c r="BT61" s="521">
        <f t="shared" ca="1" si="323"/>
        <v>0</v>
      </c>
      <c r="EU61" s="488">
        <f>'Monthly Data'!FO37</f>
        <v>789.96710499437165</v>
      </c>
      <c r="EV61" s="488">
        <f>'Monthly Data'!FP37</f>
        <v>623.47658278803533</v>
      </c>
      <c r="EW61" s="488">
        <f>'Monthly Data'!FQ37</f>
        <v>2652.0271319193712</v>
      </c>
      <c r="EX61" s="488">
        <f>'Monthly Data'!FR37</f>
        <v>74901.013707303951</v>
      </c>
      <c r="EY61" s="488">
        <f>'Monthly Data'!FS37</f>
        <v>1823412.835359338</v>
      </c>
      <c r="EZ61" s="488">
        <f>'Monthly Data'!FT37</f>
        <v>5595247.820387776</v>
      </c>
      <c r="FA61" s="488">
        <f>'Monthly Data'!FX37</f>
        <v>770.44060069001478</v>
      </c>
      <c r="FB61" s="488">
        <f>'Monthly Data'!FY37</f>
        <v>3363.0491906946081</v>
      </c>
      <c r="FC61" s="488">
        <f>'Monthly Data'!FZ37</f>
        <v>75967.954189173703</v>
      </c>
      <c r="FD61" s="488">
        <f>'Monthly Data'!GA37</f>
        <v>118523.33397104776</v>
      </c>
    </row>
    <row r="62" spans="1:160">
      <c r="A62">
        <v>2019</v>
      </c>
      <c r="B62">
        <v>1</v>
      </c>
      <c r="C62" s="200">
        <v>841.93333333333351</v>
      </c>
      <c r="D62" s="200">
        <v>0</v>
      </c>
      <c r="E62" s="200">
        <v>779.93333333333351</v>
      </c>
      <c r="F62" s="200">
        <v>0</v>
      </c>
      <c r="G62" s="200">
        <v>717.93333333333339</v>
      </c>
      <c r="H62" s="200">
        <v>0</v>
      </c>
      <c r="I62" s="200">
        <v>655.93333333333339</v>
      </c>
      <c r="J62" s="200">
        <v>0</v>
      </c>
      <c r="K62" s="200">
        <v>593.93333333333339</v>
      </c>
      <c r="L62" s="200">
        <v>0</v>
      </c>
      <c r="M62" s="200">
        <v>531.93333333333328</v>
      </c>
      <c r="N62" s="200">
        <v>0</v>
      </c>
      <c r="O62" s="200">
        <v>469.93333333333328</v>
      </c>
      <c r="P62" s="200">
        <v>0</v>
      </c>
      <c r="Q62" s="257">
        <v>-7.1591397849462366</v>
      </c>
      <c r="S62" s="3">
        <f>'Monthly Data'!D38</f>
        <v>89553383.125405446</v>
      </c>
      <c r="T62" s="3">
        <f>'Monthly Data'!J38</f>
        <v>1138205.613442091</v>
      </c>
      <c r="U62" s="3">
        <f>'Monthly Data'!P38</f>
        <v>25806529.705724001</v>
      </c>
      <c r="V62" s="3">
        <f>'Monthly Data'!V38</f>
        <v>82453071.517314494</v>
      </c>
      <c r="W62" s="3">
        <f>'Monthly Data'!AB38</f>
        <v>7485435.9404527731</v>
      </c>
      <c r="X62" s="3">
        <f>'Monthly Data'!AG38</f>
        <v>21628065.661692284</v>
      </c>
      <c r="Y62" s="3">
        <f>'Monthly Data'!BC38</f>
        <v>29705900.183546964</v>
      </c>
      <c r="Z62" s="3">
        <f>'Monthly Data'!BI38</f>
        <v>8277011.6740099471</v>
      </c>
      <c r="AA62" s="3">
        <f>'Monthly Data'!BO38</f>
        <v>29265287.752626836</v>
      </c>
      <c r="AB62" s="3">
        <f>'Monthly Data'!BU38</f>
        <v>6611350.6460945038</v>
      </c>
      <c r="BF62" t="str">
        <f t="shared" ref="BF62:BF72" si="324">BF47</f>
        <v>February</v>
      </c>
      <c r="BG62" s="521">
        <f t="shared" ref="BG62:BH62" ca="1" si="325">EM47</f>
        <v>321.33791666666662</v>
      </c>
      <c r="BH62" s="521">
        <f t="shared" ca="1" si="325"/>
        <v>0.1424999999999999</v>
      </c>
      <c r="BI62" s="521">
        <f t="shared" ca="1" si="313"/>
        <v>377.79541666666665</v>
      </c>
      <c r="BJ62" s="521">
        <f t="shared" ca="1" si="314"/>
        <v>0</v>
      </c>
      <c r="BK62" s="521">
        <f t="shared" ca="1" si="315"/>
        <v>434.39541666666673</v>
      </c>
      <c r="BL62" s="521">
        <f t="shared" ca="1" si="316"/>
        <v>0</v>
      </c>
      <c r="BM62" s="521">
        <f t="shared" ca="1" si="317"/>
        <v>490.99541666666664</v>
      </c>
      <c r="BN62" s="521">
        <f t="shared" ca="1" si="318"/>
        <v>0</v>
      </c>
      <c r="BO62" s="521">
        <f t="shared" ca="1" si="319"/>
        <v>547.59541666666655</v>
      </c>
      <c r="BP62" s="521">
        <f t="shared" ca="1" si="320"/>
        <v>0</v>
      </c>
      <c r="BQ62" s="521">
        <f t="shared" ca="1" si="321"/>
        <v>604.19541666666657</v>
      </c>
      <c r="BR62" s="521">
        <f t="shared" ca="1" si="322"/>
        <v>0</v>
      </c>
      <c r="BS62" s="521">
        <f t="shared" ref="BS62:BT62" ca="1" si="326">BG47</f>
        <v>660.7954166666666</v>
      </c>
      <c r="BT62" s="521">
        <f t="shared" ca="1" si="326"/>
        <v>0</v>
      </c>
      <c r="EU62" s="488">
        <f ca="1">'Monthly Data'!FO38</f>
        <v>843.62611477172811</v>
      </c>
      <c r="EV62" s="488">
        <f>'Monthly Data'!FP38</f>
        <v>752.41808767928092</v>
      </c>
      <c r="EW62" s="488">
        <f>'Monthly Data'!FQ38</f>
        <v>2947.2637866427185</v>
      </c>
      <c r="EX62" s="488">
        <f>'Monthly Data'!FR38</f>
        <v>83237.119352347465</v>
      </c>
      <c r="EY62" s="488">
        <f>'Monthly Data'!FS38</f>
        <v>1919204.4551061869</v>
      </c>
      <c r="EZ62" s="488">
        <f>'Monthly Data'!FT38</f>
        <v>5775553.5937301461</v>
      </c>
      <c r="FA62" s="488">
        <f>'Monthly Data'!FX38</f>
        <v>782.27970836430927</v>
      </c>
      <c r="FB62" s="488">
        <f>'Monthly Data'!FY38</f>
        <v>3757.1715167515454</v>
      </c>
      <c r="FC62" s="488">
        <f>'Monthly Data'!FZ38</f>
        <v>81124.378317971583</v>
      </c>
      <c r="FD62" s="488">
        <f>'Monthly Data'!GA38</f>
        <v>116601.33282316178</v>
      </c>
    </row>
    <row r="63" spans="1:160">
      <c r="A63">
        <v>2019</v>
      </c>
      <c r="B63">
        <v>2</v>
      </c>
      <c r="C63" s="200">
        <v>695.30416666666645</v>
      </c>
      <c r="D63" s="200">
        <v>0</v>
      </c>
      <c r="E63" s="200">
        <v>639.30416666666645</v>
      </c>
      <c r="F63" s="200">
        <v>0</v>
      </c>
      <c r="G63" s="200">
        <v>583.30416666666656</v>
      </c>
      <c r="H63" s="200">
        <v>0</v>
      </c>
      <c r="I63" s="200">
        <v>527.30416666666656</v>
      </c>
      <c r="J63" s="200">
        <v>0</v>
      </c>
      <c r="K63" s="200">
        <v>471.30416666666662</v>
      </c>
      <c r="L63" s="200">
        <v>0</v>
      </c>
      <c r="M63" s="200">
        <v>415.30416666666656</v>
      </c>
      <c r="N63" s="200">
        <v>0</v>
      </c>
      <c r="O63" s="200">
        <v>359.30416666666662</v>
      </c>
      <c r="P63" s="200">
        <v>0</v>
      </c>
      <c r="Q63" s="257">
        <v>-4.8322916666666682</v>
      </c>
      <c r="S63" s="3">
        <f>'Monthly Data'!D39</f>
        <v>77497855.134735435</v>
      </c>
      <c r="T63" s="3">
        <f>'Monthly Data'!J39</f>
        <v>994696.31451058958</v>
      </c>
      <c r="U63" s="3">
        <f>'Monthly Data'!P39</f>
        <v>23016185.95162183</v>
      </c>
      <c r="V63" s="3">
        <f>'Monthly Data'!V39</f>
        <v>74301299.89878495</v>
      </c>
      <c r="W63" s="3">
        <f>'Monthly Data'!AB39</f>
        <v>7444265.2242662637</v>
      </c>
      <c r="X63" s="3">
        <f>'Monthly Data'!AG39</f>
        <v>19825557.796721186</v>
      </c>
      <c r="Y63" s="3">
        <f>'Monthly Data'!BC39</f>
        <v>25741323.554964509</v>
      </c>
      <c r="Z63" s="3">
        <f>'Monthly Data'!BI39</f>
        <v>7350695.1713984972</v>
      </c>
      <c r="AA63" s="3">
        <f>'Monthly Data'!BO39</f>
        <v>28564722.627439205</v>
      </c>
      <c r="AB63" s="3">
        <f>'Monthly Data'!BU39</f>
        <v>6174047.4541947935</v>
      </c>
      <c r="BF63" t="str">
        <f t="shared" si="324"/>
        <v>March</v>
      </c>
      <c r="BG63" s="521">
        <f t="shared" ref="BG63:BH63" ca="1" si="327">EM48</f>
        <v>227.40798913043483</v>
      </c>
      <c r="BH63" s="521">
        <f t="shared" ca="1" si="327"/>
        <v>3.1920833333333327</v>
      </c>
      <c r="BI63" s="521">
        <f t="shared" ca="1" si="313"/>
        <v>286.91715579710143</v>
      </c>
      <c r="BJ63" s="521">
        <f t="shared" ca="1" si="314"/>
        <v>0.70124999999999926</v>
      </c>
      <c r="BK63" s="521">
        <f t="shared" ca="1" si="315"/>
        <v>348.24548913043475</v>
      </c>
      <c r="BL63" s="521">
        <f t="shared" ca="1" si="316"/>
        <v>2.9583333333332896E-2</v>
      </c>
      <c r="BM63" s="521">
        <f t="shared" ca="1" si="317"/>
        <v>410.21590579710147</v>
      </c>
      <c r="BN63" s="521">
        <f t="shared" ca="1" si="318"/>
        <v>0</v>
      </c>
      <c r="BO63" s="521">
        <f t="shared" ca="1" si="319"/>
        <v>472.21590579710147</v>
      </c>
      <c r="BP63" s="521">
        <f t="shared" ca="1" si="320"/>
        <v>0</v>
      </c>
      <c r="BQ63" s="521">
        <f t="shared" ca="1" si="321"/>
        <v>534.21590579710141</v>
      </c>
      <c r="BR63" s="521">
        <f t="shared" ca="1" si="322"/>
        <v>0</v>
      </c>
      <c r="BS63" s="521">
        <f t="shared" ref="BS63:BT63" ca="1" si="328">BG48</f>
        <v>596.21590579710141</v>
      </c>
      <c r="BT63" s="521">
        <f t="shared" ca="1" si="328"/>
        <v>0</v>
      </c>
      <c r="EU63" s="488">
        <f ca="1">'Monthly Data'!FO39</f>
        <v>733.70201930864414</v>
      </c>
      <c r="EV63" s="488">
        <f>'Monthly Data'!FP39</f>
        <v>661.42508812114067</v>
      </c>
      <c r="EW63" s="488">
        <f>'Monthly Data'!FQ39</f>
        <v>2641.1118971330156</v>
      </c>
      <c r="EX63" s="488">
        <f>'Monthly Data'!FR39</f>
        <v>75593.473520750573</v>
      </c>
      <c r="EY63" s="488">
        <f>'Monthly Data'!FS39</f>
        <v>1909770.5306180741</v>
      </c>
      <c r="EZ63" s="488">
        <f>'Monthly Data'!FT39</f>
        <v>5328938.4484852673</v>
      </c>
      <c r="FA63" s="488">
        <f>'Monthly Data'!FX39</f>
        <v>682.63292358330511</v>
      </c>
      <c r="FB63" s="488">
        <f>'Monthly Data'!FY39</f>
        <v>3345.6327887317852</v>
      </c>
      <c r="FC63" s="488">
        <f>'Monthly Data'!FZ39</f>
        <v>79362.004000049812</v>
      </c>
      <c r="FD63" s="488">
        <f>'Monthly Data'!GA39</f>
        <v>97790.746763599265</v>
      </c>
    </row>
    <row r="64" spans="1:160">
      <c r="A64">
        <v>2019</v>
      </c>
      <c r="B64">
        <v>3</v>
      </c>
      <c r="C64" s="200">
        <v>673.45833333333326</v>
      </c>
      <c r="D64" s="200">
        <v>0</v>
      </c>
      <c r="E64" s="200">
        <v>611.45833333333337</v>
      </c>
      <c r="F64" s="200">
        <v>0</v>
      </c>
      <c r="G64" s="200">
        <v>549.45833333333326</v>
      </c>
      <c r="H64" s="200">
        <v>0</v>
      </c>
      <c r="I64" s="200">
        <v>487.45833333333331</v>
      </c>
      <c r="J64" s="200">
        <v>0</v>
      </c>
      <c r="K64" s="200">
        <v>425.45833333333326</v>
      </c>
      <c r="L64" s="200">
        <v>0</v>
      </c>
      <c r="M64" s="200">
        <v>363.45833333333326</v>
      </c>
      <c r="N64" s="200">
        <v>0</v>
      </c>
      <c r="O64" s="200">
        <v>301.45833333333326</v>
      </c>
      <c r="P64" s="200">
        <v>0</v>
      </c>
      <c r="Q64" s="257">
        <v>-1.7244623655913986</v>
      </c>
      <c r="S64" s="3">
        <f>'Monthly Data'!D40</f>
        <v>78461302.814929113</v>
      </c>
      <c r="T64" s="3">
        <f>'Monthly Data'!J40</f>
        <v>976089.02015836665</v>
      </c>
      <c r="U64" s="3">
        <f>'Monthly Data'!P40</f>
        <v>24263356.321742035</v>
      </c>
      <c r="V64" s="3">
        <f>'Monthly Data'!V40</f>
        <v>79423819.645315558</v>
      </c>
      <c r="W64" s="3">
        <f>'Monthly Data'!AB40</f>
        <v>8105840.3042924888</v>
      </c>
      <c r="X64" s="3">
        <f>'Monthly Data'!AG40</f>
        <v>20777836.877538312</v>
      </c>
      <c r="Y64" s="3">
        <f>'Monthly Data'!BC40</f>
        <v>26456255.017160986</v>
      </c>
      <c r="Z64" s="3">
        <f>'Monthly Data'!BI40</f>
        <v>7622333.1967954747</v>
      </c>
      <c r="AA64" s="3">
        <f>'Monthly Data'!BO40</f>
        <v>27786798.093065143</v>
      </c>
      <c r="AB64" s="3">
        <f>'Monthly Data'!BU40</f>
        <v>6715804.4262295095</v>
      </c>
      <c r="BF64" t="str">
        <f t="shared" si="324"/>
        <v>April</v>
      </c>
      <c r="BG64" s="521">
        <f t="shared" ref="BG64:BH64" ca="1" si="329">EM49</f>
        <v>81.619374999999991</v>
      </c>
      <c r="BH64" s="521">
        <f t="shared" ca="1" si="329"/>
        <v>28.730833333333333</v>
      </c>
      <c r="BI64" s="521">
        <f t="shared" ca="1" si="313"/>
        <v>126.42270833333332</v>
      </c>
      <c r="BJ64" s="521">
        <f t="shared" ca="1" si="314"/>
        <v>13.534166666666668</v>
      </c>
      <c r="BK64" s="521">
        <f t="shared" ca="1" si="315"/>
        <v>178.89812499999999</v>
      </c>
      <c r="BL64" s="521">
        <f t="shared" ca="1" si="316"/>
        <v>6.0095833333333344</v>
      </c>
      <c r="BM64" s="521">
        <f t="shared" ca="1" si="317"/>
        <v>235.09104166666671</v>
      </c>
      <c r="BN64" s="521">
        <f t="shared" ca="1" si="318"/>
        <v>2.2025000000000015</v>
      </c>
      <c r="BO64" s="521">
        <f t="shared" ca="1" si="319"/>
        <v>293.32020833333331</v>
      </c>
      <c r="BP64" s="521">
        <f t="shared" ca="1" si="320"/>
        <v>0.4316666666666677</v>
      </c>
      <c r="BQ64" s="521">
        <f t="shared" ca="1" si="321"/>
        <v>352.92312500000003</v>
      </c>
      <c r="BR64" s="521">
        <f t="shared" ca="1" si="322"/>
        <v>3.4583333333333854E-2</v>
      </c>
      <c r="BS64" s="521">
        <f t="shared" ref="BS64:BT64" ca="1" si="330">BG49</f>
        <v>412.8885416666667</v>
      </c>
      <c r="BT64" s="521">
        <f t="shared" ca="1" si="330"/>
        <v>0</v>
      </c>
      <c r="EU64" s="488">
        <f ca="1">'Monthly Data'!FO40</f>
        <v>741.69923967077659</v>
      </c>
      <c r="EV64" s="488">
        <f>'Monthly Data'!FP40</f>
        <v>650.01462090549205</v>
      </c>
      <c r="EW64" s="488">
        <f>'Monthly Data'!FQ40</f>
        <v>2776.0802313417435</v>
      </c>
      <c r="EX64" s="488">
        <f>'Monthly Data'!FR40</f>
        <v>80741.971256201126</v>
      </c>
      <c r="EY64" s="488">
        <f>'Monthly Data'!FS40</f>
        <v>2076023.0551831452</v>
      </c>
      <c r="EZ64" s="488">
        <f>'Monthly Data'!FT40</f>
        <v>5571020.0396874435</v>
      </c>
      <c r="FA64" s="488">
        <f>'Monthly Data'!FX40</f>
        <v>698.82636794626524</v>
      </c>
      <c r="FB64" s="488">
        <f>'Monthly Data'!FY40</f>
        <v>3465.2032401349829</v>
      </c>
      <c r="FC64" s="488">
        <f>'Monthly Data'!FZ40</f>
        <v>77394.432310280739</v>
      </c>
      <c r="FD64" s="488">
        <f>'Monthly Data'!GA40</f>
        <v>92708.806836298681</v>
      </c>
    </row>
    <row r="65" spans="1:160">
      <c r="A65">
        <v>2019</v>
      </c>
      <c r="B65">
        <v>4</v>
      </c>
      <c r="C65" s="200">
        <v>426.6541666666667</v>
      </c>
      <c r="D65" s="200">
        <v>0</v>
      </c>
      <c r="E65" s="200">
        <v>366.65416666666664</v>
      </c>
      <c r="F65" s="200">
        <v>0</v>
      </c>
      <c r="G65" s="200">
        <v>306.65416666666664</v>
      </c>
      <c r="H65" s="200">
        <v>0</v>
      </c>
      <c r="I65" s="200">
        <v>246.6541666666667</v>
      </c>
      <c r="J65" s="200">
        <v>0</v>
      </c>
      <c r="K65" s="200">
        <v>187.50000000000003</v>
      </c>
      <c r="L65" s="200">
        <v>0.84583333333333144</v>
      </c>
      <c r="M65" s="200">
        <v>129.53333333333336</v>
      </c>
      <c r="N65" s="200">
        <v>2.8791666666666664</v>
      </c>
      <c r="O65" s="200">
        <v>81.245833333333351</v>
      </c>
      <c r="P65" s="200">
        <v>14.591666666666663</v>
      </c>
      <c r="Q65" s="257">
        <v>5.778194444444444</v>
      </c>
      <c r="S65" s="3">
        <f>'Monthly Data'!D41</f>
        <v>65348997.914672956</v>
      </c>
      <c r="T65" s="3">
        <f>'Monthly Data'!J41</f>
        <v>713464.16530242318</v>
      </c>
      <c r="U65" s="3">
        <f>'Monthly Data'!P41</f>
        <v>22015807.846203107</v>
      </c>
      <c r="V65" s="3">
        <f>'Monthly Data'!V41</f>
        <v>72054287.239706993</v>
      </c>
      <c r="W65" s="3">
        <f>'Monthly Data'!AB41</f>
        <v>7662956.9690308133</v>
      </c>
      <c r="X65" s="3">
        <f>'Monthly Data'!AG41</f>
        <v>21012631.851871423</v>
      </c>
      <c r="Y65" s="3">
        <f>'Monthly Data'!BC41</f>
        <v>23006915.515467856</v>
      </c>
      <c r="Z65" s="3">
        <f>'Monthly Data'!BI41</f>
        <v>6573181.0181461535</v>
      </c>
      <c r="AA65" s="3">
        <f>'Monthly Data'!BO41</f>
        <v>26396250.985289704</v>
      </c>
      <c r="AB65" s="3">
        <f>'Monthly Data'!BU41</f>
        <v>6314958.9296046291</v>
      </c>
      <c r="BF65" t="str">
        <f t="shared" si="324"/>
        <v>May</v>
      </c>
      <c r="BG65" s="521">
        <f t="shared" ref="BG65:BH65" ca="1" si="331">EM50</f>
        <v>7.2018333333333331</v>
      </c>
      <c r="BH65" s="521">
        <f t="shared" ca="1" si="331"/>
        <v>175.15706539074958</v>
      </c>
      <c r="BI65" s="521">
        <f t="shared" ca="1" si="313"/>
        <v>18.584333333333337</v>
      </c>
      <c r="BJ65" s="521">
        <f t="shared" ca="1" si="314"/>
        <v>124.53956539074959</v>
      </c>
      <c r="BK65" s="521">
        <f t="shared" ca="1" si="315"/>
        <v>37.553492690058476</v>
      </c>
      <c r="BL65" s="521">
        <f t="shared" ca="1" si="316"/>
        <v>81.50872474747473</v>
      </c>
      <c r="BM65" s="521">
        <f t="shared" ca="1" si="317"/>
        <v>66.98488157894738</v>
      </c>
      <c r="BN65" s="521">
        <f t="shared" ca="1" si="318"/>
        <v>48.940113636363641</v>
      </c>
      <c r="BO65" s="521">
        <f t="shared" ca="1" si="319"/>
        <v>107.00363157894738</v>
      </c>
      <c r="BP65" s="521">
        <f t="shared" ca="1" si="320"/>
        <v>26.958863636363635</v>
      </c>
      <c r="BQ65" s="521">
        <f t="shared" ca="1" si="321"/>
        <v>155.24720841877425</v>
      </c>
      <c r="BR65" s="521">
        <f t="shared" ca="1" si="322"/>
        <v>13.202440476190475</v>
      </c>
      <c r="BS65" s="521">
        <f t="shared" ref="BS65:BT65" ca="1" si="332">BG50</f>
        <v>208.90012508544086</v>
      </c>
      <c r="BT65" s="521">
        <f t="shared" ca="1" si="332"/>
        <v>4.8553571428571409</v>
      </c>
      <c r="EU65" s="488">
        <f ca="1">'Monthly Data'!FO41</f>
        <v>622.7935384412101</v>
      </c>
      <c r="EV65" s="488">
        <f>'Monthly Data'!FP41</f>
        <v>482.87047391668199</v>
      </c>
      <c r="EW65" s="488">
        <f>'Monthly Data'!FQ41</f>
        <v>2530.0066623184912</v>
      </c>
      <c r="EX65" s="488">
        <f>'Monthly Data'!FR41</f>
        <v>73823.547681968499</v>
      </c>
      <c r="EY65" s="488">
        <f>'Monthly Data'!FS41</f>
        <v>1966160.9759262409</v>
      </c>
      <c r="EZ65" s="488">
        <f>'Monthly Data'!FT41</f>
        <v>5633730.604268617</v>
      </c>
      <c r="FA65" s="488">
        <f>'Monthly Data'!FX41</f>
        <v>612.52642749511301</v>
      </c>
      <c r="FB65" s="488">
        <f>'Monthly Data'!FY41</f>
        <v>2999.8072236307239</v>
      </c>
      <c r="FC65" s="488">
        <f>'Monthly Data'!FZ41</f>
        <v>73801.867057112788</v>
      </c>
      <c r="FD65" s="488">
        <f>'Monthly Data'!GA41</f>
        <v>82316.201135131691</v>
      </c>
    </row>
    <row r="66" spans="1:160">
      <c r="A66">
        <v>2019</v>
      </c>
      <c r="B66">
        <v>5</v>
      </c>
      <c r="C66" s="200">
        <v>267.53464912280702</v>
      </c>
      <c r="D66" s="200">
        <v>0</v>
      </c>
      <c r="E66" s="200">
        <v>205.53464912280697</v>
      </c>
      <c r="F66" s="200">
        <v>0</v>
      </c>
      <c r="G66" s="200">
        <v>145.93881578947367</v>
      </c>
      <c r="H66" s="200">
        <v>2.4041666666666686</v>
      </c>
      <c r="I66" s="200">
        <v>92.742982456140368</v>
      </c>
      <c r="J66" s="200">
        <v>11.208333333333332</v>
      </c>
      <c r="K66" s="200">
        <v>47.113815789473684</v>
      </c>
      <c r="L66" s="200">
        <v>27.579166666666666</v>
      </c>
      <c r="M66" s="200">
        <v>21.337500000000002</v>
      </c>
      <c r="N66" s="200">
        <v>63.802850877192981</v>
      </c>
      <c r="O66" s="200">
        <v>5.4041666666666659</v>
      </c>
      <c r="P66" s="200">
        <v>109.86951754385964</v>
      </c>
      <c r="Q66" s="257">
        <v>11.369850028296549</v>
      </c>
      <c r="S66" s="3">
        <f>'Monthly Data'!D42</f>
        <v>60514641.232131176</v>
      </c>
      <c r="T66" s="3">
        <f>'Monthly Data'!J42</f>
        <v>726305.91535966424</v>
      </c>
      <c r="U66" s="3">
        <f>'Monthly Data'!P42</f>
        <v>20761864.700372063</v>
      </c>
      <c r="V66" s="3">
        <f>'Monthly Data'!V42</f>
        <v>72613531.321504131</v>
      </c>
      <c r="W66" s="3">
        <f>'Monthly Data'!AB42</f>
        <v>8344408.6833275463</v>
      </c>
      <c r="X66" s="3">
        <f>'Monthly Data'!AG42</f>
        <v>21885615.667790778</v>
      </c>
      <c r="Y66" s="3">
        <f>'Monthly Data'!BC42</f>
        <v>22800858.199339963</v>
      </c>
      <c r="Z66" s="3">
        <f>'Monthly Data'!BI42</f>
        <v>6347056.2242777785</v>
      </c>
      <c r="AA66" s="3">
        <f>'Monthly Data'!BO42</f>
        <v>25305876.241368957</v>
      </c>
      <c r="AB66" s="3">
        <f>'Monthly Data'!BU42</f>
        <v>6391434.4648023145</v>
      </c>
      <c r="BF66" t="str">
        <f t="shared" si="324"/>
        <v>June</v>
      </c>
      <c r="BG66" s="521">
        <f t="shared" ref="BG66:BH66" ca="1" si="333">EM51</f>
        <v>0</v>
      </c>
      <c r="BH66" s="521">
        <f t="shared" ca="1" si="333"/>
        <v>321.78326754405015</v>
      </c>
      <c r="BI66" s="521">
        <f t="shared" ca="1" si="313"/>
        <v>9.7916666666666957E-2</v>
      </c>
      <c r="BJ66" s="521">
        <f t="shared" ca="1" si="314"/>
        <v>261.88118421071681</v>
      </c>
      <c r="BK66" s="521">
        <f t="shared" ca="1" si="315"/>
        <v>0.57666666666666677</v>
      </c>
      <c r="BL66" s="521">
        <f t="shared" ca="1" si="316"/>
        <v>202.3599342107168</v>
      </c>
      <c r="BM66" s="521">
        <f t="shared" ca="1" si="317"/>
        <v>3.128333333333333</v>
      </c>
      <c r="BN66" s="521">
        <f t="shared" ca="1" si="318"/>
        <v>144.91160087738351</v>
      </c>
      <c r="BO66" s="521">
        <f t="shared" ca="1" si="319"/>
        <v>11.150282051282051</v>
      </c>
      <c r="BP66" s="521">
        <f t="shared" ca="1" si="320"/>
        <v>92.933549595332209</v>
      </c>
      <c r="BQ66" s="521">
        <f t="shared" ca="1" si="321"/>
        <v>30.273840492840492</v>
      </c>
      <c r="BR66" s="521">
        <f t="shared" ca="1" si="322"/>
        <v>52.057108036890646</v>
      </c>
      <c r="BS66" s="521">
        <f t="shared" ref="BS66:BT66" ca="1" si="334">BG51</f>
        <v>61.78217382617381</v>
      </c>
      <c r="BT66" s="521">
        <f t="shared" ca="1" si="334"/>
        <v>23.565441370223976</v>
      </c>
      <c r="EU66" s="488">
        <f ca="1">'Monthly Data'!FO42</f>
        <v>578.78250357505863</v>
      </c>
      <c r="EV66" s="488">
        <f>'Monthly Data'!FP42</f>
        <v>491.44277621291661</v>
      </c>
      <c r="EW66" s="488">
        <f>'Monthly Data'!FQ42</f>
        <v>2392.6398034176918</v>
      </c>
      <c r="EX66" s="488">
        <f>'Monthly Data'!FR42</f>
        <v>74564.703110449656</v>
      </c>
      <c r="EY66" s="488">
        <f>'Monthly Data'!FS42</f>
        <v>2137382.6590589387</v>
      </c>
      <c r="EZ66" s="488">
        <f>'Monthly Data'!FT42</f>
        <v>5855988.3792463504</v>
      </c>
      <c r="FA66" s="488">
        <f>'Monthly Data'!FX42</f>
        <v>606.2128802935207</v>
      </c>
      <c r="FB66" s="488">
        <f>'Monthly Data'!FY42</f>
        <v>2899.1229289499615</v>
      </c>
      <c r="FC66" s="488">
        <f>'Monthly Data'!FZ42</f>
        <v>71005.514970668155</v>
      </c>
      <c r="FD66" s="488">
        <f>'Monthly Data'!GA42</f>
        <v>75427.753332057895</v>
      </c>
    </row>
    <row r="67" spans="1:160">
      <c r="A67">
        <v>2019</v>
      </c>
      <c r="B67">
        <v>6</v>
      </c>
      <c r="C67" s="200">
        <v>80.695833333333368</v>
      </c>
      <c r="D67" s="200">
        <v>10.4375</v>
      </c>
      <c r="E67" s="200">
        <v>46.120833333333351</v>
      </c>
      <c r="F67" s="200">
        <v>35.862499999999976</v>
      </c>
      <c r="G67" s="200">
        <v>21.925000000000018</v>
      </c>
      <c r="H67" s="200">
        <v>71.666666666666629</v>
      </c>
      <c r="I67" s="200">
        <v>9.0750000000000011</v>
      </c>
      <c r="J67" s="200">
        <v>118.81666666666663</v>
      </c>
      <c r="K67" s="200">
        <v>3.9291666666666671</v>
      </c>
      <c r="L67" s="200">
        <v>173.67083333333326</v>
      </c>
      <c r="M67" s="200">
        <v>0.97916666666666963</v>
      </c>
      <c r="N67" s="200">
        <v>230.72083333333327</v>
      </c>
      <c r="O67" s="200">
        <v>0</v>
      </c>
      <c r="P67" s="200">
        <v>289.74166666666656</v>
      </c>
      <c r="Q67" s="257">
        <v>17.658055555555553</v>
      </c>
      <c r="S67" s="3">
        <f>'Monthly Data'!D43</f>
        <v>67376317.869148344</v>
      </c>
      <c r="T67" s="3">
        <f>'Monthly Data'!J43</f>
        <v>689785.72920244129</v>
      </c>
      <c r="U67" s="3">
        <f>'Monthly Data'!P43</f>
        <v>21191958.768679734</v>
      </c>
      <c r="V67" s="3">
        <f>'Monthly Data'!V43</f>
        <v>73210874.814718872</v>
      </c>
      <c r="W67" s="3">
        <f>'Monthly Data'!AB43</f>
        <v>7726141.106483086</v>
      </c>
      <c r="X67" s="3">
        <f>'Monthly Data'!AG43</f>
        <v>22557812.500125293</v>
      </c>
      <c r="Y67" s="3">
        <f>'Monthly Data'!BC43</f>
        <v>27757632.128276065</v>
      </c>
      <c r="Z67" s="3">
        <f>'Monthly Data'!BI43</f>
        <v>6589393.2446049256</v>
      </c>
      <c r="AA67" s="3">
        <f>'Monthly Data'!BO43</f>
        <v>25747854.736715697</v>
      </c>
      <c r="AB67" s="3">
        <f>'Monthly Data'!BU43</f>
        <v>6237868.3027965287</v>
      </c>
      <c r="BF67" t="str">
        <f t="shared" si="324"/>
        <v>July</v>
      </c>
      <c r="BG67" s="521">
        <f t="shared" ref="BG67:BH67" ca="1" si="335">EM52</f>
        <v>0</v>
      </c>
      <c r="BH67" s="521">
        <f t="shared" ca="1" si="335"/>
        <v>428.72508692061183</v>
      </c>
      <c r="BI67" s="521">
        <f t="shared" ca="1" si="313"/>
        <v>0</v>
      </c>
      <c r="BJ67" s="521">
        <f t="shared" ca="1" si="314"/>
        <v>366.72508692061183</v>
      </c>
      <c r="BK67" s="521">
        <f t="shared" ca="1" si="315"/>
        <v>0</v>
      </c>
      <c r="BL67" s="521">
        <f t="shared" ca="1" si="316"/>
        <v>304.72508692061177</v>
      </c>
      <c r="BM67" s="521">
        <f t="shared" ca="1" si="317"/>
        <v>0</v>
      </c>
      <c r="BN67" s="521">
        <f t="shared" ca="1" si="318"/>
        <v>242.72508692061183</v>
      </c>
      <c r="BO67" s="521">
        <f t="shared" ca="1" si="319"/>
        <v>7.4583333333333002E-2</v>
      </c>
      <c r="BP67" s="521">
        <f t="shared" ca="1" si="320"/>
        <v>180.79967025394512</v>
      </c>
      <c r="BQ67" s="521">
        <f t="shared" ca="1" si="321"/>
        <v>1.0845833333333317</v>
      </c>
      <c r="BR67" s="521">
        <f t="shared" ca="1" si="322"/>
        <v>119.80967025394514</v>
      </c>
      <c r="BS67" s="521">
        <f t="shared" ref="BS67:BT67" ca="1" si="336">BG52</f>
        <v>8.334479813664597</v>
      </c>
      <c r="BT67" s="521">
        <f t="shared" ca="1" si="336"/>
        <v>65.059566734276387</v>
      </c>
      <c r="EU67" s="488">
        <f ca="1">'Monthly Data'!FO43</f>
        <v>640.3489906053378</v>
      </c>
      <c r="EV67" s="488">
        <f>'Monthly Data'!FP43</f>
        <v>468.4921926828851</v>
      </c>
      <c r="EW67" s="488">
        <f>'Monthly Data'!FQ43</f>
        <v>2438.6215484957029</v>
      </c>
      <c r="EX67" s="488">
        <f>'Monthly Data'!FR43</f>
        <v>75345.486676136701</v>
      </c>
      <c r="EY67" s="488">
        <f>'Monthly Data'!FS43</f>
        <v>1983674.5194063385</v>
      </c>
      <c r="EZ67" s="488">
        <f>'Monthly Data'!FT43</f>
        <v>6028049.4083278747</v>
      </c>
      <c r="FA67" s="488">
        <f>'Monthly Data'!FX43</f>
        <v>726.30051595988584</v>
      </c>
      <c r="FB67" s="488">
        <f>'Monthly Data'!FY43</f>
        <v>3005.7732785959697</v>
      </c>
      <c r="FC67" s="488">
        <f>'Monthly Data'!FZ43</f>
        <v>72273.760335861414</v>
      </c>
      <c r="FD67" s="488">
        <f>'Monthly Data'!GA43</f>
        <v>67506.998915885459</v>
      </c>
    </row>
    <row r="68" spans="1:160">
      <c r="A68">
        <v>2019</v>
      </c>
      <c r="B68">
        <v>7</v>
      </c>
      <c r="C68" s="200">
        <v>0.97500000000000497</v>
      </c>
      <c r="D68" s="200">
        <v>74.574999999999989</v>
      </c>
      <c r="E68" s="200">
        <v>0</v>
      </c>
      <c r="F68" s="200">
        <v>135.6</v>
      </c>
      <c r="G68" s="200">
        <v>0</v>
      </c>
      <c r="H68" s="200">
        <v>197.60000000000005</v>
      </c>
      <c r="I68" s="200">
        <v>0</v>
      </c>
      <c r="J68" s="200">
        <v>259.60000000000008</v>
      </c>
      <c r="K68" s="200">
        <v>0</v>
      </c>
      <c r="L68" s="200">
        <v>321.60000000000002</v>
      </c>
      <c r="M68" s="200">
        <v>0</v>
      </c>
      <c r="N68" s="200">
        <v>383.6</v>
      </c>
      <c r="O68" s="200">
        <v>0</v>
      </c>
      <c r="P68" s="200">
        <v>445.60000000000008</v>
      </c>
      <c r="Q68" s="257">
        <v>22.374193548387098</v>
      </c>
      <c r="S68" s="3">
        <f>'Monthly Data'!D44</f>
        <v>103321659.99749188</v>
      </c>
      <c r="T68" s="3">
        <f>'Monthly Data'!J44</f>
        <v>930957.99955161137</v>
      </c>
      <c r="U68" s="3">
        <f>'Monthly Data'!P44</f>
        <v>26191648.002585482</v>
      </c>
      <c r="V68" s="3">
        <f>'Monthly Data'!V44</f>
        <v>82036084.349081635</v>
      </c>
      <c r="W68" s="3">
        <f>'Monthly Data'!AB44</f>
        <v>7287238.9602375692</v>
      </c>
      <c r="X68" s="3">
        <f>'Monthly Data'!AG44</f>
        <v>22588764.713467833</v>
      </c>
      <c r="Y68" s="3">
        <f>'Monthly Data'!BC44</f>
        <v>42550260.533001713</v>
      </c>
      <c r="Z68" s="3">
        <f>'Monthly Data'!BI44</f>
        <v>8023257.7954945276</v>
      </c>
      <c r="AA68" s="3">
        <f>'Monthly Data'!BO44</f>
        <v>28699950.102671865</v>
      </c>
      <c r="AB68" s="3">
        <f>'Monthly Data'!BU44</f>
        <v>6424260.6268081004</v>
      </c>
      <c r="BF68" t="str">
        <f>BF53</f>
        <v>August</v>
      </c>
      <c r="BG68" s="521">
        <f t="shared" ref="BG68:BH68" ca="1" si="337">EM53</f>
        <v>0</v>
      </c>
      <c r="BH68" s="521">
        <f t="shared" ca="1" si="337"/>
        <v>399.96017127799735</v>
      </c>
      <c r="BI68" s="521">
        <f t="shared" ca="1" si="313"/>
        <v>0</v>
      </c>
      <c r="BJ68" s="521">
        <f t="shared" ca="1" si="314"/>
        <v>337.96017127799735</v>
      </c>
      <c r="BK68" s="521">
        <f t="shared" ca="1" si="315"/>
        <v>0</v>
      </c>
      <c r="BL68" s="521">
        <f t="shared" ca="1" si="316"/>
        <v>275.96017127799735</v>
      </c>
      <c r="BM68" s="521">
        <f t="shared" ca="1" si="317"/>
        <v>6.5416666666666859E-2</v>
      </c>
      <c r="BN68" s="521">
        <f t="shared" ca="1" si="318"/>
        <v>214.02558794466404</v>
      </c>
      <c r="BO68" s="521">
        <f t="shared" ca="1" si="319"/>
        <v>1.1245833333333339</v>
      </c>
      <c r="BP68" s="521">
        <f t="shared" ca="1" si="320"/>
        <v>153.08475461133071</v>
      </c>
      <c r="BQ68" s="521">
        <f t="shared" ca="1" si="321"/>
        <v>6.4245833333333335</v>
      </c>
      <c r="BR68" s="521">
        <f t="shared" ca="1" si="322"/>
        <v>96.38475461133072</v>
      </c>
      <c r="BS68" s="521">
        <f t="shared" ref="BS68:BT68" ca="1" si="338">BG53</f>
        <v>21.054927536231883</v>
      </c>
      <c r="BT68" s="521">
        <f t="shared" ca="1" si="338"/>
        <v>49.015098814229248</v>
      </c>
      <c r="EU68" s="488">
        <f ca="1">'Monthly Data'!FO44</f>
        <v>963.52136369672849</v>
      </c>
      <c r="EV68" s="488">
        <f>'Monthly Data'!FP44</f>
        <v>622.98722706696003</v>
      </c>
      <c r="EW68" s="488">
        <f>'Monthly Data'!FQ44</f>
        <v>2980.5093536092277</v>
      </c>
      <c r="EX68" s="488">
        <f>'Monthly Data'!FR44</f>
        <v>84131.518010559856</v>
      </c>
      <c r="EY68" s="488">
        <f>'Monthly Data'!FS44</f>
        <v>1874807.7374034738</v>
      </c>
      <c r="EZ68" s="488">
        <f>'Monthly Data'!FT44</f>
        <v>6039799.2826614054</v>
      </c>
      <c r="FA68" s="488">
        <f>'Monthly Data'!FX44</f>
        <v>1086.0012913672294</v>
      </c>
      <c r="FB68" s="488">
        <f>'Monthly Data'!FY44</f>
        <v>3639.1769153070368</v>
      </c>
      <c r="FC68" s="488">
        <f>'Monthly Data'!FZ44</f>
        <v>80200.140636358206</v>
      </c>
      <c r="FD68" s="488">
        <f>'Monthly Data'!GA44</f>
        <v>71986.649448377008</v>
      </c>
    </row>
    <row r="69" spans="1:160">
      <c r="A69">
        <v>2019</v>
      </c>
      <c r="B69">
        <v>8</v>
      </c>
      <c r="C69" s="200">
        <v>19.091666666666661</v>
      </c>
      <c r="D69" s="200">
        <v>23.162500000000009</v>
      </c>
      <c r="E69" s="200">
        <v>4.645833333333325</v>
      </c>
      <c r="F69" s="200">
        <v>70.716666666666669</v>
      </c>
      <c r="G69" s="200">
        <v>0</v>
      </c>
      <c r="H69" s="200">
        <v>128.07083333333338</v>
      </c>
      <c r="I69" s="200">
        <v>0</v>
      </c>
      <c r="J69" s="200">
        <v>190.07083333333335</v>
      </c>
      <c r="K69" s="200">
        <v>0</v>
      </c>
      <c r="L69" s="200">
        <v>252.07083333333335</v>
      </c>
      <c r="M69" s="200">
        <v>0</v>
      </c>
      <c r="N69" s="200">
        <v>314.07083333333338</v>
      </c>
      <c r="O69" s="200">
        <v>0</v>
      </c>
      <c r="P69" s="200">
        <v>376.07083333333338</v>
      </c>
      <c r="Q69" s="257">
        <v>20.13131720430108</v>
      </c>
      <c r="S69" s="3">
        <f>'Monthly Data'!D45</f>
        <v>86345194.815284118</v>
      </c>
      <c r="T69" s="3">
        <f>'Monthly Data'!J45</f>
        <v>926557.75290020986</v>
      </c>
      <c r="U69" s="3">
        <f>'Monthly Data'!P45</f>
        <v>24189428.074508585</v>
      </c>
      <c r="V69" s="3">
        <f>'Monthly Data'!V45</f>
        <v>78912811.389812306</v>
      </c>
      <c r="W69" s="3">
        <f>'Monthly Data'!AB45</f>
        <v>7240792.8381349053</v>
      </c>
      <c r="X69" s="3">
        <f>'Monthly Data'!AG45</f>
        <v>18974489.888219096</v>
      </c>
      <c r="Y69" s="3">
        <f>'Monthly Data'!BC45</f>
        <v>35650870.832800739</v>
      </c>
      <c r="Z69" s="3">
        <f>'Monthly Data'!BI45</f>
        <v>7455413.1416013092</v>
      </c>
      <c r="AA69" s="3">
        <f>'Monthly Data'!BO45</f>
        <v>29054092.267787453</v>
      </c>
      <c r="AB69" s="3">
        <f>'Monthly Data'!BU45</f>
        <v>6487924.7348119579</v>
      </c>
      <c r="BF69" t="str">
        <f t="shared" si="324"/>
        <v>September</v>
      </c>
      <c r="BG69" s="521">
        <f t="shared" ref="BG69:BH69" ca="1" si="339">EM54</f>
        <v>0</v>
      </c>
      <c r="BH69" s="521">
        <f t="shared" ca="1" si="339"/>
        <v>272.32121376811591</v>
      </c>
      <c r="BI69" s="521">
        <f t="shared" ca="1" si="313"/>
        <v>0.57166666666666666</v>
      </c>
      <c r="BJ69" s="521">
        <f t="shared" ca="1" si="314"/>
        <v>212.8928804347826</v>
      </c>
      <c r="BK69" s="521">
        <f t="shared" ca="1" si="315"/>
        <v>2.6637499999999994</v>
      </c>
      <c r="BL69" s="521">
        <f t="shared" ca="1" si="316"/>
        <v>154.9849637681159</v>
      </c>
      <c r="BM69" s="521">
        <f t="shared" ca="1" si="317"/>
        <v>10.085869565217392</v>
      </c>
      <c r="BN69" s="521">
        <f t="shared" ca="1" si="318"/>
        <v>102.40708333333332</v>
      </c>
      <c r="BO69" s="521">
        <f t="shared" ca="1" si="319"/>
        <v>25.797536231884056</v>
      </c>
      <c r="BP69" s="521">
        <f t="shared" ca="1" si="320"/>
        <v>58.118749999999991</v>
      </c>
      <c r="BQ69" s="521">
        <f t="shared" ca="1" si="321"/>
        <v>54.412952898550728</v>
      </c>
      <c r="BR69" s="521">
        <f t="shared" ca="1" si="322"/>
        <v>26.734166666666663</v>
      </c>
      <c r="BS69" s="521">
        <f t="shared" ref="BS69:BT69" ca="1" si="340">BG54</f>
        <v>97.667119565217376</v>
      </c>
      <c r="BT69" s="521">
        <f t="shared" ca="1" si="340"/>
        <v>9.9883333333333333</v>
      </c>
      <c r="EU69" s="488">
        <f ca="1">'Monthly Data'!FO45</f>
        <v>809.75321542566326</v>
      </c>
      <c r="EV69" s="488">
        <f>'Monthly Data'!FP45</f>
        <v>620.61475860640871</v>
      </c>
      <c r="EW69" s="488">
        <f>'Monthly Data'!FQ45</f>
        <v>2761.970610170551</v>
      </c>
      <c r="EX69" s="488">
        <f>'Monthly Data'!FR45</f>
        <v>81307.026078916882</v>
      </c>
      <c r="EY69" s="488">
        <f>'Monthly Data'!FS45</f>
        <v>1864054.9614363227</v>
      </c>
      <c r="EZ69" s="488">
        <f>'Monthly Data'!FT45</f>
        <v>5140242.3973471159</v>
      </c>
      <c r="FA69" s="488">
        <f>'Monthly Data'!FX45</f>
        <v>915.55427458924328</v>
      </c>
      <c r="FB69" s="488">
        <f>'Monthly Data'!FY45</f>
        <v>3387.305841059489</v>
      </c>
      <c r="FC69" s="488">
        <f>'Monthly Data'!FZ45</f>
        <v>81235.398388206231</v>
      </c>
      <c r="FD69" s="488">
        <f>'Monthly Data'!GA45</f>
        <v>82468.26732988967</v>
      </c>
    </row>
    <row r="70" spans="1:160">
      <c r="A70">
        <v>2019</v>
      </c>
      <c r="B70">
        <v>9</v>
      </c>
      <c r="C70" s="200">
        <v>113.56666666666666</v>
      </c>
      <c r="D70" s="200">
        <v>5.0833333333333286</v>
      </c>
      <c r="E70" s="200">
        <v>62.054166666666653</v>
      </c>
      <c r="F70" s="200">
        <v>13.570833333333326</v>
      </c>
      <c r="G70" s="200">
        <v>21.004166666666656</v>
      </c>
      <c r="H70" s="200">
        <v>32.520833333333329</v>
      </c>
      <c r="I70" s="200">
        <v>4.9833333333333325</v>
      </c>
      <c r="J70" s="200">
        <v>76.5</v>
      </c>
      <c r="K70" s="200">
        <v>0.4208333333333325</v>
      </c>
      <c r="L70" s="200">
        <v>131.93750000000003</v>
      </c>
      <c r="M70" s="200">
        <v>0</v>
      </c>
      <c r="N70" s="200">
        <v>191.51666666666671</v>
      </c>
      <c r="O70" s="200">
        <v>0</v>
      </c>
      <c r="P70" s="200">
        <v>251.51666666666671</v>
      </c>
      <c r="Q70" s="257">
        <v>16.383888888888887</v>
      </c>
      <c r="S70" s="3">
        <f>'Monthly Data'!D46</f>
        <v>63203273.228448287</v>
      </c>
      <c r="T70" s="3">
        <f>'Monthly Data'!J46</f>
        <v>651162.71957641665</v>
      </c>
      <c r="U70" s="3">
        <f>'Monthly Data'!P46</f>
        <v>20492739.785537113</v>
      </c>
      <c r="V70" s="3">
        <f>'Monthly Data'!V46</f>
        <v>72582129.622434244</v>
      </c>
      <c r="W70" s="3">
        <f>'Monthly Data'!AB46</f>
        <v>7000344.122411198</v>
      </c>
      <c r="X70" s="3">
        <f>'Monthly Data'!AG46</f>
        <v>21063895.493872304</v>
      </c>
      <c r="Y70" s="3">
        <f>'Monthly Data'!BC46</f>
        <v>25563190.833288785</v>
      </c>
      <c r="Z70" s="3">
        <f>'Monthly Data'!BI46</f>
        <v>6384280.2401377456</v>
      </c>
      <c r="AA70" s="3">
        <f>'Monthly Data'!BO46</f>
        <v>26398557.579105373</v>
      </c>
      <c r="AB70" s="3">
        <f>'Monthly Data'!BU46</f>
        <v>6140875.6702025076</v>
      </c>
      <c r="BF70" t="str">
        <f t="shared" si="324"/>
        <v>October</v>
      </c>
      <c r="BG70" s="521">
        <f t="shared" ref="BG70:BH70" ca="1" si="341">EM55</f>
        <v>23.113061594202897</v>
      </c>
      <c r="BH70" s="521">
        <f t="shared" ca="1" si="341"/>
        <v>102.65041666666666</v>
      </c>
      <c r="BI70" s="521">
        <f t="shared" ca="1" si="313"/>
        <v>48.730978260869563</v>
      </c>
      <c r="BJ70" s="521">
        <f t="shared" ca="1" si="314"/>
        <v>66.268333333333345</v>
      </c>
      <c r="BK70" s="521">
        <f t="shared" ca="1" si="315"/>
        <v>82.810561594202895</v>
      </c>
      <c r="BL70" s="521">
        <f t="shared" ca="1" si="316"/>
        <v>38.347916666666663</v>
      </c>
      <c r="BM70" s="521">
        <f t="shared" ca="1" si="317"/>
        <v>126.20389492753625</v>
      </c>
      <c r="BN70" s="521">
        <f t="shared" ca="1" si="318"/>
        <v>19.741250000000004</v>
      </c>
      <c r="BO70" s="521">
        <f t="shared" ca="1" si="319"/>
        <v>176.44514492753621</v>
      </c>
      <c r="BP70" s="521">
        <f t="shared" ca="1" si="320"/>
        <v>7.9825000000000035</v>
      </c>
      <c r="BQ70" s="521">
        <f t="shared" ca="1" si="321"/>
        <v>232.21431159420285</v>
      </c>
      <c r="BR70" s="521">
        <f t="shared" ca="1" si="322"/>
        <v>1.751666666666668</v>
      </c>
      <c r="BS70" s="521">
        <f t="shared" ref="BS70:BT70" ca="1" si="342">BG55</f>
        <v>292.46431159420291</v>
      </c>
      <c r="BT70" s="521">
        <f t="shared" ca="1" si="342"/>
        <v>1.666666666666572E-3</v>
      </c>
      <c r="EU70" s="488">
        <f ca="1">'Monthly Data'!FO46</f>
        <v>600.88180664805816</v>
      </c>
      <c r="EV70" s="488">
        <f>'Monthly Data'!FP46</f>
        <v>444.88655985634347</v>
      </c>
      <c r="EW70" s="488">
        <f>'Monthly Data'!FQ46</f>
        <v>2360.4681605768601</v>
      </c>
      <c r="EX70" s="488">
        <f>'Monthly Data'!FR46</f>
        <v>75341.718843687035</v>
      </c>
      <c r="EY70" s="488">
        <f>'Monthly Data'!FS46</f>
        <v>1804801.5370639104</v>
      </c>
      <c r="EZ70" s="488">
        <f>'Monthly Data'!FT46</f>
        <v>5666605.6197583135</v>
      </c>
      <c r="FA70" s="488">
        <f>'Monthly Data'!FX46</f>
        <v>668.42387811299136</v>
      </c>
      <c r="FB70" s="488">
        <f>'Monthly Data'!FY46</f>
        <v>2913.3508233952762</v>
      </c>
      <c r="FC70" s="488">
        <f>'Monthly Data'!FZ46</f>
        <v>74287.428411147994</v>
      </c>
      <c r="FD70" s="488">
        <f>'Monthly Data'!GA46</f>
        <v>89131.898475862516</v>
      </c>
    </row>
    <row r="71" spans="1:160">
      <c r="A71">
        <v>2019</v>
      </c>
      <c r="B71">
        <v>10</v>
      </c>
      <c r="C71" s="200">
        <v>303.96666666666664</v>
      </c>
      <c r="D71" s="200">
        <v>0</v>
      </c>
      <c r="E71" s="200">
        <v>243.77916666666664</v>
      </c>
      <c r="F71" s="200">
        <v>1.8125000000000036</v>
      </c>
      <c r="G71" s="200">
        <v>183.7791666666667</v>
      </c>
      <c r="H71" s="200">
        <v>3.8125000000000036</v>
      </c>
      <c r="I71" s="200">
        <v>125.30000000000004</v>
      </c>
      <c r="J71" s="200">
        <v>7.3333333333333357</v>
      </c>
      <c r="K71" s="200">
        <v>72.637500000000017</v>
      </c>
      <c r="L71" s="200">
        <v>16.670833333333334</v>
      </c>
      <c r="M71" s="200">
        <v>31.19583333333334</v>
      </c>
      <c r="N71" s="200">
        <v>37.229166666666664</v>
      </c>
      <c r="O71" s="200">
        <v>8.0666666666666664</v>
      </c>
      <c r="P71" s="200">
        <v>76.099999999999994</v>
      </c>
      <c r="Q71" s="257">
        <v>10.194623655913977</v>
      </c>
      <c r="S71" s="3">
        <f>'Monthly Data'!D47</f>
        <v>62118592.750257298</v>
      </c>
      <c r="T71" s="3">
        <f>'Monthly Data'!J47</f>
        <v>778208.35214653681</v>
      </c>
      <c r="U71" s="3">
        <f>'Monthly Data'!P47</f>
        <v>20594868.908175919</v>
      </c>
      <c r="V71" s="3">
        <f>'Monthly Data'!V47</f>
        <v>71401679.018741563</v>
      </c>
      <c r="W71" s="3">
        <f>'Monthly Data'!AB47</f>
        <v>7415913.812719347</v>
      </c>
      <c r="X71" s="3">
        <f>'Monthly Data'!AG47</f>
        <v>23283894.443648901</v>
      </c>
      <c r="Y71" s="3">
        <f>'Monthly Data'!BC47</f>
        <v>23360028.451683752</v>
      </c>
      <c r="Z71" s="3">
        <f>'Monthly Data'!BI47</f>
        <v>6273164.863162444</v>
      </c>
      <c r="AA71" s="3">
        <f>'Monthly Data'!BO47</f>
        <v>25524089.035124585</v>
      </c>
      <c r="AB71" s="3">
        <f>'Monthly Data'!BU47</f>
        <v>6648271.8997107046</v>
      </c>
      <c r="BF71" t="str">
        <f t="shared" si="324"/>
        <v>November</v>
      </c>
      <c r="BG71" s="521">
        <f t="shared" ref="BG71:BH71" ca="1" si="343">EM56</f>
        <v>146.08783055712405</v>
      </c>
      <c r="BH71" s="521">
        <f t="shared" ca="1" si="343"/>
        <v>10.57375</v>
      </c>
      <c r="BI71" s="521">
        <f t="shared" ca="1" si="313"/>
        <v>199.96241389045736</v>
      </c>
      <c r="BJ71" s="521">
        <f t="shared" ca="1" si="314"/>
        <v>4.4483333333333324</v>
      </c>
      <c r="BK71" s="521">
        <f t="shared" ca="1" si="315"/>
        <v>257.43824722379065</v>
      </c>
      <c r="BL71" s="521">
        <f t="shared" ca="1" si="316"/>
        <v>1.9241666666666659</v>
      </c>
      <c r="BM71" s="521">
        <f t="shared" ca="1" si="317"/>
        <v>316.29533055712409</v>
      </c>
      <c r="BN71" s="521">
        <f t="shared" ca="1" si="318"/>
        <v>0.78124999999999944</v>
      </c>
      <c r="BO71" s="521">
        <f t="shared" ca="1" si="319"/>
        <v>375.6644972237907</v>
      </c>
      <c r="BP71" s="521">
        <f t="shared" ca="1" si="320"/>
        <v>0.15041666666666628</v>
      </c>
      <c r="BQ71" s="521">
        <f t="shared" ca="1" si="321"/>
        <v>435.51408055712398</v>
      </c>
      <c r="BR71" s="521">
        <f t="shared" ca="1" si="322"/>
        <v>0</v>
      </c>
      <c r="BS71" s="521">
        <f t="shared" ref="BS71:BT71" ca="1" si="344">BG56</f>
        <v>495.51408055712409</v>
      </c>
      <c r="BT71" s="521">
        <f t="shared" ca="1" si="344"/>
        <v>0</v>
      </c>
      <c r="EU71" s="488">
        <f ca="1">'Monthly Data'!FO47</f>
        <v>590.2471987451479</v>
      </c>
      <c r="EV71" s="488">
        <f>'Monthly Data'!FP47</f>
        <v>526.55168820758274</v>
      </c>
      <c r="EW71" s="488">
        <f>'Monthly Data'!FQ47</f>
        <v>2370.7963427174213</v>
      </c>
      <c r="EX71" s="488">
        <f>'Monthly Data'!FR47</f>
        <v>74391.103626536918</v>
      </c>
      <c r="EY71" s="488">
        <f>'Monthly Data'!FS47</f>
        <v>1909552.7141994622</v>
      </c>
      <c r="EZ71" s="488">
        <f>'Monthly Data'!FT47</f>
        <v>6225617.1782003576</v>
      </c>
      <c r="FA71" s="488">
        <f>'Monthly Data'!FX47</f>
        <v>613.62997896490697</v>
      </c>
      <c r="FB71" s="488">
        <f>'Monthly Data'!FY47</f>
        <v>2863.7292049627367</v>
      </c>
      <c r="FC71" s="488">
        <f>'Monthly Data'!FZ47</f>
        <v>72063.77181526029</v>
      </c>
      <c r="FD71" s="488">
        <f>'Monthly Data'!GA47</f>
        <v>103879.34761813657</v>
      </c>
    </row>
    <row r="72" spans="1:160">
      <c r="A72">
        <v>2019</v>
      </c>
      <c r="B72">
        <v>11</v>
      </c>
      <c r="C72" s="200">
        <v>589.72500000000002</v>
      </c>
      <c r="D72" s="200">
        <v>0</v>
      </c>
      <c r="E72" s="200">
        <v>529.72500000000002</v>
      </c>
      <c r="F72" s="200">
        <v>0</v>
      </c>
      <c r="G72" s="200">
        <v>469.72499999999997</v>
      </c>
      <c r="H72" s="200">
        <v>0</v>
      </c>
      <c r="I72" s="200">
        <v>409.72499999999997</v>
      </c>
      <c r="J72" s="200">
        <v>0</v>
      </c>
      <c r="K72" s="200">
        <v>349.72499999999997</v>
      </c>
      <c r="L72" s="200">
        <v>0</v>
      </c>
      <c r="M72" s="200">
        <v>289.72499999999997</v>
      </c>
      <c r="N72" s="200">
        <v>0</v>
      </c>
      <c r="O72" s="200">
        <v>229.72499999999999</v>
      </c>
      <c r="P72" s="200">
        <v>0</v>
      </c>
      <c r="Q72" s="257">
        <v>0.34250000000000014</v>
      </c>
      <c r="S72" s="3">
        <f>'Monthly Data'!D48</f>
        <v>73382108.692806423</v>
      </c>
      <c r="T72" s="3">
        <f>'Monthly Data'!J48</f>
        <v>850000.97805762349</v>
      </c>
      <c r="U72" s="3">
        <f>'Monthly Data'!P48</f>
        <v>22892420.954073742</v>
      </c>
      <c r="V72" s="3">
        <f>'Monthly Data'!V48</f>
        <v>73288565.787390813</v>
      </c>
      <c r="W72" s="3">
        <f>'Monthly Data'!AB48</f>
        <v>7366660.9009217452</v>
      </c>
      <c r="X72" s="3">
        <f>'Monthly Data'!AG48</f>
        <v>21908888.906306501</v>
      </c>
      <c r="Y72" s="3">
        <f>'Monthly Data'!BC48</f>
        <v>25679250.860024676</v>
      </c>
      <c r="Z72" s="3">
        <f>'Monthly Data'!BI48</f>
        <v>6957317.068720106</v>
      </c>
      <c r="AA72" s="3">
        <f>'Monthly Data'!BO48</f>
        <v>26487151.015310716</v>
      </c>
      <c r="AB72" s="3">
        <f>'Monthly Data'!BU48</f>
        <v>6336749.0838958537</v>
      </c>
      <c r="BF72" t="str">
        <f t="shared" si="324"/>
        <v>December</v>
      </c>
      <c r="BG72" s="521">
        <f t="shared" ref="BG72:BH72" ca="1" si="345">EM57</f>
        <v>292.69541666666663</v>
      </c>
      <c r="BH72" s="521">
        <f t="shared" ca="1" si="345"/>
        <v>0.31000000000000016</v>
      </c>
      <c r="BI72" s="521">
        <f t="shared" ca="1" si="313"/>
        <v>354.42666666666662</v>
      </c>
      <c r="BJ72" s="521">
        <f t="shared" ca="1" si="314"/>
        <v>4.1249999999999967E-2</v>
      </c>
      <c r="BK72" s="521">
        <f t="shared" ca="1" si="315"/>
        <v>416.38541666666663</v>
      </c>
      <c r="BL72" s="521">
        <f t="shared" ca="1" si="316"/>
        <v>0</v>
      </c>
      <c r="BM72" s="521">
        <f t="shared" ca="1" si="317"/>
        <v>478.38541666666663</v>
      </c>
      <c r="BN72" s="521">
        <f t="shared" ca="1" si="318"/>
        <v>0</v>
      </c>
      <c r="BO72" s="521">
        <f t="shared" ca="1" si="319"/>
        <v>540.38541666666674</v>
      </c>
      <c r="BP72" s="521">
        <f t="shared" ca="1" si="320"/>
        <v>0</v>
      </c>
      <c r="BQ72" s="521">
        <f t="shared" ca="1" si="321"/>
        <v>602.38541666666674</v>
      </c>
      <c r="BR72" s="521">
        <f t="shared" ca="1" si="322"/>
        <v>0</v>
      </c>
      <c r="BS72" s="521">
        <f t="shared" ref="BS72:BT72" ca="1" si="346">BG57</f>
        <v>664.38541666666663</v>
      </c>
      <c r="BT72" s="521">
        <f t="shared" ca="1" si="346"/>
        <v>0</v>
      </c>
      <c r="EU72" s="488">
        <f ca="1">'Monthly Data'!FO48</f>
        <v>690.1366369628862</v>
      </c>
      <c r="EV72" s="488">
        <f>'Monthly Data'!FP48</f>
        <v>572.91634659467502</v>
      </c>
      <c r="EW72" s="488">
        <f>'Monthly Data'!FQ48</f>
        <v>2618.2654715614271</v>
      </c>
      <c r="EX72" s="488">
        <f>'Monthly Data'!FR48</f>
        <v>76441.8126051867</v>
      </c>
      <c r="EY72" s="488">
        <f>'Monthly Data'!FS48</f>
        <v>1898098.2408085766</v>
      </c>
      <c r="EZ72" s="488">
        <f>'Monthly Data'!FT48</f>
        <v>5885877.6148626534</v>
      </c>
      <c r="FA72" s="488">
        <f>'Monthly Data'!FX48</f>
        <v>668.48854900896015</v>
      </c>
      <c r="FB72" s="488">
        <f>'Monthly Data'!FY48</f>
        <v>3165.1245095001059</v>
      </c>
      <c r="FC72" s="488">
        <f>'Monthly Data'!FZ48</f>
        <v>74714.201490372361</v>
      </c>
      <c r="FD72" s="488">
        <f>'Monthly Data'!GA48</f>
        <v>111918.40124992027</v>
      </c>
    </row>
    <row r="73" spans="1:160">
      <c r="A73">
        <v>2019</v>
      </c>
      <c r="B73">
        <v>12</v>
      </c>
      <c r="C73" s="200">
        <v>676.42916666666656</v>
      </c>
      <c r="D73" s="200">
        <v>0</v>
      </c>
      <c r="E73" s="200">
        <v>614.42916666666667</v>
      </c>
      <c r="F73" s="200">
        <v>0</v>
      </c>
      <c r="G73" s="200">
        <v>552.42916666666667</v>
      </c>
      <c r="H73" s="200">
        <v>0</v>
      </c>
      <c r="I73" s="200">
        <v>490.42916666666656</v>
      </c>
      <c r="J73" s="200">
        <v>0</v>
      </c>
      <c r="K73" s="200">
        <v>428.42916666666656</v>
      </c>
      <c r="L73" s="200">
        <v>0</v>
      </c>
      <c r="M73" s="200">
        <v>366.42916666666656</v>
      </c>
      <c r="N73" s="200">
        <v>0</v>
      </c>
      <c r="O73" s="200">
        <v>304.42916666666662</v>
      </c>
      <c r="P73" s="200">
        <v>0</v>
      </c>
      <c r="Q73" s="257">
        <v>-1.8202956989247305</v>
      </c>
      <c r="S73" s="3">
        <f>'Monthly Data'!D49</f>
        <v>84687023.918822736</v>
      </c>
      <c r="T73" s="3">
        <f>'Monthly Data'!J49</f>
        <v>983455.6204445716</v>
      </c>
      <c r="U73" s="3">
        <f>'Monthly Data'!P49</f>
        <v>24588262.390020985</v>
      </c>
      <c r="V73" s="3">
        <f>'Monthly Data'!V49</f>
        <v>73231597.662939444</v>
      </c>
      <c r="W73" s="3">
        <f>'Monthly Data'!AB49</f>
        <v>6845974.2180570001</v>
      </c>
      <c r="X73" s="3">
        <f>'Monthly Data'!AG49</f>
        <v>22267669.329051502</v>
      </c>
      <c r="Y73" s="3">
        <f>'Monthly Data'!BC49</f>
        <v>29577153.779500764</v>
      </c>
      <c r="Z73" s="3">
        <f>'Monthly Data'!BI49</f>
        <v>7496598.7104266305</v>
      </c>
      <c r="AA73" s="3">
        <f>'Monthly Data'!BO49</f>
        <v>27323088.052836984</v>
      </c>
      <c r="AB73" s="3">
        <f>'Monthly Data'!BU49</f>
        <v>6490277.7627772428</v>
      </c>
      <c r="EU73" s="488">
        <f ca="1">'Monthly Data'!FO49</f>
        <v>790.48477446761933</v>
      </c>
      <c r="EV73" s="488">
        <f>'Monthly Data'!FP49</f>
        <v>658.82716991670782</v>
      </c>
      <c r="EW73" s="488">
        <f>'Monthly Data'!FQ49</f>
        <v>2800.2192599177406</v>
      </c>
      <c r="EX73" s="488">
        <f>'Monthly Data'!FR49</f>
        <v>76592.290350425756</v>
      </c>
      <c r="EY73" s="488">
        <f>'Monthly Data'!FS49</f>
        <v>1768785.3246509049</v>
      </c>
      <c r="EZ73" s="488">
        <f>'Monthly Data'!FT49</f>
        <v>5979584.5415467992</v>
      </c>
      <c r="FA73" s="488">
        <f>'Monthly Data'!FX49</f>
        <v>761.18839147745609</v>
      </c>
      <c r="FB73" s="488">
        <f>'Monthly Data'!FY49</f>
        <v>3402.3276715535931</v>
      </c>
      <c r="FC73" s="488">
        <f>'Monthly Data'!FZ49</f>
        <v>77027.429726068352</v>
      </c>
      <c r="FD73" s="488">
        <f>'Monthly Data'!GA49</f>
        <v>122709.8845736879</v>
      </c>
    </row>
    <row r="74" spans="1:160">
      <c r="A74">
        <v>2020</v>
      </c>
      <c r="B74">
        <v>1</v>
      </c>
      <c r="C74" s="200">
        <v>690.82083333333321</v>
      </c>
      <c r="D74" s="200">
        <v>0</v>
      </c>
      <c r="E74" s="200">
        <v>628.82083333333333</v>
      </c>
      <c r="F74" s="200">
        <v>0</v>
      </c>
      <c r="G74" s="200">
        <v>566.82083333333333</v>
      </c>
      <c r="H74" s="200">
        <v>0</v>
      </c>
      <c r="I74" s="200">
        <v>504.82083333333333</v>
      </c>
      <c r="J74" s="200">
        <v>0</v>
      </c>
      <c r="K74" s="200">
        <v>442.82083333333327</v>
      </c>
      <c r="L74" s="200">
        <v>0</v>
      </c>
      <c r="M74" s="200">
        <v>380.82083333333333</v>
      </c>
      <c r="N74" s="200">
        <v>0</v>
      </c>
      <c r="O74" s="200">
        <v>318.82083333333333</v>
      </c>
      <c r="P74" s="200">
        <v>0</v>
      </c>
      <c r="Q74" s="257">
        <v>-2.2845430107526878</v>
      </c>
      <c r="S74" s="3">
        <f>'Monthly Data'!D50</f>
        <v>82706668.344152927</v>
      </c>
      <c r="T74" s="3">
        <f>'Monthly Data'!J50</f>
        <v>1012550.1261305095</v>
      </c>
      <c r="U74" s="3">
        <f>'Monthly Data'!P50</f>
        <v>25349715.077933695</v>
      </c>
      <c r="V74" s="3">
        <f>'Monthly Data'!V50</f>
        <v>77626015.724311277</v>
      </c>
      <c r="W74" s="3">
        <f>'Monthly Data'!AB50</f>
        <v>7376452.0903235739</v>
      </c>
      <c r="X74" s="3">
        <f>'Monthly Data'!AG50</f>
        <v>23097936.170742247</v>
      </c>
      <c r="Y74" s="3">
        <f>'Monthly Data'!BC50</f>
        <v>28305509.674057871</v>
      </c>
      <c r="Z74" s="3">
        <f>'Monthly Data'!BI50</f>
        <v>7668181.9182514055</v>
      </c>
      <c r="AA74" s="3">
        <f>'Monthly Data'!BO50</f>
        <v>28961716.097268086</v>
      </c>
      <c r="AB74" s="3">
        <f>'Monthly Data'!BU50</f>
        <v>6948298.4281581491</v>
      </c>
      <c r="EU74" s="488">
        <f ca="1">'Monthly Data'!FO50</f>
        <v>767.912780821355</v>
      </c>
      <c r="EV74" s="488">
        <f>'Monthly Data'!FP50</f>
        <v>676.73166938872237</v>
      </c>
      <c r="EW74" s="488">
        <f>'Monthly Data'!FQ50</f>
        <v>2876.1744861075745</v>
      </c>
      <c r="EX74" s="488">
        <f>'Monthly Data'!FR50</f>
        <v>80602.951643062392</v>
      </c>
      <c r="EY74" s="488">
        <f>'Monthly Data'!FS50</f>
        <v>1860390.0263820649</v>
      </c>
      <c r="EZ74" s="488">
        <f>'Monthly Data'!FT50</f>
        <v>6174521.2357521234</v>
      </c>
      <c r="FA74" s="488">
        <f>'Monthly Data'!FX50</f>
        <v>728.22353474788213</v>
      </c>
      <c r="FB74" s="488">
        <f>'Monthly Data'!FY50</f>
        <v>3472.253151077728</v>
      </c>
      <c r="FC74" s="488">
        <f>'Monthly Data'!FZ50</f>
        <v>81186.933452031502</v>
      </c>
      <c r="FD74" s="488">
        <f>'Monthly Data'!GA50</f>
        <v>118249.7066513615</v>
      </c>
    </row>
    <row r="75" spans="1:160">
      <c r="A75">
        <v>2020</v>
      </c>
      <c r="B75">
        <v>2</v>
      </c>
      <c r="C75" s="200">
        <v>678.4000000000002</v>
      </c>
      <c r="D75" s="200">
        <v>0</v>
      </c>
      <c r="E75" s="200">
        <v>620.40000000000009</v>
      </c>
      <c r="F75" s="200">
        <v>0</v>
      </c>
      <c r="G75" s="200">
        <v>562.4</v>
      </c>
      <c r="H75" s="200">
        <v>0</v>
      </c>
      <c r="I75" s="200">
        <v>504.40000000000003</v>
      </c>
      <c r="J75" s="200">
        <v>0</v>
      </c>
      <c r="K75" s="200">
        <v>446.40000000000003</v>
      </c>
      <c r="L75" s="200">
        <v>0</v>
      </c>
      <c r="M75" s="200">
        <v>388.40000000000003</v>
      </c>
      <c r="N75" s="200">
        <v>0</v>
      </c>
      <c r="O75" s="200">
        <v>330.40000000000003</v>
      </c>
      <c r="P75" s="200">
        <v>0</v>
      </c>
      <c r="Q75" s="257">
        <v>-3.3931034482758609</v>
      </c>
      <c r="S75" s="3">
        <f>'Monthly Data'!D51</f>
        <v>76769592.360837817</v>
      </c>
      <c r="T75" s="3">
        <f>'Monthly Data'!J51</f>
        <v>979926.56485403539</v>
      </c>
      <c r="U75" s="3">
        <f>'Monthly Data'!P51</f>
        <v>23756616.580757681</v>
      </c>
      <c r="V75" s="3">
        <f>'Monthly Data'!V51</f>
        <v>73571967.534429908</v>
      </c>
      <c r="W75" s="3">
        <f>'Monthly Data'!AB51</f>
        <v>7527144.9631686509</v>
      </c>
      <c r="X75" s="3">
        <f>'Monthly Data'!AG51</f>
        <v>21251119.900797833</v>
      </c>
      <c r="Y75" s="3">
        <f>'Monthly Data'!BC51</f>
        <v>26165716.797235411</v>
      </c>
      <c r="Z75" s="3">
        <f>'Monthly Data'!BI51</f>
        <v>7193238.4023531564</v>
      </c>
      <c r="AA75" s="3">
        <f>'Monthly Data'!BO51</f>
        <v>26971126.354848392</v>
      </c>
      <c r="AB75" s="3">
        <f>'Monthly Data'!BU51</f>
        <v>6440409.3924783031</v>
      </c>
      <c r="EU75" s="488">
        <f ca="1">'Monthly Data'!FO51</f>
        <v>714.33079363024467</v>
      </c>
      <c r="EV75" s="488">
        <f>'Monthly Data'!FP51</f>
        <v>655.83918755995569</v>
      </c>
      <c r="EW75" s="488">
        <f>'Monthly Data'!FQ51</f>
        <v>2704.6519394954207</v>
      </c>
      <c r="EX75" s="488">
        <f>'Monthly Data'!FR51</f>
        <v>76513.689333636139</v>
      </c>
      <c r="EY75" s="488">
        <f>'Monthly Data'!FS51</f>
        <v>1859664.228525847</v>
      </c>
      <c r="EZ75" s="488">
        <f>'Monthly Data'!FT51</f>
        <v>5714075.1681688279</v>
      </c>
      <c r="FA75" s="488">
        <f>'Monthly Data'!FX51</f>
        <v>675.55944862811862</v>
      </c>
      <c r="FB75" s="488">
        <f>'Monthly Data'!FY51</f>
        <v>3259.5527390068064</v>
      </c>
      <c r="FC75" s="488">
        <f>'Monthly Data'!FZ51</f>
        <v>75833.563317941444</v>
      </c>
      <c r="FD75" s="488">
        <f>'Monthly Data'!GA51</f>
        <v>63850.679165869515</v>
      </c>
    </row>
    <row r="76" spans="1:160">
      <c r="A76">
        <v>2020</v>
      </c>
      <c r="B76">
        <v>3</v>
      </c>
      <c r="C76" s="200">
        <v>543.57083333333344</v>
      </c>
      <c r="D76" s="200">
        <v>0</v>
      </c>
      <c r="E76" s="200">
        <v>481.57083333333344</v>
      </c>
      <c r="F76" s="200">
        <v>0</v>
      </c>
      <c r="G76" s="200">
        <v>419.57083333333344</v>
      </c>
      <c r="H76" s="200">
        <v>0</v>
      </c>
      <c r="I76" s="200">
        <v>357.57083333333344</v>
      </c>
      <c r="J76" s="200">
        <v>0</v>
      </c>
      <c r="K76" s="200">
        <v>295.57083333333338</v>
      </c>
      <c r="L76" s="200">
        <v>0</v>
      </c>
      <c r="M76" s="200">
        <v>233.60833333333338</v>
      </c>
      <c r="N76" s="200">
        <v>3.7499999999999645E-2</v>
      </c>
      <c r="O76" s="200">
        <v>174.47500000000005</v>
      </c>
      <c r="P76" s="200">
        <v>2.9041666666666668</v>
      </c>
      <c r="Q76" s="257">
        <v>2.4654569892473122</v>
      </c>
      <c r="S76" s="3">
        <f>'Monthly Data'!D52</f>
        <v>76389147.832445249</v>
      </c>
      <c r="T76" s="3">
        <f>'Monthly Data'!J52</f>
        <v>927186.65481778386</v>
      </c>
      <c r="U76" s="3">
        <f>'Monthly Data'!P52</f>
        <v>21883825.022352602</v>
      </c>
      <c r="V76" s="3">
        <f>'Monthly Data'!V52</f>
        <v>71897478.545765027</v>
      </c>
      <c r="W76" s="3">
        <f>'Monthly Data'!AB52</f>
        <v>7794867.2625245843</v>
      </c>
      <c r="X76" s="3">
        <f>'Monthly Data'!AG52</f>
        <v>23113731.735301938</v>
      </c>
      <c r="Y76" s="3">
        <f>'Monthly Data'!BC52</f>
        <v>26776013.116319109</v>
      </c>
      <c r="Z76" s="3">
        <f>'Monthly Data'!BI52</f>
        <v>6577840.2308590002</v>
      </c>
      <c r="AA76" s="3">
        <f>'Monthly Data'!BO52</f>
        <v>25953277.338937253</v>
      </c>
      <c r="AB76" s="3">
        <f>'Monthly Data'!BU52</f>
        <v>6880332.4975891998</v>
      </c>
      <c r="EU76" s="488">
        <f ca="1">'Monthly Data'!FO52</f>
        <v>711.36030831170285</v>
      </c>
      <c r="EV76" s="488">
        <f>'Monthly Data'!FP52</f>
        <v>622.05987116374683</v>
      </c>
      <c r="EW76" s="488">
        <f>'Monthly Data'!FQ52</f>
        <v>2503.0211703338755</v>
      </c>
      <c r="EX76" s="488">
        <f>'Monthly Data'!FR52</f>
        <v>74761.906292945685</v>
      </c>
      <c r="EY76" s="488">
        <f>'Monthly Data'!FS52</f>
        <v>1886503.2289802704</v>
      </c>
      <c r="EZ76" s="488">
        <f>'Monthly Data'!FT52</f>
        <v>6180986.1266976623</v>
      </c>
      <c r="FA76" s="488">
        <f>'Monthly Data'!FX52</f>
        <v>689.10962688632924</v>
      </c>
      <c r="FB76" s="488">
        <f>'Monthly Data'!FY52</f>
        <v>2985.6126551125021</v>
      </c>
      <c r="FC76" s="488">
        <f>'Monthly Data'!FZ52</f>
        <v>73066.273030152472</v>
      </c>
      <c r="FD76" s="488">
        <f>'Monthly Data'!GA52</f>
        <v>98560.366048083655</v>
      </c>
    </row>
    <row r="77" spans="1:160">
      <c r="A77">
        <v>2020</v>
      </c>
      <c r="B77">
        <v>4</v>
      </c>
      <c r="C77" s="200">
        <v>439.67500000000013</v>
      </c>
      <c r="D77" s="200">
        <v>0</v>
      </c>
      <c r="E77" s="200">
        <v>379.67500000000013</v>
      </c>
      <c r="F77" s="200">
        <v>0</v>
      </c>
      <c r="G77" s="200">
        <v>319.67500000000007</v>
      </c>
      <c r="H77" s="200">
        <v>0</v>
      </c>
      <c r="I77" s="200">
        <v>259.67500000000007</v>
      </c>
      <c r="J77" s="200">
        <v>0</v>
      </c>
      <c r="K77" s="200">
        <v>199.67500000000004</v>
      </c>
      <c r="L77" s="200">
        <v>0</v>
      </c>
      <c r="M77" s="200">
        <v>141.82916666666665</v>
      </c>
      <c r="N77" s="200">
        <v>2.1541666666666721</v>
      </c>
      <c r="O77" s="200">
        <v>89.183333333333337</v>
      </c>
      <c r="P77" s="200">
        <v>9.5083333333333364</v>
      </c>
      <c r="Q77" s="257">
        <v>5.3441666666666672</v>
      </c>
      <c r="S77" s="3">
        <f>'Monthly Data'!D53</f>
        <v>70941557.79443942</v>
      </c>
      <c r="T77" s="3">
        <f>'Monthly Data'!J53</f>
        <v>895993.68644342676</v>
      </c>
      <c r="U77" s="3">
        <f>'Monthly Data'!P53</f>
        <v>17271295.091213606</v>
      </c>
      <c r="V77" s="3">
        <f>'Monthly Data'!V53</f>
        <v>59690795.540781029</v>
      </c>
      <c r="W77" s="3">
        <f>'Monthly Data'!AB53</f>
        <v>6612666.9077095129</v>
      </c>
      <c r="X77" s="3">
        <f>'Monthly Data'!AG53</f>
        <v>19268481.578037295</v>
      </c>
      <c r="Y77" s="3">
        <f>'Monthly Data'!BC53</f>
        <v>25667339.784455802</v>
      </c>
      <c r="Z77" s="3">
        <f>'Monthly Data'!BI53</f>
        <v>5157379.2367993109</v>
      </c>
      <c r="AA77" s="3">
        <f>'Monthly Data'!BO53</f>
        <v>23217912.007205043</v>
      </c>
      <c r="AB77" s="3">
        <f>'Monthly Data'!BU53</f>
        <v>7042822.1890067514</v>
      </c>
      <c r="EU77" s="488">
        <f ca="1">'Monthly Data'!FO53</f>
        <v>662.90642023449516</v>
      </c>
      <c r="EV77" s="488">
        <f>'Monthly Data'!FP53</f>
        <v>602.08384859322302</v>
      </c>
      <c r="EW77" s="488">
        <f>'Monthly Data'!FQ53</f>
        <v>2006.0341923706883</v>
      </c>
      <c r="EX77" s="488">
        <f>'Monthly Data'!FR53</f>
        <v>62761.645273524598</v>
      </c>
      <c r="EY77" s="488">
        <f>'Monthly Data'!FS53</f>
        <v>1577712.4246085223</v>
      </c>
      <c r="EZ77" s="488">
        <f>'Monthly Data'!FT53</f>
        <v>5220931.5872843098</v>
      </c>
      <c r="FA77" s="488">
        <f>'Monthly Data'!FX53</f>
        <v>661.40305016301863</v>
      </c>
      <c r="FB77" s="488">
        <f>'Monthly Data'!FY53</f>
        <v>2358.8545664831922</v>
      </c>
      <c r="FC77" s="488">
        <f>'Monthly Data'!FZ53</f>
        <v>65790.1264781809</v>
      </c>
      <c r="FD77" s="488">
        <f>'Monthly Data'!GA53</f>
        <v>82882.800841783042</v>
      </c>
    </row>
    <row r="78" spans="1:160">
      <c r="A78">
        <v>2020</v>
      </c>
      <c r="B78">
        <v>5</v>
      </c>
      <c r="C78" s="200">
        <v>265.14107142857148</v>
      </c>
      <c r="D78" s="200">
        <v>7.9916666666666636</v>
      </c>
      <c r="E78" s="200">
        <v>212.73690476190475</v>
      </c>
      <c r="F78" s="200">
        <v>17.587499999999995</v>
      </c>
      <c r="G78" s="200">
        <v>164.60000000000005</v>
      </c>
      <c r="H78" s="200">
        <v>31.450595238095232</v>
      </c>
      <c r="I78" s="200">
        <v>122.05</v>
      </c>
      <c r="J78" s="200">
        <v>50.900595238095221</v>
      </c>
      <c r="K78" s="200">
        <v>86.899999999999977</v>
      </c>
      <c r="L78" s="200">
        <v>77.750595238095229</v>
      </c>
      <c r="M78" s="200">
        <v>59.029166666666669</v>
      </c>
      <c r="N78" s="200">
        <v>111.87976190476191</v>
      </c>
      <c r="O78" s="200">
        <v>36.524999999999999</v>
      </c>
      <c r="P78" s="200">
        <v>151.37559523809523</v>
      </c>
      <c r="Q78" s="257">
        <v>11.704857910906297</v>
      </c>
      <c r="S78" s="3">
        <f>'Monthly Data'!D54</f>
        <v>73135111.652509913</v>
      </c>
      <c r="T78" s="3">
        <f>'Monthly Data'!J54</f>
        <v>929757.15446479584</v>
      </c>
      <c r="U78" s="3">
        <f>'Monthly Data'!P54</f>
        <v>17544166.519729059</v>
      </c>
      <c r="V78" s="3">
        <f>'Monthly Data'!V54</f>
        <v>62672150.287575491</v>
      </c>
      <c r="W78" s="3">
        <f>'Monthly Data'!AB54</f>
        <v>6777426.0769794425</v>
      </c>
      <c r="X78" s="3">
        <f>'Monthly Data'!AG54</f>
        <v>20554898.119350739</v>
      </c>
      <c r="Y78" s="3">
        <f>'Monthly Data'!BC54</f>
        <v>28778263.172976941</v>
      </c>
      <c r="Z78" s="3">
        <f>'Monthly Data'!BI54</f>
        <v>5356769.0558637744</v>
      </c>
      <c r="AA78" s="3">
        <f>'Monthly Data'!BO54</f>
        <v>22580547.775442809</v>
      </c>
      <c r="AB78" s="3">
        <f>'Monthly Data'!BU54</f>
        <v>7201133.7222757963</v>
      </c>
      <c r="EU78" s="488">
        <f ca="1">'Monthly Data'!FO54</f>
        <v>683.13081343865895</v>
      </c>
      <c r="EV78" s="488">
        <f>'Monthly Data'!FP54</f>
        <v>623.71989290016643</v>
      </c>
      <c r="EW78" s="488">
        <f>'Monthly Data'!FQ54</f>
        <v>2035.9074721389802</v>
      </c>
      <c r="EX78" s="488">
        <f>'Monthly Data'!FR54</f>
        <v>65568.03031421639</v>
      </c>
      <c r="EY78" s="488">
        <f>'Monthly Data'!FS54</f>
        <v>1585546.0711379729</v>
      </c>
      <c r="EZ78" s="488">
        <f>'Monthly Data'!FT54</f>
        <v>5543793.7225154787</v>
      </c>
      <c r="FA78" s="488">
        <f>'Monthly Data'!FX54</f>
        <v>734.78684146869864</v>
      </c>
      <c r="FB78" s="488">
        <f>'Monthly Data'!FY54</f>
        <v>2443.9193939174006</v>
      </c>
      <c r="FC78" s="488">
        <f>'Monthly Data'!FZ54</f>
        <v>64052.825152205201</v>
      </c>
      <c r="FD78" s="488">
        <f>'Monthly Data'!GA54</f>
        <v>75552.888846374582</v>
      </c>
    </row>
    <row r="79" spans="1:160">
      <c r="A79">
        <v>2020</v>
      </c>
      <c r="B79">
        <v>6</v>
      </c>
      <c r="C79" s="200">
        <v>53.275000000000006</v>
      </c>
      <c r="D79" s="200">
        <v>35.811231884057946</v>
      </c>
      <c r="E79" s="200">
        <v>29.733333333333348</v>
      </c>
      <c r="F79" s="200">
        <v>72.269565217391289</v>
      </c>
      <c r="G79" s="200">
        <v>13.145833333333346</v>
      </c>
      <c r="H79" s="200">
        <v>115.68206521739128</v>
      </c>
      <c r="I79" s="200">
        <v>3.4333333333333353</v>
      </c>
      <c r="J79" s="200">
        <v>165.96956521739128</v>
      </c>
      <c r="K79" s="200">
        <v>0</v>
      </c>
      <c r="L79" s="200">
        <v>222.53623188405788</v>
      </c>
      <c r="M79" s="200">
        <v>0</v>
      </c>
      <c r="N79" s="200">
        <v>282.53623188405788</v>
      </c>
      <c r="O79" s="200">
        <v>0</v>
      </c>
      <c r="P79" s="200">
        <v>342.536231884058</v>
      </c>
      <c r="Q79" s="257">
        <v>19.417874396135264</v>
      </c>
      <c r="S79" s="3">
        <f>'Monthly Data'!D55</f>
        <v>87460732.876911551</v>
      </c>
      <c r="T79" s="3">
        <f>'Monthly Data'!J55</f>
        <v>851972.03507918329</v>
      </c>
      <c r="U79" s="3">
        <f>'Monthly Data'!P55</f>
        <v>19750685.764605992</v>
      </c>
      <c r="V79" s="3">
        <f>'Monthly Data'!V55</f>
        <v>70324187.91463396</v>
      </c>
      <c r="W79" s="3">
        <f>'Monthly Data'!AB55</f>
        <v>7163169.2699294202</v>
      </c>
      <c r="X79" s="3">
        <f>'Monthly Data'!AG55</f>
        <v>22503643.083232198</v>
      </c>
      <c r="Y79" s="3">
        <f>'Monthly Data'!BC55</f>
        <v>36746109.836148746</v>
      </c>
      <c r="Z79" s="3">
        <f>'Monthly Data'!BI55</f>
        <v>6164251.8853931595</v>
      </c>
      <c r="AA79" s="3">
        <f>'Monthly Data'!BO55</f>
        <v>27085779.65535875</v>
      </c>
      <c r="AB79" s="3">
        <f>'Monthly Data'!BU55</f>
        <v>7026501.918997108</v>
      </c>
      <c r="EU79" s="488">
        <f ca="1">'Monthly Data'!FO55</f>
        <v>811.58657629402057</v>
      </c>
      <c r="EV79" s="488">
        <f>'Monthly Data'!FP55</f>
        <v>573.89623995728175</v>
      </c>
      <c r="EW79" s="488">
        <f>'Monthly Data'!FQ55</f>
        <v>2274.2056949408152</v>
      </c>
      <c r="EX79" s="488">
        <f>'Monthly Data'!FR55</f>
        <v>72893.772619797819</v>
      </c>
      <c r="EY79" s="488">
        <f>'Monthly Data'!FS55</f>
        <v>1642197.1434285652</v>
      </c>
      <c r="EZ79" s="488">
        <f>'Monthly Data'!FT55</f>
        <v>6032237.9633886516</v>
      </c>
      <c r="FA79" s="488">
        <f>'Monthly Data'!FX55</f>
        <v>923.9964817017069</v>
      </c>
      <c r="FB79" s="488">
        <f>'Monthly Data'!FY55</f>
        <v>2795.1424917787986</v>
      </c>
      <c r="FC79" s="488">
        <f>'Monthly Data'!FZ55</f>
        <v>75802.292014085717</v>
      </c>
      <c r="FD79" s="488">
        <f>'Monthly Data'!GA55</f>
        <v>68504.798801096869</v>
      </c>
    </row>
    <row r="80" spans="1:160">
      <c r="A80">
        <v>2020</v>
      </c>
      <c r="B80">
        <v>7</v>
      </c>
      <c r="C80" s="200">
        <v>0</v>
      </c>
      <c r="D80" s="200">
        <v>122.88750000000002</v>
      </c>
      <c r="E80" s="200">
        <v>0</v>
      </c>
      <c r="F80" s="200">
        <v>184.88749999999999</v>
      </c>
      <c r="G80" s="200">
        <v>0</v>
      </c>
      <c r="H80" s="200">
        <v>246.88749999999999</v>
      </c>
      <c r="I80" s="200">
        <v>0</v>
      </c>
      <c r="J80" s="200">
        <v>308.88750000000005</v>
      </c>
      <c r="K80" s="200">
        <v>0</v>
      </c>
      <c r="L80" s="200">
        <v>370.88750000000005</v>
      </c>
      <c r="M80" s="200">
        <v>0</v>
      </c>
      <c r="N80" s="200">
        <v>432.88750000000005</v>
      </c>
      <c r="O80" s="200">
        <v>0</v>
      </c>
      <c r="P80" s="200">
        <v>494.88750000000005</v>
      </c>
      <c r="Q80" s="257">
        <v>23.964112903225804</v>
      </c>
      <c r="S80" s="3">
        <f>'Monthly Data'!D56</f>
        <v>122787182.88385804</v>
      </c>
      <c r="T80" s="3">
        <f>'Monthly Data'!J56</f>
        <v>1106021.9538160656</v>
      </c>
      <c r="U80" s="3">
        <f>'Monthly Data'!P56</f>
        <v>24624335.550438847</v>
      </c>
      <c r="V80" s="3">
        <f>'Monthly Data'!V56</f>
        <v>80759311.104395419</v>
      </c>
      <c r="W80" s="3">
        <f>'Monthly Data'!AB56</f>
        <v>7465971.0459331227</v>
      </c>
      <c r="X80" s="3">
        <f>'Monthly Data'!AG56</f>
        <v>23195381.739776134</v>
      </c>
      <c r="Y80" s="3">
        <f>'Monthly Data'!BC56</f>
        <v>50964441.662138887</v>
      </c>
      <c r="Z80" s="3">
        <f>'Monthly Data'!BI56</f>
        <v>7716997.0510043995</v>
      </c>
      <c r="AA80" s="3">
        <f>'Monthly Data'!BO56</f>
        <v>27703464.357850492</v>
      </c>
      <c r="AB80" s="3">
        <f>'Monthly Data'!BU56</f>
        <v>7410039.1031822572</v>
      </c>
      <c r="EU80" s="488">
        <f ca="1">'Monthly Data'!FO56</f>
        <v>1125.8867054715959</v>
      </c>
      <c r="EV80" s="488">
        <f>'Monthly Data'!FP56</f>
        <v>736.65108677256148</v>
      </c>
      <c r="EW80" s="488">
        <f>'Monthly Data'!FQ56</f>
        <v>2799.8796407892105</v>
      </c>
      <c r="EX80" s="488">
        <f>'Monthly Data'!FR56</f>
        <v>82885.325761275366</v>
      </c>
      <c r="EY80" s="488">
        <f>'Monthly Data'!FS56</f>
        <v>1678691.867574858</v>
      </c>
      <c r="EZ80" s="488">
        <f>'Monthly Data'!FT56</f>
        <v>6206430.6274274448</v>
      </c>
      <c r="FA80" s="488">
        <f>'Monthly Data'!FX56</f>
        <v>1261.7137009355808</v>
      </c>
      <c r="FB80" s="488">
        <f>'Monthly Data'!FY56</f>
        <v>3471.605116937817</v>
      </c>
      <c r="FC80" s="488">
        <f>'Monthly Data'!FZ56</f>
        <v>77335.483198485468</v>
      </c>
      <c r="FD80" s="488">
        <f>'Monthly Data'!GA56</f>
        <v>70453.080160704034</v>
      </c>
    </row>
    <row r="81" spans="1:160">
      <c r="A81">
        <v>2020</v>
      </c>
      <c r="B81">
        <v>8</v>
      </c>
      <c r="C81" s="200">
        <v>19.720833333333321</v>
      </c>
      <c r="D81" s="200">
        <v>50.651893939393972</v>
      </c>
      <c r="E81" s="200">
        <v>3.4874999999999972</v>
      </c>
      <c r="F81" s="200">
        <v>96.418560606060637</v>
      </c>
      <c r="G81" s="200">
        <v>0</v>
      </c>
      <c r="H81" s="200">
        <v>154.93106060606064</v>
      </c>
      <c r="I81" s="200">
        <v>0</v>
      </c>
      <c r="J81" s="200">
        <v>216.93106060606064</v>
      </c>
      <c r="K81" s="200">
        <v>0</v>
      </c>
      <c r="L81" s="200">
        <v>278.93106060606061</v>
      </c>
      <c r="M81" s="200">
        <v>0</v>
      </c>
      <c r="N81" s="200">
        <v>340.93106060606056</v>
      </c>
      <c r="O81" s="200">
        <v>0</v>
      </c>
      <c r="P81" s="200">
        <v>402.93106060606067</v>
      </c>
      <c r="Q81" s="257">
        <v>20.997776148582602</v>
      </c>
      <c r="S81" s="3">
        <f>'Monthly Data'!D57</f>
        <v>100851149.53129174</v>
      </c>
      <c r="T81" s="3">
        <f>'Monthly Data'!J57</f>
        <v>1055259.6184792977</v>
      </c>
      <c r="U81" s="3">
        <f>'Monthly Data'!P57</f>
        <v>22764303.147748519</v>
      </c>
      <c r="V81" s="3">
        <f>'Monthly Data'!V57</f>
        <v>76991625.360368773</v>
      </c>
      <c r="W81" s="3">
        <f>'Monthly Data'!AB57</f>
        <v>7213390.8943653805</v>
      </c>
      <c r="X81" s="3">
        <f>'Monthly Data'!AG57</f>
        <v>20882050.671992645</v>
      </c>
      <c r="Y81" s="3">
        <f>'Monthly Data'!BC57</f>
        <v>41933405.343542948</v>
      </c>
      <c r="Z81" s="3">
        <f>'Monthly Data'!BI57</f>
        <v>7106326.5336426338</v>
      </c>
      <c r="AA81" s="3">
        <f>'Monthly Data'!BO57</f>
        <v>26763819.278294802</v>
      </c>
      <c r="AB81" s="3">
        <f>'Monthly Data'!BU57</f>
        <v>7205883.9054966262</v>
      </c>
      <c r="EU81" s="488">
        <f ca="1">'Monthly Data'!FO57</f>
        <v>929.77568572592884</v>
      </c>
      <c r="EV81" s="488">
        <f>'Monthly Data'!FP57</f>
        <v>704.13863437345935</v>
      </c>
      <c r="EW81" s="488">
        <f>'Monthly Data'!FQ57</f>
        <v>2599.7713441418382</v>
      </c>
      <c r="EX81" s="488">
        <f>'Monthly Data'!FR57</f>
        <v>79115.743495647592</v>
      </c>
      <c r="EY81" s="488">
        <f>'Monthly Data'!FS57</f>
        <v>1594872.7956649021</v>
      </c>
      <c r="EZ81" s="488">
        <f>'Monthly Data'!FT57</f>
        <v>5629355.8603843804</v>
      </c>
      <c r="FA81" s="488">
        <f>'Monthly Data'!FX57</f>
        <v>1044.5523611095612</v>
      </c>
      <c r="FB81" s="488">
        <f>'Monthly Data'!FY57</f>
        <v>3201.0800580587338</v>
      </c>
      <c r="FC81" s="488">
        <f>'Monthly Data'!FZ57</f>
        <v>74796.534516503933</v>
      </c>
      <c r="FD81" s="488">
        <f>'Monthly Data'!GA57</f>
        <v>79678.473949365463</v>
      </c>
    </row>
    <row r="82" spans="1:160">
      <c r="A82">
        <v>2020</v>
      </c>
      <c r="B82">
        <v>9</v>
      </c>
      <c r="C82" s="200">
        <v>132.75869565217394</v>
      </c>
      <c r="D82" s="200">
        <v>4.6041666666666714</v>
      </c>
      <c r="E82" s="200">
        <v>85.042028985507244</v>
      </c>
      <c r="F82" s="200">
        <v>16.887500000000003</v>
      </c>
      <c r="G82" s="200">
        <v>46.033695652173925</v>
      </c>
      <c r="H82" s="200">
        <v>37.879166666666663</v>
      </c>
      <c r="I82" s="200">
        <v>23.967028985507248</v>
      </c>
      <c r="J82" s="200">
        <v>75.812499999999972</v>
      </c>
      <c r="K82" s="200">
        <v>8.9666666666666686</v>
      </c>
      <c r="L82" s="200">
        <v>120.81213768115938</v>
      </c>
      <c r="M82" s="200">
        <v>2.2333333333333343</v>
      </c>
      <c r="N82" s="200">
        <v>174.07880434782609</v>
      </c>
      <c r="O82" s="200">
        <v>0</v>
      </c>
      <c r="P82" s="200">
        <v>231.84547101449272</v>
      </c>
      <c r="Q82" s="257">
        <v>15.728182367149758</v>
      </c>
      <c r="S82" s="3">
        <f>'Monthly Data'!D58</f>
        <v>68469027.706754729</v>
      </c>
      <c r="T82" s="3">
        <f>'Monthly Data'!J58</f>
        <v>911575.26005533396</v>
      </c>
      <c r="U82" s="3">
        <f>'Monthly Data'!P58</f>
        <v>19251042.874079373</v>
      </c>
      <c r="V82" s="3">
        <f>'Monthly Data'!V58</f>
        <v>70809435.373464376</v>
      </c>
      <c r="W82" s="3">
        <f>'Monthly Data'!AB58</f>
        <v>7123210.2954221126</v>
      </c>
      <c r="X82" s="3">
        <f>'Monthly Data'!AG58</f>
        <v>21464251.169741906</v>
      </c>
      <c r="Y82" s="3">
        <f>'Monthly Data'!BC58</f>
        <v>28026755.107709963</v>
      </c>
      <c r="Z82" s="3">
        <f>'Monthly Data'!BI58</f>
        <v>6028871.1318634003</v>
      </c>
      <c r="AA82" s="3">
        <f>'Monthly Data'!BO58</f>
        <v>24404719.995196633</v>
      </c>
      <c r="AB82" s="3">
        <f>'Monthly Data'!BU58</f>
        <v>6525564.3490838967</v>
      </c>
      <c r="EU82" s="488">
        <f ca="1">'Monthly Data'!FO58</f>
        <v>640.47293932060541</v>
      </c>
      <c r="EV82" s="488">
        <f>'Monthly Data'!FP58</f>
        <v>612.09894104726197</v>
      </c>
      <c r="EW82" s="488">
        <f>'Monthly Data'!FQ58</f>
        <v>2221.6069632312674</v>
      </c>
      <c r="EX82" s="488">
        <f>'Monthly Data'!FR58</f>
        <v>73032.346462599118</v>
      </c>
      <c r="EY82" s="488">
        <f>'Monthly Data'!FS58</f>
        <v>1548184.1233218515</v>
      </c>
      <c r="EZ82" s="488">
        <f>'Monthly Data'!FT58</f>
        <v>5776163.9847245039</v>
      </c>
      <c r="FA82" s="488">
        <f>'Monthly Data'!FX58</f>
        <v>712.15136980229443</v>
      </c>
      <c r="FB82" s="488">
        <f>'Monthly Data'!FY58</f>
        <v>2727.4375464937289</v>
      </c>
      <c r="FC82" s="488">
        <f>'Monthly Data'!FZ58</f>
        <v>68568.606601898267</v>
      </c>
      <c r="FD82" s="488">
        <f>'Monthly Data'!GA58</f>
        <v>87919.801033097378</v>
      </c>
    </row>
    <row r="83" spans="1:160">
      <c r="A83">
        <v>2020</v>
      </c>
      <c r="B83">
        <v>10</v>
      </c>
      <c r="C83" s="200">
        <v>349.83333333333326</v>
      </c>
      <c r="D83" s="200">
        <v>0</v>
      </c>
      <c r="E83" s="200">
        <v>287.83333333333331</v>
      </c>
      <c r="F83" s="200">
        <v>0</v>
      </c>
      <c r="G83" s="200">
        <v>226.0625</v>
      </c>
      <c r="H83" s="200">
        <v>0.22916666666666785</v>
      </c>
      <c r="I83" s="200">
        <v>167.76250000000005</v>
      </c>
      <c r="J83" s="200">
        <v>3.9291666666666654</v>
      </c>
      <c r="K83" s="200">
        <v>112.09583333333335</v>
      </c>
      <c r="L83" s="200">
        <v>10.262500000000003</v>
      </c>
      <c r="M83" s="200">
        <v>71.3</v>
      </c>
      <c r="N83" s="200">
        <v>31.466666666666676</v>
      </c>
      <c r="O83" s="200">
        <v>38.454166666666666</v>
      </c>
      <c r="P83" s="200">
        <v>60.620833333333344</v>
      </c>
      <c r="Q83" s="257">
        <v>8.7150537634408618</v>
      </c>
      <c r="S83" s="3">
        <f>'Monthly Data'!D59</f>
        <v>67594353.770930931</v>
      </c>
      <c r="T83" s="3">
        <f>'Monthly Data'!J59</f>
        <v>1074065.4074699485</v>
      </c>
      <c r="U83" s="3">
        <f>'Monthly Data'!P59</f>
        <v>19197266.391184889</v>
      </c>
      <c r="V83" s="3">
        <f>'Monthly Data'!V59</f>
        <v>70432545.285344929</v>
      </c>
      <c r="W83" s="3">
        <f>'Monthly Data'!AB59</f>
        <v>7362065.2551197475</v>
      </c>
      <c r="X83" s="3">
        <f>'Monthly Data'!AG59</f>
        <v>22466136.447204463</v>
      </c>
      <c r="Y83" s="3">
        <f>'Monthly Data'!BC59</f>
        <v>25644170.859603882</v>
      </c>
      <c r="Z83" s="3">
        <f>'Monthly Data'!BI59</f>
        <v>5984301.5353070591</v>
      </c>
      <c r="AA83" s="3">
        <f>'Monthly Data'!BO59</f>
        <v>24332698.610627439</v>
      </c>
      <c r="AB83" s="3">
        <f>'Monthly Data'!BU59</f>
        <v>6478748.5149469627</v>
      </c>
      <c r="EU83" s="488">
        <f ca="1">'Monthly Data'!FO59</f>
        <v>630.82687151764969</v>
      </c>
      <c r="EV83" s="488">
        <f>'Monthly Data'!FP59</f>
        <v>716.19922583674565</v>
      </c>
      <c r="EW83" s="488">
        <f>'Monthly Data'!FQ59</f>
        <v>2216.2335210169581</v>
      </c>
      <c r="EX83" s="488">
        <f>'Monthly Data'!FR59</f>
        <v>72559.761255264937</v>
      </c>
      <c r="EY83" s="488">
        <f>'Monthly Data'!FS59</f>
        <v>1571181.727674955</v>
      </c>
      <c r="EZ83" s="488">
        <f>'Monthly Data'!FT59</f>
        <v>6027893.3039929513</v>
      </c>
      <c r="FA83" s="488">
        <f>'Monthly Data'!FX59</f>
        <v>654.4316715550201</v>
      </c>
      <c r="FB83" s="488">
        <f>'Monthly Data'!FY59</f>
        <v>2705.2171677369965</v>
      </c>
      <c r="FC83" s="488">
        <f>'Monthly Data'!FZ59</f>
        <v>68313.161887294918</v>
      </c>
      <c r="FD83" s="488">
        <f>'Monthly Data'!GA59</f>
        <v>102700.51973726164</v>
      </c>
    </row>
    <row r="84" spans="1:160">
      <c r="A84">
        <v>2020</v>
      </c>
      <c r="B84">
        <v>11</v>
      </c>
      <c r="C84" s="200">
        <v>426.30072463768113</v>
      </c>
      <c r="D84" s="200">
        <v>0</v>
      </c>
      <c r="E84" s="200">
        <v>366.30072463768118</v>
      </c>
      <c r="F84" s="200">
        <v>0</v>
      </c>
      <c r="G84" s="200">
        <v>306.30072463768124</v>
      </c>
      <c r="H84" s="200">
        <v>0</v>
      </c>
      <c r="I84" s="200">
        <v>246.30072463768118</v>
      </c>
      <c r="J84" s="200">
        <v>0</v>
      </c>
      <c r="K84" s="200">
        <v>188.12989130434778</v>
      </c>
      <c r="L84" s="200">
        <v>1.8291666666666622</v>
      </c>
      <c r="M84" s="200">
        <v>136.26322463768113</v>
      </c>
      <c r="N84" s="200">
        <v>9.9624999999999932</v>
      </c>
      <c r="O84" s="200">
        <v>92.875724637681159</v>
      </c>
      <c r="P84" s="200">
        <v>26.574999999999996</v>
      </c>
      <c r="Q84" s="257">
        <v>5.7899758454106278</v>
      </c>
      <c r="S84" s="3">
        <f>'Monthly Data'!D60</f>
        <v>71345802.739334464</v>
      </c>
      <c r="T84" s="3">
        <f>'Monthly Data'!J60</f>
        <v>867909.25951154449</v>
      </c>
      <c r="U84" s="3">
        <f>'Monthly Data'!P60</f>
        <v>20357369.628620494</v>
      </c>
      <c r="V84" s="3">
        <f>'Monthly Data'!V60</f>
        <v>70269515.059937552</v>
      </c>
      <c r="W84" s="3">
        <f>'Monthly Data'!AB60</f>
        <v>7082538.0365613773</v>
      </c>
      <c r="X84" s="3">
        <f>'Monthly Data'!AG60</f>
        <v>22286749.855315357</v>
      </c>
      <c r="Y84" s="3">
        <f>'Monthly Data'!BC60</f>
        <v>26179878.399339963</v>
      </c>
      <c r="Z84" s="3">
        <f>'Monthly Data'!BI60</f>
        <v>6217974.5254926337</v>
      </c>
      <c r="AA84" s="3">
        <f>'Monthly Data'!BO60</f>
        <v>24729733.139597718</v>
      </c>
      <c r="AB84" s="3">
        <f>'Monthly Data'!BU60</f>
        <v>6282187.0491803279</v>
      </c>
      <c r="EU84" s="488">
        <f ca="1">'Monthly Data'!FO60</f>
        <v>663.14400432383377</v>
      </c>
      <c r="EV84" s="488">
        <f>'Monthly Data'!FP60</f>
        <v>584.13916765824808</v>
      </c>
      <c r="EW84" s="488">
        <f>'Monthly Data'!FQ60</f>
        <v>2341.6044205180592</v>
      </c>
      <c r="EX84" s="488">
        <f>'Monthly Data'!FR60</f>
        <v>72294.428885146335</v>
      </c>
      <c r="EY84" s="488">
        <f>'Monthly Data'!FS60</f>
        <v>1487966.0888453759</v>
      </c>
      <c r="EZ84" s="488">
        <f>'Monthly Data'!FT60</f>
        <v>5984304.655923483</v>
      </c>
      <c r="FA84" s="488">
        <f>'Monthly Data'!FX60</f>
        <v>666.07264143185557</v>
      </c>
      <c r="FB84" s="488">
        <f>'Monthly Data'!FY60</f>
        <v>2804.2166011860782</v>
      </c>
      <c r="FC84" s="488">
        <f>'Monthly Data'!FZ60</f>
        <v>69276.248206076052</v>
      </c>
      <c r="FD84" s="488">
        <f>'Monthly Data'!GA60</f>
        <v>109581.20017856003</v>
      </c>
    </row>
    <row r="85" spans="1:160">
      <c r="A85">
        <v>2020</v>
      </c>
      <c r="B85">
        <v>12</v>
      </c>
      <c r="C85" s="200">
        <v>644.90416666666681</v>
      </c>
      <c r="D85" s="200">
        <v>0</v>
      </c>
      <c r="E85" s="200">
        <v>582.90416666666681</v>
      </c>
      <c r="F85" s="200">
        <v>0</v>
      </c>
      <c r="G85" s="200">
        <v>520.90416666666681</v>
      </c>
      <c r="H85" s="200">
        <v>0</v>
      </c>
      <c r="I85" s="200">
        <v>458.90416666666681</v>
      </c>
      <c r="J85" s="200">
        <v>0</v>
      </c>
      <c r="K85" s="200">
        <v>396.9041666666667</v>
      </c>
      <c r="L85" s="200">
        <v>0</v>
      </c>
      <c r="M85" s="200">
        <v>334.90416666666664</v>
      </c>
      <c r="N85" s="200">
        <v>0</v>
      </c>
      <c r="O85" s="200">
        <v>272.9041666666667</v>
      </c>
      <c r="P85" s="200">
        <v>0</v>
      </c>
      <c r="Q85" s="257">
        <v>-0.80336021505376376</v>
      </c>
      <c r="S85" s="3">
        <f>'Monthly Data'!D61</f>
        <v>88143854.208387718</v>
      </c>
      <c r="T85" s="3">
        <f>'Monthly Data'!J61</f>
        <v>1198107.4895821407</v>
      </c>
      <c r="U85" s="3">
        <f>'Monthly Data'!P61</f>
        <v>22643808.373335242</v>
      </c>
      <c r="V85" s="3">
        <f>'Monthly Data'!V61</f>
        <v>72747277.305280939</v>
      </c>
      <c r="W85" s="3">
        <f>'Monthly Data'!AB61</f>
        <v>6713120.0489799045</v>
      </c>
      <c r="X85" s="3">
        <f>'Monthly Data'!AG61</f>
        <v>22308391.16856432</v>
      </c>
      <c r="Y85" s="3">
        <f>'Monthly Data'!BC61</f>
        <v>31621279.866213601</v>
      </c>
      <c r="Z85" s="3">
        <f>'Monthly Data'!BI61</f>
        <v>6955709.3629137073</v>
      </c>
      <c r="AA85" s="3">
        <f>'Monthly Data'!BO61</f>
        <v>27558032.408285797</v>
      </c>
      <c r="AB85" s="3">
        <f>'Monthly Data'!BU61</f>
        <v>6880329.1128254589</v>
      </c>
      <c r="EU85" s="488">
        <f ca="1">'Monthly Data'!FO61</f>
        <v>810.28811143623909</v>
      </c>
      <c r="EV85" s="488">
        <f>'Monthly Data'!FP61</f>
        <v>795.67576420684884</v>
      </c>
      <c r="EW85" s="488">
        <f>'Monthly Data'!FQ61</f>
        <v>2588.2287547144701</v>
      </c>
      <c r="EX85" s="488">
        <f>'Monthly Data'!FR61</f>
        <v>74562.034003264765</v>
      </c>
      <c r="EY85" s="488">
        <f>'Monthly Data'!FS61</f>
        <v>1389546.1508388282</v>
      </c>
      <c r="EZ85" s="488">
        <f>'Monthly Data'!FT61</f>
        <v>5990972.9841385316</v>
      </c>
      <c r="FA85" s="488">
        <f>'Monthly Data'!FX61</f>
        <v>793.77061941995009</v>
      </c>
      <c r="FB85" s="488">
        <f>'Monthly Data'!FY61</f>
        <v>3122.239023002754</v>
      </c>
      <c r="FC85" s="488">
        <f>'Monthly Data'!FZ61</f>
        <v>76534.20527677334</v>
      </c>
      <c r="FD85" s="488">
        <f>'Monthly Data'!GA61</f>
        <v>118370.40048466295</v>
      </c>
    </row>
    <row r="86" spans="1:160">
      <c r="A86">
        <v>2021</v>
      </c>
      <c r="B86">
        <v>1</v>
      </c>
      <c r="C86" s="200">
        <v>715.50416666666661</v>
      </c>
      <c r="D86" s="200">
        <v>0</v>
      </c>
      <c r="E86" s="200">
        <v>653.50416666666661</v>
      </c>
      <c r="F86" s="200">
        <v>0</v>
      </c>
      <c r="G86" s="200">
        <v>591.50416666666661</v>
      </c>
      <c r="H86" s="200">
        <v>0</v>
      </c>
      <c r="I86" s="200">
        <v>529.50416666666661</v>
      </c>
      <c r="J86" s="200">
        <v>0</v>
      </c>
      <c r="K86" s="200">
        <v>467.50416666666661</v>
      </c>
      <c r="L86" s="200">
        <v>0</v>
      </c>
      <c r="M86" s="200">
        <v>405.50416666666661</v>
      </c>
      <c r="N86" s="200">
        <v>0</v>
      </c>
      <c r="O86" s="200">
        <v>343.50416666666661</v>
      </c>
      <c r="P86" s="200">
        <v>0</v>
      </c>
      <c r="Q86" s="257">
        <v>-3.0807795698924729</v>
      </c>
      <c r="S86" s="3">
        <f>'Monthly Data'!D62</f>
        <v>89382214.899493799</v>
      </c>
      <c r="T86" s="3">
        <f>'Monthly Data'!J62</f>
        <v>1311403.7624976148</v>
      </c>
      <c r="U86" s="3">
        <f>'Monthly Data'!P62</f>
        <v>22226475.203920912</v>
      </c>
      <c r="V86" s="3">
        <f>'Monthly Data'!V62</f>
        <v>74944654.309794828</v>
      </c>
      <c r="W86" s="3">
        <f>'Monthly Data'!AB62</f>
        <v>7075881.4165606061</v>
      </c>
      <c r="X86" s="3">
        <f>'Monthly Data'!AG62</f>
        <v>24508274.280805893</v>
      </c>
      <c r="Y86" s="3">
        <f>'Monthly Data'!BC62</f>
        <v>31268800.304591253</v>
      </c>
      <c r="Z86" s="3">
        <f>'Monthly Data'!BI62</f>
        <v>6920260.8787641088</v>
      </c>
      <c r="AA86" s="3">
        <f>'Monthly Data'!BO62</f>
        <v>27010629.389372561</v>
      </c>
      <c r="AB86" s="3">
        <f>'Monthly Data'!BU62</f>
        <v>7444550.1350048222</v>
      </c>
      <c r="EU86" s="488">
        <f ca="1">'Monthly Data'!FO62</f>
        <v>816.16649432622739</v>
      </c>
      <c r="EV86" s="488">
        <f ca="1">'Monthly Data'!FP62</f>
        <v>868.45558282059596</v>
      </c>
      <c r="EW86" s="488">
        <f ca="1">'Monthly Data'!FQ62</f>
        <v>2541.3411729901331</v>
      </c>
      <c r="EX86" s="488">
        <f ca="1">'Monthly Data'!FR62</f>
        <v>76657.60416991885</v>
      </c>
      <c r="EY86" s="488">
        <f ca="1">'Monthly Data'!FS62</f>
        <v>1438414.7650979788</v>
      </c>
      <c r="EZ86" s="488">
        <f ca="1">'Monthly Data'!FT62</f>
        <v>6547484.6079694703</v>
      </c>
      <c r="FA86" s="488">
        <f ca="1">'Monthly Data'!FX62</f>
        <v>780.56249970038641</v>
      </c>
      <c r="FB86" s="488">
        <f ca="1">'Monthly Data'!FY62</f>
        <v>3102.4494204037892</v>
      </c>
      <c r="FC86" s="488">
        <f ca="1">'Monthly Data'!FZ62</f>
        <v>75046.437956551323</v>
      </c>
      <c r="FD86" s="488">
        <f>'Monthly Data'!GA62</f>
        <v>115761.93482558509</v>
      </c>
    </row>
    <row r="87" spans="1:160">
      <c r="A87">
        <v>2021</v>
      </c>
      <c r="B87">
        <v>2</v>
      </c>
      <c r="C87" s="200">
        <v>709.45416666666654</v>
      </c>
      <c r="D87" s="200">
        <v>0</v>
      </c>
      <c r="E87" s="200">
        <v>653.45416666666654</v>
      </c>
      <c r="F87" s="200">
        <v>0</v>
      </c>
      <c r="G87" s="200">
        <v>597.45416666666665</v>
      </c>
      <c r="H87" s="200">
        <v>0</v>
      </c>
      <c r="I87" s="200">
        <v>541.45416666666677</v>
      </c>
      <c r="J87" s="200">
        <v>0</v>
      </c>
      <c r="K87" s="200">
        <v>485.45416666666677</v>
      </c>
      <c r="L87" s="200">
        <v>0</v>
      </c>
      <c r="M87" s="200">
        <v>429.45416666666677</v>
      </c>
      <c r="N87" s="200">
        <v>0</v>
      </c>
      <c r="O87" s="200">
        <v>373.45416666666665</v>
      </c>
      <c r="P87" s="200">
        <v>0</v>
      </c>
      <c r="Q87" s="257">
        <v>-5.3376488095238086</v>
      </c>
      <c r="S87" s="3">
        <f>'Monthly Data'!D63</f>
        <v>82639101.125377119</v>
      </c>
      <c r="T87" s="3">
        <f>'Monthly Data'!J63</f>
        <v>1283763.8936653312</v>
      </c>
      <c r="U87" s="3">
        <f>'Monthly Data'!P63</f>
        <v>21496338.570416048</v>
      </c>
      <c r="V87" s="3">
        <f>'Monthly Data'!V63</f>
        <v>70447338.964920104</v>
      </c>
      <c r="W87" s="3">
        <f>'Monthly Data'!AB63</f>
        <v>7473931.0135369645</v>
      </c>
      <c r="X87" s="3">
        <f>'Monthly Data'!AG63</f>
        <v>22453066.100427002</v>
      </c>
      <c r="Y87" s="3">
        <f>'Monthly Data'!BC63</f>
        <v>28565518.815658789</v>
      </c>
      <c r="Z87" s="3">
        <f>'Monthly Data'!BI63</f>
        <v>6640722.1959345508</v>
      </c>
      <c r="AA87" s="3">
        <f>'Monthly Data'!BO63</f>
        <v>25347446.258781146</v>
      </c>
      <c r="AB87" s="3">
        <f>'Monthly Data'!BU63</f>
        <v>6904914.9951783996</v>
      </c>
      <c r="EU87" s="488">
        <f ca="1">'Monthly Data'!FO63</f>
        <v>755.83830278285802</v>
      </c>
      <c r="EV87" s="488">
        <f ca="1">'Monthly Data'!FP63</f>
        <v>850.93392896381044</v>
      </c>
      <c r="EW87" s="488">
        <f ca="1">'Monthly Data'!FQ63</f>
        <v>2462.0527141786674</v>
      </c>
      <c r="EX87" s="488">
        <f ca="1">'Monthly Data'!FR63</f>
        <v>72288.292545944219</v>
      </c>
      <c r="EY87" s="488">
        <f ca="1">'Monthly Data'!FS63</f>
        <v>1492480.5055843922</v>
      </c>
      <c r="EZ87" s="488">
        <f ca="1">'Monthly Data'!FT63</f>
        <v>6035477.2089062119</v>
      </c>
      <c r="FA87" s="488">
        <f ca="1">'Monthly Data'!FX63</f>
        <v>714.6678876393263</v>
      </c>
      <c r="FB87" s="488">
        <f ca="1">'Monthly Data'!FY63</f>
        <v>2976.0516345351025</v>
      </c>
      <c r="FC87" s="488">
        <f ca="1">'Monthly Data'!FZ63</f>
        <v>70666.966602053159</v>
      </c>
      <c r="FD87" s="488">
        <f>'Monthly Data'!GA63</f>
        <v>96238.798546011094</v>
      </c>
    </row>
    <row r="88" spans="1:160">
      <c r="A88">
        <v>2021</v>
      </c>
      <c r="B88">
        <v>3</v>
      </c>
      <c r="C88" s="200">
        <v>554.59637681159427</v>
      </c>
      <c r="D88" s="200">
        <v>0</v>
      </c>
      <c r="E88" s="200">
        <v>492.59637681159415</v>
      </c>
      <c r="F88" s="200">
        <v>0</v>
      </c>
      <c r="G88" s="200">
        <v>430.59637681159427</v>
      </c>
      <c r="H88" s="200">
        <v>0</v>
      </c>
      <c r="I88" s="200">
        <v>368.59637681159427</v>
      </c>
      <c r="J88" s="200">
        <v>0</v>
      </c>
      <c r="K88" s="200">
        <v>306.89221014492756</v>
      </c>
      <c r="L88" s="200">
        <v>0.29583333333332895</v>
      </c>
      <c r="M88" s="200">
        <v>249.74637681159425</v>
      </c>
      <c r="N88" s="200">
        <v>5.1499999999999932</v>
      </c>
      <c r="O88" s="200">
        <v>194.65054347826086</v>
      </c>
      <c r="P88" s="200">
        <v>12.05416666666666</v>
      </c>
      <c r="Q88" s="257">
        <v>2.1097942964001866</v>
      </c>
      <c r="S88" s="3">
        <f>'Monthly Data'!D64</f>
        <v>78231418.402900591</v>
      </c>
      <c r="T88" s="3">
        <f>'Monthly Data'!J64</f>
        <v>1081067.1783915283</v>
      </c>
      <c r="U88" s="3">
        <f>'Monthly Data'!P64</f>
        <v>22204985.212154265</v>
      </c>
      <c r="V88" s="3">
        <f>'Monthly Data'!V64</f>
        <v>75581271.683287993</v>
      </c>
      <c r="W88" s="3">
        <f>'Monthly Data'!AB64</f>
        <v>8270148.038875388</v>
      </c>
      <c r="X88" s="3">
        <f>'Monthly Data'!AG64</f>
        <v>24538440.266886871</v>
      </c>
      <c r="Y88" s="3">
        <f>'Monthly Data'!BC64</f>
        <v>27916587.718786966</v>
      </c>
      <c r="Z88" s="3">
        <f>'Monthly Data'!BI64</f>
        <v>6743156.0372967282</v>
      </c>
      <c r="AA88" s="3">
        <f>'Monthly Data'!BO64</f>
        <v>25992829.377364151</v>
      </c>
      <c r="AB88" s="3">
        <f>'Monthly Data'!BU64</f>
        <v>7218645.978784957</v>
      </c>
      <c r="EU88" s="488">
        <f ca="1">'Monthly Data'!FO64</f>
        <v>718.37505242435452</v>
      </c>
      <c r="EV88" s="488">
        <f ca="1">'Monthly Data'!FP64</f>
        <v>721.18886001465944</v>
      </c>
      <c r="EW88" s="488">
        <f ca="1">'Monthly Data'!FQ64</f>
        <v>2537.5599277740348</v>
      </c>
      <c r="EX88" s="488">
        <f ca="1">'Monthly Data'!FR64</f>
        <v>77127.505896436545</v>
      </c>
      <c r="EY88" s="488">
        <f ca="1">'Monthly Data'!FS64</f>
        <v>1620671.2882830591</v>
      </c>
      <c r="EZ88" s="488">
        <f ca="1">'Monthly Data'!FT64</f>
        <v>6558615.3965526447</v>
      </c>
      <c r="FA88" s="488">
        <f ca="1">'Monthly Data'!FX64</f>
        <v>697.35741808407238</v>
      </c>
      <c r="FB88" s="488">
        <f ca="1">'Monthly Data'!FY64</f>
        <v>3015.3494928198147</v>
      </c>
      <c r="FC88" s="488">
        <f ca="1">'Monthly Data'!FZ64</f>
        <v>72250.497066501965</v>
      </c>
      <c r="FD88" s="488">
        <f>'Monthly Data'!GA64</f>
        <v>95938.281997321596</v>
      </c>
    </row>
    <row r="89" spans="1:160">
      <c r="A89">
        <v>2021</v>
      </c>
      <c r="B89">
        <v>4</v>
      </c>
      <c r="C89" s="200">
        <v>379.79583333333329</v>
      </c>
      <c r="D89" s="200">
        <v>0</v>
      </c>
      <c r="E89" s="200">
        <v>319.79583333333329</v>
      </c>
      <c r="F89" s="200">
        <v>0</v>
      </c>
      <c r="G89" s="200">
        <v>260.00833333333338</v>
      </c>
      <c r="H89" s="200">
        <v>0.21249999999999858</v>
      </c>
      <c r="I89" s="200">
        <v>203.50416666666672</v>
      </c>
      <c r="J89" s="200">
        <v>3.7083333333333339</v>
      </c>
      <c r="K89" s="200">
        <v>150.85000000000002</v>
      </c>
      <c r="L89" s="200">
        <v>11.054166666666664</v>
      </c>
      <c r="M89" s="200">
        <v>102.15833333333332</v>
      </c>
      <c r="N89" s="200">
        <v>22.362499999999997</v>
      </c>
      <c r="O89" s="200">
        <v>60.454166666666659</v>
      </c>
      <c r="P89" s="200">
        <v>40.658333333333331</v>
      </c>
      <c r="Q89" s="257">
        <v>7.3401388888888865</v>
      </c>
      <c r="S89" s="3">
        <f>'Monthly Data'!D65</f>
        <v>67483096.991996661</v>
      </c>
      <c r="T89" s="3">
        <f>'Monthly Data'!J65</f>
        <v>899605.76623736019</v>
      </c>
      <c r="U89" s="3">
        <f>'Monthly Data'!P65</f>
        <v>18330460.861734305</v>
      </c>
      <c r="V89" s="3">
        <f>'Monthly Data'!V65</f>
        <v>67306700.974254921</v>
      </c>
      <c r="W89" s="3">
        <f>'Monthly Data'!AB65</f>
        <v>7606734.6214663098</v>
      </c>
      <c r="X89" s="3">
        <f>'Monthly Data'!AG65</f>
        <v>22559427.455029573</v>
      </c>
      <c r="Y89" s="3">
        <f>'Monthly Data'!BC65</f>
        <v>25149927.52447886</v>
      </c>
      <c r="Z89" s="3">
        <f>'Monthly Data'!BI65</f>
        <v>5628072.07530131</v>
      </c>
      <c r="AA89" s="3">
        <f>'Monthly Data'!BO65</f>
        <v>22595018.202341639</v>
      </c>
      <c r="AB89" s="3">
        <f>'Monthly Data'!BU65</f>
        <v>6874468.2835101262</v>
      </c>
      <c r="EU89" s="488">
        <f ca="1">'Monthly Data'!FO65</f>
        <v>624.94845546655074</v>
      </c>
      <c r="EV89" s="488">
        <f ca="1">'Monthly Data'!FP65</f>
        <v>605.00361564789887</v>
      </c>
      <c r="EW89" s="488">
        <f ca="1">'Monthly Data'!FQ65</f>
        <v>2120.3755890196185</v>
      </c>
      <c r="EX89" s="488">
        <f ca="1">'Monthly Data'!FR65</f>
        <v>69167.404690132302</v>
      </c>
      <c r="EY89" s="488">
        <f ca="1">'Monthly Data'!FS65</f>
        <v>1471175.4010072362</v>
      </c>
      <c r="EZ89" s="488">
        <f ca="1">'Monthly Data'!FT65</f>
        <v>6065656.8396197855</v>
      </c>
      <c r="FA89" s="488">
        <f ca="1">'Monthly Data'!FX65</f>
        <v>630.47459900127842</v>
      </c>
      <c r="FB89" s="488">
        <f ca="1">'Monthly Data'!FY65</f>
        <v>2528.8045898122059</v>
      </c>
      <c r="FC89" s="488">
        <f ca="1">'Monthly Data'!FZ65</f>
        <v>63434.105707551833</v>
      </c>
      <c r="FD89" s="488">
        <f>'Monthly Data'!GA65</f>
        <v>80841.601300937429</v>
      </c>
    </row>
    <row r="90" spans="1:160">
      <c r="A90">
        <v>2021</v>
      </c>
      <c r="B90">
        <v>5</v>
      </c>
      <c r="C90" s="200">
        <v>221.92222222222222</v>
      </c>
      <c r="D90" s="200">
        <v>6.4541666666666622</v>
      </c>
      <c r="E90" s="200">
        <v>173.64305555555555</v>
      </c>
      <c r="F90" s="200">
        <v>20.174999999999997</v>
      </c>
      <c r="G90" s="200">
        <v>127.04305555555555</v>
      </c>
      <c r="H90" s="200">
        <v>35.574999999999996</v>
      </c>
      <c r="I90" s="200">
        <v>83.376388888888897</v>
      </c>
      <c r="J90" s="200">
        <v>53.908333333333317</v>
      </c>
      <c r="K90" s="200">
        <v>50.724999999999987</v>
      </c>
      <c r="L90" s="200">
        <v>83.256944444444414</v>
      </c>
      <c r="M90" s="200">
        <v>25.983333333333327</v>
      </c>
      <c r="N90" s="200">
        <v>120.51527777777777</v>
      </c>
      <c r="O90" s="200">
        <v>8.125</v>
      </c>
      <c r="P90" s="200">
        <v>164.65694444444446</v>
      </c>
      <c r="Q90" s="257">
        <v>13.049417562724015</v>
      </c>
      <c r="S90" s="3">
        <f>'Monthly Data'!D66</f>
        <v>71041030.714692235</v>
      </c>
      <c r="T90" s="3">
        <f>'Monthly Data'!J66</f>
        <v>914410.77193283814</v>
      </c>
      <c r="U90" s="3">
        <f>'Monthly Data'!P66</f>
        <v>18295111.95425491</v>
      </c>
      <c r="V90" s="3">
        <f>'Monthly Data'!V66</f>
        <v>69550095.094187573</v>
      </c>
      <c r="W90" s="3">
        <f>'Monthly Data'!AB66</f>
        <v>8201541.1797601115</v>
      </c>
      <c r="X90" s="3">
        <f>'Monthly Data'!AG66</f>
        <v>25498483.700632978</v>
      </c>
      <c r="Y90" s="3">
        <f>'Monthly Data'!BC66</f>
        <v>28403186.460761525</v>
      </c>
      <c r="Z90" s="3">
        <f>'Monthly Data'!BI66</f>
        <v>5684899.2849052986</v>
      </c>
      <c r="AA90" s="3">
        <f>'Monthly Data'!BO66</f>
        <v>22705006.727108978</v>
      </c>
      <c r="AB90" s="3">
        <f>'Monthly Data'!BU66</f>
        <v>7125840.781099325</v>
      </c>
      <c r="EU90" s="488">
        <f ca="1">'Monthly Data'!FO66</f>
        <v>657.92397591007989</v>
      </c>
      <c r="EV90" s="488">
        <f ca="1">'Monthly Data'!FP66</f>
        <v>614.63429326921118</v>
      </c>
      <c r="EW90" s="488">
        <f ca="1">'Monthly Data'!FQ66</f>
        <v>2116.0432235070512</v>
      </c>
      <c r="EX90" s="488">
        <f ca="1">'Monthly Data'!FR66</f>
        <v>71245.095832737105</v>
      </c>
      <c r="EY90" s="488">
        <f ca="1">'Monthly Data'!FS66</f>
        <v>1558566.1519312009</v>
      </c>
      <c r="EZ90" s="488">
        <f ca="1">'Monthly Data'!FT66</f>
        <v>6802215.5470521022</v>
      </c>
      <c r="FA90" s="488">
        <f ca="1">'Monthly Data'!FX66</f>
        <v>704.71841779027602</v>
      </c>
      <c r="FB90" s="488">
        <f ca="1">'Monthly Data'!FY66</f>
        <v>2549.1217935926461</v>
      </c>
      <c r="FC90" s="488">
        <f ca="1">'Monthly Data'!FZ66</f>
        <v>63651.772813844225</v>
      </c>
      <c r="FD90" s="488">
        <f>'Monthly Data'!GA66</f>
        <v>64455.481155538546</v>
      </c>
    </row>
    <row r="91" spans="1:160">
      <c r="A91">
        <v>2021</v>
      </c>
      <c r="B91">
        <v>6</v>
      </c>
      <c r="C91" s="200">
        <v>36.066666666666677</v>
      </c>
      <c r="D91" s="200">
        <v>37.74166666666666</v>
      </c>
      <c r="E91" s="200">
        <v>14.254166666666677</v>
      </c>
      <c r="F91" s="200">
        <v>75.92916666666666</v>
      </c>
      <c r="G91" s="200">
        <v>3.2708333333333357</v>
      </c>
      <c r="H91" s="200">
        <v>124.94583333333331</v>
      </c>
      <c r="I91" s="200">
        <v>0</v>
      </c>
      <c r="J91" s="200">
        <v>181.67499999999995</v>
      </c>
      <c r="K91" s="200">
        <v>0</v>
      </c>
      <c r="L91" s="200">
        <v>241.67500000000001</v>
      </c>
      <c r="M91" s="200">
        <v>0</v>
      </c>
      <c r="N91" s="200">
        <v>301.67500000000001</v>
      </c>
      <c r="O91" s="200">
        <v>0</v>
      </c>
      <c r="P91" s="200">
        <v>361.67500000000001</v>
      </c>
      <c r="Q91" s="257">
        <v>20.055833333333332</v>
      </c>
      <c r="S91" s="3">
        <f>'Monthly Data'!D67</f>
        <v>88028425.06959644</v>
      </c>
      <c r="T91" s="3">
        <f>'Monthly Data'!J67</f>
        <v>792059.19448578509</v>
      </c>
      <c r="U91" s="3">
        <f>'Monthly Data'!P67</f>
        <v>20476730.566246897</v>
      </c>
      <c r="V91" s="3">
        <f>'Monthly Data'!V67</f>
        <v>74592074.726455495</v>
      </c>
      <c r="W91" s="3">
        <f>'Monthly Data'!AB67</f>
        <v>8063772.0988082821</v>
      </c>
      <c r="X91" s="3">
        <f>'Monthly Data'!AG67</f>
        <v>24775032.262593575</v>
      </c>
      <c r="Y91" s="3">
        <f>'Monthly Data'!BC67</f>
        <v>37073022.815946147</v>
      </c>
      <c r="Z91" s="3">
        <f>'Monthly Data'!BI67</f>
        <v>6454557.4365984397</v>
      </c>
      <c r="AA91" s="3">
        <f>'Monthly Data'!BO67</f>
        <v>25166298.08225758</v>
      </c>
      <c r="AB91" s="3">
        <f>'Monthly Data'!BU67</f>
        <v>6936615.515911283</v>
      </c>
      <c r="EU91" s="488">
        <f ca="1">'Monthly Data'!FO67</f>
        <v>809.85078477777586</v>
      </c>
      <c r="EV91" s="488">
        <f ca="1">'Monthly Data'!FP67</f>
        <v>536.29180688104088</v>
      </c>
      <c r="EW91" s="488">
        <f ca="1">'Monthly Data'!FQ67</f>
        <v>2349.7785936938208</v>
      </c>
      <c r="EX91" s="488">
        <f ca="1">'Monthly Data'!FR67</f>
        <v>75978.705872883103</v>
      </c>
      <c r="EY91" s="488">
        <f ca="1">'Monthly Data'!FS67</f>
        <v>1510113.1275097791</v>
      </c>
      <c r="EZ91" s="488">
        <f ca="1">'Monthly Data'!FT67</f>
        <v>6623147.3335737167</v>
      </c>
      <c r="FA91" s="488">
        <f ca="1">'Monthly Data'!FX67</f>
        <v>905.03232689027936</v>
      </c>
      <c r="FB91" s="488">
        <f ca="1">'Monthly Data'!FY67</f>
        <v>2876.0246053993369</v>
      </c>
      <c r="FC91" s="488">
        <f ca="1">'Monthly Data'!FZ67</f>
        <v>69889.865860525417</v>
      </c>
      <c r="FD91" s="488">
        <f>'Monthly Data'!GA67</f>
        <v>51954.240800969324</v>
      </c>
    </row>
    <row r="92" spans="1:160">
      <c r="A92">
        <v>2021</v>
      </c>
      <c r="B92">
        <v>7</v>
      </c>
      <c r="C92" s="200">
        <v>25.516666666666669</v>
      </c>
      <c r="D92" s="200">
        <v>32.391666666666652</v>
      </c>
      <c r="E92" s="200">
        <v>5.3541666666666572</v>
      </c>
      <c r="F92" s="200">
        <v>74.229166666666615</v>
      </c>
      <c r="G92" s="200">
        <v>0.74583333333333002</v>
      </c>
      <c r="H92" s="200">
        <v>131.62083333333331</v>
      </c>
      <c r="I92" s="200">
        <v>0</v>
      </c>
      <c r="J92" s="200">
        <v>192.87499999999994</v>
      </c>
      <c r="K92" s="200">
        <v>0</v>
      </c>
      <c r="L92" s="200">
        <v>254.87499999999994</v>
      </c>
      <c r="M92" s="200">
        <v>0</v>
      </c>
      <c r="N92" s="200">
        <v>316.87499999999994</v>
      </c>
      <c r="O92" s="200">
        <v>0</v>
      </c>
      <c r="P92" s="200">
        <v>378.87499999999994</v>
      </c>
      <c r="Q92" s="257">
        <v>20.221774193548388</v>
      </c>
      <c r="S92" s="3">
        <f>'Monthly Data'!D68</f>
        <v>93725964.654082611</v>
      </c>
      <c r="T92" s="3">
        <f>'Monthly Data'!J68</f>
        <v>1043125.9351841252</v>
      </c>
      <c r="U92" s="3">
        <f>'Monthly Data'!P68</f>
        <v>22234905.444151878</v>
      </c>
      <c r="V92" s="3">
        <f>'Monthly Data'!V68</f>
        <v>75811919.191047028</v>
      </c>
      <c r="W92" s="3">
        <f>'Monthly Data'!AB68</f>
        <v>7538146.4287091652</v>
      </c>
      <c r="X92" s="3">
        <f>'Monthly Data'!AG68</f>
        <v>25049134.320176501</v>
      </c>
      <c r="Y92" s="3">
        <f>'Monthly Data'!BC68</f>
        <v>39052265.120863117</v>
      </c>
      <c r="Z92" s="3">
        <f>'Monthly Data'!BI68</f>
        <v>6970477.3990912652</v>
      </c>
      <c r="AA92" s="3">
        <f>'Monthly Data'!BO68</f>
        <v>26143882.951666165</v>
      </c>
      <c r="AB92" s="3">
        <f>'Monthly Data'!BU68</f>
        <v>7156193.6933461921</v>
      </c>
      <c r="EU92" s="488">
        <f ca="1">'Monthly Data'!FO68</f>
        <v>859.8166302887671</v>
      </c>
      <c r="EV92" s="488">
        <f ca="1">'Monthly Data'!FP68</f>
        <v>697.49129428743913</v>
      </c>
      <c r="EW92" s="488">
        <f ca="1">'Monthly Data'!FQ68</f>
        <v>2537.8434473623938</v>
      </c>
      <c r="EX92" s="488">
        <f ca="1">'Monthly Data'!FR68</f>
        <v>77069.532790474157</v>
      </c>
      <c r="EY92" s="488">
        <f ca="1">'Monthly Data'!FS68</f>
        <v>1393639.6102387363</v>
      </c>
      <c r="EZ92" s="488">
        <f ca="1">'Monthly Data'!FT68</f>
        <v>6693467.4940009136</v>
      </c>
      <c r="FA92" s="488">
        <f ca="1">'Monthly Data'!FX68</f>
        <v>948.63873906521985</v>
      </c>
      <c r="FB92" s="488">
        <f ca="1">'Monthly Data'!FY68</f>
        <v>3092.7752484027328</v>
      </c>
      <c r="FC92" s="488">
        <f ca="1">'Monthly Data'!FZ68</f>
        <v>72311.821845711311</v>
      </c>
      <c r="FD92" s="488">
        <f>'Monthly Data'!GA68</f>
        <v>58101.001211657414</v>
      </c>
    </row>
    <row r="93" spans="1:160">
      <c r="A93">
        <v>2021</v>
      </c>
      <c r="B93">
        <v>8</v>
      </c>
      <c r="C93" s="200">
        <v>8.524999999999995</v>
      </c>
      <c r="D93" s="200">
        <v>88.587499999999991</v>
      </c>
      <c r="E93" s="200">
        <v>0.69166666666666643</v>
      </c>
      <c r="F93" s="200">
        <v>142.75416666666666</v>
      </c>
      <c r="G93" s="200">
        <v>0</v>
      </c>
      <c r="H93" s="200">
        <v>204.06249999999994</v>
      </c>
      <c r="I93" s="200">
        <v>0</v>
      </c>
      <c r="J93" s="200">
        <v>266.0625</v>
      </c>
      <c r="K93" s="200">
        <v>0</v>
      </c>
      <c r="L93" s="200">
        <v>328.06249999999989</v>
      </c>
      <c r="M93" s="200">
        <v>0</v>
      </c>
      <c r="N93" s="200">
        <v>390.06249999999989</v>
      </c>
      <c r="O93" s="200">
        <v>0</v>
      </c>
      <c r="P93" s="200">
        <v>452.06249999999989</v>
      </c>
      <c r="Q93" s="257">
        <v>22.58266129032258</v>
      </c>
      <c r="S93" s="3">
        <f>'Monthly Data'!D69</f>
        <v>112267155.50191757</v>
      </c>
      <c r="T93" s="3">
        <f>'Monthly Data'!J69</f>
        <v>1097167.1759778666</v>
      </c>
      <c r="U93" s="3">
        <f>'Monthly Data'!P69</f>
        <v>24951021.029183362</v>
      </c>
      <c r="V93" s="3">
        <f>'Monthly Data'!V69</f>
        <v>81634041.215156347</v>
      </c>
      <c r="W93" s="3">
        <f>'Monthly Data'!AB69</f>
        <v>7911683.2407728769</v>
      </c>
      <c r="X93" s="3">
        <f>'Monthly Data'!AG69</f>
        <v>21902581.671001751</v>
      </c>
      <c r="Y93" s="3">
        <f>'Monthly Data'!BC69</f>
        <v>46563100.894299023</v>
      </c>
      <c r="Z93" s="3">
        <f>'Monthly Data'!BI69</f>
        <v>7813420.3216089522</v>
      </c>
      <c r="AA93" s="3">
        <f>'Monthly Data'!BO69</f>
        <v>28376901.043530468</v>
      </c>
      <c r="AB93" s="3">
        <f>'Monthly Data'!BU69</f>
        <v>7363795.2362584388</v>
      </c>
      <c r="EU93" s="488">
        <f ca="1">'Monthly Data'!FO69</f>
        <v>1023.1764253773389</v>
      </c>
      <c r="EV93" s="488">
        <f ca="1">'Monthly Data'!FP69</f>
        <v>732.32626816678226</v>
      </c>
      <c r="EW93" s="488">
        <f ca="1">'Monthly Data'!FQ69</f>
        <v>2828.4987173790328</v>
      </c>
      <c r="EX93" s="488">
        <f ca="1">'Monthly Data'!FR69</f>
        <v>82522.535063662363</v>
      </c>
      <c r="EY93" s="488">
        <f ca="1">'Monthly Data'!FS69</f>
        <v>1439267.5167985177</v>
      </c>
      <c r="EZ93" s="488">
        <f ca="1">'Monthly Data'!FT69</f>
        <v>5908623.9777386915</v>
      </c>
      <c r="FA93" s="488">
        <f ca="1">'Monthly Data'!FX69</f>
        <v>1120.549318923903</v>
      </c>
      <c r="FB93" s="488">
        <f ca="1">'Monthly Data'!FY69</f>
        <v>3448.9089087911839</v>
      </c>
      <c r="FC93" s="488">
        <f ca="1">'Monthly Data'!FZ69</f>
        <v>77927.145913749075</v>
      </c>
      <c r="FD93" s="488">
        <f>'Monthly Data'!GA69</f>
        <v>76227.176200497415</v>
      </c>
    </row>
    <row r="94" spans="1:160">
      <c r="A94">
        <v>2021</v>
      </c>
      <c r="B94">
        <v>9</v>
      </c>
      <c r="C94" s="200">
        <v>93.104166666666671</v>
      </c>
      <c r="D94" s="200">
        <v>2.37916666666667</v>
      </c>
      <c r="E94" s="200">
        <v>45.679166666666674</v>
      </c>
      <c r="F94" s="200">
        <v>14.954166666666683</v>
      </c>
      <c r="G94" s="200">
        <v>20.066666666666677</v>
      </c>
      <c r="H94" s="200">
        <v>49.341666666666683</v>
      </c>
      <c r="I94" s="200">
        <v>5.9833333333333432</v>
      </c>
      <c r="J94" s="200">
        <v>95.25833333333334</v>
      </c>
      <c r="K94" s="200">
        <v>0.28333333333333321</v>
      </c>
      <c r="L94" s="200">
        <v>149.55833333333328</v>
      </c>
      <c r="M94" s="200">
        <v>0</v>
      </c>
      <c r="N94" s="200">
        <v>209.27500000000001</v>
      </c>
      <c r="O94" s="200">
        <v>0</v>
      </c>
      <c r="P94" s="200">
        <v>269.27499999999998</v>
      </c>
      <c r="Q94" s="257">
        <v>16.975833333333334</v>
      </c>
      <c r="S94" s="3">
        <f>'Monthly Data'!D70</f>
        <v>71595793.486948967</v>
      </c>
      <c r="T94" s="3">
        <f>'Monthly Data'!J70</f>
        <v>787526.24589772942</v>
      </c>
      <c r="U94" s="3">
        <f>'Monthly Data'!P70</f>
        <v>20145859.916075177</v>
      </c>
      <c r="V94" s="3">
        <f>'Monthly Data'!V70</f>
        <v>72463825.593499213</v>
      </c>
      <c r="W94" s="3">
        <f>'Monthly Data'!AB70</f>
        <v>8037782.6950518703</v>
      </c>
      <c r="X94" s="3">
        <f>'Monthly Data'!AG70</f>
        <v>22826440.58805418</v>
      </c>
      <c r="Y94" s="3">
        <f>'Monthly Data'!BC70</f>
        <v>29821638.989248037</v>
      </c>
      <c r="Z94" s="3">
        <f>'Monthly Data'!BI70</f>
        <v>6341387.039563803</v>
      </c>
      <c r="AA94" s="3">
        <f>'Monthly Data'!BO70</f>
        <v>24581678.573401377</v>
      </c>
      <c r="AB94" s="3">
        <f>'Monthly Data'!BU70</f>
        <v>7109016.5959498556</v>
      </c>
      <c r="EU94" s="488">
        <f ca="1">'Monthly Data'!FO70</f>
        <v>662.71191281636891</v>
      </c>
      <c r="EV94" s="488">
        <f ca="1">'Monthly Data'!FP70</f>
        <v>533.74728340815432</v>
      </c>
      <c r="EW94" s="488">
        <f ca="1">'Monthly Data'!FQ70</f>
        <v>2312.3723180366583</v>
      </c>
      <c r="EX94" s="488">
        <f ca="1">'Monthly Data'!FR70</f>
        <v>73760.251692641439</v>
      </c>
      <c r="EY94" s="488">
        <f ca="1">'Monthly Data'!FS70</f>
        <v>1440540.2913795137</v>
      </c>
      <c r="EZ94" s="488">
        <f ca="1">'Monthly Data'!FT70</f>
        <v>6141383.3530332642</v>
      </c>
      <c r="FA94" s="488">
        <f ca="1">'Monthly Data'!FX70</f>
        <v>729.55827070480188</v>
      </c>
      <c r="FB94" s="488">
        <f ca="1">'Monthly Data'!FY70</f>
        <v>2813.2773148524816</v>
      </c>
      <c r="FC94" s="488">
        <f ca="1">'Monthly Data'!FZ70</f>
        <v>68172.22542902948</v>
      </c>
      <c r="FD94" s="488">
        <f>'Monthly Data'!GA70</f>
        <v>78338.001402971742</v>
      </c>
    </row>
    <row r="95" spans="1:160">
      <c r="A95">
        <v>2021</v>
      </c>
      <c r="B95">
        <v>10</v>
      </c>
      <c r="C95" s="200">
        <v>214.18749999999994</v>
      </c>
      <c r="D95" s="200">
        <v>0</v>
      </c>
      <c r="E95" s="200">
        <v>153.47499999999997</v>
      </c>
      <c r="F95" s="200">
        <v>1.2875000000000014</v>
      </c>
      <c r="G95" s="200">
        <v>108.43333333333334</v>
      </c>
      <c r="H95" s="200">
        <v>18.245833333333344</v>
      </c>
      <c r="I95" s="200">
        <v>72.749999999999986</v>
      </c>
      <c r="J95" s="200">
        <v>44.562500000000028</v>
      </c>
      <c r="K95" s="200">
        <v>44.166666666666664</v>
      </c>
      <c r="L95" s="200">
        <v>77.979166666666686</v>
      </c>
      <c r="M95" s="200">
        <v>22.266666666666666</v>
      </c>
      <c r="N95" s="200">
        <v>118.07916666666668</v>
      </c>
      <c r="O95" s="200">
        <v>6.6666666666666643</v>
      </c>
      <c r="P95" s="200">
        <v>164.47916666666669</v>
      </c>
      <c r="Q95" s="257">
        <v>13.09072580645161</v>
      </c>
      <c r="S95" s="3">
        <f>'Monthly Data'!D71</f>
        <v>66817837.770425297</v>
      </c>
      <c r="T95" s="3">
        <f>'Monthly Data'!J71</f>
        <v>793244.78573745571</v>
      </c>
      <c r="U95" s="3">
        <f>'Monthly Data'!P71</f>
        <v>19586967.300686892</v>
      </c>
      <c r="V95" s="3">
        <f>'Monthly Data'!V71</f>
        <v>71684511.985110343</v>
      </c>
      <c r="W95" s="3">
        <f>'Monthly Data'!AB71</f>
        <v>7804247.6667052312</v>
      </c>
      <c r="X95" s="3">
        <f>'Monthly Data'!AG71</f>
        <v>23236779.504159391</v>
      </c>
      <c r="Y95" s="3">
        <f>'Monthly Data'!BC71</f>
        <v>26436464.309269175</v>
      </c>
      <c r="Z95" s="3">
        <f>'Monthly Data'!BI71</f>
        <v>6175387.0697436286</v>
      </c>
      <c r="AA95" s="3">
        <f>'Monthly Data'!BO71</f>
        <v>24714568.377063941</v>
      </c>
      <c r="AB95" s="3">
        <f>'Monthly Data'!BU71</f>
        <v>7177530.1542912247</v>
      </c>
      <c r="EU95" s="488">
        <f ca="1">'Monthly Data'!FO71</f>
        <v>618.68574481151427</v>
      </c>
      <c r="EV95" s="488">
        <f ca="1">'Monthly Data'!FP71</f>
        <v>537.53963436321635</v>
      </c>
      <c r="EW95" s="488">
        <f ca="1">'Monthly Data'!FQ71</f>
        <v>2251.8463132117904</v>
      </c>
      <c r="EX95" s="488">
        <f ca="1">'Monthly Data'!FR71</f>
        <v>72958.613268320318</v>
      </c>
      <c r="EY95" s="488">
        <f ca="1">'Monthly Data'!FS71</f>
        <v>1380125.0753795155</v>
      </c>
      <c r="EZ95" s="488">
        <f ca="1">'Monthly Data'!FT71</f>
        <v>6245762.7280910322</v>
      </c>
      <c r="FA95" s="488">
        <f ca="1">'Monthly Data'!FX71</f>
        <v>649.21524952087134</v>
      </c>
      <c r="FB95" s="488">
        <f ca="1">'Monthly Data'!FY71</f>
        <v>2737.7295051433134</v>
      </c>
      <c r="FC95" s="488">
        <f ca="1">'Monthly Data'!FZ71</f>
        <v>68436.986404332099</v>
      </c>
      <c r="FD95" s="488">
        <f>'Monthly Data'!GA71</f>
        <v>92214.718449078486</v>
      </c>
    </row>
    <row r="96" spans="1:160">
      <c r="A96">
        <v>2021</v>
      </c>
      <c r="B96">
        <v>11</v>
      </c>
      <c r="C96" s="200">
        <v>506.31260351966881</v>
      </c>
      <c r="D96" s="200">
        <v>0</v>
      </c>
      <c r="E96" s="200">
        <v>446.3126035196687</v>
      </c>
      <c r="F96" s="200">
        <v>0</v>
      </c>
      <c r="G96" s="200">
        <v>386.3126035196687</v>
      </c>
      <c r="H96" s="200">
        <v>0</v>
      </c>
      <c r="I96" s="200">
        <v>326.31260351966864</v>
      </c>
      <c r="J96" s="200">
        <v>0</v>
      </c>
      <c r="K96" s="200">
        <v>266.31260351966876</v>
      </c>
      <c r="L96" s="200">
        <v>0</v>
      </c>
      <c r="M96" s="200">
        <v>206.31260351966876</v>
      </c>
      <c r="N96" s="200">
        <v>0</v>
      </c>
      <c r="O96" s="200">
        <v>148.50427018633536</v>
      </c>
      <c r="P96" s="200">
        <v>2.1916666666666682</v>
      </c>
      <c r="Q96" s="257">
        <v>3.122913216011042</v>
      </c>
      <c r="S96" s="3">
        <f>'Monthly Data'!D72</f>
        <v>72502051.786005914</v>
      </c>
      <c r="T96" s="3">
        <f>'Monthly Data'!J72</f>
        <v>878195.21557908703</v>
      </c>
      <c r="U96" s="3">
        <f>'Monthly Data'!P72</f>
        <v>20810400.139887426</v>
      </c>
      <c r="V96" s="3">
        <f>'Monthly Data'!V72</f>
        <v>72150499.44595547</v>
      </c>
      <c r="W96" s="3">
        <f>'Monthly Data'!AB72</f>
        <v>8559929.5672798771</v>
      </c>
      <c r="X96" s="3">
        <f>'Monthly Data'!AG72</f>
        <v>23141074.981113903</v>
      </c>
      <c r="Y96" s="3">
        <f>'Monthly Data'!BC72</f>
        <v>26625227.540960491</v>
      </c>
      <c r="Z96" s="3">
        <f>'Monthly Data'!BI72</f>
        <v>6513721.4251865307</v>
      </c>
      <c r="AA96" s="3">
        <f>'Monthly Data'!BO72</f>
        <v>25364482.305613928</v>
      </c>
      <c r="AB96" s="3">
        <f>'Monthly Data'!BU72</f>
        <v>7071944.696239152</v>
      </c>
      <c r="EU96" s="488">
        <f ca="1">'Monthly Data'!FO72</f>
        <v>664.6073153438183</v>
      </c>
      <c r="EV96" s="488">
        <f ca="1">'Monthly Data'!FP72</f>
        <v>592.21025045261581</v>
      </c>
      <c r="EW96" s="488">
        <f ca="1">'Monthly Data'!FQ72</f>
        <v>2382.3154537833184</v>
      </c>
      <c r="EX96" s="488">
        <f ca="1">'Monthly Data'!FR72</f>
        <v>73335.504997288561</v>
      </c>
      <c r="EY96" s="488">
        <f ca="1">'Monthly Data'!FS72</f>
        <v>1488603.2900704388</v>
      </c>
      <c r="EZ96" s="488">
        <f ca="1">'Monthly Data'!FT72</f>
        <v>6223631.2433611257</v>
      </c>
      <c r="FA96" s="488">
        <f ca="1">'Monthly Data'!FX72</f>
        <v>651.69685461624113</v>
      </c>
      <c r="FB96" s="488">
        <f ca="1">'Monthly Data'!FY72</f>
        <v>2877.454628033785</v>
      </c>
      <c r="FC96" s="488">
        <f ca="1">'Monthly Data'!FZ72</f>
        <v>70012.151903222461</v>
      </c>
      <c r="FD96" s="488">
        <f>'Monthly Data'!GA72</f>
        <v>105438.29475161021</v>
      </c>
    </row>
    <row r="97" spans="1:160">
      <c r="A97">
        <v>2021</v>
      </c>
      <c r="B97">
        <v>12</v>
      </c>
      <c r="C97" s="200">
        <v>595.04583333333335</v>
      </c>
      <c r="D97" s="200">
        <v>0</v>
      </c>
      <c r="E97" s="200">
        <v>533.04583333333346</v>
      </c>
      <c r="F97" s="200">
        <v>0</v>
      </c>
      <c r="G97" s="200">
        <v>471.04583333333335</v>
      </c>
      <c r="H97" s="200">
        <v>0</v>
      </c>
      <c r="I97" s="200">
        <v>409.04583333333335</v>
      </c>
      <c r="J97" s="200">
        <v>0</v>
      </c>
      <c r="K97" s="200">
        <v>347.04583333333335</v>
      </c>
      <c r="L97" s="200">
        <v>0</v>
      </c>
      <c r="M97" s="200">
        <v>285.45833333333331</v>
      </c>
      <c r="N97" s="200">
        <v>0.41249999999999964</v>
      </c>
      <c r="O97" s="200">
        <v>225.45833333333331</v>
      </c>
      <c r="P97" s="200">
        <v>2.4124999999999996</v>
      </c>
      <c r="Q97" s="257">
        <v>0.80497311827956974</v>
      </c>
      <c r="S97" s="3">
        <f>'Monthly Data'!D73</f>
        <v>85335726.017602265</v>
      </c>
      <c r="T97" s="3">
        <f>'Monthly Data'!J73</f>
        <v>1133289.2156363288</v>
      </c>
      <c r="U97" s="3">
        <f>'Monthly Data'!P73</f>
        <v>22732250.379908413</v>
      </c>
      <c r="V97" s="3">
        <f>'Monthly Data'!V73</f>
        <v>73030972.297773749</v>
      </c>
      <c r="W97" s="3">
        <f>'Monthly Data'!AB73</f>
        <v>8070255.9682209082</v>
      </c>
      <c r="X97" s="3">
        <f>'Monthly Data'!AG73</f>
        <v>22326904.235299665</v>
      </c>
      <c r="Y97" s="3">
        <f>'Monthly Data'!BC73</f>
        <v>30994728.20835077</v>
      </c>
      <c r="Z97" s="3">
        <f>'Monthly Data'!BI73</f>
        <v>7084483.8256552601</v>
      </c>
      <c r="AA97" s="3">
        <f>'Monthly Data'!BO73</f>
        <v>26900922.418492943</v>
      </c>
      <c r="AB97" s="3">
        <f>'Monthly Data'!BU73</f>
        <v>7070043.5969141759</v>
      </c>
      <c r="EU97" s="488">
        <f ca="1">'Monthly Data'!FO73</f>
        <v>776.19611289991371</v>
      </c>
      <c r="EV97" s="488">
        <f ca="1">'Monthly Data'!FP73</f>
        <v>756.18081342255743</v>
      </c>
      <c r="EW97" s="488">
        <f ca="1">'Monthly Data'!FQ73</f>
        <v>2587.4462201618976</v>
      </c>
      <c r="EX97" s="488">
        <f ca="1">'Monthly Data'!FR73</f>
        <v>74102.413265006297</v>
      </c>
      <c r="EY97" s="488">
        <f ca="1">'Monthly Data'!FS73</f>
        <v>1386508.971081011</v>
      </c>
      <c r="EZ97" s="488">
        <f ca="1">'Monthly Data'!FT73</f>
        <v>6021883.2029390316</v>
      </c>
      <c r="FA97" s="488">
        <f ca="1">'Monthly Data'!FX73</f>
        <v>750.40661557111287</v>
      </c>
      <c r="FB97" s="488">
        <f ca="1">'Monthly Data'!FY73</f>
        <v>3115.5799132567067</v>
      </c>
      <c r="FC97" s="488">
        <f ca="1">'Monthly Data'!FZ73</f>
        <v>73825.705847886726</v>
      </c>
      <c r="FD97" s="488">
        <f>'Monthly Data'!GA73</f>
        <v>122220.60136470887</v>
      </c>
    </row>
    <row r="98" spans="1:160">
      <c r="A98">
        <v>2022</v>
      </c>
      <c r="B98">
        <v>1</v>
      </c>
      <c r="C98" s="200">
        <v>887.49166666666656</v>
      </c>
      <c r="D98" s="200">
        <v>0</v>
      </c>
      <c r="E98" s="200">
        <v>825.49166666666656</v>
      </c>
      <c r="F98" s="200">
        <v>0</v>
      </c>
      <c r="G98" s="200">
        <v>763.49166666666656</v>
      </c>
      <c r="H98" s="200">
        <v>0</v>
      </c>
      <c r="I98" s="200">
        <v>701.49166666666656</v>
      </c>
      <c r="J98" s="200">
        <v>0</v>
      </c>
      <c r="K98" s="200">
        <v>639.49166666666679</v>
      </c>
      <c r="L98" s="200">
        <v>0</v>
      </c>
      <c r="M98" s="200">
        <v>577.49166666666656</v>
      </c>
      <c r="N98" s="200">
        <v>0</v>
      </c>
      <c r="O98" s="200">
        <v>515.49166666666679</v>
      </c>
      <c r="P98" s="200">
        <v>0</v>
      </c>
      <c r="Q98" s="257">
        <v>-8.6287634408602152</v>
      </c>
      <c r="S98" s="3">
        <f>'Monthly Data'!D74</f>
        <v>97692452.648589015</v>
      </c>
      <c r="T98" s="3">
        <f>'Monthly Data'!J74</f>
        <v>1529434.013318069</v>
      </c>
      <c r="U98" s="3">
        <f>'Monthly Data'!P74</f>
        <v>25204996.965369202</v>
      </c>
      <c r="V98" s="3">
        <f>'Monthly Data'!V74</f>
        <v>78650009.373186156</v>
      </c>
      <c r="W98" s="3">
        <f>'Monthly Data'!AB74</f>
        <v>7962978.412202551</v>
      </c>
      <c r="X98" s="3">
        <f>'Monthly Data'!AG74</f>
        <v>23982893.207945284</v>
      </c>
      <c r="Y98" s="3">
        <f>'Monthly Data'!BC74</f>
        <v>33775793.761555284</v>
      </c>
      <c r="Z98" s="3">
        <f>'Monthly Data'!BI74</f>
        <v>7820564.2829156294</v>
      </c>
      <c r="AA98" s="3">
        <f>'Monthly Data'!BO74</f>
        <v>28313425.128790151</v>
      </c>
      <c r="AB98" s="3">
        <f>'Monthly Data'!BU74</f>
        <v>7789337.4927675994</v>
      </c>
      <c r="EU98" s="488">
        <f ca="1">'Monthly Data'!FO74</f>
        <v>875.10592568193647</v>
      </c>
      <c r="EV98" s="488">
        <f ca="1">'Monthly Data'!FP74</f>
        <v>1010.3725043565739</v>
      </c>
      <c r="EW98" s="488">
        <f ca="1">'Monthly Data'!FQ74</f>
        <v>2852.9950744211792</v>
      </c>
      <c r="EX98" s="488">
        <f ca="1">'Monthly Data'!FR74</f>
        <v>79896.264086202893</v>
      </c>
      <c r="EY98" s="488">
        <f ca="1">'Monthly Data'!FS74</f>
        <v>1389744.2906852802</v>
      </c>
      <c r="EZ98" s="488">
        <f ca="1">'Monthly Data'!FT74</f>
        <v>6428687.712735448</v>
      </c>
      <c r="FA98" s="488">
        <f ca="1">'Monthly Data'!FX74</f>
        <v>814.98807493537277</v>
      </c>
      <c r="FB98" s="488">
        <f ca="1">'Monthly Data'!FY74</f>
        <v>3426.201287520149</v>
      </c>
      <c r="FC98" s="488">
        <f ca="1">'Monthly Data'!FZ74</f>
        <v>77949.803936907774</v>
      </c>
      <c r="FD98" s="488">
        <f>'Monthly Data'!GA74</f>
        <v>118869.81059881383</v>
      </c>
    </row>
    <row r="99" spans="1:160">
      <c r="A99">
        <v>2022</v>
      </c>
      <c r="B99">
        <v>2</v>
      </c>
      <c r="C99" s="200">
        <v>692.85</v>
      </c>
      <c r="D99" s="200">
        <v>0</v>
      </c>
      <c r="E99" s="200">
        <v>636.84999999999991</v>
      </c>
      <c r="F99" s="200">
        <v>0</v>
      </c>
      <c r="G99" s="200">
        <v>580.84999999999991</v>
      </c>
      <c r="H99" s="200">
        <v>0</v>
      </c>
      <c r="I99" s="200">
        <v>524.84999999999991</v>
      </c>
      <c r="J99" s="200">
        <v>0</v>
      </c>
      <c r="K99" s="200">
        <v>468.84999999999991</v>
      </c>
      <c r="L99" s="200">
        <v>0</v>
      </c>
      <c r="M99" s="200">
        <v>412.84999999999991</v>
      </c>
      <c r="N99" s="200">
        <v>0</v>
      </c>
      <c r="O99" s="200">
        <v>356.85</v>
      </c>
      <c r="P99" s="200">
        <v>0</v>
      </c>
      <c r="Q99" s="257">
        <v>-4.7446428571428587</v>
      </c>
      <c r="S99" s="3">
        <f>'Monthly Data'!D75</f>
        <v>82060318.807384744</v>
      </c>
      <c r="T99" s="3">
        <f>'Monthly Data'!J75</f>
        <v>1268709.5322934552</v>
      </c>
      <c r="U99" s="3">
        <f>'Monthly Data'!P75</f>
        <v>22780438.801125646</v>
      </c>
      <c r="V99" s="3">
        <f>'Monthly Data'!V75</f>
        <v>72721285.392891929</v>
      </c>
      <c r="W99" s="3">
        <f>'Monthly Data'!AB75</f>
        <v>8313821.4740252206</v>
      </c>
      <c r="X99" s="3">
        <f>'Monthly Data'!AG75</f>
        <v>22900058.646077987</v>
      </c>
      <c r="Y99" s="3">
        <f>'Monthly Data'!BC75</f>
        <v>28508390.780285154</v>
      </c>
      <c r="Z99" s="3">
        <f>'Monthly Data'!BI75</f>
        <v>7125035.4814233687</v>
      </c>
      <c r="AA99" s="3">
        <f>'Monthly Data'!BO75</f>
        <v>25966260.731311917</v>
      </c>
      <c r="AB99" s="3">
        <f>'Monthly Data'!BU75</f>
        <v>7149102.3047251692</v>
      </c>
      <c r="EU99" s="488">
        <f ca="1">'Monthly Data'!FO75</f>
        <v>740.07275377574513</v>
      </c>
      <c r="EV99" s="488">
        <f ca="1">'Monthly Data'!FP75</f>
        <v>842.77722200070662</v>
      </c>
      <c r="EW99" s="488">
        <f ca="1">'Monthly Data'!FQ75</f>
        <v>2591.442960563058</v>
      </c>
      <c r="EX99" s="488">
        <f ca="1">'Monthly Data'!FR75</f>
        <v>74587.563266497236</v>
      </c>
      <c r="EY99" s="488">
        <f ca="1">'Monthly Data'!FS75</f>
        <v>1470136.5048770679</v>
      </c>
      <c r="EZ99" s="488">
        <f ca="1">'Monthly Data'!FT75</f>
        <v>6158336.1149097001</v>
      </c>
      <c r="FA99" s="488">
        <f ca="1">'Monthly Data'!FX75</f>
        <v>692.58446109010697</v>
      </c>
      <c r="FB99" s="488">
        <f ca="1">'Monthly Data'!FY75</f>
        <v>3125.0114619033957</v>
      </c>
      <c r="FC99" s="488">
        <f ca="1">'Monthly Data'!FZ75</f>
        <v>72312.309789679872</v>
      </c>
      <c r="FD99" s="488">
        <f>'Monthly Data'!GA75</f>
        <v>99323.279765321073</v>
      </c>
    </row>
    <row r="100" spans="1:160">
      <c r="A100">
        <v>2022</v>
      </c>
      <c r="B100">
        <v>3</v>
      </c>
      <c r="C100" s="200">
        <v>606.7208333333333</v>
      </c>
      <c r="D100" s="200">
        <v>0</v>
      </c>
      <c r="E100" s="200">
        <v>544.7208333333333</v>
      </c>
      <c r="F100" s="200">
        <v>0</v>
      </c>
      <c r="G100" s="200">
        <v>482.72083333333353</v>
      </c>
      <c r="H100" s="200">
        <v>0</v>
      </c>
      <c r="I100" s="200">
        <v>420.72083333333353</v>
      </c>
      <c r="J100" s="200">
        <v>0</v>
      </c>
      <c r="K100" s="200">
        <v>358.72083333333347</v>
      </c>
      <c r="L100" s="200">
        <v>0</v>
      </c>
      <c r="M100" s="200">
        <v>296.72083333333336</v>
      </c>
      <c r="N100" s="200">
        <v>0</v>
      </c>
      <c r="O100" s="200">
        <v>236.04166666666666</v>
      </c>
      <c r="P100" s="200">
        <v>1.3208333333333311</v>
      </c>
      <c r="Q100" s="257">
        <v>0.42836021505376332</v>
      </c>
      <c r="S100" s="3">
        <f>'Monthly Data'!D76</f>
        <v>81183221.217954963</v>
      </c>
      <c r="T100" s="3">
        <f>'Monthly Data'!J76</f>
        <v>1185788.6020797556</v>
      </c>
      <c r="U100" s="3">
        <f>'Monthly Data'!P76</f>
        <v>23414157.738809384</v>
      </c>
      <c r="V100" s="3">
        <f>'Monthly Data'!V76</f>
        <v>77932461.176109403</v>
      </c>
      <c r="W100" s="3">
        <f>'Monthly Data'!AB76</f>
        <v>9461484.0236800462</v>
      </c>
      <c r="X100" s="3">
        <f>'Monthly Data'!AG76</f>
        <v>26100897.757003956</v>
      </c>
      <c r="Y100" s="3">
        <f>'Monthly Data'!BC76</f>
        <v>28881009.150468718</v>
      </c>
      <c r="Z100" s="3">
        <f>'Monthly Data'!BI76</f>
        <v>7390880.395513678</v>
      </c>
      <c r="AA100" s="3">
        <f>'Monthly Data'!BO76</f>
        <v>27518785.162413687</v>
      </c>
      <c r="AB100" s="3">
        <f>'Monthly Data'!BU76</f>
        <v>7975820.3471552562</v>
      </c>
      <c r="EU100" s="488">
        <f ca="1">'Monthly Data'!FO76</f>
        <v>733.18212300115295</v>
      </c>
      <c r="EV100" s="488">
        <f ca="1">'Monthly Data'!FP76</f>
        <v>789.3766001064256</v>
      </c>
      <c r="EW100" s="488">
        <f ca="1">'Monthly Data'!FQ76</f>
        <v>2656.8051196120987</v>
      </c>
      <c r="EX100" s="488">
        <f ca="1">'Monthly Data'!FR76</f>
        <v>79857.937108796119</v>
      </c>
      <c r="EY100" s="488">
        <f ca="1">'Monthly Data'!FS76</f>
        <v>1691436.2304075428</v>
      </c>
      <c r="EZ100" s="488">
        <f ca="1">'Monthly Data'!FT76</f>
        <v>6958902.9352822676</v>
      </c>
      <c r="FA100" s="488">
        <f ca="1">'Monthly Data'!FX76</f>
        <v>699.72100061526612</v>
      </c>
      <c r="FB100" s="488">
        <f ca="1">'Monthly Data'!FY76</f>
        <v>3231.5519302825319</v>
      </c>
      <c r="FC100" s="488">
        <f ca="1">'Monthly Data'!FZ76</f>
        <v>76609.995977117069</v>
      </c>
      <c r="FD100" s="488">
        <f>'Monthly Data'!GA76</f>
        <v>99069.801033097378</v>
      </c>
    </row>
    <row r="101" spans="1:160">
      <c r="A101">
        <v>2022</v>
      </c>
      <c r="B101">
        <v>4</v>
      </c>
      <c r="C101" s="200">
        <v>414.33333333333331</v>
      </c>
      <c r="D101" s="200">
        <v>0</v>
      </c>
      <c r="E101" s="200">
        <v>354.33333333333331</v>
      </c>
      <c r="F101" s="200">
        <v>0</v>
      </c>
      <c r="G101" s="200">
        <v>294.33333333333337</v>
      </c>
      <c r="H101" s="200">
        <v>0</v>
      </c>
      <c r="I101" s="200">
        <v>234.33333333333331</v>
      </c>
      <c r="J101" s="200">
        <v>0</v>
      </c>
      <c r="K101" s="200">
        <v>176.58749999999998</v>
      </c>
      <c r="L101" s="200">
        <v>2.2541666666666629</v>
      </c>
      <c r="M101" s="200">
        <v>123.04166666666666</v>
      </c>
      <c r="N101" s="200">
        <v>8.7083333333333286</v>
      </c>
      <c r="O101" s="200">
        <v>75.575000000000003</v>
      </c>
      <c r="P101" s="200">
        <v>21.24166666666666</v>
      </c>
      <c r="Q101" s="257">
        <v>6.1888888888888882</v>
      </c>
      <c r="S101" s="3">
        <f>'Monthly Data'!D77</f>
        <v>68452057.758653119</v>
      </c>
      <c r="T101" s="3">
        <f>'Monthly Data'!J77</f>
        <v>907389.20660179353</v>
      </c>
      <c r="U101" s="3">
        <f>'Monthly Data'!P77</f>
        <v>20115829.526388094</v>
      </c>
      <c r="V101" s="3">
        <f>'Monthly Data'!V77</f>
        <v>70232596.05597049</v>
      </c>
      <c r="W101" s="3">
        <f>'Monthly Data'!AB77</f>
        <v>8898140.0555362683</v>
      </c>
      <c r="X101" s="3">
        <f>'Monthly Data'!AG77</f>
        <v>24483012.06417165</v>
      </c>
      <c r="Y101" s="3">
        <f>'Monthly Data'!BC77</f>
        <v>25359572.170757696</v>
      </c>
      <c r="Z101" s="3">
        <f>'Monthly Data'!BI77</f>
        <v>6336615.2177922316</v>
      </c>
      <c r="AA101" s="3">
        <f>'Monthly Data'!BO77</f>
        <v>24471131.08135695</v>
      </c>
      <c r="AB101" s="3">
        <f>'Monthly Data'!BU77</f>
        <v>7020853.7319189981</v>
      </c>
      <c r="EU101" s="488">
        <f ca="1">'Monthly Data'!FO77</f>
        <v>624.07647021422576</v>
      </c>
      <c r="EV101" s="488">
        <f ca="1">'Monthly Data'!FP77</f>
        <v>610.55809702519286</v>
      </c>
      <c r="EW101" s="488">
        <f ca="1">'Monthly Data'!FQ77</f>
        <v>2303.0219082622634</v>
      </c>
      <c r="EX101" s="488">
        <f ca="1">'Monthly Data'!FR77</f>
        <v>72820.329797691273</v>
      </c>
      <c r="EY101" s="488">
        <f ca="1">'Monthly Data'!FS77</f>
        <v>1617302.444724455</v>
      </c>
      <c r="EZ101" s="488">
        <f ca="1">'Monthly Data'!FT77</f>
        <v>6554788.5547152674</v>
      </c>
      <c r="FA101" s="488">
        <f ca="1">'Monthly Data'!FX77</f>
        <v>617.90992474369216</v>
      </c>
      <c r="FB101" s="488">
        <f ca="1">'Monthly Data'!FY77</f>
        <v>2780.7761683530316</v>
      </c>
      <c r="FC101" s="488">
        <f ca="1">'Monthly Data'!FZ77</f>
        <v>69131.673570049563</v>
      </c>
      <c r="FD101" s="488">
        <f>'Monthly Data'!GA77</f>
        <v>83669.067661501162</v>
      </c>
    </row>
    <row r="102" spans="1:160">
      <c r="A102">
        <v>2022</v>
      </c>
      <c r="B102">
        <v>5</v>
      </c>
      <c r="C102" s="200">
        <v>158.97916666666669</v>
      </c>
      <c r="D102" s="200">
        <v>6.0166666666666657</v>
      </c>
      <c r="E102" s="200">
        <v>109.50833333333333</v>
      </c>
      <c r="F102" s="200">
        <v>18.545833333333334</v>
      </c>
      <c r="G102" s="200">
        <v>70.650000000000006</v>
      </c>
      <c r="H102" s="200">
        <v>41.6875</v>
      </c>
      <c r="I102" s="200">
        <v>39.324999999999996</v>
      </c>
      <c r="J102" s="200">
        <v>72.362499999999997</v>
      </c>
      <c r="K102" s="200">
        <v>14.399999999999993</v>
      </c>
      <c r="L102" s="200">
        <v>109.43749999999997</v>
      </c>
      <c r="M102" s="200">
        <v>0.93333333333333179</v>
      </c>
      <c r="N102" s="200">
        <v>157.97083333333333</v>
      </c>
      <c r="O102" s="200">
        <v>0</v>
      </c>
      <c r="P102" s="200">
        <v>219.03749999999999</v>
      </c>
      <c r="Q102" s="257">
        <v>15.065725806451612</v>
      </c>
      <c r="S102" s="3">
        <f>'Monthly Data'!D78</f>
        <v>67902336.031759873</v>
      </c>
      <c r="T102" s="3">
        <f>'Monthly Data'!J78</f>
        <v>750002.16820263315</v>
      </c>
      <c r="U102" s="3">
        <f>'Monthly Data'!P78</f>
        <v>20160744.949952297</v>
      </c>
      <c r="V102" s="3">
        <f>'Monthly Data'!V78</f>
        <v>72487932.996589392</v>
      </c>
      <c r="W102" s="3">
        <f>'Monthly Data'!AB78</f>
        <v>9148862.7694859002</v>
      </c>
      <c r="X102" s="3">
        <f>'Monthly Data'!AG78</f>
        <v>25452497.305143315</v>
      </c>
      <c r="Y102" s="3">
        <f>'Monthly Data'!BC78</f>
        <v>27723828.284436386</v>
      </c>
      <c r="Z102" s="3">
        <f>'Monthly Data'!BI78</f>
        <v>6272167.5012244107</v>
      </c>
      <c r="AA102" s="3">
        <f>'Monthly Data'!BO78</f>
        <v>24537272.891023714</v>
      </c>
      <c r="AB102" s="3">
        <f>'Monthly Data'!BU78</f>
        <v>6939874.1658630669</v>
      </c>
      <c r="EU102" s="488">
        <f ca="1">'Monthly Data'!FO78</f>
        <v>623.09450915412083</v>
      </c>
      <c r="EV102" s="488">
        <f ca="1">'Monthly Data'!FP78</f>
        <v>509.45445883758026</v>
      </c>
      <c r="EW102" s="488">
        <f ca="1">'Monthly Data'!FQ78</f>
        <v>2305.9108939425364</v>
      </c>
      <c r="EX102" s="488">
        <f ca="1">'Monthly Data'!FR78</f>
        <v>75284.822064121283</v>
      </c>
      <c r="EY102" s="488">
        <f ca="1">'Monthly Data'!FS78</f>
        <v>1686758.6980526319</v>
      </c>
      <c r="EZ102" s="488">
        <f ca="1">'Monthly Data'!FT78</f>
        <v>6797516.9075992601</v>
      </c>
      <c r="FA102" s="488">
        <f ca="1">'Monthly Data'!FX78</f>
        <v>670.55452341747252</v>
      </c>
      <c r="FB102" s="488">
        <f ca="1">'Monthly Data'!FY78</f>
        <v>2748.5800531553014</v>
      </c>
      <c r="FC102" s="488">
        <f ca="1">'Monthly Data'!FZ78</f>
        <v>69620.3563929511</v>
      </c>
      <c r="FD102" s="488">
        <f>'Monthly Data'!GA78</f>
        <v>76168.665901409346</v>
      </c>
    </row>
    <row r="103" spans="1:160">
      <c r="A103">
        <v>2022</v>
      </c>
      <c r="B103">
        <v>6</v>
      </c>
      <c r="C103" s="200">
        <v>75.529010989011013</v>
      </c>
      <c r="D103" s="200">
        <v>16.451515151515149</v>
      </c>
      <c r="E103" s="200">
        <v>36.166510989010987</v>
      </c>
      <c r="F103" s="200">
        <v>37.089015151515156</v>
      </c>
      <c r="G103" s="200">
        <v>6.1903205128205077</v>
      </c>
      <c r="H103" s="200">
        <v>67.11282467532466</v>
      </c>
      <c r="I103" s="200">
        <v>0</v>
      </c>
      <c r="J103" s="200">
        <v>120.92250416250417</v>
      </c>
      <c r="K103" s="200">
        <v>0</v>
      </c>
      <c r="L103" s="200">
        <v>180.92250416250408</v>
      </c>
      <c r="M103" s="200">
        <v>0</v>
      </c>
      <c r="N103" s="200">
        <v>240.92250416250408</v>
      </c>
      <c r="O103" s="200">
        <v>0</v>
      </c>
      <c r="P103" s="200">
        <v>300.92250416250414</v>
      </c>
      <c r="Q103" s="257">
        <v>18.03075013875014</v>
      </c>
      <c r="S103" s="3">
        <f>'Monthly Data'!D79</f>
        <v>77016585.429985791</v>
      </c>
      <c r="T103" s="3">
        <f>'Monthly Data'!J79</f>
        <v>737246.0321312726</v>
      </c>
      <c r="U103" s="3">
        <f>'Monthly Data'!P79</f>
        <v>21113128.571331806</v>
      </c>
      <c r="V103" s="3">
        <f>'Monthly Data'!V79</f>
        <v>74138582.471086547</v>
      </c>
      <c r="W103" s="3">
        <f>'Monthly Data'!AB79</f>
        <v>9270074.9546839409</v>
      </c>
      <c r="X103" s="3">
        <f>'Monthly Data'!AG79</f>
        <v>25106971.063184302</v>
      </c>
      <c r="Y103" s="3">
        <f>'Monthly Data'!BC79</f>
        <v>32828932.694461253</v>
      </c>
      <c r="Z103" s="3">
        <f>'Monthly Data'!BI79</f>
        <v>6761305.4280658215</v>
      </c>
      <c r="AA103" s="3">
        <f>'Monthly Data'!BO79</f>
        <v>25125409.834884416</v>
      </c>
      <c r="AB103" s="3">
        <f>'Monthly Data'!BU79</f>
        <v>6472653.2208293155</v>
      </c>
      <c r="EU103" s="488">
        <f ca="1">'Monthly Data'!FO79</f>
        <v>703.55063921379224</v>
      </c>
      <c r="EV103" s="488">
        <f ca="1">'Monthly Data'!FP79</f>
        <v>501.16564088938924</v>
      </c>
      <c r="EW103" s="488">
        <f ca="1">'Monthly Data'!FQ79</f>
        <v>2405.2550731005954</v>
      </c>
      <c r="EX103" s="488">
        <f ca="1">'Monthly Data'!FR79</f>
        <v>77183.928363027953</v>
      </c>
      <c r="EY103" s="488">
        <f ca="1">'Monthly Data'!FS79</f>
        <v>1734772.317466222</v>
      </c>
      <c r="EZ103" s="488">
        <f ca="1">'Monthly Data'!FT79</f>
        <v>6711492.3897505831</v>
      </c>
      <c r="FA103" s="488">
        <f ca="1">'Monthly Data'!FX79</f>
        <v>785.32341445027009</v>
      </c>
      <c r="FB103" s="488">
        <f ca="1">'Monthly Data'!FY79</f>
        <v>2949.0249865084356</v>
      </c>
      <c r="FC103" s="488">
        <f ca="1">'Monthly Data'!FZ79</f>
        <v>71461.231175512454</v>
      </c>
      <c r="FD103" s="488">
        <f>'Monthly Data'!GA79</f>
        <v>68451.001211657407</v>
      </c>
    </row>
    <row r="104" spans="1:160">
      <c r="A104">
        <v>2022</v>
      </c>
      <c r="B104">
        <v>7</v>
      </c>
      <c r="C104" s="200">
        <v>8.9945652173913082</v>
      </c>
      <c r="D104" s="200">
        <v>44.848903508771912</v>
      </c>
      <c r="E104" s="200">
        <v>0.62083333333333357</v>
      </c>
      <c r="F104" s="200">
        <v>98.475171624713937</v>
      </c>
      <c r="G104" s="200">
        <v>0</v>
      </c>
      <c r="H104" s="200">
        <v>159.8543382913806</v>
      </c>
      <c r="I104" s="200">
        <v>0</v>
      </c>
      <c r="J104" s="200">
        <v>221.8543382913806</v>
      </c>
      <c r="K104" s="200">
        <v>0</v>
      </c>
      <c r="L104" s="200">
        <v>283.8543382913806</v>
      </c>
      <c r="M104" s="200">
        <v>0</v>
      </c>
      <c r="N104" s="200">
        <v>345.85433829138066</v>
      </c>
      <c r="O104" s="200">
        <v>0</v>
      </c>
      <c r="P104" s="200">
        <v>407.8543382913806</v>
      </c>
      <c r="Q104" s="257">
        <v>21.15659155778647</v>
      </c>
      <c r="S104" s="3">
        <f>'Monthly Data'!D80</f>
        <v>98505510.421875596</v>
      </c>
      <c r="T104" s="3">
        <f>'Monthly Data'!J80</f>
        <v>1008134.2184125168</v>
      </c>
      <c r="U104" s="3">
        <f>'Monthly Data'!P80</f>
        <v>24192093.706983306</v>
      </c>
      <c r="V104" s="3">
        <f>'Monthly Data'!V80</f>
        <v>78359560.170194805</v>
      </c>
      <c r="W104" s="3">
        <f>'Monthly Data'!AB80</f>
        <v>8949441.1662617121</v>
      </c>
      <c r="X104" s="3">
        <f>'Monthly Data'!AG80</f>
        <v>24837780.222544815</v>
      </c>
      <c r="Y104" s="3">
        <f>'Monthly Data'!BC80</f>
        <v>41892774.541524678</v>
      </c>
      <c r="Z104" s="3">
        <f>'Monthly Data'!BI80</f>
        <v>7546017.8175913524</v>
      </c>
      <c r="AA104" s="3">
        <f>'Monthly Data'!BO80</f>
        <v>27422479.553287297</v>
      </c>
      <c r="AB104" s="3">
        <f>'Monthly Data'!BU80</f>
        <v>7048269.8842815822</v>
      </c>
      <c r="EU104" s="488">
        <f ca="1">'Monthly Data'!FO80</f>
        <v>891.46819737364842</v>
      </c>
      <c r="EV104" s="488">
        <f ca="1">'Monthly Data'!FP80</f>
        <v>674.78138572309456</v>
      </c>
      <c r="EW104" s="488">
        <f ca="1">'Monthly Data'!FQ80</f>
        <v>2730.1361404904451</v>
      </c>
      <c r="EX104" s="488">
        <f ca="1">'Monthly Data'!FR80</f>
        <v>81578.082434704746</v>
      </c>
      <c r="EY104" s="488">
        <f ca="1">'Monthly Data'!FS80</f>
        <v>1702691.7146549495</v>
      </c>
      <c r="EZ104" s="488">
        <f ca="1">'Monthly Data'!FT80</f>
        <v>6644551.7222317876</v>
      </c>
      <c r="FA104" s="488">
        <f ca="1">'Monthly Data'!FX80</f>
        <v>989.48710851322971</v>
      </c>
      <c r="FB104" s="488">
        <f ca="1">'Monthly Data'!FY80</f>
        <v>3272.4718888660286</v>
      </c>
      <c r="FC104" s="488">
        <f ca="1">'Monthly Data'!FZ80</f>
        <v>77745.948068607118</v>
      </c>
      <c r="FD104" s="488">
        <f>'Monthly Data'!GA80</f>
        <v>73732.000510171536</v>
      </c>
    </row>
    <row r="105" spans="1:160">
      <c r="A105">
        <v>2022</v>
      </c>
      <c r="B105">
        <v>8</v>
      </c>
      <c r="C105" s="200">
        <v>7.3916666666666764</v>
      </c>
      <c r="D105" s="200">
        <v>49.674999999999997</v>
      </c>
      <c r="E105" s="200">
        <v>0.76250000000000284</v>
      </c>
      <c r="F105" s="200">
        <v>105.04583333333332</v>
      </c>
      <c r="G105" s="200">
        <v>0</v>
      </c>
      <c r="H105" s="200">
        <v>166.28333333333327</v>
      </c>
      <c r="I105" s="200">
        <v>0</v>
      </c>
      <c r="J105" s="200">
        <v>228.28333333333333</v>
      </c>
      <c r="K105" s="200">
        <v>0</v>
      </c>
      <c r="L105" s="200">
        <v>290.28333333333336</v>
      </c>
      <c r="M105" s="200">
        <v>0</v>
      </c>
      <c r="N105" s="200">
        <v>352.28333333333342</v>
      </c>
      <c r="O105" s="200">
        <v>0</v>
      </c>
      <c r="P105" s="200">
        <v>414.28333333333336</v>
      </c>
      <c r="Q105" s="257">
        <v>21.363978494623655</v>
      </c>
      <c r="S105" s="3">
        <f>'Monthly Data'!D81</f>
        <v>101594229.99135661</v>
      </c>
      <c r="T105" s="3">
        <f>'Monthly Data'!J81</f>
        <v>988710.47961266933</v>
      </c>
      <c r="U105" s="3">
        <f>'Monthly Data'!P81</f>
        <v>24320120.879660275</v>
      </c>
      <c r="V105" s="3">
        <f>'Monthly Data'!V81</f>
        <v>80468686.62186341</v>
      </c>
      <c r="W105" s="3">
        <f>'Monthly Data'!AB81</f>
        <v>9174140.6726059597</v>
      </c>
      <c r="X105" s="3">
        <f>'Monthly Data'!AG81</f>
        <v>19251665.209930006</v>
      </c>
      <c r="Y105" s="3">
        <f>'Monthly Data'!BC81</f>
        <v>42989886.962856412</v>
      </c>
      <c r="Z105" s="3">
        <f>'Monthly Data'!BI81</f>
        <v>7765088.4921082836</v>
      </c>
      <c r="AA105" s="3">
        <f>'Monthly Data'!BO81</f>
        <v>28778089.731612127</v>
      </c>
      <c r="AB105" s="3">
        <f>'Monthly Data'!BU81</f>
        <v>7336752.6711668279</v>
      </c>
      <c r="EU105" s="488">
        <f ca="1">'Monthly Data'!FO81</f>
        <v>917.39533815667403</v>
      </c>
      <c r="EV105" s="488">
        <f ca="1">'Monthly Data'!FP81</f>
        <v>662.18575916698512</v>
      </c>
      <c r="EW105" s="488">
        <f ca="1">'Monthly Data'!FQ81</f>
        <v>2741.3107909265004</v>
      </c>
      <c r="EX105" s="488">
        <f ca="1">'Monthly Data'!FR81</f>
        <v>83955.674327178131</v>
      </c>
      <c r="EY105" s="488">
        <f ca="1">'Monthly Data'!FS81</f>
        <v>1771858.5857745388</v>
      </c>
      <c r="EZ105" s="488">
        <f ca="1">'Monthly Data'!FT81</f>
        <v>5248380.0117191616</v>
      </c>
      <c r="FA105" s="488">
        <f ca="1">'Monthly Data'!FX81</f>
        <v>1012.3714864522409</v>
      </c>
      <c r="FB105" s="488">
        <f ca="1">'Monthly Data'!FY81</f>
        <v>3357.9829117980726</v>
      </c>
      <c r="FC105" s="488">
        <f ca="1">'Monthly Data'!FZ81</f>
        <v>81624.679805509746</v>
      </c>
      <c r="FD105" s="488">
        <f>'Monthly Data'!GA81</f>
        <v>83618.334289904975</v>
      </c>
    </row>
    <row r="106" spans="1:160">
      <c r="A106">
        <v>2022</v>
      </c>
      <c r="B106">
        <v>9</v>
      </c>
      <c r="C106" s="200">
        <v>111.79166666666666</v>
      </c>
      <c r="D106" s="200">
        <v>3.0124999999999957</v>
      </c>
      <c r="E106" s="200">
        <v>71.412499999999994</v>
      </c>
      <c r="F106" s="200">
        <v>22.633333333333329</v>
      </c>
      <c r="G106" s="200">
        <v>45.029166666666661</v>
      </c>
      <c r="H106" s="200">
        <v>56.250000000000007</v>
      </c>
      <c r="I106" s="200">
        <v>22.833333333333329</v>
      </c>
      <c r="J106" s="200">
        <v>94.054166666666674</v>
      </c>
      <c r="K106" s="200">
        <v>8.5708333333333329</v>
      </c>
      <c r="L106" s="200">
        <v>139.79166666666663</v>
      </c>
      <c r="M106" s="200">
        <v>2.1000000000000014</v>
      </c>
      <c r="N106" s="200">
        <v>193.32083333333327</v>
      </c>
      <c r="O106" s="200">
        <v>0</v>
      </c>
      <c r="P106" s="200">
        <v>251.2208333333333</v>
      </c>
      <c r="Q106" s="257">
        <v>16.37402777777778</v>
      </c>
      <c r="S106" s="3">
        <f>'Monthly Data'!D82</f>
        <v>72566060.695831984</v>
      </c>
      <c r="T106" s="3">
        <f>'Monthly Data'!J82</f>
        <v>772425.06958595791</v>
      </c>
      <c r="U106" s="3">
        <f>'Monthly Data'!P82</f>
        <v>20270303.670597211</v>
      </c>
      <c r="V106" s="3">
        <f>'Monthly Data'!V82</f>
        <v>72125400.931562304</v>
      </c>
      <c r="W106" s="3">
        <f>'Monthly Data'!AB82</f>
        <v>8517384.0873153582</v>
      </c>
      <c r="X106" s="3">
        <f>'Monthly Data'!AG82</f>
        <v>23706315.860639367</v>
      </c>
      <c r="Y106" s="3">
        <f>'Monthly Data'!BC82</f>
        <v>30554547.585402809</v>
      </c>
      <c r="Z106" s="3">
        <f>'Monthly Data'!BI82</f>
        <v>6510144.5925865592</v>
      </c>
      <c r="AA106" s="3">
        <f>'Monthly Data'!BO82</f>
        <v>25416625.676373459</v>
      </c>
      <c r="AB106" s="3">
        <f>'Monthly Data'!BU82</f>
        <v>6693842.1890067505</v>
      </c>
      <c r="EU106" s="488">
        <f ca="1">'Monthly Data'!FO82</f>
        <v>661.31473169781304</v>
      </c>
      <c r="EV106" s="488">
        <f ca="1">'Monthly Data'!FP82</f>
        <v>523.40213636568785</v>
      </c>
      <c r="EW106" s="488">
        <f ca="1">'Monthly Data'!FQ82</f>
        <v>2309.9721852121252</v>
      </c>
      <c r="EX106" s="488">
        <f ca="1">'Monthly Data'!FR82</f>
        <v>76186.675068730372</v>
      </c>
      <c r="EY106" s="488">
        <f ca="1">'Monthly Data'!FS82</f>
        <v>1675324.8321738266</v>
      </c>
      <c r="EZ106" s="488">
        <f ca="1">'Monthly Data'!FT82</f>
        <v>6362399.7170375781</v>
      </c>
      <c r="FA106" s="488">
        <f ca="1">'Monthly Data'!FX82</f>
        <v>729.23425728433529</v>
      </c>
      <c r="FB106" s="488">
        <f ca="1">'Monthly Data'!FY82</f>
        <v>2828.0555087162265</v>
      </c>
      <c r="FC106" s="488">
        <f ca="1">'Monthly Data'!FZ82</f>
        <v>73214.296793243295</v>
      </c>
      <c r="FD106" s="488">
        <f>'Monthly Data'!GA82</f>
        <v>92290.000637714416</v>
      </c>
    </row>
    <row r="107" spans="1:160">
      <c r="A107">
        <v>2022</v>
      </c>
      <c r="B107">
        <v>10</v>
      </c>
      <c r="C107" s="200">
        <v>330.85561594202903</v>
      </c>
      <c r="D107" s="200">
        <v>0</v>
      </c>
      <c r="E107" s="200">
        <v>268.85561594202898</v>
      </c>
      <c r="F107" s="200">
        <v>0</v>
      </c>
      <c r="G107" s="200">
        <v>206.85561594202895</v>
      </c>
      <c r="H107" s="200">
        <v>0</v>
      </c>
      <c r="I107" s="200">
        <v>147.2764492753623</v>
      </c>
      <c r="J107" s="200">
        <v>2.4208333333333307</v>
      </c>
      <c r="K107" s="200">
        <v>94.459782608695647</v>
      </c>
      <c r="L107" s="200">
        <v>11.604166666666668</v>
      </c>
      <c r="M107" s="200">
        <v>52.855615942028983</v>
      </c>
      <c r="N107" s="200">
        <v>32</v>
      </c>
      <c r="O107" s="200">
        <v>23.659782608695654</v>
      </c>
      <c r="P107" s="200">
        <v>64.804166666666674</v>
      </c>
      <c r="Q107" s="257">
        <v>9.3272381954184187</v>
      </c>
      <c r="S107" s="3">
        <f>'Monthly Data'!D83</f>
        <v>65570713.88945774</v>
      </c>
      <c r="T107" s="3">
        <f>'Monthly Data'!J83</f>
        <v>935022.64652738022</v>
      </c>
      <c r="U107" s="3">
        <f>'Monthly Data'!P83</f>
        <v>19490767.100677352</v>
      </c>
      <c r="V107" s="3">
        <f>'Monthly Data'!V83</f>
        <v>70516756.225205898</v>
      </c>
      <c r="W107" s="3">
        <f>'Monthly Data'!AB83</f>
        <v>8380196.6331134997</v>
      </c>
      <c r="X107" s="3">
        <f>'Monthly Data'!AG83</f>
        <v>24184378.210640773</v>
      </c>
      <c r="Y107" s="3">
        <f>'Monthly Data'!BC83</f>
        <v>25564665.257681075</v>
      </c>
      <c r="Z107" s="3">
        <f>'Monthly Data'!BI83</f>
        <v>6193157.4010713501</v>
      </c>
      <c r="AA107" s="3">
        <f>'Monthly Data'!BO83</f>
        <v>24517100.431101769</v>
      </c>
      <c r="AB107" s="3">
        <f>'Monthly Data'!BU83</f>
        <v>7219539.1610414665</v>
      </c>
      <c r="EU107" s="488">
        <f ca="1">'Monthly Data'!FO83</f>
        <v>595.66732764203937</v>
      </c>
      <c r="EV107" s="488">
        <f ca="1">'Monthly Data'!FP83</f>
        <v>627.49963472439993</v>
      </c>
      <c r="EW107" s="488">
        <f ca="1">'Monthly Data'!FQ83</f>
        <v>2225.6209598084415</v>
      </c>
      <c r="EX107" s="488">
        <f ca="1">'Monthly Data'!FR83</f>
        <v>74935.000677731921</v>
      </c>
      <c r="EY107" s="488">
        <f ca="1">'Monthly Data'!FS83</f>
        <v>1676238.8538289773</v>
      </c>
      <c r="EZ107" s="488">
        <f ca="1">'Monthly Data'!FT83</f>
        <v>6482272.3471790059</v>
      </c>
      <c r="FA107" s="488">
        <f ca="1">'Monthly Data'!FX83</f>
        <v>615.2086335690534</v>
      </c>
      <c r="FB107" s="488">
        <f ca="1">'Monthly Data'!FY83</f>
        <v>2690.9522379751279</v>
      </c>
      <c r="FC107" s="488">
        <f ca="1">'Monthly Data'!FZ83</f>
        <v>71195.645978184533</v>
      </c>
      <c r="FD107" s="488">
        <f>'Monthly Data'!GA83</f>
        <v>107819.66711306675</v>
      </c>
    </row>
    <row r="108" spans="1:160">
      <c r="A108">
        <v>2022</v>
      </c>
      <c r="B108">
        <v>11</v>
      </c>
      <c r="C108" s="200">
        <v>471.83333333333348</v>
      </c>
      <c r="D108" s="200">
        <v>0</v>
      </c>
      <c r="E108" s="200">
        <v>411.83333333333348</v>
      </c>
      <c r="F108" s="200">
        <v>0</v>
      </c>
      <c r="G108" s="200">
        <v>351.83333333333343</v>
      </c>
      <c r="H108" s="200">
        <v>0</v>
      </c>
      <c r="I108" s="200">
        <v>294.14166666666671</v>
      </c>
      <c r="J108" s="200">
        <v>2.3083333333333318</v>
      </c>
      <c r="K108" s="200">
        <v>238.41249999999999</v>
      </c>
      <c r="L108" s="200">
        <v>6.5791666666666675</v>
      </c>
      <c r="M108" s="200">
        <v>185.6583333333333</v>
      </c>
      <c r="N108" s="200">
        <v>13.824999999999999</v>
      </c>
      <c r="O108" s="200">
        <v>138.80000000000001</v>
      </c>
      <c r="P108" s="200">
        <v>26.966666666666669</v>
      </c>
      <c r="Q108" s="257">
        <v>4.2722222222222213</v>
      </c>
      <c r="S108" s="3">
        <f>'Monthly Data'!D84</f>
        <v>71317477.790488556</v>
      </c>
      <c r="T108" s="3">
        <f>'Monthly Data'!J84</f>
        <v>833193.15228010016</v>
      </c>
      <c r="U108" s="3">
        <f>'Monthly Data'!P84</f>
        <v>20989249.595945429</v>
      </c>
      <c r="V108" s="3">
        <f>'Monthly Data'!V84</f>
        <v>72657291.043666378</v>
      </c>
      <c r="W108" s="3">
        <f>'Monthly Data'!AB84</f>
        <v>8442517.4225770347</v>
      </c>
      <c r="X108" s="3">
        <f>'Monthly Data'!AG84</f>
        <v>23364018.813529231</v>
      </c>
      <c r="Y108" s="3">
        <f>'Monthly Data'!BC84</f>
        <v>26631044.605203841</v>
      </c>
      <c r="Z108" s="3">
        <f>'Monthly Data'!BI84</f>
        <v>6628223.5992251579</v>
      </c>
      <c r="AA108" s="3">
        <f>'Monthly Data'!BO84</f>
        <v>25513740.267787453</v>
      </c>
      <c r="AB108" s="3">
        <f>'Monthly Data'!BU84</f>
        <v>7131619.5081967218</v>
      </c>
      <c r="EU108" s="488">
        <f ca="1">'Monthly Data'!FO84</f>
        <v>642.29109316880033</v>
      </c>
      <c r="EV108" s="488">
        <f ca="1">'Monthly Data'!FP84</f>
        <v>562.12054005388848</v>
      </c>
      <c r="EW108" s="488">
        <f ca="1">'Monthly Data'!FQ84</f>
        <v>2382.1620171960049</v>
      </c>
      <c r="EX108" s="488">
        <f ca="1">'Monthly Data'!FR84</f>
        <v>77345.017724892969</v>
      </c>
      <c r="EY108" s="488">
        <f ca="1">'Monthly Data'!FS84</f>
        <v>1716430.3667512594</v>
      </c>
      <c r="EZ108" s="488">
        <f ca="1">'Monthly Data'!FT84</f>
        <v>6277539.5405421965</v>
      </c>
      <c r="FA108" s="488">
        <f ca="1">'Monthly Data'!FX84</f>
        <v>638.00716187587614</v>
      </c>
      <c r="FB108" s="488">
        <f ca="1">'Monthly Data'!FY84</f>
        <v>2866.9035161433885</v>
      </c>
      <c r="FC108" s="488">
        <f ca="1">'Monthly Data'!FZ84</f>
        <v>74148.376442136869</v>
      </c>
      <c r="FD108" s="488">
        <f>'Monthly Data'!GA84</f>
        <v>115229.33486384795</v>
      </c>
    </row>
    <row r="109" spans="1:160">
      <c r="A109">
        <v>2022</v>
      </c>
      <c r="B109">
        <v>12</v>
      </c>
      <c r="C109" s="200">
        <v>647.12083333333328</v>
      </c>
      <c r="D109" s="200">
        <v>0</v>
      </c>
      <c r="E109" s="200">
        <v>585.12083333333328</v>
      </c>
      <c r="F109" s="200">
        <v>0</v>
      </c>
      <c r="G109" s="200">
        <v>523.12083333333328</v>
      </c>
      <c r="H109" s="200">
        <v>0</v>
      </c>
      <c r="I109" s="200">
        <v>461.12083333333328</v>
      </c>
      <c r="J109" s="200">
        <v>0</v>
      </c>
      <c r="K109" s="200">
        <v>399.12083333333328</v>
      </c>
      <c r="L109" s="200">
        <v>0</v>
      </c>
      <c r="M109" s="200">
        <v>337.12083333333322</v>
      </c>
      <c r="N109" s="200">
        <v>0</v>
      </c>
      <c r="O109" s="200">
        <v>275.12083333333322</v>
      </c>
      <c r="P109" s="200">
        <v>0</v>
      </c>
      <c r="Q109" s="257">
        <v>-0.87486559139784936</v>
      </c>
      <c r="S109" s="3">
        <f>'Monthly Data'!D85</f>
        <v>87050493.841422424</v>
      </c>
      <c r="T109" s="3">
        <f>'Monthly Data'!J85</f>
        <v>1104781.1542644533</v>
      </c>
      <c r="U109" s="3">
        <f>'Monthly Data'!P85</f>
        <v>23735347.06338485</v>
      </c>
      <c r="V109" s="3">
        <f>'Monthly Data'!V85</f>
        <v>73740842.761684105</v>
      </c>
      <c r="W109" s="3">
        <f>'Monthly Data'!AB85</f>
        <v>8404581.8870762438</v>
      </c>
      <c r="X109" s="3">
        <f>'Monthly Data'!AG85</f>
        <v>23807864.613084797</v>
      </c>
      <c r="Y109" s="3">
        <f>'Monthly Data'!BC85</f>
        <v>31782769.881968621</v>
      </c>
      <c r="Z109" s="3">
        <f>'Monthly Data'!BI85</f>
        <v>7339602.617572221</v>
      </c>
      <c r="AA109" s="3">
        <f>'Monthly Data'!BO85</f>
        <v>27264639.596517563</v>
      </c>
      <c r="AB109" s="3">
        <f>'Monthly Data'!BU85</f>
        <v>6738283.4040501453</v>
      </c>
      <c r="EU109" s="488">
        <f ca="1">'Monthly Data'!FO85</f>
        <v>775.23887940775512</v>
      </c>
      <c r="EV109" s="488">
        <f ca="1">'Monthly Data'!FP85</f>
        <v>735.98621302895447</v>
      </c>
      <c r="EW109" s="488">
        <f ca="1">'Monthly Data'!FQ85</f>
        <v>2669.9863816780849</v>
      </c>
      <c r="EX109" s="488">
        <f ca="1">'Monthly Data'!FR85</f>
        <v>78733.312786678143</v>
      </c>
      <c r="EY109" s="488">
        <f ca="1">'Monthly Data'!FS85</f>
        <v>1737910.3317780872</v>
      </c>
      <c r="EZ109" s="488">
        <f ca="1">'Monthly Data'!FT85</f>
        <v>6388858.0330721634</v>
      </c>
      <c r="FA109" s="488">
        <f ca="1">'Monthly Data'!FX85</f>
        <v>752.52508405445315</v>
      </c>
      <c r="FB109" s="488">
        <f ca="1">'Monthly Data'!FY85</f>
        <v>3156.6585492807662</v>
      </c>
      <c r="FC109" s="488">
        <f ca="1">'Monthly Data'!FZ85</f>
        <v>79112.013080095305</v>
      </c>
      <c r="FD109" s="488">
        <f>'Monthly Data'!GA85</f>
        <v>124672.99917097123</v>
      </c>
    </row>
    <row r="110" spans="1:160">
      <c r="A110">
        <v>2023</v>
      </c>
      <c r="B110">
        <v>1</v>
      </c>
      <c r="C110" s="200">
        <v>666.07083333333355</v>
      </c>
      <c r="D110" s="200">
        <v>0</v>
      </c>
      <c r="E110" s="200">
        <v>604.07083333333344</v>
      </c>
      <c r="F110" s="200">
        <v>0</v>
      </c>
      <c r="G110" s="200">
        <v>542.07083333333333</v>
      </c>
      <c r="H110" s="200">
        <v>0</v>
      </c>
      <c r="I110" s="200">
        <v>480.07083333333327</v>
      </c>
      <c r="J110" s="200">
        <v>0</v>
      </c>
      <c r="K110" s="200">
        <v>418.07083333333327</v>
      </c>
      <c r="L110" s="200">
        <v>0</v>
      </c>
      <c r="M110" s="200">
        <v>356.07083333333321</v>
      </c>
      <c r="N110" s="200">
        <v>0</v>
      </c>
      <c r="O110" s="200">
        <v>294.07083333333327</v>
      </c>
      <c r="P110" s="200">
        <v>0</v>
      </c>
      <c r="Q110" s="257">
        <v>-1.4861559139784948</v>
      </c>
      <c r="S110" s="3">
        <f>'Monthly Data'!D86</f>
        <v>85604441.478056669</v>
      </c>
      <c r="T110" s="3">
        <f>'Monthly Data'!J86</f>
        <v>1183331.273602366</v>
      </c>
      <c r="U110" s="3">
        <f>'Monthly Data'!P86</f>
        <v>24401103.305685747</v>
      </c>
      <c r="V110" s="3">
        <f>'Monthly Data'!V86</f>
        <v>77715319.930732444</v>
      </c>
      <c r="W110" s="3">
        <f>'Monthly Data'!AB86</f>
        <v>9441989.6255158298</v>
      </c>
      <c r="X110" s="3">
        <f>'Monthly Data'!AG86</f>
        <v>24857943.287138909</v>
      </c>
      <c r="Y110" s="3">
        <f>'Monthly Data'!BC86</f>
        <v>30720918.129404914</v>
      </c>
      <c r="Z110" s="3">
        <f>'Monthly Data'!BI86</f>
        <v>7456040.6981538059</v>
      </c>
      <c r="AA110" s="3">
        <f>'Monthly Data'!BO86</f>
        <v>27963079.147403181</v>
      </c>
      <c r="AB110" s="3">
        <f>'Monthly Data'!BU86</f>
        <v>7406978.2160077151</v>
      </c>
      <c r="EU110" s="488">
        <f ca="1">'Monthly Data'!FO86</f>
        <v>756.80685277446776</v>
      </c>
      <c r="EV110" s="488">
        <f ca="1">'Monthly Data'!FP86</f>
        <v>786.16993489638253</v>
      </c>
      <c r="EW110" s="488">
        <f ca="1">'Monthly Data'!FQ86</f>
        <v>2737.8761232797669</v>
      </c>
      <c r="EX110" s="488">
        <f ca="1">'Monthly Data'!FR86</f>
        <v>82371.228051095139</v>
      </c>
      <c r="EY110" s="488">
        <f ca="1">'Monthly Data'!FS86</f>
        <v>1946114.492071284</v>
      </c>
      <c r="EZ110" s="488">
        <f ca="1">'Monthly Data'!FT86</f>
        <v>6529597.1086533833</v>
      </c>
      <c r="FA110" s="488">
        <f ca="1">'Monthly Data'!FX86</f>
        <v>727.55967315328905</v>
      </c>
      <c r="FB110" s="488">
        <f ca="1">'Monthly Data'!FY86</f>
        <v>3199.4375432955089</v>
      </c>
      <c r="FC110" s="488">
        <f ca="1">'Monthly Data'!FZ86</f>
        <v>80650.348147516197</v>
      </c>
      <c r="FD110" s="488">
        <f>'Monthly Data'!GA86</f>
        <v>122482.66692175243</v>
      </c>
    </row>
    <row r="111" spans="1:160">
      <c r="A111">
        <v>2023</v>
      </c>
      <c r="B111">
        <v>2</v>
      </c>
      <c r="C111" s="200">
        <v>629.43333333333328</v>
      </c>
      <c r="D111" s="200">
        <v>0</v>
      </c>
      <c r="E111" s="200">
        <v>573.43333333333328</v>
      </c>
      <c r="F111" s="200">
        <v>0</v>
      </c>
      <c r="G111" s="200">
        <v>517.43333333333328</v>
      </c>
      <c r="H111" s="200">
        <v>0</v>
      </c>
      <c r="I111" s="200">
        <v>461.43333333333328</v>
      </c>
      <c r="J111" s="200">
        <v>0</v>
      </c>
      <c r="K111" s="200">
        <v>405.43333333333328</v>
      </c>
      <c r="L111" s="200">
        <v>0</v>
      </c>
      <c r="M111" s="200">
        <v>349.43333333333328</v>
      </c>
      <c r="N111" s="200">
        <v>0</v>
      </c>
      <c r="O111" s="200">
        <v>293.51666666666665</v>
      </c>
      <c r="P111" s="200">
        <v>8.3333333333332149E-2</v>
      </c>
      <c r="Q111" s="257">
        <v>-2.4797619047619048</v>
      </c>
      <c r="S111" s="3">
        <f>'Monthly Data'!D87</f>
        <v>77971015.831358328</v>
      </c>
      <c r="T111" s="3">
        <f>'Monthly Data'!J87</f>
        <v>1139015.808204541</v>
      </c>
      <c r="U111" s="3">
        <f>'Monthly Data'!P87</f>
        <v>22420932.090059053</v>
      </c>
      <c r="V111" s="3">
        <f>'Monthly Data'!V87</f>
        <v>71326606.052756548</v>
      </c>
      <c r="W111" s="3">
        <f>'Monthly Data'!AB87</f>
        <v>8646769.7751552295</v>
      </c>
      <c r="X111" s="3">
        <f>'Monthly Data'!AG87</f>
        <v>22985179.948623765</v>
      </c>
      <c r="Y111" s="3">
        <f>'Monthly Data'!BC87</f>
        <v>27657649.456036061</v>
      </c>
      <c r="Z111" s="3">
        <f>'Monthly Data'!BI87</f>
        <v>6869757.8710445762</v>
      </c>
      <c r="AA111" s="3">
        <f>'Monthly Data'!BO87</f>
        <v>26134336.201741219</v>
      </c>
      <c r="AB111" s="3">
        <f>'Monthly Data'!BU87</f>
        <v>6895408.9392478308</v>
      </c>
      <c r="EU111" s="488">
        <f ca="1">'Monthly Data'!FO87</f>
        <v>690.12454099373701</v>
      </c>
      <c r="EV111" s="488">
        <f ca="1">'Monthly Data'!FP87</f>
        <v>757.66430420846859</v>
      </c>
      <c r="EW111" s="488">
        <f ca="1">'Monthly Data'!FQ87</f>
        <v>2528.8920147157319</v>
      </c>
      <c r="EX111" s="488">
        <f ca="1">'Monthly Data'!FR87</f>
        <v>75992.105073415267</v>
      </c>
      <c r="EY111" s="488">
        <f ca="1">'Monthly Data'!FS87</f>
        <v>1787504.1298682527</v>
      </c>
      <c r="EZ111" s="488">
        <f ca="1">'Monthly Data'!FT87</f>
        <v>5951617.6663170727</v>
      </c>
      <c r="FA111" s="488">
        <f ca="1">'Monthly Data'!FX87</f>
        <v>657.81725235200895</v>
      </c>
      <c r="FB111" s="488">
        <f ca="1">'Monthly Data'!FY87</f>
        <v>2952.9547008378509</v>
      </c>
      <c r="FC111" s="488">
        <f ca="1">'Monthly Data'!FZ87</f>
        <v>75739.754636021928</v>
      </c>
      <c r="FD111" s="488">
        <f>'Monthly Data'!GA87</f>
        <v>102035.9989796569</v>
      </c>
    </row>
    <row r="112" spans="1:160">
      <c r="A112">
        <v>2023</v>
      </c>
      <c r="B112">
        <v>3</v>
      </c>
      <c r="C112" s="200">
        <v>613.0333333333333</v>
      </c>
      <c r="D112" s="200">
        <v>0</v>
      </c>
      <c r="E112" s="200">
        <v>551.03333333333342</v>
      </c>
      <c r="F112" s="200">
        <v>0</v>
      </c>
      <c r="G112" s="200">
        <v>489.03333333333336</v>
      </c>
      <c r="H112" s="200">
        <v>0</v>
      </c>
      <c r="I112" s="200">
        <v>427.0333333333333</v>
      </c>
      <c r="J112" s="200">
        <v>0</v>
      </c>
      <c r="K112" s="200">
        <v>365.03333333333336</v>
      </c>
      <c r="L112" s="200">
        <v>0</v>
      </c>
      <c r="M112" s="200">
        <v>303.03333333333342</v>
      </c>
      <c r="N112" s="200">
        <v>0</v>
      </c>
      <c r="O112" s="200">
        <v>241.03333333333333</v>
      </c>
      <c r="P112" s="200">
        <v>0</v>
      </c>
      <c r="Q112" s="257">
        <v>0.22473118279569884</v>
      </c>
      <c r="S112" s="3">
        <f>'Monthly Data'!D88</f>
        <v>79970586.293025091</v>
      </c>
      <c r="T112" s="3">
        <f>'Monthly Data'!J88</f>
        <v>1103586.8556096165</v>
      </c>
      <c r="U112" s="3">
        <f>'Monthly Data'!P88</f>
        <v>23972363.738819018</v>
      </c>
      <c r="V112" s="3">
        <f>'Monthly Data'!V88</f>
        <v>77053066.470952243</v>
      </c>
      <c r="W112" s="3">
        <f>'Monthly Data'!AB88</f>
        <v>9554645.4066874888</v>
      </c>
      <c r="X112" s="3">
        <f>'Monthly Data'!AG88</f>
        <v>26104637.174886715</v>
      </c>
      <c r="Y112" s="3">
        <f>'Monthly Data'!BC88</f>
        <v>28717640.406705562</v>
      </c>
      <c r="Z112" s="3">
        <f>'Monthly Data'!BI88</f>
        <v>7196407.5691696955</v>
      </c>
      <c r="AA112" s="3">
        <f>'Monthly Data'!BO88</f>
        <v>27477208.670069046</v>
      </c>
      <c r="AB112" s="3">
        <f>'Monthly Data'!BU88</f>
        <v>7311583.5679845717</v>
      </c>
      <c r="EU112" s="488">
        <f ca="1">'Monthly Data'!FO88</f>
        <v>707.00316214418194</v>
      </c>
      <c r="EV112" s="488">
        <f ca="1">'Monthly Data'!FP88</f>
        <v>734.85789914453085</v>
      </c>
      <c r="EW112" s="488">
        <f ca="1">'Monthly Data'!FQ88</f>
        <v>2692.4678859820601</v>
      </c>
      <c r="EX112" s="488">
        <f ca="1">'Monthly Data'!FR88</f>
        <v>81470.982194313532</v>
      </c>
      <c r="EY112" s="488">
        <f ca="1">'Monthly Data'!FS88</f>
        <v>1969512.8640437927</v>
      </c>
      <c r="EZ112" s="488">
        <f ca="1">'Monthly Data'!FT88</f>
        <v>6570944.2173535023</v>
      </c>
      <c r="FA112" s="488">
        <f ca="1">'Monthly Data'!FX88</f>
        <v>680.52326136507247</v>
      </c>
      <c r="FB112" s="488">
        <f ca="1">'Monthly Data'!FY88</f>
        <v>3084.0176165497501</v>
      </c>
      <c r="FC112" s="488">
        <f ca="1">'Monthly Data'!FZ88</f>
        <v>79170.795959186755</v>
      </c>
      <c r="FD112" s="488">
        <f>'Monthly Data'!GA88</f>
        <v>100577.00082902877</v>
      </c>
    </row>
    <row r="113" spans="1:160">
      <c r="A113">
        <v>2023</v>
      </c>
      <c r="B113">
        <v>4</v>
      </c>
      <c r="C113" s="200">
        <v>361.4</v>
      </c>
      <c r="D113" s="200">
        <v>0</v>
      </c>
      <c r="E113" s="200">
        <v>301.39999999999998</v>
      </c>
      <c r="F113" s="200">
        <v>0</v>
      </c>
      <c r="G113" s="200">
        <v>243.15833333333336</v>
      </c>
      <c r="H113" s="200">
        <v>1.75833333333334</v>
      </c>
      <c r="I113" s="200">
        <v>193.11666666666667</v>
      </c>
      <c r="J113" s="200">
        <v>11.71666666666667</v>
      </c>
      <c r="K113" s="200">
        <v>144.11666666666667</v>
      </c>
      <c r="L113" s="200">
        <v>22.716666666666676</v>
      </c>
      <c r="M113" s="200">
        <v>98.574999999999989</v>
      </c>
      <c r="N113" s="200">
        <v>37.175000000000004</v>
      </c>
      <c r="O113" s="200">
        <v>58.116666666666674</v>
      </c>
      <c r="P113" s="200">
        <v>56.716666666666676</v>
      </c>
      <c r="Q113" s="257">
        <v>7.9533333333333323</v>
      </c>
      <c r="S113" s="3">
        <f>'Monthly Data'!D89</f>
        <v>67482967.603741363</v>
      </c>
      <c r="T113" s="3">
        <f>'Monthly Data'!J89</f>
        <v>826581.61589391239</v>
      </c>
      <c r="U113" s="3">
        <f>'Monthly Data'!P89</f>
        <v>20282583.720835526</v>
      </c>
      <c r="V113" s="3">
        <f>'Monthly Data'!V89</f>
        <v>68623568.564808816</v>
      </c>
      <c r="W113" s="3">
        <f>'Monthly Data'!AB89</f>
        <v>8530137.5968992226</v>
      </c>
      <c r="X113" s="3">
        <f>'Monthly Data'!AG89</f>
        <v>24272703.813536465</v>
      </c>
      <c r="Y113" s="3">
        <f>'Monthly Data'!BC89</f>
        <v>25481490.434072983</v>
      </c>
      <c r="Z113" s="3">
        <f>'Monthly Data'!BI89</f>
        <v>6155562.0437535951</v>
      </c>
      <c r="AA113" s="3">
        <f>'Monthly Data'!BO89</f>
        <v>23868061.588712096</v>
      </c>
      <c r="AB113" s="3">
        <f>'Monthly Data'!BU89</f>
        <v>6581971.9575699139</v>
      </c>
      <c r="EU113" s="488">
        <f ca="1">'Monthly Data'!FO89</f>
        <v>604.06724016136991</v>
      </c>
      <c r="EV113" s="488">
        <f ca="1">'Monthly Data'!FP89</f>
        <v>557.40048004842424</v>
      </c>
      <c r="EW113" s="488">
        <f ca="1">'Monthly Data'!FQ89</f>
        <v>2303.287859084001</v>
      </c>
      <c r="EX113" s="488">
        <f ca="1">'Monthly Data'!FR89</f>
        <v>73127.668200519664</v>
      </c>
      <c r="EY113" s="488">
        <f ca="1">'Monthly Data'!FS89</f>
        <v>1765044.9099552282</v>
      </c>
      <c r="EZ113" s="488">
        <f ca="1">'Monthly Data'!FT89</f>
        <v>6023821.9192854846</v>
      </c>
      <c r="FA113" s="488">
        <f ca="1">'Monthly Data'!FX89</f>
        <v>607.2063374446293</v>
      </c>
      <c r="FB113" s="488">
        <f ca="1">'Monthly Data'!FY89</f>
        <v>2651.0877415882787</v>
      </c>
      <c r="FC113" s="488">
        <f ca="1">'Monthly Data'!FZ89</f>
        <v>69615.127400825833</v>
      </c>
      <c r="FD113" s="488">
        <f>'Monthly Data'!GA89</f>
        <v>85848.667176838208</v>
      </c>
    </row>
    <row r="114" spans="1:160">
      <c r="A114">
        <v>2023</v>
      </c>
      <c r="B114">
        <v>5</v>
      </c>
      <c r="C114" s="200">
        <v>219.04750000000001</v>
      </c>
      <c r="D114" s="200">
        <v>1.6166666666666636</v>
      </c>
      <c r="E114" s="200">
        <v>163.56416666666669</v>
      </c>
      <c r="F114" s="200">
        <v>8.1333333333333258</v>
      </c>
      <c r="G114" s="200">
        <v>113.00166666666665</v>
      </c>
      <c r="H114" s="200">
        <v>19.570833333333329</v>
      </c>
      <c r="I114" s="200">
        <v>68.776666666666671</v>
      </c>
      <c r="J114" s="200">
        <v>37.345833333333331</v>
      </c>
      <c r="K114" s="200">
        <v>37.480833333333329</v>
      </c>
      <c r="L114" s="200">
        <v>68.049999999999983</v>
      </c>
      <c r="M114" s="200">
        <v>20.284999999999989</v>
      </c>
      <c r="N114" s="200">
        <v>112.85416666666666</v>
      </c>
      <c r="O114" s="200">
        <v>7.2058333333333309</v>
      </c>
      <c r="P114" s="200">
        <v>161.77500000000001</v>
      </c>
      <c r="Q114" s="257">
        <v>12.986102150537635</v>
      </c>
      <c r="S114" s="3">
        <f>'Monthly Data'!D90</f>
        <v>66005952.600992076</v>
      </c>
      <c r="T114" s="3">
        <f>'Monthly Data'!J90</f>
        <v>839862.96407174203</v>
      </c>
      <c r="U114" s="3">
        <f>'Monthly Data'!P90</f>
        <v>20347014.067668382</v>
      </c>
      <c r="V114" s="3">
        <f>'Monthly Data'!V90</f>
        <v>71328548.624002844</v>
      </c>
      <c r="W114" s="3">
        <f>'Monthly Data'!AB90</f>
        <v>9008365.1220640969</v>
      </c>
      <c r="X114" s="3">
        <f>'Monthly Data'!AG90</f>
        <v>23191975.403735757</v>
      </c>
      <c r="Y114" s="3">
        <f>'Monthly Data'!BC90</f>
        <v>26947823.561813563</v>
      </c>
      <c r="Z114" s="3">
        <f>'Monthly Data'!BI90</f>
        <v>6313983.8654868752</v>
      </c>
      <c r="AA114" s="3">
        <f>'Monthly Data'!BO90</f>
        <v>24536432.062443707</v>
      </c>
      <c r="AB114" s="3">
        <f>'Monthly Data'!BU90</f>
        <v>6738499.9710703958</v>
      </c>
      <c r="EU114" s="488">
        <f ca="1">'Monthly Data'!FO90</f>
        <v>593.85809866051136</v>
      </c>
      <c r="EV114" s="488">
        <f ca="1">'Monthly Data'!FP90</f>
        <v>565.81300276898071</v>
      </c>
      <c r="EW114" s="488">
        <f ca="1">'Monthly Data'!FQ90</f>
        <v>2310.0668711601361</v>
      </c>
      <c r="EX114" s="488">
        <f ca="1">'Monthly Data'!FR90</f>
        <v>75651.074507412181</v>
      </c>
      <c r="EY114" s="488">
        <f ca="1">'Monthly Data'!FS90</f>
        <v>1861124.0228572912</v>
      </c>
      <c r="EZ114" s="488">
        <f ca="1">'Monthly Data'!FT90</f>
        <v>5667429.8856463442</v>
      </c>
      <c r="FA114" s="488">
        <f ca="1">'Monthly Data'!FX90</f>
        <v>638.98193574619154</v>
      </c>
      <c r="FB114" s="488">
        <f ca="1">'Monthly Data'!FY90</f>
        <v>2712.9773095102828</v>
      </c>
      <c r="FC114" s="488">
        <f ca="1">'Monthly Data'!FZ90</f>
        <v>71280.710228253156</v>
      </c>
      <c r="FD114" s="488">
        <f>'Monthly Data'!GA90</f>
        <v>78149.66519992346</v>
      </c>
    </row>
    <row r="115" spans="1:160">
      <c r="A115">
        <v>2023</v>
      </c>
      <c r="B115">
        <v>6</v>
      </c>
      <c r="C115" s="200">
        <v>55.599999999999994</v>
      </c>
      <c r="D115" s="200">
        <v>21.141666666666666</v>
      </c>
      <c r="E115" s="200">
        <v>21.441666666666659</v>
      </c>
      <c r="F115" s="200">
        <v>46.983333333333334</v>
      </c>
      <c r="G115" s="200">
        <v>4.2708333333333268</v>
      </c>
      <c r="H115" s="200">
        <v>89.8125</v>
      </c>
      <c r="I115" s="200">
        <v>0</v>
      </c>
      <c r="J115" s="200">
        <v>145.54166666666666</v>
      </c>
      <c r="K115" s="200">
        <v>0</v>
      </c>
      <c r="L115" s="200">
        <v>205.54166666666669</v>
      </c>
      <c r="M115" s="200">
        <v>0</v>
      </c>
      <c r="N115" s="200">
        <v>265.54166666666669</v>
      </c>
      <c r="O115" s="200">
        <v>0</v>
      </c>
      <c r="P115" s="200">
        <v>325.54166666666669</v>
      </c>
      <c r="Q115" s="257">
        <v>18.851388888888884</v>
      </c>
      <c r="S115" s="3">
        <f>'Monthly Data'!D91</f>
        <v>80141807.560961276</v>
      </c>
      <c r="T115" s="3">
        <f>'Monthly Data'!J91</f>
        <v>745334.07372638804</v>
      </c>
      <c r="U115" s="3">
        <f>'Monthly Data'!P91</f>
        <v>21534341.274069738</v>
      </c>
      <c r="V115" s="3">
        <f>'Monthly Data'!V91</f>
        <v>74261684.381700709</v>
      </c>
      <c r="W115" s="3">
        <f>'Monthly Data'!AB91</f>
        <v>9282399.6586833261</v>
      </c>
      <c r="X115" s="3">
        <f>'Monthly Data'!AG91</f>
        <v>25096662.754612759</v>
      </c>
      <c r="Y115" s="3">
        <f>'Monthly Data'!BC91</f>
        <v>34760571.666032143</v>
      </c>
      <c r="Z115" s="3">
        <f>'Monthly Data'!BI91</f>
        <v>6677659.9140903093</v>
      </c>
      <c r="AA115" s="3">
        <f>'Monthly Data'!BO91</f>
        <v>25854813.752026416</v>
      </c>
      <c r="AB115" s="3">
        <f>'Monthly Data'!BU91</f>
        <v>6423205.5737704923</v>
      </c>
      <c r="EU115" s="488">
        <f ca="1">'Monthly Data'!FO91</f>
        <v>718.81827067757911</v>
      </c>
      <c r="EV115" s="488">
        <f ca="1">'Monthly Data'!FP91</f>
        <v>505.22428082742897</v>
      </c>
      <c r="EW115" s="488">
        <f ca="1">'Monthly Data'!FQ91</f>
        <v>2435.2112585618634</v>
      </c>
      <c r="EX115" s="488">
        <f ca="1">'Monthly Data'!FR91</f>
        <v>78386.702903662721</v>
      </c>
      <c r="EY115" s="488">
        <f ca="1">'Monthly Data'!FS91</f>
        <v>1916364.5380502257</v>
      </c>
      <c r="EZ115" s="488">
        <f ca="1">'Monthly Data'!FT91</f>
        <v>5987663.2815518491</v>
      </c>
      <c r="FA115" s="488">
        <f ca="1">'Monthly Data'!FX91</f>
        <v>811.97105714406621</v>
      </c>
      <c r="FB115" s="488">
        <f ca="1">'Monthly Data'!FY91</f>
        <v>2859.0298874864116</v>
      </c>
      <c r="FC115" s="488">
        <f ca="1">'Monthly Data'!FZ91</f>
        <v>74637.651903586127</v>
      </c>
      <c r="FD115" s="488">
        <f>'Monthly Data'!GA91</f>
        <v>70314.999043428339</v>
      </c>
    </row>
    <row r="116" spans="1:160">
      <c r="A116">
        <v>2023</v>
      </c>
      <c r="B116">
        <v>7</v>
      </c>
      <c r="C116" s="200">
        <v>7.3166666666666593</v>
      </c>
      <c r="D116" s="200">
        <v>45.099999999999966</v>
      </c>
      <c r="E116" s="200">
        <v>0.12499999999999645</v>
      </c>
      <c r="F116" s="200">
        <v>99.908333333333317</v>
      </c>
      <c r="G116" s="200">
        <v>0</v>
      </c>
      <c r="H116" s="200">
        <v>161.78333333333336</v>
      </c>
      <c r="I116" s="200">
        <v>0</v>
      </c>
      <c r="J116" s="200">
        <v>223.78333333333336</v>
      </c>
      <c r="K116" s="200">
        <v>0</v>
      </c>
      <c r="L116" s="200">
        <v>285.78333333333342</v>
      </c>
      <c r="M116" s="200">
        <v>0</v>
      </c>
      <c r="N116" s="200">
        <v>347.78333333333342</v>
      </c>
      <c r="O116" s="200">
        <v>0</v>
      </c>
      <c r="P116" s="200">
        <v>409.7833333333333</v>
      </c>
      <c r="Q116" s="257">
        <v>21.218817204301072</v>
      </c>
      <c r="S116" s="3">
        <f>'Monthly Data'!D92</f>
        <v>102325689.06093302</v>
      </c>
      <c r="T116" s="3">
        <f>'Monthly Data'!J92</f>
        <v>1054801.3488933409</v>
      </c>
      <c r="U116" s="3">
        <f>'Monthly Data'!P92</f>
        <v>24364986.465474147</v>
      </c>
      <c r="V116" s="3">
        <f>'Monthly Data'!V92</f>
        <v>79047903.006231204</v>
      </c>
      <c r="W116" s="3">
        <f>'Monthly Data'!AB92</f>
        <v>9181807.5610320456</v>
      </c>
      <c r="X116" s="3">
        <f>'Monthly Data'!AG92</f>
        <v>23514897.867622361</v>
      </c>
      <c r="Y116" s="3">
        <f>'Monthly Data'!BC92</f>
        <v>43580702.199865691</v>
      </c>
      <c r="Z116" s="3">
        <f>'Monthly Data'!BI92</f>
        <v>7231746.421149808</v>
      </c>
      <c r="AA116" s="3">
        <f>'Monthly Data'!BO92</f>
        <v>27782777.976583607</v>
      </c>
      <c r="AB116" s="3">
        <f>'Monthly Data'!BU92</f>
        <v>6475262.9508196721</v>
      </c>
      <c r="EU116" s="488">
        <f ca="1">'Monthly Data'!FO92</f>
        <v>909.92197968812729</v>
      </c>
      <c r="EV116" s="488">
        <f ca="1">'Monthly Data'!FP92</f>
        <v>703.17112751379443</v>
      </c>
      <c r="EW116" s="488">
        <f ca="1">'Monthly Data'!FQ92</f>
        <v>2733.5045385040644</v>
      </c>
      <c r="EX116" s="488">
        <f ca="1">'Monthly Data'!FR92</f>
        <v>82908.802617337846</v>
      </c>
      <c r="EY116" s="488">
        <f ca="1">'Monthly Data'!FS92</f>
        <v>1896679.7263890579</v>
      </c>
      <c r="EZ116" s="488">
        <f ca="1">'Monthly Data'!FT92</f>
        <v>5535571.3384351758</v>
      </c>
      <c r="FA116" s="488">
        <f ca="1">'Monthly Data'!FX92</f>
        <v>1006.8270357757943</v>
      </c>
      <c r="FB116" s="488">
        <f ca="1">'Monthly Data'!FY92</f>
        <v>3082.78343929625</v>
      </c>
      <c r="FC116" s="488">
        <f ca="1">'Monthly Data'!FZ92</f>
        <v>79571.761118642913</v>
      </c>
      <c r="FD116" s="488">
        <f>'Monthly Data'!GA92</f>
        <v>75513.666220266561</v>
      </c>
    </row>
    <row r="117" spans="1:160">
      <c r="A117">
        <v>2023</v>
      </c>
      <c r="B117">
        <v>8</v>
      </c>
      <c r="C117" s="200">
        <v>32.211775362318839</v>
      </c>
      <c r="D117" s="200">
        <v>12.016666666666676</v>
      </c>
      <c r="E117" s="200">
        <v>9.274999999999995</v>
      </c>
      <c r="F117" s="200">
        <v>51.079891304347839</v>
      </c>
      <c r="G117" s="200">
        <v>1.6125000000000007</v>
      </c>
      <c r="H117" s="200">
        <v>105.41739130434784</v>
      </c>
      <c r="I117" s="200">
        <v>0</v>
      </c>
      <c r="J117" s="200">
        <v>165.80489130434788</v>
      </c>
      <c r="K117" s="200">
        <v>0</v>
      </c>
      <c r="L117" s="200">
        <v>227.80489130434788</v>
      </c>
      <c r="M117" s="200">
        <v>0</v>
      </c>
      <c r="N117" s="200">
        <v>289.8048913043479</v>
      </c>
      <c r="O117" s="200">
        <v>0</v>
      </c>
      <c r="P117" s="200">
        <v>351.80489130434785</v>
      </c>
      <c r="Q117" s="257">
        <v>19.348544880785411</v>
      </c>
      <c r="S117" s="3">
        <f>'Monthly Data'!D93</f>
        <v>87974898.963614002</v>
      </c>
      <c r="T117" s="3">
        <f>'Monthly Data'!J93</f>
        <v>1002464.600114482</v>
      </c>
      <c r="U117" s="3">
        <f>'Monthly Data'!P93</f>
        <v>22013388.033152066</v>
      </c>
      <c r="V117" s="3">
        <f>'Monthly Data'!V93</f>
        <v>78140781.764020205</v>
      </c>
      <c r="W117" s="3">
        <f>'Monthly Data'!AB93</f>
        <v>9385090.352501059</v>
      </c>
      <c r="X117" s="3">
        <f>'Monthly Data'!AG93</f>
        <v>25583837.275705818</v>
      </c>
      <c r="Y117" s="3">
        <f>'Monthly Data'!BC93</f>
        <v>37583435.039458387</v>
      </c>
      <c r="Z117" s="3">
        <f>'Monthly Data'!BI93</f>
        <v>6966264.4784580059</v>
      </c>
      <c r="AA117" s="3">
        <f>'Monthly Data'!BO93</f>
        <v>27451208.886220351</v>
      </c>
      <c r="AB117" s="3">
        <f>'Monthly Data'!BU93</f>
        <v>7220882.4590163939</v>
      </c>
      <c r="EU117" s="488">
        <f ca="1">'Monthly Data'!FO93</f>
        <v>784.55657440890536</v>
      </c>
      <c r="EV117" s="488">
        <f ca="1">'Monthly Data'!FP93</f>
        <v>669.5741499076745</v>
      </c>
      <c r="EW117" s="488">
        <f ca="1">'Monthly Data'!FQ93</f>
        <v>2485.6136614171519</v>
      </c>
      <c r="EX117" s="488">
        <f ca="1">'Monthly Data'!FR93</f>
        <v>81904.443057809185</v>
      </c>
      <c r="EY117" s="488">
        <f ca="1">'Monthly Data'!FS93</f>
        <v>1937769.8925519488</v>
      </c>
      <c r="EZ117" s="488">
        <f ca="1">'Monthly Data'!FT93</f>
        <v>5881919.3136599241</v>
      </c>
      <c r="FA117" s="488">
        <f ca="1">'Monthly Data'!FX93</f>
        <v>872.16775977995337</v>
      </c>
      <c r="FB117" s="488">
        <f ca="1">'Monthly Data'!FY93</f>
        <v>2970.0830098690194</v>
      </c>
      <c r="FC117" s="488">
        <f ca="1">'Monthly Data'!FZ93</f>
        <v>78609.654911651494</v>
      </c>
      <c r="FD117" s="488">
        <f>'Monthly Data'!GA93</f>
        <v>85329.666475352336</v>
      </c>
    </row>
    <row r="118" spans="1:160">
      <c r="A118">
        <v>2023</v>
      </c>
      <c r="B118">
        <v>9</v>
      </c>
      <c r="C118" s="200">
        <v>95.22083333333336</v>
      </c>
      <c r="D118" s="200">
        <v>18.212499999999995</v>
      </c>
      <c r="E118" s="200">
        <v>47.591666666666676</v>
      </c>
      <c r="F118" s="200">
        <v>30.583333333333329</v>
      </c>
      <c r="G118" s="200">
        <v>15.216666666666669</v>
      </c>
      <c r="H118" s="200">
        <v>58.208333333333314</v>
      </c>
      <c r="I118" s="200">
        <v>2.3583333333333378</v>
      </c>
      <c r="J118" s="200">
        <v>105.35</v>
      </c>
      <c r="K118" s="200">
        <v>0</v>
      </c>
      <c r="L118" s="200">
        <v>162.99166666666662</v>
      </c>
      <c r="M118" s="200">
        <v>0</v>
      </c>
      <c r="N118" s="200">
        <v>222.99166666666656</v>
      </c>
      <c r="O118" s="200">
        <v>0</v>
      </c>
      <c r="P118" s="200">
        <v>282.99166666666656</v>
      </c>
      <c r="Q118" s="257">
        <v>17.433055555555555</v>
      </c>
      <c r="S118" s="3">
        <f>'Monthly Data'!D94</f>
        <v>76739895.077503905</v>
      </c>
      <c r="T118" s="3">
        <f>'Monthly Data'!J94</f>
        <v>770093.87931692414</v>
      </c>
      <c r="U118" s="3">
        <f>'Monthly Data'!P94</f>
        <v>21145188.522524327</v>
      </c>
      <c r="V118" s="3">
        <f>'Monthly Data'!V94</f>
        <v>73637888.059021324</v>
      </c>
      <c r="W118" s="3">
        <f>'Monthly Data'!AB94</f>
        <v>7402741.4285163311</v>
      </c>
      <c r="X118" s="3">
        <f>'Monthly Data'!AG94</f>
        <v>26199194.13799078</v>
      </c>
      <c r="Y118" s="3">
        <f>'Monthly Data'!BC94</f>
        <v>32445353.691993199</v>
      </c>
      <c r="Z118" s="3">
        <f>'Monthly Data'!BI94</f>
        <v>8250807.613114588</v>
      </c>
      <c r="AA118" s="3">
        <f>'Monthly Data'!BO94</f>
        <v>26115023.370759532</v>
      </c>
      <c r="AB118" s="3">
        <f>'Monthly Data'!BU94</f>
        <v>6866851.8804243021</v>
      </c>
      <c r="EU118" s="488">
        <f ca="1">'Monthly Data'!FO94</f>
        <v>685.5974771668632</v>
      </c>
      <c r="EV118" s="488">
        <f ca="1">'Monthly Data'!FP94</f>
        <v>520.82145598625243</v>
      </c>
      <c r="EW118" s="488">
        <f ca="1">'Monthly Data'!FQ94</f>
        <v>2394.0971662686748</v>
      </c>
      <c r="EX118" s="488">
        <f ca="1">'Monthly Data'!FR94</f>
        <v>77430.465128022421</v>
      </c>
      <c r="EY118" s="488">
        <f ca="1">'Monthly Data'!FS94</f>
        <v>1541733.7156240919</v>
      </c>
      <c r="EZ118" s="488">
        <f ca="1">'Monthly Data'!FT94</f>
        <v>5910097.3502876293</v>
      </c>
      <c r="FA118" s="488">
        <f ca="1">'Monthly Data'!FX94</f>
        <v>756.96266246431878</v>
      </c>
      <c r="FB118" s="488">
        <f ca="1">'Monthly Data'!FY94</f>
        <v>3491.8646357795328</v>
      </c>
      <c r="FC118" s="488">
        <f ca="1">'Monthly Data'!FZ94</f>
        <v>75041.487362266402</v>
      </c>
      <c r="FD118" s="488">
        <f>'Monthly Data'!GA94</f>
        <v>94369.000701485857</v>
      </c>
    </row>
    <row r="119" spans="1:160">
      <c r="A119">
        <v>2023</v>
      </c>
      <c r="B119">
        <v>10</v>
      </c>
      <c r="C119" s="200">
        <v>261.85000000000002</v>
      </c>
      <c r="D119" s="200">
        <v>0</v>
      </c>
      <c r="E119" s="200">
        <v>207.15416666666667</v>
      </c>
      <c r="F119" s="200">
        <v>7.3041666666666707</v>
      </c>
      <c r="G119" s="200">
        <v>157.42916666666665</v>
      </c>
      <c r="H119" s="200">
        <v>19.579166666666676</v>
      </c>
      <c r="I119" s="200">
        <v>111.18333333333332</v>
      </c>
      <c r="J119" s="200">
        <v>35.333333333333343</v>
      </c>
      <c r="K119" s="200">
        <v>68.475000000000009</v>
      </c>
      <c r="L119" s="200">
        <v>54.625</v>
      </c>
      <c r="M119" s="200">
        <v>37.779166666666669</v>
      </c>
      <c r="N119" s="200">
        <v>85.929166666666674</v>
      </c>
      <c r="O119" s="200">
        <v>17.783333333333335</v>
      </c>
      <c r="P119" s="200">
        <v>127.93333333333337</v>
      </c>
      <c r="Q119" s="257">
        <v>11.553225806451612</v>
      </c>
      <c r="S119" s="3">
        <f>'Monthly Data'!D95</f>
        <v>71485385.587483674</v>
      </c>
      <c r="T119" s="3">
        <f>'Monthly Data'!J95</f>
        <v>850548.2569452395</v>
      </c>
      <c r="U119" s="3">
        <f>'Monthly Data'!P95</f>
        <v>20260164.454769988</v>
      </c>
      <c r="V119" s="3">
        <f>'Monthly Data'!V95</f>
        <v>72585997.150628164</v>
      </c>
      <c r="W119" s="3">
        <f>'Monthly Data'!AB95</f>
        <v>8590094.7009140309</v>
      </c>
      <c r="X119" s="3">
        <f>'Monthly Data'!AG95</f>
        <v>27955350.600693982</v>
      </c>
      <c r="Y119" s="3">
        <f>'Monthly Data'!BC95</f>
        <v>27910569.867304377</v>
      </c>
      <c r="Z119" s="3">
        <f>'Monthly Data'!BI95</f>
        <v>8101734.1266787918</v>
      </c>
      <c r="AA119" s="3">
        <f>'Monthly Data'!BO95</f>
        <v>25471471.620534372</v>
      </c>
      <c r="AB119" s="3">
        <f>'Monthly Data'!BU95</f>
        <v>7039400.1639344264</v>
      </c>
      <c r="EU119" s="488">
        <f ca="1">'Monthly Data'!FO95</f>
        <v>635.26784023757523</v>
      </c>
      <c r="EV119" s="488">
        <f ca="1">'Monthly Data'!FP95</f>
        <v>572.19634426683479</v>
      </c>
      <c r="EW119" s="488">
        <f ca="1">'Monthly Data'!FQ95</f>
        <v>2300.8421922247876</v>
      </c>
      <c r="EX119" s="488">
        <f ca="1">'Monthly Data'!FR95</f>
        <v>76300.359650753657</v>
      </c>
      <c r="EY119" s="488">
        <f ca="1">'Monthly Data'!FS95</f>
        <v>1779637.9779727203</v>
      </c>
      <c r="EZ119" s="488">
        <f ca="1">'Monthly Data'!FT95</f>
        <v>6173331.2340147048</v>
      </c>
      <c r="FA119" s="488">
        <f ca="1">'Monthly Data'!FX95</f>
        <v>655.45988128793329</v>
      </c>
      <c r="FB119" s="488">
        <f ca="1">'Monthly Data'!FY95</f>
        <v>3426.4510321354451</v>
      </c>
      <c r="FC119" s="488">
        <f ca="1">'Monthly Data'!FZ95</f>
        <v>73281.594632159176</v>
      </c>
      <c r="FD119" s="488">
        <f>'Monthly Data'!GA95</f>
        <v>110233.99974491422</v>
      </c>
    </row>
    <row r="120" spans="1:160">
      <c r="A120">
        <v>2023</v>
      </c>
      <c r="B120">
        <v>11</v>
      </c>
      <c r="C120" s="200">
        <v>510.59311594202899</v>
      </c>
      <c r="D120" s="200">
        <v>0</v>
      </c>
      <c r="E120" s="200">
        <v>450.59311594202899</v>
      </c>
      <c r="F120" s="200">
        <v>0</v>
      </c>
      <c r="G120" s="200">
        <v>390.59311594202899</v>
      </c>
      <c r="H120" s="200">
        <v>0</v>
      </c>
      <c r="I120" s="200">
        <v>330.59311594202904</v>
      </c>
      <c r="J120" s="200">
        <v>0</v>
      </c>
      <c r="K120" s="200">
        <v>270.59311594202899</v>
      </c>
      <c r="L120" s="200">
        <v>0</v>
      </c>
      <c r="M120" s="200">
        <v>210.95561594202897</v>
      </c>
      <c r="N120" s="200">
        <v>0.36249999999999893</v>
      </c>
      <c r="O120" s="200">
        <v>153.42644927536227</v>
      </c>
      <c r="P120" s="200">
        <v>2.8333333333333304</v>
      </c>
      <c r="Q120" s="257">
        <v>2.9802294685990343</v>
      </c>
      <c r="S120" s="3">
        <f>'Monthly Data'!D96</f>
        <v>79615104.513507336</v>
      </c>
      <c r="T120" s="3">
        <f>'Monthly Data'!J96</f>
        <v>967766.43796031293</v>
      </c>
      <c r="U120" s="3">
        <f>'Monthly Data'!P96</f>
        <v>21588606.574222475</v>
      </c>
      <c r="V120" s="3">
        <f>'Monthly Data'!V96</f>
        <v>73298512.4264272</v>
      </c>
      <c r="W120" s="3">
        <f>'Monthly Data'!AB96</f>
        <v>8425141.8392533418</v>
      </c>
      <c r="X120" s="3">
        <f>'Monthly Data'!AG96</f>
        <v>26346028.982916232</v>
      </c>
      <c r="Y120" s="3">
        <f>'Monthly Data'!BC96</f>
        <v>28041917.459489185</v>
      </c>
      <c r="Z120" s="3">
        <f>'Monthly Data'!BI96</f>
        <v>6687970.9357088096</v>
      </c>
      <c r="AA120" s="3">
        <f>'Monthly Data'!BO96</f>
        <v>26195991.238667063</v>
      </c>
      <c r="AB120" s="3">
        <f>'Monthly Data'!BU96</f>
        <v>6855837.6759884283</v>
      </c>
      <c r="EU120" s="488">
        <f ca="1">'Monthly Data'!FO96</f>
        <v>698.00221685016948</v>
      </c>
      <c r="EV120" s="488">
        <f ca="1">'Monthly Data'!FP96</f>
        <v>647.06483187123342</v>
      </c>
      <c r="EW120" s="488">
        <f ca="1">'Monthly Data'!FQ96</f>
        <v>2440.7345897209834</v>
      </c>
      <c r="EX120" s="488">
        <f ca="1">'Monthly Data'!FR96</f>
        <v>76872.464379777346</v>
      </c>
      <c r="EY120" s="488">
        <f ca="1">'Monthly Data'!FS96</f>
        <v>1747081.013509671</v>
      </c>
      <c r="EZ120" s="488">
        <f ca="1">'Monthly Data'!FT96</f>
        <v>5743137.9188735494</v>
      </c>
      <c r="FA120" s="488">
        <f ca="1">'Monthly Data'!FX96</f>
        <v>657.37302609603364</v>
      </c>
      <c r="FB120" s="488">
        <f ca="1">'Monthly Data'!FY96</f>
        <v>2845.327094857852</v>
      </c>
      <c r="FC120" s="488">
        <f ca="1">'Monthly Data'!FZ96</f>
        <v>75068.944072883707</v>
      </c>
      <c r="FD120" s="488">
        <f>'Monthly Data'!GA96</f>
        <v>117619.66711306675</v>
      </c>
    </row>
    <row r="121" spans="1:160">
      <c r="A121">
        <v>2023</v>
      </c>
      <c r="B121">
        <v>12</v>
      </c>
      <c r="C121" s="200">
        <v>551.67916666666667</v>
      </c>
      <c r="D121" s="200">
        <v>0</v>
      </c>
      <c r="E121" s="200">
        <v>489.67916666666667</v>
      </c>
      <c r="F121" s="200">
        <v>0</v>
      </c>
      <c r="G121" s="200">
        <v>427.67916666666667</v>
      </c>
      <c r="H121" s="200">
        <v>0</v>
      </c>
      <c r="I121" s="200">
        <v>365.67916666666667</v>
      </c>
      <c r="J121" s="200">
        <v>0</v>
      </c>
      <c r="K121" s="200">
        <v>303.67916666666667</v>
      </c>
      <c r="L121" s="200">
        <v>0</v>
      </c>
      <c r="M121" s="200">
        <v>241.67916666666659</v>
      </c>
      <c r="N121" s="200">
        <v>0</v>
      </c>
      <c r="O121" s="200">
        <v>180.36666666666662</v>
      </c>
      <c r="P121" s="200">
        <v>0.68750000000000178</v>
      </c>
      <c r="Q121" s="257">
        <v>2.2038978494623653</v>
      </c>
      <c r="S121" s="3">
        <f>'Monthly Data'!D97</f>
        <v>86927036.956707314</v>
      </c>
      <c r="T121" s="3">
        <f>'Monthly Data'!J97</f>
        <v>1129486.2762831522</v>
      </c>
      <c r="U121" s="3">
        <f>'Monthly Data'!P97</f>
        <v>21179657.134144247</v>
      </c>
      <c r="V121" s="3">
        <f>'Monthly Data'!V97</f>
        <v>73064701.991202444</v>
      </c>
      <c r="W121" s="3">
        <f>'Monthly Data'!AB97</f>
        <v>8323601.7007983318</v>
      </c>
      <c r="X121" s="3">
        <f>'Monthly Data'!AG97</f>
        <v>25674838.641355388</v>
      </c>
      <c r="Y121" s="3">
        <f>'Monthly Data'!BC97</f>
        <v>31610341.798306961</v>
      </c>
      <c r="Z121" s="3">
        <f>'Monthly Data'!BI97</f>
        <v>7008998.3874497795</v>
      </c>
      <c r="AA121" s="3">
        <f>'Monthly Data'!BO97</f>
        <v>26878698.135094564</v>
      </c>
      <c r="AB121" s="3">
        <f>'Monthly Data'!BU97</f>
        <v>6887316.5284474455</v>
      </c>
      <c r="EU121" s="488">
        <f ca="1">'Monthly Data'!FO97</f>
        <v>758.75326396891035</v>
      </c>
      <c r="EV121" s="488">
        <f ca="1">'Monthly Data'!FP97</f>
        <v>750.36312961883129</v>
      </c>
      <c r="EW121" s="488">
        <f ca="1">'Monthly Data'!FQ97</f>
        <v>2397.6343387048123</v>
      </c>
      <c r="EX121" s="488">
        <f ca="1">'Monthly Data'!FR97</f>
        <v>76533.407937665892</v>
      </c>
      <c r="EY121" s="488">
        <f ca="1">'Monthly Data'!FS97</f>
        <v>1727206.5936877574</v>
      </c>
      <c r="EZ121" s="488">
        <f ca="1">'Monthly Data'!FT97</f>
        <v>5514910.6361471433</v>
      </c>
      <c r="FA121" s="488">
        <f ca="1">'Monthly Data'!FX97</f>
        <v>735.11384212389407</v>
      </c>
      <c r="FB121" s="488">
        <f ca="1">'Monthly Data'!FY97</f>
        <v>2972.5352815156743</v>
      </c>
      <c r="FC121" s="488">
        <f ca="1">'Monthly Data'!FZ97</f>
        <v>76742.092339725001</v>
      </c>
      <c r="FD121" s="488">
        <f>'Monthly Data'!GA97</f>
        <v>127228.33365219053</v>
      </c>
    </row>
    <row r="122" spans="1:160">
      <c r="A122">
        <v>2024</v>
      </c>
      <c r="B122">
        <v>1</v>
      </c>
      <c r="C122" s="200">
        <v>698.99583333333328</v>
      </c>
      <c r="D122" s="200">
        <v>0</v>
      </c>
      <c r="E122" s="200">
        <v>636.99583333333339</v>
      </c>
      <c r="F122" s="200">
        <v>0</v>
      </c>
      <c r="G122" s="200">
        <v>574.99583333333339</v>
      </c>
      <c r="H122" s="200">
        <v>0</v>
      </c>
      <c r="I122" s="200">
        <v>512.99583333333328</v>
      </c>
      <c r="J122" s="200">
        <v>0</v>
      </c>
      <c r="K122" s="200">
        <v>450.99583333333322</v>
      </c>
      <c r="L122" s="200">
        <v>0</v>
      </c>
      <c r="M122" s="200">
        <v>388.99583333333317</v>
      </c>
      <c r="N122" s="200">
        <v>0</v>
      </c>
      <c r="O122" s="200">
        <v>326.99583333333317</v>
      </c>
      <c r="P122" s="200">
        <v>0</v>
      </c>
      <c r="Q122" s="257">
        <v>-2.5482526881720431</v>
      </c>
      <c r="S122" s="3">
        <f>'Monthly Data'!D98</f>
        <v>92826586.736683786</v>
      </c>
      <c r="T122" s="3">
        <f>'Monthly Data'!J98</f>
        <v>1261309.065962153</v>
      </c>
      <c r="U122" s="3">
        <f>'Monthly Data'!P98</f>
        <v>22885075.832376584</v>
      </c>
      <c r="V122" s="3">
        <f>'Monthly Data'!V98</f>
        <v>81832264.909859106</v>
      </c>
      <c r="W122" s="3">
        <f>'Monthly Data'!AB98</f>
        <v>8375669.3663465595</v>
      </c>
      <c r="X122" s="3">
        <f>'Monthly Data'!AG98</f>
        <v>26536637.338150974</v>
      </c>
      <c r="Y122" s="3">
        <f>'Monthly Data'!BC98</f>
        <v>32611180.688930407</v>
      </c>
      <c r="Z122" s="3">
        <f>'Monthly Data'!BI98</f>
        <v>8025171.09954473</v>
      </c>
      <c r="AA122" s="3">
        <f>'Monthly Data'!BO98</f>
        <v>29046052.082858</v>
      </c>
      <c r="AB122" s="3">
        <f>'Monthly Data'!BU98</f>
        <v>7171909.6721311482</v>
      </c>
      <c r="EU122" s="488">
        <f ca="1">'Monthly Data'!FO98</f>
        <v>800.36595835874107</v>
      </c>
      <c r="EV122" s="488">
        <f ca="1">'Monthly Data'!FP98</f>
        <v>835.71215311703872</v>
      </c>
      <c r="EW122" s="488">
        <f ca="1">'Monthly Data'!FQ98</f>
        <v>2581.7600686588053</v>
      </c>
      <c r="EX122" s="488">
        <f ca="1">'Monthly Data'!FR98</f>
        <v>84884.104603953441</v>
      </c>
      <c r="EY122" s="488">
        <f ca="1">'Monthly Data'!FS98</f>
        <v>1741489.3538013312</v>
      </c>
      <c r="EZ122" s="488">
        <f ca="1">'Monthly Data'!FT98</f>
        <v>5697491.5791075798</v>
      </c>
      <c r="FA122" s="488">
        <f ca="1">'Monthly Data'!FX98</f>
        <v>757.70386953423213</v>
      </c>
      <c r="FB122" s="488">
        <f ca="1">'Monthly Data'!FY98</f>
        <v>3389.2811572523392</v>
      </c>
      <c r="FC122" s="488">
        <f ca="1">'Monthly Data'!FZ98</f>
        <v>82516.05273558831</v>
      </c>
      <c r="FD122" s="488">
        <f>'Monthly Data'!GA98</f>
        <v>124401.00121165741</v>
      </c>
    </row>
    <row r="123" spans="1:160">
      <c r="A123">
        <v>2024</v>
      </c>
      <c r="B123">
        <v>2</v>
      </c>
      <c r="C123" s="200">
        <v>600.96666666666647</v>
      </c>
      <c r="D123" s="200">
        <v>0</v>
      </c>
      <c r="E123" s="200">
        <v>542.96666666666658</v>
      </c>
      <c r="F123" s="200">
        <v>0</v>
      </c>
      <c r="G123" s="200">
        <v>484.96666666666658</v>
      </c>
      <c r="H123" s="200">
        <v>0</v>
      </c>
      <c r="I123" s="200">
        <v>426.96666666666664</v>
      </c>
      <c r="J123" s="200">
        <v>0</v>
      </c>
      <c r="K123" s="200">
        <v>368.96666666666664</v>
      </c>
      <c r="L123" s="200">
        <v>0</v>
      </c>
      <c r="M123" s="200">
        <v>310.9666666666667</v>
      </c>
      <c r="N123" s="200">
        <v>0</v>
      </c>
      <c r="O123" s="200">
        <v>252.9666666666667</v>
      </c>
      <c r="P123" s="200">
        <v>0</v>
      </c>
      <c r="Q123" s="257">
        <v>-0.72298850574712648</v>
      </c>
      <c r="S123" s="3">
        <f>'Monthly Data'!D99</f>
        <v>80096326.507686049</v>
      </c>
      <c r="T123" s="3">
        <f>'Monthly Data'!J99</f>
        <v>1173326.1126721017</v>
      </c>
      <c r="U123" s="3">
        <f>'Monthly Data'!P99</f>
        <v>20585432.460018069</v>
      </c>
      <c r="V123" s="3">
        <f>'Monthly Data'!V99</f>
        <v>75275874.803052768</v>
      </c>
      <c r="W123" s="3">
        <f>'Monthly Data'!AB99</f>
        <v>7755509.7863396173</v>
      </c>
      <c r="X123" s="3">
        <f>'Monthly Data'!AG99</f>
        <v>26638351.69214597</v>
      </c>
      <c r="Y123" s="3">
        <f>'Monthly Data'!BC99</f>
        <v>28622669.106820058</v>
      </c>
      <c r="Z123" s="3">
        <f>'Monthly Data'!BI99</f>
        <v>6820475.3834120957</v>
      </c>
      <c r="AA123" s="3">
        <f>'Monthly Data'!BO99</f>
        <v>25996037.072350644</v>
      </c>
      <c r="AB123" s="3">
        <f>'Monthly Data'!BU99</f>
        <v>6741079.9614271941</v>
      </c>
      <c r="EU123" s="488">
        <f ca="1">'Monthly Data'!FO99</f>
        <v>693.21252558693902</v>
      </c>
      <c r="EV123" s="488">
        <f ca="1">'Monthly Data'!FP99</f>
        <v>779.72956920701256</v>
      </c>
      <c r="EW123" s="488">
        <f ca="1">'Monthly Data'!FQ99</f>
        <v>2340.3851008992688</v>
      </c>
      <c r="EX123" s="488">
        <f ca="1">'Monthly Data'!FR99</f>
        <v>78431.156563173252</v>
      </c>
      <c r="EY123" s="488">
        <f ca="1">'Monthly Data'!FS99</f>
        <v>1618291.3138377983</v>
      </c>
      <c r="EZ123" s="488">
        <f ca="1">'Monthly Data'!FT99</f>
        <v>5720465.7610469935</v>
      </c>
      <c r="FA123" s="488">
        <f ca="1">'Monthly Data'!FX99</f>
        <v>669.45680671636853</v>
      </c>
      <c r="FB123" s="488">
        <f ca="1">'Monthly Data'!FY99</f>
        <v>2898.1897149502133</v>
      </c>
      <c r="FC123" s="488">
        <f ca="1">'Monthly Data'!FZ99</f>
        <v>74650.118459971767</v>
      </c>
      <c r="FD123" s="488">
        <f>'Monthly Data'!GA99</f>
        <v>106835.33256807599</v>
      </c>
    </row>
    <row r="124" spans="1:160">
      <c r="A124">
        <v>2024</v>
      </c>
      <c r="B124">
        <v>3</v>
      </c>
      <c r="C124" s="200">
        <v>522.11249999999995</v>
      </c>
      <c r="D124" s="200">
        <v>0</v>
      </c>
      <c r="E124" s="200">
        <v>460.11250000000001</v>
      </c>
      <c r="F124" s="200">
        <v>0</v>
      </c>
      <c r="G124" s="200">
        <v>398.11250000000001</v>
      </c>
      <c r="H124" s="200">
        <v>0</v>
      </c>
      <c r="I124" s="200">
        <v>336.11249999999995</v>
      </c>
      <c r="J124" s="200">
        <v>0</v>
      </c>
      <c r="K124" s="200">
        <v>274.11250000000001</v>
      </c>
      <c r="L124" s="200">
        <v>0</v>
      </c>
      <c r="M124" s="200">
        <v>212.11250000000004</v>
      </c>
      <c r="N124" s="200">
        <v>0</v>
      </c>
      <c r="O124" s="200">
        <v>154.69166666666669</v>
      </c>
      <c r="P124" s="200">
        <v>4.5791666666666657</v>
      </c>
      <c r="Q124" s="257">
        <v>3.1576612903225802</v>
      </c>
      <c r="S124" s="3">
        <f>'Monthly Data'!D100</f>
        <v>79371713.763867259</v>
      </c>
      <c r="T124" s="3">
        <f>'Monthly Data'!J100</f>
        <v>1096849.7009658553</v>
      </c>
      <c r="U124" s="3">
        <f>'Monthly Data'!P100</f>
        <v>20536248.588542148</v>
      </c>
      <c r="V124" s="3">
        <f>'Monthly Data'!V100</f>
        <v>76915541.641207486</v>
      </c>
      <c r="W124" s="3">
        <f>'Monthly Data'!AB100</f>
        <v>8334975.3172123851</v>
      </c>
      <c r="X124" s="3">
        <f>'Monthly Data'!AG100</f>
        <v>27385958.920057841</v>
      </c>
      <c r="Y124" s="3">
        <f>'Monthly Data'!BC100</f>
        <v>28872392.315176144</v>
      </c>
      <c r="Z124" s="3">
        <f>'Monthly Data'!BI100</f>
        <v>6804410.7169444803</v>
      </c>
      <c r="AA124" s="3">
        <f>'Monthly Data'!BO100</f>
        <v>26327936.115280695</v>
      </c>
      <c r="AB124" s="3">
        <f>'Monthly Data'!BU100</f>
        <v>7146589.6721311482</v>
      </c>
      <c r="EU124" s="488">
        <f ca="1">'Monthly Data'!FO100</f>
        <v>688.6688493761402</v>
      </c>
      <c r="EV124" s="488">
        <f ca="1">'Monthly Data'!FP100</f>
        <v>731.08493786333179</v>
      </c>
      <c r="EW124" s="488">
        <f ca="1">'Monthly Data'!FQ100</f>
        <v>2335.9574251190184</v>
      </c>
      <c r="EX124" s="488">
        <f ca="1">'Monthly Data'!FR100</f>
        <v>79822.537870201981</v>
      </c>
      <c r="EY124" s="488">
        <f ca="1">'Monthly Data'!FS100</f>
        <v>1735018.2960502072</v>
      </c>
      <c r="EZ124" s="488">
        <f ca="1">'Monthly Data'!FT100</f>
        <v>5872618.5177697828</v>
      </c>
      <c r="FA124" s="488">
        <f ca="1">'Monthly Data'!FX100</f>
        <v>674.65017322525284</v>
      </c>
      <c r="FB124" s="488">
        <f ca="1">'Monthly Data'!FY100</f>
        <v>2890.9788678877399</v>
      </c>
      <c r="FC124" s="488">
        <f ca="1">'Monthly Data'!FZ100</f>
        <v>75516.220343156558</v>
      </c>
      <c r="FD124" s="488">
        <f>'Monthly Data'!GA100</f>
        <v>101498.66717683821</v>
      </c>
    </row>
    <row r="125" spans="1:160">
      <c r="A125">
        <v>2024</v>
      </c>
      <c r="B125">
        <v>4</v>
      </c>
      <c r="C125" s="200">
        <v>368.29791666666671</v>
      </c>
      <c r="D125" s="200">
        <v>0</v>
      </c>
      <c r="E125" s="200">
        <v>308.29791666666665</v>
      </c>
      <c r="F125" s="200">
        <v>0</v>
      </c>
      <c r="G125" s="200">
        <v>248.29791666666665</v>
      </c>
      <c r="H125" s="200">
        <v>0</v>
      </c>
      <c r="I125" s="200">
        <v>188.29791666666671</v>
      </c>
      <c r="J125" s="200">
        <v>0</v>
      </c>
      <c r="K125" s="200">
        <v>130.68125000000001</v>
      </c>
      <c r="L125" s="200">
        <v>2.3833333333333346</v>
      </c>
      <c r="M125" s="200">
        <v>78.922916666666652</v>
      </c>
      <c r="N125" s="200">
        <v>10.625</v>
      </c>
      <c r="O125" s="200">
        <v>41.093749999999993</v>
      </c>
      <c r="P125" s="200">
        <v>32.795833333333334</v>
      </c>
      <c r="Q125" s="257">
        <v>7.7234027777777765</v>
      </c>
      <c r="S125" s="3">
        <f>'Monthly Data'!D101</f>
        <v>69399064.360561281</v>
      </c>
      <c r="T125" s="3">
        <f>'Monthly Data'!J101</f>
        <v>844020.64371050405</v>
      </c>
      <c r="U125" s="3">
        <f>'Monthly Data'!P101</f>
        <v>18721933.765236143</v>
      </c>
      <c r="V125" s="3">
        <f>'Monthly Data'!V101</f>
        <v>73410702.378436863</v>
      </c>
      <c r="W125" s="3">
        <f>'Monthly Data'!AB101</f>
        <v>8152593.5728335036</v>
      </c>
      <c r="X125" s="3">
        <f>'Monthly Data'!AG101</f>
        <v>22364713.277121536</v>
      </c>
      <c r="Y125" s="3">
        <f>'Monthly Data'!BC101</f>
        <v>26120632.779796656</v>
      </c>
      <c r="Z125" s="3">
        <f>'Monthly Data'!BI101</f>
        <v>6235852.4739643401</v>
      </c>
      <c r="AA125" s="3">
        <f>'Monthly Data'!BO101</f>
        <v>24566014.049834881</v>
      </c>
      <c r="AB125" s="3">
        <f>'Monthly Data'!BU101</f>
        <v>6237138.0810028939</v>
      </c>
      <c r="EU125" s="488">
        <f ca="1">'Monthly Data'!FO101</f>
        <v>607.39508915981696</v>
      </c>
      <c r="EV125" s="488">
        <f ca="1">'Monthly Data'!FP101</f>
        <v>569.56589826239826</v>
      </c>
      <c r="EW125" s="488">
        <f ca="1">'Monthly Data'!FQ101</f>
        <v>2145.7271903580927</v>
      </c>
      <c r="EX125" s="488">
        <f ca="1">'Monthly Data'!FR101</f>
        <v>76317.76086712761</v>
      </c>
      <c r="EY125" s="488">
        <f ca="1">'Monthly Data'!FS101</f>
        <v>1699375.823212286</v>
      </c>
      <c r="EZ125" s="488">
        <f ca="1">'Monthly Data'!FT101</f>
        <v>4871000.7003229372</v>
      </c>
      <c r="FA125" s="488">
        <f ca="1">'Monthly Data'!FX101</f>
        <v>613.7901357863019</v>
      </c>
      <c r="FB125" s="488">
        <f ca="1">'Monthly Data'!FY101</f>
        <v>2659.2771862168402</v>
      </c>
      <c r="FC125" s="488">
        <f ca="1">'Monthly Data'!FZ101</f>
        <v>70984.759960059237</v>
      </c>
      <c r="FD125" s="488">
        <f>'Monthly Data'!GA101</f>
        <v>86294.66551878069</v>
      </c>
    </row>
    <row r="126" spans="1:160">
      <c r="A126">
        <v>2024</v>
      </c>
      <c r="B126">
        <v>5</v>
      </c>
      <c r="C126" s="200">
        <v>143.5708333333333</v>
      </c>
      <c r="D126" s="200">
        <v>2.6999999999999957</v>
      </c>
      <c r="E126" s="200">
        <v>89.52916666666664</v>
      </c>
      <c r="F126" s="200">
        <v>10.658333333333328</v>
      </c>
      <c r="G126" s="200">
        <v>44.158333333333317</v>
      </c>
      <c r="H126" s="200">
        <v>27.287500000000005</v>
      </c>
      <c r="I126" s="200">
        <v>15.562499999999984</v>
      </c>
      <c r="J126" s="200">
        <v>60.691666666666663</v>
      </c>
      <c r="K126" s="200">
        <v>2.9208333333333272</v>
      </c>
      <c r="L126" s="200">
        <v>110.05000000000001</v>
      </c>
      <c r="M126" s="200">
        <v>0</v>
      </c>
      <c r="N126" s="200">
        <v>169.12916666666669</v>
      </c>
      <c r="O126" s="200">
        <v>0</v>
      </c>
      <c r="P126" s="200">
        <v>231.12916666666669</v>
      </c>
      <c r="Q126" s="257">
        <v>15.455779569892472</v>
      </c>
      <c r="S126" s="3">
        <f>'Monthly Data'!D102</f>
        <v>70010680.759579614</v>
      </c>
      <c r="T126" s="3">
        <f>'Monthly Data'!J102</f>
        <v>812558.96621492365</v>
      </c>
      <c r="U126" s="3">
        <f>'Monthly Data'!P102</f>
        <v>19055710.70695189</v>
      </c>
      <c r="V126" s="3">
        <f>'Monthly Data'!V102</f>
        <v>76194934.845801011</v>
      </c>
      <c r="W126" s="3">
        <f>'Monthly Data'!AB102</f>
        <v>8110102.6360445814</v>
      </c>
      <c r="X126" s="3">
        <f>'Monthly Data'!AG102</f>
        <v>27072499.504902609</v>
      </c>
      <c r="Y126" s="3">
        <f>'Monthly Data'!BC102</f>
        <v>28745414.483798049</v>
      </c>
      <c r="Z126" s="3">
        <f>'Monthly Data'!BI102</f>
        <v>6650382.3697734261</v>
      </c>
      <c r="AA126" s="3">
        <f>'Monthly Data'!BO102</f>
        <v>25232676.399879914</v>
      </c>
      <c r="AB126" s="3">
        <f>'Monthly Data'!BU102</f>
        <v>6638311.5718418518</v>
      </c>
      <c r="EU126" s="488">
        <f ca="1">'Monthly Data'!FO102</f>
        <v>618.81631250092937</v>
      </c>
      <c r="EV126" s="488">
        <f ca="1">'Monthly Data'!FP102</f>
        <v>549.66817319103802</v>
      </c>
      <c r="EW126" s="488">
        <f ca="1">'Monthly Data'!FQ102</f>
        <v>2181.6240624438783</v>
      </c>
      <c r="EX126" s="488">
        <f ca="1">'Monthly Data'!FR102</f>
        <v>78792.069758684913</v>
      </c>
      <c r="EY126" s="488">
        <f ca="1">'Monthly Data'!FS102</f>
        <v>1691711.5118923571</v>
      </c>
      <c r="EZ126" s="488">
        <f ca="1">'Monthly Data'!FT102</f>
        <v>5815189.2570195664</v>
      </c>
      <c r="FA126" s="488">
        <f ca="1">'Monthly Data'!FX102</f>
        <v>671.24111965335692</v>
      </c>
      <c r="FB126" s="488">
        <f ca="1">'Monthly Data'!FY102</f>
        <v>2827.0813903669509</v>
      </c>
      <c r="FC126" s="488">
        <f ca="1">'Monthly Data'!FZ102</f>
        <v>72714.34309449546</v>
      </c>
      <c r="FD126" s="488">
        <f>'Monthly Data'!GA102</f>
        <v>78750.666411580882</v>
      </c>
    </row>
    <row r="127" spans="1:160">
      <c r="A127">
        <v>2024</v>
      </c>
      <c r="B127">
        <v>6</v>
      </c>
      <c r="C127" s="200">
        <v>60.86249999999999</v>
      </c>
      <c r="D127" s="200">
        <v>25.01666666666668</v>
      </c>
      <c r="E127" s="200">
        <v>31.570833333333319</v>
      </c>
      <c r="F127" s="200">
        <v>55.725000000000009</v>
      </c>
      <c r="G127" s="200">
        <v>10.312499999999995</v>
      </c>
      <c r="H127" s="200">
        <v>94.466666666666669</v>
      </c>
      <c r="I127" s="200">
        <v>2.4583333333333321</v>
      </c>
      <c r="J127" s="200">
        <v>146.61250000000007</v>
      </c>
      <c r="K127" s="200">
        <v>0</v>
      </c>
      <c r="L127" s="200">
        <v>204.15416666666667</v>
      </c>
      <c r="M127" s="200">
        <v>0</v>
      </c>
      <c r="N127" s="200">
        <v>264.15416666666664</v>
      </c>
      <c r="O127" s="200">
        <v>0</v>
      </c>
      <c r="P127" s="200">
        <v>324.1541666666667</v>
      </c>
      <c r="Q127" s="257">
        <v>18.805138888888891</v>
      </c>
      <c r="S127" s="3">
        <f>'Monthly Data'!D103</f>
        <v>86079741.116460398</v>
      </c>
      <c r="T127" s="3">
        <f>'Monthly Data'!J103</f>
        <v>741786.65862688201</v>
      </c>
      <c r="U127" s="3">
        <f>'Monthly Data'!P103</f>
        <v>19987165.718999069</v>
      </c>
      <c r="V127" s="3">
        <f>'Monthly Data'!V103</f>
        <v>77307246.554965541</v>
      </c>
      <c r="W127" s="3">
        <f>'Monthly Data'!AB103</f>
        <v>7868030.4774576705</v>
      </c>
      <c r="X127" s="3">
        <f>'Monthly Data'!AG103</f>
        <v>26934569.290462855</v>
      </c>
      <c r="Y127" s="3">
        <f>'Monthly Data'!BC103</f>
        <v>36723805.876219153</v>
      </c>
      <c r="Z127" s="3">
        <f>'Monthly Data'!BI103</f>
        <v>7105785.1130213011</v>
      </c>
      <c r="AA127" s="3">
        <f>'Monthly Data'!BO103</f>
        <v>26291720.915040527</v>
      </c>
      <c r="AB127" s="3">
        <f>'Monthly Data'!BU103</f>
        <v>6657206.972034716</v>
      </c>
      <c r="EU127" s="488">
        <f ca="1">'Monthly Data'!FO103</f>
        <v>756.6501004899784</v>
      </c>
      <c r="EV127" s="488">
        <f ca="1">'Monthly Data'!FP103</f>
        <v>504.59509905277088</v>
      </c>
      <c r="EW127" s="488">
        <f ca="1">'Monthly Data'!FQ103</f>
        <v>2280.4188164454986</v>
      </c>
      <c r="EX127" s="488">
        <f ca="1">'Monthly Data'!FR103</f>
        <v>79672.86084124558</v>
      </c>
      <c r="EY127" s="488">
        <f ca="1">'Monthly Data'!FS103</f>
        <v>1644130.9562128303</v>
      </c>
      <c r="EZ127" s="488">
        <f ca="1">'Monthly Data'!FT103</f>
        <v>5790234.5252720304</v>
      </c>
      <c r="FA127" s="488">
        <f ca="1">'Monthly Data'!FX103</f>
        <v>846.26325214850624</v>
      </c>
      <c r="FB127" s="488">
        <f ca="1">'Monthly Data'!FY103</f>
        <v>3011.2692937160627</v>
      </c>
      <c r="FC127" s="488">
        <f ca="1">'Monthly Data'!FZ103</f>
        <v>75451.692956211889</v>
      </c>
      <c r="FD127" s="488">
        <f>'Monthly Data'!GA103</f>
        <v>70717.667878324079</v>
      </c>
    </row>
    <row r="128" spans="1:160">
      <c r="A128">
        <v>2024</v>
      </c>
      <c r="B128">
        <v>7</v>
      </c>
      <c r="C128" s="200">
        <v>5.5666666666666629</v>
      </c>
      <c r="D128" s="200">
        <v>60.708333333333343</v>
      </c>
      <c r="E128" s="200">
        <v>0.32916666666666927</v>
      </c>
      <c r="F128" s="200">
        <v>117.47083333333335</v>
      </c>
      <c r="G128" s="200">
        <v>0</v>
      </c>
      <c r="H128" s="200">
        <v>179.14166666666668</v>
      </c>
      <c r="I128" s="200">
        <v>0</v>
      </c>
      <c r="J128" s="200">
        <v>241.14166666666668</v>
      </c>
      <c r="K128" s="200">
        <v>0</v>
      </c>
      <c r="L128" s="200">
        <v>303.14166666666665</v>
      </c>
      <c r="M128" s="200">
        <v>0</v>
      </c>
      <c r="N128" s="200">
        <v>365.14166666666671</v>
      </c>
      <c r="O128" s="200">
        <v>0</v>
      </c>
      <c r="P128" s="200">
        <v>427.14166666666677</v>
      </c>
      <c r="Q128" s="257">
        <v>21.778763440860214</v>
      </c>
      <c r="S128" s="3">
        <f>'Monthly Data'!D104</f>
        <v>110281170.52246517</v>
      </c>
      <c r="T128" s="3">
        <f>'Monthly Data'!J104</f>
        <v>1047764.459532844</v>
      </c>
      <c r="U128" s="3">
        <f>'Monthly Data'!P104</f>
        <v>23022417.865837455</v>
      </c>
      <c r="V128" s="3">
        <f>'Monthly Data'!V104</f>
        <v>84704775.508718401</v>
      </c>
      <c r="W128" s="3">
        <f>'Monthly Data'!AB104</f>
        <v>7885325.8513633357</v>
      </c>
      <c r="X128" s="3">
        <f>'Monthly Data'!AG104</f>
        <v>28057884.191029403</v>
      </c>
      <c r="Y128" s="3">
        <f>'Monthly Data'!BC104</f>
        <v>46669548.80843737</v>
      </c>
      <c r="Z128" s="3">
        <f>'Monthly Data'!BI104</f>
        <v>8771340.5992603544</v>
      </c>
      <c r="AA128" s="3">
        <f>'Monthly Data'!BO104</f>
        <v>29017273.842089459</v>
      </c>
      <c r="AB128" s="3">
        <f>'Monthly Data'!BU104</f>
        <v>7034103.3944069436</v>
      </c>
      <c r="EU128" s="488">
        <f ca="1">'Monthly Data'!FO104</f>
        <v>962.43966645507169</v>
      </c>
      <c r="EV128" s="488">
        <f ca="1">'Monthly Data'!FP104</f>
        <v>700.75151890249379</v>
      </c>
      <c r="EW128" s="488">
        <f ca="1">'Monthly Data'!FQ104</f>
        <v>2600.5978681303204</v>
      </c>
      <c r="EX128" s="488">
        <f ca="1">'Monthly Data'!FR104</f>
        <v>86473.739366182199</v>
      </c>
      <c r="EY128" s="488">
        <f ca="1">'Monthly Data'!FS104</f>
        <v>1648423.9070318185</v>
      </c>
      <c r="EZ128" s="488">
        <f ca="1">'Monthly Data'!FT104</f>
        <v>6017528.8165257555</v>
      </c>
      <c r="FA128" s="488">
        <f ca="1">'Monthly Data'!FX104</f>
        <v>1064.2573945651163</v>
      </c>
      <c r="FB128" s="488">
        <f ca="1">'Monthly Data'!FY104</f>
        <v>3686.0676936302248</v>
      </c>
      <c r="FC128" s="488">
        <f ca="1">'Monthly Data'!FZ104</f>
        <v>82472.360469265841</v>
      </c>
      <c r="FD128" s="488">
        <f>'Monthly Data'!GA104</f>
        <v>75912.668197181294</v>
      </c>
    </row>
    <row r="129" spans="1:160">
      <c r="A129">
        <v>2024</v>
      </c>
      <c r="B129">
        <v>8</v>
      </c>
      <c r="C129" s="200">
        <v>26.975000000000016</v>
      </c>
      <c r="D129" s="200">
        <v>41.841666666666654</v>
      </c>
      <c r="E129" s="200">
        <v>8.2333333333333432</v>
      </c>
      <c r="F129" s="200">
        <v>85.09999999999998</v>
      </c>
      <c r="G129" s="200">
        <v>1.7583333333333346</v>
      </c>
      <c r="H129" s="200">
        <v>140.625</v>
      </c>
      <c r="I129" s="200">
        <v>0</v>
      </c>
      <c r="J129" s="200">
        <v>200.86666666666665</v>
      </c>
      <c r="K129" s="200">
        <v>0</v>
      </c>
      <c r="L129" s="200">
        <v>262.86666666666667</v>
      </c>
      <c r="M129" s="200">
        <v>0</v>
      </c>
      <c r="N129" s="200">
        <v>324.86666666666667</v>
      </c>
      <c r="O129" s="200">
        <v>0</v>
      </c>
      <c r="P129" s="200">
        <v>386.86666666666656</v>
      </c>
      <c r="Q129" s="257">
        <v>20.479569892473116</v>
      </c>
      <c r="S129" s="3">
        <f>'Monthly Data'!D105</f>
        <v>101130442.64103502</v>
      </c>
      <c r="T129" s="3">
        <f>'Monthly Data'!J105</f>
        <v>1074959.4891657406</v>
      </c>
      <c r="U129" s="3">
        <f>'Monthly Data'!P105</f>
        <v>21847262.681568429</v>
      </c>
      <c r="V129" s="3">
        <f>'Monthly Data'!V105</f>
        <v>81963884.185533434</v>
      </c>
      <c r="W129" s="3">
        <f>'Monthly Data'!AB105</f>
        <v>7274531.0848856475</v>
      </c>
      <c r="X129" s="3">
        <f>'Monthly Data'!AG105</f>
        <v>27259513.625459239</v>
      </c>
      <c r="Y129" s="3">
        <f>'Monthly Data'!BC105</f>
        <v>42239255.018021896</v>
      </c>
      <c r="Z129" s="3">
        <f>'Monthly Data'!BI105</f>
        <v>7428674.4781983336</v>
      </c>
      <c r="AA129" s="3">
        <f>'Monthly Data'!BO105</f>
        <v>28724099.688982286</v>
      </c>
      <c r="AB129" s="3">
        <f>'Monthly Data'!BU105</f>
        <v>6830413.413693347</v>
      </c>
      <c r="EU129" s="488">
        <f ca="1">'Monthly Data'!FO105</f>
        <v>883.0210036152497</v>
      </c>
      <c r="EV129" s="488">
        <f ca="1">'Monthly Data'!FP105</f>
        <v>718.43740054139346</v>
      </c>
      <c r="EW129" s="488">
        <f ca="1">'Monthly Data'!FQ105</f>
        <v>2477.6655234471605</v>
      </c>
      <c r="EX129" s="488">
        <f ca="1">'Monthly Data'!FR105</f>
        <v>83706.809753940062</v>
      </c>
      <c r="EY129" s="488">
        <f ca="1">'Monthly Data'!FS105</f>
        <v>1527098.8297741362</v>
      </c>
      <c r="EZ129" s="488">
        <f ca="1">'Monthly Data'!FT105</f>
        <v>5860486.0145521369</v>
      </c>
      <c r="FA129" s="488">
        <f ca="1">'Monthly Data'!FX105</f>
        <v>966.46289263616427</v>
      </c>
      <c r="FB129" s="488">
        <f ca="1">'Monthly Data'!FY105</f>
        <v>3140.6609851127628</v>
      </c>
      <c r="FC129" s="488">
        <f ca="1">'Monthly Data'!FZ105</f>
        <v>81723.780131644642</v>
      </c>
      <c r="FD129" s="488">
        <f>'Monthly Data'!GA105</f>
        <v>85721.334736305071</v>
      </c>
    </row>
    <row r="130" spans="1:160">
      <c r="A130">
        <v>2024</v>
      </c>
      <c r="B130">
        <v>9</v>
      </c>
      <c r="C130" s="200">
        <v>69.33750000000002</v>
      </c>
      <c r="D130" s="200">
        <v>0.63750000000000284</v>
      </c>
      <c r="E130" s="200">
        <v>29.36666666666666</v>
      </c>
      <c r="F130" s="200">
        <v>20.666666666666679</v>
      </c>
      <c r="G130" s="200">
        <v>10.920833333333333</v>
      </c>
      <c r="H130" s="200">
        <v>62.220833333333331</v>
      </c>
      <c r="I130" s="200">
        <v>2.5625000000000036</v>
      </c>
      <c r="J130" s="200">
        <v>113.86250000000001</v>
      </c>
      <c r="K130" s="200">
        <v>0</v>
      </c>
      <c r="L130" s="200">
        <v>171.29999999999998</v>
      </c>
      <c r="M130" s="200">
        <v>0</v>
      </c>
      <c r="N130" s="200">
        <v>231.3</v>
      </c>
      <c r="O130" s="200">
        <v>0</v>
      </c>
      <c r="P130" s="200">
        <v>291.30000000000007</v>
      </c>
      <c r="Q130" s="257">
        <v>17.709999999999997</v>
      </c>
      <c r="S130" s="3">
        <f>'Monthly Data'!D106</f>
        <v>78833522.245828032</v>
      </c>
      <c r="T130" s="3">
        <f>'Monthly Data'!J106</f>
        <v>780659.6748793741</v>
      </c>
      <c r="U130" s="3">
        <f>'Monthly Data'!P106</f>
        <v>19324555.184355758</v>
      </c>
      <c r="V130" s="3">
        <f>'Monthly Data'!V106</f>
        <v>76947474.964620784</v>
      </c>
      <c r="W130" s="3">
        <f>'Monthly Data'!AB106</f>
        <v>7410718.539087506</v>
      </c>
      <c r="X130" s="3">
        <f>'Monthly Data'!AG106</f>
        <v>27283153.813612446</v>
      </c>
      <c r="Y130" s="3">
        <f>'Monthly Data'!BC106</f>
        <v>33551861.071688607</v>
      </c>
      <c r="Z130" s="3">
        <f>'Monthly Data'!BI106</f>
        <v>6646587.9930072082</v>
      </c>
      <c r="AA130" s="3">
        <f>'Monthly Data'!BO106</f>
        <v>26766335.49084359</v>
      </c>
      <c r="AB130" s="3">
        <f>'Monthly Data'!BU106</f>
        <v>6405318.5438765679</v>
      </c>
      <c r="EU130" s="488">
        <f ca="1">'Monthly Data'!FO106</f>
        <v>691.82817655151007</v>
      </c>
      <c r="EV130" s="488">
        <f ca="1">'Monthly Data'!FP106</f>
        <v>530.17641905953474</v>
      </c>
      <c r="EW130" s="488">
        <f ca="1">'Monthly Data'!FQ106</f>
        <v>2212.9609399712476</v>
      </c>
      <c r="EX130" s="488">
        <f ca="1">'Monthly Data'!FR106</f>
        <v>78820.950343362259</v>
      </c>
      <c r="EY130" s="488">
        <f ca="1">'Monthly Data'!FS106</f>
        <v>1555170.1966523633</v>
      </c>
      <c r="EZ130" s="488">
        <f ca="1">'Monthly Data'!FT106</f>
        <v>5867845.363323193</v>
      </c>
      <c r="FA130" s="488">
        <f ca="1">'Monthly Data'!FX106</f>
        <v>775.43301304893726</v>
      </c>
      <c r="FB130" s="488">
        <f ca="1">'Monthly Data'!FY106</f>
        <v>2823.0103454615955</v>
      </c>
      <c r="FC130" s="488">
        <f ca="1">'Monthly Data'!FZ106</f>
        <v>76699.757906129511</v>
      </c>
      <c r="FD130" s="488">
        <f>'Monthly Data'!GA106</f>
        <v>94624.331994133026</v>
      </c>
    </row>
    <row r="131" spans="1:160">
      <c r="A131">
        <v>2024</v>
      </c>
      <c r="B131">
        <v>10</v>
      </c>
      <c r="C131" s="200">
        <v>295.94166666666661</v>
      </c>
      <c r="D131" s="200">
        <v>0</v>
      </c>
      <c r="E131" s="200">
        <v>233.94166666666658</v>
      </c>
      <c r="F131" s="200">
        <v>0</v>
      </c>
      <c r="G131" s="200">
        <v>174.98749999999998</v>
      </c>
      <c r="H131" s="200">
        <v>3.0458333333333378</v>
      </c>
      <c r="I131" s="200">
        <v>122.06250000000001</v>
      </c>
      <c r="J131" s="200">
        <v>12.120833333333337</v>
      </c>
      <c r="K131" s="200">
        <v>79.04583333333332</v>
      </c>
      <c r="L131" s="200">
        <v>31.104166666666679</v>
      </c>
      <c r="M131" s="200">
        <v>46.029166666666669</v>
      </c>
      <c r="N131" s="200">
        <v>60.087500000000006</v>
      </c>
      <c r="O131" s="200">
        <v>18.616666666666671</v>
      </c>
      <c r="P131" s="200">
        <v>94.675000000000011</v>
      </c>
      <c r="Q131" s="257">
        <v>10.453494623655915</v>
      </c>
      <c r="S131" s="3">
        <f>'Monthly Data'!D107</f>
        <v>69555556.295595959</v>
      </c>
      <c r="T131" s="3">
        <f>'Monthly Data'!J107</f>
        <v>886658.96138064028</v>
      </c>
      <c r="U131" s="3">
        <f>'Monthly Data'!P107</f>
        <v>18544443.760308955</v>
      </c>
      <c r="V131" s="3">
        <f>'Monthly Data'!V107</f>
        <v>74114451.023548096</v>
      </c>
      <c r="W131" s="3">
        <f>'Monthly Data'!AB107</f>
        <v>7881947.3273169016</v>
      </c>
      <c r="X131" s="3">
        <f>'Monthly Data'!AG107</f>
        <v>27025613.003958929</v>
      </c>
      <c r="Y131" s="3">
        <f>'Monthly Data'!BC107</f>
        <v>27080447.729677927</v>
      </c>
      <c r="Z131" s="3">
        <f>'Monthly Data'!BI107</f>
        <v>6337538.7924003629</v>
      </c>
      <c r="AA131" s="3">
        <f>'Monthly Data'!BO107</f>
        <v>26205011.962773941</v>
      </c>
      <c r="AB131" s="3">
        <f>'Monthly Data'!BU107</f>
        <v>6086716.4513018327</v>
      </c>
      <c r="EU131" s="488">
        <f ca="1">'Monthly Data'!FO107</f>
        <v>605.51607792114362</v>
      </c>
      <c r="EV131" s="488">
        <f ca="1">'Monthly Data'!FP107</f>
        <v>598.327394091972</v>
      </c>
      <c r="EW131" s="488">
        <f ca="1">'Monthly Data'!FQ107</f>
        <v>2131.6424504551519</v>
      </c>
      <c r="EX131" s="488">
        <f ca="1">'Monthly Data'!FR107</f>
        <v>76002.801484374155</v>
      </c>
      <c r="EY131" s="488">
        <f ca="1">'Monthly Data'!FS107</f>
        <v>1650249.8303360976</v>
      </c>
      <c r="EZ131" s="488">
        <f ca="1">'Monthly Data'!FT107</f>
        <v>5818968.5125329047</v>
      </c>
      <c r="FA131" s="488">
        <f ca="1">'Monthly Data'!FX107</f>
        <v>633.22427714000321</v>
      </c>
      <c r="FB131" s="488">
        <f ca="1">'Monthly Data'!FY107</f>
        <v>2697.2585869858258</v>
      </c>
      <c r="FC131" s="488">
        <f ca="1">'Monthly Data'!FZ107</f>
        <v>75267.398533455998</v>
      </c>
      <c r="FD131" s="488">
        <f>'Monthly Data'!GA107</f>
        <v>110648.66717683819</v>
      </c>
    </row>
    <row r="132" spans="1:160">
      <c r="A132">
        <v>2024</v>
      </c>
      <c r="B132">
        <v>11</v>
      </c>
      <c r="C132" s="200">
        <v>426.29166666666663</v>
      </c>
      <c r="D132" s="200">
        <v>0</v>
      </c>
      <c r="E132" s="200">
        <v>366.29166666666663</v>
      </c>
      <c r="F132" s="200">
        <v>0</v>
      </c>
      <c r="G132" s="200">
        <v>307.79583333333329</v>
      </c>
      <c r="H132" s="200">
        <v>1.5041666666666629</v>
      </c>
      <c r="I132" s="200">
        <v>251.79583333333335</v>
      </c>
      <c r="J132" s="200">
        <v>5.5041666666666629</v>
      </c>
      <c r="K132" s="200">
        <v>195.79583333333335</v>
      </c>
      <c r="L132" s="200">
        <v>9.5041666666666629</v>
      </c>
      <c r="M132" s="200">
        <v>141.32083333333335</v>
      </c>
      <c r="N132" s="200">
        <v>15.029166666666661</v>
      </c>
      <c r="O132" s="200">
        <v>93.433333333333351</v>
      </c>
      <c r="P132" s="200">
        <v>27.141666666666666</v>
      </c>
      <c r="Q132" s="257">
        <v>5.790277777777777</v>
      </c>
      <c r="S132" s="3">
        <f>'Monthly Data'!D108</f>
        <v>73869093.169131055</v>
      </c>
      <c r="T132" s="3">
        <f>'Monthly Data'!J108</f>
        <v>865931.50661536399</v>
      </c>
      <c r="U132" s="3">
        <f>'Monthly Data'!P108</f>
        <v>19072345.384018313</v>
      </c>
      <c r="V132" s="3">
        <f>'Monthly Data'!V108</f>
        <v>72204018.0134947</v>
      </c>
      <c r="W132" s="3">
        <f>'Monthly Data'!AB108</f>
        <v>7780321.5415172176</v>
      </c>
      <c r="X132" s="3">
        <f>'Monthly Data'!AG108</f>
        <v>26783359.53124994</v>
      </c>
      <c r="Y132" s="3">
        <f>'Monthly Data'!BC108</f>
        <v>27817470.270755176</v>
      </c>
      <c r="Z132" s="3">
        <f>'Monthly Data'!BI108</f>
        <v>6394978.024629469</v>
      </c>
      <c r="AA132" s="3">
        <f>'Monthly Data'!BO108</f>
        <v>26286107.283098169</v>
      </c>
      <c r="AB132" s="3">
        <f>'Monthly Data'!BU108</f>
        <v>5736456.4223722275</v>
      </c>
      <c r="EU132" s="488">
        <f ca="1">'Monthly Data'!FO108</f>
        <v>636.801081616597</v>
      </c>
      <c r="EV132" s="488">
        <f ca="1">'Monthly Data'!FP108</f>
        <v>585.28975091258235</v>
      </c>
      <c r="EW132" s="488">
        <f ca="1">'Monthly Data'!FQ108</f>
        <v>2187.9463302076642</v>
      </c>
      <c r="EX132" s="488">
        <f ca="1">'Monthly Data'!FR108</f>
        <v>74060.039326353144</v>
      </c>
      <c r="EY132" s="488">
        <f ca="1">'Monthly Data'!FS108</f>
        <v>1630758.5492140162</v>
      </c>
      <c r="EZ132" s="488">
        <f ca="1">'Monthly Data'!FT108</f>
        <v>5773149.129131522</v>
      </c>
      <c r="FA132" s="488">
        <f ca="1">'Monthly Data'!FX108</f>
        <v>649.08722858530302</v>
      </c>
      <c r="FB132" s="488">
        <f ca="1">'Monthly Data'!FY108</f>
        <v>2719.945302356457</v>
      </c>
      <c r="FC132" s="488">
        <f ca="1">'Monthly Data'!FZ108</f>
        <v>75485.161105824707</v>
      </c>
      <c r="FD132" s="488">
        <f>'Monthly Data'!GA108</f>
        <v>118447.66596518079</v>
      </c>
    </row>
    <row r="133" spans="1:160">
      <c r="A133">
        <v>2024</v>
      </c>
      <c r="B133">
        <v>12</v>
      </c>
      <c r="C133" s="200">
        <v>660.57500000000016</v>
      </c>
      <c r="D133" s="200">
        <v>0</v>
      </c>
      <c r="E133" s="200">
        <v>598.57499999999993</v>
      </c>
      <c r="F133" s="200">
        <v>0</v>
      </c>
      <c r="G133" s="200">
        <v>536.57500000000005</v>
      </c>
      <c r="H133" s="200">
        <v>0</v>
      </c>
      <c r="I133" s="200">
        <v>474.57499999999999</v>
      </c>
      <c r="J133" s="200">
        <v>0</v>
      </c>
      <c r="K133" s="200">
        <v>412.57499999999999</v>
      </c>
      <c r="L133" s="200">
        <v>0</v>
      </c>
      <c r="M133" s="200">
        <v>350.57499999999993</v>
      </c>
      <c r="N133" s="200">
        <v>0</v>
      </c>
      <c r="O133" s="200">
        <v>288.57499999999993</v>
      </c>
      <c r="P133" s="200">
        <v>0</v>
      </c>
      <c r="Q133" s="257">
        <v>-1.3088709677419357</v>
      </c>
      <c r="S133" s="3">
        <f>'Monthly Data'!D109</f>
        <v>93095592.686732963</v>
      </c>
      <c r="T133" s="3">
        <f>'Monthly Data'!J109</f>
        <v>1082476.2321901717</v>
      </c>
      <c r="U133" s="3">
        <f>'Monthly Data'!P109</f>
        <v>22105922.192172457</v>
      </c>
      <c r="V133" s="3">
        <f>'Monthly Data'!V109</f>
        <v>75828360.959933221</v>
      </c>
      <c r="W133" s="3">
        <f>'Monthly Data'!AB109</f>
        <v>7850196.0449689515</v>
      </c>
      <c r="X133" s="3">
        <f>'Monthly Data'!AG109</f>
        <v>26297394.392010696</v>
      </c>
      <c r="Y133" s="3">
        <f>'Monthly Data'!BC109</f>
        <v>33860346.467262372</v>
      </c>
      <c r="Z133" s="3">
        <f>'Monthly Data'!BI109</f>
        <v>7348075.8760096058</v>
      </c>
      <c r="AA133" s="3">
        <f>'Monthly Data'!BO109</f>
        <v>28997753.342539776</v>
      </c>
      <c r="AB133" s="3">
        <f>'Monthly Data'!BU109</f>
        <v>6806745.409836066</v>
      </c>
      <c r="EU133" s="488">
        <f ca="1">'Monthly Data'!FO109</f>
        <v>790.81610239294969</v>
      </c>
      <c r="EV133" s="488">
        <f ca="1">'Monthly Data'!FP109</f>
        <v>724.3440875908625</v>
      </c>
      <c r="EW133" s="488">
        <f ca="1">'Monthly Data'!FQ109</f>
        <v>2507.8301309180088</v>
      </c>
      <c r="EX133" s="488">
        <f ca="1">'Monthly Data'!FR109</f>
        <v>77276.146881870693</v>
      </c>
      <c r="EY133" s="488">
        <f ca="1">'Monthly Data'!FS109</f>
        <v>1645567.3259422183</v>
      </c>
      <c r="EZ133" s="488">
        <f ca="1">'Monthly Data'!FT109</f>
        <v>5678587.4124240875</v>
      </c>
      <c r="FA133" s="488">
        <f ca="1">'Monthly Data'!FX109</f>
        <v>781.06404057884436</v>
      </c>
      <c r="FB133" s="488">
        <f ca="1">'Monthly Data'!FY109</f>
        <v>3104.7794334185232</v>
      </c>
      <c r="FC133" s="488">
        <f ca="1">'Monthly Data'!FZ109</f>
        <v>82447.646390581111</v>
      </c>
      <c r="FD133" s="488">
        <f>'Monthly Data'!GA109</f>
        <v>128502.66564632357</v>
      </c>
    </row>
    <row r="134" spans="1:160">
      <c r="A134">
        <v>2025</v>
      </c>
      <c r="B134">
        <v>1</v>
      </c>
      <c r="C134" s="200">
        <v>794.42499999999995</v>
      </c>
      <c r="D134" s="200">
        <v>0</v>
      </c>
      <c r="E134" s="200">
        <v>732.42499999999995</v>
      </c>
      <c r="F134" s="200">
        <v>0</v>
      </c>
      <c r="G134" s="200">
        <v>670.42499999999995</v>
      </c>
      <c r="H134" s="200">
        <v>0</v>
      </c>
      <c r="I134" s="200">
        <v>608.42499999999984</v>
      </c>
      <c r="J134" s="200">
        <v>0</v>
      </c>
      <c r="K134" s="200">
        <v>546.42499999999984</v>
      </c>
      <c r="L134" s="200">
        <v>0</v>
      </c>
      <c r="M134" s="200">
        <v>484.42500000000007</v>
      </c>
      <c r="N134" s="200">
        <v>0</v>
      </c>
      <c r="O134" s="200">
        <v>422.42500000000007</v>
      </c>
      <c r="P134" s="200">
        <v>0</v>
      </c>
      <c r="Q134" s="257">
        <v>-5.6266129032258068</v>
      </c>
      <c r="S134" s="3">
        <f>'Monthly Data'!D110</f>
        <v>96055156.743321911</v>
      </c>
      <c r="T134" s="3">
        <f>'Monthly Data'!J110</f>
        <v>1471230.897099789</v>
      </c>
      <c r="U134" s="3">
        <f>'Monthly Data'!P110</f>
        <v>24010569.432455599</v>
      </c>
      <c r="V134" s="3">
        <f>'Monthly Data'!V110</f>
        <v>82045921.407225132</v>
      </c>
      <c r="W134" s="3">
        <f>'Monthly Data'!AB110</f>
        <v>8463107.2833506856</v>
      </c>
      <c r="X134" s="3">
        <f>'Monthly Data'!AG110</f>
        <v>26106914.887487274</v>
      </c>
      <c r="Y134" s="3">
        <f>'Monthly Data'!BC110</f>
        <v>34152728.529691979</v>
      </c>
      <c r="Z134" s="3">
        <f>'Monthly Data'!BI110</f>
        <v>7882910.779280656</v>
      </c>
      <c r="AA134" s="3">
        <f>'Monthly Data'!BO110</f>
        <v>31145304.670069046</v>
      </c>
      <c r="AB134" s="3">
        <f>'Monthly Data'!BU110</f>
        <v>6768753.5679845717</v>
      </c>
      <c r="EU134" s="488">
        <f ca="1">'Monthly Data'!FO110</f>
        <v>805.91157409258938</v>
      </c>
      <c r="EV134" s="488">
        <f ca="1">'Monthly Data'!FP110</f>
        <v>975.27505044722989</v>
      </c>
      <c r="EW134" s="488">
        <f ca="1">'Monthly Data'!FQ110</f>
        <v>2714.3041482327317</v>
      </c>
      <c r="EX134" s="488">
        <f ca="1">'Monthly Data'!FR110</f>
        <v>83247.438669510957</v>
      </c>
      <c r="EY134" s="488">
        <f ca="1">'Monthly Data'!FS110</f>
        <v>1773163.9651011005</v>
      </c>
      <c r="EZ134" s="488">
        <f ca="1">'Monthly Data'!FT110</f>
        <v>5670055.139558156</v>
      </c>
      <c r="FA134" s="488">
        <f ca="1">'Monthly Data'!FX110</f>
        <v>788.25128005555996</v>
      </c>
      <c r="FB134" s="488">
        <f ca="1">'Monthly Data'!FY110</f>
        <v>3320.2996610636192</v>
      </c>
      <c r="FC134" s="488">
        <f ca="1">'Monthly Data'!FZ110</f>
        <v>88085.032502287184</v>
      </c>
      <c r="FD134" s="488">
        <f>'Monthly Data'!GA110</f>
        <v>125719.00070148586</v>
      </c>
    </row>
    <row r="135" spans="1:160">
      <c r="A135">
        <v>2025</v>
      </c>
      <c r="B135">
        <v>2</v>
      </c>
      <c r="C135" s="200">
        <v>721.25833333333333</v>
      </c>
      <c r="D135" s="200">
        <v>0</v>
      </c>
      <c r="E135" s="200">
        <v>665.25833333333344</v>
      </c>
      <c r="F135" s="200">
        <v>0</v>
      </c>
      <c r="G135" s="200">
        <v>609.25833333333344</v>
      </c>
      <c r="H135" s="200">
        <v>0</v>
      </c>
      <c r="I135" s="200">
        <v>553.25833333333333</v>
      </c>
      <c r="J135" s="200">
        <v>0</v>
      </c>
      <c r="K135" s="200">
        <v>497.25833333333333</v>
      </c>
      <c r="L135" s="200">
        <v>0</v>
      </c>
      <c r="M135" s="200">
        <v>441.25833333333333</v>
      </c>
      <c r="N135" s="200">
        <v>0</v>
      </c>
      <c r="O135" s="200">
        <v>385.25833333333333</v>
      </c>
      <c r="P135" s="200">
        <v>0</v>
      </c>
      <c r="Q135" s="257">
        <v>-5.7592261904761912</v>
      </c>
      <c r="S135" s="3">
        <f>'Monthly Data'!D111</f>
        <v>85342808.997986972</v>
      </c>
      <c r="T135" s="3">
        <f>'Monthly Data'!J111</f>
        <v>1309984.5100267113</v>
      </c>
      <c r="U135" s="3">
        <f>'Monthly Data'!P111</f>
        <v>21623529.036510158</v>
      </c>
      <c r="V135" s="3">
        <f>'Monthly Data'!V111</f>
        <v>74412184.105877668</v>
      </c>
      <c r="W135" s="3">
        <f>'Monthly Data'!AB111</f>
        <v>7949750.2603262737</v>
      </c>
      <c r="X135" s="3">
        <f>'Monthly Data'!AG111</f>
        <v>24964221.487958334</v>
      </c>
      <c r="Y135" s="3">
        <f>'Monthly Data'!BC111</f>
        <v>30247666.760551002</v>
      </c>
      <c r="Z135" s="3">
        <f>'Monthly Data'!BI111</f>
        <v>7058368.5780466748</v>
      </c>
      <c r="AA135" s="3">
        <f>'Monthly Data'!BO111</f>
        <v>28020457.481837284</v>
      </c>
      <c r="AB135" s="3">
        <f>'Monthly Data'!BU111</f>
        <v>6406399.4406943107</v>
      </c>
      <c r="EU135" s="488">
        <f ca="1">'Monthly Data'!FO111</f>
        <v>717.62881696425131</v>
      </c>
      <c r="EV135" s="488">
        <f ca="1">'Monthly Data'!FP111</f>
        <v>872.63972385367663</v>
      </c>
      <c r="EW135" s="488">
        <f ca="1">'Monthly Data'!FQ111</f>
        <v>2464.7114368534508</v>
      </c>
      <c r="EX135" s="488">
        <f ca="1">'Monthly Data'!FR111</f>
        <v>76092.88615269911</v>
      </c>
      <c r="EY135" s="488">
        <f ca="1">'Monthly Data'!FS111</f>
        <v>1671772.6551216501</v>
      </c>
      <c r="EZ135" s="488">
        <f ca="1">'Monthly Data'!FT111</f>
        <v>5447387.9048938388</v>
      </c>
      <c r="FA135" s="488">
        <f ca="1">'Monthly Data'!FX111</f>
        <v>702.6707234834098</v>
      </c>
      <c r="FB135" s="488">
        <f ca="1">'Monthly Data'!FY111</f>
        <v>2987.575731166587</v>
      </c>
      <c r="FC135" s="488">
        <f ca="1">'Monthly Data'!FZ111</f>
        <v>79978.36322964335</v>
      </c>
      <c r="FD135" s="488">
        <f>'Monthly Data'!GA111</f>
        <v>104839.66583763789</v>
      </c>
    </row>
    <row r="136" spans="1:160">
      <c r="A136">
        <v>2025</v>
      </c>
      <c r="B136">
        <v>3</v>
      </c>
      <c r="C136" s="200">
        <v>580.62916666666672</v>
      </c>
      <c r="D136" s="200">
        <v>0</v>
      </c>
      <c r="E136" s="200">
        <v>518.62916666666672</v>
      </c>
      <c r="F136" s="200">
        <v>0</v>
      </c>
      <c r="G136" s="200">
        <v>456.62916666666672</v>
      </c>
      <c r="H136" s="200">
        <v>0</v>
      </c>
      <c r="I136" s="200">
        <v>394.62916666666666</v>
      </c>
      <c r="J136" s="200">
        <v>0</v>
      </c>
      <c r="K136" s="200">
        <v>332.62916666666672</v>
      </c>
      <c r="L136" s="200">
        <v>0</v>
      </c>
      <c r="M136" s="200">
        <v>272.45416666666665</v>
      </c>
      <c r="N136" s="200">
        <v>1.8249999999999993</v>
      </c>
      <c r="O136" s="200">
        <v>216.0958333333333</v>
      </c>
      <c r="P136" s="200">
        <v>7.4666666666666668</v>
      </c>
      <c r="Q136" s="257">
        <v>1.2700268817204301</v>
      </c>
      <c r="S136" s="3">
        <f>'Monthly Data'!D112</f>
        <v>82309570.818498299</v>
      </c>
      <c r="T136" s="3">
        <f>'Monthly Data'!J112</f>
        <v>1044420.0181930928</v>
      </c>
      <c r="U136" s="3">
        <f>'Monthly Data'!P112</f>
        <v>21365620.189038325</v>
      </c>
      <c r="V136" s="3">
        <f>'Monthly Data'!V112</f>
        <v>78087172.550091863</v>
      </c>
      <c r="W136" s="3">
        <f>'Monthly Data'!AB112</f>
        <v>8551237.4272050578</v>
      </c>
      <c r="X136" s="3">
        <f>'Monthly Data'!AG112</f>
        <v>27116619.073274631</v>
      </c>
      <c r="Y136" s="3">
        <f>'Monthly Data'!BC112</f>
        <v>30100233.983786102</v>
      </c>
      <c r="Z136" s="3">
        <f>'Monthly Data'!BI112</f>
        <v>6978329.466768709</v>
      </c>
      <c r="AA136" s="3">
        <f>'Monthly Data'!BO112</f>
        <v>28775835.379165415</v>
      </c>
      <c r="AB136" s="3">
        <f>'Monthly Data'!BU112</f>
        <v>6867913.0472516883</v>
      </c>
      <c r="EU136" s="488">
        <f ca="1">'Monthly Data'!FO112</f>
        <v>697.42427848029422</v>
      </c>
      <c r="EV136" s="488">
        <f ca="1">'Monthly Data'!FP112</f>
        <v>702.87313495201306</v>
      </c>
      <c r="EW136" s="488">
        <f ca="1">'Monthly Data'!FQ112</f>
        <v>2439.0978906834775</v>
      </c>
      <c r="EX136" s="488">
        <f ca="1">'Monthly Data'!FR112</f>
        <v>79426.163382074956</v>
      </c>
      <c r="EY136" s="488">
        <f ca="1">'Monthly Data'!FS112</f>
        <v>1793350.1831228391</v>
      </c>
      <c r="EZ136" s="488">
        <f ca="1">'Monthly Data'!FT112</f>
        <v>5883738.8671985697</v>
      </c>
      <c r="FA136" s="488">
        <f ca="1">'Monthly Data'!FX112</f>
        <v>699.29115669833266</v>
      </c>
      <c r="FB136" s="488">
        <f ca="1">'Monthly Data'!FY112</f>
        <v>2955.9044053763141</v>
      </c>
      <c r="FC136" s="488">
        <f ca="1">'Monthly Data'!FZ112</f>
        <v>81786.295545053435</v>
      </c>
      <c r="FD136" s="488">
        <f>'Monthly Data'!GA112</f>
        <v>103175.33320579043</v>
      </c>
    </row>
    <row r="137" spans="1:160">
      <c r="A137">
        <v>2025</v>
      </c>
      <c r="B137">
        <v>4</v>
      </c>
      <c r="C137" s="200">
        <v>411.84166666666653</v>
      </c>
      <c r="D137" s="200">
        <v>0</v>
      </c>
      <c r="E137" s="200">
        <v>351.84166666666653</v>
      </c>
      <c r="F137" s="200">
        <v>0</v>
      </c>
      <c r="G137" s="200">
        <v>291.84166666666658</v>
      </c>
      <c r="H137" s="200">
        <v>0</v>
      </c>
      <c r="I137" s="200">
        <v>231.95833333333334</v>
      </c>
      <c r="J137" s="200">
        <v>0.11666666666666714</v>
      </c>
      <c r="K137" s="200">
        <v>177.05</v>
      </c>
      <c r="L137" s="200">
        <v>5.2083333333333321</v>
      </c>
      <c r="M137" s="200">
        <v>129.10416666666666</v>
      </c>
      <c r="N137" s="200">
        <v>17.262499999999992</v>
      </c>
      <c r="O137" s="200">
        <v>89.212499999999991</v>
      </c>
      <c r="P137" s="200">
        <v>37.370833333333316</v>
      </c>
      <c r="Q137" s="257">
        <v>6.2719444444444443</v>
      </c>
      <c r="S137" s="3">
        <f>'Monthly Data'!D113</f>
        <v>71494107.937626392</v>
      </c>
      <c r="T137" s="3">
        <f>'Monthly Data'!J113</f>
        <v>766292.33664377034</v>
      </c>
      <c r="U137" s="3">
        <f>'Monthly Data'!P113</f>
        <v>19173534.548807446</v>
      </c>
      <c r="V137" s="3">
        <f>'Monthly Data'!V113</f>
        <v>72843964.214959681</v>
      </c>
      <c r="W137" s="3">
        <f>'Monthly Data'!AB113</f>
        <v>8036002.1115353443</v>
      </c>
      <c r="X137" s="3">
        <f>'Monthly Data'!AG113</f>
        <v>23189419.770418372</v>
      </c>
      <c r="Y137" s="3">
        <f>'Monthly Data'!BC113</f>
        <v>26798875.188865453</v>
      </c>
      <c r="Z137" s="3">
        <f>'Monthly Data'!BI113</f>
        <v>6283429.5890472615</v>
      </c>
      <c r="AA137" s="3">
        <f>'Monthly Data'!BO113</f>
        <v>26291584.34584209</v>
      </c>
      <c r="AB137" s="3">
        <f>'Monthly Data'!BU113</f>
        <v>6374373.2304725172</v>
      </c>
      <c r="EU137" s="488">
        <f ca="1">'Monthly Data'!FO113</f>
        <v>612.48550864255594</v>
      </c>
      <c r="EV137" s="488">
        <f ca="1">'Monthly Data'!FP113</f>
        <v>524.81430768691314</v>
      </c>
      <c r="EW137" s="488">
        <f ca="1">'Monthly Data'!FQ113</f>
        <v>2210.0077100480898</v>
      </c>
      <c r="EX137" s="488">
        <f ca="1">'Monthly Data'!FR113</f>
        <v>74512.4139371536</v>
      </c>
      <c r="EY137" s="488">
        <f ca="1">'Monthly Data'!FS113</f>
        <v>1691583.2146143285</v>
      </c>
      <c r="EZ137" s="488">
        <f ca="1">'Monthly Data'!FT113</f>
        <v>5104170.4518687893</v>
      </c>
      <c r="FA137" s="488">
        <f ca="1">'Monthly Data'!FX113</f>
        <v>627.05120513595068</v>
      </c>
      <c r="FB137" s="488">
        <f ca="1">'Monthly Data'!FY113</f>
        <v>2675.6035743521215</v>
      </c>
      <c r="FC137" s="488">
        <f ca="1">'Monthly Data'!FZ113</f>
        <v>75362.642085635394</v>
      </c>
      <c r="FD137" s="488">
        <f>'Monthly Data'!GA113</f>
        <v>87557.33371596197</v>
      </c>
    </row>
    <row r="138" spans="1:160">
      <c r="A138">
        <v>2025</v>
      </c>
      <c r="B138">
        <v>5</v>
      </c>
      <c r="C138" s="200">
        <v>221.07083333333333</v>
      </c>
      <c r="D138" s="200">
        <v>0</v>
      </c>
      <c r="E138" s="200">
        <v>159.32500000000002</v>
      </c>
      <c r="F138" s="200">
        <v>0.25416666666666643</v>
      </c>
      <c r="G138" s="200">
        <v>104.65416666666668</v>
      </c>
      <c r="H138" s="200">
        <v>7.5833333333333321</v>
      </c>
      <c r="I138" s="200">
        <v>62.479166666666679</v>
      </c>
      <c r="J138" s="200">
        <v>27.408333333333335</v>
      </c>
      <c r="K138" s="200">
        <v>31.741666666666674</v>
      </c>
      <c r="L138" s="200">
        <v>58.67083333333332</v>
      </c>
      <c r="M138" s="200">
        <v>9.9166666666666732</v>
      </c>
      <c r="N138" s="200">
        <v>98.845833333333317</v>
      </c>
      <c r="O138" s="200">
        <v>0</v>
      </c>
      <c r="P138" s="200">
        <v>150.92916666666665</v>
      </c>
      <c r="Q138" s="257">
        <v>12.868682795698925</v>
      </c>
      <c r="S138" s="3">
        <f>'Monthly Data'!D114</f>
        <v>67023639.712755226</v>
      </c>
      <c r="T138" s="3">
        <f>'Monthly Data'!J114</f>
        <v>850940.45957832469</v>
      </c>
      <c r="U138" s="3">
        <f>'Monthly Data'!P114</f>
        <v>18330032.948225532</v>
      </c>
      <c r="V138" s="3">
        <f>'Monthly Data'!V114</f>
        <v>72923936.316059619</v>
      </c>
      <c r="W138" s="3">
        <f>'Monthly Data'!AB114</f>
        <v>8159533.6206564065</v>
      </c>
      <c r="X138" s="3">
        <f>'Monthly Data'!AG114</f>
        <v>27433239.177484326</v>
      </c>
      <c r="Y138" s="3">
        <f>'Monthly Data'!BC114</f>
        <v>27177126.341151681</v>
      </c>
      <c r="Z138" s="3">
        <f>'Monthly Data'!BI114</f>
        <v>6125312.3594126655</v>
      </c>
      <c r="AA138" s="3">
        <f>'Monthly Data'!BO114</f>
        <v>25919412.337436203</v>
      </c>
      <c r="AB138" s="3">
        <f>'Monthly Data'!BU114</f>
        <v>6447923.2497589206</v>
      </c>
      <c r="EU138" s="488">
        <f ca="1">'Monthly Data'!FO114</f>
        <v>582.13017998483906</v>
      </c>
      <c r="EV138" s="488">
        <f ca="1">'Monthly Data'!FP114</f>
        <v>579.82280314165007</v>
      </c>
      <c r="EW138" s="488">
        <f ca="1">'Monthly Data'!FQ114</f>
        <v>2122.786345945322</v>
      </c>
      <c r="EX138" s="488">
        <f ca="1">'Monthly Data'!FR114</f>
        <v>74522.93678164405</v>
      </c>
      <c r="EY138" s="488">
        <f ca="1">'Monthly Data'!FS114</f>
        <v>1717569.6110639728</v>
      </c>
      <c r="EZ138" s="488">
        <f ca="1">'Monthly Data'!FT114</f>
        <v>5958805.7785234507</v>
      </c>
      <c r="FA138" s="488">
        <f ca="1">'Monthly Data'!FX114</f>
        <v>635.19302380715089</v>
      </c>
      <c r="FB138" s="488">
        <f ca="1">'Monthly Data'!FY114</f>
        <v>2612.360021163292</v>
      </c>
      <c r="FC138" s="488">
        <f ca="1">'Monthly Data'!FZ114</f>
        <v>74318.548959980064</v>
      </c>
      <c r="FD138" s="488">
        <f>'Monthly Data'!GA114</f>
        <v>79732.332121675907</v>
      </c>
    </row>
    <row r="139" spans="1:160">
      <c r="A139">
        <v>2025</v>
      </c>
      <c r="B139">
        <v>6</v>
      </c>
      <c r="C139" s="200">
        <v>49.987500000000011</v>
      </c>
      <c r="D139" s="200">
        <v>33.229166666666671</v>
      </c>
      <c r="E139" s="200">
        <v>22.454166666666659</v>
      </c>
      <c r="F139" s="200">
        <v>65.695833333333326</v>
      </c>
      <c r="G139" s="200">
        <v>10.320833333333331</v>
      </c>
      <c r="H139" s="200">
        <v>113.56249999999999</v>
      </c>
      <c r="I139" s="200">
        <v>4.9291666666666671</v>
      </c>
      <c r="J139" s="200">
        <v>168.17083333333329</v>
      </c>
      <c r="K139" s="200">
        <v>1.1875</v>
      </c>
      <c r="L139" s="200">
        <v>224.42916666666662</v>
      </c>
      <c r="M139" s="200">
        <v>0</v>
      </c>
      <c r="N139" s="200">
        <v>283.24166666666662</v>
      </c>
      <c r="O139" s="200">
        <v>0</v>
      </c>
      <c r="P139" s="200">
        <v>343.24166666666662</v>
      </c>
      <c r="Q139" s="257">
        <v>19.441388888888891</v>
      </c>
      <c r="S139" s="3">
        <f>'Monthly Data'!D115</f>
        <v>87940671.388637513</v>
      </c>
      <c r="T139" s="3">
        <f>'Monthly Data'!J115</f>
        <v>845710.63911467255</v>
      </c>
      <c r="U139" s="3">
        <f>'Monthly Data'!P115</f>
        <v>20304984.90865289</v>
      </c>
      <c r="V139" s="3">
        <f>'Monthly Data'!V115</f>
        <v>77366233.063266605</v>
      </c>
      <c r="W139" s="3">
        <f>'Monthly Data'!AB115</f>
        <v>8042373.2307454953</v>
      </c>
      <c r="X139" s="3">
        <f>'Monthly Data'!AG115</f>
        <v>28224718.364065059</v>
      </c>
      <c r="Y139" s="3">
        <f>'Monthly Data'!BC115</f>
        <v>37651081.528132714</v>
      </c>
      <c r="Z139" s="3">
        <f>'Monthly Data'!BI115</f>
        <v>6859592.2271857653</v>
      </c>
      <c r="AA139" s="3">
        <f>'Monthly Data'!BO115</f>
        <v>27521349.312518761</v>
      </c>
      <c r="AB139" s="3">
        <f>'Monthly Data'!BU115</f>
        <v>6134329.1899710707</v>
      </c>
      <c r="EU139" s="488">
        <f ca="1">'Monthly Data'!FO115</f>
        <v>763.18112970030211</v>
      </c>
      <c r="EV139" s="488">
        <f ca="1">'Monthly Data'!FP115</f>
        <v>577.065580187573</v>
      </c>
      <c r="EW139" s="488">
        <f ca="1">'Monthly Data'!FQ115</f>
        <v>2332.0711124106729</v>
      </c>
      <c r="EX139" s="488">
        <f ca="1">'Monthly Data'!FR115</f>
        <v>78546.599050908277</v>
      </c>
      <c r="EY139" s="488">
        <f ca="1">'Monthly Data'!FS115</f>
        <v>1695417.6277072225</v>
      </c>
      <c r="EZ139" s="488">
        <f ca="1">'Monthly Data'!FT115</f>
        <v>6122973.0610810686</v>
      </c>
      <c r="FA139" s="488">
        <f ca="1">'Monthly Data'!FX115</f>
        <v>863.49072717684021</v>
      </c>
      <c r="FB139" s="488">
        <f ca="1">'Monthly Data'!FY115</f>
        <v>2909.9725526520588</v>
      </c>
      <c r="FC139" s="488">
        <f ca="1">'Monthly Data'!FZ115</f>
        <v>78264.852727606965</v>
      </c>
      <c r="FD139" s="488">
        <f>'Monthly Data'!GA115</f>
        <v>71595.666730438097</v>
      </c>
    </row>
    <row r="140" spans="1:160">
      <c r="A140">
        <v>2025</v>
      </c>
      <c r="B140">
        <v>7</v>
      </c>
      <c r="C140" s="200">
        <v>6.8416666666666615</v>
      </c>
      <c r="D140" s="200">
        <v>94.156250000000028</v>
      </c>
      <c r="E140" s="200">
        <v>0.75416666666666288</v>
      </c>
      <c r="F140" s="200">
        <v>150.06875000000005</v>
      </c>
      <c r="G140" s="200">
        <v>0</v>
      </c>
      <c r="H140" s="200">
        <v>211.31458333333339</v>
      </c>
      <c r="I140" s="200">
        <v>0</v>
      </c>
      <c r="J140" s="200">
        <v>273.3145833333333</v>
      </c>
      <c r="K140" s="200">
        <v>0</v>
      </c>
      <c r="L140" s="200">
        <v>335.3145833333333</v>
      </c>
      <c r="M140" s="200">
        <v>0</v>
      </c>
      <c r="N140" s="200">
        <v>397.31458333333319</v>
      </c>
      <c r="O140" s="200">
        <v>0</v>
      </c>
      <c r="P140" s="200">
        <v>459.31458333333325</v>
      </c>
      <c r="Q140" s="257">
        <v>22.816599462365595</v>
      </c>
      <c r="S140" s="3">
        <f>'Monthly Data'!D116</f>
        <v>118949644.13914311</v>
      </c>
      <c r="T140" s="3">
        <f>'Monthly Data'!J116</f>
        <v>1140410.2001049407</v>
      </c>
      <c r="U140" s="3">
        <f>'Monthly Data'!P116</f>
        <v>23894893.695735514</v>
      </c>
      <c r="V140" s="3">
        <f>'Monthly Data'!V116</f>
        <v>85572706.423558652</v>
      </c>
      <c r="W140" s="3">
        <f>'Monthly Data'!AB116</f>
        <v>7950699.8341625184</v>
      </c>
      <c r="X140" s="3">
        <f>'Monthly Data'!AG116</f>
        <v>29307714.010320965</v>
      </c>
      <c r="Y140" s="3">
        <f>'Monthly Data'!BC116</f>
        <v>50247038.62509089</v>
      </c>
      <c r="Z140" s="3">
        <f>'Monthly Data'!BI116</f>
        <v>8049259.1950162593</v>
      </c>
      <c r="AA140" s="3">
        <f>'Monthly Data'!BO116</f>
        <v>31093514.673071146</v>
      </c>
      <c r="AB140" s="3">
        <f>'Monthly Data'!BU116</f>
        <v>6925965.8630665382</v>
      </c>
      <c r="EU140" s="488">
        <f ca="1">'Monthly Data'!FO116</f>
        <v>1024.186369339353</v>
      </c>
      <c r="EV140" s="488">
        <f ca="1">'Monthly Data'!FP116</f>
        <v>767.43383502358745</v>
      </c>
      <c r="EW140" s="488">
        <f ca="1">'Monthly Data'!FQ116</f>
        <v>2711.2581318843622</v>
      </c>
      <c r="EX140" s="488">
        <f ca="1">'Monthly Data'!FR116</f>
        <v>86012.026209068732</v>
      </c>
      <c r="EY140" s="488">
        <f ca="1">'Monthly Data'!FS116</f>
        <v>1678363.0430160589</v>
      </c>
      <c r="EZ140" s="488">
        <f ca="1">'Monthly Data'!FT116</f>
        <v>6345443.6355737206</v>
      </c>
      <c r="FA140" s="488">
        <f ca="1">'Monthly Data'!FX116</f>
        <v>1137.7579015616864</v>
      </c>
      <c r="FB140" s="488">
        <f ca="1">'Monthly Data'!FY116</f>
        <v>3391.7286749444625</v>
      </c>
      <c r="FC140" s="488">
        <f ca="1">'Monthly Data'!FZ116</f>
        <v>87154.067774666022</v>
      </c>
      <c r="FD140" s="488">
        <f>'Monthly Data'!GA116</f>
        <v>76855.33448121931</v>
      </c>
    </row>
    <row r="141" spans="1:160">
      <c r="A141">
        <v>2025</v>
      </c>
      <c r="B141">
        <v>8</v>
      </c>
      <c r="C141" s="200">
        <v>38.787499999999994</v>
      </c>
      <c r="D141" s="200">
        <v>50.675000000000011</v>
      </c>
      <c r="E141" s="200">
        <v>17.162500000000001</v>
      </c>
      <c r="F141" s="200">
        <v>91.05000000000004</v>
      </c>
      <c r="G141" s="200">
        <v>4.2333333333333343</v>
      </c>
      <c r="H141" s="200">
        <v>140.12083333333339</v>
      </c>
      <c r="I141" s="200">
        <v>0.65416666666666856</v>
      </c>
      <c r="J141" s="200">
        <v>198.54166666666663</v>
      </c>
      <c r="K141" s="200">
        <v>0</v>
      </c>
      <c r="L141" s="200">
        <v>259.88749999999993</v>
      </c>
      <c r="M141" s="200">
        <v>0</v>
      </c>
      <c r="N141" s="200">
        <v>321.88749999999999</v>
      </c>
      <c r="O141" s="200">
        <v>0</v>
      </c>
      <c r="P141" s="200">
        <v>383.88749999999999</v>
      </c>
      <c r="Q141" s="257">
        <v>20.383467741935487</v>
      </c>
      <c r="S141" s="3">
        <f>'Monthly Data'!D117</f>
        <v>101600986.40014292</v>
      </c>
      <c r="T141" s="3">
        <f>'Monthly Data'!J117</f>
        <v>1186401.2925300517</v>
      </c>
      <c r="U141" s="3">
        <f>'Monthly Data'!P117</f>
        <v>21826674.46380458</v>
      </c>
      <c r="V141" s="3">
        <f>'Monthly Data'!V117</f>
        <v>81437091.894640401</v>
      </c>
      <c r="W141" s="3">
        <f>'Monthly Data'!AB117</f>
        <v>7663095.2312082974</v>
      </c>
      <c r="X141" s="3">
        <f>'Monthly Data'!AG117</f>
        <v>28127124.699076809</v>
      </c>
      <c r="Y141" s="3">
        <f>'Monthly Data'!BC117</f>
        <v>42812495.394069269</v>
      </c>
      <c r="Z141" s="3">
        <f>'Monthly Data'!BI117</f>
        <v>7378346.4697436308</v>
      </c>
      <c r="AA141" s="3">
        <f>'Monthly Data'!BO117</f>
        <v>29694709.442209549</v>
      </c>
      <c r="AB141" s="3">
        <f>'Monthly Data'!BU117</f>
        <v>6586373.095467696</v>
      </c>
      <c r="EU141" s="488">
        <f ca="1">'Monthly Data'!FO117</f>
        <v>877.0585470043959</v>
      </c>
      <c r="EV141" s="488">
        <f ca="1">'Monthly Data'!FP117</f>
        <v>797.79710786508838</v>
      </c>
      <c r="EW141" s="488">
        <f ca="1">'Monthly Data'!FQ117</f>
        <v>2495.1935570414944</v>
      </c>
      <c r="EX141" s="488">
        <f ca="1">'Monthly Data'!FR117</f>
        <v>82137.444569939602</v>
      </c>
      <c r="EY141" s="488">
        <f ca="1">'Monthly Data'!FS117</f>
        <v>1622122.2170506469</v>
      </c>
      <c r="EZ141" s="488">
        <f ca="1">'Monthly Data'!FT117</f>
        <v>6115197.2185663609</v>
      </c>
      <c r="FA141" s="488">
        <f ca="1">'Monthly Data'!FX117</f>
        <v>975.40075302293349</v>
      </c>
      <c r="FB141" s="488">
        <f ca="1">'Monthly Data'!FY117</f>
        <v>3121.1274607616851</v>
      </c>
      <c r="FC141" s="488">
        <f ca="1">'Monthly Data'!FZ117</f>
        <v>83508.737541553986</v>
      </c>
      <c r="FD141" s="488">
        <f>'Monthly Data'!GA117</f>
        <v>86911.332185447347</v>
      </c>
    </row>
    <row r="142" spans="1:160">
      <c r="A142">
        <v>2025</v>
      </c>
      <c r="B142">
        <v>9</v>
      </c>
      <c r="C142" s="200">
        <v>88.308333333333323</v>
      </c>
      <c r="D142" s="200">
        <v>0.41666666666666075</v>
      </c>
      <c r="E142" s="200">
        <v>37.166666666666657</v>
      </c>
      <c r="F142" s="200">
        <v>9.2749999999999808</v>
      </c>
      <c r="G142" s="200">
        <v>13.245833333333335</v>
      </c>
      <c r="H142" s="200">
        <v>45.354166666666657</v>
      </c>
      <c r="I142" s="200">
        <v>2.7291666666666696</v>
      </c>
      <c r="J142" s="200">
        <v>94.837499999999977</v>
      </c>
      <c r="K142" s="200">
        <v>0</v>
      </c>
      <c r="L142" s="200">
        <v>152.10833333333332</v>
      </c>
      <c r="M142" s="200">
        <v>0</v>
      </c>
      <c r="N142" s="200">
        <v>212.10833333333332</v>
      </c>
      <c r="O142" s="200">
        <v>0</v>
      </c>
      <c r="P142" s="200">
        <v>272.10833333333335</v>
      </c>
      <c r="Q142" s="257">
        <v>17.070277777777775</v>
      </c>
      <c r="S142" s="3">
        <f>'Monthly Data'!D118</f>
        <v>73315661.379441008</v>
      </c>
      <c r="T142" s="3">
        <f>'Monthly Data'!J118</f>
        <v>751315.43091013143</v>
      </c>
      <c r="U142" s="3">
        <f>'Monthly Data'!P118</f>
        <v>18789107.248769291</v>
      </c>
      <c r="V142" s="3">
        <f>'Monthly Data'!V118</f>
        <v>75643718.516599759</v>
      </c>
      <c r="W142" s="3">
        <f>'Monthly Data'!AB118</f>
        <v>7301250.7134868279</v>
      </c>
      <c r="X142" s="3">
        <f>'Monthly Data'!AG118</f>
        <v>26754395.077005759</v>
      </c>
      <c r="Y142" s="3">
        <f>'Monthly Data'!BC118</f>
        <v>31288190.428725846</v>
      </c>
      <c r="Z142" s="3">
        <f>'Monthly Data'!BI118</f>
        <v>6403608.3357183812</v>
      </c>
      <c r="AA142" s="3">
        <f>'Monthly Data'!BO118</f>
        <v>27616006.916841786</v>
      </c>
      <c r="AB142" s="3">
        <f>'Monthly Data'!BU118</f>
        <v>6443399.9614271941</v>
      </c>
      <c r="EU142" s="488">
        <f ca="1">'Monthly Data'!FO118</f>
        <v>638.21525601477015</v>
      </c>
      <c r="EV142" s="488">
        <f ca="1">'Monthly Data'!FP118</f>
        <v>518.02741649037489</v>
      </c>
      <c r="EW142" s="488">
        <f ca="1">'Monthly Data'!FQ118</f>
        <v>2177.1449214041363</v>
      </c>
      <c r="EX142" s="488">
        <f ca="1">'Monthly Data'!FR118</f>
        <v>76760.337292598313</v>
      </c>
      <c r="EY142" s="488">
        <f ca="1">'Monthly Data'!FS118</f>
        <v>1551033.408131785</v>
      </c>
      <c r="EZ142" s="488">
        <f ca="1">'Monthly Data'!FT118</f>
        <v>5846522.7393936217</v>
      </c>
      <c r="FA142" s="488">
        <f ca="1">'Monthly Data'!FX118</f>
        <v>724.21559921624657</v>
      </c>
      <c r="FB142" s="488">
        <f ca="1">'Monthly Data'!FY118</f>
        <v>2727.6692272693158</v>
      </c>
      <c r="FC142" s="488">
        <f ca="1">'Monthly Data'!FZ118</f>
        <v>78177.676396061142</v>
      </c>
      <c r="FD142" s="488">
        <f>'Monthly Data'!GA118</f>
        <v>96340.332249218787</v>
      </c>
    </row>
    <row r="143" spans="1:160">
      <c r="A143">
        <v>2025</v>
      </c>
      <c r="B143">
        <v>10</v>
      </c>
      <c r="C143" s="200">
        <v>281.52083333333331</v>
      </c>
      <c r="D143" s="200">
        <v>0</v>
      </c>
      <c r="E143" s="200">
        <v>220.16250000000002</v>
      </c>
      <c r="F143" s="200">
        <v>0.64166666666666927</v>
      </c>
      <c r="G143" s="200">
        <v>166.80416666666662</v>
      </c>
      <c r="H143" s="200">
        <v>9.283333333333335</v>
      </c>
      <c r="I143" s="200">
        <v>117.42083333333332</v>
      </c>
      <c r="J143" s="200">
        <v>21.899999999999995</v>
      </c>
      <c r="K143" s="200">
        <v>77.612499999999997</v>
      </c>
      <c r="L143" s="200">
        <v>44.091666666666669</v>
      </c>
      <c r="M143" s="200">
        <v>43.8125</v>
      </c>
      <c r="N143" s="200">
        <v>72.291666666666686</v>
      </c>
      <c r="O143" s="200">
        <v>17.445833333333326</v>
      </c>
      <c r="P143" s="200">
        <v>107.925</v>
      </c>
      <c r="Q143" s="257">
        <v>10.918682795698926</v>
      </c>
      <c r="S143" s="3">
        <f>'Monthly Data'!D119</f>
        <v>69827814.735193655</v>
      </c>
      <c r="T143" s="3">
        <f>'Monthly Data'!J119</f>
        <v>904992.74967563467</v>
      </c>
      <c r="U143" s="3">
        <f>'Monthly Data'!P119</f>
        <v>18355622.76203968</v>
      </c>
      <c r="V143" s="3">
        <f>'Monthly Data'!V119</f>
        <v>73883704.480805114</v>
      </c>
      <c r="W143" s="3">
        <f>'Monthly Data'!AB119</f>
        <v>7780885.9481661441</v>
      </c>
      <c r="X143" s="3">
        <f>'Monthly Data'!AG119</f>
        <v>26265982.732311282</v>
      </c>
      <c r="Y143" s="3">
        <f>'Monthly Data'!BC119</f>
        <v>27883561.171427179</v>
      </c>
      <c r="Z143" s="3">
        <f>'Monthly Data'!BI119</f>
        <v>6327131.4393533543</v>
      </c>
      <c r="AA143" s="3">
        <f>'Monthly Data'!BO119</f>
        <v>27419138.651456017</v>
      </c>
      <c r="AB143" s="3">
        <f>'Monthly Data'!BU119</f>
        <v>6800443.4329797495</v>
      </c>
      <c r="EU143" s="488">
        <f ca="1">'Monthly Data'!FO119</f>
        <v>601.21764396638503</v>
      </c>
      <c r="EV143" s="488">
        <f ca="1">'Monthly Data'!FP119</f>
        <v>617.74394511738672</v>
      </c>
      <c r="EW143" s="488">
        <f ca="1">'Monthly Data'!FQ119</f>
        <v>2133.0556819056928</v>
      </c>
      <c r="EX143" s="488">
        <f ca="1">'Monthly Data'!FR119</f>
        <v>75086.305605535905</v>
      </c>
      <c r="EY143" s="488">
        <f ca="1">'Monthly Data'!FS119</f>
        <v>1648240.5496930801</v>
      </c>
      <c r="EZ143" s="488">
        <f ca="1">'Monthly Data'!FT119</f>
        <v>5754711.7156961979</v>
      </c>
      <c r="FA143" s="488">
        <f ca="1">'Monthly Data'!FX119</f>
        <v>649.97786587767644</v>
      </c>
      <c r="FB143" s="488">
        <f ca="1">'Monthly Data'!FY119</f>
        <v>2697.4383442258841</v>
      </c>
      <c r="FC143" s="488">
        <f ca="1">'Monthly Data'!FZ119</f>
        <v>77577.856206250726</v>
      </c>
      <c r="FD143" s="488">
        <f>'Monthly Data'!GA119</f>
        <v>112547.33435367642</v>
      </c>
    </row>
    <row r="144" spans="1:160">
      <c r="A144">
        <v>2025</v>
      </c>
      <c r="B144">
        <v>11</v>
      </c>
      <c r="C144" s="200">
        <v>520.61249999999995</v>
      </c>
      <c r="D144" s="200">
        <v>0</v>
      </c>
      <c r="E144" s="200">
        <v>460.61250000000013</v>
      </c>
      <c r="F144" s="200">
        <v>0</v>
      </c>
      <c r="G144" s="200">
        <v>400.61250000000013</v>
      </c>
      <c r="H144" s="200">
        <v>0</v>
      </c>
      <c r="I144" s="200">
        <v>340.61250000000007</v>
      </c>
      <c r="J144" s="200">
        <v>0</v>
      </c>
      <c r="K144" s="200">
        <v>280.61250000000001</v>
      </c>
      <c r="L144" s="200">
        <v>0</v>
      </c>
      <c r="M144" s="200">
        <v>220.61249999999995</v>
      </c>
      <c r="N144" s="200">
        <v>0</v>
      </c>
      <c r="O144" s="200">
        <v>160.61250000000001</v>
      </c>
      <c r="P144" s="200">
        <v>0</v>
      </c>
      <c r="Q144" s="257">
        <v>2.6462499999999998</v>
      </c>
      <c r="S144" s="3">
        <f>'Monthly Data'!D120</f>
        <v>78874824.723936364</v>
      </c>
      <c r="T144" s="3">
        <f>'Monthly Data'!J120</f>
        <v>1017061.904197672</v>
      </c>
      <c r="U144" s="3">
        <f>'Monthly Data'!P120</f>
        <v>19727949.75668763</v>
      </c>
      <c r="V144" s="3">
        <f>'Monthly Data'!V120</f>
        <v>74492817.385965168</v>
      </c>
      <c r="W144" s="3">
        <f>'Monthly Data'!AB120</f>
        <v>7298795.2485633828</v>
      </c>
      <c r="X144" s="3">
        <f>'Monthly Data'!AG120</f>
        <v>26100024.255011078</v>
      </c>
      <c r="Y144" s="3">
        <f>'Monthly Data'!BC120</f>
        <v>29488543.120948911</v>
      </c>
      <c r="Z144" s="3">
        <f>'Monthly Data'!BI120</f>
        <v>6676562.2063516341</v>
      </c>
      <c r="AA144" s="3">
        <f>'Monthly Data'!BO120</f>
        <v>27686230.297208045</v>
      </c>
      <c r="AB144" s="3">
        <f>'Monthly Data'!BU120</f>
        <v>6660370.5689488919</v>
      </c>
      <c r="EU144" s="488">
        <f ca="1">'Monthly Data'!FO120</f>
        <v>667.03783684990935</v>
      </c>
      <c r="EV144" s="488">
        <f ca="1">'Monthly Data'!FP120</f>
        <v>690.72791649054977</v>
      </c>
      <c r="EW144" s="488">
        <f ca="1">'Monthly Data'!FQ120</f>
        <v>2278.9494304404225</v>
      </c>
      <c r="EX144" s="488">
        <f ca="1">'Monthly Data'!FR120</f>
        <v>75578.019650199072</v>
      </c>
      <c r="EY144" s="488">
        <f ca="1">'Monthly Data'!FS120</f>
        <v>1553102.5043979599</v>
      </c>
      <c r="EZ144" s="488">
        <f ca="1">'Monthly Data'!FT120</f>
        <v>5727391.4654776286</v>
      </c>
      <c r="FA144" s="488">
        <f ca="1">'Monthly Data'!FX120</f>
        <v>684.74694892974355</v>
      </c>
      <c r="FB144" s="488">
        <f ca="1">'Monthly Data'!FY120</f>
        <v>2839.4305357329204</v>
      </c>
      <c r="FC144" s="488">
        <f ca="1">'Monthly Data'!FZ120</f>
        <v>78138.034898029902</v>
      </c>
      <c r="FD144" s="488">
        <f>'Monthly Data'!GA120</f>
        <v>120087.6666028952</v>
      </c>
    </row>
    <row r="145" spans="1:160">
      <c r="A145">
        <v>2025</v>
      </c>
      <c r="B145">
        <v>12</v>
      </c>
      <c r="C145" s="200">
        <v>744.19999999999993</v>
      </c>
      <c r="D145" s="200">
        <v>0</v>
      </c>
      <c r="E145" s="200">
        <v>682.2</v>
      </c>
      <c r="F145" s="200">
        <v>0</v>
      </c>
      <c r="G145" s="200">
        <v>620.20000000000005</v>
      </c>
      <c r="H145" s="200">
        <v>0</v>
      </c>
      <c r="I145" s="200">
        <v>558.20000000000005</v>
      </c>
      <c r="J145" s="200">
        <v>0</v>
      </c>
      <c r="K145" s="200">
        <v>496.20000000000005</v>
      </c>
      <c r="L145" s="200">
        <v>0</v>
      </c>
      <c r="M145" s="200">
        <v>434.20000000000005</v>
      </c>
      <c r="N145" s="200">
        <v>0</v>
      </c>
      <c r="O145" s="200">
        <v>372.20000000000005</v>
      </c>
      <c r="P145" s="200">
        <v>0</v>
      </c>
      <c r="Q145" s="257">
        <v>-4.0064516129032253</v>
      </c>
      <c r="S145" s="3">
        <f>'Monthly Data'!D121</f>
        <v>96290948.59897919</v>
      </c>
      <c r="T145" s="3">
        <f>'Monthly Data'!J121</f>
        <v>1415249.35056287</v>
      </c>
      <c r="U145" s="3">
        <f>'Monthly Data'!P121</f>
        <v>22975939.489992373</v>
      </c>
      <c r="V145" s="3">
        <f>'Monthly Data'!V121</f>
        <v>80060804.204022691</v>
      </c>
      <c r="W145" s="3">
        <f>'Monthly Data'!AB121</f>
        <v>7816186.7503567412</v>
      </c>
      <c r="X145" s="3">
        <f>'Monthly Data'!AG121</f>
        <v>26653055.202017762</v>
      </c>
      <c r="Y145" s="3">
        <f>'Monthly Data'!BC121</f>
        <v>34833186.137038395</v>
      </c>
      <c r="Z145" s="3">
        <f>'Monthly Data'!BI121</f>
        <v>8071615.7163191075</v>
      </c>
      <c r="AA145" s="3">
        <f>'Monthly Data'!BO121</f>
        <v>30469264.100870606</v>
      </c>
      <c r="AB145" s="3">
        <f>'Monthly Data'!BU121</f>
        <v>7450792.96</v>
      </c>
      <c r="EU145" s="488">
        <f ca="1">'Monthly Data'!FO121</f>
        <v>803.59376813213953</v>
      </c>
      <c r="EV145" s="488">
        <f ca="1">'Monthly Data'!FP121</f>
        <v>948.63712028354928</v>
      </c>
      <c r="EW145" s="488">
        <f ca="1">'Monthly Data'!FQ121</f>
        <v>2622.1800600147658</v>
      </c>
      <c r="EX145" s="488">
        <f ca="1">'Monthly Data'!FR121</f>
        <v>80580.113182322486</v>
      </c>
      <c r="EY145" s="488">
        <f ca="1">'Monthly Data'!FS121</f>
        <v>1657860.8993820634</v>
      </c>
      <c r="EZ145" s="488">
        <f ca="1">'Monthly Data'!FT121</f>
        <v>5843869.1001204364</v>
      </c>
      <c r="FA145" s="488">
        <f ca="1">'Monthly Data'!FX121</f>
        <v>800.73007708788452</v>
      </c>
      <c r="FB145" s="488">
        <f ca="1">'Monthly Data'!FY121</f>
        <v>3404.2382318777213</v>
      </c>
      <c r="FC145" s="488">
        <f ca="1">'Monthly Data'!FZ121</f>
        <v>84953.989213010515</v>
      </c>
      <c r="FD145" s="488">
        <f>'Monthly Data'!GA121</f>
        <v>129839.33422613352</v>
      </c>
    </row>
    <row r="146" spans="1:160">
      <c r="EU146" s="488"/>
      <c r="EV146" s="488"/>
      <c r="EW146" s="488"/>
      <c r="EX146" s="488"/>
      <c r="EY146" s="488"/>
      <c r="EZ146" s="488"/>
      <c r="FA146" s="488"/>
      <c r="FB146" s="488"/>
      <c r="FC146" s="488"/>
      <c r="FD146" s="488"/>
    </row>
    <row r="147" spans="1:160">
      <c r="EU147" s="488"/>
      <c r="EV147" s="488"/>
      <c r="EW147" s="488"/>
      <c r="EX147" s="488"/>
      <c r="EY147" s="488"/>
      <c r="EZ147" s="488"/>
      <c r="FA147" s="488"/>
      <c r="FB147" s="488"/>
      <c r="FC147" s="488"/>
      <c r="FD147" s="488"/>
    </row>
    <row r="148" spans="1:160">
      <c r="EU148" s="488"/>
      <c r="EV148" s="488"/>
      <c r="EW148" s="488"/>
      <c r="EX148" s="488"/>
      <c r="EY148" s="488"/>
      <c r="EZ148" s="488"/>
      <c r="FA148" s="488"/>
      <c r="FB148" s="488"/>
      <c r="FC148" s="488"/>
      <c r="FD148" s="488"/>
    </row>
    <row r="149" spans="1:160">
      <c r="EU149" s="488"/>
      <c r="EV149" s="488"/>
      <c r="EW149" s="488"/>
      <c r="EX149" s="488"/>
      <c r="EY149" s="488"/>
      <c r="EZ149" s="488"/>
      <c r="FA149" s="488"/>
      <c r="FB149" s="488"/>
      <c r="FC149" s="488"/>
      <c r="FD149" s="488"/>
    </row>
    <row r="150" spans="1:160">
      <c r="EU150" s="488"/>
      <c r="EV150" s="488"/>
      <c r="EW150" s="488"/>
      <c r="EX150" s="488"/>
      <c r="EY150" s="488"/>
      <c r="EZ150" s="488"/>
      <c r="FA150" s="488"/>
      <c r="FB150" s="488"/>
      <c r="FC150" s="488"/>
      <c r="FD150" s="488"/>
    </row>
    <row r="151" spans="1:160">
      <c r="EU151" s="488"/>
      <c r="EV151" s="488"/>
      <c r="EW151" s="488"/>
      <c r="EX151" s="488"/>
      <c r="EY151" s="488"/>
      <c r="EZ151" s="488"/>
      <c r="FA151" s="488"/>
      <c r="FB151" s="488"/>
      <c r="FC151" s="488"/>
      <c r="FD151" s="488"/>
    </row>
    <row r="152" spans="1:160">
      <c r="EU152" s="488"/>
      <c r="EV152" s="488"/>
      <c r="EW152" s="488"/>
      <c r="EX152" s="488"/>
      <c r="EY152" s="488"/>
      <c r="EZ152" s="488"/>
      <c r="FA152" s="488"/>
      <c r="FB152" s="488"/>
      <c r="FC152" s="488"/>
      <c r="FD152" s="488"/>
    </row>
    <row r="153" spans="1:160">
      <c r="EU153" s="488"/>
      <c r="EV153" s="488"/>
      <c r="EW153" s="488"/>
      <c r="EX153" s="488"/>
      <c r="EY153" s="488"/>
      <c r="EZ153" s="488"/>
      <c r="FA153" s="488"/>
      <c r="FB153" s="488"/>
      <c r="FC153" s="488"/>
      <c r="FD153" s="488"/>
    </row>
    <row r="154" spans="1:160">
      <c r="EU154" s="488"/>
      <c r="EV154" s="488"/>
      <c r="EW154" s="488"/>
      <c r="EX154" s="488"/>
      <c r="EY154" s="488"/>
      <c r="EZ154" s="488"/>
      <c r="FA154" s="488"/>
      <c r="FB154" s="488"/>
      <c r="FC154" s="488"/>
      <c r="FD154" s="488"/>
    </row>
    <row r="155" spans="1:160">
      <c r="EU155" s="488"/>
      <c r="EV155" s="488"/>
      <c r="EW155" s="488"/>
      <c r="EX155" s="488"/>
      <c r="EY155" s="488"/>
      <c r="EZ155" s="488"/>
      <c r="FA155" s="488"/>
      <c r="FB155" s="488"/>
      <c r="FC155" s="488"/>
      <c r="FD155" s="488"/>
    </row>
    <row r="156" spans="1:160">
      <c r="EU156" s="488"/>
      <c r="EV156" s="488"/>
      <c r="EW156" s="488"/>
      <c r="EX156" s="488"/>
      <c r="EY156" s="488"/>
      <c r="EZ156" s="488"/>
      <c r="FA156" s="488"/>
      <c r="FB156" s="488"/>
      <c r="FC156" s="488"/>
      <c r="FD156" s="488"/>
    </row>
  </sheetData>
  <mergeCells count="7">
    <mergeCell ref="BS59:BT59"/>
    <mergeCell ref="BG59:BH59"/>
    <mergeCell ref="BI59:BJ59"/>
    <mergeCell ref="BK59:BL59"/>
    <mergeCell ref="BM59:BN59"/>
    <mergeCell ref="BO59:BP59"/>
    <mergeCell ref="BQ59:BR59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17475-6D2D-4EE9-91C8-4F2F6712C5E7}">
  <sheetPr codeName="Sheet33">
    <tabColor theme="7" tint="0.79998168889431442"/>
  </sheetPr>
  <dimension ref="A1:AE193"/>
  <sheetViews>
    <sheetView workbookViewId="0">
      <selection activeCell="C31" sqref="C31"/>
    </sheetView>
  </sheetViews>
  <sheetFormatPr defaultRowHeight="14.5"/>
  <cols>
    <col min="4" max="4" width="16" customWidth="1"/>
    <col min="13" max="13" width="13.81640625" bestFit="1" customWidth="1"/>
    <col min="14" max="15" width="11.1796875" bestFit="1" customWidth="1"/>
    <col min="16" max="18" width="10.1796875" bestFit="1" customWidth="1"/>
    <col min="19" max="20" width="11.1796875" bestFit="1" customWidth="1"/>
    <col min="21" max="24" width="12.54296875" customWidth="1"/>
    <col min="28" max="28" width="13.81640625" bestFit="1" customWidth="1"/>
    <col min="29" max="29" width="12.81640625" bestFit="1" customWidth="1"/>
    <col min="30" max="30" width="13.81640625" bestFit="1" customWidth="1"/>
    <col min="31" max="31" width="8.81640625" bestFit="1" customWidth="1"/>
  </cols>
  <sheetData>
    <row r="1" spans="1:31">
      <c r="A1" s="541" t="str">
        <f>'Monthly Data'!A1</f>
        <v>Date</v>
      </c>
      <c r="B1" s="541" t="str">
        <f>'Monthly Data'!B1</f>
        <v>Year</v>
      </c>
      <c r="C1" s="541" t="str">
        <f>'Monthly Data'!C1</f>
        <v>Month</v>
      </c>
      <c r="D1" s="541" t="str">
        <f>'Monthly Data'!BE1</f>
        <v>WRZ_ResidentialkWh_No_CDM</v>
      </c>
      <c r="E1" s="542" t="str">
        <f>'Monthly Data'!CP1</f>
        <v>HDD18</v>
      </c>
      <c r="F1" s="542" t="str">
        <f>'Monthly Data'!CU1</f>
        <v>CDD14</v>
      </c>
      <c r="G1" s="542" t="str">
        <f>'Monthly Data'!EM1</f>
        <v>CovHDD20</v>
      </c>
      <c r="H1" s="543" t="str">
        <f>'Monthly Data'!ET1</f>
        <v>CovCDD14</v>
      </c>
      <c r="I1" s="543" t="str">
        <f>'Monthly Data'!EG1</f>
        <v>Shoulder</v>
      </c>
      <c r="J1" s="541" t="str">
        <f>'Monthly Data'!EH1</f>
        <v>Trend</v>
      </c>
      <c r="K1" s="541" t="str">
        <f>'Monthly Data'!DQ1</f>
        <v>Month Days</v>
      </c>
      <c r="L1" s="541"/>
      <c r="M1" s="541" t="str">
        <f>AA8</f>
        <v>const</v>
      </c>
      <c r="N1" s="541" t="str">
        <f>E1</f>
        <v>HDD18</v>
      </c>
      <c r="O1" s="541" t="str">
        <f>F1</f>
        <v>CDD14</v>
      </c>
      <c r="P1" s="541" t="str">
        <f>G1</f>
        <v>CovHDD20</v>
      </c>
      <c r="Q1" s="541" t="str">
        <f>H1</f>
        <v>CovCDD14</v>
      </c>
      <c r="R1" s="541" t="str">
        <f>I1</f>
        <v>Shoulder</v>
      </c>
      <c r="S1" s="541" t="str">
        <f t="shared" ref="S1:T1" si="0">J1</f>
        <v>Trend</v>
      </c>
      <c r="T1" s="541" t="str">
        <f t="shared" si="0"/>
        <v>Month Days</v>
      </c>
      <c r="U1" s="541" t="s">
        <v>610</v>
      </c>
      <c r="V1" s="541" t="s">
        <v>332</v>
      </c>
      <c r="W1" s="541" t="s">
        <v>606</v>
      </c>
      <c r="X1" s="541" t="s">
        <v>611</v>
      </c>
    </row>
    <row r="2" spans="1:31">
      <c r="A2" s="2">
        <f>'Monthly Data'!A2</f>
        <v>42370</v>
      </c>
      <c r="B2">
        <f>'Monthly Data'!B2</f>
        <v>2016</v>
      </c>
      <c r="C2">
        <f>'Monthly Data'!C2</f>
        <v>1</v>
      </c>
      <c r="D2" s="3">
        <f>'Monthly Data'!BE2</f>
        <v>29960911.944665615</v>
      </c>
      <c r="E2" s="91">
        <f ca="1">Weather!BU46</f>
        <v>690.78750000000002</v>
      </c>
      <c r="F2" s="91">
        <f ca="1">Weather!CX46</f>
        <v>0</v>
      </c>
      <c r="G2" s="3">
        <f>'Monthly Data'!EM2</f>
        <v>0</v>
      </c>
      <c r="H2" s="3">
        <f>'Monthly Data'!ET2</f>
        <v>0</v>
      </c>
      <c r="I2" s="3">
        <f>'Monthly Data'!EG2</f>
        <v>0</v>
      </c>
      <c r="J2">
        <f>'Monthly Data'!EH2</f>
        <v>1</v>
      </c>
      <c r="K2" s="3">
        <f>'Monthly Data'!DQ2</f>
        <v>31</v>
      </c>
      <c r="M2" s="3">
        <f t="shared" ref="M2:M33" si="1">$AB$8</f>
        <v>-5660024.0454457896</v>
      </c>
      <c r="N2" s="3">
        <f t="shared" ref="N2:N33" ca="1" si="2">E2*$AB$9</f>
        <v>9855049.3799528815</v>
      </c>
      <c r="O2" s="3">
        <f t="shared" ref="O2:O33" ca="1" si="3">F2*$AB$10</f>
        <v>0</v>
      </c>
      <c r="P2" s="3">
        <f t="shared" ref="P2:P33" si="4">G2*$AB$11</f>
        <v>0</v>
      </c>
      <c r="Q2" s="3">
        <f t="shared" ref="Q2:Q33" si="5">H2*$AB$12</f>
        <v>0</v>
      </c>
      <c r="R2" s="3">
        <f t="shared" ref="R2:R33" si="6">I2*$AB$13</f>
        <v>0</v>
      </c>
      <c r="S2" s="3">
        <f t="shared" ref="S2:S33" si="7">J2*$AB$14</f>
        <v>47394.050458225698</v>
      </c>
      <c r="T2" s="3">
        <f t="shared" ref="T2:T33" si="8">K2*$AB$15</f>
        <v>24925623.239568908</v>
      </c>
      <c r="U2" s="47">
        <f t="shared" ref="U2:U42" ca="1" si="9">SUM(M2:T2)</f>
        <v>29168042.624534227</v>
      </c>
      <c r="V2" s="47">
        <f>'Monthly Data'!BF2</f>
        <v>0</v>
      </c>
      <c r="W2" s="47">
        <f>+'Monthly Data'!BG2</f>
        <v>0</v>
      </c>
      <c r="X2" s="47">
        <f t="shared" ref="X2:X42" ca="1" si="10">U2+V2+W2</f>
        <v>29168042.624534227</v>
      </c>
    </row>
    <row r="3" spans="1:31">
      <c r="A3" s="2">
        <f>'Monthly Data'!A3</f>
        <v>42401</v>
      </c>
      <c r="B3">
        <f>'Monthly Data'!B3</f>
        <v>2016</v>
      </c>
      <c r="C3">
        <f>'Monthly Data'!C3</f>
        <v>2</v>
      </c>
      <c r="D3" s="3">
        <f>'Monthly Data'!BE3</f>
        <v>26909411.130641416</v>
      </c>
      <c r="E3" s="91">
        <f ca="1">Weather!BU47</f>
        <v>604.19541666666657</v>
      </c>
      <c r="F3" s="91">
        <f ca="1">Weather!CX47</f>
        <v>0</v>
      </c>
      <c r="G3" s="3">
        <f>'Monthly Data'!EM3</f>
        <v>0</v>
      </c>
      <c r="H3" s="3">
        <f>'Monthly Data'!ET3</f>
        <v>0</v>
      </c>
      <c r="I3" s="3">
        <f>'Monthly Data'!EG3</f>
        <v>0</v>
      </c>
      <c r="J3">
        <f>'Monthly Data'!EH3</f>
        <v>2</v>
      </c>
      <c r="K3" s="3">
        <f>'Monthly Data'!DQ3</f>
        <v>29</v>
      </c>
      <c r="M3" s="3">
        <f t="shared" si="1"/>
        <v>-5660024.0454457896</v>
      </c>
      <c r="N3" s="3">
        <f t="shared" ca="1" si="2"/>
        <v>8619692.2590394374</v>
      </c>
      <c r="O3" s="3">
        <f t="shared" ca="1" si="3"/>
        <v>0</v>
      </c>
      <c r="P3" s="3">
        <f t="shared" si="4"/>
        <v>0</v>
      </c>
      <c r="Q3" s="3">
        <f t="shared" si="5"/>
        <v>0</v>
      </c>
      <c r="R3" s="3">
        <f t="shared" si="6"/>
        <v>0</v>
      </c>
      <c r="S3" s="3">
        <f t="shared" si="7"/>
        <v>94788.100916451396</v>
      </c>
      <c r="T3" s="3">
        <f t="shared" si="8"/>
        <v>23317518.514435429</v>
      </c>
      <c r="U3" s="47">
        <f t="shared" ca="1" si="9"/>
        <v>26371974.828945529</v>
      </c>
      <c r="V3" s="47">
        <f>'Monthly Data'!BF3</f>
        <v>0</v>
      </c>
      <c r="W3" s="47">
        <f>+'Monthly Data'!BG3</f>
        <v>0</v>
      </c>
      <c r="X3" s="47">
        <f t="shared" ca="1" si="10"/>
        <v>26371974.828945529</v>
      </c>
      <c r="AA3" t="s">
        <v>625</v>
      </c>
    </row>
    <row r="4" spans="1:31">
      <c r="A4" s="2">
        <f>'Monthly Data'!A4</f>
        <v>42430</v>
      </c>
      <c r="B4">
        <f>'Monthly Data'!B4</f>
        <v>2016</v>
      </c>
      <c r="C4">
        <f>'Monthly Data'!C4</f>
        <v>3</v>
      </c>
      <c r="D4" s="3">
        <f>'Monthly Data'!BE4</f>
        <v>26314086.65198138</v>
      </c>
      <c r="E4" s="91">
        <f ca="1">Weather!BU48</f>
        <v>534.21590579710141</v>
      </c>
      <c r="F4" s="91">
        <f ca="1">Weather!CX48</f>
        <v>0</v>
      </c>
      <c r="G4" s="3">
        <f>'Monthly Data'!EM4</f>
        <v>0</v>
      </c>
      <c r="H4" s="3">
        <f>'Monthly Data'!ET4</f>
        <v>0</v>
      </c>
      <c r="I4" s="3">
        <f>'Monthly Data'!EG4</f>
        <v>1</v>
      </c>
      <c r="J4">
        <f>'Monthly Data'!EH4</f>
        <v>3</v>
      </c>
      <c r="K4" s="3">
        <f>'Monthly Data'!DQ4</f>
        <v>31</v>
      </c>
      <c r="M4" s="3">
        <f t="shared" si="1"/>
        <v>-5660024.0454457896</v>
      </c>
      <c r="N4" s="3">
        <f t="shared" ca="1" si="2"/>
        <v>7621336.7080132328</v>
      </c>
      <c r="O4" s="3">
        <f t="shared" ca="1" si="3"/>
        <v>0</v>
      </c>
      <c r="P4" s="3">
        <f t="shared" si="4"/>
        <v>0</v>
      </c>
      <c r="Q4" s="3">
        <f t="shared" si="5"/>
        <v>0</v>
      </c>
      <c r="R4" s="3">
        <f t="shared" si="6"/>
        <v>-701201.51304507197</v>
      </c>
      <c r="S4" s="3">
        <f t="shared" si="7"/>
        <v>142182.15137467708</v>
      </c>
      <c r="T4" s="3">
        <f t="shared" si="8"/>
        <v>24925623.239568908</v>
      </c>
      <c r="U4" s="47">
        <f t="shared" ca="1" si="9"/>
        <v>26327916.540465955</v>
      </c>
      <c r="V4" s="47">
        <f>'Monthly Data'!BF4</f>
        <v>0</v>
      </c>
      <c r="W4" s="47">
        <f>+'Monthly Data'!BG4</f>
        <v>0</v>
      </c>
      <c r="X4" s="47">
        <f t="shared" ca="1" si="10"/>
        <v>26327916.540465955</v>
      </c>
      <c r="AA4" t="s">
        <v>346</v>
      </c>
    </row>
    <row r="5" spans="1:31">
      <c r="A5" s="2">
        <f>'Monthly Data'!A5</f>
        <v>42461</v>
      </c>
      <c r="B5">
        <f>'Monthly Data'!B5</f>
        <v>2016</v>
      </c>
      <c r="C5">
        <f>'Monthly Data'!C5</f>
        <v>4</v>
      </c>
      <c r="D5" s="3">
        <f>'Monthly Data'!BE5</f>
        <v>23886895.211393088</v>
      </c>
      <c r="E5" s="91">
        <f ca="1">Weather!BU49</f>
        <v>352.92312500000003</v>
      </c>
      <c r="F5" s="91">
        <f ca="1">Weather!CX49</f>
        <v>2.2025000000000015</v>
      </c>
      <c r="G5" s="3">
        <f>'Monthly Data'!EM5</f>
        <v>0</v>
      </c>
      <c r="H5" s="3">
        <f>'Monthly Data'!ET5</f>
        <v>0</v>
      </c>
      <c r="I5" s="3">
        <f>'Monthly Data'!EG5</f>
        <v>1</v>
      </c>
      <c r="J5">
        <f>'Monthly Data'!EH5</f>
        <v>4</v>
      </c>
      <c r="K5" s="3">
        <f>'Monthly Data'!DQ5</f>
        <v>30</v>
      </c>
      <c r="M5" s="3">
        <f t="shared" si="1"/>
        <v>-5660024.0454457896</v>
      </c>
      <c r="N5" s="3">
        <f t="shared" ca="1" si="2"/>
        <v>5034941.7501073536</v>
      </c>
      <c r="O5" s="3">
        <f t="shared" ca="1" si="3"/>
        <v>201258.63825014042</v>
      </c>
      <c r="P5" s="3">
        <f t="shared" si="4"/>
        <v>0</v>
      </c>
      <c r="Q5" s="3">
        <f t="shared" si="5"/>
        <v>0</v>
      </c>
      <c r="R5" s="3">
        <f t="shared" si="6"/>
        <v>-701201.51304507197</v>
      </c>
      <c r="S5" s="3">
        <f t="shared" si="7"/>
        <v>189576.20183290279</v>
      </c>
      <c r="T5" s="3">
        <f t="shared" si="8"/>
        <v>24121570.877002168</v>
      </c>
      <c r="U5" s="47">
        <f t="shared" ca="1" si="9"/>
        <v>23186121.908701703</v>
      </c>
      <c r="V5" s="47">
        <f>'Monthly Data'!BF5</f>
        <v>0</v>
      </c>
      <c r="W5" s="47">
        <f>+'Monthly Data'!BG5</f>
        <v>0</v>
      </c>
      <c r="X5" s="47">
        <f t="shared" ca="1" si="10"/>
        <v>23186121.908701703</v>
      </c>
      <c r="AA5" t="s">
        <v>626</v>
      </c>
    </row>
    <row r="6" spans="1:31">
      <c r="A6" s="2">
        <f>'Monthly Data'!A6</f>
        <v>42491</v>
      </c>
      <c r="B6">
        <f>'Monthly Data'!B6</f>
        <v>2016</v>
      </c>
      <c r="C6">
        <f>'Monthly Data'!C6</f>
        <v>5</v>
      </c>
      <c r="D6" s="3">
        <f>'Monthly Data'!BE6</f>
        <v>26353067.108886197</v>
      </c>
      <c r="E6" s="91">
        <f ca="1">Weather!BU50</f>
        <v>155.24720841877425</v>
      </c>
      <c r="F6" s="91">
        <f ca="1">Weather!CX50</f>
        <v>48.940113636363641</v>
      </c>
      <c r="G6" s="3">
        <f>'Monthly Data'!EM6</f>
        <v>0</v>
      </c>
      <c r="H6" s="3">
        <f>'Monthly Data'!ET6</f>
        <v>0</v>
      </c>
      <c r="I6" s="3">
        <f>'Monthly Data'!EG6</f>
        <v>1</v>
      </c>
      <c r="J6">
        <f>'Monthly Data'!EH6</f>
        <v>5</v>
      </c>
      <c r="K6" s="3">
        <f>'Monthly Data'!DQ6</f>
        <v>31</v>
      </c>
      <c r="M6" s="3">
        <f t="shared" si="1"/>
        <v>-5660024.0454457896</v>
      </c>
      <c r="N6" s="3">
        <f t="shared" ca="1" si="2"/>
        <v>2214818.4572923756</v>
      </c>
      <c r="O6" s="3">
        <f t="shared" ca="1" si="3"/>
        <v>4472018.4455217561</v>
      </c>
      <c r="P6" s="3">
        <f t="shared" si="4"/>
        <v>0</v>
      </c>
      <c r="Q6" s="3">
        <f t="shared" si="5"/>
        <v>0</v>
      </c>
      <c r="R6" s="3">
        <f t="shared" si="6"/>
        <v>-701201.51304507197</v>
      </c>
      <c r="S6" s="3">
        <f t="shared" si="7"/>
        <v>236970.25229112851</v>
      </c>
      <c r="T6" s="3">
        <f t="shared" si="8"/>
        <v>24925623.239568908</v>
      </c>
      <c r="U6" s="47">
        <f t="shared" ca="1" si="9"/>
        <v>25488204.836183306</v>
      </c>
      <c r="V6" s="47">
        <f>'Monthly Data'!BF6</f>
        <v>0</v>
      </c>
      <c r="W6" s="47">
        <f>+'Monthly Data'!BG6</f>
        <v>0</v>
      </c>
      <c r="X6" s="47">
        <f t="shared" ca="1" si="10"/>
        <v>25488204.836183306</v>
      </c>
    </row>
    <row r="7" spans="1:31">
      <c r="A7" s="2">
        <f>'Monthly Data'!A7</f>
        <v>42522</v>
      </c>
      <c r="B7">
        <f>'Monthly Data'!B7</f>
        <v>2016</v>
      </c>
      <c r="C7">
        <f>'Monthly Data'!C7</f>
        <v>6</v>
      </c>
      <c r="D7" s="3">
        <f>'Monthly Data'!BE7</f>
        <v>32102680.887218602</v>
      </c>
      <c r="E7" s="91">
        <f ca="1">Weather!BU51</f>
        <v>30.273840492840492</v>
      </c>
      <c r="F7" s="91">
        <f ca="1">Weather!CX51</f>
        <v>144.91160087738351</v>
      </c>
      <c r="G7" s="3">
        <f>'Monthly Data'!EM7</f>
        <v>0</v>
      </c>
      <c r="H7" s="3">
        <f>'Monthly Data'!ET7</f>
        <v>0</v>
      </c>
      <c r="I7" s="3">
        <f>'Monthly Data'!EG7</f>
        <v>0</v>
      </c>
      <c r="J7">
        <f>'Monthly Data'!EH7</f>
        <v>6</v>
      </c>
      <c r="K7" s="3">
        <f>'Monthly Data'!DQ7</f>
        <v>30</v>
      </c>
      <c r="M7" s="3">
        <f t="shared" si="1"/>
        <v>-5660024.0454457896</v>
      </c>
      <c r="N7" s="3">
        <f t="shared" ca="1" si="2"/>
        <v>431898.65621158475</v>
      </c>
      <c r="O7" s="3">
        <f t="shared" ca="1" si="3"/>
        <v>13241639.709071528</v>
      </c>
      <c r="P7" s="3">
        <f t="shared" si="4"/>
        <v>0</v>
      </c>
      <c r="Q7" s="3">
        <f t="shared" si="5"/>
        <v>0</v>
      </c>
      <c r="R7" s="3">
        <f t="shared" si="6"/>
        <v>0</v>
      </c>
      <c r="S7" s="3">
        <f t="shared" si="7"/>
        <v>284364.30274935416</v>
      </c>
      <c r="T7" s="3">
        <f t="shared" si="8"/>
        <v>24121570.877002168</v>
      </c>
      <c r="U7" s="47">
        <f t="shared" ca="1" si="9"/>
        <v>32419449.499588847</v>
      </c>
      <c r="V7" s="47">
        <f>'Monthly Data'!BF7</f>
        <v>0</v>
      </c>
      <c r="W7" s="47">
        <f>+'Monthly Data'!BG7</f>
        <v>0</v>
      </c>
      <c r="X7" s="47">
        <f t="shared" ca="1" si="10"/>
        <v>32419449.499588847</v>
      </c>
      <c r="AB7" t="s">
        <v>300</v>
      </c>
      <c r="AC7" t="s">
        <v>301</v>
      </c>
      <c r="AD7" t="s">
        <v>302</v>
      </c>
      <c r="AE7" t="s">
        <v>303</v>
      </c>
    </row>
    <row r="8" spans="1:31">
      <c r="A8" s="2">
        <f>'Monthly Data'!A8</f>
        <v>42552</v>
      </c>
      <c r="B8">
        <f>'Monthly Data'!B8</f>
        <v>2016</v>
      </c>
      <c r="C8">
        <f>'Monthly Data'!C8</f>
        <v>7</v>
      </c>
      <c r="D8" s="3">
        <f>'Monthly Data'!BE8</f>
        <v>41813657.982731514</v>
      </c>
      <c r="E8" s="91">
        <f ca="1">Weather!BU52</f>
        <v>1.0845833333333317</v>
      </c>
      <c r="F8" s="91">
        <f ca="1">Weather!CX52</f>
        <v>242.72508692061183</v>
      </c>
      <c r="G8" s="3">
        <f>'Monthly Data'!EM8</f>
        <v>0</v>
      </c>
      <c r="H8" s="3">
        <f>'Monthly Data'!ET8</f>
        <v>0</v>
      </c>
      <c r="I8" s="3">
        <f>'Monthly Data'!EG8</f>
        <v>0</v>
      </c>
      <c r="J8">
        <f>'Monthly Data'!EH8</f>
        <v>7</v>
      </c>
      <c r="K8" s="3">
        <f>'Monthly Data'!DQ8</f>
        <v>31</v>
      </c>
      <c r="M8" s="3">
        <f t="shared" si="1"/>
        <v>-5660024.0454457896</v>
      </c>
      <c r="N8" s="3">
        <f t="shared" ca="1" si="2"/>
        <v>15473.097452796814</v>
      </c>
      <c r="O8" s="3">
        <f t="shared" ca="1" si="3"/>
        <v>22179577.962673906</v>
      </c>
      <c r="P8" s="3">
        <f t="shared" si="4"/>
        <v>0</v>
      </c>
      <c r="Q8" s="3">
        <f t="shared" si="5"/>
        <v>0</v>
      </c>
      <c r="R8" s="3">
        <f t="shared" si="6"/>
        <v>0</v>
      </c>
      <c r="S8" s="3">
        <f t="shared" si="7"/>
        <v>331758.35320757987</v>
      </c>
      <c r="T8" s="3">
        <f t="shared" si="8"/>
        <v>24925623.239568908</v>
      </c>
      <c r="U8" s="47">
        <f t="shared" ca="1" si="9"/>
        <v>41792408.607457399</v>
      </c>
      <c r="V8" s="47">
        <f>'Monthly Data'!BF8</f>
        <v>0</v>
      </c>
      <c r="W8" s="47">
        <f>+'Monthly Data'!BG8</f>
        <v>0</v>
      </c>
      <c r="X8" s="47">
        <f t="shared" ca="1" si="10"/>
        <v>41792408.607457399</v>
      </c>
      <c r="AA8" t="s">
        <v>304</v>
      </c>
      <c r="AB8" s="436">
        <f>'WRZ Residential'!AC8</f>
        <v>-5660024.0454457896</v>
      </c>
      <c r="AC8" s="3">
        <f>'WRZ Residential'!AD8</f>
        <v>2366440.1537987501</v>
      </c>
      <c r="AD8" s="235">
        <f>'WRZ Residential'!AE8</f>
        <v>-2.3917883730801202</v>
      </c>
      <c r="AE8" s="245">
        <f>'WRZ Residential'!AF8</f>
        <v>1.8432213519403901E-2</v>
      </c>
    </row>
    <row r="9" spans="1:31">
      <c r="A9" s="2">
        <f>'Monthly Data'!A9</f>
        <v>42583</v>
      </c>
      <c r="B9">
        <f>'Monthly Data'!B9</f>
        <v>2016</v>
      </c>
      <c r="C9">
        <f>'Monthly Data'!C9</f>
        <v>8</v>
      </c>
      <c r="D9" s="3">
        <f>'Monthly Data'!BE9</f>
        <v>44304186.134557702</v>
      </c>
      <c r="E9" s="91">
        <f ca="1">Weather!BU53</f>
        <v>6.4245833333333335</v>
      </c>
      <c r="F9" s="91">
        <f ca="1">Weather!CX53</f>
        <v>214.02558794466404</v>
      </c>
      <c r="G9" s="3">
        <f>'Monthly Data'!EM9</f>
        <v>0</v>
      </c>
      <c r="H9" s="3">
        <f>'Monthly Data'!ET9</f>
        <v>0</v>
      </c>
      <c r="I9" s="3">
        <f>'Monthly Data'!EG9</f>
        <v>0</v>
      </c>
      <c r="J9">
        <f>'Monthly Data'!EH9</f>
        <v>8</v>
      </c>
      <c r="K9" s="3">
        <f>'Monthly Data'!DQ9</f>
        <v>31</v>
      </c>
      <c r="M9" s="3">
        <f t="shared" si="1"/>
        <v>-5660024.0454457896</v>
      </c>
      <c r="N9" s="3">
        <f t="shared" ca="1" si="2"/>
        <v>91655.662552698588</v>
      </c>
      <c r="O9" s="3">
        <f t="shared" ca="1" si="3"/>
        <v>19557093.475790568</v>
      </c>
      <c r="P9" s="3">
        <f t="shared" si="4"/>
        <v>0</v>
      </c>
      <c r="Q9" s="3">
        <f t="shared" si="5"/>
        <v>0</v>
      </c>
      <c r="R9" s="3">
        <f t="shared" si="6"/>
        <v>0</v>
      </c>
      <c r="S9" s="3">
        <f t="shared" si="7"/>
        <v>379152.40366580558</v>
      </c>
      <c r="T9" s="3">
        <f t="shared" si="8"/>
        <v>24925623.239568908</v>
      </c>
      <c r="U9" s="47">
        <f t="shared" ca="1" si="9"/>
        <v>39293500.73613219</v>
      </c>
      <c r="V9" s="47">
        <f>'Monthly Data'!BF9</f>
        <v>0</v>
      </c>
      <c r="W9" s="47">
        <f>+'Monthly Data'!BG9</f>
        <v>0</v>
      </c>
      <c r="X9" s="47">
        <f t="shared" ca="1" si="10"/>
        <v>39293500.73613219</v>
      </c>
      <c r="AA9" t="s">
        <v>116</v>
      </c>
      <c r="AB9" s="3">
        <f>'WRZ Residential'!AC9</f>
        <v>14266.3979587831</v>
      </c>
      <c r="AC9" s="3">
        <f>'WRZ Residential'!AD9</f>
        <v>731.97070634940496</v>
      </c>
      <c r="AD9" s="235">
        <f>'WRZ Residential'!AE9</f>
        <v>19.490394677042001</v>
      </c>
      <c r="AE9" s="245">
        <f>'WRZ Residential'!AF9</f>
        <v>8.7835840492490498E-38</v>
      </c>
    </row>
    <row r="10" spans="1:31">
      <c r="A10" s="2">
        <f>'Monthly Data'!A10</f>
        <v>42614</v>
      </c>
      <c r="B10">
        <f>'Monthly Data'!B10</f>
        <v>2016</v>
      </c>
      <c r="C10">
        <f>'Monthly Data'!C10</f>
        <v>9</v>
      </c>
      <c r="D10" s="3">
        <f>'Monthly Data'!BE10</f>
        <v>30897555.458088223</v>
      </c>
      <c r="E10" s="91">
        <f ca="1">Weather!BU54</f>
        <v>54.412952898550728</v>
      </c>
      <c r="F10" s="91">
        <f ca="1">Weather!CX54</f>
        <v>102.40708333333332</v>
      </c>
      <c r="G10" s="3">
        <f>'Monthly Data'!EM10</f>
        <v>0</v>
      </c>
      <c r="H10" s="3">
        <f>'Monthly Data'!ET10</f>
        <v>0</v>
      </c>
      <c r="I10" s="3">
        <f>'Monthly Data'!EG10</f>
        <v>1</v>
      </c>
      <c r="J10">
        <f>'Monthly Data'!EH10</f>
        <v>9</v>
      </c>
      <c r="K10" s="3">
        <f>'Monthly Data'!DQ10</f>
        <v>30</v>
      </c>
      <c r="M10" s="3">
        <f t="shared" si="1"/>
        <v>-5660024.0454457896</v>
      </c>
      <c r="N10" s="3">
        <f t="shared" ca="1" si="2"/>
        <v>776276.8401632451</v>
      </c>
      <c r="O10" s="3">
        <f t="shared" ca="1" si="3"/>
        <v>9357689.0528196599</v>
      </c>
      <c r="P10" s="3">
        <f t="shared" si="4"/>
        <v>0</v>
      </c>
      <c r="Q10" s="3">
        <f t="shared" si="5"/>
        <v>0</v>
      </c>
      <c r="R10" s="3">
        <f t="shared" si="6"/>
        <v>-701201.51304507197</v>
      </c>
      <c r="S10" s="3">
        <f t="shared" si="7"/>
        <v>426546.4541240313</v>
      </c>
      <c r="T10" s="3">
        <f t="shared" si="8"/>
        <v>24121570.877002168</v>
      </c>
      <c r="U10" s="47">
        <f t="shared" ca="1" si="9"/>
        <v>28320857.665618241</v>
      </c>
      <c r="V10" s="47">
        <f>'Monthly Data'!BF10</f>
        <v>0</v>
      </c>
      <c r="W10" s="47">
        <f>+'Monthly Data'!BG10</f>
        <v>0</v>
      </c>
      <c r="X10" s="47">
        <f t="shared" ca="1" si="10"/>
        <v>28320857.665618241</v>
      </c>
      <c r="AA10" t="s">
        <v>123</v>
      </c>
      <c r="AB10" s="3">
        <f>'WRZ Residential'!AC10</f>
        <v>91377.361294047805</v>
      </c>
      <c r="AC10" s="3">
        <f>'WRZ Residential'!AD10</f>
        <v>2350.2652717157398</v>
      </c>
      <c r="AD10" s="235">
        <f>'WRZ Residential'!AE10</f>
        <v>38.879594739252802</v>
      </c>
      <c r="AE10" s="245">
        <f>'WRZ Residential'!AF10</f>
        <v>7.2550555684328494E-67</v>
      </c>
    </row>
    <row r="11" spans="1:31">
      <c r="A11" s="2">
        <f>'Monthly Data'!A11</f>
        <v>42644</v>
      </c>
      <c r="B11">
        <f>'Monthly Data'!B11</f>
        <v>2016</v>
      </c>
      <c r="C11">
        <f>'Monthly Data'!C11</f>
        <v>10</v>
      </c>
      <c r="D11" s="3">
        <f>'Monthly Data'!BE11</f>
        <v>24772539.484086975</v>
      </c>
      <c r="E11" s="91">
        <f ca="1">Weather!BU55</f>
        <v>232.21431159420285</v>
      </c>
      <c r="F11" s="91">
        <f ca="1">Weather!CX55</f>
        <v>19.741250000000004</v>
      </c>
      <c r="G11" s="3">
        <f>'Monthly Data'!EM11</f>
        <v>0</v>
      </c>
      <c r="H11" s="3">
        <f>'Monthly Data'!ET11</f>
        <v>0</v>
      </c>
      <c r="I11" s="3">
        <f>'Monthly Data'!EG11</f>
        <v>1</v>
      </c>
      <c r="J11">
        <f>'Monthly Data'!EH11</f>
        <v>10</v>
      </c>
      <c r="K11" s="3">
        <f>'Monthly Data'!DQ11</f>
        <v>31</v>
      </c>
      <c r="M11" s="3">
        <f t="shared" si="1"/>
        <v>-5660024.0454457896</v>
      </c>
      <c r="N11" s="3">
        <f t="shared" ca="1" si="2"/>
        <v>3312861.7809277582</v>
      </c>
      <c r="O11" s="3">
        <f t="shared" ca="1" si="3"/>
        <v>1803903.3336461217</v>
      </c>
      <c r="P11" s="3">
        <f t="shared" si="4"/>
        <v>0</v>
      </c>
      <c r="Q11" s="3">
        <f t="shared" si="5"/>
        <v>0</v>
      </c>
      <c r="R11" s="3">
        <f t="shared" si="6"/>
        <v>-701201.51304507197</v>
      </c>
      <c r="S11" s="3">
        <f t="shared" si="7"/>
        <v>473940.50458225701</v>
      </c>
      <c r="T11" s="3">
        <f t="shared" si="8"/>
        <v>24925623.239568908</v>
      </c>
      <c r="U11" s="47">
        <f t="shared" ca="1" si="9"/>
        <v>24155103.300234184</v>
      </c>
      <c r="V11" s="47">
        <f>'Monthly Data'!BF11</f>
        <v>0</v>
      </c>
      <c r="W11" s="47">
        <f>+'Monthly Data'!BG11</f>
        <v>0</v>
      </c>
      <c r="X11" s="47">
        <f t="shared" ca="1" si="10"/>
        <v>24155103.300234184</v>
      </c>
      <c r="AA11" t="s">
        <v>167</v>
      </c>
      <c r="AB11" s="3">
        <f>'WRZ Residential'!AC11</f>
        <v>4748.6435264424899</v>
      </c>
      <c r="AC11" s="3">
        <f>'WRZ Residential'!AD11</f>
        <v>1313.0110126196701</v>
      </c>
      <c r="AD11" s="235">
        <f>'WRZ Residential'!AE11</f>
        <v>3.6166060153358401</v>
      </c>
      <c r="AE11" s="245">
        <f>'WRZ Residential'!AF11</f>
        <v>4.4904794196891801E-4</v>
      </c>
    </row>
    <row r="12" spans="1:31">
      <c r="A12" s="2">
        <f>'Monthly Data'!A12</f>
        <v>42675</v>
      </c>
      <c r="B12">
        <f>'Monthly Data'!B12</f>
        <v>2016</v>
      </c>
      <c r="C12">
        <f>'Monthly Data'!C12</f>
        <v>11</v>
      </c>
      <c r="D12" s="3">
        <f>'Monthly Data'!BE12</f>
        <v>24562187.195038669</v>
      </c>
      <c r="E12" s="91">
        <f ca="1">Weather!BU56</f>
        <v>435.51408055712398</v>
      </c>
      <c r="F12" s="91">
        <f ca="1">Weather!CX56</f>
        <v>0.78124999999999944</v>
      </c>
      <c r="G12" s="3">
        <f>'Monthly Data'!EM12</f>
        <v>0</v>
      </c>
      <c r="H12" s="3">
        <f>'Monthly Data'!ET12</f>
        <v>0</v>
      </c>
      <c r="I12" s="3">
        <f>'Monthly Data'!EG12</f>
        <v>1</v>
      </c>
      <c r="J12">
        <f>'Monthly Data'!EH12</f>
        <v>11</v>
      </c>
      <c r="K12" s="3">
        <f>'Monthly Data'!DQ12</f>
        <v>30</v>
      </c>
      <c r="M12" s="3">
        <f t="shared" si="1"/>
        <v>-5660024.0454457896</v>
      </c>
      <c r="N12" s="3">
        <f t="shared" ca="1" si="2"/>
        <v>6213217.1898814524</v>
      </c>
      <c r="O12" s="3">
        <f t="shared" ca="1" si="3"/>
        <v>71388.563510974796</v>
      </c>
      <c r="P12" s="3">
        <f t="shared" si="4"/>
        <v>0</v>
      </c>
      <c r="Q12" s="3">
        <f t="shared" si="5"/>
        <v>0</v>
      </c>
      <c r="R12" s="3">
        <f t="shared" si="6"/>
        <v>-701201.51304507197</v>
      </c>
      <c r="S12" s="3">
        <f t="shared" si="7"/>
        <v>521334.55504048266</v>
      </c>
      <c r="T12" s="3">
        <f t="shared" si="8"/>
        <v>24121570.877002168</v>
      </c>
      <c r="U12" s="47">
        <f t="shared" ca="1" si="9"/>
        <v>24566285.626944218</v>
      </c>
      <c r="V12" s="47">
        <f>'Monthly Data'!BF12</f>
        <v>0</v>
      </c>
      <c r="W12" s="47">
        <f>+'Monthly Data'!BG12</f>
        <v>0</v>
      </c>
      <c r="X12" s="47">
        <f t="shared" ca="1" si="10"/>
        <v>24566285.626944218</v>
      </c>
      <c r="AA12" t="s">
        <v>174</v>
      </c>
      <c r="AB12" s="3">
        <f>'WRZ Residential'!AC12</f>
        <v>12220.1995527173</v>
      </c>
      <c r="AC12" s="3">
        <f>'WRZ Residential'!AD12</f>
        <v>4389.3952068791295</v>
      </c>
      <c r="AD12" s="235">
        <f>'WRZ Residential'!AE12</f>
        <v>2.7840280896934502</v>
      </c>
      <c r="AE12" s="245">
        <f>'WRZ Residential'!AF12</f>
        <v>6.3043346145759196E-3</v>
      </c>
    </row>
    <row r="13" spans="1:31">
      <c r="A13" s="2">
        <f>'Monthly Data'!A13</f>
        <v>42705</v>
      </c>
      <c r="B13">
        <f>'Monthly Data'!B13</f>
        <v>2016</v>
      </c>
      <c r="C13">
        <f>'Monthly Data'!C13</f>
        <v>12</v>
      </c>
      <c r="D13" s="3">
        <f>'Monthly Data'!BE13</f>
        <v>30212610.490226153</v>
      </c>
      <c r="E13" s="91">
        <f ca="1">Weather!BU57</f>
        <v>602.38541666666674</v>
      </c>
      <c r="F13" s="91">
        <f ca="1">Weather!CX57</f>
        <v>0</v>
      </c>
      <c r="G13" s="3">
        <f>'Monthly Data'!EM13</f>
        <v>0</v>
      </c>
      <c r="H13" s="3">
        <f>'Monthly Data'!ET13</f>
        <v>0</v>
      </c>
      <c r="I13" s="3">
        <f>'Monthly Data'!EG13</f>
        <v>0</v>
      </c>
      <c r="J13">
        <f>'Monthly Data'!EH13</f>
        <v>12</v>
      </c>
      <c r="K13" s="3">
        <f>'Monthly Data'!DQ13</f>
        <v>31</v>
      </c>
      <c r="M13" s="3">
        <f t="shared" si="1"/>
        <v>-5660024.0454457896</v>
      </c>
      <c r="N13" s="3">
        <f t="shared" ca="1" si="2"/>
        <v>8593870.0787340421</v>
      </c>
      <c r="O13" s="3">
        <f t="shared" ca="1" si="3"/>
        <v>0</v>
      </c>
      <c r="P13" s="3">
        <f t="shared" si="4"/>
        <v>0</v>
      </c>
      <c r="Q13" s="3">
        <f t="shared" si="5"/>
        <v>0</v>
      </c>
      <c r="R13" s="3">
        <f t="shared" si="6"/>
        <v>0</v>
      </c>
      <c r="S13" s="3">
        <f t="shared" si="7"/>
        <v>568728.60549870832</v>
      </c>
      <c r="T13" s="3">
        <f t="shared" si="8"/>
        <v>24925623.239568908</v>
      </c>
      <c r="U13" s="47">
        <f t="shared" ca="1" si="9"/>
        <v>28428197.878355868</v>
      </c>
      <c r="V13" s="47">
        <f>'Monthly Data'!BF13</f>
        <v>0</v>
      </c>
      <c r="W13" s="47">
        <f>+'Monthly Data'!BG13</f>
        <v>0</v>
      </c>
      <c r="X13" s="47">
        <f t="shared" ca="1" si="10"/>
        <v>28428197.878355868</v>
      </c>
      <c r="AA13" t="s">
        <v>161</v>
      </c>
      <c r="AB13" s="3">
        <f>'WRZ Residential'!AC13</f>
        <v>-701201.51304507197</v>
      </c>
      <c r="AC13" s="3">
        <f>'WRZ Residential'!AD13</f>
        <v>221808.86339376599</v>
      </c>
      <c r="AD13" s="235">
        <f>'WRZ Residential'!AE13</f>
        <v>-3.1612871655190098</v>
      </c>
      <c r="AE13" s="245">
        <f>'WRZ Residential'!AF13</f>
        <v>2.0209629304864798E-3</v>
      </c>
    </row>
    <row r="14" spans="1:31">
      <c r="A14" s="2">
        <f>'Monthly Data'!A14</f>
        <v>42736</v>
      </c>
      <c r="B14">
        <f>'Monthly Data'!B14</f>
        <v>2017</v>
      </c>
      <c r="C14">
        <f>'Monthly Data'!C14</f>
        <v>1</v>
      </c>
      <c r="D14" s="3">
        <f>'Monthly Data'!BE14</f>
        <v>29209278.175967161</v>
      </c>
      <c r="E14" s="3">
        <f t="shared" ref="E14:F14" ca="1" si="11">E2</f>
        <v>690.78750000000002</v>
      </c>
      <c r="F14" s="3">
        <f t="shared" ca="1" si="11"/>
        <v>0</v>
      </c>
      <c r="G14" s="3">
        <f>'Monthly Data'!EM14</f>
        <v>0</v>
      </c>
      <c r="H14" s="3">
        <f>'Monthly Data'!ET14</f>
        <v>0</v>
      </c>
      <c r="I14" s="3">
        <f>'Monthly Data'!EG14</f>
        <v>0</v>
      </c>
      <c r="J14">
        <f>'Monthly Data'!EH14</f>
        <v>13</v>
      </c>
      <c r="K14" s="3">
        <f>'Monthly Data'!DQ14</f>
        <v>31</v>
      </c>
      <c r="M14" s="3">
        <f t="shared" si="1"/>
        <v>-5660024.0454457896</v>
      </c>
      <c r="N14" s="3">
        <f t="shared" ca="1" si="2"/>
        <v>9855049.3799528815</v>
      </c>
      <c r="O14" s="3">
        <f t="shared" ca="1" si="3"/>
        <v>0</v>
      </c>
      <c r="P14" s="3">
        <f t="shared" si="4"/>
        <v>0</v>
      </c>
      <c r="Q14" s="3">
        <f t="shared" si="5"/>
        <v>0</v>
      </c>
      <c r="R14" s="3">
        <f t="shared" si="6"/>
        <v>0</v>
      </c>
      <c r="S14" s="3">
        <f t="shared" si="7"/>
        <v>616122.65595693409</v>
      </c>
      <c r="T14" s="3">
        <f t="shared" si="8"/>
        <v>24925623.239568908</v>
      </c>
      <c r="U14" s="47">
        <f t="shared" ca="1" si="9"/>
        <v>29736771.230032936</v>
      </c>
      <c r="V14" s="47">
        <f>'Monthly Data'!BF14</f>
        <v>1012.7023076923077</v>
      </c>
      <c r="W14" s="47">
        <f>+'Monthly Data'!BG14</f>
        <v>0</v>
      </c>
      <c r="X14" s="47">
        <f t="shared" ca="1" si="10"/>
        <v>29737783.932340629</v>
      </c>
      <c r="AA14" t="s">
        <v>162</v>
      </c>
      <c r="AB14" s="3">
        <f>'WRZ Residential'!AC14</f>
        <v>47394.050458225698</v>
      </c>
      <c r="AC14" s="3">
        <f>'WRZ Residential'!AD14</f>
        <v>3356.22661701773</v>
      </c>
      <c r="AD14" s="235">
        <f>'WRZ Residential'!AE14</f>
        <v>14.121230735110201</v>
      </c>
      <c r="AE14" s="245">
        <f>'WRZ Residential'!AF14</f>
        <v>1.2609339545024401E-26</v>
      </c>
    </row>
    <row r="15" spans="1:31">
      <c r="A15" s="2">
        <f>'Monthly Data'!A15</f>
        <v>42767</v>
      </c>
      <c r="B15">
        <f>'Monthly Data'!B15</f>
        <v>2017</v>
      </c>
      <c r="C15">
        <f>'Monthly Data'!C15</f>
        <v>2</v>
      </c>
      <c r="D15" s="3">
        <f>'Monthly Data'!BE15</f>
        <v>25296050.784227852</v>
      </c>
      <c r="E15" s="3">
        <f t="shared" ref="E15:F15" ca="1" si="12">E3</f>
        <v>604.19541666666657</v>
      </c>
      <c r="F15" s="3">
        <f t="shared" ca="1" si="12"/>
        <v>0</v>
      </c>
      <c r="G15" s="3">
        <f>'Monthly Data'!EM15</f>
        <v>0</v>
      </c>
      <c r="H15" s="3">
        <f>'Monthly Data'!ET15</f>
        <v>0</v>
      </c>
      <c r="I15" s="3">
        <f>'Monthly Data'!EG15</f>
        <v>0</v>
      </c>
      <c r="J15">
        <f>'Monthly Data'!EH15</f>
        <v>14</v>
      </c>
      <c r="K15" s="3">
        <f>'Monthly Data'!DQ15</f>
        <v>28</v>
      </c>
      <c r="M15" s="3">
        <f t="shared" si="1"/>
        <v>-5660024.0454457896</v>
      </c>
      <c r="N15" s="3">
        <f t="shared" ca="1" si="2"/>
        <v>8619692.2590394374</v>
      </c>
      <c r="O15" s="3">
        <f t="shared" ca="1" si="3"/>
        <v>0</v>
      </c>
      <c r="P15" s="3">
        <f t="shared" si="4"/>
        <v>0</v>
      </c>
      <c r="Q15" s="3">
        <f t="shared" si="5"/>
        <v>0</v>
      </c>
      <c r="R15" s="3">
        <f t="shared" si="6"/>
        <v>0</v>
      </c>
      <c r="S15" s="3">
        <f t="shared" si="7"/>
        <v>663516.70641515974</v>
      </c>
      <c r="T15" s="3">
        <f t="shared" si="8"/>
        <v>22513466.15186869</v>
      </c>
      <c r="U15" s="47">
        <f t="shared" ca="1" si="9"/>
        <v>26136651.071877498</v>
      </c>
      <c r="V15" s="47">
        <f>'Monthly Data'!BF15</f>
        <v>2025.4046153846155</v>
      </c>
      <c r="W15" s="47">
        <f>+'Monthly Data'!BG15</f>
        <v>0</v>
      </c>
      <c r="X15" s="47">
        <f t="shared" ca="1" si="10"/>
        <v>26138676.476492882</v>
      </c>
      <c r="AA15" t="s">
        <v>305</v>
      </c>
      <c r="AB15" s="3">
        <f>'WRZ Residential'!AC15</f>
        <v>804052.36256673897</v>
      </c>
      <c r="AC15" s="3">
        <f>'WRZ Residential'!AD15</f>
        <v>80753.865361589502</v>
      </c>
      <c r="AD15" s="235">
        <f>'WRZ Residential'!AE15</f>
        <v>9.9568281835978407</v>
      </c>
      <c r="AE15" s="245">
        <f>'WRZ Residential'!AF15</f>
        <v>4.13772574058381E-17</v>
      </c>
    </row>
    <row r="16" spans="1:31">
      <c r="A16" s="2">
        <f>'Monthly Data'!A16</f>
        <v>42795</v>
      </c>
      <c r="B16">
        <f>'Monthly Data'!B16</f>
        <v>2017</v>
      </c>
      <c r="C16">
        <f>'Monthly Data'!C16</f>
        <v>3</v>
      </c>
      <c r="D16" s="3">
        <f>'Monthly Data'!BE16</f>
        <v>27398839.264766809</v>
      </c>
      <c r="E16" s="3">
        <f t="shared" ref="E16:F16" ca="1" si="13">E4</f>
        <v>534.21590579710141</v>
      </c>
      <c r="F16" s="3">
        <f t="shared" ca="1" si="13"/>
        <v>0</v>
      </c>
      <c r="G16" s="3">
        <f>'Monthly Data'!EM16</f>
        <v>0</v>
      </c>
      <c r="H16" s="3">
        <f>'Monthly Data'!ET16</f>
        <v>0</v>
      </c>
      <c r="I16" s="3">
        <f>'Monthly Data'!EG16</f>
        <v>1</v>
      </c>
      <c r="J16">
        <f>'Monthly Data'!EH16</f>
        <v>15</v>
      </c>
      <c r="K16" s="3">
        <f>'Monthly Data'!DQ16</f>
        <v>31</v>
      </c>
      <c r="M16" s="3">
        <f t="shared" si="1"/>
        <v>-5660024.0454457896</v>
      </c>
      <c r="N16" s="3">
        <f t="shared" ca="1" si="2"/>
        <v>7621336.7080132328</v>
      </c>
      <c r="O16" s="3">
        <f t="shared" ca="1" si="3"/>
        <v>0</v>
      </c>
      <c r="P16" s="3">
        <f t="shared" si="4"/>
        <v>0</v>
      </c>
      <c r="Q16" s="3">
        <f t="shared" si="5"/>
        <v>0</v>
      </c>
      <c r="R16" s="3">
        <f t="shared" si="6"/>
        <v>-701201.51304507197</v>
      </c>
      <c r="S16" s="3">
        <f t="shared" si="7"/>
        <v>710910.75687338552</v>
      </c>
      <c r="T16" s="3">
        <f t="shared" si="8"/>
        <v>24925623.239568908</v>
      </c>
      <c r="U16" s="47">
        <f t="shared" ca="1" si="9"/>
        <v>26896645.145964663</v>
      </c>
      <c r="V16" s="47">
        <f>'Monthly Data'!BF16</f>
        <v>3038.1069230769231</v>
      </c>
      <c r="W16" s="47">
        <f>+'Monthly Data'!BG16</f>
        <v>0</v>
      </c>
      <c r="X16" s="47">
        <f t="shared" ca="1" si="10"/>
        <v>26899683.252887741</v>
      </c>
      <c r="AD16" s="255"/>
      <c r="AE16" s="255"/>
    </row>
    <row r="17" spans="1:30">
      <c r="A17" s="2">
        <f>'Monthly Data'!A17</f>
        <v>42826</v>
      </c>
      <c r="B17">
        <f>'Monthly Data'!B17</f>
        <v>2017</v>
      </c>
      <c r="C17">
        <f>'Monthly Data'!C17</f>
        <v>4</v>
      </c>
      <c r="D17" s="3">
        <f>'Monthly Data'!BE17</f>
        <v>23562603.660563469</v>
      </c>
      <c r="E17" s="3">
        <f t="shared" ref="E17:F17" ca="1" si="14">E5</f>
        <v>352.92312500000003</v>
      </c>
      <c r="F17" s="3">
        <f t="shared" ca="1" si="14"/>
        <v>2.2025000000000015</v>
      </c>
      <c r="G17" s="3">
        <f>'Monthly Data'!EM17</f>
        <v>0</v>
      </c>
      <c r="H17" s="3">
        <f>'Monthly Data'!ET17</f>
        <v>0</v>
      </c>
      <c r="I17" s="3">
        <f>'Monthly Data'!EG17</f>
        <v>1</v>
      </c>
      <c r="J17">
        <f>'Monthly Data'!EH17</f>
        <v>16</v>
      </c>
      <c r="K17" s="3">
        <f>'Monthly Data'!DQ17</f>
        <v>30</v>
      </c>
      <c r="M17" s="3">
        <f t="shared" si="1"/>
        <v>-5660024.0454457896</v>
      </c>
      <c r="N17" s="3">
        <f t="shared" ca="1" si="2"/>
        <v>5034941.7501073536</v>
      </c>
      <c r="O17" s="3">
        <f t="shared" ca="1" si="3"/>
        <v>201258.63825014042</v>
      </c>
      <c r="P17" s="3">
        <f t="shared" si="4"/>
        <v>0</v>
      </c>
      <c r="Q17" s="3">
        <f t="shared" si="5"/>
        <v>0</v>
      </c>
      <c r="R17" s="3">
        <f t="shared" si="6"/>
        <v>-701201.51304507197</v>
      </c>
      <c r="S17" s="3">
        <f t="shared" si="7"/>
        <v>758304.80733161117</v>
      </c>
      <c r="T17" s="3">
        <f t="shared" si="8"/>
        <v>24121570.877002168</v>
      </c>
      <c r="U17" s="47">
        <f t="shared" ca="1" si="9"/>
        <v>23754850.514200412</v>
      </c>
      <c r="V17" s="47">
        <f>'Monthly Data'!BF17</f>
        <v>4050.8092307692309</v>
      </c>
      <c r="W17" s="47">
        <f>+'Monthly Data'!BG17</f>
        <v>0</v>
      </c>
      <c r="X17" s="47">
        <f t="shared" ca="1" si="10"/>
        <v>23758901.323431183</v>
      </c>
      <c r="AA17" t="s">
        <v>306</v>
      </c>
    </row>
    <row r="18" spans="1:30">
      <c r="A18" s="2">
        <f>'Monthly Data'!A18</f>
        <v>42856</v>
      </c>
      <c r="B18">
        <f>'Monthly Data'!B18</f>
        <v>2017</v>
      </c>
      <c r="C18">
        <f>'Monthly Data'!C18</f>
        <v>5</v>
      </c>
      <c r="D18" s="3">
        <f>'Monthly Data'!BE18</f>
        <v>24502885.271349702</v>
      </c>
      <c r="E18" s="3">
        <f t="shared" ref="E18:F18" ca="1" si="15">E6</f>
        <v>155.24720841877425</v>
      </c>
      <c r="F18" s="3">
        <f t="shared" ca="1" si="15"/>
        <v>48.940113636363641</v>
      </c>
      <c r="G18" s="3">
        <f>'Monthly Data'!EM18</f>
        <v>0</v>
      </c>
      <c r="H18" s="3">
        <f>'Monthly Data'!ET18</f>
        <v>0</v>
      </c>
      <c r="I18" s="3">
        <f>'Monthly Data'!EG18</f>
        <v>1</v>
      </c>
      <c r="J18">
        <f>'Monthly Data'!EH18</f>
        <v>17</v>
      </c>
      <c r="K18" s="3">
        <f>'Monthly Data'!DQ18</f>
        <v>31</v>
      </c>
      <c r="M18" s="3">
        <f t="shared" si="1"/>
        <v>-5660024.0454457896</v>
      </c>
      <c r="N18" s="3">
        <f t="shared" ca="1" si="2"/>
        <v>2214818.4572923756</v>
      </c>
      <c r="O18" s="3">
        <f t="shared" ca="1" si="3"/>
        <v>4472018.4455217561</v>
      </c>
      <c r="P18" s="3">
        <f t="shared" si="4"/>
        <v>0</v>
      </c>
      <c r="Q18" s="3">
        <f t="shared" si="5"/>
        <v>0</v>
      </c>
      <c r="R18" s="3">
        <f t="shared" si="6"/>
        <v>-701201.51304507197</v>
      </c>
      <c r="S18" s="3">
        <f t="shared" si="7"/>
        <v>805698.85778983682</v>
      </c>
      <c r="T18" s="3">
        <f t="shared" si="8"/>
        <v>24925623.239568908</v>
      </c>
      <c r="U18" s="47">
        <f t="shared" ca="1" si="9"/>
        <v>26056933.441682015</v>
      </c>
      <c r="V18" s="47">
        <f>'Monthly Data'!BF18</f>
        <v>5063.5115384615392</v>
      </c>
      <c r="W18" s="47">
        <f>+'Monthly Data'!BG18</f>
        <v>0</v>
      </c>
      <c r="X18" s="47">
        <f t="shared" ca="1" si="10"/>
        <v>26061996.953220475</v>
      </c>
      <c r="AA18" t="s">
        <v>307</v>
      </c>
      <c r="AB18">
        <v>88449289928544</v>
      </c>
      <c r="AC18" t="s">
        <v>308</v>
      </c>
      <c r="AD18" s="3">
        <v>888665.18044392206</v>
      </c>
    </row>
    <row r="19" spans="1:30">
      <c r="A19" s="2">
        <f>'Monthly Data'!A19</f>
        <v>42887</v>
      </c>
      <c r="B19">
        <f>'Monthly Data'!B19</f>
        <v>2017</v>
      </c>
      <c r="C19">
        <f>'Monthly Data'!C19</f>
        <v>6</v>
      </c>
      <c r="D19" s="3">
        <f>'Monthly Data'!BE19</f>
        <v>29320511.109340541</v>
      </c>
      <c r="E19" s="3">
        <f t="shared" ref="E19:F19" ca="1" si="16">E7</f>
        <v>30.273840492840492</v>
      </c>
      <c r="F19" s="3">
        <f t="shared" ca="1" si="16"/>
        <v>144.91160087738351</v>
      </c>
      <c r="G19" s="3">
        <f>'Monthly Data'!EM19</f>
        <v>0</v>
      </c>
      <c r="H19" s="3">
        <f>'Monthly Data'!ET19</f>
        <v>0</v>
      </c>
      <c r="I19" s="3">
        <f>'Monthly Data'!EG19</f>
        <v>0</v>
      </c>
      <c r="J19">
        <f>'Monthly Data'!EH19</f>
        <v>18</v>
      </c>
      <c r="K19" s="3">
        <f>'Monthly Data'!DQ19</f>
        <v>30</v>
      </c>
      <c r="M19" s="3">
        <f t="shared" si="1"/>
        <v>-5660024.0454457896</v>
      </c>
      <c r="N19" s="3">
        <f t="shared" ca="1" si="2"/>
        <v>431898.65621158475</v>
      </c>
      <c r="O19" s="3">
        <f t="shared" ca="1" si="3"/>
        <v>13241639.709071528</v>
      </c>
      <c r="P19" s="3">
        <f t="shared" si="4"/>
        <v>0</v>
      </c>
      <c r="Q19" s="3">
        <f t="shared" si="5"/>
        <v>0</v>
      </c>
      <c r="R19" s="3">
        <f t="shared" si="6"/>
        <v>0</v>
      </c>
      <c r="S19" s="3">
        <f t="shared" si="7"/>
        <v>853092.90824806259</v>
      </c>
      <c r="T19" s="3">
        <f t="shared" si="8"/>
        <v>24121570.877002168</v>
      </c>
      <c r="U19" s="47">
        <f t="shared" ca="1" si="9"/>
        <v>32988178.105087556</v>
      </c>
      <c r="V19" s="47">
        <f>'Monthly Data'!BF19</f>
        <v>6076.2138461538461</v>
      </c>
      <c r="W19" s="47">
        <f>+'Monthly Data'!BG19</f>
        <v>0</v>
      </c>
      <c r="X19" s="47">
        <f t="shared" ca="1" si="10"/>
        <v>32994254.31893371</v>
      </c>
      <c r="AA19" t="s">
        <v>309</v>
      </c>
      <c r="AB19" s="99">
        <v>0.98194094280728905</v>
      </c>
      <c r="AC19" t="s">
        <v>310</v>
      </c>
      <c r="AD19" s="99">
        <v>0.980812251732745</v>
      </c>
    </row>
    <row r="20" spans="1:30">
      <c r="A20" s="2">
        <f>'Monthly Data'!A20</f>
        <v>42917</v>
      </c>
      <c r="B20">
        <f>'Monthly Data'!B20</f>
        <v>2017</v>
      </c>
      <c r="C20">
        <f>'Monthly Data'!C20</f>
        <v>7</v>
      </c>
      <c r="D20" s="3">
        <f>'Monthly Data'!BE20</f>
        <v>36406078.266357593</v>
      </c>
      <c r="E20" s="3">
        <f t="shared" ref="E20:F20" ca="1" si="17">E8</f>
        <v>1.0845833333333317</v>
      </c>
      <c r="F20" s="3">
        <f t="shared" ca="1" si="17"/>
        <v>242.72508692061183</v>
      </c>
      <c r="G20" s="3">
        <f>'Monthly Data'!EM20</f>
        <v>0</v>
      </c>
      <c r="H20" s="3">
        <f>'Monthly Data'!ET20</f>
        <v>0</v>
      </c>
      <c r="I20" s="3">
        <f>'Monthly Data'!EG20</f>
        <v>0</v>
      </c>
      <c r="J20">
        <f>'Monthly Data'!EH20</f>
        <v>19</v>
      </c>
      <c r="K20" s="3">
        <f>'Monthly Data'!DQ20</f>
        <v>31</v>
      </c>
      <c r="M20" s="3">
        <f t="shared" si="1"/>
        <v>-5660024.0454457896</v>
      </c>
      <c r="N20" s="3">
        <f t="shared" ca="1" si="2"/>
        <v>15473.097452796814</v>
      </c>
      <c r="O20" s="3">
        <f t="shared" ca="1" si="3"/>
        <v>22179577.962673906</v>
      </c>
      <c r="P20" s="3">
        <f t="shared" si="4"/>
        <v>0</v>
      </c>
      <c r="Q20" s="3">
        <f t="shared" si="5"/>
        <v>0</v>
      </c>
      <c r="R20" s="3">
        <f t="shared" si="6"/>
        <v>0</v>
      </c>
      <c r="S20" s="3">
        <f t="shared" si="7"/>
        <v>900486.95870628825</v>
      </c>
      <c r="T20" s="3">
        <f t="shared" si="8"/>
        <v>24925623.239568908</v>
      </c>
      <c r="U20" s="47">
        <f t="shared" ca="1" si="9"/>
        <v>42361137.212956116</v>
      </c>
      <c r="V20" s="47">
        <f>'Monthly Data'!BF20</f>
        <v>7088.9161538461531</v>
      </c>
      <c r="W20" s="47">
        <f>+'Monthly Data'!BG20</f>
        <v>0</v>
      </c>
      <c r="X20" s="47">
        <f t="shared" ca="1" si="10"/>
        <v>42368226.129109964</v>
      </c>
      <c r="AA20" t="s">
        <v>311</v>
      </c>
      <c r="AB20" s="235">
        <v>588.61723381153695</v>
      </c>
      <c r="AC20" t="s">
        <v>312</v>
      </c>
      <c r="AD20" s="99">
        <v>3.32231870968886E-85</v>
      </c>
    </row>
    <row r="21" spans="1:30">
      <c r="A21" s="2">
        <f>'Monthly Data'!A21</f>
        <v>42948</v>
      </c>
      <c r="B21">
        <f>'Monthly Data'!B21</f>
        <v>2017</v>
      </c>
      <c r="C21">
        <f>'Monthly Data'!C21</f>
        <v>8</v>
      </c>
      <c r="D21" s="3">
        <f>'Monthly Data'!BE21</f>
        <v>33695531.342850439</v>
      </c>
      <c r="E21" s="3">
        <f t="shared" ref="E21:F21" ca="1" si="18">E9</f>
        <v>6.4245833333333335</v>
      </c>
      <c r="F21" s="3">
        <f t="shared" ca="1" si="18"/>
        <v>214.02558794466404</v>
      </c>
      <c r="G21" s="3">
        <f>'Monthly Data'!EM21</f>
        <v>0</v>
      </c>
      <c r="H21" s="3">
        <f>'Monthly Data'!ET21</f>
        <v>0</v>
      </c>
      <c r="I21" s="3">
        <f>'Monthly Data'!EG21</f>
        <v>0</v>
      </c>
      <c r="J21">
        <f>'Monthly Data'!EH21</f>
        <v>20</v>
      </c>
      <c r="K21" s="3">
        <f>'Monthly Data'!DQ21</f>
        <v>31</v>
      </c>
      <c r="M21" s="3">
        <f t="shared" si="1"/>
        <v>-5660024.0454457896</v>
      </c>
      <c r="N21" s="3">
        <f t="shared" ca="1" si="2"/>
        <v>91655.662552698588</v>
      </c>
      <c r="O21" s="3">
        <f t="shared" ca="1" si="3"/>
        <v>19557093.475790568</v>
      </c>
      <c r="P21" s="3">
        <f t="shared" si="4"/>
        <v>0</v>
      </c>
      <c r="Q21" s="3">
        <f t="shared" si="5"/>
        <v>0</v>
      </c>
      <c r="R21" s="3">
        <f t="shared" si="6"/>
        <v>0</v>
      </c>
      <c r="S21" s="3">
        <f t="shared" si="7"/>
        <v>947881.00916451402</v>
      </c>
      <c r="T21" s="3">
        <f t="shared" si="8"/>
        <v>24925623.239568908</v>
      </c>
      <c r="U21" s="47">
        <f t="shared" ca="1" si="9"/>
        <v>39862229.341630898</v>
      </c>
      <c r="V21" s="47">
        <f>'Monthly Data'!BF21</f>
        <v>8101.6184615384618</v>
      </c>
      <c r="W21" s="47">
        <f>+'Monthly Data'!BG21</f>
        <v>0</v>
      </c>
      <c r="X21" s="47">
        <f t="shared" ca="1" si="10"/>
        <v>39870330.96009244</v>
      </c>
      <c r="AA21" t="s">
        <v>313</v>
      </c>
      <c r="AB21" s="99">
        <v>-2.1215046071531098E-2</v>
      </c>
      <c r="AC21" t="s">
        <v>314</v>
      </c>
      <c r="AD21" s="99">
        <v>2.0350659603210701</v>
      </c>
    </row>
    <row r="22" spans="1:30">
      <c r="A22" s="2">
        <f>'Monthly Data'!A22</f>
        <v>42979</v>
      </c>
      <c r="B22">
        <f>'Monthly Data'!B22</f>
        <v>2017</v>
      </c>
      <c r="C22">
        <f>'Monthly Data'!C22</f>
        <v>9</v>
      </c>
      <c r="D22" s="3">
        <f>'Monthly Data'!BE22</f>
        <v>31233762.674260356</v>
      </c>
      <c r="E22" s="3">
        <f t="shared" ref="E22:F22" ca="1" si="19">E10</f>
        <v>54.412952898550728</v>
      </c>
      <c r="F22" s="3">
        <f t="shared" ca="1" si="19"/>
        <v>102.40708333333332</v>
      </c>
      <c r="G22" s="3">
        <f>'Monthly Data'!EM22</f>
        <v>0</v>
      </c>
      <c r="H22" s="3">
        <f>'Monthly Data'!ET22</f>
        <v>0</v>
      </c>
      <c r="I22" s="3">
        <f>'Monthly Data'!EG22</f>
        <v>1</v>
      </c>
      <c r="J22">
        <f>'Monthly Data'!EH22</f>
        <v>21</v>
      </c>
      <c r="K22" s="3">
        <f>'Monthly Data'!DQ22</f>
        <v>30</v>
      </c>
      <c r="M22" s="3">
        <f t="shared" si="1"/>
        <v>-5660024.0454457896</v>
      </c>
      <c r="N22" s="3">
        <f t="shared" ca="1" si="2"/>
        <v>776276.8401632451</v>
      </c>
      <c r="O22" s="3">
        <f t="shared" ca="1" si="3"/>
        <v>9357689.0528196599</v>
      </c>
      <c r="P22" s="3">
        <f t="shared" si="4"/>
        <v>0</v>
      </c>
      <c r="Q22" s="3">
        <f t="shared" si="5"/>
        <v>0</v>
      </c>
      <c r="R22" s="3">
        <f t="shared" si="6"/>
        <v>-701201.51304507197</v>
      </c>
      <c r="S22" s="3">
        <f t="shared" si="7"/>
        <v>995275.05962273967</v>
      </c>
      <c r="T22" s="3">
        <f t="shared" si="8"/>
        <v>24121570.877002168</v>
      </c>
      <c r="U22" s="47">
        <f t="shared" ca="1" si="9"/>
        <v>28889586.27111695</v>
      </c>
      <c r="V22" s="47">
        <f>'Monthly Data'!BF22</f>
        <v>9114.3207692307697</v>
      </c>
      <c r="W22" s="47">
        <f>+'Monthly Data'!BG22</f>
        <v>0</v>
      </c>
      <c r="X22" s="47">
        <f t="shared" ca="1" si="10"/>
        <v>28898700.591886181</v>
      </c>
    </row>
    <row r="23" spans="1:30">
      <c r="A23" s="2">
        <f>'Monthly Data'!A23</f>
        <v>43009</v>
      </c>
      <c r="B23">
        <f>'Monthly Data'!B23</f>
        <v>2017</v>
      </c>
      <c r="C23">
        <f>'Monthly Data'!C23</f>
        <v>10</v>
      </c>
      <c r="D23" s="3">
        <f>'Monthly Data'!BE23</f>
        <v>25389882.474390097</v>
      </c>
      <c r="E23" s="3">
        <f t="shared" ref="E23:F23" ca="1" si="20">E11</f>
        <v>232.21431159420285</v>
      </c>
      <c r="F23" s="3">
        <f t="shared" ca="1" si="20"/>
        <v>19.741250000000004</v>
      </c>
      <c r="G23" s="3">
        <f>'Monthly Data'!EM23</f>
        <v>0</v>
      </c>
      <c r="H23" s="3">
        <f>'Monthly Data'!ET23</f>
        <v>0</v>
      </c>
      <c r="I23" s="3">
        <f>'Monthly Data'!EG23</f>
        <v>1</v>
      </c>
      <c r="J23">
        <f>'Monthly Data'!EH23</f>
        <v>22</v>
      </c>
      <c r="K23" s="3">
        <f>'Monthly Data'!DQ23</f>
        <v>31</v>
      </c>
      <c r="M23" s="3">
        <f t="shared" si="1"/>
        <v>-5660024.0454457896</v>
      </c>
      <c r="N23" s="3">
        <f t="shared" ca="1" si="2"/>
        <v>3312861.7809277582</v>
      </c>
      <c r="O23" s="3">
        <f t="shared" ca="1" si="3"/>
        <v>1803903.3336461217</v>
      </c>
      <c r="P23" s="3">
        <f t="shared" si="4"/>
        <v>0</v>
      </c>
      <c r="Q23" s="3">
        <f t="shared" si="5"/>
        <v>0</v>
      </c>
      <c r="R23" s="3">
        <f t="shared" si="6"/>
        <v>-701201.51304507197</v>
      </c>
      <c r="S23" s="3">
        <f t="shared" si="7"/>
        <v>1042669.1100809653</v>
      </c>
      <c r="T23" s="3">
        <f t="shared" si="8"/>
        <v>24925623.239568908</v>
      </c>
      <c r="U23" s="47">
        <f t="shared" ca="1" si="9"/>
        <v>24723831.905732892</v>
      </c>
      <c r="V23" s="47">
        <f>'Monthly Data'!BF23</f>
        <v>10127.023076923078</v>
      </c>
      <c r="W23" s="47">
        <f>+'Monthly Data'!BG23</f>
        <v>0</v>
      </c>
      <c r="X23" s="47">
        <f t="shared" ca="1" si="10"/>
        <v>24733958.928809814</v>
      </c>
      <c r="AA23" t="s">
        <v>315</v>
      </c>
    </row>
    <row r="24" spans="1:30">
      <c r="A24" s="2">
        <f>'Monthly Data'!A24</f>
        <v>43040</v>
      </c>
      <c r="B24">
        <f>'Monthly Data'!B24</f>
        <v>2017</v>
      </c>
      <c r="C24">
        <f>'Monthly Data'!C24</f>
        <v>11</v>
      </c>
      <c r="D24" s="3">
        <f>'Monthly Data'!BE24</f>
        <v>26427042.049821343</v>
      </c>
      <c r="E24" s="3">
        <f t="shared" ref="E24:F24" ca="1" si="21">E12</f>
        <v>435.51408055712398</v>
      </c>
      <c r="F24" s="3">
        <f t="shared" ca="1" si="21"/>
        <v>0.78124999999999944</v>
      </c>
      <c r="G24" s="3">
        <f>'Monthly Data'!EM24</f>
        <v>0</v>
      </c>
      <c r="H24" s="3">
        <f>'Monthly Data'!ET24</f>
        <v>0</v>
      </c>
      <c r="I24" s="3">
        <f>'Monthly Data'!EG24</f>
        <v>1</v>
      </c>
      <c r="J24">
        <f>'Monthly Data'!EH24</f>
        <v>23</v>
      </c>
      <c r="K24" s="3">
        <f>'Monthly Data'!DQ24</f>
        <v>30</v>
      </c>
      <c r="M24" s="3">
        <f t="shared" si="1"/>
        <v>-5660024.0454457896</v>
      </c>
      <c r="N24" s="3">
        <f t="shared" ca="1" si="2"/>
        <v>6213217.1898814524</v>
      </c>
      <c r="O24" s="3">
        <f t="shared" ca="1" si="3"/>
        <v>71388.563510974796</v>
      </c>
      <c r="P24" s="3">
        <f t="shared" si="4"/>
        <v>0</v>
      </c>
      <c r="Q24" s="3">
        <f t="shared" si="5"/>
        <v>0</v>
      </c>
      <c r="R24" s="3">
        <f t="shared" si="6"/>
        <v>-701201.51304507197</v>
      </c>
      <c r="S24" s="3">
        <f t="shared" si="7"/>
        <v>1090063.160539191</v>
      </c>
      <c r="T24" s="3">
        <f t="shared" si="8"/>
        <v>24121570.877002168</v>
      </c>
      <c r="U24" s="47">
        <f t="shared" ca="1" si="9"/>
        <v>25135014.232442927</v>
      </c>
      <c r="V24" s="47">
        <f>'Monthly Data'!BF24</f>
        <v>11139.725384615384</v>
      </c>
      <c r="W24" s="47">
        <f>+'Monthly Data'!BG24</f>
        <v>0</v>
      </c>
      <c r="X24" s="47">
        <f t="shared" ca="1" si="10"/>
        <v>25146153.957827542</v>
      </c>
      <c r="AA24" t="s">
        <v>316</v>
      </c>
      <c r="AB24" s="3">
        <v>32438040.771402001</v>
      </c>
      <c r="AC24" t="s">
        <v>317</v>
      </c>
      <c r="AD24" s="3">
        <v>6404571.7979269503</v>
      </c>
    </row>
    <row r="25" spans="1:30">
      <c r="A25" s="2">
        <f>'Monthly Data'!A25</f>
        <v>43070</v>
      </c>
      <c r="B25">
        <f>'Monthly Data'!B25</f>
        <v>2017</v>
      </c>
      <c r="C25">
        <f>'Monthly Data'!C25</f>
        <v>12</v>
      </c>
      <c r="D25" s="3">
        <f>'Monthly Data'!BE25</f>
        <v>32215739.695158463</v>
      </c>
      <c r="E25" s="3">
        <f t="shared" ref="E25:F25" ca="1" si="22">E13</f>
        <v>602.38541666666674</v>
      </c>
      <c r="F25" s="3">
        <f t="shared" ca="1" si="22"/>
        <v>0</v>
      </c>
      <c r="G25" s="3">
        <f>'Monthly Data'!EM25</f>
        <v>0</v>
      </c>
      <c r="H25" s="3">
        <f>'Monthly Data'!ET25</f>
        <v>0</v>
      </c>
      <c r="I25" s="3">
        <f>'Monthly Data'!EG25</f>
        <v>0</v>
      </c>
      <c r="J25">
        <f>'Monthly Data'!EH25</f>
        <v>24</v>
      </c>
      <c r="K25" s="3">
        <f>'Monthly Data'!DQ25</f>
        <v>31</v>
      </c>
      <c r="M25" s="3">
        <f t="shared" si="1"/>
        <v>-5660024.0454457896</v>
      </c>
      <c r="N25" s="3">
        <f t="shared" ca="1" si="2"/>
        <v>8593870.0787340421</v>
      </c>
      <c r="O25" s="3">
        <f t="shared" ca="1" si="3"/>
        <v>0</v>
      </c>
      <c r="P25" s="3">
        <f t="shared" si="4"/>
        <v>0</v>
      </c>
      <c r="Q25" s="3">
        <f t="shared" si="5"/>
        <v>0</v>
      </c>
      <c r="R25" s="3">
        <f t="shared" si="6"/>
        <v>0</v>
      </c>
      <c r="S25" s="3">
        <f t="shared" si="7"/>
        <v>1137457.2109974166</v>
      </c>
      <c r="T25" s="3">
        <f t="shared" si="8"/>
        <v>24925623.239568908</v>
      </c>
      <c r="U25" s="47">
        <f t="shared" ca="1" si="9"/>
        <v>28996926.483854577</v>
      </c>
      <c r="V25" s="47">
        <f>'Monthly Data'!BF25</f>
        <v>12152.427692307692</v>
      </c>
      <c r="W25" s="47">
        <f>+'Monthly Data'!BG25</f>
        <v>0</v>
      </c>
      <c r="X25" s="47">
        <f t="shared" ca="1" si="10"/>
        <v>29009078.911546886</v>
      </c>
    </row>
    <row r="26" spans="1:30">
      <c r="A26" s="2">
        <f>'Monthly Data'!A26</f>
        <v>43101</v>
      </c>
      <c r="B26">
        <f>'Monthly Data'!B26</f>
        <v>2018</v>
      </c>
      <c r="C26">
        <f>'Monthly Data'!C26</f>
        <v>1</v>
      </c>
      <c r="D26" s="3">
        <f>'Monthly Data'!BE26</f>
        <v>31275860.7753461</v>
      </c>
      <c r="E26" s="3">
        <f t="shared" ref="E26:F26" ca="1" si="23">E14</f>
        <v>690.78750000000002</v>
      </c>
      <c r="F26" s="3">
        <f t="shared" ca="1" si="23"/>
        <v>0</v>
      </c>
      <c r="G26" s="3">
        <f>'Monthly Data'!EM26</f>
        <v>0</v>
      </c>
      <c r="H26" s="3">
        <f>'Monthly Data'!ET26</f>
        <v>0</v>
      </c>
      <c r="I26" s="3">
        <f>'Monthly Data'!EG26</f>
        <v>0</v>
      </c>
      <c r="J26">
        <f>'Monthly Data'!EH26</f>
        <v>25</v>
      </c>
      <c r="K26" s="3">
        <f>'Monthly Data'!DQ26</f>
        <v>31</v>
      </c>
      <c r="M26" s="3">
        <f t="shared" si="1"/>
        <v>-5660024.0454457896</v>
      </c>
      <c r="N26" s="3">
        <f t="shared" ca="1" si="2"/>
        <v>9855049.3799528815</v>
      </c>
      <c r="O26" s="3">
        <f t="shared" ca="1" si="3"/>
        <v>0</v>
      </c>
      <c r="P26" s="3">
        <f t="shared" si="4"/>
        <v>0</v>
      </c>
      <c r="Q26" s="3">
        <f t="shared" si="5"/>
        <v>0</v>
      </c>
      <c r="R26" s="3">
        <f t="shared" si="6"/>
        <v>0</v>
      </c>
      <c r="S26" s="3">
        <f t="shared" si="7"/>
        <v>1184851.2614556425</v>
      </c>
      <c r="T26" s="3">
        <f t="shared" si="8"/>
        <v>24925623.239568908</v>
      </c>
      <c r="U26" s="47">
        <f t="shared" ca="1" si="9"/>
        <v>30305499.835531645</v>
      </c>
      <c r="V26" s="47">
        <f>'Monthly Data'!BF26</f>
        <v>15248.211666666666</v>
      </c>
      <c r="W26" s="47">
        <f>+'Monthly Data'!BG26</f>
        <v>0</v>
      </c>
      <c r="X26" s="47">
        <f t="shared" ca="1" si="10"/>
        <v>30320748.04719831</v>
      </c>
    </row>
    <row r="27" spans="1:30">
      <c r="A27" s="2">
        <f>'Monthly Data'!A27</f>
        <v>43132</v>
      </c>
      <c r="B27">
        <f>'Monthly Data'!B27</f>
        <v>2018</v>
      </c>
      <c r="C27">
        <f>'Monthly Data'!C27</f>
        <v>2</v>
      </c>
      <c r="D27" s="3">
        <f>'Monthly Data'!BE27</f>
        <v>26429364.692639478</v>
      </c>
      <c r="E27" s="3">
        <f t="shared" ref="E27:F27" ca="1" si="24">E15</f>
        <v>604.19541666666657</v>
      </c>
      <c r="F27" s="3">
        <f t="shared" ca="1" si="24"/>
        <v>0</v>
      </c>
      <c r="G27" s="3">
        <f>'Monthly Data'!EM27</f>
        <v>0</v>
      </c>
      <c r="H27" s="3">
        <f>'Monthly Data'!ET27</f>
        <v>0</v>
      </c>
      <c r="I27" s="3">
        <f>'Monthly Data'!EG27</f>
        <v>0</v>
      </c>
      <c r="J27">
        <f>'Monthly Data'!EH27</f>
        <v>26</v>
      </c>
      <c r="K27" s="3">
        <f>'Monthly Data'!DQ27</f>
        <v>28</v>
      </c>
      <c r="M27" s="3">
        <f t="shared" si="1"/>
        <v>-5660024.0454457896</v>
      </c>
      <c r="N27" s="3">
        <f t="shared" ca="1" si="2"/>
        <v>8619692.2590394374</v>
      </c>
      <c r="O27" s="3">
        <f t="shared" ca="1" si="3"/>
        <v>0</v>
      </c>
      <c r="P27" s="3">
        <f t="shared" si="4"/>
        <v>0</v>
      </c>
      <c r="Q27" s="3">
        <f t="shared" si="5"/>
        <v>0</v>
      </c>
      <c r="R27" s="3">
        <f t="shared" si="6"/>
        <v>0</v>
      </c>
      <c r="S27" s="3">
        <f t="shared" si="7"/>
        <v>1232245.3119138682</v>
      </c>
      <c r="T27" s="3">
        <f t="shared" si="8"/>
        <v>22513466.15186869</v>
      </c>
      <c r="U27" s="47">
        <f t="shared" ca="1" si="9"/>
        <v>26705379.677376207</v>
      </c>
      <c r="V27" s="47">
        <f>'Monthly Data'!BF27</f>
        <v>17331.293333333335</v>
      </c>
      <c r="W27" s="47">
        <f>+'Monthly Data'!BG27</f>
        <v>0</v>
      </c>
      <c r="X27" s="47">
        <f t="shared" ca="1" si="10"/>
        <v>26722710.97070954</v>
      </c>
    </row>
    <row r="28" spans="1:30">
      <c r="A28" s="2">
        <f>'Monthly Data'!A28</f>
        <v>43160</v>
      </c>
      <c r="B28">
        <f>'Monthly Data'!B28</f>
        <v>2018</v>
      </c>
      <c r="C28">
        <f>'Monthly Data'!C28</f>
        <v>3</v>
      </c>
      <c r="D28" s="3">
        <f>'Monthly Data'!BE28</f>
        <v>27404396.138697155</v>
      </c>
      <c r="E28" s="3">
        <f t="shared" ref="E28:F28" ca="1" si="25">E16</f>
        <v>534.21590579710141</v>
      </c>
      <c r="F28" s="3">
        <f t="shared" ca="1" si="25"/>
        <v>0</v>
      </c>
      <c r="G28" s="3">
        <f>'Monthly Data'!EM28</f>
        <v>0</v>
      </c>
      <c r="H28" s="3">
        <f>'Monthly Data'!ET28</f>
        <v>0</v>
      </c>
      <c r="I28" s="3">
        <f>'Monthly Data'!EG28</f>
        <v>1</v>
      </c>
      <c r="J28">
        <f>'Monthly Data'!EH28</f>
        <v>27</v>
      </c>
      <c r="K28" s="3">
        <f>'Monthly Data'!DQ28</f>
        <v>31</v>
      </c>
      <c r="M28" s="3">
        <f t="shared" si="1"/>
        <v>-5660024.0454457896</v>
      </c>
      <c r="N28" s="3">
        <f t="shared" ca="1" si="2"/>
        <v>7621336.7080132328</v>
      </c>
      <c r="O28" s="3">
        <f t="shared" ca="1" si="3"/>
        <v>0</v>
      </c>
      <c r="P28" s="3">
        <f t="shared" si="4"/>
        <v>0</v>
      </c>
      <c r="Q28" s="3">
        <f t="shared" si="5"/>
        <v>0</v>
      </c>
      <c r="R28" s="3">
        <f t="shared" si="6"/>
        <v>-701201.51304507197</v>
      </c>
      <c r="S28" s="3">
        <f t="shared" si="7"/>
        <v>1279639.3623720938</v>
      </c>
      <c r="T28" s="3">
        <f t="shared" si="8"/>
        <v>24925623.239568908</v>
      </c>
      <c r="U28" s="47">
        <f t="shared" ca="1" si="9"/>
        <v>27465373.751463372</v>
      </c>
      <c r="V28" s="47">
        <f>'Monthly Data'!BF28</f>
        <v>19414.375</v>
      </c>
      <c r="W28" s="47">
        <f>+'Monthly Data'!BG28</f>
        <v>0</v>
      </c>
      <c r="X28" s="47">
        <f t="shared" ca="1" si="10"/>
        <v>27484788.126463372</v>
      </c>
    </row>
    <row r="29" spans="1:30">
      <c r="A29" s="2">
        <f>'Monthly Data'!A29</f>
        <v>43191</v>
      </c>
      <c r="B29">
        <f>'Monthly Data'!B29</f>
        <v>2018</v>
      </c>
      <c r="C29">
        <f>'Monthly Data'!C29</f>
        <v>4</v>
      </c>
      <c r="D29" s="3">
        <f>'Monthly Data'!BE29</f>
        <v>25874137.348979145</v>
      </c>
      <c r="E29" s="3">
        <f t="shared" ref="E29:F29" ca="1" si="26">E17</f>
        <v>352.92312500000003</v>
      </c>
      <c r="F29" s="3">
        <f t="shared" ca="1" si="26"/>
        <v>2.2025000000000015</v>
      </c>
      <c r="G29" s="3">
        <f>'Monthly Data'!EM29</f>
        <v>0</v>
      </c>
      <c r="H29" s="3">
        <f>'Monthly Data'!ET29</f>
        <v>0</v>
      </c>
      <c r="I29" s="3">
        <f>'Monthly Data'!EG29</f>
        <v>1</v>
      </c>
      <c r="J29">
        <f>'Monthly Data'!EH29</f>
        <v>28</v>
      </c>
      <c r="K29" s="3">
        <f>'Monthly Data'!DQ29</f>
        <v>30</v>
      </c>
      <c r="M29" s="3">
        <f t="shared" si="1"/>
        <v>-5660024.0454457896</v>
      </c>
      <c r="N29" s="3">
        <f t="shared" ca="1" si="2"/>
        <v>5034941.7501073536</v>
      </c>
      <c r="O29" s="3">
        <f t="shared" ca="1" si="3"/>
        <v>201258.63825014042</v>
      </c>
      <c r="P29" s="3">
        <f t="shared" si="4"/>
        <v>0</v>
      </c>
      <c r="Q29" s="3">
        <f t="shared" si="5"/>
        <v>0</v>
      </c>
      <c r="R29" s="3">
        <f t="shared" si="6"/>
        <v>-701201.51304507197</v>
      </c>
      <c r="S29" s="3">
        <f t="shared" si="7"/>
        <v>1327033.4128303195</v>
      </c>
      <c r="T29" s="3">
        <f t="shared" si="8"/>
        <v>24121570.877002168</v>
      </c>
      <c r="U29" s="47">
        <f t="shared" ca="1" si="9"/>
        <v>24323579.119699121</v>
      </c>
      <c r="V29" s="47">
        <f>'Monthly Data'!BF29</f>
        <v>21497.456666666669</v>
      </c>
      <c r="W29" s="47">
        <f>+'Monthly Data'!BG29</f>
        <v>0</v>
      </c>
      <c r="X29" s="47">
        <f t="shared" ca="1" si="10"/>
        <v>24345076.576365788</v>
      </c>
    </row>
    <row r="30" spans="1:30">
      <c r="A30" s="2">
        <f>'Monthly Data'!A30</f>
        <v>43221</v>
      </c>
      <c r="B30">
        <f>'Monthly Data'!B30</f>
        <v>2018</v>
      </c>
      <c r="C30">
        <f>'Monthly Data'!C30</f>
        <v>5</v>
      </c>
      <c r="D30" s="3">
        <f>'Monthly Data'!BE30</f>
        <v>26901859.850431498</v>
      </c>
      <c r="E30" s="3">
        <f t="shared" ref="E30:F30" ca="1" si="27">E18</f>
        <v>155.24720841877425</v>
      </c>
      <c r="F30" s="3">
        <f t="shared" ca="1" si="27"/>
        <v>48.940113636363641</v>
      </c>
      <c r="G30" s="3">
        <f>'Monthly Data'!EM30</f>
        <v>0</v>
      </c>
      <c r="H30" s="3">
        <f>'Monthly Data'!ET30</f>
        <v>0</v>
      </c>
      <c r="I30" s="3">
        <f>'Monthly Data'!EG30</f>
        <v>1</v>
      </c>
      <c r="J30">
        <f>'Monthly Data'!EH30</f>
        <v>29</v>
      </c>
      <c r="K30" s="3">
        <f>'Monthly Data'!DQ30</f>
        <v>31</v>
      </c>
      <c r="M30" s="3">
        <f t="shared" si="1"/>
        <v>-5660024.0454457896</v>
      </c>
      <c r="N30" s="3">
        <f t="shared" ca="1" si="2"/>
        <v>2214818.4572923756</v>
      </c>
      <c r="O30" s="3">
        <f t="shared" ca="1" si="3"/>
        <v>4472018.4455217561</v>
      </c>
      <c r="P30" s="3">
        <f t="shared" si="4"/>
        <v>0</v>
      </c>
      <c r="Q30" s="3">
        <f t="shared" si="5"/>
        <v>0</v>
      </c>
      <c r="R30" s="3">
        <f t="shared" si="6"/>
        <v>-701201.51304507197</v>
      </c>
      <c r="S30" s="3">
        <f t="shared" si="7"/>
        <v>1374427.4632885451</v>
      </c>
      <c r="T30" s="3">
        <f t="shared" si="8"/>
        <v>24925623.239568908</v>
      </c>
      <c r="U30" s="47">
        <f t="shared" ca="1" si="9"/>
        <v>26625662.047180723</v>
      </c>
      <c r="V30" s="47">
        <f>'Monthly Data'!BF30</f>
        <v>23580.538333333338</v>
      </c>
      <c r="W30" s="47">
        <f>+'Monthly Data'!BG30</f>
        <v>0</v>
      </c>
      <c r="X30" s="47">
        <f t="shared" ca="1" si="10"/>
        <v>26649242.585514057</v>
      </c>
    </row>
    <row r="31" spans="1:30">
      <c r="A31" s="2">
        <f>'Monthly Data'!A31</f>
        <v>43252</v>
      </c>
      <c r="B31">
        <f>'Monthly Data'!B31</f>
        <v>2018</v>
      </c>
      <c r="C31">
        <f>'Monthly Data'!C31</f>
        <v>6</v>
      </c>
      <c r="D31" s="3">
        <f>'Monthly Data'!BE31</f>
        <v>31951168.759527341</v>
      </c>
      <c r="E31" s="3">
        <f t="shared" ref="E31:F31" ca="1" si="28">E19</f>
        <v>30.273840492840492</v>
      </c>
      <c r="F31" s="3">
        <f t="shared" ca="1" si="28"/>
        <v>144.91160087738351</v>
      </c>
      <c r="G31" s="3">
        <f>'Monthly Data'!EM31</f>
        <v>0</v>
      </c>
      <c r="H31" s="3">
        <f>'Monthly Data'!ET31</f>
        <v>0</v>
      </c>
      <c r="I31" s="3">
        <f>'Monthly Data'!EG31</f>
        <v>0</v>
      </c>
      <c r="J31">
        <f>'Monthly Data'!EH31</f>
        <v>30</v>
      </c>
      <c r="K31" s="3">
        <f>'Monthly Data'!DQ31</f>
        <v>30</v>
      </c>
      <c r="M31" s="3">
        <f t="shared" si="1"/>
        <v>-5660024.0454457896</v>
      </c>
      <c r="N31" s="3">
        <f t="shared" ca="1" si="2"/>
        <v>431898.65621158475</v>
      </c>
      <c r="O31" s="3">
        <f t="shared" ca="1" si="3"/>
        <v>13241639.709071528</v>
      </c>
      <c r="P31" s="3">
        <f t="shared" si="4"/>
        <v>0</v>
      </c>
      <c r="Q31" s="3">
        <f t="shared" si="5"/>
        <v>0</v>
      </c>
      <c r="R31" s="3">
        <f t="shared" si="6"/>
        <v>0</v>
      </c>
      <c r="S31" s="3">
        <f t="shared" si="7"/>
        <v>1421821.513746771</v>
      </c>
      <c r="T31" s="3">
        <f t="shared" si="8"/>
        <v>24121570.877002168</v>
      </c>
      <c r="U31" s="47">
        <f t="shared" ca="1" si="9"/>
        <v>33556906.710586265</v>
      </c>
      <c r="V31" s="47">
        <f>'Monthly Data'!BF31</f>
        <v>25663.620000000003</v>
      </c>
      <c r="W31" s="47">
        <f>+'Monthly Data'!BG31</f>
        <v>0</v>
      </c>
      <c r="X31" s="47">
        <f t="shared" ca="1" si="10"/>
        <v>33582570.330586262</v>
      </c>
    </row>
    <row r="32" spans="1:30">
      <c r="A32" s="2">
        <f>'Monthly Data'!A32</f>
        <v>43282</v>
      </c>
      <c r="B32">
        <f>'Monthly Data'!B32</f>
        <v>2018</v>
      </c>
      <c r="C32">
        <f>'Monthly Data'!C32</f>
        <v>7</v>
      </c>
      <c r="D32" s="3">
        <f>'Monthly Data'!BE32</f>
        <v>43487059.509650059</v>
      </c>
      <c r="E32" s="3">
        <f t="shared" ref="E32:F32" ca="1" si="29">E20</f>
        <v>1.0845833333333317</v>
      </c>
      <c r="F32" s="3">
        <f t="shared" ca="1" si="29"/>
        <v>242.72508692061183</v>
      </c>
      <c r="G32" s="3">
        <f>'Monthly Data'!EM32</f>
        <v>0</v>
      </c>
      <c r="H32" s="3">
        <f>'Monthly Data'!ET32</f>
        <v>0</v>
      </c>
      <c r="I32" s="3">
        <f>'Monthly Data'!EG32</f>
        <v>0</v>
      </c>
      <c r="J32">
        <f>'Monthly Data'!EH32</f>
        <v>31</v>
      </c>
      <c r="K32" s="3">
        <f>'Monthly Data'!DQ32</f>
        <v>31</v>
      </c>
      <c r="M32" s="3">
        <f t="shared" si="1"/>
        <v>-5660024.0454457896</v>
      </c>
      <c r="N32" s="3">
        <f t="shared" ca="1" si="2"/>
        <v>15473.097452796814</v>
      </c>
      <c r="O32" s="3">
        <f t="shared" ca="1" si="3"/>
        <v>22179577.962673906</v>
      </c>
      <c r="P32" s="3">
        <f t="shared" si="4"/>
        <v>0</v>
      </c>
      <c r="Q32" s="3">
        <f t="shared" si="5"/>
        <v>0</v>
      </c>
      <c r="R32" s="3">
        <f t="shared" si="6"/>
        <v>0</v>
      </c>
      <c r="S32" s="3">
        <f t="shared" si="7"/>
        <v>1469215.5642049967</v>
      </c>
      <c r="T32" s="3">
        <f t="shared" si="8"/>
        <v>24925623.239568908</v>
      </c>
      <c r="U32" s="47">
        <f t="shared" ca="1" si="9"/>
        <v>42929865.818454817</v>
      </c>
      <c r="V32" s="47">
        <f>'Monthly Data'!BF32</f>
        <v>27746.701666666668</v>
      </c>
      <c r="W32" s="47">
        <f>+'Monthly Data'!BG32</f>
        <v>0</v>
      </c>
      <c r="X32" s="47">
        <f t="shared" ca="1" si="10"/>
        <v>42957612.520121485</v>
      </c>
    </row>
    <row r="33" spans="1:24">
      <c r="A33" s="2">
        <f>'Monthly Data'!A33</f>
        <v>43313</v>
      </c>
      <c r="B33">
        <f>'Monthly Data'!B33</f>
        <v>2018</v>
      </c>
      <c r="C33">
        <f>'Monthly Data'!C33</f>
        <v>8</v>
      </c>
      <c r="D33" s="3">
        <f>'Monthly Data'!BE33</f>
        <v>42559990.952053435</v>
      </c>
      <c r="E33" s="3">
        <f t="shared" ref="E33:F33" ca="1" si="30">E21</f>
        <v>6.4245833333333335</v>
      </c>
      <c r="F33" s="3">
        <f t="shared" ca="1" si="30"/>
        <v>214.02558794466404</v>
      </c>
      <c r="G33" s="3">
        <f>'Monthly Data'!EM33</f>
        <v>0</v>
      </c>
      <c r="H33" s="3">
        <f>'Monthly Data'!ET33</f>
        <v>0</v>
      </c>
      <c r="I33" s="3">
        <f>'Monthly Data'!EG33</f>
        <v>0</v>
      </c>
      <c r="J33">
        <f>'Monthly Data'!EH33</f>
        <v>32</v>
      </c>
      <c r="K33" s="3">
        <f>'Monthly Data'!DQ33</f>
        <v>31</v>
      </c>
      <c r="M33" s="3">
        <f t="shared" si="1"/>
        <v>-5660024.0454457896</v>
      </c>
      <c r="N33" s="3">
        <f t="shared" ca="1" si="2"/>
        <v>91655.662552698588</v>
      </c>
      <c r="O33" s="3">
        <f t="shared" ca="1" si="3"/>
        <v>19557093.475790568</v>
      </c>
      <c r="P33" s="3">
        <f t="shared" si="4"/>
        <v>0</v>
      </c>
      <c r="Q33" s="3">
        <f t="shared" si="5"/>
        <v>0</v>
      </c>
      <c r="R33" s="3">
        <f t="shared" si="6"/>
        <v>0</v>
      </c>
      <c r="S33" s="3">
        <f t="shared" si="7"/>
        <v>1516609.6146632223</v>
      </c>
      <c r="T33" s="3">
        <f t="shared" si="8"/>
        <v>24925623.239568908</v>
      </c>
      <c r="U33" s="47">
        <f t="shared" ca="1" si="9"/>
        <v>40430957.947129607</v>
      </c>
      <c r="V33" s="47">
        <f>'Monthly Data'!BF33</f>
        <v>29829.78333333334</v>
      </c>
      <c r="W33" s="47">
        <f>+'Monthly Data'!BG33</f>
        <v>0</v>
      </c>
      <c r="X33" s="47">
        <f t="shared" ca="1" si="10"/>
        <v>40460787.730462939</v>
      </c>
    </row>
    <row r="34" spans="1:24">
      <c r="A34" s="2">
        <f>'Monthly Data'!A34</f>
        <v>43344</v>
      </c>
      <c r="B34">
        <f>'Monthly Data'!B34</f>
        <v>2018</v>
      </c>
      <c r="C34">
        <f>'Monthly Data'!C34</f>
        <v>9</v>
      </c>
      <c r="D34" s="3">
        <f>'Monthly Data'!BE34</f>
        <v>33828727.436575055</v>
      </c>
      <c r="E34" s="3">
        <f t="shared" ref="E34:F34" ca="1" si="31">E22</f>
        <v>54.412952898550728</v>
      </c>
      <c r="F34" s="3">
        <f t="shared" ca="1" si="31"/>
        <v>102.40708333333332</v>
      </c>
      <c r="G34" s="3">
        <f>'Monthly Data'!EM34</f>
        <v>0</v>
      </c>
      <c r="H34" s="3">
        <f>'Monthly Data'!ET34</f>
        <v>0</v>
      </c>
      <c r="I34" s="3">
        <f>'Monthly Data'!EG34</f>
        <v>1</v>
      </c>
      <c r="J34">
        <f>'Monthly Data'!EH34</f>
        <v>33</v>
      </c>
      <c r="K34" s="3">
        <f>'Monthly Data'!DQ34</f>
        <v>30</v>
      </c>
      <c r="M34" s="3">
        <f t="shared" ref="M34:M65" si="32">$AB$8</f>
        <v>-5660024.0454457896</v>
      </c>
      <c r="N34" s="3">
        <f t="shared" ref="N34:N65" ca="1" si="33">E34*$AB$9</f>
        <v>776276.8401632451</v>
      </c>
      <c r="O34" s="3">
        <f t="shared" ref="O34:O65" ca="1" si="34">F34*$AB$10</f>
        <v>9357689.0528196599</v>
      </c>
      <c r="P34" s="3">
        <f t="shared" ref="P34:P65" si="35">G34*$AB$11</f>
        <v>0</v>
      </c>
      <c r="Q34" s="3">
        <f t="shared" ref="Q34:Q65" si="36">H34*$AB$12</f>
        <v>0</v>
      </c>
      <c r="R34" s="3">
        <f t="shared" ref="R34:R65" si="37">I34*$AB$13</f>
        <v>-701201.51304507197</v>
      </c>
      <c r="S34" s="3">
        <f t="shared" ref="S34:S65" si="38">J34*$AB$14</f>
        <v>1564003.665121448</v>
      </c>
      <c r="T34" s="3">
        <f t="shared" ref="T34:T65" si="39">K34*$AB$15</f>
        <v>24121570.877002168</v>
      </c>
      <c r="U34" s="47">
        <f t="shared" ca="1" si="9"/>
        <v>29458314.876615658</v>
      </c>
      <c r="V34" s="47">
        <f>'Monthly Data'!BF34</f>
        <v>31912.865000000005</v>
      </c>
      <c r="W34" s="47">
        <f>+'Monthly Data'!BG34</f>
        <v>0</v>
      </c>
      <c r="X34" s="47">
        <f t="shared" ca="1" si="10"/>
        <v>29490227.741615657</v>
      </c>
    </row>
    <row r="35" spans="1:24">
      <c r="A35" s="2">
        <f>'Monthly Data'!A35</f>
        <v>43374</v>
      </c>
      <c r="B35">
        <f>'Monthly Data'!B35</f>
        <v>2018</v>
      </c>
      <c r="C35">
        <f>'Monthly Data'!C35</f>
        <v>10</v>
      </c>
      <c r="D35" s="3">
        <f>'Monthly Data'!BE35</f>
        <v>26322264.040371206</v>
      </c>
      <c r="E35" s="3">
        <f t="shared" ref="E35:F35" ca="1" si="40">E23</f>
        <v>232.21431159420285</v>
      </c>
      <c r="F35" s="3">
        <f t="shared" ca="1" si="40"/>
        <v>19.741250000000004</v>
      </c>
      <c r="G35" s="3">
        <f>'Monthly Data'!EM35</f>
        <v>0</v>
      </c>
      <c r="H35" s="3">
        <f>'Monthly Data'!ET35</f>
        <v>0</v>
      </c>
      <c r="I35" s="3">
        <f>'Monthly Data'!EG35</f>
        <v>1</v>
      </c>
      <c r="J35">
        <f>'Monthly Data'!EH35</f>
        <v>34</v>
      </c>
      <c r="K35" s="3">
        <f>'Monthly Data'!DQ35</f>
        <v>31</v>
      </c>
      <c r="M35" s="3">
        <f t="shared" si="32"/>
        <v>-5660024.0454457896</v>
      </c>
      <c r="N35" s="3">
        <f t="shared" ca="1" si="33"/>
        <v>3312861.7809277582</v>
      </c>
      <c r="O35" s="3">
        <f t="shared" ca="1" si="34"/>
        <v>1803903.3336461217</v>
      </c>
      <c r="P35" s="3">
        <f t="shared" si="35"/>
        <v>0</v>
      </c>
      <c r="Q35" s="3">
        <f t="shared" si="36"/>
        <v>0</v>
      </c>
      <c r="R35" s="3">
        <f t="shared" si="37"/>
        <v>-701201.51304507197</v>
      </c>
      <c r="S35" s="3">
        <f t="shared" si="38"/>
        <v>1611397.7155796736</v>
      </c>
      <c r="T35" s="3">
        <f t="shared" si="39"/>
        <v>24925623.239568908</v>
      </c>
      <c r="U35" s="47">
        <f t="shared" ca="1" si="9"/>
        <v>25292560.511231601</v>
      </c>
      <c r="V35" s="47">
        <f>'Monthly Data'!BF35</f>
        <v>33995.946666666678</v>
      </c>
      <c r="W35" s="47">
        <f>+'Monthly Data'!BG35</f>
        <v>0</v>
      </c>
      <c r="X35" s="47">
        <f t="shared" ca="1" si="10"/>
        <v>25326556.457898267</v>
      </c>
    </row>
    <row r="36" spans="1:24">
      <c r="A36" s="2">
        <f>'Monthly Data'!A36</f>
        <v>43405</v>
      </c>
      <c r="B36">
        <f>'Monthly Data'!B36</f>
        <v>2018</v>
      </c>
      <c r="C36">
        <f>'Monthly Data'!C36</f>
        <v>11</v>
      </c>
      <c r="D36" s="3">
        <f>'Monthly Data'!BE36</f>
        <v>27365977.74422475</v>
      </c>
      <c r="E36" s="3">
        <f t="shared" ref="E36:F36" ca="1" si="41">E24</f>
        <v>435.51408055712398</v>
      </c>
      <c r="F36" s="3">
        <f t="shared" ca="1" si="41"/>
        <v>0.78124999999999944</v>
      </c>
      <c r="G36" s="3">
        <f>'Monthly Data'!EM36</f>
        <v>0</v>
      </c>
      <c r="H36" s="3">
        <f>'Monthly Data'!ET36</f>
        <v>0</v>
      </c>
      <c r="I36" s="3">
        <f>'Monthly Data'!EG36</f>
        <v>1</v>
      </c>
      <c r="J36">
        <f>'Monthly Data'!EH36</f>
        <v>35</v>
      </c>
      <c r="K36" s="3">
        <f>'Monthly Data'!DQ36</f>
        <v>30</v>
      </c>
      <c r="M36" s="3">
        <f t="shared" si="32"/>
        <v>-5660024.0454457896</v>
      </c>
      <c r="N36" s="3">
        <f t="shared" ca="1" si="33"/>
        <v>6213217.1898814524</v>
      </c>
      <c r="O36" s="3">
        <f t="shared" ca="1" si="34"/>
        <v>71388.563510974796</v>
      </c>
      <c r="P36" s="3">
        <f t="shared" si="35"/>
        <v>0</v>
      </c>
      <c r="Q36" s="3">
        <f t="shared" si="36"/>
        <v>0</v>
      </c>
      <c r="R36" s="3">
        <f t="shared" si="37"/>
        <v>-701201.51304507197</v>
      </c>
      <c r="S36" s="3">
        <f t="shared" si="38"/>
        <v>1658791.7660378995</v>
      </c>
      <c r="T36" s="3">
        <f t="shared" si="39"/>
        <v>24121570.877002168</v>
      </c>
      <c r="U36" s="47">
        <f t="shared" ca="1" si="9"/>
        <v>25703742.837941632</v>
      </c>
      <c r="V36" s="47">
        <f>'Monthly Data'!BF36</f>
        <v>36079.028333333343</v>
      </c>
      <c r="W36" s="47">
        <f>+'Monthly Data'!BG36</f>
        <v>0</v>
      </c>
      <c r="X36" s="47">
        <f t="shared" ca="1" si="10"/>
        <v>25739821.866274964</v>
      </c>
    </row>
    <row r="37" spans="1:24">
      <c r="A37" s="2">
        <f>'Monthly Data'!A37</f>
        <v>43435</v>
      </c>
      <c r="B37">
        <f>'Monthly Data'!B37</f>
        <v>2018</v>
      </c>
      <c r="C37">
        <f>'Monthly Data'!C37</f>
        <v>12</v>
      </c>
      <c r="D37" s="3">
        <f>'Monthly Data'!BE37</f>
        <v>31027183.870988276</v>
      </c>
      <c r="E37" s="3">
        <f t="shared" ref="E37:F37" ca="1" si="42">E25</f>
        <v>602.38541666666674</v>
      </c>
      <c r="F37" s="3">
        <f t="shared" ca="1" si="42"/>
        <v>0</v>
      </c>
      <c r="G37" s="3">
        <f>'Monthly Data'!EM37</f>
        <v>0</v>
      </c>
      <c r="H37" s="3">
        <f>'Monthly Data'!ET37</f>
        <v>0</v>
      </c>
      <c r="I37" s="3">
        <f>'Monthly Data'!EG37</f>
        <v>0</v>
      </c>
      <c r="J37">
        <f>'Monthly Data'!EH37</f>
        <v>36</v>
      </c>
      <c r="K37" s="3">
        <f>'Monthly Data'!DQ37</f>
        <v>31</v>
      </c>
      <c r="M37" s="3">
        <f t="shared" si="32"/>
        <v>-5660024.0454457896</v>
      </c>
      <c r="N37" s="3">
        <f t="shared" ca="1" si="33"/>
        <v>8593870.0787340421</v>
      </c>
      <c r="O37" s="3">
        <f t="shared" ca="1" si="34"/>
        <v>0</v>
      </c>
      <c r="P37" s="3">
        <f t="shared" si="35"/>
        <v>0</v>
      </c>
      <c r="Q37" s="3">
        <f t="shared" si="36"/>
        <v>0</v>
      </c>
      <c r="R37" s="3">
        <f t="shared" si="37"/>
        <v>0</v>
      </c>
      <c r="S37" s="3">
        <f t="shared" si="38"/>
        <v>1706185.8164961252</v>
      </c>
      <c r="T37" s="3">
        <f t="shared" si="39"/>
        <v>24925623.239568908</v>
      </c>
      <c r="U37" s="47">
        <f t="shared" ca="1" si="9"/>
        <v>29565655.089353286</v>
      </c>
      <c r="V37" s="47">
        <f>'Monthly Data'!BF37</f>
        <v>38162.110000000008</v>
      </c>
      <c r="W37" s="47">
        <f>+'Monthly Data'!BG37</f>
        <v>0</v>
      </c>
      <c r="X37" s="47">
        <f t="shared" ca="1" si="10"/>
        <v>29603817.199353285</v>
      </c>
    </row>
    <row r="38" spans="1:24">
      <c r="A38" s="2">
        <f>'Monthly Data'!A38</f>
        <v>43466</v>
      </c>
      <c r="B38">
        <f>'Monthly Data'!B38</f>
        <v>2019</v>
      </c>
      <c r="C38">
        <f>'Monthly Data'!C38</f>
        <v>1</v>
      </c>
      <c r="D38" s="3">
        <f>'Monthly Data'!BE38</f>
        <v>31579914.736934498</v>
      </c>
      <c r="E38" s="3">
        <f t="shared" ref="E38:F38" ca="1" si="43">E26</f>
        <v>690.78750000000002</v>
      </c>
      <c r="F38" s="3">
        <f t="shared" ca="1" si="43"/>
        <v>0</v>
      </c>
      <c r="G38" s="3">
        <f>'Monthly Data'!EM38</f>
        <v>0</v>
      </c>
      <c r="H38" s="3">
        <f>'Monthly Data'!ET38</f>
        <v>0</v>
      </c>
      <c r="I38" s="3">
        <f>'Monthly Data'!EG38</f>
        <v>0</v>
      </c>
      <c r="J38">
        <f>'Monthly Data'!EH38</f>
        <v>37</v>
      </c>
      <c r="K38" s="3">
        <f>'Monthly Data'!DQ38</f>
        <v>31</v>
      </c>
      <c r="M38" s="3">
        <f t="shared" si="32"/>
        <v>-5660024.0454457896</v>
      </c>
      <c r="N38" s="3">
        <f t="shared" ca="1" si="33"/>
        <v>9855049.3799528815</v>
      </c>
      <c r="O38" s="3">
        <f t="shared" ca="1" si="34"/>
        <v>0</v>
      </c>
      <c r="P38" s="3">
        <f t="shared" si="35"/>
        <v>0</v>
      </c>
      <c r="Q38" s="3">
        <f t="shared" si="36"/>
        <v>0</v>
      </c>
      <c r="R38" s="3">
        <f t="shared" si="37"/>
        <v>0</v>
      </c>
      <c r="S38" s="3">
        <f t="shared" si="38"/>
        <v>1753579.8669543508</v>
      </c>
      <c r="T38" s="3">
        <f t="shared" si="39"/>
        <v>24925623.239568908</v>
      </c>
      <c r="U38" s="47">
        <f t="shared" ca="1" si="9"/>
        <v>30874228.44103035</v>
      </c>
      <c r="V38" s="47">
        <f>'Monthly Data'!BF38</f>
        <v>41745.528846153851</v>
      </c>
      <c r="W38" s="47">
        <f ca="1">+'Monthly Data'!BG38</f>
        <v>53093.070471360552</v>
      </c>
      <c r="X38" s="47">
        <f t="shared" ca="1" si="10"/>
        <v>30969067.040347863</v>
      </c>
    </row>
    <row r="39" spans="1:24">
      <c r="A39" s="2">
        <f>'Monthly Data'!A39</f>
        <v>43497</v>
      </c>
      <c r="B39">
        <f>'Monthly Data'!B39</f>
        <v>2019</v>
      </c>
      <c r="C39">
        <f>'Monthly Data'!C39</f>
        <v>2</v>
      </c>
      <c r="D39" s="3">
        <f>'Monthly Data'!BE39</f>
        <v>27623537.657875959</v>
      </c>
      <c r="E39" s="3">
        <f t="shared" ref="E39:F39" ca="1" si="44">E27</f>
        <v>604.19541666666657</v>
      </c>
      <c r="F39" s="3">
        <f t="shared" ca="1" si="44"/>
        <v>0</v>
      </c>
      <c r="G39" s="3">
        <f>'Monthly Data'!EM39</f>
        <v>0</v>
      </c>
      <c r="H39" s="3">
        <f>'Monthly Data'!ET39</f>
        <v>0</v>
      </c>
      <c r="I39" s="3">
        <f>'Monthly Data'!EG39</f>
        <v>0</v>
      </c>
      <c r="J39">
        <f>'Monthly Data'!EH39</f>
        <v>38</v>
      </c>
      <c r="K39" s="3">
        <f>'Monthly Data'!DQ39</f>
        <v>28</v>
      </c>
      <c r="M39" s="3">
        <f t="shared" si="32"/>
        <v>-5660024.0454457896</v>
      </c>
      <c r="N39" s="3">
        <f t="shared" ca="1" si="33"/>
        <v>8619692.2590394374</v>
      </c>
      <c r="O39" s="3">
        <f t="shared" ca="1" si="34"/>
        <v>0</v>
      </c>
      <c r="P39" s="3">
        <f t="shared" si="35"/>
        <v>0</v>
      </c>
      <c r="Q39" s="3">
        <f t="shared" si="36"/>
        <v>0</v>
      </c>
      <c r="R39" s="3">
        <f t="shared" si="37"/>
        <v>0</v>
      </c>
      <c r="S39" s="3">
        <f t="shared" si="38"/>
        <v>1800973.9174125765</v>
      </c>
      <c r="T39" s="3">
        <f t="shared" si="39"/>
        <v>22513466.15186869</v>
      </c>
      <c r="U39" s="47">
        <f t="shared" ca="1" si="9"/>
        <v>27274108.282874912</v>
      </c>
      <c r="V39" s="47">
        <f>'Monthly Data'!BF39</f>
        <v>43245.866025641037</v>
      </c>
      <c r="W39" s="47">
        <f ca="1">+'Monthly Data'!BG39</f>
        <v>43519.900641252767</v>
      </c>
      <c r="X39" s="47">
        <f t="shared" ca="1" si="10"/>
        <v>27360874.049541805</v>
      </c>
    </row>
    <row r="40" spans="1:24">
      <c r="A40" s="2">
        <f>'Monthly Data'!A40</f>
        <v>43525</v>
      </c>
      <c r="B40">
        <f>'Monthly Data'!B40</f>
        <v>2019</v>
      </c>
      <c r="C40">
        <f>'Monthly Data'!C40</f>
        <v>3</v>
      </c>
      <c r="D40" s="3">
        <f>'Monthly Data'!BE40</f>
        <v>28346668.669596348</v>
      </c>
      <c r="E40" s="3">
        <f t="shared" ref="E40:F40" ca="1" si="45">E28</f>
        <v>534.21590579710141</v>
      </c>
      <c r="F40" s="3">
        <f t="shared" ca="1" si="45"/>
        <v>0</v>
      </c>
      <c r="G40" s="3">
        <f>'Monthly Data'!EM40</f>
        <v>0</v>
      </c>
      <c r="H40" s="3">
        <f>'Monthly Data'!ET40</f>
        <v>0</v>
      </c>
      <c r="I40" s="3">
        <f>'Monthly Data'!EG40</f>
        <v>1</v>
      </c>
      <c r="J40">
        <f>'Monthly Data'!EH40</f>
        <v>39</v>
      </c>
      <c r="K40" s="3">
        <f>'Monthly Data'!DQ40</f>
        <v>31</v>
      </c>
      <c r="M40" s="3">
        <f t="shared" si="32"/>
        <v>-5660024.0454457896</v>
      </c>
      <c r="N40" s="3">
        <f t="shared" ca="1" si="33"/>
        <v>7621336.7080132328</v>
      </c>
      <c r="O40" s="3">
        <f t="shared" ca="1" si="34"/>
        <v>0</v>
      </c>
      <c r="P40" s="3">
        <f t="shared" si="35"/>
        <v>0</v>
      </c>
      <c r="Q40" s="3">
        <f t="shared" si="36"/>
        <v>0</v>
      </c>
      <c r="R40" s="3">
        <f t="shared" si="37"/>
        <v>-701201.51304507197</v>
      </c>
      <c r="S40" s="3">
        <f t="shared" si="38"/>
        <v>1848367.9678708022</v>
      </c>
      <c r="T40" s="3">
        <f t="shared" si="39"/>
        <v>24925623.239568908</v>
      </c>
      <c r="U40" s="47">
        <f t="shared" ca="1" si="9"/>
        <v>28034102.356962081</v>
      </c>
      <c r="V40" s="47">
        <f>'Monthly Data'!BF40</f>
        <v>44746.203205128215</v>
      </c>
      <c r="W40" s="47">
        <f ca="1">+'Monthly Data'!BG40</f>
        <v>41624.327355287627</v>
      </c>
      <c r="X40" s="47">
        <f t="shared" ca="1" si="10"/>
        <v>28120472.887522496</v>
      </c>
    </row>
    <row r="41" spans="1:24">
      <c r="A41" s="2">
        <f>'Monthly Data'!A41</f>
        <v>43556</v>
      </c>
      <c r="B41">
        <f>'Monthly Data'!B41</f>
        <v>2019</v>
      </c>
      <c r="C41">
        <f>'Monthly Data'!C41</f>
        <v>4</v>
      </c>
      <c r="D41" s="3">
        <f>'Monthly Data'!BE41</f>
        <v>24905528.717427131</v>
      </c>
      <c r="E41" s="3">
        <f t="shared" ref="E41:F41" ca="1" si="46">E29</f>
        <v>352.92312500000003</v>
      </c>
      <c r="F41" s="3">
        <f t="shared" ca="1" si="46"/>
        <v>2.2025000000000015</v>
      </c>
      <c r="G41" s="3">
        <f>'Monthly Data'!EM41</f>
        <v>0</v>
      </c>
      <c r="H41" s="3">
        <f>'Monthly Data'!ET41</f>
        <v>0</v>
      </c>
      <c r="I41" s="3">
        <f>'Monthly Data'!EG41</f>
        <v>1</v>
      </c>
      <c r="J41">
        <f>'Monthly Data'!EH41</f>
        <v>40</v>
      </c>
      <c r="K41" s="3">
        <f>'Monthly Data'!DQ41</f>
        <v>30</v>
      </c>
      <c r="M41" s="3">
        <f t="shared" si="32"/>
        <v>-5660024.0454457896</v>
      </c>
      <c r="N41" s="3">
        <f t="shared" ca="1" si="33"/>
        <v>5034941.7501073536</v>
      </c>
      <c r="O41" s="3">
        <f t="shared" ca="1" si="34"/>
        <v>201258.63825014042</v>
      </c>
      <c r="P41" s="3">
        <f t="shared" si="35"/>
        <v>0</v>
      </c>
      <c r="Q41" s="3">
        <f t="shared" si="36"/>
        <v>0</v>
      </c>
      <c r="R41" s="3">
        <f t="shared" si="37"/>
        <v>-701201.51304507197</v>
      </c>
      <c r="S41" s="3">
        <f t="shared" si="38"/>
        <v>1895762.018329028</v>
      </c>
      <c r="T41" s="3">
        <f t="shared" si="39"/>
        <v>24121570.877002168</v>
      </c>
      <c r="U41" s="47">
        <f t="shared" ca="1" si="9"/>
        <v>24892307.725197829</v>
      </c>
      <c r="V41" s="47">
        <f>'Monthly Data'!BF41</f>
        <v>46246.540384615393</v>
      </c>
      <c r="W41" s="47">
        <f ca="1">+'Monthly Data'!BG41</f>
        <v>24959.563436342381</v>
      </c>
      <c r="X41" s="47">
        <f t="shared" ca="1" si="10"/>
        <v>24963513.829018787</v>
      </c>
    </row>
    <row r="42" spans="1:24">
      <c r="A42" s="2">
        <f>'Monthly Data'!A42</f>
        <v>43586</v>
      </c>
      <c r="B42">
        <f>'Monthly Data'!B42</f>
        <v>2019</v>
      </c>
      <c r="C42">
        <f>'Monthly Data'!C42</f>
        <v>5</v>
      </c>
      <c r="D42" s="3">
        <f>'Monthly Data'!BE42</f>
        <v>24707670.950823154</v>
      </c>
      <c r="E42" s="3">
        <f t="shared" ref="E42:F42" ca="1" si="47">E30</f>
        <v>155.24720841877425</v>
      </c>
      <c r="F42" s="3">
        <f t="shared" ca="1" si="47"/>
        <v>48.940113636363641</v>
      </c>
      <c r="G42" s="3">
        <f>'Monthly Data'!EM42</f>
        <v>0</v>
      </c>
      <c r="H42" s="3">
        <f>'Monthly Data'!ET42</f>
        <v>0</v>
      </c>
      <c r="I42" s="3">
        <f>'Monthly Data'!EG42</f>
        <v>1</v>
      </c>
      <c r="J42">
        <f>'Monthly Data'!EH42</f>
        <v>41</v>
      </c>
      <c r="K42" s="3">
        <f>'Monthly Data'!DQ42</f>
        <v>31</v>
      </c>
      <c r="M42" s="3">
        <f t="shared" si="32"/>
        <v>-5660024.0454457896</v>
      </c>
      <c r="N42" s="3">
        <f t="shared" ca="1" si="33"/>
        <v>2214818.4572923756</v>
      </c>
      <c r="O42" s="3">
        <f t="shared" ca="1" si="34"/>
        <v>4472018.4455217561</v>
      </c>
      <c r="P42" s="3">
        <f t="shared" si="35"/>
        <v>0</v>
      </c>
      <c r="Q42" s="3">
        <f t="shared" si="36"/>
        <v>0</v>
      </c>
      <c r="R42" s="3">
        <f t="shared" si="37"/>
        <v>-701201.51304507197</v>
      </c>
      <c r="S42" s="3">
        <f t="shared" si="38"/>
        <v>1943156.0687872537</v>
      </c>
      <c r="T42" s="3">
        <f t="shared" si="39"/>
        <v>24925623.239568908</v>
      </c>
      <c r="U42" s="47">
        <f t="shared" ca="1" si="9"/>
        <v>27194390.652679432</v>
      </c>
      <c r="V42" s="47">
        <f>'Monthly Data'!BF42</f>
        <v>47746.877564102571</v>
      </c>
      <c r="W42" s="47">
        <f ca="1">+'Monthly Data'!BG42</f>
        <v>13991.53638368692</v>
      </c>
      <c r="X42" s="47">
        <f t="shared" ca="1" si="10"/>
        <v>27256129.066627223</v>
      </c>
    </row>
    <row r="43" spans="1:24">
      <c r="A43" s="2">
        <f>'Monthly Data'!A43</f>
        <v>43617</v>
      </c>
      <c r="B43">
        <f>'Monthly Data'!B43</f>
        <v>2019</v>
      </c>
      <c r="C43">
        <f>'Monthly Data'!C43</f>
        <v>6</v>
      </c>
      <c r="D43" s="3">
        <f>'Monthly Data'!BE43</f>
        <v>29672644.429283168</v>
      </c>
      <c r="E43" s="3">
        <f t="shared" ref="E43:F43" ca="1" si="48">E31</f>
        <v>30.273840492840492</v>
      </c>
      <c r="F43" s="3">
        <f t="shared" ca="1" si="48"/>
        <v>144.91160087738351</v>
      </c>
      <c r="G43" s="3">
        <f>'Monthly Data'!EM43</f>
        <v>0</v>
      </c>
      <c r="H43" s="3">
        <f>'Monthly Data'!ET43</f>
        <v>0</v>
      </c>
      <c r="I43" s="3">
        <f>'Monthly Data'!EG43</f>
        <v>0</v>
      </c>
      <c r="J43">
        <f>'Monthly Data'!EH43</f>
        <v>42</v>
      </c>
      <c r="K43" s="3">
        <f>'Monthly Data'!DQ43</f>
        <v>30</v>
      </c>
      <c r="M43" s="3">
        <f t="shared" si="32"/>
        <v>-5660024.0454457896</v>
      </c>
      <c r="N43" s="3">
        <f t="shared" ca="1" si="33"/>
        <v>431898.65621158475</v>
      </c>
      <c r="O43" s="3">
        <f t="shared" ca="1" si="34"/>
        <v>13241639.709071528</v>
      </c>
      <c r="P43" s="3">
        <f t="shared" si="35"/>
        <v>0</v>
      </c>
      <c r="Q43" s="3">
        <f t="shared" si="36"/>
        <v>0</v>
      </c>
      <c r="R43" s="3">
        <f t="shared" si="37"/>
        <v>0</v>
      </c>
      <c r="S43" s="3">
        <f t="shared" si="38"/>
        <v>1990550.1192454793</v>
      </c>
      <c r="T43" s="3">
        <f t="shared" si="39"/>
        <v>24121570.877002168</v>
      </c>
      <c r="U43" s="47">
        <f t="shared" ref="U43:U97" ca="1" si="49">SUM(M43:T43)</f>
        <v>34125635.316084974</v>
      </c>
      <c r="V43" s="47">
        <f>'Monthly Data'!BF43</f>
        <v>49247.21474358975</v>
      </c>
      <c r="W43" s="47">
        <f ca="1">+'Monthly Data'!BG43</f>
        <v>3139.6230289313721</v>
      </c>
      <c r="X43" s="47">
        <f t="shared" ref="X43:X106" ca="1" si="50">U43+V43+W43</f>
        <v>34178022.153857499</v>
      </c>
    </row>
    <row r="44" spans="1:24">
      <c r="A44" s="2">
        <f>'Monthly Data'!A44</f>
        <v>43647</v>
      </c>
      <c r="B44">
        <f>'Monthly Data'!B44</f>
        <v>2019</v>
      </c>
      <c r="C44">
        <f>'Monthly Data'!C44</f>
        <v>7</v>
      </c>
      <c r="D44" s="3">
        <f>'Monthly Data'!BE44</f>
        <v>44473472.383532733</v>
      </c>
      <c r="E44" s="3">
        <f t="shared" ref="E44:F44" ca="1" si="51">E32</f>
        <v>1.0845833333333317</v>
      </c>
      <c r="F44" s="3">
        <f t="shared" ca="1" si="51"/>
        <v>242.72508692061183</v>
      </c>
      <c r="G44" s="3">
        <f>'Monthly Data'!EM44</f>
        <v>0</v>
      </c>
      <c r="H44" s="3">
        <f>'Monthly Data'!ET44</f>
        <v>0</v>
      </c>
      <c r="I44" s="3">
        <f>'Monthly Data'!EG44</f>
        <v>0</v>
      </c>
      <c r="J44">
        <f>'Monthly Data'!EH44</f>
        <v>43</v>
      </c>
      <c r="K44" s="3">
        <f>'Monthly Data'!DQ44</f>
        <v>31</v>
      </c>
      <c r="M44" s="3">
        <f t="shared" si="32"/>
        <v>-5660024.0454457896</v>
      </c>
      <c r="N44" s="3">
        <f t="shared" ca="1" si="33"/>
        <v>15473.097452796814</v>
      </c>
      <c r="O44" s="3">
        <f t="shared" ca="1" si="34"/>
        <v>22179577.962673906</v>
      </c>
      <c r="P44" s="3">
        <f t="shared" si="35"/>
        <v>0</v>
      </c>
      <c r="Q44" s="3">
        <f t="shared" si="36"/>
        <v>0</v>
      </c>
      <c r="R44" s="3">
        <f t="shared" si="37"/>
        <v>0</v>
      </c>
      <c r="S44" s="3">
        <f t="shared" si="38"/>
        <v>2037944.169703705</v>
      </c>
      <c r="T44" s="3">
        <f t="shared" si="39"/>
        <v>24925623.239568908</v>
      </c>
      <c r="U44" s="47">
        <f t="shared" ca="1" si="49"/>
        <v>43498594.423953526</v>
      </c>
      <c r="V44" s="47">
        <f>'Monthly Data'!BF44</f>
        <v>50747.551923076935</v>
      </c>
      <c r="W44" s="47">
        <f ca="1">+'Monthly Data'!BG44</f>
        <v>0</v>
      </c>
      <c r="X44" s="47">
        <f t="shared" ca="1" si="50"/>
        <v>43549341.9758766</v>
      </c>
    </row>
    <row r="45" spans="1:24">
      <c r="A45" s="2">
        <f>'Monthly Data'!A45</f>
        <v>43678</v>
      </c>
      <c r="B45">
        <f>'Monthly Data'!B45</f>
        <v>2019</v>
      </c>
      <c r="C45">
        <f>'Monthly Data'!C45</f>
        <v>8</v>
      </c>
      <c r="D45" s="3">
        <f>'Monthly Data'!BE45</f>
        <v>37582282.23285567</v>
      </c>
      <c r="E45" s="3">
        <f t="shared" ref="E45:F45" ca="1" si="52">E33</f>
        <v>6.4245833333333335</v>
      </c>
      <c r="F45" s="3">
        <f t="shared" ca="1" si="52"/>
        <v>214.02558794466404</v>
      </c>
      <c r="G45" s="3">
        <f>'Monthly Data'!EM45</f>
        <v>0</v>
      </c>
      <c r="H45" s="3">
        <f>'Monthly Data'!ET45</f>
        <v>0</v>
      </c>
      <c r="I45" s="3">
        <f>'Monthly Data'!EG45</f>
        <v>0</v>
      </c>
      <c r="J45">
        <f>'Monthly Data'!EH45</f>
        <v>44</v>
      </c>
      <c r="K45" s="3">
        <f>'Monthly Data'!DQ45</f>
        <v>31</v>
      </c>
      <c r="M45" s="3">
        <f t="shared" si="32"/>
        <v>-5660024.0454457896</v>
      </c>
      <c r="N45" s="3">
        <f t="shared" ca="1" si="33"/>
        <v>91655.662552698588</v>
      </c>
      <c r="O45" s="3">
        <f t="shared" ca="1" si="34"/>
        <v>19557093.475790568</v>
      </c>
      <c r="P45" s="3">
        <f t="shared" si="35"/>
        <v>0</v>
      </c>
      <c r="Q45" s="3">
        <f t="shared" si="36"/>
        <v>0</v>
      </c>
      <c r="R45" s="3">
        <f t="shared" si="37"/>
        <v>0</v>
      </c>
      <c r="S45" s="3">
        <f t="shared" si="38"/>
        <v>2085338.2201619307</v>
      </c>
      <c r="T45" s="3">
        <f t="shared" si="39"/>
        <v>24925623.239568908</v>
      </c>
      <c r="U45" s="47">
        <f t="shared" ca="1" si="49"/>
        <v>40999686.552628316</v>
      </c>
      <c r="V45" s="47">
        <f>'Monthly Data'!BF45</f>
        <v>52247.889102564113</v>
      </c>
      <c r="W45" s="47">
        <f ca="1">+'Monthly Data'!BG45</f>
        <v>316.25979557850508</v>
      </c>
      <c r="X45" s="47">
        <f t="shared" ca="1" si="50"/>
        <v>41052250.701526456</v>
      </c>
    </row>
    <row r="46" spans="1:24">
      <c r="A46" s="2">
        <f>'Monthly Data'!A46</f>
        <v>43709</v>
      </c>
      <c r="B46">
        <f>'Monthly Data'!B46</f>
        <v>2019</v>
      </c>
      <c r="C46">
        <f>'Monthly Data'!C46</f>
        <v>9</v>
      </c>
      <c r="D46" s="3">
        <f>'Monthly Data'!BE46</f>
        <v>27502801.782867629</v>
      </c>
      <c r="E46" s="3">
        <f t="shared" ref="E46:F46" ca="1" si="53">E34</f>
        <v>54.412952898550728</v>
      </c>
      <c r="F46" s="3">
        <f t="shared" ca="1" si="53"/>
        <v>102.40708333333332</v>
      </c>
      <c r="G46" s="3">
        <f>'Monthly Data'!EM46</f>
        <v>0</v>
      </c>
      <c r="H46" s="3">
        <f>'Monthly Data'!ET46</f>
        <v>0</v>
      </c>
      <c r="I46" s="3">
        <f>'Monthly Data'!EG46</f>
        <v>1</v>
      </c>
      <c r="J46">
        <f>'Monthly Data'!EH46</f>
        <v>45</v>
      </c>
      <c r="K46" s="3">
        <f>'Monthly Data'!DQ46</f>
        <v>30</v>
      </c>
      <c r="M46" s="3">
        <f t="shared" si="32"/>
        <v>-5660024.0454457896</v>
      </c>
      <c r="N46" s="3">
        <f t="shared" ca="1" si="33"/>
        <v>776276.8401632451</v>
      </c>
      <c r="O46" s="3">
        <f t="shared" ca="1" si="34"/>
        <v>9357689.0528196599</v>
      </c>
      <c r="P46" s="3">
        <f t="shared" si="35"/>
        <v>0</v>
      </c>
      <c r="Q46" s="3">
        <f t="shared" si="36"/>
        <v>0</v>
      </c>
      <c r="R46" s="3">
        <f t="shared" si="37"/>
        <v>-701201.51304507197</v>
      </c>
      <c r="S46" s="3">
        <f t="shared" si="38"/>
        <v>2132732.2706201565</v>
      </c>
      <c r="T46" s="3">
        <f t="shared" si="39"/>
        <v>24121570.877002168</v>
      </c>
      <c r="U46" s="47">
        <f t="shared" ca="1" si="49"/>
        <v>30027043.482114367</v>
      </c>
      <c r="V46" s="47">
        <f>'Monthly Data'!BF46</f>
        <v>53748.226282051291</v>
      </c>
      <c r="W46" s="47">
        <f ca="1">+'Monthly Data'!BG46</f>
        <v>4224.2664892831235</v>
      </c>
      <c r="X46" s="47">
        <f t="shared" ca="1" si="50"/>
        <v>30085015.974885702</v>
      </c>
    </row>
    <row r="47" spans="1:24">
      <c r="A47" s="2">
        <f>'Monthly Data'!A47</f>
        <v>43739</v>
      </c>
      <c r="B47">
        <f>'Monthly Data'!B47</f>
        <v>2019</v>
      </c>
      <c r="C47">
        <f>'Monthly Data'!C47</f>
        <v>10</v>
      </c>
      <c r="D47" s="3">
        <f>'Monthly Data'!BE47</f>
        <v>25307838.950786512</v>
      </c>
      <c r="E47" s="3">
        <f t="shared" ref="E47:F47" ca="1" si="54">E35</f>
        <v>232.21431159420285</v>
      </c>
      <c r="F47" s="3">
        <f t="shared" ca="1" si="54"/>
        <v>19.741250000000004</v>
      </c>
      <c r="G47" s="3">
        <f>'Monthly Data'!EM47</f>
        <v>0</v>
      </c>
      <c r="H47" s="3">
        <f>'Monthly Data'!ET47</f>
        <v>0</v>
      </c>
      <c r="I47" s="3">
        <f>'Monthly Data'!EG47</f>
        <v>1</v>
      </c>
      <c r="J47">
        <f>'Monthly Data'!EH47</f>
        <v>46</v>
      </c>
      <c r="K47" s="3">
        <f>'Monthly Data'!DQ47</f>
        <v>31</v>
      </c>
      <c r="M47" s="3">
        <f t="shared" si="32"/>
        <v>-5660024.0454457896</v>
      </c>
      <c r="N47" s="3">
        <f t="shared" ca="1" si="33"/>
        <v>3312861.7809277582</v>
      </c>
      <c r="O47" s="3">
        <f t="shared" ca="1" si="34"/>
        <v>1803903.3336461217</v>
      </c>
      <c r="P47" s="3">
        <f t="shared" si="35"/>
        <v>0</v>
      </c>
      <c r="Q47" s="3">
        <f t="shared" si="36"/>
        <v>0</v>
      </c>
      <c r="R47" s="3">
        <f t="shared" si="37"/>
        <v>-701201.51304507197</v>
      </c>
      <c r="S47" s="3">
        <f t="shared" si="38"/>
        <v>2180126.321078382</v>
      </c>
      <c r="T47" s="3">
        <f t="shared" si="39"/>
        <v>24925623.239568908</v>
      </c>
      <c r="U47" s="47">
        <f t="shared" ca="1" si="49"/>
        <v>25861289.11673031</v>
      </c>
      <c r="V47" s="47">
        <f>'Monthly Data'!BF47</f>
        <v>55248.563461538477</v>
      </c>
      <c r="W47" s="47">
        <f ca="1">+'Monthly Data'!BG47</f>
        <v>16594.988215167377</v>
      </c>
      <c r="X47" s="47">
        <f t="shared" ca="1" si="50"/>
        <v>25933132.668407016</v>
      </c>
    </row>
    <row r="48" spans="1:24">
      <c r="A48" s="2">
        <f>'Monthly Data'!A48</f>
        <v>43770</v>
      </c>
      <c r="B48">
        <f>'Monthly Data'!B48</f>
        <v>2019</v>
      </c>
      <c r="C48">
        <f>'Monthly Data'!C48</f>
        <v>11</v>
      </c>
      <c r="D48" s="3">
        <f>'Monthly Data'!BE48</f>
        <v>27635260.908651348</v>
      </c>
      <c r="E48" s="3">
        <f t="shared" ref="E48:F48" ca="1" si="55">E36</f>
        <v>435.51408055712398</v>
      </c>
      <c r="F48" s="3">
        <f t="shared" ca="1" si="55"/>
        <v>0.78124999999999944</v>
      </c>
      <c r="G48" s="3">
        <f>'Monthly Data'!EM48</f>
        <v>0</v>
      </c>
      <c r="H48" s="3">
        <f>'Monthly Data'!ET48</f>
        <v>0</v>
      </c>
      <c r="I48" s="3">
        <f>'Monthly Data'!EG48</f>
        <v>1</v>
      </c>
      <c r="J48">
        <f>'Monthly Data'!EH48</f>
        <v>47</v>
      </c>
      <c r="K48" s="3">
        <f>'Monthly Data'!DQ48</f>
        <v>30</v>
      </c>
      <c r="M48" s="3">
        <f t="shared" si="32"/>
        <v>-5660024.0454457896</v>
      </c>
      <c r="N48" s="3">
        <f t="shared" ca="1" si="33"/>
        <v>6213217.1898814524</v>
      </c>
      <c r="O48" s="3">
        <f t="shared" ca="1" si="34"/>
        <v>71388.563510974796</v>
      </c>
      <c r="P48" s="3">
        <f t="shared" si="35"/>
        <v>0</v>
      </c>
      <c r="Q48" s="3">
        <f t="shared" si="36"/>
        <v>0</v>
      </c>
      <c r="R48" s="3">
        <f t="shared" si="37"/>
        <v>-701201.51304507197</v>
      </c>
      <c r="S48" s="3">
        <f t="shared" si="38"/>
        <v>2227520.3715366079</v>
      </c>
      <c r="T48" s="3">
        <f t="shared" si="39"/>
        <v>24121570.877002168</v>
      </c>
      <c r="U48" s="47">
        <f t="shared" ca="1" si="49"/>
        <v>26272471.44344034</v>
      </c>
      <c r="V48" s="47">
        <f>'Monthly Data'!BF48</f>
        <v>56748.900641025655</v>
      </c>
      <c r="W48" s="47">
        <f ca="1">+'Monthly Data'!BG48</f>
        <v>36060.424081684068</v>
      </c>
      <c r="X48" s="47">
        <f t="shared" ca="1" si="50"/>
        <v>26365280.768163048</v>
      </c>
    </row>
    <row r="49" spans="1:24">
      <c r="A49" s="2">
        <f>'Monthly Data'!A49</f>
        <v>43800</v>
      </c>
      <c r="B49">
        <f>'Monthly Data'!B49</f>
        <v>2019</v>
      </c>
      <c r="C49">
        <f>'Monthly Data'!C49</f>
        <v>12</v>
      </c>
      <c r="D49" s="3">
        <f>'Monthly Data'!BE49</f>
        <v>31541363.377651349</v>
      </c>
      <c r="E49" s="3">
        <f t="shared" ref="E49:F49" ca="1" si="56">E37</f>
        <v>602.38541666666674</v>
      </c>
      <c r="F49" s="3">
        <f t="shared" ca="1" si="56"/>
        <v>0</v>
      </c>
      <c r="G49" s="3">
        <f>'Monthly Data'!EM49</f>
        <v>0</v>
      </c>
      <c r="H49" s="3">
        <f>'Monthly Data'!ET49</f>
        <v>0</v>
      </c>
      <c r="I49" s="3">
        <f>'Monthly Data'!EG49</f>
        <v>0</v>
      </c>
      <c r="J49">
        <f>'Monthly Data'!EH49</f>
        <v>48</v>
      </c>
      <c r="K49" s="3">
        <f>'Monthly Data'!DQ49</f>
        <v>31</v>
      </c>
      <c r="M49" s="3">
        <f t="shared" si="32"/>
        <v>-5660024.0454457896</v>
      </c>
      <c r="N49" s="3">
        <f t="shared" ca="1" si="33"/>
        <v>8593870.0787340421</v>
      </c>
      <c r="O49" s="3">
        <f t="shared" ca="1" si="34"/>
        <v>0</v>
      </c>
      <c r="P49" s="3">
        <f t="shared" si="35"/>
        <v>0</v>
      </c>
      <c r="Q49" s="3">
        <f t="shared" si="36"/>
        <v>0</v>
      </c>
      <c r="R49" s="3">
        <f t="shared" si="37"/>
        <v>0</v>
      </c>
      <c r="S49" s="3">
        <f t="shared" si="38"/>
        <v>2274914.4219948333</v>
      </c>
      <c r="T49" s="3">
        <f t="shared" si="39"/>
        <v>24925623.239568908</v>
      </c>
      <c r="U49" s="47">
        <f t="shared" ca="1" si="49"/>
        <v>30134383.694851995</v>
      </c>
      <c r="V49" s="47">
        <f>'Monthly Data'!BF49</f>
        <v>58249.237820512833</v>
      </c>
      <c r="W49" s="47">
        <f ca="1">+'Monthly Data'!BG49</f>
        <v>41826.563439814505</v>
      </c>
      <c r="X49" s="47">
        <f t="shared" ca="1" si="50"/>
        <v>30234459.496112324</v>
      </c>
    </row>
    <row r="50" spans="1:24">
      <c r="A50" s="2">
        <f>'Monthly Data'!A50</f>
        <v>43831</v>
      </c>
      <c r="B50">
        <f>'Monthly Data'!B50</f>
        <v>2020</v>
      </c>
      <c r="C50">
        <f>'Monthly Data'!C50</f>
        <v>1</v>
      </c>
      <c r="D50" s="3">
        <f>'Monthly Data'!BE50</f>
        <v>30225099.865594532</v>
      </c>
      <c r="E50" s="3">
        <f t="shared" ref="E50:F50" ca="1" si="57">E38</f>
        <v>690.78750000000002</v>
      </c>
      <c r="F50" s="3">
        <f t="shared" ca="1" si="57"/>
        <v>0</v>
      </c>
      <c r="G50" s="3">
        <f>'Monthly Data'!EM50</f>
        <v>0</v>
      </c>
      <c r="H50" s="3">
        <f>'Monthly Data'!ET50</f>
        <v>0</v>
      </c>
      <c r="I50" s="3">
        <f>'Monthly Data'!EG50</f>
        <v>0</v>
      </c>
      <c r="J50">
        <f>'Monthly Data'!EH50</f>
        <v>49</v>
      </c>
      <c r="K50" s="3">
        <f>'Monthly Data'!DQ50</f>
        <v>31</v>
      </c>
      <c r="M50" s="3">
        <f t="shared" si="32"/>
        <v>-5660024.0454457896</v>
      </c>
      <c r="N50" s="3">
        <f t="shared" ca="1" si="33"/>
        <v>9855049.3799528815</v>
      </c>
      <c r="O50" s="3">
        <f t="shared" ca="1" si="34"/>
        <v>0</v>
      </c>
      <c r="P50" s="3">
        <f t="shared" si="35"/>
        <v>0</v>
      </c>
      <c r="Q50" s="3">
        <f t="shared" si="36"/>
        <v>0</v>
      </c>
      <c r="R50" s="3">
        <f t="shared" si="37"/>
        <v>0</v>
      </c>
      <c r="S50" s="3">
        <f t="shared" si="38"/>
        <v>2322308.4724530592</v>
      </c>
      <c r="T50" s="3">
        <f t="shared" si="39"/>
        <v>24925623.239568908</v>
      </c>
      <c r="U50" s="47">
        <f t="shared" ca="1" si="49"/>
        <v>31442957.046529058</v>
      </c>
      <c r="V50" s="47">
        <f>'Monthly Data'!BF50</f>
        <v>61404.511666666673</v>
      </c>
      <c r="W50" s="47">
        <f ca="1">+'Monthly Data'!BG50</f>
        <v>191511.71452957939</v>
      </c>
      <c r="X50" s="47">
        <f t="shared" ca="1" si="50"/>
        <v>31695873.272725303</v>
      </c>
    </row>
    <row r="51" spans="1:24">
      <c r="A51" s="2">
        <f>'Monthly Data'!A51</f>
        <v>43862</v>
      </c>
      <c r="B51">
        <f>'Monthly Data'!B51</f>
        <v>2020</v>
      </c>
      <c r="C51">
        <f>'Monthly Data'!C51</f>
        <v>2</v>
      </c>
      <c r="D51" s="3">
        <f>'Monthly Data'!BE51</f>
        <v>28085370.737541087</v>
      </c>
      <c r="E51" s="3">
        <f t="shared" ref="E51:F51" ca="1" si="58">E39</f>
        <v>604.19541666666657</v>
      </c>
      <c r="F51" s="3">
        <f t="shared" ca="1" si="58"/>
        <v>0</v>
      </c>
      <c r="G51" s="3">
        <f>'Monthly Data'!EM51</f>
        <v>0</v>
      </c>
      <c r="H51" s="3">
        <f>'Monthly Data'!ET51</f>
        <v>0</v>
      </c>
      <c r="I51" s="3">
        <f>'Monthly Data'!EG51</f>
        <v>0</v>
      </c>
      <c r="J51">
        <f>'Monthly Data'!EH51</f>
        <v>50</v>
      </c>
      <c r="K51" s="3">
        <f>'Monthly Data'!DQ51</f>
        <v>29</v>
      </c>
      <c r="M51" s="3">
        <f t="shared" si="32"/>
        <v>-5660024.0454457896</v>
      </c>
      <c r="N51" s="3">
        <f t="shared" ca="1" si="33"/>
        <v>8619692.2590394374</v>
      </c>
      <c r="O51" s="3">
        <f t="shared" ca="1" si="34"/>
        <v>0</v>
      </c>
      <c r="P51" s="3">
        <f t="shared" si="35"/>
        <v>0</v>
      </c>
      <c r="Q51" s="3">
        <f t="shared" si="36"/>
        <v>0</v>
      </c>
      <c r="R51" s="3">
        <f t="shared" si="37"/>
        <v>0</v>
      </c>
      <c r="S51" s="3">
        <f t="shared" si="38"/>
        <v>2369702.5229112851</v>
      </c>
      <c r="T51" s="3">
        <f t="shared" si="39"/>
        <v>23317518.514435429</v>
      </c>
      <c r="U51" s="47">
        <f t="shared" ca="1" si="49"/>
        <v>28646889.25094036</v>
      </c>
      <c r="V51" s="47">
        <f>'Monthly Data'!BF51</f>
        <v>63059.448333333341</v>
      </c>
      <c r="W51" s="47">
        <f ca="1">+'Monthly Data'!BG51</f>
        <v>188947.09175637108</v>
      </c>
      <c r="X51" s="47">
        <f t="shared" ca="1" si="50"/>
        <v>28898895.791030064</v>
      </c>
    </row>
    <row r="52" spans="1:24">
      <c r="A52" s="2">
        <f>'Monthly Data'!A52</f>
        <v>43891</v>
      </c>
      <c r="B52">
        <f>'Monthly Data'!B52</f>
        <v>2020</v>
      </c>
      <c r="C52">
        <f>'Monthly Data'!C52</f>
        <v>3</v>
      </c>
      <c r="D52" s="3">
        <f>'Monthly Data'!BE52</f>
        <v>28695730.8053938</v>
      </c>
      <c r="E52" s="3">
        <f t="shared" ref="E52:F52" ca="1" si="59">E40</f>
        <v>534.21590579710141</v>
      </c>
      <c r="F52" s="3">
        <f t="shared" ca="1" si="59"/>
        <v>0</v>
      </c>
      <c r="G52" s="3">
        <f>'Monthly Data'!EM52</f>
        <v>271.78541666666672</v>
      </c>
      <c r="H52" s="3">
        <f>'Monthly Data'!ET52</f>
        <v>0</v>
      </c>
      <c r="I52" s="3">
        <f>'Monthly Data'!EG52</f>
        <v>1</v>
      </c>
      <c r="J52">
        <f>'Monthly Data'!EH52</f>
        <v>51</v>
      </c>
      <c r="K52" s="3">
        <f>'Monthly Data'!DQ52</f>
        <v>31</v>
      </c>
      <c r="M52" s="3">
        <f t="shared" si="32"/>
        <v>-5660024.0454457896</v>
      </c>
      <c r="N52" s="3">
        <f t="shared" ca="1" si="33"/>
        <v>7621336.7080132328</v>
      </c>
      <c r="O52" s="3">
        <f t="shared" ca="1" si="34"/>
        <v>0</v>
      </c>
      <c r="P52" s="3">
        <f t="shared" si="35"/>
        <v>1290612.0594356416</v>
      </c>
      <c r="Q52" s="3">
        <f t="shared" si="36"/>
        <v>0</v>
      </c>
      <c r="R52" s="3">
        <f t="shared" si="37"/>
        <v>-701201.51304507197</v>
      </c>
      <c r="S52" s="3">
        <f t="shared" si="38"/>
        <v>2417096.5733695105</v>
      </c>
      <c r="T52" s="3">
        <f t="shared" si="39"/>
        <v>24925623.239568908</v>
      </c>
      <c r="U52" s="47">
        <f t="shared" ca="1" si="49"/>
        <v>29893443.021896429</v>
      </c>
      <c r="V52" s="47">
        <f>'Monthly Data'!BF52</f>
        <v>64714.385000000009</v>
      </c>
      <c r="W52" s="47">
        <f ca="1">+'Monthly Data'!BG52</f>
        <v>146665.71314156259</v>
      </c>
      <c r="X52" s="47">
        <f t="shared" ca="1" si="50"/>
        <v>30104823.120037995</v>
      </c>
    </row>
    <row r="53" spans="1:24">
      <c r="A53" s="2">
        <f>'Monthly Data'!A53</f>
        <v>43922</v>
      </c>
      <c r="B53">
        <f>'Monthly Data'!B53</f>
        <v>2020</v>
      </c>
      <c r="C53">
        <f>'Monthly Data'!C53</f>
        <v>4</v>
      </c>
      <c r="D53" s="3">
        <f>'Monthly Data'!BE53</f>
        <v>27587121.222299505</v>
      </c>
      <c r="E53" s="3">
        <f t="shared" ref="E53:F53" ca="1" si="60">E41</f>
        <v>352.92312500000003</v>
      </c>
      <c r="F53" s="3">
        <f t="shared" ca="1" si="60"/>
        <v>2.2025000000000015</v>
      </c>
      <c r="G53" s="3">
        <f>'Monthly Data'!EM53</f>
        <v>439.67500000000013</v>
      </c>
      <c r="H53" s="3">
        <f>'Monthly Data'!ET53</f>
        <v>0</v>
      </c>
      <c r="I53" s="3">
        <f>'Monthly Data'!EG53</f>
        <v>1</v>
      </c>
      <c r="J53">
        <f>'Monthly Data'!EH53</f>
        <v>52</v>
      </c>
      <c r="K53" s="3">
        <f>'Monthly Data'!DQ53</f>
        <v>30</v>
      </c>
      <c r="M53" s="3">
        <f t="shared" si="32"/>
        <v>-5660024.0454457896</v>
      </c>
      <c r="N53" s="3">
        <f t="shared" ca="1" si="33"/>
        <v>5034941.7501073536</v>
      </c>
      <c r="O53" s="3">
        <f t="shared" ca="1" si="34"/>
        <v>201258.63825014042</v>
      </c>
      <c r="P53" s="3">
        <f t="shared" si="35"/>
        <v>2087859.8424886023</v>
      </c>
      <c r="Q53" s="3">
        <f t="shared" si="36"/>
        <v>0</v>
      </c>
      <c r="R53" s="3">
        <f t="shared" si="37"/>
        <v>-701201.51304507197</v>
      </c>
      <c r="S53" s="3">
        <f t="shared" si="38"/>
        <v>2464490.6238277364</v>
      </c>
      <c r="T53" s="3">
        <f t="shared" si="39"/>
        <v>24121570.877002168</v>
      </c>
      <c r="U53" s="47">
        <f t="shared" ca="1" si="49"/>
        <v>27548896.17318514</v>
      </c>
      <c r="V53" s="47">
        <f>'Monthly Data'!BF53</f>
        <v>66369.32166666667</v>
      </c>
      <c r="W53" s="47">
        <f ca="1">+'Monthly Data'!BG53</f>
        <v>115632.63549742136</v>
      </c>
      <c r="X53" s="47">
        <f t="shared" ca="1" si="50"/>
        <v>27730898.130349226</v>
      </c>
    </row>
    <row r="54" spans="1:24">
      <c r="A54" s="2">
        <f>'Monthly Data'!A54</f>
        <v>43952</v>
      </c>
      <c r="B54">
        <f>'Monthly Data'!B54</f>
        <v>2020</v>
      </c>
      <c r="C54">
        <f>'Monthly Data'!C54</f>
        <v>5</v>
      </c>
      <c r="D54" s="3">
        <f>'Monthly Data'!BE54</f>
        <v>30698108.359589659</v>
      </c>
      <c r="E54" s="3">
        <f t="shared" ref="E54:F54" ca="1" si="61">E42</f>
        <v>155.24720841877425</v>
      </c>
      <c r="F54" s="3">
        <f t="shared" ca="1" si="61"/>
        <v>48.940113636363641</v>
      </c>
      <c r="G54" s="3">
        <f>'Monthly Data'!EM54</f>
        <v>265.14107142857148</v>
      </c>
      <c r="H54" s="3">
        <f>'Monthly Data'!ET54</f>
        <v>50.900595238095221</v>
      </c>
      <c r="I54" s="3">
        <f>'Monthly Data'!EG54</f>
        <v>1</v>
      </c>
      <c r="J54">
        <f>'Monthly Data'!EH54</f>
        <v>53</v>
      </c>
      <c r="K54" s="3">
        <f>'Monthly Data'!DQ54</f>
        <v>31</v>
      </c>
      <c r="M54" s="3">
        <f t="shared" si="32"/>
        <v>-5660024.0454457896</v>
      </c>
      <c r="N54" s="3">
        <f t="shared" ca="1" si="33"/>
        <v>2214818.4572923756</v>
      </c>
      <c r="O54" s="3">
        <f t="shared" ca="1" si="34"/>
        <v>4472018.4455217561</v>
      </c>
      <c r="P54" s="3">
        <f t="shared" si="35"/>
        <v>1259060.4324333118</v>
      </c>
      <c r="Q54" s="3">
        <f t="shared" si="36"/>
        <v>622015.43116161553</v>
      </c>
      <c r="R54" s="3">
        <f t="shared" si="37"/>
        <v>-701201.51304507197</v>
      </c>
      <c r="S54" s="3">
        <f t="shared" si="38"/>
        <v>2511884.6742859618</v>
      </c>
      <c r="T54" s="3">
        <f t="shared" si="39"/>
        <v>24925623.239568908</v>
      </c>
      <c r="U54" s="47">
        <f t="shared" ca="1" si="49"/>
        <v>29644195.121773068</v>
      </c>
      <c r="V54" s="47">
        <f>'Monthly Data'!BF54</f>
        <v>68024.258333333346</v>
      </c>
      <c r="W54" s="47">
        <f ca="1">+'Monthly Data'!BG54</f>
        <v>64790.489142511258</v>
      </c>
      <c r="X54" s="47">
        <f t="shared" ca="1" si="50"/>
        <v>29777009.869248912</v>
      </c>
    </row>
    <row r="55" spans="1:24">
      <c r="A55" s="2">
        <f>'Monthly Data'!A55</f>
        <v>43983</v>
      </c>
      <c r="B55">
        <f>'Monthly Data'!B55</f>
        <v>2020</v>
      </c>
      <c r="C55">
        <f>'Monthly Data'!C55</f>
        <v>6</v>
      </c>
      <c r="D55" s="3">
        <f>'Monthly Data'!BE55</f>
        <v>38666018.771530479</v>
      </c>
      <c r="E55" s="3">
        <f t="shared" ref="E55:F55" ca="1" si="62">E43</f>
        <v>30.273840492840492</v>
      </c>
      <c r="F55" s="3">
        <f t="shared" ca="1" si="62"/>
        <v>144.91160087738351</v>
      </c>
      <c r="G55" s="3">
        <f>'Monthly Data'!EM55</f>
        <v>26.637500000000003</v>
      </c>
      <c r="H55" s="3">
        <f>'Monthly Data'!ET55</f>
        <v>82.984782608695639</v>
      </c>
      <c r="I55" s="3">
        <f>'Monthly Data'!EG55</f>
        <v>0</v>
      </c>
      <c r="J55">
        <f>'Monthly Data'!EH55</f>
        <v>54</v>
      </c>
      <c r="K55" s="3">
        <f>'Monthly Data'!DQ55</f>
        <v>30</v>
      </c>
      <c r="M55" s="3">
        <f t="shared" si="32"/>
        <v>-5660024.0454457896</v>
      </c>
      <c r="N55" s="3">
        <f t="shared" ca="1" si="33"/>
        <v>431898.65621158475</v>
      </c>
      <c r="O55" s="3">
        <f t="shared" ca="1" si="34"/>
        <v>13241639.709071528</v>
      </c>
      <c r="P55" s="3">
        <f t="shared" si="35"/>
        <v>126491.99193561183</v>
      </c>
      <c r="Q55" s="3">
        <f t="shared" si="36"/>
        <v>1014090.6033171249</v>
      </c>
      <c r="R55" s="3">
        <f t="shared" si="37"/>
        <v>0</v>
      </c>
      <c r="S55" s="3">
        <f t="shared" si="38"/>
        <v>2559278.7247441877</v>
      </c>
      <c r="T55" s="3">
        <f t="shared" si="39"/>
        <v>24121570.877002168</v>
      </c>
      <c r="U55" s="47">
        <f t="shared" ca="1" si="49"/>
        <v>35834946.51683642</v>
      </c>
      <c r="V55" s="47">
        <f>'Monthly Data'!BF55</f>
        <v>69679.195000000007</v>
      </c>
      <c r="W55" s="47">
        <f ca="1">+'Monthly Data'!BG55</f>
        <v>9055.4913951581275</v>
      </c>
      <c r="X55" s="47">
        <f t="shared" ca="1" si="50"/>
        <v>35913681.203231581</v>
      </c>
    </row>
    <row r="56" spans="1:24">
      <c r="A56" s="2">
        <f>'Monthly Data'!A56</f>
        <v>44013</v>
      </c>
      <c r="B56">
        <f>'Monthly Data'!B56</f>
        <v>2020</v>
      </c>
      <c r="C56">
        <f>'Monthly Data'!C56</f>
        <v>7</v>
      </c>
      <c r="D56" s="3">
        <f>'Monthly Data'!BE56</f>
        <v>52884414.346289635</v>
      </c>
      <c r="E56" s="3">
        <f t="shared" ref="E56:F56" ca="1" si="63">E44</f>
        <v>1.0845833333333317</v>
      </c>
      <c r="F56" s="3">
        <f t="shared" ca="1" si="63"/>
        <v>242.72508692061183</v>
      </c>
      <c r="G56" s="3">
        <f>'Monthly Data'!EM56</f>
        <v>0</v>
      </c>
      <c r="H56" s="3">
        <f>'Monthly Data'!ET56</f>
        <v>154.44375000000002</v>
      </c>
      <c r="I56" s="3">
        <f>'Monthly Data'!EG56</f>
        <v>0</v>
      </c>
      <c r="J56">
        <f>'Monthly Data'!EH56</f>
        <v>55</v>
      </c>
      <c r="K56" s="3">
        <f>'Monthly Data'!DQ56</f>
        <v>31</v>
      </c>
      <c r="M56" s="3">
        <f t="shared" si="32"/>
        <v>-5660024.0454457896</v>
      </c>
      <c r="N56" s="3">
        <f t="shared" ca="1" si="33"/>
        <v>15473.097452796814</v>
      </c>
      <c r="O56" s="3">
        <f t="shared" ca="1" si="34"/>
        <v>22179577.962673906</v>
      </c>
      <c r="P56" s="3">
        <f t="shared" si="35"/>
        <v>0</v>
      </c>
      <c r="Q56" s="3">
        <f t="shared" si="36"/>
        <v>1887333.4446699829</v>
      </c>
      <c r="R56" s="3">
        <f t="shared" si="37"/>
        <v>0</v>
      </c>
      <c r="S56" s="3">
        <f t="shared" si="38"/>
        <v>2606672.7752024136</v>
      </c>
      <c r="T56" s="3">
        <f t="shared" si="39"/>
        <v>24925623.239568908</v>
      </c>
      <c r="U56" s="47">
        <f t="shared" ca="1" si="49"/>
        <v>45954656.474122219</v>
      </c>
      <c r="V56" s="47">
        <f>'Monthly Data'!BF56</f>
        <v>71334.131666666683</v>
      </c>
      <c r="W56" s="47">
        <f ca="1">+'Monthly Data'!BG56</f>
        <v>0</v>
      </c>
      <c r="X56" s="47">
        <f t="shared" ca="1" si="50"/>
        <v>46025990.605788887</v>
      </c>
    </row>
    <row r="57" spans="1:24">
      <c r="A57" s="2">
        <f>'Monthly Data'!A57</f>
        <v>44044</v>
      </c>
      <c r="B57">
        <f>'Monthly Data'!B57</f>
        <v>2020</v>
      </c>
      <c r="C57">
        <f>'Monthly Data'!C57</f>
        <v>8</v>
      </c>
      <c r="D57" s="3">
        <f>'Monthly Data'!BE57</f>
        <v>43853441.776462704</v>
      </c>
      <c r="E57" s="3">
        <f t="shared" ref="E57:F57" ca="1" si="64">E45</f>
        <v>6.4245833333333335</v>
      </c>
      <c r="F57" s="3">
        <f t="shared" ca="1" si="64"/>
        <v>214.02558794466404</v>
      </c>
      <c r="G57" s="3">
        <f>'Monthly Data'!EM57</f>
        <v>9.8604166666666604</v>
      </c>
      <c r="H57" s="3">
        <f>'Monthly Data'!ET57</f>
        <v>108.46553030303032</v>
      </c>
      <c r="I57" s="3">
        <f>'Monthly Data'!EG57</f>
        <v>0</v>
      </c>
      <c r="J57">
        <f>'Monthly Data'!EH57</f>
        <v>56</v>
      </c>
      <c r="K57" s="3">
        <f>'Monthly Data'!DQ57</f>
        <v>31</v>
      </c>
      <c r="M57" s="3">
        <f t="shared" si="32"/>
        <v>-5660024.0454457896</v>
      </c>
      <c r="N57" s="3">
        <f t="shared" ca="1" si="33"/>
        <v>91655.662552698588</v>
      </c>
      <c r="O57" s="3">
        <f t="shared" ca="1" si="34"/>
        <v>19557093.475790568</v>
      </c>
      <c r="P57" s="3">
        <f t="shared" si="35"/>
        <v>46823.603772192269</v>
      </c>
      <c r="Q57" s="3">
        <f t="shared" si="36"/>
        <v>1325470.4248943359</v>
      </c>
      <c r="R57" s="3">
        <f t="shared" si="37"/>
        <v>0</v>
      </c>
      <c r="S57" s="3">
        <f t="shared" si="38"/>
        <v>2654066.825660639</v>
      </c>
      <c r="T57" s="3">
        <f t="shared" si="39"/>
        <v>24925623.239568908</v>
      </c>
      <c r="U57" s="47">
        <f t="shared" ca="1" si="49"/>
        <v>42940709.186793551</v>
      </c>
      <c r="V57" s="47">
        <f>'Monthly Data'!BF57</f>
        <v>72989.068333333344</v>
      </c>
      <c r="W57" s="47">
        <f ca="1">+'Monthly Data'!BG57</f>
        <v>1062.1421381372395</v>
      </c>
      <c r="X57" s="47">
        <f t="shared" ca="1" si="50"/>
        <v>43014760.397265024</v>
      </c>
    </row>
    <row r="58" spans="1:24">
      <c r="A58" s="2">
        <f>'Monthly Data'!A58</f>
        <v>44075</v>
      </c>
      <c r="B58">
        <f>'Monthly Data'!B58</f>
        <v>2020</v>
      </c>
      <c r="C58">
        <f>'Monthly Data'!C58</f>
        <v>9</v>
      </c>
      <c r="D58" s="3">
        <f>'Monthly Data'!BE58</f>
        <v>29946855.289398734</v>
      </c>
      <c r="E58" s="3">
        <f t="shared" ref="E58:F58" ca="1" si="65">E46</f>
        <v>54.412952898550728</v>
      </c>
      <c r="F58" s="3">
        <f t="shared" ca="1" si="65"/>
        <v>102.40708333333332</v>
      </c>
      <c r="G58" s="3">
        <f>'Monthly Data'!EM58</f>
        <v>66.37934782608697</v>
      </c>
      <c r="H58" s="3">
        <f>'Monthly Data'!ET58</f>
        <v>37.906249999999986</v>
      </c>
      <c r="I58" s="3">
        <f>'Monthly Data'!EG58</f>
        <v>1</v>
      </c>
      <c r="J58">
        <f>'Monthly Data'!EH58</f>
        <v>57</v>
      </c>
      <c r="K58" s="3">
        <f>'Monthly Data'!DQ58</f>
        <v>30</v>
      </c>
      <c r="M58" s="3">
        <f t="shared" si="32"/>
        <v>-5660024.0454457896</v>
      </c>
      <c r="N58" s="3">
        <f t="shared" ca="1" si="33"/>
        <v>776276.8401632451</v>
      </c>
      <c r="O58" s="3">
        <f t="shared" ca="1" si="34"/>
        <v>9357689.0528196599</v>
      </c>
      <c r="P58" s="3">
        <f t="shared" si="35"/>
        <v>315211.86034382228</v>
      </c>
      <c r="Q58" s="3">
        <f t="shared" si="36"/>
        <v>463221.93929518998</v>
      </c>
      <c r="R58" s="3">
        <f t="shared" si="37"/>
        <v>-701201.51304507197</v>
      </c>
      <c r="S58" s="3">
        <f t="shared" si="38"/>
        <v>2701460.8761188649</v>
      </c>
      <c r="T58" s="3">
        <f t="shared" si="39"/>
        <v>24121570.877002168</v>
      </c>
      <c r="U58" s="47">
        <f t="shared" ca="1" si="49"/>
        <v>31374205.887252089</v>
      </c>
      <c r="V58" s="47">
        <f>'Monthly Data'!BF58</f>
        <v>74644.005000000005</v>
      </c>
      <c r="W58" s="47">
        <f ca="1">+'Monthly Data'!BG58</f>
        <v>25900.135483353646</v>
      </c>
      <c r="X58" s="47">
        <f t="shared" ca="1" si="50"/>
        <v>31474750.027735442</v>
      </c>
    </row>
    <row r="59" spans="1:24">
      <c r="A59" s="2">
        <f>'Monthly Data'!A59</f>
        <v>44105</v>
      </c>
      <c r="B59">
        <f>'Monthly Data'!B59</f>
        <v>2020</v>
      </c>
      <c r="C59">
        <f>'Monthly Data'!C59</f>
        <v>10</v>
      </c>
      <c r="D59" s="3">
        <f>'Monthly Data'!BE59</f>
        <v>27564334.790061668</v>
      </c>
      <c r="E59" s="3">
        <f t="shared" ref="E59:F59" ca="1" si="66">E47</f>
        <v>232.21431159420285</v>
      </c>
      <c r="F59" s="3">
        <f t="shared" ca="1" si="66"/>
        <v>19.741250000000004</v>
      </c>
      <c r="G59" s="3">
        <f>'Monthly Data'!EM59</f>
        <v>174.91666666666663</v>
      </c>
      <c r="H59" s="3">
        <f>'Monthly Data'!ET59</f>
        <v>1.9645833333333327</v>
      </c>
      <c r="I59" s="3">
        <f>'Monthly Data'!EG59</f>
        <v>1</v>
      </c>
      <c r="J59">
        <f>'Monthly Data'!EH59</f>
        <v>58</v>
      </c>
      <c r="K59" s="3">
        <f>'Monthly Data'!DQ59</f>
        <v>31</v>
      </c>
      <c r="M59" s="3">
        <f t="shared" si="32"/>
        <v>-5660024.0454457896</v>
      </c>
      <c r="N59" s="3">
        <f t="shared" ca="1" si="33"/>
        <v>3312861.7809277582</v>
      </c>
      <c r="O59" s="3">
        <f t="shared" ca="1" si="34"/>
        <v>1803903.3336461217</v>
      </c>
      <c r="P59" s="3">
        <f t="shared" si="35"/>
        <v>830616.89683356532</v>
      </c>
      <c r="Q59" s="3">
        <f t="shared" si="36"/>
        <v>24007.600371275854</v>
      </c>
      <c r="R59" s="3">
        <f t="shared" si="37"/>
        <v>-701201.51304507197</v>
      </c>
      <c r="S59" s="3">
        <f t="shared" si="38"/>
        <v>2748854.9265770903</v>
      </c>
      <c r="T59" s="3">
        <f t="shared" si="39"/>
        <v>24925623.239568908</v>
      </c>
      <c r="U59" s="47">
        <f t="shared" ca="1" si="49"/>
        <v>27284642.219433859</v>
      </c>
      <c r="V59" s="47">
        <f>'Monthly Data'!BF59</f>
        <v>76298.94166666668</v>
      </c>
      <c r="W59" s="47">
        <f ca="1">+'Monthly Data'!BG59</f>
        <v>87661.623539451102</v>
      </c>
      <c r="X59" s="47">
        <f t="shared" ca="1" si="50"/>
        <v>27448602.784639977</v>
      </c>
    </row>
    <row r="60" spans="1:24">
      <c r="A60" s="2">
        <f>'Monthly Data'!A60</f>
        <v>44136</v>
      </c>
      <c r="B60">
        <f>'Monthly Data'!B60</f>
        <v>2020</v>
      </c>
      <c r="C60">
        <f>'Monthly Data'!C60</f>
        <v>11</v>
      </c>
      <c r="D60" s="3">
        <f>'Monthly Data'!BE60</f>
        <v>28100106.078566764</v>
      </c>
      <c r="E60" s="3">
        <f t="shared" ref="E60:F60" ca="1" si="67">E48</f>
        <v>435.51408055712398</v>
      </c>
      <c r="F60" s="3">
        <f t="shared" ca="1" si="67"/>
        <v>0.78124999999999944</v>
      </c>
      <c r="G60" s="3">
        <f>'Monthly Data'!EM60</f>
        <v>213.15036231884056</v>
      </c>
      <c r="H60" s="3">
        <f>'Monthly Data'!ET60</f>
        <v>0</v>
      </c>
      <c r="I60" s="3">
        <f>'Monthly Data'!EG60</f>
        <v>1</v>
      </c>
      <c r="J60">
        <f>'Monthly Data'!EH60</f>
        <v>59</v>
      </c>
      <c r="K60" s="3">
        <f>'Monthly Data'!DQ60</f>
        <v>30</v>
      </c>
      <c r="M60" s="3">
        <f t="shared" si="32"/>
        <v>-5660024.0454457896</v>
      </c>
      <c r="N60" s="3">
        <f t="shared" ca="1" si="33"/>
        <v>6213217.1898814524</v>
      </c>
      <c r="O60" s="3">
        <f t="shared" ca="1" si="34"/>
        <v>71388.563510974796</v>
      </c>
      <c r="P60" s="3">
        <f t="shared" si="35"/>
        <v>1012175.0881842335</v>
      </c>
      <c r="Q60" s="3">
        <f t="shared" si="36"/>
        <v>0</v>
      </c>
      <c r="R60" s="3">
        <f t="shared" si="37"/>
        <v>-701201.51304507197</v>
      </c>
      <c r="S60" s="3">
        <f t="shared" si="38"/>
        <v>2796248.9770353162</v>
      </c>
      <c r="T60" s="3">
        <f t="shared" si="39"/>
        <v>24121570.877002168</v>
      </c>
      <c r="U60" s="47">
        <f t="shared" ca="1" si="49"/>
        <v>27853375.137123283</v>
      </c>
      <c r="V60" s="47">
        <f>'Monthly Data'!BF60</f>
        <v>77953.878333333341</v>
      </c>
      <c r="W60" s="47">
        <f ca="1">+'Monthly Data'!BG60</f>
        <v>111559.40784742289</v>
      </c>
      <c r="X60" s="47">
        <f t="shared" ca="1" si="50"/>
        <v>28042888.42330404</v>
      </c>
    </row>
    <row r="61" spans="1:24">
      <c r="A61" s="2">
        <f>'Monthly Data'!A61</f>
        <v>44166</v>
      </c>
      <c r="B61">
        <f>'Monthly Data'!B61</f>
        <v>2020</v>
      </c>
      <c r="C61">
        <f>'Monthly Data'!C61</f>
        <v>12</v>
      </c>
      <c r="D61" s="3">
        <f>'Monthly Data'!BE61</f>
        <v>33541571.294209413</v>
      </c>
      <c r="E61" s="3">
        <f t="shared" ref="E61:F61" ca="1" si="68">E49</f>
        <v>602.38541666666674</v>
      </c>
      <c r="F61" s="3">
        <f t="shared" ca="1" si="68"/>
        <v>0</v>
      </c>
      <c r="G61" s="3">
        <f>'Monthly Data'!EM61</f>
        <v>322.45208333333341</v>
      </c>
      <c r="H61" s="3">
        <f>'Monthly Data'!ET61</f>
        <v>0</v>
      </c>
      <c r="I61" s="3">
        <f>'Monthly Data'!EG61</f>
        <v>0</v>
      </c>
      <c r="J61">
        <f>'Monthly Data'!EH61</f>
        <v>60</v>
      </c>
      <c r="K61" s="3">
        <f>'Monthly Data'!DQ61</f>
        <v>31</v>
      </c>
      <c r="M61" s="3">
        <f t="shared" si="32"/>
        <v>-5660024.0454457896</v>
      </c>
      <c r="N61" s="3">
        <f t="shared" ca="1" si="33"/>
        <v>8593870.0787340421</v>
      </c>
      <c r="O61" s="3">
        <f t="shared" ca="1" si="34"/>
        <v>0</v>
      </c>
      <c r="P61" s="3">
        <f t="shared" si="35"/>
        <v>1531209.9981087281</v>
      </c>
      <c r="Q61" s="3">
        <f t="shared" si="36"/>
        <v>0</v>
      </c>
      <c r="R61" s="3">
        <f t="shared" si="37"/>
        <v>0</v>
      </c>
      <c r="S61" s="3">
        <f t="shared" si="38"/>
        <v>2843643.0274935421</v>
      </c>
      <c r="T61" s="3">
        <f t="shared" si="39"/>
        <v>24925623.239568908</v>
      </c>
      <c r="U61" s="47">
        <f t="shared" ca="1" si="49"/>
        <v>32234322.298459429</v>
      </c>
      <c r="V61" s="47">
        <f>'Monthly Data'!BF61</f>
        <v>79608.815000000017</v>
      </c>
      <c r="W61" s="47">
        <f ca="1">+'Monthly Data'!BG61</f>
        <v>177527.47753761717</v>
      </c>
      <c r="X61" s="47">
        <f t="shared" ca="1" si="50"/>
        <v>32491458.590997048</v>
      </c>
    </row>
    <row r="62" spans="1:24">
      <c r="A62" s="2">
        <f>'Monthly Data'!A62</f>
        <v>44197</v>
      </c>
      <c r="B62">
        <f>'Monthly Data'!B62</f>
        <v>2021</v>
      </c>
      <c r="C62">
        <f>'Monthly Data'!C62</f>
        <v>1</v>
      </c>
      <c r="D62" s="3">
        <f ca="1">'Monthly Data'!BE62</f>
        <v>33060529.53418494</v>
      </c>
      <c r="E62" s="3">
        <f t="shared" ref="E62:F62" ca="1" si="69">E50</f>
        <v>690.78750000000002</v>
      </c>
      <c r="F62" s="3">
        <f t="shared" ca="1" si="69"/>
        <v>0</v>
      </c>
      <c r="G62" s="3">
        <f>'Monthly Data'!EM62</f>
        <v>357.7520833333333</v>
      </c>
      <c r="H62" s="3">
        <f>'Monthly Data'!ET62</f>
        <v>0</v>
      </c>
      <c r="I62" s="3">
        <f>'Monthly Data'!EG62</f>
        <v>0</v>
      </c>
      <c r="J62">
        <f>'Monthly Data'!EH62</f>
        <v>61</v>
      </c>
      <c r="K62" s="3">
        <f>'Monthly Data'!DQ62</f>
        <v>31</v>
      </c>
      <c r="M62" s="3">
        <f t="shared" si="32"/>
        <v>-5660024.0454457896</v>
      </c>
      <c r="N62" s="3">
        <f t="shared" ca="1" si="33"/>
        <v>9855049.3799528815</v>
      </c>
      <c r="O62" s="3">
        <f t="shared" ca="1" si="34"/>
        <v>0</v>
      </c>
      <c r="P62" s="3">
        <f t="shared" si="35"/>
        <v>1698837.1145921473</v>
      </c>
      <c r="Q62" s="3">
        <f t="shared" si="36"/>
        <v>0</v>
      </c>
      <c r="R62" s="3">
        <f t="shared" si="37"/>
        <v>0</v>
      </c>
      <c r="S62" s="3">
        <f t="shared" si="38"/>
        <v>2891037.0779517675</v>
      </c>
      <c r="T62" s="3">
        <f t="shared" si="39"/>
        <v>24925623.239568908</v>
      </c>
      <c r="U62" s="47">
        <f t="shared" ca="1" si="49"/>
        <v>33710522.766619913</v>
      </c>
      <c r="V62" s="47">
        <f>'Monthly Data'!BF62</f>
        <v>84571.812179487184</v>
      </c>
      <c r="W62" s="47">
        <f ca="1">+'Monthly Data'!BG62</f>
        <v>408196.8923285816</v>
      </c>
      <c r="X62" s="47">
        <f t="shared" ca="1" si="50"/>
        <v>34203291.471127979</v>
      </c>
    </row>
    <row r="63" spans="1:24">
      <c r="A63" s="2">
        <f>'Monthly Data'!A63</f>
        <v>44228</v>
      </c>
      <c r="B63">
        <f>'Monthly Data'!B63</f>
        <v>2021</v>
      </c>
      <c r="C63">
        <f>'Monthly Data'!C63</f>
        <v>2</v>
      </c>
      <c r="D63" s="3">
        <f ca="1">'Monthly Data'!BE63</f>
        <v>30340153.167896137</v>
      </c>
      <c r="E63" s="3">
        <f t="shared" ref="E63:F63" ca="1" si="70">E51</f>
        <v>604.19541666666657</v>
      </c>
      <c r="F63" s="3">
        <f t="shared" ca="1" si="70"/>
        <v>0</v>
      </c>
      <c r="G63" s="3">
        <f>'Monthly Data'!EM63</f>
        <v>354.72708333333327</v>
      </c>
      <c r="H63" s="3">
        <f>'Monthly Data'!ET63</f>
        <v>0</v>
      </c>
      <c r="I63" s="3">
        <f>'Monthly Data'!EG63</f>
        <v>0</v>
      </c>
      <c r="J63">
        <f>'Monthly Data'!EH63</f>
        <v>62</v>
      </c>
      <c r="K63" s="3">
        <f>'Monthly Data'!DQ63</f>
        <v>28</v>
      </c>
      <c r="M63" s="3">
        <f t="shared" si="32"/>
        <v>-5660024.0454457896</v>
      </c>
      <c r="N63" s="3">
        <f t="shared" ca="1" si="33"/>
        <v>8619692.2590394374</v>
      </c>
      <c r="O63" s="3">
        <f t="shared" ca="1" si="34"/>
        <v>0</v>
      </c>
      <c r="P63" s="3">
        <f t="shared" si="35"/>
        <v>1684472.4679246587</v>
      </c>
      <c r="Q63" s="3">
        <f t="shared" si="36"/>
        <v>0</v>
      </c>
      <c r="R63" s="3">
        <f t="shared" si="37"/>
        <v>0</v>
      </c>
      <c r="S63" s="3">
        <f t="shared" si="38"/>
        <v>2938431.1284099934</v>
      </c>
      <c r="T63" s="3">
        <f t="shared" si="39"/>
        <v>22513466.15186869</v>
      </c>
      <c r="U63" s="47">
        <f t="shared" ca="1" si="49"/>
        <v>30096037.961796992</v>
      </c>
      <c r="V63" s="47">
        <f>'Monthly Data'!BF63</f>
        <v>87879.87269230769</v>
      </c>
      <c r="W63" s="47">
        <f ca="1">+'Monthly Data'!BG63</f>
        <v>408165.66093686671</v>
      </c>
      <c r="X63" s="47">
        <f t="shared" ca="1" si="50"/>
        <v>30592083.495426167</v>
      </c>
    </row>
    <row r="64" spans="1:24">
      <c r="A64" s="2">
        <f>'Monthly Data'!A64</f>
        <v>44256</v>
      </c>
      <c r="B64">
        <f>'Monthly Data'!B64</f>
        <v>2021</v>
      </c>
      <c r="C64">
        <f>'Monthly Data'!C64</f>
        <v>3</v>
      </c>
      <c r="D64" s="3">
        <f ca="1">'Monthly Data'!BE64</f>
        <v>29674127.193667971</v>
      </c>
      <c r="E64" s="3">
        <f t="shared" ref="E64:F64" ca="1" si="71">E52</f>
        <v>534.21590579710141</v>
      </c>
      <c r="F64" s="3">
        <f t="shared" ca="1" si="71"/>
        <v>0</v>
      </c>
      <c r="G64" s="3">
        <f>'Monthly Data'!EM64</f>
        <v>277.29818840579713</v>
      </c>
      <c r="H64" s="3">
        <f>'Monthly Data'!ET64</f>
        <v>0</v>
      </c>
      <c r="I64" s="3">
        <f>'Monthly Data'!EG64</f>
        <v>1</v>
      </c>
      <c r="J64">
        <f>'Monthly Data'!EH64</f>
        <v>63</v>
      </c>
      <c r="K64" s="3">
        <f>'Monthly Data'!DQ64</f>
        <v>31</v>
      </c>
      <c r="M64" s="3">
        <f t="shared" si="32"/>
        <v>-5660024.0454457896</v>
      </c>
      <c r="N64" s="3">
        <f t="shared" ca="1" si="33"/>
        <v>7621336.7080132328</v>
      </c>
      <c r="O64" s="3">
        <f t="shared" ca="1" si="34"/>
        <v>0</v>
      </c>
      <c r="P64" s="3">
        <f t="shared" si="35"/>
        <v>1316790.2472674185</v>
      </c>
      <c r="Q64" s="3">
        <f t="shared" si="36"/>
        <v>0</v>
      </c>
      <c r="R64" s="3">
        <f t="shared" si="37"/>
        <v>-701201.51304507197</v>
      </c>
      <c r="S64" s="3">
        <f t="shared" si="38"/>
        <v>2985825.1788682188</v>
      </c>
      <c r="T64" s="3">
        <f t="shared" si="39"/>
        <v>24925623.239568908</v>
      </c>
      <c r="U64" s="47">
        <f t="shared" ca="1" si="49"/>
        <v>30488349.815226916</v>
      </c>
      <c r="V64" s="47">
        <f>'Monthly Data'!BF64</f>
        <v>91187.933205128211</v>
      </c>
      <c r="W64" s="47">
        <f ca="1">+'Monthly Data'!BG64</f>
        <v>307689.40803001006</v>
      </c>
      <c r="X64" s="47">
        <f t="shared" ca="1" si="50"/>
        <v>30887227.156462055</v>
      </c>
    </row>
    <row r="65" spans="1:24">
      <c r="A65" s="2">
        <f>'Monthly Data'!A65</f>
        <v>44287</v>
      </c>
      <c r="B65">
        <f>'Monthly Data'!B65</f>
        <v>2021</v>
      </c>
      <c r="C65">
        <f>'Monthly Data'!C65</f>
        <v>4</v>
      </c>
      <c r="D65" s="3">
        <f ca="1">'Monthly Data'!BE65</f>
        <v>26890372.122003525</v>
      </c>
      <c r="E65" s="3">
        <f t="shared" ref="E65:F65" ca="1" si="72">E53</f>
        <v>352.92312500000003</v>
      </c>
      <c r="F65" s="3">
        <f t="shared" ca="1" si="72"/>
        <v>2.2025000000000015</v>
      </c>
      <c r="G65" s="3">
        <f>'Monthly Data'!EM65</f>
        <v>189.89791666666665</v>
      </c>
      <c r="H65" s="3">
        <f>'Monthly Data'!ET65</f>
        <v>1.854166666666667</v>
      </c>
      <c r="I65" s="3">
        <f>'Monthly Data'!EG65</f>
        <v>1</v>
      </c>
      <c r="J65">
        <f>'Monthly Data'!EH65</f>
        <v>64</v>
      </c>
      <c r="K65" s="3">
        <f>'Monthly Data'!DQ65</f>
        <v>30</v>
      </c>
      <c r="M65" s="3">
        <f t="shared" si="32"/>
        <v>-5660024.0454457896</v>
      </c>
      <c r="N65" s="3">
        <f t="shared" ca="1" si="33"/>
        <v>5034941.7501073536</v>
      </c>
      <c r="O65" s="3">
        <f t="shared" ca="1" si="34"/>
        <v>201258.63825014042</v>
      </c>
      <c r="P65" s="3">
        <f t="shared" si="35"/>
        <v>901757.51266408199</v>
      </c>
      <c r="Q65" s="3">
        <f t="shared" si="36"/>
        <v>22658.286670663332</v>
      </c>
      <c r="R65" s="3">
        <f t="shared" si="37"/>
        <v>-701201.51304507197</v>
      </c>
      <c r="S65" s="3">
        <f t="shared" si="38"/>
        <v>3033219.2293264447</v>
      </c>
      <c r="T65" s="3">
        <f t="shared" si="39"/>
        <v>24121570.877002168</v>
      </c>
      <c r="U65" s="47">
        <f t="shared" ca="1" si="49"/>
        <v>26954180.735529989</v>
      </c>
      <c r="V65" s="47">
        <f>'Monthly Data'!BF65</f>
        <v>94495.993717948717</v>
      </c>
      <c r="W65" s="47">
        <f ca="1">+'Monthly Data'!BG65</f>
        <v>199753.37879196744</v>
      </c>
      <c r="X65" s="47">
        <f t="shared" ca="1" si="50"/>
        <v>27248430.108039908</v>
      </c>
    </row>
    <row r="66" spans="1:24">
      <c r="A66" s="2">
        <f>'Monthly Data'!A66</f>
        <v>44317</v>
      </c>
      <c r="B66">
        <f>'Monthly Data'!B66</f>
        <v>2021</v>
      </c>
      <c r="C66">
        <f>'Monthly Data'!C66</f>
        <v>5</v>
      </c>
      <c r="D66" s="3">
        <f ca="1">'Monthly Data'!BE66</f>
        <v>30126536.180929851</v>
      </c>
      <c r="E66" s="3">
        <f t="shared" ref="E66:F66" ca="1" si="73">E54</f>
        <v>155.24720841877425</v>
      </c>
      <c r="F66" s="3">
        <f t="shared" ca="1" si="73"/>
        <v>48.940113636363641</v>
      </c>
      <c r="G66" s="3">
        <f>'Monthly Data'!EM66</f>
        <v>110.96111111111111</v>
      </c>
      <c r="H66" s="3">
        <f>'Monthly Data'!ET66</f>
        <v>26.954166666666659</v>
      </c>
      <c r="I66" s="3">
        <f>'Monthly Data'!EG66</f>
        <v>1</v>
      </c>
      <c r="J66">
        <f>'Monthly Data'!EH66</f>
        <v>65</v>
      </c>
      <c r="K66" s="3">
        <f>'Monthly Data'!DQ66</f>
        <v>31</v>
      </c>
      <c r="M66" s="3">
        <f t="shared" ref="M66:M97" si="74">$AB$8</f>
        <v>-5660024.0454457896</v>
      </c>
      <c r="N66" s="3">
        <f t="shared" ref="N66:N97" ca="1" si="75">E66*$AB$9</f>
        <v>2214818.4572923756</v>
      </c>
      <c r="O66" s="3">
        <f t="shared" ref="O66:O97" ca="1" si="76">F66*$AB$10</f>
        <v>4472018.4455217561</v>
      </c>
      <c r="P66" s="3">
        <f t="shared" ref="P66:P97" si="77">G66*$AB$11</f>
        <v>526914.76196464361</v>
      </c>
      <c r="Q66" s="3">
        <f t="shared" ref="Q66:Q97" si="78">H66*$AB$12</f>
        <v>329385.29544386745</v>
      </c>
      <c r="R66" s="3">
        <f t="shared" ref="R66:R97" si="79">I66*$AB$13</f>
        <v>-701201.51304507197</v>
      </c>
      <c r="S66" s="3">
        <f t="shared" ref="S66:S97" si="80">J66*$AB$14</f>
        <v>3080613.2797846706</v>
      </c>
      <c r="T66" s="3">
        <f t="shared" ref="T66:T97" si="81">K66*$AB$15</f>
        <v>24925623.239568908</v>
      </c>
      <c r="U66" s="47">
        <f t="shared" ca="1" si="49"/>
        <v>29188147.921085358</v>
      </c>
      <c r="V66" s="47">
        <f>'Monthly Data'!BF66</f>
        <v>97804.054230769238</v>
      </c>
      <c r="W66" s="47">
        <f ca="1">+'Monthly Data'!BG66</f>
        <v>108462.28573225168</v>
      </c>
      <c r="X66" s="47">
        <f t="shared" ca="1" si="50"/>
        <v>29394414.261048377</v>
      </c>
    </row>
    <row r="67" spans="1:24">
      <c r="A67" s="2">
        <f>'Monthly Data'!A67</f>
        <v>44348</v>
      </c>
      <c r="B67">
        <f>'Monthly Data'!B67</f>
        <v>2021</v>
      </c>
      <c r="C67">
        <f>'Monthly Data'!C67</f>
        <v>6</v>
      </c>
      <c r="D67" s="3">
        <f ca="1">'Monthly Data'!BE67</f>
        <v>38779277.658758134</v>
      </c>
      <c r="E67" s="3">
        <f t="shared" ref="E67:F67" ca="1" si="82">E55</f>
        <v>30.273840492840492</v>
      </c>
      <c r="F67" s="3">
        <f t="shared" ca="1" si="82"/>
        <v>144.91160087738351</v>
      </c>
      <c r="G67" s="3">
        <f>'Monthly Data'!EM67</f>
        <v>18.033333333333339</v>
      </c>
      <c r="H67" s="3">
        <f>'Monthly Data'!ET67</f>
        <v>90.837499999999977</v>
      </c>
      <c r="I67" s="3">
        <f>'Monthly Data'!EG67</f>
        <v>0</v>
      </c>
      <c r="J67">
        <f>'Monthly Data'!EH67</f>
        <v>66</v>
      </c>
      <c r="K67" s="3">
        <f>'Monthly Data'!DQ67</f>
        <v>30</v>
      </c>
      <c r="M67" s="3">
        <f t="shared" si="74"/>
        <v>-5660024.0454457896</v>
      </c>
      <c r="N67" s="3">
        <f t="shared" ca="1" si="75"/>
        <v>431898.65621158475</v>
      </c>
      <c r="O67" s="3">
        <f t="shared" ca="1" si="76"/>
        <v>13241639.709071528</v>
      </c>
      <c r="P67" s="3">
        <f t="shared" si="77"/>
        <v>85633.871593512929</v>
      </c>
      <c r="Q67" s="3">
        <f t="shared" si="78"/>
        <v>1110052.3768699574</v>
      </c>
      <c r="R67" s="3">
        <f t="shared" si="79"/>
        <v>0</v>
      </c>
      <c r="S67" s="3">
        <f t="shared" si="80"/>
        <v>3128007.330242896</v>
      </c>
      <c r="T67" s="3">
        <f t="shared" si="81"/>
        <v>24121570.877002168</v>
      </c>
      <c r="U67" s="47">
        <f t="shared" ca="1" si="49"/>
        <v>36458778.775545858</v>
      </c>
      <c r="V67" s="47">
        <f>'Monthly Data'!BF67</f>
        <v>101112.11474358974</v>
      </c>
      <c r="W67" s="47">
        <f ca="1">+'Monthly Data'!BG67</f>
        <v>8903.5492546979349</v>
      </c>
      <c r="X67" s="47">
        <f t="shared" ca="1" si="50"/>
        <v>36568794.439544149</v>
      </c>
    </row>
    <row r="68" spans="1:24">
      <c r="A68" s="2">
        <f>'Monthly Data'!A68</f>
        <v>44378</v>
      </c>
      <c r="B68">
        <f>'Monthly Data'!B68</f>
        <v>2021</v>
      </c>
      <c r="C68">
        <f>'Monthly Data'!C68</f>
        <v>7</v>
      </c>
      <c r="D68" s="3">
        <f ca="1">'Monthly Data'!BE68</f>
        <v>40741425.086318761</v>
      </c>
      <c r="E68" s="3">
        <f t="shared" ref="E68:F68" ca="1" si="83">E56</f>
        <v>1.0845833333333317</v>
      </c>
      <c r="F68" s="3">
        <f t="shared" ca="1" si="83"/>
        <v>242.72508692061183</v>
      </c>
      <c r="G68" s="3">
        <f>'Monthly Data'!EM68</f>
        <v>12.758333333333335</v>
      </c>
      <c r="H68" s="3">
        <f>'Monthly Data'!ET68</f>
        <v>96.437499999999972</v>
      </c>
      <c r="I68" s="3">
        <f>'Monthly Data'!EG68</f>
        <v>0</v>
      </c>
      <c r="J68">
        <f>'Monthly Data'!EH68</f>
        <v>67</v>
      </c>
      <c r="K68" s="3">
        <f>'Monthly Data'!DQ68</f>
        <v>31</v>
      </c>
      <c r="M68" s="3">
        <f t="shared" si="74"/>
        <v>-5660024.0454457896</v>
      </c>
      <c r="N68" s="3">
        <f t="shared" ca="1" si="75"/>
        <v>15473.097452796814</v>
      </c>
      <c r="O68" s="3">
        <f t="shared" ca="1" si="76"/>
        <v>22179577.962673906</v>
      </c>
      <c r="P68" s="3">
        <f t="shared" si="77"/>
        <v>60584.776991528772</v>
      </c>
      <c r="Q68" s="3">
        <f t="shared" si="78"/>
        <v>1178485.4943651743</v>
      </c>
      <c r="R68" s="3">
        <f t="shared" si="79"/>
        <v>0</v>
      </c>
      <c r="S68" s="3">
        <f t="shared" si="80"/>
        <v>3175401.3807011219</v>
      </c>
      <c r="T68" s="3">
        <f t="shared" si="81"/>
        <v>24925623.239568908</v>
      </c>
      <c r="U68" s="47">
        <f t="shared" ca="1" si="49"/>
        <v>45875121.906307645</v>
      </c>
      <c r="V68" s="47">
        <f>'Monthly Data'!BF68</f>
        <v>104420.17525641026</v>
      </c>
      <c r="W68" s="47">
        <f ca="1">+'Monthly Data'!BG68</f>
        <v>3344.361529461215</v>
      </c>
      <c r="X68" s="47">
        <f t="shared" ca="1" si="50"/>
        <v>45982886.443093516</v>
      </c>
    </row>
    <row r="69" spans="1:24">
      <c r="A69" s="2">
        <f>'Monthly Data'!A69</f>
        <v>44409</v>
      </c>
      <c r="B69">
        <f>'Monthly Data'!B69</f>
        <v>2021</v>
      </c>
      <c r="C69">
        <f>'Monthly Data'!C69</f>
        <v>8</v>
      </c>
      <c r="D69" s="3">
        <f ca="1">'Monthly Data'!BE69</f>
        <v>48235165.982398331</v>
      </c>
      <c r="E69" s="3">
        <f t="shared" ref="E69:F69" ca="1" si="84">E57</f>
        <v>6.4245833333333335</v>
      </c>
      <c r="F69" s="3">
        <f t="shared" ca="1" si="84"/>
        <v>214.02558794466404</v>
      </c>
      <c r="G69" s="3">
        <f>'Monthly Data'!EM69</f>
        <v>4.2624999999999975</v>
      </c>
      <c r="H69" s="3">
        <f>'Monthly Data'!ET69</f>
        <v>133.03125</v>
      </c>
      <c r="I69" s="3">
        <f>'Monthly Data'!EG69</f>
        <v>0</v>
      </c>
      <c r="J69">
        <f>'Monthly Data'!EH69</f>
        <v>68</v>
      </c>
      <c r="K69" s="3">
        <f>'Monthly Data'!DQ69</f>
        <v>31</v>
      </c>
      <c r="M69" s="3">
        <f t="shared" si="74"/>
        <v>-5660024.0454457896</v>
      </c>
      <c r="N69" s="3">
        <f t="shared" ca="1" si="75"/>
        <v>91655.662552698588</v>
      </c>
      <c r="O69" s="3">
        <f t="shared" ca="1" si="76"/>
        <v>19557093.475790568</v>
      </c>
      <c r="P69" s="3">
        <f t="shared" si="77"/>
        <v>20241.093031461103</v>
      </c>
      <c r="Q69" s="3">
        <f t="shared" si="78"/>
        <v>1625668.4217474232</v>
      </c>
      <c r="R69" s="3">
        <f t="shared" si="79"/>
        <v>0</v>
      </c>
      <c r="S69" s="3">
        <f t="shared" si="80"/>
        <v>3222795.4311593473</v>
      </c>
      <c r="T69" s="3">
        <f t="shared" si="81"/>
        <v>24925623.239568908</v>
      </c>
      <c r="U69" s="47">
        <f t="shared" ca="1" si="49"/>
        <v>43783053.278404616</v>
      </c>
      <c r="V69" s="47">
        <f>'Monthly Data'!BF69</f>
        <v>107728.23576923077</v>
      </c>
      <c r="W69" s="47">
        <f ca="1">+'Monthly Data'!BG69</f>
        <v>432.03425205491243</v>
      </c>
      <c r="X69" s="47">
        <f t="shared" ca="1" si="50"/>
        <v>43891213.548425898</v>
      </c>
    </row>
    <row r="70" spans="1:24">
      <c r="A70" s="2">
        <f>'Monthly Data'!A70</f>
        <v>44440</v>
      </c>
      <c r="B70">
        <f>'Monthly Data'!B70</f>
        <v>2021</v>
      </c>
      <c r="C70">
        <f>'Monthly Data'!C70</f>
        <v>9</v>
      </c>
      <c r="D70" s="3">
        <f ca="1">'Monthly Data'!BE70</f>
        <v>31476609.199991003</v>
      </c>
      <c r="E70" s="3">
        <f t="shared" ref="E70:F70" ca="1" si="85">E58</f>
        <v>54.412952898550728</v>
      </c>
      <c r="F70" s="3">
        <f t="shared" ca="1" si="85"/>
        <v>102.40708333333332</v>
      </c>
      <c r="G70" s="3">
        <f>'Monthly Data'!EM70</f>
        <v>46.552083333333336</v>
      </c>
      <c r="H70" s="3">
        <f>'Monthly Data'!ET70</f>
        <v>47.62916666666667</v>
      </c>
      <c r="I70" s="3">
        <f>'Monthly Data'!EG70</f>
        <v>1</v>
      </c>
      <c r="J70">
        <f>'Monthly Data'!EH70</f>
        <v>69</v>
      </c>
      <c r="K70" s="3">
        <f>'Monthly Data'!DQ70</f>
        <v>30</v>
      </c>
      <c r="M70" s="3">
        <f t="shared" si="74"/>
        <v>-5660024.0454457896</v>
      </c>
      <c r="N70" s="3">
        <f t="shared" ca="1" si="75"/>
        <v>776276.8401632451</v>
      </c>
      <c r="O70" s="3">
        <f t="shared" ca="1" si="76"/>
        <v>9357689.0528196599</v>
      </c>
      <c r="P70" s="3">
        <f t="shared" si="77"/>
        <v>221059.24916324468</v>
      </c>
      <c r="Q70" s="3">
        <f t="shared" si="78"/>
        <v>582037.92119629774</v>
      </c>
      <c r="R70" s="3">
        <f t="shared" si="79"/>
        <v>-701201.51304507197</v>
      </c>
      <c r="S70" s="3">
        <f t="shared" si="80"/>
        <v>3270189.4816175732</v>
      </c>
      <c r="T70" s="3">
        <f t="shared" si="81"/>
        <v>24121570.877002168</v>
      </c>
      <c r="U70" s="47">
        <f t="shared" ca="1" si="49"/>
        <v>31967597.863471329</v>
      </c>
      <c r="V70" s="47">
        <f>'Monthly Data'!BF70</f>
        <v>111036.29628205129</v>
      </c>
      <c r="W70" s="47">
        <f ca="1">+'Monthly Data'!BG70</f>
        <v>28532.478947457876</v>
      </c>
      <c r="X70" s="47">
        <f t="shared" ca="1" si="50"/>
        <v>32107166.638700839</v>
      </c>
    </row>
    <row r="71" spans="1:24">
      <c r="A71" s="2">
        <f>'Monthly Data'!A71</f>
        <v>44470</v>
      </c>
      <c r="B71">
        <f>'Monthly Data'!B71</f>
        <v>2021</v>
      </c>
      <c r="C71">
        <f>'Monthly Data'!C71</f>
        <v>10</v>
      </c>
      <c r="D71" s="3">
        <f ca="1">'Monthly Data'!BE71</f>
        <v>28074339.642655801</v>
      </c>
      <c r="E71" s="3">
        <f t="shared" ref="E71:F71" ca="1" si="86">E59</f>
        <v>232.21431159420285</v>
      </c>
      <c r="F71" s="3">
        <f t="shared" ca="1" si="86"/>
        <v>19.741250000000004</v>
      </c>
      <c r="G71" s="3">
        <f>'Monthly Data'!EM71</f>
        <v>107.09374999999997</v>
      </c>
      <c r="H71" s="3">
        <f>'Monthly Data'!ET71</f>
        <v>22.281250000000014</v>
      </c>
      <c r="I71" s="3">
        <f>'Monthly Data'!EG71</f>
        <v>1</v>
      </c>
      <c r="J71">
        <f>'Monthly Data'!EH71</f>
        <v>70</v>
      </c>
      <c r="K71" s="3">
        <f>'Monthly Data'!DQ71</f>
        <v>31</v>
      </c>
      <c r="M71" s="3">
        <f t="shared" si="74"/>
        <v>-5660024.0454457896</v>
      </c>
      <c r="N71" s="3">
        <f t="shared" ca="1" si="75"/>
        <v>3312861.7809277582</v>
      </c>
      <c r="O71" s="3">
        <f t="shared" ca="1" si="76"/>
        <v>1803903.3336461217</v>
      </c>
      <c r="P71" s="3">
        <f t="shared" si="77"/>
        <v>508550.04265995027</v>
      </c>
      <c r="Q71" s="3">
        <f t="shared" si="78"/>
        <v>272281.32128398254</v>
      </c>
      <c r="R71" s="3">
        <f t="shared" si="79"/>
        <v>-701201.51304507197</v>
      </c>
      <c r="S71" s="3">
        <f t="shared" si="80"/>
        <v>3317583.5320757991</v>
      </c>
      <c r="T71" s="3">
        <f t="shared" si="81"/>
        <v>24925623.239568908</v>
      </c>
      <c r="U71" s="47">
        <f t="shared" ca="1" si="49"/>
        <v>27779577.691671658</v>
      </c>
      <c r="V71" s="47">
        <f>'Monthly Data'!BF71</f>
        <v>114344.3567948718</v>
      </c>
      <c r="W71" s="47">
        <f ca="1">+'Monthly Data'!BG71</f>
        <v>95864.756868618366</v>
      </c>
      <c r="X71" s="47">
        <f t="shared" ca="1" si="50"/>
        <v>27989786.805335149</v>
      </c>
    </row>
    <row r="72" spans="1:24">
      <c r="A72" s="2">
        <f>'Monthly Data'!A72</f>
        <v>44501</v>
      </c>
      <c r="B72">
        <f>'Monthly Data'!B72</f>
        <v>2021</v>
      </c>
      <c r="C72">
        <f>'Monthly Data'!C72</f>
        <v>11</v>
      </c>
      <c r="D72" s="3">
        <f ca="1">'Monthly Data'!BE72</f>
        <v>28246007.996990778</v>
      </c>
      <c r="E72" s="3">
        <f t="shared" ref="E72:F72" ca="1" si="87">E60</f>
        <v>435.51408055712398</v>
      </c>
      <c r="F72" s="3">
        <f t="shared" ca="1" si="87"/>
        <v>0.78124999999999944</v>
      </c>
      <c r="G72" s="3">
        <f>'Monthly Data'!EM72</f>
        <v>253.15630175983441</v>
      </c>
      <c r="H72" s="3">
        <f>'Monthly Data'!ET72</f>
        <v>0</v>
      </c>
      <c r="I72" s="3">
        <f>'Monthly Data'!EG72</f>
        <v>1</v>
      </c>
      <c r="J72">
        <f>'Monthly Data'!EH72</f>
        <v>71</v>
      </c>
      <c r="K72" s="3">
        <f>'Monthly Data'!DQ72</f>
        <v>30</v>
      </c>
      <c r="M72" s="3">
        <f t="shared" si="74"/>
        <v>-5660024.0454457896</v>
      </c>
      <c r="N72" s="3">
        <f t="shared" ca="1" si="75"/>
        <v>6213217.1898814524</v>
      </c>
      <c r="O72" s="3">
        <f t="shared" ca="1" si="76"/>
        <v>71388.563510974796</v>
      </c>
      <c r="P72" s="3">
        <f t="shared" si="77"/>
        <v>1202149.0335299592</v>
      </c>
      <c r="Q72" s="3">
        <f t="shared" si="78"/>
        <v>0</v>
      </c>
      <c r="R72" s="3">
        <f t="shared" si="79"/>
        <v>-701201.51304507197</v>
      </c>
      <c r="S72" s="3">
        <f t="shared" si="80"/>
        <v>3364977.5825340245</v>
      </c>
      <c r="T72" s="3">
        <f t="shared" si="81"/>
        <v>24121570.877002168</v>
      </c>
      <c r="U72" s="47">
        <f t="shared" ca="1" si="49"/>
        <v>28612077.687967718</v>
      </c>
      <c r="V72" s="47">
        <f>'Monthly Data'!BF72</f>
        <v>117652.41730769232</v>
      </c>
      <c r="W72" s="47">
        <f ca="1">+'Monthly Data'!BG72</f>
        <v>278779.27495561563</v>
      </c>
      <c r="X72" s="47">
        <f t="shared" ca="1" si="50"/>
        <v>29008509.380231027</v>
      </c>
    </row>
    <row r="73" spans="1:24">
      <c r="A73" s="2">
        <f>'Monthly Data'!A73</f>
        <v>44531</v>
      </c>
      <c r="B73">
        <f>'Monthly Data'!B73</f>
        <v>2021</v>
      </c>
      <c r="C73">
        <f>'Monthly Data'!C73</f>
        <v>12</v>
      </c>
      <c r="D73" s="3">
        <f ca="1">'Monthly Data'!BE73</f>
        <v>32598413.787024714</v>
      </c>
      <c r="E73" s="3">
        <f t="shared" ref="E73:F73" ca="1" si="88">E61</f>
        <v>602.38541666666674</v>
      </c>
      <c r="F73" s="3">
        <f t="shared" ca="1" si="88"/>
        <v>0</v>
      </c>
      <c r="G73" s="3">
        <f>'Monthly Data'!EM73</f>
        <v>297.52291666666667</v>
      </c>
      <c r="H73" s="3">
        <f>'Monthly Data'!ET73</f>
        <v>0</v>
      </c>
      <c r="I73" s="3">
        <f>'Monthly Data'!EG73</f>
        <v>0</v>
      </c>
      <c r="J73">
        <f>'Monthly Data'!EH73</f>
        <v>72</v>
      </c>
      <c r="K73" s="3">
        <f>'Monthly Data'!DQ73</f>
        <v>31</v>
      </c>
      <c r="M73" s="3">
        <f t="shared" si="74"/>
        <v>-5660024.0454457896</v>
      </c>
      <c r="N73" s="3">
        <f t="shared" ca="1" si="75"/>
        <v>8593870.0787340421</v>
      </c>
      <c r="O73" s="3">
        <f t="shared" ca="1" si="76"/>
        <v>0</v>
      </c>
      <c r="P73" s="3">
        <f t="shared" si="77"/>
        <v>1412830.2721974552</v>
      </c>
      <c r="Q73" s="3">
        <f t="shared" si="78"/>
        <v>0</v>
      </c>
      <c r="R73" s="3">
        <f t="shared" si="79"/>
        <v>0</v>
      </c>
      <c r="S73" s="3">
        <f t="shared" si="80"/>
        <v>3412371.6329922504</v>
      </c>
      <c r="T73" s="3">
        <f t="shared" si="81"/>
        <v>24925623.239568908</v>
      </c>
      <c r="U73" s="47">
        <f t="shared" ca="1" si="49"/>
        <v>32684671.178046867</v>
      </c>
      <c r="V73" s="47">
        <f>'Monthly Data'!BF73</f>
        <v>120960.47782051284</v>
      </c>
      <c r="W73" s="47">
        <f ca="1">+'Monthly Data'!BG73</f>
        <v>332955.26445564476</v>
      </c>
      <c r="X73" s="47">
        <f t="shared" ca="1" si="50"/>
        <v>33138586.920323025</v>
      </c>
    </row>
    <row r="74" spans="1:24">
      <c r="A74" s="2">
        <f>'Monthly Data'!A74</f>
        <v>44562</v>
      </c>
      <c r="B74">
        <f>'Monthly Data'!B74</f>
        <v>2022</v>
      </c>
      <c r="C74">
        <f>'Monthly Data'!C74</f>
        <v>1</v>
      </c>
      <c r="D74" s="3">
        <f ca="1">'Monthly Data'!BE74</f>
        <v>35475683.829534754</v>
      </c>
      <c r="E74" s="3">
        <f t="shared" ref="E74:F74" ca="1" si="89">E62</f>
        <v>690.78750000000002</v>
      </c>
      <c r="F74" s="3">
        <f t="shared" ca="1" si="89"/>
        <v>0</v>
      </c>
      <c r="G74" s="3">
        <f>'Monthly Data'!EM74</f>
        <v>221.87291666666664</v>
      </c>
      <c r="H74" s="3">
        <f>'Monthly Data'!ET74</f>
        <v>0</v>
      </c>
      <c r="I74" s="3">
        <f>'Monthly Data'!EG74</f>
        <v>0</v>
      </c>
      <c r="J74">
        <f>'Monthly Data'!EH74</f>
        <v>73</v>
      </c>
      <c r="K74" s="3">
        <f>'Monthly Data'!DQ74</f>
        <v>31</v>
      </c>
      <c r="M74" s="3">
        <f t="shared" si="74"/>
        <v>-5660024.0454457896</v>
      </c>
      <c r="N74" s="3">
        <f t="shared" ca="1" si="75"/>
        <v>9855049.3799528815</v>
      </c>
      <c r="O74" s="3">
        <f t="shared" ca="1" si="76"/>
        <v>0</v>
      </c>
      <c r="P74" s="3">
        <f t="shared" si="77"/>
        <v>1053595.3894220805</v>
      </c>
      <c r="Q74" s="3">
        <f t="shared" si="78"/>
        <v>0</v>
      </c>
      <c r="R74" s="3">
        <f t="shared" si="79"/>
        <v>0</v>
      </c>
      <c r="S74" s="3">
        <f t="shared" si="80"/>
        <v>3459765.6834504758</v>
      </c>
      <c r="T74" s="3">
        <f t="shared" si="81"/>
        <v>24925623.239568908</v>
      </c>
      <c r="U74" s="47">
        <f t="shared" ca="1" si="49"/>
        <v>33634009.646948554</v>
      </c>
      <c r="V74" s="47">
        <f>'Monthly Data'!BF74</f>
        <v>130574.0282051282</v>
      </c>
      <c r="W74" s="47">
        <f ca="1">+'Monthly Data'!BG74</f>
        <v>792532.32718386885</v>
      </c>
      <c r="X74" s="47">
        <f t="shared" ca="1" si="50"/>
        <v>34557116.002337553</v>
      </c>
    </row>
    <row r="75" spans="1:24">
      <c r="A75" s="2">
        <f>'Monthly Data'!A75</f>
        <v>44593</v>
      </c>
      <c r="B75">
        <f>'Monthly Data'!B75</f>
        <v>2022</v>
      </c>
      <c r="C75">
        <f>'Monthly Data'!C75</f>
        <v>2</v>
      </c>
      <c r="D75" s="3">
        <f ca="1">'Monthly Data'!BE75</f>
        <v>30208571.870110713</v>
      </c>
      <c r="E75" s="3">
        <f t="shared" ref="E75:F75" ca="1" si="90">E63</f>
        <v>604.19541666666657</v>
      </c>
      <c r="F75" s="3">
        <f t="shared" ca="1" si="90"/>
        <v>0</v>
      </c>
      <c r="G75" s="3">
        <f>'Monthly Data'!EM75</f>
        <v>173.21250000000001</v>
      </c>
      <c r="H75" s="3">
        <f>'Monthly Data'!ET75</f>
        <v>0</v>
      </c>
      <c r="I75" s="3">
        <f>'Monthly Data'!EG75</f>
        <v>0</v>
      </c>
      <c r="J75">
        <f>'Monthly Data'!EH75</f>
        <v>74</v>
      </c>
      <c r="K75" s="3">
        <f>'Monthly Data'!DQ75</f>
        <v>28</v>
      </c>
      <c r="M75" s="3">
        <f t="shared" si="74"/>
        <v>-5660024.0454457896</v>
      </c>
      <c r="N75" s="3">
        <f t="shared" ca="1" si="75"/>
        <v>8619692.2590394374</v>
      </c>
      <c r="O75" s="3">
        <f t="shared" ca="1" si="76"/>
        <v>0</v>
      </c>
      <c r="P75" s="3">
        <f t="shared" si="77"/>
        <v>822524.41682391986</v>
      </c>
      <c r="Q75" s="3">
        <f t="shared" si="78"/>
        <v>0</v>
      </c>
      <c r="R75" s="3">
        <f t="shared" si="79"/>
        <v>0</v>
      </c>
      <c r="S75" s="3">
        <f t="shared" si="80"/>
        <v>3507159.7339087017</v>
      </c>
      <c r="T75" s="3">
        <f t="shared" si="81"/>
        <v>22513466.15186869</v>
      </c>
      <c r="U75" s="47">
        <f t="shared" ca="1" si="49"/>
        <v>29802818.516194958</v>
      </c>
      <c r="V75" s="47">
        <f>'Monthly Data'!BF75</f>
        <v>136879.51807692306</v>
      </c>
      <c r="W75" s="47">
        <f ca="1">+'Monthly Data'!BG75</f>
        <v>611422.54119308328</v>
      </c>
      <c r="X75" s="47">
        <f t="shared" ca="1" si="50"/>
        <v>30551120.575464964</v>
      </c>
    </row>
    <row r="76" spans="1:24">
      <c r="A76" s="2">
        <f>'Monthly Data'!A76</f>
        <v>44621</v>
      </c>
      <c r="B76">
        <f>'Monthly Data'!B76</f>
        <v>2022</v>
      </c>
      <c r="C76">
        <f>'Monthly Data'!C76</f>
        <v>3</v>
      </c>
      <c r="D76" s="3">
        <f ca="1">'Monthly Data'!BE76</f>
        <v>30581481.262140367</v>
      </c>
      <c r="E76" s="3">
        <f t="shared" ref="E76:F76" ca="1" si="91">E64</f>
        <v>534.21590579710141</v>
      </c>
      <c r="F76" s="3">
        <f t="shared" ca="1" si="91"/>
        <v>0</v>
      </c>
      <c r="G76" s="3">
        <f>'Monthly Data'!EM76</f>
        <v>151.68020833333333</v>
      </c>
      <c r="H76" s="3">
        <f>'Monthly Data'!ET76</f>
        <v>0</v>
      </c>
      <c r="I76" s="3">
        <f>'Monthly Data'!EG76</f>
        <v>1</v>
      </c>
      <c r="J76">
        <f>'Monthly Data'!EH76</f>
        <v>75</v>
      </c>
      <c r="K76" s="3">
        <f>'Monthly Data'!DQ76</f>
        <v>31</v>
      </c>
      <c r="M76" s="3">
        <f t="shared" si="74"/>
        <v>-5660024.0454457896</v>
      </c>
      <c r="N76" s="3">
        <f t="shared" ca="1" si="75"/>
        <v>7621336.7080132328</v>
      </c>
      <c r="O76" s="3">
        <f t="shared" ca="1" si="76"/>
        <v>0</v>
      </c>
      <c r="P76" s="3">
        <f t="shared" si="77"/>
        <v>720275.23939153156</v>
      </c>
      <c r="Q76" s="3">
        <f t="shared" si="78"/>
        <v>0</v>
      </c>
      <c r="R76" s="3">
        <f t="shared" si="79"/>
        <v>-701201.51304507197</v>
      </c>
      <c r="S76" s="3">
        <f t="shared" si="80"/>
        <v>3554553.7843669276</v>
      </c>
      <c r="T76" s="3">
        <f t="shared" si="81"/>
        <v>24925623.239568908</v>
      </c>
      <c r="U76" s="47">
        <f t="shared" ca="1" si="49"/>
        <v>30460563.412849739</v>
      </c>
      <c r="V76" s="47">
        <f>'Monthly Data'!BF76</f>
        <v>143185.00794871795</v>
      </c>
      <c r="W76" s="47">
        <f ca="1">+'Monthly Data'!BG76</f>
        <v>522971.80836536171</v>
      </c>
      <c r="X76" s="47">
        <f t="shared" ca="1" si="50"/>
        <v>31126720.229163818</v>
      </c>
    </row>
    <row r="77" spans="1:24">
      <c r="A77" s="2">
        <f>'Monthly Data'!A77</f>
        <v>44652</v>
      </c>
      <c r="B77">
        <f>'Monthly Data'!B77</f>
        <v>2022</v>
      </c>
      <c r="C77">
        <f>'Monthly Data'!C77</f>
        <v>4</v>
      </c>
      <c r="D77" s="3">
        <f ca="1">'Monthly Data'!BE77</f>
        <v>27060335.304275431</v>
      </c>
      <c r="E77" s="3">
        <f t="shared" ref="E77:F77" ca="1" si="92">E65</f>
        <v>352.92312500000003</v>
      </c>
      <c r="F77" s="3">
        <f t="shared" ca="1" si="92"/>
        <v>2.2025000000000015</v>
      </c>
      <c r="G77" s="3">
        <f>'Monthly Data'!EM77</f>
        <v>103.58333333333333</v>
      </c>
      <c r="H77" s="3">
        <f>'Monthly Data'!ET77</f>
        <v>0</v>
      </c>
      <c r="I77" s="3">
        <f>'Monthly Data'!EG77</f>
        <v>1</v>
      </c>
      <c r="J77">
        <f>'Monthly Data'!EH77</f>
        <v>76</v>
      </c>
      <c r="K77" s="3">
        <f>'Monthly Data'!DQ77</f>
        <v>30</v>
      </c>
      <c r="M77" s="3">
        <f t="shared" si="74"/>
        <v>-5660024.0454457896</v>
      </c>
      <c r="N77" s="3">
        <f t="shared" ca="1" si="75"/>
        <v>5034941.7501073536</v>
      </c>
      <c r="O77" s="3">
        <f t="shared" ca="1" si="76"/>
        <v>201258.63825014042</v>
      </c>
      <c r="P77" s="3">
        <f t="shared" si="77"/>
        <v>491880.32528066786</v>
      </c>
      <c r="Q77" s="3">
        <f t="shared" si="78"/>
        <v>0</v>
      </c>
      <c r="R77" s="3">
        <f t="shared" si="79"/>
        <v>-701201.51304507197</v>
      </c>
      <c r="S77" s="3">
        <f t="shared" si="80"/>
        <v>3601947.834825153</v>
      </c>
      <c r="T77" s="3">
        <f t="shared" si="81"/>
        <v>24121570.877002168</v>
      </c>
      <c r="U77" s="47">
        <f t="shared" ca="1" si="49"/>
        <v>27090373.866974622</v>
      </c>
      <c r="V77" s="47">
        <f>'Monthly Data'!BF77</f>
        <v>149490.49782051283</v>
      </c>
      <c r="W77" s="47">
        <f ca="1">+'Monthly Data'!BG77</f>
        <v>340185.89478854125</v>
      </c>
      <c r="X77" s="47">
        <f t="shared" ca="1" si="50"/>
        <v>27580050.259583674</v>
      </c>
    </row>
    <row r="78" spans="1:24">
      <c r="A78" s="2">
        <f>'Monthly Data'!A78</f>
        <v>44682</v>
      </c>
      <c r="B78">
        <f>'Monthly Data'!B78</f>
        <v>2022</v>
      </c>
      <c r="C78">
        <f>'Monthly Data'!C78</f>
        <v>5</v>
      </c>
      <c r="D78" s="3">
        <f ca="1">'Monthly Data'!BE78</f>
        <v>29424882.43980021</v>
      </c>
      <c r="E78" s="3">
        <f t="shared" ref="E78:F78" ca="1" si="93">E66</f>
        <v>155.24720841877425</v>
      </c>
      <c r="F78" s="3">
        <f t="shared" ca="1" si="93"/>
        <v>48.940113636363641</v>
      </c>
      <c r="G78" s="3">
        <f>'Monthly Data'!EM78</f>
        <v>39.744791666666671</v>
      </c>
      <c r="H78" s="3">
        <f>'Monthly Data'!ET78</f>
        <v>18.090624999999999</v>
      </c>
      <c r="I78" s="3">
        <f>'Monthly Data'!EG78</f>
        <v>1</v>
      </c>
      <c r="J78">
        <f>'Monthly Data'!EH78</f>
        <v>77</v>
      </c>
      <c r="K78" s="3">
        <f>'Monthly Data'!DQ78</f>
        <v>31</v>
      </c>
      <c r="M78" s="3">
        <f t="shared" si="74"/>
        <v>-5660024.0454457896</v>
      </c>
      <c r="N78" s="3">
        <f t="shared" ca="1" si="75"/>
        <v>2214818.4572923756</v>
      </c>
      <c r="O78" s="3">
        <f t="shared" ca="1" si="76"/>
        <v>4472018.4455217561</v>
      </c>
      <c r="P78" s="3">
        <f t="shared" si="77"/>
        <v>188733.8476577221</v>
      </c>
      <c r="Q78" s="3">
        <f t="shared" si="78"/>
        <v>221071.0475333764</v>
      </c>
      <c r="R78" s="3">
        <f t="shared" si="79"/>
        <v>-701201.51304507197</v>
      </c>
      <c r="S78" s="3">
        <f t="shared" si="80"/>
        <v>3649341.8852833789</v>
      </c>
      <c r="T78" s="3">
        <f t="shared" si="81"/>
        <v>24925623.239568908</v>
      </c>
      <c r="U78" s="47">
        <f t="shared" ca="1" si="49"/>
        <v>29310381.364366654</v>
      </c>
      <c r="V78" s="47">
        <f>'Monthly Data'!BF78</f>
        <v>155795.98769230768</v>
      </c>
      <c r="W78" s="47">
        <f ca="1">+'Monthly Data'!BG78</f>
        <v>105136.00290254517</v>
      </c>
      <c r="X78" s="47">
        <f t="shared" ca="1" si="50"/>
        <v>29571313.354961507</v>
      </c>
    </row>
    <row r="79" spans="1:24">
      <c r="A79" s="2">
        <f>'Monthly Data'!A79</f>
        <v>44713</v>
      </c>
      <c r="B79">
        <f>'Monthly Data'!B79</f>
        <v>2022</v>
      </c>
      <c r="C79">
        <f>'Monthly Data'!C79</f>
        <v>6</v>
      </c>
      <c r="D79" s="3">
        <f ca="1">'Monthly Data'!BE79</f>
        <v>34530277.871671163</v>
      </c>
      <c r="E79" s="3">
        <f t="shared" ref="E79:F79" ca="1" si="94">E67</f>
        <v>30.273840492840492</v>
      </c>
      <c r="F79" s="3">
        <f t="shared" ca="1" si="94"/>
        <v>144.91160087738351</v>
      </c>
      <c r="G79" s="3">
        <f>'Monthly Data'!EM79</f>
        <v>18.882252747252753</v>
      </c>
      <c r="H79" s="3">
        <f>'Monthly Data'!ET79</f>
        <v>30.230626040626042</v>
      </c>
      <c r="I79" s="3">
        <f>'Monthly Data'!EG79</f>
        <v>0</v>
      </c>
      <c r="J79">
        <f>'Monthly Data'!EH79</f>
        <v>78</v>
      </c>
      <c r="K79" s="3">
        <f>'Monthly Data'!DQ79</f>
        <v>30</v>
      </c>
      <c r="M79" s="3">
        <f t="shared" si="74"/>
        <v>-5660024.0454457896</v>
      </c>
      <c r="N79" s="3">
        <f t="shared" ca="1" si="75"/>
        <v>431898.65621158475</v>
      </c>
      <c r="O79" s="3">
        <f t="shared" ca="1" si="76"/>
        <v>13241639.709071528</v>
      </c>
      <c r="P79" s="3">
        <f t="shared" si="77"/>
        <v>89665.087272892706</v>
      </c>
      <c r="Q79" s="3">
        <f t="shared" si="78"/>
        <v>369424.28282002232</v>
      </c>
      <c r="R79" s="3">
        <f t="shared" si="79"/>
        <v>0</v>
      </c>
      <c r="S79" s="3">
        <f t="shared" si="80"/>
        <v>3696735.9357416043</v>
      </c>
      <c r="T79" s="3">
        <f t="shared" si="81"/>
        <v>24121570.877002168</v>
      </c>
      <c r="U79" s="47">
        <f t="shared" ca="1" si="49"/>
        <v>36290910.502674013</v>
      </c>
      <c r="V79" s="47">
        <f>'Monthly Data'!BF79</f>
        <v>162101.47756410256</v>
      </c>
      <c r="W79" s="47">
        <f ca="1">+'Monthly Data'!BG79</f>
        <v>34722.493609152341</v>
      </c>
      <c r="X79" s="47">
        <f t="shared" ca="1" si="50"/>
        <v>36487734.47384727</v>
      </c>
    </row>
    <row r="80" spans="1:24">
      <c r="A80" s="2">
        <f>'Monthly Data'!A80</f>
        <v>44743</v>
      </c>
      <c r="B80">
        <f>'Monthly Data'!B80</f>
        <v>2022</v>
      </c>
      <c r="C80">
        <f>'Monthly Data'!C80</f>
        <v>7</v>
      </c>
      <c r="D80" s="3">
        <f ca="1">'Monthly Data'!BE80</f>
        <v>43594410.740580678</v>
      </c>
      <c r="E80" s="3">
        <f t="shared" ref="E80:F80" ca="1" si="95">E68</f>
        <v>1.0845833333333317</v>
      </c>
      <c r="F80" s="3">
        <f t="shared" ca="1" si="95"/>
        <v>242.72508692061183</v>
      </c>
      <c r="G80" s="3">
        <f>'Monthly Data'!EM80</f>
        <v>2.2486413043478271</v>
      </c>
      <c r="H80" s="3">
        <f>'Monthly Data'!ET80</f>
        <v>55.46358457284515</v>
      </c>
      <c r="I80" s="3">
        <f>'Monthly Data'!EG80</f>
        <v>0</v>
      </c>
      <c r="J80">
        <f>'Monthly Data'!EH80</f>
        <v>79</v>
      </c>
      <c r="K80" s="3">
        <f>'Monthly Data'!DQ80</f>
        <v>31</v>
      </c>
      <c r="M80" s="3">
        <f t="shared" si="74"/>
        <v>-5660024.0454457896</v>
      </c>
      <c r="N80" s="3">
        <f t="shared" ca="1" si="75"/>
        <v>15473.097452796814</v>
      </c>
      <c r="O80" s="3">
        <f t="shared" ca="1" si="76"/>
        <v>22179577.962673906</v>
      </c>
      <c r="P80" s="3">
        <f t="shared" si="77"/>
        <v>10677.995973182506</v>
      </c>
      <c r="Q80" s="3">
        <f t="shared" si="78"/>
        <v>677776.07138918049</v>
      </c>
      <c r="R80" s="3">
        <f t="shared" si="79"/>
        <v>0</v>
      </c>
      <c r="S80" s="3">
        <f t="shared" si="80"/>
        <v>3744129.9861998302</v>
      </c>
      <c r="T80" s="3">
        <f t="shared" si="81"/>
        <v>24925623.239568908</v>
      </c>
      <c r="U80" s="47">
        <f t="shared" ca="1" si="49"/>
        <v>45893234.30781202</v>
      </c>
      <c r="V80" s="47">
        <f>'Monthly Data'!BF80</f>
        <v>168406.96743589744</v>
      </c>
      <c r="W80" s="47">
        <f ca="1">+'Monthly Data'!BG80</f>
        <v>596.04537069017726</v>
      </c>
      <c r="X80" s="47">
        <f t="shared" ca="1" si="50"/>
        <v>46062237.320618607</v>
      </c>
    </row>
    <row r="81" spans="1:24">
      <c r="A81" s="2">
        <f>'Monthly Data'!A81</f>
        <v>44774</v>
      </c>
      <c r="B81">
        <f>'Monthly Data'!B81</f>
        <v>2022</v>
      </c>
      <c r="C81">
        <f>'Monthly Data'!C81</f>
        <v>8</v>
      </c>
      <c r="D81" s="3">
        <f ca="1">'Monthly Data'!BE81</f>
        <v>44691814.183758497</v>
      </c>
      <c r="E81" s="3">
        <f t="shared" ref="E81:F81" ca="1" si="96">E69</f>
        <v>6.4245833333333335</v>
      </c>
      <c r="F81" s="3">
        <f t="shared" ca="1" si="96"/>
        <v>214.02558794466404</v>
      </c>
      <c r="G81" s="3">
        <f>'Monthly Data'!EM81</f>
        <v>1.8479166666666691</v>
      </c>
      <c r="H81" s="3">
        <f>'Monthly Data'!ET81</f>
        <v>57.070833333333333</v>
      </c>
      <c r="I81" s="3">
        <f>'Monthly Data'!EG81</f>
        <v>0</v>
      </c>
      <c r="J81">
        <f>'Monthly Data'!EH81</f>
        <v>80</v>
      </c>
      <c r="K81" s="3">
        <f>'Monthly Data'!DQ81</f>
        <v>31</v>
      </c>
      <c r="M81" s="3">
        <f t="shared" si="74"/>
        <v>-5660024.0454457896</v>
      </c>
      <c r="N81" s="3">
        <f t="shared" ca="1" si="75"/>
        <v>91655.662552698588</v>
      </c>
      <c r="O81" s="3">
        <f t="shared" ca="1" si="76"/>
        <v>19557093.475790568</v>
      </c>
      <c r="P81" s="3">
        <f t="shared" si="77"/>
        <v>8775.0975165718628</v>
      </c>
      <c r="Q81" s="3">
        <f t="shared" si="78"/>
        <v>697416.97197320359</v>
      </c>
      <c r="R81" s="3">
        <f t="shared" si="79"/>
        <v>0</v>
      </c>
      <c r="S81" s="3">
        <f t="shared" si="80"/>
        <v>3791524.0366580561</v>
      </c>
      <c r="T81" s="3">
        <f t="shared" si="81"/>
        <v>24925623.239568908</v>
      </c>
      <c r="U81" s="47">
        <f t="shared" ca="1" si="49"/>
        <v>43412064.438614219</v>
      </c>
      <c r="V81" s="47">
        <f>'Monthly Data'!BF81</f>
        <v>174712.4573076923</v>
      </c>
      <c r="W81" s="47">
        <f ca="1">+'Monthly Data'!BG81</f>
        <v>732.05572373357575</v>
      </c>
      <c r="X81" s="47">
        <f t="shared" ca="1" si="50"/>
        <v>43587508.951645643</v>
      </c>
    </row>
    <row r="82" spans="1:24">
      <c r="A82" s="2">
        <f>'Monthly Data'!A82</f>
        <v>44805</v>
      </c>
      <c r="B82">
        <f>'Monthly Data'!B82</f>
        <v>2022</v>
      </c>
      <c r="C82">
        <f>'Monthly Data'!C82</f>
        <v>9</v>
      </c>
      <c r="D82" s="3">
        <f ca="1">'Monthly Data'!BE82</f>
        <v>32256765.82815098</v>
      </c>
      <c r="E82" s="3">
        <f t="shared" ref="E82:F82" ca="1" si="97">E70</f>
        <v>54.412952898550728</v>
      </c>
      <c r="F82" s="3">
        <f t="shared" ca="1" si="97"/>
        <v>102.40708333333332</v>
      </c>
      <c r="G82" s="3">
        <f>'Monthly Data'!EM82</f>
        <v>27.947916666666664</v>
      </c>
      <c r="H82" s="3">
        <f>'Monthly Data'!ET82</f>
        <v>23.513541666666669</v>
      </c>
      <c r="I82" s="3">
        <f>'Monthly Data'!EG82</f>
        <v>1</v>
      </c>
      <c r="J82">
        <f>'Monthly Data'!EH82</f>
        <v>81</v>
      </c>
      <c r="K82" s="3">
        <f>'Monthly Data'!DQ82</f>
        <v>30</v>
      </c>
      <c r="M82" s="3">
        <f t="shared" si="74"/>
        <v>-5660024.0454457896</v>
      </c>
      <c r="N82" s="3">
        <f t="shared" ca="1" si="75"/>
        <v>776276.8401632451</v>
      </c>
      <c r="O82" s="3">
        <f t="shared" ca="1" si="76"/>
        <v>9357689.0528196599</v>
      </c>
      <c r="P82" s="3">
        <f t="shared" si="77"/>
        <v>132714.69355672083</v>
      </c>
      <c r="Q82" s="3">
        <f t="shared" si="78"/>
        <v>287340.17135779961</v>
      </c>
      <c r="R82" s="3">
        <f t="shared" si="79"/>
        <v>-701201.51304507197</v>
      </c>
      <c r="S82" s="3">
        <f t="shared" si="80"/>
        <v>3838918.0871162815</v>
      </c>
      <c r="T82" s="3">
        <f t="shared" si="81"/>
        <v>24121570.877002168</v>
      </c>
      <c r="U82" s="47">
        <f t="shared" ca="1" si="49"/>
        <v>32153284.163525015</v>
      </c>
      <c r="V82" s="47">
        <f>'Monthly Data'!BF82</f>
        <v>181017.94717948718</v>
      </c>
      <c r="W82" s="47">
        <f ca="1">+'Monthly Data'!BG82</f>
        <v>68561.21884737545</v>
      </c>
      <c r="X82" s="47">
        <f t="shared" ca="1" si="50"/>
        <v>32402863.329551879</v>
      </c>
    </row>
    <row r="83" spans="1:24">
      <c r="A83" s="2">
        <f>'Monthly Data'!A83</f>
        <v>44835</v>
      </c>
      <c r="B83">
        <f>'Monthly Data'!B83</f>
        <v>2022</v>
      </c>
      <c r="C83">
        <f>'Monthly Data'!C83</f>
        <v>10</v>
      </c>
      <c r="D83" s="3">
        <f ca="1">'Monthly Data'!BE83</f>
        <v>27267174.522275336</v>
      </c>
      <c r="E83" s="3">
        <f t="shared" ref="E83:F83" ca="1" si="98">E71</f>
        <v>232.21431159420285</v>
      </c>
      <c r="F83" s="3">
        <f t="shared" ca="1" si="98"/>
        <v>19.741250000000004</v>
      </c>
      <c r="G83" s="3">
        <f>'Monthly Data'!EM83</f>
        <v>82.713903985507258</v>
      </c>
      <c r="H83" s="3">
        <f>'Monthly Data'!ET83</f>
        <v>0.60520833333333268</v>
      </c>
      <c r="I83" s="3">
        <f>'Monthly Data'!EG83</f>
        <v>1</v>
      </c>
      <c r="J83">
        <f>'Monthly Data'!EH83</f>
        <v>82</v>
      </c>
      <c r="K83" s="3">
        <f>'Monthly Data'!DQ83</f>
        <v>31</v>
      </c>
      <c r="M83" s="3">
        <f t="shared" si="74"/>
        <v>-5660024.0454457896</v>
      </c>
      <c r="N83" s="3">
        <f t="shared" ca="1" si="75"/>
        <v>3312861.7809277582</v>
      </c>
      <c r="O83" s="3">
        <f t="shared" ca="1" si="76"/>
        <v>1803903.3336461217</v>
      </c>
      <c r="P83" s="3">
        <f t="shared" si="77"/>
        <v>392778.84470756468</v>
      </c>
      <c r="Q83" s="3">
        <f t="shared" si="78"/>
        <v>7395.7666043007748</v>
      </c>
      <c r="R83" s="3">
        <f t="shared" si="79"/>
        <v>-701201.51304507197</v>
      </c>
      <c r="S83" s="3">
        <f t="shared" si="80"/>
        <v>3886312.1375745074</v>
      </c>
      <c r="T83" s="3">
        <f t="shared" si="81"/>
        <v>24925623.239568908</v>
      </c>
      <c r="U83" s="47">
        <f t="shared" ca="1" si="49"/>
        <v>27967649.544538297</v>
      </c>
      <c r="V83" s="47">
        <f>'Monthly Data'!BF83</f>
        <v>187323.43705128203</v>
      </c>
      <c r="W83" s="47">
        <f ca="1">+'Monthly Data'!BG83</f>
        <v>258121.03935511812</v>
      </c>
      <c r="X83" s="47">
        <f t="shared" ca="1" si="50"/>
        <v>28413094.020944696</v>
      </c>
    </row>
    <row r="84" spans="1:24">
      <c r="A84" s="2">
        <f>'Monthly Data'!A84</f>
        <v>44866</v>
      </c>
      <c r="B84">
        <f>'Monthly Data'!B84</f>
        <v>2022</v>
      </c>
      <c r="C84">
        <f>'Monthly Data'!C84</f>
        <v>11</v>
      </c>
      <c r="D84" s="3">
        <f ca="1">'Monthly Data'!BE84</f>
        <v>28333844.891644187</v>
      </c>
      <c r="E84" s="3">
        <f t="shared" ref="E84:F84" ca="1" si="99">E72</f>
        <v>435.51408055712398</v>
      </c>
      <c r="F84" s="3">
        <f t="shared" ca="1" si="99"/>
        <v>0.78124999999999944</v>
      </c>
      <c r="G84" s="3">
        <f>'Monthly Data'!EM84</f>
        <v>117.95833333333337</v>
      </c>
      <c r="H84" s="3">
        <f>'Monthly Data'!ET84</f>
        <v>0.57708333333333295</v>
      </c>
      <c r="I84" s="3">
        <f>'Monthly Data'!EG84</f>
        <v>1</v>
      </c>
      <c r="J84">
        <f>'Monthly Data'!EH84</f>
        <v>83</v>
      </c>
      <c r="K84" s="3">
        <f>'Monthly Data'!DQ84</f>
        <v>30</v>
      </c>
      <c r="M84" s="3">
        <f t="shared" si="74"/>
        <v>-5660024.0454457896</v>
      </c>
      <c r="N84" s="3">
        <f t="shared" ca="1" si="75"/>
        <v>6213217.1898814524</v>
      </c>
      <c r="O84" s="3">
        <f t="shared" ca="1" si="76"/>
        <v>71388.563510974796</v>
      </c>
      <c r="P84" s="3">
        <f t="shared" si="77"/>
        <v>560142.07597327884</v>
      </c>
      <c r="Q84" s="3">
        <f t="shared" si="78"/>
        <v>7052.0734918806038</v>
      </c>
      <c r="R84" s="3">
        <f t="shared" si="79"/>
        <v>-701201.51304507197</v>
      </c>
      <c r="S84" s="3">
        <f t="shared" si="80"/>
        <v>3933706.1880327328</v>
      </c>
      <c r="T84" s="3">
        <f t="shared" si="81"/>
        <v>24121570.877002168</v>
      </c>
      <c r="U84" s="47">
        <f t="shared" ca="1" si="49"/>
        <v>28545851.409401625</v>
      </c>
      <c r="V84" s="47">
        <f>'Monthly Data'!BF84</f>
        <v>193628.92692307691</v>
      </c>
      <c r="W84" s="47">
        <f ca="1">+'Monthly Data'!BG84</f>
        <v>395390.09690615511</v>
      </c>
      <c r="X84" s="47">
        <f t="shared" ca="1" si="50"/>
        <v>29134870.433230858</v>
      </c>
    </row>
    <row r="85" spans="1:24">
      <c r="A85" s="2">
        <f>'Monthly Data'!A85</f>
        <v>44896</v>
      </c>
      <c r="B85">
        <f>'Monthly Data'!B85</f>
        <v>2022</v>
      </c>
      <c r="C85">
        <f>'Monthly Data'!C85</f>
        <v>12</v>
      </c>
      <c r="D85" s="3">
        <f ca="1">'Monthly Data'!BE85</f>
        <v>33485861.190255057</v>
      </c>
      <c r="E85" s="3">
        <f t="shared" ref="E85:F85" ca="1" si="100">E73</f>
        <v>602.38541666666674</v>
      </c>
      <c r="F85" s="3">
        <f t="shared" ca="1" si="100"/>
        <v>0</v>
      </c>
      <c r="G85" s="3">
        <f>'Monthly Data'!EM85</f>
        <v>161.78020833333332</v>
      </c>
      <c r="H85" s="3">
        <f>'Monthly Data'!ET85</f>
        <v>0</v>
      </c>
      <c r="I85" s="3">
        <f>'Monthly Data'!EG85</f>
        <v>0</v>
      </c>
      <c r="J85">
        <f>'Monthly Data'!EH85</f>
        <v>84</v>
      </c>
      <c r="K85" s="3">
        <f>'Monthly Data'!DQ85</f>
        <v>31</v>
      </c>
      <c r="M85" s="3">
        <f t="shared" si="74"/>
        <v>-5660024.0454457896</v>
      </c>
      <c r="N85" s="3">
        <f t="shared" ca="1" si="75"/>
        <v>8593870.0787340421</v>
      </c>
      <c r="O85" s="3">
        <f t="shared" ca="1" si="76"/>
        <v>0</v>
      </c>
      <c r="P85" s="3">
        <f t="shared" si="77"/>
        <v>768236.53900860064</v>
      </c>
      <c r="Q85" s="3">
        <f t="shared" si="78"/>
        <v>0</v>
      </c>
      <c r="R85" s="3">
        <f t="shared" si="79"/>
        <v>0</v>
      </c>
      <c r="S85" s="3">
        <f t="shared" si="80"/>
        <v>3981100.2384909587</v>
      </c>
      <c r="T85" s="3">
        <f t="shared" si="81"/>
        <v>24925623.239568908</v>
      </c>
      <c r="U85" s="47">
        <f t="shared" ca="1" si="49"/>
        <v>32608806.05035672</v>
      </c>
      <c r="V85" s="47">
        <f>'Monthly Data'!BF85</f>
        <v>199934.41679487179</v>
      </c>
      <c r="W85" s="47">
        <f ca="1">+'Monthly Data'!BG85</f>
        <v>561758.76080973726</v>
      </c>
      <c r="X85" s="47">
        <f t="shared" ca="1" si="50"/>
        <v>33370499.227961328</v>
      </c>
    </row>
    <row r="86" spans="1:24">
      <c r="A86" s="2">
        <f>'Monthly Data'!A86</f>
        <v>44927</v>
      </c>
      <c r="B86">
        <f>'Monthly Data'!B86</f>
        <v>2023</v>
      </c>
      <c r="C86">
        <f>'Monthly Data'!C86</f>
        <v>1</v>
      </c>
      <c r="D86" s="3">
        <f ca="1">'Monthly Data'!BE86</f>
        <v>32425030.693477109</v>
      </c>
      <c r="E86" s="3">
        <f t="shared" ref="E86:F86" ca="1" si="101">E74</f>
        <v>690.78750000000002</v>
      </c>
      <c r="F86" s="3">
        <f t="shared" ca="1" si="101"/>
        <v>0</v>
      </c>
      <c r="G86" s="3">
        <f>'Monthly Data'!EM86</f>
        <v>0</v>
      </c>
      <c r="H86" s="3">
        <f>'Monthly Data'!ET86</f>
        <v>0</v>
      </c>
      <c r="I86" s="3">
        <f>'Monthly Data'!EG86</f>
        <v>0</v>
      </c>
      <c r="J86">
        <f>'Monthly Data'!EH86</f>
        <v>85</v>
      </c>
      <c r="K86" s="3">
        <f>'Monthly Data'!DQ86</f>
        <v>31</v>
      </c>
      <c r="M86" s="3">
        <f t="shared" si="74"/>
        <v>-5660024.0454457896</v>
      </c>
      <c r="N86" s="3">
        <f t="shared" ca="1" si="75"/>
        <v>9855049.3799528815</v>
      </c>
      <c r="O86" s="3">
        <f t="shared" ca="1" si="76"/>
        <v>0</v>
      </c>
      <c r="P86" s="3">
        <f t="shared" si="77"/>
        <v>0</v>
      </c>
      <c r="Q86" s="3">
        <f t="shared" si="78"/>
        <v>0</v>
      </c>
      <c r="R86" s="3">
        <f t="shared" si="79"/>
        <v>0</v>
      </c>
      <c r="S86" s="3">
        <f t="shared" si="80"/>
        <v>4028494.2889491841</v>
      </c>
      <c r="T86" s="3">
        <f t="shared" si="81"/>
        <v>24925623.239568908</v>
      </c>
      <c r="U86" s="47">
        <f t="shared" ca="1" si="49"/>
        <v>33149142.863025185</v>
      </c>
      <c r="V86" s="47">
        <f>'Monthly Data'!BF86</f>
        <v>215217.9769230769</v>
      </c>
      <c r="W86" s="47">
        <f ca="1">+'Monthly Data'!BG86</f>
        <v>800412.94911108573</v>
      </c>
      <c r="X86" s="47">
        <f t="shared" ca="1" si="50"/>
        <v>34164773.789059348</v>
      </c>
    </row>
    <row r="87" spans="1:24">
      <c r="A87" s="2">
        <f>'Monthly Data'!A87</f>
        <v>44958</v>
      </c>
      <c r="B87">
        <f>'Monthly Data'!B87</f>
        <v>2023</v>
      </c>
      <c r="C87">
        <f>'Monthly Data'!C87</f>
        <v>2</v>
      </c>
      <c r="D87" s="3">
        <f ca="1">'Monthly Data'!BE87</f>
        <v>29362111.603566822</v>
      </c>
      <c r="E87" s="3">
        <f t="shared" ref="E87:F87" ca="1" si="102">E75</f>
        <v>604.19541666666657</v>
      </c>
      <c r="F87" s="3">
        <f t="shared" ca="1" si="102"/>
        <v>0</v>
      </c>
      <c r="G87" s="3">
        <f>'Monthly Data'!EM87</f>
        <v>0</v>
      </c>
      <c r="H87" s="3">
        <f>'Monthly Data'!ET87</f>
        <v>0</v>
      </c>
      <c r="I87" s="3">
        <f>'Monthly Data'!EG87</f>
        <v>0</v>
      </c>
      <c r="J87">
        <f>'Monthly Data'!EH87</f>
        <v>86</v>
      </c>
      <c r="K87" s="3">
        <f>'Monthly Data'!DQ87</f>
        <v>28</v>
      </c>
      <c r="M87" s="3">
        <f t="shared" si="74"/>
        <v>-5660024.0454457896</v>
      </c>
      <c r="N87" s="3">
        <f t="shared" ca="1" si="75"/>
        <v>8619692.2590394374</v>
      </c>
      <c r="O87" s="3">
        <f t="shared" ca="1" si="76"/>
        <v>0</v>
      </c>
      <c r="P87" s="3">
        <f t="shared" si="77"/>
        <v>0</v>
      </c>
      <c r="Q87" s="3">
        <f t="shared" si="78"/>
        <v>0</v>
      </c>
      <c r="R87" s="3">
        <f t="shared" si="79"/>
        <v>0</v>
      </c>
      <c r="S87" s="3">
        <f t="shared" si="80"/>
        <v>4075888.33940741</v>
      </c>
      <c r="T87" s="3">
        <f t="shared" si="81"/>
        <v>22513466.15186869</v>
      </c>
      <c r="U87" s="47">
        <f t="shared" ca="1" si="49"/>
        <v>29549022.704869747</v>
      </c>
      <c r="V87" s="47">
        <f>'Monthly Data'!BF87</f>
        <v>224196.04717948716</v>
      </c>
      <c r="W87" s="47">
        <f ca="1">+'Monthly Data'!BG87</f>
        <v>759817.293146251</v>
      </c>
      <c r="X87" s="47">
        <f t="shared" ca="1" si="50"/>
        <v>30533036.045195486</v>
      </c>
    </row>
    <row r="88" spans="1:24">
      <c r="A88" s="2">
        <f>'Monthly Data'!A88</f>
        <v>44986</v>
      </c>
      <c r="B88">
        <f>'Monthly Data'!B88</f>
        <v>2023</v>
      </c>
      <c r="C88">
        <f>'Monthly Data'!C88</f>
        <v>3</v>
      </c>
      <c r="D88" s="3">
        <f ca="1">'Monthly Data'!BE88</f>
        <v>30422452.137694888</v>
      </c>
      <c r="E88" s="3">
        <f t="shared" ref="E88:F88" ca="1" si="103">E76</f>
        <v>534.21590579710141</v>
      </c>
      <c r="F88" s="3">
        <f t="shared" ca="1" si="103"/>
        <v>0</v>
      </c>
      <c r="G88" s="3">
        <f>'Monthly Data'!EM88</f>
        <v>0</v>
      </c>
      <c r="H88" s="3">
        <f>'Monthly Data'!ET88</f>
        <v>0</v>
      </c>
      <c r="I88" s="3">
        <f>'Monthly Data'!EG88</f>
        <v>1</v>
      </c>
      <c r="J88">
        <f>'Monthly Data'!EH88</f>
        <v>87</v>
      </c>
      <c r="K88" s="3">
        <f>'Monthly Data'!DQ88</f>
        <v>31</v>
      </c>
      <c r="M88" s="3">
        <f t="shared" si="74"/>
        <v>-5660024.0454457896</v>
      </c>
      <c r="N88" s="3">
        <f t="shared" ca="1" si="75"/>
        <v>7621336.7080132328</v>
      </c>
      <c r="O88" s="3">
        <f t="shared" ca="1" si="76"/>
        <v>0</v>
      </c>
      <c r="P88" s="3">
        <f t="shared" si="77"/>
        <v>0</v>
      </c>
      <c r="Q88" s="3">
        <f t="shared" si="78"/>
        <v>0</v>
      </c>
      <c r="R88" s="3">
        <f t="shared" si="79"/>
        <v>-701201.51304507197</v>
      </c>
      <c r="S88" s="3">
        <f t="shared" si="80"/>
        <v>4123282.3898656359</v>
      </c>
      <c r="T88" s="3">
        <f t="shared" si="81"/>
        <v>24925623.239568908</v>
      </c>
      <c r="U88" s="47">
        <f t="shared" ca="1" si="49"/>
        <v>30309016.778956912</v>
      </c>
      <c r="V88" s="47">
        <f>'Monthly Data'!BF88</f>
        <v>233174.11743589741</v>
      </c>
      <c r="W88" s="47">
        <f ca="1">+'Monthly Data'!BG88</f>
        <v>730136.58507241064</v>
      </c>
      <c r="X88" s="47">
        <f t="shared" ca="1" si="50"/>
        <v>31272327.48146522</v>
      </c>
    </row>
    <row r="89" spans="1:24">
      <c r="A89" s="2">
        <f>'Monthly Data'!A89</f>
        <v>45017</v>
      </c>
      <c r="B89">
        <f>'Monthly Data'!B89</f>
        <v>2023</v>
      </c>
      <c r="C89">
        <f>'Monthly Data'!C89</f>
        <v>4</v>
      </c>
      <c r="D89" s="3">
        <f ca="1">'Monthly Data'!BE89</f>
        <v>27186651.748520873</v>
      </c>
      <c r="E89" s="3">
        <f t="shared" ref="E89:F89" ca="1" si="104">E77</f>
        <v>352.92312500000003</v>
      </c>
      <c r="F89" s="3">
        <f t="shared" ca="1" si="104"/>
        <v>2.2025000000000015</v>
      </c>
      <c r="G89" s="3">
        <f>'Monthly Data'!EM89</f>
        <v>0</v>
      </c>
      <c r="H89" s="3">
        <f>'Monthly Data'!ET89</f>
        <v>0</v>
      </c>
      <c r="I89" s="3">
        <f>'Monthly Data'!EG89</f>
        <v>1</v>
      </c>
      <c r="J89">
        <f>'Monthly Data'!EH89</f>
        <v>88</v>
      </c>
      <c r="K89" s="3">
        <f>'Monthly Data'!DQ89</f>
        <v>30</v>
      </c>
      <c r="M89" s="3">
        <f t="shared" si="74"/>
        <v>-5660024.0454457896</v>
      </c>
      <c r="N89" s="3">
        <f t="shared" ca="1" si="75"/>
        <v>5034941.7501073536</v>
      </c>
      <c r="O89" s="3">
        <f t="shared" ca="1" si="76"/>
        <v>201258.63825014042</v>
      </c>
      <c r="P89" s="3">
        <f t="shared" si="77"/>
        <v>0</v>
      </c>
      <c r="Q89" s="3">
        <f t="shared" si="78"/>
        <v>0</v>
      </c>
      <c r="R89" s="3">
        <f t="shared" si="79"/>
        <v>-701201.51304507197</v>
      </c>
      <c r="S89" s="3">
        <f t="shared" si="80"/>
        <v>4170676.4403238613</v>
      </c>
      <c r="T89" s="3">
        <f t="shared" si="81"/>
        <v>24121570.877002168</v>
      </c>
      <c r="U89" s="47">
        <f t="shared" ca="1" si="49"/>
        <v>27167222.147192661</v>
      </c>
      <c r="V89" s="47">
        <f>'Monthly Data'!BF89</f>
        <v>242152.18769230766</v>
      </c>
      <c r="W89" s="47">
        <f ca="1">+'Monthly Data'!BG89</f>
        <v>399364.52738640946</v>
      </c>
      <c r="X89" s="47">
        <f t="shared" ca="1" si="50"/>
        <v>27808738.862271376</v>
      </c>
    </row>
    <row r="90" spans="1:24">
      <c r="A90" s="2">
        <f>'Monthly Data'!A90</f>
        <v>45047</v>
      </c>
      <c r="B90">
        <f>'Monthly Data'!B90</f>
        <v>2023</v>
      </c>
      <c r="C90">
        <f>'Monthly Data'!C90</f>
        <v>5</v>
      </c>
      <c r="D90" s="3">
        <f ca="1">'Monthly Data'!BE90</f>
        <v>28653334.459720019</v>
      </c>
      <c r="E90" s="3">
        <f t="shared" ref="E90:F90" ca="1" si="105">E78</f>
        <v>155.24720841877425</v>
      </c>
      <c r="F90" s="3">
        <f t="shared" ca="1" si="105"/>
        <v>48.940113636363641</v>
      </c>
      <c r="G90" s="3">
        <f>'Monthly Data'!EM90</f>
        <v>0</v>
      </c>
      <c r="H90" s="3">
        <f>'Monthly Data'!ET90</f>
        <v>0</v>
      </c>
      <c r="I90" s="3">
        <f>'Monthly Data'!EG90</f>
        <v>1</v>
      </c>
      <c r="J90">
        <f>'Monthly Data'!EH90</f>
        <v>89</v>
      </c>
      <c r="K90" s="3">
        <f>'Monthly Data'!DQ90</f>
        <v>31</v>
      </c>
      <c r="M90" s="3">
        <f t="shared" si="74"/>
        <v>-5660024.0454457896</v>
      </c>
      <c r="N90" s="3">
        <f t="shared" ca="1" si="75"/>
        <v>2214818.4572923756</v>
      </c>
      <c r="O90" s="3">
        <f t="shared" ca="1" si="76"/>
        <v>4472018.4455217561</v>
      </c>
      <c r="P90" s="3">
        <f t="shared" si="77"/>
        <v>0</v>
      </c>
      <c r="Q90" s="3">
        <f t="shared" si="78"/>
        <v>0</v>
      </c>
      <c r="R90" s="3">
        <f t="shared" si="79"/>
        <v>-701201.51304507197</v>
      </c>
      <c r="S90" s="3">
        <f t="shared" si="80"/>
        <v>4218070.4907820867</v>
      </c>
      <c r="T90" s="3">
        <f t="shared" si="81"/>
        <v>24925623.239568908</v>
      </c>
      <c r="U90" s="47">
        <f t="shared" ca="1" si="49"/>
        <v>29469305.074674264</v>
      </c>
      <c r="V90" s="47">
        <f>'Monthly Data'!BF90</f>
        <v>251130.25794871792</v>
      </c>
      <c r="W90" s="47">
        <f ca="1">+'Monthly Data'!BG90</f>
        <v>216727.69116849787</v>
      </c>
      <c r="X90" s="47">
        <f t="shared" ca="1" si="50"/>
        <v>29937163.023791481</v>
      </c>
    </row>
    <row r="91" spans="1:24">
      <c r="A91" s="2">
        <f>'Monthly Data'!A91</f>
        <v>45078</v>
      </c>
      <c r="B91">
        <f>'Monthly Data'!B91</f>
        <v>2023</v>
      </c>
      <c r="C91">
        <f>'Monthly Data'!C91</f>
        <v>6</v>
      </c>
      <c r="D91" s="3">
        <f ca="1">'Monthly Data'!BE91</f>
        <v>36466432.147397168</v>
      </c>
      <c r="E91" s="3">
        <f t="shared" ref="E91:F91" ca="1" si="106">E79</f>
        <v>30.273840492840492</v>
      </c>
      <c r="F91" s="3">
        <f t="shared" ca="1" si="106"/>
        <v>144.91160087738351</v>
      </c>
      <c r="G91" s="3">
        <f>'Monthly Data'!EM91</f>
        <v>0</v>
      </c>
      <c r="H91" s="3">
        <f>'Monthly Data'!ET91</f>
        <v>0</v>
      </c>
      <c r="I91" s="3">
        <f>'Monthly Data'!EG91</f>
        <v>0</v>
      </c>
      <c r="J91">
        <f>'Monthly Data'!EH91</f>
        <v>90</v>
      </c>
      <c r="K91" s="3">
        <f>'Monthly Data'!DQ91</f>
        <v>30</v>
      </c>
      <c r="M91" s="3">
        <f t="shared" si="74"/>
        <v>-5660024.0454457896</v>
      </c>
      <c r="N91" s="3">
        <f t="shared" ca="1" si="75"/>
        <v>431898.65621158475</v>
      </c>
      <c r="O91" s="3">
        <f t="shared" ca="1" si="76"/>
        <v>13241639.709071528</v>
      </c>
      <c r="P91" s="3">
        <f t="shared" si="77"/>
        <v>0</v>
      </c>
      <c r="Q91" s="3">
        <f t="shared" si="78"/>
        <v>0</v>
      </c>
      <c r="R91" s="3">
        <f t="shared" si="79"/>
        <v>0</v>
      </c>
      <c r="S91" s="3">
        <f t="shared" si="80"/>
        <v>4265464.5412403131</v>
      </c>
      <c r="T91" s="3">
        <f t="shared" si="81"/>
        <v>24121570.877002168</v>
      </c>
      <c r="U91" s="47">
        <f t="shared" ca="1" si="49"/>
        <v>36400549.738079801</v>
      </c>
      <c r="V91" s="47">
        <f>'Monthly Data'!BF91</f>
        <v>260108.3282051282</v>
      </c>
      <c r="W91" s="47">
        <f ca="1">+'Monthly Data'!BG91</f>
        <v>28410.886113836295</v>
      </c>
      <c r="X91" s="47">
        <f t="shared" ca="1" si="50"/>
        <v>36689068.95239877</v>
      </c>
    </row>
    <row r="92" spans="1:24">
      <c r="A92" s="2">
        <f>'Monthly Data'!A92</f>
        <v>45108</v>
      </c>
      <c r="B92">
        <f>'Monthly Data'!B92</f>
        <v>2023</v>
      </c>
      <c r="C92">
        <f>'Monthly Data'!C92</f>
        <v>7</v>
      </c>
      <c r="D92" s="3">
        <f ca="1">'Monthly Data'!BE92</f>
        <v>45286912.264689282</v>
      </c>
      <c r="E92" s="3">
        <f t="shared" ref="E92:F92" ca="1" si="107">E80</f>
        <v>1.0845833333333317</v>
      </c>
      <c r="F92" s="3">
        <f t="shared" ca="1" si="107"/>
        <v>242.72508692061183</v>
      </c>
      <c r="G92" s="3">
        <f>'Monthly Data'!EM92</f>
        <v>0</v>
      </c>
      <c r="H92" s="3">
        <f>'Monthly Data'!ET92</f>
        <v>0</v>
      </c>
      <c r="I92" s="3">
        <f>'Monthly Data'!EG92</f>
        <v>0</v>
      </c>
      <c r="J92">
        <f>'Monthly Data'!EH92</f>
        <v>91</v>
      </c>
      <c r="K92" s="3">
        <f>'Monthly Data'!DQ92</f>
        <v>31</v>
      </c>
      <c r="M92" s="3">
        <f t="shared" si="74"/>
        <v>-5660024.0454457896</v>
      </c>
      <c r="N92" s="3">
        <f t="shared" ca="1" si="75"/>
        <v>15473.097452796814</v>
      </c>
      <c r="O92" s="3">
        <f t="shared" ca="1" si="76"/>
        <v>22179577.962673906</v>
      </c>
      <c r="P92" s="3">
        <f t="shared" si="77"/>
        <v>0</v>
      </c>
      <c r="Q92" s="3">
        <f t="shared" si="78"/>
        <v>0</v>
      </c>
      <c r="R92" s="3">
        <f t="shared" si="79"/>
        <v>0</v>
      </c>
      <c r="S92" s="3">
        <f t="shared" si="80"/>
        <v>4312858.5916985385</v>
      </c>
      <c r="T92" s="3">
        <f t="shared" si="81"/>
        <v>24925623.239568908</v>
      </c>
      <c r="U92" s="47">
        <f t="shared" ca="1" si="49"/>
        <v>45773508.845948361</v>
      </c>
      <c r="V92" s="47">
        <f>'Monthly Data'!BF92</f>
        <v>269086.39846153843</v>
      </c>
      <c r="W92" s="47">
        <f ca="1">+'Monthly Data'!BG92</f>
        <v>165.62895130490966</v>
      </c>
      <c r="X92" s="47">
        <f t="shared" ca="1" si="50"/>
        <v>46042760.8733612</v>
      </c>
    </row>
    <row r="93" spans="1:24">
      <c r="A93" s="2">
        <f>'Monthly Data'!A93</f>
        <v>45139</v>
      </c>
      <c r="B93">
        <f>'Monthly Data'!B93</f>
        <v>2023</v>
      </c>
      <c r="C93">
        <f>'Monthly Data'!C93</f>
        <v>8</v>
      </c>
      <c r="D93" s="3">
        <f ca="1">'Monthly Data'!BE93</f>
        <v>39289994.687740542</v>
      </c>
      <c r="E93" s="3">
        <f t="shared" ref="E93:F93" ca="1" si="108">E81</f>
        <v>6.4245833333333335</v>
      </c>
      <c r="F93" s="3">
        <f t="shared" ca="1" si="108"/>
        <v>214.02558794466404</v>
      </c>
      <c r="G93" s="3">
        <f>'Monthly Data'!EM93</f>
        <v>0</v>
      </c>
      <c r="H93" s="3">
        <f>'Monthly Data'!ET93</f>
        <v>0</v>
      </c>
      <c r="I93" s="3">
        <f>'Monthly Data'!EG93</f>
        <v>0</v>
      </c>
      <c r="J93">
        <f>'Monthly Data'!EH93</f>
        <v>92</v>
      </c>
      <c r="K93" s="3">
        <f>'Monthly Data'!DQ93</f>
        <v>31</v>
      </c>
      <c r="M93" s="3">
        <f t="shared" si="74"/>
        <v>-5660024.0454457896</v>
      </c>
      <c r="N93" s="3">
        <f t="shared" ca="1" si="75"/>
        <v>91655.662552698588</v>
      </c>
      <c r="O93" s="3">
        <f t="shared" ca="1" si="76"/>
        <v>19557093.475790568</v>
      </c>
      <c r="P93" s="3">
        <f t="shared" si="77"/>
        <v>0</v>
      </c>
      <c r="Q93" s="3">
        <f t="shared" si="78"/>
        <v>0</v>
      </c>
      <c r="R93" s="3">
        <f t="shared" si="79"/>
        <v>0</v>
      </c>
      <c r="S93" s="3">
        <f t="shared" si="80"/>
        <v>4360252.6421567639</v>
      </c>
      <c r="T93" s="3">
        <f t="shared" si="81"/>
        <v>24925623.239568908</v>
      </c>
      <c r="U93" s="47">
        <f t="shared" ca="1" si="49"/>
        <v>43274600.974623144</v>
      </c>
      <c r="V93" s="47">
        <f>'Monthly Data'!BF93</f>
        <v>278064.46871794871</v>
      </c>
      <c r="W93" s="47">
        <f ca="1">+'Monthly Data'!BG93</f>
        <v>12289.668186824638</v>
      </c>
      <c r="X93" s="47">
        <f t="shared" ca="1" si="50"/>
        <v>43564955.111527912</v>
      </c>
    </row>
    <row r="94" spans="1:24">
      <c r="A94" s="2">
        <f>'Monthly Data'!A94</f>
        <v>45170</v>
      </c>
      <c r="B94">
        <f>'Monthly Data'!B94</f>
        <v>2023</v>
      </c>
      <c r="C94">
        <f>'Monthly Data'!C94</f>
        <v>9</v>
      </c>
      <c r="D94" s="3">
        <f ca="1">'Monthly Data'!BE94</f>
        <v>34152262.92373392</v>
      </c>
      <c r="E94" s="3">
        <f t="shared" ref="E94:F94" ca="1" si="109">E82</f>
        <v>54.412952898550728</v>
      </c>
      <c r="F94" s="3">
        <f t="shared" ca="1" si="109"/>
        <v>102.40708333333332</v>
      </c>
      <c r="G94" s="3">
        <f>'Monthly Data'!EM94</f>
        <v>0</v>
      </c>
      <c r="H94" s="3">
        <f>'Monthly Data'!ET94</f>
        <v>0</v>
      </c>
      <c r="I94" s="3">
        <f>'Monthly Data'!EG94</f>
        <v>1</v>
      </c>
      <c r="J94">
        <f>'Monthly Data'!EH94</f>
        <v>93</v>
      </c>
      <c r="K94" s="3">
        <f>'Monthly Data'!DQ94</f>
        <v>30</v>
      </c>
      <c r="M94" s="3">
        <f t="shared" si="74"/>
        <v>-5660024.0454457896</v>
      </c>
      <c r="N94" s="3">
        <f t="shared" ca="1" si="75"/>
        <v>776276.8401632451</v>
      </c>
      <c r="O94" s="3">
        <f t="shared" ca="1" si="76"/>
        <v>9357689.0528196599</v>
      </c>
      <c r="P94" s="3">
        <f t="shared" si="77"/>
        <v>0</v>
      </c>
      <c r="Q94" s="3">
        <f t="shared" si="78"/>
        <v>0</v>
      </c>
      <c r="R94" s="3">
        <f t="shared" si="79"/>
        <v>-701201.51304507197</v>
      </c>
      <c r="S94" s="3">
        <f t="shared" si="80"/>
        <v>4407646.6926149903</v>
      </c>
      <c r="T94" s="3">
        <f t="shared" si="81"/>
        <v>24121570.877002168</v>
      </c>
      <c r="U94" s="47">
        <f t="shared" ca="1" si="49"/>
        <v>32301957.904109202</v>
      </c>
      <c r="V94" s="47">
        <f>'Monthly Data'!BF94</f>
        <v>287042.53897435893</v>
      </c>
      <c r="W94" s="47">
        <f ca="1">+'Monthly Data'!BG94</f>
        <v>63060.4627268244</v>
      </c>
      <c r="X94" s="47">
        <f t="shared" ca="1" si="50"/>
        <v>32652060.905810386</v>
      </c>
    </row>
    <row r="95" spans="1:24">
      <c r="A95" s="2">
        <f>'Monthly Data'!A95</f>
        <v>45200</v>
      </c>
      <c r="B95">
        <f>'Monthly Data'!B95</f>
        <v>2023</v>
      </c>
      <c r="C95">
        <f>'Monthly Data'!C95</f>
        <v>10</v>
      </c>
      <c r="D95" s="3">
        <f ca="1">'Monthly Data'!BE95</f>
        <v>29617828.682503663</v>
      </c>
      <c r="E95" s="3">
        <f t="shared" ref="E95:F95" ca="1" si="110">E83</f>
        <v>232.21431159420285</v>
      </c>
      <c r="F95" s="3">
        <f t="shared" ca="1" si="110"/>
        <v>19.741250000000004</v>
      </c>
      <c r="G95" s="3">
        <f>'Monthly Data'!EM95</f>
        <v>0</v>
      </c>
      <c r="H95" s="3">
        <f>'Monthly Data'!ET95</f>
        <v>0</v>
      </c>
      <c r="I95" s="3">
        <f>'Monthly Data'!EG95</f>
        <v>1</v>
      </c>
      <c r="J95">
        <f>'Monthly Data'!EH95</f>
        <v>94</v>
      </c>
      <c r="K95" s="3">
        <f>'Monthly Data'!DQ95</f>
        <v>31</v>
      </c>
      <c r="M95" s="3">
        <f t="shared" si="74"/>
        <v>-5660024.0454457896</v>
      </c>
      <c r="N95" s="3">
        <f t="shared" ca="1" si="75"/>
        <v>3312861.7809277582</v>
      </c>
      <c r="O95" s="3">
        <f t="shared" ca="1" si="76"/>
        <v>1803903.3336461217</v>
      </c>
      <c r="P95" s="3">
        <f t="shared" si="77"/>
        <v>0</v>
      </c>
      <c r="Q95" s="3">
        <f t="shared" si="78"/>
        <v>0</v>
      </c>
      <c r="R95" s="3">
        <f t="shared" si="79"/>
        <v>-701201.51304507197</v>
      </c>
      <c r="S95" s="3">
        <f t="shared" si="80"/>
        <v>4455040.7430732157</v>
      </c>
      <c r="T95" s="3">
        <f t="shared" si="81"/>
        <v>24925623.239568908</v>
      </c>
      <c r="U95" s="47">
        <f t="shared" ca="1" si="49"/>
        <v>28136203.538725141</v>
      </c>
      <c r="V95" s="47">
        <f>'Monthly Data'!BF95</f>
        <v>296020.60923076922</v>
      </c>
      <c r="W95" s="47">
        <f ca="1">+'Monthly Data'!BG95</f>
        <v>274485.81906754756</v>
      </c>
      <c r="X95" s="47">
        <f t="shared" ca="1" si="50"/>
        <v>28706709.967023458</v>
      </c>
    </row>
    <row r="96" spans="1:24">
      <c r="A96" s="2">
        <f>'Monthly Data'!A96</f>
        <v>45231</v>
      </c>
      <c r="B96">
        <f>'Monthly Data'!B96</f>
        <v>2023</v>
      </c>
      <c r="C96">
        <f>'Monthly Data'!C96</f>
        <v>11</v>
      </c>
      <c r="D96" s="3">
        <f ca="1">'Monthly Data'!BE96</f>
        <v>29749525.858147036</v>
      </c>
      <c r="E96" s="3">
        <f t="shared" ref="E96:F96" ca="1" si="111">E84</f>
        <v>435.51408055712398</v>
      </c>
      <c r="F96" s="3">
        <f t="shared" ca="1" si="111"/>
        <v>0.78124999999999944</v>
      </c>
      <c r="G96" s="3">
        <f>'Monthly Data'!EM96</f>
        <v>0</v>
      </c>
      <c r="H96" s="3">
        <f>'Monthly Data'!ET96</f>
        <v>0</v>
      </c>
      <c r="I96" s="3">
        <f>'Monthly Data'!EG96</f>
        <v>1</v>
      </c>
      <c r="J96">
        <f>'Monthly Data'!EH96</f>
        <v>95</v>
      </c>
      <c r="K96" s="3">
        <f>'Monthly Data'!DQ96</f>
        <v>30</v>
      </c>
      <c r="M96" s="3">
        <f t="shared" si="74"/>
        <v>-5660024.0454457896</v>
      </c>
      <c r="N96" s="3">
        <f t="shared" ca="1" si="75"/>
        <v>6213217.1898814524</v>
      </c>
      <c r="O96" s="3">
        <f t="shared" ca="1" si="76"/>
        <v>71388.563510974796</v>
      </c>
      <c r="P96" s="3">
        <f t="shared" si="77"/>
        <v>0</v>
      </c>
      <c r="Q96" s="3">
        <f t="shared" si="78"/>
        <v>0</v>
      </c>
      <c r="R96" s="3">
        <f t="shared" si="79"/>
        <v>-701201.51304507197</v>
      </c>
      <c r="S96" s="3">
        <f t="shared" si="80"/>
        <v>4502434.7935314411</v>
      </c>
      <c r="T96" s="3">
        <f t="shared" si="81"/>
        <v>24121570.877002168</v>
      </c>
      <c r="U96" s="47">
        <f t="shared" ca="1" si="49"/>
        <v>28547385.865435176</v>
      </c>
      <c r="V96" s="47">
        <f>'Monthly Data'!BF96</f>
        <v>304998.67948717944</v>
      </c>
      <c r="W96" s="47">
        <f ca="1">+'Monthly Data'!BG96</f>
        <v>597050.12206953554</v>
      </c>
      <c r="X96" s="47">
        <f t="shared" ca="1" si="50"/>
        <v>29449434.666991889</v>
      </c>
    </row>
    <row r="97" spans="1:24">
      <c r="A97" s="2">
        <f>'Monthly Data'!A97</f>
        <v>45261</v>
      </c>
      <c r="B97">
        <f>'Monthly Data'!B97</f>
        <v>2023</v>
      </c>
      <c r="C97">
        <f>'Monthly Data'!C97</f>
        <v>12</v>
      </c>
      <c r="D97" s="3">
        <f ca="1">'Monthly Data'!BE97</f>
        <v>33318299.780423377</v>
      </c>
      <c r="E97" s="3">
        <f t="shared" ref="E97:F97" ca="1" si="112">E85</f>
        <v>602.38541666666674</v>
      </c>
      <c r="F97" s="3">
        <f t="shared" ca="1" si="112"/>
        <v>0</v>
      </c>
      <c r="G97" s="3">
        <f>'Monthly Data'!EM97</f>
        <v>0</v>
      </c>
      <c r="H97" s="3">
        <f>'Monthly Data'!ET97</f>
        <v>0</v>
      </c>
      <c r="I97" s="3">
        <f>'Monthly Data'!EG97</f>
        <v>0</v>
      </c>
      <c r="J97">
        <f>'Monthly Data'!EH97</f>
        <v>96</v>
      </c>
      <c r="K97" s="3">
        <f>'Monthly Data'!DQ97</f>
        <v>31</v>
      </c>
      <c r="M97" s="3">
        <f t="shared" si="74"/>
        <v>-5660024.0454457896</v>
      </c>
      <c r="N97" s="3">
        <f t="shared" ca="1" si="75"/>
        <v>8593870.0787340421</v>
      </c>
      <c r="O97" s="3">
        <f t="shared" ca="1" si="76"/>
        <v>0</v>
      </c>
      <c r="P97" s="3">
        <f t="shared" si="77"/>
        <v>0</v>
      </c>
      <c r="Q97" s="3">
        <f t="shared" si="78"/>
        <v>0</v>
      </c>
      <c r="R97" s="3">
        <f t="shared" si="79"/>
        <v>0</v>
      </c>
      <c r="S97" s="3">
        <f t="shared" si="80"/>
        <v>4549828.8439896666</v>
      </c>
      <c r="T97" s="3">
        <f t="shared" si="81"/>
        <v>24925623.239568908</v>
      </c>
      <c r="U97" s="47">
        <f t="shared" ca="1" si="49"/>
        <v>32409298.116846826</v>
      </c>
      <c r="V97" s="47">
        <f>'Monthly Data'!BF97</f>
        <v>313976.74974358972</v>
      </c>
      <c r="W97" s="47">
        <f ca="1">+'Monthly Data'!BG97</f>
        <v>648840.37480691494</v>
      </c>
      <c r="X97" s="47">
        <f t="shared" ca="1" si="50"/>
        <v>33372115.241397329</v>
      </c>
    </row>
    <row r="98" spans="1:24">
      <c r="A98" s="2">
        <f>'Monthly Data'!A98</f>
        <v>45292</v>
      </c>
      <c r="B98">
        <f>'Monthly Data'!B98</f>
        <v>2024</v>
      </c>
      <c r="C98">
        <f>'Monthly Data'!C98</f>
        <v>1</v>
      </c>
      <c r="D98" s="3">
        <f ca="1">'Monthly Data'!BE98</f>
        <v>34365090.724822946</v>
      </c>
      <c r="E98" s="3">
        <f t="shared" ref="E98:F98" ca="1" si="113">E86</f>
        <v>690.78750000000002</v>
      </c>
      <c r="F98" s="3">
        <f t="shared" ca="1" si="113"/>
        <v>0</v>
      </c>
      <c r="G98" s="3">
        <f>'Monthly Data'!EM98</f>
        <v>0</v>
      </c>
      <c r="H98" s="3">
        <f>'Monthly Data'!ET98</f>
        <v>0</v>
      </c>
      <c r="I98" s="3">
        <f>'Monthly Data'!EG98</f>
        <v>0</v>
      </c>
      <c r="J98">
        <f>'Monthly Data'!EH98</f>
        <v>97</v>
      </c>
      <c r="K98" s="3">
        <f>'Monthly Data'!DQ98</f>
        <v>31</v>
      </c>
      <c r="M98" s="3">
        <f t="shared" ref="M98:M129" si="114">$AB$8</f>
        <v>-5660024.0454457896</v>
      </c>
      <c r="N98" s="3">
        <f t="shared" ref="N98:N129" ca="1" si="115">E98*$AB$9</f>
        <v>9855049.3799528815</v>
      </c>
      <c r="O98" s="3">
        <f t="shared" ref="O98:O129" ca="1" si="116">F98*$AB$10</f>
        <v>0</v>
      </c>
      <c r="P98" s="3">
        <f t="shared" ref="P98:P129" si="117">G98*$AB$11</f>
        <v>0</v>
      </c>
      <c r="Q98" s="3">
        <f t="shared" ref="Q98:Q129" si="118">H98*$AB$12</f>
        <v>0</v>
      </c>
      <c r="R98" s="3">
        <f t="shared" ref="R98:R129" si="119">I98*$AB$13</f>
        <v>0</v>
      </c>
      <c r="S98" s="3">
        <f t="shared" ref="S98:S129" si="120">J98*$AB$14</f>
        <v>4597222.8944478929</v>
      </c>
      <c r="T98" s="3">
        <f t="shared" ref="T98:T129" si="121">K98*$AB$15</f>
        <v>24925623.239568908</v>
      </c>
      <c r="U98" s="47">
        <f t="shared" ref="U98:U109" ca="1" si="122">SUM(M98:T98)</f>
        <v>33717871.46852389</v>
      </c>
      <c r="V98" s="47">
        <f>'Monthly Data'!BF98</f>
        <v>335438.17820512818</v>
      </c>
      <c r="W98" s="47">
        <f ca="1">+'Monthly Data'!BG98</f>
        <v>1072314.9058152314</v>
      </c>
      <c r="X98" s="47">
        <f t="shared" ca="1" si="50"/>
        <v>35125624.552544244</v>
      </c>
    </row>
    <row r="99" spans="1:24">
      <c r="A99" s="2">
        <f>'Monthly Data'!A99</f>
        <v>45323</v>
      </c>
      <c r="B99">
        <f>'Monthly Data'!B99</f>
        <v>2024</v>
      </c>
      <c r="C99">
        <f>'Monthly Data'!C99</f>
        <v>2</v>
      </c>
      <c r="D99" s="3">
        <f ca="1">'Monthly Data'!BE99</f>
        <v>30382962.44441903</v>
      </c>
      <c r="E99" s="3">
        <f t="shared" ref="E99:F99" ca="1" si="123">E87</f>
        <v>604.19541666666657</v>
      </c>
      <c r="F99" s="3">
        <f t="shared" ca="1" si="123"/>
        <v>0</v>
      </c>
      <c r="G99" s="3">
        <f>'Monthly Data'!EM99</f>
        <v>0</v>
      </c>
      <c r="H99" s="3">
        <f>'Monthly Data'!ET99</f>
        <v>0</v>
      </c>
      <c r="I99" s="3">
        <f>'Monthly Data'!EG99</f>
        <v>0</v>
      </c>
      <c r="J99">
        <f>'Monthly Data'!EH99</f>
        <v>98</v>
      </c>
      <c r="K99" s="3">
        <f>'Monthly Data'!DQ99</f>
        <v>29</v>
      </c>
      <c r="M99" s="3">
        <f t="shared" si="114"/>
        <v>-5660024.0454457896</v>
      </c>
      <c r="N99" s="3">
        <f t="shared" ca="1" si="115"/>
        <v>8619692.2590394374</v>
      </c>
      <c r="O99" s="3">
        <f t="shared" ca="1" si="116"/>
        <v>0</v>
      </c>
      <c r="P99" s="3">
        <f t="shared" si="117"/>
        <v>0</v>
      </c>
      <c r="Q99" s="3">
        <f t="shared" si="118"/>
        <v>0</v>
      </c>
      <c r="R99" s="3">
        <f t="shared" si="119"/>
        <v>0</v>
      </c>
      <c r="S99" s="3">
        <f t="shared" si="120"/>
        <v>4644616.9449061183</v>
      </c>
      <c r="T99" s="3">
        <f t="shared" si="121"/>
        <v>23317518.514435429</v>
      </c>
      <c r="U99" s="47">
        <f t="shared" ca="1" si="122"/>
        <v>30921803.672935195</v>
      </c>
      <c r="V99" s="47">
        <f>'Monthly Data'!BF99</f>
        <v>347921.53641025641</v>
      </c>
      <c r="W99" s="47">
        <f ca="1">+'Monthly Data'!BG99</f>
        <v>914026.77939150843</v>
      </c>
      <c r="X99" s="47">
        <f t="shared" ca="1" si="50"/>
        <v>32183751.988736961</v>
      </c>
    </row>
    <row r="100" spans="1:24">
      <c r="A100" s="2">
        <f>'Monthly Data'!A100</f>
        <v>45352</v>
      </c>
      <c r="B100">
        <f>'Monthly Data'!B100</f>
        <v>2024</v>
      </c>
      <c r="C100">
        <f>'Monthly Data'!C100</f>
        <v>3</v>
      </c>
      <c r="D100" s="3">
        <f ca="1">'Monthly Data'!BE100</f>
        <v>30639068.95448155</v>
      </c>
      <c r="E100" s="3">
        <f t="shared" ref="E100:F100" ca="1" si="124">E88</f>
        <v>534.21590579710141</v>
      </c>
      <c r="F100" s="3">
        <f t="shared" ca="1" si="124"/>
        <v>0</v>
      </c>
      <c r="G100" s="3">
        <f>'Monthly Data'!EM100</f>
        <v>0</v>
      </c>
      <c r="H100" s="3">
        <f>'Monthly Data'!ET100</f>
        <v>0</v>
      </c>
      <c r="I100" s="3">
        <f>'Monthly Data'!EG100</f>
        <v>1</v>
      </c>
      <c r="J100">
        <f>'Monthly Data'!EH100</f>
        <v>99</v>
      </c>
      <c r="K100" s="3">
        <f>'Monthly Data'!DQ100</f>
        <v>31</v>
      </c>
      <c r="M100" s="3">
        <f t="shared" si="114"/>
        <v>-5660024.0454457896</v>
      </c>
      <c r="N100" s="3">
        <f t="shared" ca="1" si="115"/>
        <v>7621336.7080132328</v>
      </c>
      <c r="O100" s="3">
        <f t="shared" ca="1" si="116"/>
        <v>0</v>
      </c>
      <c r="P100" s="3">
        <f t="shared" si="117"/>
        <v>0</v>
      </c>
      <c r="Q100" s="3">
        <f t="shared" si="118"/>
        <v>0</v>
      </c>
      <c r="R100" s="3">
        <f t="shared" si="119"/>
        <v>-701201.51304507197</v>
      </c>
      <c r="S100" s="3">
        <f t="shared" si="120"/>
        <v>4692010.9953643437</v>
      </c>
      <c r="T100" s="3">
        <f t="shared" si="121"/>
        <v>24925623.239568908</v>
      </c>
      <c r="U100" s="47">
        <f t="shared" ca="1" si="122"/>
        <v>30877745.384455621</v>
      </c>
      <c r="V100" s="47">
        <f>'Monthly Data'!BF100</f>
        <v>360404.89461538463</v>
      </c>
      <c r="W100" s="47">
        <f ca="1">+'Monthly Data'!BG100</f>
        <v>774550.57989951887</v>
      </c>
      <c r="X100" s="47">
        <f t="shared" ca="1" si="50"/>
        <v>32012700.858970527</v>
      </c>
    </row>
    <row r="101" spans="1:24">
      <c r="A101" s="2">
        <f>'Monthly Data'!A101</f>
        <v>45383</v>
      </c>
      <c r="B101">
        <f>'Monthly Data'!B101</f>
        <v>2024</v>
      </c>
      <c r="C101">
        <f>'Monthly Data'!C101</f>
        <v>4</v>
      </c>
      <c r="D101" s="3">
        <f ca="1">'Monthly Data'!BE101</f>
        <v>27893692.720808491</v>
      </c>
      <c r="E101" s="3">
        <f t="shared" ref="E101:F101" ca="1" si="125">E89</f>
        <v>352.92312500000003</v>
      </c>
      <c r="F101" s="3">
        <f t="shared" ca="1" si="125"/>
        <v>2.2025000000000015</v>
      </c>
      <c r="G101" s="3">
        <f>'Monthly Data'!EM101</f>
        <v>0</v>
      </c>
      <c r="H101" s="3">
        <f>'Monthly Data'!ET101</f>
        <v>0</v>
      </c>
      <c r="I101" s="3">
        <f>'Monthly Data'!EG101</f>
        <v>1</v>
      </c>
      <c r="J101">
        <f>'Monthly Data'!EH101</f>
        <v>100</v>
      </c>
      <c r="K101" s="3">
        <f>'Monthly Data'!DQ101</f>
        <v>30</v>
      </c>
      <c r="M101" s="3">
        <f t="shared" si="114"/>
        <v>-5660024.0454457896</v>
      </c>
      <c r="N101" s="3">
        <f t="shared" ca="1" si="115"/>
        <v>5034941.7501073536</v>
      </c>
      <c r="O101" s="3">
        <f t="shared" ca="1" si="116"/>
        <v>201258.63825014042</v>
      </c>
      <c r="P101" s="3">
        <f t="shared" si="117"/>
        <v>0</v>
      </c>
      <c r="Q101" s="3">
        <f t="shared" si="118"/>
        <v>0</v>
      </c>
      <c r="R101" s="3">
        <f t="shared" si="119"/>
        <v>-701201.51304507197</v>
      </c>
      <c r="S101" s="3">
        <f t="shared" si="120"/>
        <v>4739405.0458225701</v>
      </c>
      <c r="T101" s="3">
        <f t="shared" si="121"/>
        <v>24121570.877002168</v>
      </c>
      <c r="U101" s="47">
        <f t="shared" ca="1" si="122"/>
        <v>27735950.75269137</v>
      </c>
      <c r="V101" s="47">
        <f>'Monthly Data'!BF101</f>
        <v>372888.2528205128</v>
      </c>
      <c r="W101" s="47">
        <f ca="1">+'Monthly Data'!BG101</f>
        <v>518986.83503704029</v>
      </c>
      <c r="X101" s="47">
        <f t="shared" ca="1" si="50"/>
        <v>28627825.840548925</v>
      </c>
    </row>
    <row r="102" spans="1:24">
      <c r="A102" s="2">
        <f>'Monthly Data'!A102</f>
        <v>45413</v>
      </c>
      <c r="B102">
        <f>'Monthly Data'!B102</f>
        <v>2024</v>
      </c>
      <c r="C102">
        <f>'Monthly Data'!C102</f>
        <v>5</v>
      </c>
      <c r="D102" s="3">
        <f ca="1">'Monthly Data'!BE102</f>
        <v>30524857.726516318</v>
      </c>
      <c r="E102" s="3">
        <f t="shared" ref="E102:F102" ca="1" si="126">E90</f>
        <v>155.24720841877425</v>
      </c>
      <c r="F102" s="3">
        <f t="shared" ca="1" si="126"/>
        <v>48.940113636363641</v>
      </c>
      <c r="G102" s="3">
        <f>'Monthly Data'!EM102</f>
        <v>0</v>
      </c>
      <c r="H102" s="3">
        <f>'Monthly Data'!ET102</f>
        <v>0</v>
      </c>
      <c r="I102" s="3">
        <f>'Monthly Data'!EG102</f>
        <v>1</v>
      </c>
      <c r="J102">
        <f>'Monthly Data'!EH102</f>
        <v>101</v>
      </c>
      <c r="K102" s="3">
        <f>'Monthly Data'!DQ102</f>
        <v>31</v>
      </c>
      <c r="M102" s="3">
        <f t="shared" si="114"/>
        <v>-5660024.0454457896</v>
      </c>
      <c r="N102" s="3">
        <f t="shared" ca="1" si="115"/>
        <v>2214818.4572923756</v>
      </c>
      <c r="O102" s="3">
        <f t="shared" ca="1" si="116"/>
        <v>4472018.4455217561</v>
      </c>
      <c r="P102" s="3">
        <f t="shared" si="117"/>
        <v>0</v>
      </c>
      <c r="Q102" s="3">
        <f t="shared" si="118"/>
        <v>0</v>
      </c>
      <c r="R102" s="3">
        <f t="shared" si="119"/>
        <v>-701201.51304507197</v>
      </c>
      <c r="S102" s="3">
        <f t="shared" si="120"/>
        <v>4786799.0962807955</v>
      </c>
      <c r="T102" s="3">
        <f t="shared" si="121"/>
        <v>24925623.239568908</v>
      </c>
      <c r="U102" s="47">
        <f t="shared" ca="1" si="122"/>
        <v>30038033.680172972</v>
      </c>
      <c r="V102" s="47">
        <f>'Monthly Data'!BF102</f>
        <v>385371.61102564097</v>
      </c>
      <c r="W102" s="47">
        <f ca="1">+'Monthly Data'!BG102</f>
        <v>150712.85383376307</v>
      </c>
      <c r="X102" s="47">
        <f t="shared" ca="1" si="50"/>
        <v>30574118.14503238</v>
      </c>
    </row>
    <row r="103" spans="1:24">
      <c r="A103" s="2">
        <f>'Monthly Data'!A103</f>
        <v>45444</v>
      </c>
      <c r="B103">
        <f>'Monthly Data'!B103</f>
        <v>2024</v>
      </c>
      <c r="C103">
        <f>'Monthly Data'!C103</f>
        <v>6</v>
      </c>
      <c r="D103" s="3">
        <f ca="1">'Monthly Data'!BE103</f>
        <v>38509632.420643851</v>
      </c>
      <c r="E103" s="3">
        <f t="shared" ref="E103:F103" ca="1" si="127">E91</f>
        <v>30.273840492840492</v>
      </c>
      <c r="F103" s="3">
        <f t="shared" ca="1" si="127"/>
        <v>144.91160087738351</v>
      </c>
      <c r="G103" s="3">
        <f>'Monthly Data'!EM103</f>
        <v>0</v>
      </c>
      <c r="H103" s="3">
        <f>'Monthly Data'!ET103</f>
        <v>0</v>
      </c>
      <c r="I103" s="3">
        <f>'Monthly Data'!EG103</f>
        <v>0</v>
      </c>
      <c r="J103">
        <f>'Monthly Data'!EH103</f>
        <v>102</v>
      </c>
      <c r="K103" s="3">
        <f>'Monthly Data'!DQ103</f>
        <v>30</v>
      </c>
      <c r="M103" s="3">
        <f t="shared" si="114"/>
        <v>-5660024.0454457896</v>
      </c>
      <c r="N103" s="3">
        <f t="shared" ca="1" si="115"/>
        <v>431898.65621158475</v>
      </c>
      <c r="O103" s="3">
        <f t="shared" ca="1" si="116"/>
        <v>13241639.709071528</v>
      </c>
      <c r="P103" s="3">
        <f t="shared" si="117"/>
        <v>0</v>
      </c>
      <c r="Q103" s="3">
        <f t="shared" si="118"/>
        <v>0</v>
      </c>
      <c r="R103" s="3">
        <f t="shared" si="119"/>
        <v>0</v>
      </c>
      <c r="S103" s="3">
        <f t="shared" si="120"/>
        <v>4834193.1467390209</v>
      </c>
      <c r="T103" s="3">
        <f t="shared" si="121"/>
        <v>24121570.877002168</v>
      </c>
      <c r="U103" s="47">
        <f t="shared" ca="1" si="122"/>
        <v>36969278.343578517</v>
      </c>
      <c r="V103" s="47">
        <f>'Monthly Data'!BF103</f>
        <v>397854.9692307692</v>
      </c>
      <c r="W103" s="47">
        <f ca="1">+'Monthly Data'!BG103</f>
        <v>53146.148531596904</v>
      </c>
      <c r="X103" s="47">
        <f t="shared" ca="1" si="50"/>
        <v>37420279.461340882</v>
      </c>
    </row>
    <row r="104" spans="1:24">
      <c r="A104" s="2">
        <f>'Monthly Data'!A104</f>
        <v>45474</v>
      </c>
      <c r="B104">
        <f>'Monthly Data'!B104</f>
        <v>2024</v>
      </c>
      <c r="C104">
        <f>'Monthly Data'!C104</f>
        <v>7</v>
      </c>
      <c r="D104" s="3">
        <f ca="1">'Monthly Data'!BE104</f>
        <v>48461758.654568501</v>
      </c>
      <c r="E104" s="3">
        <f t="shared" ref="E104:F104" ca="1" si="128">E92</f>
        <v>1.0845833333333317</v>
      </c>
      <c r="F104" s="3">
        <f t="shared" ca="1" si="128"/>
        <v>242.72508692061183</v>
      </c>
      <c r="G104" s="3">
        <f>'Monthly Data'!EM104</f>
        <v>0</v>
      </c>
      <c r="H104" s="3">
        <f>'Monthly Data'!ET104</f>
        <v>0</v>
      </c>
      <c r="I104" s="3">
        <f>'Monthly Data'!EG104</f>
        <v>0</v>
      </c>
      <c r="J104">
        <f>'Monthly Data'!EH104</f>
        <v>103</v>
      </c>
      <c r="K104" s="3">
        <f>'Monthly Data'!DQ104</f>
        <v>31</v>
      </c>
      <c r="M104" s="3">
        <f t="shared" si="114"/>
        <v>-5660024.0454457896</v>
      </c>
      <c r="N104" s="3">
        <f t="shared" ca="1" si="115"/>
        <v>15473.097452796814</v>
      </c>
      <c r="O104" s="3">
        <f t="shared" ca="1" si="116"/>
        <v>22179577.962673906</v>
      </c>
      <c r="P104" s="3">
        <f t="shared" si="117"/>
        <v>0</v>
      </c>
      <c r="Q104" s="3">
        <f t="shared" si="118"/>
        <v>0</v>
      </c>
      <c r="R104" s="3">
        <f t="shared" si="119"/>
        <v>0</v>
      </c>
      <c r="S104" s="3">
        <f t="shared" si="120"/>
        <v>4881587.1971972473</v>
      </c>
      <c r="T104" s="3">
        <f t="shared" si="121"/>
        <v>24925623.239568908</v>
      </c>
      <c r="U104" s="47">
        <f t="shared" ca="1" si="122"/>
        <v>46342237.45144707</v>
      </c>
      <c r="V104" s="47">
        <f>'Monthly Data'!BF104</f>
        <v>410338.32743589743</v>
      </c>
      <c r="W104" s="47">
        <f ca="1">+'Monthly Data'!BG104</f>
        <v>554.11716167298277</v>
      </c>
      <c r="X104" s="47">
        <f t="shared" ca="1" si="50"/>
        <v>46753129.896044642</v>
      </c>
    </row>
    <row r="105" spans="1:24">
      <c r="A105" s="2">
        <f>'Monthly Data'!A105</f>
        <v>45505</v>
      </c>
      <c r="B105">
        <f>'Monthly Data'!B105</f>
        <v>2024</v>
      </c>
      <c r="C105">
        <f>'Monthly Data'!C105</f>
        <v>8</v>
      </c>
      <c r="D105" s="3">
        <f ca="1">'Monthly Data'!BE105</f>
        <v>44037848.165859461</v>
      </c>
      <c r="E105" s="3">
        <f t="shared" ref="E105:F105" ca="1" si="129">E93</f>
        <v>6.4245833333333335</v>
      </c>
      <c r="F105" s="3">
        <f t="shared" ca="1" si="129"/>
        <v>214.02558794466404</v>
      </c>
      <c r="G105" s="3">
        <f>'Monthly Data'!EM105</f>
        <v>0</v>
      </c>
      <c r="H105" s="3">
        <f>'Monthly Data'!ET105</f>
        <v>0</v>
      </c>
      <c r="I105" s="3">
        <f>'Monthly Data'!EG105</f>
        <v>0</v>
      </c>
      <c r="J105">
        <f>'Monthly Data'!EH105</f>
        <v>104</v>
      </c>
      <c r="K105" s="3">
        <f>'Monthly Data'!DQ105</f>
        <v>31</v>
      </c>
      <c r="M105" s="3">
        <f t="shared" si="114"/>
        <v>-5660024.0454457896</v>
      </c>
      <c r="N105" s="3">
        <f t="shared" ca="1" si="115"/>
        <v>91655.662552698588</v>
      </c>
      <c r="O105" s="3">
        <f t="shared" ca="1" si="116"/>
        <v>19557093.475790568</v>
      </c>
      <c r="P105" s="3">
        <f t="shared" si="117"/>
        <v>0</v>
      </c>
      <c r="Q105" s="3">
        <f t="shared" si="118"/>
        <v>0</v>
      </c>
      <c r="R105" s="3">
        <f t="shared" si="119"/>
        <v>0</v>
      </c>
      <c r="S105" s="3">
        <f t="shared" si="120"/>
        <v>4928981.2476554727</v>
      </c>
      <c r="T105" s="3">
        <f t="shared" si="121"/>
        <v>24925623.239568908</v>
      </c>
      <c r="U105" s="47">
        <f t="shared" ca="1" si="122"/>
        <v>43843329.58012186</v>
      </c>
      <c r="V105" s="47">
        <f>'Monthly Data'!BF105</f>
        <v>422821.6856410256</v>
      </c>
      <c r="W105" s="47">
        <f ca="1">+'Monthly Data'!BG105</f>
        <v>13859.943183111478</v>
      </c>
      <c r="X105" s="47">
        <f t="shared" ca="1" si="50"/>
        <v>44280011.208945997</v>
      </c>
    </row>
    <row r="106" spans="1:24">
      <c r="A106" s="2">
        <f>'Monthly Data'!A106</f>
        <v>45536</v>
      </c>
      <c r="B106">
        <f>'Monthly Data'!B106</f>
        <v>2024</v>
      </c>
      <c r="C106">
        <f>'Monthly Data'!C106</f>
        <v>9</v>
      </c>
      <c r="D106" s="3">
        <f ca="1">'Monthly Data'!BE106</f>
        <v>35356837.521232605</v>
      </c>
      <c r="E106" s="3">
        <f t="shared" ref="E106:F106" ca="1" si="130">E94</f>
        <v>54.412952898550728</v>
      </c>
      <c r="F106" s="3">
        <f t="shared" ca="1" si="130"/>
        <v>102.40708333333332</v>
      </c>
      <c r="G106" s="3">
        <f>'Monthly Data'!EM106</f>
        <v>0</v>
      </c>
      <c r="H106" s="3">
        <f>'Monthly Data'!ET106</f>
        <v>0</v>
      </c>
      <c r="I106" s="3">
        <f>'Monthly Data'!EG106</f>
        <v>1</v>
      </c>
      <c r="J106">
        <f>'Monthly Data'!EH106</f>
        <v>105</v>
      </c>
      <c r="K106" s="3">
        <f>'Monthly Data'!DQ106</f>
        <v>30</v>
      </c>
      <c r="M106" s="3">
        <f t="shared" si="114"/>
        <v>-5660024.0454457896</v>
      </c>
      <c r="N106" s="3">
        <f t="shared" ca="1" si="115"/>
        <v>776276.8401632451</v>
      </c>
      <c r="O106" s="3">
        <f t="shared" ca="1" si="116"/>
        <v>9357689.0528196599</v>
      </c>
      <c r="P106" s="3">
        <f t="shared" si="117"/>
        <v>0</v>
      </c>
      <c r="Q106" s="3">
        <f t="shared" si="118"/>
        <v>0</v>
      </c>
      <c r="R106" s="3">
        <f t="shared" si="119"/>
        <v>-701201.51304507197</v>
      </c>
      <c r="S106" s="3">
        <f t="shared" si="120"/>
        <v>4976375.2981136981</v>
      </c>
      <c r="T106" s="3">
        <f t="shared" si="121"/>
        <v>24121570.877002168</v>
      </c>
      <c r="U106" s="47">
        <f t="shared" ca="1" si="122"/>
        <v>32870686.509607911</v>
      </c>
      <c r="V106" s="47">
        <f>'Monthly Data'!BF106</f>
        <v>435305.04384615377</v>
      </c>
      <c r="W106" s="47">
        <f ca="1">+'Monthly Data'!BG106</f>
        <v>49435.667790774067</v>
      </c>
      <c r="X106" s="47">
        <f t="shared" ca="1" si="50"/>
        <v>33355427.221244838</v>
      </c>
    </row>
    <row r="107" spans="1:24">
      <c r="A107" s="2">
        <f>'Monthly Data'!A107</f>
        <v>45566</v>
      </c>
      <c r="B107">
        <f>'Monthly Data'!B107</f>
        <v>2024</v>
      </c>
      <c r="C107">
        <f>'Monthly Data'!C107</f>
        <v>10</v>
      </c>
      <c r="D107" s="3">
        <f ca="1">'Monthly Data'!BE107</f>
        <v>28891807.480928354</v>
      </c>
      <c r="E107" s="3">
        <f t="shared" ref="E107:F107" ca="1" si="131">E95</f>
        <v>232.21431159420285</v>
      </c>
      <c r="F107" s="3">
        <f t="shared" ca="1" si="131"/>
        <v>19.741250000000004</v>
      </c>
      <c r="G107" s="3">
        <f>'Monthly Data'!EM107</f>
        <v>0</v>
      </c>
      <c r="H107" s="3">
        <f>'Monthly Data'!ET107</f>
        <v>0</v>
      </c>
      <c r="I107" s="3">
        <f>'Monthly Data'!EG107</f>
        <v>1</v>
      </c>
      <c r="J107">
        <f>'Monthly Data'!EH107</f>
        <v>106</v>
      </c>
      <c r="K107" s="3">
        <f>'Monthly Data'!DQ107</f>
        <v>31</v>
      </c>
      <c r="M107" s="3">
        <f t="shared" si="114"/>
        <v>-5660024.0454457896</v>
      </c>
      <c r="N107" s="3">
        <f t="shared" ca="1" si="115"/>
        <v>3312861.7809277582</v>
      </c>
      <c r="O107" s="3">
        <f t="shared" ca="1" si="116"/>
        <v>1803903.3336461217</v>
      </c>
      <c r="P107" s="3">
        <f t="shared" si="117"/>
        <v>0</v>
      </c>
      <c r="Q107" s="3">
        <f t="shared" si="118"/>
        <v>0</v>
      </c>
      <c r="R107" s="3">
        <f t="shared" si="119"/>
        <v>-701201.51304507197</v>
      </c>
      <c r="S107" s="3">
        <f t="shared" si="120"/>
        <v>5023769.3485719236</v>
      </c>
      <c r="T107" s="3">
        <f t="shared" si="121"/>
        <v>24925623.239568908</v>
      </c>
      <c r="U107" s="47">
        <f t="shared" ca="1" si="122"/>
        <v>28704932.14422385</v>
      </c>
      <c r="V107" s="47">
        <f>'Monthly Data'!BF107</f>
        <v>447788.402051282</v>
      </c>
      <c r="W107" s="47">
        <f ca="1">+'Monthly Data'!BG107</f>
        <v>393815.97669988655</v>
      </c>
      <c r="X107" s="47">
        <f t="shared" ref="X107:X170" ca="1" si="132">U107+V107+W107</f>
        <v>29546536.522975016</v>
      </c>
    </row>
    <row r="108" spans="1:24">
      <c r="A108" s="2">
        <f>'Monthly Data'!A108</f>
        <v>45597</v>
      </c>
      <c r="B108">
        <f>'Monthly Data'!B108</f>
        <v>2024</v>
      </c>
      <c r="C108">
        <f>'Monthly Data'!C108</f>
        <v>11</v>
      </c>
      <c r="D108" s="3">
        <f ca="1">'Monthly Data'!BE108</f>
        <v>29635213.323712032</v>
      </c>
      <c r="E108" s="3">
        <f t="shared" ref="E108:F108" ca="1" si="133">E96</f>
        <v>435.51408055712398</v>
      </c>
      <c r="F108" s="3">
        <f t="shared" ca="1" si="133"/>
        <v>0.78124999999999944</v>
      </c>
      <c r="G108" s="3">
        <f>'Monthly Data'!EM108</f>
        <v>0</v>
      </c>
      <c r="H108" s="3">
        <f>'Monthly Data'!ET108</f>
        <v>0</v>
      </c>
      <c r="I108" s="3">
        <f>'Monthly Data'!EG108</f>
        <v>1</v>
      </c>
      <c r="J108">
        <f>'Monthly Data'!EH108</f>
        <v>107</v>
      </c>
      <c r="K108" s="3">
        <f>'Monthly Data'!DQ108</f>
        <v>30</v>
      </c>
      <c r="M108" s="3">
        <f t="shared" si="114"/>
        <v>-5660024.0454457896</v>
      </c>
      <c r="N108" s="3">
        <f t="shared" ca="1" si="115"/>
        <v>6213217.1898814524</v>
      </c>
      <c r="O108" s="3">
        <f t="shared" ca="1" si="116"/>
        <v>71388.563510974796</v>
      </c>
      <c r="P108" s="3">
        <f t="shared" si="117"/>
        <v>0</v>
      </c>
      <c r="Q108" s="3">
        <f t="shared" si="118"/>
        <v>0</v>
      </c>
      <c r="R108" s="3">
        <f t="shared" si="119"/>
        <v>-701201.51304507197</v>
      </c>
      <c r="S108" s="3">
        <f t="shared" si="120"/>
        <v>5071163.3990301499</v>
      </c>
      <c r="T108" s="3">
        <f t="shared" si="121"/>
        <v>24121570.877002168</v>
      </c>
      <c r="U108" s="47">
        <f t="shared" ca="1" si="122"/>
        <v>29116114.470933884</v>
      </c>
      <c r="V108" s="47">
        <f>'Monthly Data'!BF108</f>
        <v>460271.76025641023</v>
      </c>
      <c r="W108" s="47">
        <f ca="1">+'Monthly Data'!BG108</f>
        <v>616613.16054014594</v>
      </c>
      <c r="X108" s="47">
        <f t="shared" ca="1" si="132"/>
        <v>30192999.391730439</v>
      </c>
    </row>
    <row r="109" spans="1:24">
      <c r="A109" s="2">
        <f>'Monthly Data'!A109</f>
        <v>45627</v>
      </c>
      <c r="B109">
        <f>'Monthly Data'!B109</f>
        <v>2024</v>
      </c>
      <c r="C109">
        <f>'Monthly Data'!C109</f>
        <v>12</v>
      </c>
      <c r="D109" s="3">
        <f ca="1">'Monthly Data'!BE109</f>
        <v>35684472.821925662</v>
      </c>
      <c r="E109" s="3">
        <f t="shared" ref="E109:F109" ca="1" si="134">E97</f>
        <v>602.38541666666674</v>
      </c>
      <c r="F109" s="3">
        <f t="shared" ca="1" si="134"/>
        <v>0</v>
      </c>
      <c r="G109" s="3">
        <f>'Monthly Data'!EM109</f>
        <v>0</v>
      </c>
      <c r="H109" s="3">
        <f>'Monthly Data'!ET109</f>
        <v>0</v>
      </c>
      <c r="I109" s="3">
        <f>'Monthly Data'!EG109</f>
        <v>0</v>
      </c>
      <c r="J109">
        <f>'Monthly Data'!EH109</f>
        <v>108</v>
      </c>
      <c r="K109" s="3">
        <f>'Monthly Data'!DQ109</f>
        <v>31</v>
      </c>
      <c r="M109" s="3">
        <f t="shared" si="114"/>
        <v>-5660024.0454457896</v>
      </c>
      <c r="N109" s="3">
        <f t="shared" ca="1" si="115"/>
        <v>8593870.0787340421</v>
      </c>
      <c r="O109" s="3">
        <f t="shared" ca="1" si="116"/>
        <v>0</v>
      </c>
      <c r="P109" s="3">
        <f t="shared" si="117"/>
        <v>0</v>
      </c>
      <c r="Q109" s="3">
        <f t="shared" si="118"/>
        <v>0</v>
      </c>
      <c r="R109" s="3">
        <f t="shared" si="119"/>
        <v>0</v>
      </c>
      <c r="S109" s="3">
        <f t="shared" si="120"/>
        <v>5118557.4494883753</v>
      </c>
      <c r="T109" s="3">
        <f t="shared" si="121"/>
        <v>24925623.239568908</v>
      </c>
      <c r="U109" s="47">
        <f t="shared" ca="1" si="122"/>
        <v>32978026.722345535</v>
      </c>
      <c r="V109" s="47">
        <f>'Monthly Data'!BF109</f>
        <v>472755.1184615384</v>
      </c>
      <c r="W109" s="47">
        <f ca="1">+'Monthly Data'!BG109</f>
        <v>1007637.5090078065</v>
      </c>
      <c r="X109" s="47">
        <f t="shared" ca="1" si="132"/>
        <v>34458419.349814877</v>
      </c>
    </row>
    <row r="110" spans="1:24">
      <c r="A110" s="2">
        <f>'Monthly Data'!A110</f>
        <v>45658</v>
      </c>
      <c r="B110">
        <f>'Monthly Data'!B110</f>
        <v>2025</v>
      </c>
      <c r="C110">
        <f>'Monthly Data'!C110</f>
        <v>1</v>
      </c>
      <c r="D110" s="3">
        <f ca="1">'Monthly Data'!BE110</f>
        <v>36034907.267739922</v>
      </c>
      <c r="E110" s="3">
        <f t="shared" ref="E110:F110" ca="1" si="135">E98</f>
        <v>690.78750000000002</v>
      </c>
      <c r="F110" s="3">
        <f t="shared" ca="1" si="135"/>
        <v>0</v>
      </c>
      <c r="G110" s="3">
        <f>'Monthly Data'!EM110</f>
        <v>0</v>
      </c>
      <c r="H110" s="3">
        <f>'Monthly Data'!ET110</f>
        <v>0</v>
      </c>
      <c r="I110" s="3">
        <f>'Monthly Data'!EG110</f>
        <v>0</v>
      </c>
      <c r="J110">
        <f>'Monthly Data'!EH110</f>
        <v>109</v>
      </c>
      <c r="K110" s="3">
        <f>'Monthly Data'!DQ110</f>
        <v>31</v>
      </c>
      <c r="M110" s="3">
        <f t="shared" si="114"/>
        <v>-5660024.0454457896</v>
      </c>
      <c r="N110" s="3">
        <f t="shared" ca="1" si="115"/>
        <v>9855049.3799528815</v>
      </c>
      <c r="O110" s="3">
        <f t="shared" ca="1" si="116"/>
        <v>0</v>
      </c>
      <c r="P110" s="3">
        <f t="shared" si="117"/>
        <v>0</v>
      </c>
      <c r="Q110" s="3">
        <f t="shared" si="118"/>
        <v>0</v>
      </c>
      <c r="R110" s="3">
        <f t="shared" si="119"/>
        <v>0</v>
      </c>
      <c r="S110" s="3">
        <f t="shared" si="120"/>
        <v>5165951.4999466008</v>
      </c>
      <c r="T110" s="3">
        <f t="shared" si="121"/>
        <v>24925623.239568908</v>
      </c>
      <c r="U110" s="47">
        <f t="shared" ref="U110:U121" ca="1" si="136">SUM(M110:T110)</f>
        <v>34286600.074022599</v>
      </c>
      <c r="V110" s="47">
        <f>'Monthly Data'!BF110</f>
        <v>493298.54692307685</v>
      </c>
      <c r="W110" s="47">
        <f ca="1">+'Monthly Data'!BG110</f>
        <v>1483005.7184368758</v>
      </c>
      <c r="X110" s="47">
        <f t="shared" ref="X110:X121" ca="1" si="137">U110+V110+W110</f>
        <v>36262904.339382552</v>
      </c>
    </row>
    <row r="111" spans="1:24">
      <c r="A111" s="2">
        <f>'Monthly Data'!A111</f>
        <v>45689</v>
      </c>
      <c r="B111">
        <f>'Monthly Data'!B111</f>
        <v>2025</v>
      </c>
      <c r="C111">
        <f>'Monthly Data'!C111</f>
        <v>2</v>
      </c>
      <c r="D111" s="3">
        <f ca="1">'Monthly Data'!BE111</f>
        <v>32142266.904301614</v>
      </c>
      <c r="E111" s="3">
        <f t="shared" ref="E111:F111" ca="1" si="138">E99</f>
        <v>604.19541666666657</v>
      </c>
      <c r="F111" s="3">
        <f t="shared" ca="1" si="138"/>
        <v>0</v>
      </c>
      <c r="G111" s="3">
        <f>'Monthly Data'!EM111</f>
        <v>0</v>
      </c>
      <c r="H111" s="3">
        <f>'Monthly Data'!ET111</f>
        <v>0</v>
      </c>
      <c r="I111" s="3">
        <f>'Monthly Data'!EG111</f>
        <v>0</v>
      </c>
      <c r="J111">
        <f>'Monthly Data'!EH111</f>
        <v>110</v>
      </c>
      <c r="K111" s="3">
        <f>'Monthly Data'!DQ111</f>
        <v>28</v>
      </c>
      <c r="M111" s="3">
        <f t="shared" si="114"/>
        <v>-5660024.0454457896</v>
      </c>
      <c r="N111" s="3">
        <f t="shared" ca="1" si="115"/>
        <v>8619692.2590394374</v>
      </c>
      <c r="O111" s="3">
        <f t="shared" ca="1" si="116"/>
        <v>0</v>
      </c>
      <c r="P111" s="3">
        <f t="shared" si="117"/>
        <v>0</v>
      </c>
      <c r="Q111" s="3">
        <f t="shared" si="118"/>
        <v>0</v>
      </c>
      <c r="R111" s="3">
        <f t="shared" si="119"/>
        <v>0</v>
      </c>
      <c r="S111" s="3">
        <f t="shared" si="120"/>
        <v>5213345.5504048271</v>
      </c>
      <c r="T111" s="3">
        <f t="shared" si="121"/>
        <v>22513466.15186869</v>
      </c>
      <c r="U111" s="47">
        <f t="shared" ca="1" si="136"/>
        <v>30686479.915867165</v>
      </c>
      <c r="V111" s="47">
        <f>'Monthly Data'!BF111</f>
        <v>501358.61717948713</v>
      </c>
      <c r="W111" s="47">
        <f ca="1">+'Monthly Data'!BG111</f>
        <v>1347007.4240654251</v>
      </c>
      <c r="X111" s="47">
        <f t="shared" ca="1" si="137"/>
        <v>32534845.957112078</v>
      </c>
    </row>
    <row r="112" spans="1:24">
      <c r="A112" s="2">
        <f>'Monthly Data'!A112</f>
        <v>45717</v>
      </c>
      <c r="B112">
        <f>'Monthly Data'!B112</f>
        <v>2025</v>
      </c>
      <c r="C112">
        <f>'Monthly Data'!C112</f>
        <v>3</v>
      </c>
      <c r="D112" s="3">
        <f ca="1">'Monthly Data'!BE112</f>
        <v>32007255.533239383</v>
      </c>
      <c r="E112" s="3">
        <f t="shared" ref="E112:F112" ca="1" si="139">E100</f>
        <v>534.21590579710141</v>
      </c>
      <c r="F112" s="3">
        <f t="shared" ca="1" si="139"/>
        <v>0</v>
      </c>
      <c r="G112" s="3">
        <f>'Monthly Data'!EM112</f>
        <v>0</v>
      </c>
      <c r="H112" s="3">
        <f>'Monthly Data'!ET112</f>
        <v>0</v>
      </c>
      <c r="I112" s="3">
        <f>'Monthly Data'!EG112</f>
        <v>1</v>
      </c>
      <c r="J112">
        <f>'Monthly Data'!EH112</f>
        <v>111</v>
      </c>
      <c r="K112" s="3">
        <f>'Monthly Data'!DQ112</f>
        <v>31</v>
      </c>
      <c r="M112" s="3">
        <f t="shared" si="114"/>
        <v>-5660024.0454457896</v>
      </c>
      <c r="N112" s="3">
        <f t="shared" ca="1" si="115"/>
        <v>7621336.7080132328</v>
      </c>
      <c r="O112" s="3">
        <f t="shared" ca="1" si="116"/>
        <v>0</v>
      </c>
      <c r="P112" s="3">
        <f t="shared" si="117"/>
        <v>0</v>
      </c>
      <c r="Q112" s="3">
        <f t="shared" si="118"/>
        <v>0</v>
      </c>
      <c r="R112" s="3">
        <f t="shared" si="119"/>
        <v>-701201.51304507197</v>
      </c>
      <c r="S112" s="3">
        <f t="shared" si="120"/>
        <v>5260739.6008630525</v>
      </c>
      <c r="T112" s="3">
        <f t="shared" si="121"/>
        <v>24925623.239568908</v>
      </c>
      <c r="U112" s="47">
        <f t="shared" ca="1" si="136"/>
        <v>31446473.98995433</v>
      </c>
      <c r="V112" s="47">
        <f>'Monthly Data'!BF112</f>
        <v>509418.68743589736</v>
      </c>
      <c r="W112" s="47">
        <f ca="1">+'Monthly Data'!BG112</f>
        <v>1050114.373369039</v>
      </c>
      <c r="X112" s="47">
        <f t="shared" ca="1" si="137"/>
        <v>33006007.050759267</v>
      </c>
    </row>
    <row r="113" spans="1:24">
      <c r="A113" s="2">
        <f>'Monthly Data'!A113</f>
        <v>45748</v>
      </c>
      <c r="B113">
        <f>'Monthly Data'!B113</f>
        <v>2025</v>
      </c>
      <c r="C113">
        <f>'Monthly Data'!C113</f>
        <v>4</v>
      </c>
      <c r="D113" s="3">
        <f ca="1">'Monthly Data'!BE113</f>
        <v>28718318.144021403</v>
      </c>
      <c r="E113" s="3">
        <f t="shared" ref="E113:F113" ca="1" si="140">E101</f>
        <v>352.92312500000003</v>
      </c>
      <c r="F113" s="3">
        <f t="shared" ca="1" si="140"/>
        <v>2.2025000000000015</v>
      </c>
      <c r="G113" s="3">
        <f>'Monthly Data'!EM113</f>
        <v>0</v>
      </c>
      <c r="H113" s="3">
        <f>'Monthly Data'!ET113</f>
        <v>0</v>
      </c>
      <c r="I113" s="3">
        <f>'Monthly Data'!EG113</f>
        <v>1</v>
      </c>
      <c r="J113">
        <f>'Monthly Data'!EH113</f>
        <v>112</v>
      </c>
      <c r="K113" s="3">
        <f>'Monthly Data'!DQ113</f>
        <v>30</v>
      </c>
      <c r="M113" s="3">
        <f t="shared" si="114"/>
        <v>-5660024.0454457896</v>
      </c>
      <c r="N113" s="3">
        <f t="shared" ca="1" si="115"/>
        <v>5034941.7501073536</v>
      </c>
      <c r="O113" s="3">
        <f t="shared" ca="1" si="116"/>
        <v>201258.63825014042</v>
      </c>
      <c r="P113" s="3">
        <f t="shared" si="117"/>
        <v>0</v>
      </c>
      <c r="Q113" s="3">
        <f t="shared" si="118"/>
        <v>0</v>
      </c>
      <c r="R113" s="3">
        <f t="shared" si="119"/>
        <v>-701201.51304507197</v>
      </c>
      <c r="S113" s="3">
        <f t="shared" si="120"/>
        <v>5308133.651321278</v>
      </c>
      <c r="T113" s="3">
        <f t="shared" si="121"/>
        <v>24121570.877002168</v>
      </c>
      <c r="U113" s="47">
        <f t="shared" ca="1" si="136"/>
        <v>28304679.358190078</v>
      </c>
      <c r="V113" s="47">
        <f>'Monthly Data'!BF113</f>
        <v>517478.75769230764</v>
      </c>
      <c r="W113" s="47">
        <f ca="1">+'Monthly Data'!BG113</f>
        <v>712404.96112370223</v>
      </c>
      <c r="X113" s="47">
        <f t="shared" ca="1" si="137"/>
        <v>29534563.077006087</v>
      </c>
    </row>
    <row r="114" spans="1:24">
      <c r="A114" s="2">
        <f>'Monthly Data'!A114</f>
        <v>45778</v>
      </c>
      <c r="B114">
        <f>'Monthly Data'!B114</f>
        <v>2025</v>
      </c>
      <c r="C114">
        <f>'Monthly Data'!C114</f>
        <v>5</v>
      </c>
      <c r="D114" s="3">
        <f ca="1">'Monthly Data'!BE114</f>
        <v>29108990.702010304</v>
      </c>
      <c r="E114" s="3">
        <f t="shared" ref="E114:F114" ca="1" si="141">E102</f>
        <v>155.24720841877425</v>
      </c>
      <c r="F114" s="3">
        <f t="shared" ca="1" si="141"/>
        <v>48.940113636363641</v>
      </c>
      <c r="G114" s="3">
        <f>'Monthly Data'!EM114</f>
        <v>0</v>
      </c>
      <c r="H114" s="3">
        <f>'Monthly Data'!ET114</f>
        <v>0</v>
      </c>
      <c r="I114" s="3">
        <f>'Monthly Data'!EG114</f>
        <v>1</v>
      </c>
      <c r="J114">
        <f>'Monthly Data'!EH114</f>
        <v>113</v>
      </c>
      <c r="K114" s="3">
        <f>'Monthly Data'!DQ114</f>
        <v>31</v>
      </c>
      <c r="M114" s="3">
        <f t="shared" si="114"/>
        <v>-5660024.0454457896</v>
      </c>
      <c r="N114" s="3">
        <f t="shared" ca="1" si="115"/>
        <v>2214818.4572923756</v>
      </c>
      <c r="O114" s="3">
        <f t="shared" ca="1" si="116"/>
        <v>4472018.4455217561</v>
      </c>
      <c r="P114" s="3">
        <f t="shared" si="117"/>
        <v>0</v>
      </c>
      <c r="Q114" s="3">
        <f t="shared" si="118"/>
        <v>0</v>
      </c>
      <c r="R114" s="3">
        <f t="shared" si="119"/>
        <v>-701201.51304507197</v>
      </c>
      <c r="S114" s="3">
        <f t="shared" si="120"/>
        <v>5355527.7017795043</v>
      </c>
      <c r="T114" s="3">
        <f t="shared" si="121"/>
        <v>24925623.239568908</v>
      </c>
      <c r="U114" s="47">
        <f t="shared" ca="1" si="136"/>
        <v>30606762.285671681</v>
      </c>
      <c r="V114" s="47">
        <f>'Monthly Data'!BF114</f>
        <v>525538.82794871787</v>
      </c>
      <c r="W114" s="47">
        <f ca="1">+'Monthly Data'!BG114</f>
        <v>322599.4280505926</v>
      </c>
      <c r="X114" s="47">
        <f t="shared" ca="1" si="137"/>
        <v>31454900.541670993</v>
      </c>
    </row>
    <row r="115" spans="1:24">
      <c r="A115" s="2">
        <f>'Monthly Data'!A115</f>
        <v>45809</v>
      </c>
      <c r="B115">
        <f>'Monthly Data'!B115</f>
        <v>2025</v>
      </c>
      <c r="C115">
        <f>'Monthly Data'!C115</f>
        <v>6</v>
      </c>
      <c r="D115" s="3">
        <f ca="1">'Monthly Data'!BE115</f>
        <v>39595367.294694006</v>
      </c>
      <c r="E115" s="3">
        <f t="shared" ref="E115:F115" ca="1" si="142">E103</f>
        <v>30.273840492840492</v>
      </c>
      <c r="F115" s="3">
        <f t="shared" ca="1" si="142"/>
        <v>144.91160087738351</v>
      </c>
      <c r="G115" s="3">
        <f>'Monthly Data'!EM115</f>
        <v>0</v>
      </c>
      <c r="H115" s="3">
        <f>'Monthly Data'!ET115</f>
        <v>0</v>
      </c>
      <c r="I115" s="3">
        <f>'Monthly Data'!EG115</f>
        <v>0</v>
      </c>
      <c r="J115">
        <f>'Monthly Data'!EH115</f>
        <v>114</v>
      </c>
      <c r="K115" s="3">
        <f>'Monthly Data'!DQ115</f>
        <v>30</v>
      </c>
      <c r="M115" s="3">
        <f t="shared" si="114"/>
        <v>-5660024.0454457896</v>
      </c>
      <c r="N115" s="3">
        <f t="shared" ca="1" si="115"/>
        <v>431898.65621158475</v>
      </c>
      <c r="O115" s="3">
        <f t="shared" ca="1" si="116"/>
        <v>13241639.709071528</v>
      </c>
      <c r="P115" s="3">
        <f t="shared" si="117"/>
        <v>0</v>
      </c>
      <c r="Q115" s="3">
        <f t="shared" si="118"/>
        <v>0</v>
      </c>
      <c r="R115" s="3">
        <f t="shared" si="119"/>
        <v>0</v>
      </c>
      <c r="S115" s="3">
        <f t="shared" si="120"/>
        <v>5402921.7522377297</v>
      </c>
      <c r="T115" s="3">
        <f t="shared" si="121"/>
        <v>24121570.877002168</v>
      </c>
      <c r="U115" s="47">
        <f t="shared" ca="1" si="136"/>
        <v>37538006.949077219</v>
      </c>
      <c r="V115" s="47">
        <f>'Monthly Data'!BF115</f>
        <v>533598.89820512815</v>
      </c>
      <c r="W115" s="47">
        <f ca="1">+'Monthly Data'!BG115</f>
        <v>45464.938484351762</v>
      </c>
      <c r="X115" s="47">
        <f t="shared" ca="1" si="137"/>
        <v>38117070.785766698</v>
      </c>
    </row>
    <row r="116" spans="1:24">
      <c r="A116" s="2">
        <f>'Monthly Data'!A116</f>
        <v>45839</v>
      </c>
      <c r="B116">
        <f>'Monthly Data'!B116</f>
        <v>2025</v>
      </c>
      <c r="C116">
        <f>'Monthly Data'!C116</f>
        <v>7</v>
      </c>
      <c r="D116" s="3">
        <f ca="1">'Monthly Data'!BE116</f>
        <v>52203745.797354855</v>
      </c>
      <c r="E116" s="3">
        <f t="shared" ref="E116:F116" ca="1" si="143">E104</f>
        <v>1.0845833333333317</v>
      </c>
      <c r="F116" s="3">
        <f t="shared" ca="1" si="143"/>
        <v>242.72508692061183</v>
      </c>
      <c r="G116" s="3">
        <f>'Monthly Data'!EM116</f>
        <v>0</v>
      </c>
      <c r="H116" s="3">
        <f>'Monthly Data'!ET116</f>
        <v>0</v>
      </c>
      <c r="I116" s="3">
        <f>'Monthly Data'!EG116</f>
        <v>0</v>
      </c>
      <c r="J116">
        <f>'Monthly Data'!EH116</f>
        <v>115</v>
      </c>
      <c r="K116" s="3">
        <f>'Monthly Data'!DQ116</f>
        <v>31</v>
      </c>
      <c r="M116" s="3">
        <f t="shared" si="114"/>
        <v>-5660024.0454457896</v>
      </c>
      <c r="N116" s="3">
        <f t="shared" ca="1" si="115"/>
        <v>15473.097452796814</v>
      </c>
      <c r="O116" s="3">
        <f t="shared" ca="1" si="116"/>
        <v>22179577.962673906</v>
      </c>
      <c r="P116" s="3">
        <f t="shared" si="117"/>
        <v>0</v>
      </c>
      <c r="Q116" s="3">
        <f t="shared" si="118"/>
        <v>0</v>
      </c>
      <c r="R116" s="3">
        <f t="shared" si="119"/>
        <v>0</v>
      </c>
      <c r="S116" s="3">
        <f t="shared" si="120"/>
        <v>5450315.8026959551</v>
      </c>
      <c r="T116" s="3">
        <f t="shared" si="121"/>
        <v>24925623.239568908</v>
      </c>
      <c r="U116" s="47">
        <f t="shared" ca="1" si="136"/>
        <v>46910966.056945778</v>
      </c>
      <c r="V116" s="47">
        <f>'Monthly Data'!BF116</f>
        <v>541658.96846153843</v>
      </c>
      <c r="W116" s="47">
        <f ca="1">+'Monthly Data'!BG116</f>
        <v>1527.0279951136818</v>
      </c>
      <c r="X116" s="47">
        <f t="shared" ca="1" si="137"/>
        <v>47454152.053402431</v>
      </c>
    </row>
    <row r="117" spans="1:24">
      <c r="A117" s="2">
        <f>'Monthly Data'!A117</f>
        <v>45870</v>
      </c>
      <c r="B117">
        <f>'Monthly Data'!B117</f>
        <v>2025</v>
      </c>
      <c r="C117">
        <f>'Monthly Data'!C117</f>
        <v>8</v>
      </c>
      <c r="D117" s="3">
        <f ca="1">'Monthly Data'!BE117</f>
        <v>44781623.9720359</v>
      </c>
      <c r="E117" s="3">
        <f t="shared" ref="E117:F117" ca="1" si="144">E105</f>
        <v>6.4245833333333335</v>
      </c>
      <c r="F117" s="3">
        <f t="shared" ca="1" si="144"/>
        <v>214.02558794466404</v>
      </c>
      <c r="G117" s="3">
        <f>'Monthly Data'!EM117</f>
        <v>0</v>
      </c>
      <c r="H117" s="3">
        <f>'Monthly Data'!ET117</f>
        <v>0</v>
      </c>
      <c r="I117" s="3">
        <f>'Monthly Data'!EG117</f>
        <v>0</v>
      </c>
      <c r="J117">
        <f>'Monthly Data'!EH117</f>
        <v>116</v>
      </c>
      <c r="K117" s="3">
        <f>'Monthly Data'!DQ117</f>
        <v>31</v>
      </c>
      <c r="M117" s="3">
        <f t="shared" si="114"/>
        <v>-5660024.0454457896</v>
      </c>
      <c r="N117" s="3">
        <f t="shared" ca="1" si="115"/>
        <v>91655.662552698588</v>
      </c>
      <c r="O117" s="3">
        <f t="shared" ca="1" si="116"/>
        <v>19557093.475790568</v>
      </c>
      <c r="P117" s="3">
        <f t="shared" si="117"/>
        <v>0</v>
      </c>
      <c r="Q117" s="3">
        <f t="shared" si="118"/>
        <v>0</v>
      </c>
      <c r="R117" s="3">
        <f t="shared" si="119"/>
        <v>0</v>
      </c>
      <c r="S117" s="3">
        <f t="shared" si="120"/>
        <v>5497709.8531541806</v>
      </c>
      <c r="T117" s="3">
        <f t="shared" si="121"/>
        <v>24925623.239568908</v>
      </c>
      <c r="U117" s="47">
        <f t="shared" ca="1" si="136"/>
        <v>44412058.185620561</v>
      </c>
      <c r="V117" s="47">
        <f>'Monthly Data'!BF117</f>
        <v>549719.0387179486</v>
      </c>
      <c r="W117" s="47">
        <f ca="1">+'Monthly Data'!BG117</f>
        <v>34750.432662283354</v>
      </c>
      <c r="X117" s="47">
        <f t="shared" ca="1" si="137"/>
        <v>44996527.657000795</v>
      </c>
    </row>
    <row r="118" spans="1:24">
      <c r="A118" s="2">
        <f>'Monthly Data'!A118</f>
        <v>45901</v>
      </c>
      <c r="B118">
        <f>'Monthly Data'!B118</f>
        <v>2025</v>
      </c>
      <c r="C118">
        <f>'Monthly Data'!C118</f>
        <v>9</v>
      </c>
      <c r="D118" s="3">
        <f ca="1">'Monthly Data'!BE118</f>
        <v>33269740.412395149</v>
      </c>
      <c r="E118" s="3">
        <f t="shared" ref="E118:F118" ca="1" si="145">E106</f>
        <v>54.412952898550728</v>
      </c>
      <c r="F118" s="3">
        <f t="shared" ca="1" si="145"/>
        <v>102.40708333333332</v>
      </c>
      <c r="G118" s="3">
        <f>'Monthly Data'!EM118</f>
        <v>0</v>
      </c>
      <c r="H118" s="3">
        <f>'Monthly Data'!ET118</f>
        <v>0</v>
      </c>
      <c r="I118" s="3">
        <f>'Monthly Data'!EG118</f>
        <v>1</v>
      </c>
      <c r="J118">
        <f>'Monthly Data'!EH118</f>
        <v>117</v>
      </c>
      <c r="K118" s="3">
        <f>'Monthly Data'!DQ118</f>
        <v>30</v>
      </c>
      <c r="M118" s="3">
        <f t="shared" si="114"/>
        <v>-5660024.0454457896</v>
      </c>
      <c r="N118" s="3">
        <f t="shared" ca="1" si="115"/>
        <v>776276.8401632451</v>
      </c>
      <c r="O118" s="3">
        <f t="shared" ca="1" si="116"/>
        <v>9357689.0528196599</v>
      </c>
      <c r="P118" s="3">
        <f t="shared" si="117"/>
        <v>0</v>
      </c>
      <c r="Q118" s="3">
        <f t="shared" si="118"/>
        <v>0</v>
      </c>
      <c r="R118" s="3">
        <f t="shared" si="119"/>
        <v>-701201.51304507197</v>
      </c>
      <c r="S118" s="3">
        <f t="shared" si="120"/>
        <v>5545103.9036124069</v>
      </c>
      <c r="T118" s="3">
        <f t="shared" si="121"/>
        <v>24121570.877002168</v>
      </c>
      <c r="U118" s="47">
        <f t="shared" ca="1" si="136"/>
        <v>33439415.11510662</v>
      </c>
      <c r="V118" s="47">
        <f>'Monthly Data'!BF118</f>
        <v>557779.10897435888</v>
      </c>
      <c r="W118" s="47">
        <f ca="1">+'Monthly Data'!BG118</f>
        <v>75254.639317205001</v>
      </c>
      <c r="X118" s="47">
        <f t="shared" ca="1" si="137"/>
        <v>34072448.863398187</v>
      </c>
    </row>
    <row r="119" spans="1:24">
      <c r="A119" s="2">
        <f>'Monthly Data'!A119</f>
        <v>45931</v>
      </c>
      <c r="B119">
        <f>'Monthly Data'!B119</f>
        <v>2025</v>
      </c>
      <c r="C119">
        <f>'Monthly Data'!C119</f>
        <v>10</v>
      </c>
      <c r="D119" s="3">
        <f ca="1">'Monthly Data'!BE119</f>
        <v>29877532.560799152</v>
      </c>
      <c r="E119" s="3">
        <f t="shared" ref="E119:F119" ca="1" si="146">E107</f>
        <v>232.21431159420285</v>
      </c>
      <c r="F119" s="3">
        <f t="shared" ca="1" si="146"/>
        <v>19.741250000000004</v>
      </c>
      <c r="G119" s="3">
        <f>'Monthly Data'!EM119</f>
        <v>0</v>
      </c>
      <c r="H119" s="3">
        <f>'Monthly Data'!ET119</f>
        <v>0</v>
      </c>
      <c r="I119" s="3">
        <f>'Monthly Data'!EG119</f>
        <v>1</v>
      </c>
      <c r="J119">
        <f>'Monthly Data'!EH119</f>
        <v>118</v>
      </c>
      <c r="K119" s="3">
        <f>'Monthly Data'!DQ119</f>
        <v>31</v>
      </c>
      <c r="M119" s="3">
        <f t="shared" si="114"/>
        <v>-5660024.0454457896</v>
      </c>
      <c r="N119" s="3">
        <f t="shared" ca="1" si="115"/>
        <v>3312861.7809277582</v>
      </c>
      <c r="O119" s="3">
        <f t="shared" ca="1" si="116"/>
        <v>1803903.3336461217</v>
      </c>
      <c r="P119" s="3">
        <f t="shared" si="117"/>
        <v>0</v>
      </c>
      <c r="Q119" s="3">
        <f t="shared" si="118"/>
        <v>0</v>
      </c>
      <c r="R119" s="3">
        <f t="shared" si="119"/>
        <v>-701201.51304507197</v>
      </c>
      <c r="S119" s="3">
        <f t="shared" si="120"/>
        <v>5592497.9540706323</v>
      </c>
      <c r="T119" s="3">
        <f t="shared" si="121"/>
        <v>24925623.239568908</v>
      </c>
      <c r="U119" s="47">
        <f t="shared" ca="1" si="136"/>
        <v>29273660.749722559</v>
      </c>
      <c r="V119" s="47">
        <f>'Monthly Data'!BF119</f>
        <v>565839.17923076916</v>
      </c>
      <c r="W119" s="47">
        <f ca="1">+'Monthly Data'!BG119</f>
        <v>445782.4985293494</v>
      </c>
      <c r="X119" s="47">
        <f t="shared" ca="1" si="137"/>
        <v>30285282.427482676</v>
      </c>
    </row>
    <row r="120" spans="1:24">
      <c r="A120" s="2">
        <f>'Monthly Data'!A120</f>
        <v>45962</v>
      </c>
      <c r="B120">
        <f>'Monthly Data'!B120</f>
        <v>2025</v>
      </c>
      <c r="C120">
        <f>'Monthly Data'!C120</f>
        <v>11</v>
      </c>
      <c r="D120" s="3">
        <f ca="1">'Monthly Data'!BE120</f>
        <v>31494935.916023552</v>
      </c>
      <c r="E120" s="3">
        <f t="shared" ref="E120:F120" ca="1" si="147">E108</f>
        <v>435.51408055712398</v>
      </c>
      <c r="F120" s="3">
        <f t="shared" ca="1" si="147"/>
        <v>0.78124999999999944</v>
      </c>
      <c r="G120" s="3">
        <f>'Monthly Data'!EM120</f>
        <v>0</v>
      </c>
      <c r="H120" s="3">
        <f>'Monthly Data'!ET120</f>
        <v>0</v>
      </c>
      <c r="I120" s="3">
        <f>'Monthly Data'!EG120</f>
        <v>1</v>
      </c>
      <c r="J120">
        <f>'Monthly Data'!EH120</f>
        <v>119</v>
      </c>
      <c r="K120" s="3">
        <f>'Monthly Data'!DQ120</f>
        <v>30</v>
      </c>
      <c r="M120" s="3">
        <f t="shared" si="114"/>
        <v>-5660024.0454457896</v>
      </c>
      <c r="N120" s="3">
        <f t="shared" ca="1" si="115"/>
        <v>6213217.1898814524</v>
      </c>
      <c r="O120" s="3">
        <f t="shared" ca="1" si="116"/>
        <v>71388.563510974796</v>
      </c>
      <c r="P120" s="3">
        <f t="shared" si="117"/>
        <v>0</v>
      </c>
      <c r="Q120" s="3">
        <f t="shared" si="118"/>
        <v>0</v>
      </c>
      <c r="R120" s="3">
        <f t="shared" si="119"/>
        <v>-701201.51304507197</v>
      </c>
      <c r="S120" s="3">
        <f t="shared" si="120"/>
        <v>5639892.0045288578</v>
      </c>
      <c r="T120" s="3">
        <f t="shared" si="121"/>
        <v>24121570.877002168</v>
      </c>
      <c r="U120" s="47">
        <f t="shared" ca="1" si="136"/>
        <v>29684843.076432593</v>
      </c>
      <c r="V120" s="47">
        <f>'Monthly Data'!BF120</f>
        <v>573899.24948717933</v>
      </c>
      <c r="W120" s="47">
        <f ca="1">+'Monthly Data'!BG120</f>
        <v>932642.89378913306</v>
      </c>
      <c r="X120" s="47">
        <f t="shared" ca="1" si="137"/>
        <v>31191385.219708905</v>
      </c>
    </row>
    <row r="121" spans="1:24">
      <c r="A121" s="2">
        <f>'Monthly Data'!A121</f>
        <v>45992</v>
      </c>
      <c r="B121">
        <f>'Monthly Data'!B121</f>
        <v>2025</v>
      </c>
      <c r="C121">
        <f>'Monthly Data'!C121</f>
        <v>12</v>
      </c>
      <c r="D121" s="3">
        <f ca="1">'Monthly Data'!BE121</f>
        <v>36852000.337815709</v>
      </c>
      <c r="E121" s="3">
        <f t="shared" ref="E121:F121" ca="1" si="148">E109</f>
        <v>602.38541666666674</v>
      </c>
      <c r="F121" s="3">
        <f t="shared" ca="1" si="148"/>
        <v>0</v>
      </c>
      <c r="G121" s="3">
        <f>'Monthly Data'!EM121</f>
        <v>0</v>
      </c>
      <c r="H121" s="3">
        <f>'Monthly Data'!ET121</f>
        <v>0</v>
      </c>
      <c r="I121" s="3">
        <f>'Monthly Data'!EG121</f>
        <v>0</v>
      </c>
      <c r="J121">
        <f>'Monthly Data'!EH121</f>
        <v>120</v>
      </c>
      <c r="K121" s="3">
        <f>'Monthly Data'!DQ121</f>
        <v>31</v>
      </c>
      <c r="M121" s="3">
        <f t="shared" si="114"/>
        <v>-5660024.0454457896</v>
      </c>
      <c r="N121" s="3">
        <f t="shared" ca="1" si="115"/>
        <v>8593870.0787340421</v>
      </c>
      <c r="O121" s="3">
        <f t="shared" ca="1" si="116"/>
        <v>0</v>
      </c>
      <c r="P121" s="3">
        <f t="shared" si="117"/>
        <v>0</v>
      </c>
      <c r="Q121" s="3">
        <f t="shared" si="118"/>
        <v>0</v>
      </c>
      <c r="R121" s="3">
        <f t="shared" si="119"/>
        <v>0</v>
      </c>
      <c r="S121" s="3">
        <f t="shared" si="120"/>
        <v>5687286.0549870841</v>
      </c>
      <c r="T121" s="3">
        <f t="shared" si="121"/>
        <v>24925623.239568908</v>
      </c>
      <c r="U121" s="47">
        <f t="shared" ca="1" si="136"/>
        <v>33546755.327844243</v>
      </c>
      <c r="V121" s="47">
        <f>'Monthly Data'!BF121</f>
        <v>581959.31974358961</v>
      </c>
      <c r="W121" s="47">
        <f ca="1">+'Monthly Data'!BG121</f>
        <v>1381310.715933559</v>
      </c>
      <c r="X121" s="47">
        <f t="shared" ca="1" si="137"/>
        <v>35510025.363521397</v>
      </c>
    </row>
    <row r="122" spans="1:24">
      <c r="A122" s="2">
        <f t="shared" ref="A122:A162" si="149">EOMONTH(A121,1)</f>
        <v>46053</v>
      </c>
      <c r="B122">
        <f t="shared" ref="B122:B162" si="150">YEAR(A122)</f>
        <v>2026</v>
      </c>
      <c r="C122">
        <f t="shared" ref="C122:C162" si="151">MONTH(A122)</f>
        <v>1</v>
      </c>
      <c r="E122" s="3">
        <f t="shared" ref="E122:F122" ca="1" si="152">E110</f>
        <v>690.78750000000002</v>
      </c>
      <c r="F122" s="3">
        <f t="shared" ca="1" si="152"/>
        <v>0</v>
      </c>
      <c r="I122" s="47">
        <f t="shared" ref="I122:I162" si="153">I110</f>
        <v>0</v>
      </c>
      <c r="J122" s="47">
        <f t="shared" ref="J122:J162" si="154">J121+1</f>
        <v>121</v>
      </c>
      <c r="K122" s="47">
        <f t="shared" ref="K122:K162" si="155">K86</f>
        <v>31</v>
      </c>
      <c r="M122" s="3">
        <f t="shared" si="114"/>
        <v>-5660024.0454457896</v>
      </c>
      <c r="N122" s="3">
        <f t="shared" ca="1" si="115"/>
        <v>9855049.3799528815</v>
      </c>
      <c r="O122" s="3">
        <f t="shared" ca="1" si="116"/>
        <v>0</v>
      </c>
      <c r="P122" s="3">
        <f t="shared" si="117"/>
        <v>0</v>
      </c>
      <c r="Q122" s="3">
        <f t="shared" si="118"/>
        <v>0</v>
      </c>
      <c r="R122" s="3">
        <f t="shared" si="119"/>
        <v>0</v>
      </c>
      <c r="S122" s="3">
        <f t="shared" si="120"/>
        <v>5734680.1054453095</v>
      </c>
      <c r="T122" s="3">
        <f t="shared" si="121"/>
        <v>24925623.239568908</v>
      </c>
      <c r="U122" s="47">
        <f t="shared" ref="U122:U161" ca="1" si="156">SUM(M122:T122)</f>
        <v>34855328.679521307</v>
      </c>
      <c r="V122" s="47">
        <f>IFERROR(HLOOKUP(B122-1,'EV Forecast WRZ'!$F$124:$T$130,2,FALSE)/12,0)+IFERROR(((HLOOKUP(B122,'EV Forecast WRZ'!$F$116:$T$122,2,FALSE)-HLOOKUP(B122-1,'EV Forecast WRZ'!$F$124:$T$130,2,FALSE)))*C122/78,0)</f>
        <v>602904.59251070593</v>
      </c>
      <c r="W122" s="47">
        <f ca="1">HLOOKUP(B122,Heating!$R$102:$AD$106,2,FALSE)*INDEX(Weather!$BO$1:$CB$20,MATCH(B122,Weather!$BO$1:$BO$20,0),MATCH(C122,Weather!$BO$1:$CB$1,0))/VLOOKUP(B122,Weather!$BO$2:$CB$20,14,FALSE)</f>
        <v>1718269.0053094784</v>
      </c>
      <c r="X122" s="47">
        <f t="shared" ca="1" si="132"/>
        <v>37176502.277341492</v>
      </c>
    </row>
    <row r="123" spans="1:24">
      <c r="A123" s="2">
        <f t="shared" si="149"/>
        <v>46081</v>
      </c>
      <c r="B123">
        <f t="shared" si="150"/>
        <v>2026</v>
      </c>
      <c r="C123">
        <f t="shared" si="151"/>
        <v>2</v>
      </c>
      <c r="E123" s="3">
        <f t="shared" ref="E123:F123" ca="1" si="157">E111</f>
        <v>604.19541666666657</v>
      </c>
      <c r="F123" s="3">
        <f t="shared" ca="1" si="157"/>
        <v>0</v>
      </c>
      <c r="I123" s="47">
        <f t="shared" si="153"/>
        <v>0</v>
      </c>
      <c r="J123" s="47">
        <f t="shared" si="154"/>
        <v>122</v>
      </c>
      <c r="K123" s="47">
        <f t="shared" si="155"/>
        <v>28</v>
      </c>
      <c r="M123" s="3">
        <f t="shared" si="114"/>
        <v>-5660024.0454457896</v>
      </c>
      <c r="N123" s="3">
        <f t="shared" ca="1" si="115"/>
        <v>8619692.2590394374</v>
      </c>
      <c r="O123" s="3">
        <f t="shared" ca="1" si="116"/>
        <v>0</v>
      </c>
      <c r="P123" s="3">
        <f t="shared" si="117"/>
        <v>0</v>
      </c>
      <c r="Q123" s="3">
        <f t="shared" si="118"/>
        <v>0</v>
      </c>
      <c r="R123" s="3">
        <f t="shared" si="119"/>
        <v>0</v>
      </c>
      <c r="S123" s="3">
        <f t="shared" si="120"/>
        <v>5782074.155903535</v>
      </c>
      <c r="T123" s="3">
        <f t="shared" si="121"/>
        <v>22513466.15186869</v>
      </c>
      <c r="U123" s="47">
        <f t="shared" ca="1" si="156"/>
        <v>31255208.521365874</v>
      </c>
      <c r="V123" s="47">
        <f>IFERROR(HLOOKUP(B123-1,'EV Forecast WRZ'!$F$124:$T$130,2,FALSE)/12,0)+IFERROR(((HLOOKUP(B123,'EV Forecast WRZ'!$F$116:$T$122,2,FALSE)-HLOOKUP(B123-1,'EV Forecast WRZ'!$F$124:$T$130,2,FALSE)))*C123/78,0)</f>
        <v>615789.79502141173</v>
      </c>
      <c r="W123" s="47">
        <f ca="1">HLOOKUP(B123,Heating!$R$102:$AD$106,2,FALSE)*INDEX(Weather!$BO$1:$CB$20,MATCH(B123,Weather!$BO$1:$BO$20,0),MATCH(C123,Weather!$BO$1:$CB$1,0))/VLOOKUP(B123,Weather!$BO$2:$CB$20,14,FALSE)</f>
        <v>1502879.333526416</v>
      </c>
      <c r="X123" s="47">
        <f t="shared" ca="1" si="132"/>
        <v>33373877.649913702</v>
      </c>
    </row>
    <row r="124" spans="1:24">
      <c r="A124" s="2">
        <f t="shared" si="149"/>
        <v>46112</v>
      </c>
      <c r="B124">
        <f t="shared" si="150"/>
        <v>2026</v>
      </c>
      <c r="C124">
        <f t="shared" si="151"/>
        <v>3</v>
      </c>
      <c r="E124" s="3">
        <f t="shared" ref="E124:F124" ca="1" si="158">E112</f>
        <v>534.21590579710141</v>
      </c>
      <c r="F124" s="3">
        <f t="shared" ca="1" si="158"/>
        <v>0</v>
      </c>
      <c r="I124" s="47">
        <f t="shared" si="153"/>
        <v>1</v>
      </c>
      <c r="J124" s="47">
        <f t="shared" si="154"/>
        <v>123</v>
      </c>
      <c r="K124" s="47">
        <f t="shared" si="155"/>
        <v>31</v>
      </c>
      <c r="M124" s="3">
        <f t="shared" si="114"/>
        <v>-5660024.0454457896</v>
      </c>
      <c r="N124" s="3">
        <f t="shared" ca="1" si="115"/>
        <v>7621336.7080132328</v>
      </c>
      <c r="O124" s="3">
        <f t="shared" ca="1" si="116"/>
        <v>0</v>
      </c>
      <c r="P124" s="3">
        <f t="shared" si="117"/>
        <v>0</v>
      </c>
      <c r="Q124" s="3">
        <f t="shared" si="118"/>
        <v>0</v>
      </c>
      <c r="R124" s="3">
        <f t="shared" si="119"/>
        <v>-701201.51304507197</v>
      </c>
      <c r="S124" s="3">
        <f t="shared" si="120"/>
        <v>5829468.2063617613</v>
      </c>
      <c r="T124" s="3">
        <f t="shared" si="121"/>
        <v>24925623.239568908</v>
      </c>
      <c r="U124" s="47">
        <f t="shared" ca="1" si="156"/>
        <v>32015202.595453039</v>
      </c>
      <c r="V124" s="47">
        <f>IFERROR(HLOOKUP(B124-1,'EV Forecast WRZ'!$F$124:$T$130,2,FALSE)/12,0)+IFERROR(((HLOOKUP(B124,'EV Forecast WRZ'!$F$116:$T$122,2,FALSE)-HLOOKUP(B124-1,'EV Forecast WRZ'!$F$124:$T$130,2,FALSE)))*C124/78,0)</f>
        <v>628674.99753211765</v>
      </c>
      <c r="W124" s="47">
        <f ca="1">HLOOKUP(B124,Heating!$R$102:$AD$106,2,FALSE)*INDEX(Weather!$BO$1:$CB$20,MATCH(B124,Weather!$BO$1:$BO$20,0),MATCH(C124,Weather!$BO$1:$CB$1,0))/VLOOKUP(B124,Weather!$BO$2:$CB$20,14,FALSE)</f>
        <v>1328811.8749608055</v>
      </c>
      <c r="X124" s="47">
        <f t="shared" ca="1" si="132"/>
        <v>33972689.467945963</v>
      </c>
    </row>
    <row r="125" spans="1:24">
      <c r="A125" s="2">
        <f t="shared" si="149"/>
        <v>46142</v>
      </c>
      <c r="B125">
        <f t="shared" si="150"/>
        <v>2026</v>
      </c>
      <c r="C125">
        <f t="shared" si="151"/>
        <v>4</v>
      </c>
      <c r="E125" s="3">
        <f t="shared" ref="E125:F125" ca="1" si="159">E113</f>
        <v>352.92312500000003</v>
      </c>
      <c r="F125" s="3">
        <f t="shared" ca="1" si="159"/>
        <v>2.2025000000000015</v>
      </c>
      <c r="I125" s="47">
        <f t="shared" si="153"/>
        <v>1</v>
      </c>
      <c r="J125" s="47">
        <f t="shared" si="154"/>
        <v>124</v>
      </c>
      <c r="K125" s="47">
        <f t="shared" si="155"/>
        <v>30</v>
      </c>
      <c r="M125" s="3">
        <f t="shared" si="114"/>
        <v>-5660024.0454457896</v>
      </c>
      <c r="N125" s="3">
        <f t="shared" ca="1" si="115"/>
        <v>5034941.7501073536</v>
      </c>
      <c r="O125" s="3">
        <f t="shared" ca="1" si="116"/>
        <v>201258.63825014042</v>
      </c>
      <c r="P125" s="3">
        <f t="shared" si="117"/>
        <v>0</v>
      </c>
      <c r="Q125" s="3">
        <f t="shared" si="118"/>
        <v>0</v>
      </c>
      <c r="R125" s="3">
        <f t="shared" si="119"/>
        <v>-701201.51304507197</v>
      </c>
      <c r="S125" s="3">
        <f t="shared" si="120"/>
        <v>5876862.2568199867</v>
      </c>
      <c r="T125" s="3">
        <f t="shared" si="121"/>
        <v>24121570.877002168</v>
      </c>
      <c r="U125" s="47">
        <f t="shared" ca="1" si="156"/>
        <v>28873407.963688787</v>
      </c>
      <c r="V125" s="47">
        <f>IFERROR(HLOOKUP(B125-1,'EV Forecast WRZ'!$F$124:$T$130,2,FALSE)/12,0)+IFERROR(((HLOOKUP(B125,'EV Forecast WRZ'!$F$116:$T$122,2,FALSE)-HLOOKUP(B125-1,'EV Forecast WRZ'!$F$124:$T$130,2,FALSE)))*C125/78,0)</f>
        <v>641560.20004282345</v>
      </c>
      <c r="W125" s="47">
        <f ca="1">HLOOKUP(B125,Heating!$R$102:$AD$106,2,FALSE)*INDEX(Weather!$BO$1:$CB$20,MATCH(B125,Weather!$BO$1:$BO$20,0),MATCH(C125,Weather!$BO$1:$CB$1,0))/VLOOKUP(B125,Weather!$BO$2:$CB$20,14,FALSE)</f>
        <v>877863.11556660011</v>
      </c>
      <c r="X125" s="47">
        <f t="shared" ca="1" si="132"/>
        <v>30392831.279298212</v>
      </c>
    </row>
    <row r="126" spans="1:24">
      <c r="A126" s="2">
        <f t="shared" si="149"/>
        <v>46173</v>
      </c>
      <c r="B126">
        <f t="shared" si="150"/>
        <v>2026</v>
      </c>
      <c r="C126">
        <f t="shared" si="151"/>
        <v>5</v>
      </c>
      <c r="E126" s="3">
        <f t="shared" ref="E126:F126" ca="1" si="160">E114</f>
        <v>155.24720841877425</v>
      </c>
      <c r="F126" s="3">
        <f t="shared" ca="1" si="160"/>
        <v>48.940113636363641</v>
      </c>
      <c r="I126" s="47">
        <f t="shared" si="153"/>
        <v>1</v>
      </c>
      <c r="J126" s="47">
        <f t="shared" si="154"/>
        <v>125</v>
      </c>
      <c r="K126" s="47">
        <f t="shared" si="155"/>
        <v>31</v>
      </c>
      <c r="M126" s="3">
        <f t="shared" si="114"/>
        <v>-5660024.0454457896</v>
      </c>
      <c r="N126" s="3">
        <f t="shared" ca="1" si="115"/>
        <v>2214818.4572923756</v>
      </c>
      <c r="O126" s="3">
        <f t="shared" ca="1" si="116"/>
        <v>4472018.4455217561</v>
      </c>
      <c r="P126" s="3">
        <f t="shared" si="117"/>
        <v>0</v>
      </c>
      <c r="Q126" s="3">
        <f t="shared" si="118"/>
        <v>0</v>
      </c>
      <c r="R126" s="3">
        <f t="shared" si="119"/>
        <v>-701201.51304507197</v>
      </c>
      <c r="S126" s="3">
        <f t="shared" si="120"/>
        <v>5924256.3072782122</v>
      </c>
      <c r="T126" s="3">
        <f t="shared" si="121"/>
        <v>24925623.239568908</v>
      </c>
      <c r="U126" s="47">
        <f t="shared" ca="1" si="156"/>
        <v>31175490.89117039</v>
      </c>
      <c r="V126" s="47">
        <f>IFERROR(HLOOKUP(B126-1,'EV Forecast WRZ'!$F$124:$T$130,2,FALSE)/12,0)+IFERROR(((HLOOKUP(B126,'EV Forecast WRZ'!$F$116:$T$122,2,FALSE)-HLOOKUP(B126-1,'EV Forecast WRZ'!$F$124:$T$130,2,FALSE)))*C126/78,0)</f>
        <v>654445.40255352936</v>
      </c>
      <c r="W126" s="47">
        <f ca="1">HLOOKUP(B126,Heating!$R$102:$AD$106,2,FALSE)*INDEX(Weather!$BO$1:$CB$20,MATCH(B126,Weather!$BO$1:$BO$20,0),MATCH(C126,Weather!$BO$1:$CB$1,0))/VLOOKUP(B126,Weather!$BO$2:$CB$20,14,FALSE)</f>
        <v>386162.84513949731</v>
      </c>
      <c r="X126" s="47">
        <f t="shared" ca="1" si="132"/>
        <v>32216099.138863415</v>
      </c>
    </row>
    <row r="127" spans="1:24">
      <c r="A127" s="2">
        <f t="shared" si="149"/>
        <v>46203</v>
      </c>
      <c r="B127">
        <f t="shared" si="150"/>
        <v>2026</v>
      </c>
      <c r="C127">
        <f t="shared" si="151"/>
        <v>6</v>
      </c>
      <c r="E127" s="3">
        <f t="shared" ref="E127:F127" ca="1" si="161">E115</f>
        <v>30.273840492840492</v>
      </c>
      <c r="F127" s="3">
        <f t="shared" ca="1" si="161"/>
        <v>144.91160087738351</v>
      </c>
      <c r="I127" s="47">
        <f t="shared" si="153"/>
        <v>0</v>
      </c>
      <c r="J127" s="47">
        <f t="shared" si="154"/>
        <v>126</v>
      </c>
      <c r="K127" s="47">
        <f t="shared" si="155"/>
        <v>30</v>
      </c>
      <c r="M127" s="3">
        <f t="shared" si="114"/>
        <v>-5660024.0454457896</v>
      </c>
      <c r="N127" s="3">
        <f t="shared" ca="1" si="115"/>
        <v>431898.65621158475</v>
      </c>
      <c r="O127" s="3">
        <f t="shared" ca="1" si="116"/>
        <v>13241639.709071528</v>
      </c>
      <c r="P127" s="3">
        <f t="shared" si="117"/>
        <v>0</v>
      </c>
      <c r="Q127" s="3">
        <f t="shared" si="118"/>
        <v>0</v>
      </c>
      <c r="R127" s="3">
        <f t="shared" si="119"/>
        <v>0</v>
      </c>
      <c r="S127" s="3">
        <f t="shared" si="120"/>
        <v>5971650.3577364376</v>
      </c>
      <c r="T127" s="3">
        <f t="shared" si="121"/>
        <v>24121570.877002168</v>
      </c>
      <c r="U127" s="47">
        <f t="shared" ca="1" si="156"/>
        <v>38106735.554575928</v>
      </c>
      <c r="V127" s="47">
        <f>IFERROR(HLOOKUP(B127-1,'EV Forecast WRZ'!$F$124:$T$130,2,FALSE)/12,0)+IFERROR(((HLOOKUP(B127,'EV Forecast WRZ'!$F$116:$T$122,2,FALSE)-HLOOKUP(B127-1,'EV Forecast WRZ'!$F$124:$T$130,2,FALSE)))*C127/78,0)</f>
        <v>667330.60506423516</v>
      </c>
      <c r="W127" s="47">
        <f ca="1">HLOOKUP(B127,Heating!$R$102:$AD$106,2,FALSE)*INDEX(Weather!$BO$1:$CB$20,MATCH(B127,Weather!$BO$1:$BO$20,0),MATCH(C127,Weather!$BO$1:$CB$1,0))/VLOOKUP(B127,Weather!$BO$2:$CB$20,14,FALSE)</f>
        <v>75303.333934865412</v>
      </c>
      <c r="X127" s="47">
        <f t="shared" ca="1" si="132"/>
        <v>38849369.493575029</v>
      </c>
    </row>
    <row r="128" spans="1:24">
      <c r="A128" s="2">
        <f t="shared" si="149"/>
        <v>46234</v>
      </c>
      <c r="B128">
        <f t="shared" si="150"/>
        <v>2026</v>
      </c>
      <c r="C128">
        <f t="shared" si="151"/>
        <v>7</v>
      </c>
      <c r="E128" s="3">
        <f t="shared" ref="E128:F128" ca="1" si="162">E116</f>
        <v>1.0845833333333317</v>
      </c>
      <c r="F128" s="3">
        <f t="shared" ca="1" si="162"/>
        <v>242.72508692061183</v>
      </c>
      <c r="I128" s="47">
        <f t="shared" si="153"/>
        <v>0</v>
      </c>
      <c r="J128" s="47">
        <f t="shared" si="154"/>
        <v>127</v>
      </c>
      <c r="K128" s="47">
        <f t="shared" si="155"/>
        <v>31</v>
      </c>
      <c r="M128" s="3">
        <f t="shared" si="114"/>
        <v>-5660024.0454457896</v>
      </c>
      <c r="N128" s="3">
        <f t="shared" ca="1" si="115"/>
        <v>15473.097452796814</v>
      </c>
      <c r="O128" s="3">
        <f t="shared" ca="1" si="116"/>
        <v>22179577.962673906</v>
      </c>
      <c r="P128" s="3">
        <f t="shared" si="117"/>
        <v>0</v>
      </c>
      <c r="Q128" s="3">
        <f t="shared" si="118"/>
        <v>0</v>
      </c>
      <c r="R128" s="3">
        <f t="shared" si="119"/>
        <v>0</v>
      </c>
      <c r="S128" s="3">
        <f t="shared" si="120"/>
        <v>6019044.4081946639</v>
      </c>
      <c r="T128" s="3">
        <f t="shared" si="121"/>
        <v>24925623.239568908</v>
      </c>
      <c r="U128" s="47">
        <f t="shared" ca="1" si="156"/>
        <v>47479694.662444487</v>
      </c>
      <c r="V128" s="47">
        <f>IFERROR(HLOOKUP(B128-1,'EV Forecast WRZ'!$F$124:$T$130,2,FALSE)/12,0)+IFERROR(((HLOOKUP(B128,'EV Forecast WRZ'!$F$116:$T$122,2,FALSE)-HLOOKUP(B128-1,'EV Forecast WRZ'!$F$124:$T$130,2,FALSE)))*C128/78,0)</f>
        <v>680215.80757494108</v>
      </c>
      <c r="W128" s="47">
        <f ca="1">HLOOKUP(B128,Heating!$R$102:$AD$106,2,FALSE)*INDEX(Weather!$BO$1:$CB$20,MATCH(B128,Weather!$BO$1:$BO$20,0),MATCH(C128,Weather!$BO$1:$CB$1,0))/VLOOKUP(B128,Weather!$BO$2:$CB$20,14,FALSE)</f>
        <v>2697.7991427782094</v>
      </c>
      <c r="X128" s="47">
        <f t="shared" ca="1" si="132"/>
        <v>48162608.269162208</v>
      </c>
    </row>
    <row r="129" spans="1:24">
      <c r="A129" s="2">
        <f t="shared" si="149"/>
        <v>46265</v>
      </c>
      <c r="B129">
        <f t="shared" si="150"/>
        <v>2026</v>
      </c>
      <c r="C129">
        <f t="shared" si="151"/>
        <v>8</v>
      </c>
      <c r="E129" s="3">
        <f t="shared" ref="E129:F129" ca="1" si="163">E117</f>
        <v>6.4245833333333335</v>
      </c>
      <c r="F129" s="3">
        <f t="shared" ca="1" si="163"/>
        <v>214.02558794466404</v>
      </c>
      <c r="I129" s="47">
        <f t="shared" si="153"/>
        <v>0</v>
      </c>
      <c r="J129" s="47">
        <f t="shared" si="154"/>
        <v>128</v>
      </c>
      <c r="K129" s="47">
        <f t="shared" si="155"/>
        <v>31</v>
      </c>
      <c r="M129" s="3">
        <f t="shared" si="114"/>
        <v>-5660024.0454457896</v>
      </c>
      <c r="N129" s="3">
        <f t="shared" ca="1" si="115"/>
        <v>91655.662552698588</v>
      </c>
      <c r="O129" s="3">
        <f t="shared" ca="1" si="116"/>
        <v>19557093.475790568</v>
      </c>
      <c r="P129" s="3">
        <f t="shared" si="117"/>
        <v>0</v>
      </c>
      <c r="Q129" s="3">
        <f t="shared" si="118"/>
        <v>0</v>
      </c>
      <c r="R129" s="3">
        <f t="shared" si="119"/>
        <v>0</v>
      </c>
      <c r="S129" s="3">
        <f t="shared" si="120"/>
        <v>6066438.4586528894</v>
      </c>
      <c r="T129" s="3">
        <f t="shared" si="121"/>
        <v>24925623.239568908</v>
      </c>
      <c r="U129" s="47">
        <f t="shared" ca="1" si="156"/>
        <v>44980786.791119277</v>
      </c>
      <c r="V129" s="47">
        <f>IFERROR(HLOOKUP(B129-1,'EV Forecast WRZ'!$F$124:$T$130,2,FALSE)/12,0)+IFERROR(((HLOOKUP(B129,'EV Forecast WRZ'!$F$116:$T$122,2,FALSE)-HLOOKUP(B129-1,'EV Forecast WRZ'!$F$124:$T$130,2,FALSE)))*C129/78,0)</f>
        <v>693101.01008564688</v>
      </c>
      <c r="W129" s="47">
        <f ca="1">HLOOKUP(B129,Heating!$R$102:$AD$106,2,FALSE)*INDEX(Weather!$BO$1:$CB$20,MATCH(B129,Weather!$BO$1:$BO$20,0),MATCH(C129,Weather!$BO$1:$CB$1,0))/VLOOKUP(B129,Weather!$BO$2:$CB$20,14,FALSE)</f>
        <v>15980.547438531416</v>
      </c>
      <c r="X129" s="47">
        <f t="shared" ca="1" si="132"/>
        <v>45689868.348643459</v>
      </c>
    </row>
    <row r="130" spans="1:24">
      <c r="A130" s="2">
        <f t="shared" si="149"/>
        <v>46295</v>
      </c>
      <c r="B130">
        <f t="shared" si="150"/>
        <v>2026</v>
      </c>
      <c r="C130">
        <f t="shared" si="151"/>
        <v>9</v>
      </c>
      <c r="E130" s="3">
        <f t="shared" ref="E130:F130" ca="1" si="164">E118</f>
        <v>54.412952898550728</v>
      </c>
      <c r="F130" s="3">
        <f t="shared" ca="1" si="164"/>
        <v>102.40708333333332</v>
      </c>
      <c r="I130" s="47">
        <f t="shared" si="153"/>
        <v>1</v>
      </c>
      <c r="J130" s="47">
        <f t="shared" si="154"/>
        <v>129</v>
      </c>
      <c r="K130" s="47">
        <f t="shared" si="155"/>
        <v>30</v>
      </c>
      <c r="M130" s="3">
        <f t="shared" ref="M130:M161" si="165">$AB$8</f>
        <v>-5660024.0454457896</v>
      </c>
      <c r="N130" s="3">
        <f t="shared" ref="N130:N161" ca="1" si="166">E130*$AB$9</f>
        <v>776276.8401632451</v>
      </c>
      <c r="O130" s="3">
        <f t="shared" ref="O130:O161" ca="1" si="167">F130*$AB$10</f>
        <v>9357689.0528196599</v>
      </c>
      <c r="P130" s="3">
        <f t="shared" ref="P130:P161" si="168">G130*$AB$11</f>
        <v>0</v>
      </c>
      <c r="Q130" s="3">
        <f t="shared" ref="Q130:Q161" si="169">H130*$AB$12</f>
        <v>0</v>
      </c>
      <c r="R130" s="3">
        <f t="shared" ref="R130:R161" si="170">I130*$AB$13</f>
        <v>-701201.51304507197</v>
      </c>
      <c r="S130" s="3">
        <f t="shared" ref="S130:S161" si="171">J130*$AB$14</f>
        <v>6113832.5091111148</v>
      </c>
      <c r="T130" s="3">
        <f t="shared" ref="T130:T161" si="172">K130*$AB$15</f>
        <v>24121570.877002168</v>
      </c>
      <c r="U130" s="47">
        <f t="shared" ca="1" si="156"/>
        <v>34008143.720605329</v>
      </c>
      <c r="V130" s="47">
        <f>IFERROR(HLOOKUP(B130-1,'EV Forecast WRZ'!$F$124:$T$130,2,FALSE)/12,0)+IFERROR(((HLOOKUP(B130,'EV Forecast WRZ'!$F$116:$T$122,2,FALSE)-HLOOKUP(B130-1,'EV Forecast WRZ'!$F$124:$T$130,2,FALSE)))*C130/78,0)</f>
        <v>705986.21259635279</v>
      </c>
      <c r="W130" s="47">
        <f ca="1">HLOOKUP(B130,Heating!$R$102:$AD$106,2,FALSE)*INDEX(Weather!$BO$1:$CB$20,MATCH(B130,Weather!$BO$1:$BO$20,0),MATCH(C130,Weather!$BO$1:$CB$1,0))/VLOOKUP(B130,Weather!$BO$2:$CB$20,14,FALSE)</f>
        <v>135347.1081236187</v>
      </c>
      <c r="X130" s="47">
        <f t="shared" ca="1" si="132"/>
        <v>34849477.041325293</v>
      </c>
    </row>
    <row r="131" spans="1:24">
      <c r="A131" s="2">
        <f t="shared" si="149"/>
        <v>46326</v>
      </c>
      <c r="B131">
        <f t="shared" si="150"/>
        <v>2026</v>
      </c>
      <c r="C131">
        <f t="shared" si="151"/>
        <v>10</v>
      </c>
      <c r="E131" s="3">
        <f t="shared" ref="E131:F131" ca="1" si="173">E119</f>
        <v>232.21431159420285</v>
      </c>
      <c r="F131" s="3">
        <f t="shared" ca="1" si="173"/>
        <v>19.741250000000004</v>
      </c>
      <c r="I131" s="47">
        <f t="shared" si="153"/>
        <v>1</v>
      </c>
      <c r="J131" s="47">
        <f t="shared" si="154"/>
        <v>130</v>
      </c>
      <c r="K131" s="47">
        <f t="shared" si="155"/>
        <v>31</v>
      </c>
      <c r="M131" s="3">
        <f t="shared" si="165"/>
        <v>-5660024.0454457896</v>
      </c>
      <c r="N131" s="3">
        <f t="shared" ca="1" si="166"/>
        <v>3312861.7809277582</v>
      </c>
      <c r="O131" s="3">
        <f t="shared" ca="1" si="167"/>
        <v>1803903.3336461217</v>
      </c>
      <c r="P131" s="3">
        <f t="shared" si="168"/>
        <v>0</v>
      </c>
      <c r="Q131" s="3">
        <f t="shared" si="169"/>
        <v>0</v>
      </c>
      <c r="R131" s="3">
        <f t="shared" si="170"/>
        <v>-701201.51304507197</v>
      </c>
      <c r="S131" s="3">
        <f t="shared" si="171"/>
        <v>6161226.5595693411</v>
      </c>
      <c r="T131" s="3">
        <f t="shared" si="172"/>
        <v>24925623.239568908</v>
      </c>
      <c r="U131" s="47">
        <f t="shared" ca="1" si="156"/>
        <v>29842389.355221268</v>
      </c>
      <c r="V131" s="47">
        <f>IFERROR(HLOOKUP(B131-1,'EV Forecast WRZ'!$F$124:$T$130,2,FALSE)/12,0)+IFERROR(((HLOOKUP(B131,'EV Forecast WRZ'!$F$116:$T$122,2,FALSE)-HLOOKUP(B131-1,'EV Forecast WRZ'!$F$124:$T$130,2,FALSE)))*C131/78,0)</f>
        <v>718871.41510705859</v>
      </c>
      <c r="W131" s="47">
        <f ca="1">HLOOKUP(B131,Heating!$R$102:$AD$106,2,FALSE)*INDEX(Weather!$BO$1:$CB$20,MATCH(B131,Weather!$BO$1:$BO$20,0),MATCH(C131,Weather!$BO$1:$CB$1,0))/VLOOKUP(B131,Weather!$BO$2:$CB$20,14,FALSE)</f>
        <v>577611.28306692897</v>
      </c>
      <c r="X131" s="47">
        <f t="shared" ca="1" si="132"/>
        <v>31138872.053395256</v>
      </c>
    </row>
    <row r="132" spans="1:24">
      <c r="A132" s="2">
        <f t="shared" si="149"/>
        <v>46356</v>
      </c>
      <c r="B132">
        <f t="shared" si="150"/>
        <v>2026</v>
      </c>
      <c r="C132">
        <f t="shared" si="151"/>
        <v>11</v>
      </c>
      <c r="E132" s="3">
        <f t="shared" ref="E132:F132" ca="1" si="174">E120</f>
        <v>435.51408055712398</v>
      </c>
      <c r="F132" s="3">
        <f t="shared" ca="1" si="174"/>
        <v>0.78124999999999944</v>
      </c>
      <c r="I132" s="47">
        <f t="shared" si="153"/>
        <v>1</v>
      </c>
      <c r="J132" s="47">
        <f t="shared" si="154"/>
        <v>131</v>
      </c>
      <c r="K132" s="47">
        <f t="shared" si="155"/>
        <v>30</v>
      </c>
      <c r="M132" s="3">
        <f t="shared" si="165"/>
        <v>-5660024.0454457896</v>
      </c>
      <c r="N132" s="3">
        <f t="shared" ca="1" si="166"/>
        <v>6213217.1898814524</v>
      </c>
      <c r="O132" s="3">
        <f t="shared" ca="1" si="167"/>
        <v>71388.563510974796</v>
      </c>
      <c r="P132" s="3">
        <f t="shared" si="168"/>
        <v>0</v>
      </c>
      <c r="Q132" s="3">
        <f t="shared" si="169"/>
        <v>0</v>
      </c>
      <c r="R132" s="3">
        <f t="shared" si="170"/>
        <v>-701201.51304507197</v>
      </c>
      <c r="S132" s="3">
        <f t="shared" si="171"/>
        <v>6208620.6100275666</v>
      </c>
      <c r="T132" s="3">
        <f t="shared" si="172"/>
        <v>24121570.877002168</v>
      </c>
      <c r="U132" s="47">
        <f t="shared" ca="1" si="156"/>
        <v>30253571.681931302</v>
      </c>
      <c r="V132" s="47">
        <f>IFERROR(HLOOKUP(B132-1,'EV Forecast WRZ'!$F$124:$T$130,2,FALSE)/12,0)+IFERROR(((HLOOKUP(B132,'EV Forecast WRZ'!$F$116:$T$122,2,FALSE)-HLOOKUP(B132-1,'EV Forecast WRZ'!$F$124:$T$130,2,FALSE)))*C132/78,0)</f>
        <v>731756.61761776451</v>
      </c>
      <c r="W132" s="47">
        <f ca="1">HLOOKUP(B132,Heating!$R$102:$AD$106,2,FALSE)*INDEX(Weather!$BO$1:$CB$20,MATCH(B132,Weather!$BO$1:$BO$20,0),MATCH(C132,Weather!$BO$1:$CB$1,0))/VLOOKUP(B132,Weather!$BO$2:$CB$20,14,FALSE)</f>
        <v>1083300.357920723</v>
      </c>
      <c r="X132" s="47">
        <f t="shared" ca="1" si="132"/>
        <v>32068628.657469787</v>
      </c>
    </row>
    <row r="133" spans="1:24">
      <c r="A133" s="2">
        <f t="shared" si="149"/>
        <v>46387</v>
      </c>
      <c r="B133">
        <f t="shared" si="150"/>
        <v>2026</v>
      </c>
      <c r="C133">
        <f t="shared" si="151"/>
        <v>12</v>
      </c>
      <c r="E133" s="3">
        <f t="shared" ref="E133:F133" ca="1" si="175">E121</f>
        <v>602.38541666666674</v>
      </c>
      <c r="F133" s="3">
        <f t="shared" ca="1" si="175"/>
        <v>0</v>
      </c>
      <c r="I133" s="47">
        <f t="shared" si="153"/>
        <v>0</v>
      </c>
      <c r="J133" s="47">
        <f t="shared" si="154"/>
        <v>132</v>
      </c>
      <c r="K133" s="47">
        <f t="shared" si="155"/>
        <v>31</v>
      </c>
      <c r="M133" s="3">
        <f t="shared" si="165"/>
        <v>-5660024.0454457896</v>
      </c>
      <c r="N133" s="3">
        <f t="shared" ca="1" si="166"/>
        <v>8593870.0787340421</v>
      </c>
      <c r="O133" s="3">
        <f t="shared" ca="1" si="167"/>
        <v>0</v>
      </c>
      <c r="P133" s="3">
        <f t="shared" si="168"/>
        <v>0</v>
      </c>
      <c r="Q133" s="3">
        <f t="shared" si="169"/>
        <v>0</v>
      </c>
      <c r="R133" s="3">
        <f t="shared" si="170"/>
        <v>0</v>
      </c>
      <c r="S133" s="3">
        <f t="shared" si="171"/>
        <v>6256014.660485792</v>
      </c>
      <c r="T133" s="3">
        <f t="shared" si="172"/>
        <v>24925623.239568908</v>
      </c>
      <c r="U133" s="47">
        <f t="shared" ca="1" si="156"/>
        <v>34115483.933342949</v>
      </c>
      <c r="V133" s="47">
        <f>IFERROR(HLOOKUP(B133-1,'EV Forecast WRZ'!$F$124:$T$130,2,FALSE)/12,0)+IFERROR(((HLOOKUP(B133,'EV Forecast WRZ'!$F$116:$T$122,2,FALSE)-HLOOKUP(B133-1,'EV Forecast WRZ'!$F$124:$T$130,2,FALSE)))*C133/78,0)</f>
        <v>744641.82012847043</v>
      </c>
      <c r="W133" s="47">
        <f ca="1">HLOOKUP(B133,Heating!$R$102:$AD$106,2,FALSE)*INDEX(Weather!$BO$1:$CB$20,MATCH(B133,Weather!$BO$1:$BO$20,0),MATCH(C133,Weather!$BO$1:$CB$1,0))/VLOOKUP(B133,Weather!$BO$2:$CB$20,14,FALSE)</f>
        <v>1498377.1285797285</v>
      </c>
      <c r="X133" s="47">
        <f t="shared" ca="1" si="132"/>
        <v>36358502.882051148</v>
      </c>
    </row>
    <row r="134" spans="1:24">
      <c r="A134" s="2">
        <f t="shared" si="149"/>
        <v>46418</v>
      </c>
      <c r="B134">
        <f t="shared" si="150"/>
        <v>2027</v>
      </c>
      <c r="C134">
        <f t="shared" si="151"/>
        <v>1</v>
      </c>
      <c r="E134" s="3">
        <f t="shared" ref="E134:F134" ca="1" si="176">E122</f>
        <v>690.78750000000002</v>
      </c>
      <c r="F134" s="3">
        <f t="shared" ca="1" si="176"/>
        <v>0</v>
      </c>
      <c r="I134" s="47">
        <f t="shared" si="153"/>
        <v>0</v>
      </c>
      <c r="J134" s="47">
        <f t="shared" si="154"/>
        <v>133</v>
      </c>
      <c r="K134" s="47">
        <f t="shared" si="155"/>
        <v>31</v>
      </c>
      <c r="M134" s="3">
        <f t="shared" si="165"/>
        <v>-5660024.0454457896</v>
      </c>
      <c r="N134" s="3">
        <f t="shared" ca="1" si="166"/>
        <v>9855049.3799528815</v>
      </c>
      <c r="O134" s="3">
        <f t="shared" ca="1" si="167"/>
        <v>0</v>
      </c>
      <c r="P134" s="3">
        <f t="shared" si="168"/>
        <v>0</v>
      </c>
      <c r="Q134" s="3">
        <f t="shared" si="169"/>
        <v>0</v>
      </c>
      <c r="R134" s="3">
        <f t="shared" si="170"/>
        <v>0</v>
      </c>
      <c r="S134" s="3">
        <f t="shared" si="171"/>
        <v>6303408.7109440174</v>
      </c>
      <c r="T134" s="3">
        <f t="shared" si="172"/>
        <v>24925623.239568908</v>
      </c>
      <c r="U134" s="47">
        <f t="shared" ca="1" si="156"/>
        <v>35424057.285020016</v>
      </c>
      <c r="V134" s="47">
        <f>IFERROR(HLOOKUP(B134-1,'EV Forecast WRZ'!$F$124:$T$130,2,FALSE)/12,0)+IFERROR(((HLOOKUP(B134,'EV Forecast WRZ'!$F$116:$T$122,2,FALSE)-HLOOKUP(B134-1,'EV Forecast WRZ'!$F$124:$T$130,2,FALSE)))*C134/78,0)</f>
        <v>771993.46122377028</v>
      </c>
      <c r="W134" s="47">
        <f ca="1">HLOOKUP(B134,Heating!$R$102:$AD$106,2,FALSE)*INDEX(Weather!$BO$1:$CB$20,MATCH(B134,Weather!$BO$1:$BO$20,0),MATCH(C134,Weather!$BO$1:$CB$1,0))/VLOOKUP(B134,Weather!$BO$2:$CB$20,14,FALSE)</f>
        <v>2006179.1826631676</v>
      </c>
      <c r="X134" s="47">
        <f t="shared" ca="1" si="132"/>
        <v>38202229.928906955</v>
      </c>
    </row>
    <row r="135" spans="1:24">
      <c r="A135" s="2">
        <f t="shared" si="149"/>
        <v>46446</v>
      </c>
      <c r="B135">
        <f t="shared" si="150"/>
        <v>2027</v>
      </c>
      <c r="C135">
        <f t="shared" si="151"/>
        <v>2</v>
      </c>
      <c r="E135" s="3">
        <f t="shared" ref="E135:F135" ca="1" si="177">E123</f>
        <v>604.19541666666657</v>
      </c>
      <c r="F135" s="3">
        <f t="shared" ca="1" si="177"/>
        <v>0</v>
      </c>
      <c r="I135" s="47">
        <f t="shared" si="153"/>
        <v>0</v>
      </c>
      <c r="J135" s="47">
        <f t="shared" si="154"/>
        <v>134</v>
      </c>
      <c r="K135" s="47">
        <f t="shared" si="155"/>
        <v>29</v>
      </c>
      <c r="M135" s="3">
        <f t="shared" si="165"/>
        <v>-5660024.0454457896</v>
      </c>
      <c r="N135" s="3">
        <f t="shared" ca="1" si="166"/>
        <v>8619692.2590394374</v>
      </c>
      <c r="O135" s="3">
        <f t="shared" ca="1" si="167"/>
        <v>0</v>
      </c>
      <c r="P135" s="3">
        <f t="shared" si="168"/>
        <v>0</v>
      </c>
      <c r="Q135" s="3">
        <f t="shared" si="169"/>
        <v>0</v>
      </c>
      <c r="R135" s="3">
        <f t="shared" si="170"/>
        <v>0</v>
      </c>
      <c r="S135" s="3">
        <f t="shared" si="171"/>
        <v>6350802.7614022437</v>
      </c>
      <c r="T135" s="3">
        <f t="shared" si="172"/>
        <v>23317518.514435429</v>
      </c>
      <c r="U135" s="47">
        <f t="shared" ca="1" si="156"/>
        <v>32627989.489431322</v>
      </c>
      <c r="V135" s="47">
        <f>IFERROR(HLOOKUP(B135-1,'EV Forecast WRZ'!$F$124:$T$130,2,FALSE)/12,0)+IFERROR(((HLOOKUP(B135,'EV Forecast WRZ'!$F$116:$T$122,2,FALSE)-HLOOKUP(B135-1,'EV Forecast WRZ'!$F$124:$T$130,2,FALSE)))*C135/78,0)</f>
        <v>786459.89980836434</v>
      </c>
      <c r="W135" s="47">
        <f ca="1">HLOOKUP(B135,Heating!$R$102:$AD$106,2,FALSE)*INDEX(Weather!$BO$1:$CB$20,MATCH(B135,Weather!$BO$1:$BO$20,0),MATCH(C135,Weather!$BO$1:$CB$1,0))/VLOOKUP(B135,Weather!$BO$2:$CB$20,14,FALSE)</f>
        <v>1754699.190673203</v>
      </c>
      <c r="X135" s="47">
        <f t="shared" ca="1" si="132"/>
        <v>35169148.579912893</v>
      </c>
    </row>
    <row r="136" spans="1:24">
      <c r="A136" s="2">
        <f t="shared" si="149"/>
        <v>46477</v>
      </c>
      <c r="B136">
        <f t="shared" si="150"/>
        <v>2027</v>
      </c>
      <c r="C136">
        <f t="shared" si="151"/>
        <v>3</v>
      </c>
      <c r="E136" s="3">
        <f t="shared" ref="E136:F136" ca="1" si="178">E124</f>
        <v>534.21590579710141</v>
      </c>
      <c r="F136" s="3">
        <f t="shared" ca="1" si="178"/>
        <v>0</v>
      </c>
      <c r="I136" s="47">
        <f t="shared" si="153"/>
        <v>1</v>
      </c>
      <c r="J136" s="47">
        <f t="shared" si="154"/>
        <v>135</v>
      </c>
      <c r="K136" s="47">
        <f t="shared" si="155"/>
        <v>31</v>
      </c>
      <c r="M136" s="3">
        <f t="shared" si="165"/>
        <v>-5660024.0454457896</v>
      </c>
      <c r="N136" s="3">
        <f t="shared" ca="1" si="166"/>
        <v>7621336.7080132328</v>
      </c>
      <c r="O136" s="3">
        <f t="shared" ca="1" si="167"/>
        <v>0</v>
      </c>
      <c r="P136" s="3">
        <f t="shared" si="168"/>
        <v>0</v>
      </c>
      <c r="Q136" s="3">
        <f t="shared" si="169"/>
        <v>0</v>
      </c>
      <c r="R136" s="3">
        <f t="shared" si="170"/>
        <v>-701201.51304507197</v>
      </c>
      <c r="S136" s="3">
        <f t="shared" si="171"/>
        <v>6398196.8118604692</v>
      </c>
      <c r="T136" s="3">
        <f t="shared" si="172"/>
        <v>24925623.239568908</v>
      </c>
      <c r="U136" s="47">
        <f t="shared" ca="1" si="156"/>
        <v>32583931.200951748</v>
      </c>
      <c r="V136" s="47">
        <f>IFERROR(HLOOKUP(B136-1,'EV Forecast WRZ'!$F$124:$T$130,2,FALSE)/12,0)+IFERROR(((HLOOKUP(B136,'EV Forecast WRZ'!$F$116:$T$122,2,FALSE)-HLOOKUP(B136-1,'EV Forecast WRZ'!$F$124:$T$130,2,FALSE)))*C136/78,0)</f>
        <v>800926.33839295839</v>
      </c>
      <c r="W136" s="47">
        <f ca="1">HLOOKUP(B136,Heating!$R$102:$AD$106,2,FALSE)*INDEX(Weather!$BO$1:$CB$20,MATCH(B136,Weather!$BO$1:$BO$20,0),MATCH(C136,Weather!$BO$1:$CB$1,0))/VLOOKUP(B136,Weather!$BO$2:$CB$20,14,FALSE)</f>
        <v>1551465.2903500609</v>
      </c>
      <c r="X136" s="47">
        <f t="shared" ca="1" si="132"/>
        <v>34936322.829694763</v>
      </c>
    </row>
    <row r="137" spans="1:24">
      <c r="A137" s="2">
        <f t="shared" si="149"/>
        <v>46507</v>
      </c>
      <c r="B137">
        <f t="shared" si="150"/>
        <v>2027</v>
      </c>
      <c r="C137">
        <f t="shared" si="151"/>
        <v>4</v>
      </c>
      <c r="E137" s="3">
        <f t="shared" ref="E137:F137" ca="1" si="179">E125</f>
        <v>352.92312500000003</v>
      </c>
      <c r="F137" s="3">
        <f t="shared" ca="1" si="179"/>
        <v>2.2025000000000015</v>
      </c>
      <c r="I137" s="47">
        <f t="shared" si="153"/>
        <v>1</v>
      </c>
      <c r="J137" s="47">
        <f t="shared" si="154"/>
        <v>136</v>
      </c>
      <c r="K137" s="47">
        <f t="shared" si="155"/>
        <v>30</v>
      </c>
      <c r="M137" s="3">
        <f t="shared" si="165"/>
        <v>-5660024.0454457896</v>
      </c>
      <c r="N137" s="3">
        <f t="shared" ca="1" si="166"/>
        <v>5034941.7501073536</v>
      </c>
      <c r="O137" s="3">
        <f t="shared" ca="1" si="167"/>
        <v>201258.63825014042</v>
      </c>
      <c r="P137" s="3">
        <f t="shared" si="168"/>
        <v>0</v>
      </c>
      <c r="Q137" s="3">
        <f t="shared" si="169"/>
        <v>0</v>
      </c>
      <c r="R137" s="3">
        <f t="shared" si="170"/>
        <v>-701201.51304507197</v>
      </c>
      <c r="S137" s="3">
        <f t="shared" si="171"/>
        <v>6445590.8623186946</v>
      </c>
      <c r="T137" s="3">
        <f t="shared" si="172"/>
        <v>24121570.877002168</v>
      </c>
      <c r="U137" s="47">
        <f t="shared" ca="1" si="156"/>
        <v>29442136.569187496</v>
      </c>
      <c r="V137" s="47">
        <f>IFERROR(HLOOKUP(B137-1,'EV Forecast WRZ'!$F$124:$T$130,2,FALSE)/12,0)+IFERROR(((HLOOKUP(B137,'EV Forecast WRZ'!$F$116:$T$122,2,FALSE)-HLOOKUP(B137-1,'EV Forecast WRZ'!$F$124:$T$130,2,FALSE)))*C137/78,0)</f>
        <v>815392.77697755245</v>
      </c>
      <c r="W137" s="47">
        <f ca="1">HLOOKUP(B137,Heating!$R$102:$AD$106,2,FALSE)*INDEX(Weather!$BO$1:$CB$20,MATCH(B137,Weather!$BO$1:$BO$20,0),MATCH(C137,Weather!$BO$1:$CB$1,0))/VLOOKUP(B137,Weather!$BO$2:$CB$20,14,FALSE)</f>
        <v>1024956.3381726376</v>
      </c>
      <c r="X137" s="47">
        <f t="shared" ca="1" si="132"/>
        <v>31282485.684337687</v>
      </c>
    </row>
    <row r="138" spans="1:24">
      <c r="A138" s="2">
        <f t="shared" si="149"/>
        <v>46538</v>
      </c>
      <c r="B138">
        <f t="shared" si="150"/>
        <v>2027</v>
      </c>
      <c r="C138">
        <f t="shared" si="151"/>
        <v>5</v>
      </c>
      <c r="E138" s="3">
        <f t="shared" ref="E138:F138" ca="1" si="180">E126</f>
        <v>155.24720841877425</v>
      </c>
      <c r="F138" s="3">
        <f t="shared" ca="1" si="180"/>
        <v>48.940113636363641</v>
      </c>
      <c r="I138" s="47">
        <f t="shared" si="153"/>
        <v>1</v>
      </c>
      <c r="J138" s="47">
        <f t="shared" si="154"/>
        <v>137</v>
      </c>
      <c r="K138" s="47">
        <f t="shared" si="155"/>
        <v>31</v>
      </c>
      <c r="M138" s="3">
        <f t="shared" si="165"/>
        <v>-5660024.0454457896</v>
      </c>
      <c r="N138" s="3">
        <f t="shared" ca="1" si="166"/>
        <v>2214818.4572923756</v>
      </c>
      <c r="O138" s="3">
        <f t="shared" ca="1" si="167"/>
        <v>4472018.4455217561</v>
      </c>
      <c r="P138" s="3">
        <f t="shared" si="168"/>
        <v>0</v>
      </c>
      <c r="Q138" s="3">
        <f t="shared" si="169"/>
        <v>0</v>
      </c>
      <c r="R138" s="3">
        <f t="shared" si="170"/>
        <v>-701201.51304507197</v>
      </c>
      <c r="S138" s="3">
        <f t="shared" si="171"/>
        <v>6492984.9127769209</v>
      </c>
      <c r="T138" s="3">
        <f t="shared" si="172"/>
        <v>24925623.239568908</v>
      </c>
      <c r="U138" s="47">
        <f t="shared" ca="1" si="156"/>
        <v>31744219.496669099</v>
      </c>
      <c r="V138" s="47">
        <f>IFERROR(HLOOKUP(B138-1,'EV Forecast WRZ'!$F$124:$T$130,2,FALSE)/12,0)+IFERROR(((HLOOKUP(B138,'EV Forecast WRZ'!$F$116:$T$122,2,FALSE)-HLOOKUP(B138-1,'EV Forecast WRZ'!$F$124:$T$130,2,FALSE)))*C138/78,0)</f>
        <v>829859.21556214651</v>
      </c>
      <c r="W138" s="47">
        <f ca="1">HLOOKUP(B138,Heating!$R$102:$AD$106,2,FALSE)*INDEX(Weather!$BO$1:$CB$20,MATCH(B138,Weather!$BO$1:$BO$20,0),MATCH(C138,Weather!$BO$1:$CB$1,0))/VLOOKUP(B138,Weather!$BO$2:$CB$20,14,FALSE)</f>
        <v>450867.62238215801</v>
      </c>
      <c r="X138" s="47">
        <f t="shared" ca="1" si="132"/>
        <v>33024946.334613401</v>
      </c>
    </row>
    <row r="139" spans="1:24">
      <c r="A139" s="2">
        <f t="shared" si="149"/>
        <v>46568</v>
      </c>
      <c r="B139">
        <f t="shared" si="150"/>
        <v>2027</v>
      </c>
      <c r="C139">
        <f t="shared" si="151"/>
        <v>6</v>
      </c>
      <c r="E139" s="3">
        <f t="shared" ref="E139:F139" ca="1" si="181">E127</f>
        <v>30.273840492840492</v>
      </c>
      <c r="F139" s="3">
        <f t="shared" ca="1" si="181"/>
        <v>144.91160087738351</v>
      </c>
      <c r="I139" s="47">
        <f t="shared" si="153"/>
        <v>0</v>
      </c>
      <c r="J139" s="47">
        <f t="shared" si="154"/>
        <v>138</v>
      </c>
      <c r="K139" s="47">
        <f t="shared" si="155"/>
        <v>30</v>
      </c>
      <c r="M139" s="3">
        <f t="shared" si="165"/>
        <v>-5660024.0454457896</v>
      </c>
      <c r="N139" s="3">
        <f t="shared" ca="1" si="166"/>
        <v>431898.65621158475</v>
      </c>
      <c r="O139" s="3">
        <f t="shared" ca="1" si="167"/>
        <v>13241639.709071528</v>
      </c>
      <c r="P139" s="3">
        <f t="shared" si="168"/>
        <v>0</v>
      </c>
      <c r="Q139" s="3">
        <f t="shared" si="169"/>
        <v>0</v>
      </c>
      <c r="R139" s="3">
        <f t="shared" si="170"/>
        <v>0</v>
      </c>
      <c r="S139" s="3">
        <f t="shared" si="171"/>
        <v>6540378.9632351464</v>
      </c>
      <c r="T139" s="3">
        <f t="shared" si="172"/>
        <v>24121570.877002168</v>
      </c>
      <c r="U139" s="47">
        <f t="shared" ca="1" si="156"/>
        <v>38675464.160074636</v>
      </c>
      <c r="V139" s="47">
        <f>IFERROR(HLOOKUP(B139-1,'EV Forecast WRZ'!$F$124:$T$130,2,FALSE)/12,0)+IFERROR(((HLOOKUP(B139,'EV Forecast WRZ'!$F$116:$T$122,2,FALSE)-HLOOKUP(B139-1,'EV Forecast WRZ'!$F$124:$T$130,2,FALSE)))*C139/78,0)</f>
        <v>844325.65414674056</v>
      </c>
      <c r="W139" s="47">
        <f ca="1">HLOOKUP(B139,Heating!$R$102:$AD$106,2,FALSE)*INDEX(Weather!$BO$1:$CB$20,MATCH(B139,Weather!$BO$1:$BO$20,0),MATCH(C139,Weather!$BO$1:$CB$1,0))/VLOOKUP(B139,Weather!$BO$2:$CB$20,14,FALSE)</f>
        <v>87921.030093917216</v>
      </c>
      <c r="X139" s="47">
        <f t="shared" ca="1" si="132"/>
        <v>39607710.84431529</v>
      </c>
    </row>
    <row r="140" spans="1:24">
      <c r="A140" s="2">
        <f t="shared" si="149"/>
        <v>46599</v>
      </c>
      <c r="B140">
        <f t="shared" si="150"/>
        <v>2027</v>
      </c>
      <c r="C140">
        <f t="shared" si="151"/>
        <v>7</v>
      </c>
      <c r="E140" s="3">
        <f t="shared" ref="E140:F140" ca="1" si="182">E128</f>
        <v>1.0845833333333317</v>
      </c>
      <c r="F140" s="3">
        <f t="shared" ca="1" si="182"/>
        <v>242.72508692061183</v>
      </c>
      <c r="I140" s="47">
        <f t="shared" si="153"/>
        <v>0</v>
      </c>
      <c r="J140" s="47">
        <f t="shared" si="154"/>
        <v>139</v>
      </c>
      <c r="K140" s="47">
        <f t="shared" si="155"/>
        <v>31</v>
      </c>
      <c r="M140" s="3">
        <f t="shared" si="165"/>
        <v>-5660024.0454457896</v>
      </c>
      <c r="N140" s="3">
        <f t="shared" ca="1" si="166"/>
        <v>15473.097452796814</v>
      </c>
      <c r="O140" s="3">
        <f t="shared" ca="1" si="167"/>
        <v>22179577.962673906</v>
      </c>
      <c r="P140" s="3">
        <f t="shared" si="168"/>
        <v>0</v>
      </c>
      <c r="Q140" s="3">
        <f t="shared" si="169"/>
        <v>0</v>
      </c>
      <c r="R140" s="3">
        <f t="shared" si="170"/>
        <v>0</v>
      </c>
      <c r="S140" s="3">
        <f t="shared" si="171"/>
        <v>6587773.0136933718</v>
      </c>
      <c r="T140" s="3">
        <f t="shared" si="172"/>
        <v>24925623.239568908</v>
      </c>
      <c r="U140" s="47">
        <f t="shared" ca="1" si="156"/>
        <v>48048423.267943189</v>
      </c>
      <c r="V140" s="47">
        <f>IFERROR(HLOOKUP(B140-1,'EV Forecast WRZ'!$F$124:$T$130,2,FALSE)/12,0)+IFERROR(((HLOOKUP(B140,'EV Forecast WRZ'!$F$116:$T$122,2,FALSE)-HLOOKUP(B140-1,'EV Forecast WRZ'!$F$124:$T$130,2,FALSE)))*C140/78,0)</f>
        <v>858792.09273133462</v>
      </c>
      <c r="W140" s="47">
        <f ca="1">HLOOKUP(B140,Heating!$R$102:$AD$106,2,FALSE)*INDEX(Weather!$BO$1:$CB$20,MATCH(B140,Weather!$BO$1:$BO$20,0),MATCH(C140,Weather!$BO$1:$CB$1,0))/VLOOKUP(B140,Weather!$BO$2:$CB$20,14,FALSE)</f>
        <v>3149.8376927734753</v>
      </c>
      <c r="X140" s="47">
        <f t="shared" ca="1" si="132"/>
        <v>48910365.198367298</v>
      </c>
    </row>
    <row r="141" spans="1:24">
      <c r="A141" s="2">
        <f t="shared" si="149"/>
        <v>46630</v>
      </c>
      <c r="B141">
        <f t="shared" si="150"/>
        <v>2027</v>
      </c>
      <c r="C141">
        <f t="shared" si="151"/>
        <v>8</v>
      </c>
      <c r="E141" s="3">
        <f t="shared" ref="E141:F141" ca="1" si="183">E129</f>
        <v>6.4245833333333335</v>
      </c>
      <c r="F141" s="3">
        <f t="shared" ca="1" si="183"/>
        <v>214.02558794466404</v>
      </c>
      <c r="I141" s="47">
        <f t="shared" si="153"/>
        <v>0</v>
      </c>
      <c r="J141" s="47">
        <f t="shared" si="154"/>
        <v>140</v>
      </c>
      <c r="K141" s="47">
        <f t="shared" si="155"/>
        <v>31</v>
      </c>
      <c r="M141" s="3">
        <f t="shared" si="165"/>
        <v>-5660024.0454457896</v>
      </c>
      <c r="N141" s="3">
        <f t="shared" ca="1" si="166"/>
        <v>91655.662552698588</v>
      </c>
      <c r="O141" s="3">
        <f t="shared" ca="1" si="167"/>
        <v>19557093.475790568</v>
      </c>
      <c r="P141" s="3">
        <f t="shared" si="168"/>
        <v>0</v>
      </c>
      <c r="Q141" s="3">
        <f t="shared" si="169"/>
        <v>0</v>
      </c>
      <c r="R141" s="3">
        <f t="shared" si="170"/>
        <v>0</v>
      </c>
      <c r="S141" s="3">
        <f t="shared" si="171"/>
        <v>6635167.0641515981</v>
      </c>
      <c r="T141" s="3">
        <f t="shared" si="172"/>
        <v>24925623.239568908</v>
      </c>
      <c r="U141" s="47">
        <f t="shared" ca="1" si="156"/>
        <v>45549515.396617979</v>
      </c>
      <c r="V141" s="47">
        <f>IFERROR(HLOOKUP(B141-1,'EV Forecast WRZ'!$F$124:$T$130,2,FALSE)/12,0)+IFERROR(((HLOOKUP(B141,'EV Forecast WRZ'!$F$116:$T$122,2,FALSE)-HLOOKUP(B141-1,'EV Forecast WRZ'!$F$124:$T$130,2,FALSE)))*C141/78,0)</f>
        <v>873258.53131592867</v>
      </c>
      <c r="W141" s="47">
        <f ca="1">HLOOKUP(B141,Heating!$R$102:$AD$106,2,FALSE)*INDEX(Weather!$BO$1:$CB$20,MATCH(B141,Weather!$BO$1:$BO$20,0),MATCH(C141,Weather!$BO$1:$CB$1,0))/VLOOKUP(B141,Weather!$BO$2:$CB$20,14,FALSE)</f>
        <v>18658.220278476485</v>
      </c>
      <c r="X141" s="47">
        <f t="shared" ca="1" si="132"/>
        <v>46441432.148212388</v>
      </c>
    </row>
    <row r="142" spans="1:24">
      <c r="A142" s="2">
        <f t="shared" si="149"/>
        <v>46660</v>
      </c>
      <c r="B142">
        <f t="shared" si="150"/>
        <v>2027</v>
      </c>
      <c r="C142">
        <f t="shared" si="151"/>
        <v>9</v>
      </c>
      <c r="E142" s="3">
        <f t="shared" ref="E142:F142" ca="1" si="184">E130</f>
        <v>54.412952898550728</v>
      </c>
      <c r="F142" s="3">
        <f t="shared" ca="1" si="184"/>
        <v>102.40708333333332</v>
      </c>
      <c r="I142" s="47">
        <f t="shared" si="153"/>
        <v>1</v>
      </c>
      <c r="J142" s="47">
        <f t="shared" si="154"/>
        <v>141</v>
      </c>
      <c r="K142" s="47">
        <f t="shared" si="155"/>
        <v>30</v>
      </c>
      <c r="M142" s="3">
        <f t="shared" si="165"/>
        <v>-5660024.0454457896</v>
      </c>
      <c r="N142" s="3">
        <f t="shared" ca="1" si="166"/>
        <v>776276.8401632451</v>
      </c>
      <c r="O142" s="3">
        <f t="shared" ca="1" si="167"/>
        <v>9357689.0528196599</v>
      </c>
      <c r="P142" s="3">
        <f t="shared" si="168"/>
        <v>0</v>
      </c>
      <c r="Q142" s="3">
        <f t="shared" si="169"/>
        <v>0</v>
      </c>
      <c r="R142" s="3">
        <f t="shared" si="170"/>
        <v>-701201.51304507197</v>
      </c>
      <c r="S142" s="3">
        <f t="shared" si="171"/>
        <v>6682561.1146098236</v>
      </c>
      <c r="T142" s="3">
        <f t="shared" si="172"/>
        <v>24121570.877002168</v>
      </c>
      <c r="U142" s="47">
        <f t="shared" ca="1" si="156"/>
        <v>34576872.326104037</v>
      </c>
      <c r="V142" s="47">
        <f>IFERROR(HLOOKUP(B142-1,'EV Forecast WRZ'!$F$124:$T$130,2,FALSE)/12,0)+IFERROR(((HLOOKUP(B142,'EV Forecast WRZ'!$F$116:$T$122,2,FALSE)-HLOOKUP(B142-1,'EV Forecast WRZ'!$F$124:$T$130,2,FALSE)))*C142/78,0)</f>
        <v>887724.96990052273</v>
      </c>
      <c r="W142" s="47">
        <f ca="1">HLOOKUP(B142,Heating!$R$102:$AD$106,2,FALSE)*INDEX(Weather!$BO$1:$CB$20,MATCH(B142,Weather!$BO$1:$BO$20,0),MATCH(C142,Weather!$BO$1:$CB$1,0))/VLOOKUP(B142,Weather!$BO$2:$CB$20,14,FALSE)</f>
        <v>158025.63505029251</v>
      </c>
      <c r="X142" s="47">
        <f t="shared" ca="1" si="132"/>
        <v>35622622.931054853</v>
      </c>
    </row>
    <row r="143" spans="1:24">
      <c r="A143" s="2">
        <f t="shared" si="149"/>
        <v>46691</v>
      </c>
      <c r="B143">
        <f t="shared" si="150"/>
        <v>2027</v>
      </c>
      <c r="C143">
        <f t="shared" si="151"/>
        <v>10</v>
      </c>
      <c r="E143" s="3">
        <f t="shared" ref="E143:F143" ca="1" si="185">E131</f>
        <v>232.21431159420285</v>
      </c>
      <c r="F143" s="3">
        <f t="shared" ca="1" si="185"/>
        <v>19.741250000000004</v>
      </c>
      <c r="I143" s="47">
        <f t="shared" si="153"/>
        <v>1</v>
      </c>
      <c r="J143" s="47">
        <f t="shared" si="154"/>
        <v>142</v>
      </c>
      <c r="K143" s="47">
        <f t="shared" si="155"/>
        <v>31</v>
      </c>
      <c r="M143" s="3">
        <f t="shared" si="165"/>
        <v>-5660024.0454457896</v>
      </c>
      <c r="N143" s="3">
        <f t="shared" ca="1" si="166"/>
        <v>3312861.7809277582</v>
      </c>
      <c r="O143" s="3">
        <f t="shared" ca="1" si="167"/>
        <v>1803903.3336461217</v>
      </c>
      <c r="P143" s="3">
        <f t="shared" si="168"/>
        <v>0</v>
      </c>
      <c r="Q143" s="3">
        <f t="shared" si="169"/>
        <v>0</v>
      </c>
      <c r="R143" s="3">
        <f t="shared" si="170"/>
        <v>-701201.51304507197</v>
      </c>
      <c r="S143" s="3">
        <f t="shared" si="171"/>
        <v>6729955.165068049</v>
      </c>
      <c r="T143" s="3">
        <f t="shared" si="172"/>
        <v>24925623.239568908</v>
      </c>
      <c r="U143" s="47">
        <f t="shared" ca="1" si="156"/>
        <v>30411117.960719973</v>
      </c>
      <c r="V143" s="47">
        <f>IFERROR(HLOOKUP(B143-1,'EV Forecast WRZ'!$F$124:$T$130,2,FALSE)/12,0)+IFERROR(((HLOOKUP(B143,'EV Forecast WRZ'!$F$116:$T$122,2,FALSE)-HLOOKUP(B143-1,'EV Forecast WRZ'!$F$124:$T$130,2,FALSE)))*C143/78,0)</f>
        <v>902191.40848511679</v>
      </c>
      <c r="W143" s="47">
        <f ca="1">HLOOKUP(B143,Heating!$R$102:$AD$106,2,FALSE)*INDEX(Weather!$BO$1:$CB$20,MATCH(B143,Weather!$BO$1:$BO$20,0),MATCH(C143,Weather!$BO$1:$CB$1,0))/VLOOKUP(B143,Weather!$BO$2:$CB$20,14,FALSE)</f>
        <v>674394.8288536605</v>
      </c>
      <c r="X143" s="47">
        <f t="shared" ca="1" si="132"/>
        <v>31987704.19805875</v>
      </c>
    </row>
    <row r="144" spans="1:24">
      <c r="A144" s="2">
        <f t="shared" si="149"/>
        <v>46721</v>
      </c>
      <c r="B144">
        <f t="shared" si="150"/>
        <v>2027</v>
      </c>
      <c r="C144">
        <f t="shared" si="151"/>
        <v>11</v>
      </c>
      <c r="E144" s="3">
        <f t="shared" ref="E144:F144" ca="1" si="186">E132</f>
        <v>435.51408055712398</v>
      </c>
      <c r="F144" s="3">
        <f t="shared" ca="1" si="186"/>
        <v>0.78124999999999944</v>
      </c>
      <c r="I144" s="47">
        <f t="shared" si="153"/>
        <v>1</v>
      </c>
      <c r="J144" s="47">
        <f t="shared" si="154"/>
        <v>143</v>
      </c>
      <c r="K144" s="47">
        <f t="shared" si="155"/>
        <v>30</v>
      </c>
      <c r="M144" s="3">
        <f t="shared" si="165"/>
        <v>-5660024.0454457896</v>
      </c>
      <c r="N144" s="3">
        <f t="shared" ca="1" si="166"/>
        <v>6213217.1898814524</v>
      </c>
      <c r="O144" s="3">
        <f t="shared" ca="1" si="167"/>
        <v>71388.563510974796</v>
      </c>
      <c r="P144" s="3">
        <f t="shared" si="168"/>
        <v>0</v>
      </c>
      <c r="Q144" s="3">
        <f t="shared" si="169"/>
        <v>0</v>
      </c>
      <c r="R144" s="3">
        <f t="shared" si="170"/>
        <v>-701201.51304507197</v>
      </c>
      <c r="S144" s="3">
        <f t="shared" si="171"/>
        <v>6777349.2155262744</v>
      </c>
      <c r="T144" s="3">
        <f t="shared" si="172"/>
        <v>24121570.877002168</v>
      </c>
      <c r="U144" s="47">
        <f t="shared" ca="1" si="156"/>
        <v>30822300.287430011</v>
      </c>
      <c r="V144" s="47">
        <f>IFERROR(HLOOKUP(B144-1,'EV Forecast WRZ'!$F$124:$T$130,2,FALSE)/12,0)+IFERROR(((HLOOKUP(B144,'EV Forecast WRZ'!$F$116:$T$122,2,FALSE)-HLOOKUP(B144-1,'EV Forecast WRZ'!$F$124:$T$130,2,FALSE)))*C144/78,0)</f>
        <v>916657.84706971084</v>
      </c>
      <c r="W144" s="47">
        <f ca="1">HLOOKUP(B144,Heating!$R$102:$AD$106,2,FALSE)*INDEX(Weather!$BO$1:$CB$20,MATCH(B144,Weather!$BO$1:$BO$20,0),MATCH(C144,Weather!$BO$1:$CB$1,0))/VLOOKUP(B144,Weather!$BO$2:$CB$20,14,FALSE)</f>
        <v>1264816.2889027263</v>
      </c>
      <c r="X144" s="47">
        <f t="shared" ca="1" si="132"/>
        <v>33003774.423402447</v>
      </c>
    </row>
    <row r="145" spans="1:24">
      <c r="A145" s="2">
        <f t="shared" si="149"/>
        <v>46752</v>
      </c>
      <c r="B145">
        <f t="shared" si="150"/>
        <v>2027</v>
      </c>
      <c r="C145">
        <f t="shared" si="151"/>
        <v>12</v>
      </c>
      <c r="E145" s="3">
        <f t="shared" ref="E145:F145" ca="1" si="187">E133</f>
        <v>602.38541666666674</v>
      </c>
      <c r="F145" s="3">
        <f t="shared" ca="1" si="187"/>
        <v>0</v>
      </c>
      <c r="I145" s="47">
        <f t="shared" si="153"/>
        <v>0</v>
      </c>
      <c r="J145" s="47">
        <f t="shared" si="154"/>
        <v>144</v>
      </c>
      <c r="K145" s="47">
        <f t="shared" si="155"/>
        <v>31</v>
      </c>
      <c r="M145" s="3">
        <f t="shared" si="165"/>
        <v>-5660024.0454457896</v>
      </c>
      <c r="N145" s="3">
        <f t="shared" ca="1" si="166"/>
        <v>8593870.0787340421</v>
      </c>
      <c r="O145" s="3">
        <f t="shared" ca="1" si="167"/>
        <v>0</v>
      </c>
      <c r="P145" s="3">
        <f t="shared" si="168"/>
        <v>0</v>
      </c>
      <c r="Q145" s="3">
        <f t="shared" si="169"/>
        <v>0</v>
      </c>
      <c r="R145" s="3">
        <f t="shared" si="170"/>
        <v>0</v>
      </c>
      <c r="S145" s="3">
        <f t="shared" si="171"/>
        <v>6824743.2659845008</v>
      </c>
      <c r="T145" s="3">
        <f t="shared" si="172"/>
        <v>24925623.239568908</v>
      </c>
      <c r="U145" s="47">
        <f t="shared" ca="1" si="156"/>
        <v>34684212.538841665</v>
      </c>
      <c r="V145" s="47">
        <f>IFERROR(HLOOKUP(B145-1,'EV Forecast WRZ'!$F$124:$T$130,2,FALSE)/12,0)+IFERROR(((HLOOKUP(B145,'EV Forecast WRZ'!$F$116:$T$122,2,FALSE)-HLOOKUP(B145-1,'EV Forecast WRZ'!$F$124:$T$130,2,FALSE)))*C145/78,0)</f>
        <v>931124.2856543049</v>
      </c>
      <c r="W145" s="47">
        <f ca="1">HLOOKUP(B145,Heating!$R$102:$AD$106,2,FALSE)*INDEX(Weather!$BO$1:$CB$20,MATCH(B145,Weather!$BO$1:$BO$20,0),MATCH(C145,Weather!$BO$1:$CB$1,0))/VLOOKUP(B145,Weather!$BO$2:$CB$20,14,FALSE)</f>
        <v>1749442.604066439</v>
      </c>
      <c r="X145" s="47">
        <f t="shared" ca="1" si="132"/>
        <v>37364779.42856241</v>
      </c>
    </row>
    <row r="146" spans="1:24">
      <c r="A146" s="2">
        <f t="shared" si="149"/>
        <v>46783</v>
      </c>
      <c r="B146">
        <f t="shared" si="150"/>
        <v>2028</v>
      </c>
      <c r="C146">
        <f t="shared" si="151"/>
        <v>1</v>
      </c>
      <c r="E146" s="3">
        <f t="shared" ref="E146:F146" ca="1" si="188">E134</f>
        <v>690.78750000000002</v>
      </c>
      <c r="F146" s="3">
        <f t="shared" ca="1" si="188"/>
        <v>0</v>
      </c>
      <c r="I146" s="47">
        <f t="shared" si="153"/>
        <v>0</v>
      </c>
      <c r="J146" s="47">
        <f t="shared" si="154"/>
        <v>145</v>
      </c>
      <c r="K146" s="47">
        <f t="shared" si="155"/>
        <v>31</v>
      </c>
      <c r="M146" s="3">
        <f t="shared" si="165"/>
        <v>-5660024.0454457896</v>
      </c>
      <c r="N146" s="3">
        <f t="shared" ca="1" si="166"/>
        <v>9855049.3799528815</v>
      </c>
      <c r="O146" s="3">
        <f t="shared" ca="1" si="167"/>
        <v>0</v>
      </c>
      <c r="P146" s="3">
        <f t="shared" si="168"/>
        <v>0</v>
      </c>
      <c r="Q146" s="3">
        <f t="shared" si="169"/>
        <v>0</v>
      </c>
      <c r="R146" s="3">
        <f t="shared" si="170"/>
        <v>0</v>
      </c>
      <c r="S146" s="3">
        <f t="shared" si="171"/>
        <v>6872137.3164427262</v>
      </c>
      <c r="T146" s="3">
        <f t="shared" si="172"/>
        <v>24925623.239568908</v>
      </c>
      <c r="U146" s="47">
        <f t="shared" ca="1" si="156"/>
        <v>35992785.890518725</v>
      </c>
      <c r="V146" s="47">
        <f>IFERROR(HLOOKUP(B146-1,'EV Forecast WRZ'!$F$124:$T$130,2,FALSE)/12,0)+IFERROR(((HLOOKUP(B146,'EV Forecast WRZ'!$F$116:$T$122,2,FALSE)-HLOOKUP(B146-1,'EV Forecast WRZ'!$F$124:$T$130,2,FALSE)))*C146/78,0)</f>
        <v>974827.28634138359</v>
      </c>
      <c r="W146" s="47">
        <f ca="1">HLOOKUP(B146,Heating!$R$102:$AD$106,2,FALSE)*INDEX(Weather!$BO$1:$CB$20,MATCH(B146,Weather!$BO$1:$BO$20,0),MATCH(C146,Weather!$BO$1:$CB$1,0))/VLOOKUP(B146,Weather!$BO$2:$CB$20,14,FALSE)</f>
        <v>2314975.1828698921</v>
      </c>
      <c r="X146" s="47">
        <f t="shared" ca="1" si="132"/>
        <v>39282588.359729998</v>
      </c>
    </row>
    <row r="147" spans="1:24">
      <c r="A147" s="2">
        <f t="shared" si="149"/>
        <v>46812</v>
      </c>
      <c r="B147">
        <f t="shared" si="150"/>
        <v>2028</v>
      </c>
      <c r="C147">
        <f t="shared" si="151"/>
        <v>2</v>
      </c>
      <c r="E147" s="3">
        <f t="shared" ref="E147:F147" ca="1" si="189">E135</f>
        <v>604.19541666666657</v>
      </c>
      <c r="F147" s="3">
        <f t="shared" ca="1" si="189"/>
        <v>0</v>
      </c>
      <c r="I147" s="47">
        <f t="shared" si="153"/>
        <v>0</v>
      </c>
      <c r="J147" s="47">
        <f t="shared" si="154"/>
        <v>146</v>
      </c>
      <c r="K147" s="47">
        <f t="shared" si="155"/>
        <v>28</v>
      </c>
      <c r="M147" s="3">
        <f t="shared" si="165"/>
        <v>-5660024.0454457896</v>
      </c>
      <c r="N147" s="3">
        <f t="shared" ca="1" si="166"/>
        <v>8619692.2590394374</v>
      </c>
      <c r="O147" s="3">
        <f t="shared" ca="1" si="167"/>
        <v>0</v>
      </c>
      <c r="P147" s="3">
        <f t="shared" si="168"/>
        <v>0</v>
      </c>
      <c r="Q147" s="3">
        <f t="shared" si="169"/>
        <v>0</v>
      </c>
      <c r="R147" s="3">
        <f t="shared" si="170"/>
        <v>0</v>
      </c>
      <c r="S147" s="3">
        <f t="shared" si="171"/>
        <v>6919531.3669009516</v>
      </c>
      <c r="T147" s="3">
        <f t="shared" si="172"/>
        <v>22513466.15186869</v>
      </c>
      <c r="U147" s="47">
        <f t="shared" ca="1" si="156"/>
        <v>32392665.732363291</v>
      </c>
      <c r="V147" s="47">
        <f>IFERROR(HLOOKUP(B147-1,'EV Forecast WRZ'!$F$124:$T$130,2,FALSE)/12,0)+IFERROR(((HLOOKUP(B147,'EV Forecast WRZ'!$F$116:$T$122,2,FALSE)-HLOOKUP(B147-1,'EV Forecast WRZ'!$F$124:$T$130,2,FALSE)))*C147/78,0)</f>
        <v>990898.71844386833</v>
      </c>
      <c r="W147" s="47">
        <f ca="1">HLOOKUP(B147,Heating!$R$102:$AD$106,2,FALSE)*INDEX(Weather!$BO$1:$CB$20,MATCH(B147,Weather!$BO$1:$BO$20,0),MATCH(C147,Weather!$BO$1:$CB$1,0))/VLOOKUP(B147,Weather!$BO$2:$CB$20,14,FALSE)</f>
        <v>2024786.7762330193</v>
      </c>
      <c r="X147" s="47">
        <f t="shared" ca="1" si="132"/>
        <v>35408351.227040179</v>
      </c>
    </row>
    <row r="148" spans="1:24">
      <c r="A148" s="2">
        <f t="shared" si="149"/>
        <v>46843</v>
      </c>
      <c r="B148">
        <f t="shared" si="150"/>
        <v>2028</v>
      </c>
      <c r="C148">
        <f t="shared" si="151"/>
        <v>3</v>
      </c>
      <c r="E148" s="3">
        <f t="shared" ref="E148:F148" ca="1" si="190">E136</f>
        <v>534.21590579710141</v>
      </c>
      <c r="F148" s="3">
        <f t="shared" ca="1" si="190"/>
        <v>0</v>
      </c>
      <c r="I148" s="47">
        <f t="shared" si="153"/>
        <v>1</v>
      </c>
      <c r="J148" s="47">
        <f t="shared" si="154"/>
        <v>147</v>
      </c>
      <c r="K148" s="47">
        <f t="shared" si="155"/>
        <v>31</v>
      </c>
      <c r="M148" s="3">
        <f t="shared" si="165"/>
        <v>-5660024.0454457896</v>
      </c>
      <c r="N148" s="3">
        <f t="shared" ca="1" si="166"/>
        <v>7621336.7080132328</v>
      </c>
      <c r="O148" s="3">
        <f t="shared" ca="1" si="167"/>
        <v>0</v>
      </c>
      <c r="P148" s="3">
        <f t="shared" si="168"/>
        <v>0</v>
      </c>
      <c r="Q148" s="3">
        <f t="shared" si="169"/>
        <v>0</v>
      </c>
      <c r="R148" s="3">
        <f t="shared" si="170"/>
        <v>-701201.51304507197</v>
      </c>
      <c r="S148" s="3">
        <f t="shared" si="171"/>
        <v>6966925.417359178</v>
      </c>
      <c r="T148" s="3">
        <f t="shared" si="172"/>
        <v>24925623.239568908</v>
      </c>
      <c r="U148" s="47">
        <f t="shared" ca="1" si="156"/>
        <v>33152659.806450456</v>
      </c>
      <c r="V148" s="47">
        <f>IFERROR(HLOOKUP(B148-1,'EV Forecast WRZ'!$F$124:$T$130,2,FALSE)/12,0)+IFERROR(((HLOOKUP(B148,'EV Forecast WRZ'!$F$116:$T$122,2,FALSE)-HLOOKUP(B148-1,'EV Forecast WRZ'!$F$124:$T$130,2,FALSE)))*C148/78,0)</f>
        <v>1006970.1505463532</v>
      </c>
      <c r="W148" s="47">
        <f ca="1">HLOOKUP(B148,Heating!$R$102:$AD$106,2,FALSE)*INDEX(Weather!$BO$1:$CB$20,MATCH(B148,Weather!$BO$1:$BO$20,0),MATCH(C148,Weather!$BO$1:$CB$1,0))/VLOOKUP(B148,Weather!$BO$2:$CB$20,14,FALSE)</f>
        <v>1790270.6175410671</v>
      </c>
      <c r="X148" s="47">
        <f t="shared" ca="1" si="132"/>
        <v>35949900.574537873</v>
      </c>
    </row>
    <row r="149" spans="1:24">
      <c r="A149" s="2">
        <f t="shared" si="149"/>
        <v>46873</v>
      </c>
      <c r="B149">
        <f t="shared" si="150"/>
        <v>2028</v>
      </c>
      <c r="C149">
        <f t="shared" si="151"/>
        <v>4</v>
      </c>
      <c r="E149" s="3">
        <f t="shared" ref="E149:F149" ca="1" si="191">E137</f>
        <v>352.92312500000003</v>
      </c>
      <c r="F149" s="3">
        <f t="shared" ca="1" si="191"/>
        <v>2.2025000000000015</v>
      </c>
      <c r="I149" s="47">
        <f t="shared" si="153"/>
        <v>1</v>
      </c>
      <c r="J149" s="47">
        <f t="shared" si="154"/>
        <v>148</v>
      </c>
      <c r="K149" s="47">
        <f t="shared" si="155"/>
        <v>30</v>
      </c>
      <c r="M149" s="3">
        <f t="shared" si="165"/>
        <v>-5660024.0454457896</v>
      </c>
      <c r="N149" s="3">
        <f t="shared" ca="1" si="166"/>
        <v>5034941.7501073536</v>
      </c>
      <c r="O149" s="3">
        <f t="shared" ca="1" si="167"/>
        <v>201258.63825014042</v>
      </c>
      <c r="P149" s="3">
        <f t="shared" si="168"/>
        <v>0</v>
      </c>
      <c r="Q149" s="3">
        <f t="shared" si="169"/>
        <v>0</v>
      </c>
      <c r="R149" s="3">
        <f t="shared" si="170"/>
        <v>-701201.51304507197</v>
      </c>
      <c r="S149" s="3">
        <f t="shared" si="171"/>
        <v>7014319.4678174034</v>
      </c>
      <c r="T149" s="3">
        <f t="shared" si="172"/>
        <v>24121570.877002168</v>
      </c>
      <c r="U149" s="47">
        <f t="shared" ca="1" si="156"/>
        <v>30010865.174686205</v>
      </c>
      <c r="V149" s="47">
        <f>IFERROR(HLOOKUP(B149-1,'EV Forecast WRZ'!$F$124:$T$130,2,FALSE)/12,0)+IFERROR(((HLOOKUP(B149,'EV Forecast WRZ'!$F$116:$T$122,2,FALSE)-HLOOKUP(B149-1,'EV Forecast WRZ'!$F$124:$T$130,2,FALSE)))*C149/78,0)</f>
        <v>1023041.5826488379</v>
      </c>
      <c r="W149" s="47">
        <f ca="1">HLOOKUP(B149,Heating!$R$102:$AD$106,2,FALSE)*INDEX(Weather!$BO$1:$CB$20,MATCH(B149,Weather!$BO$1:$BO$20,0),MATCH(C149,Weather!$BO$1:$CB$1,0))/VLOOKUP(B149,Weather!$BO$2:$CB$20,14,FALSE)</f>
        <v>1182720.121362776</v>
      </c>
      <c r="X149" s="47">
        <f t="shared" ca="1" si="132"/>
        <v>32216626.87869782</v>
      </c>
    </row>
    <row r="150" spans="1:24">
      <c r="A150" s="2">
        <f t="shared" si="149"/>
        <v>46904</v>
      </c>
      <c r="B150">
        <f t="shared" si="150"/>
        <v>2028</v>
      </c>
      <c r="C150">
        <f t="shared" si="151"/>
        <v>5</v>
      </c>
      <c r="E150" s="3">
        <f t="shared" ref="E150:F150" ca="1" si="192">E138</f>
        <v>155.24720841877425</v>
      </c>
      <c r="F150" s="3">
        <f t="shared" ca="1" si="192"/>
        <v>48.940113636363641</v>
      </c>
      <c r="I150" s="47">
        <f t="shared" si="153"/>
        <v>1</v>
      </c>
      <c r="J150" s="47">
        <f t="shared" si="154"/>
        <v>149</v>
      </c>
      <c r="K150" s="47">
        <f t="shared" si="155"/>
        <v>31</v>
      </c>
      <c r="M150" s="3">
        <f t="shared" si="165"/>
        <v>-5660024.0454457896</v>
      </c>
      <c r="N150" s="3">
        <f t="shared" ca="1" si="166"/>
        <v>2214818.4572923756</v>
      </c>
      <c r="O150" s="3">
        <f t="shared" ca="1" si="167"/>
        <v>4472018.4455217561</v>
      </c>
      <c r="P150" s="3">
        <f t="shared" si="168"/>
        <v>0</v>
      </c>
      <c r="Q150" s="3">
        <f t="shared" si="169"/>
        <v>0</v>
      </c>
      <c r="R150" s="3">
        <f t="shared" si="170"/>
        <v>-701201.51304507197</v>
      </c>
      <c r="S150" s="3">
        <f t="shared" si="171"/>
        <v>7061713.5182756288</v>
      </c>
      <c r="T150" s="3">
        <f t="shared" si="172"/>
        <v>24925623.239568908</v>
      </c>
      <c r="U150" s="47">
        <f t="shared" ca="1" si="156"/>
        <v>32312948.102167808</v>
      </c>
      <c r="V150" s="47">
        <f>IFERROR(HLOOKUP(B150-1,'EV Forecast WRZ'!$F$124:$T$130,2,FALSE)/12,0)+IFERROR(((HLOOKUP(B150,'EV Forecast WRZ'!$F$116:$T$122,2,FALSE)-HLOOKUP(B150-1,'EV Forecast WRZ'!$F$124:$T$130,2,FALSE)))*C150/78,0)</f>
        <v>1039113.0147513227</v>
      </c>
      <c r="W150" s="47">
        <f ca="1">HLOOKUP(B150,Heating!$R$102:$AD$106,2,FALSE)*INDEX(Weather!$BO$1:$CB$20,MATCH(B150,Weather!$BO$1:$BO$20,0),MATCH(C150,Weather!$BO$1:$CB$1,0))/VLOOKUP(B150,Weather!$BO$2:$CB$20,14,FALSE)</f>
        <v>520266.26813497947</v>
      </c>
      <c r="X150" s="47">
        <f t="shared" ca="1" si="132"/>
        <v>33872327.385054111</v>
      </c>
    </row>
    <row r="151" spans="1:24">
      <c r="A151" s="2">
        <f t="shared" si="149"/>
        <v>46934</v>
      </c>
      <c r="B151">
        <f t="shared" si="150"/>
        <v>2028</v>
      </c>
      <c r="C151">
        <f t="shared" si="151"/>
        <v>6</v>
      </c>
      <c r="E151" s="3">
        <f t="shared" ref="E151:F151" ca="1" si="193">E139</f>
        <v>30.273840492840492</v>
      </c>
      <c r="F151" s="3">
        <f t="shared" ca="1" si="193"/>
        <v>144.91160087738351</v>
      </c>
      <c r="I151" s="47">
        <f t="shared" si="153"/>
        <v>0</v>
      </c>
      <c r="J151" s="47">
        <f t="shared" si="154"/>
        <v>150</v>
      </c>
      <c r="K151" s="47">
        <f t="shared" si="155"/>
        <v>30</v>
      </c>
      <c r="M151" s="3">
        <f t="shared" si="165"/>
        <v>-5660024.0454457896</v>
      </c>
      <c r="N151" s="3">
        <f t="shared" ca="1" si="166"/>
        <v>431898.65621158475</v>
      </c>
      <c r="O151" s="3">
        <f t="shared" ca="1" si="167"/>
        <v>13241639.709071528</v>
      </c>
      <c r="P151" s="3">
        <f t="shared" si="168"/>
        <v>0</v>
      </c>
      <c r="Q151" s="3">
        <f t="shared" si="169"/>
        <v>0</v>
      </c>
      <c r="R151" s="3">
        <f t="shared" si="170"/>
        <v>0</v>
      </c>
      <c r="S151" s="3">
        <f t="shared" si="171"/>
        <v>7109107.5687338552</v>
      </c>
      <c r="T151" s="3">
        <f t="shared" si="172"/>
        <v>24121570.877002168</v>
      </c>
      <c r="U151" s="47">
        <f t="shared" ca="1" si="156"/>
        <v>39244192.765573345</v>
      </c>
      <c r="V151" s="47">
        <f>IFERROR(HLOOKUP(B151-1,'EV Forecast WRZ'!$F$124:$T$130,2,FALSE)/12,0)+IFERROR(((HLOOKUP(B151,'EV Forecast WRZ'!$F$116:$T$122,2,FALSE)-HLOOKUP(B151-1,'EV Forecast WRZ'!$F$124:$T$130,2,FALSE)))*C151/78,0)</f>
        <v>1055184.4468538074</v>
      </c>
      <c r="W151" s="47">
        <f ca="1">HLOOKUP(B151,Heating!$R$102:$AD$106,2,FALSE)*INDEX(Weather!$BO$1:$CB$20,MATCH(B151,Weather!$BO$1:$BO$20,0),MATCH(C151,Weather!$BO$1:$CB$1,0))/VLOOKUP(B151,Weather!$BO$2:$CB$20,14,FALSE)</f>
        <v>101454.04980704971</v>
      </c>
      <c r="X151" s="47">
        <f t="shared" ca="1" si="132"/>
        <v>40400831.262234204</v>
      </c>
    </row>
    <row r="152" spans="1:24">
      <c r="A152" s="2">
        <f t="shared" si="149"/>
        <v>46965</v>
      </c>
      <c r="B152">
        <f t="shared" si="150"/>
        <v>2028</v>
      </c>
      <c r="C152">
        <f t="shared" si="151"/>
        <v>7</v>
      </c>
      <c r="E152" s="3">
        <f t="shared" ref="E152:F152" ca="1" si="194">E140</f>
        <v>1.0845833333333317</v>
      </c>
      <c r="F152" s="3">
        <f t="shared" ca="1" si="194"/>
        <v>242.72508692061183</v>
      </c>
      <c r="I152" s="47">
        <f t="shared" si="153"/>
        <v>0</v>
      </c>
      <c r="J152" s="47">
        <f t="shared" si="154"/>
        <v>151</v>
      </c>
      <c r="K152" s="47">
        <f t="shared" si="155"/>
        <v>31</v>
      </c>
      <c r="M152" s="3">
        <f t="shared" si="165"/>
        <v>-5660024.0454457896</v>
      </c>
      <c r="N152" s="3">
        <f t="shared" ca="1" si="166"/>
        <v>15473.097452796814</v>
      </c>
      <c r="O152" s="3">
        <f t="shared" ca="1" si="167"/>
        <v>22179577.962673906</v>
      </c>
      <c r="P152" s="3">
        <f t="shared" si="168"/>
        <v>0</v>
      </c>
      <c r="Q152" s="3">
        <f t="shared" si="169"/>
        <v>0</v>
      </c>
      <c r="R152" s="3">
        <f t="shared" si="170"/>
        <v>0</v>
      </c>
      <c r="S152" s="3">
        <f t="shared" si="171"/>
        <v>7156501.6191920806</v>
      </c>
      <c r="T152" s="3">
        <f t="shared" si="172"/>
        <v>24925623.239568908</v>
      </c>
      <c r="U152" s="47">
        <f t="shared" ca="1" si="156"/>
        <v>48617151.873441905</v>
      </c>
      <c r="V152" s="47">
        <f>IFERROR(HLOOKUP(B152-1,'EV Forecast WRZ'!$F$124:$T$130,2,FALSE)/12,0)+IFERROR(((HLOOKUP(B152,'EV Forecast WRZ'!$F$116:$T$122,2,FALSE)-HLOOKUP(B152-1,'EV Forecast WRZ'!$F$124:$T$130,2,FALSE)))*C152/78,0)</f>
        <v>1071255.8789562923</v>
      </c>
      <c r="W152" s="47">
        <f ca="1">HLOOKUP(B152,Heating!$R$102:$AD$106,2,FALSE)*INDEX(Weather!$BO$1:$CB$20,MATCH(B152,Weather!$BO$1:$BO$20,0),MATCH(C152,Weather!$BO$1:$CB$1,0))/VLOOKUP(B152,Weather!$BO$2:$CB$20,14,FALSE)</f>
        <v>3634.6684044238882</v>
      </c>
      <c r="X152" s="47">
        <f t="shared" ca="1" si="132"/>
        <v>49692042.420802623</v>
      </c>
    </row>
    <row r="153" spans="1:24">
      <c r="A153" s="2">
        <f t="shared" si="149"/>
        <v>46996</v>
      </c>
      <c r="B153">
        <f t="shared" si="150"/>
        <v>2028</v>
      </c>
      <c r="C153">
        <f t="shared" si="151"/>
        <v>8</v>
      </c>
      <c r="E153" s="3">
        <f t="shared" ref="E153:F153" ca="1" si="195">E141</f>
        <v>6.4245833333333335</v>
      </c>
      <c r="F153" s="3">
        <f t="shared" ca="1" si="195"/>
        <v>214.02558794466404</v>
      </c>
      <c r="I153" s="47">
        <f t="shared" si="153"/>
        <v>0</v>
      </c>
      <c r="J153" s="47">
        <f t="shared" si="154"/>
        <v>152</v>
      </c>
      <c r="K153" s="47">
        <f t="shared" si="155"/>
        <v>31</v>
      </c>
      <c r="M153" s="3">
        <f t="shared" si="165"/>
        <v>-5660024.0454457896</v>
      </c>
      <c r="N153" s="3">
        <f t="shared" ca="1" si="166"/>
        <v>91655.662552698588</v>
      </c>
      <c r="O153" s="3">
        <f t="shared" ca="1" si="167"/>
        <v>19557093.475790568</v>
      </c>
      <c r="P153" s="3">
        <f t="shared" si="168"/>
        <v>0</v>
      </c>
      <c r="Q153" s="3">
        <f t="shared" si="169"/>
        <v>0</v>
      </c>
      <c r="R153" s="3">
        <f t="shared" si="170"/>
        <v>0</v>
      </c>
      <c r="S153" s="3">
        <f t="shared" si="171"/>
        <v>7203895.669650306</v>
      </c>
      <c r="T153" s="3">
        <f t="shared" si="172"/>
        <v>24925623.239568908</v>
      </c>
      <c r="U153" s="47">
        <f t="shared" ca="1" si="156"/>
        <v>46118244.002116695</v>
      </c>
      <c r="V153" s="47">
        <f>IFERROR(HLOOKUP(B153-1,'EV Forecast WRZ'!$F$124:$T$130,2,FALSE)/12,0)+IFERROR(((HLOOKUP(B153,'EV Forecast WRZ'!$F$116:$T$122,2,FALSE)-HLOOKUP(B153-1,'EV Forecast WRZ'!$F$124:$T$130,2,FALSE)))*C153/78,0)</f>
        <v>1087327.3110587769</v>
      </c>
      <c r="W153" s="47">
        <f ca="1">HLOOKUP(B153,Heating!$R$102:$AD$106,2,FALSE)*INDEX(Weather!$BO$1:$CB$20,MATCH(B153,Weather!$BO$1:$BO$20,0),MATCH(C153,Weather!$BO$1:$CB$1,0))/VLOOKUP(B153,Weather!$BO$2:$CB$20,14,FALSE)</f>
        <v>21530.139119405307</v>
      </c>
      <c r="X153" s="47">
        <f t="shared" ca="1" si="132"/>
        <v>47227101.452294879</v>
      </c>
    </row>
    <row r="154" spans="1:24">
      <c r="A154" s="2">
        <f t="shared" si="149"/>
        <v>47026</v>
      </c>
      <c r="B154">
        <f t="shared" si="150"/>
        <v>2028</v>
      </c>
      <c r="C154">
        <f t="shared" si="151"/>
        <v>9</v>
      </c>
      <c r="E154" s="3">
        <f t="shared" ref="E154:F154" ca="1" si="196">E142</f>
        <v>54.412952898550728</v>
      </c>
      <c r="F154" s="3">
        <f t="shared" ca="1" si="196"/>
        <v>102.40708333333332</v>
      </c>
      <c r="I154" s="47">
        <f t="shared" si="153"/>
        <v>1</v>
      </c>
      <c r="J154" s="47">
        <f t="shared" si="154"/>
        <v>153</v>
      </c>
      <c r="K154" s="47">
        <f t="shared" si="155"/>
        <v>30</v>
      </c>
      <c r="M154" s="3">
        <f t="shared" si="165"/>
        <v>-5660024.0454457896</v>
      </c>
      <c r="N154" s="3">
        <f t="shared" ca="1" si="166"/>
        <v>776276.8401632451</v>
      </c>
      <c r="O154" s="3">
        <f t="shared" ca="1" si="167"/>
        <v>9357689.0528196599</v>
      </c>
      <c r="P154" s="3">
        <f t="shared" si="168"/>
        <v>0</v>
      </c>
      <c r="Q154" s="3">
        <f t="shared" si="169"/>
        <v>0</v>
      </c>
      <c r="R154" s="3">
        <f t="shared" si="170"/>
        <v>-701201.51304507197</v>
      </c>
      <c r="S154" s="3">
        <f t="shared" si="171"/>
        <v>7251289.7201085314</v>
      </c>
      <c r="T154" s="3">
        <f t="shared" si="172"/>
        <v>24121570.877002168</v>
      </c>
      <c r="U154" s="47">
        <f t="shared" ca="1" si="156"/>
        <v>35145600.931602746</v>
      </c>
      <c r="V154" s="47">
        <f>IFERROR(HLOOKUP(B154-1,'EV Forecast WRZ'!$F$124:$T$130,2,FALSE)/12,0)+IFERROR(((HLOOKUP(B154,'EV Forecast WRZ'!$F$116:$T$122,2,FALSE)-HLOOKUP(B154-1,'EV Forecast WRZ'!$F$124:$T$130,2,FALSE)))*C154/78,0)</f>
        <v>1103398.7431612618</v>
      </c>
      <c r="W154" s="47">
        <f ca="1">HLOOKUP(B154,Heating!$R$102:$AD$106,2,FALSE)*INDEX(Weather!$BO$1:$CB$20,MATCH(B154,Weather!$BO$1:$BO$20,0),MATCH(C154,Weather!$BO$1:$CB$1,0))/VLOOKUP(B154,Weather!$BO$2:$CB$20,14,FALSE)</f>
        <v>182349.32679993962</v>
      </c>
      <c r="X154" s="47">
        <f t="shared" ca="1" si="132"/>
        <v>36431349.001563944</v>
      </c>
    </row>
    <row r="155" spans="1:24">
      <c r="A155" s="2">
        <f t="shared" si="149"/>
        <v>47057</v>
      </c>
      <c r="B155">
        <f t="shared" si="150"/>
        <v>2028</v>
      </c>
      <c r="C155">
        <f t="shared" si="151"/>
        <v>10</v>
      </c>
      <c r="E155" s="3">
        <f t="shared" ref="E155:F155" ca="1" si="197">E143</f>
        <v>232.21431159420285</v>
      </c>
      <c r="F155" s="3">
        <f t="shared" ca="1" si="197"/>
        <v>19.741250000000004</v>
      </c>
      <c r="I155" s="47">
        <f t="shared" si="153"/>
        <v>1</v>
      </c>
      <c r="J155" s="47">
        <f t="shared" si="154"/>
        <v>154</v>
      </c>
      <c r="K155" s="47">
        <f t="shared" si="155"/>
        <v>31</v>
      </c>
      <c r="M155" s="3">
        <f t="shared" si="165"/>
        <v>-5660024.0454457896</v>
      </c>
      <c r="N155" s="3">
        <f t="shared" ca="1" si="166"/>
        <v>3312861.7809277582</v>
      </c>
      <c r="O155" s="3">
        <f t="shared" ca="1" si="167"/>
        <v>1803903.3336461217</v>
      </c>
      <c r="P155" s="3">
        <f t="shared" si="168"/>
        <v>0</v>
      </c>
      <c r="Q155" s="3">
        <f t="shared" si="169"/>
        <v>0</v>
      </c>
      <c r="R155" s="3">
        <f t="shared" si="170"/>
        <v>-701201.51304507197</v>
      </c>
      <c r="S155" s="3">
        <f t="shared" si="171"/>
        <v>7298683.7705667578</v>
      </c>
      <c r="T155" s="3">
        <f t="shared" si="172"/>
        <v>24925623.239568908</v>
      </c>
      <c r="U155" s="47">
        <f t="shared" ca="1" si="156"/>
        <v>30979846.566218682</v>
      </c>
      <c r="V155" s="47">
        <f>IFERROR(HLOOKUP(B155-1,'EV Forecast WRZ'!$F$124:$T$130,2,FALSE)/12,0)+IFERROR(((HLOOKUP(B155,'EV Forecast WRZ'!$F$116:$T$122,2,FALSE)-HLOOKUP(B155-1,'EV Forecast WRZ'!$F$124:$T$130,2,FALSE)))*C155/78,0)</f>
        <v>1119470.1752637466</v>
      </c>
      <c r="W155" s="47">
        <f ca="1">HLOOKUP(B155,Heating!$R$102:$AD$106,2,FALSE)*INDEX(Weather!$BO$1:$CB$20,MATCH(B155,Weather!$BO$1:$BO$20,0),MATCH(C155,Weather!$BO$1:$CB$1,0))/VLOOKUP(B155,Weather!$BO$2:$CB$20,14,FALSE)</f>
        <v>778199.32822727086</v>
      </c>
      <c r="X155" s="47">
        <f t="shared" ca="1" si="132"/>
        <v>32877516.0697097</v>
      </c>
    </row>
    <row r="156" spans="1:24">
      <c r="A156" s="2">
        <f t="shared" si="149"/>
        <v>47087</v>
      </c>
      <c r="B156">
        <f t="shared" si="150"/>
        <v>2028</v>
      </c>
      <c r="C156">
        <f t="shared" si="151"/>
        <v>11</v>
      </c>
      <c r="E156" s="3">
        <f t="shared" ref="E156:F156" ca="1" si="198">E144</f>
        <v>435.51408055712398</v>
      </c>
      <c r="F156" s="3">
        <f t="shared" ca="1" si="198"/>
        <v>0.78124999999999944</v>
      </c>
      <c r="I156" s="47">
        <f t="shared" si="153"/>
        <v>1</v>
      </c>
      <c r="J156" s="47">
        <f t="shared" si="154"/>
        <v>155</v>
      </c>
      <c r="K156" s="47">
        <f t="shared" si="155"/>
        <v>30</v>
      </c>
      <c r="M156" s="3">
        <f t="shared" si="165"/>
        <v>-5660024.0454457896</v>
      </c>
      <c r="N156" s="3">
        <f t="shared" ca="1" si="166"/>
        <v>6213217.1898814524</v>
      </c>
      <c r="O156" s="3">
        <f t="shared" ca="1" si="167"/>
        <v>71388.563510974796</v>
      </c>
      <c r="P156" s="3">
        <f t="shared" si="168"/>
        <v>0</v>
      </c>
      <c r="Q156" s="3">
        <f t="shared" si="169"/>
        <v>0</v>
      </c>
      <c r="R156" s="3">
        <f t="shared" si="170"/>
        <v>-701201.51304507197</v>
      </c>
      <c r="S156" s="3">
        <f t="shared" si="171"/>
        <v>7346077.8210249832</v>
      </c>
      <c r="T156" s="3">
        <f t="shared" si="172"/>
        <v>24121570.877002168</v>
      </c>
      <c r="U156" s="47">
        <f t="shared" ca="1" si="156"/>
        <v>31391028.89292872</v>
      </c>
      <c r="V156" s="47">
        <f>IFERROR(HLOOKUP(B156-1,'EV Forecast WRZ'!$F$124:$T$130,2,FALSE)/12,0)+IFERROR(((HLOOKUP(B156,'EV Forecast WRZ'!$F$116:$T$122,2,FALSE)-HLOOKUP(B156-1,'EV Forecast WRZ'!$F$124:$T$130,2,FALSE)))*C156/78,0)</f>
        <v>1135541.6073662313</v>
      </c>
      <c r="W156" s="47">
        <f ca="1">HLOOKUP(B156,Heating!$R$102:$AD$106,2,FALSE)*INDEX(Weather!$BO$1:$CB$20,MATCH(B156,Weather!$BO$1:$BO$20,0),MATCH(C156,Weather!$BO$1:$CB$1,0))/VLOOKUP(B156,Weather!$BO$2:$CB$20,14,FALSE)</f>
        <v>1459499.9016052564</v>
      </c>
      <c r="X156" s="47">
        <f t="shared" ca="1" si="132"/>
        <v>33986070.401900209</v>
      </c>
    </row>
    <row r="157" spans="1:24">
      <c r="A157" s="2">
        <f t="shared" si="149"/>
        <v>47118</v>
      </c>
      <c r="B157">
        <f t="shared" si="150"/>
        <v>2028</v>
      </c>
      <c r="C157">
        <f t="shared" si="151"/>
        <v>12</v>
      </c>
      <c r="E157" s="3">
        <f t="shared" ref="E157:F157" ca="1" si="199">E145</f>
        <v>602.38541666666674</v>
      </c>
      <c r="F157" s="3">
        <f t="shared" ca="1" si="199"/>
        <v>0</v>
      </c>
      <c r="I157" s="47">
        <f t="shared" si="153"/>
        <v>0</v>
      </c>
      <c r="J157" s="47">
        <f t="shared" si="154"/>
        <v>156</v>
      </c>
      <c r="K157" s="47">
        <f t="shared" si="155"/>
        <v>31</v>
      </c>
      <c r="M157" s="3">
        <f t="shared" si="165"/>
        <v>-5660024.0454457896</v>
      </c>
      <c r="N157" s="3">
        <f t="shared" ca="1" si="166"/>
        <v>8593870.0787340421</v>
      </c>
      <c r="O157" s="3">
        <f t="shared" ca="1" si="167"/>
        <v>0</v>
      </c>
      <c r="P157" s="3">
        <f t="shared" si="168"/>
        <v>0</v>
      </c>
      <c r="Q157" s="3">
        <f t="shared" si="169"/>
        <v>0</v>
      </c>
      <c r="R157" s="3">
        <f t="shared" si="170"/>
        <v>0</v>
      </c>
      <c r="S157" s="3">
        <f t="shared" si="171"/>
        <v>7393471.8714832086</v>
      </c>
      <c r="T157" s="3">
        <f t="shared" si="172"/>
        <v>24925623.239568908</v>
      </c>
      <c r="U157" s="47">
        <f t="shared" ca="1" si="156"/>
        <v>35252941.144340366</v>
      </c>
      <c r="V157" s="47">
        <f>IFERROR(HLOOKUP(B157-1,'EV Forecast WRZ'!$F$124:$T$130,2,FALSE)/12,0)+IFERROR(((HLOOKUP(B157,'EV Forecast WRZ'!$F$116:$T$122,2,FALSE)-HLOOKUP(B157-1,'EV Forecast WRZ'!$F$124:$T$130,2,FALSE)))*C157/78,0)</f>
        <v>1151613.0394687161</v>
      </c>
      <c r="W157" s="47">
        <f ca="1">HLOOKUP(B157,Heating!$R$102:$AD$106,2,FALSE)*INDEX(Weather!$BO$1:$CB$20,MATCH(B157,Weather!$BO$1:$BO$20,0),MATCH(C157,Weather!$BO$1:$CB$1,0))/VLOOKUP(B157,Weather!$BO$2:$CB$20,14,FALSE)</f>
        <v>2018721.0829756949</v>
      </c>
      <c r="X157" s="47">
        <f t="shared" ca="1" si="132"/>
        <v>38423275.266784772</v>
      </c>
    </row>
    <row r="158" spans="1:24">
      <c r="A158" s="2">
        <f t="shared" si="149"/>
        <v>47149</v>
      </c>
      <c r="B158">
        <f t="shared" si="150"/>
        <v>2029</v>
      </c>
      <c r="C158">
        <f t="shared" si="151"/>
        <v>1</v>
      </c>
      <c r="E158" s="3">
        <f t="shared" ref="E158:F158" ca="1" si="200">E146</f>
        <v>690.78750000000002</v>
      </c>
      <c r="F158" s="3">
        <f t="shared" ca="1" si="200"/>
        <v>0</v>
      </c>
      <c r="I158" s="47">
        <f t="shared" si="153"/>
        <v>0</v>
      </c>
      <c r="J158" s="47">
        <f t="shared" si="154"/>
        <v>157</v>
      </c>
      <c r="K158" s="47">
        <f t="shared" si="155"/>
        <v>31</v>
      </c>
      <c r="M158" s="3">
        <f t="shared" si="165"/>
        <v>-5660024.0454457896</v>
      </c>
      <c r="N158" s="3">
        <f t="shared" ca="1" si="166"/>
        <v>9855049.3799528815</v>
      </c>
      <c r="O158" s="3">
        <f t="shared" ca="1" si="167"/>
        <v>0</v>
      </c>
      <c r="P158" s="3">
        <f t="shared" si="168"/>
        <v>0</v>
      </c>
      <c r="Q158" s="3">
        <f t="shared" si="169"/>
        <v>0</v>
      </c>
      <c r="R158" s="3">
        <f t="shared" si="170"/>
        <v>0</v>
      </c>
      <c r="S158" s="3">
        <f t="shared" si="171"/>
        <v>7440865.921941435</v>
      </c>
      <c r="T158" s="3">
        <f t="shared" si="172"/>
        <v>24925623.239568908</v>
      </c>
      <c r="U158" s="47">
        <f t="shared" ca="1" si="156"/>
        <v>36561514.496017434</v>
      </c>
      <c r="V158" s="47">
        <f>IFERROR(HLOOKUP(B158-1,'EV Forecast WRZ'!$F$124:$T$130,2,FALSE)/12,0)+IFERROR(((HLOOKUP(B158,'EV Forecast WRZ'!$F$116:$T$122,2,FALSE)-HLOOKUP(B158-1,'EV Forecast WRZ'!$F$124:$T$130,2,FALSE)))*C158/78,0)</f>
        <v>1215890.4399027042</v>
      </c>
      <c r="W158" s="47">
        <f ca="1">HLOOKUP(B158,Heating!$R$102:$AD$106,2,FALSE)*INDEX(Weather!$BO$1:$CB$20,MATCH(B158,Weather!$BO$1:$BO$20,0),MATCH(C158,Weather!$BO$1:$CB$1,0))/VLOOKUP(B158,Weather!$BO$2:$CB$20,14,FALSE)</f>
        <v>2647208.4910414899</v>
      </c>
      <c r="X158" s="47">
        <f t="shared" ca="1" si="132"/>
        <v>40424613.426961623</v>
      </c>
    </row>
    <row r="159" spans="1:24">
      <c r="A159" s="2">
        <f t="shared" si="149"/>
        <v>47177</v>
      </c>
      <c r="B159">
        <f t="shared" si="150"/>
        <v>2029</v>
      </c>
      <c r="C159">
        <f t="shared" si="151"/>
        <v>2</v>
      </c>
      <c r="E159" s="3">
        <f t="shared" ref="E159:F159" ca="1" si="201">E147</f>
        <v>604.19541666666657</v>
      </c>
      <c r="F159" s="3">
        <f t="shared" ca="1" si="201"/>
        <v>0</v>
      </c>
      <c r="I159" s="47">
        <f t="shared" si="153"/>
        <v>0</v>
      </c>
      <c r="J159" s="47">
        <f t="shared" si="154"/>
        <v>158</v>
      </c>
      <c r="K159" s="47">
        <f t="shared" si="155"/>
        <v>28</v>
      </c>
      <c r="M159" s="3">
        <f t="shared" si="165"/>
        <v>-5660024.0454457896</v>
      </c>
      <c r="N159" s="3">
        <f t="shared" ca="1" si="166"/>
        <v>8619692.2590394374</v>
      </c>
      <c r="O159" s="3">
        <f t="shared" ca="1" si="167"/>
        <v>0</v>
      </c>
      <c r="P159" s="3">
        <f t="shared" si="168"/>
        <v>0</v>
      </c>
      <c r="Q159" s="3">
        <f t="shared" si="169"/>
        <v>0</v>
      </c>
      <c r="R159" s="3">
        <f t="shared" si="170"/>
        <v>0</v>
      </c>
      <c r="S159" s="3">
        <f t="shared" si="171"/>
        <v>7488259.9723996604</v>
      </c>
      <c r="T159" s="3">
        <f t="shared" si="172"/>
        <v>22513466.15186869</v>
      </c>
      <c r="U159" s="47">
        <f t="shared" ca="1" si="156"/>
        <v>32961394.337862</v>
      </c>
      <c r="V159" s="47">
        <f>IFERROR(HLOOKUP(B159-1,'EV Forecast WRZ'!$F$124:$T$130,2,FALSE)/12,0)+IFERROR(((HLOOKUP(B159,'EV Forecast WRZ'!$F$116:$T$122,2,FALSE)-HLOOKUP(B159-1,'EV Forecast WRZ'!$F$124:$T$130,2,FALSE)))*C159/78,0)</f>
        <v>1237016.3465675409</v>
      </c>
      <c r="W159" s="47">
        <f ca="1">HLOOKUP(B159,Heating!$R$102:$AD$106,2,FALSE)*INDEX(Weather!$BO$1:$CB$20,MATCH(B159,Weather!$BO$1:$BO$20,0),MATCH(C159,Weather!$BO$1:$CB$1,0))/VLOOKUP(B159,Weather!$BO$2:$CB$20,14,FALSE)</f>
        <v>2315373.7397511546</v>
      </c>
      <c r="X159" s="47">
        <f t="shared" ca="1" si="132"/>
        <v>36513784.424180694</v>
      </c>
    </row>
    <row r="160" spans="1:24">
      <c r="A160" s="2">
        <f t="shared" si="149"/>
        <v>47208</v>
      </c>
      <c r="B160">
        <f t="shared" si="150"/>
        <v>2029</v>
      </c>
      <c r="C160">
        <f t="shared" si="151"/>
        <v>3</v>
      </c>
      <c r="E160" s="3">
        <f t="shared" ref="E160:F160" ca="1" si="202">E148</f>
        <v>534.21590579710141</v>
      </c>
      <c r="F160" s="3">
        <f t="shared" ca="1" si="202"/>
        <v>0</v>
      </c>
      <c r="I160" s="47">
        <f t="shared" si="153"/>
        <v>1</v>
      </c>
      <c r="J160" s="47">
        <f t="shared" si="154"/>
        <v>159</v>
      </c>
      <c r="K160" s="47">
        <f t="shared" si="155"/>
        <v>31</v>
      </c>
      <c r="M160" s="3">
        <f t="shared" si="165"/>
        <v>-5660024.0454457896</v>
      </c>
      <c r="N160" s="3">
        <f t="shared" ca="1" si="166"/>
        <v>7621336.7080132328</v>
      </c>
      <c r="O160" s="3">
        <f t="shared" ca="1" si="167"/>
        <v>0</v>
      </c>
      <c r="P160" s="3">
        <f t="shared" si="168"/>
        <v>0</v>
      </c>
      <c r="Q160" s="3">
        <f t="shared" si="169"/>
        <v>0</v>
      </c>
      <c r="R160" s="3">
        <f t="shared" si="170"/>
        <v>-701201.51304507197</v>
      </c>
      <c r="S160" s="3">
        <f t="shared" si="171"/>
        <v>7535654.0228578858</v>
      </c>
      <c r="T160" s="3">
        <f t="shared" si="172"/>
        <v>24925623.239568908</v>
      </c>
      <c r="U160" s="47">
        <f t="shared" ca="1" si="156"/>
        <v>33721388.411949165</v>
      </c>
      <c r="V160" s="47">
        <f>IFERROR(HLOOKUP(B160-1,'EV Forecast WRZ'!$F$124:$T$130,2,FALSE)/12,0)+IFERROR(((HLOOKUP(B160,'EV Forecast WRZ'!$F$116:$T$122,2,FALSE)-HLOOKUP(B160-1,'EV Forecast WRZ'!$F$124:$T$130,2,FALSE)))*C160/78,0)</f>
        <v>1258142.2532323776</v>
      </c>
      <c r="W160" s="47">
        <f ca="1">HLOOKUP(B160,Heating!$R$102:$AD$106,2,FALSE)*INDEX(Weather!$BO$1:$CB$20,MATCH(B160,Weather!$BO$1:$BO$20,0),MATCH(C160,Weather!$BO$1:$CB$1,0))/VLOOKUP(B160,Weather!$BO$2:$CB$20,14,FALSE)</f>
        <v>2047201.0305274886</v>
      </c>
      <c r="X160" s="47">
        <f t="shared" ca="1" si="132"/>
        <v>37026731.695709027</v>
      </c>
    </row>
    <row r="161" spans="1:24">
      <c r="A161" s="2">
        <f t="shared" si="149"/>
        <v>47238</v>
      </c>
      <c r="B161">
        <f t="shared" si="150"/>
        <v>2029</v>
      </c>
      <c r="C161">
        <f t="shared" si="151"/>
        <v>4</v>
      </c>
      <c r="E161" s="3">
        <f t="shared" ref="E161:F161" ca="1" si="203">E149</f>
        <v>352.92312500000003</v>
      </c>
      <c r="F161" s="3">
        <f t="shared" ca="1" si="203"/>
        <v>2.2025000000000015</v>
      </c>
      <c r="I161" s="47">
        <f t="shared" si="153"/>
        <v>1</v>
      </c>
      <c r="J161" s="47">
        <f t="shared" si="154"/>
        <v>160</v>
      </c>
      <c r="K161" s="47">
        <f t="shared" si="155"/>
        <v>30</v>
      </c>
      <c r="M161" s="3">
        <f t="shared" si="165"/>
        <v>-5660024.0454457896</v>
      </c>
      <c r="N161" s="3">
        <f t="shared" ca="1" si="166"/>
        <v>5034941.7501073536</v>
      </c>
      <c r="O161" s="3">
        <f t="shared" ca="1" si="167"/>
        <v>201258.63825014042</v>
      </c>
      <c r="P161" s="3">
        <f t="shared" si="168"/>
        <v>0</v>
      </c>
      <c r="Q161" s="3">
        <f t="shared" si="169"/>
        <v>0</v>
      </c>
      <c r="R161" s="3">
        <f t="shared" si="170"/>
        <v>-701201.51304507197</v>
      </c>
      <c r="S161" s="3">
        <f t="shared" si="171"/>
        <v>7583048.0733161122</v>
      </c>
      <c r="T161" s="3">
        <f t="shared" si="172"/>
        <v>24121570.877002168</v>
      </c>
      <c r="U161" s="47">
        <f t="shared" ca="1" si="156"/>
        <v>30579593.780184913</v>
      </c>
      <c r="V161" s="47">
        <f>IFERROR(HLOOKUP(B161-1,'EV Forecast WRZ'!$F$124:$T$130,2,FALSE)/12,0)+IFERROR(((HLOOKUP(B161,'EV Forecast WRZ'!$F$116:$T$122,2,FALSE)-HLOOKUP(B161-1,'EV Forecast WRZ'!$F$124:$T$130,2,FALSE)))*C161/78,0)</f>
        <v>1279268.1598972143</v>
      </c>
      <c r="W161" s="47">
        <f ca="1">HLOOKUP(B161,Heating!$R$102:$AD$106,2,FALSE)*INDEX(Weather!$BO$1:$CB$20,MATCH(B161,Weather!$BO$1:$BO$20,0),MATCH(C161,Weather!$BO$1:$CB$1,0))/VLOOKUP(B161,Weather!$BO$2:$CB$20,14,FALSE)</f>
        <v>1352458.0181096171</v>
      </c>
      <c r="X161" s="47">
        <f t="shared" ca="1" si="132"/>
        <v>33211319.958191745</v>
      </c>
    </row>
    <row r="162" spans="1:24">
      <c r="A162" s="2">
        <f t="shared" si="149"/>
        <v>47269</v>
      </c>
      <c r="B162">
        <f t="shared" si="150"/>
        <v>2029</v>
      </c>
      <c r="C162">
        <f t="shared" si="151"/>
        <v>5</v>
      </c>
      <c r="E162" s="3">
        <f t="shared" ref="E162:F162" ca="1" si="204">E150</f>
        <v>155.24720841877425</v>
      </c>
      <c r="F162" s="3">
        <f t="shared" ca="1" si="204"/>
        <v>48.940113636363641</v>
      </c>
      <c r="I162" s="47">
        <f t="shared" si="153"/>
        <v>1</v>
      </c>
      <c r="J162" s="47">
        <f t="shared" si="154"/>
        <v>161</v>
      </c>
      <c r="K162" s="47">
        <f t="shared" si="155"/>
        <v>31</v>
      </c>
      <c r="M162" s="3">
        <f t="shared" ref="M162:M193" si="205">$AB$8</f>
        <v>-5660024.0454457896</v>
      </c>
      <c r="N162" s="3">
        <f t="shared" ref="N162:N193" ca="1" si="206">E162*$AB$9</f>
        <v>2214818.4572923756</v>
      </c>
      <c r="O162" s="3">
        <f t="shared" ref="O162:O193" ca="1" si="207">F162*$AB$10</f>
        <v>4472018.4455217561</v>
      </c>
      <c r="P162" s="3">
        <f t="shared" ref="P162:P193" si="208">G162*$AB$11</f>
        <v>0</v>
      </c>
      <c r="Q162" s="3">
        <f t="shared" ref="Q162:Q193" si="209">H162*$AB$12</f>
        <v>0</v>
      </c>
      <c r="R162" s="3">
        <f t="shared" ref="R162:R193" si="210">I162*$AB$13</f>
        <v>-701201.51304507197</v>
      </c>
      <c r="S162" s="3">
        <f t="shared" ref="S162:S193" si="211">J162*$AB$14</f>
        <v>7630442.1237743376</v>
      </c>
      <c r="T162" s="3">
        <f t="shared" ref="T162:T193" si="212">K162*$AB$15</f>
        <v>24925623.239568908</v>
      </c>
      <c r="U162" s="47">
        <f t="shared" ref="U162:U193" ca="1" si="213">SUM(M162:T162)</f>
        <v>32881676.707666516</v>
      </c>
      <c r="V162" s="47">
        <f>IFERROR(HLOOKUP(B162-1,'EV Forecast WRZ'!$F$124:$T$130,2,FALSE)/12,0)+IFERROR(((HLOOKUP(B162,'EV Forecast WRZ'!$F$116:$T$122,2,FALSE)-HLOOKUP(B162-1,'EV Forecast WRZ'!$F$124:$T$130,2,FALSE)))*C162/78,0)</f>
        <v>1300394.066562051</v>
      </c>
      <c r="W162" s="47">
        <f ca="1">HLOOKUP(B162,Heating!$R$102:$AD$106,2,FALSE)*INDEX(Weather!$BO$1:$CB$20,MATCH(B162,Weather!$BO$1:$BO$20,0),MATCH(C162,Weather!$BO$1:$CB$1,0))/VLOOKUP(B162,Weather!$BO$2:$CB$20,14,FALSE)</f>
        <v>594932.20177937066</v>
      </c>
      <c r="X162" s="47">
        <f t="shared" ca="1" si="132"/>
        <v>34777002.976007938</v>
      </c>
    </row>
    <row r="163" spans="1:24">
      <c r="A163" s="2">
        <f t="shared" ref="A163:A193" si="214">EOMONTH(A162,1)</f>
        <v>47299</v>
      </c>
      <c r="B163">
        <f t="shared" ref="B163:B193" si="215">YEAR(A163)</f>
        <v>2029</v>
      </c>
      <c r="C163">
        <f t="shared" ref="C163:C193" si="216">MONTH(A163)</f>
        <v>6</v>
      </c>
      <c r="E163" s="3">
        <f t="shared" ref="E163:F163" ca="1" si="217">E151</f>
        <v>30.273840492840492</v>
      </c>
      <c r="F163" s="3">
        <f t="shared" ca="1" si="217"/>
        <v>144.91160087738351</v>
      </c>
      <c r="I163" s="47">
        <f t="shared" ref="I163:I193" si="218">I151</f>
        <v>0</v>
      </c>
      <c r="J163" s="47">
        <f t="shared" ref="J163:J193" si="219">J162+1</f>
        <v>162</v>
      </c>
      <c r="K163" s="47">
        <f t="shared" ref="K163:K193" si="220">K127</f>
        <v>30</v>
      </c>
      <c r="M163" s="3">
        <f t="shared" si="205"/>
        <v>-5660024.0454457896</v>
      </c>
      <c r="N163" s="3">
        <f t="shared" ca="1" si="206"/>
        <v>431898.65621158475</v>
      </c>
      <c r="O163" s="3">
        <f t="shared" ca="1" si="207"/>
        <v>13241639.709071528</v>
      </c>
      <c r="P163" s="3">
        <f t="shared" si="208"/>
        <v>0</v>
      </c>
      <c r="Q163" s="3">
        <f t="shared" si="209"/>
        <v>0</v>
      </c>
      <c r="R163" s="3">
        <f t="shared" si="210"/>
        <v>0</v>
      </c>
      <c r="S163" s="3">
        <f t="shared" si="211"/>
        <v>7677836.174232563</v>
      </c>
      <c r="T163" s="3">
        <f t="shared" si="212"/>
        <v>24121570.877002168</v>
      </c>
      <c r="U163" s="47">
        <f t="shared" ca="1" si="213"/>
        <v>39812921.371072054</v>
      </c>
      <c r="V163" s="47">
        <f>IFERROR(HLOOKUP(B163-1,'EV Forecast WRZ'!$F$124:$T$130,2,FALSE)/12,0)+IFERROR(((HLOOKUP(B163,'EV Forecast WRZ'!$F$116:$T$122,2,FALSE)-HLOOKUP(B163-1,'EV Forecast WRZ'!$F$124:$T$130,2,FALSE)))*C163/78,0)</f>
        <v>1321519.9732268876</v>
      </c>
      <c r="W163" s="47">
        <f ca="1">HLOOKUP(B163,Heating!$R$102:$AD$106,2,FALSE)*INDEX(Weather!$BO$1:$CB$20,MATCH(B163,Weather!$BO$1:$BO$20,0),MATCH(C163,Weather!$BO$1:$CB$1,0))/VLOOKUP(B163,Weather!$BO$2:$CB$20,14,FALSE)</f>
        <v>116014.21219851695</v>
      </c>
      <c r="X163" s="47">
        <f t="shared" ca="1" si="132"/>
        <v>41250455.556497462</v>
      </c>
    </row>
    <row r="164" spans="1:24">
      <c r="A164" s="2">
        <f t="shared" si="214"/>
        <v>47330</v>
      </c>
      <c r="B164">
        <f t="shared" si="215"/>
        <v>2029</v>
      </c>
      <c r="C164">
        <f t="shared" si="216"/>
        <v>7</v>
      </c>
      <c r="E164" s="3">
        <f t="shared" ref="E164:F164" ca="1" si="221">E152</f>
        <v>1.0845833333333317</v>
      </c>
      <c r="F164" s="3">
        <f t="shared" ca="1" si="221"/>
        <v>242.72508692061183</v>
      </c>
      <c r="I164" s="47">
        <f t="shared" si="218"/>
        <v>0</v>
      </c>
      <c r="J164" s="47">
        <f t="shared" si="219"/>
        <v>163</v>
      </c>
      <c r="K164" s="47">
        <f t="shared" si="220"/>
        <v>31</v>
      </c>
      <c r="M164" s="3">
        <f t="shared" si="205"/>
        <v>-5660024.0454457896</v>
      </c>
      <c r="N164" s="3">
        <f t="shared" ca="1" si="206"/>
        <v>15473.097452796814</v>
      </c>
      <c r="O164" s="3">
        <f t="shared" ca="1" si="207"/>
        <v>22179577.962673906</v>
      </c>
      <c r="P164" s="3">
        <f t="shared" si="208"/>
        <v>0</v>
      </c>
      <c r="Q164" s="3">
        <f t="shared" si="209"/>
        <v>0</v>
      </c>
      <c r="R164" s="3">
        <f t="shared" si="210"/>
        <v>0</v>
      </c>
      <c r="S164" s="3">
        <f t="shared" si="211"/>
        <v>7725230.2246907884</v>
      </c>
      <c r="T164" s="3">
        <f t="shared" si="212"/>
        <v>24925623.239568908</v>
      </c>
      <c r="U164" s="47">
        <f t="shared" ca="1" si="213"/>
        <v>49185880.478940606</v>
      </c>
      <c r="V164" s="47">
        <f>IFERROR(HLOOKUP(B164-1,'EV Forecast WRZ'!$F$124:$T$130,2,FALSE)/12,0)+IFERROR(((HLOOKUP(B164,'EV Forecast WRZ'!$F$116:$T$122,2,FALSE)-HLOOKUP(B164-1,'EV Forecast WRZ'!$F$124:$T$130,2,FALSE)))*C164/78,0)</f>
        <v>1342645.8798917243</v>
      </c>
      <c r="W164" s="47">
        <f ca="1">HLOOKUP(B164,Heating!$R$102:$AD$106,2,FALSE)*INDEX(Weather!$BO$1:$CB$20,MATCH(B164,Weather!$BO$1:$BO$20,0),MATCH(C164,Weather!$BO$1:$CB$1,0))/VLOOKUP(B164,Weather!$BO$2:$CB$20,14,FALSE)</f>
        <v>4156.2972827998165</v>
      </c>
      <c r="X164" s="47">
        <f t="shared" ca="1" si="132"/>
        <v>50532682.65611513</v>
      </c>
    </row>
    <row r="165" spans="1:24">
      <c r="A165" s="2">
        <f t="shared" si="214"/>
        <v>47361</v>
      </c>
      <c r="B165">
        <f t="shared" si="215"/>
        <v>2029</v>
      </c>
      <c r="C165">
        <f t="shared" si="216"/>
        <v>8</v>
      </c>
      <c r="E165" s="3">
        <f t="shared" ref="E165:F165" ca="1" si="222">E153</f>
        <v>6.4245833333333335</v>
      </c>
      <c r="F165" s="3">
        <f t="shared" ca="1" si="222"/>
        <v>214.02558794466404</v>
      </c>
      <c r="I165" s="47">
        <f t="shared" si="218"/>
        <v>0</v>
      </c>
      <c r="J165" s="47">
        <f t="shared" si="219"/>
        <v>164</v>
      </c>
      <c r="K165" s="47">
        <f t="shared" si="220"/>
        <v>31</v>
      </c>
      <c r="M165" s="3">
        <f t="shared" si="205"/>
        <v>-5660024.0454457896</v>
      </c>
      <c r="N165" s="3">
        <f t="shared" ca="1" si="206"/>
        <v>91655.662552698588</v>
      </c>
      <c r="O165" s="3">
        <f t="shared" ca="1" si="207"/>
        <v>19557093.475790568</v>
      </c>
      <c r="P165" s="3">
        <f t="shared" si="208"/>
        <v>0</v>
      </c>
      <c r="Q165" s="3">
        <f t="shared" si="209"/>
        <v>0</v>
      </c>
      <c r="R165" s="3">
        <f t="shared" si="210"/>
        <v>0</v>
      </c>
      <c r="S165" s="3">
        <f t="shared" si="211"/>
        <v>7772624.2751490148</v>
      </c>
      <c r="T165" s="3">
        <f t="shared" si="212"/>
        <v>24925623.239568908</v>
      </c>
      <c r="U165" s="47">
        <f t="shared" ca="1" si="213"/>
        <v>46686972.607615396</v>
      </c>
      <c r="V165" s="47">
        <f>IFERROR(HLOOKUP(B165-1,'EV Forecast WRZ'!$F$124:$T$130,2,FALSE)/12,0)+IFERROR(((HLOOKUP(B165,'EV Forecast WRZ'!$F$116:$T$122,2,FALSE)-HLOOKUP(B165-1,'EV Forecast WRZ'!$F$124:$T$130,2,FALSE)))*C165/78,0)</f>
        <v>1363771.786556561</v>
      </c>
      <c r="W165" s="47">
        <f ca="1">HLOOKUP(B165,Heating!$R$102:$AD$106,2,FALSE)*INDEX(Weather!$BO$1:$CB$20,MATCH(B165,Weather!$BO$1:$BO$20,0),MATCH(C165,Weather!$BO$1:$CB$1,0))/VLOOKUP(B165,Weather!$BO$2:$CB$20,14,FALSE)</f>
        <v>24620.033731652122</v>
      </c>
      <c r="X165" s="47">
        <f t="shared" ca="1" si="132"/>
        <v>48075364.427903615</v>
      </c>
    </row>
    <row r="166" spans="1:24">
      <c r="A166" s="2">
        <f t="shared" si="214"/>
        <v>47391</v>
      </c>
      <c r="B166">
        <f t="shared" si="215"/>
        <v>2029</v>
      </c>
      <c r="C166">
        <f t="shared" si="216"/>
        <v>9</v>
      </c>
      <c r="E166" s="3">
        <f t="shared" ref="E166:F166" ca="1" si="223">E154</f>
        <v>54.412952898550728</v>
      </c>
      <c r="F166" s="3">
        <f t="shared" ca="1" si="223"/>
        <v>102.40708333333332</v>
      </c>
      <c r="I166" s="47">
        <f t="shared" si="218"/>
        <v>1</v>
      </c>
      <c r="J166" s="47">
        <f t="shared" si="219"/>
        <v>165</v>
      </c>
      <c r="K166" s="47">
        <f t="shared" si="220"/>
        <v>30</v>
      </c>
      <c r="M166" s="3">
        <f t="shared" si="205"/>
        <v>-5660024.0454457896</v>
      </c>
      <c r="N166" s="3">
        <f t="shared" ca="1" si="206"/>
        <v>776276.8401632451</v>
      </c>
      <c r="O166" s="3">
        <f t="shared" ca="1" si="207"/>
        <v>9357689.0528196599</v>
      </c>
      <c r="P166" s="3">
        <f t="shared" si="208"/>
        <v>0</v>
      </c>
      <c r="Q166" s="3">
        <f t="shared" si="209"/>
        <v>0</v>
      </c>
      <c r="R166" s="3">
        <f t="shared" si="210"/>
        <v>-701201.51304507197</v>
      </c>
      <c r="S166" s="3">
        <f t="shared" si="211"/>
        <v>7820018.3256072402</v>
      </c>
      <c r="T166" s="3">
        <f t="shared" si="212"/>
        <v>24121570.877002168</v>
      </c>
      <c r="U166" s="47">
        <f t="shared" ca="1" si="213"/>
        <v>35714329.537101448</v>
      </c>
      <c r="V166" s="47">
        <f>IFERROR(HLOOKUP(B166-1,'EV Forecast WRZ'!$F$124:$T$130,2,FALSE)/12,0)+IFERROR(((HLOOKUP(B166,'EV Forecast WRZ'!$F$116:$T$122,2,FALSE)-HLOOKUP(B166-1,'EV Forecast WRZ'!$F$124:$T$130,2,FALSE)))*C166/78,0)</f>
        <v>1384897.6932213977</v>
      </c>
      <c r="W166" s="47">
        <f ca="1">HLOOKUP(B166,Heating!$R$102:$AD$106,2,FALSE)*INDEX(Weather!$BO$1:$CB$20,MATCH(B166,Weather!$BO$1:$BO$20,0),MATCH(C166,Weather!$BO$1:$CB$1,0))/VLOOKUP(B166,Weather!$BO$2:$CB$20,14,FALSE)</f>
        <v>208519.16245688312</v>
      </c>
      <c r="X166" s="47">
        <f t="shared" ca="1" si="132"/>
        <v>37307746.39277973</v>
      </c>
    </row>
    <row r="167" spans="1:24">
      <c r="A167" s="2">
        <f t="shared" si="214"/>
        <v>47422</v>
      </c>
      <c r="B167">
        <f t="shared" si="215"/>
        <v>2029</v>
      </c>
      <c r="C167">
        <f t="shared" si="216"/>
        <v>10</v>
      </c>
      <c r="E167" s="3">
        <f t="shared" ref="E167:F167" ca="1" si="224">E155</f>
        <v>232.21431159420285</v>
      </c>
      <c r="F167" s="3">
        <f t="shared" ca="1" si="224"/>
        <v>19.741250000000004</v>
      </c>
      <c r="I167" s="47">
        <f t="shared" si="218"/>
        <v>1</v>
      </c>
      <c r="J167" s="47">
        <f t="shared" si="219"/>
        <v>166</v>
      </c>
      <c r="K167" s="47">
        <f t="shared" si="220"/>
        <v>31</v>
      </c>
      <c r="M167" s="3">
        <f t="shared" si="205"/>
        <v>-5660024.0454457896</v>
      </c>
      <c r="N167" s="3">
        <f t="shared" ca="1" si="206"/>
        <v>3312861.7809277582</v>
      </c>
      <c r="O167" s="3">
        <f t="shared" ca="1" si="207"/>
        <v>1803903.3336461217</v>
      </c>
      <c r="P167" s="3">
        <f t="shared" si="208"/>
        <v>0</v>
      </c>
      <c r="Q167" s="3">
        <f t="shared" si="209"/>
        <v>0</v>
      </c>
      <c r="R167" s="3">
        <f t="shared" si="210"/>
        <v>-701201.51304507197</v>
      </c>
      <c r="S167" s="3">
        <f t="shared" si="211"/>
        <v>7867412.3760654656</v>
      </c>
      <c r="T167" s="3">
        <f t="shared" si="212"/>
        <v>24925623.239568908</v>
      </c>
      <c r="U167" s="47">
        <f t="shared" ca="1" si="213"/>
        <v>31548575.17171739</v>
      </c>
      <c r="V167" s="47">
        <f>IFERROR(HLOOKUP(B167-1,'EV Forecast WRZ'!$F$124:$T$130,2,FALSE)/12,0)+IFERROR(((HLOOKUP(B167,'EV Forecast WRZ'!$F$116:$T$122,2,FALSE)-HLOOKUP(B167-1,'EV Forecast WRZ'!$F$124:$T$130,2,FALSE)))*C167/78,0)</f>
        <v>1406023.5998862344</v>
      </c>
      <c r="W167" s="47">
        <f ca="1">HLOOKUP(B167,Heating!$R$102:$AD$106,2,FALSE)*INDEX(Weather!$BO$1:$CB$20,MATCH(B167,Weather!$BO$1:$BO$20,0),MATCH(C167,Weather!$BO$1:$CB$1,0))/VLOOKUP(B167,Weather!$BO$2:$CB$20,14,FALSE)</f>
        <v>889882.48541487521</v>
      </c>
      <c r="X167" s="47">
        <f t="shared" ca="1" si="132"/>
        <v>33844481.257018499</v>
      </c>
    </row>
    <row r="168" spans="1:24">
      <c r="A168" s="2">
        <f t="shared" si="214"/>
        <v>47452</v>
      </c>
      <c r="B168">
        <f t="shared" si="215"/>
        <v>2029</v>
      </c>
      <c r="C168">
        <f t="shared" si="216"/>
        <v>11</v>
      </c>
      <c r="E168" s="3">
        <f t="shared" ref="E168:F168" ca="1" si="225">E156</f>
        <v>435.51408055712398</v>
      </c>
      <c r="F168" s="3">
        <f t="shared" ca="1" si="225"/>
        <v>0.78124999999999944</v>
      </c>
      <c r="I168" s="47">
        <f t="shared" si="218"/>
        <v>1</v>
      </c>
      <c r="J168" s="47">
        <f t="shared" si="219"/>
        <v>167</v>
      </c>
      <c r="K168" s="47">
        <f t="shared" si="220"/>
        <v>30</v>
      </c>
      <c r="M168" s="3">
        <f t="shared" si="205"/>
        <v>-5660024.0454457896</v>
      </c>
      <c r="N168" s="3">
        <f t="shared" ca="1" si="206"/>
        <v>6213217.1898814524</v>
      </c>
      <c r="O168" s="3">
        <f t="shared" ca="1" si="207"/>
        <v>71388.563510974796</v>
      </c>
      <c r="P168" s="3">
        <f t="shared" si="208"/>
        <v>0</v>
      </c>
      <c r="Q168" s="3">
        <f t="shared" si="209"/>
        <v>0</v>
      </c>
      <c r="R168" s="3">
        <f t="shared" si="210"/>
        <v>-701201.51304507197</v>
      </c>
      <c r="S168" s="3">
        <f t="shared" si="211"/>
        <v>7914806.426523692</v>
      </c>
      <c r="T168" s="3">
        <f t="shared" si="212"/>
        <v>24121570.877002168</v>
      </c>
      <c r="U168" s="47">
        <f t="shared" ca="1" si="213"/>
        <v>31959757.498427428</v>
      </c>
      <c r="V168" s="47">
        <f>IFERROR(HLOOKUP(B168-1,'EV Forecast WRZ'!$F$124:$T$130,2,FALSE)/12,0)+IFERROR(((HLOOKUP(B168,'EV Forecast WRZ'!$F$116:$T$122,2,FALSE)-HLOOKUP(B168-1,'EV Forecast WRZ'!$F$124:$T$130,2,FALSE)))*C168/78,0)</f>
        <v>1427149.5065510713</v>
      </c>
      <c r="W168" s="47">
        <f ca="1">HLOOKUP(B168,Heating!$R$102:$AD$106,2,FALSE)*INDEX(Weather!$BO$1:$CB$20,MATCH(B168,Weather!$BO$1:$BO$20,0),MATCH(C168,Weather!$BO$1:$CB$1,0))/VLOOKUP(B168,Weather!$BO$2:$CB$20,14,FALSE)</f>
        <v>1668959.8060459201</v>
      </c>
      <c r="X168" s="47">
        <f t="shared" ca="1" si="132"/>
        <v>35055866.81102442</v>
      </c>
    </row>
    <row r="169" spans="1:24">
      <c r="A169" s="2">
        <f t="shared" si="214"/>
        <v>47483</v>
      </c>
      <c r="B169">
        <f t="shared" si="215"/>
        <v>2029</v>
      </c>
      <c r="C169">
        <f t="shared" si="216"/>
        <v>12</v>
      </c>
      <c r="E169" s="3">
        <f t="shared" ref="E169:F169" ca="1" si="226">E157</f>
        <v>602.38541666666674</v>
      </c>
      <c r="F169" s="3">
        <f t="shared" ca="1" si="226"/>
        <v>0</v>
      </c>
      <c r="I169" s="47">
        <f t="shared" si="218"/>
        <v>0</v>
      </c>
      <c r="J169" s="47">
        <f t="shared" si="219"/>
        <v>168</v>
      </c>
      <c r="K169" s="47">
        <f t="shared" si="220"/>
        <v>31</v>
      </c>
      <c r="M169" s="3">
        <f t="shared" si="205"/>
        <v>-5660024.0454457896</v>
      </c>
      <c r="N169" s="3">
        <f t="shared" ca="1" si="206"/>
        <v>8593870.0787340421</v>
      </c>
      <c r="O169" s="3">
        <f t="shared" ca="1" si="207"/>
        <v>0</v>
      </c>
      <c r="P169" s="3">
        <f t="shared" si="208"/>
        <v>0</v>
      </c>
      <c r="Q169" s="3">
        <f t="shared" si="209"/>
        <v>0</v>
      </c>
      <c r="R169" s="3">
        <f t="shared" si="210"/>
        <v>0</v>
      </c>
      <c r="S169" s="3">
        <f t="shared" si="211"/>
        <v>7962200.4769819174</v>
      </c>
      <c r="T169" s="3">
        <f t="shared" si="212"/>
        <v>24925623.239568908</v>
      </c>
      <c r="U169" s="47">
        <f t="shared" ca="1" si="213"/>
        <v>35821669.749839082</v>
      </c>
      <c r="V169" s="47">
        <f>IFERROR(HLOOKUP(B169-1,'EV Forecast WRZ'!$F$124:$T$130,2,FALSE)/12,0)+IFERROR(((HLOOKUP(B169,'EV Forecast WRZ'!$F$116:$T$122,2,FALSE)-HLOOKUP(B169-1,'EV Forecast WRZ'!$F$124:$T$130,2,FALSE)))*C169/78,0)</f>
        <v>1448275.413215908</v>
      </c>
      <c r="W169" s="47">
        <f ca="1">HLOOKUP(B169,Heating!$R$102:$AD$106,2,FALSE)*INDEX(Weather!$BO$1:$CB$20,MATCH(B169,Weather!$BO$1:$BO$20,0),MATCH(C169,Weather!$BO$1:$CB$1,0))/VLOOKUP(B169,Weather!$BO$2:$CB$20,14,FALSE)</f>
        <v>2308437.5294566941</v>
      </c>
      <c r="X169" s="47">
        <f t="shared" ca="1" si="132"/>
        <v>39578382.692511685</v>
      </c>
    </row>
    <row r="170" spans="1:24">
      <c r="A170" s="2">
        <f t="shared" si="214"/>
        <v>47514</v>
      </c>
      <c r="B170">
        <f t="shared" si="215"/>
        <v>2030</v>
      </c>
      <c r="C170">
        <f t="shared" si="216"/>
        <v>1</v>
      </c>
      <c r="E170" s="3">
        <f t="shared" ref="E170:F170" ca="1" si="227">E158</f>
        <v>690.78750000000002</v>
      </c>
      <c r="F170" s="3">
        <f t="shared" ca="1" si="227"/>
        <v>0</v>
      </c>
      <c r="I170" s="47">
        <f t="shared" si="218"/>
        <v>0</v>
      </c>
      <c r="J170" s="47">
        <f t="shared" si="219"/>
        <v>169</v>
      </c>
      <c r="K170" s="47">
        <f t="shared" si="220"/>
        <v>31</v>
      </c>
      <c r="M170" s="3">
        <f t="shared" si="205"/>
        <v>-5660024.0454457896</v>
      </c>
      <c r="N170" s="3">
        <f t="shared" ca="1" si="206"/>
        <v>9855049.3799528815</v>
      </c>
      <c r="O170" s="3">
        <f t="shared" ca="1" si="207"/>
        <v>0</v>
      </c>
      <c r="P170" s="3">
        <f t="shared" si="208"/>
        <v>0</v>
      </c>
      <c r="Q170" s="3">
        <f t="shared" si="209"/>
        <v>0</v>
      </c>
      <c r="R170" s="3">
        <f t="shared" si="210"/>
        <v>0</v>
      </c>
      <c r="S170" s="3">
        <f t="shared" si="211"/>
        <v>8009594.5274401428</v>
      </c>
      <c r="T170" s="3">
        <f t="shared" si="212"/>
        <v>24925623.239568908</v>
      </c>
      <c r="U170" s="47">
        <f t="shared" ca="1" si="213"/>
        <v>37130243.101516142</v>
      </c>
      <c r="V170" s="47">
        <f>IFERROR(HLOOKUP(B170-1,'EV Forecast WRZ'!$F$124:$T$130,2,FALSE)/12,0)+IFERROR(((HLOOKUP(B170,'EV Forecast WRZ'!$F$116:$T$122,2,FALSE)-HLOOKUP(B170-1,'EV Forecast WRZ'!$F$124:$T$130,2,FALSE)))*C170/78,0)</f>
        <v>1513758.8608778946</v>
      </c>
      <c r="W170" s="47">
        <f ca="1">HLOOKUP(B170,Heating!$R$102:$AD$106,2,FALSE)*INDEX(Weather!$BO$1:$CB$20,MATCH(B170,Weather!$BO$1:$BO$20,0),MATCH(C170,Weather!$BO$1:$CB$1,0))/VLOOKUP(B170,Weather!$BO$2:$CB$20,14,FALSE)</f>
        <v>3002300.1666946285</v>
      </c>
      <c r="X170" s="47">
        <f t="shared" ca="1" si="132"/>
        <v>41646302.129088663</v>
      </c>
    </row>
    <row r="171" spans="1:24">
      <c r="A171" s="2">
        <f t="shared" si="214"/>
        <v>47542</v>
      </c>
      <c r="B171">
        <f t="shared" si="215"/>
        <v>2030</v>
      </c>
      <c r="C171">
        <f t="shared" si="216"/>
        <v>2</v>
      </c>
      <c r="E171" s="3">
        <f t="shared" ref="E171:F171" ca="1" si="228">E159</f>
        <v>604.19541666666657</v>
      </c>
      <c r="F171" s="3">
        <f t="shared" ca="1" si="228"/>
        <v>0</v>
      </c>
      <c r="I171" s="47">
        <f t="shared" si="218"/>
        <v>0</v>
      </c>
      <c r="J171" s="47">
        <f t="shared" si="219"/>
        <v>170</v>
      </c>
      <c r="K171" s="47">
        <f t="shared" si="220"/>
        <v>29</v>
      </c>
      <c r="M171" s="3">
        <f t="shared" si="205"/>
        <v>-5660024.0454457896</v>
      </c>
      <c r="N171" s="3">
        <f t="shared" ca="1" si="206"/>
        <v>8619692.2590394374</v>
      </c>
      <c r="O171" s="3">
        <f t="shared" ca="1" si="207"/>
        <v>0</v>
      </c>
      <c r="P171" s="3">
        <f t="shared" si="208"/>
        <v>0</v>
      </c>
      <c r="Q171" s="3">
        <f t="shared" si="209"/>
        <v>0</v>
      </c>
      <c r="R171" s="3">
        <f t="shared" si="210"/>
        <v>0</v>
      </c>
      <c r="S171" s="3">
        <f t="shared" si="211"/>
        <v>8056988.5778983682</v>
      </c>
      <c r="T171" s="3">
        <f t="shared" si="212"/>
        <v>23317518.514435429</v>
      </c>
      <c r="U171" s="47">
        <f t="shared" ca="1" si="213"/>
        <v>34334175.305927441</v>
      </c>
      <c r="V171" s="47">
        <f>IFERROR(HLOOKUP(B171-1,'EV Forecast WRZ'!$F$124:$T$130,2,FALSE)/12,0)+IFERROR(((HLOOKUP(B171,'EV Forecast WRZ'!$F$116:$T$122,2,FALSE)-HLOOKUP(B171-1,'EV Forecast WRZ'!$F$124:$T$130,2,FALSE)))*C171/78,0)</f>
        <v>1538612.0185417107</v>
      </c>
      <c r="W171" s="47">
        <f ca="1">HLOOKUP(B171,Heating!$R$102:$AD$106,2,FALSE)*INDEX(Weather!$BO$1:$CB$20,MATCH(B171,Weather!$BO$1:$BO$20,0),MATCH(C171,Weather!$BO$1:$CB$1,0))/VLOOKUP(B171,Weather!$BO$2:$CB$20,14,FALSE)</f>
        <v>2625953.7125012595</v>
      </c>
      <c r="X171" s="47">
        <f t="shared" ref="X171:X193" ca="1" si="229">U171+V171+W171</f>
        <v>38498741.036970407</v>
      </c>
    </row>
    <row r="172" spans="1:24">
      <c r="A172" s="2">
        <f t="shared" si="214"/>
        <v>47573</v>
      </c>
      <c r="B172">
        <f t="shared" si="215"/>
        <v>2030</v>
      </c>
      <c r="C172">
        <f t="shared" si="216"/>
        <v>3</v>
      </c>
      <c r="E172" s="3">
        <f t="shared" ref="E172:F172" ca="1" si="230">E160</f>
        <v>534.21590579710141</v>
      </c>
      <c r="F172" s="3">
        <f t="shared" ca="1" si="230"/>
        <v>0</v>
      </c>
      <c r="I172" s="47">
        <f t="shared" si="218"/>
        <v>1</v>
      </c>
      <c r="J172" s="47">
        <f t="shared" si="219"/>
        <v>171</v>
      </c>
      <c r="K172" s="47">
        <f t="shared" si="220"/>
        <v>31</v>
      </c>
      <c r="M172" s="3">
        <f t="shared" si="205"/>
        <v>-5660024.0454457896</v>
      </c>
      <c r="N172" s="3">
        <f t="shared" ca="1" si="206"/>
        <v>7621336.7080132328</v>
      </c>
      <c r="O172" s="3">
        <f t="shared" ca="1" si="207"/>
        <v>0</v>
      </c>
      <c r="P172" s="3">
        <f t="shared" si="208"/>
        <v>0</v>
      </c>
      <c r="Q172" s="3">
        <f t="shared" si="209"/>
        <v>0</v>
      </c>
      <c r="R172" s="3">
        <f t="shared" si="210"/>
        <v>-701201.51304507197</v>
      </c>
      <c r="S172" s="3">
        <f t="shared" si="211"/>
        <v>8104382.6283565946</v>
      </c>
      <c r="T172" s="3">
        <f t="shared" si="212"/>
        <v>24925623.239568908</v>
      </c>
      <c r="U172" s="47">
        <f t="shared" ca="1" si="213"/>
        <v>34290117.017447874</v>
      </c>
      <c r="V172" s="47">
        <f>IFERROR(HLOOKUP(B172-1,'EV Forecast WRZ'!$F$124:$T$130,2,FALSE)/12,0)+IFERROR(((HLOOKUP(B172,'EV Forecast WRZ'!$F$116:$T$122,2,FALSE)-HLOOKUP(B172-1,'EV Forecast WRZ'!$F$124:$T$130,2,FALSE)))*C172/78,0)</f>
        <v>1563465.1762055268</v>
      </c>
      <c r="W172" s="47">
        <f ca="1">HLOOKUP(B172,Heating!$R$102:$AD$106,2,FALSE)*INDEX(Weather!$BO$1:$CB$20,MATCH(B172,Weather!$BO$1:$BO$20,0),MATCH(C172,Weather!$BO$1:$CB$1,0))/VLOOKUP(B172,Weather!$BO$2:$CB$20,14,FALSE)</f>
        <v>2321808.8095478849</v>
      </c>
      <c r="X172" s="47">
        <f t="shared" ca="1" si="229"/>
        <v>38175391.003201284</v>
      </c>
    </row>
    <row r="173" spans="1:24">
      <c r="A173" s="2">
        <f t="shared" si="214"/>
        <v>47603</v>
      </c>
      <c r="B173">
        <f t="shared" si="215"/>
        <v>2030</v>
      </c>
      <c r="C173">
        <f t="shared" si="216"/>
        <v>4</v>
      </c>
      <c r="E173" s="3">
        <f t="shared" ref="E173:F173" ca="1" si="231">E161</f>
        <v>352.92312500000003</v>
      </c>
      <c r="F173" s="3">
        <f t="shared" ca="1" si="231"/>
        <v>2.2025000000000015</v>
      </c>
      <c r="I173" s="47">
        <f t="shared" si="218"/>
        <v>1</v>
      </c>
      <c r="J173" s="47">
        <f t="shared" si="219"/>
        <v>172</v>
      </c>
      <c r="K173" s="47">
        <f t="shared" si="220"/>
        <v>30</v>
      </c>
      <c r="M173" s="3">
        <f t="shared" si="205"/>
        <v>-5660024.0454457896</v>
      </c>
      <c r="N173" s="3">
        <f t="shared" ca="1" si="206"/>
        <v>5034941.7501073536</v>
      </c>
      <c r="O173" s="3">
        <f t="shared" ca="1" si="207"/>
        <v>201258.63825014042</v>
      </c>
      <c r="P173" s="3">
        <f t="shared" si="208"/>
        <v>0</v>
      </c>
      <c r="Q173" s="3">
        <f t="shared" si="209"/>
        <v>0</v>
      </c>
      <c r="R173" s="3">
        <f t="shared" si="210"/>
        <v>-701201.51304507197</v>
      </c>
      <c r="S173" s="3">
        <f t="shared" si="211"/>
        <v>8151776.67881482</v>
      </c>
      <c r="T173" s="3">
        <f t="shared" si="212"/>
        <v>24121570.877002168</v>
      </c>
      <c r="U173" s="47">
        <f t="shared" ca="1" si="213"/>
        <v>31148322.385683618</v>
      </c>
      <c r="V173" s="47">
        <f>IFERROR(HLOOKUP(B173-1,'EV Forecast WRZ'!$F$124:$T$130,2,FALSE)/12,0)+IFERROR(((HLOOKUP(B173,'EV Forecast WRZ'!$F$116:$T$122,2,FALSE)-HLOOKUP(B173-1,'EV Forecast WRZ'!$F$124:$T$130,2,FALSE)))*C173/78,0)</f>
        <v>1588318.3338693432</v>
      </c>
      <c r="W173" s="47">
        <f ca="1">HLOOKUP(B173,Heating!$R$102:$AD$106,2,FALSE)*INDEX(Weather!$BO$1:$CB$20,MATCH(B173,Weather!$BO$1:$BO$20,0),MATCH(C173,Weather!$BO$1:$CB$1,0))/VLOOKUP(B173,Weather!$BO$2:$CB$20,14,FALSE)</f>
        <v>1533874.2478951765</v>
      </c>
      <c r="X173" s="47">
        <f t="shared" ca="1" si="229"/>
        <v>34270514.967448138</v>
      </c>
    </row>
    <row r="174" spans="1:24">
      <c r="A174" s="2">
        <f t="shared" si="214"/>
        <v>47634</v>
      </c>
      <c r="B174">
        <f t="shared" si="215"/>
        <v>2030</v>
      </c>
      <c r="C174">
        <f t="shared" si="216"/>
        <v>5</v>
      </c>
      <c r="E174" s="3">
        <f t="shared" ref="E174:F174" ca="1" si="232">E162</f>
        <v>155.24720841877425</v>
      </c>
      <c r="F174" s="3">
        <f t="shared" ca="1" si="232"/>
        <v>48.940113636363641</v>
      </c>
      <c r="I174" s="47">
        <f t="shared" si="218"/>
        <v>1</v>
      </c>
      <c r="J174" s="47">
        <f t="shared" si="219"/>
        <v>173</v>
      </c>
      <c r="K174" s="47">
        <f t="shared" si="220"/>
        <v>31</v>
      </c>
      <c r="M174" s="3">
        <f t="shared" si="205"/>
        <v>-5660024.0454457896</v>
      </c>
      <c r="N174" s="3">
        <f t="shared" ca="1" si="206"/>
        <v>2214818.4572923756</v>
      </c>
      <c r="O174" s="3">
        <f t="shared" ca="1" si="207"/>
        <v>4472018.4455217561</v>
      </c>
      <c r="P174" s="3">
        <f t="shared" si="208"/>
        <v>0</v>
      </c>
      <c r="Q174" s="3">
        <f t="shared" si="209"/>
        <v>0</v>
      </c>
      <c r="R174" s="3">
        <f t="shared" si="210"/>
        <v>-701201.51304507197</v>
      </c>
      <c r="S174" s="3">
        <f t="shared" si="211"/>
        <v>8199170.7292730454</v>
      </c>
      <c r="T174" s="3">
        <f t="shared" si="212"/>
        <v>24925623.239568908</v>
      </c>
      <c r="U174" s="47">
        <f t="shared" ca="1" si="213"/>
        <v>33450405.313165225</v>
      </c>
      <c r="V174" s="47">
        <f>IFERROR(HLOOKUP(B174-1,'EV Forecast WRZ'!$F$124:$T$130,2,FALSE)/12,0)+IFERROR(((HLOOKUP(B174,'EV Forecast WRZ'!$F$116:$T$122,2,FALSE)-HLOOKUP(B174-1,'EV Forecast WRZ'!$F$124:$T$130,2,FALSE)))*C174/78,0)</f>
        <v>1613171.4915331593</v>
      </c>
      <c r="W174" s="47">
        <f ca="1">HLOOKUP(B174,Heating!$R$102:$AD$106,2,FALSE)*INDEX(Weather!$BO$1:$CB$20,MATCH(B174,Weather!$BO$1:$BO$20,0),MATCH(C174,Weather!$BO$1:$CB$1,0))/VLOOKUP(B174,Weather!$BO$2:$CB$20,14,FALSE)</f>
        <v>674735.31254482991</v>
      </c>
      <c r="X174" s="47">
        <f t="shared" ca="1" si="229"/>
        <v>35738312.117243215</v>
      </c>
    </row>
    <row r="175" spans="1:24">
      <c r="A175" s="2">
        <f t="shared" si="214"/>
        <v>47664</v>
      </c>
      <c r="B175">
        <f t="shared" si="215"/>
        <v>2030</v>
      </c>
      <c r="C175">
        <f t="shared" si="216"/>
        <v>6</v>
      </c>
      <c r="E175" s="3">
        <f t="shared" ref="E175:F175" ca="1" si="233">E163</f>
        <v>30.273840492840492</v>
      </c>
      <c r="F175" s="3">
        <f t="shared" ca="1" si="233"/>
        <v>144.91160087738351</v>
      </c>
      <c r="I175" s="47">
        <f t="shared" si="218"/>
        <v>0</v>
      </c>
      <c r="J175" s="47">
        <f t="shared" si="219"/>
        <v>174</v>
      </c>
      <c r="K175" s="47">
        <f t="shared" si="220"/>
        <v>30</v>
      </c>
      <c r="M175" s="3">
        <f t="shared" si="205"/>
        <v>-5660024.0454457896</v>
      </c>
      <c r="N175" s="3">
        <f t="shared" ca="1" si="206"/>
        <v>431898.65621158475</v>
      </c>
      <c r="O175" s="3">
        <f t="shared" ca="1" si="207"/>
        <v>13241639.709071528</v>
      </c>
      <c r="P175" s="3">
        <f t="shared" si="208"/>
        <v>0</v>
      </c>
      <c r="Q175" s="3">
        <f t="shared" si="209"/>
        <v>0</v>
      </c>
      <c r="R175" s="3">
        <f t="shared" si="210"/>
        <v>0</v>
      </c>
      <c r="S175" s="3">
        <f t="shared" si="211"/>
        <v>8246564.7797312718</v>
      </c>
      <c r="T175" s="3">
        <f t="shared" si="212"/>
        <v>24121570.877002168</v>
      </c>
      <c r="U175" s="47">
        <f t="shared" ca="1" si="213"/>
        <v>40381649.976570763</v>
      </c>
      <c r="V175" s="47">
        <f>IFERROR(HLOOKUP(B175-1,'EV Forecast WRZ'!$F$124:$T$130,2,FALSE)/12,0)+IFERROR(((HLOOKUP(B175,'EV Forecast WRZ'!$F$116:$T$122,2,FALSE)-HLOOKUP(B175-1,'EV Forecast WRZ'!$F$124:$T$130,2,FALSE)))*C175/78,0)</f>
        <v>1638024.6491969754</v>
      </c>
      <c r="W175" s="47">
        <f ca="1">HLOOKUP(B175,Heating!$R$102:$AD$106,2,FALSE)*INDEX(Weather!$BO$1:$CB$20,MATCH(B175,Weather!$BO$1:$BO$20,0),MATCH(C175,Weather!$BO$1:$CB$1,0))/VLOOKUP(B175,Weather!$BO$2:$CB$20,14,FALSE)</f>
        <v>131576.14513601013</v>
      </c>
      <c r="X175" s="47">
        <f t="shared" ca="1" si="229"/>
        <v>42151250.770903751</v>
      </c>
    </row>
    <row r="176" spans="1:24">
      <c r="A176" s="2">
        <f t="shared" si="214"/>
        <v>47695</v>
      </c>
      <c r="B176">
        <f t="shared" si="215"/>
        <v>2030</v>
      </c>
      <c r="C176">
        <f t="shared" si="216"/>
        <v>7</v>
      </c>
      <c r="E176" s="3">
        <f t="shared" ref="E176:F176" ca="1" si="234">E164</f>
        <v>1.0845833333333317</v>
      </c>
      <c r="F176" s="3">
        <f t="shared" ca="1" si="234"/>
        <v>242.72508692061183</v>
      </c>
      <c r="I176" s="47">
        <f t="shared" si="218"/>
        <v>0</v>
      </c>
      <c r="J176" s="47">
        <f t="shared" si="219"/>
        <v>175</v>
      </c>
      <c r="K176" s="47">
        <f t="shared" si="220"/>
        <v>31</v>
      </c>
      <c r="M176" s="3">
        <f t="shared" si="205"/>
        <v>-5660024.0454457896</v>
      </c>
      <c r="N176" s="3">
        <f t="shared" ca="1" si="206"/>
        <v>15473.097452796814</v>
      </c>
      <c r="O176" s="3">
        <f t="shared" ca="1" si="207"/>
        <v>22179577.962673906</v>
      </c>
      <c r="P176" s="3">
        <f t="shared" si="208"/>
        <v>0</v>
      </c>
      <c r="Q176" s="3">
        <f t="shared" si="209"/>
        <v>0</v>
      </c>
      <c r="R176" s="3">
        <f t="shared" si="210"/>
        <v>0</v>
      </c>
      <c r="S176" s="3">
        <f t="shared" si="211"/>
        <v>8293958.8301894972</v>
      </c>
      <c r="T176" s="3">
        <f t="shared" si="212"/>
        <v>24925623.239568908</v>
      </c>
      <c r="U176" s="47">
        <f t="shared" ca="1" si="213"/>
        <v>49754609.084439322</v>
      </c>
      <c r="V176" s="47">
        <f>IFERROR(HLOOKUP(B176-1,'EV Forecast WRZ'!$F$124:$T$130,2,FALSE)/12,0)+IFERROR(((HLOOKUP(B176,'EV Forecast WRZ'!$F$116:$T$122,2,FALSE)-HLOOKUP(B176-1,'EV Forecast WRZ'!$F$124:$T$130,2,FALSE)))*C176/78,0)</f>
        <v>1662877.8068607915</v>
      </c>
      <c r="W176" s="47">
        <f ca="1">HLOOKUP(B176,Heating!$R$102:$AD$106,2,FALSE)*INDEX(Weather!$BO$1:$CB$20,MATCH(B176,Weather!$BO$1:$BO$20,0),MATCH(C176,Weather!$BO$1:$CB$1,0))/VLOOKUP(B176,Weather!$BO$2:$CB$20,14,FALSE)</f>
        <v>4713.8153519872285</v>
      </c>
      <c r="X176" s="47">
        <f t="shared" ca="1" si="229"/>
        <v>51422200.706652097</v>
      </c>
    </row>
    <row r="177" spans="1:24">
      <c r="A177" s="2">
        <f t="shared" si="214"/>
        <v>47726</v>
      </c>
      <c r="B177">
        <f t="shared" si="215"/>
        <v>2030</v>
      </c>
      <c r="C177">
        <f t="shared" si="216"/>
        <v>8</v>
      </c>
      <c r="E177" s="3">
        <f t="shared" ref="E177:F177" ca="1" si="235">E165</f>
        <v>6.4245833333333335</v>
      </c>
      <c r="F177" s="3">
        <f t="shared" ca="1" si="235"/>
        <v>214.02558794466404</v>
      </c>
      <c r="I177" s="47">
        <f t="shared" si="218"/>
        <v>0</v>
      </c>
      <c r="J177" s="47">
        <f t="shared" si="219"/>
        <v>176</v>
      </c>
      <c r="K177" s="47">
        <f t="shared" si="220"/>
        <v>31</v>
      </c>
      <c r="M177" s="3">
        <f t="shared" si="205"/>
        <v>-5660024.0454457896</v>
      </c>
      <c r="N177" s="3">
        <f t="shared" ca="1" si="206"/>
        <v>91655.662552698588</v>
      </c>
      <c r="O177" s="3">
        <f t="shared" ca="1" si="207"/>
        <v>19557093.475790568</v>
      </c>
      <c r="P177" s="3">
        <f t="shared" si="208"/>
        <v>0</v>
      </c>
      <c r="Q177" s="3">
        <f t="shared" si="209"/>
        <v>0</v>
      </c>
      <c r="R177" s="3">
        <f t="shared" si="210"/>
        <v>0</v>
      </c>
      <c r="S177" s="3">
        <f t="shared" si="211"/>
        <v>8341352.8806477226</v>
      </c>
      <c r="T177" s="3">
        <f t="shared" si="212"/>
        <v>24925623.239568908</v>
      </c>
      <c r="U177" s="47">
        <f t="shared" ca="1" si="213"/>
        <v>47255701.213114113</v>
      </c>
      <c r="V177" s="47">
        <f>IFERROR(HLOOKUP(B177-1,'EV Forecast WRZ'!$F$124:$T$130,2,FALSE)/12,0)+IFERROR(((HLOOKUP(B177,'EV Forecast WRZ'!$F$116:$T$122,2,FALSE)-HLOOKUP(B177-1,'EV Forecast WRZ'!$F$124:$T$130,2,FALSE)))*C177/78,0)</f>
        <v>1687730.9645246076</v>
      </c>
      <c r="W177" s="47">
        <f ca="1">HLOOKUP(B177,Heating!$R$102:$AD$106,2,FALSE)*INDEX(Weather!$BO$1:$CB$20,MATCH(B177,Weather!$BO$1:$BO$20,0),MATCH(C177,Weather!$BO$1:$CB$1,0))/VLOOKUP(B177,Weather!$BO$2:$CB$20,14,FALSE)</f>
        <v>27922.519751168344</v>
      </c>
      <c r="X177" s="47">
        <f t="shared" ca="1" si="229"/>
        <v>48971354.697389886</v>
      </c>
    </row>
    <row r="178" spans="1:24">
      <c r="A178" s="2">
        <f t="shared" si="214"/>
        <v>47756</v>
      </c>
      <c r="B178">
        <f t="shared" si="215"/>
        <v>2030</v>
      </c>
      <c r="C178">
        <f t="shared" si="216"/>
        <v>9</v>
      </c>
      <c r="E178" s="3">
        <f t="shared" ref="E178:F178" ca="1" si="236">E166</f>
        <v>54.412952898550728</v>
      </c>
      <c r="F178" s="3">
        <f t="shared" ca="1" si="236"/>
        <v>102.40708333333332</v>
      </c>
      <c r="I178" s="47">
        <f t="shared" si="218"/>
        <v>1</v>
      </c>
      <c r="J178" s="47">
        <f t="shared" si="219"/>
        <v>177</v>
      </c>
      <c r="K178" s="47">
        <f t="shared" si="220"/>
        <v>30</v>
      </c>
      <c r="M178" s="3">
        <f t="shared" si="205"/>
        <v>-5660024.0454457896</v>
      </c>
      <c r="N178" s="3">
        <f t="shared" ca="1" si="206"/>
        <v>776276.8401632451</v>
      </c>
      <c r="O178" s="3">
        <f t="shared" ca="1" si="207"/>
        <v>9357689.0528196599</v>
      </c>
      <c r="P178" s="3">
        <f t="shared" si="208"/>
        <v>0</v>
      </c>
      <c r="Q178" s="3">
        <f t="shared" si="209"/>
        <v>0</v>
      </c>
      <c r="R178" s="3">
        <f t="shared" si="210"/>
        <v>-701201.51304507197</v>
      </c>
      <c r="S178" s="3">
        <f t="shared" si="211"/>
        <v>8388746.931105949</v>
      </c>
      <c r="T178" s="3">
        <f t="shared" si="212"/>
        <v>24121570.877002168</v>
      </c>
      <c r="U178" s="47">
        <f t="shared" ca="1" si="213"/>
        <v>36283058.142600164</v>
      </c>
      <c r="V178" s="47">
        <f>IFERROR(HLOOKUP(B178-1,'EV Forecast WRZ'!$F$124:$T$130,2,FALSE)/12,0)+IFERROR(((HLOOKUP(B178,'EV Forecast WRZ'!$F$116:$T$122,2,FALSE)-HLOOKUP(B178-1,'EV Forecast WRZ'!$F$124:$T$130,2,FALSE)))*C178/78,0)</f>
        <v>1712584.1221884238</v>
      </c>
      <c r="W178" s="47">
        <f ca="1">HLOOKUP(B178,Heating!$R$102:$AD$106,2,FALSE)*INDEX(Weather!$BO$1:$CB$20,MATCH(B178,Weather!$BO$1:$BO$20,0),MATCH(C178,Weather!$BO$1:$CB$1,0))/VLOOKUP(B178,Weather!$BO$2:$CB$20,14,FALSE)</f>
        <v>236489.53919644727</v>
      </c>
      <c r="X178" s="47">
        <f t="shared" ca="1" si="229"/>
        <v>38232131.803985037</v>
      </c>
    </row>
    <row r="179" spans="1:24">
      <c r="A179" s="2">
        <f t="shared" si="214"/>
        <v>47787</v>
      </c>
      <c r="B179">
        <f t="shared" si="215"/>
        <v>2030</v>
      </c>
      <c r="C179">
        <f t="shared" si="216"/>
        <v>10</v>
      </c>
      <c r="E179" s="3">
        <f t="shared" ref="E179:F179" ca="1" si="237">E167</f>
        <v>232.21431159420285</v>
      </c>
      <c r="F179" s="3">
        <f t="shared" ca="1" si="237"/>
        <v>19.741250000000004</v>
      </c>
      <c r="I179" s="47">
        <f t="shared" si="218"/>
        <v>1</v>
      </c>
      <c r="J179" s="47">
        <f t="shared" si="219"/>
        <v>178</v>
      </c>
      <c r="K179" s="47">
        <f t="shared" si="220"/>
        <v>31</v>
      </c>
      <c r="M179" s="3">
        <f t="shared" si="205"/>
        <v>-5660024.0454457896</v>
      </c>
      <c r="N179" s="3">
        <f t="shared" ca="1" si="206"/>
        <v>3312861.7809277582</v>
      </c>
      <c r="O179" s="3">
        <f t="shared" ca="1" si="207"/>
        <v>1803903.3336461217</v>
      </c>
      <c r="P179" s="3">
        <f t="shared" si="208"/>
        <v>0</v>
      </c>
      <c r="Q179" s="3">
        <f t="shared" si="209"/>
        <v>0</v>
      </c>
      <c r="R179" s="3">
        <f t="shared" si="210"/>
        <v>-701201.51304507197</v>
      </c>
      <c r="S179" s="3">
        <f t="shared" si="211"/>
        <v>8436140.9815641735</v>
      </c>
      <c r="T179" s="3">
        <f t="shared" si="212"/>
        <v>24925623.239568908</v>
      </c>
      <c r="U179" s="47">
        <f t="shared" ca="1" si="213"/>
        <v>32117303.777216099</v>
      </c>
      <c r="V179" s="47">
        <f>IFERROR(HLOOKUP(B179-1,'EV Forecast WRZ'!$F$124:$T$130,2,FALSE)/12,0)+IFERROR(((HLOOKUP(B179,'EV Forecast WRZ'!$F$116:$T$122,2,FALSE)-HLOOKUP(B179-1,'EV Forecast WRZ'!$F$124:$T$130,2,FALSE)))*C179/78,0)</f>
        <v>1737437.2798522399</v>
      </c>
      <c r="W179" s="47">
        <f ca="1">HLOOKUP(B179,Heating!$R$102:$AD$106,2,FALSE)*INDEX(Weather!$BO$1:$CB$20,MATCH(B179,Weather!$BO$1:$BO$20,0),MATCH(C179,Weather!$BO$1:$CB$1,0))/VLOOKUP(B179,Weather!$BO$2:$CB$20,14,FALSE)</f>
        <v>1009249.6844661399</v>
      </c>
      <c r="X179" s="47">
        <f t="shared" ca="1" si="229"/>
        <v>34863990.741534479</v>
      </c>
    </row>
    <row r="180" spans="1:24">
      <c r="A180" s="2">
        <f t="shared" si="214"/>
        <v>47817</v>
      </c>
      <c r="B180">
        <f t="shared" si="215"/>
        <v>2030</v>
      </c>
      <c r="C180">
        <f t="shared" si="216"/>
        <v>11</v>
      </c>
      <c r="E180" s="3">
        <f t="shared" ref="E180:F180" ca="1" si="238">E168</f>
        <v>435.51408055712398</v>
      </c>
      <c r="F180" s="3">
        <f t="shared" ca="1" si="238"/>
        <v>0.78124999999999944</v>
      </c>
      <c r="I180" s="47">
        <f t="shared" si="218"/>
        <v>1</v>
      </c>
      <c r="J180" s="47">
        <f t="shared" si="219"/>
        <v>179</v>
      </c>
      <c r="K180" s="47">
        <f t="shared" si="220"/>
        <v>30</v>
      </c>
      <c r="M180" s="3">
        <f t="shared" si="205"/>
        <v>-5660024.0454457896</v>
      </c>
      <c r="N180" s="3">
        <f t="shared" ca="1" si="206"/>
        <v>6213217.1898814524</v>
      </c>
      <c r="O180" s="3">
        <f t="shared" ca="1" si="207"/>
        <v>71388.563510974796</v>
      </c>
      <c r="P180" s="3">
        <f t="shared" si="208"/>
        <v>0</v>
      </c>
      <c r="Q180" s="3">
        <f t="shared" si="209"/>
        <v>0</v>
      </c>
      <c r="R180" s="3">
        <f t="shared" si="210"/>
        <v>-701201.51304507197</v>
      </c>
      <c r="S180" s="3">
        <f t="shared" si="211"/>
        <v>8483535.0320223998</v>
      </c>
      <c r="T180" s="3">
        <f t="shared" si="212"/>
        <v>24121570.877002168</v>
      </c>
      <c r="U180" s="47">
        <f t="shared" ca="1" si="213"/>
        <v>32528486.103926133</v>
      </c>
      <c r="V180" s="47">
        <f>IFERROR(HLOOKUP(B180-1,'EV Forecast WRZ'!$F$124:$T$130,2,FALSE)/12,0)+IFERROR(((HLOOKUP(B180,'EV Forecast WRZ'!$F$116:$T$122,2,FALSE)-HLOOKUP(B180-1,'EV Forecast WRZ'!$F$124:$T$130,2,FALSE)))*C180/78,0)</f>
        <v>1762290.4375160562</v>
      </c>
      <c r="W180" s="47">
        <f ca="1">HLOOKUP(B180,Heating!$R$102:$AD$106,2,FALSE)*INDEX(Weather!$BO$1:$CB$20,MATCH(B180,Weather!$BO$1:$BO$20,0),MATCH(C180,Weather!$BO$1:$CB$1,0))/VLOOKUP(B180,Weather!$BO$2:$CB$20,14,FALSE)</f>
        <v>1892831.0032455875</v>
      </c>
      <c r="X180" s="47">
        <f t="shared" ca="1" si="229"/>
        <v>36183607.544687778</v>
      </c>
    </row>
    <row r="181" spans="1:24">
      <c r="A181" s="2">
        <f t="shared" si="214"/>
        <v>47848</v>
      </c>
      <c r="B181">
        <f t="shared" si="215"/>
        <v>2030</v>
      </c>
      <c r="C181">
        <f t="shared" si="216"/>
        <v>12</v>
      </c>
      <c r="E181" s="3">
        <f t="shared" ref="E181:F181" ca="1" si="239">E169</f>
        <v>602.38541666666674</v>
      </c>
      <c r="F181" s="3">
        <f t="shared" ca="1" si="239"/>
        <v>0</v>
      </c>
      <c r="I181" s="47">
        <f t="shared" si="218"/>
        <v>0</v>
      </c>
      <c r="J181" s="47">
        <f t="shared" si="219"/>
        <v>180</v>
      </c>
      <c r="K181" s="47">
        <f t="shared" si="220"/>
        <v>31</v>
      </c>
      <c r="M181" s="3">
        <f t="shared" si="205"/>
        <v>-5660024.0454457896</v>
      </c>
      <c r="N181" s="3">
        <f t="shared" ca="1" si="206"/>
        <v>8593870.0787340421</v>
      </c>
      <c r="O181" s="3">
        <f t="shared" ca="1" si="207"/>
        <v>0</v>
      </c>
      <c r="P181" s="3">
        <f t="shared" si="208"/>
        <v>0</v>
      </c>
      <c r="Q181" s="3">
        <f t="shared" si="209"/>
        <v>0</v>
      </c>
      <c r="R181" s="3">
        <f t="shared" si="210"/>
        <v>0</v>
      </c>
      <c r="S181" s="3">
        <f t="shared" si="211"/>
        <v>8530929.0824806262</v>
      </c>
      <c r="T181" s="3">
        <f t="shared" si="212"/>
        <v>24925623.239568908</v>
      </c>
      <c r="U181" s="47">
        <f t="shared" ca="1" si="213"/>
        <v>36390398.355337784</v>
      </c>
      <c r="V181" s="47">
        <f>IFERROR(HLOOKUP(B181-1,'EV Forecast WRZ'!$F$124:$T$130,2,FALSE)/12,0)+IFERROR(((HLOOKUP(B181,'EV Forecast WRZ'!$F$116:$T$122,2,FALSE)-HLOOKUP(B181-1,'EV Forecast WRZ'!$F$124:$T$130,2,FALSE)))*C181/78,0)</f>
        <v>1787143.5951798724</v>
      </c>
      <c r="W181" s="47">
        <f ca="1">HLOOKUP(B181,Heating!$R$102:$AD$106,2,FALSE)*INDEX(Weather!$BO$1:$CB$20,MATCH(B181,Weather!$BO$1:$BO$20,0),MATCH(C181,Weather!$BO$1:$CB$1,0))/VLOOKUP(B181,Weather!$BO$2:$CB$20,14,FALSE)</f>
        <v>2618087.0917217624</v>
      </c>
      <c r="X181" s="47">
        <f t="shared" ca="1" si="229"/>
        <v>40795629.04223942</v>
      </c>
    </row>
    <row r="182" spans="1:24">
      <c r="A182" s="2">
        <f t="shared" si="214"/>
        <v>47879</v>
      </c>
      <c r="B182">
        <f t="shared" si="215"/>
        <v>2031</v>
      </c>
      <c r="C182">
        <f t="shared" si="216"/>
        <v>1</v>
      </c>
      <c r="E182" s="3">
        <f t="shared" ref="E182:F182" ca="1" si="240">E170</f>
        <v>690.78750000000002</v>
      </c>
      <c r="F182" s="3">
        <f t="shared" ca="1" si="240"/>
        <v>0</v>
      </c>
      <c r="I182" s="47">
        <f t="shared" si="218"/>
        <v>0</v>
      </c>
      <c r="J182" s="47">
        <f t="shared" si="219"/>
        <v>181</v>
      </c>
      <c r="K182" s="47">
        <f t="shared" si="220"/>
        <v>31</v>
      </c>
      <c r="M182" s="3">
        <f t="shared" si="205"/>
        <v>-5660024.0454457896</v>
      </c>
      <c r="N182" s="3">
        <f t="shared" ca="1" si="206"/>
        <v>9855049.3799528815</v>
      </c>
      <c r="O182" s="3">
        <f t="shared" ca="1" si="207"/>
        <v>0</v>
      </c>
      <c r="P182" s="3">
        <f t="shared" si="208"/>
        <v>0</v>
      </c>
      <c r="Q182" s="3">
        <f t="shared" si="209"/>
        <v>0</v>
      </c>
      <c r="R182" s="3">
        <f t="shared" si="210"/>
        <v>0</v>
      </c>
      <c r="S182" s="3">
        <f t="shared" si="211"/>
        <v>8578323.1329388507</v>
      </c>
      <c r="T182" s="3">
        <f t="shared" si="212"/>
        <v>24925623.239568908</v>
      </c>
      <c r="U182" s="47">
        <f t="shared" ca="1" si="213"/>
        <v>37698971.707014851</v>
      </c>
      <c r="V182" s="47">
        <f>IFERROR(HLOOKUP(B182-1,'EV Forecast WRZ'!$F$124:$T$130,2,FALSE)/12,0)+IFERROR(((HLOOKUP(B182,'EV Forecast WRZ'!$F$116:$T$122,2,FALSE)-HLOOKUP(B182-1,'EV Forecast WRZ'!$F$124:$T$130,2,FALSE)))*C182/78,0)</f>
        <v>1859246.0968217268</v>
      </c>
      <c r="W182" s="47">
        <f ca="1">HLOOKUP(B182,Heating!$R$102:$AD$106,2,FALSE)*INDEX(Weather!$BO$1:$CB$20,MATCH(B182,Weather!$BO$1:$BO$20,0),MATCH(C182,Weather!$BO$1:$CB$1,0))/VLOOKUP(B182,Weather!$BO$2:$CB$20,14,FALSE)</f>
        <v>3373826.5280712508</v>
      </c>
      <c r="X182" s="47">
        <f t="shared" ca="1" si="229"/>
        <v>42932044.331907824</v>
      </c>
    </row>
    <row r="183" spans="1:24">
      <c r="A183" s="2">
        <f t="shared" si="214"/>
        <v>47907</v>
      </c>
      <c r="B183">
        <f t="shared" si="215"/>
        <v>2031</v>
      </c>
      <c r="C183">
        <f t="shared" si="216"/>
        <v>2</v>
      </c>
      <c r="E183" s="3">
        <f t="shared" ref="E183:F183" ca="1" si="241">E171</f>
        <v>604.19541666666657</v>
      </c>
      <c r="F183" s="3">
        <f t="shared" ca="1" si="241"/>
        <v>0</v>
      </c>
      <c r="I183" s="47">
        <f t="shared" si="218"/>
        <v>0</v>
      </c>
      <c r="J183" s="47">
        <f t="shared" si="219"/>
        <v>182</v>
      </c>
      <c r="K183" s="47">
        <f t="shared" si="220"/>
        <v>28</v>
      </c>
      <c r="M183" s="3">
        <f t="shared" si="205"/>
        <v>-5660024.0454457896</v>
      </c>
      <c r="N183" s="3">
        <f t="shared" ca="1" si="206"/>
        <v>8619692.2590394374</v>
      </c>
      <c r="O183" s="3">
        <f t="shared" ca="1" si="207"/>
        <v>0</v>
      </c>
      <c r="P183" s="3">
        <f t="shared" si="208"/>
        <v>0</v>
      </c>
      <c r="Q183" s="3">
        <f t="shared" si="209"/>
        <v>0</v>
      </c>
      <c r="R183" s="3">
        <f t="shared" si="210"/>
        <v>0</v>
      </c>
      <c r="S183" s="3">
        <f t="shared" si="211"/>
        <v>8625717.183397077</v>
      </c>
      <c r="T183" s="3">
        <f t="shared" si="212"/>
        <v>22513466.15186869</v>
      </c>
      <c r="U183" s="47">
        <f t="shared" ca="1" si="213"/>
        <v>34098851.548859417</v>
      </c>
      <c r="V183" s="47">
        <f>IFERROR(HLOOKUP(B183-1,'EV Forecast WRZ'!$F$124:$T$130,2,FALSE)/12,0)+IFERROR(((HLOOKUP(B183,'EV Forecast WRZ'!$F$116:$T$122,2,FALSE)-HLOOKUP(B183-1,'EV Forecast WRZ'!$F$124:$T$130,2,FALSE)))*C183/78,0)</f>
        <v>1884981.2641330976</v>
      </c>
      <c r="W183" s="47">
        <f ca="1">HLOOKUP(B183,Heating!$R$102:$AD$106,2,FALSE)*INDEX(Weather!$BO$1:$CB$20,MATCH(B183,Weather!$BO$1:$BO$20,0),MATCH(C183,Weather!$BO$1:$CB$1,0))/VLOOKUP(B183,Weather!$BO$2:$CB$20,14,FALSE)</f>
        <v>2950908.2386248484</v>
      </c>
      <c r="X183" s="47">
        <f t="shared" ca="1" si="229"/>
        <v>38934741.051617362</v>
      </c>
    </row>
    <row r="184" spans="1:24">
      <c r="A184" s="2">
        <f t="shared" si="214"/>
        <v>47938</v>
      </c>
      <c r="B184">
        <f t="shared" si="215"/>
        <v>2031</v>
      </c>
      <c r="C184">
        <f t="shared" si="216"/>
        <v>3</v>
      </c>
      <c r="E184" s="3">
        <f t="shared" ref="E184:F184" ca="1" si="242">E172</f>
        <v>534.21590579710141</v>
      </c>
      <c r="F184" s="3">
        <f t="shared" ca="1" si="242"/>
        <v>0</v>
      </c>
      <c r="I184" s="47">
        <f t="shared" si="218"/>
        <v>1</v>
      </c>
      <c r="J184" s="47">
        <f t="shared" si="219"/>
        <v>183</v>
      </c>
      <c r="K184" s="47">
        <f t="shared" si="220"/>
        <v>31</v>
      </c>
      <c r="M184" s="3">
        <f t="shared" si="205"/>
        <v>-5660024.0454457896</v>
      </c>
      <c r="N184" s="3">
        <f t="shared" ca="1" si="206"/>
        <v>7621336.7080132328</v>
      </c>
      <c r="O184" s="3">
        <f t="shared" ca="1" si="207"/>
        <v>0</v>
      </c>
      <c r="P184" s="3">
        <f t="shared" si="208"/>
        <v>0</v>
      </c>
      <c r="Q184" s="3">
        <f t="shared" si="209"/>
        <v>0</v>
      </c>
      <c r="R184" s="3">
        <f t="shared" si="210"/>
        <v>-701201.51304507197</v>
      </c>
      <c r="S184" s="3">
        <f t="shared" si="211"/>
        <v>8673111.2338553034</v>
      </c>
      <c r="T184" s="3">
        <f t="shared" si="212"/>
        <v>24925623.239568908</v>
      </c>
      <c r="U184" s="47">
        <f t="shared" ca="1" si="213"/>
        <v>34858845.622946583</v>
      </c>
      <c r="V184" s="47">
        <f>IFERROR(HLOOKUP(B184-1,'EV Forecast WRZ'!$F$124:$T$130,2,FALSE)/12,0)+IFERROR(((HLOOKUP(B184,'EV Forecast WRZ'!$F$116:$T$122,2,FALSE)-HLOOKUP(B184-1,'EV Forecast WRZ'!$F$124:$T$130,2,FALSE)))*C184/78,0)</f>
        <v>1910716.4314444687</v>
      </c>
      <c r="W184" s="47">
        <f ca="1">HLOOKUP(B184,Heating!$R$102:$AD$106,2,FALSE)*INDEX(Weather!$BO$1:$CB$20,MATCH(B184,Weather!$BO$1:$BO$20,0),MATCH(C184,Weather!$BO$1:$CB$1,0))/VLOOKUP(B184,Weather!$BO$2:$CB$20,14,FALSE)</f>
        <v>2609126.2431585295</v>
      </c>
      <c r="X184" s="47">
        <f t="shared" ca="1" si="229"/>
        <v>39378688.297549576</v>
      </c>
    </row>
    <row r="185" spans="1:24">
      <c r="A185" s="2">
        <f t="shared" si="214"/>
        <v>47968</v>
      </c>
      <c r="B185">
        <f t="shared" si="215"/>
        <v>2031</v>
      </c>
      <c r="C185">
        <f t="shared" si="216"/>
        <v>4</v>
      </c>
      <c r="E185" s="3">
        <f t="shared" ref="E185:F185" ca="1" si="243">E173</f>
        <v>352.92312500000003</v>
      </c>
      <c r="F185" s="3">
        <f t="shared" ca="1" si="243"/>
        <v>2.2025000000000015</v>
      </c>
      <c r="I185" s="47">
        <f t="shared" si="218"/>
        <v>1</v>
      </c>
      <c r="J185" s="47">
        <f t="shared" si="219"/>
        <v>184</v>
      </c>
      <c r="K185" s="47">
        <f t="shared" si="220"/>
        <v>30</v>
      </c>
      <c r="M185" s="3">
        <f t="shared" si="205"/>
        <v>-5660024.0454457896</v>
      </c>
      <c r="N185" s="3">
        <f t="shared" ca="1" si="206"/>
        <v>5034941.7501073536</v>
      </c>
      <c r="O185" s="3">
        <f t="shared" ca="1" si="207"/>
        <v>201258.63825014042</v>
      </c>
      <c r="P185" s="3">
        <f t="shared" si="208"/>
        <v>0</v>
      </c>
      <c r="Q185" s="3">
        <f t="shared" si="209"/>
        <v>0</v>
      </c>
      <c r="R185" s="3">
        <f t="shared" si="210"/>
        <v>-701201.51304507197</v>
      </c>
      <c r="S185" s="3">
        <f t="shared" si="211"/>
        <v>8720505.2843135279</v>
      </c>
      <c r="T185" s="3">
        <f t="shared" si="212"/>
        <v>24121570.877002168</v>
      </c>
      <c r="U185" s="47">
        <f t="shared" ca="1" si="213"/>
        <v>31717050.991182327</v>
      </c>
      <c r="V185" s="47">
        <f>IFERROR(HLOOKUP(B185-1,'EV Forecast WRZ'!$F$124:$T$130,2,FALSE)/12,0)+IFERROR(((HLOOKUP(B185,'EV Forecast WRZ'!$F$116:$T$122,2,FALSE)-HLOOKUP(B185-1,'EV Forecast WRZ'!$F$124:$T$130,2,FALSE)))*C185/78,0)</f>
        <v>1936451.5987558395</v>
      </c>
      <c r="W185" s="47">
        <f ca="1">HLOOKUP(B185,Heating!$R$102:$AD$106,2,FALSE)*INDEX(Weather!$BO$1:$CB$20,MATCH(B185,Weather!$BO$1:$BO$20,0),MATCH(C185,Weather!$BO$1:$CB$1,0))/VLOOKUP(B185,Weather!$BO$2:$CB$20,14,FALSE)</f>
        <v>1723686.953650444</v>
      </c>
      <c r="X185" s="47">
        <f t="shared" ca="1" si="229"/>
        <v>35377189.543588609</v>
      </c>
    </row>
    <row r="186" spans="1:24">
      <c r="A186" s="2">
        <f t="shared" si="214"/>
        <v>47999</v>
      </c>
      <c r="B186">
        <f t="shared" si="215"/>
        <v>2031</v>
      </c>
      <c r="C186">
        <f t="shared" si="216"/>
        <v>5</v>
      </c>
      <c r="E186" s="3">
        <f t="shared" ref="E186:F186" ca="1" si="244">E174</f>
        <v>155.24720841877425</v>
      </c>
      <c r="F186" s="3">
        <f t="shared" ca="1" si="244"/>
        <v>48.940113636363641</v>
      </c>
      <c r="I186" s="47">
        <f t="shared" si="218"/>
        <v>1</v>
      </c>
      <c r="J186" s="47">
        <f t="shared" si="219"/>
        <v>185</v>
      </c>
      <c r="K186" s="47">
        <f t="shared" si="220"/>
        <v>31</v>
      </c>
      <c r="M186" s="3">
        <f t="shared" si="205"/>
        <v>-5660024.0454457896</v>
      </c>
      <c r="N186" s="3">
        <f t="shared" ca="1" si="206"/>
        <v>2214818.4572923756</v>
      </c>
      <c r="O186" s="3">
        <f t="shared" ca="1" si="207"/>
        <v>4472018.4455217561</v>
      </c>
      <c r="P186" s="3">
        <f t="shared" si="208"/>
        <v>0</v>
      </c>
      <c r="Q186" s="3">
        <f t="shared" si="209"/>
        <v>0</v>
      </c>
      <c r="R186" s="3">
        <f t="shared" si="210"/>
        <v>-701201.51304507197</v>
      </c>
      <c r="S186" s="3">
        <f t="shared" si="211"/>
        <v>8767899.3347717542</v>
      </c>
      <c r="T186" s="3">
        <f t="shared" si="212"/>
        <v>24925623.239568908</v>
      </c>
      <c r="U186" s="47">
        <f t="shared" ca="1" si="213"/>
        <v>34019133.918663934</v>
      </c>
      <c r="V186" s="47">
        <f>IFERROR(HLOOKUP(B186-1,'EV Forecast WRZ'!$F$124:$T$130,2,FALSE)/12,0)+IFERROR(((HLOOKUP(B186,'EV Forecast WRZ'!$F$116:$T$122,2,FALSE)-HLOOKUP(B186-1,'EV Forecast WRZ'!$F$124:$T$130,2,FALSE)))*C186/78,0)</f>
        <v>1962186.7660672104</v>
      </c>
      <c r="W186" s="47">
        <f ca="1">HLOOKUP(B186,Heating!$R$102:$AD$106,2,FALSE)*INDEX(Weather!$BO$1:$CB$20,MATCH(B186,Weather!$BO$1:$BO$20,0),MATCH(C186,Weather!$BO$1:$CB$1,0))/VLOOKUP(B186,Weather!$BO$2:$CB$20,14,FALSE)</f>
        <v>758231.94567398366</v>
      </c>
      <c r="X186" s="47">
        <f t="shared" ca="1" si="229"/>
        <v>36739552.630405128</v>
      </c>
    </row>
    <row r="187" spans="1:24">
      <c r="A187" s="2">
        <f t="shared" si="214"/>
        <v>48029</v>
      </c>
      <c r="B187">
        <f t="shared" si="215"/>
        <v>2031</v>
      </c>
      <c r="C187">
        <f t="shared" si="216"/>
        <v>6</v>
      </c>
      <c r="E187" s="3">
        <f t="shared" ref="E187:F187" ca="1" si="245">E175</f>
        <v>30.273840492840492</v>
      </c>
      <c r="F187" s="3">
        <f t="shared" ca="1" si="245"/>
        <v>144.91160087738351</v>
      </c>
      <c r="I187" s="47">
        <f t="shared" si="218"/>
        <v>0</v>
      </c>
      <c r="J187" s="47">
        <f t="shared" si="219"/>
        <v>186</v>
      </c>
      <c r="K187" s="47">
        <f t="shared" si="220"/>
        <v>30</v>
      </c>
      <c r="M187" s="3">
        <f t="shared" si="205"/>
        <v>-5660024.0454457896</v>
      </c>
      <c r="N187" s="3">
        <f t="shared" ca="1" si="206"/>
        <v>431898.65621158475</v>
      </c>
      <c r="O187" s="3">
        <f t="shared" ca="1" si="207"/>
        <v>13241639.709071528</v>
      </c>
      <c r="P187" s="3">
        <f t="shared" si="208"/>
        <v>0</v>
      </c>
      <c r="Q187" s="3">
        <f t="shared" si="209"/>
        <v>0</v>
      </c>
      <c r="R187" s="3">
        <f t="shared" si="210"/>
        <v>0</v>
      </c>
      <c r="S187" s="3">
        <f t="shared" si="211"/>
        <v>8815293.3852299806</v>
      </c>
      <c r="T187" s="3">
        <f t="shared" si="212"/>
        <v>24121570.877002168</v>
      </c>
      <c r="U187" s="47">
        <f t="shared" ca="1" si="213"/>
        <v>40950378.582069471</v>
      </c>
      <c r="V187" s="47">
        <f>IFERROR(HLOOKUP(B187-1,'EV Forecast WRZ'!$F$124:$T$130,2,FALSE)/12,0)+IFERROR(((HLOOKUP(B187,'EV Forecast WRZ'!$F$116:$T$122,2,FALSE)-HLOOKUP(B187-1,'EV Forecast WRZ'!$F$124:$T$130,2,FALSE)))*C187/78,0)</f>
        <v>1987921.9333785814</v>
      </c>
      <c r="W187" s="47">
        <f ca="1">HLOOKUP(B187,Heating!$R$102:$AD$106,2,FALSE)*INDEX(Weather!$BO$1:$CB$20,MATCH(B187,Weather!$BO$1:$BO$20,0),MATCH(C187,Weather!$BO$1:$CB$1,0))/VLOOKUP(B187,Weather!$BO$2:$CB$20,14,FALSE)</f>
        <v>147858.33003831553</v>
      </c>
      <c r="X187" s="47">
        <f t="shared" ca="1" si="229"/>
        <v>43086158.845486373</v>
      </c>
    </row>
    <row r="188" spans="1:24">
      <c r="A188" s="2">
        <f t="shared" si="214"/>
        <v>48060</v>
      </c>
      <c r="B188">
        <f t="shared" si="215"/>
        <v>2031</v>
      </c>
      <c r="C188">
        <f t="shared" si="216"/>
        <v>7</v>
      </c>
      <c r="E188" s="3">
        <f t="shared" ref="E188:F188" ca="1" si="246">E176</f>
        <v>1.0845833333333317</v>
      </c>
      <c r="F188" s="3">
        <f t="shared" ca="1" si="246"/>
        <v>242.72508692061183</v>
      </c>
      <c r="I188" s="47">
        <f t="shared" si="218"/>
        <v>0</v>
      </c>
      <c r="J188" s="47">
        <f t="shared" si="219"/>
        <v>187</v>
      </c>
      <c r="K188" s="47">
        <f t="shared" si="220"/>
        <v>31</v>
      </c>
      <c r="M188" s="3">
        <f t="shared" si="205"/>
        <v>-5660024.0454457896</v>
      </c>
      <c r="N188" s="3">
        <f t="shared" ca="1" si="206"/>
        <v>15473.097452796814</v>
      </c>
      <c r="O188" s="3">
        <f t="shared" ca="1" si="207"/>
        <v>22179577.962673906</v>
      </c>
      <c r="P188" s="3">
        <f t="shared" si="208"/>
        <v>0</v>
      </c>
      <c r="Q188" s="3">
        <f t="shared" si="209"/>
        <v>0</v>
      </c>
      <c r="R188" s="3">
        <f t="shared" si="210"/>
        <v>0</v>
      </c>
      <c r="S188" s="3">
        <f t="shared" si="211"/>
        <v>8862687.4356882051</v>
      </c>
      <c r="T188" s="3">
        <f t="shared" si="212"/>
        <v>24925623.239568908</v>
      </c>
      <c r="U188" s="47">
        <f t="shared" ca="1" si="213"/>
        <v>50323337.689938024</v>
      </c>
      <c r="V188" s="47">
        <f>IFERROR(HLOOKUP(B188-1,'EV Forecast WRZ'!$F$124:$T$130,2,FALSE)/12,0)+IFERROR(((HLOOKUP(B188,'EV Forecast WRZ'!$F$116:$T$122,2,FALSE)-HLOOKUP(B188-1,'EV Forecast WRZ'!$F$124:$T$130,2,FALSE)))*C188/78,0)</f>
        <v>2013657.1006899523</v>
      </c>
      <c r="W188" s="47">
        <f ca="1">HLOOKUP(B188,Heating!$R$102:$AD$106,2,FALSE)*INDEX(Weather!$BO$1:$CB$20,MATCH(B188,Weather!$BO$1:$BO$20,0),MATCH(C188,Weather!$BO$1:$CB$1,0))/VLOOKUP(B188,Weather!$BO$2:$CB$20,14,FALSE)</f>
        <v>5297.1369949571153</v>
      </c>
      <c r="X188" s="47">
        <f t="shared" ca="1" si="229"/>
        <v>52342291.927622937</v>
      </c>
    </row>
    <row r="189" spans="1:24">
      <c r="A189" s="2">
        <f t="shared" si="214"/>
        <v>48091</v>
      </c>
      <c r="B189">
        <f t="shared" si="215"/>
        <v>2031</v>
      </c>
      <c r="C189">
        <f t="shared" si="216"/>
        <v>8</v>
      </c>
      <c r="E189" s="3">
        <f t="shared" ref="E189:F189" ca="1" si="247">E177</f>
        <v>6.4245833333333335</v>
      </c>
      <c r="F189" s="3">
        <f t="shared" ca="1" si="247"/>
        <v>214.02558794466404</v>
      </c>
      <c r="I189" s="47">
        <f t="shared" si="218"/>
        <v>0</v>
      </c>
      <c r="J189" s="47">
        <f t="shared" si="219"/>
        <v>188</v>
      </c>
      <c r="K189" s="47">
        <f t="shared" si="220"/>
        <v>31</v>
      </c>
      <c r="M189" s="3">
        <f t="shared" si="205"/>
        <v>-5660024.0454457896</v>
      </c>
      <c r="N189" s="3">
        <f t="shared" ca="1" si="206"/>
        <v>91655.662552698588</v>
      </c>
      <c r="O189" s="3">
        <f t="shared" ca="1" si="207"/>
        <v>19557093.475790568</v>
      </c>
      <c r="P189" s="3">
        <f t="shared" si="208"/>
        <v>0</v>
      </c>
      <c r="Q189" s="3">
        <f t="shared" si="209"/>
        <v>0</v>
      </c>
      <c r="R189" s="3">
        <f t="shared" si="210"/>
        <v>0</v>
      </c>
      <c r="S189" s="3">
        <f t="shared" si="211"/>
        <v>8910081.4861464314</v>
      </c>
      <c r="T189" s="3">
        <f t="shared" si="212"/>
        <v>24925623.239568908</v>
      </c>
      <c r="U189" s="47">
        <f t="shared" ca="1" si="213"/>
        <v>47824429.818612814</v>
      </c>
      <c r="V189" s="47">
        <f>IFERROR(HLOOKUP(B189-1,'EV Forecast WRZ'!$F$124:$T$130,2,FALSE)/12,0)+IFERROR(((HLOOKUP(B189,'EV Forecast WRZ'!$F$116:$T$122,2,FALSE)-HLOOKUP(B189-1,'EV Forecast WRZ'!$F$124:$T$130,2,FALSE)))*C189/78,0)</f>
        <v>2039392.2680013231</v>
      </c>
      <c r="W189" s="47">
        <f ca="1">HLOOKUP(B189,Heating!$R$102:$AD$106,2,FALSE)*INDEX(Weather!$BO$1:$CB$20,MATCH(B189,Weather!$BO$1:$BO$20,0),MATCH(C189,Weather!$BO$1:$CB$1,0))/VLOOKUP(B189,Weather!$BO$2:$CB$20,14,FALSE)</f>
        <v>31377.854523720282</v>
      </c>
      <c r="X189" s="47">
        <f t="shared" ca="1" si="229"/>
        <v>49895199.941137858</v>
      </c>
    </row>
    <row r="190" spans="1:24">
      <c r="A190" s="2">
        <f t="shared" si="214"/>
        <v>48121</v>
      </c>
      <c r="B190">
        <f t="shared" si="215"/>
        <v>2031</v>
      </c>
      <c r="C190">
        <f t="shared" si="216"/>
        <v>9</v>
      </c>
      <c r="E190" s="3">
        <f t="shared" ref="E190:F190" ca="1" si="248">E178</f>
        <v>54.412952898550728</v>
      </c>
      <c r="F190" s="3">
        <f t="shared" ca="1" si="248"/>
        <v>102.40708333333332</v>
      </c>
      <c r="I190" s="47">
        <f t="shared" si="218"/>
        <v>1</v>
      </c>
      <c r="J190" s="47">
        <f t="shared" si="219"/>
        <v>189</v>
      </c>
      <c r="K190" s="47">
        <f t="shared" si="220"/>
        <v>30</v>
      </c>
      <c r="M190" s="3">
        <f t="shared" si="205"/>
        <v>-5660024.0454457896</v>
      </c>
      <c r="N190" s="3">
        <f t="shared" ca="1" si="206"/>
        <v>776276.8401632451</v>
      </c>
      <c r="O190" s="3">
        <f t="shared" ca="1" si="207"/>
        <v>9357689.0528196599</v>
      </c>
      <c r="P190" s="3">
        <f t="shared" si="208"/>
        <v>0</v>
      </c>
      <c r="Q190" s="3">
        <f t="shared" si="209"/>
        <v>0</v>
      </c>
      <c r="R190" s="3">
        <f t="shared" si="210"/>
        <v>-701201.51304507197</v>
      </c>
      <c r="S190" s="3">
        <f t="shared" si="211"/>
        <v>8957475.5366046578</v>
      </c>
      <c r="T190" s="3">
        <f t="shared" si="212"/>
        <v>24121570.877002168</v>
      </c>
      <c r="U190" s="47">
        <f t="shared" ca="1" si="213"/>
        <v>36851786.748098865</v>
      </c>
      <c r="V190" s="47">
        <f>IFERROR(HLOOKUP(B190-1,'EV Forecast WRZ'!$F$124:$T$130,2,FALSE)/12,0)+IFERROR(((HLOOKUP(B190,'EV Forecast WRZ'!$F$116:$T$122,2,FALSE)-HLOOKUP(B190-1,'EV Forecast WRZ'!$F$124:$T$130,2,FALSE)))*C190/78,0)</f>
        <v>2065127.4353126939</v>
      </c>
      <c r="W190" s="47">
        <f ca="1">HLOOKUP(B190,Heating!$R$102:$AD$106,2,FALSE)*INDEX(Weather!$BO$1:$CB$20,MATCH(B190,Weather!$BO$1:$BO$20,0),MATCH(C190,Weather!$BO$1:$CB$1,0))/VLOOKUP(B190,Weather!$BO$2:$CB$20,14,FALSE)</f>
        <v>265754.46712602919</v>
      </c>
      <c r="X190" s="47">
        <f t="shared" ca="1" si="229"/>
        <v>39182668.650537588</v>
      </c>
    </row>
    <row r="191" spans="1:24">
      <c r="A191" s="2">
        <f t="shared" si="214"/>
        <v>48152</v>
      </c>
      <c r="B191">
        <f t="shared" si="215"/>
        <v>2031</v>
      </c>
      <c r="C191">
        <f t="shared" si="216"/>
        <v>10</v>
      </c>
      <c r="E191" s="3">
        <f t="shared" ref="E191:F191" ca="1" si="249">E179</f>
        <v>232.21431159420285</v>
      </c>
      <c r="F191" s="3">
        <f t="shared" ca="1" si="249"/>
        <v>19.741250000000004</v>
      </c>
      <c r="I191" s="47">
        <f t="shared" si="218"/>
        <v>1</v>
      </c>
      <c r="J191" s="47">
        <f t="shared" si="219"/>
        <v>190</v>
      </c>
      <c r="K191" s="47">
        <f t="shared" si="220"/>
        <v>31</v>
      </c>
      <c r="M191" s="3">
        <f t="shared" si="205"/>
        <v>-5660024.0454457896</v>
      </c>
      <c r="N191" s="3">
        <f t="shared" ca="1" si="206"/>
        <v>3312861.7809277582</v>
      </c>
      <c r="O191" s="3">
        <f t="shared" ca="1" si="207"/>
        <v>1803903.3336461217</v>
      </c>
      <c r="P191" s="3">
        <f t="shared" si="208"/>
        <v>0</v>
      </c>
      <c r="Q191" s="3">
        <f t="shared" si="209"/>
        <v>0</v>
      </c>
      <c r="R191" s="3">
        <f t="shared" si="210"/>
        <v>-701201.51304507197</v>
      </c>
      <c r="S191" s="3">
        <f t="shared" si="211"/>
        <v>9004869.5870628823</v>
      </c>
      <c r="T191" s="3">
        <f t="shared" si="212"/>
        <v>24925623.239568908</v>
      </c>
      <c r="U191" s="47">
        <f t="shared" ca="1" si="213"/>
        <v>32686032.382714808</v>
      </c>
      <c r="V191" s="47">
        <f>IFERROR(HLOOKUP(B191-1,'EV Forecast WRZ'!$F$124:$T$130,2,FALSE)/12,0)+IFERROR(((HLOOKUP(B191,'EV Forecast WRZ'!$F$116:$T$122,2,FALSE)-HLOOKUP(B191-1,'EV Forecast WRZ'!$F$124:$T$130,2,FALSE)))*C191/78,0)</f>
        <v>2090862.602624065</v>
      </c>
      <c r="W191" s="47">
        <f ca="1">HLOOKUP(B191,Heating!$R$102:$AD$106,2,FALSE)*INDEX(Weather!$BO$1:$CB$20,MATCH(B191,Weather!$BO$1:$BO$20,0),MATCH(C191,Weather!$BO$1:$CB$1,0))/VLOOKUP(B191,Weather!$BO$2:$CB$20,14,FALSE)</f>
        <v>1134141.5480944936</v>
      </c>
      <c r="X191" s="47">
        <f t="shared" ca="1" si="229"/>
        <v>35911036.53343337</v>
      </c>
    </row>
    <row r="192" spans="1:24">
      <c r="A192" s="2">
        <f t="shared" si="214"/>
        <v>48182</v>
      </c>
      <c r="B192">
        <f t="shared" si="215"/>
        <v>2031</v>
      </c>
      <c r="C192">
        <f t="shared" si="216"/>
        <v>11</v>
      </c>
      <c r="E192" s="3">
        <f t="shared" ref="E192:F192" ca="1" si="250">E180</f>
        <v>435.51408055712398</v>
      </c>
      <c r="F192" s="3">
        <f t="shared" ca="1" si="250"/>
        <v>0.78124999999999944</v>
      </c>
      <c r="I192" s="47">
        <f t="shared" si="218"/>
        <v>1</v>
      </c>
      <c r="J192" s="47">
        <f t="shared" si="219"/>
        <v>191</v>
      </c>
      <c r="K192" s="47">
        <f t="shared" si="220"/>
        <v>30</v>
      </c>
      <c r="M192" s="3">
        <f t="shared" si="205"/>
        <v>-5660024.0454457896</v>
      </c>
      <c r="N192" s="3">
        <f t="shared" ca="1" si="206"/>
        <v>6213217.1898814524</v>
      </c>
      <c r="O192" s="3">
        <f t="shared" ca="1" si="207"/>
        <v>71388.563510974796</v>
      </c>
      <c r="P192" s="3">
        <f t="shared" si="208"/>
        <v>0</v>
      </c>
      <c r="Q192" s="3">
        <f t="shared" si="209"/>
        <v>0</v>
      </c>
      <c r="R192" s="3">
        <f t="shared" si="210"/>
        <v>-701201.51304507197</v>
      </c>
      <c r="S192" s="3">
        <f t="shared" si="211"/>
        <v>9052263.6375211086</v>
      </c>
      <c r="T192" s="3">
        <f t="shared" si="212"/>
        <v>24121570.877002168</v>
      </c>
      <c r="U192" s="47">
        <f t="shared" ca="1" si="213"/>
        <v>33097214.709424842</v>
      </c>
      <c r="V192" s="47">
        <f>IFERROR(HLOOKUP(B192-1,'EV Forecast WRZ'!$F$124:$T$130,2,FALSE)/12,0)+IFERROR(((HLOOKUP(B192,'EV Forecast WRZ'!$F$116:$T$122,2,FALSE)-HLOOKUP(B192-1,'EV Forecast WRZ'!$F$124:$T$130,2,FALSE)))*C192/78,0)</f>
        <v>2116597.7699354356</v>
      </c>
      <c r="W192" s="47">
        <f ca="1">HLOOKUP(B192,Heating!$R$102:$AD$106,2,FALSE)*INDEX(Weather!$BO$1:$CB$20,MATCH(B192,Weather!$BO$1:$BO$20,0),MATCH(C192,Weather!$BO$1:$CB$1,0))/VLOOKUP(B192,Weather!$BO$2:$CB$20,14,FALSE)</f>
        <v>2127063.6170054968</v>
      </c>
      <c r="X192" s="47">
        <f t="shared" ca="1" si="229"/>
        <v>37340876.096365772</v>
      </c>
    </row>
    <row r="193" spans="1:24">
      <c r="A193" s="2">
        <f t="shared" si="214"/>
        <v>48213</v>
      </c>
      <c r="B193">
        <f t="shared" si="215"/>
        <v>2031</v>
      </c>
      <c r="C193">
        <f t="shared" si="216"/>
        <v>12</v>
      </c>
      <c r="E193" s="3">
        <f t="shared" ref="E193:F193" ca="1" si="251">E181</f>
        <v>602.38541666666674</v>
      </c>
      <c r="F193" s="3">
        <f t="shared" ca="1" si="251"/>
        <v>0</v>
      </c>
      <c r="I193" s="47">
        <f t="shared" si="218"/>
        <v>0</v>
      </c>
      <c r="J193" s="47">
        <f t="shared" si="219"/>
        <v>192</v>
      </c>
      <c r="K193" s="47">
        <f t="shared" si="220"/>
        <v>31</v>
      </c>
      <c r="M193" s="3">
        <f t="shared" si="205"/>
        <v>-5660024.0454457896</v>
      </c>
      <c r="N193" s="3">
        <f t="shared" ca="1" si="206"/>
        <v>8593870.0787340421</v>
      </c>
      <c r="O193" s="3">
        <f t="shared" ca="1" si="207"/>
        <v>0</v>
      </c>
      <c r="P193" s="3">
        <f t="shared" si="208"/>
        <v>0</v>
      </c>
      <c r="Q193" s="3">
        <f t="shared" si="209"/>
        <v>0</v>
      </c>
      <c r="R193" s="3">
        <f t="shared" si="210"/>
        <v>0</v>
      </c>
      <c r="S193" s="3">
        <f t="shared" si="211"/>
        <v>9099657.6879793331</v>
      </c>
      <c r="T193" s="3">
        <f t="shared" si="212"/>
        <v>24925623.239568908</v>
      </c>
      <c r="U193" s="47">
        <f t="shared" ca="1" si="213"/>
        <v>36959126.960836492</v>
      </c>
      <c r="V193" s="47">
        <f>IFERROR(HLOOKUP(B193-1,'EV Forecast WRZ'!$F$124:$T$130,2,FALSE)/12,0)+IFERROR(((HLOOKUP(B193,'EV Forecast WRZ'!$F$116:$T$122,2,FALSE)-HLOOKUP(B193-1,'EV Forecast WRZ'!$F$124:$T$130,2,FALSE)))*C193/78,0)</f>
        <v>2142332.9372468069</v>
      </c>
      <c r="W193" s="47">
        <f ca="1">HLOOKUP(B193,Heating!$R$102:$AD$106,2,FALSE)*INDEX(Weather!$BO$1:$CB$20,MATCH(B193,Weather!$BO$1:$BO$20,0),MATCH(C193,Weather!$BO$1:$CB$1,0))/VLOOKUP(B193,Weather!$BO$2:$CB$20,14,FALSE)</f>
        <v>2942068.1452302686</v>
      </c>
      <c r="X193" s="47">
        <f t="shared" ca="1" si="229"/>
        <v>42043528.04331357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64CA7-795B-4133-8A87-7FEC9BA5FE95}">
  <sheetPr codeName="Sheet34">
    <tabColor theme="7" tint="0.79998168889431442"/>
  </sheetPr>
  <dimension ref="A1:AC193"/>
  <sheetViews>
    <sheetView workbookViewId="0">
      <selection activeCell="D35" sqref="D35"/>
    </sheetView>
  </sheetViews>
  <sheetFormatPr defaultRowHeight="14.5"/>
  <cols>
    <col min="4" max="4" width="24.81640625" customWidth="1"/>
    <col min="8" max="8" width="9.1796875" bestFit="1" customWidth="1"/>
    <col min="12" max="12" width="13.81640625" bestFit="1" customWidth="1"/>
    <col min="13" max="14" width="11.1796875" bestFit="1" customWidth="1"/>
    <col min="15" max="15" width="10.1796875" bestFit="1" customWidth="1"/>
    <col min="16" max="17" width="11.1796875" bestFit="1" customWidth="1"/>
    <col min="18" max="18" width="11.1796875" customWidth="1"/>
    <col min="19" max="22" width="12.54296875" customWidth="1"/>
    <col min="26" max="26" width="13.81640625" bestFit="1" customWidth="1"/>
    <col min="27" max="27" width="12.81640625" bestFit="1" customWidth="1"/>
    <col min="28" max="28" width="13.81640625" bestFit="1" customWidth="1"/>
    <col min="29" max="29" width="8.81640625" bestFit="1" customWidth="1"/>
  </cols>
  <sheetData>
    <row r="1" spans="1:29">
      <c r="A1" s="541" t="str">
        <f>'Monthly Data'!A1</f>
        <v>Date</v>
      </c>
      <c r="B1" s="541" t="str">
        <f>'Monthly Data'!B1</f>
        <v>Year</v>
      </c>
      <c r="C1" s="541" t="str">
        <f>'Monthly Data'!C1</f>
        <v>Month</v>
      </c>
      <c r="D1" s="541" t="str">
        <f>'Monthly Data'!BK1</f>
        <v>WRZ_GSlt50kWh_No_CDM</v>
      </c>
      <c r="E1" s="542" t="str">
        <f>'Monthly Data'!CN1</f>
        <v>HDD20</v>
      </c>
      <c r="F1" s="542" t="str">
        <f>'Monthly Data'!CW1</f>
        <v>CDD12</v>
      </c>
      <c r="G1" s="541" t="str">
        <f>'Monthly Data'!DQ1</f>
        <v>Month Days</v>
      </c>
      <c r="H1" s="541" t="str">
        <f>'Monthly Data'!DD1</f>
        <v>Osh_FTEAdj</v>
      </c>
      <c r="I1" s="541" t="str">
        <f>'Monthly Data'!EJ1</f>
        <v>COVID_AM</v>
      </c>
      <c r="J1" s="541" t="str">
        <f>'Monthly Data'!EF1</f>
        <v>Fall</v>
      </c>
      <c r="K1" s="541"/>
      <c r="L1" s="542" t="str">
        <f>Y8</f>
        <v>const</v>
      </c>
      <c r="M1" s="542" t="str">
        <f>E1</f>
        <v>HDD20</v>
      </c>
      <c r="N1" s="542" t="str">
        <f>F1</f>
        <v>CDD12</v>
      </c>
      <c r="O1" s="543" t="str">
        <f t="shared" ref="O1:R1" si="0">G1</f>
        <v>Month Days</v>
      </c>
      <c r="P1" s="543" t="str">
        <f t="shared" si="0"/>
        <v>Osh_FTEAdj</v>
      </c>
      <c r="Q1" s="541" t="str">
        <f t="shared" si="0"/>
        <v>COVID_AM</v>
      </c>
      <c r="R1" s="541" t="str">
        <f t="shared" si="0"/>
        <v>Fall</v>
      </c>
      <c r="S1" s="541" t="s">
        <v>610</v>
      </c>
      <c r="T1" s="541" t="s">
        <v>332</v>
      </c>
      <c r="U1" s="541" t="s">
        <v>606</v>
      </c>
      <c r="V1" s="541" t="s">
        <v>611</v>
      </c>
    </row>
    <row r="2" spans="1:29">
      <c r="A2" s="2">
        <f>'Monthly Data'!A2</f>
        <v>42370</v>
      </c>
      <c r="B2">
        <f>'Monthly Data'!B2</f>
        <v>2016</v>
      </c>
      <c r="C2">
        <f>'Monthly Data'!C2</f>
        <v>1</v>
      </c>
      <c r="D2" s="3">
        <f>'Monthly Data'!BK2</f>
        <v>7678617.2533886498</v>
      </c>
      <c r="E2" s="91">
        <f ca="1">Weather!BG46</f>
        <v>752.78750000000002</v>
      </c>
      <c r="F2" s="91">
        <f ca="1">Weather!DL46</f>
        <v>0</v>
      </c>
      <c r="G2" s="3">
        <f>'Monthly Data'!DQ2</f>
        <v>31</v>
      </c>
      <c r="H2" s="3">
        <f>'Monthly Data'!DD2</f>
        <v>203.1</v>
      </c>
      <c r="I2">
        <f>'Monthly Data'!EJ2</f>
        <v>0</v>
      </c>
      <c r="J2">
        <f>'Monthly Data'!EF2</f>
        <v>0</v>
      </c>
      <c r="L2" s="3">
        <f t="shared" ref="L2:L33" si="1">$Z$8</f>
        <v>-2785699</v>
      </c>
      <c r="M2" s="3">
        <f t="shared" ref="M2:M33" ca="1" si="2">E2*$Z$9</f>
        <v>2955118.5208000001</v>
      </c>
      <c r="N2" s="3">
        <f t="shared" ref="N2:N33" ca="1" si="3">F2*$Z$10</f>
        <v>0</v>
      </c>
      <c r="O2" s="3">
        <f t="shared" ref="O2:O33" si="4">G2*$Z$11</f>
        <v>4932472</v>
      </c>
      <c r="P2" s="3">
        <f t="shared" ref="P2:P33" si="5">H2*$Z$12</f>
        <v>2872372.2149999999</v>
      </c>
      <c r="Q2" s="3">
        <f t="shared" ref="Q2:Q33" si="6">I2*$Z$13</f>
        <v>0</v>
      </c>
      <c r="R2" s="3">
        <f t="shared" ref="R2:R33" si="7">J2*$Z$14</f>
        <v>0</v>
      </c>
      <c r="S2" s="47">
        <f t="shared" ref="S2:S42" ca="1" si="8">SUM(L2:R2)</f>
        <v>7974263.7357999999</v>
      </c>
      <c r="T2" s="47">
        <f>'Monthly Data'!BL2</f>
        <v>0</v>
      </c>
      <c r="U2" s="47">
        <f>+'Monthly Data'!BM2</f>
        <v>0</v>
      </c>
      <c r="V2" s="47">
        <f t="shared" ref="V2:V42" ca="1" si="9">S2+T2+U2</f>
        <v>7974263.7357999999</v>
      </c>
    </row>
    <row r="3" spans="1:29">
      <c r="A3" s="2">
        <f>'Monthly Data'!A3</f>
        <v>42401</v>
      </c>
      <c r="B3">
        <f>'Monthly Data'!B3</f>
        <v>2016</v>
      </c>
      <c r="C3">
        <f>'Monthly Data'!C3</f>
        <v>2</v>
      </c>
      <c r="D3" s="3">
        <f>'Monthly Data'!BK3</f>
        <v>7199584.2390929768</v>
      </c>
      <c r="E3" s="91">
        <f ca="1">Weather!BG47</f>
        <v>660.7954166666666</v>
      </c>
      <c r="F3" s="91">
        <f ca="1">Weather!DL47</f>
        <v>0</v>
      </c>
      <c r="G3" s="3">
        <f>'Monthly Data'!DQ3</f>
        <v>29</v>
      </c>
      <c r="H3" s="3">
        <f>'Monthly Data'!DD3</f>
        <v>204.7</v>
      </c>
      <c r="I3">
        <f>'Monthly Data'!EJ3</f>
        <v>0</v>
      </c>
      <c r="J3">
        <f>'Monthly Data'!EF3</f>
        <v>0</v>
      </c>
      <c r="L3" s="3">
        <f t="shared" si="1"/>
        <v>-2785699</v>
      </c>
      <c r="M3" s="3">
        <f t="shared" ca="1" si="2"/>
        <v>2593997.3422133331</v>
      </c>
      <c r="N3" s="3">
        <f t="shared" ca="1" si="3"/>
        <v>0</v>
      </c>
      <c r="O3" s="3">
        <f t="shared" si="4"/>
        <v>4614248</v>
      </c>
      <c r="P3" s="3">
        <f t="shared" si="5"/>
        <v>2895000.4549999996</v>
      </c>
      <c r="Q3" s="3">
        <f t="shared" si="6"/>
        <v>0</v>
      </c>
      <c r="R3" s="3">
        <f t="shared" si="7"/>
        <v>0</v>
      </c>
      <c r="S3" s="47">
        <f t="shared" ca="1" si="8"/>
        <v>7317546.7972133327</v>
      </c>
      <c r="T3" s="47">
        <f>'Monthly Data'!BL3</f>
        <v>0</v>
      </c>
      <c r="U3" s="47">
        <f>+'Monthly Data'!BM3</f>
        <v>0</v>
      </c>
      <c r="V3" s="47">
        <f t="shared" ca="1" si="9"/>
        <v>7317546.7972133327</v>
      </c>
      <c r="Y3" t="s">
        <v>627</v>
      </c>
    </row>
    <row r="4" spans="1:29">
      <c r="A4" s="2">
        <f>'Monthly Data'!A4</f>
        <v>42430</v>
      </c>
      <c r="B4">
        <f>'Monthly Data'!B4</f>
        <v>2016</v>
      </c>
      <c r="C4">
        <f>'Monthly Data'!C4</f>
        <v>3</v>
      </c>
      <c r="D4" s="3">
        <f>'Monthly Data'!BK4</f>
        <v>7114142.7948183576</v>
      </c>
      <c r="E4" s="91">
        <f ca="1">Weather!BG48</f>
        <v>596.21590579710141</v>
      </c>
      <c r="F4" s="91">
        <f ca="1">Weather!DL48</f>
        <v>2.9583333333332896E-2</v>
      </c>
      <c r="G4" s="3">
        <f>'Monthly Data'!DQ4</f>
        <v>31</v>
      </c>
      <c r="H4" s="3">
        <f>'Monthly Data'!DD4</f>
        <v>205.8</v>
      </c>
      <c r="I4">
        <f>'Monthly Data'!EJ4</f>
        <v>0</v>
      </c>
      <c r="J4">
        <f>'Monthly Data'!EF4</f>
        <v>0</v>
      </c>
      <c r="L4" s="3">
        <f t="shared" si="1"/>
        <v>-2785699</v>
      </c>
      <c r="M4" s="3">
        <f t="shared" ca="1" si="2"/>
        <v>2340486.0808881158</v>
      </c>
      <c r="N4" s="3">
        <f t="shared" ca="1" si="3"/>
        <v>301.07254166666223</v>
      </c>
      <c r="O4" s="3">
        <f t="shared" si="4"/>
        <v>4932472</v>
      </c>
      <c r="P4" s="3">
        <f t="shared" si="5"/>
        <v>2910557.37</v>
      </c>
      <c r="Q4" s="3">
        <f t="shared" si="6"/>
        <v>0</v>
      </c>
      <c r="R4" s="3">
        <f t="shared" si="7"/>
        <v>0</v>
      </c>
      <c r="S4" s="47">
        <f t="shared" ca="1" si="8"/>
        <v>7398117.5234297821</v>
      </c>
      <c r="T4" s="47">
        <f>'Monthly Data'!BL4</f>
        <v>0</v>
      </c>
      <c r="U4" s="47">
        <f>+'Monthly Data'!BM4</f>
        <v>0</v>
      </c>
      <c r="V4" s="47">
        <f t="shared" ca="1" si="9"/>
        <v>7398117.5234297821</v>
      </c>
      <c r="Y4" t="s">
        <v>350</v>
      </c>
    </row>
    <row r="5" spans="1:29">
      <c r="A5" s="2">
        <f>'Monthly Data'!A5</f>
        <v>42461</v>
      </c>
      <c r="B5">
        <f>'Monthly Data'!B5</f>
        <v>2016</v>
      </c>
      <c r="C5">
        <f>'Monthly Data'!C5</f>
        <v>4</v>
      </c>
      <c r="D5" s="3">
        <f>'Monthly Data'!BK5</f>
        <v>6627203.0664132619</v>
      </c>
      <c r="E5" s="91">
        <f ca="1">Weather!BG49</f>
        <v>412.8885416666667</v>
      </c>
      <c r="F5" s="91">
        <f ca="1">Weather!DL49</f>
        <v>6.0095833333333344</v>
      </c>
      <c r="G5" s="3">
        <f>'Monthly Data'!DQ5</f>
        <v>30</v>
      </c>
      <c r="H5" s="3">
        <f>'Monthly Data'!DD5</f>
        <v>205.3</v>
      </c>
      <c r="I5">
        <f>'Monthly Data'!EJ5</f>
        <v>0</v>
      </c>
      <c r="J5">
        <f>'Monthly Data'!EF5</f>
        <v>0</v>
      </c>
      <c r="L5" s="3">
        <f t="shared" si="1"/>
        <v>-2785699</v>
      </c>
      <c r="M5" s="3">
        <f t="shared" ca="1" si="2"/>
        <v>1620822.0467333335</v>
      </c>
      <c r="N5" s="3">
        <f t="shared" ca="1" si="3"/>
        <v>61160.13054166668</v>
      </c>
      <c r="O5" s="3">
        <f t="shared" si="4"/>
        <v>4773360</v>
      </c>
      <c r="P5" s="3">
        <f t="shared" si="5"/>
        <v>2903486.0449999999</v>
      </c>
      <c r="Q5" s="3">
        <f t="shared" si="6"/>
        <v>0</v>
      </c>
      <c r="R5" s="3">
        <f t="shared" si="7"/>
        <v>0</v>
      </c>
      <c r="S5" s="47">
        <f t="shared" ca="1" si="8"/>
        <v>6573129.2222750001</v>
      </c>
      <c r="T5" s="47">
        <f>'Monthly Data'!BL5</f>
        <v>0</v>
      </c>
      <c r="U5" s="47">
        <f>+'Monthly Data'!BM5</f>
        <v>0</v>
      </c>
      <c r="V5" s="47">
        <f t="shared" ca="1" si="9"/>
        <v>6573129.2222750001</v>
      </c>
      <c r="Y5" t="s">
        <v>628</v>
      </c>
    </row>
    <row r="6" spans="1:29">
      <c r="A6" s="2">
        <f>'Monthly Data'!A6</f>
        <v>42491</v>
      </c>
      <c r="B6">
        <f>'Monthly Data'!B6</f>
        <v>2016</v>
      </c>
      <c r="C6">
        <f>'Monthly Data'!C6</f>
        <v>5</v>
      </c>
      <c r="D6" s="3">
        <f>'Monthly Data'!BK6</f>
        <v>6644336.0235639242</v>
      </c>
      <c r="E6" s="91">
        <f ca="1">Weather!BG50</f>
        <v>208.90012508544086</v>
      </c>
      <c r="F6" s="91">
        <f ca="1">Weather!DL50</f>
        <v>81.50872474747473</v>
      </c>
      <c r="G6" s="3">
        <f>'Monthly Data'!DQ6</f>
        <v>31</v>
      </c>
      <c r="H6" s="3">
        <f>'Monthly Data'!DD6</f>
        <v>204.8</v>
      </c>
      <c r="I6">
        <f>'Monthly Data'!EJ6</f>
        <v>0</v>
      </c>
      <c r="J6">
        <f>'Monthly Data'!EF6</f>
        <v>0</v>
      </c>
      <c r="L6" s="3">
        <f t="shared" si="1"/>
        <v>-2785699</v>
      </c>
      <c r="M6" s="3">
        <f t="shared" ca="1" si="2"/>
        <v>820051.64623140392</v>
      </c>
      <c r="N6" s="3">
        <f t="shared" ca="1" si="3"/>
        <v>829522.44262752507</v>
      </c>
      <c r="O6" s="3">
        <f t="shared" si="4"/>
        <v>4932472</v>
      </c>
      <c r="P6" s="3">
        <f t="shared" si="5"/>
        <v>2896414.7200000002</v>
      </c>
      <c r="Q6" s="3">
        <f t="shared" si="6"/>
        <v>0</v>
      </c>
      <c r="R6" s="3">
        <f t="shared" si="7"/>
        <v>0</v>
      </c>
      <c r="S6" s="47">
        <f t="shared" ca="1" si="8"/>
        <v>6692761.8088589292</v>
      </c>
      <c r="T6" s="47">
        <f>'Monthly Data'!BL6</f>
        <v>0</v>
      </c>
      <c r="U6" s="47">
        <f>+'Monthly Data'!BM6</f>
        <v>0</v>
      </c>
      <c r="V6" s="47">
        <f t="shared" ca="1" si="9"/>
        <v>6692761.8088589292</v>
      </c>
    </row>
    <row r="7" spans="1:29">
      <c r="A7" s="2">
        <f>'Monthly Data'!A7</f>
        <v>42522</v>
      </c>
      <c r="B7">
        <f>'Monthly Data'!B7</f>
        <v>2016</v>
      </c>
      <c r="C7">
        <f>'Monthly Data'!C7</f>
        <v>6</v>
      </c>
      <c r="D7" s="3">
        <f>'Monthly Data'!BK7</f>
        <v>7166517.3084073551</v>
      </c>
      <c r="E7" s="91">
        <f ca="1">Weather!BG51</f>
        <v>61.78217382617381</v>
      </c>
      <c r="F7" s="91">
        <f ca="1">Weather!DL51</f>
        <v>202.3599342107168</v>
      </c>
      <c r="G7" s="3">
        <f>'Monthly Data'!DQ7</f>
        <v>30</v>
      </c>
      <c r="H7" s="3">
        <f>'Monthly Data'!DD7</f>
        <v>203.4</v>
      </c>
      <c r="I7">
        <f>'Monthly Data'!EJ7</f>
        <v>0</v>
      </c>
      <c r="J7">
        <f>'Monthly Data'!EF7</f>
        <v>0</v>
      </c>
      <c r="L7" s="3">
        <f t="shared" si="1"/>
        <v>-2785699</v>
      </c>
      <c r="M7" s="3">
        <f t="shared" ca="1" si="2"/>
        <v>242530.12454246549</v>
      </c>
      <c r="N7" s="3">
        <f t="shared" ca="1" si="3"/>
        <v>2059437.286455886</v>
      </c>
      <c r="O7" s="3">
        <f t="shared" si="4"/>
        <v>4773360</v>
      </c>
      <c r="P7" s="3">
        <f t="shared" si="5"/>
        <v>2876615.01</v>
      </c>
      <c r="Q7" s="3">
        <f t="shared" si="6"/>
        <v>0</v>
      </c>
      <c r="R7" s="3">
        <f t="shared" si="7"/>
        <v>0</v>
      </c>
      <c r="S7" s="47">
        <f t="shared" ca="1" si="8"/>
        <v>7166243.4209983516</v>
      </c>
      <c r="T7" s="47">
        <f>'Monthly Data'!BL7</f>
        <v>0</v>
      </c>
      <c r="U7" s="47">
        <f>+'Monthly Data'!BM7</f>
        <v>0</v>
      </c>
      <c r="V7" s="47">
        <f t="shared" ca="1" si="9"/>
        <v>7166243.4209983516</v>
      </c>
      <c r="Z7" t="s">
        <v>300</v>
      </c>
      <c r="AA7" t="s">
        <v>301</v>
      </c>
      <c r="AB7" t="s">
        <v>302</v>
      </c>
      <c r="AC7" t="s">
        <v>303</v>
      </c>
    </row>
    <row r="8" spans="1:29">
      <c r="A8" s="2">
        <f>'Monthly Data'!A8</f>
        <v>42552</v>
      </c>
      <c r="B8">
        <f>'Monthly Data'!B8</f>
        <v>2016</v>
      </c>
      <c r="C8">
        <f>'Monthly Data'!C8</f>
        <v>7</v>
      </c>
      <c r="D8" s="3">
        <f>'Monthly Data'!BK8</f>
        <v>7916002.5638074912</v>
      </c>
      <c r="E8" s="91">
        <f ca="1">Weather!BG52</f>
        <v>8.334479813664597</v>
      </c>
      <c r="F8" s="91">
        <f ca="1">Weather!DL52</f>
        <v>304.72508692061177</v>
      </c>
      <c r="G8" s="3">
        <f>'Monthly Data'!DQ8</f>
        <v>31</v>
      </c>
      <c r="H8" s="3">
        <f>'Monthly Data'!DD8</f>
        <v>205.8</v>
      </c>
      <c r="I8">
        <f>'Monthly Data'!EJ8</f>
        <v>0</v>
      </c>
      <c r="J8">
        <f>'Monthly Data'!EF8</f>
        <v>0</v>
      </c>
      <c r="L8" s="3">
        <f t="shared" si="1"/>
        <v>-2785699</v>
      </c>
      <c r="M8" s="3">
        <f t="shared" ca="1" si="2"/>
        <v>32717.567253167708</v>
      </c>
      <c r="N8" s="3">
        <f t="shared" ca="1" si="3"/>
        <v>3101217.6820997582</v>
      </c>
      <c r="O8" s="3">
        <f t="shared" si="4"/>
        <v>4932472</v>
      </c>
      <c r="P8" s="3">
        <f t="shared" si="5"/>
        <v>2910557.37</v>
      </c>
      <c r="Q8" s="3">
        <f t="shared" si="6"/>
        <v>0</v>
      </c>
      <c r="R8" s="3">
        <f t="shared" si="7"/>
        <v>0</v>
      </c>
      <c r="S8" s="47">
        <f t="shared" ca="1" si="8"/>
        <v>8191265.6193529265</v>
      </c>
      <c r="T8" s="47">
        <f>'Monthly Data'!BL8</f>
        <v>0</v>
      </c>
      <c r="U8" s="47">
        <f>+'Monthly Data'!BM8</f>
        <v>0</v>
      </c>
      <c r="V8" s="47">
        <f t="shared" ca="1" si="9"/>
        <v>8191265.6193529265</v>
      </c>
      <c r="Y8" t="s">
        <v>304</v>
      </c>
      <c r="Z8" s="436">
        <v>-2785699</v>
      </c>
      <c r="AA8" s="3">
        <v>1043267</v>
      </c>
      <c r="AB8" s="245">
        <v>-2.6701700000000002</v>
      </c>
      <c r="AC8" s="235">
        <v>8.6990000000000001E-3</v>
      </c>
    </row>
    <row r="9" spans="1:29">
      <c r="A9" s="2">
        <f>'Monthly Data'!A9</f>
        <v>42583</v>
      </c>
      <c r="B9">
        <f>'Monthly Data'!B9</f>
        <v>2016</v>
      </c>
      <c r="C9">
        <f>'Monthly Data'!C9</f>
        <v>8</v>
      </c>
      <c r="D9" s="3">
        <f>'Monthly Data'!BK9</f>
        <v>8256899.4190641427</v>
      </c>
      <c r="E9" s="91">
        <f ca="1">Weather!BG53</f>
        <v>21.054927536231883</v>
      </c>
      <c r="F9" s="91">
        <f ca="1">Weather!DL53</f>
        <v>275.96017127799735</v>
      </c>
      <c r="G9" s="3">
        <f>'Monthly Data'!DQ9</f>
        <v>31</v>
      </c>
      <c r="H9" s="3">
        <f>'Monthly Data'!DD9</f>
        <v>208.7</v>
      </c>
      <c r="I9">
        <f>'Monthly Data'!EJ9</f>
        <v>0</v>
      </c>
      <c r="J9">
        <f>'Monthly Data'!EF9</f>
        <v>0</v>
      </c>
      <c r="L9" s="3">
        <f t="shared" si="1"/>
        <v>-2785699</v>
      </c>
      <c r="M9" s="3">
        <f t="shared" ca="1" si="2"/>
        <v>82652.549778550732</v>
      </c>
      <c r="N9" s="3">
        <f t="shared" ca="1" si="3"/>
        <v>2808474.2591133071</v>
      </c>
      <c r="O9" s="3">
        <f t="shared" si="4"/>
        <v>4932472</v>
      </c>
      <c r="P9" s="3">
        <f t="shared" si="5"/>
        <v>2951571.0549999997</v>
      </c>
      <c r="Q9" s="3">
        <f t="shared" si="6"/>
        <v>0</v>
      </c>
      <c r="R9" s="3">
        <f t="shared" si="7"/>
        <v>0</v>
      </c>
      <c r="S9" s="47">
        <f t="shared" ca="1" si="8"/>
        <v>7989470.8638918577</v>
      </c>
      <c r="T9" s="47">
        <f>'Monthly Data'!BL9</f>
        <v>0</v>
      </c>
      <c r="U9" s="47">
        <f>+'Monthly Data'!BM9</f>
        <v>0</v>
      </c>
      <c r="V9" s="47">
        <f t="shared" ca="1" si="9"/>
        <v>7989470.8638918577</v>
      </c>
      <c r="Y9" t="s">
        <v>116</v>
      </c>
      <c r="Z9" s="3">
        <v>3925.5680000000002</v>
      </c>
      <c r="AA9" s="3">
        <v>257.77969999999999</v>
      </c>
      <c r="AB9" s="245">
        <v>15.22838</v>
      </c>
      <c r="AC9" s="436">
        <v>3.7799999999999998E-29</v>
      </c>
    </row>
    <row r="10" spans="1:29">
      <c r="A10" s="2">
        <f>'Monthly Data'!A10</f>
        <v>42614</v>
      </c>
      <c r="B10">
        <f>'Monthly Data'!B10</f>
        <v>2016</v>
      </c>
      <c r="C10">
        <f>'Monthly Data'!C10</f>
        <v>9</v>
      </c>
      <c r="D10" s="3">
        <f>'Monthly Data'!BK10</f>
        <v>7135190.4841065407</v>
      </c>
      <c r="E10" s="91">
        <f ca="1">Weather!BG54</f>
        <v>97.667119565217376</v>
      </c>
      <c r="F10" s="91">
        <f ca="1">Weather!DL54</f>
        <v>154.9849637681159</v>
      </c>
      <c r="G10" s="3">
        <f>'Monthly Data'!DQ10</f>
        <v>30</v>
      </c>
      <c r="H10" s="3">
        <f>'Monthly Data'!DD10</f>
        <v>213</v>
      </c>
      <c r="I10">
        <f>'Monthly Data'!EJ10</f>
        <v>0</v>
      </c>
      <c r="J10">
        <f>'Monthly Data'!EF10</f>
        <v>1</v>
      </c>
      <c r="L10" s="3">
        <f t="shared" si="1"/>
        <v>-2785699</v>
      </c>
      <c r="M10" s="3">
        <f t="shared" ca="1" si="2"/>
        <v>383398.91921739129</v>
      </c>
      <c r="N10" s="3">
        <f t="shared" ca="1" si="3"/>
        <v>1577297.4747644924</v>
      </c>
      <c r="O10" s="3">
        <f t="shared" si="4"/>
        <v>4773360</v>
      </c>
      <c r="P10" s="3">
        <f t="shared" si="5"/>
        <v>3012384.4499999997</v>
      </c>
      <c r="Q10" s="3">
        <f t="shared" si="6"/>
        <v>0</v>
      </c>
      <c r="R10" s="3">
        <f t="shared" si="7"/>
        <v>193962.4</v>
      </c>
      <c r="S10" s="47">
        <f t="shared" ca="1" si="8"/>
        <v>7154704.2439818839</v>
      </c>
      <c r="T10" s="47">
        <f>'Monthly Data'!BL10</f>
        <v>0</v>
      </c>
      <c r="U10" s="47">
        <f>+'Monthly Data'!BM10</f>
        <v>0</v>
      </c>
      <c r="V10" s="47">
        <f t="shared" ca="1" si="9"/>
        <v>7154704.2439818839</v>
      </c>
      <c r="Y10" t="s">
        <v>125</v>
      </c>
      <c r="Z10" s="3">
        <v>10177.1</v>
      </c>
      <c r="AA10" s="3">
        <v>599.62040000000002</v>
      </c>
      <c r="AB10" s="245">
        <v>16.972570000000001</v>
      </c>
      <c r="AC10" s="436">
        <v>7.2800000000000005E-33</v>
      </c>
    </row>
    <row r="11" spans="1:29">
      <c r="A11" s="2">
        <f>'Monthly Data'!A11</f>
        <v>42644</v>
      </c>
      <c r="B11">
        <f>'Monthly Data'!B11</f>
        <v>2016</v>
      </c>
      <c r="C11">
        <f>'Monthly Data'!C11</f>
        <v>10</v>
      </c>
      <c r="D11" s="3">
        <f>'Monthly Data'!BK11</f>
        <v>6584974.0438399557</v>
      </c>
      <c r="E11" s="91">
        <f ca="1">Weather!BG55</f>
        <v>292.46431159420291</v>
      </c>
      <c r="F11" s="91">
        <f ca="1">Weather!DL55</f>
        <v>38.347916666666663</v>
      </c>
      <c r="G11" s="3">
        <f>'Monthly Data'!DQ11</f>
        <v>31</v>
      </c>
      <c r="H11" s="3">
        <f>'Monthly Data'!DD11</f>
        <v>213.6</v>
      </c>
      <c r="I11">
        <f>'Monthly Data'!EJ11</f>
        <v>0</v>
      </c>
      <c r="J11">
        <f>'Monthly Data'!EF11</f>
        <v>1</v>
      </c>
      <c r="L11" s="3">
        <f t="shared" si="1"/>
        <v>-2785699</v>
      </c>
      <c r="M11" s="3">
        <f t="shared" ca="1" si="2"/>
        <v>1148088.542736232</v>
      </c>
      <c r="N11" s="3">
        <f t="shared" ca="1" si="3"/>
        <v>390270.58270833333</v>
      </c>
      <c r="O11" s="3">
        <f t="shared" si="4"/>
        <v>4932472</v>
      </c>
      <c r="P11" s="3">
        <f t="shared" si="5"/>
        <v>3020870.04</v>
      </c>
      <c r="Q11" s="3">
        <f t="shared" si="6"/>
        <v>0</v>
      </c>
      <c r="R11" s="3">
        <f t="shared" si="7"/>
        <v>193962.4</v>
      </c>
      <c r="S11" s="47">
        <f t="shared" ca="1" si="8"/>
        <v>6899964.5654445663</v>
      </c>
      <c r="T11" s="47">
        <f>'Monthly Data'!BL11</f>
        <v>0</v>
      </c>
      <c r="U11" s="47">
        <f>+'Monthly Data'!BM11</f>
        <v>0</v>
      </c>
      <c r="V11" s="47">
        <f t="shared" ca="1" si="9"/>
        <v>6899964.5654445663</v>
      </c>
      <c r="Y11" t="s">
        <v>305</v>
      </c>
      <c r="Z11" s="3">
        <v>159112</v>
      </c>
      <c r="AA11" s="3">
        <v>26071.52</v>
      </c>
      <c r="AB11" s="245">
        <v>6.1029039999999997</v>
      </c>
      <c r="AC11" s="436">
        <v>1.4999999999999999E-8</v>
      </c>
    </row>
    <row r="12" spans="1:29">
      <c r="A12" s="2">
        <f>'Monthly Data'!A12</f>
        <v>42675</v>
      </c>
      <c r="B12">
        <f>'Monthly Data'!B12</f>
        <v>2016</v>
      </c>
      <c r="C12">
        <f>'Monthly Data'!C12</f>
        <v>11</v>
      </c>
      <c r="D12" s="3">
        <f>'Monthly Data'!BK12</f>
        <v>6751282.6928980416</v>
      </c>
      <c r="E12" s="91">
        <f ca="1">Weather!BG56</f>
        <v>495.51408055712409</v>
      </c>
      <c r="F12" s="91">
        <f ca="1">Weather!DL56</f>
        <v>1.9241666666666659</v>
      </c>
      <c r="G12" s="3">
        <f>'Monthly Data'!DQ12</f>
        <v>30</v>
      </c>
      <c r="H12" s="3">
        <f>'Monthly Data'!DD12</f>
        <v>214.7</v>
      </c>
      <c r="I12">
        <f>'Monthly Data'!EJ12</f>
        <v>0</v>
      </c>
      <c r="J12">
        <f>'Monthly Data'!EF12</f>
        <v>1</v>
      </c>
      <c r="L12" s="3">
        <f t="shared" si="1"/>
        <v>-2785699</v>
      </c>
      <c r="M12" s="3">
        <f t="shared" ca="1" si="2"/>
        <v>1945174.2181844686</v>
      </c>
      <c r="N12" s="3">
        <f t="shared" ca="1" si="3"/>
        <v>19582.436583333325</v>
      </c>
      <c r="O12" s="3">
        <f t="shared" si="4"/>
        <v>4773360</v>
      </c>
      <c r="P12" s="3">
        <f t="shared" si="5"/>
        <v>3036426.9549999996</v>
      </c>
      <c r="Q12" s="3">
        <f t="shared" si="6"/>
        <v>0</v>
      </c>
      <c r="R12" s="3">
        <f t="shared" si="7"/>
        <v>193962.4</v>
      </c>
      <c r="S12" s="47">
        <f t="shared" ca="1" si="8"/>
        <v>7182807.0097678024</v>
      </c>
      <c r="T12" s="47">
        <f>'Monthly Data'!BL12</f>
        <v>0</v>
      </c>
      <c r="U12" s="47">
        <f>+'Monthly Data'!BM12</f>
        <v>0</v>
      </c>
      <c r="V12" s="47">
        <f t="shared" ca="1" si="9"/>
        <v>7182807.0097678024</v>
      </c>
      <c r="Y12" t="s">
        <v>132</v>
      </c>
      <c r="Z12" s="3">
        <v>14142.65</v>
      </c>
      <c r="AA12" s="3">
        <v>3043.7150000000001</v>
      </c>
      <c r="AB12" s="245">
        <v>4.646509</v>
      </c>
      <c r="AC12" s="436">
        <v>9.2E-6</v>
      </c>
    </row>
    <row r="13" spans="1:29">
      <c r="A13" s="2">
        <f>'Monthly Data'!A13</f>
        <v>42705</v>
      </c>
      <c r="B13">
        <f>'Monthly Data'!B13</f>
        <v>2016</v>
      </c>
      <c r="C13">
        <f>'Monthly Data'!C13</f>
        <v>12</v>
      </c>
      <c r="D13" s="3">
        <f>'Monthly Data'!BK13</f>
        <v>7655445.4257709347</v>
      </c>
      <c r="E13" s="91">
        <f ca="1">Weather!BG57</f>
        <v>664.38541666666663</v>
      </c>
      <c r="F13" s="91">
        <f ca="1">Weather!DL57</f>
        <v>0</v>
      </c>
      <c r="G13" s="3">
        <f>'Monthly Data'!DQ13</f>
        <v>31</v>
      </c>
      <c r="H13" s="3">
        <f>'Monthly Data'!DD13</f>
        <v>215.4</v>
      </c>
      <c r="I13">
        <f>'Monthly Data'!EJ13</f>
        <v>0</v>
      </c>
      <c r="J13">
        <f>'Monthly Data'!EF13</f>
        <v>0</v>
      </c>
      <c r="L13" s="3">
        <f t="shared" si="1"/>
        <v>-2785699</v>
      </c>
      <c r="M13" s="3">
        <f t="shared" ca="1" si="2"/>
        <v>2608090.1313333334</v>
      </c>
      <c r="N13" s="3">
        <f t="shared" ca="1" si="3"/>
        <v>0</v>
      </c>
      <c r="O13" s="3">
        <f t="shared" si="4"/>
        <v>4932472</v>
      </c>
      <c r="P13" s="3">
        <f t="shared" si="5"/>
        <v>3046326.81</v>
      </c>
      <c r="Q13" s="3">
        <f t="shared" si="6"/>
        <v>0</v>
      </c>
      <c r="R13" s="3">
        <f t="shared" si="7"/>
        <v>0</v>
      </c>
      <c r="S13" s="47">
        <f t="shared" ca="1" si="8"/>
        <v>7801189.941333333</v>
      </c>
      <c r="T13" s="47">
        <f>'Monthly Data'!BL13</f>
        <v>0</v>
      </c>
      <c r="U13" s="47">
        <f>+'Monthly Data'!BM13</f>
        <v>0</v>
      </c>
      <c r="V13" s="47">
        <f t="shared" ca="1" si="9"/>
        <v>7801189.941333333</v>
      </c>
      <c r="Y13" t="s">
        <v>164</v>
      </c>
      <c r="Z13" s="3">
        <v>-797503</v>
      </c>
      <c r="AA13" s="3">
        <v>201146.5</v>
      </c>
      <c r="AB13" s="245">
        <v>-3.9647899999999998</v>
      </c>
      <c r="AC13" s="235">
        <v>1.2899999999999999E-4</v>
      </c>
    </row>
    <row r="14" spans="1:29">
      <c r="A14" s="2">
        <f>'Monthly Data'!A14</f>
        <v>42736</v>
      </c>
      <c r="B14">
        <f>'Monthly Data'!B14</f>
        <v>2017</v>
      </c>
      <c r="C14">
        <f>'Monthly Data'!C14</f>
        <v>1</v>
      </c>
      <c r="D14" s="3">
        <f>'Monthly Data'!BK14</f>
        <v>7796536.0768345082</v>
      </c>
      <c r="E14" s="3">
        <f t="shared" ref="E14:F14" ca="1" si="10">E2</f>
        <v>752.78750000000002</v>
      </c>
      <c r="F14" s="3">
        <f t="shared" ca="1" si="10"/>
        <v>0</v>
      </c>
      <c r="G14" s="3">
        <f>'Monthly Data'!DQ14</f>
        <v>31</v>
      </c>
      <c r="H14" s="3">
        <f>'Monthly Data'!DD14</f>
        <v>215.3</v>
      </c>
      <c r="I14">
        <f>'Monthly Data'!EJ14</f>
        <v>0</v>
      </c>
      <c r="J14">
        <f>'Monthly Data'!EF14</f>
        <v>0</v>
      </c>
      <c r="L14" s="3">
        <f t="shared" si="1"/>
        <v>-2785699</v>
      </c>
      <c r="M14" s="3">
        <f t="shared" ca="1" si="2"/>
        <v>2955118.5208000001</v>
      </c>
      <c r="N14" s="3">
        <f t="shared" ca="1" si="3"/>
        <v>0</v>
      </c>
      <c r="O14" s="3">
        <f t="shared" si="4"/>
        <v>4932472</v>
      </c>
      <c r="P14" s="3">
        <f t="shared" si="5"/>
        <v>3044912.5449999999</v>
      </c>
      <c r="Q14" s="3">
        <f t="shared" si="6"/>
        <v>0</v>
      </c>
      <c r="R14" s="3">
        <f t="shared" si="7"/>
        <v>0</v>
      </c>
      <c r="S14" s="47">
        <f t="shared" ca="1" si="8"/>
        <v>8146804.0658</v>
      </c>
      <c r="T14" s="47">
        <f>'Monthly Data'!BL14</f>
        <v>140.52153846153846</v>
      </c>
      <c r="U14" s="47">
        <f>+'Monthly Data'!BM14</f>
        <v>0</v>
      </c>
      <c r="V14" s="47">
        <f t="shared" ca="1" si="9"/>
        <v>8146944.5873384615</v>
      </c>
      <c r="Y14" t="s">
        <v>160</v>
      </c>
      <c r="Z14" s="3">
        <v>193962.4</v>
      </c>
      <c r="AA14" s="3">
        <v>84471.57</v>
      </c>
      <c r="AB14" s="245">
        <v>2.2961860000000001</v>
      </c>
      <c r="AC14" s="235">
        <v>2.3508999999999999E-2</v>
      </c>
    </row>
    <row r="15" spans="1:29">
      <c r="A15" s="2">
        <f>'Monthly Data'!A15</f>
        <v>42767</v>
      </c>
      <c r="B15">
        <f>'Monthly Data'!B15</f>
        <v>2017</v>
      </c>
      <c r="C15">
        <f>'Monthly Data'!C15</f>
        <v>2</v>
      </c>
      <c r="D15" s="3">
        <f>'Monthly Data'!BK15</f>
        <v>6983444.6585424561</v>
      </c>
      <c r="E15" s="3">
        <f t="shared" ref="E15:F15" ca="1" si="11">E3</f>
        <v>660.7954166666666</v>
      </c>
      <c r="F15" s="3">
        <f t="shared" ca="1" si="11"/>
        <v>0</v>
      </c>
      <c r="G15" s="3">
        <f>'Monthly Data'!DQ15</f>
        <v>28</v>
      </c>
      <c r="H15" s="3">
        <f>'Monthly Data'!DD15</f>
        <v>209.7</v>
      </c>
      <c r="I15">
        <f>'Monthly Data'!EJ15</f>
        <v>0</v>
      </c>
      <c r="J15">
        <f>'Monthly Data'!EF15</f>
        <v>0</v>
      </c>
      <c r="L15" s="3">
        <f t="shared" si="1"/>
        <v>-2785699</v>
      </c>
      <c r="M15" s="3">
        <f t="shared" ca="1" si="2"/>
        <v>2593997.3422133331</v>
      </c>
      <c r="N15" s="3">
        <f t="shared" ca="1" si="3"/>
        <v>0</v>
      </c>
      <c r="O15" s="3">
        <f t="shared" si="4"/>
        <v>4455136</v>
      </c>
      <c r="P15" s="3">
        <f t="shared" si="5"/>
        <v>2965713.7049999996</v>
      </c>
      <c r="Q15" s="3">
        <f t="shared" si="6"/>
        <v>0</v>
      </c>
      <c r="R15" s="3">
        <f t="shared" si="7"/>
        <v>0</v>
      </c>
      <c r="S15" s="47">
        <f t="shared" ca="1" si="8"/>
        <v>7229148.0472133327</v>
      </c>
      <c r="T15" s="47">
        <f>'Monthly Data'!BL15</f>
        <v>281.04307692307691</v>
      </c>
      <c r="U15" s="47">
        <f>+'Monthly Data'!BM15</f>
        <v>0</v>
      </c>
      <c r="V15" s="47">
        <f t="shared" ca="1" si="9"/>
        <v>7229429.0902902558</v>
      </c>
      <c r="Z15" s="3"/>
      <c r="AA15" s="3"/>
      <c r="AB15" s="235"/>
      <c r="AC15" s="100"/>
    </row>
    <row r="16" spans="1:29">
      <c r="A16" s="2">
        <f>'Monthly Data'!A16</f>
        <v>42795</v>
      </c>
      <c r="B16">
        <f>'Monthly Data'!B16</f>
        <v>2017</v>
      </c>
      <c r="C16">
        <f>'Monthly Data'!C16</f>
        <v>3</v>
      </c>
      <c r="D16" s="3">
        <f>'Monthly Data'!BK16</f>
        <v>7621777.2869406473</v>
      </c>
      <c r="E16" s="3">
        <f t="shared" ref="E16:F16" ca="1" si="12">E4</f>
        <v>596.21590579710141</v>
      </c>
      <c r="F16" s="3">
        <f t="shared" ca="1" si="12"/>
        <v>2.9583333333332896E-2</v>
      </c>
      <c r="G16" s="3">
        <f>'Monthly Data'!DQ16</f>
        <v>31</v>
      </c>
      <c r="H16" s="3">
        <f>'Monthly Data'!DD16</f>
        <v>202.9</v>
      </c>
      <c r="I16">
        <f>'Monthly Data'!EJ16</f>
        <v>0</v>
      </c>
      <c r="J16">
        <f>'Monthly Data'!EF16</f>
        <v>0</v>
      </c>
      <c r="L16" s="3">
        <f t="shared" si="1"/>
        <v>-2785699</v>
      </c>
      <c r="M16" s="3">
        <f t="shared" ca="1" si="2"/>
        <v>2340486.0808881158</v>
      </c>
      <c r="N16" s="3">
        <f t="shared" ca="1" si="3"/>
        <v>301.07254166666223</v>
      </c>
      <c r="O16" s="3">
        <f t="shared" si="4"/>
        <v>4932472</v>
      </c>
      <c r="P16" s="3">
        <f t="shared" si="5"/>
        <v>2869543.6850000001</v>
      </c>
      <c r="Q16" s="3">
        <f t="shared" si="6"/>
        <v>0</v>
      </c>
      <c r="R16" s="3">
        <f t="shared" si="7"/>
        <v>0</v>
      </c>
      <c r="S16" s="47">
        <f t="shared" ca="1" si="8"/>
        <v>7357103.8384297825</v>
      </c>
      <c r="T16" s="47">
        <f>'Monthly Data'!BL16</f>
        <v>421.56461538461542</v>
      </c>
      <c r="U16" s="47">
        <f>+'Monthly Data'!BM16</f>
        <v>0</v>
      </c>
      <c r="V16" s="47">
        <f t="shared" ca="1" si="9"/>
        <v>7357525.4030451672</v>
      </c>
      <c r="Y16" t="s">
        <v>306</v>
      </c>
    </row>
    <row r="17" spans="1:28">
      <c r="A17" s="2">
        <f>'Monthly Data'!A17</f>
        <v>42826</v>
      </c>
      <c r="B17">
        <f>'Monthly Data'!B17</f>
        <v>2017</v>
      </c>
      <c r="C17">
        <f>'Monthly Data'!C17</f>
        <v>4</v>
      </c>
      <c r="D17" s="3">
        <f>'Monthly Data'!BK17</f>
        <v>6333115.861034275</v>
      </c>
      <c r="E17" s="3">
        <f t="shared" ref="E17:F17" ca="1" si="13">E5</f>
        <v>412.8885416666667</v>
      </c>
      <c r="F17" s="3">
        <f t="shared" ca="1" si="13"/>
        <v>6.0095833333333344</v>
      </c>
      <c r="G17" s="3">
        <f>'Monthly Data'!DQ17</f>
        <v>30</v>
      </c>
      <c r="H17" s="3">
        <f>'Monthly Data'!DD17</f>
        <v>199</v>
      </c>
      <c r="I17">
        <f>'Monthly Data'!EJ17</f>
        <v>0</v>
      </c>
      <c r="J17">
        <f>'Monthly Data'!EF17</f>
        <v>0</v>
      </c>
      <c r="L17" s="3">
        <f t="shared" si="1"/>
        <v>-2785699</v>
      </c>
      <c r="M17" s="3">
        <f t="shared" ca="1" si="2"/>
        <v>1620822.0467333335</v>
      </c>
      <c r="N17" s="3">
        <f t="shared" ca="1" si="3"/>
        <v>61160.13054166668</v>
      </c>
      <c r="O17" s="3">
        <f t="shared" si="4"/>
        <v>4773360</v>
      </c>
      <c r="P17" s="3">
        <f t="shared" si="5"/>
        <v>2814387.35</v>
      </c>
      <c r="Q17" s="3">
        <f t="shared" si="6"/>
        <v>0</v>
      </c>
      <c r="R17" s="3">
        <f t="shared" si="7"/>
        <v>0</v>
      </c>
      <c r="S17" s="47">
        <f t="shared" ca="1" si="8"/>
        <v>6484030.5272749998</v>
      </c>
      <c r="T17" s="47">
        <f>'Monthly Data'!BL17</f>
        <v>562.08615384615382</v>
      </c>
      <c r="U17" s="47">
        <f>+'Monthly Data'!BM17</f>
        <v>0</v>
      </c>
      <c r="V17" s="47">
        <f t="shared" ca="1" si="9"/>
        <v>6484592.613428846</v>
      </c>
      <c r="Y17" t="s">
        <v>307</v>
      </c>
      <c r="Z17" s="438">
        <v>9360000000000</v>
      </c>
      <c r="AA17" t="s">
        <v>308</v>
      </c>
      <c r="AB17">
        <v>287819.59999999998</v>
      </c>
    </row>
    <row r="18" spans="1:28">
      <c r="A18" s="2">
        <f>'Monthly Data'!A18</f>
        <v>42856</v>
      </c>
      <c r="B18">
        <f>'Monthly Data'!B18</f>
        <v>2017</v>
      </c>
      <c r="C18">
        <f>'Monthly Data'!C18</f>
        <v>5</v>
      </c>
      <c r="D18" s="3">
        <f>'Monthly Data'!BK18</f>
        <v>6510335.4661686532</v>
      </c>
      <c r="E18" s="3">
        <f t="shared" ref="E18:F18" ca="1" si="14">E6</f>
        <v>208.90012508544086</v>
      </c>
      <c r="F18" s="3">
        <f t="shared" ca="1" si="14"/>
        <v>81.50872474747473</v>
      </c>
      <c r="G18" s="3">
        <f>'Monthly Data'!DQ18</f>
        <v>31</v>
      </c>
      <c r="H18" s="3">
        <f>'Monthly Data'!DD18</f>
        <v>201.8</v>
      </c>
      <c r="I18">
        <f>'Monthly Data'!EJ18</f>
        <v>0</v>
      </c>
      <c r="J18">
        <f>'Monthly Data'!EF18</f>
        <v>0</v>
      </c>
      <c r="L18" s="3">
        <f t="shared" si="1"/>
        <v>-2785699</v>
      </c>
      <c r="M18" s="3">
        <f t="shared" ca="1" si="2"/>
        <v>820051.64623140392</v>
      </c>
      <c r="N18" s="3">
        <f t="shared" ca="1" si="3"/>
        <v>829522.44262752507</v>
      </c>
      <c r="O18" s="3">
        <f t="shared" si="4"/>
        <v>4932472</v>
      </c>
      <c r="P18" s="3">
        <f t="shared" si="5"/>
        <v>2853986.77</v>
      </c>
      <c r="Q18" s="3">
        <f t="shared" si="6"/>
        <v>0</v>
      </c>
      <c r="R18" s="3">
        <f t="shared" si="7"/>
        <v>0</v>
      </c>
      <c r="S18" s="47">
        <f t="shared" ca="1" si="8"/>
        <v>6650333.858858929</v>
      </c>
      <c r="T18" s="47">
        <f>'Monthly Data'!BL18</f>
        <v>702.60769230769233</v>
      </c>
      <c r="U18" s="47">
        <f>+'Monthly Data'!BM18</f>
        <v>0</v>
      </c>
      <c r="V18" s="47">
        <f t="shared" ca="1" si="9"/>
        <v>6651036.4665512368</v>
      </c>
      <c r="Y18" t="s">
        <v>309</v>
      </c>
      <c r="Z18">
        <v>0.84312100000000001</v>
      </c>
      <c r="AA18" t="s">
        <v>310</v>
      </c>
      <c r="AB18" s="3">
        <v>0.83479099999999995</v>
      </c>
    </row>
    <row r="19" spans="1:28">
      <c r="A19" s="2">
        <f>'Monthly Data'!A19</f>
        <v>42887</v>
      </c>
      <c r="B19">
        <f>'Monthly Data'!B19</f>
        <v>2017</v>
      </c>
      <c r="C19">
        <f>'Monthly Data'!C19</f>
        <v>6</v>
      </c>
      <c r="D19" s="3">
        <f>'Monthly Data'!BK19</f>
        <v>6775007.1786877653</v>
      </c>
      <c r="E19" s="3">
        <f t="shared" ref="E19:F19" ca="1" si="15">E7</f>
        <v>61.78217382617381</v>
      </c>
      <c r="F19" s="3">
        <f t="shared" ca="1" si="15"/>
        <v>202.3599342107168</v>
      </c>
      <c r="G19" s="3">
        <f>'Monthly Data'!DQ19</f>
        <v>30</v>
      </c>
      <c r="H19" s="3">
        <f>'Monthly Data'!DD19</f>
        <v>205.5</v>
      </c>
      <c r="I19">
        <f>'Monthly Data'!EJ19</f>
        <v>0</v>
      </c>
      <c r="J19">
        <f>'Monthly Data'!EF19</f>
        <v>0</v>
      </c>
      <c r="L19" s="3">
        <f t="shared" si="1"/>
        <v>-2785699</v>
      </c>
      <c r="M19" s="3">
        <f t="shared" ca="1" si="2"/>
        <v>242530.12454246549</v>
      </c>
      <c r="N19" s="3">
        <f t="shared" ca="1" si="3"/>
        <v>2059437.286455886</v>
      </c>
      <c r="O19" s="3">
        <f t="shared" si="4"/>
        <v>4773360</v>
      </c>
      <c r="P19" s="3">
        <f t="shared" si="5"/>
        <v>2906314.5749999997</v>
      </c>
      <c r="Q19" s="3">
        <f t="shared" si="6"/>
        <v>0</v>
      </c>
      <c r="R19" s="3">
        <f t="shared" si="7"/>
        <v>0</v>
      </c>
      <c r="S19" s="47">
        <f t="shared" ca="1" si="8"/>
        <v>7195942.9859983511</v>
      </c>
      <c r="T19" s="47">
        <f>'Monthly Data'!BL19</f>
        <v>843.12923076923084</v>
      </c>
      <c r="U19" s="47">
        <f>+'Monthly Data'!BM19</f>
        <v>0</v>
      </c>
      <c r="V19" s="47">
        <f t="shared" ca="1" si="9"/>
        <v>7196786.1152291205</v>
      </c>
      <c r="Y19" t="s">
        <v>321</v>
      </c>
      <c r="Z19" s="99">
        <v>92.397810000000007</v>
      </c>
      <c r="AA19" t="s">
        <v>312</v>
      </c>
      <c r="AB19" s="99">
        <v>3.0900000000000002E-41</v>
      </c>
    </row>
    <row r="20" spans="1:28">
      <c r="A20" s="2">
        <f>'Monthly Data'!A20</f>
        <v>42917</v>
      </c>
      <c r="B20">
        <f>'Monthly Data'!B20</f>
        <v>2017</v>
      </c>
      <c r="C20">
        <f>'Monthly Data'!C20</f>
        <v>7</v>
      </c>
      <c r="D20" s="3">
        <f>'Monthly Data'!BK20</f>
        <v>7356953.4872371033</v>
      </c>
      <c r="E20" s="3">
        <f t="shared" ref="E20:F20" ca="1" si="16">E8</f>
        <v>8.334479813664597</v>
      </c>
      <c r="F20" s="3">
        <f t="shared" ca="1" si="16"/>
        <v>304.72508692061177</v>
      </c>
      <c r="G20" s="3">
        <f>'Monthly Data'!DQ20</f>
        <v>31</v>
      </c>
      <c r="H20" s="3">
        <f>'Monthly Data'!DD20</f>
        <v>206.4</v>
      </c>
      <c r="I20">
        <f>'Monthly Data'!EJ20</f>
        <v>0</v>
      </c>
      <c r="J20">
        <f>'Monthly Data'!EF20</f>
        <v>0</v>
      </c>
      <c r="L20" s="3">
        <f t="shared" si="1"/>
        <v>-2785699</v>
      </c>
      <c r="M20" s="3">
        <f t="shared" ca="1" si="2"/>
        <v>32717.567253167708</v>
      </c>
      <c r="N20" s="3">
        <f t="shared" ca="1" si="3"/>
        <v>3101217.6820997582</v>
      </c>
      <c r="O20" s="3">
        <f t="shared" si="4"/>
        <v>4932472</v>
      </c>
      <c r="P20" s="3">
        <f t="shared" si="5"/>
        <v>2919042.96</v>
      </c>
      <c r="Q20" s="3">
        <f t="shared" si="6"/>
        <v>0</v>
      </c>
      <c r="R20" s="3">
        <f t="shared" si="7"/>
        <v>0</v>
      </c>
      <c r="S20" s="47">
        <f t="shared" ca="1" si="8"/>
        <v>8199751.2093529264</v>
      </c>
      <c r="T20" s="47">
        <f>'Monthly Data'!BL20</f>
        <v>983.65076923076936</v>
      </c>
      <c r="U20" s="47">
        <f>+'Monthly Data'!BM20</f>
        <v>0</v>
      </c>
      <c r="V20" s="47">
        <f t="shared" ca="1" si="9"/>
        <v>8200734.8601221573</v>
      </c>
      <c r="Y20" t="s">
        <v>313</v>
      </c>
      <c r="Z20" s="235">
        <v>7.5794E-2</v>
      </c>
      <c r="AA20" t="s">
        <v>314</v>
      </c>
      <c r="AB20" s="99">
        <v>1.816629</v>
      </c>
    </row>
    <row r="21" spans="1:28">
      <c r="A21" s="2">
        <f>'Monthly Data'!A21</f>
        <v>42948</v>
      </c>
      <c r="B21">
        <f>'Monthly Data'!B21</f>
        <v>2017</v>
      </c>
      <c r="C21">
        <f>'Monthly Data'!C21</f>
        <v>8</v>
      </c>
      <c r="D21" s="3">
        <f>'Monthly Data'!BK21</f>
        <v>7280911.8941889666</v>
      </c>
      <c r="E21" s="3">
        <f t="shared" ref="E21:F21" ca="1" si="17">E9</f>
        <v>21.054927536231883</v>
      </c>
      <c r="F21" s="3">
        <f t="shared" ca="1" si="17"/>
        <v>275.96017127799735</v>
      </c>
      <c r="G21" s="3">
        <f>'Monthly Data'!DQ21</f>
        <v>31</v>
      </c>
      <c r="H21" s="3">
        <f>'Monthly Data'!DD21</f>
        <v>207.5</v>
      </c>
      <c r="I21">
        <f>'Monthly Data'!EJ21</f>
        <v>0</v>
      </c>
      <c r="J21">
        <f>'Monthly Data'!EF21</f>
        <v>0</v>
      </c>
      <c r="L21" s="3">
        <f t="shared" si="1"/>
        <v>-2785699</v>
      </c>
      <c r="M21" s="3">
        <f t="shared" ca="1" si="2"/>
        <v>82652.549778550732</v>
      </c>
      <c r="N21" s="3">
        <f t="shared" ca="1" si="3"/>
        <v>2808474.2591133071</v>
      </c>
      <c r="O21" s="3">
        <f t="shared" si="4"/>
        <v>4932472</v>
      </c>
      <c r="P21" s="3">
        <f t="shared" si="5"/>
        <v>2934599.875</v>
      </c>
      <c r="Q21" s="3">
        <f t="shared" si="6"/>
        <v>0</v>
      </c>
      <c r="R21" s="3">
        <f t="shared" si="7"/>
        <v>0</v>
      </c>
      <c r="S21" s="47">
        <f t="shared" ca="1" si="8"/>
        <v>7972499.683891858</v>
      </c>
      <c r="T21" s="47">
        <f>'Monthly Data'!BL21</f>
        <v>1124.1723076923076</v>
      </c>
      <c r="U21" s="47">
        <f>+'Monthly Data'!BM21</f>
        <v>0</v>
      </c>
      <c r="V21" s="47">
        <f t="shared" ca="1" si="9"/>
        <v>7973623.8561995504</v>
      </c>
      <c r="Z21" s="99"/>
      <c r="AB21" s="99"/>
    </row>
    <row r="22" spans="1:28">
      <c r="A22" s="2">
        <f>'Monthly Data'!A22</f>
        <v>42979</v>
      </c>
      <c r="B22">
        <f>'Monthly Data'!B22</f>
        <v>2017</v>
      </c>
      <c r="C22">
        <f>'Monthly Data'!C22</f>
        <v>9</v>
      </c>
      <c r="D22" s="3">
        <f>'Monthly Data'!BK22</f>
        <v>6946192.6472188877</v>
      </c>
      <c r="E22" s="3">
        <f t="shared" ref="E22:F22" ca="1" si="18">E10</f>
        <v>97.667119565217376</v>
      </c>
      <c r="F22" s="3">
        <f t="shared" ca="1" si="18"/>
        <v>154.9849637681159</v>
      </c>
      <c r="G22" s="3">
        <f>'Monthly Data'!DQ22</f>
        <v>30</v>
      </c>
      <c r="H22" s="3">
        <f>'Monthly Data'!DD22</f>
        <v>207.7</v>
      </c>
      <c r="I22">
        <f>'Monthly Data'!EJ22</f>
        <v>0</v>
      </c>
      <c r="J22">
        <f>'Monthly Data'!EF22</f>
        <v>1</v>
      </c>
      <c r="L22" s="3">
        <f t="shared" si="1"/>
        <v>-2785699</v>
      </c>
      <c r="M22" s="3">
        <f t="shared" ca="1" si="2"/>
        <v>383398.91921739129</v>
      </c>
      <c r="N22" s="3">
        <f t="shared" ca="1" si="3"/>
        <v>1577297.4747644924</v>
      </c>
      <c r="O22" s="3">
        <f t="shared" si="4"/>
        <v>4773360</v>
      </c>
      <c r="P22" s="3">
        <f t="shared" si="5"/>
        <v>2937428.4049999998</v>
      </c>
      <c r="Q22" s="3">
        <f t="shared" si="6"/>
        <v>0</v>
      </c>
      <c r="R22" s="3">
        <f t="shared" si="7"/>
        <v>193962.4</v>
      </c>
      <c r="S22" s="47">
        <f t="shared" ca="1" si="8"/>
        <v>7079748.1989818839</v>
      </c>
      <c r="T22" s="47">
        <f>'Monthly Data'!BL22</f>
        <v>1264.6938461538462</v>
      </c>
      <c r="U22" s="47">
        <f>+'Monthly Data'!BM22</f>
        <v>0</v>
      </c>
      <c r="V22" s="47">
        <f t="shared" ca="1" si="9"/>
        <v>7081012.892828038</v>
      </c>
      <c r="Y22" t="s">
        <v>315</v>
      </c>
    </row>
    <row r="23" spans="1:28">
      <c r="A23" s="2">
        <f>'Monthly Data'!A23</f>
        <v>43009</v>
      </c>
      <c r="B23">
        <f>'Monthly Data'!B23</f>
        <v>2017</v>
      </c>
      <c r="C23">
        <f>'Monthly Data'!C23</f>
        <v>10</v>
      </c>
      <c r="D23" s="3">
        <f>'Monthly Data'!BK23</f>
        <v>6500242.8103501946</v>
      </c>
      <c r="E23" s="3">
        <f t="shared" ref="E23:F23" ca="1" si="19">E11</f>
        <v>292.46431159420291</v>
      </c>
      <c r="F23" s="3">
        <f t="shared" ca="1" si="19"/>
        <v>38.347916666666663</v>
      </c>
      <c r="G23" s="3">
        <f>'Monthly Data'!DQ23</f>
        <v>31</v>
      </c>
      <c r="H23" s="3">
        <f>'Monthly Data'!DD23</f>
        <v>209.3</v>
      </c>
      <c r="I23">
        <f>'Monthly Data'!EJ23</f>
        <v>0</v>
      </c>
      <c r="J23">
        <f>'Monthly Data'!EF23</f>
        <v>1</v>
      </c>
      <c r="L23" s="3">
        <f t="shared" si="1"/>
        <v>-2785699</v>
      </c>
      <c r="M23" s="3">
        <f t="shared" ca="1" si="2"/>
        <v>1148088.542736232</v>
      </c>
      <c r="N23" s="3">
        <f t="shared" ca="1" si="3"/>
        <v>390270.58270833333</v>
      </c>
      <c r="O23" s="3">
        <f t="shared" si="4"/>
        <v>4932472</v>
      </c>
      <c r="P23" s="3">
        <f t="shared" si="5"/>
        <v>2960056.645</v>
      </c>
      <c r="Q23" s="3">
        <f t="shared" si="6"/>
        <v>0</v>
      </c>
      <c r="R23" s="3">
        <f t="shared" si="7"/>
        <v>193962.4</v>
      </c>
      <c r="S23" s="47">
        <f t="shared" ca="1" si="8"/>
        <v>6839151.1704445658</v>
      </c>
      <c r="T23" s="47">
        <f>'Monthly Data'!BL23</f>
        <v>1405.2153846153847</v>
      </c>
      <c r="U23" s="47">
        <f>+'Monthly Data'!BM23</f>
        <v>0</v>
      </c>
      <c r="V23" s="47">
        <f t="shared" ca="1" si="9"/>
        <v>6840556.3858291814</v>
      </c>
      <c r="Y23" t="s">
        <v>316</v>
      </c>
      <c r="Z23">
        <v>7372805</v>
      </c>
      <c r="AA23" t="s">
        <v>317</v>
      </c>
      <c r="AB23">
        <v>707150.8</v>
      </c>
    </row>
    <row r="24" spans="1:28">
      <c r="A24" s="2">
        <f>'Monthly Data'!A24</f>
        <v>43040</v>
      </c>
      <c r="B24">
        <f>'Monthly Data'!B24</f>
        <v>2017</v>
      </c>
      <c r="C24">
        <f>'Monthly Data'!C24</f>
        <v>11</v>
      </c>
      <c r="D24" s="3">
        <f>'Monthly Data'!BK24</f>
        <v>6938927.9339846773</v>
      </c>
      <c r="E24" s="3">
        <f t="shared" ref="E24:F24" ca="1" si="20">E12</f>
        <v>495.51408055712409</v>
      </c>
      <c r="F24" s="3">
        <f t="shared" ca="1" si="20"/>
        <v>1.9241666666666659</v>
      </c>
      <c r="G24" s="3">
        <f>'Monthly Data'!DQ24</f>
        <v>30</v>
      </c>
      <c r="H24" s="3">
        <f>'Monthly Data'!DD24</f>
        <v>208.6</v>
      </c>
      <c r="I24">
        <f>'Monthly Data'!EJ24</f>
        <v>0</v>
      </c>
      <c r="J24">
        <f>'Monthly Data'!EF24</f>
        <v>1</v>
      </c>
      <c r="L24" s="3">
        <f t="shared" si="1"/>
        <v>-2785699</v>
      </c>
      <c r="M24" s="3">
        <f t="shared" ca="1" si="2"/>
        <v>1945174.2181844686</v>
      </c>
      <c r="N24" s="3">
        <f t="shared" ca="1" si="3"/>
        <v>19582.436583333325</v>
      </c>
      <c r="O24" s="3">
        <f t="shared" si="4"/>
        <v>4773360</v>
      </c>
      <c r="P24" s="3">
        <f t="shared" si="5"/>
        <v>2950156.79</v>
      </c>
      <c r="Q24" s="3">
        <f t="shared" si="6"/>
        <v>0</v>
      </c>
      <c r="R24" s="3">
        <f t="shared" si="7"/>
        <v>193962.4</v>
      </c>
      <c r="S24" s="47">
        <f t="shared" ca="1" si="8"/>
        <v>7096536.8447678024</v>
      </c>
      <c r="T24" s="47">
        <f>'Monthly Data'!BL24</f>
        <v>1545.7369230769232</v>
      </c>
      <c r="U24" s="47">
        <f>+'Monthly Data'!BM24</f>
        <v>0</v>
      </c>
      <c r="V24" s="47">
        <f t="shared" ca="1" si="9"/>
        <v>7098082.5816908795</v>
      </c>
      <c r="Z24" s="3"/>
      <c r="AB24" s="3"/>
    </row>
    <row r="25" spans="1:28">
      <c r="A25" s="2">
        <f>'Monthly Data'!A25</f>
        <v>43070</v>
      </c>
      <c r="B25">
        <f>'Monthly Data'!B25</f>
        <v>2017</v>
      </c>
      <c r="C25">
        <f>'Monthly Data'!C25</f>
        <v>12</v>
      </c>
      <c r="D25" s="3">
        <f>'Monthly Data'!BK25</f>
        <v>7860342.0808829637</v>
      </c>
      <c r="E25" s="3">
        <f t="shared" ref="E25:F25" ca="1" si="21">E13</f>
        <v>664.38541666666663</v>
      </c>
      <c r="F25" s="3">
        <f t="shared" ca="1" si="21"/>
        <v>0</v>
      </c>
      <c r="G25" s="3">
        <f>'Monthly Data'!DQ25</f>
        <v>31</v>
      </c>
      <c r="H25" s="3">
        <f>'Monthly Data'!DD25</f>
        <v>207.8</v>
      </c>
      <c r="I25">
        <f>'Monthly Data'!EJ25</f>
        <v>0</v>
      </c>
      <c r="J25">
        <f>'Monthly Data'!EF25</f>
        <v>0</v>
      </c>
      <c r="L25" s="3">
        <f t="shared" si="1"/>
        <v>-2785699</v>
      </c>
      <c r="M25" s="3">
        <f t="shared" ca="1" si="2"/>
        <v>2608090.1313333334</v>
      </c>
      <c r="N25" s="3">
        <f t="shared" ca="1" si="3"/>
        <v>0</v>
      </c>
      <c r="O25" s="3">
        <f t="shared" si="4"/>
        <v>4932472</v>
      </c>
      <c r="P25" s="3">
        <f t="shared" si="5"/>
        <v>2938842.67</v>
      </c>
      <c r="Q25" s="3">
        <f t="shared" si="6"/>
        <v>0</v>
      </c>
      <c r="R25" s="3">
        <f t="shared" si="7"/>
        <v>0</v>
      </c>
      <c r="S25" s="47">
        <f t="shared" ca="1" si="8"/>
        <v>7693705.8013333334</v>
      </c>
      <c r="T25" s="47">
        <f>'Monthly Data'!BL25</f>
        <v>1686.2584615384617</v>
      </c>
      <c r="U25" s="47">
        <f>+'Monthly Data'!BM25</f>
        <v>0</v>
      </c>
      <c r="V25" s="47">
        <f t="shared" ca="1" si="9"/>
        <v>7695392.0597948721</v>
      </c>
    </row>
    <row r="26" spans="1:28">
      <c r="A26" s="2">
        <f>'Monthly Data'!A26</f>
        <v>43101</v>
      </c>
      <c r="B26">
        <f>'Monthly Data'!B26</f>
        <v>2018</v>
      </c>
      <c r="C26">
        <f>'Monthly Data'!C26</f>
        <v>1</v>
      </c>
      <c r="D26" s="3">
        <f>'Monthly Data'!BK26</f>
        <v>8410168.8579596728</v>
      </c>
      <c r="E26" s="3">
        <f t="shared" ref="E26:F26" ca="1" si="22">E14</f>
        <v>752.78750000000002</v>
      </c>
      <c r="F26" s="3">
        <f t="shared" ca="1" si="22"/>
        <v>0</v>
      </c>
      <c r="G26" s="3">
        <f>'Monthly Data'!DQ26</f>
        <v>31</v>
      </c>
      <c r="H26" s="3">
        <f>'Monthly Data'!DD26</f>
        <v>206.5</v>
      </c>
      <c r="I26">
        <f>'Monthly Data'!EJ26</f>
        <v>0</v>
      </c>
      <c r="J26">
        <f>'Monthly Data'!EF26</f>
        <v>0</v>
      </c>
      <c r="L26" s="3">
        <f t="shared" si="1"/>
        <v>-2785699</v>
      </c>
      <c r="M26" s="3">
        <f t="shared" ca="1" si="2"/>
        <v>2955118.5208000001</v>
      </c>
      <c r="N26" s="3">
        <f t="shared" ca="1" si="3"/>
        <v>0</v>
      </c>
      <c r="O26" s="3">
        <f t="shared" si="4"/>
        <v>4932472</v>
      </c>
      <c r="P26" s="3">
        <f t="shared" si="5"/>
        <v>2920457.2250000001</v>
      </c>
      <c r="Q26" s="3">
        <f t="shared" si="6"/>
        <v>0</v>
      </c>
      <c r="R26" s="3">
        <f t="shared" si="7"/>
        <v>0</v>
      </c>
      <c r="S26" s="47">
        <f t="shared" ca="1" si="8"/>
        <v>8022348.7457999997</v>
      </c>
      <c r="T26" s="47">
        <f>'Monthly Data'!BL26</f>
        <v>2078.9751282051284</v>
      </c>
      <c r="U26" s="47">
        <f>+'Monthly Data'!BM26</f>
        <v>0</v>
      </c>
      <c r="V26" s="47">
        <f t="shared" ca="1" si="9"/>
        <v>8024427.7209282052</v>
      </c>
    </row>
    <row r="27" spans="1:28">
      <c r="A27" s="2">
        <f>'Monthly Data'!A27</f>
        <v>43132</v>
      </c>
      <c r="B27">
        <f>'Monthly Data'!B27</f>
        <v>2018</v>
      </c>
      <c r="C27">
        <f>'Monthly Data'!C27</f>
        <v>2</v>
      </c>
      <c r="D27" s="3">
        <f>'Monthly Data'!BK27</f>
        <v>7178364.4838007502</v>
      </c>
      <c r="E27" s="3">
        <f t="shared" ref="E27:F27" ca="1" si="23">E15</f>
        <v>660.7954166666666</v>
      </c>
      <c r="F27" s="3">
        <f t="shared" ca="1" si="23"/>
        <v>0</v>
      </c>
      <c r="G27" s="3">
        <f>'Monthly Data'!DQ27</f>
        <v>28</v>
      </c>
      <c r="H27" s="3">
        <f>'Monthly Data'!DD27</f>
        <v>206.7</v>
      </c>
      <c r="I27">
        <f>'Monthly Data'!EJ27</f>
        <v>0</v>
      </c>
      <c r="J27">
        <f>'Monthly Data'!EF27</f>
        <v>0</v>
      </c>
      <c r="L27" s="3">
        <f t="shared" si="1"/>
        <v>-2785699</v>
      </c>
      <c r="M27" s="3">
        <f t="shared" ca="1" si="2"/>
        <v>2593997.3422133331</v>
      </c>
      <c r="N27" s="3">
        <f t="shared" ca="1" si="3"/>
        <v>0</v>
      </c>
      <c r="O27" s="3">
        <f t="shared" si="4"/>
        <v>4455136</v>
      </c>
      <c r="P27" s="3">
        <f t="shared" si="5"/>
        <v>2923285.7549999999</v>
      </c>
      <c r="Q27" s="3">
        <f t="shared" si="6"/>
        <v>0</v>
      </c>
      <c r="R27" s="3">
        <f t="shared" si="7"/>
        <v>0</v>
      </c>
      <c r="S27" s="47">
        <f t="shared" ca="1" si="8"/>
        <v>7186720.0972133325</v>
      </c>
      <c r="T27" s="47">
        <f>'Monthly Data'!BL27</f>
        <v>2331.1702564102566</v>
      </c>
      <c r="U27" s="47">
        <f>+'Monthly Data'!BM27</f>
        <v>0</v>
      </c>
      <c r="V27" s="47">
        <f t="shared" ca="1" si="9"/>
        <v>7189051.2674697423</v>
      </c>
    </row>
    <row r="28" spans="1:28">
      <c r="A28" s="2">
        <f>'Monthly Data'!A28</f>
        <v>43160</v>
      </c>
      <c r="B28">
        <f>'Monthly Data'!B28</f>
        <v>2018</v>
      </c>
      <c r="C28">
        <f>'Monthly Data'!C28</f>
        <v>3</v>
      </c>
      <c r="D28" s="3">
        <f>'Monthly Data'!BK28</f>
        <v>7529857.5160413282</v>
      </c>
      <c r="E28" s="3">
        <f t="shared" ref="E28:F28" ca="1" si="24">E16</f>
        <v>596.21590579710141</v>
      </c>
      <c r="F28" s="3">
        <f t="shared" ca="1" si="24"/>
        <v>2.9583333333332896E-2</v>
      </c>
      <c r="G28" s="3">
        <f>'Monthly Data'!DQ28</f>
        <v>31</v>
      </c>
      <c r="H28" s="3">
        <f>'Monthly Data'!DD28</f>
        <v>209.4</v>
      </c>
      <c r="I28">
        <f>'Monthly Data'!EJ28</f>
        <v>0</v>
      </c>
      <c r="J28">
        <f>'Monthly Data'!EF28</f>
        <v>0</v>
      </c>
      <c r="L28" s="3">
        <f t="shared" si="1"/>
        <v>-2785699</v>
      </c>
      <c r="M28" s="3">
        <f t="shared" ca="1" si="2"/>
        <v>2340486.0808881158</v>
      </c>
      <c r="N28" s="3">
        <f t="shared" ca="1" si="3"/>
        <v>301.07254166666223</v>
      </c>
      <c r="O28" s="3">
        <f t="shared" si="4"/>
        <v>4932472</v>
      </c>
      <c r="P28" s="3">
        <f t="shared" si="5"/>
        <v>2961470.91</v>
      </c>
      <c r="Q28" s="3">
        <f t="shared" si="6"/>
        <v>0</v>
      </c>
      <c r="R28" s="3">
        <f t="shared" si="7"/>
        <v>0</v>
      </c>
      <c r="S28" s="47">
        <f t="shared" ca="1" si="8"/>
        <v>7449031.0634297822</v>
      </c>
      <c r="T28" s="47">
        <f>'Monthly Data'!BL28</f>
        <v>2583.3653846153848</v>
      </c>
      <c r="U28" s="47">
        <f>+'Monthly Data'!BM28</f>
        <v>0</v>
      </c>
      <c r="V28" s="47">
        <f t="shared" ca="1" si="9"/>
        <v>7451614.4288143972</v>
      </c>
    </row>
    <row r="29" spans="1:28">
      <c r="A29" s="2">
        <f>'Monthly Data'!A29</f>
        <v>43191</v>
      </c>
      <c r="B29">
        <f>'Monthly Data'!B29</f>
        <v>2018</v>
      </c>
      <c r="C29">
        <f>'Monthly Data'!C29</f>
        <v>4</v>
      </c>
      <c r="D29" s="3">
        <f>'Monthly Data'!BK29</f>
        <v>6869833.8112721313</v>
      </c>
      <c r="E29" s="3">
        <f t="shared" ref="E29:F29" ca="1" si="25">E17</f>
        <v>412.8885416666667</v>
      </c>
      <c r="F29" s="3">
        <f t="shared" ca="1" si="25"/>
        <v>6.0095833333333344</v>
      </c>
      <c r="G29" s="3">
        <f>'Monthly Data'!DQ29</f>
        <v>30</v>
      </c>
      <c r="H29" s="3">
        <f>'Monthly Data'!DD29</f>
        <v>213.7</v>
      </c>
      <c r="I29">
        <f>'Monthly Data'!EJ29</f>
        <v>0</v>
      </c>
      <c r="J29">
        <f>'Monthly Data'!EF29</f>
        <v>0</v>
      </c>
      <c r="L29" s="3">
        <f t="shared" si="1"/>
        <v>-2785699</v>
      </c>
      <c r="M29" s="3">
        <f t="shared" ca="1" si="2"/>
        <v>1620822.0467333335</v>
      </c>
      <c r="N29" s="3">
        <f t="shared" ca="1" si="3"/>
        <v>61160.13054166668</v>
      </c>
      <c r="O29" s="3">
        <f t="shared" si="4"/>
        <v>4773360</v>
      </c>
      <c r="P29" s="3">
        <f t="shared" si="5"/>
        <v>3022284.3049999997</v>
      </c>
      <c r="Q29" s="3">
        <f t="shared" si="6"/>
        <v>0</v>
      </c>
      <c r="R29" s="3">
        <f t="shared" si="7"/>
        <v>0</v>
      </c>
      <c r="S29" s="47">
        <f t="shared" ca="1" si="8"/>
        <v>6691927.4822749998</v>
      </c>
      <c r="T29" s="47">
        <f>'Monthly Data'!BL29</f>
        <v>2835.5605128205129</v>
      </c>
      <c r="U29" s="47">
        <f>+'Monthly Data'!BM29</f>
        <v>0</v>
      </c>
      <c r="V29" s="47">
        <f t="shared" ca="1" si="9"/>
        <v>6694763.0427878201</v>
      </c>
    </row>
    <row r="30" spans="1:28">
      <c r="A30" s="2">
        <f>'Monthly Data'!A30</f>
        <v>43221</v>
      </c>
      <c r="B30">
        <f>'Monthly Data'!B30</f>
        <v>2018</v>
      </c>
      <c r="C30">
        <f>'Monthly Data'!C30</f>
        <v>5</v>
      </c>
      <c r="D30" s="3">
        <f>'Monthly Data'!BK30</f>
        <v>6770110.0880697882</v>
      </c>
      <c r="E30" s="3">
        <f t="shared" ref="E30:F30" ca="1" si="26">E18</f>
        <v>208.90012508544086</v>
      </c>
      <c r="F30" s="3">
        <f t="shared" ca="1" si="26"/>
        <v>81.50872474747473</v>
      </c>
      <c r="G30" s="3">
        <f>'Monthly Data'!DQ30</f>
        <v>31</v>
      </c>
      <c r="H30" s="3">
        <f>'Monthly Data'!DD30</f>
        <v>217.6</v>
      </c>
      <c r="I30">
        <f>'Monthly Data'!EJ30</f>
        <v>0</v>
      </c>
      <c r="J30">
        <f>'Monthly Data'!EF30</f>
        <v>0</v>
      </c>
      <c r="L30" s="3">
        <f t="shared" si="1"/>
        <v>-2785699</v>
      </c>
      <c r="M30" s="3">
        <f t="shared" ca="1" si="2"/>
        <v>820051.64623140392</v>
      </c>
      <c r="N30" s="3">
        <f t="shared" ca="1" si="3"/>
        <v>829522.44262752507</v>
      </c>
      <c r="O30" s="3">
        <f t="shared" si="4"/>
        <v>4932472</v>
      </c>
      <c r="P30" s="3">
        <f t="shared" si="5"/>
        <v>3077440.6399999997</v>
      </c>
      <c r="Q30" s="3">
        <f t="shared" si="6"/>
        <v>0</v>
      </c>
      <c r="R30" s="3">
        <f t="shared" si="7"/>
        <v>0</v>
      </c>
      <c r="S30" s="47">
        <f t="shared" ca="1" si="8"/>
        <v>6873787.7288589291</v>
      </c>
      <c r="T30" s="47">
        <f>'Monthly Data'!BL30</f>
        <v>3087.7556410256411</v>
      </c>
      <c r="U30" s="47">
        <f>+'Monthly Data'!BM30</f>
        <v>0</v>
      </c>
      <c r="V30" s="47">
        <f t="shared" ca="1" si="9"/>
        <v>6876875.4844999546</v>
      </c>
    </row>
    <row r="31" spans="1:28">
      <c r="A31" s="2">
        <f>'Monthly Data'!A31</f>
        <v>43252</v>
      </c>
      <c r="B31">
        <f>'Monthly Data'!B31</f>
        <v>2018</v>
      </c>
      <c r="C31">
        <f>'Monthly Data'!C31</f>
        <v>6</v>
      </c>
      <c r="D31" s="3">
        <f>'Monthly Data'!BK31</f>
        <v>6985601.5404461809</v>
      </c>
      <c r="E31" s="3">
        <f t="shared" ref="E31:F31" ca="1" si="27">E19</f>
        <v>61.78217382617381</v>
      </c>
      <c r="F31" s="3">
        <f t="shared" ca="1" si="27"/>
        <v>202.3599342107168</v>
      </c>
      <c r="G31" s="3">
        <f>'Monthly Data'!DQ31</f>
        <v>30</v>
      </c>
      <c r="H31" s="3">
        <f>'Monthly Data'!DD31</f>
        <v>219.5</v>
      </c>
      <c r="I31">
        <f>'Monthly Data'!EJ31</f>
        <v>0</v>
      </c>
      <c r="J31">
        <f>'Monthly Data'!EF31</f>
        <v>0</v>
      </c>
      <c r="L31" s="3">
        <f t="shared" si="1"/>
        <v>-2785699</v>
      </c>
      <c r="M31" s="3">
        <f t="shared" ca="1" si="2"/>
        <v>242530.12454246549</v>
      </c>
      <c r="N31" s="3">
        <f t="shared" ca="1" si="3"/>
        <v>2059437.286455886</v>
      </c>
      <c r="O31" s="3">
        <f t="shared" si="4"/>
        <v>4773360</v>
      </c>
      <c r="P31" s="3">
        <f t="shared" si="5"/>
        <v>3104311.6749999998</v>
      </c>
      <c r="Q31" s="3">
        <f t="shared" si="6"/>
        <v>0</v>
      </c>
      <c r="R31" s="3">
        <f t="shared" si="7"/>
        <v>0</v>
      </c>
      <c r="S31" s="47">
        <f t="shared" ca="1" si="8"/>
        <v>7393940.0859983517</v>
      </c>
      <c r="T31" s="47">
        <f>'Monthly Data'!BL31</f>
        <v>3339.9507692307693</v>
      </c>
      <c r="U31" s="47">
        <f>+'Monthly Data'!BM31</f>
        <v>0</v>
      </c>
      <c r="V31" s="47">
        <f t="shared" ca="1" si="9"/>
        <v>7397280.0367675824</v>
      </c>
    </row>
    <row r="32" spans="1:28">
      <c r="A32" s="2">
        <f>'Monthly Data'!A32</f>
        <v>43282</v>
      </c>
      <c r="B32">
        <f>'Monthly Data'!B32</f>
        <v>2018</v>
      </c>
      <c r="C32">
        <f>'Monthly Data'!C32</f>
        <v>7</v>
      </c>
      <c r="D32" s="3">
        <f>'Monthly Data'!BK32</f>
        <v>7993952.523872898</v>
      </c>
      <c r="E32" s="3">
        <f t="shared" ref="E32:F32" ca="1" si="28">E20</f>
        <v>8.334479813664597</v>
      </c>
      <c r="F32" s="3">
        <f t="shared" ca="1" si="28"/>
        <v>304.72508692061177</v>
      </c>
      <c r="G32" s="3">
        <f>'Monthly Data'!DQ32</f>
        <v>31</v>
      </c>
      <c r="H32" s="3">
        <f>'Monthly Data'!DD32</f>
        <v>218.7</v>
      </c>
      <c r="I32">
        <f>'Monthly Data'!EJ32</f>
        <v>0</v>
      </c>
      <c r="J32">
        <f>'Monthly Data'!EF32</f>
        <v>0</v>
      </c>
      <c r="L32" s="3">
        <f t="shared" si="1"/>
        <v>-2785699</v>
      </c>
      <c r="M32" s="3">
        <f t="shared" ca="1" si="2"/>
        <v>32717.567253167708</v>
      </c>
      <c r="N32" s="3">
        <f t="shared" ca="1" si="3"/>
        <v>3101217.6820997582</v>
      </c>
      <c r="O32" s="3">
        <f t="shared" si="4"/>
        <v>4932472</v>
      </c>
      <c r="P32" s="3">
        <f t="shared" si="5"/>
        <v>3092997.5549999997</v>
      </c>
      <c r="Q32" s="3">
        <f t="shared" si="6"/>
        <v>0</v>
      </c>
      <c r="R32" s="3">
        <f t="shared" si="7"/>
        <v>0</v>
      </c>
      <c r="S32" s="47">
        <f t="shared" ca="1" si="8"/>
        <v>8373705.8043529261</v>
      </c>
      <c r="T32" s="47">
        <f>'Monthly Data'!BL32</f>
        <v>3592.1458974358975</v>
      </c>
      <c r="U32" s="47">
        <f>+'Monthly Data'!BM32</f>
        <v>0</v>
      </c>
      <c r="V32" s="47">
        <f t="shared" ca="1" si="9"/>
        <v>8377297.950250362</v>
      </c>
    </row>
    <row r="33" spans="1:22">
      <c r="A33" s="2">
        <f>'Monthly Data'!A33</f>
        <v>43313</v>
      </c>
      <c r="B33">
        <f>'Monthly Data'!B33</f>
        <v>2018</v>
      </c>
      <c r="C33">
        <f>'Monthly Data'!C33</f>
        <v>8</v>
      </c>
      <c r="D33" s="3">
        <f>'Monthly Data'!BK33</f>
        <v>8077429.5244700667</v>
      </c>
      <c r="E33" s="3">
        <f t="shared" ref="E33:F33" ca="1" si="29">E21</f>
        <v>21.054927536231883</v>
      </c>
      <c r="F33" s="3">
        <f t="shared" ca="1" si="29"/>
        <v>275.96017127799735</v>
      </c>
      <c r="G33" s="3">
        <f>'Monthly Data'!DQ33</f>
        <v>31</v>
      </c>
      <c r="H33" s="3">
        <f>'Monthly Data'!DD33</f>
        <v>217.1</v>
      </c>
      <c r="I33">
        <f>'Monthly Data'!EJ33</f>
        <v>0</v>
      </c>
      <c r="J33">
        <f>'Monthly Data'!EF33</f>
        <v>0</v>
      </c>
      <c r="L33" s="3">
        <f t="shared" si="1"/>
        <v>-2785699</v>
      </c>
      <c r="M33" s="3">
        <f t="shared" ca="1" si="2"/>
        <v>82652.549778550732</v>
      </c>
      <c r="N33" s="3">
        <f t="shared" ca="1" si="3"/>
        <v>2808474.2591133071</v>
      </c>
      <c r="O33" s="3">
        <f t="shared" si="4"/>
        <v>4932472</v>
      </c>
      <c r="P33" s="3">
        <f t="shared" si="5"/>
        <v>3070369.3149999999</v>
      </c>
      <c r="Q33" s="3">
        <f t="shared" si="6"/>
        <v>0</v>
      </c>
      <c r="R33" s="3">
        <f t="shared" si="7"/>
        <v>0</v>
      </c>
      <c r="S33" s="47">
        <f t="shared" ca="1" si="8"/>
        <v>8108269.1238918584</v>
      </c>
      <c r="T33" s="47">
        <f>'Monthly Data'!BL33</f>
        <v>3844.3410256410257</v>
      </c>
      <c r="U33" s="47">
        <f>+'Monthly Data'!BM33</f>
        <v>0</v>
      </c>
      <c r="V33" s="47">
        <f t="shared" ca="1" si="9"/>
        <v>8112113.4649174996</v>
      </c>
    </row>
    <row r="34" spans="1:22">
      <c r="A34" s="2">
        <f>'Monthly Data'!A34</f>
        <v>43344</v>
      </c>
      <c r="B34">
        <f>'Monthly Data'!B34</f>
        <v>2018</v>
      </c>
      <c r="C34">
        <f>'Monthly Data'!C34</f>
        <v>9</v>
      </c>
      <c r="D34" s="3">
        <f>'Monthly Data'!BK34</f>
        <v>7049345.8021477899</v>
      </c>
      <c r="E34" s="3">
        <f t="shared" ref="E34:F34" ca="1" si="30">E22</f>
        <v>97.667119565217376</v>
      </c>
      <c r="F34" s="3">
        <f t="shared" ca="1" si="30"/>
        <v>154.9849637681159</v>
      </c>
      <c r="G34" s="3">
        <f>'Monthly Data'!DQ34</f>
        <v>30</v>
      </c>
      <c r="H34" s="3">
        <f>'Monthly Data'!DD34</f>
        <v>215.6</v>
      </c>
      <c r="I34">
        <f>'Monthly Data'!EJ34</f>
        <v>0</v>
      </c>
      <c r="J34">
        <f>'Monthly Data'!EF34</f>
        <v>1</v>
      </c>
      <c r="L34" s="3">
        <f t="shared" ref="L34:L65" si="31">$Z$8</f>
        <v>-2785699</v>
      </c>
      <c r="M34" s="3">
        <f t="shared" ref="M34:M65" ca="1" si="32">E34*$Z$9</f>
        <v>383398.91921739129</v>
      </c>
      <c r="N34" s="3">
        <f t="shared" ref="N34:N65" ca="1" si="33">F34*$Z$10</f>
        <v>1577297.4747644924</v>
      </c>
      <c r="O34" s="3">
        <f t="shared" ref="O34:O65" si="34">G34*$Z$11</f>
        <v>4773360</v>
      </c>
      <c r="P34" s="3">
        <f t="shared" ref="P34:P65" si="35">H34*$Z$12</f>
        <v>3049155.34</v>
      </c>
      <c r="Q34" s="3">
        <f t="shared" ref="Q34:Q65" si="36">I34*$Z$13</f>
        <v>0</v>
      </c>
      <c r="R34" s="3">
        <f t="shared" ref="R34:R65" si="37">J34*$Z$14</f>
        <v>193962.4</v>
      </c>
      <c r="S34" s="47">
        <f t="shared" ca="1" si="8"/>
        <v>7191475.1339818835</v>
      </c>
      <c r="T34" s="47">
        <f>'Monthly Data'!BL34</f>
        <v>4096.5361538461539</v>
      </c>
      <c r="U34" s="47">
        <f>+'Monthly Data'!BM34</f>
        <v>0</v>
      </c>
      <c r="V34" s="47">
        <f t="shared" ca="1" si="9"/>
        <v>7195571.6701357299</v>
      </c>
    </row>
    <row r="35" spans="1:22">
      <c r="A35" s="2">
        <f>'Monthly Data'!A35</f>
        <v>43374</v>
      </c>
      <c r="B35">
        <f>'Monthly Data'!B35</f>
        <v>2018</v>
      </c>
      <c r="C35">
        <f>'Monthly Data'!C35</f>
        <v>10</v>
      </c>
      <c r="D35" s="3">
        <f>'Monthly Data'!BK35</f>
        <v>6709539.9969768031</v>
      </c>
      <c r="E35" s="3">
        <f t="shared" ref="E35:F35" ca="1" si="38">E23</f>
        <v>292.46431159420291</v>
      </c>
      <c r="F35" s="3">
        <f t="shared" ca="1" si="38"/>
        <v>38.347916666666663</v>
      </c>
      <c r="G35" s="3">
        <f>'Monthly Data'!DQ35</f>
        <v>31</v>
      </c>
      <c r="H35" s="3">
        <f>'Monthly Data'!DD35</f>
        <v>214.7</v>
      </c>
      <c r="I35">
        <f>'Monthly Data'!EJ35</f>
        <v>0</v>
      </c>
      <c r="J35">
        <f>'Monthly Data'!EF35</f>
        <v>1</v>
      </c>
      <c r="L35" s="3">
        <f t="shared" si="31"/>
        <v>-2785699</v>
      </c>
      <c r="M35" s="3">
        <f t="shared" ca="1" si="32"/>
        <v>1148088.542736232</v>
      </c>
      <c r="N35" s="3">
        <f t="shared" ca="1" si="33"/>
        <v>390270.58270833333</v>
      </c>
      <c r="O35" s="3">
        <f t="shared" si="34"/>
        <v>4932472</v>
      </c>
      <c r="P35" s="3">
        <f t="shared" si="35"/>
        <v>3036426.9549999996</v>
      </c>
      <c r="Q35" s="3">
        <f t="shared" si="36"/>
        <v>0</v>
      </c>
      <c r="R35" s="3">
        <f t="shared" si="37"/>
        <v>193962.4</v>
      </c>
      <c r="S35" s="47">
        <f t="shared" ca="1" si="8"/>
        <v>6915521.4804445654</v>
      </c>
      <c r="T35" s="47">
        <f>'Monthly Data'!BL35</f>
        <v>4348.7312820512825</v>
      </c>
      <c r="U35" s="47">
        <f>+'Monthly Data'!BM35</f>
        <v>0</v>
      </c>
      <c r="V35" s="47">
        <f t="shared" ca="1" si="9"/>
        <v>6919870.2117266171</v>
      </c>
    </row>
    <row r="36" spans="1:22">
      <c r="A36" s="2">
        <f>'Monthly Data'!A36</f>
        <v>43405</v>
      </c>
      <c r="B36">
        <f>'Monthly Data'!B36</f>
        <v>2018</v>
      </c>
      <c r="C36">
        <f>'Monthly Data'!C36</f>
        <v>11</v>
      </c>
      <c r="D36" s="3">
        <f>'Monthly Data'!BK36</f>
        <v>7255558.8861429505</v>
      </c>
      <c r="E36" s="3">
        <f t="shared" ref="E36:F36" ca="1" si="39">E24</f>
        <v>495.51408055712409</v>
      </c>
      <c r="F36" s="3">
        <f t="shared" ca="1" si="39"/>
        <v>1.9241666666666659</v>
      </c>
      <c r="G36" s="3">
        <f>'Monthly Data'!DQ36</f>
        <v>30</v>
      </c>
      <c r="H36" s="3">
        <f>'Monthly Data'!DD36</f>
        <v>214.8</v>
      </c>
      <c r="I36">
        <f>'Monthly Data'!EJ36</f>
        <v>0</v>
      </c>
      <c r="J36">
        <f>'Monthly Data'!EF36</f>
        <v>1</v>
      </c>
      <c r="L36" s="3">
        <f t="shared" si="31"/>
        <v>-2785699</v>
      </c>
      <c r="M36" s="3">
        <f t="shared" ca="1" si="32"/>
        <v>1945174.2181844686</v>
      </c>
      <c r="N36" s="3">
        <f t="shared" ca="1" si="33"/>
        <v>19582.436583333325</v>
      </c>
      <c r="O36" s="3">
        <f t="shared" si="34"/>
        <v>4773360</v>
      </c>
      <c r="P36" s="3">
        <f t="shared" si="35"/>
        <v>3037841.22</v>
      </c>
      <c r="Q36" s="3">
        <f t="shared" si="36"/>
        <v>0</v>
      </c>
      <c r="R36" s="3">
        <f t="shared" si="37"/>
        <v>193962.4</v>
      </c>
      <c r="S36" s="47">
        <f t="shared" ca="1" si="8"/>
        <v>7184221.274767803</v>
      </c>
      <c r="T36" s="47">
        <f>'Monthly Data'!BL36</f>
        <v>4600.9264102564102</v>
      </c>
      <c r="U36" s="47">
        <f>+'Monthly Data'!BM36</f>
        <v>0</v>
      </c>
      <c r="V36" s="47">
        <f t="shared" ca="1" si="9"/>
        <v>7188822.201178059</v>
      </c>
    </row>
    <row r="37" spans="1:22">
      <c r="A37" s="2">
        <f>'Monthly Data'!A37</f>
        <v>43435</v>
      </c>
      <c r="B37">
        <f>'Monthly Data'!B37</f>
        <v>2018</v>
      </c>
      <c r="C37">
        <f>'Monthly Data'!C37</f>
        <v>12</v>
      </c>
      <c r="D37" s="3">
        <f>'Monthly Data'!BK37</f>
        <v>7580312.8758256463</v>
      </c>
      <c r="E37" s="3">
        <f t="shared" ref="E37:F37" ca="1" si="40">E25</f>
        <v>664.38541666666663</v>
      </c>
      <c r="F37" s="3">
        <f t="shared" ca="1" si="40"/>
        <v>0</v>
      </c>
      <c r="G37" s="3">
        <f>'Monthly Data'!DQ37</f>
        <v>31</v>
      </c>
      <c r="H37" s="3">
        <f>'Monthly Data'!DD37</f>
        <v>214.1</v>
      </c>
      <c r="I37">
        <f>'Monthly Data'!EJ37</f>
        <v>0</v>
      </c>
      <c r="J37">
        <f>'Monthly Data'!EF37</f>
        <v>0</v>
      </c>
      <c r="L37" s="3">
        <f t="shared" si="31"/>
        <v>-2785699</v>
      </c>
      <c r="M37" s="3">
        <f t="shared" ca="1" si="32"/>
        <v>2608090.1313333334</v>
      </c>
      <c r="N37" s="3">
        <f t="shared" ca="1" si="33"/>
        <v>0</v>
      </c>
      <c r="O37" s="3">
        <f t="shared" si="34"/>
        <v>4932472</v>
      </c>
      <c r="P37" s="3">
        <f t="shared" si="35"/>
        <v>3027941.3649999998</v>
      </c>
      <c r="Q37" s="3">
        <f t="shared" si="36"/>
        <v>0</v>
      </c>
      <c r="R37" s="3">
        <f t="shared" si="37"/>
        <v>0</v>
      </c>
      <c r="S37" s="47">
        <f t="shared" ca="1" si="8"/>
        <v>7782804.4963333327</v>
      </c>
      <c r="T37" s="47">
        <f>'Monthly Data'!BL37</f>
        <v>4853.1215384615389</v>
      </c>
      <c r="U37" s="47">
        <f>+'Monthly Data'!BM37</f>
        <v>0</v>
      </c>
      <c r="V37" s="47">
        <f t="shared" ca="1" si="9"/>
        <v>7787657.6178717939</v>
      </c>
    </row>
    <row r="38" spans="1:22">
      <c r="A38" s="2">
        <f>'Monthly Data'!A38</f>
        <v>43466</v>
      </c>
      <c r="B38">
        <f>'Monthly Data'!B38</f>
        <v>2019</v>
      </c>
      <c r="C38">
        <f>'Monthly Data'!C38</f>
        <v>1</v>
      </c>
      <c r="D38" s="3">
        <f>'Monthly Data'!BK38</f>
        <v>8472734.8679011315</v>
      </c>
      <c r="E38" s="3">
        <f t="shared" ref="E38:F38" ca="1" si="41">E26</f>
        <v>752.78750000000002</v>
      </c>
      <c r="F38" s="3">
        <f t="shared" ca="1" si="41"/>
        <v>0</v>
      </c>
      <c r="G38" s="3">
        <f>'Monthly Data'!DQ38</f>
        <v>31</v>
      </c>
      <c r="H38" s="3">
        <f>'Monthly Data'!DD38</f>
        <v>216.3</v>
      </c>
      <c r="I38">
        <f>'Monthly Data'!EJ38</f>
        <v>0</v>
      </c>
      <c r="J38">
        <f>'Monthly Data'!EF38</f>
        <v>0</v>
      </c>
      <c r="L38" s="3">
        <f t="shared" si="31"/>
        <v>-2785699</v>
      </c>
      <c r="M38" s="3">
        <f t="shared" ca="1" si="32"/>
        <v>2955118.5208000001</v>
      </c>
      <c r="N38" s="3">
        <f t="shared" ca="1" si="33"/>
        <v>0</v>
      </c>
      <c r="O38" s="3">
        <f t="shared" si="34"/>
        <v>4932472</v>
      </c>
      <c r="P38" s="3">
        <f t="shared" si="35"/>
        <v>3059055.1950000003</v>
      </c>
      <c r="Q38" s="3">
        <f t="shared" si="36"/>
        <v>0</v>
      </c>
      <c r="R38" s="3">
        <f t="shared" si="37"/>
        <v>0</v>
      </c>
      <c r="S38" s="47">
        <f t="shared" ca="1" si="8"/>
        <v>8160946.7158000004</v>
      </c>
      <c r="T38" s="47">
        <f>'Monthly Data'!BL38</f>
        <v>5281.8269230769229</v>
      </c>
      <c r="U38" s="47">
        <f ca="1">+'Monthly Data'!BM38</f>
        <v>9019.934494040499</v>
      </c>
      <c r="V38" s="47">
        <f t="shared" ca="1" si="9"/>
        <v>8175248.4772171183</v>
      </c>
    </row>
    <row r="39" spans="1:22">
      <c r="A39" s="2">
        <f>'Monthly Data'!A39</f>
        <v>43497</v>
      </c>
      <c r="B39">
        <f>'Monthly Data'!B39</f>
        <v>2019</v>
      </c>
      <c r="C39">
        <f>'Monthly Data'!C39</f>
        <v>2</v>
      </c>
      <c r="D39" s="3">
        <f>'Monthly Data'!BK39</f>
        <v>7548305.1768436972</v>
      </c>
      <c r="E39" s="3">
        <f t="shared" ref="E39:F39" ca="1" si="42">E27</f>
        <v>660.7954166666666</v>
      </c>
      <c r="F39" s="3">
        <f t="shared" ca="1" si="42"/>
        <v>0</v>
      </c>
      <c r="G39" s="3">
        <f>'Monthly Data'!DQ39</f>
        <v>28</v>
      </c>
      <c r="H39" s="3">
        <f>'Monthly Data'!DD39</f>
        <v>218</v>
      </c>
      <c r="I39">
        <f>'Monthly Data'!EJ39</f>
        <v>0</v>
      </c>
      <c r="J39">
        <f>'Monthly Data'!EF39</f>
        <v>0</v>
      </c>
      <c r="L39" s="3">
        <f t="shared" si="31"/>
        <v>-2785699</v>
      </c>
      <c r="M39" s="3">
        <f t="shared" ca="1" si="32"/>
        <v>2593997.3422133331</v>
      </c>
      <c r="N39" s="3">
        <f t="shared" ca="1" si="33"/>
        <v>0</v>
      </c>
      <c r="O39" s="3">
        <f t="shared" si="34"/>
        <v>4455136</v>
      </c>
      <c r="P39" s="3">
        <f t="shared" si="35"/>
        <v>3083097.6999999997</v>
      </c>
      <c r="Q39" s="3">
        <f t="shared" si="36"/>
        <v>0</v>
      </c>
      <c r="R39" s="3">
        <f t="shared" si="37"/>
        <v>0</v>
      </c>
      <c r="S39" s="47">
        <f t="shared" ca="1" si="8"/>
        <v>7346532.0422133319</v>
      </c>
      <c r="T39" s="47">
        <f>'Monthly Data'!BL39</f>
        <v>5458.3371794871791</v>
      </c>
      <c r="U39" s="47">
        <f ca="1">+'Monthly Data'!BM39</f>
        <v>7393.5571909143682</v>
      </c>
      <c r="V39" s="47">
        <f t="shared" ca="1" si="9"/>
        <v>7359383.9365837341</v>
      </c>
    </row>
    <row r="40" spans="1:22">
      <c r="A40" s="2">
        <f>'Monthly Data'!A40</f>
        <v>43525</v>
      </c>
      <c r="B40">
        <f>'Monthly Data'!B40</f>
        <v>2019</v>
      </c>
      <c r="C40">
        <f>'Monthly Data'!C40</f>
        <v>3</v>
      </c>
      <c r="D40" s="3">
        <f>'Monthly Data'!BK40</f>
        <v>7821830.0137946913</v>
      </c>
      <c r="E40" s="3">
        <f t="shared" ref="E40:F40" ca="1" si="43">E28</f>
        <v>596.21590579710141</v>
      </c>
      <c r="F40" s="3">
        <f t="shared" ca="1" si="43"/>
        <v>2.9583333333332896E-2</v>
      </c>
      <c r="G40" s="3">
        <f>'Monthly Data'!DQ40</f>
        <v>31</v>
      </c>
      <c r="H40" s="3">
        <f>'Monthly Data'!DD40</f>
        <v>220.1</v>
      </c>
      <c r="I40">
        <f>'Monthly Data'!EJ40</f>
        <v>0</v>
      </c>
      <c r="J40">
        <f>'Monthly Data'!EF40</f>
        <v>0</v>
      </c>
      <c r="L40" s="3">
        <f t="shared" si="31"/>
        <v>-2785699</v>
      </c>
      <c r="M40" s="3">
        <f t="shared" ca="1" si="32"/>
        <v>2340486.0808881158</v>
      </c>
      <c r="N40" s="3">
        <f t="shared" ca="1" si="33"/>
        <v>301.07254166666223</v>
      </c>
      <c r="O40" s="3">
        <f t="shared" si="34"/>
        <v>4932472</v>
      </c>
      <c r="P40" s="3">
        <f t="shared" si="35"/>
        <v>3112797.2649999997</v>
      </c>
      <c r="Q40" s="3">
        <f t="shared" si="36"/>
        <v>0</v>
      </c>
      <c r="R40" s="3">
        <f t="shared" si="37"/>
        <v>0</v>
      </c>
      <c r="S40" s="47">
        <f t="shared" ca="1" si="8"/>
        <v>7600357.4184297817</v>
      </c>
      <c r="T40" s="47">
        <f>'Monthly Data'!BL40</f>
        <v>5634.8474358974363</v>
      </c>
      <c r="U40" s="47">
        <f ca="1">+'Monthly Data'!BM40</f>
        <v>7071.5199322615335</v>
      </c>
      <c r="V40" s="47">
        <f t="shared" ca="1" si="9"/>
        <v>7613063.7857979406</v>
      </c>
    </row>
    <row r="41" spans="1:22">
      <c r="A41" s="2">
        <f>'Monthly Data'!A41</f>
        <v>43556</v>
      </c>
      <c r="B41">
        <f>'Monthly Data'!B41</f>
        <v>2019</v>
      </c>
      <c r="C41">
        <f>'Monthly Data'!C41</f>
        <v>4</v>
      </c>
      <c r="D41" s="3">
        <f>'Monthly Data'!BK41</f>
        <v>6774564.6466993866</v>
      </c>
      <c r="E41" s="3">
        <f t="shared" ref="E41:F41" ca="1" si="44">E29</f>
        <v>412.8885416666667</v>
      </c>
      <c r="F41" s="3">
        <f t="shared" ca="1" si="44"/>
        <v>6.0095833333333344</v>
      </c>
      <c r="G41" s="3">
        <f>'Monthly Data'!DQ41</f>
        <v>30</v>
      </c>
      <c r="H41" s="3">
        <f>'Monthly Data'!DD41</f>
        <v>219.6</v>
      </c>
      <c r="I41">
        <f>'Monthly Data'!EJ41</f>
        <v>0</v>
      </c>
      <c r="J41">
        <f>'Monthly Data'!EF41</f>
        <v>0</v>
      </c>
      <c r="L41" s="3">
        <f t="shared" si="31"/>
        <v>-2785699</v>
      </c>
      <c r="M41" s="3">
        <f t="shared" ca="1" si="32"/>
        <v>1620822.0467333335</v>
      </c>
      <c r="N41" s="3">
        <f t="shared" ca="1" si="33"/>
        <v>61160.13054166668</v>
      </c>
      <c r="O41" s="3">
        <f t="shared" si="34"/>
        <v>4773360</v>
      </c>
      <c r="P41" s="3">
        <f t="shared" si="35"/>
        <v>3105725.94</v>
      </c>
      <c r="Q41" s="3">
        <f t="shared" si="36"/>
        <v>0</v>
      </c>
      <c r="R41" s="3">
        <f t="shared" si="37"/>
        <v>0</v>
      </c>
      <c r="S41" s="47">
        <f t="shared" ca="1" si="8"/>
        <v>6775369.1172749996</v>
      </c>
      <c r="T41" s="47">
        <f>'Monthly Data'!BL41</f>
        <v>5811.3576923076926</v>
      </c>
      <c r="U41" s="47">
        <f ca="1">+'Monthly Data'!BM41</f>
        <v>4240.3580203013162</v>
      </c>
      <c r="V41" s="47">
        <f t="shared" ca="1" si="9"/>
        <v>6785420.8329876084</v>
      </c>
    </row>
    <row r="42" spans="1:22">
      <c r="A42" s="2">
        <f>'Monthly Data'!A42</f>
        <v>43586</v>
      </c>
      <c r="B42">
        <f>'Monthly Data'!B42</f>
        <v>2019</v>
      </c>
      <c r="C42">
        <f>'Monthly Data'!C42</f>
        <v>5</v>
      </c>
      <c r="D42" s="3">
        <f>'Monthly Data'!BK42</f>
        <v>6550326.6643850282</v>
      </c>
      <c r="E42" s="3">
        <f t="shared" ref="E42:F42" ca="1" si="45">E30</f>
        <v>208.90012508544086</v>
      </c>
      <c r="F42" s="3">
        <f t="shared" ca="1" si="45"/>
        <v>81.50872474747473</v>
      </c>
      <c r="G42" s="3">
        <f>'Monthly Data'!DQ42</f>
        <v>31</v>
      </c>
      <c r="H42" s="3">
        <f>'Monthly Data'!DD42</f>
        <v>218.7</v>
      </c>
      <c r="I42">
        <f>'Monthly Data'!EJ42</f>
        <v>0</v>
      </c>
      <c r="J42">
        <f>'Monthly Data'!EF42</f>
        <v>0</v>
      </c>
      <c r="L42" s="3">
        <f t="shared" si="31"/>
        <v>-2785699</v>
      </c>
      <c r="M42" s="3">
        <f t="shared" ca="1" si="32"/>
        <v>820051.64623140392</v>
      </c>
      <c r="N42" s="3">
        <f t="shared" ca="1" si="33"/>
        <v>829522.44262752507</v>
      </c>
      <c r="O42" s="3">
        <f t="shared" si="34"/>
        <v>4932472</v>
      </c>
      <c r="P42" s="3">
        <f t="shared" si="35"/>
        <v>3092997.5549999997</v>
      </c>
      <c r="Q42" s="3">
        <f t="shared" si="36"/>
        <v>0</v>
      </c>
      <c r="R42" s="3">
        <f t="shared" si="37"/>
        <v>0</v>
      </c>
      <c r="S42" s="47">
        <f t="shared" ca="1" si="8"/>
        <v>6889344.6438589282</v>
      </c>
      <c r="T42" s="47">
        <f>'Monthly Data'!BL42</f>
        <v>5987.8679487179488</v>
      </c>
      <c r="U42" s="47">
        <f ca="1">+'Monthly Data'!BM42</f>
        <v>2377.0096649414268</v>
      </c>
      <c r="V42" s="47">
        <f t="shared" ca="1" si="9"/>
        <v>6897709.5214725882</v>
      </c>
    </row>
    <row r="43" spans="1:22">
      <c r="A43" s="2">
        <f>'Monthly Data'!A43</f>
        <v>43617</v>
      </c>
      <c r="B43">
        <f>'Monthly Data'!B43</f>
        <v>2019</v>
      </c>
      <c r="C43">
        <f>'Monthly Data'!C43</f>
        <v>6</v>
      </c>
      <c r="D43" s="3">
        <f>'Monthly Data'!BK43</f>
        <v>6794550.4962661918</v>
      </c>
      <c r="E43" s="3">
        <f t="shared" ref="E43:F43" ca="1" si="46">E31</f>
        <v>61.78217382617381</v>
      </c>
      <c r="F43" s="3">
        <f t="shared" ca="1" si="46"/>
        <v>202.3599342107168</v>
      </c>
      <c r="G43" s="3">
        <f>'Monthly Data'!DQ43</f>
        <v>30</v>
      </c>
      <c r="H43" s="3">
        <f>'Monthly Data'!DD43</f>
        <v>217.8</v>
      </c>
      <c r="I43">
        <f>'Monthly Data'!EJ43</f>
        <v>0</v>
      </c>
      <c r="J43">
        <f>'Monthly Data'!EF43</f>
        <v>0</v>
      </c>
      <c r="L43" s="3">
        <f t="shared" si="31"/>
        <v>-2785699</v>
      </c>
      <c r="M43" s="3">
        <f t="shared" ca="1" si="32"/>
        <v>242530.12454246549</v>
      </c>
      <c r="N43" s="3">
        <f t="shared" ca="1" si="33"/>
        <v>2059437.286455886</v>
      </c>
      <c r="O43" s="3">
        <f t="shared" si="34"/>
        <v>4773360</v>
      </c>
      <c r="P43" s="3">
        <f t="shared" si="35"/>
        <v>3080269.17</v>
      </c>
      <c r="Q43" s="3">
        <f t="shared" si="36"/>
        <v>0</v>
      </c>
      <c r="R43" s="3">
        <f t="shared" si="37"/>
        <v>0</v>
      </c>
      <c r="S43" s="47">
        <f t="shared" ref="S43:S95" ca="1" si="47">SUM(L43:R43)</f>
        <v>7369897.5809983518</v>
      </c>
      <c r="T43" s="47">
        <f>'Monthly Data'!BL43</f>
        <v>6164.3782051282051</v>
      </c>
      <c r="U43" s="47">
        <f ca="1">+'Monthly Data'!BM43</f>
        <v>533.38776238639139</v>
      </c>
      <c r="V43" s="47">
        <f t="shared" ref="V43:V106" ca="1" si="48">S43+T43+U43</f>
        <v>7376595.3469658662</v>
      </c>
    </row>
    <row r="44" spans="1:22">
      <c r="A44" s="2">
        <f>'Monthly Data'!A44</f>
        <v>43647</v>
      </c>
      <c r="B44">
        <f>'Monthly Data'!B44</f>
        <v>2019</v>
      </c>
      <c r="C44">
        <f>'Monthly Data'!C44</f>
        <v>7</v>
      </c>
      <c r="D44" s="3">
        <f>'Monthly Data'!BK44</f>
        <v>8230301.8587098103</v>
      </c>
      <c r="E44" s="3">
        <f t="shared" ref="E44:F44" ca="1" si="49">E32</f>
        <v>8.334479813664597</v>
      </c>
      <c r="F44" s="3">
        <f t="shared" ca="1" si="49"/>
        <v>304.72508692061177</v>
      </c>
      <c r="G44" s="3">
        <f>'Monthly Data'!DQ44</f>
        <v>31</v>
      </c>
      <c r="H44" s="3">
        <f>'Monthly Data'!DD44</f>
        <v>216.2</v>
      </c>
      <c r="I44">
        <f>'Monthly Data'!EJ44</f>
        <v>0</v>
      </c>
      <c r="J44">
        <f>'Monthly Data'!EF44</f>
        <v>0</v>
      </c>
      <c r="L44" s="3">
        <f t="shared" si="31"/>
        <v>-2785699</v>
      </c>
      <c r="M44" s="3">
        <f t="shared" ca="1" si="32"/>
        <v>32717.567253167708</v>
      </c>
      <c r="N44" s="3">
        <f t="shared" ca="1" si="33"/>
        <v>3101217.6820997582</v>
      </c>
      <c r="O44" s="3">
        <f t="shared" si="34"/>
        <v>4932472</v>
      </c>
      <c r="P44" s="3">
        <f t="shared" si="35"/>
        <v>3057640.9299999997</v>
      </c>
      <c r="Q44" s="3">
        <f t="shared" si="36"/>
        <v>0</v>
      </c>
      <c r="R44" s="3">
        <f t="shared" si="37"/>
        <v>0</v>
      </c>
      <c r="S44" s="47">
        <f t="shared" ca="1" si="47"/>
        <v>8338349.1793529261</v>
      </c>
      <c r="T44" s="47">
        <f>'Monthly Data'!BL44</f>
        <v>6340.8884615384613</v>
      </c>
      <c r="U44" s="47">
        <f ca="1">+'Monthly Data'!BM44</f>
        <v>0</v>
      </c>
      <c r="V44" s="47">
        <f t="shared" ca="1" si="48"/>
        <v>8344690.0678144647</v>
      </c>
    </row>
    <row r="45" spans="1:22">
      <c r="A45" s="2">
        <f>'Monthly Data'!A45</f>
        <v>43678</v>
      </c>
      <c r="B45">
        <f>'Monthly Data'!B45</f>
        <v>2019</v>
      </c>
      <c r="C45">
        <f>'Monthly Data'!C45</f>
        <v>8</v>
      </c>
      <c r="D45" s="3">
        <f>'Monthly Data'!BK45</f>
        <v>7664344.0163706075</v>
      </c>
      <c r="E45" s="3">
        <f t="shared" ref="E45:F45" ca="1" si="50">E33</f>
        <v>21.054927536231883</v>
      </c>
      <c r="F45" s="3">
        <f t="shared" ca="1" si="50"/>
        <v>275.96017127799735</v>
      </c>
      <c r="G45" s="3">
        <f>'Monthly Data'!DQ45</f>
        <v>31</v>
      </c>
      <c r="H45" s="3">
        <f>'Monthly Data'!DD45</f>
        <v>213.3</v>
      </c>
      <c r="I45">
        <f>'Monthly Data'!EJ45</f>
        <v>0</v>
      </c>
      <c r="J45">
        <f>'Monthly Data'!EF45</f>
        <v>0</v>
      </c>
      <c r="L45" s="3">
        <f t="shared" si="31"/>
        <v>-2785699</v>
      </c>
      <c r="M45" s="3">
        <f t="shared" ca="1" si="32"/>
        <v>82652.549778550732</v>
      </c>
      <c r="N45" s="3">
        <f t="shared" ca="1" si="33"/>
        <v>2808474.2591133071</v>
      </c>
      <c r="O45" s="3">
        <f t="shared" si="34"/>
        <v>4932472</v>
      </c>
      <c r="P45" s="3">
        <f t="shared" si="35"/>
        <v>3016627.2450000001</v>
      </c>
      <c r="Q45" s="3">
        <f t="shared" si="36"/>
        <v>0</v>
      </c>
      <c r="R45" s="3">
        <f t="shared" si="37"/>
        <v>0</v>
      </c>
      <c r="S45" s="47">
        <f t="shared" ca="1" si="47"/>
        <v>8054527.0538918581</v>
      </c>
      <c r="T45" s="47">
        <f>'Monthly Data'!BL45</f>
        <v>6517.3987179487185</v>
      </c>
      <c r="U45" s="47">
        <f ca="1">+'Monthly Data'!BM45</f>
        <v>53.729095226382249</v>
      </c>
      <c r="V45" s="47">
        <f t="shared" ca="1" si="48"/>
        <v>8061098.1817050334</v>
      </c>
    </row>
    <row r="46" spans="1:22">
      <c r="A46" s="2">
        <f>'Monthly Data'!A46</f>
        <v>43709</v>
      </c>
      <c r="B46">
        <f>'Monthly Data'!B46</f>
        <v>2019</v>
      </c>
      <c r="C46">
        <f>'Monthly Data'!C46</f>
        <v>9</v>
      </c>
      <c r="D46" s="3">
        <f>'Monthly Data'!BK46</f>
        <v>6595097.9264610605</v>
      </c>
      <c r="E46" s="3">
        <f t="shared" ref="E46:F46" ca="1" si="51">E34</f>
        <v>97.667119565217376</v>
      </c>
      <c r="F46" s="3">
        <f t="shared" ca="1" si="51"/>
        <v>154.9849637681159</v>
      </c>
      <c r="G46" s="3">
        <f>'Monthly Data'!DQ46</f>
        <v>30</v>
      </c>
      <c r="H46" s="3">
        <f>'Monthly Data'!DD46</f>
        <v>209.5</v>
      </c>
      <c r="I46">
        <f>'Monthly Data'!EJ46</f>
        <v>0</v>
      </c>
      <c r="J46">
        <f>'Monthly Data'!EF46</f>
        <v>1</v>
      </c>
      <c r="L46" s="3">
        <f t="shared" si="31"/>
        <v>-2785699</v>
      </c>
      <c r="M46" s="3">
        <f t="shared" ca="1" si="32"/>
        <v>383398.91921739129</v>
      </c>
      <c r="N46" s="3">
        <f t="shared" ca="1" si="33"/>
        <v>1577297.4747644924</v>
      </c>
      <c r="O46" s="3">
        <f t="shared" si="34"/>
        <v>4773360</v>
      </c>
      <c r="P46" s="3">
        <f t="shared" si="35"/>
        <v>2962885.1749999998</v>
      </c>
      <c r="Q46" s="3">
        <f t="shared" si="36"/>
        <v>0</v>
      </c>
      <c r="R46" s="3">
        <f t="shared" si="37"/>
        <v>193962.4</v>
      </c>
      <c r="S46" s="47">
        <f t="shared" ca="1" si="47"/>
        <v>7105204.9689818844</v>
      </c>
      <c r="T46" s="47">
        <f>'Monthly Data'!BL46</f>
        <v>6693.9089743589748</v>
      </c>
      <c r="U46" s="47">
        <f ca="1">+'Monthly Data'!BM46</f>
        <v>717.65687462467463</v>
      </c>
      <c r="V46" s="47">
        <f t="shared" ca="1" si="48"/>
        <v>7112616.5348308682</v>
      </c>
    </row>
    <row r="47" spans="1:22">
      <c r="A47" s="2">
        <f>'Monthly Data'!A47</f>
        <v>43739</v>
      </c>
      <c r="B47">
        <f>'Monthly Data'!B47</f>
        <v>2019</v>
      </c>
      <c r="C47">
        <f>'Monthly Data'!C47</f>
        <v>10</v>
      </c>
      <c r="D47" s="3">
        <f>'Monthly Data'!BK47</f>
        <v>6485869.3610397754</v>
      </c>
      <c r="E47" s="3">
        <f t="shared" ref="E47:F47" ca="1" si="52">E35</f>
        <v>292.46431159420291</v>
      </c>
      <c r="F47" s="3">
        <f t="shared" ca="1" si="52"/>
        <v>38.347916666666663</v>
      </c>
      <c r="G47" s="3">
        <f>'Monthly Data'!DQ47</f>
        <v>31</v>
      </c>
      <c r="H47" s="3">
        <f>'Monthly Data'!DD47</f>
        <v>206.9</v>
      </c>
      <c r="I47">
        <f>'Monthly Data'!EJ47</f>
        <v>0</v>
      </c>
      <c r="J47">
        <f>'Monthly Data'!EF47</f>
        <v>1</v>
      </c>
      <c r="L47" s="3">
        <f t="shared" si="31"/>
        <v>-2785699</v>
      </c>
      <c r="M47" s="3">
        <f t="shared" ca="1" si="32"/>
        <v>1148088.542736232</v>
      </c>
      <c r="N47" s="3">
        <f t="shared" ca="1" si="33"/>
        <v>390270.58270833333</v>
      </c>
      <c r="O47" s="3">
        <f t="shared" si="34"/>
        <v>4932472</v>
      </c>
      <c r="P47" s="3">
        <f t="shared" si="35"/>
        <v>2926114.2850000001</v>
      </c>
      <c r="Q47" s="3">
        <f t="shared" si="36"/>
        <v>0</v>
      </c>
      <c r="R47" s="3">
        <f t="shared" si="37"/>
        <v>193962.4</v>
      </c>
      <c r="S47" s="47">
        <f t="shared" ca="1" si="47"/>
        <v>6805208.8104445655</v>
      </c>
      <c r="T47" s="47">
        <f>'Monthly Data'!BL47</f>
        <v>6870.419230769231</v>
      </c>
      <c r="U47" s="47">
        <f ca="1">+'Monthly Data'!BM47</f>
        <v>2819.3077797398669</v>
      </c>
      <c r="V47" s="47">
        <f t="shared" ca="1" si="48"/>
        <v>6814898.5374550745</v>
      </c>
    </row>
    <row r="48" spans="1:22">
      <c r="A48" s="2">
        <f>'Monthly Data'!A48</f>
        <v>43770</v>
      </c>
      <c r="B48">
        <f>'Monthly Data'!B48</f>
        <v>2019</v>
      </c>
      <c r="C48">
        <f>'Monthly Data'!C48</f>
        <v>11</v>
      </c>
      <c r="D48" s="3">
        <f>'Monthly Data'!BK48</f>
        <v>7171908.378151454</v>
      </c>
      <c r="E48" s="3">
        <f t="shared" ref="E48:F48" ca="1" si="53">E36</f>
        <v>495.51408055712409</v>
      </c>
      <c r="F48" s="3">
        <f t="shared" ca="1" si="53"/>
        <v>1.9241666666666659</v>
      </c>
      <c r="G48" s="3">
        <f>'Monthly Data'!DQ48</f>
        <v>30</v>
      </c>
      <c r="H48" s="3">
        <f>'Monthly Data'!DD48</f>
        <v>205.5</v>
      </c>
      <c r="I48">
        <f>'Monthly Data'!EJ48</f>
        <v>0</v>
      </c>
      <c r="J48">
        <f>'Monthly Data'!EF48</f>
        <v>1</v>
      </c>
      <c r="L48" s="3">
        <f t="shared" si="31"/>
        <v>-2785699</v>
      </c>
      <c r="M48" s="3">
        <f t="shared" ca="1" si="32"/>
        <v>1945174.2181844686</v>
      </c>
      <c r="N48" s="3">
        <f t="shared" ca="1" si="33"/>
        <v>19582.436583333325</v>
      </c>
      <c r="O48" s="3">
        <f t="shared" si="34"/>
        <v>4773360</v>
      </c>
      <c r="P48" s="3">
        <f t="shared" si="35"/>
        <v>2906314.5749999997</v>
      </c>
      <c r="Q48" s="3">
        <f t="shared" si="36"/>
        <v>0</v>
      </c>
      <c r="R48" s="3">
        <f t="shared" si="37"/>
        <v>193962.4</v>
      </c>
      <c r="S48" s="47">
        <f t="shared" ca="1" si="47"/>
        <v>7052694.6297678016</v>
      </c>
      <c r="T48" s="47">
        <f>'Monthly Data'!BL48</f>
        <v>7046.9294871794882</v>
      </c>
      <c r="U48" s="47">
        <f ca="1">+'Monthly Data'!BM48</f>
        <v>6126.2733565120125</v>
      </c>
      <c r="V48" s="47">
        <f t="shared" ca="1" si="48"/>
        <v>7065867.8326114928</v>
      </c>
    </row>
    <row r="49" spans="1:22">
      <c r="A49" s="2">
        <f>'Monthly Data'!A49</f>
        <v>43800</v>
      </c>
      <c r="B49">
        <f>'Monthly Data'!B49</f>
        <v>2019</v>
      </c>
      <c r="C49">
        <f>'Monthly Data'!C49</f>
        <v>12</v>
      </c>
      <c r="D49" s="3">
        <f>'Monthly Data'!BK49</f>
        <v>7713076.831411995</v>
      </c>
      <c r="E49" s="3">
        <f t="shared" ref="E49:F49" ca="1" si="54">E37</f>
        <v>664.38541666666663</v>
      </c>
      <c r="F49" s="3">
        <f t="shared" ca="1" si="54"/>
        <v>0</v>
      </c>
      <c r="G49" s="3">
        <f>'Monthly Data'!DQ49</f>
        <v>31</v>
      </c>
      <c r="H49" s="3">
        <f>'Monthly Data'!DD49</f>
        <v>206.4</v>
      </c>
      <c r="I49">
        <f>'Monthly Data'!EJ49</f>
        <v>0</v>
      </c>
      <c r="J49">
        <f>'Monthly Data'!EF49</f>
        <v>0</v>
      </c>
      <c r="L49" s="3">
        <f t="shared" si="31"/>
        <v>-2785699</v>
      </c>
      <c r="M49" s="3">
        <f t="shared" ca="1" si="32"/>
        <v>2608090.1313333334</v>
      </c>
      <c r="N49" s="3">
        <f t="shared" ca="1" si="33"/>
        <v>0</v>
      </c>
      <c r="O49" s="3">
        <f t="shared" si="34"/>
        <v>4932472</v>
      </c>
      <c r="P49" s="3">
        <f t="shared" si="35"/>
        <v>2919042.96</v>
      </c>
      <c r="Q49" s="3">
        <f t="shared" si="36"/>
        <v>0</v>
      </c>
      <c r="R49" s="3">
        <f t="shared" si="37"/>
        <v>0</v>
      </c>
      <c r="S49" s="47">
        <f t="shared" ca="1" si="47"/>
        <v>7673906.0913333334</v>
      </c>
      <c r="T49" s="47">
        <f>'Monthly Data'!BL49</f>
        <v>7223.4397435897445</v>
      </c>
      <c r="U49" s="47">
        <f ca="1">+'Monthly Data'!BM49</f>
        <v>7105.8776406888082</v>
      </c>
      <c r="V49" s="47">
        <f t="shared" ca="1" si="48"/>
        <v>7688235.4087176118</v>
      </c>
    </row>
    <row r="50" spans="1:22">
      <c r="A50" s="2">
        <f>'Monthly Data'!A50</f>
        <v>43831</v>
      </c>
      <c r="B50">
        <f>'Monthly Data'!B50</f>
        <v>2020</v>
      </c>
      <c r="C50">
        <f>'Monthly Data'!C50</f>
        <v>1</v>
      </c>
      <c r="D50" s="3">
        <f>'Monthly Data'!BK50</f>
        <v>7880857.2352294158</v>
      </c>
      <c r="E50" s="3">
        <f t="shared" ref="E50:F50" ca="1" si="55">E38</f>
        <v>752.78750000000002</v>
      </c>
      <c r="F50" s="3">
        <f t="shared" ca="1" si="55"/>
        <v>0</v>
      </c>
      <c r="G50" s="3">
        <f>'Monthly Data'!DQ50</f>
        <v>31</v>
      </c>
      <c r="H50" s="3">
        <f>'Monthly Data'!DD50</f>
        <v>207.2</v>
      </c>
      <c r="I50">
        <f>'Monthly Data'!EJ50</f>
        <v>0</v>
      </c>
      <c r="J50">
        <f>'Monthly Data'!EF50</f>
        <v>0</v>
      </c>
      <c r="L50" s="3">
        <f t="shared" si="31"/>
        <v>-2785699</v>
      </c>
      <c r="M50" s="3">
        <f t="shared" ca="1" si="32"/>
        <v>2955118.5208000001</v>
      </c>
      <c r="N50" s="3">
        <f t="shared" ca="1" si="33"/>
        <v>0</v>
      </c>
      <c r="O50" s="3">
        <f t="shared" si="34"/>
        <v>4932472</v>
      </c>
      <c r="P50" s="3">
        <f t="shared" si="35"/>
        <v>2930357.0799999996</v>
      </c>
      <c r="Q50" s="3">
        <f t="shared" si="36"/>
        <v>0</v>
      </c>
      <c r="R50" s="3">
        <f t="shared" si="37"/>
        <v>0</v>
      </c>
      <c r="S50" s="47">
        <f t="shared" ca="1" si="47"/>
        <v>8032248.6008000001</v>
      </c>
      <c r="T50" s="47">
        <f>'Monthly Data'!BL50</f>
        <v>7601.7751282051286</v>
      </c>
      <c r="U50" s="47">
        <f ca="1">+'Monthly Data'!BM50</f>
        <v>30268.558225788584</v>
      </c>
      <c r="V50" s="47">
        <f t="shared" ca="1" si="48"/>
        <v>8070118.9341539936</v>
      </c>
    </row>
    <row r="51" spans="1:22">
      <c r="A51" s="2">
        <f>'Monthly Data'!A51</f>
        <v>43862</v>
      </c>
      <c r="B51">
        <f>'Monthly Data'!B51</f>
        <v>2020</v>
      </c>
      <c r="C51">
        <f>'Monthly Data'!C51</f>
        <v>2</v>
      </c>
      <c r="D51" s="3">
        <f>'Monthly Data'!BK51</f>
        <v>7406790.3406031318</v>
      </c>
      <c r="E51" s="3">
        <f t="shared" ref="E51:F51" ca="1" si="56">E39</f>
        <v>660.7954166666666</v>
      </c>
      <c r="F51" s="3">
        <f t="shared" ca="1" si="56"/>
        <v>0</v>
      </c>
      <c r="G51" s="3">
        <f>'Monthly Data'!DQ51</f>
        <v>29</v>
      </c>
      <c r="H51" s="3">
        <f>'Monthly Data'!DD51</f>
        <v>209.7</v>
      </c>
      <c r="I51">
        <f>'Monthly Data'!EJ51</f>
        <v>0</v>
      </c>
      <c r="J51">
        <f>'Monthly Data'!EF51</f>
        <v>0</v>
      </c>
      <c r="L51" s="3">
        <f t="shared" si="31"/>
        <v>-2785699</v>
      </c>
      <c r="M51" s="3">
        <f t="shared" ca="1" si="32"/>
        <v>2593997.3422133331</v>
      </c>
      <c r="N51" s="3">
        <f t="shared" ca="1" si="33"/>
        <v>0</v>
      </c>
      <c r="O51" s="3">
        <f t="shared" si="34"/>
        <v>4614248</v>
      </c>
      <c r="P51" s="3">
        <f t="shared" si="35"/>
        <v>2965713.7049999996</v>
      </c>
      <c r="Q51" s="3">
        <f t="shared" si="36"/>
        <v>0</v>
      </c>
      <c r="R51" s="3">
        <f t="shared" si="37"/>
        <v>0</v>
      </c>
      <c r="S51" s="47">
        <f t="shared" ca="1" si="47"/>
        <v>7388260.0472133327</v>
      </c>
      <c r="T51" s="47">
        <f>'Monthly Data'!BL51</f>
        <v>7803.6002564102573</v>
      </c>
      <c r="U51" s="47">
        <f ca="1">+'Monthly Data'!BM51</f>
        <v>29863.217832232407</v>
      </c>
      <c r="V51" s="47">
        <f t="shared" ca="1" si="48"/>
        <v>7425926.865301976</v>
      </c>
    </row>
    <row r="52" spans="1:22">
      <c r="A52" s="2">
        <f>'Monthly Data'!A52</f>
        <v>43891</v>
      </c>
      <c r="B52">
        <f>'Monthly Data'!B52</f>
        <v>2020</v>
      </c>
      <c r="C52">
        <f>'Monthly Data'!C52</f>
        <v>3</v>
      </c>
      <c r="D52" s="3">
        <f>'Monthly Data'!BK52</f>
        <v>6792268.7903809408</v>
      </c>
      <c r="E52" s="3">
        <f t="shared" ref="E52:F52" ca="1" si="57">E40</f>
        <v>596.21590579710141</v>
      </c>
      <c r="F52" s="3">
        <f t="shared" ca="1" si="57"/>
        <v>2.9583333333332896E-2</v>
      </c>
      <c r="G52" s="3">
        <f>'Monthly Data'!DQ52</f>
        <v>31</v>
      </c>
      <c r="H52" s="3">
        <f>'Monthly Data'!DD52</f>
        <v>208.2</v>
      </c>
      <c r="I52">
        <f>'Monthly Data'!EJ52</f>
        <v>0.5</v>
      </c>
      <c r="J52">
        <f>'Monthly Data'!EF52</f>
        <v>0</v>
      </c>
      <c r="L52" s="3">
        <f t="shared" si="31"/>
        <v>-2785699</v>
      </c>
      <c r="M52" s="3">
        <f t="shared" ca="1" si="32"/>
        <v>2340486.0808881158</v>
      </c>
      <c r="N52" s="3">
        <f t="shared" ca="1" si="33"/>
        <v>301.07254166666223</v>
      </c>
      <c r="O52" s="3">
        <f t="shared" si="34"/>
        <v>4932472</v>
      </c>
      <c r="P52" s="3">
        <f t="shared" si="35"/>
        <v>2944499.73</v>
      </c>
      <c r="Q52" s="3">
        <f t="shared" si="36"/>
        <v>-398751.5</v>
      </c>
      <c r="R52" s="3">
        <f t="shared" si="37"/>
        <v>0</v>
      </c>
      <c r="S52" s="47">
        <f t="shared" ca="1" si="47"/>
        <v>7033308.3834297825</v>
      </c>
      <c r="T52" s="47">
        <f>'Monthly Data'!BL52</f>
        <v>8005.4253846153852</v>
      </c>
      <c r="U52" s="47">
        <f ca="1">+'Monthly Data'!BM52</f>
        <v>23180.616856033237</v>
      </c>
      <c r="V52" s="47">
        <f t="shared" ca="1" si="48"/>
        <v>7064494.425670431</v>
      </c>
    </row>
    <row r="53" spans="1:22">
      <c r="A53" s="2">
        <f>'Monthly Data'!A53</f>
        <v>43922</v>
      </c>
      <c r="B53">
        <f>'Monthly Data'!B53</f>
        <v>2020</v>
      </c>
      <c r="C53">
        <f>'Monthly Data'!C53</f>
        <v>4</v>
      </c>
      <c r="D53" s="3">
        <f>'Monthly Data'!BK53</f>
        <v>5372684.4175932165</v>
      </c>
      <c r="E53" s="3">
        <f t="shared" ref="E53:F53" ca="1" si="58">E41</f>
        <v>412.8885416666667</v>
      </c>
      <c r="F53" s="3">
        <f t="shared" ca="1" si="58"/>
        <v>6.0095833333333344</v>
      </c>
      <c r="G53" s="3">
        <f>'Monthly Data'!DQ53</f>
        <v>30</v>
      </c>
      <c r="H53" s="3">
        <f>'Monthly Data'!DD53</f>
        <v>202.5</v>
      </c>
      <c r="I53">
        <f>'Monthly Data'!EJ53</f>
        <v>1</v>
      </c>
      <c r="J53">
        <f>'Monthly Data'!EF53</f>
        <v>0</v>
      </c>
      <c r="L53" s="3">
        <f t="shared" si="31"/>
        <v>-2785699</v>
      </c>
      <c r="M53" s="3">
        <f t="shared" ca="1" si="32"/>
        <v>1620822.0467333335</v>
      </c>
      <c r="N53" s="3">
        <f t="shared" ca="1" si="33"/>
        <v>61160.13054166668</v>
      </c>
      <c r="O53" s="3">
        <f t="shared" si="34"/>
        <v>4773360</v>
      </c>
      <c r="P53" s="3">
        <f t="shared" si="35"/>
        <v>2863886.625</v>
      </c>
      <c r="Q53" s="3">
        <f t="shared" si="36"/>
        <v>-797503</v>
      </c>
      <c r="R53" s="3">
        <f t="shared" si="37"/>
        <v>0</v>
      </c>
      <c r="S53" s="47">
        <f t="shared" ca="1" si="47"/>
        <v>5736026.8022750001</v>
      </c>
      <c r="T53" s="47">
        <f>'Monthly Data'!BL53</f>
        <v>8207.2505128205139</v>
      </c>
      <c r="U53" s="47">
        <f ca="1">+'Monthly Data'!BM53</f>
        <v>18275.817586158671</v>
      </c>
      <c r="V53" s="47">
        <f t="shared" ca="1" si="48"/>
        <v>5762509.8703739792</v>
      </c>
    </row>
    <row r="54" spans="1:22">
      <c r="A54" s="2">
        <f>'Monthly Data'!A54</f>
        <v>43952</v>
      </c>
      <c r="B54">
        <f>'Monthly Data'!B54</f>
        <v>2020</v>
      </c>
      <c r="C54">
        <f>'Monthly Data'!C54</f>
        <v>5</v>
      </c>
      <c r="D54" s="3">
        <f>'Monthly Data'!BK54</f>
        <v>5572950.8579296442</v>
      </c>
      <c r="E54" s="3">
        <f t="shared" ref="E54:F54" ca="1" si="59">E42</f>
        <v>208.90012508544086</v>
      </c>
      <c r="F54" s="3">
        <f t="shared" ca="1" si="59"/>
        <v>81.50872474747473</v>
      </c>
      <c r="G54" s="3">
        <f>'Monthly Data'!DQ54</f>
        <v>31</v>
      </c>
      <c r="H54" s="3">
        <f>'Monthly Data'!DD54</f>
        <v>195.4</v>
      </c>
      <c r="I54">
        <f>'Monthly Data'!EJ54</f>
        <v>1</v>
      </c>
      <c r="J54">
        <f>'Monthly Data'!EF54</f>
        <v>0</v>
      </c>
      <c r="L54" s="3">
        <f t="shared" si="31"/>
        <v>-2785699</v>
      </c>
      <c r="M54" s="3">
        <f t="shared" ca="1" si="32"/>
        <v>820051.64623140392</v>
      </c>
      <c r="N54" s="3">
        <f t="shared" ca="1" si="33"/>
        <v>829522.44262752507</v>
      </c>
      <c r="O54" s="3">
        <f t="shared" si="34"/>
        <v>4932472</v>
      </c>
      <c r="P54" s="3">
        <f t="shared" si="35"/>
        <v>2763473.81</v>
      </c>
      <c r="Q54" s="3">
        <f t="shared" si="36"/>
        <v>-797503</v>
      </c>
      <c r="R54" s="3">
        <f t="shared" si="37"/>
        <v>0</v>
      </c>
      <c r="S54" s="47">
        <f t="shared" ca="1" si="47"/>
        <v>5762317.8988589291</v>
      </c>
      <c r="T54" s="47">
        <f>'Monthly Data'!BL54</f>
        <v>8409.0756410256417</v>
      </c>
      <c r="U54" s="47">
        <f ca="1">+'Monthly Data'!BM54</f>
        <v>10240.181379528754</v>
      </c>
      <c r="V54" s="47">
        <f t="shared" ca="1" si="48"/>
        <v>5780967.1558794836</v>
      </c>
    </row>
    <row r="55" spans="1:22">
      <c r="A55" s="2">
        <f>'Monthly Data'!A55</f>
        <v>43983</v>
      </c>
      <c r="B55">
        <f>'Monthly Data'!B55</f>
        <v>2020</v>
      </c>
      <c r="C55">
        <f>'Monthly Data'!C55</f>
        <v>6</v>
      </c>
      <c r="D55" s="3">
        <f>'Monthly Data'!BK55</f>
        <v>6381310.3087309944</v>
      </c>
      <c r="E55" s="3">
        <f t="shared" ref="E55:F55" ca="1" si="60">E43</f>
        <v>61.78217382617381</v>
      </c>
      <c r="F55" s="3">
        <f t="shared" ca="1" si="60"/>
        <v>202.3599342107168</v>
      </c>
      <c r="G55" s="3">
        <f>'Monthly Data'!DQ55</f>
        <v>30</v>
      </c>
      <c r="H55" s="3">
        <f>'Monthly Data'!DD55</f>
        <v>193</v>
      </c>
      <c r="I55">
        <f>'Monthly Data'!EJ55</f>
        <v>0.5</v>
      </c>
      <c r="J55">
        <f>'Monthly Data'!EF55</f>
        <v>0</v>
      </c>
      <c r="L55" s="3">
        <f t="shared" si="31"/>
        <v>-2785699</v>
      </c>
      <c r="M55" s="3">
        <f t="shared" ca="1" si="32"/>
        <v>242530.12454246549</v>
      </c>
      <c r="N55" s="3">
        <f t="shared" ca="1" si="33"/>
        <v>2059437.286455886</v>
      </c>
      <c r="O55" s="3">
        <f t="shared" si="34"/>
        <v>4773360</v>
      </c>
      <c r="P55" s="3">
        <f t="shared" si="35"/>
        <v>2729531.4499999997</v>
      </c>
      <c r="Q55" s="3">
        <f t="shared" si="36"/>
        <v>-398751.5</v>
      </c>
      <c r="R55" s="3">
        <f t="shared" si="37"/>
        <v>0</v>
      </c>
      <c r="S55" s="47">
        <f t="shared" ca="1" si="47"/>
        <v>6620408.3609983511</v>
      </c>
      <c r="T55" s="47">
        <f>'Monthly Data'!BL55</f>
        <v>8610.9007692307696</v>
      </c>
      <c r="U55" s="47">
        <f ca="1">+'Monthly Data'!BM55</f>
        <v>1431.2266444418287</v>
      </c>
      <c r="V55" s="47">
        <f t="shared" ca="1" si="48"/>
        <v>6630450.4884120235</v>
      </c>
    </row>
    <row r="56" spans="1:22">
      <c r="A56" s="2">
        <f>'Monthly Data'!A56</f>
        <v>44013</v>
      </c>
      <c r="B56">
        <f>'Monthly Data'!B56</f>
        <v>2020</v>
      </c>
      <c r="C56">
        <f>'Monthly Data'!C56</f>
        <v>7</v>
      </c>
      <c r="D56" s="3">
        <f>'Monthly Data'!BK56</f>
        <v>7934932.0956141995</v>
      </c>
      <c r="E56" s="3">
        <f t="shared" ref="E56:F56" ca="1" si="61">E44</f>
        <v>8.334479813664597</v>
      </c>
      <c r="F56" s="3">
        <f t="shared" ca="1" si="61"/>
        <v>304.72508692061177</v>
      </c>
      <c r="G56" s="3">
        <f>'Monthly Data'!DQ56</f>
        <v>31</v>
      </c>
      <c r="H56" s="3">
        <f>'Monthly Data'!DD56</f>
        <v>198.5</v>
      </c>
      <c r="I56">
        <f>'Monthly Data'!EJ56</f>
        <v>0.5</v>
      </c>
      <c r="J56">
        <f>'Monthly Data'!EF56</f>
        <v>0</v>
      </c>
      <c r="L56" s="3">
        <f t="shared" si="31"/>
        <v>-2785699</v>
      </c>
      <c r="M56" s="3">
        <f t="shared" ca="1" si="32"/>
        <v>32717.567253167708</v>
      </c>
      <c r="N56" s="3">
        <f t="shared" ca="1" si="33"/>
        <v>3101217.6820997582</v>
      </c>
      <c r="O56" s="3">
        <f t="shared" si="34"/>
        <v>4932472</v>
      </c>
      <c r="P56" s="3">
        <f t="shared" si="35"/>
        <v>2807316.0249999999</v>
      </c>
      <c r="Q56" s="3">
        <f t="shared" si="36"/>
        <v>-398751.5</v>
      </c>
      <c r="R56" s="3">
        <f t="shared" si="37"/>
        <v>0</v>
      </c>
      <c r="S56" s="47">
        <f t="shared" ca="1" si="47"/>
        <v>7689272.7743529268</v>
      </c>
      <c r="T56" s="47">
        <f>'Monthly Data'!BL56</f>
        <v>8812.7258974358974</v>
      </c>
      <c r="U56" s="47">
        <f ca="1">+'Monthly Data'!BM56</f>
        <v>0</v>
      </c>
      <c r="V56" s="47">
        <f t="shared" ca="1" si="48"/>
        <v>7698085.5002503628</v>
      </c>
    </row>
    <row r="57" spans="1:22">
      <c r="A57" s="2">
        <f>'Monthly Data'!A57</f>
        <v>44044</v>
      </c>
      <c r="B57">
        <f>'Monthly Data'!B57</f>
        <v>2020</v>
      </c>
      <c r="C57">
        <f>'Monthly Data'!C57</f>
        <v>8</v>
      </c>
      <c r="D57" s="3">
        <f>'Monthly Data'!BK57</f>
        <v>7325138.1995243989</v>
      </c>
      <c r="E57" s="3">
        <f t="shared" ref="E57:F57" ca="1" si="62">E45</f>
        <v>21.054927536231883</v>
      </c>
      <c r="F57" s="3">
        <f t="shared" ca="1" si="62"/>
        <v>275.96017127799735</v>
      </c>
      <c r="G57" s="3">
        <f>'Monthly Data'!DQ57</f>
        <v>31</v>
      </c>
      <c r="H57" s="3">
        <f>'Monthly Data'!DD57</f>
        <v>205.7</v>
      </c>
      <c r="I57">
        <f>'Monthly Data'!EJ57</f>
        <v>0.5</v>
      </c>
      <c r="J57">
        <f>'Monthly Data'!EF57</f>
        <v>0</v>
      </c>
      <c r="L57" s="3">
        <f t="shared" si="31"/>
        <v>-2785699</v>
      </c>
      <c r="M57" s="3">
        <f t="shared" ca="1" si="32"/>
        <v>82652.549778550732</v>
      </c>
      <c r="N57" s="3">
        <f t="shared" ca="1" si="33"/>
        <v>2808474.2591133071</v>
      </c>
      <c r="O57" s="3">
        <f t="shared" si="34"/>
        <v>4932472</v>
      </c>
      <c r="P57" s="3">
        <f t="shared" si="35"/>
        <v>2909143.105</v>
      </c>
      <c r="Q57" s="3">
        <f t="shared" si="36"/>
        <v>-398751.5</v>
      </c>
      <c r="R57" s="3">
        <f t="shared" si="37"/>
        <v>0</v>
      </c>
      <c r="S57" s="47">
        <f t="shared" ca="1" si="47"/>
        <v>7548291.4138918575</v>
      </c>
      <c r="T57" s="47">
        <f>'Monthly Data'!BL57</f>
        <v>9014.5510256410271</v>
      </c>
      <c r="U57" s="47">
        <f ca="1">+'Monthly Data'!BM57</f>
        <v>167.87229559946877</v>
      </c>
      <c r="V57" s="47">
        <f t="shared" ca="1" si="48"/>
        <v>7557473.8372130981</v>
      </c>
    </row>
    <row r="58" spans="1:22">
      <c r="A58" s="2">
        <f>'Monthly Data'!A58</f>
        <v>44075</v>
      </c>
      <c r="B58">
        <f>'Monthly Data'!B58</f>
        <v>2020</v>
      </c>
      <c r="C58">
        <f>'Monthly Data'!C58</f>
        <v>9</v>
      </c>
      <c r="D58" s="3">
        <f>'Monthly Data'!BK58</f>
        <v>6248559.4190171296</v>
      </c>
      <c r="E58" s="3">
        <f t="shared" ref="E58:F58" ca="1" si="63">E46</f>
        <v>97.667119565217376</v>
      </c>
      <c r="F58" s="3">
        <f t="shared" ca="1" si="63"/>
        <v>154.9849637681159</v>
      </c>
      <c r="G58" s="3">
        <f>'Monthly Data'!DQ58</f>
        <v>30</v>
      </c>
      <c r="H58" s="3">
        <f>'Monthly Data'!DD58</f>
        <v>211.9</v>
      </c>
      <c r="I58">
        <f>'Monthly Data'!EJ58</f>
        <v>0.5</v>
      </c>
      <c r="J58">
        <f>'Monthly Data'!EF58</f>
        <v>1</v>
      </c>
      <c r="L58" s="3">
        <f t="shared" si="31"/>
        <v>-2785699</v>
      </c>
      <c r="M58" s="3">
        <f t="shared" ca="1" si="32"/>
        <v>383398.91921739129</v>
      </c>
      <c r="N58" s="3">
        <f t="shared" ca="1" si="33"/>
        <v>1577297.4747644924</v>
      </c>
      <c r="O58" s="3">
        <f t="shared" si="34"/>
        <v>4773360</v>
      </c>
      <c r="P58" s="3">
        <f t="shared" si="35"/>
        <v>2996827.5350000001</v>
      </c>
      <c r="Q58" s="3">
        <f t="shared" si="36"/>
        <v>-398751.5</v>
      </c>
      <c r="R58" s="3">
        <f t="shared" si="37"/>
        <v>193962.4</v>
      </c>
      <c r="S58" s="47">
        <f t="shared" ca="1" si="47"/>
        <v>6740395.8289818838</v>
      </c>
      <c r="T58" s="47">
        <f>'Monthly Data'!BL58</f>
        <v>9216.3761538461549</v>
      </c>
      <c r="U58" s="47">
        <f ca="1">+'Monthly Data'!BM58</f>
        <v>4093.5342303179</v>
      </c>
      <c r="V58" s="47">
        <f t="shared" ca="1" si="48"/>
        <v>6753705.739366048</v>
      </c>
    </row>
    <row r="59" spans="1:22">
      <c r="A59" s="2">
        <f>'Monthly Data'!A59</f>
        <v>44105</v>
      </c>
      <c r="B59">
        <f>'Monthly Data'!B59</f>
        <v>2020</v>
      </c>
      <c r="C59">
        <f>'Monthly Data'!C59</f>
        <v>10</v>
      </c>
      <c r="D59" s="3">
        <f>'Monthly Data'!BK59</f>
        <v>6204866.4437327534</v>
      </c>
      <c r="E59" s="3">
        <f t="shared" ref="E59:F59" ca="1" si="64">E47</f>
        <v>292.46431159420291</v>
      </c>
      <c r="F59" s="3">
        <f t="shared" ca="1" si="64"/>
        <v>38.347916666666663</v>
      </c>
      <c r="G59" s="3">
        <f>'Monthly Data'!DQ59</f>
        <v>31</v>
      </c>
      <c r="H59" s="3">
        <f>'Monthly Data'!DD59</f>
        <v>216.7</v>
      </c>
      <c r="I59">
        <f>'Monthly Data'!EJ59</f>
        <v>0.5</v>
      </c>
      <c r="J59">
        <f>'Monthly Data'!EF59</f>
        <v>1</v>
      </c>
      <c r="L59" s="3">
        <f t="shared" si="31"/>
        <v>-2785699</v>
      </c>
      <c r="M59" s="3">
        <f t="shared" ca="1" si="32"/>
        <v>1148088.542736232</v>
      </c>
      <c r="N59" s="3">
        <f t="shared" ca="1" si="33"/>
        <v>390270.58270833333</v>
      </c>
      <c r="O59" s="3">
        <f t="shared" si="34"/>
        <v>4932472</v>
      </c>
      <c r="P59" s="3">
        <f t="shared" si="35"/>
        <v>3064712.2549999999</v>
      </c>
      <c r="Q59" s="3">
        <f t="shared" si="36"/>
        <v>-398751.5</v>
      </c>
      <c r="R59" s="3">
        <f t="shared" si="37"/>
        <v>193962.4</v>
      </c>
      <c r="S59" s="47">
        <f t="shared" ca="1" si="47"/>
        <v>6545055.2804445662</v>
      </c>
      <c r="T59" s="47">
        <f>'Monthly Data'!BL59</f>
        <v>9418.2012820512828</v>
      </c>
      <c r="U59" s="47">
        <f ca="1">+'Monthly Data'!BM59</f>
        <v>13854.979904434063</v>
      </c>
      <c r="V59" s="47">
        <f t="shared" ca="1" si="48"/>
        <v>6568328.4616310513</v>
      </c>
    </row>
    <row r="60" spans="1:22">
      <c r="A60" s="2">
        <f>'Monthly Data'!A60</f>
        <v>44136</v>
      </c>
      <c r="B60">
        <f>'Monthly Data'!B60</f>
        <v>2020</v>
      </c>
      <c r="C60">
        <f>'Monthly Data'!C60</f>
        <v>11</v>
      </c>
      <c r="D60" s="3">
        <f>'Monthly Data'!BK60</f>
        <v>6439416.0551902931</v>
      </c>
      <c r="E60" s="3">
        <f t="shared" ref="E60:F60" ca="1" si="65">E48</f>
        <v>495.51408055712409</v>
      </c>
      <c r="F60" s="3">
        <f t="shared" ca="1" si="65"/>
        <v>1.9241666666666659</v>
      </c>
      <c r="G60" s="3">
        <f>'Monthly Data'!DQ60</f>
        <v>30</v>
      </c>
      <c r="H60" s="3">
        <f>'Monthly Data'!DD60</f>
        <v>217</v>
      </c>
      <c r="I60">
        <f>'Monthly Data'!EJ60</f>
        <v>0.5</v>
      </c>
      <c r="J60">
        <f>'Monthly Data'!EF60</f>
        <v>1</v>
      </c>
      <c r="L60" s="3">
        <f t="shared" si="31"/>
        <v>-2785699</v>
      </c>
      <c r="M60" s="3">
        <f t="shared" ca="1" si="32"/>
        <v>1945174.2181844686</v>
      </c>
      <c r="N60" s="3">
        <f t="shared" ca="1" si="33"/>
        <v>19582.436583333325</v>
      </c>
      <c r="O60" s="3">
        <f t="shared" si="34"/>
        <v>4773360</v>
      </c>
      <c r="P60" s="3">
        <f t="shared" si="35"/>
        <v>3068955.05</v>
      </c>
      <c r="Q60" s="3">
        <f t="shared" si="36"/>
        <v>-398751.5</v>
      </c>
      <c r="R60" s="3">
        <f t="shared" si="37"/>
        <v>193962.4</v>
      </c>
      <c r="S60" s="47">
        <f t="shared" ca="1" si="47"/>
        <v>6816583.6047678022</v>
      </c>
      <c r="T60" s="47">
        <f>'Monthly Data'!BL60</f>
        <v>9620.0264102564106</v>
      </c>
      <c r="U60" s="47">
        <f ca="1">+'Monthly Data'!BM60</f>
        <v>17632.041154029095</v>
      </c>
      <c r="V60" s="47">
        <f t="shared" ca="1" si="48"/>
        <v>6843835.6723320875</v>
      </c>
    </row>
    <row r="61" spans="1:22">
      <c r="A61" s="2">
        <f>'Monthly Data'!A61</f>
        <v>44166</v>
      </c>
      <c r="B61">
        <f>'Monthly Data'!B61</f>
        <v>2020</v>
      </c>
      <c r="C61">
        <f>'Monthly Data'!C61</f>
        <v>12</v>
      </c>
      <c r="D61" s="3">
        <f>'Monthly Data'!BK61</f>
        <v>7178027.5138833318</v>
      </c>
      <c r="E61" s="3">
        <f t="shared" ref="E61:F61" ca="1" si="66">E49</f>
        <v>664.38541666666663</v>
      </c>
      <c r="F61" s="3">
        <f t="shared" ca="1" si="66"/>
        <v>0</v>
      </c>
      <c r="G61" s="3">
        <f>'Monthly Data'!DQ61</f>
        <v>31</v>
      </c>
      <c r="H61" s="3">
        <f>'Monthly Data'!DD61</f>
        <v>216.1</v>
      </c>
      <c r="I61">
        <f>'Monthly Data'!EJ61</f>
        <v>0.5</v>
      </c>
      <c r="J61">
        <f>'Monthly Data'!EF61</f>
        <v>0</v>
      </c>
      <c r="L61" s="3">
        <f t="shared" si="31"/>
        <v>-2785699</v>
      </c>
      <c r="M61" s="3">
        <f t="shared" ca="1" si="32"/>
        <v>2608090.1313333334</v>
      </c>
      <c r="N61" s="3">
        <f t="shared" ca="1" si="33"/>
        <v>0</v>
      </c>
      <c r="O61" s="3">
        <f t="shared" si="34"/>
        <v>4932472</v>
      </c>
      <c r="P61" s="3">
        <f t="shared" si="35"/>
        <v>3056226.665</v>
      </c>
      <c r="Q61" s="3">
        <f t="shared" si="36"/>
        <v>-398751.5</v>
      </c>
      <c r="R61" s="3">
        <f t="shared" si="37"/>
        <v>0</v>
      </c>
      <c r="S61" s="47">
        <f t="shared" ca="1" si="47"/>
        <v>7412338.2963333335</v>
      </c>
      <c r="T61" s="47">
        <f>'Monthly Data'!BL61</f>
        <v>9821.8515384615384</v>
      </c>
      <c r="U61" s="47">
        <f ca="1">+'Monthly Data'!BM61</f>
        <v>28058.339949198216</v>
      </c>
      <c r="V61" s="47">
        <f t="shared" ca="1" si="48"/>
        <v>7450218.4878209932</v>
      </c>
    </row>
    <row r="62" spans="1:22">
      <c r="A62" s="2">
        <f>'Monthly Data'!A62</f>
        <v>44197</v>
      </c>
      <c r="B62">
        <f>'Monthly Data'!B62</f>
        <v>2021</v>
      </c>
      <c r="C62">
        <f>'Monthly Data'!C62</f>
        <v>1</v>
      </c>
      <c r="D62" s="3">
        <f ca="1">'Monthly Data'!BK62</f>
        <v>7145716.6275450271</v>
      </c>
      <c r="E62" s="3">
        <f t="shared" ref="E62:F62" ca="1" si="67">E50</f>
        <v>752.78750000000002</v>
      </c>
      <c r="F62" s="3">
        <f t="shared" ca="1" si="67"/>
        <v>0</v>
      </c>
      <c r="G62" s="3">
        <f>'Monthly Data'!DQ62</f>
        <v>31</v>
      </c>
      <c r="H62" s="3">
        <f>'Monthly Data'!DD62</f>
        <v>209.4</v>
      </c>
      <c r="I62">
        <f>'Monthly Data'!EJ62</f>
        <v>0.5</v>
      </c>
      <c r="J62">
        <f>'Monthly Data'!EF62</f>
        <v>0</v>
      </c>
      <c r="L62" s="3">
        <f t="shared" si="31"/>
        <v>-2785699</v>
      </c>
      <c r="M62" s="3">
        <f t="shared" ca="1" si="32"/>
        <v>2955118.5208000001</v>
      </c>
      <c r="N62" s="3">
        <f t="shared" ca="1" si="33"/>
        <v>0</v>
      </c>
      <c r="O62" s="3">
        <f t="shared" si="34"/>
        <v>4932472</v>
      </c>
      <c r="P62" s="3">
        <f t="shared" si="35"/>
        <v>2961470.91</v>
      </c>
      <c r="Q62" s="3">
        <f t="shared" si="36"/>
        <v>-398751.5</v>
      </c>
      <c r="R62" s="3">
        <f t="shared" si="37"/>
        <v>0</v>
      </c>
      <c r="S62" s="47">
        <f t="shared" ca="1" si="47"/>
        <v>7664610.9308000002</v>
      </c>
      <c r="T62" s="47">
        <f>'Monthly Data'!BL62</f>
        <v>10412.860256410258</v>
      </c>
      <c r="U62" s="47">
        <f ca="1">+'Monthly Data'!BM62</f>
        <v>61651.504648391579</v>
      </c>
      <c r="V62" s="47">
        <f t="shared" ca="1" si="48"/>
        <v>7736675.2957048016</v>
      </c>
    </row>
    <row r="63" spans="1:22">
      <c r="A63" s="2">
        <f>'Monthly Data'!A63</f>
        <v>44228</v>
      </c>
      <c r="B63">
        <f>'Monthly Data'!B63</f>
        <v>2021</v>
      </c>
      <c r="C63">
        <f>'Monthly Data'!C63</f>
        <v>2</v>
      </c>
      <c r="D63" s="3">
        <f ca="1">'Monthly Data'!BK63</f>
        <v>6867239.1466897493</v>
      </c>
      <c r="E63" s="3">
        <f t="shared" ref="E63:F63" ca="1" si="68">E51</f>
        <v>660.7954166666666</v>
      </c>
      <c r="F63" s="3">
        <f t="shared" ca="1" si="68"/>
        <v>0</v>
      </c>
      <c r="G63" s="3">
        <f>'Monthly Data'!DQ63</f>
        <v>28</v>
      </c>
      <c r="H63" s="3">
        <f>'Monthly Data'!DD63</f>
        <v>208.2</v>
      </c>
      <c r="I63">
        <f>'Monthly Data'!EJ63</f>
        <v>0.5</v>
      </c>
      <c r="J63">
        <f>'Monthly Data'!EF63</f>
        <v>0</v>
      </c>
      <c r="L63" s="3">
        <f t="shared" si="31"/>
        <v>-2785699</v>
      </c>
      <c r="M63" s="3">
        <f t="shared" ca="1" si="32"/>
        <v>2593997.3422133331</v>
      </c>
      <c r="N63" s="3">
        <f t="shared" ca="1" si="33"/>
        <v>0</v>
      </c>
      <c r="O63" s="3">
        <f t="shared" si="34"/>
        <v>4455136</v>
      </c>
      <c r="P63" s="3">
        <f t="shared" si="35"/>
        <v>2944499.73</v>
      </c>
      <c r="Q63" s="3">
        <f t="shared" si="36"/>
        <v>-398751.5</v>
      </c>
      <c r="R63" s="3">
        <f t="shared" si="37"/>
        <v>0</v>
      </c>
      <c r="S63" s="47">
        <f t="shared" ca="1" si="47"/>
        <v>6809182.5722133331</v>
      </c>
      <c r="T63" s="47">
        <f>'Monthly Data'!BL63</f>
        <v>10802.043846153847</v>
      </c>
      <c r="U63" s="47">
        <f ca="1">+'Monthly Data'!BM63</f>
        <v>61646.787654392676</v>
      </c>
      <c r="V63" s="47">
        <f t="shared" ca="1" si="48"/>
        <v>6881631.4037138792</v>
      </c>
    </row>
    <row r="64" spans="1:22">
      <c r="A64" s="2">
        <f>'Monthly Data'!A64</f>
        <v>44256</v>
      </c>
      <c r="B64">
        <f>'Monthly Data'!B64</f>
        <v>2021</v>
      </c>
      <c r="C64">
        <f>'Monthly Data'!C64</f>
        <v>3</v>
      </c>
      <c r="D64" s="3">
        <f ca="1">'Monthly Data'!BK64</f>
        <v>6970734.1900262069</v>
      </c>
      <c r="E64" s="3">
        <f t="shared" ref="E64:F64" ca="1" si="69">E52</f>
        <v>596.21590579710141</v>
      </c>
      <c r="F64" s="3">
        <f t="shared" ca="1" si="69"/>
        <v>2.9583333333332896E-2</v>
      </c>
      <c r="G64" s="3">
        <f>'Monthly Data'!DQ64</f>
        <v>31</v>
      </c>
      <c r="H64" s="3">
        <f>'Monthly Data'!DD64</f>
        <v>207.5</v>
      </c>
      <c r="I64">
        <f>'Monthly Data'!EJ64</f>
        <v>0.5</v>
      </c>
      <c r="J64">
        <f>'Monthly Data'!EF64</f>
        <v>0</v>
      </c>
      <c r="L64" s="3">
        <f t="shared" si="31"/>
        <v>-2785699</v>
      </c>
      <c r="M64" s="3">
        <f t="shared" ca="1" si="32"/>
        <v>2340486.0808881158</v>
      </c>
      <c r="N64" s="3">
        <f t="shared" ca="1" si="33"/>
        <v>301.07254166666223</v>
      </c>
      <c r="O64" s="3">
        <f t="shared" si="34"/>
        <v>4932472</v>
      </c>
      <c r="P64" s="3">
        <f t="shared" si="35"/>
        <v>2934599.875</v>
      </c>
      <c r="Q64" s="3">
        <f t="shared" si="36"/>
        <v>-398751.5</v>
      </c>
      <c r="R64" s="3">
        <f t="shared" si="37"/>
        <v>0</v>
      </c>
      <c r="S64" s="47">
        <f t="shared" ca="1" si="47"/>
        <v>7023408.528429782</v>
      </c>
      <c r="T64" s="47">
        <f>'Monthly Data'!BL64</f>
        <v>11191.227435897437</v>
      </c>
      <c r="U64" s="47">
        <f ca="1">+'Monthly Data'!BM64</f>
        <v>46471.483065954715</v>
      </c>
      <c r="V64" s="47">
        <f t="shared" ca="1" si="48"/>
        <v>7081071.2389316335</v>
      </c>
    </row>
    <row r="65" spans="1:22">
      <c r="A65" s="2">
        <f>'Monthly Data'!A65</f>
        <v>44287</v>
      </c>
      <c r="B65">
        <f>'Monthly Data'!B65</f>
        <v>2021</v>
      </c>
      <c r="C65">
        <f>'Monthly Data'!C65</f>
        <v>4</v>
      </c>
      <c r="D65" s="3">
        <f ca="1">'Monthly Data'!BK65</f>
        <v>5856711.4300050689</v>
      </c>
      <c r="E65" s="3">
        <f t="shared" ref="E65:F65" ca="1" si="70">E53</f>
        <v>412.8885416666667</v>
      </c>
      <c r="F65" s="3">
        <f t="shared" ca="1" si="70"/>
        <v>6.0095833333333344</v>
      </c>
      <c r="G65" s="3">
        <f>'Monthly Data'!DQ65</f>
        <v>30</v>
      </c>
      <c r="H65" s="3">
        <f>'Monthly Data'!DD65</f>
        <v>209.2</v>
      </c>
      <c r="I65">
        <f>'Monthly Data'!EJ65</f>
        <v>0.5</v>
      </c>
      <c r="J65">
        <f>'Monthly Data'!EF65</f>
        <v>0</v>
      </c>
      <c r="L65" s="3">
        <f t="shared" si="31"/>
        <v>-2785699</v>
      </c>
      <c r="M65" s="3">
        <f t="shared" ca="1" si="32"/>
        <v>1620822.0467333335</v>
      </c>
      <c r="N65" s="3">
        <f t="shared" ca="1" si="33"/>
        <v>61160.13054166668</v>
      </c>
      <c r="O65" s="3">
        <f t="shared" si="34"/>
        <v>4773360</v>
      </c>
      <c r="P65" s="3">
        <f t="shared" si="35"/>
        <v>2958642.38</v>
      </c>
      <c r="Q65" s="3">
        <f t="shared" si="36"/>
        <v>-398751.5</v>
      </c>
      <c r="R65" s="3">
        <f t="shared" si="37"/>
        <v>0</v>
      </c>
      <c r="S65" s="47">
        <f t="shared" ca="1" si="47"/>
        <v>6229534.057275</v>
      </c>
      <c r="T65" s="47">
        <f>'Monthly Data'!BL65</f>
        <v>11580.411025641028</v>
      </c>
      <c r="U65" s="47">
        <f ca="1">+'Monthly Data'!BM65</f>
        <v>30169.500534099516</v>
      </c>
      <c r="V65" s="47">
        <f t="shared" ca="1" si="48"/>
        <v>6271283.968834741</v>
      </c>
    </row>
    <row r="66" spans="1:22">
      <c r="A66" s="2">
        <f>'Monthly Data'!A66</f>
        <v>44317</v>
      </c>
      <c r="B66">
        <f>'Monthly Data'!B66</f>
        <v>2021</v>
      </c>
      <c r="C66">
        <f>'Monthly Data'!C66</f>
        <v>5</v>
      </c>
      <c r="D66" s="3">
        <f ca="1">'Monthly Data'!BK66</f>
        <v>5914599.8415833376</v>
      </c>
      <c r="E66" s="3">
        <f t="shared" ref="E66:F66" ca="1" si="71">E54</f>
        <v>208.90012508544086</v>
      </c>
      <c r="F66" s="3">
        <f t="shared" ca="1" si="71"/>
        <v>81.50872474747473</v>
      </c>
      <c r="G66" s="3">
        <f>'Monthly Data'!DQ66</f>
        <v>31</v>
      </c>
      <c r="H66" s="3">
        <f>'Monthly Data'!DD66</f>
        <v>207.8</v>
      </c>
      <c r="I66">
        <f>'Monthly Data'!EJ66</f>
        <v>0.5</v>
      </c>
      <c r="J66">
        <f>'Monthly Data'!EF66</f>
        <v>0</v>
      </c>
      <c r="L66" s="3">
        <f t="shared" ref="L66:L97" si="72">$Z$8</f>
        <v>-2785699</v>
      </c>
      <c r="M66" s="3">
        <f t="shared" ref="M66:M97" ca="1" si="73">E66*$Z$9</f>
        <v>820051.64623140392</v>
      </c>
      <c r="N66" s="3">
        <f t="shared" ref="N66:N97" ca="1" si="74">F66*$Z$10</f>
        <v>829522.44262752507</v>
      </c>
      <c r="O66" s="3">
        <f t="shared" ref="O66:O97" si="75">G66*$Z$11</f>
        <v>4932472</v>
      </c>
      <c r="P66" s="3">
        <f t="shared" ref="P66:P97" si="76">H66*$Z$12</f>
        <v>2938842.67</v>
      </c>
      <c r="Q66" s="3">
        <f t="shared" ref="Q66:Q97" si="77">I66*$Z$13</f>
        <v>-398751.5</v>
      </c>
      <c r="R66" s="3">
        <f t="shared" ref="R66:R97" si="78">J66*$Z$14</f>
        <v>0</v>
      </c>
      <c r="S66" s="47">
        <f t="shared" ca="1" si="47"/>
        <v>6336438.2588589285</v>
      </c>
      <c r="T66" s="47">
        <f>'Monthly Data'!BL66</f>
        <v>11969.594615384616</v>
      </c>
      <c r="U66" s="47">
        <f ca="1">+'Monthly Data'!BM66</f>
        <v>16381.465020107116</v>
      </c>
      <c r="V66" s="47">
        <f t="shared" ca="1" si="48"/>
        <v>6364789.3184944205</v>
      </c>
    </row>
    <row r="67" spans="1:22">
      <c r="A67" s="2">
        <f>'Monthly Data'!A67</f>
        <v>44348</v>
      </c>
      <c r="B67">
        <f>'Monthly Data'!B67</f>
        <v>2021</v>
      </c>
      <c r="C67">
        <f>'Monthly Data'!C67</f>
        <v>6</v>
      </c>
      <c r="D67" s="3">
        <f ca="1">'Monthly Data'!BK67</f>
        <v>6685319.1952507589</v>
      </c>
      <c r="E67" s="3">
        <f t="shared" ref="E67:F67" ca="1" si="79">E55</f>
        <v>61.78217382617381</v>
      </c>
      <c r="F67" s="3">
        <f t="shared" ca="1" si="79"/>
        <v>202.3599342107168</v>
      </c>
      <c r="G67" s="3">
        <f>'Monthly Data'!DQ67</f>
        <v>30</v>
      </c>
      <c r="H67" s="3">
        <f>'Monthly Data'!DD67</f>
        <v>208</v>
      </c>
      <c r="I67">
        <f>'Monthly Data'!EJ67</f>
        <v>0.5</v>
      </c>
      <c r="J67">
        <f>'Monthly Data'!EF67</f>
        <v>0</v>
      </c>
      <c r="L67" s="3">
        <f t="shared" si="72"/>
        <v>-2785699</v>
      </c>
      <c r="M67" s="3">
        <f t="shared" ca="1" si="73"/>
        <v>242530.12454246549</v>
      </c>
      <c r="N67" s="3">
        <f t="shared" ca="1" si="74"/>
        <v>2059437.286455886</v>
      </c>
      <c r="O67" s="3">
        <f t="shared" si="75"/>
        <v>4773360</v>
      </c>
      <c r="P67" s="3">
        <f t="shared" si="76"/>
        <v>2941671.1999999997</v>
      </c>
      <c r="Q67" s="3">
        <f t="shared" si="77"/>
        <v>-398751.5</v>
      </c>
      <c r="R67" s="3">
        <f t="shared" si="78"/>
        <v>0</v>
      </c>
      <c r="S67" s="47">
        <f t="shared" ca="1" si="47"/>
        <v>6832548.1109983511</v>
      </c>
      <c r="T67" s="47">
        <f>'Monthly Data'!BL67</f>
        <v>12358.778205128207</v>
      </c>
      <c r="U67" s="47">
        <f ca="1">+'Monthly Data'!BM67</f>
        <v>1344.7363725183322</v>
      </c>
      <c r="V67" s="47">
        <f t="shared" ca="1" si="48"/>
        <v>6846251.6255759979</v>
      </c>
    </row>
    <row r="68" spans="1:22">
      <c r="A68" s="2">
        <f>'Monthly Data'!A68</f>
        <v>44378</v>
      </c>
      <c r="B68">
        <f>'Monthly Data'!B68</f>
        <v>2021</v>
      </c>
      <c r="C68">
        <f>'Monthly Data'!C68</f>
        <v>7</v>
      </c>
      <c r="D68" s="3">
        <f ca="1">'Monthly Data'!BK68</f>
        <v>7202300.3597178645</v>
      </c>
      <c r="E68" s="3">
        <f t="shared" ref="E68:F68" ca="1" si="80">E56</f>
        <v>8.334479813664597</v>
      </c>
      <c r="F68" s="3">
        <f t="shared" ca="1" si="80"/>
        <v>304.72508692061177</v>
      </c>
      <c r="G68" s="3">
        <f>'Monthly Data'!DQ68</f>
        <v>31</v>
      </c>
      <c r="H68" s="3">
        <f>'Monthly Data'!DD68</f>
        <v>210.4</v>
      </c>
      <c r="I68">
        <f>'Monthly Data'!EJ68</f>
        <v>0.5</v>
      </c>
      <c r="J68">
        <f>'Monthly Data'!EF68</f>
        <v>0</v>
      </c>
      <c r="L68" s="3">
        <f t="shared" si="72"/>
        <v>-2785699</v>
      </c>
      <c r="M68" s="3">
        <f t="shared" ca="1" si="73"/>
        <v>32717.567253167708</v>
      </c>
      <c r="N68" s="3">
        <f t="shared" ca="1" si="74"/>
        <v>3101217.6820997582</v>
      </c>
      <c r="O68" s="3">
        <f t="shared" si="75"/>
        <v>4932472</v>
      </c>
      <c r="P68" s="3">
        <f t="shared" si="76"/>
        <v>2975613.56</v>
      </c>
      <c r="Q68" s="3">
        <f t="shared" si="77"/>
        <v>-398751.5</v>
      </c>
      <c r="R68" s="3">
        <f t="shared" si="78"/>
        <v>0</v>
      </c>
      <c r="S68" s="47">
        <f t="shared" ca="1" si="47"/>
        <v>7857570.3093529269</v>
      </c>
      <c r="T68" s="47">
        <f>'Monthly Data'!BL68</f>
        <v>12747.961794871795</v>
      </c>
      <c r="U68" s="47">
        <f ca="1">+'Monthly Data'!BM68</f>
        <v>505.1114407150111</v>
      </c>
      <c r="V68" s="47">
        <f t="shared" ca="1" si="48"/>
        <v>7870823.3825885141</v>
      </c>
    </row>
    <row r="69" spans="1:22">
      <c r="A69" s="2">
        <f>'Monthly Data'!A69</f>
        <v>44409</v>
      </c>
      <c r="B69">
        <f>'Monthly Data'!B69</f>
        <v>2021</v>
      </c>
      <c r="C69">
        <f>'Monthly Data'!C69</f>
        <v>8</v>
      </c>
      <c r="D69" s="3">
        <f ca="1">'Monthly Data'!BK69</f>
        <v>8046304.4842098318</v>
      </c>
      <c r="E69" s="3">
        <f t="shared" ref="E69:F69" ca="1" si="81">E57</f>
        <v>21.054927536231883</v>
      </c>
      <c r="F69" s="3">
        <f t="shared" ca="1" si="81"/>
        <v>275.96017127799735</v>
      </c>
      <c r="G69" s="3">
        <f>'Monthly Data'!DQ69</f>
        <v>31</v>
      </c>
      <c r="H69" s="3">
        <f>'Monthly Data'!DD69</f>
        <v>212.2</v>
      </c>
      <c r="I69">
        <f>'Monthly Data'!EJ69</f>
        <v>0.5</v>
      </c>
      <c r="J69">
        <f>'Monthly Data'!EF69</f>
        <v>0</v>
      </c>
      <c r="L69" s="3">
        <f t="shared" si="72"/>
        <v>-2785699</v>
      </c>
      <c r="M69" s="3">
        <f t="shared" ca="1" si="73"/>
        <v>82652.549778550732</v>
      </c>
      <c r="N69" s="3">
        <f t="shared" ca="1" si="74"/>
        <v>2808474.2591133071</v>
      </c>
      <c r="O69" s="3">
        <f t="shared" si="75"/>
        <v>4932472</v>
      </c>
      <c r="P69" s="3">
        <f t="shared" si="76"/>
        <v>3001070.3299999996</v>
      </c>
      <c r="Q69" s="3">
        <f t="shared" si="77"/>
        <v>-398751.5</v>
      </c>
      <c r="R69" s="3">
        <f t="shared" si="78"/>
        <v>0</v>
      </c>
      <c r="S69" s="47">
        <f t="shared" ca="1" si="47"/>
        <v>7640218.6388918571</v>
      </c>
      <c r="T69" s="47">
        <f>'Monthly Data'!BL69</f>
        <v>13137.145384615385</v>
      </c>
      <c r="U69" s="47">
        <f ca="1">+'Monthly Data'!BM69</f>
        <v>65.251750318048224</v>
      </c>
      <c r="V69" s="47">
        <f t="shared" ca="1" si="48"/>
        <v>7653421.0360267907</v>
      </c>
    </row>
    <row r="70" spans="1:22">
      <c r="A70" s="2">
        <f>'Monthly Data'!A70</f>
        <v>44440</v>
      </c>
      <c r="B70">
        <f>'Monthly Data'!B70</f>
        <v>2021</v>
      </c>
      <c r="C70">
        <f>'Monthly Data'!C70</f>
        <v>9</v>
      </c>
      <c r="D70" s="3">
        <f ca="1">'Monthly Data'!BK70</f>
        <v>6575332.4041389627</v>
      </c>
      <c r="E70" s="3">
        <f t="shared" ref="E70:F70" ca="1" si="82">E58</f>
        <v>97.667119565217376</v>
      </c>
      <c r="F70" s="3">
        <f t="shared" ca="1" si="82"/>
        <v>154.9849637681159</v>
      </c>
      <c r="G70" s="3">
        <f>'Monthly Data'!DQ70</f>
        <v>30</v>
      </c>
      <c r="H70" s="3">
        <f>'Monthly Data'!DD70</f>
        <v>216.7</v>
      </c>
      <c r="I70">
        <f>'Monthly Data'!EJ70</f>
        <v>0.5</v>
      </c>
      <c r="J70">
        <f>'Monthly Data'!EF70</f>
        <v>1</v>
      </c>
      <c r="L70" s="3">
        <f t="shared" si="72"/>
        <v>-2785699</v>
      </c>
      <c r="M70" s="3">
        <f t="shared" ca="1" si="73"/>
        <v>383398.91921739129</v>
      </c>
      <c r="N70" s="3">
        <f t="shared" ca="1" si="74"/>
        <v>1577297.4747644924</v>
      </c>
      <c r="O70" s="3">
        <f t="shared" si="75"/>
        <v>4773360</v>
      </c>
      <c r="P70" s="3">
        <f t="shared" si="76"/>
        <v>3064712.2549999999</v>
      </c>
      <c r="Q70" s="3">
        <f t="shared" si="77"/>
        <v>-398751.5</v>
      </c>
      <c r="R70" s="3">
        <f t="shared" si="78"/>
        <v>193962.4</v>
      </c>
      <c r="S70" s="47">
        <f t="shared" ca="1" si="47"/>
        <v>6808280.5489818845</v>
      </c>
      <c r="T70" s="47">
        <f>'Monthly Data'!BL70</f>
        <v>13526.328974358976</v>
      </c>
      <c r="U70" s="47">
        <f ca="1">+'Monthly Data'!BM70</f>
        <v>4309.3671008238725</v>
      </c>
      <c r="V70" s="47">
        <f t="shared" ca="1" si="48"/>
        <v>6826116.2450570669</v>
      </c>
    </row>
    <row r="71" spans="1:22">
      <c r="A71" s="2">
        <f>'Monthly Data'!A71</f>
        <v>44470</v>
      </c>
      <c r="B71">
        <f>'Monthly Data'!B71</f>
        <v>2021</v>
      </c>
      <c r="C71">
        <f>'Monthly Data'!C71</f>
        <v>10</v>
      </c>
      <c r="D71" s="3">
        <f ca="1">'Monthly Data'!BK71</f>
        <v>6410393.6362930685</v>
      </c>
      <c r="E71" s="3">
        <f t="shared" ref="E71:F71" ca="1" si="83">E59</f>
        <v>292.46431159420291</v>
      </c>
      <c r="F71" s="3">
        <f t="shared" ca="1" si="83"/>
        <v>38.347916666666663</v>
      </c>
      <c r="G71" s="3">
        <f>'Monthly Data'!DQ71</f>
        <v>31</v>
      </c>
      <c r="H71" s="3">
        <f>'Monthly Data'!DD71</f>
        <v>221.3</v>
      </c>
      <c r="I71">
        <f>'Monthly Data'!EJ71</f>
        <v>0.5</v>
      </c>
      <c r="J71">
        <f>'Monthly Data'!EF71</f>
        <v>1</v>
      </c>
      <c r="L71" s="3">
        <f t="shared" si="72"/>
        <v>-2785699</v>
      </c>
      <c r="M71" s="3">
        <f t="shared" ca="1" si="73"/>
        <v>1148088.542736232</v>
      </c>
      <c r="N71" s="3">
        <f t="shared" ca="1" si="74"/>
        <v>390270.58270833333</v>
      </c>
      <c r="O71" s="3">
        <f t="shared" si="75"/>
        <v>4932472</v>
      </c>
      <c r="P71" s="3">
        <f t="shared" si="76"/>
        <v>3129768.4450000003</v>
      </c>
      <c r="Q71" s="3">
        <f t="shared" si="77"/>
        <v>-398751.5</v>
      </c>
      <c r="R71" s="3">
        <f t="shared" si="78"/>
        <v>193962.4</v>
      </c>
      <c r="S71" s="47">
        <f t="shared" ca="1" si="47"/>
        <v>6610111.4704445656</v>
      </c>
      <c r="T71" s="47">
        <f>'Monthly Data'!BL71</f>
        <v>13915.512564102564</v>
      </c>
      <c r="U71" s="47">
        <f ca="1">+'Monthly Data'!BM71</f>
        <v>14478.813079608362</v>
      </c>
      <c r="V71" s="47">
        <f t="shared" ca="1" si="48"/>
        <v>6638505.7960882764</v>
      </c>
    </row>
    <row r="72" spans="1:22">
      <c r="A72" s="2">
        <f>'Monthly Data'!A72</f>
        <v>44501</v>
      </c>
      <c r="B72">
        <f>'Monthly Data'!B72</f>
        <v>2021</v>
      </c>
      <c r="C72">
        <f>'Monthly Data'!C72</f>
        <v>11</v>
      </c>
      <c r="D72" s="3">
        <f ca="1">'Monthly Data'!BK72</f>
        <v>6749789.1937102508</v>
      </c>
      <c r="E72" s="3">
        <f t="shared" ref="E72:F72" ca="1" si="84">E60</f>
        <v>495.51408055712409</v>
      </c>
      <c r="F72" s="3">
        <f t="shared" ca="1" si="84"/>
        <v>1.9241666666666659</v>
      </c>
      <c r="G72" s="3">
        <f>'Monthly Data'!DQ72</f>
        <v>30</v>
      </c>
      <c r="H72" s="3">
        <f>'Monthly Data'!DD72</f>
        <v>227.6</v>
      </c>
      <c r="I72">
        <f>'Monthly Data'!EJ72</f>
        <v>0.5</v>
      </c>
      <c r="J72">
        <f>'Monthly Data'!EF72</f>
        <v>1</v>
      </c>
      <c r="L72" s="3">
        <f t="shared" si="72"/>
        <v>-2785699</v>
      </c>
      <c r="M72" s="3">
        <f t="shared" ca="1" si="73"/>
        <v>1945174.2181844686</v>
      </c>
      <c r="N72" s="3">
        <f t="shared" ca="1" si="74"/>
        <v>19582.436583333325</v>
      </c>
      <c r="O72" s="3">
        <f t="shared" si="75"/>
        <v>4773360</v>
      </c>
      <c r="P72" s="3">
        <f t="shared" si="76"/>
        <v>3218867.1399999997</v>
      </c>
      <c r="Q72" s="3">
        <f t="shared" si="77"/>
        <v>-398751.5</v>
      </c>
      <c r="R72" s="3">
        <f t="shared" si="78"/>
        <v>193962.4</v>
      </c>
      <c r="S72" s="47">
        <f t="shared" ca="1" si="47"/>
        <v>6966495.694767802</v>
      </c>
      <c r="T72" s="47">
        <f>'Monthly Data'!BL72</f>
        <v>14304.696153846155</v>
      </c>
      <c r="U72" s="47">
        <f ca="1">+'Monthly Data'!BM72</f>
        <v>42105.07744867009</v>
      </c>
      <c r="V72" s="47">
        <f t="shared" ca="1" si="48"/>
        <v>7022905.4683703184</v>
      </c>
    </row>
    <row r="73" spans="1:22">
      <c r="A73" s="2">
        <f>'Monthly Data'!A73</f>
        <v>44531</v>
      </c>
      <c r="B73">
        <f>'Monthly Data'!B73</f>
        <v>2021</v>
      </c>
      <c r="C73">
        <f>'Monthly Data'!C73</f>
        <v>12</v>
      </c>
      <c r="D73" s="3">
        <f ca="1">'Monthly Data'!BK73</f>
        <v>7321612.7961532604</v>
      </c>
      <c r="E73" s="3">
        <f t="shared" ref="E73:F73" ca="1" si="85">E61</f>
        <v>664.38541666666663</v>
      </c>
      <c r="F73" s="3">
        <f t="shared" ca="1" si="85"/>
        <v>0</v>
      </c>
      <c r="G73" s="3">
        <f>'Monthly Data'!DQ73</f>
        <v>31</v>
      </c>
      <c r="H73" s="3">
        <f>'Monthly Data'!DD73</f>
        <v>228.8</v>
      </c>
      <c r="I73">
        <f>'Monthly Data'!EJ73</f>
        <v>0.5</v>
      </c>
      <c r="J73">
        <f>'Monthly Data'!EF73</f>
        <v>0</v>
      </c>
      <c r="L73" s="3">
        <f t="shared" si="72"/>
        <v>-2785699</v>
      </c>
      <c r="M73" s="3">
        <f t="shared" ca="1" si="73"/>
        <v>2608090.1313333334</v>
      </c>
      <c r="N73" s="3">
        <f t="shared" ca="1" si="74"/>
        <v>0</v>
      </c>
      <c r="O73" s="3">
        <f t="shared" si="75"/>
        <v>4932472</v>
      </c>
      <c r="P73" s="3">
        <f t="shared" si="76"/>
        <v>3235838.3200000003</v>
      </c>
      <c r="Q73" s="3">
        <f t="shared" si="77"/>
        <v>-398751.5</v>
      </c>
      <c r="R73" s="3">
        <f t="shared" si="78"/>
        <v>0</v>
      </c>
      <c r="S73" s="47">
        <f t="shared" ca="1" si="47"/>
        <v>7591949.9513333337</v>
      </c>
      <c r="T73" s="47">
        <f>'Monthly Data'!BL73</f>
        <v>14693.879743589743</v>
      </c>
      <c r="U73" s="47">
        <f ca="1">+'Monthly Data'!BM73</f>
        <v>50287.479939386933</v>
      </c>
      <c r="V73" s="47">
        <f t="shared" ca="1" si="48"/>
        <v>7656931.3110163109</v>
      </c>
    </row>
    <row r="74" spans="1:22">
      <c r="A74" s="2">
        <f>'Monthly Data'!A74</f>
        <v>44562</v>
      </c>
      <c r="B74">
        <f>'Monthly Data'!B74</f>
        <v>2022</v>
      </c>
      <c r="C74">
        <f>'Monthly Data'!C74</f>
        <v>1</v>
      </c>
      <c r="D74" s="3">
        <f ca="1">'Monthly Data'!BK74</f>
        <v>8069275.0656578699</v>
      </c>
      <c r="E74" s="3">
        <f t="shared" ref="E74:F74" ca="1" si="86">E62</f>
        <v>752.78750000000002</v>
      </c>
      <c r="F74" s="3">
        <f t="shared" ca="1" si="86"/>
        <v>0</v>
      </c>
      <c r="G74" s="3">
        <f>'Monthly Data'!DQ74</f>
        <v>31</v>
      </c>
      <c r="H74" s="3">
        <f>'Monthly Data'!DD74</f>
        <v>226.2</v>
      </c>
      <c r="I74">
        <f>'Monthly Data'!EJ74</f>
        <v>0.25</v>
      </c>
      <c r="J74">
        <f>'Monthly Data'!EF74</f>
        <v>0</v>
      </c>
      <c r="L74" s="3">
        <f t="shared" si="72"/>
        <v>-2785699</v>
      </c>
      <c r="M74" s="3">
        <f t="shared" ca="1" si="73"/>
        <v>2955118.5208000001</v>
      </c>
      <c r="N74" s="3">
        <f t="shared" ca="1" si="74"/>
        <v>0</v>
      </c>
      <c r="O74" s="3">
        <f t="shared" si="75"/>
        <v>4932472</v>
      </c>
      <c r="P74" s="3">
        <f t="shared" si="76"/>
        <v>3199067.4299999997</v>
      </c>
      <c r="Q74" s="3">
        <f t="shared" si="77"/>
        <v>-199375.75</v>
      </c>
      <c r="R74" s="3">
        <f t="shared" si="78"/>
        <v>0</v>
      </c>
      <c r="S74" s="47">
        <f t="shared" ca="1" si="47"/>
        <v>8101583.2007999998</v>
      </c>
      <c r="T74" s="47">
        <f>'Monthly Data'!BL74</f>
        <v>15900.451282051283</v>
      </c>
      <c r="U74" s="47">
        <f ca="1">+'Monthly Data'!BM74</f>
        <v>121632.64015265465</v>
      </c>
      <c r="V74" s="47">
        <f t="shared" ca="1" si="48"/>
        <v>8239116.2922347058</v>
      </c>
    </row>
    <row r="75" spans="1:22">
      <c r="A75" s="2">
        <f>'Monthly Data'!A75</f>
        <v>44593</v>
      </c>
      <c r="B75">
        <f>'Monthly Data'!B75</f>
        <v>2022</v>
      </c>
      <c r="C75">
        <f>'Monthly Data'!C75</f>
        <v>2</v>
      </c>
      <c r="D75" s="3">
        <f ca="1">'Monthly Data'!BK75</f>
        <v>7376068.720579314</v>
      </c>
      <c r="E75" s="3">
        <f t="shared" ref="E75:F75" ca="1" si="87">E63</f>
        <v>660.7954166666666</v>
      </c>
      <c r="F75" s="3">
        <f t="shared" ca="1" si="87"/>
        <v>0</v>
      </c>
      <c r="G75" s="3">
        <f>'Monthly Data'!DQ75</f>
        <v>28</v>
      </c>
      <c r="H75" s="3">
        <f>'Monthly Data'!DD75</f>
        <v>226.3</v>
      </c>
      <c r="I75">
        <f>'Monthly Data'!EJ75</f>
        <v>0.25</v>
      </c>
      <c r="J75">
        <f>'Monthly Data'!EF75</f>
        <v>0</v>
      </c>
      <c r="L75" s="3">
        <f t="shared" si="72"/>
        <v>-2785699</v>
      </c>
      <c r="M75" s="3">
        <f t="shared" ca="1" si="73"/>
        <v>2593997.3422133331</v>
      </c>
      <c r="N75" s="3">
        <f t="shared" ca="1" si="74"/>
        <v>0</v>
      </c>
      <c r="O75" s="3">
        <f t="shared" si="75"/>
        <v>4455136</v>
      </c>
      <c r="P75" s="3">
        <f t="shared" si="76"/>
        <v>3200481.6950000003</v>
      </c>
      <c r="Q75" s="3">
        <f t="shared" si="77"/>
        <v>-199375.75</v>
      </c>
      <c r="R75" s="3">
        <f t="shared" si="78"/>
        <v>0</v>
      </c>
      <c r="S75" s="47">
        <f t="shared" ca="1" si="47"/>
        <v>7264540.287213333</v>
      </c>
      <c r="T75" s="47">
        <f>'Monthly Data'!BL75</f>
        <v>16717.83923076923</v>
      </c>
      <c r="U75" s="47">
        <f ca="1">+'Monthly Data'!BM75</f>
        <v>93837.103400460066</v>
      </c>
      <c r="V75" s="47">
        <f t="shared" ca="1" si="48"/>
        <v>7375095.2298445627</v>
      </c>
    </row>
    <row r="76" spans="1:22">
      <c r="A76" s="2">
        <f>'Monthly Data'!A76</f>
        <v>44621</v>
      </c>
      <c r="B76">
        <f>'Monthly Data'!B76</f>
        <v>2022</v>
      </c>
      <c r="C76">
        <f>'Monthly Data'!C76</f>
        <v>3</v>
      </c>
      <c r="D76" s="3">
        <f ca="1">'Monthly Data'!BK76</f>
        <v>7644236.0910833273</v>
      </c>
      <c r="E76" s="3">
        <f t="shared" ref="E76:F76" ca="1" si="88">E64</f>
        <v>596.21590579710141</v>
      </c>
      <c r="F76" s="3">
        <f t="shared" ca="1" si="88"/>
        <v>2.9583333333332896E-2</v>
      </c>
      <c r="G76" s="3">
        <f>'Monthly Data'!DQ76</f>
        <v>31</v>
      </c>
      <c r="H76" s="3">
        <f>'Monthly Data'!DD76</f>
        <v>227.8</v>
      </c>
      <c r="I76">
        <f>'Monthly Data'!EJ76</f>
        <v>0.25</v>
      </c>
      <c r="J76">
        <f>'Monthly Data'!EF76</f>
        <v>0</v>
      </c>
      <c r="L76" s="3">
        <f t="shared" si="72"/>
        <v>-2785699</v>
      </c>
      <c r="M76" s="3">
        <f t="shared" ca="1" si="73"/>
        <v>2340486.0808881158</v>
      </c>
      <c r="N76" s="3">
        <f t="shared" ca="1" si="74"/>
        <v>301.07254166666223</v>
      </c>
      <c r="O76" s="3">
        <f t="shared" si="75"/>
        <v>4932472</v>
      </c>
      <c r="P76" s="3">
        <f t="shared" si="76"/>
        <v>3221695.67</v>
      </c>
      <c r="Q76" s="3">
        <f t="shared" si="77"/>
        <v>-199375.75</v>
      </c>
      <c r="R76" s="3">
        <f t="shared" si="78"/>
        <v>0</v>
      </c>
      <c r="S76" s="47">
        <f t="shared" ca="1" si="47"/>
        <v>7509880.0734297819</v>
      </c>
      <c r="T76" s="47">
        <f>'Monthly Data'!BL76</f>
        <v>17535.227179487181</v>
      </c>
      <c r="U76" s="47">
        <f ca="1">+'Monthly Data'!BM76</f>
        <v>80262.267664104234</v>
      </c>
      <c r="V76" s="47">
        <f t="shared" ca="1" si="48"/>
        <v>7607677.5682733729</v>
      </c>
    </row>
    <row r="77" spans="1:22">
      <c r="A77" s="2">
        <f>'Monthly Data'!A77</f>
        <v>44652</v>
      </c>
      <c r="B77">
        <f>'Monthly Data'!B77</f>
        <v>2022</v>
      </c>
      <c r="C77">
        <f>'Monthly Data'!C77</f>
        <v>4</v>
      </c>
      <c r="D77" s="3">
        <f ca="1">'Monthly Data'!BK77</f>
        <v>6592293.3697755849</v>
      </c>
      <c r="E77" s="3">
        <f t="shared" ref="E77:F77" ca="1" si="89">E65</f>
        <v>412.8885416666667</v>
      </c>
      <c r="F77" s="3">
        <f t="shared" ca="1" si="89"/>
        <v>6.0095833333333344</v>
      </c>
      <c r="G77" s="3">
        <f>'Monthly Data'!DQ77</f>
        <v>30</v>
      </c>
      <c r="H77" s="3">
        <f>'Monthly Data'!DD77</f>
        <v>232.8</v>
      </c>
      <c r="I77">
        <f>'Monthly Data'!EJ77</f>
        <v>0.25</v>
      </c>
      <c r="J77">
        <f>'Monthly Data'!EF77</f>
        <v>0</v>
      </c>
      <c r="L77" s="3">
        <f t="shared" si="72"/>
        <v>-2785699</v>
      </c>
      <c r="M77" s="3">
        <f t="shared" ca="1" si="73"/>
        <v>1620822.0467333335</v>
      </c>
      <c r="N77" s="3">
        <f t="shared" ca="1" si="74"/>
        <v>61160.13054166668</v>
      </c>
      <c r="O77" s="3">
        <f t="shared" si="75"/>
        <v>4773360</v>
      </c>
      <c r="P77" s="3">
        <f t="shared" si="76"/>
        <v>3292408.92</v>
      </c>
      <c r="Q77" s="3">
        <f t="shared" si="77"/>
        <v>-199375.75</v>
      </c>
      <c r="R77" s="3">
        <f t="shared" si="78"/>
        <v>0</v>
      </c>
      <c r="S77" s="47">
        <f t="shared" ca="1" si="47"/>
        <v>6762676.3472750001</v>
      </c>
      <c r="T77" s="47">
        <f>'Monthly Data'!BL77</f>
        <v>18352.615128205129</v>
      </c>
      <c r="U77" s="47">
        <f ca="1">+'Monthly Data'!BM77</f>
        <v>52209.489892800011</v>
      </c>
      <c r="V77" s="47">
        <f t="shared" ca="1" si="48"/>
        <v>6833238.4522960056</v>
      </c>
    </row>
    <row r="78" spans="1:22">
      <c r="A78" s="2">
        <f>'Monthly Data'!A78</f>
        <v>44682</v>
      </c>
      <c r="B78">
        <f>'Monthly Data'!B78</f>
        <v>2022</v>
      </c>
      <c r="C78">
        <f>'Monthly Data'!C78</f>
        <v>5</v>
      </c>
      <c r="D78" s="3">
        <f ca="1">'Monthly Data'!BK78</f>
        <v>6530168.109621468</v>
      </c>
      <c r="E78" s="3">
        <f t="shared" ref="E78:F78" ca="1" si="90">E66</f>
        <v>208.90012508544086</v>
      </c>
      <c r="F78" s="3">
        <f t="shared" ca="1" si="90"/>
        <v>81.50872474747473</v>
      </c>
      <c r="G78" s="3">
        <f>'Monthly Data'!DQ78</f>
        <v>31</v>
      </c>
      <c r="H78" s="3">
        <f>'Monthly Data'!DD78</f>
        <v>235</v>
      </c>
      <c r="I78">
        <f>'Monthly Data'!EJ78</f>
        <v>0.25</v>
      </c>
      <c r="J78">
        <f>'Monthly Data'!EF78</f>
        <v>0</v>
      </c>
      <c r="L78" s="3">
        <f t="shared" si="72"/>
        <v>-2785699</v>
      </c>
      <c r="M78" s="3">
        <f t="shared" ca="1" si="73"/>
        <v>820051.64623140392</v>
      </c>
      <c r="N78" s="3">
        <f t="shared" ca="1" si="74"/>
        <v>829522.44262752507</v>
      </c>
      <c r="O78" s="3">
        <f t="shared" si="75"/>
        <v>4932472</v>
      </c>
      <c r="P78" s="3">
        <f t="shared" si="76"/>
        <v>3323522.75</v>
      </c>
      <c r="Q78" s="3">
        <f t="shared" si="77"/>
        <v>-199375.75</v>
      </c>
      <c r="R78" s="3">
        <f t="shared" si="78"/>
        <v>0</v>
      </c>
      <c r="S78" s="47">
        <f t="shared" ca="1" si="47"/>
        <v>6920494.0888589285</v>
      </c>
      <c r="T78" s="47">
        <f>'Monthly Data'!BL78</f>
        <v>19170.003076923076</v>
      </c>
      <c r="U78" s="47">
        <f ca="1">+'Monthly Data'!BM78</f>
        <v>16135.581060237182</v>
      </c>
      <c r="V78" s="47">
        <f t="shared" ca="1" si="48"/>
        <v>6955799.6729960889</v>
      </c>
    </row>
    <row r="79" spans="1:22">
      <c r="A79" s="2">
        <f>'Monthly Data'!A79</f>
        <v>44713</v>
      </c>
      <c r="B79">
        <f>'Monthly Data'!B79</f>
        <v>2022</v>
      </c>
      <c r="C79">
        <f>'Monthly Data'!C79</f>
        <v>6</v>
      </c>
      <c r="D79" s="3">
        <f ca="1">'Monthly Data'!BK79</f>
        <v>7021628.4928765828</v>
      </c>
      <c r="E79" s="3">
        <f t="shared" ref="E79:F79" ca="1" si="91">E67</f>
        <v>61.78217382617381</v>
      </c>
      <c r="F79" s="3">
        <f t="shared" ca="1" si="91"/>
        <v>202.3599342107168</v>
      </c>
      <c r="G79" s="3">
        <f>'Monthly Data'!DQ79</f>
        <v>30</v>
      </c>
      <c r="H79" s="3">
        <f>'Monthly Data'!DD79</f>
        <v>236.3</v>
      </c>
      <c r="I79">
        <f>'Monthly Data'!EJ79</f>
        <v>0.25</v>
      </c>
      <c r="J79">
        <f>'Monthly Data'!EF79</f>
        <v>0</v>
      </c>
      <c r="L79" s="3">
        <f t="shared" si="72"/>
        <v>-2785699</v>
      </c>
      <c r="M79" s="3">
        <f t="shared" ca="1" si="73"/>
        <v>242530.12454246549</v>
      </c>
      <c r="N79" s="3">
        <f t="shared" ca="1" si="74"/>
        <v>2059437.286455886</v>
      </c>
      <c r="O79" s="3">
        <f t="shared" si="75"/>
        <v>4773360</v>
      </c>
      <c r="P79" s="3">
        <f t="shared" si="76"/>
        <v>3341908.1950000003</v>
      </c>
      <c r="Q79" s="3">
        <f t="shared" si="77"/>
        <v>-199375.75</v>
      </c>
      <c r="R79" s="3">
        <f t="shared" si="78"/>
        <v>0</v>
      </c>
      <c r="S79" s="47">
        <f t="shared" ca="1" si="47"/>
        <v>7432160.8559983522</v>
      </c>
      <c r="T79" s="47">
        <f>'Monthly Data'!BL79</f>
        <v>19987.391025641027</v>
      </c>
      <c r="U79" s="47">
        <f ca="1">+'Monthly Data'!BM79</f>
        <v>5328.9795576818715</v>
      </c>
      <c r="V79" s="47">
        <f t="shared" ca="1" si="48"/>
        <v>7457477.226581675</v>
      </c>
    </row>
    <row r="80" spans="1:22">
      <c r="A80" s="2">
        <f>'Monthly Data'!A80</f>
        <v>44743</v>
      </c>
      <c r="B80">
        <f>'Monthly Data'!B80</f>
        <v>2022</v>
      </c>
      <c r="C80">
        <f>'Monthly Data'!C80</f>
        <v>7</v>
      </c>
      <c r="D80" s="3">
        <f ca="1">'Monthly Data'!BK80</f>
        <v>7808663.3388158185</v>
      </c>
      <c r="E80" s="3">
        <f t="shared" ref="E80:F80" ca="1" si="92">E68</f>
        <v>8.334479813664597</v>
      </c>
      <c r="F80" s="3">
        <f t="shared" ca="1" si="92"/>
        <v>304.72508692061177</v>
      </c>
      <c r="G80" s="3">
        <f>'Monthly Data'!DQ80</f>
        <v>31</v>
      </c>
      <c r="H80" s="3">
        <f>'Monthly Data'!DD80</f>
        <v>236.4</v>
      </c>
      <c r="I80">
        <f>'Monthly Data'!EJ80</f>
        <v>0.25</v>
      </c>
      <c r="J80">
        <f>'Monthly Data'!EF80</f>
        <v>0</v>
      </c>
      <c r="L80" s="3">
        <f t="shared" si="72"/>
        <v>-2785699</v>
      </c>
      <c r="M80" s="3">
        <f t="shared" ca="1" si="73"/>
        <v>32717.567253167708</v>
      </c>
      <c r="N80" s="3">
        <f t="shared" ca="1" si="74"/>
        <v>3101217.6820997582</v>
      </c>
      <c r="O80" s="3">
        <f t="shared" si="75"/>
        <v>4932472</v>
      </c>
      <c r="P80" s="3">
        <f t="shared" si="76"/>
        <v>3343322.46</v>
      </c>
      <c r="Q80" s="3">
        <f t="shared" si="77"/>
        <v>-199375.75</v>
      </c>
      <c r="R80" s="3">
        <f t="shared" si="78"/>
        <v>0</v>
      </c>
      <c r="S80" s="47">
        <f t="shared" ca="1" si="47"/>
        <v>8424654.9593529254</v>
      </c>
      <c r="T80" s="47">
        <f>'Monthly Data'!BL80</f>
        <v>20804.778974358975</v>
      </c>
      <c r="U80" s="47">
        <f ca="1">+'Monthly Data'!BM80</f>
        <v>91.47711658075265</v>
      </c>
      <c r="V80" s="47">
        <f t="shared" ca="1" si="48"/>
        <v>8445551.2154438663</v>
      </c>
    </row>
    <row r="81" spans="1:22">
      <c r="A81" s="2">
        <f>'Monthly Data'!A81</f>
        <v>44774</v>
      </c>
      <c r="B81">
        <f>'Monthly Data'!B81</f>
        <v>2022</v>
      </c>
      <c r="C81">
        <f>'Monthly Data'!C81</f>
        <v>8</v>
      </c>
      <c r="D81" s="3">
        <f ca="1">'Monthly Data'!BK81</f>
        <v>8030056.4697464537</v>
      </c>
      <c r="E81" s="3">
        <f t="shared" ref="E81:F81" ca="1" si="93">E69</f>
        <v>21.054927536231883</v>
      </c>
      <c r="F81" s="3">
        <f t="shared" ca="1" si="93"/>
        <v>275.96017127799735</v>
      </c>
      <c r="G81" s="3">
        <f>'Monthly Data'!DQ81</f>
        <v>31</v>
      </c>
      <c r="H81" s="3">
        <f>'Monthly Data'!DD81</f>
        <v>235.2</v>
      </c>
      <c r="I81">
        <f>'Monthly Data'!EJ81</f>
        <v>0.25</v>
      </c>
      <c r="J81">
        <f>'Monthly Data'!EF81</f>
        <v>0</v>
      </c>
      <c r="L81" s="3">
        <f t="shared" si="72"/>
        <v>-2785699</v>
      </c>
      <c r="M81" s="3">
        <f t="shared" ca="1" si="73"/>
        <v>82652.549778550732</v>
      </c>
      <c r="N81" s="3">
        <f t="shared" ca="1" si="74"/>
        <v>2808474.2591133071</v>
      </c>
      <c r="O81" s="3">
        <f t="shared" si="75"/>
        <v>4932472</v>
      </c>
      <c r="P81" s="3">
        <f t="shared" si="76"/>
        <v>3326351.28</v>
      </c>
      <c r="Q81" s="3">
        <f t="shared" si="77"/>
        <v>-199375.75</v>
      </c>
      <c r="R81" s="3">
        <f t="shared" si="78"/>
        <v>0</v>
      </c>
      <c r="S81" s="47">
        <f t="shared" ca="1" si="47"/>
        <v>8164875.3388918582</v>
      </c>
      <c r="T81" s="47">
        <f>'Monthly Data'!BL81</f>
        <v>21622.166923076926</v>
      </c>
      <c r="U81" s="47">
        <f ca="1">+'Monthly Data'!BM81</f>
        <v>112.35108949179724</v>
      </c>
      <c r="V81" s="47">
        <f t="shared" ca="1" si="48"/>
        <v>8186609.8569044266</v>
      </c>
    </row>
    <row r="82" spans="1:22">
      <c r="A82" s="2">
        <f>'Monthly Data'!A82</f>
        <v>44805</v>
      </c>
      <c r="B82">
        <f>'Monthly Data'!B82</f>
        <v>2022</v>
      </c>
      <c r="C82">
        <f>'Monthly Data'!C82</f>
        <v>9</v>
      </c>
      <c r="D82" s="3">
        <f ca="1">'Monthly Data'!BK82</f>
        <v>6777435.0266384333</v>
      </c>
      <c r="E82" s="3">
        <f t="shared" ref="E82:F82" ca="1" si="94">E70</f>
        <v>97.667119565217376</v>
      </c>
      <c r="F82" s="3">
        <f t="shared" ca="1" si="94"/>
        <v>154.9849637681159</v>
      </c>
      <c r="G82" s="3">
        <f>'Monthly Data'!DQ82</f>
        <v>30</v>
      </c>
      <c r="H82" s="3">
        <f>'Monthly Data'!DD82</f>
        <v>233.8</v>
      </c>
      <c r="I82">
        <f>'Monthly Data'!EJ82</f>
        <v>0.25</v>
      </c>
      <c r="J82">
        <f>'Monthly Data'!EF82</f>
        <v>1</v>
      </c>
      <c r="L82" s="3">
        <f t="shared" si="72"/>
        <v>-2785699</v>
      </c>
      <c r="M82" s="3">
        <f t="shared" ca="1" si="73"/>
        <v>383398.91921739129</v>
      </c>
      <c r="N82" s="3">
        <f t="shared" ca="1" si="74"/>
        <v>1577297.4747644924</v>
      </c>
      <c r="O82" s="3">
        <f t="shared" si="75"/>
        <v>4773360</v>
      </c>
      <c r="P82" s="3">
        <f t="shared" si="76"/>
        <v>3306551.5700000003</v>
      </c>
      <c r="Q82" s="3">
        <f t="shared" si="77"/>
        <v>-199375.75</v>
      </c>
      <c r="R82" s="3">
        <f t="shared" si="78"/>
        <v>193962.4</v>
      </c>
      <c r="S82" s="47">
        <f t="shared" ca="1" si="47"/>
        <v>7249495.613981884</v>
      </c>
      <c r="T82" s="47">
        <f>'Monthly Data'!BL82</f>
        <v>22439.554871794873</v>
      </c>
      <c r="U82" s="47">
        <f ca="1">+'Monthly Data'!BM82</f>
        <v>10522.324168305497</v>
      </c>
      <c r="V82" s="47">
        <f t="shared" ca="1" si="48"/>
        <v>7282457.4930219846</v>
      </c>
    </row>
    <row r="83" spans="1:22">
      <c r="A83" s="2">
        <f>'Monthly Data'!A83</f>
        <v>44835</v>
      </c>
      <c r="B83">
        <f>'Monthly Data'!B83</f>
        <v>2022</v>
      </c>
      <c r="C83">
        <f>'Monthly Data'!C83</f>
        <v>10</v>
      </c>
      <c r="D83" s="3">
        <f ca="1">'Monthly Data'!BK83</f>
        <v>6462770.2915369282</v>
      </c>
      <c r="E83" s="3">
        <f t="shared" ref="E83:F83" ca="1" si="95">E71</f>
        <v>292.46431159420291</v>
      </c>
      <c r="F83" s="3">
        <f t="shared" ca="1" si="95"/>
        <v>38.347916666666663</v>
      </c>
      <c r="G83" s="3">
        <f>'Monthly Data'!DQ83</f>
        <v>31</v>
      </c>
      <c r="H83" s="3">
        <f>'Monthly Data'!DD83</f>
        <v>234</v>
      </c>
      <c r="I83">
        <f>'Monthly Data'!EJ83</f>
        <v>0.25</v>
      </c>
      <c r="J83">
        <f>'Monthly Data'!EF83</f>
        <v>1</v>
      </c>
      <c r="L83" s="3">
        <f t="shared" si="72"/>
        <v>-2785699</v>
      </c>
      <c r="M83" s="3">
        <f t="shared" ca="1" si="73"/>
        <v>1148088.542736232</v>
      </c>
      <c r="N83" s="3">
        <f t="shared" ca="1" si="74"/>
        <v>390270.58270833333</v>
      </c>
      <c r="O83" s="3">
        <f t="shared" si="75"/>
        <v>4932472</v>
      </c>
      <c r="P83" s="3">
        <f t="shared" si="76"/>
        <v>3309380.1</v>
      </c>
      <c r="Q83" s="3">
        <f t="shared" si="77"/>
        <v>-199375.75</v>
      </c>
      <c r="R83" s="3">
        <f t="shared" si="78"/>
        <v>193962.4</v>
      </c>
      <c r="S83" s="47">
        <f t="shared" ca="1" si="47"/>
        <v>6989098.8754445659</v>
      </c>
      <c r="T83" s="47">
        <f>'Monthly Data'!BL83</f>
        <v>23256.942820512821</v>
      </c>
      <c r="U83" s="47">
        <f ca="1">+'Monthly Data'!BM83</f>
        <v>39614.716546983676</v>
      </c>
      <c r="V83" s="47">
        <f t="shared" ca="1" si="48"/>
        <v>7051970.534812062</v>
      </c>
    </row>
    <row r="84" spans="1:22">
      <c r="A84" s="2">
        <f>'Monthly Data'!A84</f>
        <v>44866</v>
      </c>
      <c r="B84">
        <f>'Monthly Data'!B84</f>
        <v>2022</v>
      </c>
      <c r="C84">
        <f>'Monthly Data'!C84</f>
        <v>11</v>
      </c>
      <c r="D84" s="3">
        <f ca="1">'Monthly Data'!BK84</f>
        <v>6900158.9461044408</v>
      </c>
      <c r="E84" s="3">
        <f t="shared" ref="E84:F84" ca="1" si="96">E72</f>
        <v>495.51408055712409</v>
      </c>
      <c r="F84" s="3">
        <f t="shared" ca="1" si="96"/>
        <v>1.9241666666666659</v>
      </c>
      <c r="G84" s="3">
        <f>'Monthly Data'!DQ84</f>
        <v>30</v>
      </c>
      <c r="H84" s="3">
        <f>'Monthly Data'!DD84</f>
        <v>234.2</v>
      </c>
      <c r="I84">
        <f>'Monthly Data'!EJ84</f>
        <v>0.25</v>
      </c>
      <c r="J84">
        <f>'Monthly Data'!EF84</f>
        <v>1</v>
      </c>
      <c r="L84" s="3">
        <f t="shared" si="72"/>
        <v>-2785699</v>
      </c>
      <c r="M84" s="3">
        <f t="shared" ca="1" si="73"/>
        <v>1945174.2181844686</v>
      </c>
      <c r="N84" s="3">
        <f t="shared" ca="1" si="74"/>
        <v>19582.436583333325</v>
      </c>
      <c r="O84" s="3">
        <f t="shared" si="75"/>
        <v>4773360</v>
      </c>
      <c r="P84" s="3">
        <f t="shared" si="76"/>
        <v>3312208.63</v>
      </c>
      <c r="Q84" s="3">
        <f t="shared" si="77"/>
        <v>-199375.75</v>
      </c>
      <c r="R84" s="3">
        <f t="shared" si="78"/>
        <v>193962.4</v>
      </c>
      <c r="S84" s="47">
        <f t="shared" ca="1" si="47"/>
        <v>7259212.9347678022</v>
      </c>
      <c r="T84" s="47">
        <f>'Monthly Data'!BL84</f>
        <v>24074.330769230772</v>
      </c>
      <c r="U84" s="47">
        <f ca="1">+'Monthly Data'!BM84</f>
        <v>60681.867133165048</v>
      </c>
      <c r="V84" s="47">
        <f t="shared" ca="1" si="48"/>
        <v>7343969.1326701976</v>
      </c>
    </row>
    <row r="85" spans="1:22">
      <c r="A85" s="2">
        <f>'Monthly Data'!A85</f>
        <v>44896</v>
      </c>
      <c r="B85">
        <f>'Monthly Data'!B85</f>
        <v>2022</v>
      </c>
      <c r="C85">
        <f>'Monthly Data'!C85</f>
        <v>12</v>
      </c>
      <c r="D85" s="3">
        <f ca="1">'Monthly Data'!BK85</f>
        <v>7613860.4208652079</v>
      </c>
      <c r="E85" s="3">
        <f t="shared" ref="E85:F85" ca="1" si="97">E73</f>
        <v>664.38541666666663</v>
      </c>
      <c r="F85" s="3">
        <f t="shared" ca="1" si="97"/>
        <v>0</v>
      </c>
      <c r="G85" s="3">
        <f>'Monthly Data'!DQ85</f>
        <v>31</v>
      </c>
      <c r="H85" s="3">
        <f>'Monthly Data'!DD85</f>
        <v>236.7</v>
      </c>
      <c r="I85">
        <f>'Monthly Data'!EJ85</f>
        <v>0.25</v>
      </c>
      <c r="J85">
        <f>'Monthly Data'!EF85</f>
        <v>0</v>
      </c>
      <c r="L85" s="3">
        <f t="shared" si="72"/>
        <v>-2785699</v>
      </c>
      <c r="M85" s="3">
        <f t="shared" ca="1" si="73"/>
        <v>2608090.1313333334</v>
      </c>
      <c r="N85" s="3">
        <f t="shared" ca="1" si="74"/>
        <v>0</v>
      </c>
      <c r="O85" s="3">
        <f t="shared" si="75"/>
        <v>4932472</v>
      </c>
      <c r="P85" s="3">
        <f t="shared" si="76"/>
        <v>3347565.2549999999</v>
      </c>
      <c r="Q85" s="3">
        <f t="shared" si="77"/>
        <v>-199375.75</v>
      </c>
      <c r="R85" s="3">
        <f t="shared" si="78"/>
        <v>0</v>
      </c>
      <c r="S85" s="47">
        <f t="shared" ca="1" si="47"/>
        <v>7903052.6363333333</v>
      </c>
      <c r="T85" s="47">
        <f>'Monthly Data'!BL85</f>
        <v>24891.718717948719</v>
      </c>
      <c r="U85" s="47">
        <f ca="1">+'Monthly Data'!BM85</f>
        <v>86215.033586030258</v>
      </c>
      <c r="V85" s="47">
        <f t="shared" ca="1" si="48"/>
        <v>8014159.3886373118</v>
      </c>
    </row>
    <row r="86" spans="1:22">
      <c r="A86" s="2">
        <f>'Monthly Data'!A86</f>
        <v>44927</v>
      </c>
      <c r="B86">
        <f>'Monthly Data'!B86</f>
        <v>2023</v>
      </c>
      <c r="C86">
        <f>'Monthly Data'!C86</f>
        <v>1</v>
      </c>
      <c r="D86" s="3">
        <f ca="1">'Monthly Data'!BK86</f>
        <v>7728508.0056255767</v>
      </c>
      <c r="E86" s="3">
        <f t="shared" ref="E86:F86" ca="1" si="98">E74</f>
        <v>752.78750000000002</v>
      </c>
      <c r="F86" s="3">
        <f t="shared" ca="1" si="98"/>
        <v>0</v>
      </c>
      <c r="G86" s="3">
        <f>'Monthly Data'!DQ86</f>
        <v>31</v>
      </c>
      <c r="H86" s="3">
        <f>'Monthly Data'!DD86</f>
        <v>238.3</v>
      </c>
      <c r="I86">
        <f>'Monthly Data'!EJ86</f>
        <v>0</v>
      </c>
      <c r="J86">
        <f>'Monthly Data'!EF86</f>
        <v>0</v>
      </c>
      <c r="L86" s="3">
        <f t="shared" si="72"/>
        <v>-2785699</v>
      </c>
      <c r="M86" s="3">
        <f t="shared" ca="1" si="73"/>
        <v>2955118.5208000001</v>
      </c>
      <c r="N86" s="3">
        <f t="shared" ca="1" si="74"/>
        <v>0</v>
      </c>
      <c r="O86" s="3">
        <f t="shared" si="75"/>
        <v>4932472</v>
      </c>
      <c r="P86" s="3">
        <f t="shared" si="76"/>
        <v>3370193.4950000001</v>
      </c>
      <c r="Q86" s="3">
        <f t="shared" si="77"/>
        <v>0</v>
      </c>
      <c r="R86" s="3">
        <f t="shared" si="78"/>
        <v>0</v>
      </c>
      <c r="S86" s="47">
        <f t="shared" ca="1" si="47"/>
        <v>8472085.0157999992</v>
      </c>
      <c r="T86" s="47">
        <f>'Monthly Data'!BL86</f>
        <v>26889.784615384619</v>
      </c>
      <c r="U86" s="47">
        <f ca="1">+'Monthly Data'!BM86</f>
        <v>125360.65116932499</v>
      </c>
      <c r="V86" s="47">
        <f t="shared" ca="1" si="48"/>
        <v>8624335.4515847079</v>
      </c>
    </row>
    <row r="87" spans="1:22">
      <c r="A87" s="2">
        <f>'Monthly Data'!A87</f>
        <v>44958</v>
      </c>
      <c r="B87">
        <f>'Monthly Data'!B87</f>
        <v>2023</v>
      </c>
      <c r="C87">
        <f>'Monthly Data'!C87</f>
        <v>2</v>
      </c>
      <c r="D87" s="3">
        <f ca="1">'Monthly Data'!BK87</f>
        <v>7143689.5804435685</v>
      </c>
      <c r="E87" s="3">
        <f t="shared" ref="E87:F87" ca="1" si="99">E75</f>
        <v>660.7954166666666</v>
      </c>
      <c r="F87" s="3">
        <f t="shared" ca="1" si="99"/>
        <v>0</v>
      </c>
      <c r="G87" s="3">
        <f>'Monthly Data'!DQ87</f>
        <v>28</v>
      </c>
      <c r="H87" s="3">
        <f>'Monthly Data'!DD87</f>
        <v>238.8</v>
      </c>
      <c r="I87">
        <f>'Monthly Data'!EJ87</f>
        <v>0</v>
      </c>
      <c r="J87">
        <f>'Monthly Data'!EF87</f>
        <v>0</v>
      </c>
      <c r="L87" s="3">
        <f t="shared" si="72"/>
        <v>-2785699</v>
      </c>
      <c r="M87" s="3">
        <f t="shared" ca="1" si="73"/>
        <v>2593997.3422133331</v>
      </c>
      <c r="N87" s="3">
        <f t="shared" ca="1" si="74"/>
        <v>0</v>
      </c>
      <c r="O87" s="3">
        <f t="shared" si="75"/>
        <v>4455136</v>
      </c>
      <c r="P87" s="3">
        <f t="shared" si="76"/>
        <v>3377264.8200000003</v>
      </c>
      <c r="Q87" s="3">
        <f t="shared" si="77"/>
        <v>0</v>
      </c>
      <c r="R87" s="3">
        <f t="shared" si="78"/>
        <v>0</v>
      </c>
      <c r="S87" s="47">
        <f t="shared" ca="1" si="47"/>
        <v>7640699.162213333</v>
      </c>
      <c r="T87" s="47">
        <f>'Monthly Data'!BL87</f>
        <v>28070.462564102567</v>
      </c>
      <c r="U87" s="47">
        <f ca="1">+'Monthly Data'!BM87</f>
        <v>119002.56079603785</v>
      </c>
      <c r="V87" s="47">
        <f t="shared" ca="1" si="48"/>
        <v>7787772.1855734736</v>
      </c>
    </row>
    <row r="88" spans="1:22">
      <c r="A88" s="2">
        <f>'Monthly Data'!A88</f>
        <v>44986</v>
      </c>
      <c r="B88">
        <f>'Monthly Data'!B88</f>
        <v>2023</v>
      </c>
      <c r="C88">
        <f>'Monthly Data'!C88</f>
        <v>3</v>
      </c>
      <c r="D88" s="3">
        <f ca="1">'Monthly Data'!BK88</f>
        <v>7471803.6804959085</v>
      </c>
      <c r="E88" s="3">
        <f t="shared" ref="E88:F88" ca="1" si="100">E76</f>
        <v>596.21590579710141</v>
      </c>
      <c r="F88" s="3">
        <f t="shared" ca="1" si="100"/>
        <v>2.9583333333332896E-2</v>
      </c>
      <c r="G88" s="3">
        <f>'Monthly Data'!DQ88</f>
        <v>31</v>
      </c>
      <c r="H88" s="3">
        <f>'Monthly Data'!DD88</f>
        <v>235.9</v>
      </c>
      <c r="I88">
        <f>'Monthly Data'!EJ88</f>
        <v>0</v>
      </c>
      <c r="J88">
        <f>'Monthly Data'!EF88</f>
        <v>0</v>
      </c>
      <c r="L88" s="3">
        <f t="shared" si="72"/>
        <v>-2785699</v>
      </c>
      <c r="M88" s="3">
        <f t="shared" ca="1" si="73"/>
        <v>2340486.0808881158</v>
      </c>
      <c r="N88" s="3">
        <f t="shared" ca="1" si="74"/>
        <v>301.07254166666223</v>
      </c>
      <c r="O88" s="3">
        <f t="shared" si="75"/>
        <v>4932472</v>
      </c>
      <c r="P88" s="3">
        <f t="shared" si="76"/>
        <v>3336251.1349999998</v>
      </c>
      <c r="Q88" s="3">
        <f t="shared" si="77"/>
        <v>0</v>
      </c>
      <c r="R88" s="3">
        <f t="shared" si="78"/>
        <v>0</v>
      </c>
      <c r="S88" s="47">
        <f t="shared" ca="1" si="47"/>
        <v>7823811.2884297818</v>
      </c>
      <c r="T88" s="47">
        <f>'Monthly Data'!BL88</f>
        <v>29251.140512820515</v>
      </c>
      <c r="U88" s="47">
        <f ca="1">+'Monthly Data'!BM88</f>
        <v>114353.96922160684</v>
      </c>
      <c r="V88" s="47">
        <f t="shared" ca="1" si="48"/>
        <v>7967416.398164209</v>
      </c>
    </row>
    <row r="89" spans="1:22">
      <c r="A89" s="2">
        <f>'Monthly Data'!A89</f>
        <v>45017</v>
      </c>
      <c r="B89">
        <f>'Monthly Data'!B89</f>
        <v>2023</v>
      </c>
      <c r="C89">
        <f>'Monthly Data'!C89</f>
        <v>4</v>
      </c>
      <c r="D89" s="3">
        <f ca="1">'Monthly Data'!BK89</f>
        <v>6432422.5570070287</v>
      </c>
      <c r="E89" s="3">
        <f t="shared" ref="E89:F89" ca="1" si="101">E77</f>
        <v>412.8885416666667</v>
      </c>
      <c r="F89" s="3">
        <f t="shared" ca="1" si="101"/>
        <v>6.0095833333333344</v>
      </c>
      <c r="G89" s="3">
        <f>'Monthly Data'!DQ89</f>
        <v>30</v>
      </c>
      <c r="H89" s="3">
        <f>'Monthly Data'!DD89</f>
        <v>233.2</v>
      </c>
      <c r="I89">
        <f>'Monthly Data'!EJ89</f>
        <v>0</v>
      </c>
      <c r="J89">
        <f>'Monthly Data'!EF89</f>
        <v>0</v>
      </c>
      <c r="L89" s="3">
        <f t="shared" si="72"/>
        <v>-2785699</v>
      </c>
      <c r="M89" s="3">
        <f t="shared" ca="1" si="73"/>
        <v>1620822.0467333335</v>
      </c>
      <c r="N89" s="3">
        <f t="shared" ca="1" si="74"/>
        <v>61160.13054166668</v>
      </c>
      <c r="O89" s="3">
        <f t="shared" si="75"/>
        <v>4773360</v>
      </c>
      <c r="P89" s="3">
        <f t="shared" si="76"/>
        <v>3298065.98</v>
      </c>
      <c r="Q89" s="3">
        <f t="shared" si="77"/>
        <v>0</v>
      </c>
      <c r="R89" s="3">
        <f t="shared" si="78"/>
        <v>0</v>
      </c>
      <c r="S89" s="47">
        <f t="shared" ca="1" si="47"/>
        <v>6967709.1572750006</v>
      </c>
      <c r="T89" s="47">
        <f>'Monthly Data'!BL89</f>
        <v>30431.818461538467</v>
      </c>
      <c r="U89" s="47">
        <f ca="1">+'Monthly Data'!BM89</f>
        <v>62548.459845246427</v>
      </c>
      <c r="V89" s="47">
        <f t="shared" ca="1" si="48"/>
        <v>7060689.4355817856</v>
      </c>
    </row>
    <row r="90" spans="1:22">
      <c r="A90" s="2">
        <f>'Monthly Data'!A90</f>
        <v>45047</v>
      </c>
      <c r="B90">
        <f>'Monthly Data'!B90</f>
        <v>2023</v>
      </c>
      <c r="C90">
        <f>'Monthly Data'!C90</f>
        <v>5</v>
      </c>
      <c r="D90" s="3">
        <f ca="1">'Monthly Data'!BK90</f>
        <v>6592308.7806675304</v>
      </c>
      <c r="E90" s="3">
        <f t="shared" ref="E90:F90" ca="1" si="102">E78</f>
        <v>208.90012508544086</v>
      </c>
      <c r="F90" s="3">
        <f t="shared" ca="1" si="102"/>
        <v>81.50872474747473</v>
      </c>
      <c r="G90" s="3">
        <f>'Monthly Data'!DQ90</f>
        <v>31</v>
      </c>
      <c r="H90" s="3">
        <f>'Monthly Data'!DD90</f>
        <v>230.7</v>
      </c>
      <c r="I90">
        <f>'Monthly Data'!EJ90</f>
        <v>0</v>
      </c>
      <c r="J90">
        <f>'Monthly Data'!EF90</f>
        <v>0</v>
      </c>
      <c r="L90" s="3">
        <f t="shared" si="72"/>
        <v>-2785699</v>
      </c>
      <c r="M90" s="3">
        <f t="shared" ca="1" si="73"/>
        <v>820051.64623140392</v>
      </c>
      <c r="N90" s="3">
        <f t="shared" ca="1" si="74"/>
        <v>829522.44262752507</v>
      </c>
      <c r="O90" s="3">
        <f t="shared" si="75"/>
        <v>4932472</v>
      </c>
      <c r="P90" s="3">
        <f t="shared" si="76"/>
        <v>3262709.355</v>
      </c>
      <c r="Q90" s="3">
        <f t="shared" si="77"/>
        <v>0</v>
      </c>
      <c r="R90" s="3">
        <f t="shared" si="78"/>
        <v>0</v>
      </c>
      <c r="S90" s="47">
        <f t="shared" ca="1" si="47"/>
        <v>7059056.443858929</v>
      </c>
      <c r="T90" s="47">
        <f>'Monthly Data'!BL90</f>
        <v>31612.496410256415</v>
      </c>
      <c r="U90" s="47">
        <f ca="1">+'Monthly Data'!BM90</f>
        <v>33943.884243102846</v>
      </c>
      <c r="V90" s="47">
        <f t="shared" ca="1" si="48"/>
        <v>7124612.824512288</v>
      </c>
    </row>
    <row r="91" spans="1:22">
      <c r="A91" s="2">
        <f>'Monthly Data'!A91</f>
        <v>45078</v>
      </c>
      <c r="B91">
        <f>'Monthly Data'!B91</f>
        <v>2023</v>
      </c>
      <c r="C91">
        <f>'Monthly Data'!C91</f>
        <v>6</v>
      </c>
      <c r="D91" s="3">
        <f ca="1">'Monthly Data'!BK91</f>
        <v>6957449.2311981851</v>
      </c>
      <c r="E91" s="3">
        <f t="shared" ref="E91:F91" ca="1" si="103">E79</f>
        <v>61.78217382617381</v>
      </c>
      <c r="F91" s="3">
        <f t="shared" ca="1" si="103"/>
        <v>202.3599342107168</v>
      </c>
      <c r="G91" s="3">
        <f>'Monthly Data'!DQ91</f>
        <v>30</v>
      </c>
      <c r="H91" s="3">
        <f>'Monthly Data'!DD91</f>
        <v>232.3</v>
      </c>
      <c r="I91">
        <f>'Monthly Data'!EJ91</f>
        <v>0</v>
      </c>
      <c r="J91">
        <f>'Monthly Data'!EF91</f>
        <v>0</v>
      </c>
      <c r="L91" s="3">
        <f t="shared" si="72"/>
        <v>-2785699</v>
      </c>
      <c r="M91" s="3">
        <f t="shared" ca="1" si="73"/>
        <v>242530.12454246549</v>
      </c>
      <c r="N91" s="3">
        <f t="shared" ca="1" si="74"/>
        <v>2059437.286455886</v>
      </c>
      <c r="O91" s="3">
        <f t="shared" si="75"/>
        <v>4773360</v>
      </c>
      <c r="P91" s="3">
        <f t="shared" si="76"/>
        <v>3285337.5950000002</v>
      </c>
      <c r="Q91" s="3">
        <f t="shared" si="77"/>
        <v>0</v>
      </c>
      <c r="R91" s="3">
        <f t="shared" si="78"/>
        <v>0</v>
      </c>
      <c r="S91" s="47">
        <f t="shared" ca="1" si="47"/>
        <v>7574966.0059983525</v>
      </c>
      <c r="T91" s="47">
        <f>'Monthly Data'!BL91</f>
        <v>32793.174358974364</v>
      </c>
      <c r="U91" s="47">
        <f ca="1">+'Monthly Data'!BM91</f>
        <v>4449.7120985904403</v>
      </c>
      <c r="V91" s="47">
        <f t="shared" ca="1" si="48"/>
        <v>7612208.8924559169</v>
      </c>
    </row>
    <row r="92" spans="1:22">
      <c r="A92" s="2">
        <f>'Monthly Data'!A92</f>
        <v>45108</v>
      </c>
      <c r="B92">
        <f>'Monthly Data'!B92</f>
        <v>2023</v>
      </c>
      <c r="C92">
        <f>'Monthly Data'!C92</f>
        <v>7</v>
      </c>
      <c r="D92" s="3">
        <f ca="1">'Monthly Data'!BK92</f>
        <v>7513000.1401849054</v>
      </c>
      <c r="E92" s="3">
        <f t="shared" ref="E92:F92" ca="1" si="104">E80</f>
        <v>8.334479813664597</v>
      </c>
      <c r="F92" s="3">
        <f t="shared" ca="1" si="104"/>
        <v>304.72508692061177</v>
      </c>
      <c r="G92" s="3">
        <f>'Monthly Data'!DQ92</f>
        <v>31</v>
      </c>
      <c r="H92" s="3">
        <f>'Monthly Data'!DD92</f>
        <v>234.3</v>
      </c>
      <c r="I92">
        <f>'Monthly Data'!EJ92</f>
        <v>0</v>
      </c>
      <c r="J92">
        <f>'Monthly Data'!EF92</f>
        <v>0</v>
      </c>
      <c r="L92" s="3">
        <f t="shared" si="72"/>
        <v>-2785699</v>
      </c>
      <c r="M92" s="3">
        <f t="shared" ca="1" si="73"/>
        <v>32717.567253167708</v>
      </c>
      <c r="N92" s="3">
        <f t="shared" ca="1" si="74"/>
        <v>3101217.6820997582</v>
      </c>
      <c r="O92" s="3">
        <f t="shared" si="75"/>
        <v>4932472</v>
      </c>
      <c r="P92" s="3">
        <f t="shared" si="76"/>
        <v>3313622.895</v>
      </c>
      <c r="Q92" s="3">
        <f t="shared" si="77"/>
        <v>0</v>
      </c>
      <c r="R92" s="3">
        <f t="shared" si="78"/>
        <v>0</v>
      </c>
      <c r="S92" s="47">
        <f t="shared" ca="1" si="47"/>
        <v>8594331.1443529259</v>
      </c>
      <c r="T92" s="47">
        <f>'Monthly Data'!BL92</f>
        <v>33973.852307692316</v>
      </c>
      <c r="U92" s="47">
        <f ca="1">+'Monthly Data'!BM92</f>
        <v>25.940801196601132</v>
      </c>
      <c r="V92" s="47">
        <f t="shared" ca="1" si="48"/>
        <v>8628330.9374618139</v>
      </c>
    </row>
    <row r="93" spans="1:22">
      <c r="A93" s="2">
        <f>'Monthly Data'!A93</f>
        <v>45139</v>
      </c>
      <c r="B93">
        <f>'Monthly Data'!B93</f>
        <v>2023</v>
      </c>
      <c r="C93">
        <f>'Monthly Data'!C93</f>
        <v>8</v>
      </c>
      <c r="D93" s="3">
        <f ca="1">'Monthly Data'!BK93</f>
        <v>7248982.599420324</v>
      </c>
      <c r="E93" s="3">
        <f t="shared" ref="E93:F93" ca="1" si="105">E81</f>
        <v>21.054927536231883</v>
      </c>
      <c r="F93" s="3">
        <f t="shared" ca="1" si="105"/>
        <v>275.96017127799735</v>
      </c>
      <c r="G93" s="3">
        <f>'Monthly Data'!DQ93</f>
        <v>31</v>
      </c>
      <c r="H93" s="3">
        <f>'Monthly Data'!DD93</f>
        <v>237</v>
      </c>
      <c r="I93">
        <f>'Monthly Data'!EJ93</f>
        <v>0</v>
      </c>
      <c r="J93">
        <f>'Monthly Data'!EF93</f>
        <v>0</v>
      </c>
      <c r="L93" s="3">
        <f t="shared" si="72"/>
        <v>-2785699</v>
      </c>
      <c r="M93" s="3">
        <f t="shared" ca="1" si="73"/>
        <v>82652.549778550732</v>
      </c>
      <c r="N93" s="3">
        <f t="shared" ca="1" si="74"/>
        <v>2808474.2591133071</v>
      </c>
      <c r="O93" s="3">
        <f t="shared" si="75"/>
        <v>4932472</v>
      </c>
      <c r="P93" s="3">
        <f t="shared" si="76"/>
        <v>3351808.05</v>
      </c>
      <c r="Q93" s="3">
        <f t="shared" si="77"/>
        <v>0</v>
      </c>
      <c r="R93" s="3">
        <f t="shared" si="78"/>
        <v>0</v>
      </c>
      <c r="S93" s="47">
        <f t="shared" ca="1" si="47"/>
        <v>8389707.8588918578</v>
      </c>
      <c r="T93" s="47">
        <f>'Monthly Data'!BL93</f>
        <v>35154.53025641026</v>
      </c>
      <c r="U93" s="47">
        <f ca="1">+'Monthly Data'!BM93</f>
        <v>1924.8074487878578</v>
      </c>
      <c r="V93" s="47">
        <f t="shared" ca="1" si="48"/>
        <v>8426787.1965970565</v>
      </c>
    </row>
    <row r="94" spans="1:22">
      <c r="A94" s="2">
        <f>'Monthly Data'!A94</f>
        <v>45170</v>
      </c>
      <c r="B94">
        <f>'Monthly Data'!B94</f>
        <v>2023</v>
      </c>
      <c r="C94">
        <f>'Monthly Data'!C94</f>
        <v>9</v>
      </c>
      <c r="D94" s="3">
        <f ca="1">'Monthly Data'!BK94</f>
        <v>8534990.1360041276</v>
      </c>
      <c r="E94" s="3">
        <f t="shared" ref="E94:F94" ca="1" si="106">E82</f>
        <v>97.667119565217376</v>
      </c>
      <c r="F94" s="3">
        <f t="shared" ca="1" si="106"/>
        <v>154.9849637681159</v>
      </c>
      <c r="G94" s="3">
        <f>'Monthly Data'!DQ94</f>
        <v>30</v>
      </c>
      <c r="H94" s="3">
        <f>'Monthly Data'!DD94</f>
        <v>236.7</v>
      </c>
      <c r="I94">
        <f>'Monthly Data'!EJ94</f>
        <v>0</v>
      </c>
      <c r="J94">
        <f>'Monthly Data'!EF94</f>
        <v>1</v>
      </c>
      <c r="L94" s="3">
        <f t="shared" si="72"/>
        <v>-2785699</v>
      </c>
      <c r="M94" s="3">
        <f t="shared" ca="1" si="73"/>
        <v>383398.91921739129</v>
      </c>
      <c r="N94" s="3">
        <f t="shared" ca="1" si="74"/>
        <v>1577297.4747644924</v>
      </c>
      <c r="O94" s="3">
        <f t="shared" si="75"/>
        <v>4773360</v>
      </c>
      <c r="P94" s="3">
        <f t="shared" si="76"/>
        <v>3347565.2549999999</v>
      </c>
      <c r="Q94" s="3">
        <f t="shared" si="77"/>
        <v>0</v>
      </c>
      <c r="R94" s="3">
        <f t="shared" si="78"/>
        <v>193962.4</v>
      </c>
      <c r="S94" s="47">
        <f t="shared" ca="1" si="47"/>
        <v>7489885.0489818845</v>
      </c>
      <c r="T94" s="47">
        <f>'Monthly Data'!BL94</f>
        <v>36335.208205128205</v>
      </c>
      <c r="U94" s="47">
        <f ca="1">+'Monthly Data'!BM94</f>
        <v>9876.5277089195552</v>
      </c>
      <c r="V94" s="47">
        <f t="shared" ca="1" si="48"/>
        <v>7536096.7848959323</v>
      </c>
    </row>
    <row r="95" spans="1:22">
      <c r="A95" s="2">
        <f>'Monthly Data'!A95</f>
        <v>45200</v>
      </c>
      <c r="B95">
        <f>'Monthly Data'!B95</f>
        <v>2023</v>
      </c>
      <c r="C95">
        <f>'Monthly Data'!C95</f>
        <v>10</v>
      </c>
      <c r="D95" s="3">
        <f ca="1">'Monthly Data'!BK95</f>
        <v>8387381.0514955521</v>
      </c>
      <c r="E95" s="3">
        <f t="shared" ref="E95:F95" ca="1" si="107">E83</f>
        <v>292.46431159420291</v>
      </c>
      <c r="F95" s="3">
        <f t="shared" ca="1" si="107"/>
        <v>38.347916666666663</v>
      </c>
      <c r="G95" s="3">
        <f>'Monthly Data'!DQ95</f>
        <v>31</v>
      </c>
      <c r="H95" s="3">
        <f>'Monthly Data'!DD95</f>
        <v>235.3</v>
      </c>
      <c r="I95">
        <f>'Monthly Data'!EJ95</f>
        <v>0</v>
      </c>
      <c r="J95">
        <f>'Monthly Data'!EF95</f>
        <v>1</v>
      </c>
      <c r="L95" s="3">
        <f t="shared" si="72"/>
        <v>-2785699</v>
      </c>
      <c r="M95" s="3">
        <f t="shared" ca="1" si="73"/>
        <v>1148088.542736232</v>
      </c>
      <c r="N95" s="3">
        <f t="shared" ca="1" si="74"/>
        <v>390270.58270833333</v>
      </c>
      <c r="O95" s="3">
        <f t="shared" si="75"/>
        <v>4932472</v>
      </c>
      <c r="P95" s="3">
        <f t="shared" si="76"/>
        <v>3327765.5449999999</v>
      </c>
      <c r="Q95" s="3">
        <f t="shared" si="77"/>
        <v>0</v>
      </c>
      <c r="R95" s="3">
        <f t="shared" si="78"/>
        <v>193962.4</v>
      </c>
      <c r="S95" s="47">
        <f t="shared" ca="1" si="47"/>
        <v>7206860.0704445653</v>
      </c>
      <c r="T95" s="47">
        <f>'Monthly Data'!BL95</f>
        <v>37515.886153846157</v>
      </c>
      <c r="U95" s="47">
        <f ca="1">+'Monthly Data'!BM95</f>
        <v>42989.960436381836</v>
      </c>
      <c r="V95" s="47">
        <f t="shared" ca="1" si="48"/>
        <v>7287365.9170347927</v>
      </c>
    </row>
    <row r="96" spans="1:22">
      <c r="A96" s="2">
        <f>'Monthly Data'!A96</f>
        <v>45231</v>
      </c>
      <c r="B96">
        <f>'Monthly Data'!B96</f>
        <v>2023</v>
      </c>
      <c r="C96">
        <f>'Monthly Data'!C96</f>
        <v>11</v>
      </c>
      <c r="D96" s="3">
        <f ca="1">'Monthly Data'!BK96</f>
        <v>6975082.2624527905</v>
      </c>
      <c r="E96" s="3">
        <f t="shared" ref="E96:F96" ca="1" si="108">E84</f>
        <v>495.51408055712409</v>
      </c>
      <c r="F96" s="3">
        <f t="shared" ca="1" si="108"/>
        <v>1.9241666666666659</v>
      </c>
      <c r="G96" s="3">
        <f>'Monthly Data'!DQ96</f>
        <v>30</v>
      </c>
      <c r="H96" s="3">
        <f>'Monthly Data'!DD96</f>
        <v>236.9</v>
      </c>
      <c r="I96">
        <f>'Monthly Data'!EJ96</f>
        <v>0</v>
      </c>
      <c r="J96">
        <f>'Monthly Data'!EF96</f>
        <v>1</v>
      </c>
      <c r="L96" s="3">
        <f t="shared" si="72"/>
        <v>-2785699</v>
      </c>
      <c r="M96" s="3">
        <f t="shared" ca="1" si="73"/>
        <v>1945174.2181844686</v>
      </c>
      <c r="N96" s="3">
        <f t="shared" ca="1" si="74"/>
        <v>19582.436583333325</v>
      </c>
      <c r="O96" s="3">
        <f t="shared" si="75"/>
        <v>4773360</v>
      </c>
      <c r="P96" s="3">
        <f t="shared" si="76"/>
        <v>3350393.7850000001</v>
      </c>
      <c r="Q96" s="3">
        <f t="shared" si="77"/>
        <v>0</v>
      </c>
      <c r="R96" s="3">
        <f t="shared" si="78"/>
        <v>193962.4</v>
      </c>
      <c r="S96" s="47">
        <f t="shared" ref="S96:S109" ca="1" si="109">SUM(L96:R96)</f>
        <v>7496773.8397678025</v>
      </c>
      <c r="T96" s="47">
        <f>'Monthly Data'!BL96</f>
        <v>38696.564102564109</v>
      </c>
      <c r="U96" s="47">
        <f ca="1">+'Monthly Data'!BM96</f>
        <v>93509.971529676404</v>
      </c>
      <c r="V96" s="47">
        <f t="shared" ca="1" si="48"/>
        <v>7628980.3754000431</v>
      </c>
    </row>
    <row r="97" spans="1:22">
      <c r="A97" s="2">
        <f>'Monthly Data'!A97</f>
        <v>45261</v>
      </c>
      <c r="B97">
        <f>'Monthly Data'!B97</f>
        <v>2023</v>
      </c>
      <c r="C97">
        <f>'Monthly Data'!C97</f>
        <v>12</v>
      </c>
      <c r="D97" s="3">
        <f ca="1">'Monthly Data'!BK97</f>
        <v>7297574.1161209811</v>
      </c>
      <c r="E97" s="3">
        <f t="shared" ref="E97:F97" ca="1" si="110">E85</f>
        <v>664.38541666666663</v>
      </c>
      <c r="F97" s="3">
        <f t="shared" ca="1" si="110"/>
        <v>0</v>
      </c>
      <c r="G97" s="3">
        <f>'Monthly Data'!DQ97</f>
        <v>31</v>
      </c>
      <c r="H97" s="3">
        <f>'Monthly Data'!DD97</f>
        <v>239.3</v>
      </c>
      <c r="I97">
        <f>'Monthly Data'!EJ97</f>
        <v>0</v>
      </c>
      <c r="J97">
        <f>'Monthly Data'!EF97</f>
        <v>0</v>
      </c>
      <c r="L97" s="3">
        <f t="shared" si="72"/>
        <v>-2785699</v>
      </c>
      <c r="M97" s="3">
        <f t="shared" ca="1" si="73"/>
        <v>2608090.1313333334</v>
      </c>
      <c r="N97" s="3">
        <f t="shared" ca="1" si="74"/>
        <v>0</v>
      </c>
      <c r="O97" s="3">
        <f t="shared" si="75"/>
        <v>4932472</v>
      </c>
      <c r="P97" s="3">
        <f t="shared" si="76"/>
        <v>3384336.145</v>
      </c>
      <c r="Q97" s="3">
        <f t="shared" si="77"/>
        <v>0</v>
      </c>
      <c r="R97" s="3">
        <f t="shared" si="78"/>
        <v>0</v>
      </c>
      <c r="S97" s="47">
        <f t="shared" ca="1" si="109"/>
        <v>8139199.2763333339</v>
      </c>
      <c r="T97" s="47">
        <f>'Monthly Data'!BL97</f>
        <v>39877.242051282054</v>
      </c>
      <c r="U97" s="47">
        <f ca="1">+'Monthly Data'!BM97</f>
        <v>101621.35930094139</v>
      </c>
      <c r="V97" s="47">
        <f t="shared" ca="1" si="48"/>
        <v>8280697.8776855571</v>
      </c>
    </row>
    <row r="98" spans="1:22">
      <c r="A98" s="2">
        <f>'Monthly Data'!A98</f>
        <v>45292</v>
      </c>
      <c r="B98">
        <f>'Monthly Data'!B98</f>
        <v>2024</v>
      </c>
      <c r="C98">
        <f>'Monthly Data'!C98</f>
        <v>1</v>
      </c>
      <c r="D98" s="3">
        <f ca="1">'Monthly Data'!BK98</f>
        <v>8325769.1627903711</v>
      </c>
      <c r="E98" s="3">
        <f t="shared" ref="E98:F98" ca="1" si="111">E86</f>
        <v>752.78750000000002</v>
      </c>
      <c r="F98" s="3">
        <f t="shared" ca="1" si="111"/>
        <v>0</v>
      </c>
      <c r="G98" s="3">
        <f>'Monthly Data'!DQ98</f>
        <v>31</v>
      </c>
      <c r="H98" s="3">
        <f>'Monthly Data'!DD98</f>
        <v>241.4</v>
      </c>
      <c r="I98">
        <f>'Monthly Data'!EJ98</f>
        <v>0</v>
      </c>
      <c r="J98">
        <f>'Monthly Data'!EF98</f>
        <v>0</v>
      </c>
      <c r="L98" s="3">
        <f t="shared" ref="L98:L129" si="112">$Z$8</f>
        <v>-2785699</v>
      </c>
      <c r="M98" s="3">
        <f t="shared" ref="M98:M129" ca="1" si="113">E98*$Z$9</f>
        <v>2955118.5208000001</v>
      </c>
      <c r="N98" s="3">
        <f t="shared" ref="N98:N129" ca="1" si="114">F98*$Z$10</f>
        <v>0</v>
      </c>
      <c r="O98" s="3">
        <f t="shared" ref="O98:O129" si="115">G98*$Z$11</f>
        <v>4932472</v>
      </c>
      <c r="P98" s="3">
        <f t="shared" ref="P98:P129" si="116">H98*$Z$12</f>
        <v>3414035.71</v>
      </c>
      <c r="Q98" s="3">
        <f t="shared" ref="Q98:Q129" si="117">I98*$Z$13</f>
        <v>0</v>
      </c>
      <c r="R98" s="3">
        <f t="shared" ref="R98:R129" si="118">J98*$Z$14</f>
        <v>0</v>
      </c>
      <c r="S98" s="47">
        <f t="shared" ca="1" si="109"/>
        <v>8515927.2307999991</v>
      </c>
      <c r="T98" s="47">
        <f>'Monthly Data'!BL98</f>
        <v>43015.351282051284</v>
      </c>
      <c r="U98" s="47">
        <f ca="1">+'Monthly Data'!BM98</f>
        <v>170228.98663334688</v>
      </c>
      <c r="V98" s="47">
        <f t="shared" ca="1" si="48"/>
        <v>8729171.5687153973</v>
      </c>
    </row>
    <row r="99" spans="1:22">
      <c r="A99" s="2">
        <f>'Monthly Data'!A99</f>
        <v>45323</v>
      </c>
      <c r="B99">
        <f>'Monthly Data'!B99</f>
        <v>2024</v>
      </c>
      <c r="C99">
        <f>'Monthly Data'!C99</f>
        <v>2</v>
      </c>
      <c r="D99" s="3">
        <f ca="1">'Monthly Data'!BK99</f>
        <v>7123750.3193476247</v>
      </c>
      <c r="E99" s="3">
        <f t="shared" ref="E99:F99" ca="1" si="119">E87</f>
        <v>660.7954166666666</v>
      </c>
      <c r="F99" s="3">
        <f t="shared" ca="1" si="119"/>
        <v>0</v>
      </c>
      <c r="G99" s="3">
        <f>'Monthly Data'!DQ99</f>
        <v>29</v>
      </c>
      <c r="H99" s="3">
        <f>'Monthly Data'!DD99</f>
        <v>242.5</v>
      </c>
      <c r="I99">
        <f>'Monthly Data'!EJ99</f>
        <v>0</v>
      </c>
      <c r="J99">
        <f>'Monthly Data'!EF99</f>
        <v>0</v>
      </c>
      <c r="L99" s="3">
        <f t="shared" si="112"/>
        <v>-2785699</v>
      </c>
      <c r="M99" s="3">
        <f t="shared" ca="1" si="113"/>
        <v>2593997.3422133331</v>
      </c>
      <c r="N99" s="3">
        <f t="shared" ca="1" si="114"/>
        <v>0</v>
      </c>
      <c r="O99" s="3">
        <f t="shared" si="115"/>
        <v>4614248</v>
      </c>
      <c r="P99" s="3">
        <f t="shared" si="116"/>
        <v>3429592.625</v>
      </c>
      <c r="Q99" s="3">
        <f t="shared" si="117"/>
        <v>0</v>
      </c>
      <c r="R99" s="3">
        <f t="shared" si="118"/>
        <v>0</v>
      </c>
      <c r="S99" s="47">
        <f t="shared" ca="1" si="109"/>
        <v>7852138.9672133327</v>
      </c>
      <c r="T99" s="47">
        <f>'Monthly Data'!BL99</f>
        <v>44972.78256410257</v>
      </c>
      <c r="U99" s="47">
        <f ca="1">+'Monthly Data'!BM99</f>
        <v>145100.89486564341</v>
      </c>
      <c r="V99" s="47">
        <f t="shared" ca="1" si="48"/>
        <v>8042212.6446430786</v>
      </c>
    </row>
    <row r="100" spans="1:22">
      <c r="A100" s="2">
        <f>'Monthly Data'!A100</f>
        <v>45352</v>
      </c>
      <c r="B100">
        <f>'Monthly Data'!B100</f>
        <v>2024</v>
      </c>
      <c r="C100">
        <f>'Monthly Data'!C100</f>
        <v>3</v>
      </c>
      <c r="D100" s="3">
        <f ca="1">'Monthly Data'!BK100</f>
        <v>7110362.5255698962</v>
      </c>
      <c r="E100" s="3">
        <f t="shared" ref="E100:F100" ca="1" si="120">E88</f>
        <v>596.21590579710141</v>
      </c>
      <c r="F100" s="3">
        <f t="shared" ca="1" si="120"/>
        <v>2.9583333333332896E-2</v>
      </c>
      <c r="G100" s="3">
        <f>'Monthly Data'!DQ100</f>
        <v>31</v>
      </c>
      <c r="H100" s="3">
        <f>'Monthly Data'!DD100</f>
        <v>243.6</v>
      </c>
      <c r="I100">
        <f>'Monthly Data'!EJ100</f>
        <v>0</v>
      </c>
      <c r="J100">
        <f>'Monthly Data'!EF100</f>
        <v>0</v>
      </c>
      <c r="L100" s="3">
        <f t="shared" si="112"/>
        <v>-2785699</v>
      </c>
      <c r="M100" s="3">
        <f t="shared" ca="1" si="113"/>
        <v>2340486.0808881158</v>
      </c>
      <c r="N100" s="3">
        <f t="shared" ca="1" si="114"/>
        <v>301.07254166666223</v>
      </c>
      <c r="O100" s="3">
        <f t="shared" si="115"/>
        <v>4932472</v>
      </c>
      <c r="P100" s="3">
        <f t="shared" si="116"/>
        <v>3445149.54</v>
      </c>
      <c r="Q100" s="3">
        <f t="shared" si="117"/>
        <v>0</v>
      </c>
      <c r="R100" s="3">
        <f t="shared" si="118"/>
        <v>0</v>
      </c>
      <c r="S100" s="47">
        <f t="shared" ca="1" si="109"/>
        <v>7932709.6934297821</v>
      </c>
      <c r="T100" s="47">
        <f>'Monthly Data'!BL100</f>
        <v>46930.213846153856</v>
      </c>
      <c r="U100" s="47">
        <f ca="1">+'Monthly Data'!BM100</f>
        <v>122959.17887323044</v>
      </c>
      <c r="V100" s="47">
        <f t="shared" ca="1" si="48"/>
        <v>8102599.0861491663</v>
      </c>
    </row>
    <row r="101" spans="1:22">
      <c r="A101" s="2">
        <f>'Monthly Data'!A101</f>
        <v>45383</v>
      </c>
      <c r="B101">
        <f>'Monthly Data'!B101</f>
        <v>2024</v>
      </c>
      <c r="C101">
        <f>'Monthly Data'!C101</f>
        <v>4</v>
      </c>
      <c r="D101" s="3">
        <f ca="1">'Monthly Data'!BK101</f>
        <v>6544481.1552796438</v>
      </c>
      <c r="E101" s="3">
        <f t="shared" ref="E101:F101" ca="1" si="121">E89</f>
        <v>412.8885416666667</v>
      </c>
      <c r="F101" s="3">
        <f t="shared" ca="1" si="121"/>
        <v>6.0095833333333344</v>
      </c>
      <c r="G101" s="3">
        <f>'Monthly Data'!DQ101</f>
        <v>30</v>
      </c>
      <c r="H101" s="3">
        <f>'Monthly Data'!DD101</f>
        <v>247</v>
      </c>
      <c r="I101">
        <f>'Monthly Data'!EJ101</f>
        <v>0</v>
      </c>
      <c r="J101">
        <f>'Monthly Data'!EF101</f>
        <v>0</v>
      </c>
      <c r="L101" s="3">
        <f t="shared" si="112"/>
        <v>-2785699</v>
      </c>
      <c r="M101" s="3">
        <f t="shared" ca="1" si="113"/>
        <v>1620822.0467333335</v>
      </c>
      <c r="N101" s="3">
        <f t="shared" ca="1" si="114"/>
        <v>61160.13054166668</v>
      </c>
      <c r="O101" s="3">
        <f t="shared" si="115"/>
        <v>4773360</v>
      </c>
      <c r="P101" s="3">
        <f t="shared" si="116"/>
        <v>3493234.55</v>
      </c>
      <c r="Q101" s="3">
        <f t="shared" si="117"/>
        <v>0</v>
      </c>
      <c r="R101" s="3">
        <f t="shared" si="118"/>
        <v>0</v>
      </c>
      <c r="S101" s="47">
        <f t="shared" ca="1" si="109"/>
        <v>7162877.727275</v>
      </c>
      <c r="T101" s="47">
        <f>'Monthly Data'!BL101</f>
        <v>48887.645128205135</v>
      </c>
      <c r="U101" s="47">
        <f ca="1">+'Monthly Data'!BM101</f>
        <v>82388.673817079427</v>
      </c>
      <c r="V101" s="47">
        <f t="shared" ca="1" si="48"/>
        <v>7294154.0462202849</v>
      </c>
    </row>
    <row r="102" spans="1:22">
      <c r="A102" s="2">
        <f>'Monthly Data'!A102</f>
        <v>45413</v>
      </c>
      <c r="B102">
        <f>'Monthly Data'!B102</f>
        <v>2024</v>
      </c>
      <c r="C102">
        <f>'Monthly Data'!C102</f>
        <v>5</v>
      </c>
      <c r="D102" s="3">
        <f ca="1">'Monthly Data'!BK102</f>
        <v>6961687.9237786168</v>
      </c>
      <c r="E102" s="3">
        <f t="shared" ref="E102:F102" ca="1" si="122">E90</f>
        <v>208.90012508544086</v>
      </c>
      <c r="F102" s="3">
        <f t="shared" ca="1" si="122"/>
        <v>81.50872474747473</v>
      </c>
      <c r="G102" s="3">
        <f>'Monthly Data'!DQ102</f>
        <v>31</v>
      </c>
      <c r="H102" s="3">
        <f>'Monthly Data'!DD102</f>
        <v>248.1</v>
      </c>
      <c r="I102">
        <f>'Monthly Data'!EJ102</f>
        <v>0</v>
      </c>
      <c r="J102">
        <f>'Monthly Data'!EF102</f>
        <v>0</v>
      </c>
      <c r="L102" s="3">
        <f t="shared" si="112"/>
        <v>-2785699</v>
      </c>
      <c r="M102" s="3">
        <f t="shared" ca="1" si="113"/>
        <v>820051.64623140392</v>
      </c>
      <c r="N102" s="3">
        <f t="shared" ca="1" si="114"/>
        <v>829522.44262752507</v>
      </c>
      <c r="O102" s="3">
        <f t="shared" si="115"/>
        <v>4932472</v>
      </c>
      <c r="P102" s="3">
        <f t="shared" si="116"/>
        <v>3508791.4649999999</v>
      </c>
      <c r="Q102" s="3">
        <f t="shared" si="117"/>
        <v>0</v>
      </c>
      <c r="R102" s="3">
        <f t="shared" si="118"/>
        <v>0</v>
      </c>
      <c r="S102" s="47">
        <f t="shared" ca="1" si="109"/>
        <v>7305138.5538589284</v>
      </c>
      <c r="T102" s="47">
        <f>'Monthly Data'!BL102</f>
        <v>50845.076410256414</v>
      </c>
      <c r="U102" s="47">
        <f ca="1">+'Monthly Data'!BM102</f>
        <v>23925.524341411987</v>
      </c>
      <c r="V102" s="47">
        <f t="shared" ca="1" si="48"/>
        <v>7379909.1546105966</v>
      </c>
    </row>
    <row r="103" spans="1:22">
      <c r="A103" s="2">
        <f>'Monthly Data'!A103</f>
        <v>45444</v>
      </c>
      <c r="B103">
        <f>'Monthly Data'!B103</f>
        <v>2024</v>
      </c>
      <c r="C103">
        <f>'Monthly Data'!C103</f>
        <v>6</v>
      </c>
      <c r="D103" s="3">
        <f ca="1">'Monthly Data'!BK103</f>
        <v>7419767.5397163788</v>
      </c>
      <c r="E103" s="3">
        <f t="shared" ref="E103:F103" ca="1" si="123">E91</f>
        <v>61.78217382617381</v>
      </c>
      <c r="F103" s="3">
        <f t="shared" ca="1" si="123"/>
        <v>202.3599342107168</v>
      </c>
      <c r="G103" s="3">
        <f>'Monthly Data'!DQ103</f>
        <v>30</v>
      </c>
      <c r="H103" s="3">
        <f>'Monthly Data'!DD103</f>
        <v>246.6</v>
      </c>
      <c r="I103">
        <f>'Monthly Data'!EJ103</f>
        <v>0</v>
      </c>
      <c r="J103">
        <f>'Monthly Data'!EF103</f>
        <v>0</v>
      </c>
      <c r="L103" s="3">
        <f t="shared" si="112"/>
        <v>-2785699</v>
      </c>
      <c r="M103" s="3">
        <f t="shared" ca="1" si="113"/>
        <v>242530.12454246549</v>
      </c>
      <c r="N103" s="3">
        <f t="shared" ca="1" si="114"/>
        <v>2059437.286455886</v>
      </c>
      <c r="O103" s="3">
        <f t="shared" si="115"/>
        <v>4773360</v>
      </c>
      <c r="P103" s="3">
        <f t="shared" si="116"/>
        <v>3487577.4899999998</v>
      </c>
      <c r="Q103" s="3">
        <f t="shared" si="117"/>
        <v>0</v>
      </c>
      <c r="R103" s="3">
        <f t="shared" si="118"/>
        <v>0</v>
      </c>
      <c r="S103" s="47">
        <f t="shared" ca="1" si="109"/>
        <v>7777205.9009983521</v>
      </c>
      <c r="T103" s="47">
        <f>'Monthly Data'!BL103</f>
        <v>52802.507692307699</v>
      </c>
      <c r="U103" s="47">
        <f ca="1">+'Monthly Data'!BM103</f>
        <v>8436.9012861208448</v>
      </c>
      <c r="V103" s="47">
        <f t="shared" ca="1" si="48"/>
        <v>7838445.3099767799</v>
      </c>
    </row>
    <row r="104" spans="1:22">
      <c r="A104" s="2">
        <f>'Monthly Data'!A104</f>
        <v>45474</v>
      </c>
      <c r="B104">
        <f>'Monthly Data'!B104</f>
        <v>2024</v>
      </c>
      <c r="C104">
        <f>'Monthly Data'!C104</f>
        <v>7</v>
      </c>
      <c r="D104" s="3">
        <f ca="1">'Monthly Data'!BK104</f>
        <v>9087999.898645319</v>
      </c>
      <c r="E104" s="3">
        <f t="shared" ref="E104:F104" ca="1" si="124">E92</f>
        <v>8.334479813664597</v>
      </c>
      <c r="F104" s="3">
        <f t="shared" ca="1" si="124"/>
        <v>304.72508692061177</v>
      </c>
      <c r="G104" s="3">
        <f>'Monthly Data'!DQ104</f>
        <v>31</v>
      </c>
      <c r="H104" s="3">
        <f>'Monthly Data'!DD104</f>
        <v>242.6</v>
      </c>
      <c r="I104">
        <f>'Monthly Data'!EJ104</f>
        <v>0</v>
      </c>
      <c r="J104">
        <f>'Monthly Data'!EF104</f>
        <v>0</v>
      </c>
      <c r="L104" s="3">
        <f t="shared" si="112"/>
        <v>-2785699</v>
      </c>
      <c r="M104" s="3">
        <f t="shared" ca="1" si="113"/>
        <v>32717.567253167708</v>
      </c>
      <c r="N104" s="3">
        <f t="shared" ca="1" si="114"/>
        <v>3101217.6820997582</v>
      </c>
      <c r="O104" s="3">
        <f t="shared" si="115"/>
        <v>4932472</v>
      </c>
      <c r="P104" s="3">
        <f t="shared" si="116"/>
        <v>3431006.8899999997</v>
      </c>
      <c r="Q104" s="3">
        <f t="shared" si="117"/>
        <v>0</v>
      </c>
      <c r="R104" s="3">
        <f t="shared" si="118"/>
        <v>0</v>
      </c>
      <c r="S104" s="47">
        <f t="shared" ca="1" si="109"/>
        <v>8711715.1393529251</v>
      </c>
      <c r="T104" s="47">
        <f>'Monthly Data'!BL104</f>
        <v>54759.938974358978</v>
      </c>
      <c r="U104" s="47">
        <f ca="1">+'Monthly Data'!BM104</f>
        <v>87.965580256506854</v>
      </c>
      <c r="V104" s="47">
        <f t="shared" ca="1" si="48"/>
        <v>8766563.0439075399</v>
      </c>
    </row>
    <row r="105" spans="1:22">
      <c r="A105" s="2">
        <f>'Monthly Data'!A105</f>
        <v>45505</v>
      </c>
      <c r="B105">
        <f>'Monthly Data'!B105</f>
        <v>2024</v>
      </c>
      <c r="C105">
        <f>'Monthly Data'!C105</f>
        <v>8</v>
      </c>
      <c r="D105" s="3">
        <f ca="1">'Monthly Data'!BK105</f>
        <v>7748010.6502731862</v>
      </c>
      <c r="E105" s="3">
        <f t="shared" ref="E105:F105" ca="1" si="125">E93</f>
        <v>21.054927536231883</v>
      </c>
      <c r="F105" s="3">
        <f t="shared" ca="1" si="125"/>
        <v>275.96017127799735</v>
      </c>
      <c r="G105" s="3">
        <f>'Monthly Data'!DQ105</f>
        <v>31</v>
      </c>
      <c r="H105" s="3">
        <f>'Monthly Data'!DD105</f>
        <v>239.3</v>
      </c>
      <c r="I105">
        <f>'Monthly Data'!EJ105</f>
        <v>0</v>
      </c>
      <c r="J105">
        <f>'Monthly Data'!EF105</f>
        <v>0</v>
      </c>
      <c r="L105" s="3">
        <f t="shared" si="112"/>
        <v>-2785699</v>
      </c>
      <c r="M105" s="3">
        <f t="shared" ca="1" si="113"/>
        <v>82652.549778550732</v>
      </c>
      <c r="N105" s="3">
        <f t="shared" ca="1" si="114"/>
        <v>2808474.2591133071</v>
      </c>
      <c r="O105" s="3">
        <f t="shared" si="115"/>
        <v>4932472</v>
      </c>
      <c r="P105" s="3">
        <f t="shared" si="116"/>
        <v>3384336.145</v>
      </c>
      <c r="Q105" s="3">
        <f t="shared" si="117"/>
        <v>0</v>
      </c>
      <c r="R105" s="3">
        <f t="shared" si="118"/>
        <v>0</v>
      </c>
      <c r="S105" s="47">
        <f t="shared" ca="1" si="109"/>
        <v>8422235.9538918585</v>
      </c>
      <c r="T105" s="47">
        <f>'Monthly Data'!BL105</f>
        <v>56717.370256410264</v>
      </c>
      <c r="U105" s="47">
        <f ca="1">+'Monthly Data'!BM105</f>
        <v>2200.2529947703338</v>
      </c>
      <c r="V105" s="47">
        <f t="shared" ca="1" si="48"/>
        <v>8481153.5771430396</v>
      </c>
    </row>
    <row r="106" spans="1:22">
      <c r="A106" s="2">
        <f>'Monthly Data'!A106</f>
        <v>45536</v>
      </c>
      <c r="B106">
        <f>'Monthly Data'!B106</f>
        <v>2024</v>
      </c>
      <c r="C106">
        <f>'Monthly Data'!C106</f>
        <v>9</v>
      </c>
      <c r="D106" s="3">
        <f ca="1">'Monthly Data'!BK106</f>
        <v>6968601.0377719486</v>
      </c>
      <c r="E106" s="3">
        <f t="shared" ref="E106:F106" ca="1" si="126">E94</f>
        <v>97.667119565217376</v>
      </c>
      <c r="F106" s="3">
        <f t="shared" ca="1" si="126"/>
        <v>154.9849637681159</v>
      </c>
      <c r="G106" s="3">
        <f>'Monthly Data'!DQ106</f>
        <v>30</v>
      </c>
      <c r="H106" s="3">
        <f>'Monthly Data'!DD106</f>
        <v>239.6</v>
      </c>
      <c r="I106">
        <f>'Monthly Data'!EJ106</f>
        <v>0</v>
      </c>
      <c r="J106">
        <f>'Monthly Data'!EF106</f>
        <v>1</v>
      </c>
      <c r="L106" s="3">
        <f t="shared" si="112"/>
        <v>-2785699</v>
      </c>
      <c r="M106" s="3">
        <f t="shared" ca="1" si="113"/>
        <v>383398.91921739129</v>
      </c>
      <c r="N106" s="3">
        <f t="shared" ca="1" si="114"/>
        <v>1577297.4747644924</v>
      </c>
      <c r="O106" s="3">
        <f t="shared" si="115"/>
        <v>4773360</v>
      </c>
      <c r="P106" s="3">
        <f t="shared" si="116"/>
        <v>3388578.94</v>
      </c>
      <c r="Q106" s="3">
        <f t="shared" si="117"/>
        <v>0</v>
      </c>
      <c r="R106" s="3">
        <f t="shared" si="118"/>
        <v>193962.4</v>
      </c>
      <c r="S106" s="47">
        <f t="shared" ca="1" si="109"/>
        <v>7530898.7339818841</v>
      </c>
      <c r="T106" s="47">
        <f>'Monthly Data'!BL106</f>
        <v>58674.801538461543</v>
      </c>
      <c r="U106" s="47">
        <f ca="1">+'Monthly Data'!BM106</f>
        <v>7847.8659449095594</v>
      </c>
      <c r="V106" s="47">
        <f t="shared" ca="1" si="48"/>
        <v>7597421.4014652558</v>
      </c>
    </row>
    <row r="107" spans="1:22">
      <c r="A107" s="2">
        <f>'Monthly Data'!A107</f>
        <v>45566</v>
      </c>
      <c r="B107">
        <f>'Monthly Data'!B107</f>
        <v>2024</v>
      </c>
      <c r="C107">
        <f>'Monthly Data'!C107</f>
        <v>10</v>
      </c>
      <c r="D107" s="3">
        <f ca="1">'Monthly Data'!BK107</f>
        <v>6662228.7098549902</v>
      </c>
      <c r="E107" s="3">
        <f t="shared" ref="E107:F107" ca="1" si="127">E95</f>
        <v>292.46431159420291</v>
      </c>
      <c r="F107" s="3">
        <f t="shared" ca="1" si="127"/>
        <v>38.347916666666663</v>
      </c>
      <c r="G107" s="3">
        <f>'Monthly Data'!DQ107</f>
        <v>31</v>
      </c>
      <c r="H107" s="3">
        <f>'Monthly Data'!DD107</f>
        <v>240.3</v>
      </c>
      <c r="I107">
        <f>'Monthly Data'!EJ107</f>
        <v>0</v>
      </c>
      <c r="J107">
        <f>'Monthly Data'!EF107</f>
        <v>1</v>
      </c>
      <c r="L107" s="3">
        <f t="shared" si="112"/>
        <v>-2785699</v>
      </c>
      <c r="M107" s="3">
        <f t="shared" ca="1" si="113"/>
        <v>1148088.542736232</v>
      </c>
      <c r="N107" s="3">
        <f t="shared" ca="1" si="114"/>
        <v>390270.58270833333</v>
      </c>
      <c r="O107" s="3">
        <f t="shared" si="115"/>
        <v>4932472</v>
      </c>
      <c r="P107" s="3">
        <f t="shared" si="116"/>
        <v>3398478.7949999999</v>
      </c>
      <c r="Q107" s="3">
        <f t="shared" si="117"/>
        <v>0</v>
      </c>
      <c r="R107" s="3">
        <f t="shared" si="118"/>
        <v>193962.4</v>
      </c>
      <c r="S107" s="47">
        <f t="shared" ca="1" si="109"/>
        <v>7277573.3204445653</v>
      </c>
      <c r="T107" s="47">
        <f>'Monthly Data'!BL107</f>
        <v>60632.232820512829</v>
      </c>
      <c r="U107" s="47">
        <f ca="1">+'Monthly Data'!BM107</f>
        <v>62517.91733014927</v>
      </c>
      <c r="V107" s="47">
        <f t="shared" ref="V107:V170" ca="1" si="128">S107+T107+U107</f>
        <v>7400723.4705952276</v>
      </c>
    </row>
    <row r="108" spans="1:22">
      <c r="A108" s="2">
        <f>'Monthly Data'!A108</f>
        <v>45597</v>
      </c>
      <c r="B108">
        <f>'Monthly Data'!B108</f>
        <v>2024</v>
      </c>
      <c r="C108">
        <f>'Monthly Data'!C108</f>
        <v>11</v>
      </c>
      <c r="D108" s="3">
        <f ca="1">'Monthly Data'!BK108</f>
        <v>6722344.8147739833</v>
      </c>
      <c r="E108" s="3">
        <f t="shared" ref="E108:F108" ca="1" si="129">E96</f>
        <v>495.51408055712409</v>
      </c>
      <c r="F108" s="3">
        <f t="shared" ca="1" si="129"/>
        <v>1.9241666666666659</v>
      </c>
      <c r="G108" s="3">
        <f>'Monthly Data'!DQ108</f>
        <v>30</v>
      </c>
      <c r="H108" s="3">
        <f>'Monthly Data'!DD108</f>
        <v>239.1</v>
      </c>
      <c r="I108">
        <f>'Monthly Data'!EJ108</f>
        <v>0</v>
      </c>
      <c r="J108">
        <f>'Monthly Data'!EF108</f>
        <v>1</v>
      </c>
      <c r="L108" s="3">
        <f t="shared" si="112"/>
        <v>-2785699</v>
      </c>
      <c r="M108" s="3">
        <f t="shared" ca="1" si="113"/>
        <v>1945174.2181844686</v>
      </c>
      <c r="N108" s="3">
        <f t="shared" ca="1" si="114"/>
        <v>19582.436583333325</v>
      </c>
      <c r="O108" s="3">
        <f t="shared" si="115"/>
        <v>4773360</v>
      </c>
      <c r="P108" s="3">
        <f t="shared" si="116"/>
        <v>3381507.6149999998</v>
      </c>
      <c r="Q108" s="3">
        <f t="shared" si="117"/>
        <v>0</v>
      </c>
      <c r="R108" s="3">
        <f t="shared" si="118"/>
        <v>193962.4</v>
      </c>
      <c r="S108" s="47">
        <f t="shared" ca="1" si="109"/>
        <v>7527887.6697678026</v>
      </c>
      <c r="T108" s="47">
        <f>'Monthly Data'!BL108</f>
        <v>62589.664102564107</v>
      </c>
      <c r="U108" s="47">
        <f ca="1">+'Monthly Data'!BM108</f>
        <v>97886.761523410809</v>
      </c>
      <c r="V108" s="47">
        <f t="shared" ca="1" si="128"/>
        <v>7688364.0953937778</v>
      </c>
    </row>
    <row r="109" spans="1:22">
      <c r="A109" s="2">
        <f>'Monthly Data'!A109</f>
        <v>45627</v>
      </c>
      <c r="B109">
        <f>'Monthly Data'!B109</f>
        <v>2024</v>
      </c>
      <c r="C109">
        <f>'Monthly Data'!C109</f>
        <v>12</v>
      </c>
      <c r="D109" s="3">
        <f ca="1">'Monthly Data'!BK109</f>
        <v>7678119.538844008</v>
      </c>
      <c r="E109" s="3">
        <f t="shared" ref="E109:F109" ca="1" si="130">E97</f>
        <v>664.38541666666663</v>
      </c>
      <c r="F109" s="3">
        <f t="shared" ca="1" si="130"/>
        <v>0</v>
      </c>
      <c r="G109" s="3">
        <f>'Monthly Data'!DQ109</f>
        <v>31</v>
      </c>
      <c r="H109" s="3">
        <f>'Monthly Data'!DD109</f>
        <v>238.2</v>
      </c>
      <c r="I109">
        <f>'Monthly Data'!EJ109</f>
        <v>0</v>
      </c>
      <c r="J109">
        <f>'Monthly Data'!EF109</f>
        <v>0</v>
      </c>
      <c r="L109" s="3">
        <f t="shared" si="112"/>
        <v>-2785699</v>
      </c>
      <c r="M109" s="3">
        <f t="shared" ca="1" si="113"/>
        <v>2608090.1313333334</v>
      </c>
      <c r="N109" s="3">
        <f t="shared" ca="1" si="114"/>
        <v>0</v>
      </c>
      <c r="O109" s="3">
        <f t="shared" si="115"/>
        <v>4932472</v>
      </c>
      <c r="P109" s="3">
        <f t="shared" si="116"/>
        <v>3368779.23</v>
      </c>
      <c r="Q109" s="3">
        <f t="shared" si="117"/>
        <v>0</v>
      </c>
      <c r="R109" s="3">
        <f t="shared" si="118"/>
        <v>0</v>
      </c>
      <c r="S109" s="47">
        <f t="shared" ca="1" si="109"/>
        <v>8123642.361333333</v>
      </c>
      <c r="T109" s="47">
        <f>'Monthly Data'!BL109</f>
        <v>64547.095384615393</v>
      </c>
      <c r="U109" s="47">
        <f ca="1">+'Monthly Data'!BM109</f>
        <v>159961.51048720453</v>
      </c>
      <c r="V109" s="47">
        <f t="shared" ca="1" si="128"/>
        <v>8348150.9672051528</v>
      </c>
    </row>
    <row r="110" spans="1:22">
      <c r="A110" s="2">
        <f t="shared" ref="A110:A162" si="131">EOMONTH(A109,1)</f>
        <v>45688</v>
      </c>
      <c r="B110">
        <f t="shared" ref="B110:B162" si="132">YEAR(A110)</f>
        <v>2025</v>
      </c>
      <c r="C110">
        <f t="shared" ref="C110:C162" si="133">MONTH(A110)</f>
        <v>1</v>
      </c>
      <c r="D110" s="3">
        <f ca="1">'Monthly Data'!BK110</f>
        <v>8211101.0618103305</v>
      </c>
      <c r="E110" s="3">
        <f t="shared" ref="E110:F110" ca="1" si="134">E98</f>
        <v>752.78750000000002</v>
      </c>
      <c r="F110" s="3">
        <f t="shared" ca="1" si="134"/>
        <v>0</v>
      </c>
      <c r="G110" s="47">
        <f t="shared" ref="G110:G162" si="135">G74</f>
        <v>31</v>
      </c>
      <c r="H110" s="89">
        <f>'Economic Data'!F136</f>
        <v>241</v>
      </c>
      <c r="I110">
        <f>'Monthly Data'!EJ110</f>
        <v>0</v>
      </c>
      <c r="J110">
        <f t="shared" ref="J110:J162" si="136">J98</f>
        <v>0</v>
      </c>
      <c r="L110" s="3">
        <f t="shared" si="112"/>
        <v>-2785699</v>
      </c>
      <c r="M110" s="3">
        <f t="shared" ca="1" si="113"/>
        <v>2955118.5208000001</v>
      </c>
      <c r="N110" s="3">
        <f t="shared" ca="1" si="114"/>
        <v>0</v>
      </c>
      <c r="O110" s="3">
        <f t="shared" si="115"/>
        <v>4932472</v>
      </c>
      <c r="P110" s="3">
        <f t="shared" si="116"/>
        <v>3408378.65</v>
      </c>
      <c r="Q110" s="3">
        <f t="shared" si="117"/>
        <v>0</v>
      </c>
      <c r="R110" s="3">
        <f t="shared" si="118"/>
        <v>0</v>
      </c>
      <c r="S110" s="47">
        <f t="shared" ref="S110:S161" ca="1" si="137">SUM(L110:R110)</f>
        <v>8510270.1708000004</v>
      </c>
      <c r="T110" s="47">
        <f>IFERROR(HLOOKUP(B110-1,'EV Forecast WRZ'!$F$124:$T$130,3,FALSE)/12,0)+IFERROR(((HLOOKUP(B110,'EV Forecast WRZ'!$F$116:$T$122,3,FALSE)-HLOOKUP(B110-1,'EV Forecast WRZ'!$F$124:$T$130,3,FALSE)))*C110/78,0)</f>
        <v>67621.435384615397</v>
      </c>
      <c r="U110" s="47">
        <f ca="1">HLOOKUP(B110,Heating!$R$102:$AD$106,4,FALSE)*INDEX(Weather!$BO$1:$CB$20,MATCH(B110,Weather!$BO$1:$BO$20,0),MATCH(C110,Weather!$BO$1:$CB$1,0))/VLOOKUP(B110,Weather!$BO$2:$CB$20,14,FALSE)</f>
        <v>235961.77881295391</v>
      </c>
      <c r="V110" s="47">
        <f t="shared" ca="1" si="128"/>
        <v>8813853.3849975709</v>
      </c>
    </row>
    <row r="111" spans="1:22">
      <c r="A111" s="2">
        <f t="shared" si="131"/>
        <v>45716</v>
      </c>
      <c r="B111">
        <f t="shared" si="132"/>
        <v>2025</v>
      </c>
      <c r="C111">
        <f t="shared" si="133"/>
        <v>2</v>
      </c>
      <c r="D111" s="3">
        <f ca="1">'Monthly Data'!BK111</f>
        <v>7388274.7831749693</v>
      </c>
      <c r="E111" s="3">
        <f t="shared" ref="E111:F111" ca="1" si="138">E99</f>
        <v>660.7954166666666</v>
      </c>
      <c r="F111" s="3">
        <f t="shared" ca="1" si="138"/>
        <v>0</v>
      </c>
      <c r="G111" s="47">
        <f t="shared" si="135"/>
        <v>28</v>
      </c>
      <c r="H111" s="89">
        <f>'Economic Data'!F137</f>
        <v>243.8</v>
      </c>
      <c r="I111">
        <f>'Monthly Data'!EJ111</f>
        <v>0</v>
      </c>
      <c r="J111">
        <f t="shared" si="136"/>
        <v>0</v>
      </c>
      <c r="L111" s="3">
        <f t="shared" si="112"/>
        <v>-2785699</v>
      </c>
      <c r="M111" s="3">
        <f t="shared" ca="1" si="113"/>
        <v>2593997.3422133331</v>
      </c>
      <c r="N111" s="3">
        <f t="shared" ca="1" si="114"/>
        <v>0</v>
      </c>
      <c r="O111" s="3">
        <f t="shared" si="115"/>
        <v>4455136</v>
      </c>
      <c r="P111" s="3">
        <f t="shared" si="116"/>
        <v>3447978.0700000003</v>
      </c>
      <c r="Q111" s="3">
        <f t="shared" si="117"/>
        <v>0</v>
      </c>
      <c r="R111" s="3">
        <f t="shared" si="118"/>
        <v>0</v>
      </c>
      <c r="S111" s="47">
        <f t="shared" ca="1" si="137"/>
        <v>7711412.412213333</v>
      </c>
      <c r="T111" s="47">
        <f>IFERROR(HLOOKUP(B111-1,'EV Forecast WRZ'!$F$124:$T$130,3,FALSE)/12,0)+IFERROR(((HLOOKUP(B111,'EV Forecast WRZ'!$F$116:$T$122,3,FALSE)-HLOOKUP(B111-1,'EV Forecast WRZ'!$F$124:$T$130,3,FALSE)))*C111/78,0)</f>
        <v>68738.344102564108</v>
      </c>
      <c r="U111" s="47">
        <f ca="1">HLOOKUP(B111,Heating!$R$102:$AD$106,4,FALSE)*INDEX(Weather!$BO$1:$CB$20,MATCH(B111,Weather!$BO$1:$BO$20,0),MATCH(C111,Weather!$BO$1:$CB$1,0))/VLOOKUP(B111,Weather!$BO$2:$CB$20,14,FALSE)</f>
        <v>214323.02243024801</v>
      </c>
      <c r="V111" s="47">
        <f t="shared" ca="1" si="128"/>
        <v>7994473.7787461448</v>
      </c>
    </row>
    <row r="112" spans="1:22">
      <c r="A112" s="2">
        <f t="shared" si="131"/>
        <v>45747</v>
      </c>
      <c r="B112">
        <f t="shared" si="132"/>
        <v>2025</v>
      </c>
      <c r="C112">
        <f t="shared" si="133"/>
        <v>3</v>
      </c>
      <c r="D112" s="3">
        <f ca="1">'Monthly Data'!BK112</f>
        <v>7309951.5944956243</v>
      </c>
      <c r="E112" s="3">
        <f t="shared" ref="E112:F112" ca="1" si="139">E100</f>
        <v>596.21590579710141</v>
      </c>
      <c r="F112" s="3">
        <f t="shared" ca="1" si="139"/>
        <v>2.9583333333332896E-2</v>
      </c>
      <c r="G112" s="47">
        <f t="shared" si="135"/>
        <v>31</v>
      </c>
      <c r="H112" s="89">
        <f>'Economic Data'!F138</f>
        <v>246.1</v>
      </c>
      <c r="I112">
        <f>'Monthly Data'!EJ112</f>
        <v>0</v>
      </c>
      <c r="J112">
        <f t="shared" si="136"/>
        <v>0</v>
      </c>
      <c r="L112" s="3">
        <f t="shared" si="112"/>
        <v>-2785699</v>
      </c>
      <c r="M112" s="3">
        <f t="shared" ca="1" si="113"/>
        <v>2340486.0808881158</v>
      </c>
      <c r="N112" s="3">
        <f t="shared" ca="1" si="114"/>
        <v>301.07254166666223</v>
      </c>
      <c r="O112" s="3">
        <f t="shared" si="115"/>
        <v>4932472</v>
      </c>
      <c r="P112" s="3">
        <f t="shared" si="116"/>
        <v>3480506.165</v>
      </c>
      <c r="Q112" s="3">
        <f t="shared" si="117"/>
        <v>0</v>
      </c>
      <c r="R112" s="3">
        <f t="shared" si="118"/>
        <v>0</v>
      </c>
      <c r="S112" s="47">
        <f t="shared" ca="1" si="137"/>
        <v>7968066.3184297821</v>
      </c>
      <c r="T112" s="47">
        <f>IFERROR(HLOOKUP(B112-1,'EV Forecast WRZ'!$F$124:$T$130,3,FALSE)/12,0)+IFERROR(((HLOOKUP(B112,'EV Forecast WRZ'!$F$116:$T$122,3,FALSE)-HLOOKUP(B112-1,'EV Forecast WRZ'!$F$124:$T$130,3,FALSE)))*C112/78,0)</f>
        <v>69855.252820512833</v>
      </c>
      <c r="U112" s="47">
        <f ca="1">HLOOKUP(B112,Heating!$R$102:$AD$106,4,FALSE)*INDEX(Weather!$BO$1:$CB$20,MATCH(B112,Weather!$BO$1:$BO$20,0),MATCH(C112,Weather!$BO$1:$CB$1,0))/VLOOKUP(B112,Weather!$BO$2:$CB$20,14,FALSE)</f>
        <v>167084.22119800202</v>
      </c>
      <c r="V112" s="47">
        <f t="shared" ca="1" si="128"/>
        <v>8205005.7924482971</v>
      </c>
    </row>
    <row r="113" spans="1:22">
      <c r="A113" s="2">
        <f t="shared" si="131"/>
        <v>45777</v>
      </c>
      <c r="B113">
        <f t="shared" si="132"/>
        <v>2025</v>
      </c>
      <c r="C113">
        <f t="shared" si="133"/>
        <v>4</v>
      </c>
      <c r="D113" s="3">
        <f ca="1">'Monthly Data'!BK113</f>
        <v>6616767.6393727968</v>
      </c>
      <c r="E113" s="3">
        <f t="shared" ref="E113:F113" ca="1" si="140">E101</f>
        <v>412.8885416666667</v>
      </c>
      <c r="F113" s="3">
        <f t="shared" ca="1" si="140"/>
        <v>6.0095833333333344</v>
      </c>
      <c r="G113" s="47">
        <f t="shared" si="135"/>
        <v>30</v>
      </c>
      <c r="H113" s="89">
        <f>'Economic Data'!F139</f>
        <v>242.5</v>
      </c>
      <c r="I113">
        <f>'Monthly Data'!EJ113</f>
        <v>0</v>
      </c>
      <c r="J113">
        <f t="shared" si="136"/>
        <v>0</v>
      </c>
      <c r="L113" s="3">
        <f t="shared" si="112"/>
        <v>-2785699</v>
      </c>
      <c r="M113" s="3">
        <f t="shared" ca="1" si="113"/>
        <v>1620822.0467333335</v>
      </c>
      <c r="N113" s="3">
        <f t="shared" ca="1" si="114"/>
        <v>61160.13054166668</v>
      </c>
      <c r="O113" s="3">
        <f t="shared" si="115"/>
        <v>4773360</v>
      </c>
      <c r="P113" s="3">
        <f t="shared" si="116"/>
        <v>3429592.625</v>
      </c>
      <c r="Q113" s="3">
        <f t="shared" si="117"/>
        <v>0</v>
      </c>
      <c r="R113" s="3">
        <f t="shared" si="118"/>
        <v>0</v>
      </c>
      <c r="S113" s="47">
        <f t="shared" ca="1" si="137"/>
        <v>7099235.8022750001</v>
      </c>
      <c r="T113" s="47">
        <f>IFERROR(HLOOKUP(B113-1,'EV Forecast WRZ'!$F$124:$T$130,3,FALSE)/12,0)+IFERROR(((HLOOKUP(B113,'EV Forecast WRZ'!$F$116:$T$122,3,FALSE)-HLOOKUP(B113-1,'EV Forecast WRZ'!$F$124:$T$130,3,FALSE)))*C113/78,0)</f>
        <v>70972.161538461543</v>
      </c>
      <c r="U113" s="47">
        <f ca="1">HLOOKUP(B113,Heating!$R$102:$AD$106,4,FALSE)*INDEX(Weather!$BO$1:$CB$20,MATCH(B113,Weather!$BO$1:$BO$20,0),MATCH(C113,Weather!$BO$1:$CB$1,0))/VLOOKUP(B113,Weather!$BO$2:$CB$20,14,FALSE)</f>
        <v>113351.10834171559</v>
      </c>
      <c r="V113" s="47">
        <f t="shared" ca="1" si="128"/>
        <v>7283559.0721551767</v>
      </c>
    </row>
    <row r="114" spans="1:22">
      <c r="A114" s="2">
        <f t="shared" si="131"/>
        <v>45808</v>
      </c>
      <c r="B114">
        <f t="shared" si="132"/>
        <v>2025</v>
      </c>
      <c r="C114">
        <f t="shared" si="133"/>
        <v>5</v>
      </c>
      <c r="D114" s="3">
        <f ca="1">'Monthly Data'!BK114</f>
        <v>6460366.3323368207</v>
      </c>
      <c r="E114" s="3">
        <f t="shared" ref="E114:F114" ca="1" si="141">E102</f>
        <v>208.90012508544086</v>
      </c>
      <c r="F114" s="3">
        <f t="shared" ca="1" si="141"/>
        <v>81.50872474747473</v>
      </c>
      <c r="G114" s="47">
        <f t="shared" si="135"/>
        <v>31</v>
      </c>
      <c r="H114" s="89">
        <f>'Economic Data'!F140</f>
        <v>241.8</v>
      </c>
      <c r="I114">
        <f>'Monthly Data'!EJ114</f>
        <v>0</v>
      </c>
      <c r="J114">
        <f t="shared" si="136"/>
        <v>0</v>
      </c>
      <c r="L114" s="3">
        <f t="shared" si="112"/>
        <v>-2785699</v>
      </c>
      <c r="M114" s="3">
        <f t="shared" ca="1" si="113"/>
        <v>820051.64623140392</v>
      </c>
      <c r="N114" s="3">
        <f t="shared" ca="1" si="114"/>
        <v>829522.44262752507</v>
      </c>
      <c r="O114" s="3">
        <f t="shared" si="115"/>
        <v>4932472</v>
      </c>
      <c r="P114" s="3">
        <f t="shared" si="116"/>
        <v>3419692.77</v>
      </c>
      <c r="Q114" s="3">
        <f t="shared" si="117"/>
        <v>0</v>
      </c>
      <c r="R114" s="3">
        <f t="shared" si="118"/>
        <v>0</v>
      </c>
      <c r="S114" s="47">
        <f t="shared" ca="1" si="137"/>
        <v>7216039.858858929</v>
      </c>
      <c r="T114" s="47">
        <f>IFERROR(HLOOKUP(B114-1,'EV Forecast WRZ'!$F$124:$T$130,3,FALSE)/12,0)+IFERROR(((HLOOKUP(B114,'EV Forecast WRZ'!$F$116:$T$122,3,FALSE)-HLOOKUP(B114-1,'EV Forecast WRZ'!$F$124:$T$130,3,FALSE)))*C114/78,0)</f>
        <v>72089.070256410268</v>
      </c>
      <c r="U114" s="47">
        <f ca="1">HLOOKUP(B114,Heating!$R$102:$AD$106,4,FALSE)*INDEX(Weather!$BO$1:$CB$20,MATCH(B114,Weather!$BO$1:$BO$20,0),MATCH(C114,Weather!$BO$1:$CB$1,0))/VLOOKUP(B114,Weather!$BO$2:$CB$20,14,FALSE)</f>
        <v>51328.955742053979</v>
      </c>
      <c r="V114" s="47">
        <f t="shared" ca="1" si="128"/>
        <v>7339457.8848573929</v>
      </c>
    </row>
    <row r="115" spans="1:22">
      <c r="A115" s="2">
        <f t="shared" si="131"/>
        <v>45838</v>
      </c>
      <c r="B115">
        <f t="shared" si="132"/>
        <v>2025</v>
      </c>
      <c r="C115">
        <f t="shared" si="133"/>
        <v>6</v>
      </c>
      <c r="D115" s="3">
        <f ca="1">'Monthly Data'!BK115</f>
        <v>7196362.1227085413</v>
      </c>
      <c r="E115" s="3">
        <f t="shared" ref="E115:F115" ca="1" si="142">E103</f>
        <v>61.78217382617381</v>
      </c>
      <c r="F115" s="3">
        <f t="shared" ca="1" si="142"/>
        <v>202.3599342107168</v>
      </c>
      <c r="G115" s="47">
        <f t="shared" si="135"/>
        <v>30</v>
      </c>
      <c r="H115" s="89">
        <f>'Economic Data'!F141</f>
        <v>241</v>
      </c>
      <c r="I115">
        <f>'Monthly Data'!EJ115</f>
        <v>0</v>
      </c>
      <c r="J115">
        <f t="shared" si="136"/>
        <v>0</v>
      </c>
      <c r="L115" s="3">
        <f t="shared" si="112"/>
        <v>-2785699</v>
      </c>
      <c r="M115" s="3">
        <f t="shared" ca="1" si="113"/>
        <v>242530.12454246549</v>
      </c>
      <c r="N115" s="3">
        <f t="shared" ca="1" si="114"/>
        <v>2059437.286455886</v>
      </c>
      <c r="O115" s="3">
        <f t="shared" si="115"/>
        <v>4773360</v>
      </c>
      <c r="P115" s="3">
        <f t="shared" si="116"/>
        <v>3408378.65</v>
      </c>
      <c r="Q115" s="3">
        <f t="shared" si="117"/>
        <v>0</v>
      </c>
      <c r="R115" s="3">
        <f t="shared" si="118"/>
        <v>0</v>
      </c>
      <c r="S115" s="47">
        <f t="shared" ca="1" si="137"/>
        <v>7698007.0609983522</v>
      </c>
      <c r="T115" s="47">
        <f>IFERROR(HLOOKUP(B115-1,'EV Forecast WRZ'!$F$124:$T$130,3,FALSE)/12,0)+IFERROR(((HLOOKUP(B115,'EV Forecast WRZ'!$F$116:$T$122,3,FALSE)-HLOOKUP(B115-1,'EV Forecast WRZ'!$F$124:$T$130,3,FALSE)))*C115/78,0)</f>
        <v>73205.978974358979</v>
      </c>
      <c r="U115" s="47">
        <f ca="1">HLOOKUP(B115,Heating!$R$102:$AD$106,4,FALSE)*INDEX(Weather!$BO$1:$CB$20,MATCH(B115,Weather!$BO$1:$BO$20,0),MATCH(C115,Weather!$BO$1:$CB$1,0))/VLOOKUP(B115,Weather!$BO$2:$CB$20,14,FALSE)</f>
        <v>7233.9490165261986</v>
      </c>
      <c r="V115" s="47">
        <f t="shared" ca="1" si="128"/>
        <v>7778446.9889892377</v>
      </c>
    </row>
    <row r="116" spans="1:22">
      <c r="A116" s="2">
        <f t="shared" si="131"/>
        <v>45869</v>
      </c>
      <c r="B116">
        <f t="shared" si="132"/>
        <v>2025</v>
      </c>
      <c r="C116">
        <f t="shared" si="133"/>
        <v>7</v>
      </c>
      <c r="D116" s="3">
        <f ca="1">'Monthly Data'!BK116</f>
        <v>8387745.0131376553</v>
      </c>
      <c r="E116" s="3">
        <f t="shared" ref="E116:F116" ca="1" si="143">E104</f>
        <v>8.334479813664597</v>
      </c>
      <c r="F116" s="3">
        <f t="shared" ca="1" si="143"/>
        <v>304.72508692061177</v>
      </c>
      <c r="G116" s="47">
        <f t="shared" si="135"/>
        <v>31</v>
      </c>
      <c r="H116" s="89">
        <f>'Economic Data'!F142</f>
        <v>244.8</v>
      </c>
      <c r="I116">
        <f>'Monthly Data'!EJ116</f>
        <v>0</v>
      </c>
      <c r="J116">
        <f t="shared" si="136"/>
        <v>0</v>
      </c>
      <c r="L116" s="3">
        <f t="shared" si="112"/>
        <v>-2785699</v>
      </c>
      <c r="M116" s="3">
        <f t="shared" ca="1" si="113"/>
        <v>32717.567253167708</v>
      </c>
      <c r="N116" s="3">
        <f t="shared" ca="1" si="114"/>
        <v>3101217.6820997582</v>
      </c>
      <c r="O116" s="3">
        <f t="shared" si="115"/>
        <v>4932472</v>
      </c>
      <c r="P116" s="3">
        <f t="shared" si="116"/>
        <v>3462120.72</v>
      </c>
      <c r="Q116" s="3">
        <f t="shared" si="117"/>
        <v>0</v>
      </c>
      <c r="R116" s="3">
        <f t="shared" si="118"/>
        <v>0</v>
      </c>
      <c r="S116" s="47">
        <f t="shared" ca="1" si="137"/>
        <v>8742828.9693529271</v>
      </c>
      <c r="T116" s="47">
        <f>IFERROR(HLOOKUP(B116-1,'EV Forecast WRZ'!$F$124:$T$130,3,FALSE)/12,0)+IFERROR(((HLOOKUP(B116,'EV Forecast WRZ'!$F$116:$T$122,3,FALSE)-HLOOKUP(B116-1,'EV Forecast WRZ'!$F$124:$T$130,3,FALSE)))*C116/78,0)</f>
        <v>74322.887692307704</v>
      </c>
      <c r="U116" s="47">
        <f ca="1">HLOOKUP(B116,Heating!$R$102:$AD$106,4,FALSE)*INDEX(Weather!$BO$1:$CB$20,MATCH(B116,Weather!$BO$1:$BO$20,0),MATCH(C116,Weather!$BO$1:$CB$1,0))/VLOOKUP(B116,Weather!$BO$2:$CB$20,14,FALSE)</f>
        <v>242.96618519043159</v>
      </c>
      <c r="V116" s="47">
        <f t="shared" ca="1" si="128"/>
        <v>8817394.8232304249</v>
      </c>
    </row>
    <row r="117" spans="1:22">
      <c r="A117" s="2">
        <f t="shared" si="131"/>
        <v>45900</v>
      </c>
      <c r="B117">
        <f t="shared" si="132"/>
        <v>2025</v>
      </c>
      <c r="C117">
        <f t="shared" si="133"/>
        <v>8</v>
      </c>
      <c r="D117" s="3">
        <f ca="1">'Monthly Data'!BK117</f>
        <v>7718548.2104636477</v>
      </c>
      <c r="E117" s="3">
        <f t="shared" ref="E117:F117" ca="1" si="144">E105</f>
        <v>21.054927536231883</v>
      </c>
      <c r="F117" s="3">
        <f t="shared" ca="1" si="144"/>
        <v>275.96017127799735</v>
      </c>
      <c r="G117" s="47">
        <f t="shared" si="135"/>
        <v>31</v>
      </c>
      <c r="H117" s="89">
        <f>'Economic Data'!F143</f>
        <v>248.5</v>
      </c>
      <c r="I117">
        <f>'Monthly Data'!EJ117</f>
        <v>0</v>
      </c>
      <c r="J117">
        <f t="shared" si="136"/>
        <v>0</v>
      </c>
      <c r="L117" s="3">
        <f t="shared" si="112"/>
        <v>-2785699</v>
      </c>
      <c r="M117" s="3">
        <f t="shared" ca="1" si="113"/>
        <v>82652.549778550732</v>
      </c>
      <c r="N117" s="3">
        <f t="shared" ca="1" si="114"/>
        <v>2808474.2591133071</v>
      </c>
      <c r="O117" s="3">
        <f t="shared" si="115"/>
        <v>4932472</v>
      </c>
      <c r="P117" s="3">
        <f t="shared" si="116"/>
        <v>3514448.5249999999</v>
      </c>
      <c r="Q117" s="3">
        <f t="shared" si="117"/>
        <v>0</v>
      </c>
      <c r="R117" s="3">
        <f t="shared" si="118"/>
        <v>0</v>
      </c>
      <c r="S117" s="47">
        <f t="shared" ca="1" si="137"/>
        <v>8552348.3338918574</v>
      </c>
      <c r="T117" s="47">
        <f>IFERROR(HLOOKUP(B117-1,'EV Forecast WRZ'!$F$124:$T$130,3,FALSE)/12,0)+IFERROR(((HLOOKUP(B117,'EV Forecast WRZ'!$F$116:$T$122,3,FALSE)-HLOOKUP(B117-1,'EV Forecast WRZ'!$F$124:$T$130,3,FALSE)))*C117/78,0)</f>
        <v>75439.796410256415</v>
      </c>
      <c r="U117" s="47">
        <f ca="1">HLOOKUP(B117,Heating!$R$102:$AD$106,4,FALSE)*INDEX(Weather!$BO$1:$CB$20,MATCH(B117,Weather!$BO$1:$BO$20,0),MATCH(C117,Weather!$BO$1:$CB$1,0))/VLOOKUP(B117,Weather!$BO$2:$CB$20,14,FALSE)</f>
        <v>5529.1586563502369</v>
      </c>
      <c r="V117" s="47">
        <f t="shared" ca="1" si="128"/>
        <v>8633317.2889584638</v>
      </c>
    </row>
    <row r="118" spans="1:22">
      <c r="A118" s="2">
        <f t="shared" si="131"/>
        <v>45930</v>
      </c>
      <c r="B118">
        <f t="shared" si="132"/>
        <v>2025</v>
      </c>
      <c r="C118">
        <f t="shared" si="133"/>
        <v>9</v>
      </c>
      <c r="D118" s="3">
        <f ca="1">'Monthly Data'!BK118</f>
        <v>6745525.999037018</v>
      </c>
      <c r="E118" s="3">
        <f t="shared" ref="E118:F118" ca="1" si="145">E106</f>
        <v>97.667119565217376</v>
      </c>
      <c r="F118" s="3">
        <f t="shared" ca="1" si="145"/>
        <v>154.9849637681159</v>
      </c>
      <c r="G118" s="47">
        <f t="shared" si="135"/>
        <v>30</v>
      </c>
      <c r="H118" s="89">
        <f>'Economic Data'!F144</f>
        <v>253.8</v>
      </c>
      <c r="I118">
        <f>'Monthly Data'!EJ118</f>
        <v>0</v>
      </c>
      <c r="J118">
        <f t="shared" si="136"/>
        <v>1</v>
      </c>
      <c r="L118" s="3">
        <f t="shared" si="112"/>
        <v>-2785699</v>
      </c>
      <c r="M118" s="3">
        <f t="shared" ca="1" si="113"/>
        <v>383398.91921739129</v>
      </c>
      <c r="N118" s="3">
        <f t="shared" ca="1" si="114"/>
        <v>1577297.4747644924</v>
      </c>
      <c r="O118" s="3">
        <f t="shared" si="115"/>
        <v>4773360</v>
      </c>
      <c r="P118" s="3">
        <f t="shared" si="116"/>
        <v>3589404.5700000003</v>
      </c>
      <c r="Q118" s="3">
        <f t="shared" si="117"/>
        <v>0</v>
      </c>
      <c r="R118" s="3">
        <f t="shared" si="118"/>
        <v>193962.4</v>
      </c>
      <c r="S118" s="47">
        <f t="shared" ca="1" si="137"/>
        <v>7731724.363981884</v>
      </c>
      <c r="T118" s="47">
        <f>IFERROR(HLOOKUP(B118-1,'EV Forecast WRZ'!$F$124:$T$130,3,FALSE)/12,0)+IFERROR(((HLOOKUP(B118,'EV Forecast WRZ'!$F$116:$T$122,3,FALSE)-HLOOKUP(B118-1,'EV Forecast WRZ'!$F$124:$T$130,3,FALSE)))*C118/78,0)</f>
        <v>76556.70512820514</v>
      </c>
      <c r="U118" s="47">
        <f ca="1">HLOOKUP(B118,Heating!$R$102:$AD$106,4,FALSE)*INDEX(Weather!$BO$1:$CB$20,MATCH(B118,Weather!$BO$1:$BO$20,0),MATCH(C118,Weather!$BO$1:$CB$1,0))/VLOOKUP(B118,Weather!$BO$2:$CB$20,14,FALSE)</f>
        <v>11973.803159661105</v>
      </c>
      <c r="V118" s="47">
        <f t="shared" ca="1" si="128"/>
        <v>7820254.8722697496</v>
      </c>
    </row>
    <row r="119" spans="1:22">
      <c r="A119" s="2">
        <f t="shared" si="131"/>
        <v>45961</v>
      </c>
      <c r="B119">
        <f t="shared" si="132"/>
        <v>2025</v>
      </c>
      <c r="C119">
        <f t="shared" si="133"/>
        <v>10</v>
      </c>
      <c r="D119" s="3">
        <f ca="1">'Monthly Data'!BK119</f>
        <v>6670765.025270611</v>
      </c>
      <c r="E119" s="3">
        <f t="shared" ref="E119:F119" ca="1" si="146">E107</f>
        <v>292.46431159420291</v>
      </c>
      <c r="F119" s="3">
        <f t="shared" ca="1" si="146"/>
        <v>38.347916666666663</v>
      </c>
      <c r="G119" s="47">
        <f t="shared" si="135"/>
        <v>31</v>
      </c>
      <c r="H119" s="89">
        <f>'Economic Data'!F145</f>
        <v>257.10000000000002</v>
      </c>
      <c r="I119">
        <f>'Monthly Data'!EJ119</f>
        <v>0</v>
      </c>
      <c r="J119">
        <f t="shared" si="136"/>
        <v>1</v>
      </c>
      <c r="L119" s="3">
        <f t="shared" si="112"/>
        <v>-2785699</v>
      </c>
      <c r="M119" s="3">
        <f t="shared" ca="1" si="113"/>
        <v>1148088.542736232</v>
      </c>
      <c r="N119" s="3">
        <f t="shared" ca="1" si="114"/>
        <v>390270.58270833333</v>
      </c>
      <c r="O119" s="3">
        <f t="shared" si="115"/>
        <v>4932472</v>
      </c>
      <c r="P119" s="3">
        <f t="shared" si="116"/>
        <v>3636075.3150000004</v>
      </c>
      <c r="Q119" s="3">
        <f t="shared" si="117"/>
        <v>0</v>
      </c>
      <c r="R119" s="3">
        <f t="shared" si="118"/>
        <v>193962.4</v>
      </c>
      <c r="S119" s="47">
        <f t="shared" ca="1" si="137"/>
        <v>7515169.8404445667</v>
      </c>
      <c r="T119" s="47">
        <f>IFERROR(HLOOKUP(B119-1,'EV Forecast WRZ'!$F$124:$T$130,3,FALSE)/12,0)+IFERROR(((HLOOKUP(B119,'EV Forecast WRZ'!$F$116:$T$122,3,FALSE)-HLOOKUP(B119-1,'EV Forecast WRZ'!$F$124:$T$130,3,FALSE)))*C119/78,0)</f>
        <v>77673.61384615385</v>
      </c>
      <c r="U119" s="47">
        <f ca="1">HLOOKUP(B119,Heating!$R$102:$AD$106,4,FALSE)*INDEX(Weather!$BO$1:$CB$20,MATCH(B119,Weather!$BO$1:$BO$20,0),MATCH(C119,Weather!$BO$1:$CB$1,0))/VLOOKUP(B119,Weather!$BO$2:$CB$20,14,FALSE)</f>
        <v>70928.675465620341</v>
      </c>
      <c r="V119" s="47">
        <f t="shared" ca="1" si="128"/>
        <v>7663772.1297563408</v>
      </c>
    </row>
    <row r="120" spans="1:22">
      <c r="A120" s="2">
        <f t="shared" si="131"/>
        <v>45991</v>
      </c>
      <c r="B120">
        <f t="shared" si="132"/>
        <v>2025</v>
      </c>
      <c r="C120">
        <f t="shared" si="133"/>
        <v>11</v>
      </c>
      <c r="D120" s="3">
        <f ca="1">'Monthly Data'!BK120</f>
        <v>7021911.7148675118</v>
      </c>
      <c r="E120" s="3">
        <f t="shared" ref="E120:F120" ca="1" si="147">E108</f>
        <v>495.51408055712409</v>
      </c>
      <c r="F120" s="3">
        <f t="shared" ca="1" si="147"/>
        <v>1.9241666666666659</v>
      </c>
      <c r="G120" s="47">
        <f t="shared" si="135"/>
        <v>30</v>
      </c>
      <c r="H120" s="89">
        <f>'Economic Data'!F146</f>
        <v>259.60000000000002</v>
      </c>
      <c r="I120">
        <f>'Monthly Data'!EJ120</f>
        <v>0</v>
      </c>
      <c r="J120">
        <f t="shared" si="136"/>
        <v>1</v>
      </c>
      <c r="L120" s="3">
        <f t="shared" si="112"/>
        <v>-2785699</v>
      </c>
      <c r="M120" s="3">
        <f t="shared" ca="1" si="113"/>
        <v>1945174.2181844686</v>
      </c>
      <c r="N120" s="3">
        <f t="shared" ca="1" si="114"/>
        <v>19582.436583333325</v>
      </c>
      <c r="O120" s="3">
        <f t="shared" si="115"/>
        <v>4773360</v>
      </c>
      <c r="P120" s="3">
        <f t="shared" si="116"/>
        <v>3671431.9400000004</v>
      </c>
      <c r="Q120" s="3">
        <f t="shared" si="117"/>
        <v>0</v>
      </c>
      <c r="R120" s="3">
        <f t="shared" si="118"/>
        <v>193962.4</v>
      </c>
      <c r="S120" s="47">
        <f t="shared" ca="1" si="137"/>
        <v>7817811.9947678028</v>
      </c>
      <c r="T120" s="47">
        <f>IFERROR(HLOOKUP(B120-1,'EV Forecast WRZ'!$F$124:$T$130,3,FALSE)/12,0)+IFERROR(((HLOOKUP(B120,'EV Forecast WRZ'!$F$116:$T$122,3,FALSE)-HLOOKUP(B120-1,'EV Forecast WRZ'!$F$124:$T$130,3,FALSE)))*C120/78,0)</f>
        <v>78790.522564102575</v>
      </c>
      <c r="U120" s="47">
        <f ca="1">HLOOKUP(B120,Heating!$R$102:$AD$106,4,FALSE)*INDEX(Weather!$BO$1:$CB$20,MATCH(B120,Weather!$BO$1:$BO$20,0),MATCH(C120,Weather!$BO$1:$CB$1,0))/VLOOKUP(B120,Weather!$BO$2:$CB$20,14,FALSE)</f>
        <v>148393.27554832477</v>
      </c>
      <c r="V120" s="47">
        <f t="shared" ca="1" si="128"/>
        <v>8044995.7928802306</v>
      </c>
    </row>
    <row r="121" spans="1:22">
      <c r="A121" s="2">
        <f t="shared" si="131"/>
        <v>46022</v>
      </c>
      <c r="B121">
        <f t="shared" si="132"/>
        <v>2025</v>
      </c>
      <c r="C121">
        <f t="shared" si="133"/>
        <v>12</v>
      </c>
      <c r="D121" s="3">
        <f ca="1">'Monthly Data'!BK121</f>
        <v>8418681.147433605</v>
      </c>
      <c r="E121" s="3">
        <f t="shared" ref="E121:F121" ca="1" si="148">E109</f>
        <v>664.38541666666663</v>
      </c>
      <c r="F121" s="3">
        <f t="shared" ca="1" si="148"/>
        <v>0</v>
      </c>
      <c r="G121" s="47">
        <f t="shared" si="135"/>
        <v>31</v>
      </c>
      <c r="H121" s="89">
        <f>'Economic Data'!F147</f>
        <v>256.8</v>
      </c>
      <c r="I121">
        <f>'Monthly Data'!EJ121</f>
        <v>0</v>
      </c>
      <c r="J121">
        <f t="shared" si="136"/>
        <v>0</v>
      </c>
      <c r="L121" s="3">
        <f t="shared" si="112"/>
        <v>-2785699</v>
      </c>
      <c r="M121" s="3">
        <f t="shared" ca="1" si="113"/>
        <v>2608090.1313333334</v>
      </c>
      <c r="N121" s="3">
        <f t="shared" ca="1" si="114"/>
        <v>0</v>
      </c>
      <c r="O121" s="3">
        <f t="shared" si="115"/>
        <v>4932472</v>
      </c>
      <c r="P121" s="3">
        <f t="shared" si="116"/>
        <v>3631832.52</v>
      </c>
      <c r="Q121" s="3">
        <f t="shared" si="117"/>
        <v>0</v>
      </c>
      <c r="R121" s="3">
        <f t="shared" si="118"/>
        <v>0</v>
      </c>
      <c r="S121" s="47">
        <f t="shared" ca="1" si="137"/>
        <v>8386695.6513333339</v>
      </c>
      <c r="T121" s="47">
        <f>IFERROR(HLOOKUP(B121-1,'EV Forecast WRZ'!$F$124:$T$130,3,FALSE)/12,0)+IFERROR(((HLOOKUP(B121,'EV Forecast WRZ'!$F$116:$T$122,3,FALSE)-HLOOKUP(B121-1,'EV Forecast WRZ'!$F$124:$T$130,3,FALSE)))*C121/78,0)</f>
        <v>79907.431282051286</v>
      </c>
      <c r="U121" s="47">
        <f ca="1">HLOOKUP(B121,Heating!$R$102:$AD$106,4,FALSE)*INDEX(Weather!$BO$1:$CB$20,MATCH(B121,Weather!$BO$1:$BO$20,0),MATCH(C121,Weather!$BO$1:$CB$1,0))/VLOOKUP(B121,Weather!$BO$2:$CB$20,14,FALSE)</f>
        <v>219781.0362920397</v>
      </c>
      <c r="V121" s="47">
        <f t="shared" ca="1" si="128"/>
        <v>8686384.1189074237</v>
      </c>
    </row>
    <row r="122" spans="1:22">
      <c r="A122" s="2">
        <f t="shared" si="131"/>
        <v>46053</v>
      </c>
      <c r="B122">
        <f t="shared" si="132"/>
        <v>2026</v>
      </c>
      <c r="C122">
        <f t="shared" si="133"/>
        <v>1</v>
      </c>
      <c r="E122" s="3">
        <f t="shared" ref="E122:F122" ca="1" si="149">E110</f>
        <v>752.78750000000002</v>
      </c>
      <c r="F122" s="3">
        <f t="shared" ca="1" si="149"/>
        <v>0</v>
      </c>
      <c r="G122" s="47">
        <f t="shared" si="135"/>
        <v>31</v>
      </c>
      <c r="H122" s="89">
        <f>'Economic Data'!F148</f>
        <v>252.8</v>
      </c>
      <c r="J122">
        <f t="shared" si="136"/>
        <v>0</v>
      </c>
      <c r="L122" s="3">
        <f t="shared" si="112"/>
        <v>-2785699</v>
      </c>
      <c r="M122" s="3">
        <f t="shared" ca="1" si="113"/>
        <v>2955118.5208000001</v>
      </c>
      <c r="N122" s="3">
        <f t="shared" ca="1" si="114"/>
        <v>0</v>
      </c>
      <c r="O122" s="3">
        <f t="shared" si="115"/>
        <v>4932472</v>
      </c>
      <c r="P122" s="3">
        <f t="shared" si="116"/>
        <v>3575261.92</v>
      </c>
      <c r="Q122" s="3">
        <f t="shared" si="117"/>
        <v>0</v>
      </c>
      <c r="R122" s="3">
        <f t="shared" si="118"/>
        <v>0</v>
      </c>
      <c r="S122" s="47">
        <f t="shared" ca="1" si="137"/>
        <v>8677153.4408</v>
      </c>
      <c r="T122" s="47">
        <f>IFERROR(HLOOKUP(B122-1,'EV Forecast WRZ'!$F$124:$T$130,3,FALSE)/12,0)+IFERROR(((HLOOKUP(B122,'EV Forecast WRZ'!$F$116:$T$122,3,FALSE)-HLOOKUP(B122-1,'EV Forecast WRZ'!$F$124:$T$130,3,FALSE)))*C122/78,0)</f>
        <v>82785.371134750501</v>
      </c>
      <c r="U122" s="47">
        <f ca="1">HLOOKUP(B122,Heating!$R$102:$AD$106,4,FALSE)*INDEX(Weather!$BO$1:$CB$20,MATCH(B122,Weather!$BO$1:$BO$20,0),MATCH(C122,Weather!$BO$1:$CB$1,0))/VLOOKUP(B122,Weather!$BO$2:$CB$20,14,FALSE)</f>
        <v>273086.35886659689</v>
      </c>
      <c r="V122" s="47">
        <f t="shared" ca="1" si="128"/>
        <v>9033025.1708013471</v>
      </c>
    </row>
    <row r="123" spans="1:22">
      <c r="A123" s="2">
        <f t="shared" si="131"/>
        <v>46081</v>
      </c>
      <c r="B123">
        <f t="shared" si="132"/>
        <v>2026</v>
      </c>
      <c r="C123">
        <f t="shared" si="133"/>
        <v>2</v>
      </c>
      <c r="E123" s="3">
        <f t="shared" ref="E123:F123" ca="1" si="150">E111</f>
        <v>660.7954166666666</v>
      </c>
      <c r="F123" s="3">
        <f t="shared" ca="1" si="150"/>
        <v>0</v>
      </c>
      <c r="G123" s="47">
        <f t="shared" si="135"/>
        <v>28</v>
      </c>
      <c r="H123" s="89">
        <f>'Economic Data'!F149</f>
        <v>251.3</v>
      </c>
      <c r="J123">
        <f t="shared" si="136"/>
        <v>0</v>
      </c>
      <c r="L123" s="3">
        <f t="shared" si="112"/>
        <v>-2785699</v>
      </c>
      <c r="M123" s="3">
        <f t="shared" ca="1" si="113"/>
        <v>2593997.3422133331</v>
      </c>
      <c r="N123" s="3">
        <f t="shared" ca="1" si="114"/>
        <v>0</v>
      </c>
      <c r="O123" s="3">
        <f t="shared" si="115"/>
        <v>4455136</v>
      </c>
      <c r="P123" s="3">
        <f t="shared" si="116"/>
        <v>3554047.9450000003</v>
      </c>
      <c r="Q123" s="3">
        <f t="shared" si="117"/>
        <v>0</v>
      </c>
      <c r="R123" s="3">
        <f t="shared" si="118"/>
        <v>0</v>
      </c>
      <c r="S123" s="47">
        <f t="shared" ca="1" si="137"/>
        <v>7817482.287213333</v>
      </c>
      <c r="T123" s="47">
        <f>IFERROR(HLOOKUP(B123-1,'EV Forecast WRZ'!$F$124:$T$130,3,FALSE)/12,0)+IFERROR(((HLOOKUP(B123,'EV Forecast WRZ'!$F$116:$T$122,3,FALSE)-HLOOKUP(B123-1,'EV Forecast WRZ'!$F$124:$T$130,3,FALSE)))*C123/78,0)</f>
        <v>84546.402269501006</v>
      </c>
      <c r="U123" s="47">
        <f ca="1">HLOOKUP(B123,Heating!$R$102:$AD$106,4,FALSE)*INDEX(Weather!$BO$1:$CB$20,MATCH(B123,Weather!$BO$1:$BO$20,0),MATCH(C123,Weather!$BO$1:$CB$1,0))/VLOOKUP(B123,Weather!$BO$2:$CB$20,14,FALSE)</f>
        <v>238854.24444041954</v>
      </c>
      <c r="V123" s="47">
        <f t="shared" ca="1" si="128"/>
        <v>8140882.9339232538</v>
      </c>
    </row>
    <row r="124" spans="1:22">
      <c r="A124" s="2">
        <f t="shared" si="131"/>
        <v>46112</v>
      </c>
      <c r="B124">
        <f t="shared" si="132"/>
        <v>2026</v>
      </c>
      <c r="C124">
        <f t="shared" si="133"/>
        <v>3</v>
      </c>
      <c r="E124" s="3">
        <f t="shared" ref="E124:F124" ca="1" si="151">E112</f>
        <v>596.21590579710141</v>
      </c>
      <c r="F124" s="3">
        <f t="shared" ca="1" si="151"/>
        <v>2.9583333333332896E-2</v>
      </c>
      <c r="G124" s="47">
        <f t="shared" si="135"/>
        <v>31</v>
      </c>
      <c r="H124" s="89">
        <f>'Economic Data'!F150</f>
        <v>246.46915000000001</v>
      </c>
      <c r="J124">
        <f t="shared" si="136"/>
        <v>0</v>
      </c>
      <c r="L124" s="3">
        <f t="shared" si="112"/>
        <v>-2785699</v>
      </c>
      <c r="M124" s="3">
        <f t="shared" ca="1" si="113"/>
        <v>2340486.0808881158</v>
      </c>
      <c r="N124" s="3">
        <f t="shared" ca="1" si="114"/>
        <v>301.07254166666223</v>
      </c>
      <c r="O124" s="3">
        <f t="shared" si="115"/>
        <v>4932472</v>
      </c>
      <c r="P124" s="3">
        <f t="shared" si="116"/>
        <v>3485726.9242475</v>
      </c>
      <c r="Q124" s="3">
        <f t="shared" si="117"/>
        <v>0</v>
      </c>
      <c r="R124" s="3">
        <f t="shared" si="118"/>
        <v>0</v>
      </c>
      <c r="S124" s="47">
        <f t="shared" ca="1" si="137"/>
        <v>7973287.0776772816</v>
      </c>
      <c r="T124" s="47">
        <f>IFERROR(HLOOKUP(B124-1,'EV Forecast WRZ'!$F$124:$T$130,3,FALSE)/12,0)+IFERROR(((HLOOKUP(B124,'EV Forecast WRZ'!$F$116:$T$122,3,FALSE)-HLOOKUP(B124-1,'EV Forecast WRZ'!$F$124:$T$130,3,FALSE)))*C124/78,0)</f>
        <v>86307.433404251497</v>
      </c>
      <c r="U124" s="47">
        <f ca="1">HLOOKUP(B124,Heating!$R$102:$AD$106,4,FALSE)*INDEX(Weather!$BO$1:$CB$20,MATCH(B124,Weather!$BO$1:$BO$20,0),MATCH(C124,Weather!$BO$1:$CB$1,0))/VLOOKUP(B124,Weather!$BO$2:$CB$20,14,FALSE)</f>
        <v>211189.51423230927</v>
      </c>
      <c r="V124" s="47">
        <f t="shared" ca="1" si="128"/>
        <v>8270784.025313843</v>
      </c>
    </row>
    <row r="125" spans="1:22">
      <c r="A125" s="2">
        <f t="shared" si="131"/>
        <v>46142</v>
      </c>
      <c r="B125">
        <f t="shared" si="132"/>
        <v>2026</v>
      </c>
      <c r="C125">
        <f t="shared" si="133"/>
        <v>4</v>
      </c>
      <c r="E125" s="3">
        <f t="shared" ref="E125:F125" ca="1" si="152">E113</f>
        <v>412.8885416666667</v>
      </c>
      <c r="F125" s="3">
        <f t="shared" ca="1" si="152"/>
        <v>6.0095833333333344</v>
      </c>
      <c r="G125" s="47">
        <f t="shared" si="135"/>
        <v>30</v>
      </c>
      <c r="H125" s="89">
        <f>'Economic Data'!F151</f>
        <v>242.86375000000001</v>
      </c>
      <c r="J125">
        <f t="shared" si="136"/>
        <v>0</v>
      </c>
      <c r="L125" s="3">
        <f t="shared" si="112"/>
        <v>-2785699</v>
      </c>
      <c r="M125" s="3">
        <f t="shared" ca="1" si="113"/>
        <v>1620822.0467333335</v>
      </c>
      <c r="N125" s="3">
        <f t="shared" ca="1" si="114"/>
        <v>61160.13054166668</v>
      </c>
      <c r="O125" s="3">
        <f t="shared" si="115"/>
        <v>4773360</v>
      </c>
      <c r="P125" s="3">
        <f t="shared" si="116"/>
        <v>3434737.0139374998</v>
      </c>
      <c r="Q125" s="3">
        <f t="shared" si="117"/>
        <v>0</v>
      </c>
      <c r="R125" s="3">
        <f t="shared" si="118"/>
        <v>0</v>
      </c>
      <c r="S125" s="47">
        <f t="shared" ca="1" si="137"/>
        <v>7104380.1912124995</v>
      </c>
      <c r="T125" s="47">
        <f>IFERROR(HLOOKUP(B125-1,'EV Forecast WRZ'!$F$124:$T$130,3,FALSE)/12,0)+IFERROR(((HLOOKUP(B125,'EV Forecast WRZ'!$F$116:$T$122,3,FALSE)-HLOOKUP(B125-1,'EV Forecast WRZ'!$F$124:$T$130,3,FALSE)))*C125/78,0)</f>
        <v>88068.464539001987</v>
      </c>
      <c r="U125" s="47">
        <f ca="1">HLOOKUP(B125,Heating!$R$102:$AD$106,4,FALSE)*INDEX(Weather!$BO$1:$CB$20,MATCH(B125,Weather!$BO$1:$BO$20,0),MATCH(C125,Weather!$BO$1:$CB$1,0))/VLOOKUP(B125,Weather!$BO$2:$CB$20,14,FALSE)</f>
        <v>139519.73822061173</v>
      </c>
      <c r="V125" s="47">
        <f t="shared" ca="1" si="128"/>
        <v>7331968.3939721128</v>
      </c>
    </row>
    <row r="126" spans="1:22">
      <c r="A126" s="2">
        <f t="shared" si="131"/>
        <v>46173</v>
      </c>
      <c r="B126">
        <f t="shared" si="132"/>
        <v>2026</v>
      </c>
      <c r="C126">
        <f t="shared" si="133"/>
        <v>5</v>
      </c>
      <c r="E126" s="3">
        <f t="shared" ref="E126:F126" ca="1" si="153">E114</f>
        <v>208.90012508544086</v>
      </c>
      <c r="F126" s="3">
        <f t="shared" ca="1" si="153"/>
        <v>81.50872474747473</v>
      </c>
      <c r="G126" s="47">
        <f t="shared" si="135"/>
        <v>31</v>
      </c>
      <c r="H126" s="89">
        <f>'Economic Data'!F152</f>
        <v>242.16270000000003</v>
      </c>
      <c r="J126">
        <f t="shared" si="136"/>
        <v>0</v>
      </c>
      <c r="L126" s="3">
        <f t="shared" si="112"/>
        <v>-2785699</v>
      </c>
      <c r="M126" s="3">
        <f t="shared" ca="1" si="113"/>
        <v>820051.64623140392</v>
      </c>
      <c r="N126" s="3">
        <f t="shared" ca="1" si="114"/>
        <v>829522.44262752507</v>
      </c>
      <c r="O126" s="3">
        <f t="shared" si="115"/>
        <v>4932472</v>
      </c>
      <c r="P126" s="3">
        <f t="shared" si="116"/>
        <v>3424822.3091550004</v>
      </c>
      <c r="Q126" s="3">
        <f t="shared" si="117"/>
        <v>0</v>
      </c>
      <c r="R126" s="3">
        <f t="shared" si="118"/>
        <v>0</v>
      </c>
      <c r="S126" s="47">
        <f t="shared" ca="1" si="137"/>
        <v>7221169.3980139289</v>
      </c>
      <c r="T126" s="47">
        <f>IFERROR(HLOOKUP(B126-1,'EV Forecast WRZ'!$F$124:$T$130,3,FALSE)/12,0)+IFERROR(((HLOOKUP(B126,'EV Forecast WRZ'!$F$116:$T$122,3,FALSE)-HLOOKUP(B126-1,'EV Forecast WRZ'!$F$124:$T$130,3,FALSE)))*C126/78,0)</f>
        <v>89829.495673752477</v>
      </c>
      <c r="U126" s="47">
        <f ca="1">HLOOKUP(B126,Heating!$R$102:$AD$106,4,FALSE)*INDEX(Weather!$BO$1:$CB$20,MATCH(B126,Weather!$BO$1:$BO$20,0),MATCH(C126,Weather!$BO$1:$CB$1,0))/VLOOKUP(B126,Weather!$BO$2:$CB$20,14,FALSE)</f>
        <v>61373.280308758825</v>
      </c>
      <c r="V126" s="47">
        <f t="shared" ca="1" si="128"/>
        <v>7372372.1739964401</v>
      </c>
    </row>
    <row r="127" spans="1:22">
      <c r="A127" s="2">
        <f t="shared" si="131"/>
        <v>46203</v>
      </c>
      <c r="B127">
        <f t="shared" si="132"/>
        <v>2026</v>
      </c>
      <c r="C127">
        <f t="shared" si="133"/>
        <v>6</v>
      </c>
      <c r="E127" s="3">
        <f t="shared" ref="E127:F127" ca="1" si="154">E115</f>
        <v>61.78217382617381</v>
      </c>
      <c r="F127" s="3">
        <f t="shared" ca="1" si="154"/>
        <v>202.3599342107168</v>
      </c>
      <c r="G127" s="47">
        <f t="shared" si="135"/>
        <v>30</v>
      </c>
      <c r="H127" s="89">
        <f>'Economic Data'!F153</f>
        <v>241.36150000000001</v>
      </c>
      <c r="J127">
        <f t="shared" si="136"/>
        <v>0</v>
      </c>
      <c r="L127" s="3">
        <f t="shared" si="112"/>
        <v>-2785699</v>
      </c>
      <c r="M127" s="3">
        <f t="shared" ca="1" si="113"/>
        <v>242530.12454246549</v>
      </c>
      <c r="N127" s="3">
        <f t="shared" ca="1" si="114"/>
        <v>2059437.286455886</v>
      </c>
      <c r="O127" s="3">
        <f t="shared" si="115"/>
        <v>4773360</v>
      </c>
      <c r="P127" s="3">
        <f t="shared" si="116"/>
        <v>3413491.2179749999</v>
      </c>
      <c r="Q127" s="3">
        <f t="shared" si="117"/>
        <v>0</v>
      </c>
      <c r="R127" s="3">
        <f t="shared" si="118"/>
        <v>0</v>
      </c>
      <c r="S127" s="47">
        <f t="shared" ca="1" si="137"/>
        <v>7703119.6289733518</v>
      </c>
      <c r="T127" s="47">
        <f>IFERROR(HLOOKUP(B127-1,'EV Forecast WRZ'!$F$124:$T$130,3,FALSE)/12,0)+IFERROR(((HLOOKUP(B127,'EV Forecast WRZ'!$F$116:$T$122,3,FALSE)-HLOOKUP(B127-1,'EV Forecast WRZ'!$F$124:$T$130,3,FALSE)))*C127/78,0)</f>
        <v>91590.526808502967</v>
      </c>
      <c r="U127" s="47">
        <f ca="1">HLOOKUP(B127,Heating!$R$102:$AD$106,4,FALSE)*INDEX(Weather!$BO$1:$CB$20,MATCH(B127,Weather!$BO$1:$BO$20,0),MATCH(C127,Weather!$BO$1:$CB$1,0))/VLOOKUP(B127,Weather!$BO$2:$CB$20,14,FALSE)</f>
        <v>11968.040633476936</v>
      </c>
      <c r="V127" s="47">
        <f t="shared" ca="1" si="128"/>
        <v>7806678.1964153321</v>
      </c>
    </row>
    <row r="128" spans="1:22">
      <c r="A128" s="2">
        <f t="shared" si="131"/>
        <v>46234</v>
      </c>
      <c r="B128">
        <f t="shared" si="132"/>
        <v>2026</v>
      </c>
      <c r="C128">
        <f t="shared" si="133"/>
        <v>7</v>
      </c>
      <c r="E128" s="3">
        <f t="shared" ref="E128:F128" ca="1" si="155">E116</f>
        <v>8.334479813664597</v>
      </c>
      <c r="F128" s="3">
        <f t="shared" ca="1" si="155"/>
        <v>304.72508692061177</v>
      </c>
      <c r="G128" s="47">
        <f t="shared" si="135"/>
        <v>31</v>
      </c>
      <c r="H128" s="89">
        <f>'Economic Data'!F154</f>
        <v>245.16720000000004</v>
      </c>
      <c r="J128">
        <f t="shared" si="136"/>
        <v>0</v>
      </c>
      <c r="L128" s="3">
        <f t="shared" si="112"/>
        <v>-2785699</v>
      </c>
      <c r="M128" s="3">
        <f t="shared" ca="1" si="113"/>
        <v>32717.567253167708</v>
      </c>
      <c r="N128" s="3">
        <f t="shared" ca="1" si="114"/>
        <v>3101217.6820997582</v>
      </c>
      <c r="O128" s="3">
        <f t="shared" si="115"/>
        <v>4932472</v>
      </c>
      <c r="P128" s="3">
        <f t="shared" si="116"/>
        <v>3467313.9010800002</v>
      </c>
      <c r="Q128" s="3">
        <f t="shared" si="117"/>
        <v>0</v>
      </c>
      <c r="R128" s="3">
        <f t="shared" si="118"/>
        <v>0</v>
      </c>
      <c r="S128" s="47">
        <f t="shared" ca="1" si="137"/>
        <v>8748022.1504329257</v>
      </c>
      <c r="T128" s="47">
        <f>IFERROR(HLOOKUP(B128-1,'EV Forecast WRZ'!$F$124:$T$130,3,FALSE)/12,0)+IFERROR(((HLOOKUP(B128,'EV Forecast WRZ'!$F$116:$T$122,3,FALSE)-HLOOKUP(B128-1,'EV Forecast WRZ'!$F$124:$T$130,3,FALSE)))*C128/78,0)</f>
        <v>93351.557943253472</v>
      </c>
      <c r="U128" s="47">
        <f ca="1">HLOOKUP(B128,Heating!$R$102:$AD$106,4,FALSE)*INDEX(Weather!$BO$1:$CB$20,MATCH(B128,Weather!$BO$1:$BO$20,0),MATCH(C128,Weather!$BO$1:$CB$1,0))/VLOOKUP(B128,Weather!$BO$2:$CB$20,14,FALSE)</f>
        <v>428.76414727741314</v>
      </c>
      <c r="V128" s="47">
        <f t="shared" ca="1" si="128"/>
        <v>8841802.4725234564</v>
      </c>
    </row>
    <row r="129" spans="1:22">
      <c r="A129" s="2">
        <f t="shared" si="131"/>
        <v>46265</v>
      </c>
      <c r="B129">
        <f t="shared" si="132"/>
        <v>2026</v>
      </c>
      <c r="C129">
        <f t="shared" si="133"/>
        <v>8</v>
      </c>
      <c r="E129" s="3">
        <f t="shared" ref="E129:F129" ca="1" si="156">E117</f>
        <v>21.054927536231883</v>
      </c>
      <c r="F129" s="3">
        <f t="shared" ca="1" si="156"/>
        <v>275.96017127799735</v>
      </c>
      <c r="G129" s="47">
        <f t="shared" si="135"/>
        <v>31</v>
      </c>
      <c r="H129" s="89">
        <f>'Economic Data'!F155</f>
        <v>248.87275000000002</v>
      </c>
      <c r="J129">
        <f t="shared" si="136"/>
        <v>0</v>
      </c>
      <c r="L129" s="3">
        <f t="shared" si="112"/>
        <v>-2785699</v>
      </c>
      <c r="M129" s="3">
        <f t="shared" ca="1" si="113"/>
        <v>82652.549778550732</v>
      </c>
      <c r="N129" s="3">
        <f t="shared" ca="1" si="114"/>
        <v>2808474.2591133071</v>
      </c>
      <c r="O129" s="3">
        <f t="shared" si="115"/>
        <v>4932472</v>
      </c>
      <c r="P129" s="3">
        <f t="shared" si="116"/>
        <v>3519720.1977875005</v>
      </c>
      <c r="Q129" s="3">
        <f t="shared" si="117"/>
        <v>0</v>
      </c>
      <c r="R129" s="3">
        <f t="shared" si="118"/>
        <v>0</v>
      </c>
      <c r="S129" s="47">
        <f t="shared" ca="1" si="137"/>
        <v>8557620.006679358</v>
      </c>
      <c r="T129" s="47">
        <f>IFERROR(HLOOKUP(B129-1,'EV Forecast WRZ'!$F$124:$T$130,3,FALSE)/12,0)+IFERROR(((HLOOKUP(B129,'EV Forecast WRZ'!$F$116:$T$122,3,FALSE)-HLOOKUP(B129-1,'EV Forecast WRZ'!$F$124:$T$130,3,FALSE)))*C129/78,0)</f>
        <v>95112.589078003963</v>
      </c>
      <c r="U129" s="47">
        <f ca="1">HLOOKUP(B129,Heating!$R$102:$AD$106,4,FALSE)*INDEX(Weather!$BO$1:$CB$20,MATCH(B129,Weather!$BO$1:$BO$20,0),MATCH(C129,Weather!$BO$1:$CB$1,0))/VLOOKUP(B129,Weather!$BO$2:$CB$20,14,FALSE)</f>
        <v>2539.8057575376274</v>
      </c>
      <c r="V129" s="47">
        <f t="shared" ca="1" si="128"/>
        <v>8655272.401514899</v>
      </c>
    </row>
    <row r="130" spans="1:22">
      <c r="A130" s="2">
        <f t="shared" si="131"/>
        <v>46295</v>
      </c>
      <c r="B130">
        <f t="shared" si="132"/>
        <v>2026</v>
      </c>
      <c r="C130">
        <f t="shared" si="133"/>
        <v>9</v>
      </c>
      <c r="E130" s="3">
        <f t="shared" ref="E130:F130" ca="1" si="157">E118</f>
        <v>97.667119565217376</v>
      </c>
      <c r="F130" s="3">
        <f t="shared" ca="1" si="157"/>
        <v>154.9849637681159</v>
      </c>
      <c r="G130" s="47">
        <f t="shared" si="135"/>
        <v>30</v>
      </c>
      <c r="H130" s="89">
        <f>'Economic Data'!F156</f>
        <v>254.18070000000003</v>
      </c>
      <c r="J130">
        <f t="shared" si="136"/>
        <v>1</v>
      </c>
      <c r="L130" s="3">
        <f t="shared" ref="L130:L161" si="158">$Z$8</f>
        <v>-2785699</v>
      </c>
      <c r="M130" s="3">
        <f t="shared" ref="M130:M161" ca="1" si="159">E130*$Z$9</f>
        <v>383398.91921739129</v>
      </c>
      <c r="N130" s="3">
        <f t="shared" ref="N130:N161" ca="1" si="160">F130*$Z$10</f>
        <v>1577297.4747644924</v>
      </c>
      <c r="O130" s="3">
        <f t="shared" ref="O130:O161" si="161">G130*$Z$11</f>
        <v>4773360</v>
      </c>
      <c r="P130" s="3">
        <f t="shared" ref="P130:P161" si="162">H130*$Z$12</f>
        <v>3594788.6768550002</v>
      </c>
      <c r="Q130" s="3">
        <f t="shared" ref="Q130:Q161" si="163">I130*$Z$13</f>
        <v>0</v>
      </c>
      <c r="R130" s="3">
        <f t="shared" ref="R130:R161" si="164">J130*$Z$14</f>
        <v>193962.4</v>
      </c>
      <c r="S130" s="47">
        <f t="shared" ca="1" si="137"/>
        <v>7737108.4708368843</v>
      </c>
      <c r="T130" s="47">
        <f>IFERROR(HLOOKUP(B130-1,'EV Forecast WRZ'!$F$124:$T$130,3,FALSE)/12,0)+IFERROR(((HLOOKUP(B130,'EV Forecast WRZ'!$F$116:$T$122,3,FALSE)-HLOOKUP(B130-1,'EV Forecast WRZ'!$F$124:$T$130,3,FALSE)))*C130/78,0)</f>
        <v>96873.620212754453</v>
      </c>
      <c r="U130" s="47">
        <f ca="1">HLOOKUP(B130,Heating!$R$102:$AD$106,4,FALSE)*INDEX(Weather!$BO$1:$CB$20,MATCH(B130,Weather!$BO$1:$BO$20,0),MATCH(C130,Weather!$BO$1:$CB$1,0))/VLOOKUP(B130,Weather!$BO$2:$CB$20,14,FALSE)</f>
        <v>21510.862866286454</v>
      </c>
      <c r="V130" s="47">
        <f t="shared" ca="1" si="128"/>
        <v>7855492.9539159248</v>
      </c>
    </row>
    <row r="131" spans="1:22">
      <c r="A131" s="2">
        <f t="shared" si="131"/>
        <v>46326</v>
      </c>
      <c r="B131">
        <f t="shared" si="132"/>
        <v>2026</v>
      </c>
      <c r="C131">
        <f t="shared" si="133"/>
        <v>10</v>
      </c>
      <c r="E131" s="3">
        <f t="shared" ref="E131:F131" ca="1" si="165">E119</f>
        <v>292.46431159420291</v>
      </c>
      <c r="F131" s="3">
        <f t="shared" ca="1" si="165"/>
        <v>38.347916666666663</v>
      </c>
      <c r="G131" s="47">
        <f t="shared" si="135"/>
        <v>31</v>
      </c>
      <c r="H131" s="89">
        <f>'Economic Data'!F157</f>
        <v>257.48565000000002</v>
      </c>
      <c r="J131">
        <f t="shared" si="136"/>
        <v>1</v>
      </c>
      <c r="L131" s="3">
        <f t="shared" si="158"/>
        <v>-2785699</v>
      </c>
      <c r="M131" s="3">
        <f t="shared" ca="1" si="159"/>
        <v>1148088.542736232</v>
      </c>
      <c r="N131" s="3">
        <f t="shared" ca="1" si="160"/>
        <v>390270.58270833333</v>
      </c>
      <c r="O131" s="3">
        <f t="shared" si="161"/>
        <v>4932472</v>
      </c>
      <c r="P131" s="3">
        <f t="shared" si="162"/>
        <v>3641529.4279725002</v>
      </c>
      <c r="Q131" s="3">
        <f t="shared" si="163"/>
        <v>0</v>
      </c>
      <c r="R131" s="3">
        <f t="shared" si="164"/>
        <v>193962.4</v>
      </c>
      <c r="S131" s="47">
        <f t="shared" ca="1" si="137"/>
        <v>7520623.9534170665</v>
      </c>
      <c r="T131" s="47">
        <f>IFERROR(HLOOKUP(B131-1,'EV Forecast WRZ'!$F$124:$T$130,3,FALSE)/12,0)+IFERROR(((HLOOKUP(B131,'EV Forecast WRZ'!$F$116:$T$122,3,FALSE)-HLOOKUP(B131-1,'EV Forecast WRZ'!$F$124:$T$130,3,FALSE)))*C131/78,0)</f>
        <v>98634.651347504958</v>
      </c>
      <c r="U131" s="47">
        <f ca="1">HLOOKUP(B131,Heating!$R$102:$AD$106,4,FALSE)*INDEX(Weather!$BO$1:$CB$20,MATCH(B131,Weather!$BO$1:$BO$20,0),MATCH(C131,Weather!$BO$1:$CB$1,0))/VLOOKUP(B131,Weather!$BO$2:$CB$20,14,FALSE)</f>
        <v>91800.38844069156</v>
      </c>
      <c r="V131" s="47">
        <f t="shared" ca="1" si="128"/>
        <v>7711058.9932052633</v>
      </c>
    </row>
    <row r="132" spans="1:22">
      <c r="A132" s="2">
        <f t="shared" si="131"/>
        <v>46356</v>
      </c>
      <c r="B132">
        <f t="shared" si="132"/>
        <v>2026</v>
      </c>
      <c r="C132">
        <f t="shared" si="133"/>
        <v>11</v>
      </c>
      <c r="E132" s="3">
        <f t="shared" ref="E132:F132" ca="1" si="166">E120</f>
        <v>495.51408055712409</v>
      </c>
      <c r="F132" s="3">
        <f t="shared" ca="1" si="166"/>
        <v>1.9241666666666659</v>
      </c>
      <c r="G132" s="47">
        <f t="shared" si="135"/>
        <v>30</v>
      </c>
      <c r="H132" s="89">
        <f>'Economic Data'!F158</f>
        <v>259.98940000000005</v>
      </c>
      <c r="J132">
        <f t="shared" si="136"/>
        <v>1</v>
      </c>
      <c r="L132" s="3">
        <f t="shared" si="158"/>
        <v>-2785699</v>
      </c>
      <c r="M132" s="3">
        <f t="shared" ca="1" si="159"/>
        <v>1945174.2181844686</v>
      </c>
      <c r="N132" s="3">
        <f t="shared" ca="1" si="160"/>
        <v>19582.436583333325</v>
      </c>
      <c r="O132" s="3">
        <f t="shared" si="161"/>
        <v>4773360</v>
      </c>
      <c r="P132" s="3">
        <f t="shared" si="162"/>
        <v>3676939.0879100007</v>
      </c>
      <c r="Q132" s="3">
        <f t="shared" si="163"/>
        <v>0</v>
      </c>
      <c r="R132" s="3">
        <f t="shared" si="164"/>
        <v>193962.4</v>
      </c>
      <c r="S132" s="47">
        <f t="shared" ca="1" si="137"/>
        <v>7823319.1426778026</v>
      </c>
      <c r="T132" s="47">
        <f>IFERROR(HLOOKUP(B132-1,'EV Forecast WRZ'!$F$124:$T$130,3,FALSE)/12,0)+IFERROR(((HLOOKUP(B132,'EV Forecast WRZ'!$F$116:$T$122,3,FALSE)-HLOOKUP(B132-1,'EV Forecast WRZ'!$F$124:$T$130,3,FALSE)))*C132/78,0)</f>
        <v>100395.68248225545</v>
      </c>
      <c r="U132" s="47">
        <f ca="1">HLOOKUP(B132,Heating!$R$102:$AD$106,4,FALSE)*INDEX(Weather!$BO$1:$CB$20,MATCH(B132,Weather!$BO$1:$BO$20,0),MATCH(C132,Weather!$BO$1:$CB$1,0))/VLOOKUP(B132,Weather!$BO$2:$CB$20,14,FALSE)</f>
        <v>172170.10223039464</v>
      </c>
      <c r="V132" s="47">
        <f t="shared" ca="1" si="128"/>
        <v>8095884.9273904525</v>
      </c>
    </row>
    <row r="133" spans="1:22">
      <c r="A133" s="2">
        <f t="shared" si="131"/>
        <v>46387</v>
      </c>
      <c r="B133">
        <f t="shared" si="132"/>
        <v>2026</v>
      </c>
      <c r="C133">
        <f t="shared" si="133"/>
        <v>12</v>
      </c>
      <c r="E133" s="3">
        <f t="shared" ref="E133:F133" ca="1" si="167">E121</f>
        <v>664.38541666666663</v>
      </c>
      <c r="F133" s="3">
        <f t="shared" ca="1" si="167"/>
        <v>0</v>
      </c>
      <c r="G133" s="47">
        <f t="shared" si="135"/>
        <v>31</v>
      </c>
      <c r="H133" s="89">
        <f>'Economic Data'!F159</f>
        <v>257.18520000000001</v>
      </c>
      <c r="J133">
        <f t="shared" si="136"/>
        <v>0</v>
      </c>
      <c r="L133" s="3">
        <f t="shared" si="158"/>
        <v>-2785699</v>
      </c>
      <c r="M133" s="3">
        <f t="shared" ca="1" si="159"/>
        <v>2608090.1313333334</v>
      </c>
      <c r="N133" s="3">
        <f t="shared" ca="1" si="160"/>
        <v>0</v>
      </c>
      <c r="O133" s="3">
        <f t="shared" si="161"/>
        <v>4932472</v>
      </c>
      <c r="P133" s="3">
        <f t="shared" si="162"/>
        <v>3637280.26878</v>
      </c>
      <c r="Q133" s="3">
        <f t="shared" si="163"/>
        <v>0</v>
      </c>
      <c r="R133" s="3">
        <f t="shared" si="164"/>
        <v>0</v>
      </c>
      <c r="S133" s="47">
        <f t="shared" ca="1" si="137"/>
        <v>8392143.400113333</v>
      </c>
      <c r="T133" s="47">
        <f>IFERROR(HLOOKUP(B133-1,'EV Forecast WRZ'!$F$124:$T$130,3,FALSE)/12,0)+IFERROR(((HLOOKUP(B133,'EV Forecast WRZ'!$F$116:$T$122,3,FALSE)-HLOOKUP(B133-1,'EV Forecast WRZ'!$F$124:$T$130,3,FALSE)))*C133/78,0)</f>
        <v>102156.71361700594</v>
      </c>
      <c r="U133" s="47">
        <f ca="1">HLOOKUP(B133,Heating!$R$102:$AD$106,4,FALSE)*INDEX(Weather!$BO$1:$CB$20,MATCH(B133,Weather!$BO$1:$BO$20,0),MATCH(C133,Weather!$BO$1:$CB$1,0))/VLOOKUP(B133,Weather!$BO$2:$CB$20,14,FALSE)</f>
        <v>238138.70411933889</v>
      </c>
      <c r="V133" s="47">
        <f t="shared" ca="1" si="128"/>
        <v>8732438.8178496789</v>
      </c>
    </row>
    <row r="134" spans="1:22">
      <c r="A134" s="2">
        <f t="shared" si="131"/>
        <v>46418</v>
      </c>
      <c r="B134">
        <f t="shared" si="132"/>
        <v>2027</v>
      </c>
      <c r="C134">
        <f t="shared" si="133"/>
        <v>1</v>
      </c>
      <c r="E134" s="3">
        <f t="shared" ref="E134:F134" ca="1" si="168">E122</f>
        <v>752.78750000000002</v>
      </c>
      <c r="F134" s="3">
        <f t="shared" ca="1" si="168"/>
        <v>0</v>
      </c>
      <c r="G134" s="47">
        <f t="shared" si="135"/>
        <v>31</v>
      </c>
      <c r="H134" s="89">
        <f>'Economic Data'!F160</f>
        <v>254.19040000000004</v>
      </c>
      <c r="J134">
        <f t="shared" si="136"/>
        <v>0</v>
      </c>
      <c r="L134" s="3">
        <f t="shared" si="158"/>
        <v>-2785699</v>
      </c>
      <c r="M134" s="3">
        <f t="shared" ca="1" si="159"/>
        <v>2955118.5208000001</v>
      </c>
      <c r="N134" s="3">
        <f t="shared" ca="1" si="160"/>
        <v>0</v>
      </c>
      <c r="O134" s="3">
        <f t="shared" si="161"/>
        <v>4932472</v>
      </c>
      <c r="P134" s="3">
        <f t="shared" si="162"/>
        <v>3594925.8605600004</v>
      </c>
      <c r="Q134" s="3">
        <f t="shared" si="163"/>
        <v>0</v>
      </c>
      <c r="R134" s="3">
        <f t="shared" si="164"/>
        <v>0</v>
      </c>
      <c r="S134" s="47">
        <f t="shared" ca="1" si="137"/>
        <v>8696817.38136</v>
      </c>
      <c r="T134" s="47">
        <f>IFERROR(HLOOKUP(B134-1,'EV Forecast WRZ'!$F$124:$T$130,3,FALSE)/12,0)+IFERROR(((HLOOKUP(B134,'EV Forecast WRZ'!$F$116:$T$122,3,FALSE)-HLOOKUP(B134-1,'EV Forecast WRZ'!$F$124:$T$130,3,FALSE)))*C134/78,0)</f>
        <v>105890.65533372659</v>
      </c>
      <c r="U134" s="47">
        <f ca="1">HLOOKUP(B134,Heating!$R$102:$AD$106,4,FALSE)*INDEX(Weather!$BO$1:$CB$20,MATCH(B134,Weather!$BO$1:$BO$20,0),MATCH(C134,Weather!$BO$1:$CB$1,0))/VLOOKUP(B134,Weather!$BO$2:$CB$20,14,FALSE)</f>
        <v>320021.4898653205</v>
      </c>
      <c r="V134" s="47">
        <f t="shared" ca="1" si="128"/>
        <v>9122729.5265590455</v>
      </c>
    </row>
    <row r="135" spans="1:22">
      <c r="A135" s="2">
        <f t="shared" si="131"/>
        <v>46446</v>
      </c>
      <c r="B135">
        <f t="shared" si="132"/>
        <v>2027</v>
      </c>
      <c r="C135">
        <f t="shared" si="133"/>
        <v>2</v>
      </c>
      <c r="E135" s="3">
        <f t="shared" ref="E135:F135" ca="1" si="169">E123</f>
        <v>660.7954166666666</v>
      </c>
      <c r="F135" s="3">
        <f t="shared" ca="1" si="169"/>
        <v>0</v>
      </c>
      <c r="G135" s="47">
        <f t="shared" si="135"/>
        <v>29</v>
      </c>
      <c r="H135" s="89">
        <f>'Economic Data'!F161</f>
        <v>252.68215000000004</v>
      </c>
      <c r="J135">
        <f t="shared" si="136"/>
        <v>0</v>
      </c>
      <c r="L135" s="3">
        <f t="shared" si="158"/>
        <v>-2785699</v>
      </c>
      <c r="M135" s="3">
        <f t="shared" ca="1" si="159"/>
        <v>2593997.3422133331</v>
      </c>
      <c r="N135" s="3">
        <f t="shared" ca="1" si="160"/>
        <v>0</v>
      </c>
      <c r="O135" s="3">
        <f t="shared" si="161"/>
        <v>4614248</v>
      </c>
      <c r="P135" s="3">
        <f t="shared" si="162"/>
        <v>3573595.2086975006</v>
      </c>
      <c r="Q135" s="3">
        <f t="shared" si="163"/>
        <v>0</v>
      </c>
      <c r="R135" s="3">
        <f t="shared" si="164"/>
        <v>0</v>
      </c>
      <c r="S135" s="47">
        <f t="shared" ca="1" si="137"/>
        <v>7996141.5509108333</v>
      </c>
      <c r="T135" s="47">
        <f>IFERROR(HLOOKUP(B135-1,'EV Forecast WRZ'!$F$124:$T$130,3,FALSE)/12,0)+IFERROR(((HLOOKUP(B135,'EV Forecast WRZ'!$F$116:$T$122,3,FALSE)-HLOOKUP(B135-1,'EV Forecast WRZ'!$F$124:$T$130,3,FALSE)))*C135/78,0)</f>
        <v>107863.56591569674</v>
      </c>
      <c r="U135" s="47">
        <f ca="1">HLOOKUP(B135,Heating!$R$102:$AD$106,4,FALSE)*INDEX(Weather!$BO$1:$CB$20,MATCH(B135,Weather!$BO$1:$BO$20,0),MATCH(C135,Weather!$BO$1:$CB$1,0))/VLOOKUP(B135,Weather!$BO$2:$CB$20,14,FALSE)</f>
        <v>279905.92969830043</v>
      </c>
      <c r="V135" s="47">
        <f t="shared" ca="1" si="128"/>
        <v>8383911.0465248302</v>
      </c>
    </row>
    <row r="136" spans="1:22">
      <c r="A136" s="2">
        <f t="shared" si="131"/>
        <v>46477</v>
      </c>
      <c r="B136">
        <f t="shared" si="132"/>
        <v>2027</v>
      </c>
      <c r="C136">
        <f t="shared" si="133"/>
        <v>3</v>
      </c>
      <c r="E136" s="3">
        <f t="shared" ref="E136:F136" ca="1" si="170">E124</f>
        <v>596.21590579710141</v>
      </c>
      <c r="F136" s="3">
        <f t="shared" ca="1" si="170"/>
        <v>2.9583333333332896E-2</v>
      </c>
      <c r="G136" s="47">
        <f t="shared" si="135"/>
        <v>31</v>
      </c>
      <c r="H136" s="89">
        <f>'Economic Data'!F162</f>
        <v>247.82473032500002</v>
      </c>
      <c r="J136">
        <f t="shared" si="136"/>
        <v>0</v>
      </c>
      <c r="L136" s="3">
        <f t="shared" si="158"/>
        <v>-2785699</v>
      </c>
      <c r="M136" s="3">
        <f t="shared" ca="1" si="159"/>
        <v>2340486.0808881158</v>
      </c>
      <c r="N136" s="3">
        <f t="shared" ca="1" si="160"/>
        <v>301.07254166666223</v>
      </c>
      <c r="O136" s="3">
        <f t="shared" si="161"/>
        <v>4932472</v>
      </c>
      <c r="P136" s="3">
        <f t="shared" si="162"/>
        <v>3504898.4223308614</v>
      </c>
      <c r="Q136" s="3">
        <f t="shared" si="163"/>
        <v>0</v>
      </c>
      <c r="R136" s="3">
        <f t="shared" si="164"/>
        <v>0</v>
      </c>
      <c r="S136" s="47">
        <f t="shared" ca="1" si="137"/>
        <v>7992458.5757606439</v>
      </c>
      <c r="T136" s="47">
        <f>IFERROR(HLOOKUP(B136-1,'EV Forecast WRZ'!$F$124:$T$130,3,FALSE)/12,0)+IFERROR(((HLOOKUP(B136,'EV Forecast WRZ'!$F$116:$T$122,3,FALSE)-HLOOKUP(B136-1,'EV Forecast WRZ'!$F$124:$T$130,3,FALSE)))*C136/78,0)</f>
        <v>109836.4764976669</v>
      </c>
      <c r="U136" s="47">
        <f ca="1">HLOOKUP(B136,Heating!$R$102:$AD$106,4,FALSE)*INDEX(Weather!$BO$1:$CB$20,MATCH(B136,Weather!$BO$1:$BO$20,0),MATCH(C136,Weather!$BO$1:$CB$1,0))/VLOOKUP(B136,Weather!$BO$2:$CB$20,14,FALSE)</f>
        <v>247486.48474811728</v>
      </c>
      <c r="V136" s="47">
        <f t="shared" ca="1" si="128"/>
        <v>8349781.5370064285</v>
      </c>
    </row>
    <row r="137" spans="1:22">
      <c r="A137" s="2">
        <f t="shared" si="131"/>
        <v>46507</v>
      </c>
      <c r="B137">
        <f t="shared" si="132"/>
        <v>2027</v>
      </c>
      <c r="C137">
        <f t="shared" si="133"/>
        <v>4</v>
      </c>
      <c r="E137" s="3">
        <f t="shared" ref="E137:F137" ca="1" si="171">E125</f>
        <v>412.8885416666667</v>
      </c>
      <c r="F137" s="3">
        <f t="shared" ca="1" si="171"/>
        <v>6.0095833333333344</v>
      </c>
      <c r="G137" s="47">
        <f t="shared" si="135"/>
        <v>30</v>
      </c>
      <c r="H137" s="89">
        <f>'Economic Data'!F163</f>
        <v>244.19950062500001</v>
      </c>
      <c r="J137">
        <f t="shared" si="136"/>
        <v>0</v>
      </c>
      <c r="L137" s="3">
        <f t="shared" si="158"/>
        <v>-2785699</v>
      </c>
      <c r="M137" s="3">
        <f t="shared" ca="1" si="159"/>
        <v>1620822.0467333335</v>
      </c>
      <c r="N137" s="3">
        <f t="shared" ca="1" si="160"/>
        <v>61160.13054166668</v>
      </c>
      <c r="O137" s="3">
        <f t="shared" si="161"/>
        <v>4773360</v>
      </c>
      <c r="P137" s="3">
        <f t="shared" si="162"/>
        <v>3453628.0675141565</v>
      </c>
      <c r="Q137" s="3">
        <f t="shared" si="163"/>
        <v>0</v>
      </c>
      <c r="R137" s="3">
        <f t="shared" si="164"/>
        <v>0</v>
      </c>
      <c r="S137" s="47">
        <f t="shared" ca="1" si="137"/>
        <v>7123271.2447891571</v>
      </c>
      <c r="T137" s="47">
        <f>IFERROR(HLOOKUP(B137-1,'EV Forecast WRZ'!$F$124:$T$130,3,FALSE)/12,0)+IFERROR(((HLOOKUP(B137,'EV Forecast WRZ'!$F$116:$T$122,3,FALSE)-HLOOKUP(B137-1,'EV Forecast WRZ'!$F$124:$T$130,3,FALSE)))*C137/78,0)</f>
        <v>111809.38707963703</v>
      </c>
      <c r="U137" s="47">
        <f ca="1">HLOOKUP(B137,Heating!$R$102:$AD$106,4,FALSE)*INDEX(Weather!$BO$1:$CB$20,MATCH(B137,Weather!$BO$1:$BO$20,0),MATCH(C137,Weather!$BO$1:$CB$1,0))/VLOOKUP(B137,Weather!$BO$2:$CB$20,14,FALSE)</f>
        <v>163498.8824644695</v>
      </c>
      <c r="V137" s="47">
        <f t="shared" ca="1" si="128"/>
        <v>7398579.514333264</v>
      </c>
    </row>
    <row r="138" spans="1:22">
      <c r="A138" s="2">
        <f t="shared" si="131"/>
        <v>46538</v>
      </c>
      <c r="B138">
        <f t="shared" si="132"/>
        <v>2027</v>
      </c>
      <c r="C138">
        <f t="shared" si="133"/>
        <v>5</v>
      </c>
      <c r="E138" s="3">
        <f t="shared" ref="E138:F138" ca="1" si="172">E126</f>
        <v>208.90012508544086</v>
      </c>
      <c r="F138" s="3">
        <f t="shared" ca="1" si="172"/>
        <v>81.50872474747473</v>
      </c>
      <c r="G138" s="47">
        <f t="shared" si="135"/>
        <v>31</v>
      </c>
      <c r="H138" s="89">
        <f>'Economic Data'!F164</f>
        <v>243.49459485000006</v>
      </c>
      <c r="J138">
        <f t="shared" si="136"/>
        <v>0</v>
      </c>
      <c r="L138" s="3">
        <f t="shared" si="158"/>
        <v>-2785699</v>
      </c>
      <c r="M138" s="3">
        <f t="shared" ca="1" si="159"/>
        <v>820051.64623140392</v>
      </c>
      <c r="N138" s="3">
        <f t="shared" ca="1" si="160"/>
        <v>829522.44262752507</v>
      </c>
      <c r="O138" s="3">
        <f t="shared" si="161"/>
        <v>4932472</v>
      </c>
      <c r="P138" s="3">
        <f t="shared" si="162"/>
        <v>3443658.831855353</v>
      </c>
      <c r="Q138" s="3">
        <f t="shared" si="163"/>
        <v>0</v>
      </c>
      <c r="R138" s="3">
        <f t="shared" si="164"/>
        <v>0</v>
      </c>
      <c r="S138" s="47">
        <f t="shared" ca="1" si="137"/>
        <v>7240005.9207142815</v>
      </c>
      <c r="T138" s="47">
        <f>IFERROR(HLOOKUP(B138-1,'EV Forecast WRZ'!$F$124:$T$130,3,FALSE)/12,0)+IFERROR(((HLOOKUP(B138,'EV Forecast WRZ'!$F$116:$T$122,3,FALSE)-HLOOKUP(B138-1,'EV Forecast WRZ'!$F$124:$T$130,3,FALSE)))*C138/78,0)</f>
        <v>113782.29766160718</v>
      </c>
      <c r="U138" s="47">
        <f ca="1">HLOOKUP(B138,Heating!$R$102:$AD$106,4,FALSE)*INDEX(Weather!$BO$1:$CB$20,MATCH(B138,Weather!$BO$1:$BO$20,0),MATCH(C138,Weather!$BO$1:$CB$1,0))/VLOOKUP(B138,Weather!$BO$2:$CB$20,14,FALSE)</f>
        <v>71921.456215707512</v>
      </c>
      <c r="V138" s="47">
        <f t="shared" ca="1" si="128"/>
        <v>7425709.6745915962</v>
      </c>
    </row>
    <row r="139" spans="1:22">
      <c r="A139" s="2">
        <f t="shared" si="131"/>
        <v>46568</v>
      </c>
      <c r="B139">
        <f t="shared" si="132"/>
        <v>2027</v>
      </c>
      <c r="C139">
        <f t="shared" si="133"/>
        <v>6</v>
      </c>
      <c r="E139" s="3">
        <f t="shared" ref="E139:F139" ca="1" si="173">E127</f>
        <v>61.78217382617381</v>
      </c>
      <c r="F139" s="3">
        <f t="shared" ca="1" si="173"/>
        <v>202.3599342107168</v>
      </c>
      <c r="G139" s="47">
        <f t="shared" si="135"/>
        <v>30</v>
      </c>
      <c r="H139" s="89">
        <f>'Economic Data'!F165</f>
        <v>242.68898825000002</v>
      </c>
      <c r="J139">
        <f t="shared" si="136"/>
        <v>0</v>
      </c>
      <c r="L139" s="3">
        <f t="shared" si="158"/>
        <v>-2785699</v>
      </c>
      <c r="M139" s="3">
        <f t="shared" ca="1" si="159"/>
        <v>242530.12454246549</v>
      </c>
      <c r="N139" s="3">
        <f t="shared" ca="1" si="160"/>
        <v>2059437.286455886</v>
      </c>
      <c r="O139" s="3">
        <f t="shared" si="161"/>
        <v>4773360</v>
      </c>
      <c r="P139" s="3">
        <f t="shared" si="162"/>
        <v>3432265.4196738629</v>
      </c>
      <c r="Q139" s="3">
        <f t="shared" si="163"/>
        <v>0</v>
      </c>
      <c r="R139" s="3">
        <f t="shared" si="164"/>
        <v>0</v>
      </c>
      <c r="S139" s="47">
        <f t="shared" ca="1" si="137"/>
        <v>7721893.8306722147</v>
      </c>
      <c r="T139" s="47">
        <f>IFERROR(HLOOKUP(B139-1,'EV Forecast WRZ'!$F$124:$T$130,3,FALSE)/12,0)+IFERROR(((HLOOKUP(B139,'EV Forecast WRZ'!$F$116:$T$122,3,FALSE)-HLOOKUP(B139-1,'EV Forecast WRZ'!$F$124:$T$130,3,FALSE)))*C139/78,0)</f>
        <v>115755.20824357733</v>
      </c>
      <c r="U139" s="47">
        <f ca="1">HLOOKUP(B139,Heating!$R$102:$AD$106,4,FALSE)*INDEX(Weather!$BO$1:$CB$20,MATCH(B139,Weather!$BO$1:$BO$20,0),MATCH(C139,Weather!$BO$1:$CB$1,0))/VLOOKUP(B139,Weather!$BO$2:$CB$20,14,FALSE)</f>
        <v>14024.978069904104</v>
      </c>
      <c r="V139" s="47">
        <f t="shared" ca="1" si="128"/>
        <v>7851674.0169856967</v>
      </c>
    </row>
    <row r="140" spans="1:22">
      <c r="A140" s="2">
        <f t="shared" si="131"/>
        <v>46599</v>
      </c>
      <c r="B140">
        <f t="shared" si="132"/>
        <v>2027</v>
      </c>
      <c r="C140">
        <f t="shared" si="133"/>
        <v>7</v>
      </c>
      <c r="E140" s="3">
        <f t="shared" ref="E140:F140" ca="1" si="174">E128</f>
        <v>8.334479813664597</v>
      </c>
      <c r="F140" s="3">
        <f t="shared" ca="1" si="174"/>
        <v>304.72508692061177</v>
      </c>
      <c r="G140" s="47">
        <f t="shared" si="135"/>
        <v>31</v>
      </c>
      <c r="H140" s="89">
        <f>'Economic Data'!F166</f>
        <v>246.51561960000006</v>
      </c>
      <c r="J140">
        <f t="shared" si="136"/>
        <v>0</v>
      </c>
      <c r="L140" s="3">
        <f t="shared" si="158"/>
        <v>-2785699</v>
      </c>
      <c r="M140" s="3">
        <f t="shared" ca="1" si="159"/>
        <v>32717.567253167708</v>
      </c>
      <c r="N140" s="3">
        <f t="shared" ca="1" si="160"/>
        <v>3101217.6820997582</v>
      </c>
      <c r="O140" s="3">
        <f t="shared" si="161"/>
        <v>4932472</v>
      </c>
      <c r="P140" s="3">
        <f t="shared" si="162"/>
        <v>3486384.1275359406</v>
      </c>
      <c r="Q140" s="3">
        <f t="shared" si="163"/>
        <v>0</v>
      </c>
      <c r="R140" s="3">
        <f t="shared" si="164"/>
        <v>0</v>
      </c>
      <c r="S140" s="47">
        <f t="shared" ca="1" si="137"/>
        <v>8767092.3768888675</v>
      </c>
      <c r="T140" s="47">
        <f>IFERROR(HLOOKUP(B140-1,'EV Forecast WRZ'!$F$124:$T$130,3,FALSE)/12,0)+IFERROR(((HLOOKUP(B140,'EV Forecast WRZ'!$F$116:$T$122,3,FALSE)-HLOOKUP(B140-1,'EV Forecast WRZ'!$F$124:$T$130,3,FALSE)))*C140/78,0)</f>
        <v>117728.11882554748</v>
      </c>
      <c r="U140" s="47">
        <f ca="1">HLOOKUP(B140,Heating!$R$102:$AD$106,4,FALSE)*INDEX(Weather!$BO$1:$CB$20,MATCH(B140,Weather!$BO$1:$BO$20,0),MATCH(C140,Weather!$BO$1:$CB$1,0))/VLOOKUP(B140,Weather!$BO$2:$CB$20,14,FALSE)</f>
        <v>502.45549350042995</v>
      </c>
      <c r="V140" s="47">
        <f t="shared" ca="1" si="128"/>
        <v>8885322.9512079153</v>
      </c>
    </row>
    <row r="141" spans="1:22">
      <c r="A141" s="2">
        <f t="shared" si="131"/>
        <v>46630</v>
      </c>
      <c r="B141">
        <f t="shared" si="132"/>
        <v>2027</v>
      </c>
      <c r="C141">
        <f t="shared" si="133"/>
        <v>8</v>
      </c>
      <c r="E141" s="3">
        <f t="shared" ref="E141:F141" ca="1" si="175">E129</f>
        <v>21.054927536231883</v>
      </c>
      <c r="F141" s="3">
        <f t="shared" ca="1" si="175"/>
        <v>275.96017127799735</v>
      </c>
      <c r="G141" s="47">
        <f t="shared" si="135"/>
        <v>31</v>
      </c>
      <c r="H141" s="89">
        <f>'Economic Data'!F167</f>
        <v>250.24155012500003</v>
      </c>
      <c r="J141">
        <f t="shared" si="136"/>
        <v>0</v>
      </c>
      <c r="L141" s="3">
        <f t="shared" si="158"/>
        <v>-2785699</v>
      </c>
      <c r="M141" s="3">
        <f t="shared" ca="1" si="159"/>
        <v>82652.549778550732</v>
      </c>
      <c r="N141" s="3">
        <f t="shared" ca="1" si="160"/>
        <v>2808474.2591133071</v>
      </c>
      <c r="O141" s="3">
        <f t="shared" si="161"/>
        <v>4932472</v>
      </c>
      <c r="P141" s="3">
        <f t="shared" si="162"/>
        <v>3539078.6588753317</v>
      </c>
      <c r="Q141" s="3">
        <f t="shared" si="163"/>
        <v>0</v>
      </c>
      <c r="R141" s="3">
        <f t="shared" si="164"/>
        <v>0</v>
      </c>
      <c r="S141" s="47">
        <f t="shared" ca="1" si="137"/>
        <v>8576978.4677671902</v>
      </c>
      <c r="T141" s="47">
        <f>IFERROR(HLOOKUP(B141-1,'EV Forecast WRZ'!$F$124:$T$130,3,FALSE)/12,0)+IFERROR(((HLOOKUP(B141,'EV Forecast WRZ'!$F$116:$T$122,3,FALSE)-HLOOKUP(B141-1,'EV Forecast WRZ'!$F$124:$T$130,3,FALSE)))*C141/78,0)</f>
        <v>119701.02940751764</v>
      </c>
      <c r="U141" s="47">
        <f ca="1">HLOOKUP(B141,Heating!$R$102:$AD$106,4,FALSE)*INDEX(Weather!$BO$1:$CB$20,MATCH(B141,Weather!$BO$1:$BO$20,0),MATCH(C141,Weather!$BO$1:$CB$1,0))/VLOOKUP(B141,Weather!$BO$2:$CB$20,14,FALSE)</f>
        <v>2976.3201130553753</v>
      </c>
      <c r="V141" s="47">
        <f t="shared" ca="1" si="128"/>
        <v>8699655.8172877636</v>
      </c>
    </row>
    <row r="142" spans="1:22">
      <c r="A142" s="2">
        <f t="shared" si="131"/>
        <v>46660</v>
      </c>
      <c r="B142">
        <f t="shared" si="132"/>
        <v>2027</v>
      </c>
      <c r="C142">
        <f t="shared" si="133"/>
        <v>9</v>
      </c>
      <c r="E142" s="3">
        <f t="shared" ref="E142:F142" ca="1" si="176">E130</f>
        <v>97.667119565217376</v>
      </c>
      <c r="F142" s="3">
        <f t="shared" ca="1" si="176"/>
        <v>154.9849637681159</v>
      </c>
      <c r="G142" s="47">
        <f t="shared" si="135"/>
        <v>30</v>
      </c>
      <c r="H142" s="89">
        <f>'Economic Data'!F168</f>
        <v>255.57869385000004</v>
      </c>
      <c r="J142">
        <f t="shared" si="136"/>
        <v>1</v>
      </c>
      <c r="L142" s="3">
        <f t="shared" si="158"/>
        <v>-2785699</v>
      </c>
      <c r="M142" s="3">
        <f t="shared" ca="1" si="159"/>
        <v>383398.91921739129</v>
      </c>
      <c r="N142" s="3">
        <f t="shared" ca="1" si="160"/>
        <v>1577297.4747644924</v>
      </c>
      <c r="O142" s="3">
        <f t="shared" si="161"/>
        <v>4773360</v>
      </c>
      <c r="P142" s="3">
        <f t="shared" si="162"/>
        <v>3614560.0145777031</v>
      </c>
      <c r="Q142" s="3">
        <f t="shared" si="163"/>
        <v>0</v>
      </c>
      <c r="R142" s="3">
        <f t="shared" si="164"/>
        <v>193962.4</v>
      </c>
      <c r="S142" s="47">
        <f t="shared" ca="1" si="137"/>
        <v>7756879.8085595872</v>
      </c>
      <c r="T142" s="47">
        <f>IFERROR(HLOOKUP(B142-1,'EV Forecast WRZ'!$F$124:$T$130,3,FALSE)/12,0)+IFERROR(((HLOOKUP(B142,'EV Forecast WRZ'!$F$116:$T$122,3,FALSE)-HLOOKUP(B142-1,'EV Forecast WRZ'!$F$124:$T$130,3,FALSE)))*C142/78,0)</f>
        <v>121673.93998948779</v>
      </c>
      <c r="U142" s="47">
        <f ca="1">HLOOKUP(B142,Heating!$R$102:$AD$106,4,FALSE)*INDEX(Weather!$BO$1:$CB$20,MATCH(B142,Weather!$BO$1:$BO$20,0),MATCH(C142,Weather!$BO$1:$CB$1,0))/VLOOKUP(B142,Weather!$BO$2:$CB$20,14,FALSE)</f>
        <v>25207.917419706799</v>
      </c>
      <c r="V142" s="47">
        <f t="shared" ca="1" si="128"/>
        <v>7903761.6659687813</v>
      </c>
    </row>
    <row r="143" spans="1:22">
      <c r="A143" s="2">
        <f t="shared" si="131"/>
        <v>46691</v>
      </c>
      <c r="B143">
        <f t="shared" si="132"/>
        <v>2027</v>
      </c>
      <c r="C143">
        <f t="shared" si="133"/>
        <v>10</v>
      </c>
      <c r="E143" s="3">
        <f t="shared" ref="E143:F143" ca="1" si="177">E131</f>
        <v>292.46431159420291</v>
      </c>
      <c r="F143" s="3">
        <f t="shared" ca="1" si="177"/>
        <v>38.347916666666663</v>
      </c>
      <c r="G143" s="47">
        <f t="shared" si="135"/>
        <v>31</v>
      </c>
      <c r="H143" s="89">
        <f>'Economic Data'!F169</f>
        <v>258.90182107500004</v>
      </c>
      <c r="J143">
        <f t="shared" si="136"/>
        <v>1</v>
      </c>
      <c r="L143" s="3">
        <f t="shared" si="158"/>
        <v>-2785699</v>
      </c>
      <c r="M143" s="3">
        <f t="shared" ca="1" si="159"/>
        <v>1148088.542736232</v>
      </c>
      <c r="N143" s="3">
        <f t="shared" ca="1" si="160"/>
        <v>390270.58270833333</v>
      </c>
      <c r="O143" s="3">
        <f t="shared" si="161"/>
        <v>4932472</v>
      </c>
      <c r="P143" s="3">
        <f t="shared" si="162"/>
        <v>3661557.8398263492</v>
      </c>
      <c r="Q143" s="3">
        <f t="shared" si="163"/>
        <v>0</v>
      </c>
      <c r="R143" s="3">
        <f t="shared" si="164"/>
        <v>193962.4</v>
      </c>
      <c r="S143" s="47">
        <f t="shared" ca="1" si="137"/>
        <v>7540652.3652709145</v>
      </c>
      <c r="T143" s="47">
        <f>IFERROR(HLOOKUP(B143-1,'EV Forecast WRZ'!$F$124:$T$130,3,FALSE)/12,0)+IFERROR(((HLOOKUP(B143,'EV Forecast WRZ'!$F$116:$T$122,3,FALSE)-HLOOKUP(B143-1,'EV Forecast WRZ'!$F$124:$T$130,3,FALSE)))*C143/78,0)</f>
        <v>123646.85057145794</v>
      </c>
      <c r="U143" s="47">
        <f ca="1">HLOOKUP(B143,Heating!$R$102:$AD$106,4,FALSE)*INDEX(Weather!$BO$1:$CB$20,MATCH(B143,Weather!$BO$1:$BO$20,0),MATCH(C143,Weather!$BO$1:$CB$1,0))/VLOOKUP(B143,Weather!$BO$2:$CB$20,14,FALSE)</f>
        <v>107578.04674292248</v>
      </c>
      <c r="V143" s="47">
        <f t="shared" ca="1" si="128"/>
        <v>7771877.2625852954</v>
      </c>
    </row>
    <row r="144" spans="1:22">
      <c r="A144" s="2">
        <f t="shared" si="131"/>
        <v>46721</v>
      </c>
      <c r="B144">
        <f t="shared" si="132"/>
        <v>2027</v>
      </c>
      <c r="C144">
        <f t="shared" si="133"/>
        <v>11</v>
      </c>
      <c r="E144" s="3">
        <f t="shared" ref="E144:F144" ca="1" si="178">E132</f>
        <v>495.51408055712409</v>
      </c>
      <c r="F144" s="3">
        <f t="shared" ca="1" si="178"/>
        <v>1.9241666666666659</v>
      </c>
      <c r="G144" s="47">
        <f t="shared" si="135"/>
        <v>30</v>
      </c>
      <c r="H144" s="89">
        <f>'Economic Data'!F170</f>
        <v>261.41934170000007</v>
      </c>
      <c r="J144">
        <f t="shared" si="136"/>
        <v>1</v>
      </c>
      <c r="L144" s="3">
        <f t="shared" si="158"/>
        <v>-2785699</v>
      </c>
      <c r="M144" s="3">
        <f t="shared" ca="1" si="159"/>
        <v>1945174.2181844686</v>
      </c>
      <c r="N144" s="3">
        <f t="shared" ca="1" si="160"/>
        <v>19582.436583333325</v>
      </c>
      <c r="O144" s="3">
        <f t="shared" si="161"/>
        <v>4773360</v>
      </c>
      <c r="P144" s="3">
        <f t="shared" si="162"/>
        <v>3697162.2528935061</v>
      </c>
      <c r="Q144" s="3">
        <f t="shared" si="163"/>
        <v>0</v>
      </c>
      <c r="R144" s="3">
        <f t="shared" si="164"/>
        <v>193962.4</v>
      </c>
      <c r="S144" s="47">
        <f t="shared" ca="1" si="137"/>
        <v>7843542.307661308</v>
      </c>
      <c r="T144" s="47">
        <f>IFERROR(HLOOKUP(B144-1,'EV Forecast WRZ'!$F$124:$T$130,3,FALSE)/12,0)+IFERROR(((HLOOKUP(B144,'EV Forecast WRZ'!$F$116:$T$122,3,FALSE)-HLOOKUP(B144-1,'EV Forecast WRZ'!$F$124:$T$130,3,FALSE)))*C144/78,0)</f>
        <v>125619.76115342807</v>
      </c>
      <c r="U144" s="47">
        <f ca="1">HLOOKUP(B144,Heating!$R$102:$AD$106,4,FALSE)*INDEX(Weather!$BO$1:$CB$20,MATCH(B144,Weather!$BO$1:$BO$20,0),MATCH(C144,Weather!$BO$1:$CB$1,0))/VLOOKUP(B144,Weather!$BO$2:$CB$20,14,FALSE)</f>
        <v>201760.83805398335</v>
      </c>
      <c r="V144" s="47">
        <f t="shared" ca="1" si="128"/>
        <v>8170922.9068687195</v>
      </c>
    </row>
    <row r="145" spans="1:22">
      <c r="A145" s="2">
        <f t="shared" si="131"/>
        <v>46752</v>
      </c>
      <c r="B145">
        <f t="shared" si="132"/>
        <v>2027</v>
      </c>
      <c r="C145">
        <f t="shared" si="133"/>
        <v>12</v>
      </c>
      <c r="E145" s="3">
        <f t="shared" ref="E145:F145" ca="1" si="179">E133</f>
        <v>664.38541666666663</v>
      </c>
      <c r="F145" s="3">
        <f t="shared" ca="1" si="179"/>
        <v>0</v>
      </c>
      <c r="G145" s="47">
        <f t="shared" si="135"/>
        <v>31</v>
      </c>
      <c r="H145" s="89">
        <f>'Economic Data'!F171</f>
        <v>258.59971860000002</v>
      </c>
      <c r="J145">
        <f t="shared" si="136"/>
        <v>0</v>
      </c>
      <c r="L145" s="3">
        <f t="shared" si="158"/>
        <v>-2785699</v>
      </c>
      <c r="M145" s="3">
        <f t="shared" ca="1" si="159"/>
        <v>2608090.1313333334</v>
      </c>
      <c r="N145" s="3">
        <f t="shared" ca="1" si="160"/>
        <v>0</v>
      </c>
      <c r="O145" s="3">
        <f t="shared" si="161"/>
        <v>4932472</v>
      </c>
      <c r="P145" s="3">
        <f t="shared" si="162"/>
        <v>3657285.3102582903</v>
      </c>
      <c r="Q145" s="3">
        <f t="shared" si="163"/>
        <v>0</v>
      </c>
      <c r="R145" s="3">
        <f t="shared" si="164"/>
        <v>0</v>
      </c>
      <c r="S145" s="47">
        <f t="shared" ca="1" si="137"/>
        <v>8412148.4415916242</v>
      </c>
      <c r="T145" s="47">
        <f>IFERROR(HLOOKUP(B145-1,'EV Forecast WRZ'!$F$124:$T$130,3,FALSE)/12,0)+IFERROR(((HLOOKUP(B145,'EV Forecast WRZ'!$F$116:$T$122,3,FALSE)-HLOOKUP(B145-1,'EV Forecast WRZ'!$F$124:$T$130,3,FALSE)))*C145/78,0)</f>
        <v>127592.67173539822</v>
      </c>
      <c r="U145" s="47">
        <f ca="1">HLOOKUP(B145,Heating!$R$102:$AD$106,4,FALSE)*INDEX(Weather!$BO$1:$CB$20,MATCH(B145,Weather!$BO$1:$BO$20,0),MATCH(C145,Weather!$BO$1:$CB$1,0))/VLOOKUP(B145,Weather!$BO$2:$CB$20,14,FALSE)</f>
        <v>279067.41004260868</v>
      </c>
      <c r="V145" s="47">
        <f t="shared" ca="1" si="128"/>
        <v>8818808.5233696308</v>
      </c>
    </row>
    <row r="146" spans="1:22">
      <c r="A146" s="2">
        <f t="shared" si="131"/>
        <v>46783</v>
      </c>
      <c r="B146">
        <f t="shared" si="132"/>
        <v>2028</v>
      </c>
      <c r="C146">
        <f t="shared" si="133"/>
        <v>1</v>
      </c>
      <c r="E146" s="3">
        <f t="shared" ref="E146:F146" ca="1" si="180">E134</f>
        <v>752.78750000000002</v>
      </c>
      <c r="F146" s="3">
        <f t="shared" ca="1" si="180"/>
        <v>0</v>
      </c>
      <c r="G146" s="47">
        <f t="shared" si="135"/>
        <v>31</v>
      </c>
      <c r="H146" s="89">
        <f>'Economic Data'!F172</f>
        <v>256.22392320000006</v>
      </c>
      <c r="J146">
        <f t="shared" si="136"/>
        <v>0</v>
      </c>
      <c r="L146" s="3">
        <f t="shared" si="158"/>
        <v>-2785699</v>
      </c>
      <c r="M146" s="3">
        <f t="shared" ca="1" si="159"/>
        <v>2955118.5208000001</v>
      </c>
      <c r="N146" s="3">
        <f t="shared" ca="1" si="160"/>
        <v>0</v>
      </c>
      <c r="O146" s="3">
        <f t="shared" si="161"/>
        <v>4932472</v>
      </c>
      <c r="P146" s="3">
        <f t="shared" si="162"/>
        <v>3623685.2674444807</v>
      </c>
      <c r="Q146" s="3">
        <f t="shared" si="163"/>
        <v>0</v>
      </c>
      <c r="R146" s="3">
        <f t="shared" si="164"/>
        <v>0</v>
      </c>
      <c r="S146" s="47">
        <f t="shared" ca="1" si="137"/>
        <v>8725576.7882444803</v>
      </c>
      <c r="T146" s="47">
        <f>IFERROR(HLOOKUP(B146-1,'EV Forecast WRZ'!$F$124:$T$130,3,FALSE)/12,0)+IFERROR(((HLOOKUP(B146,'EV Forecast WRZ'!$F$116:$T$122,3,FALSE)-HLOOKUP(B146-1,'EV Forecast WRZ'!$F$124:$T$130,3,FALSE)))*C146/78,0)</f>
        <v>133653.86073250588</v>
      </c>
      <c r="U146" s="47">
        <f ca="1">HLOOKUP(B146,Heating!$R$102:$AD$106,4,FALSE)*INDEX(Weather!$BO$1:$CB$20,MATCH(B146,Weather!$BO$1:$BO$20,0),MATCH(C146,Weather!$BO$1:$CB$1,0))/VLOOKUP(B146,Weather!$BO$2:$CB$20,14,FALSE)</f>
        <v>369478.21445598331</v>
      </c>
      <c r="V146" s="47">
        <f t="shared" ca="1" si="128"/>
        <v>9228708.863432968</v>
      </c>
    </row>
    <row r="147" spans="1:22">
      <c r="A147" s="2">
        <f t="shared" si="131"/>
        <v>46812</v>
      </c>
      <c r="B147">
        <f t="shared" si="132"/>
        <v>2028</v>
      </c>
      <c r="C147">
        <f t="shared" si="133"/>
        <v>2</v>
      </c>
      <c r="E147" s="3">
        <f t="shared" ref="E147:F147" ca="1" si="181">E135</f>
        <v>660.7954166666666</v>
      </c>
      <c r="F147" s="3">
        <f t="shared" ca="1" si="181"/>
        <v>0</v>
      </c>
      <c r="G147" s="47">
        <f t="shared" si="135"/>
        <v>28</v>
      </c>
      <c r="H147" s="89">
        <f>'Economic Data'!F173</f>
        <v>254.70360720000005</v>
      </c>
      <c r="J147">
        <f t="shared" si="136"/>
        <v>0</v>
      </c>
      <c r="L147" s="3">
        <f t="shared" si="158"/>
        <v>-2785699</v>
      </c>
      <c r="M147" s="3">
        <f t="shared" ca="1" si="159"/>
        <v>2593997.3422133331</v>
      </c>
      <c r="N147" s="3">
        <f t="shared" ca="1" si="160"/>
        <v>0</v>
      </c>
      <c r="O147" s="3">
        <f t="shared" si="161"/>
        <v>4455136</v>
      </c>
      <c r="P147" s="3">
        <f t="shared" si="162"/>
        <v>3602183.9703670805</v>
      </c>
      <c r="Q147" s="3">
        <f t="shared" si="163"/>
        <v>0</v>
      </c>
      <c r="R147" s="3">
        <f t="shared" si="164"/>
        <v>0</v>
      </c>
      <c r="S147" s="47">
        <f t="shared" ca="1" si="137"/>
        <v>7865618.3125804132</v>
      </c>
      <c r="T147" s="47">
        <f>IFERROR(HLOOKUP(B147-1,'EV Forecast WRZ'!$F$124:$T$130,3,FALSE)/12,0)+IFERROR(((HLOOKUP(B147,'EV Forecast WRZ'!$F$116:$T$122,3,FALSE)-HLOOKUP(B147-1,'EV Forecast WRZ'!$F$124:$T$130,3,FALSE)))*C147/78,0)</f>
        <v>135915.35914764341</v>
      </c>
      <c r="U147" s="47">
        <f ca="1">HLOOKUP(B147,Heating!$R$102:$AD$106,4,FALSE)*INDEX(Weather!$BO$1:$CB$20,MATCH(B147,Weather!$BO$1:$BO$20,0),MATCH(C147,Weather!$BO$1:$CB$1,0))/VLOOKUP(B147,Weather!$BO$2:$CB$20,14,FALSE)</f>
        <v>323163.11996451701</v>
      </c>
      <c r="V147" s="47">
        <f t="shared" ca="1" si="128"/>
        <v>8324696.7916925736</v>
      </c>
    </row>
    <row r="148" spans="1:22">
      <c r="A148" s="2">
        <f t="shared" si="131"/>
        <v>46843</v>
      </c>
      <c r="B148">
        <f t="shared" si="132"/>
        <v>2028</v>
      </c>
      <c r="C148">
        <f t="shared" si="133"/>
        <v>3</v>
      </c>
      <c r="E148" s="3">
        <f t="shared" ref="E148:F148" ca="1" si="182">E136</f>
        <v>596.21590579710141</v>
      </c>
      <c r="F148" s="3">
        <f t="shared" ca="1" si="182"/>
        <v>2.9583333333332896E-2</v>
      </c>
      <c r="G148" s="47">
        <f t="shared" si="135"/>
        <v>31</v>
      </c>
      <c r="H148" s="89">
        <f>'Economic Data'!F174</f>
        <v>249.80732816760002</v>
      </c>
      <c r="J148">
        <f t="shared" si="136"/>
        <v>0</v>
      </c>
      <c r="L148" s="3">
        <f t="shared" si="158"/>
        <v>-2785699</v>
      </c>
      <c r="M148" s="3">
        <f t="shared" ca="1" si="159"/>
        <v>2340486.0808881158</v>
      </c>
      <c r="N148" s="3">
        <f t="shared" ca="1" si="160"/>
        <v>301.07254166666223</v>
      </c>
      <c r="O148" s="3">
        <f t="shared" si="161"/>
        <v>4932472</v>
      </c>
      <c r="P148" s="3">
        <f t="shared" si="162"/>
        <v>3532937.6097095083</v>
      </c>
      <c r="Q148" s="3">
        <f t="shared" si="163"/>
        <v>0</v>
      </c>
      <c r="R148" s="3">
        <f t="shared" si="164"/>
        <v>0</v>
      </c>
      <c r="S148" s="47">
        <f t="shared" ca="1" si="137"/>
        <v>8020497.7631392907</v>
      </c>
      <c r="T148" s="47">
        <f>IFERROR(HLOOKUP(B148-1,'EV Forecast WRZ'!$F$124:$T$130,3,FALSE)/12,0)+IFERROR(((HLOOKUP(B148,'EV Forecast WRZ'!$F$116:$T$122,3,FALSE)-HLOOKUP(B148-1,'EV Forecast WRZ'!$F$124:$T$130,3,FALSE)))*C148/78,0)</f>
        <v>138176.8575627809</v>
      </c>
      <c r="U148" s="47">
        <f ca="1">HLOOKUP(B148,Heating!$R$102:$AD$106,4,FALSE)*INDEX(Weather!$BO$1:$CB$20,MATCH(B148,Weather!$BO$1:$BO$20,0),MATCH(C148,Weather!$BO$1:$CB$1,0))/VLOOKUP(B148,Weather!$BO$2:$CB$20,14,FALSE)</f>
        <v>285733.51285004261</v>
      </c>
      <c r="V148" s="47">
        <f t="shared" ca="1" si="128"/>
        <v>8444408.1335521154</v>
      </c>
    </row>
    <row r="149" spans="1:22">
      <c r="A149" s="2">
        <f t="shared" si="131"/>
        <v>46873</v>
      </c>
      <c r="B149">
        <f t="shared" si="132"/>
        <v>2028</v>
      </c>
      <c r="C149">
        <f t="shared" si="133"/>
        <v>4</v>
      </c>
      <c r="E149" s="3">
        <f t="shared" ref="E149:F149" ca="1" si="183">E137</f>
        <v>412.8885416666667</v>
      </c>
      <c r="F149" s="3">
        <f t="shared" ca="1" si="183"/>
        <v>6.0095833333333344</v>
      </c>
      <c r="G149" s="47">
        <f t="shared" si="135"/>
        <v>30</v>
      </c>
      <c r="H149" s="89">
        <f>'Economic Data'!F175</f>
        <v>246.15309663000002</v>
      </c>
      <c r="J149">
        <f t="shared" si="136"/>
        <v>0</v>
      </c>
      <c r="L149" s="3">
        <f t="shared" si="158"/>
        <v>-2785699</v>
      </c>
      <c r="M149" s="3">
        <f t="shared" ca="1" si="159"/>
        <v>1620822.0467333335</v>
      </c>
      <c r="N149" s="3">
        <f t="shared" ca="1" si="160"/>
        <v>61160.13054166668</v>
      </c>
      <c r="O149" s="3">
        <f t="shared" si="161"/>
        <v>4773360</v>
      </c>
      <c r="P149" s="3">
        <f t="shared" si="162"/>
        <v>3481257.0920542697</v>
      </c>
      <c r="Q149" s="3">
        <f t="shared" si="163"/>
        <v>0</v>
      </c>
      <c r="R149" s="3">
        <f t="shared" si="164"/>
        <v>0</v>
      </c>
      <c r="S149" s="47">
        <f t="shared" ca="1" si="137"/>
        <v>7150900.2693292703</v>
      </c>
      <c r="T149" s="47">
        <f>IFERROR(HLOOKUP(B149-1,'EV Forecast WRZ'!$F$124:$T$130,3,FALSE)/12,0)+IFERROR(((HLOOKUP(B149,'EV Forecast WRZ'!$F$116:$T$122,3,FALSE)-HLOOKUP(B149-1,'EV Forecast WRZ'!$F$124:$T$130,3,FALSE)))*C149/78,0)</f>
        <v>140438.35597791843</v>
      </c>
      <c r="U149" s="47">
        <f ca="1">HLOOKUP(B149,Heating!$R$102:$AD$106,4,FALSE)*INDEX(Weather!$BO$1:$CB$20,MATCH(B149,Weather!$BO$1:$BO$20,0),MATCH(C149,Weather!$BO$1:$CB$1,0))/VLOOKUP(B149,Weather!$BO$2:$CB$20,14,FALSE)</f>
        <v>188766.30811244529</v>
      </c>
      <c r="V149" s="47">
        <f t="shared" ca="1" si="128"/>
        <v>7480104.9334196337</v>
      </c>
    </row>
    <row r="150" spans="1:22">
      <c r="A150" s="2">
        <f t="shared" si="131"/>
        <v>46904</v>
      </c>
      <c r="B150">
        <f t="shared" si="132"/>
        <v>2028</v>
      </c>
      <c r="C150">
        <f t="shared" si="133"/>
        <v>5</v>
      </c>
      <c r="E150" s="3">
        <f t="shared" ref="E150:F150" ca="1" si="184">E138</f>
        <v>208.90012508544086</v>
      </c>
      <c r="F150" s="3">
        <f t="shared" ca="1" si="184"/>
        <v>81.50872474747473</v>
      </c>
      <c r="G150" s="47">
        <f t="shared" si="135"/>
        <v>31</v>
      </c>
      <c r="H150" s="89">
        <f>'Economic Data'!F176</f>
        <v>245.44255160880004</v>
      </c>
      <c r="J150">
        <f t="shared" si="136"/>
        <v>0</v>
      </c>
      <c r="L150" s="3">
        <f t="shared" si="158"/>
        <v>-2785699</v>
      </c>
      <c r="M150" s="3">
        <f t="shared" ca="1" si="159"/>
        <v>820051.64623140392</v>
      </c>
      <c r="N150" s="3">
        <f t="shared" ca="1" si="160"/>
        <v>829522.44262752507</v>
      </c>
      <c r="O150" s="3">
        <f t="shared" si="161"/>
        <v>4932472</v>
      </c>
      <c r="P150" s="3">
        <f t="shared" si="162"/>
        <v>3471208.1025101957</v>
      </c>
      <c r="Q150" s="3">
        <f t="shared" si="163"/>
        <v>0</v>
      </c>
      <c r="R150" s="3">
        <f t="shared" si="164"/>
        <v>0</v>
      </c>
      <c r="S150" s="47">
        <f t="shared" ca="1" si="137"/>
        <v>7267555.1913691247</v>
      </c>
      <c r="T150" s="47">
        <f>IFERROR(HLOOKUP(B150-1,'EV Forecast WRZ'!$F$124:$T$130,3,FALSE)/12,0)+IFERROR(((HLOOKUP(B150,'EV Forecast WRZ'!$F$116:$T$122,3,FALSE)-HLOOKUP(B150-1,'EV Forecast WRZ'!$F$124:$T$130,3,FALSE)))*C150/78,0)</f>
        <v>142699.85439305592</v>
      </c>
      <c r="U150" s="47">
        <f ca="1">HLOOKUP(B150,Heating!$R$102:$AD$106,4,FALSE)*INDEX(Weather!$BO$1:$CB$20,MATCH(B150,Weather!$BO$1:$BO$20,0),MATCH(C150,Weather!$BO$1:$CB$1,0))/VLOOKUP(B150,Weather!$BO$2:$CB$20,14,FALSE)</f>
        <v>83036.333700080868</v>
      </c>
      <c r="V150" s="47">
        <f t="shared" ca="1" si="128"/>
        <v>7493291.3794622608</v>
      </c>
    </row>
    <row r="151" spans="1:22">
      <c r="A151" s="2">
        <f t="shared" si="131"/>
        <v>46934</v>
      </c>
      <c r="B151">
        <f t="shared" si="132"/>
        <v>2028</v>
      </c>
      <c r="C151">
        <f t="shared" si="133"/>
        <v>6</v>
      </c>
      <c r="E151" s="3">
        <f t="shared" ref="E151:F151" ca="1" si="185">E139</f>
        <v>61.78217382617381</v>
      </c>
      <c r="F151" s="3">
        <f t="shared" ca="1" si="185"/>
        <v>202.3599342107168</v>
      </c>
      <c r="G151" s="47">
        <f t="shared" si="135"/>
        <v>30</v>
      </c>
      <c r="H151" s="89">
        <f>'Economic Data'!F177</f>
        <v>244.63050015600001</v>
      </c>
      <c r="J151">
        <f t="shared" si="136"/>
        <v>0</v>
      </c>
      <c r="L151" s="3">
        <f t="shared" si="158"/>
        <v>-2785699</v>
      </c>
      <c r="M151" s="3">
        <f t="shared" ca="1" si="159"/>
        <v>242530.12454246549</v>
      </c>
      <c r="N151" s="3">
        <f t="shared" ca="1" si="160"/>
        <v>2059437.286455886</v>
      </c>
      <c r="O151" s="3">
        <f t="shared" si="161"/>
        <v>4773360</v>
      </c>
      <c r="P151" s="3">
        <f t="shared" si="162"/>
        <v>3459723.5430312534</v>
      </c>
      <c r="Q151" s="3">
        <f t="shared" si="163"/>
        <v>0</v>
      </c>
      <c r="R151" s="3">
        <f t="shared" si="164"/>
        <v>0</v>
      </c>
      <c r="S151" s="47">
        <f t="shared" ca="1" si="137"/>
        <v>7749351.9540296048</v>
      </c>
      <c r="T151" s="47">
        <f>IFERROR(HLOOKUP(B151-1,'EV Forecast WRZ'!$F$124:$T$130,3,FALSE)/12,0)+IFERROR(((HLOOKUP(B151,'EV Forecast WRZ'!$F$116:$T$122,3,FALSE)-HLOOKUP(B151-1,'EV Forecast WRZ'!$F$124:$T$130,3,FALSE)))*C151/78,0)</f>
        <v>144961.35280819345</v>
      </c>
      <c r="U151" s="47">
        <f ca="1">HLOOKUP(B151,Heating!$R$102:$AD$106,4,FALSE)*INDEX(Weather!$BO$1:$CB$20,MATCH(B151,Weather!$BO$1:$BO$20,0),MATCH(C151,Weather!$BO$1:$CB$1,0))/VLOOKUP(B151,Weather!$BO$2:$CB$20,14,FALSE)</f>
        <v>16192.42463133735</v>
      </c>
      <c r="V151" s="47">
        <f t="shared" ca="1" si="128"/>
        <v>7910505.7314691357</v>
      </c>
    </row>
    <row r="152" spans="1:22">
      <c r="A152" s="2">
        <f t="shared" si="131"/>
        <v>46965</v>
      </c>
      <c r="B152">
        <f t="shared" si="132"/>
        <v>2028</v>
      </c>
      <c r="C152">
        <f t="shared" si="133"/>
        <v>7</v>
      </c>
      <c r="E152" s="3">
        <f t="shared" ref="E152:F152" ca="1" si="186">E140</f>
        <v>8.334479813664597</v>
      </c>
      <c r="F152" s="3">
        <f t="shared" ca="1" si="186"/>
        <v>304.72508692061177</v>
      </c>
      <c r="G152" s="47">
        <f t="shared" si="135"/>
        <v>31</v>
      </c>
      <c r="H152" s="89">
        <f>'Economic Data'!F178</f>
        <v>248.48774455680007</v>
      </c>
      <c r="J152">
        <f t="shared" si="136"/>
        <v>0</v>
      </c>
      <c r="L152" s="3">
        <f t="shared" si="158"/>
        <v>-2785699</v>
      </c>
      <c r="M152" s="3">
        <f t="shared" ca="1" si="159"/>
        <v>32717.567253167708</v>
      </c>
      <c r="N152" s="3">
        <f t="shared" ca="1" si="160"/>
        <v>3101217.6820997582</v>
      </c>
      <c r="O152" s="3">
        <f t="shared" si="161"/>
        <v>4932472</v>
      </c>
      <c r="P152" s="3">
        <f t="shared" si="162"/>
        <v>3514275.2005562284</v>
      </c>
      <c r="Q152" s="3">
        <f t="shared" si="163"/>
        <v>0</v>
      </c>
      <c r="R152" s="3">
        <f t="shared" si="164"/>
        <v>0</v>
      </c>
      <c r="S152" s="47">
        <f t="shared" ca="1" si="137"/>
        <v>8794983.4499091543</v>
      </c>
      <c r="T152" s="47">
        <f>IFERROR(HLOOKUP(B152-1,'EV Forecast WRZ'!$F$124:$T$130,3,FALSE)/12,0)+IFERROR(((HLOOKUP(B152,'EV Forecast WRZ'!$F$116:$T$122,3,FALSE)-HLOOKUP(B152-1,'EV Forecast WRZ'!$F$124:$T$130,3,FALSE)))*C152/78,0)</f>
        <v>147222.85122333094</v>
      </c>
      <c r="U152" s="47">
        <f ca="1">HLOOKUP(B152,Heating!$R$102:$AD$106,4,FALSE)*INDEX(Weather!$BO$1:$CB$20,MATCH(B152,Weather!$BO$1:$BO$20,0),MATCH(C152,Weather!$BO$1:$CB$1,0))/VLOOKUP(B152,Weather!$BO$2:$CB$20,14,FALSE)</f>
        <v>580.10591307561003</v>
      </c>
      <c r="V152" s="47">
        <f t="shared" ca="1" si="128"/>
        <v>8942786.40704556</v>
      </c>
    </row>
    <row r="153" spans="1:22">
      <c r="A153" s="2">
        <f t="shared" si="131"/>
        <v>46996</v>
      </c>
      <c r="B153">
        <f t="shared" si="132"/>
        <v>2028</v>
      </c>
      <c r="C153">
        <f t="shared" si="133"/>
        <v>8</v>
      </c>
      <c r="E153" s="3">
        <f t="shared" ref="E153:F153" ca="1" si="187">E141</f>
        <v>21.054927536231883</v>
      </c>
      <c r="F153" s="3">
        <f t="shared" ca="1" si="187"/>
        <v>275.96017127799735</v>
      </c>
      <c r="G153" s="47">
        <f t="shared" si="135"/>
        <v>31</v>
      </c>
      <c r="H153" s="89">
        <f>'Economic Data'!F179</f>
        <v>252.24348252600004</v>
      </c>
      <c r="J153">
        <f t="shared" si="136"/>
        <v>0</v>
      </c>
      <c r="L153" s="3">
        <f t="shared" si="158"/>
        <v>-2785699</v>
      </c>
      <c r="M153" s="3">
        <f t="shared" ca="1" si="159"/>
        <v>82652.549778550732</v>
      </c>
      <c r="N153" s="3">
        <f t="shared" ca="1" si="160"/>
        <v>2808474.2591133071</v>
      </c>
      <c r="O153" s="3">
        <f t="shared" si="161"/>
        <v>4932472</v>
      </c>
      <c r="P153" s="3">
        <f t="shared" si="162"/>
        <v>3567391.2881463342</v>
      </c>
      <c r="Q153" s="3">
        <f t="shared" si="163"/>
        <v>0</v>
      </c>
      <c r="R153" s="3">
        <f t="shared" si="164"/>
        <v>0</v>
      </c>
      <c r="S153" s="47">
        <f t="shared" ca="1" si="137"/>
        <v>8605291.0970381927</v>
      </c>
      <c r="T153" s="47">
        <f>IFERROR(HLOOKUP(B153-1,'EV Forecast WRZ'!$F$124:$T$130,3,FALSE)/12,0)+IFERROR(((HLOOKUP(B153,'EV Forecast WRZ'!$F$116:$T$122,3,FALSE)-HLOOKUP(B153-1,'EV Forecast WRZ'!$F$124:$T$130,3,FALSE)))*C153/78,0)</f>
        <v>149484.34963846847</v>
      </c>
      <c r="U153" s="47">
        <f ca="1">HLOOKUP(B153,Heating!$R$102:$AD$106,4,FALSE)*INDEX(Weather!$BO$1:$CB$20,MATCH(B153,Weather!$BO$1:$BO$20,0),MATCH(C153,Weather!$BO$1:$CB$1,0))/VLOOKUP(B153,Weather!$BO$2:$CB$20,14,FALSE)</f>
        <v>3436.2862365397018</v>
      </c>
      <c r="V153" s="47">
        <f t="shared" ca="1" si="128"/>
        <v>8758211.7329131998</v>
      </c>
    </row>
    <row r="154" spans="1:22">
      <c r="A154" s="2">
        <f t="shared" si="131"/>
        <v>47026</v>
      </c>
      <c r="B154">
        <f t="shared" si="132"/>
        <v>2028</v>
      </c>
      <c r="C154">
        <f t="shared" si="133"/>
        <v>9</v>
      </c>
      <c r="E154" s="3">
        <f t="shared" ref="E154:F154" ca="1" si="188">E142</f>
        <v>97.667119565217376</v>
      </c>
      <c r="F154" s="3">
        <f t="shared" ca="1" si="188"/>
        <v>154.9849637681159</v>
      </c>
      <c r="G154" s="47">
        <f t="shared" si="135"/>
        <v>30</v>
      </c>
      <c r="H154" s="89">
        <f>'Economic Data'!F180</f>
        <v>257.62332340080002</v>
      </c>
      <c r="J154">
        <f t="shared" si="136"/>
        <v>1</v>
      </c>
      <c r="L154" s="3">
        <f t="shared" si="158"/>
        <v>-2785699</v>
      </c>
      <c r="M154" s="3">
        <f t="shared" ca="1" si="159"/>
        <v>383398.91921739129</v>
      </c>
      <c r="N154" s="3">
        <f t="shared" ca="1" si="160"/>
        <v>1577297.4747644924</v>
      </c>
      <c r="O154" s="3">
        <f t="shared" si="161"/>
        <v>4773360</v>
      </c>
      <c r="P154" s="3">
        <f t="shared" si="162"/>
        <v>3643476.4946943242</v>
      </c>
      <c r="Q154" s="3">
        <f t="shared" si="163"/>
        <v>0</v>
      </c>
      <c r="R154" s="3">
        <f t="shared" si="164"/>
        <v>193962.4</v>
      </c>
      <c r="S154" s="47">
        <f t="shared" ca="1" si="137"/>
        <v>7785796.2886762079</v>
      </c>
      <c r="T154" s="47">
        <f>IFERROR(HLOOKUP(B154-1,'EV Forecast WRZ'!$F$124:$T$130,3,FALSE)/12,0)+IFERROR(((HLOOKUP(B154,'EV Forecast WRZ'!$F$116:$T$122,3,FALSE)-HLOOKUP(B154-1,'EV Forecast WRZ'!$F$124:$T$130,3,FALSE)))*C154/78,0)</f>
        <v>151745.84805360597</v>
      </c>
      <c r="U154" s="47">
        <f ca="1">HLOOKUP(B154,Heating!$R$102:$AD$106,4,FALSE)*INDEX(Weather!$BO$1:$CB$20,MATCH(B154,Weather!$BO$1:$BO$20,0),MATCH(C154,Weather!$BO$1:$CB$1,0))/VLOOKUP(B154,Weather!$BO$2:$CB$20,14,FALSE)</f>
        <v>29103.59651880505</v>
      </c>
      <c r="V154" s="47">
        <f t="shared" ca="1" si="128"/>
        <v>7966645.7332486194</v>
      </c>
    </row>
    <row r="155" spans="1:22">
      <c r="A155" s="2">
        <f t="shared" si="131"/>
        <v>47057</v>
      </c>
      <c r="B155">
        <f t="shared" si="132"/>
        <v>2028</v>
      </c>
      <c r="C155">
        <f t="shared" si="133"/>
        <v>10</v>
      </c>
      <c r="E155" s="3">
        <f t="shared" ref="E155:F155" ca="1" si="189">E143</f>
        <v>292.46431159420291</v>
      </c>
      <c r="F155" s="3">
        <f t="shared" ca="1" si="189"/>
        <v>38.347916666666663</v>
      </c>
      <c r="G155" s="47">
        <f t="shared" si="135"/>
        <v>31</v>
      </c>
      <c r="H155" s="89">
        <f>'Economic Data'!F181</f>
        <v>260.97303564360004</v>
      </c>
      <c r="J155">
        <f t="shared" si="136"/>
        <v>1</v>
      </c>
      <c r="L155" s="3">
        <f t="shared" si="158"/>
        <v>-2785699</v>
      </c>
      <c r="M155" s="3">
        <f t="shared" ca="1" si="159"/>
        <v>1148088.542736232</v>
      </c>
      <c r="N155" s="3">
        <f t="shared" ca="1" si="160"/>
        <v>390270.58270833333</v>
      </c>
      <c r="O155" s="3">
        <f t="shared" si="161"/>
        <v>4932472</v>
      </c>
      <c r="P155" s="3">
        <f t="shared" si="162"/>
        <v>3690850.3025449598</v>
      </c>
      <c r="Q155" s="3">
        <f t="shared" si="163"/>
        <v>0</v>
      </c>
      <c r="R155" s="3">
        <f t="shared" si="164"/>
        <v>193962.4</v>
      </c>
      <c r="S155" s="47">
        <f t="shared" ca="1" si="137"/>
        <v>7569944.8279895261</v>
      </c>
      <c r="T155" s="47">
        <f>IFERROR(HLOOKUP(B155-1,'EV Forecast WRZ'!$F$124:$T$130,3,FALSE)/12,0)+IFERROR(((HLOOKUP(B155,'EV Forecast WRZ'!$F$116:$T$122,3,FALSE)-HLOOKUP(B155-1,'EV Forecast WRZ'!$F$124:$T$130,3,FALSE)))*C155/78,0)</f>
        <v>154007.34646874349</v>
      </c>
      <c r="U155" s="47">
        <f ca="1">HLOOKUP(B155,Heating!$R$102:$AD$106,4,FALSE)*INDEX(Weather!$BO$1:$CB$20,MATCH(B155,Weather!$BO$1:$BO$20,0),MATCH(C155,Weather!$BO$1:$CB$1,0))/VLOOKUP(B155,Weather!$BO$2:$CB$20,14,FALSE)</f>
        <v>124203.36097418006</v>
      </c>
      <c r="V155" s="47">
        <f t="shared" ca="1" si="128"/>
        <v>7848155.5354324505</v>
      </c>
    </row>
    <row r="156" spans="1:22">
      <c r="A156" s="2">
        <f t="shared" si="131"/>
        <v>47087</v>
      </c>
      <c r="B156">
        <f t="shared" si="132"/>
        <v>2028</v>
      </c>
      <c r="C156">
        <f t="shared" si="133"/>
        <v>11</v>
      </c>
      <c r="E156" s="3">
        <f t="shared" ref="E156:F156" ca="1" si="190">E144</f>
        <v>495.51408055712409</v>
      </c>
      <c r="F156" s="3">
        <f t="shared" ca="1" si="190"/>
        <v>1.9241666666666659</v>
      </c>
      <c r="G156" s="47">
        <f t="shared" si="135"/>
        <v>30</v>
      </c>
      <c r="H156" s="89">
        <f>'Economic Data'!F182</f>
        <v>263.51069643360006</v>
      </c>
      <c r="J156">
        <f t="shared" si="136"/>
        <v>1</v>
      </c>
      <c r="L156" s="3">
        <f t="shared" si="158"/>
        <v>-2785699</v>
      </c>
      <c r="M156" s="3">
        <f t="shared" ca="1" si="159"/>
        <v>1945174.2181844686</v>
      </c>
      <c r="N156" s="3">
        <f t="shared" ca="1" si="160"/>
        <v>19582.436583333325</v>
      </c>
      <c r="O156" s="3">
        <f t="shared" si="161"/>
        <v>4773360</v>
      </c>
      <c r="P156" s="3">
        <f t="shared" si="162"/>
        <v>3726739.5509166536</v>
      </c>
      <c r="Q156" s="3">
        <f t="shared" si="163"/>
        <v>0</v>
      </c>
      <c r="R156" s="3">
        <f t="shared" si="164"/>
        <v>193962.4</v>
      </c>
      <c r="S156" s="47">
        <f t="shared" ca="1" si="137"/>
        <v>7873119.6056844555</v>
      </c>
      <c r="T156" s="47">
        <f>IFERROR(HLOOKUP(B156-1,'EV Forecast WRZ'!$F$124:$T$130,3,FALSE)/12,0)+IFERROR(((HLOOKUP(B156,'EV Forecast WRZ'!$F$116:$T$122,3,FALSE)-HLOOKUP(B156-1,'EV Forecast WRZ'!$F$124:$T$130,3,FALSE)))*C156/78,0)</f>
        <v>156268.84488388099</v>
      </c>
      <c r="U156" s="47">
        <f ca="1">HLOOKUP(B156,Heating!$R$102:$AD$106,4,FALSE)*INDEX(Weather!$BO$1:$CB$20,MATCH(B156,Weather!$BO$1:$BO$20,0),MATCH(C156,Weather!$BO$1:$CB$1,0))/VLOOKUP(B156,Weather!$BO$2:$CB$20,14,FALSE)</f>
        <v>232941.33847917838</v>
      </c>
      <c r="V156" s="47">
        <f t="shared" ca="1" si="128"/>
        <v>8262329.7890475141</v>
      </c>
    </row>
    <row r="157" spans="1:22">
      <c r="A157" s="2">
        <f t="shared" si="131"/>
        <v>47118</v>
      </c>
      <c r="B157">
        <f t="shared" si="132"/>
        <v>2028</v>
      </c>
      <c r="C157">
        <f t="shared" si="133"/>
        <v>12</v>
      </c>
      <c r="E157" s="3">
        <f t="shared" ref="E157:F157" ca="1" si="191">E145</f>
        <v>664.38541666666663</v>
      </c>
      <c r="F157" s="3">
        <f t="shared" ca="1" si="191"/>
        <v>0</v>
      </c>
      <c r="G157" s="47">
        <f t="shared" si="135"/>
        <v>31</v>
      </c>
      <c r="H157" s="89">
        <f>'Economic Data'!F183</f>
        <v>260.66851634880004</v>
      </c>
      <c r="J157">
        <f t="shared" si="136"/>
        <v>0</v>
      </c>
      <c r="L157" s="3">
        <f t="shared" si="158"/>
        <v>-2785699</v>
      </c>
      <c r="M157" s="3">
        <f t="shared" ca="1" si="159"/>
        <v>2608090.1313333334</v>
      </c>
      <c r="N157" s="3">
        <f t="shared" ca="1" si="160"/>
        <v>0</v>
      </c>
      <c r="O157" s="3">
        <f t="shared" si="161"/>
        <v>4932472</v>
      </c>
      <c r="P157" s="3">
        <f t="shared" si="162"/>
        <v>3686543.5927403569</v>
      </c>
      <c r="Q157" s="3">
        <f t="shared" si="163"/>
        <v>0</v>
      </c>
      <c r="R157" s="3">
        <f t="shared" si="164"/>
        <v>0</v>
      </c>
      <c r="S157" s="47">
        <f t="shared" ca="1" si="137"/>
        <v>8441406.7240736894</v>
      </c>
      <c r="T157" s="47">
        <f>IFERROR(HLOOKUP(B157-1,'EV Forecast WRZ'!$F$124:$T$130,3,FALSE)/12,0)+IFERROR(((HLOOKUP(B157,'EV Forecast WRZ'!$F$116:$T$122,3,FALSE)-HLOOKUP(B157-1,'EV Forecast WRZ'!$F$124:$T$130,3,FALSE)))*C157/78,0)</f>
        <v>158530.34329901851</v>
      </c>
      <c r="U157" s="47">
        <f ca="1">HLOOKUP(B157,Heating!$R$102:$AD$106,4,FALSE)*INDEX(Weather!$BO$1:$CB$20,MATCH(B157,Weather!$BO$1:$BO$20,0),MATCH(C157,Weather!$BO$1:$CB$1,0))/VLOOKUP(B157,Weather!$BO$2:$CB$20,14,FALSE)</f>
        <v>322195.01389982237</v>
      </c>
      <c r="V157" s="47">
        <f t="shared" ca="1" si="128"/>
        <v>8922132.0812725294</v>
      </c>
    </row>
    <row r="158" spans="1:22">
      <c r="A158" s="2">
        <f t="shared" si="131"/>
        <v>47149</v>
      </c>
      <c r="B158">
        <f t="shared" si="132"/>
        <v>2029</v>
      </c>
      <c r="C158">
        <f t="shared" si="133"/>
        <v>1</v>
      </c>
      <c r="E158" s="3">
        <f t="shared" ref="E158:F158" ca="1" si="192">E146</f>
        <v>752.78750000000002</v>
      </c>
      <c r="F158" s="3">
        <f t="shared" ca="1" si="192"/>
        <v>0</v>
      </c>
      <c r="G158" s="47">
        <f t="shared" si="135"/>
        <v>31</v>
      </c>
      <c r="H158" s="89">
        <f>'Economic Data'!F184</f>
        <v>259.04238635520005</v>
      </c>
      <c r="J158">
        <f t="shared" si="136"/>
        <v>0</v>
      </c>
      <c r="L158" s="3">
        <f t="shared" si="158"/>
        <v>-2785699</v>
      </c>
      <c r="M158" s="3">
        <f t="shared" ca="1" si="159"/>
        <v>2955118.5208000001</v>
      </c>
      <c r="N158" s="3">
        <f t="shared" ca="1" si="160"/>
        <v>0</v>
      </c>
      <c r="O158" s="3">
        <f t="shared" si="161"/>
        <v>4932472</v>
      </c>
      <c r="P158" s="3">
        <f t="shared" si="162"/>
        <v>3663545.80538637</v>
      </c>
      <c r="Q158" s="3">
        <f t="shared" si="163"/>
        <v>0</v>
      </c>
      <c r="R158" s="3">
        <f t="shared" si="164"/>
        <v>0</v>
      </c>
      <c r="S158" s="47">
        <f t="shared" ca="1" si="137"/>
        <v>8765437.3261863701</v>
      </c>
      <c r="T158" s="47">
        <f>IFERROR(HLOOKUP(B158-1,'EV Forecast WRZ'!$F$124:$T$130,3,FALSE)/12,0)+IFERROR(((HLOOKUP(B158,'EV Forecast WRZ'!$F$116:$T$122,3,FALSE)-HLOOKUP(B158-1,'EV Forecast WRZ'!$F$124:$T$130,3,FALSE)))*C158/78,0)</f>
        <v>167014.75737124711</v>
      </c>
      <c r="U158" s="47">
        <f ca="1">HLOOKUP(B158,Heating!$R$102:$AD$106,4,FALSE)*INDEX(Weather!$BO$1:$CB$20,MATCH(B158,Weather!$BO$1:$BO$20,0),MATCH(C158,Weather!$BO$1:$CB$1,0))/VLOOKUP(B158,Weather!$BO$2:$CB$20,14,FALSE)</f>
        <v>421514.23925665475</v>
      </c>
      <c r="V158" s="47">
        <f t="shared" ca="1" si="128"/>
        <v>9353966.3228142709</v>
      </c>
    </row>
    <row r="159" spans="1:22">
      <c r="A159" s="2">
        <f t="shared" si="131"/>
        <v>47177</v>
      </c>
      <c r="B159">
        <f t="shared" si="132"/>
        <v>2029</v>
      </c>
      <c r="C159">
        <f t="shared" si="133"/>
        <v>2</v>
      </c>
      <c r="E159" s="3">
        <f t="shared" ref="E159:F159" ca="1" si="193">E147</f>
        <v>660.7954166666666</v>
      </c>
      <c r="F159" s="3">
        <f t="shared" ca="1" si="193"/>
        <v>0</v>
      </c>
      <c r="G159" s="47">
        <f t="shared" si="135"/>
        <v>28</v>
      </c>
      <c r="H159" s="89">
        <f>'Economic Data'!F185</f>
        <v>257.50534687920003</v>
      </c>
      <c r="J159">
        <f t="shared" si="136"/>
        <v>0</v>
      </c>
      <c r="L159" s="3">
        <f t="shared" si="158"/>
        <v>-2785699</v>
      </c>
      <c r="M159" s="3">
        <f t="shared" ca="1" si="159"/>
        <v>2593997.3422133331</v>
      </c>
      <c r="N159" s="3">
        <f t="shared" ca="1" si="160"/>
        <v>0</v>
      </c>
      <c r="O159" s="3">
        <f t="shared" si="161"/>
        <v>4455136</v>
      </c>
      <c r="P159" s="3">
        <f t="shared" si="162"/>
        <v>3641807.9940411183</v>
      </c>
      <c r="Q159" s="3">
        <f t="shared" si="163"/>
        <v>0</v>
      </c>
      <c r="R159" s="3">
        <f t="shared" si="164"/>
        <v>0</v>
      </c>
      <c r="S159" s="47">
        <f t="shared" ca="1" si="137"/>
        <v>7905242.3362544514</v>
      </c>
      <c r="T159" s="47">
        <f>IFERROR(HLOOKUP(B159-1,'EV Forecast WRZ'!$F$124:$T$130,3,FALSE)/12,0)+IFERROR(((HLOOKUP(B159,'EV Forecast WRZ'!$F$116:$T$122,3,FALSE)-HLOOKUP(B159-1,'EV Forecast WRZ'!$F$124:$T$130,3,FALSE)))*C159/78,0)</f>
        <v>169959.13636167152</v>
      </c>
      <c r="U159" s="47">
        <f ca="1">HLOOKUP(B159,Heating!$R$102:$AD$106,4,FALSE)*INDEX(Weather!$BO$1:$CB$20,MATCH(B159,Weather!$BO$1:$BO$20,0),MATCH(C159,Weather!$BO$1:$CB$1,0))/VLOOKUP(B159,Weather!$BO$2:$CB$20,14,FALSE)</f>
        <v>368676.28817633138</v>
      </c>
      <c r="V159" s="47">
        <f t="shared" ca="1" si="128"/>
        <v>8443877.7607924547</v>
      </c>
    </row>
    <row r="160" spans="1:22">
      <c r="A160" s="2">
        <f t="shared" si="131"/>
        <v>47208</v>
      </c>
      <c r="B160">
        <f t="shared" si="132"/>
        <v>2029</v>
      </c>
      <c r="C160">
        <f t="shared" si="133"/>
        <v>3</v>
      </c>
      <c r="E160" s="3">
        <f t="shared" ref="E160:F160" ca="1" si="194">E148</f>
        <v>596.21590579710141</v>
      </c>
      <c r="F160" s="3">
        <f t="shared" ca="1" si="194"/>
        <v>2.9583333333332896E-2</v>
      </c>
      <c r="G160" s="47">
        <f t="shared" si="135"/>
        <v>31</v>
      </c>
      <c r="H160" s="89">
        <f>'Economic Data'!F186</f>
        <v>252.5552087774436</v>
      </c>
      <c r="J160">
        <f t="shared" si="136"/>
        <v>0</v>
      </c>
      <c r="L160" s="3">
        <f t="shared" si="158"/>
        <v>-2785699</v>
      </c>
      <c r="M160" s="3">
        <f t="shared" ca="1" si="159"/>
        <v>2340486.0808881158</v>
      </c>
      <c r="N160" s="3">
        <f t="shared" ca="1" si="160"/>
        <v>301.07254166666223</v>
      </c>
      <c r="O160" s="3">
        <f t="shared" si="161"/>
        <v>4932472</v>
      </c>
      <c r="P160" s="3">
        <f t="shared" si="162"/>
        <v>3571799.9234163128</v>
      </c>
      <c r="Q160" s="3">
        <f t="shared" si="163"/>
        <v>0</v>
      </c>
      <c r="R160" s="3">
        <f t="shared" si="164"/>
        <v>0</v>
      </c>
      <c r="S160" s="47">
        <f t="shared" ca="1" si="137"/>
        <v>8059360.0768460948</v>
      </c>
      <c r="T160" s="47">
        <f>IFERROR(HLOOKUP(B160-1,'EV Forecast WRZ'!$F$124:$T$130,3,FALSE)/12,0)+IFERROR(((HLOOKUP(B160,'EV Forecast WRZ'!$F$116:$T$122,3,FALSE)-HLOOKUP(B160-1,'EV Forecast WRZ'!$F$124:$T$130,3,FALSE)))*C160/78,0)</f>
        <v>172903.51535209594</v>
      </c>
      <c r="U160" s="47">
        <f ca="1">HLOOKUP(B160,Heating!$R$102:$AD$106,4,FALSE)*INDEX(Weather!$BO$1:$CB$20,MATCH(B160,Weather!$BO$1:$BO$20,0),MATCH(C160,Weather!$BO$1:$CB$1,0))/VLOOKUP(B160,Weather!$BO$2:$CB$20,14,FALSE)</f>
        <v>325975.22556628479</v>
      </c>
      <c r="V160" s="47">
        <f t="shared" ca="1" si="128"/>
        <v>8558238.8177644759</v>
      </c>
    </row>
    <row r="161" spans="1:22">
      <c r="A161" s="2">
        <f t="shared" si="131"/>
        <v>47238</v>
      </c>
      <c r="B161">
        <f t="shared" si="132"/>
        <v>2029</v>
      </c>
      <c r="C161">
        <f t="shared" si="133"/>
        <v>4</v>
      </c>
      <c r="E161" s="3">
        <f t="shared" ref="E161:F161" ca="1" si="195">E149</f>
        <v>412.8885416666667</v>
      </c>
      <c r="F161" s="3">
        <f t="shared" ca="1" si="195"/>
        <v>6.0095833333333344</v>
      </c>
      <c r="G161" s="47">
        <f t="shared" si="135"/>
        <v>30</v>
      </c>
      <c r="H161" s="89">
        <f>'Economic Data'!F187</f>
        <v>248.86078069293001</v>
      </c>
      <c r="J161">
        <f t="shared" si="136"/>
        <v>0</v>
      </c>
      <c r="L161" s="3">
        <f t="shared" si="158"/>
        <v>-2785699</v>
      </c>
      <c r="M161" s="3">
        <f t="shared" ca="1" si="159"/>
        <v>1620822.0467333335</v>
      </c>
      <c r="N161" s="3">
        <f t="shared" ca="1" si="160"/>
        <v>61160.13054166668</v>
      </c>
      <c r="O161" s="3">
        <f t="shared" si="161"/>
        <v>4773360</v>
      </c>
      <c r="P161" s="3">
        <f t="shared" si="162"/>
        <v>3519550.9200668666</v>
      </c>
      <c r="Q161" s="3">
        <f t="shared" si="163"/>
        <v>0</v>
      </c>
      <c r="R161" s="3">
        <f t="shared" si="164"/>
        <v>0</v>
      </c>
      <c r="S161" s="47">
        <f t="shared" ca="1" si="137"/>
        <v>7189194.0973418672</v>
      </c>
      <c r="T161" s="47">
        <f>IFERROR(HLOOKUP(B161-1,'EV Forecast WRZ'!$F$124:$T$130,3,FALSE)/12,0)+IFERROR(((HLOOKUP(B161,'EV Forecast WRZ'!$F$116:$T$122,3,FALSE)-HLOOKUP(B161-1,'EV Forecast WRZ'!$F$124:$T$130,3,FALSE)))*C161/78,0)</f>
        <v>175847.89434252033</v>
      </c>
      <c r="U161" s="47">
        <f ca="1">HLOOKUP(B161,Heating!$R$102:$AD$106,4,FALSE)*INDEX(Weather!$BO$1:$CB$20,MATCH(B161,Weather!$BO$1:$BO$20,0),MATCH(C161,Weather!$BO$1:$CB$1,0))/VLOOKUP(B161,Weather!$BO$2:$CB$20,14,FALSE)</f>
        <v>215351.49745827232</v>
      </c>
      <c r="V161" s="47">
        <f t="shared" ca="1" si="128"/>
        <v>7580393.4891426601</v>
      </c>
    </row>
    <row r="162" spans="1:22">
      <c r="A162" s="2">
        <f t="shared" si="131"/>
        <v>47269</v>
      </c>
      <c r="B162">
        <f t="shared" si="132"/>
        <v>2029</v>
      </c>
      <c r="C162">
        <f t="shared" si="133"/>
        <v>5</v>
      </c>
      <c r="E162" s="3">
        <f t="shared" ref="E162:F162" ca="1" si="196">E150</f>
        <v>208.90012508544086</v>
      </c>
      <c r="F162" s="3">
        <f t="shared" ca="1" si="196"/>
        <v>81.50872474747473</v>
      </c>
      <c r="G162" s="47">
        <f t="shared" si="135"/>
        <v>31</v>
      </c>
      <c r="H162" s="89">
        <f>'Economic Data'!F188</f>
        <v>248.14241967649681</v>
      </c>
      <c r="J162">
        <f t="shared" si="136"/>
        <v>0</v>
      </c>
      <c r="L162" s="3">
        <f t="shared" ref="L162:L193" si="197">$Z$8</f>
        <v>-2785699</v>
      </c>
      <c r="M162" s="3">
        <f t="shared" ref="M162:M193" ca="1" si="198">E162*$Z$9</f>
        <v>820051.64623140392</v>
      </c>
      <c r="N162" s="3">
        <f t="shared" ref="N162:N193" ca="1" si="199">F162*$Z$10</f>
        <v>829522.44262752507</v>
      </c>
      <c r="O162" s="3">
        <f t="shared" ref="O162:O193" si="200">G162*$Z$11</f>
        <v>4932472</v>
      </c>
      <c r="P162" s="3">
        <f t="shared" ref="P162:P193" si="201">H162*$Z$12</f>
        <v>3509391.3916378077</v>
      </c>
      <c r="Q162" s="3">
        <f t="shared" ref="Q162:Q193" si="202">I162*$Z$13</f>
        <v>0</v>
      </c>
      <c r="R162" s="3">
        <f t="shared" ref="R162:R193" si="203">J162*$Z$14</f>
        <v>0</v>
      </c>
      <c r="S162" s="47">
        <f t="shared" ref="S162:S193" ca="1" si="204">SUM(L162:R162)</f>
        <v>7305738.4804967362</v>
      </c>
      <c r="T162" s="47">
        <f>IFERROR(HLOOKUP(B162-1,'EV Forecast WRZ'!$F$124:$T$130,3,FALSE)/12,0)+IFERROR(((HLOOKUP(B162,'EV Forecast WRZ'!$F$116:$T$122,3,FALSE)-HLOOKUP(B162-1,'EV Forecast WRZ'!$F$124:$T$130,3,FALSE)))*C162/78,0)</f>
        <v>178792.27333294475</v>
      </c>
      <c r="U162" s="47">
        <f ca="1">HLOOKUP(B162,Heating!$R$102:$AD$106,4,FALSE)*INDEX(Weather!$BO$1:$CB$20,MATCH(B162,Weather!$BO$1:$BO$20,0),MATCH(C162,Weather!$BO$1:$CB$1,0))/VLOOKUP(B162,Weather!$BO$2:$CB$20,14,FALSE)</f>
        <v>94730.881715953103</v>
      </c>
      <c r="V162" s="47">
        <f t="shared" ca="1" si="128"/>
        <v>7579261.6355456347</v>
      </c>
    </row>
    <row r="163" spans="1:22">
      <c r="A163" s="2">
        <f t="shared" ref="A163:A193" si="205">EOMONTH(A162,1)</f>
        <v>47299</v>
      </c>
      <c r="B163">
        <f t="shared" ref="B163:B193" si="206">YEAR(A163)</f>
        <v>2029</v>
      </c>
      <c r="C163">
        <f t="shared" ref="C163:C193" si="207">MONTH(A163)</f>
        <v>6</v>
      </c>
      <c r="E163" s="3">
        <f t="shared" ref="E163:F163" ca="1" si="208">E151</f>
        <v>61.78217382617381</v>
      </c>
      <c r="F163" s="3">
        <f t="shared" ca="1" si="208"/>
        <v>202.3599342107168</v>
      </c>
      <c r="G163" s="47">
        <f t="shared" ref="G163:G193" si="209">G127</f>
        <v>30</v>
      </c>
      <c r="H163" s="89">
        <f>'Economic Data'!F189</f>
        <v>247.32143565771599</v>
      </c>
      <c r="J163">
        <f t="shared" ref="J163:J193" si="210">J151</f>
        <v>0</v>
      </c>
      <c r="L163" s="3">
        <f t="shared" si="197"/>
        <v>-2785699</v>
      </c>
      <c r="M163" s="3">
        <f t="shared" ca="1" si="198"/>
        <v>242530.12454246549</v>
      </c>
      <c r="N163" s="3">
        <f t="shared" ca="1" si="199"/>
        <v>2059437.286455886</v>
      </c>
      <c r="O163" s="3">
        <f t="shared" si="200"/>
        <v>4773360</v>
      </c>
      <c r="P163" s="3">
        <f t="shared" si="201"/>
        <v>3497780.5020045969</v>
      </c>
      <c r="Q163" s="3">
        <f t="shared" si="202"/>
        <v>0</v>
      </c>
      <c r="R163" s="3">
        <f t="shared" si="203"/>
        <v>0</v>
      </c>
      <c r="S163" s="47">
        <f t="shared" ca="1" si="204"/>
        <v>7787408.9130029492</v>
      </c>
      <c r="T163" s="47">
        <f>IFERROR(HLOOKUP(B163-1,'EV Forecast WRZ'!$F$124:$T$130,3,FALSE)/12,0)+IFERROR(((HLOOKUP(B163,'EV Forecast WRZ'!$F$116:$T$122,3,FALSE)-HLOOKUP(B163-1,'EV Forecast WRZ'!$F$124:$T$130,3,FALSE)))*C163/78,0)</f>
        <v>181736.65232336917</v>
      </c>
      <c r="U163" s="47">
        <f ca="1">HLOOKUP(B163,Heating!$R$102:$AD$106,4,FALSE)*INDEX(Weather!$BO$1:$CB$20,MATCH(B163,Weather!$BO$1:$BO$20,0),MATCH(C163,Weather!$BO$1:$CB$1,0))/VLOOKUP(B163,Weather!$BO$2:$CB$20,14,FALSE)</f>
        <v>18472.909316854995</v>
      </c>
      <c r="V163" s="47">
        <f t="shared" ca="1" si="128"/>
        <v>7987618.4746431727</v>
      </c>
    </row>
    <row r="164" spans="1:22">
      <c r="A164" s="2">
        <f t="shared" si="205"/>
        <v>47330</v>
      </c>
      <c r="B164">
        <f t="shared" si="206"/>
        <v>2029</v>
      </c>
      <c r="C164">
        <f t="shared" si="207"/>
        <v>7</v>
      </c>
      <c r="E164" s="3">
        <f t="shared" ref="E164:F164" ca="1" si="211">E152</f>
        <v>8.334479813664597</v>
      </c>
      <c r="F164" s="3">
        <f t="shared" ca="1" si="211"/>
        <v>304.72508692061177</v>
      </c>
      <c r="G164" s="47">
        <f t="shared" si="209"/>
        <v>31</v>
      </c>
      <c r="H164" s="89">
        <f>'Economic Data'!F190</f>
        <v>251.22110974692484</v>
      </c>
      <c r="J164">
        <f t="shared" si="210"/>
        <v>0</v>
      </c>
      <c r="L164" s="3">
        <f t="shared" si="197"/>
        <v>-2785699</v>
      </c>
      <c r="M164" s="3">
        <f t="shared" ca="1" si="198"/>
        <v>32717.567253167708</v>
      </c>
      <c r="N164" s="3">
        <f t="shared" ca="1" si="199"/>
        <v>3101217.6820997582</v>
      </c>
      <c r="O164" s="3">
        <f t="shared" si="200"/>
        <v>4932472</v>
      </c>
      <c r="P164" s="3">
        <f t="shared" si="201"/>
        <v>3552932.2277623466</v>
      </c>
      <c r="Q164" s="3">
        <f t="shared" si="202"/>
        <v>0</v>
      </c>
      <c r="R164" s="3">
        <f t="shared" si="203"/>
        <v>0</v>
      </c>
      <c r="S164" s="47">
        <f t="shared" ca="1" si="204"/>
        <v>8833640.4771152735</v>
      </c>
      <c r="T164" s="47">
        <f>IFERROR(HLOOKUP(B164-1,'EV Forecast WRZ'!$F$124:$T$130,3,FALSE)/12,0)+IFERROR(((HLOOKUP(B164,'EV Forecast WRZ'!$F$116:$T$122,3,FALSE)-HLOOKUP(B164-1,'EV Forecast WRZ'!$F$124:$T$130,3,FALSE)))*C164/78,0)</f>
        <v>184681.03131379359</v>
      </c>
      <c r="U164" s="47">
        <f ca="1">HLOOKUP(B164,Heating!$R$102:$AD$106,4,FALSE)*INDEX(Weather!$BO$1:$CB$20,MATCH(B164,Weather!$BO$1:$BO$20,0),MATCH(C164,Weather!$BO$1:$CB$1,0))/VLOOKUP(B164,Weather!$BO$2:$CB$20,14,FALSE)</f>
        <v>661.80600931610093</v>
      </c>
      <c r="V164" s="47">
        <f t="shared" ca="1" si="128"/>
        <v>9018983.314438384</v>
      </c>
    </row>
    <row r="165" spans="1:22">
      <c r="A165" s="2">
        <f t="shared" si="205"/>
        <v>47361</v>
      </c>
      <c r="B165">
        <f t="shared" si="206"/>
        <v>2029</v>
      </c>
      <c r="C165">
        <f t="shared" si="207"/>
        <v>8</v>
      </c>
      <c r="E165" s="3">
        <f t="shared" ref="E165:F165" ca="1" si="212">E153</f>
        <v>21.054927536231883</v>
      </c>
      <c r="F165" s="3">
        <f t="shared" ca="1" si="212"/>
        <v>275.96017127799735</v>
      </c>
      <c r="G165" s="47">
        <f t="shared" si="209"/>
        <v>31</v>
      </c>
      <c r="H165" s="89">
        <f>'Economic Data'!F191</f>
        <v>255.018160833786</v>
      </c>
      <c r="J165">
        <f t="shared" si="210"/>
        <v>0</v>
      </c>
      <c r="L165" s="3">
        <f t="shared" si="197"/>
        <v>-2785699</v>
      </c>
      <c r="M165" s="3">
        <f t="shared" ca="1" si="198"/>
        <v>82652.549778550732</v>
      </c>
      <c r="N165" s="3">
        <f t="shared" ca="1" si="199"/>
        <v>2808474.2591133071</v>
      </c>
      <c r="O165" s="3">
        <f t="shared" si="200"/>
        <v>4932472</v>
      </c>
      <c r="P165" s="3">
        <f t="shared" si="201"/>
        <v>3606632.5923159434</v>
      </c>
      <c r="Q165" s="3">
        <f t="shared" si="202"/>
        <v>0</v>
      </c>
      <c r="R165" s="3">
        <f t="shared" si="203"/>
        <v>0</v>
      </c>
      <c r="S165" s="47">
        <f t="shared" ca="1" si="204"/>
        <v>8644532.401207801</v>
      </c>
      <c r="T165" s="47">
        <f>IFERROR(HLOOKUP(B165-1,'EV Forecast WRZ'!$F$124:$T$130,3,FALSE)/12,0)+IFERROR(((HLOOKUP(B165,'EV Forecast WRZ'!$F$116:$T$122,3,FALSE)-HLOOKUP(B165-1,'EV Forecast WRZ'!$F$124:$T$130,3,FALSE)))*C165/78,0)</f>
        <v>187625.41030421801</v>
      </c>
      <c r="U165" s="47">
        <f ca="1">HLOOKUP(B165,Heating!$R$102:$AD$106,4,FALSE)*INDEX(Weather!$BO$1:$CB$20,MATCH(B165,Weather!$BO$1:$BO$20,0),MATCH(C165,Weather!$BO$1:$CB$1,0))/VLOOKUP(B165,Weather!$BO$2:$CB$20,14,FALSE)</f>
        <v>3920.2408212235791</v>
      </c>
      <c r="V165" s="47">
        <f t="shared" ca="1" si="128"/>
        <v>8836078.0523332432</v>
      </c>
    </row>
    <row r="166" spans="1:22">
      <c r="A166" s="2">
        <f t="shared" si="205"/>
        <v>47391</v>
      </c>
      <c r="B166">
        <f t="shared" si="206"/>
        <v>2029</v>
      </c>
      <c r="C166">
        <f t="shared" si="207"/>
        <v>9</v>
      </c>
      <c r="E166" s="3">
        <f t="shared" ref="E166:F166" ca="1" si="213">E154</f>
        <v>97.667119565217376</v>
      </c>
      <c r="F166" s="3">
        <f t="shared" ca="1" si="213"/>
        <v>154.9849637681159</v>
      </c>
      <c r="G166" s="47">
        <f t="shared" si="209"/>
        <v>30</v>
      </c>
      <c r="H166" s="89">
        <f>'Economic Data'!F192</f>
        <v>260.45717995820877</v>
      </c>
      <c r="J166">
        <f t="shared" si="210"/>
        <v>1</v>
      </c>
      <c r="L166" s="3">
        <f t="shared" si="197"/>
        <v>-2785699</v>
      </c>
      <c r="M166" s="3">
        <f t="shared" ca="1" si="198"/>
        <v>383398.91921739129</v>
      </c>
      <c r="N166" s="3">
        <f t="shared" ca="1" si="199"/>
        <v>1577297.4747644924</v>
      </c>
      <c r="O166" s="3">
        <f t="shared" si="200"/>
        <v>4773360</v>
      </c>
      <c r="P166" s="3">
        <f t="shared" si="201"/>
        <v>3683554.736135961</v>
      </c>
      <c r="Q166" s="3">
        <f t="shared" si="202"/>
        <v>0</v>
      </c>
      <c r="R166" s="3">
        <f t="shared" si="203"/>
        <v>193962.4</v>
      </c>
      <c r="S166" s="47">
        <f t="shared" ca="1" si="204"/>
        <v>7825874.5301178452</v>
      </c>
      <c r="T166" s="47">
        <f>IFERROR(HLOOKUP(B166-1,'EV Forecast WRZ'!$F$124:$T$130,3,FALSE)/12,0)+IFERROR(((HLOOKUP(B166,'EV Forecast WRZ'!$F$116:$T$122,3,FALSE)-HLOOKUP(B166-1,'EV Forecast WRZ'!$F$124:$T$130,3,FALSE)))*C166/78,0)</f>
        <v>190569.78929464243</v>
      </c>
      <c r="U166" s="47">
        <f ca="1">HLOOKUP(B166,Heating!$R$102:$AD$106,4,FALSE)*INDEX(Weather!$BO$1:$CB$20,MATCH(B166,Weather!$BO$1:$BO$20,0),MATCH(C166,Weather!$BO$1:$CB$1,0))/VLOOKUP(B166,Weather!$BO$2:$CB$20,14,FALSE)</f>
        <v>33202.445682269579</v>
      </c>
      <c r="V166" s="47">
        <f t="shared" ca="1" si="128"/>
        <v>8049646.7650947571</v>
      </c>
    </row>
    <row r="167" spans="1:22">
      <c r="A167" s="2">
        <f t="shared" si="205"/>
        <v>47422</v>
      </c>
      <c r="B167">
        <f t="shared" si="206"/>
        <v>2029</v>
      </c>
      <c r="C167">
        <f t="shared" si="207"/>
        <v>10</v>
      </c>
      <c r="E167" s="3">
        <f t="shared" ref="E167:F167" ca="1" si="214">E155</f>
        <v>292.46431159420291</v>
      </c>
      <c r="F167" s="3">
        <f t="shared" ca="1" si="214"/>
        <v>38.347916666666663</v>
      </c>
      <c r="G167" s="47">
        <f t="shared" si="209"/>
        <v>31</v>
      </c>
      <c r="H167" s="89">
        <f>'Economic Data'!F193</f>
        <v>263.84373903567962</v>
      </c>
      <c r="J167">
        <f t="shared" si="210"/>
        <v>1</v>
      </c>
      <c r="L167" s="3">
        <f t="shared" si="197"/>
        <v>-2785699</v>
      </c>
      <c r="M167" s="3">
        <f t="shared" ca="1" si="198"/>
        <v>1148088.542736232</v>
      </c>
      <c r="N167" s="3">
        <f t="shared" ca="1" si="199"/>
        <v>390270.58270833333</v>
      </c>
      <c r="O167" s="3">
        <f t="shared" si="200"/>
        <v>4932472</v>
      </c>
      <c r="P167" s="3">
        <f t="shared" si="201"/>
        <v>3731449.6558729541</v>
      </c>
      <c r="Q167" s="3">
        <f t="shared" si="202"/>
        <v>0</v>
      </c>
      <c r="R167" s="3">
        <f t="shared" si="203"/>
        <v>193962.4</v>
      </c>
      <c r="S167" s="47">
        <f t="shared" ca="1" si="204"/>
        <v>7610544.1813175194</v>
      </c>
      <c r="T167" s="47">
        <f>IFERROR(HLOOKUP(B167-1,'EV Forecast WRZ'!$F$124:$T$130,3,FALSE)/12,0)+IFERROR(((HLOOKUP(B167,'EV Forecast WRZ'!$F$116:$T$122,3,FALSE)-HLOOKUP(B167-1,'EV Forecast WRZ'!$F$124:$T$130,3,FALSE)))*C167/78,0)</f>
        <v>193514.16828506684</v>
      </c>
      <c r="U167" s="47">
        <f ca="1">HLOOKUP(B167,Heating!$R$102:$AD$106,4,FALSE)*INDEX(Weather!$BO$1:$CB$20,MATCH(B167,Weather!$BO$1:$BO$20,0),MATCH(C167,Weather!$BO$1:$CB$1,0))/VLOOKUP(B167,Weather!$BO$2:$CB$20,14,FALSE)</f>
        <v>141695.72972316117</v>
      </c>
      <c r="V167" s="47">
        <f t="shared" ca="1" si="128"/>
        <v>7945754.0793257477</v>
      </c>
    </row>
    <row r="168" spans="1:22">
      <c r="A168" s="2">
        <f t="shared" si="205"/>
        <v>47452</v>
      </c>
      <c r="B168">
        <f t="shared" si="206"/>
        <v>2029</v>
      </c>
      <c r="C168">
        <f t="shared" si="207"/>
        <v>11</v>
      </c>
      <c r="E168" s="3">
        <f t="shared" ref="E168:F168" ca="1" si="215">E156</f>
        <v>495.51408055712409</v>
      </c>
      <c r="F168" s="3">
        <f t="shared" ca="1" si="215"/>
        <v>1.9241666666666659</v>
      </c>
      <c r="G168" s="47">
        <f t="shared" si="209"/>
        <v>30</v>
      </c>
      <c r="H168" s="89">
        <f>'Economic Data'!F194</f>
        <v>266.40931409436962</v>
      </c>
      <c r="J168">
        <f t="shared" si="210"/>
        <v>1</v>
      </c>
      <c r="L168" s="3">
        <f t="shared" si="197"/>
        <v>-2785699</v>
      </c>
      <c r="M168" s="3">
        <f t="shared" ca="1" si="198"/>
        <v>1945174.2181844686</v>
      </c>
      <c r="N168" s="3">
        <f t="shared" ca="1" si="199"/>
        <v>19582.436583333325</v>
      </c>
      <c r="O168" s="3">
        <f t="shared" si="200"/>
        <v>4773360</v>
      </c>
      <c r="P168" s="3">
        <f t="shared" si="201"/>
        <v>3767733.6859767362</v>
      </c>
      <c r="Q168" s="3">
        <f t="shared" si="202"/>
        <v>0</v>
      </c>
      <c r="R168" s="3">
        <f t="shared" si="203"/>
        <v>193962.4</v>
      </c>
      <c r="S168" s="47">
        <f t="shared" ca="1" si="204"/>
        <v>7914113.7407445386</v>
      </c>
      <c r="T168" s="47">
        <f>IFERROR(HLOOKUP(B168-1,'EV Forecast WRZ'!$F$124:$T$130,3,FALSE)/12,0)+IFERROR(((HLOOKUP(B168,'EV Forecast WRZ'!$F$116:$T$122,3,FALSE)-HLOOKUP(B168-1,'EV Forecast WRZ'!$F$124:$T$130,3,FALSE)))*C168/78,0)</f>
        <v>196458.54727549126</v>
      </c>
      <c r="U168" s="47">
        <f ca="1">HLOOKUP(B168,Heating!$R$102:$AD$106,4,FALSE)*INDEX(Weather!$BO$1:$CB$20,MATCH(B168,Weather!$BO$1:$BO$20,0),MATCH(C168,Weather!$BO$1:$CB$1,0))/VLOOKUP(B168,Weather!$BO$2:$CB$20,14,FALSE)</f>
        <v>265747.98523655621</v>
      </c>
      <c r="V168" s="47">
        <f t="shared" ca="1" si="128"/>
        <v>8376320.2732565859</v>
      </c>
    </row>
    <row r="169" spans="1:22">
      <c r="A169" s="2">
        <f t="shared" si="205"/>
        <v>47483</v>
      </c>
      <c r="B169">
        <f t="shared" si="206"/>
        <v>2029</v>
      </c>
      <c r="C169">
        <f t="shared" si="207"/>
        <v>12</v>
      </c>
      <c r="E169" s="3">
        <f t="shared" ref="E169:F169" ca="1" si="216">E157</f>
        <v>664.38541666666663</v>
      </c>
      <c r="F169" s="3">
        <f t="shared" ca="1" si="216"/>
        <v>0</v>
      </c>
      <c r="G169" s="47">
        <f t="shared" si="209"/>
        <v>31</v>
      </c>
      <c r="H169" s="89">
        <f>'Economic Data'!F195</f>
        <v>263.53587002863679</v>
      </c>
      <c r="J169">
        <f t="shared" si="210"/>
        <v>0</v>
      </c>
      <c r="L169" s="3">
        <f t="shared" si="197"/>
        <v>-2785699</v>
      </c>
      <c r="M169" s="3">
        <f t="shared" ca="1" si="198"/>
        <v>2608090.1313333334</v>
      </c>
      <c r="N169" s="3">
        <f t="shared" ca="1" si="199"/>
        <v>0</v>
      </c>
      <c r="O169" s="3">
        <f t="shared" si="200"/>
        <v>4932472</v>
      </c>
      <c r="P169" s="3">
        <f t="shared" si="201"/>
        <v>3727095.5722604999</v>
      </c>
      <c r="Q169" s="3">
        <f t="shared" si="202"/>
        <v>0</v>
      </c>
      <c r="R169" s="3">
        <f t="shared" si="203"/>
        <v>0</v>
      </c>
      <c r="S169" s="47">
        <f t="shared" ca="1" si="204"/>
        <v>8481958.7035938334</v>
      </c>
      <c r="T169" s="47">
        <f>IFERROR(HLOOKUP(B169-1,'EV Forecast WRZ'!$F$124:$T$130,3,FALSE)/12,0)+IFERROR(((HLOOKUP(B169,'EV Forecast WRZ'!$F$116:$T$122,3,FALSE)-HLOOKUP(B169-1,'EV Forecast WRZ'!$F$124:$T$130,3,FALSE)))*C169/78,0)</f>
        <v>199402.92626591568</v>
      </c>
      <c r="U169" s="47">
        <f ca="1">HLOOKUP(B169,Heating!$R$102:$AD$106,4,FALSE)*INDEX(Weather!$BO$1:$CB$20,MATCH(B169,Weather!$BO$1:$BO$20,0),MATCH(C169,Weather!$BO$1:$CB$1,0))/VLOOKUP(B169,Weather!$BO$2:$CB$20,14,FALSE)</f>
        <v>367571.83742547891</v>
      </c>
      <c r="V169" s="47">
        <f t="shared" ca="1" si="128"/>
        <v>9048933.4672852289</v>
      </c>
    </row>
    <row r="170" spans="1:22">
      <c r="A170" s="2">
        <f t="shared" si="205"/>
        <v>47514</v>
      </c>
      <c r="B170">
        <f t="shared" si="206"/>
        <v>2030</v>
      </c>
      <c r="C170">
        <f t="shared" si="207"/>
        <v>1</v>
      </c>
      <c r="E170" s="3">
        <f t="shared" ref="E170:F170" ca="1" si="217">E158</f>
        <v>752.78750000000002</v>
      </c>
      <c r="F170" s="3">
        <f t="shared" ca="1" si="217"/>
        <v>0</v>
      </c>
      <c r="G170" s="47">
        <f t="shared" si="209"/>
        <v>31</v>
      </c>
      <c r="H170" s="89">
        <f>'Economic Data'!F196</f>
        <v>261.8918526051072</v>
      </c>
      <c r="J170">
        <f t="shared" si="210"/>
        <v>0</v>
      </c>
      <c r="L170" s="3">
        <f t="shared" si="197"/>
        <v>-2785699</v>
      </c>
      <c r="M170" s="3">
        <f t="shared" ca="1" si="198"/>
        <v>2955118.5208000001</v>
      </c>
      <c r="N170" s="3">
        <f t="shared" ca="1" si="199"/>
        <v>0</v>
      </c>
      <c r="O170" s="3">
        <f t="shared" si="200"/>
        <v>4932472</v>
      </c>
      <c r="P170" s="3">
        <f t="shared" si="201"/>
        <v>3703844.8092456195</v>
      </c>
      <c r="Q170" s="3">
        <f t="shared" si="202"/>
        <v>0</v>
      </c>
      <c r="R170" s="3">
        <f t="shared" si="203"/>
        <v>0</v>
      </c>
      <c r="S170" s="47">
        <f t="shared" ca="1" si="204"/>
        <v>8805736.33004562</v>
      </c>
      <c r="T170" s="47">
        <f>IFERROR(HLOOKUP(B170-1,'EV Forecast WRZ'!$F$124:$T$130,3,FALSE)/12,0)+IFERROR(((HLOOKUP(B170,'EV Forecast WRZ'!$F$116:$T$122,3,FALSE)-HLOOKUP(B170-1,'EV Forecast WRZ'!$F$124:$T$130,3,FALSE)))*C170/78,0)</f>
        <v>208087.35274600456</v>
      </c>
      <c r="U170" s="47">
        <f ca="1">HLOOKUP(B170,Heating!$R$102:$AD$106,4,FALSE)*INDEX(Weather!$BO$1:$CB$20,MATCH(B170,Weather!$BO$1:$BO$20,0),MATCH(C170,Weather!$BO$1:$CB$1,0))/VLOOKUP(B170,Weather!$BO$2:$CB$20,14,FALSE)</f>
        <v>476188.34611438087</v>
      </c>
      <c r="V170" s="47">
        <f t="shared" ca="1" si="128"/>
        <v>9490012.0289060045</v>
      </c>
    </row>
    <row r="171" spans="1:22">
      <c r="A171" s="2">
        <f t="shared" si="205"/>
        <v>47542</v>
      </c>
      <c r="B171">
        <f t="shared" si="206"/>
        <v>2030</v>
      </c>
      <c r="C171">
        <f t="shared" si="207"/>
        <v>2</v>
      </c>
      <c r="E171" s="3">
        <f t="shared" ref="E171:F171" ca="1" si="218">E159</f>
        <v>660.7954166666666</v>
      </c>
      <c r="F171" s="3">
        <f t="shared" ca="1" si="218"/>
        <v>0</v>
      </c>
      <c r="G171" s="47">
        <f t="shared" si="209"/>
        <v>29</v>
      </c>
      <c r="H171" s="89">
        <f>'Economic Data'!F197</f>
        <v>260.33790569487121</v>
      </c>
      <c r="J171">
        <f t="shared" si="210"/>
        <v>0</v>
      </c>
      <c r="L171" s="3">
        <f t="shared" si="197"/>
        <v>-2785699</v>
      </c>
      <c r="M171" s="3">
        <f t="shared" ca="1" si="198"/>
        <v>2593997.3422133331</v>
      </c>
      <c r="N171" s="3">
        <f t="shared" ca="1" si="199"/>
        <v>0</v>
      </c>
      <c r="O171" s="3">
        <f t="shared" si="200"/>
        <v>4614248</v>
      </c>
      <c r="P171" s="3">
        <f t="shared" si="201"/>
        <v>3681867.8819755702</v>
      </c>
      <c r="Q171" s="3">
        <f t="shared" si="202"/>
        <v>0</v>
      </c>
      <c r="R171" s="3">
        <f t="shared" si="203"/>
        <v>0</v>
      </c>
      <c r="S171" s="47">
        <f t="shared" ca="1" si="204"/>
        <v>8104414.2241889033</v>
      </c>
      <c r="T171" s="47">
        <f>IFERROR(HLOOKUP(B171-1,'EV Forecast WRZ'!$F$124:$T$130,3,FALSE)/12,0)+IFERROR(((HLOOKUP(B171,'EV Forecast WRZ'!$F$116:$T$122,3,FALSE)-HLOOKUP(B171-1,'EV Forecast WRZ'!$F$124:$T$130,3,FALSE)))*C171/78,0)</f>
        <v>211532.76690233566</v>
      </c>
      <c r="U171" s="47">
        <f ca="1">HLOOKUP(B171,Heating!$R$102:$AD$106,4,FALSE)*INDEX(Weather!$BO$1:$CB$20,MATCH(B171,Weather!$BO$1:$BO$20,0),MATCH(C171,Weather!$BO$1:$CB$1,0))/VLOOKUP(B171,Weather!$BO$2:$CB$20,14,FALSE)</f>
        <v>416496.8477171188</v>
      </c>
      <c r="V171" s="47">
        <f t="shared" ref="V171:V193" ca="1" si="219">S171+T171+U171</f>
        <v>8732443.8388083577</v>
      </c>
    </row>
    <row r="172" spans="1:22">
      <c r="A172" s="2">
        <f t="shared" si="205"/>
        <v>47573</v>
      </c>
      <c r="B172">
        <f t="shared" si="206"/>
        <v>2030</v>
      </c>
      <c r="C172">
        <f t="shared" si="207"/>
        <v>3</v>
      </c>
      <c r="E172" s="3">
        <f t="shared" ref="E172:F172" ca="1" si="220">E160</f>
        <v>596.21590579710141</v>
      </c>
      <c r="F172" s="3">
        <f t="shared" ca="1" si="220"/>
        <v>2.9583333333332896E-2</v>
      </c>
      <c r="G172" s="47">
        <f t="shared" si="209"/>
        <v>31</v>
      </c>
      <c r="H172" s="89">
        <f>'Economic Data'!F198</f>
        <v>255.33331607399546</v>
      </c>
      <c r="J172">
        <f t="shared" si="210"/>
        <v>0</v>
      </c>
      <c r="L172" s="3">
        <f t="shared" si="197"/>
        <v>-2785699</v>
      </c>
      <c r="M172" s="3">
        <f t="shared" ca="1" si="198"/>
        <v>2340486.0808881158</v>
      </c>
      <c r="N172" s="3">
        <f t="shared" ca="1" si="199"/>
        <v>301.07254166666223</v>
      </c>
      <c r="O172" s="3">
        <f t="shared" si="200"/>
        <v>4932472</v>
      </c>
      <c r="P172" s="3">
        <f t="shared" si="201"/>
        <v>3611089.7225738917</v>
      </c>
      <c r="Q172" s="3">
        <f t="shared" si="202"/>
        <v>0</v>
      </c>
      <c r="R172" s="3">
        <f t="shared" si="203"/>
        <v>0</v>
      </c>
      <c r="S172" s="47">
        <f t="shared" ca="1" si="204"/>
        <v>8098649.8760036733</v>
      </c>
      <c r="T172" s="47">
        <f>IFERROR(HLOOKUP(B172-1,'EV Forecast WRZ'!$F$124:$T$130,3,FALSE)/12,0)+IFERROR(((HLOOKUP(B172,'EV Forecast WRZ'!$F$116:$T$122,3,FALSE)-HLOOKUP(B172-1,'EV Forecast WRZ'!$F$124:$T$130,3,FALSE)))*C172/78,0)</f>
        <v>214978.18105866676</v>
      </c>
      <c r="U172" s="47">
        <f ca="1">HLOOKUP(B172,Heating!$R$102:$AD$106,4,FALSE)*INDEX(Weather!$BO$1:$CB$20,MATCH(B172,Weather!$BO$1:$BO$20,0),MATCH(C172,Weather!$BO$1:$CB$1,0))/VLOOKUP(B172,Weather!$BO$2:$CB$20,14,FALSE)</f>
        <v>368257.08144620107</v>
      </c>
      <c r="V172" s="47">
        <f t="shared" ca="1" si="219"/>
        <v>8681885.1385085415</v>
      </c>
    </row>
    <row r="173" spans="1:22">
      <c r="A173" s="2">
        <f t="shared" si="205"/>
        <v>47603</v>
      </c>
      <c r="B173">
        <f t="shared" si="206"/>
        <v>2030</v>
      </c>
      <c r="C173">
        <f t="shared" si="207"/>
        <v>4</v>
      </c>
      <c r="E173" s="3">
        <f t="shared" ref="E173:F173" ca="1" si="221">E161</f>
        <v>412.8885416666667</v>
      </c>
      <c r="F173" s="3">
        <f t="shared" ca="1" si="221"/>
        <v>6.0095833333333344</v>
      </c>
      <c r="G173" s="47">
        <f t="shared" si="209"/>
        <v>30</v>
      </c>
      <c r="H173" s="89">
        <f>'Economic Data'!F199</f>
        <v>251.59824928055221</v>
      </c>
      <c r="J173">
        <f t="shared" si="210"/>
        <v>0</v>
      </c>
      <c r="L173" s="3">
        <f t="shared" si="197"/>
        <v>-2785699</v>
      </c>
      <c r="M173" s="3">
        <f t="shared" ca="1" si="198"/>
        <v>1620822.0467333335</v>
      </c>
      <c r="N173" s="3">
        <f t="shared" ca="1" si="199"/>
        <v>61160.13054166668</v>
      </c>
      <c r="O173" s="3">
        <f t="shared" si="200"/>
        <v>4773360</v>
      </c>
      <c r="P173" s="3">
        <f t="shared" si="201"/>
        <v>3558265.9801876014</v>
      </c>
      <c r="Q173" s="3">
        <f t="shared" si="202"/>
        <v>0</v>
      </c>
      <c r="R173" s="3">
        <f t="shared" si="203"/>
        <v>0</v>
      </c>
      <c r="S173" s="47">
        <f t="shared" ca="1" si="204"/>
        <v>7227909.1574626015</v>
      </c>
      <c r="T173" s="47">
        <f>IFERROR(HLOOKUP(B173-1,'EV Forecast WRZ'!$F$124:$T$130,3,FALSE)/12,0)+IFERROR(((HLOOKUP(B173,'EV Forecast WRZ'!$F$116:$T$122,3,FALSE)-HLOOKUP(B173-1,'EV Forecast WRZ'!$F$124:$T$130,3,FALSE)))*C173/78,0)</f>
        <v>218423.59521499785</v>
      </c>
      <c r="U173" s="47">
        <f ca="1">HLOOKUP(B173,Heating!$R$102:$AD$106,4,FALSE)*INDEX(Weather!$BO$1:$CB$20,MATCH(B173,Weather!$BO$1:$BO$20,0),MATCH(C173,Weather!$BO$1:$CB$1,0))/VLOOKUP(B173,Weather!$BO$2:$CB$20,14,FALSE)</f>
        <v>243284.48212984297</v>
      </c>
      <c r="V173" s="47">
        <f t="shared" ca="1" si="219"/>
        <v>7689617.2348074419</v>
      </c>
    </row>
    <row r="174" spans="1:22">
      <c r="A174" s="2">
        <f t="shared" si="205"/>
        <v>47634</v>
      </c>
      <c r="B174">
        <f t="shared" si="206"/>
        <v>2030</v>
      </c>
      <c r="C174">
        <f t="shared" si="207"/>
        <v>5</v>
      </c>
      <c r="E174" s="3">
        <f t="shared" ref="E174:F174" ca="1" si="222">E162</f>
        <v>208.90012508544086</v>
      </c>
      <c r="F174" s="3">
        <f t="shared" ca="1" si="222"/>
        <v>81.50872474747473</v>
      </c>
      <c r="G174" s="47">
        <f t="shared" si="209"/>
        <v>31</v>
      </c>
      <c r="H174" s="89">
        <f>'Economic Data'!F200</f>
        <v>250.87198629293826</v>
      </c>
      <c r="J174">
        <f t="shared" si="210"/>
        <v>0</v>
      </c>
      <c r="L174" s="3">
        <f t="shared" si="197"/>
        <v>-2785699</v>
      </c>
      <c r="M174" s="3">
        <f t="shared" ca="1" si="198"/>
        <v>820051.64623140392</v>
      </c>
      <c r="N174" s="3">
        <f t="shared" ca="1" si="199"/>
        <v>829522.44262752507</v>
      </c>
      <c r="O174" s="3">
        <f t="shared" si="200"/>
        <v>4932472</v>
      </c>
      <c r="P174" s="3">
        <f t="shared" si="201"/>
        <v>3547994.6969458233</v>
      </c>
      <c r="Q174" s="3">
        <f t="shared" si="202"/>
        <v>0</v>
      </c>
      <c r="R174" s="3">
        <f t="shared" si="203"/>
        <v>0</v>
      </c>
      <c r="S174" s="47">
        <f t="shared" ca="1" si="204"/>
        <v>7344341.7858047523</v>
      </c>
      <c r="T174" s="47">
        <f>IFERROR(HLOOKUP(B174-1,'EV Forecast WRZ'!$F$124:$T$130,3,FALSE)/12,0)+IFERROR(((HLOOKUP(B174,'EV Forecast WRZ'!$F$116:$T$122,3,FALSE)-HLOOKUP(B174-1,'EV Forecast WRZ'!$F$124:$T$130,3,FALSE)))*C174/78,0)</f>
        <v>221869.00937132898</v>
      </c>
      <c r="U174" s="47">
        <f ca="1">HLOOKUP(B174,Heating!$R$102:$AD$106,4,FALSE)*INDEX(Weather!$BO$1:$CB$20,MATCH(B174,Weather!$BO$1:$BO$20,0),MATCH(C174,Weather!$BO$1:$CB$1,0))/VLOOKUP(B174,Weather!$BO$2:$CB$20,14,FALSE)</f>
        <v>107018.31086377605</v>
      </c>
      <c r="V174" s="47">
        <f t="shared" ca="1" si="219"/>
        <v>7673229.1060398575</v>
      </c>
    </row>
    <row r="175" spans="1:22">
      <c r="A175" s="2">
        <f t="shared" si="205"/>
        <v>47664</v>
      </c>
      <c r="B175">
        <f t="shared" si="206"/>
        <v>2030</v>
      </c>
      <c r="C175">
        <f t="shared" si="207"/>
        <v>6</v>
      </c>
      <c r="E175" s="3">
        <f t="shared" ref="E175:F175" ca="1" si="223">E163</f>
        <v>61.78217382617381</v>
      </c>
      <c r="F175" s="3">
        <f t="shared" ca="1" si="223"/>
        <v>202.3599342107168</v>
      </c>
      <c r="G175" s="47">
        <f t="shared" si="209"/>
        <v>30</v>
      </c>
      <c r="H175" s="89">
        <f>'Economic Data'!F201</f>
        <v>250.04197144995084</v>
      </c>
      <c r="J175">
        <f t="shared" si="210"/>
        <v>0</v>
      </c>
      <c r="L175" s="3">
        <f t="shared" si="197"/>
        <v>-2785699</v>
      </c>
      <c r="M175" s="3">
        <f t="shared" ca="1" si="198"/>
        <v>242530.12454246549</v>
      </c>
      <c r="N175" s="3">
        <f t="shared" ca="1" si="199"/>
        <v>2059437.286455886</v>
      </c>
      <c r="O175" s="3">
        <f t="shared" si="200"/>
        <v>4773360</v>
      </c>
      <c r="P175" s="3">
        <f t="shared" si="201"/>
        <v>3536256.0875266469</v>
      </c>
      <c r="Q175" s="3">
        <f t="shared" si="202"/>
        <v>0</v>
      </c>
      <c r="R175" s="3">
        <f t="shared" si="203"/>
        <v>0</v>
      </c>
      <c r="S175" s="47">
        <f t="shared" ca="1" si="204"/>
        <v>7825884.4985249992</v>
      </c>
      <c r="T175" s="47">
        <f>IFERROR(HLOOKUP(B175-1,'EV Forecast WRZ'!$F$124:$T$130,3,FALSE)/12,0)+IFERROR(((HLOOKUP(B175,'EV Forecast WRZ'!$F$116:$T$122,3,FALSE)-HLOOKUP(B175-1,'EV Forecast WRZ'!$F$124:$T$130,3,FALSE)))*C175/78,0)</f>
        <v>225314.42352766008</v>
      </c>
      <c r="U175" s="47">
        <f ca="1">HLOOKUP(B175,Heating!$R$102:$AD$106,4,FALSE)*INDEX(Weather!$BO$1:$CB$20,MATCH(B175,Weather!$BO$1:$BO$20,0),MATCH(C175,Weather!$BO$1:$CB$1,0))/VLOOKUP(B175,Weather!$BO$2:$CB$20,14,FALSE)</f>
        <v>20869.008247567144</v>
      </c>
      <c r="V175" s="47">
        <f t="shared" ca="1" si="219"/>
        <v>8072067.9303002264</v>
      </c>
    </row>
    <row r="176" spans="1:22">
      <c r="A176" s="2">
        <f t="shared" si="205"/>
        <v>47695</v>
      </c>
      <c r="B176">
        <f t="shared" si="206"/>
        <v>2030</v>
      </c>
      <c r="C176">
        <f t="shared" si="207"/>
        <v>7</v>
      </c>
      <c r="E176" s="3">
        <f t="shared" ref="E176:F176" ca="1" si="224">E164</f>
        <v>8.334479813664597</v>
      </c>
      <c r="F176" s="3">
        <f t="shared" ca="1" si="224"/>
        <v>304.72508692061177</v>
      </c>
      <c r="G176" s="47">
        <f t="shared" si="209"/>
        <v>31</v>
      </c>
      <c r="H176" s="89">
        <f>'Economic Data'!F202</f>
        <v>253.98454195414098</v>
      </c>
      <c r="J176">
        <f t="shared" si="210"/>
        <v>0</v>
      </c>
      <c r="L176" s="3">
        <f t="shared" si="197"/>
        <v>-2785699</v>
      </c>
      <c r="M176" s="3">
        <f t="shared" ca="1" si="198"/>
        <v>32717.567253167708</v>
      </c>
      <c r="N176" s="3">
        <f t="shared" ca="1" si="199"/>
        <v>3101217.6820997582</v>
      </c>
      <c r="O176" s="3">
        <f t="shared" si="200"/>
        <v>4932472</v>
      </c>
      <c r="P176" s="3">
        <f t="shared" si="201"/>
        <v>3592014.4822677318</v>
      </c>
      <c r="Q176" s="3">
        <f t="shared" si="202"/>
        <v>0</v>
      </c>
      <c r="R176" s="3">
        <f t="shared" si="203"/>
        <v>0</v>
      </c>
      <c r="S176" s="47">
        <f t="shared" ca="1" si="204"/>
        <v>8872722.7316206582</v>
      </c>
      <c r="T176" s="47">
        <f>IFERROR(HLOOKUP(B176-1,'EV Forecast WRZ'!$F$124:$T$130,3,FALSE)/12,0)+IFERROR(((HLOOKUP(B176,'EV Forecast WRZ'!$F$116:$T$122,3,FALSE)-HLOOKUP(B176-1,'EV Forecast WRZ'!$F$124:$T$130,3,FALSE)))*C176/78,0)</f>
        <v>228759.83768399118</v>
      </c>
      <c r="U176" s="47">
        <f ca="1">HLOOKUP(B176,Heating!$R$102:$AD$106,4,FALSE)*INDEX(Weather!$BO$1:$CB$20,MATCH(B176,Weather!$BO$1:$BO$20,0),MATCH(C176,Weather!$BO$1:$CB$1,0))/VLOOKUP(B176,Weather!$BO$2:$CB$20,14,FALSE)</f>
        <v>747.64807371763595</v>
      </c>
      <c r="V176" s="47">
        <f t="shared" ca="1" si="219"/>
        <v>9102230.2173783667</v>
      </c>
    </row>
    <row r="177" spans="1:22">
      <c r="A177" s="2">
        <f t="shared" si="205"/>
        <v>47726</v>
      </c>
      <c r="B177">
        <f t="shared" si="206"/>
        <v>2030</v>
      </c>
      <c r="C177">
        <f t="shared" si="207"/>
        <v>8</v>
      </c>
      <c r="E177" s="3">
        <f t="shared" ref="E177:F177" ca="1" si="225">E165</f>
        <v>21.054927536231883</v>
      </c>
      <c r="F177" s="3">
        <f t="shared" ca="1" si="225"/>
        <v>275.96017127799735</v>
      </c>
      <c r="G177" s="47">
        <f t="shared" si="209"/>
        <v>31</v>
      </c>
      <c r="H177" s="89">
        <f>'Economic Data'!F203</f>
        <v>257.82336060295762</v>
      </c>
      <c r="J177">
        <f t="shared" si="210"/>
        <v>0</v>
      </c>
      <c r="L177" s="3">
        <f t="shared" si="197"/>
        <v>-2785699</v>
      </c>
      <c r="M177" s="3">
        <f t="shared" ca="1" si="198"/>
        <v>82652.549778550732</v>
      </c>
      <c r="N177" s="3">
        <f t="shared" ca="1" si="199"/>
        <v>2808474.2591133071</v>
      </c>
      <c r="O177" s="3">
        <f t="shared" si="200"/>
        <v>4932472</v>
      </c>
      <c r="P177" s="3">
        <f t="shared" si="201"/>
        <v>3646305.5508314185</v>
      </c>
      <c r="Q177" s="3">
        <f t="shared" si="202"/>
        <v>0</v>
      </c>
      <c r="R177" s="3">
        <f t="shared" si="203"/>
        <v>0</v>
      </c>
      <c r="S177" s="47">
        <f t="shared" ca="1" si="204"/>
        <v>8684205.3597232774</v>
      </c>
      <c r="T177" s="47">
        <f>IFERROR(HLOOKUP(B177-1,'EV Forecast WRZ'!$F$124:$T$130,3,FALSE)/12,0)+IFERROR(((HLOOKUP(B177,'EV Forecast WRZ'!$F$116:$T$122,3,FALSE)-HLOOKUP(B177-1,'EV Forecast WRZ'!$F$124:$T$130,3,FALSE)))*C177/78,0)</f>
        <v>232205.25184032228</v>
      </c>
      <c r="U177" s="47">
        <f ca="1">HLOOKUP(B177,Heating!$R$102:$AD$106,4,FALSE)*INDEX(Weather!$BO$1:$CB$20,MATCH(B177,Weather!$BO$1:$BO$20,0),MATCH(C177,Weather!$BO$1:$CB$1,0))/VLOOKUP(B177,Weather!$BO$2:$CB$20,14,FALSE)</f>
        <v>4428.7305603735103</v>
      </c>
      <c r="V177" s="47">
        <f t="shared" ca="1" si="219"/>
        <v>8920839.3421239741</v>
      </c>
    </row>
    <row r="178" spans="1:22">
      <c r="A178" s="2">
        <f t="shared" si="205"/>
        <v>47756</v>
      </c>
      <c r="B178">
        <f t="shared" si="206"/>
        <v>2030</v>
      </c>
      <c r="C178">
        <f t="shared" si="207"/>
        <v>9</v>
      </c>
      <c r="E178" s="3">
        <f t="shared" ref="E178:F178" ca="1" si="226">E166</f>
        <v>97.667119565217376</v>
      </c>
      <c r="F178" s="3">
        <f t="shared" ca="1" si="226"/>
        <v>154.9849637681159</v>
      </c>
      <c r="G178" s="47">
        <f t="shared" si="209"/>
        <v>30</v>
      </c>
      <c r="H178" s="89">
        <f>'Economic Data'!F204</f>
        <v>263.32220893774905</v>
      </c>
      <c r="J178">
        <f t="shared" si="210"/>
        <v>1</v>
      </c>
      <c r="L178" s="3">
        <f t="shared" si="197"/>
        <v>-2785699</v>
      </c>
      <c r="M178" s="3">
        <f t="shared" ca="1" si="198"/>
        <v>383398.91921739129</v>
      </c>
      <c r="N178" s="3">
        <f t="shared" ca="1" si="199"/>
        <v>1577297.4747644924</v>
      </c>
      <c r="O178" s="3">
        <f t="shared" si="200"/>
        <v>4773360</v>
      </c>
      <c r="P178" s="3">
        <f t="shared" si="201"/>
        <v>3724073.8382334565</v>
      </c>
      <c r="Q178" s="3">
        <f t="shared" si="202"/>
        <v>0</v>
      </c>
      <c r="R178" s="3">
        <f t="shared" si="203"/>
        <v>193962.4</v>
      </c>
      <c r="S178" s="47">
        <f t="shared" ca="1" si="204"/>
        <v>7866393.6322153406</v>
      </c>
      <c r="T178" s="47">
        <f>IFERROR(HLOOKUP(B178-1,'EV Forecast WRZ'!$F$124:$T$130,3,FALSE)/12,0)+IFERROR(((HLOOKUP(B178,'EV Forecast WRZ'!$F$116:$T$122,3,FALSE)-HLOOKUP(B178-1,'EV Forecast WRZ'!$F$124:$T$130,3,FALSE)))*C178/78,0)</f>
        <v>235650.66599665338</v>
      </c>
      <c r="U178" s="47">
        <f ca="1">HLOOKUP(B178,Heating!$R$102:$AD$106,4,FALSE)*INDEX(Weather!$BO$1:$CB$20,MATCH(B178,Weather!$BO$1:$BO$20,0),MATCH(C178,Weather!$BO$1:$CB$1,0))/VLOOKUP(B178,Weather!$BO$2:$CB$20,14,FALSE)</f>
        <v>37509.095123986146</v>
      </c>
      <c r="V178" s="47">
        <f t="shared" ca="1" si="219"/>
        <v>8139553.3933359794</v>
      </c>
    </row>
    <row r="179" spans="1:22">
      <c r="A179" s="2">
        <f t="shared" si="205"/>
        <v>47787</v>
      </c>
      <c r="B179">
        <f t="shared" si="206"/>
        <v>2030</v>
      </c>
      <c r="C179">
        <f t="shared" si="207"/>
        <v>10</v>
      </c>
      <c r="E179" s="3">
        <f t="shared" ref="E179:F179" ca="1" si="227">E167</f>
        <v>292.46431159420291</v>
      </c>
      <c r="F179" s="3">
        <f t="shared" ca="1" si="227"/>
        <v>38.347916666666663</v>
      </c>
      <c r="G179" s="47">
        <f t="shared" si="209"/>
        <v>31</v>
      </c>
      <c r="H179" s="89">
        <f>'Economic Data'!F205</f>
        <v>266.74602016507208</v>
      </c>
      <c r="J179">
        <f t="shared" si="210"/>
        <v>1</v>
      </c>
      <c r="L179" s="3">
        <f t="shared" si="197"/>
        <v>-2785699</v>
      </c>
      <c r="M179" s="3">
        <f t="shared" ca="1" si="198"/>
        <v>1148088.542736232</v>
      </c>
      <c r="N179" s="3">
        <f t="shared" ca="1" si="199"/>
        <v>390270.58270833333</v>
      </c>
      <c r="O179" s="3">
        <f t="shared" si="200"/>
        <v>4932472</v>
      </c>
      <c r="P179" s="3">
        <f t="shared" si="201"/>
        <v>3772495.6020875564</v>
      </c>
      <c r="Q179" s="3">
        <f t="shared" si="202"/>
        <v>0</v>
      </c>
      <c r="R179" s="3">
        <f t="shared" si="203"/>
        <v>193962.4</v>
      </c>
      <c r="S179" s="47">
        <f t="shared" ca="1" si="204"/>
        <v>7651590.1275321227</v>
      </c>
      <c r="T179" s="47">
        <f>IFERROR(HLOOKUP(B179-1,'EV Forecast WRZ'!$F$124:$T$130,3,FALSE)/12,0)+IFERROR(((HLOOKUP(B179,'EV Forecast WRZ'!$F$116:$T$122,3,FALSE)-HLOOKUP(B179-1,'EV Forecast WRZ'!$F$124:$T$130,3,FALSE)))*C179/78,0)</f>
        <v>239096.08015298448</v>
      </c>
      <c r="U179" s="47">
        <f ca="1">HLOOKUP(B179,Heating!$R$102:$AD$106,4,FALSE)*INDEX(Weather!$BO$1:$CB$20,MATCH(B179,Weather!$BO$1:$BO$20,0),MATCH(C179,Weather!$BO$1:$CB$1,0))/VLOOKUP(B179,Weather!$BO$2:$CB$20,14,FALSE)</f>
        <v>160074.91302626778</v>
      </c>
      <c r="V179" s="47">
        <f t="shared" ca="1" si="219"/>
        <v>8050761.120711375</v>
      </c>
    </row>
    <row r="180" spans="1:22">
      <c r="A180" s="2">
        <f t="shared" si="205"/>
        <v>47817</v>
      </c>
      <c r="B180">
        <f t="shared" si="206"/>
        <v>2030</v>
      </c>
      <c r="C180">
        <f t="shared" si="207"/>
        <v>11</v>
      </c>
      <c r="E180" s="3">
        <f t="shared" ref="E180:F180" ca="1" si="228">E168</f>
        <v>495.51408055712409</v>
      </c>
      <c r="F180" s="3">
        <f t="shared" ca="1" si="228"/>
        <v>1.9241666666666659</v>
      </c>
      <c r="G180" s="47">
        <f t="shared" si="209"/>
        <v>30</v>
      </c>
      <c r="H180" s="89">
        <f>'Economic Data'!F206</f>
        <v>269.33981654940766</v>
      </c>
      <c r="J180">
        <f t="shared" si="210"/>
        <v>1</v>
      </c>
      <c r="L180" s="3">
        <f t="shared" si="197"/>
        <v>-2785699</v>
      </c>
      <c r="M180" s="3">
        <f t="shared" ca="1" si="198"/>
        <v>1945174.2181844686</v>
      </c>
      <c r="N180" s="3">
        <f t="shared" ca="1" si="199"/>
        <v>19582.436583333325</v>
      </c>
      <c r="O180" s="3">
        <f t="shared" si="200"/>
        <v>4773360</v>
      </c>
      <c r="P180" s="3">
        <f t="shared" si="201"/>
        <v>3809178.7565224799</v>
      </c>
      <c r="Q180" s="3">
        <f t="shared" si="202"/>
        <v>0</v>
      </c>
      <c r="R180" s="3">
        <f t="shared" si="203"/>
        <v>193962.4</v>
      </c>
      <c r="S180" s="47">
        <f t="shared" ca="1" si="204"/>
        <v>7955558.8112902828</v>
      </c>
      <c r="T180" s="47">
        <f>IFERROR(HLOOKUP(B180-1,'EV Forecast WRZ'!$F$124:$T$130,3,FALSE)/12,0)+IFERROR(((HLOOKUP(B180,'EV Forecast WRZ'!$F$116:$T$122,3,FALSE)-HLOOKUP(B180-1,'EV Forecast WRZ'!$F$124:$T$130,3,FALSE)))*C180/78,0)</f>
        <v>242541.49430931557</v>
      </c>
      <c r="U180" s="47">
        <f ca="1">HLOOKUP(B180,Heating!$R$102:$AD$106,4,FALSE)*INDEX(Weather!$BO$1:$CB$20,MATCH(B180,Weather!$BO$1:$BO$20,0),MATCH(C180,Weather!$BO$1:$CB$1,0))/VLOOKUP(B180,Weather!$BO$2:$CB$20,14,FALSE)</f>
        <v>300217.8379458547</v>
      </c>
      <c r="V180" s="47">
        <f t="shared" ca="1" si="219"/>
        <v>8498318.1435454525</v>
      </c>
    </row>
    <row r="181" spans="1:22">
      <c r="A181" s="2">
        <f t="shared" si="205"/>
        <v>47848</v>
      </c>
      <c r="B181">
        <f t="shared" si="206"/>
        <v>2030</v>
      </c>
      <c r="C181">
        <f t="shared" si="207"/>
        <v>12</v>
      </c>
      <c r="E181" s="3">
        <f t="shared" ref="E181:F181" ca="1" si="229">E169</f>
        <v>664.38541666666663</v>
      </c>
      <c r="F181" s="3">
        <f t="shared" ca="1" si="229"/>
        <v>0</v>
      </c>
      <c r="G181" s="47">
        <f t="shared" si="209"/>
        <v>31</v>
      </c>
      <c r="H181" s="89">
        <f>'Economic Data'!F207</f>
        <v>266.43476459895174</v>
      </c>
      <c r="J181">
        <f t="shared" si="210"/>
        <v>0</v>
      </c>
      <c r="L181" s="3">
        <f t="shared" si="197"/>
        <v>-2785699</v>
      </c>
      <c r="M181" s="3">
        <f t="shared" ca="1" si="198"/>
        <v>2608090.1313333334</v>
      </c>
      <c r="N181" s="3">
        <f t="shared" ca="1" si="199"/>
        <v>0</v>
      </c>
      <c r="O181" s="3">
        <f t="shared" si="200"/>
        <v>4932472</v>
      </c>
      <c r="P181" s="3">
        <f t="shared" si="201"/>
        <v>3768093.623555365</v>
      </c>
      <c r="Q181" s="3">
        <f t="shared" si="202"/>
        <v>0</v>
      </c>
      <c r="R181" s="3">
        <f t="shared" si="203"/>
        <v>0</v>
      </c>
      <c r="S181" s="47">
        <f t="shared" ca="1" si="204"/>
        <v>8522956.7548886985</v>
      </c>
      <c r="T181" s="47">
        <f>IFERROR(HLOOKUP(B181-1,'EV Forecast WRZ'!$F$124:$T$130,3,FALSE)/12,0)+IFERROR(((HLOOKUP(B181,'EV Forecast WRZ'!$F$116:$T$122,3,FALSE)-HLOOKUP(B181-1,'EV Forecast WRZ'!$F$124:$T$130,3,FALSE)))*C181/78,0)</f>
        <v>245986.90846564667</v>
      </c>
      <c r="U181" s="47">
        <f ca="1">HLOOKUP(B181,Heating!$R$102:$AD$106,4,FALSE)*INDEX(Weather!$BO$1:$CB$20,MATCH(B181,Weather!$BO$1:$BO$20,0),MATCH(C181,Weather!$BO$1:$CB$1,0))/VLOOKUP(B181,Weather!$BO$2:$CB$20,14,FALSE)</f>
        <v>415249.13998287782</v>
      </c>
      <c r="V181" s="47">
        <f t="shared" ca="1" si="219"/>
        <v>9184192.803337222</v>
      </c>
    </row>
    <row r="182" spans="1:22">
      <c r="A182" s="2">
        <f t="shared" si="205"/>
        <v>47879</v>
      </c>
      <c r="B182">
        <f t="shared" si="206"/>
        <v>2031</v>
      </c>
      <c r="C182">
        <f t="shared" si="207"/>
        <v>1</v>
      </c>
      <c r="E182" s="3">
        <f t="shared" ref="E182:F182" ca="1" si="230">E170</f>
        <v>752.78750000000002</v>
      </c>
      <c r="F182" s="3">
        <f t="shared" ca="1" si="230"/>
        <v>0</v>
      </c>
      <c r="G182" s="47">
        <f t="shared" si="209"/>
        <v>31</v>
      </c>
      <c r="H182" s="89">
        <f>'Economic Data'!F208</f>
        <v>264.77266298376338</v>
      </c>
      <c r="J182">
        <f t="shared" si="210"/>
        <v>0</v>
      </c>
      <c r="L182" s="3">
        <f t="shared" si="197"/>
        <v>-2785699</v>
      </c>
      <c r="M182" s="3">
        <f t="shared" ca="1" si="198"/>
        <v>2955118.5208000001</v>
      </c>
      <c r="N182" s="3">
        <f t="shared" ca="1" si="199"/>
        <v>0</v>
      </c>
      <c r="O182" s="3">
        <f t="shared" si="200"/>
        <v>4932472</v>
      </c>
      <c r="P182" s="3">
        <f t="shared" si="201"/>
        <v>3744587.1021473212</v>
      </c>
      <c r="Q182" s="3">
        <f t="shared" si="202"/>
        <v>0</v>
      </c>
      <c r="R182" s="3">
        <f t="shared" si="203"/>
        <v>0</v>
      </c>
      <c r="S182" s="47">
        <f t="shared" ca="1" si="204"/>
        <v>8846478.6229473203</v>
      </c>
      <c r="T182" s="47">
        <f>IFERROR(HLOOKUP(B182-1,'EV Forecast WRZ'!$F$124:$T$130,3,FALSE)/12,0)+IFERROR(((HLOOKUP(B182,'EV Forecast WRZ'!$F$116:$T$122,3,FALSE)-HLOOKUP(B182-1,'EV Forecast WRZ'!$F$124:$T$130,3,FALSE)))*C182/78,0)</f>
        <v>255699.15906797367</v>
      </c>
      <c r="U182" s="47">
        <f ca="1">HLOOKUP(B182,Heating!$R$102:$AD$106,4,FALSE)*INDEX(Weather!$BO$1:$CB$20,MATCH(B182,Weather!$BO$1:$BO$20,0),MATCH(C182,Weather!$BO$1:$CB$1,0))/VLOOKUP(B182,Weather!$BO$2:$CB$20,14,FALSE)</f>
        <v>533560.41032183124</v>
      </c>
      <c r="V182" s="47">
        <f t="shared" ca="1" si="219"/>
        <v>9635738.1923371255</v>
      </c>
    </row>
    <row r="183" spans="1:22">
      <c r="A183" s="2">
        <f t="shared" si="205"/>
        <v>47907</v>
      </c>
      <c r="B183">
        <f t="shared" si="206"/>
        <v>2031</v>
      </c>
      <c r="C183">
        <f t="shared" si="207"/>
        <v>2</v>
      </c>
      <c r="E183" s="3">
        <f t="shared" ref="E183:F183" ca="1" si="231">E171</f>
        <v>660.7954166666666</v>
      </c>
      <c r="F183" s="3">
        <f t="shared" ca="1" si="231"/>
        <v>0</v>
      </c>
      <c r="G183" s="47">
        <f t="shared" si="209"/>
        <v>28</v>
      </c>
      <c r="H183" s="89">
        <f>'Economic Data'!F209</f>
        <v>263.20162265751475</v>
      </c>
      <c r="J183">
        <f t="shared" si="210"/>
        <v>0</v>
      </c>
      <c r="L183" s="3">
        <f t="shared" si="197"/>
        <v>-2785699</v>
      </c>
      <c r="M183" s="3">
        <f t="shared" ca="1" si="198"/>
        <v>2593997.3422133331</v>
      </c>
      <c r="N183" s="3">
        <f t="shared" ca="1" si="199"/>
        <v>0</v>
      </c>
      <c r="O183" s="3">
        <f t="shared" si="200"/>
        <v>4455136</v>
      </c>
      <c r="P183" s="3">
        <f t="shared" si="201"/>
        <v>3722368.4286773009</v>
      </c>
      <c r="Q183" s="3">
        <f t="shared" si="202"/>
        <v>0</v>
      </c>
      <c r="R183" s="3">
        <f t="shared" si="203"/>
        <v>0</v>
      </c>
      <c r="S183" s="47">
        <f t="shared" ca="1" si="204"/>
        <v>7985802.7708906336</v>
      </c>
      <c r="T183" s="47">
        <f>IFERROR(HLOOKUP(B183-1,'EV Forecast WRZ'!$F$124:$T$130,3,FALSE)/12,0)+IFERROR(((HLOOKUP(B183,'EV Forecast WRZ'!$F$116:$T$122,3,FALSE)-HLOOKUP(B183-1,'EV Forecast WRZ'!$F$124:$T$130,3,FALSE)))*C183/78,0)</f>
        <v>259342.26884730282</v>
      </c>
      <c r="U183" s="47">
        <f ca="1">HLOOKUP(B183,Heating!$R$102:$AD$106,4,FALSE)*INDEX(Weather!$BO$1:$CB$20,MATCH(B183,Weather!$BO$1:$BO$20,0),MATCH(C183,Weather!$BO$1:$CB$1,0))/VLOOKUP(B183,Weather!$BO$2:$CB$20,14,FALSE)</f>
        <v>466677.16834950895</v>
      </c>
      <c r="V183" s="47">
        <f t="shared" ca="1" si="219"/>
        <v>8711822.2080874443</v>
      </c>
    </row>
    <row r="184" spans="1:22">
      <c r="A184" s="2">
        <f t="shared" si="205"/>
        <v>47938</v>
      </c>
      <c r="B184">
        <f t="shared" si="206"/>
        <v>2031</v>
      </c>
      <c r="C184">
        <f t="shared" si="207"/>
        <v>3</v>
      </c>
      <c r="E184" s="3">
        <f t="shared" ref="E184:F184" ca="1" si="232">E172</f>
        <v>596.21590579710141</v>
      </c>
      <c r="F184" s="3">
        <f t="shared" ca="1" si="232"/>
        <v>2.9583333333332896E-2</v>
      </c>
      <c r="G184" s="47">
        <f t="shared" si="209"/>
        <v>31</v>
      </c>
      <c r="H184" s="89">
        <f>'Economic Data'!F210</f>
        <v>258.14198255080936</v>
      </c>
      <c r="J184">
        <f t="shared" si="210"/>
        <v>0</v>
      </c>
      <c r="L184" s="3">
        <f t="shared" si="197"/>
        <v>-2785699</v>
      </c>
      <c r="M184" s="3">
        <f t="shared" ca="1" si="198"/>
        <v>2340486.0808881158</v>
      </c>
      <c r="N184" s="3">
        <f t="shared" ca="1" si="199"/>
        <v>301.07254166666223</v>
      </c>
      <c r="O184" s="3">
        <f t="shared" si="200"/>
        <v>4932472</v>
      </c>
      <c r="P184" s="3">
        <f t="shared" si="201"/>
        <v>3650811.709522204</v>
      </c>
      <c r="Q184" s="3">
        <f t="shared" si="202"/>
        <v>0</v>
      </c>
      <c r="R184" s="3">
        <f t="shared" si="203"/>
        <v>0</v>
      </c>
      <c r="S184" s="47">
        <f t="shared" ca="1" si="204"/>
        <v>8138371.8629519865</v>
      </c>
      <c r="T184" s="47">
        <f>IFERROR(HLOOKUP(B184-1,'EV Forecast WRZ'!$F$124:$T$130,3,FALSE)/12,0)+IFERROR(((HLOOKUP(B184,'EV Forecast WRZ'!$F$116:$T$122,3,FALSE)-HLOOKUP(B184-1,'EV Forecast WRZ'!$F$124:$T$130,3,FALSE)))*C184/78,0)</f>
        <v>262985.37862663204</v>
      </c>
      <c r="U184" s="47">
        <f ca="1">HLOOKUP(B184,Heating!$R$102:$AD$106,4,FALSE)*INDEX(Weather!$BO$1:$CB$20,MATCH(B184,Weather!$BO$1:$BO$20,0),MATCH(C184,Weather!$BO$1:$CB$1,0))/VLOOKUP(B184,Weather!$BO$2:$CB$20,14,FALSE)</f>
        <v>412625.38464802882</v>
      </c>
      <c r="V184" s="47">
        <f t="shared" ca="1" si="219"/>
        <v>8813982.6262266468</v>
      </c>
    </row>
    <row r="185" spans="1:22">
      <c r="A185" s="2">
        <f t="shared" si="205"/>
        <v>47968</v>
      </c>
      <c r="B185">
        <f t="shared" si="206"/>
        <v>2031</v>
      </c>
      <c r="C185">
        <f t="shared" si="207"/>
        <v>4</v>
      </c>
      <c r="E185" s="3">
        <f t="shared" ref="E185:F185" ca="1" si="233">E173</f>
        <v>412.8885416666667</v>
      </c>
      <c r="F185" s="3">
        <f t="shared" ca="1" si="233"/>
        <v>6.0095833333333344</v>
      </c>
      <c r="G185" s="47">
        <f t="shared" si="209"/>
        <v>30</v>
      </c>
      <c r="H185" s="89">
        <f>'Economic Data'!F211</f>
        <v>254.36583002263825</v>
      </c>
      <c r="J185">
        <f t="shared" si="210"/>
        <v>0</v>
      </c>
      <c r="L185" s="3">
        <f t="shared" si="197"/>
        <v>-2785699</v>
      </c>
      <c r="M185" s="3">
        <f t="shared" ca="1" si="198"/>
        <v>1620822.0467333335</v>
      </c>
      <c r="N185" s="3">
        <f t="shared" ca="1" si="199"/>
        <v>61160.13054166668</v>
      </c>
      <c r="O185" s="3">
        <f t="shared" si="200"/>
        <v>4773360</v>
      </c>
      <c r="P185" s="3">
        <f t="shared" si="201"/>
        <v>3597406.9059696649</v>
      </c>
      <c r="Q185" s="3">
        <f t="shared" si="202"/>
        <v>0</v>
      </c>
      <c r="R185" s="3">
        <f t="shared" si="203"/>
        <v>0</v>
      </c>
      <c r="S185" s="47">
        <f t="shared" ca="1" si="204"/>
        <v>7267050.0832446646</v>
      </c>
      <c r="T185" s="47">
        <f>IFERROR(HLOOKUP(B185-1,'EV Forecast WRZ'!$F$124:$T$130,3,FALSE)/12,0)+IFERROR(((HLOOKUP(B185,'EV Forecast WRZ'!$F$116:$T$122,3,FALSE)-HLOOKUP(B185-1,'EV Forecast WRZ'!$F$124:$T$130,3,FALSE)))*C185/78,0)</f>
        <v>266628.48840596119</v>
      </c>
      <c r="U185" s="47">
        <f ca="1">HLOOKUP(B185,Heating!$R$102:$AD$106,4,FALSE)*INDEX(Weather!$BO$1:$CB$20,MATCH(B185,Weather!$BO$1:$BO$20,0),MATCH(C185,Weather!$BO$1:$CB$1,0))/VLOOKUP(B185,Weather!$BO$2:$CB$20,14,FALSE)</f>
        <v>272595.85239608848</v>
      </c>
      <c r="V185" s="47">
        <f t="shared" ca="1" si="219"/>
        <v>7806274.4240467148</v>
      </c>
    </row>
    <row r="186" spans="1:22">
      <c r="A186" s="2">
        <f t="shared" si="205"/>
        <v>47999</v>
      </c>
      <c r="B186">
        <f t="shared" si="206"/>
        <v>2031</v>
      </c>
      <c r="C186">
        <f t="shared" si="207"/>
        <v>5</v>
      </c>
      <c r="E186" s="3">
        <f t="shared" ref="E186:F186" ca="1" si="234">E174</f>
        <v>208.90012508544086</v>
      </c>
      <c r="F186" s="3">
        <f t="shared" ca="1" si="234"/>
        <v>81.50872474747473</v>
      </c>
      <c r="G186" s="47">
        <f t="shared" si="209"/>
        <v>31</v>
      </c>
      <c r="H186" s="89">
        <f>'Economic Data'!F212</f>
        <v>253.63157814216055</v>
      </c>
      <c r="J186">
        <f t="shared" si="210"/>
        <v>0</v>
      </c>
      <c r="L186" s="3">
        <f t="shared" si="197"/>
        <v>-2785699</v>
      </c>
      <c r="M186" s="3">
        <f t="shared" ca="1" si="198"/>
        <v>820051.64623140392</v>
      </c>
      <c r="N186" s="3">
        <f t="shared" ca="1" si="199"/>
        <v>829522.44262752507</v>
      </c>
      <c r="O186" s="3">
        <f t="shared" si="200"/>
        <v>4932472</v>
      </c>
      <c r="P186" s="3">
        <f t="shared" si="201"/>
        <v>3587022.6386122266</v>
      </c>
      <c r="Q186" s="3">
        <f t="shared" si="202"/>
        <v>0</v>
      </c>
      <c r="R186" s="3">
        <f t="shared" si="203"/>
        <v>0</v>
      </c>
      <c r="S186" s="47">
        <f t="shared" ca="1" si="204"/>
        <v>7383369.727471156</v>
      </c>
      <c r="T186" s="47">
        <f>IFERROR(HLOOKUP(B186-1,'EV Forecast WRZ'!$F$124:$T$130,3,FALSE)/12,0)+IFERROR(((HLOOKUP(B186,'EV Forecast WRZ'!$F$116:$T$122,3,FALSE)-HLOOKUP(B186-1,'EV Forecast WRZ'!$F$124:$T$130,3,FALSE)))*C186/78,0)</f>
        <v>270271.59818529035</v>
      </c>
      <c r="U186" s="47">
        <f ca="1">HLOOKUP(B186,Heating!$R$102:$AD$106,4,FALSE)*INDEX(Weather!$BO$1:$CB$20,MATCH(B186,Weather!$BO$1:$BO$20,0),MATCH(C186,Weather!$BO$1:$CB$1,0))/VLOOKUP(B186,Weather!$BO$2:$CB$20,14,FALSE)</f>
        <v>119912.0774843784</v>
      </c>
      <c r="V186" s="47">
        <f t="shared" ca="1" si="219"/>
        <v>7773553.4031408252</v>
      </c>
    </row>
    <row r="187" spans="1:22">
      <c r="A187" s="2">
        <f t="shared" si="205"/>
        <v>48029</v>
      </c>
      <c r="B187">
        <f t="shared" si="206"/>
        <v>2031</v>
      </c>
      <c r="C187">
        <f t="shared" si="207"/>
        <v>6</v>
      </c>
      <c r="E187" s="3">
        <f t="shared" ref="E187:F187" ca="1" si="235">E175</f>
        <v>61.78217382617381</v>
      </c>
      <c r="F187" s="3">
        <f t="shared" ca="1" si="235"/>
        <v>202.3599342107168</v>
      </c>
      <c r="G187" s="47">
        <f t="shared" si="209"/>
        <v>30</v>
      </c>
      <c r="H187" s="89">
        <f>'Economic Data'!F213</f>
        <v>252.79243313590027</v>
      </c>
      <c r="J187">
        <f t="shared" si="210"/>
        <v>0</v>
      </c>
      <c r="L187" s="3">
        <f t="shared" si="197"/>
        <v>-2785699</v>
      </c>
      <c r="M187" s="3">
        <f t="shared" ca="1" si="198"/>
        <v>242530.12454246549</v>
      </c>
      <c r="N187" s="3">
        <f t="shared" ca="1" si="199"/>
        <v>2059437.286455886</v>
      </c>
      <c r="O187" s="3">
        <f t="shared" si="200"/>
        <v>4773360</v>
      </c>
      <c r="P187" s="3">
        <f t="shared" si="201"/>
        <v>3575154.9044894399</v>
      </c>
      <c r="Q187" s="3">
        <f t="shared" si="202"/>
        <v>0</v>
      </c>
      <c r="R187" s="3">
        <f t="shared" si="203"/>
        <v>0</v>
      </c>
      <c r="S187" s="47">
        <f t="shared" ca="1" si="204"/>
        <v>7864783.3154877918</v>
      </c>
      <c r="T187" s="47">
        <f>IFERROR(HLOOKUP(B187-1,'EV Forecast WRZ'!$F$124:$T$130,3,FALSE)/12,0)+IFERROR(((HLOOKUP(B187,'EV Forecast WRZ'!$F$116:$T$122,3,FALSE)-HLOOKUP(B187-1,'EV Forecast WRZ'!$F$124:$T$130,3,FALSE)))*C187/78,0)</f>
        <v>273914.70796461956</v>
      </c>
      <c r="U187" s="47">
        <f ca="1">HLOOKUP(B187,Heating!$R$102:$AD$106,4,FALSE)*INDEX(Weather!$BO$1:$CB$20,MATCH(B187,Weather!$BO$1:$BO$20,0),MATCH(C187,Weather!$BO$1:$CB$1,0))/VLOOKUP(B187,Weather!$BO$2:$CB$20,14,FALSE)</f>
        <v>23383.345464962298</v>
      </c>
      <c r="V187" s="47">
        <f t="shared" ca="1" si="219"/>
        <v>8162081.3689173739</v>
      </c>
    </row>
    <row r="188" spans="1:22">
      <c r="A188" s="2">
        <f t="shared" si="205"/>
        <v>48060</v>
      </c>
      <c r="B188">
        <f t="shared" si="206"/>
        <v>2031</v>
      </c>
      <c r="C188">
        <f t="shared" si="207"/>
        <v>7</v>
      </c>
      <c r="E188" s="3">
        <f t="shared" ref="E188:F188" ca="1" si="236">E176</f>
        <v>8.334479813664597</v>
      </c>
      <c r="F188" s="3">
        <f t="shared" ca="1" si="236"/>
        <v>304.72508692061177</v>
      </c>
      <c r="G188" s="47">
        <f t="shared" si="209"/>
        <v>31</v>
      </c>
      <c r="H188" s="89">
        <f>'Economic Data'!F214</f>
        <v>256.77837191563651</v>
      </c>
      <c r="J188">
        <f t="shared" si="210"/>
        <v>0</v>
      </c>
      <c r="L188" s="3">
        <f t="shared" si="197"/>
        <v>-2785699</v>
      </c>
      <c r="M188" s="3">
        <f t="shared" ca="1" si="198"/>
        <v>32717.567253167708</v>
      </c>
      <c r="N188" s="3">
        <f t="shared" ca="1" si="199"/>
        <v>3101217.6820997582</v>
      </c>
      <c r="O188" s="3">
        <f t="shared" si="200"/>
        <v>4932472</v>
      </c>
      <c r="P188" s="3">
        <f t="shared" si="201"/>
        <v>3631526.6415726766</v>
      </c>
      <c r="Q188" s="3">
        <f t="shared" si="202"/>
        <v>0</v>
      </c>
      <c r="R188" s="3">
        <f t="shared" si="203"/>
        <v>0</v>
      </c>
      <c r="S188" s="47">
        <f t="shared" ca="1" si="204"/>
        <v>8912234.890925603</v>
      </c>
      <c r="T188" s="47">
        <f>IFERROR(HLOOKUP(B188-1,'EV Forecast WRZ'!$F$124:$T$130,3,FALSE)/12,0)+IFERROR(((HLOOKUP(B188,'EV Forecast WRZ'!$F$116:$T$122,3,FALSE)-HLOOKUP(B188-1,'EV Forecast WRZ'!$F$124:$T$130,3,FALSE)))*C188/78,0)</f>
        <v>277557.81774394872</v>
      </c>
      <c r="U188" s="47">
        <f ca="1">HLOOKUP(B188,Heating!$R$102:$AD$106,4,FALSE)*INDEX(Weather!$BO$1:$CB$20,MATCH(B188,Weather!$BO$1:$BO$20,0),MATCH(C188,Weather!$BO$1:$CB$1,0))/VLOOKUP(B188,Weather!$BO$2:$CB$20,14,FALSE)</f>
        <v>837.72611455990716</v>
      </c>
      <c r="V188" s="47">
        <f t="shared" ca="1" si="219"/>
        <v>9190630.4347841125</v>
      </c>
    </row>
    <row r="189" spans="1:22">
      <c r="A189" s="2">
        <f t="shared" si="205"/>
        <v>48091</v>
      </c>
      <c r="B189">
        <f t="shared" si="206"/>
        <v>2031</v>
      </c>
      <c r="C189">
        <f t="shared" si="207"/>
        <v>8</v>
      </c>
      <c r="E189" s="3">
        <f t="shared" ref="E189:F189" ca="1" si="237">E177</f>
        <v>21.054927536231883</v>
      </c>
      <c r="F189" s="3">
        <f t="shared" ca="1" si="237"/>
        <v>275.96017127799735</v>
      </c>
      <c r="G189" s="47">
        <f t="shared" si="209"/>
        <v>31</v>
      </c>
      <c r="H189" s="89">
        <f>'Economic Data'!F215</f>
        <v>260.65941756959012</v>
      </c>
      <c r="J189">
        <f t="shared" si="210"/>
        <v>0</v>
      </c>
      <c r="L189" s="3">
        <f t="shared" si="197"/>
        <v>-2785699</v>
      </c>
      <c r="M189" s="3">
        <f t="shared" ca="1" si="198"/>
        <v>82652.549778550732</v>
      </c>
      <c r="N189" s="3">
        <f t="shared" ca="1" si="199"/>
        <v>2808474.2591133071</v>
      </c>
      <c r="O189" s="3">
        <f t="shared" si="200"/>
        <v>4932472</v>
      </c>
      <c r="P189" s="3">
        <f t="shared" si="201"/>
        <v>3686414.9118905636</v>
      </c>
      <c r="Q189" s="3">
        <f t="shared" si="202"/>
        <v>0</v>
      </c>
      <c r="R189" s="3">
        <f t="shared" si="203"/>
        <v>0</v>
      </c>
      <c r="S189" s="47">
        <f t="shared" ca="1" si="204"/>
        <v>8724314.7207824215</v>
      </c>
      <c r="T189" s="47">
        <f>IFERROR(HLOOKUP(B189-1,'EV Forecast WRZ'!$F$124:$T$130,3,FALSE)/12,0)+IFERROR(((HLOOKUP(B189,'EV Forecast WRZ'!$F$116:$T$122,3,FALSE)-HLOOKUP(B189-1,'EV Forecast WRZ'!$F$124:$T$130,3,FALSE)))*C189/78,0)</f>
        <v>281200.92752327787</v>
      </c>
      <c r="U189" s="47">
        <f ca="1">HLOOKUP(B189,Heating!$R$102:$AD$106,4,FALSE)*INDEX(Weather!$BO$1:$CB$20,MATCH(B189,Weather!$BO$1:$BO$20,0),MATCH(C189,Weather!$BO$1:$CB$1,0))/VLOOKUP(B189,Weather!$BO$2:$CB$20,14,FALSE)</f>
        <v>4962.3123167111908</v>
      </c>
      <c r="V189" s="47">
        <f t="shared" ca="1" si="219"/>
        <v>9010477.9606224112</v>
      </c>
    </row>
    <row r="190" spans="1:22">
      <c r="A190" s="2">
        <f t="shared" si="205"/>
        <v>48121</v>
      </c>
      <c r="B190">
        <f t="shared" si="206"/>
        <v>2031</v>
      </c>
      <c r="C190">
        <f t="shared" si="207"/>
        <v>9</v>
      </c>
      <c r="E190" s="3">
        <f t="shared" ref="E190:F190" ca="1" si="238">E178</f>
        <v>97.667119565217376</v>
      </c>
      <c r="F190" s="3">
        <f t="shared" ca="1" si="238"/>
        <v>154.9849637681159</v>
      </c>
      <c r="G190" s="47">
        <f t="shared" si="209"/>
        <v>30</v>
      </c>
      <c r="H190" s="89">
        <f>'Economic Data'!F216</f>
        <v>266.21875323606429</v>
      </c>
      <c r="J190">
        <f t="shared" si="210"/>
        <v>1</v>
      </c>
      <c r="L190" s="3">
        <f t="shared" si="197"/>
        <v>-2785699</v>
      </c>
      <c r="M190" s="3">
        <f t="shared" ca="1" si="198"/>
        <v>383398.91921739129</v>
      </c>
      <c r="N190" s="3">
        <f t="shared" ca="1" si="199"/>
        <v>1577297.4747644924</v>
      </c>
      <c r="O190" s="3">
        <f t="shared" si="200"/>
        <v>4773360</v>
      </c>
      <c r="P190" s="3">
        <f t="shared" si="201"/>
        <v>3765038.6504540243</v>
      </c>
      <c r="Q190" s="3">
        <f t="shared" si="202"/>
        <v>0</v>
      </c>
      <c r="R190" s="3">
        <f t="shared" si="203"/>
        <v>193962.4</v>
      </c>
      <c r="S190" s="47">
        <f t="shared" ca="1" si="204"/>
        <v>7907358.4444359085</v>
      </c>
      <c r="T190" s="47">
        <f>IFERROR(HLOOKUP(B190-1,'EV Forecast WRZ'!$F$124:$T$130,3,FALSE)/12,0)+IFERROR(((HLOOKUP(B190,'EV Forecast WRZ'!$F$116:$T$122,3,FALSE)-HLOOKUP(B190-1,'EV Forecast WRZ'!$F$124:$T$130,3,FALSE)))*C190/78,0)</f>
        <v>284844.03730260709</v>
      </c>
      <c r="U190" s="47">
        <f ca="1">HLOOKUP(B190,Heating!$R$102:$AD$106,4,FALSE)*INDEX(Weather!$BO$1:$CB$20,MATCH(B190,Weather!$BO$1:$BO$20,0),MATCH(C190,Weather!$BO$1:$CB$1,0))/VLOOKUP(B190,Weather!$BO$2:$CB$20,14,FALSE)</f>
        <v>42028.261187953176</v>
      </c>
      <c r="V190" s="47">
        <f t="shared" ca="1" si="219"/>
        <v>8234230.7429264681</v>
      </c>
    </row>
    <row r="191" spans="1:22">
      <c r="A191" s="2">
        <f t="shared" si="205"/>
        <v>48152</v>
      </c>
      <c r="B191">
        <f t="shared" si="206"/>
        <v>2031</v>
      </c>
      <c r="C191">
        <f t="shared" si="207"/>
        <v>10</v>
      </c>
      <c r="E191" s="3">
        <f t="shared" ref="E191:F191" ca="1" si="239">E179</f>
        <v>292.46431159420291</v>
      </c>
      <c r="F191" s="3">
        <f t="shared" ca="1" si="239"/>
        <v>38.347916666666663</v>
      </c>
      <c r="G191" s="47">
        <f t="shared" si="209"/>
        <v>31</v>
      </c>
      <c r="H191" s="89">
        <f>'Economic Data'!F217</f>
        <v>269.68022638688785</v>
      </c>
      <c r="J191">
        <f t="shared" si="210"/>
        <v>1</v>
      </c>
      <c r="L191" s="3">
        <f t="shared" si="197"/>
        <v>-2785699</v>
      </c>
      <c r="M191" s="3">
        <f t="shared" ca="1" si="198"/>
        <v>1148088.542736232</v>
      </c>
      <c r="N191" s="3">
        <f t="shared" ca="1" si="199"/>
        <v>390270.58270833333</v>
      </c>
      <c r="O191" s="3">
        <f t="shared" si="200"/>
        <v>4932472</v>
      </c>
      <c r="P191" s="3">
        <f t="shared" si="201"/>
        <v>3813993.0537105193</v>
      </c>
      <c r="Q191" s="3">
        <f t="shared" si="202"/>
        <v>0</v>
      </c>
      <c r="R191" s="3">
        <f t="shared" si="203"/>
        <v>193962.4</v>
      </c>
      <c r="S191" s="47">
        <f t="shared" ca="1" si="204"/>
        <v>7693087.5791550856</v>
      </c>
      <c r="T191" s="47">
        <f>IFERROR(HLOOKUP(B191-1,'EV Forecast WRZ'!$F$124:$T$130,3,FALSE)/12,0)+IFERROR(((HLOOKUP(B191,'EV Forecast WRZ'!$F$116:$T$122,3,FALSE)-HLOOKUP(B191-1,'EV Forecast WRZ'!$F$124:$T$130,3,FALSE)))*C191/78,0)</f>
        <v>288487.14708193624</v>
      </c>
      <c r="U191" s="47">
        <f ca="1">HLOOKUP(B191,Heating!$R$102:$AD$106,4,FALSE)*INDEX(Weather!$BO$1:$CB$20,MATCH(B191,Weather!$BO$1:$BO$20,0),MATCH(C191,Weather!$BO$1:$CB$1,0))/VLOOKUP(B191,Weather!$BO$2:$CB$20,14,FALSE)</f>
        <v>179361.03849129356</v>
      </c>
      <c r="V191" s="47">
        <f t="shared" ca="1" si="219"/>
        <v>8160935.7647283152</v>
      </c>
    </row>
    <row r="192" spans="1:22">
      <c r="A192" s="2">
        <f t="shared" si="205"/>
        <v>48182</v>
      </c>
      <c r="B192">
        <f t="shared" si="206"/>
        <v>2031</v>
      </c>
      <c r="C192">
        <f t="shared" si="207"/>
        <v>11</v>
      </c>
      <c r="E192" s="3">
        <f t="shared" ref="E192:F192" ca="1" si="240">E180</f>
        <v>495.51408055712409</v>
      </c>
      <c r="F192" s="3">
        <f t="shared" ca="1" si="240"/>
        <v>1.9241666666666659</v>
      </c>
      <c r="G192" s="47">
        <f t="shared" si="209"/>
        <v>30</v>
      </c>
      <c r="H192" s="89">
        <f>'Economic Data'!F218</f>
        <v>272.30255453145111</v>
      </c>
      <c r="J192">
        <f t="shared" si="210"/>
        <v>1</v>
      </c>
      <c r="L192" s="3">
        <f t="shared" si="197"/>
        <v>-2785699</v>
      </c>
      <c r="M192" s="3">
        <f t="shared" ca="1" si="198"/>
        <v>1945174.2181844686</v>
      </c>
      <c r="N192" s="3">
        <f t="shared" ca="1" si="199"/>
        <v>19582.436583333325</v>
      </c>
      <c r="O192" s="3">
        <f t="shared" si="200"/>
        <v>4773360</v>
      </c>
      <c r="P192" s="3">
        <f t="shared" si="201"/>
        <v>3851079.7228442268</v>
      </c>
      <c r="Q192" s="3">
        <f t="shared" si="202"/>
        <v>0</v>
      </c>
      <c r="R192" s="3">
        <f t="shared" si="203"/>
        <v>193962.4</v>
      </c>
      <c r="S192" s="47">
        <f t="shared" ca="1" si="204"/>
        <v>7997459.7776120286</v>
      </c>
      <c r="T192" s="47">
        <f>IFERROR(HLOOKUP(B192-1,'EV Forecast WRZ'!$F$124:$T$130,3,FALSE)/12,0)+IFERROR(((HLOOKUP(B192,'EV Forecast WRZ'!$F$116:$T$122,3,FALSE)-HLOOKUP(B192-1,'EV Forecast WRZ'!$F$124:$T$130,3,FALSE)))*C192/78,0)</f>
        <v>292130.2568612654</v>
      </c>
      <c r="U192" s="47">
        <f ca="1">HLOOKUP(B192,Heating!$R$102:$AD$106,4,FALSE)*INDEX(Weather!$BO$1:$CB$20,MATCH(B192,Weather!$BO$1:$BO$20,0),MATCH(C192,Weather!$BO$1:$CB$1,0))/VLOOKUP(B192,Weather!$BO$2:$CB$20,14,FALSE)</f>
        <v>336388.64560084563</v>
      </c>
      <c r="V192" s="47">
        <f t="shared" ca="1" si="219"/>
        <v>8625978.6800741404</v>
      </c>
    </row>
    <row r="193" spans="1:22">
      <c r="A193" s="2">
        <f t="shared" si="205"/>
        <v>48213</v>
      </c>
      <c r="B193">
        <f t="shared" si="206"/>
        <v>2031</v>
      </c>
      <c r="C193">
        <f t="shared" si="207"/>
        <v>12</v>
      </c>
      <c r="E193" s="3">
        <f t="shared" ref="E193:F193" ca="1" si="241">E181</f>
        <v>664.38541666666663</v>
      </c>
      <c r="F193" s="3">
        <f t="shared" ca="1" si="241"/>
        <v>0</v>
      </c>
      <c r="G193" s="47">
        <f t="shared" si="209"/>
        <v>31</v>
      </c>
      <c r="H193" s="89">
        <f>'Economic Data'!F219</f>
        <v>269.36554700954019</v>
      </c>
      <c r="J193">
        <f t="shared" si="210"/>
        <v>0</v>
      </c>
      <c r="L193" s="3">
        <f t="shared" si="197"/>
        <v>-2785699</v>
      </c>
      <c r="M193" s="3">
        <f t="shared" ca="1" si="198"/>
        <v>2608090.1313333334</v>
      </c>
      <c r="N193" s="3">
        <f t="shared" ca="1" si="199"/>
        <v>0</v>
      </c>
      <c r="O193" s="3">
        <f t="shared" si="200"/>
        <v>4932472</v>
      </c>
      <c r="P193" s="3">
        <f t="shared" si="201"/>
        <v>3809542.6534144734</v>
      </c>
      <c r="Q193" s="3">
        <f t="shared" si="202"/>
        <v>0</v>
      </c>
      <c r="R193" s="3">
        <f t="shared" si="203"/>
        <v>0</v>
      </c>
      <c r="S193" s="47">
        <f t="shared" ca="1" si="204"/>
        <v>8564405.7847478073</v>
      </c>
      <c r="T193" s="47">
        <f>IFERROR(HLOOKUP(B193-1,'EV Forecast WRZ'!$F$124:$T$130,3,FALSE)/12,0)+IFERROR(((HLOOKUP(B193,'EV Forecast WRZ'!$F$116:$T$122,3,FALSE)-HLOOKUP(B193-1,'EV Forecast WRZ'!$F$124:$T$130,3,FALSE)))*C193/78,0)</f>
        <v>295773.36664059461</v>
      </c>
      <c r="U193" s="47">
        <f ca="1">HLOOKUP(B193,Heating!$R$102:$AD$106,4,FALSE)*INDEX(Weather!$BO$1:$CB$20,MATCH(B193,Weather!$BO$1:$BO$20,0),MATCH(C193,Weather!$BO$1:$CB$1,0))/VLOOKUP(B193,Weather!$BO$2:$CB$20,14,FALSE)</f>
        <v>465279.13444952894</v>
      </c>
      <c r="V193" s="47">
        <f t="shared" ca="1" si="219"/>
        <v>9325458.2858379297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71A50-E489-4B1A-97AC-E2C0EE1954E0}">
  <sheetPr codeName="Sheet35">
    <tabColor theme="7" tint="0.79998168889431442"/>
  </sheetPr>
  <dimension ref="A1:AA193"/>
  <sheetViews>
    <sheetView workbookViewId="0">
      <selection activeCell="E31" sqref="E31"/>
    </sheetView>
  </sheetViews>
  <sheetFormatPr defaultRowHeight="14.5"/>
  <cols>
    <col min="4" max="4" width="24.81640625" customWidth="1"/>
    <col min="7" max="7" width="9.1796875" style="3" bestFit="1" customWidth="1"/>
    <col min="8" max="8" width="9.1796875" style="3" customWidth="1"/>
    <col min="11" max="11" width="13.81640625" bestFit="1" customWidth="1"/>
    <col min="12" max="13" width="11.1796875" bestFit="1" customWidth="1"/>
    <col min="14" max="14" width="13.81640625" customWidth="1"/>
    <col min="15" max="16" width="11.1796875" bestFit="1" customWidth="1"/>
    <col min="17" max="20" width="12.54296875" customWidth="1"/>
    <col min="24" max="24" width="15.81640625" customWidth="1"/>
    <col min="25" max="25" width="12.81640625" bestFit="1" customWidth="1"/>
    <col min="26" max="26" width="13.81640625" bestFit="1" customWidth="1"/>
    <col min="27" max="27" width="8.81640625" bestFit="1" customWidth="1"/>
  </cols>
  <sheetData>
    <row r="1" spans="1:27">
      <c r="A1" s="541" t="str">
        <f>'Monthly Data'!A1</f>
        <v>Date</v>
      </c>
      <c r="B1" s="541" t="str">
        <f>'Monthly Data'!B1</f>
        <v>Year</v>
      </c>
      <c r="C1" s="541" t="str">
        <f>'Monthly Data'!C1</f>
        <v>Month</v>
      </c>
      <c r="D1" s="541" t="str">
        <f>'Monthly Data'!BQ1</f>
        <v>WRZ_GS50to2999kWh_No_CDM</v>
      </c>
      <c r="E1" s="541" t="str">
        <f>'Monthly Data'!CT1</f>
        <v>HDD14</v>
      </c>
      <c r="F1" s="541" t="str">
        <f>'Monthly Data'!CW1</f>
        <v>CDD12</v>
      </c>
      <c r="G1" s="541" t="str">
        <f>'Monthly Data'!DQ1</f>
        <v>Month Days</v>
      </c>
      <c r="H1" s="541" t="str">
        <f>'Monthly Data'!EJ1</f>
        <v>COVID_AM</v>
      </c>
      <c r="I1" s="541" t="str">
        <f>'Monthly Data'!EF1</f>
        <v>Fall</v>
      </c>
      <c r="J1" s="542"/>
      <c r="K1" s="542" t="str">
        <f>W7</f>
        <v>const</v>
      </c>
      <c r="L1" s="542" t="str">
        <f>E1</f>
        <v>HDD14</v>
      </c>
      <c r="M1" s="543" t="str">
        <f>F1</f>
        <v>CDD12</v>
      </c>
      <c r="N1" s="543" t="str">
        <f>G1</f>
        <v>Month Days</v>
      </c>
      <c r="O1" s="541" t="str">
        <f>H1</f>
        <v>COVID_AM</v>
      </c>
      <c r="P1" s="541" t="str">
        <f>I1</f>
        <v>Fall</v>
      </c>
      <c r="Q1" s="541" t="s">
        <v>610</v>
      </c>
      <c r="R1" s="541" t="s">
        <v>332</v>
      </c>
      <c r="S1" s="541" t="s">
        <v>606</v>
      </c>
      <c r="T1" s="541" t="s">
        <v>611</v>
      </c>
    </row>
    <row r="2" spans="1:27">
      <c r="A2" s="2">
        <f>'Monthly Data'!A2</f>
        <v>42370</v>
      </c>
      <c r="B2">
        <f>'Monthly Data'!B2</f>
        <v>2016</v>
      </c>
      <c r="C2">
        <f>'Monthly Data'!C2</f>
        <v>1</v>
      </c>
      <c r="D2" s="3">
        <f>'Monthly Data'!BQ2</f>
        <v>30843852.615811039</v>
      </c>
      <c r="E2" s="91">
        <f ca="1">Weather!CW46</f>
        <v>566.78750000000002</v>
      </c>
      <c r="F2" s="91">
        <f ca="1">Weather!DL46</f>
        <v>0</v>
      </c>
      <c r="G2" s="3">
        <f>'Monthly Data'!DQ2</f>
        <v>31</v>
      </c>
      <c r="H2" s="3">
        <f>'Monthly Data'!EJ2</f>
        <v>0</v>
      </c>
      <c r="I2">
        <f>'Monthly Data'!EF2</f>
        <v>0</v>
      </c>
      <c r="K2" s="3">
        <f t="shared" ref="K2:K33" si="0">$X$7</f>
        <v>13824899.391279301</v>
      </c>
      <c r="L2" s="3">
        <f t="shared" ref="L2:L33" ca="1" si="1">E2*$X$8</f>
        <v>4372444.1588441078</v>
      </c>
      <c r="M2" s="3">
        <f t="shared" ref="M2:M33" ca="1" si="2">F2*$X$9</f>
        <v>0</v>
      </c>
      <c r="N2" s="3">
        <f t="shared" ref="N2:N33" si="3">G2*$X$10</f>
        <v>12808183.109129699</v>
      </c>
      <c r="O2" s="3">
        <f t="shared" ref="O2:O33" si="4">H2*$X$11</f>
        <v>0</v>
      </c>
      <c r="P2" s="3">
        <f t="shared" ref="P2:P33" si="5">I2*$X$12</f>
        <v>0</v>
      </c>
      <c r="Q2" s="47">
        <f t="shared" ref="Q2:Q9" ca="1" si="6">SUM(K2:P2)</f>
        <v>31005526.659253106</v>
      </c>
      <c r="R2" s="47">
        <f>'Monthly Data'!BR2</f>
        <v>0</v>
      </c>
      <c r="S2" s="47">
        <f>+'Monthly Data'!BS2</f>
        <v>0</v>
      </c>
      <c r="T2" s="47">
        <f t="shared" ref="T2:T41" ca="1" si="7">Q2+R2+S2</f>
        <v>31005526.659253106</v>
      </c>
      <c r="W2" t="s">
        <v>629</v>
      </c>
    </row>
    <row r="3" spans="1:27">
      <c r="A3" s="2">
        <f>'Monthly Data'!A3</f>
        <v>42401</v>
      </c>
      <c r="B3">
        <f>'Monthly Data'!B3</f>
        <v>2016</v>
      </c>
      <c r="C3">
        <f>'Monthly Data'!C3</f>
        <v>2</v>
      </c>
      <c r="D3" s="3">
        <f>'Monthly Data'!BQ3</f>
        <v>30235393.502081621</v>
      </c>
      <c r="E3" s="91">
        <f ca="1">Weather!CW47</f>
        <v>490.99541666666664</v>
      </c>
      <c r="F3" s="91">
        <f ca="1">Weather!DL47</f>
        <v>0</v>
      </c>
      <c r="G3" s="3">
        <f>'Monthly Data'!DQ3</f>
        <v>29</v>
      </c>
      <c r="H3" s="3">
        <f>'Monthly Data'!EJ3</f>
        <v>0</v>
      </c>
      <c r="I3">
        <f>'Monthly Data'!EF3</f>
        <v>0</v>
      </c>
      <c r="K3" s="3">
        <f t="shared" si="0"/>
        <v>13824899.391279301</v>
      </c>
      <c r="L3" s="3">
        <f t="shared" ca="1" si="1"/>
        <v>3787751.2147381431</v>
      </c>
      <c r="M3" s="3">
        <f t="shared" ca="1" si="2"/>
        <v>0</v>
      </c>
      <c r="N3" s="3">
        <f t="shared" si="3"/>
        <v>11981848.7149923</v>
      </c>
      <c r="O3" s="3">
        <f t="shared" si="4"/>
        <v>0</v>
      </c>
      <c r="P3" s="3">
        <f t="shared" si="5"/>
        <v>0</v>
      </c>
      <c r="Q3" s="47">
        <f t="shared" ca="1" si="6"/>
        <v>29594499.321009744</v>
      </c>
      <c r="R3" s="47">
        <f>'Monthly Data'!BR3</f>
        <v>0</v>
      </c>
      <c r="S3" s="47">
        <f>+'Monthly Data'!BS3</f>
        <v>0</v>
      </c>
      <c r="T3" s="47">
        <f t="shared" ca="1" si="7"/>
        <v>29594499.321009744</v>
      </c>
      <c r="W3" t="s">
        <v>630</v>
      </c>
    </row>
    <row r="4" spans="1:27">
      <c r="A4" s="2">
        <f>'Monthly Data'!A4</f>
        <v>42430</v>
      </c>
      <c r="B4">
        <f>'Monthly Data'!B4</f>
        <v>2016</v>
      </c>
      <c r="C4">
        <f>'Monthly Data'!C4</f>
        <v>3</v>
      </c>
      <c r="D4" s="3">
        <f>'Monthly Data'!BQ4</f>
        <v>29351880.410567749</v>
      </c>
      <c r="E4" s="91">
        <f ca="1">Weather!CW48</f>
        <v>410.21590579710147</v>
      </c>
      <c r="F4" s="91">
        <f ca="1">Weather!DL48</f>
        <v>2.9583333333332896E-2</v>
      </c>
      <c r="G4" s="3">
        <f>'Monthly Data'!DQ4</f>
        <v>31</v>
      </c>
      <c r="H4" s="3">
        <f>'Monthly Data'!EJ4</f>
        <v>0</v>
      </c>
      <c r="I4">
        <f>'Monthly Data'!EF4</f>
        <v>0</v>
      </c>
      <c r="K4" s="3">
        <f t="shared" si="0"/>
        <v>13824899.391279301</v>
      </c>
      <c r="L4" s="3">
        <f t="shared" ca="1" si="1"/>
        <v>3164583.0953708063</v>
      </c>
      <c r="M4" s="3">
        <f t="shared" ca="1" si="2"/>
        <v>445.54494017078349</v>
      </c>
      <c r="N4" s="3">
        <f t="shared" si="3"/>
        <v>12808183.109129699</v>
      </c>
      <c r="O4" s="3">
        <f t="shared" si="4"/>
        <v>0</v>
      </c>
      <c r="P4" s="3">
        <f t="shared" si="5"/>
        <v>0</v>
      </c>
      <c r="Q4" s="47">
        <f t="shared" ca="1" si="6"/>
        <v>29798111.140719973</v>
      </c>
      <c r="R4" s="47">
        <f>'Monthly Data'!BR4</f>
        <v>0</v>
      </c>
      <c r="S4" s="47">
        <f>+'Monthly Data'!BS4</f>
        <v>0</v>
      </c>
      <c r="T4" s="47">
        <f t="shared" ca="1" si="7"/>
        <v>29798111.140719973</v>
      </c>
      <c r="W4" t="s">
        <v>631</v>
      </c>
    </row>
    <row r="5" spans="1:27">
      <c r="A5" s="2">
        <f>'Monthly Data'!A5</f>
        <v>42461</v>
      </c>
      <c r="B5">
        <f>'Monthly Data'!B5</f>
        <v>2016</v>
      </c>
      <c r="C5">
        <f>'Monthly Data'!C5</f>
        <v>4</v>
      </c>
      <c r="D5" s="3">
        <f>'Monthly Data'!BQ5</f>
        <v>28131199.592845537</v>
      </c>
      <c r="E5" s="91">
        <f ca="1">Weather!CW49</f>
        <v>235.09104166666671</v>
      </c>
      <c r="F5" s="91">
        <f ca="1">Weather!DL49</f>
        <v>6.0095833333333344</v>
      </c>
      <c r="G5" s="3">
        <f>'Monthly Data'!DQ5</f>
        <v>30</v>
      </c>
      <c r="H5" s="3">
        <f>'Monthly Data'!EJ5</f>
        <v>0</v>
      </c>
      <c r="I5">
        <f>'Monthly Data'!EF5</f>
        <v>0</v>
      </c>
      <c r="K5" s="3">
        <f t="shared" si="0"/>
        <v>13824899.391279301</v>
      </c>
      <c r="L5" s="3">
        <f t="shared" ca="1" si="1"/>
        <v>1813594.0752609991</v>
      </c>
      <c r="M5" s="3">
        <f t="shared" ca="1" si="2"/>
        <v>90508.375663145154</v>
      </c>
      <c r="N5" s="3">
        <f t="shared" si="3"/>
        <v>12395015.912061</v>
      </c>
      <c r="O5" s="3">
        <f t="shared" si="4"/>
        <v>0</v>
      </c>
      <c r="P5" s="3">
        <f t="shared" si="5"/>
        <v>0</v>
      </c>
      <c r="Q5" s="47">
        <f t="shared" ca="1" si="6"/>
        <v>28124017.754264444</v>
      </c>
      <c r="R5" s="47">
        <f>'Monthly Data'!BR5</f>
        <v>0</v>
      </c>
      <c r="S5" s="47">
        <f>+'Monthly Data'!BS5</f>
        <v>0</v>
      </c>
      <c r="T5" s="47">
        <f t="shared" ca="1" si="7"/>
        <v>28124017.754264444</v>
      </c>
    </row>
    <row r="6" spans="1:27">
      <c r="A6" s="2">
        <f>'Monthly Data'!A6</f>
        <v>42491</v>
      </c>
      <c r="B6">
        <f>'Monthly Data'!B6</f>
        <v>2016</v>
      </c>
      <c r="C6">
        <f>'Monthly Data'!C6</f>
        <v>5</v>
      </c>
      <c r="D6" s="3">
        <f>'Monthly Data'!BQ6</f>
        <v>27887826.231142532</v>
      </c>
      <c r="E6" s="91">
        <f ca="1">Weather!CW50</f>
        <v>66.98488157894738</v>
      </c>
      <c r="F6" s="91">
        <f ca="1">Weather!DL50</f>
        <v>81.50872474747473</v>
      </c>
      <c r="G6" s="3">
        <f>'Monthly Data'!DQ6</f>
        <v>31</v>
      </c>
      <c r="H6" s="3">
        <f>'Monthly Data'!EJ6</f>
        <v>0</v>
      </c>
      <c r="I6">
        <f>'Monthly Data'!EF6</f>
        <v>0</v>
      </c>
      <c r="K6" s="3">
        <f t="shared" si="0"/>
        <v>13824899.391279301</v>
      </c>
      <c r="L6" s="3">
        <f t="shared" ca="1" si="1"/>
        <v>516750.37680035766</v>
      </c>
      <c r="M6" s="3">
        <f t="shared" ca="1" si="2"/>
        <v>1227576.3343440345</v>
      </c>
      <c r="N6" s="3">
        <f t="shared" si="3"/>
        <v>12808183.109129699</v>
      </c>
      <c r="O6" s="3">
        <f t="shared" si="4"/>
        <v>0</v>
      </c>
      <c r="P6" s="3">
        <f t="shared" si="5"/>
        <v>0</v>
      </c>
      <c r="Q6" s="47">
        <f t="shared" ca="1" si="6"/>
        <v>28377409.211553395</v>
      </c>
      <c r="R6" s="47">
        <f>'Monthly Data'!BR6</f>
        <v>0</v>
      </c>
      <c r="S6" s="47">
        <f>+'Monthly Data'!BS6</f>
        <v>0</v>
      </c>
      <c r="T6" s="47">
        <f t="shared" ca="1" si="7"/>
        <v>28377409.211553395</v>
      </c>
      <c r="X6" t="s">
        <v>300</v>
      </c>
      <c r="Y6" t="s">
        <v>301</v>
      </c>
      <c r="Z6" t="s">
        <v>302</v>
      </c>
      <c r="AA6" t="s">
        <v>303</v>
      </c>
    </row>
    <row r="7" spans="1:27">
      <c r="A7" s="2">
        <f>'Monthly Data'!A7</f>
        <v>42522</v>
      </c>
      <c r="B7">
        <f>'Monthly Data'!B7</f>
        <v>2016</v>
      </c>
      <c r="C7">
        <f>'Monthly Data'!C7</f>
        <v>6</v>
      </c>
      <c r="D7" s="3">
        <f>'Monthly Data'!BQ7</f>
        <v>28898634.748755053</v>
      </c>
      <c r="E7" s="91">
        <f ca="1">Weather!CW51</f>
        <v>3.128333333333333</v>
      </c>
      <c r="F7" s="91">
        <f ca="1">Weather!DL51</f>
        <v>202.3599342107168</v>
      </c>
      <c r="G7" s="3">
        <f>'Monthly Data'!DQ7</f>
        <v>30</v>
      </c>
      <c r="H7" s="3">
        <f>'Monthly Data'!EJ7</f>
        <v>0</v>
      </c>
      <c r="I7">
        <f>'Monthly Data'!EF7</f>
        <v>0</v>
      </c>
      <c r="K7" s="3">
        <f t="shared" si="0"/>
        <v>13824899.391279301</v>
      </c>
      <c r="L7" s="3">
        <f t="shared" ca="1" si="1"/>
        <v>24133.317707695824</v>
      </c>
      <c r="M7" s="3">
        <f t="shared" ca="1" si="2"/>
        <v>3047677.0066775945</v>
      </c>
      <c r="N7" s="3">
        <f t="shared" si="3"/>
        <v>12395015.912061</v>
      </c>
      <c r="O7" s="3">
        <f t="shared" si="4"/>
        <v>0</v>
      </c>
      <c r="P7" s="3">
        <f t="shared" si="5"/>
        <v>0</v>
      </c>
      <c r="Q7" s="47">
        <f t="shared" ca="1" si="6"/>
        <v>29291725.627725594</v>
      </c>
      <c r="R7" s="47">
        <f>'Monthly Data'!BR7</f>
        <v>0</v>
      </c>
      <c r="S7" s="47">
        <f>+'Monthly Data'!BS7</f>
        <v>0</v>
      </c>
      <c r="T7" s="47">
        <f t="shared" ca="1" si="7"/>
        <v>29291725.627725594</v>
      </c>
      <c r="W7" t="s">
        <v>304</v>
      </c>
      <c r="X7" s="436">
        <f>'WRZ GS 50-2,999'!Y8</f>
        <v>13824899.391279301</v>
      </c>
      <c r="Y7" s="3">
        <f>'WRZ GS 50-2,999'!Z8</f>
        <v>2288344.8652646001</v>
      </c>
      <c r="Z7" s="235">
        <f>'WRZ GS 50-2,999'!AA8</f>
        <v>6.0414405193601697</v>
      </c>
      <c r="AA7" s="245">
        <f>'WRZ GS 50-2,999'!AB8</f>
        <v>1.92871110478622E-8</v>
      </c>
    </row>
    <row r="8" spans="1:27">
      <c r="A8" s="2">
        <f>'Monthly Data'!A8</f>
        <v>42552</v>
      </c>
      <c r="B8">
        <f>'Monthly Data'!B8</f>
        <v>2016</v>
      </c>
      <c r="C8">
        <f>'Monthly Data'!C8</f>
        <v>7</v>
      </c>
      <c r="D8" s="3">
        <f>'Monthly Data'!BQ8</f>
        <v>29492405.211729325</v>
      </c>
      <c r="E8" s="91">
        <f ca="1">Weather!CW52</f>
        <v>0</v>
      </c>
      <c r="F8" s="91">
        <f ca="1">Weather!DL52</f>
        <v>304.72508692061177</v>
      </c>
      <c r="G8" s="3">
        <f>'Monthly Data'!DQ8</f>
        <v>31</v>
      </c>
      <c r="H8" s="3">
        <f>'Monthly Data'!EJ8</f>
        <v>0</v>
      </c>
      <c r="I8">
        <f>'Monthly Data'!EF8</f>
        <v>0</v>
      </c>
      <c r="K8" s="3">
        <f t="shared" si="0"/>
        <v>13824899.391279301</v>
      </c>
      <c r="L8" s="3">
        <f t="shared" ca="1" si="1"/>
        <v>0</v>
      </c>
      <c r="M8" s="3">
        <f t="shared" ca="1" si="2"/>
        <v>4589365.2040760377</v>
      </c>
      <c r="N8" s="3">
        <f t="shared" si="3"/>
        <v>12808183.109129699</v>
      </c>
      <c r="O8" s="3">
        <f t="shared" si="4"/>
        <v>0</v>
      </c>
      <c r="P8" s="3">
        <f t="shared" si="5"/>
        <v>0</v>
      </c>
      <c r="Q8" s="47">
        <f t="shared" ca="1" si="6"/>
        <v>31222447.704485036</v>
      </c>
      <c r="R8" s="47">
        <f>'Monthly Data'!BR8</f>
        <v>0</v>
      </c>
      <c r="S8" s="47">
        <f>+'Monthly Data'!BS8</f>
        <v>0</v>
      </c>
      <c r="T8" s="47">
        <f t="shared" ca="1" si="7"/>
        <v>31222447.704485036</v>
      </c>
      <c r="W8" t="s">
        <v>116</v>
      </c>
      <c r="X8" s="3">
        <f>'WRZ GS 50-2,999'!Y9</f>
        <v>7714.4329379954697</v>
      </c>
      <c r="Y8" s="3">
        <f>'WRZ GS 50-2,999'!Z9</f>
        <v>794.02378749933303</v>
      </c>
      <c r="Z8" s="235">
        <f>'WRZ GS 50-2,999'!AA9</f>
        <v>9.7156194303586307</v>
      </c>
      <c r="AA8" s="245">
        <f>'WRZ GS 50-2,999'!AB9</f>
        <v>1.1858129729565999E-16</v>
      </c>
    </row>
    <row r="9" spans="1:27">
      <c r="A9" s="2">
        <f>'Monthly Data'!A9</f>
        <v>42583</v>
      </c>
      <c r="B9">
        <f>'Monthly Data'!B9</f>
        <v>2016</v>
      </c>
      <c r="C9">
        <f>'Monthly Data'!C9</f>
        <v>8</v>
      </c>
      <c r="D9" s="3">
        <f>'Monthly Data'!BQ9</f>
        <v>31490742.202473037</v>
      </c>
      <c r="E9" s="91">
        <f ca="1">Weather!CW53</f>
        <v>6.5416666666666859E-2</v>
      </c>
      <c r="F9" s="91">
        <f ca="1">Weather!DL53</f>
        <v>275.96017127799735</v>
      </c>
      <c r="G9" s="3">
        <f>'Monthly Data'!DQ9</f>
        <v>31</v>
      </c>
      <c r="H9" s="3">
        <f>'Monthly Data'!EJ9</f>
        <v>0</v>
      </c>
      <c r="I9">
        <f>'Monthly Data'!EF9</f>
        <v>0</v>
      </c>
      <c r="K9" s="3">
        <f t="shared" si="0"/>
        <v>13824899.391279301</v>
      </c>
      <c r="L9" s="3">
        <f t="shared" ca="1" si="1"/>
        <v>504.65248802720515</v>
      </c>
      <c r="M9" s="3">
        <f t="shared" ca="1" si="2"/>
        <v>4156146.1859687767</v>
      </c>
      <c r="N9" s="3">
        <f t="shared" si="3"/>
        <v>12808183.109129699</v>
      </c>
      <c r="O9" s="3">
        <f t="shared" si="4"/>
        <v>0</v>
      </c>
      <c r="P9" s="3">
        <f t="shared" si="5"/>
        <v>0</v>
      </c>
      <c r="Q9" s="47">
        <f t="shared" ca="1" si="6"/>
        <v>30789733.338865802</v>
      </c>
      <c r="R9" s="47">
        <f>'Monthly Data'!BR9</f>
        <v>0</v>
      </c>
      <c r="S9" s="47">
        <f>+'Monthly Data'!BS9</f>
        <v>0</v>
      </c>
      <c r="T9" s="47">
        <f t="shared" ca="1" si="7"/>
        <v>30789733.338865802</v>
      </c>
      <c r="W9" t="s">
        <v>125</v>
      </c>
      <c r="X9" s="3">
        <f>'WRZ GS 50-2,999'!Y10</f>
        <v>15060.674033942199</v>
      </c>
      <c r="Y9" s="3">
        <f>'WRZ GS 50-2,999'!Z10</f>
        <v>1401.08723519044</v>
      </c>
      <c r="Z9" s="235">
        <f>'WRZ GS 50-2,999'!AA10</f>
        <v>10.7492764587889</v>
      </c>
      <c r="AA9" s="245">
        <f>'WRZ GS 50-2,999'!AB10</f>
        <v>4.4513238099265296E-19</v>
      </c>
    </row>
    <row r="10" spans="1:27">
      <c r="A10" s="2">
        <f>'Monthly Data'!A10</f>
        <v>42614</v>
      </c>
      <c r="B10">
        <f>'Monthly Data'!B10</f>
        <v>2016</v>
      </c>
      <c r="C10">
        <f>'Monthly Data'!C10</f>
        <v>9</v>
      </c>
      <c r="D10" s="3">
        <f>'Monthly Data'!BQ10</f>
        <v>29498749.821856793</v>
      </c>
      <c r="E10" s="91">
        <f ca="1">Weather!CW54</f>
        <v>10.085869565217392</v>
      </c>
      <c r="F10" s="91">
        <f ca="1">Weather!DL54</f>
        <v>154.9849637681159</v>
      </c>
      <c r="G10" s="3">
        <f>'Monthly Data'!DQ10</f>
        <v>30</v>
      </c>
      <c r="H10" s="3">
        <f>'Monthly Data'!EJ10</f>
        <v>0</v>
      </c>
      <c r="I10">
        <f>'Monthly Data'!EF10</f>
        <v>1</v>
      </c>
      <c r="K10" s="3">
        <f t="shared" si="0"/>
        <v>13824899.391279301</v>
      </c>
      <c r="L10" s="3">
        <f t="shared" ca="1" si="1"/>
        <v>77806.764382239096</v>
      </c>
      <c r="M10" s="3">
        <f t="shared" ca="1" si="2"/>
        <v>2334178.0194739359</v>
      </c>
      <c r="N10" s="3">
        <f t="shared" si="3"/>
        <v>12395015.912061</v>
      </c>
      <c r="O10" s="3">
        <f t="shared" si="4"/>
        <v>0</v>
      </c>
      <c r="P10" s="3">
        <f t="shared" si="5"/>
        <v>0</v>
      </c>
      <c r="Q10" s="47">
        <f t="shared" ref="Q10:Q41" ca="1" si="8">SUM(K10:P10)</f>
        <v>28631900.087196477</v>
      </c>
      <c r="R10" s="47">
        <f>'Monthly Data'!BR10</f>
        <v>0</v>
      </c>
      <c r="S10" s="47">
        <f>+'Monthly Data'!BS10</f>
        <v>0</v>
      </c>
      <c r="T10" s="47">
        <f t="shared" ca="1" si="7"/>
        <v>28631900.087196477</v>
      </c>
      <c r="W10" t="s">
        <v>305</v>
      </c>
      <c r="X10" s="3">
        <f>'WRZ GS 50-2,999'!Y11</f>
        <v>413167.19706869998</v>
      </c>
      <c r="Y10" s="3">
        <f>'WRZ GS 50-2,999'!Z11</f>
        <v>75386.536571987497</v>
      </c>
      <c r="Z10" s="235">
        <f>'WRZ GS 50-2,999'!AA11</f>
        <v>5.4806496737539003</v>
      </c>
      <c r="AA10" s="245">
        <f>'WRZ GS 50-2,999'!AB11</f>
        <v>2.5371229443073602E-7</v>
      </c>
    </row>
    <row r="11" spans="1:27">
      <c r="A11" s="2">
        <f>'Monthly Data'!A11</f>
        <v>42644</v>
      </c>
      <c r="B11">
        <f>'Monthly Data'!B11</f>
        <v>2016</v>
      </c>
      <c r="C11">
        <f>'Monthly Data'!C11</f>
        <v>10</v>
      </c>
      <c r="D11" s="3">
        <f>'Monthly Data'!BQ11</f>
        <v>28378040.097499937</v>
      </c>
      <c r="E11" s="91">
        <f ca="1">Weather!CW55</f>
        <v>126.20389492753625</v>
      </c>
      <c r="F11" s="91">
        <f ca="1">Weather!DL55</f>
        <v>38.347916666666663</v>
      </c>
      <c r="G11" s="3">
        <f>'Monthly Data'!DQ11</f>
        <v>31</v>
      </c>
      <c r="H11" s="3">
        <f>'Monthly Data'!EJ11</f>
        <v>0</v>
      </c>
      <c r="I11">
        <f>'Monthly Data'!EF11</f>
        <v>1</v>
      </c>
      <c r="K11" s="3">
        <f t="shared" si="0"/>
        <v>13824899.391279301</v>
      </c>
      <c r="L11" s="3">
        <f t="shared" ca="1" si="1"/>
        <v>973591.48393230501</v>
      </c>
      <c r="M11" s="3">
        <f t="shared" ca="1" si="2"/>
        <v>577545.47279744595</v>
      </c>
      <c r="N11" s="3">
        <f t="shared" si="3"/>
        <v>12808183.109129699</v>
      </c>
      <c r="O11" s="3">
        <f t="shared" si="4"/>
        <v>0</v>
      </c>
      <c r="P11" s="3">
        <f t="shared" si="5"/>
        <v>0</v>
      </c>
      <c r="Q11" s="47">
        <f t="shared" ca="1" si="8"/>
        <v>28184219.457138751</v>
      </c>
      <c r="R11" s="47">
        <f>'Monthly Data'!BR11</f>
        <v>0</v>
      </c>
      <c r="S11" s="47">
        <f>+'Monthly Data'!BS11</f>
        <v>0</v>
      </c>
      <c r="T11" s="47">
        <f t="shared" ca="1" si="7"/>
        <v>28184219.457138751</v>
      </c>
      <c r="W11" t="s">
        <v>164</v>
      </c>
      <c r="X11" s="3">
        <f>'WRZ GS 50-2,999'!Y12</f>
        <v>-3503977.2873818199</v>
      </c>
      <c r="Y11" s="3">
        <f>'WRZ GS 50-2,999'!Z12</f>
        <v>824968.454046987</v>
      </c>
      <c r="Z11" s="235">
        <f>'WRZ GS 50-2,999'!AA12</f>
        <v>-4.24740760715469</v>
      </c>
      <c r="AA11" s="245">
        <f>'WRZ GS 50-2,999'!AB12</f>
        <v>4.41023426466394E-5</v>
      </c>
    </row>
    <row r="12" spans="1:27">
      <c r="A12" s="2">
        <f>'Monthly Data'!A12</f>
        <v>42675</v>
      </c>
      <c r="B12">
        <f>'Monthly Data'!B12</f>
        <v>2016</v>
      </c>
      <c r="C12">
        <f>'Monthly Data'!C12</f>
        <v>11</v>
      </c>
      <c r="D12" s="3">
        <f>'Monthly Data'!BQ12</f>
        <v>27564789.38004791</v>
      </c>
      <c r="E12" s="91">
        <f ca="1">Weather!CW56</f>
        <v>316.29533055712409</v>
      </c>
      <c r="F12" s="91">
        <f ca="1">Weather!DL56</f>
        <v>1.9241666666666659</v>
      </c>
      <c r="G12" s="3">
        <f>'Monthly Data'!DQ12</f>
        <v>30</v>
      </c>
      <c r="H12" s="3">
        <f>'Monthly Data'!EJ12</f>
        <v>0</v>
      </c>
      <c r="I12">
        <f>'Monthly Data'!EF12</f>
        <v>1</v>
      </c>
      <c r="K12" s="3">
        <f t="shared" si="0"/>
        <v>13824899.391279301</v>
      </c>
      <c r="L12" s="3">
        <f t="shared" ca="1" si="1"/>
        <v>2440039.1161840432</v>
      </c>
      <c r="M12" s="3">
        <f t="shared" ca="1" si="2"/>
        <v>28979.246953643771</v>
      </c>
      <c r="N12" s="3">
        <f t="shared" si="3"/>
        <v>12395015.912061</v>
      </c>
      <c r="O12" s="3">
        <f t="shared" si="4"/>
        <v>0</v>
      </c>
      <c r="P12" s="3">
        <f t="shared" si="5"/>
        <v>0</v>
      </c>
      <c r="Q12" s="47">
        <f t="shared" ca="1" si="8"/>
        <v>28688933.666477986</v>
      </c>
      <c r="R12" s="47">
        <f>'Monthly Data'!BR12</f>
        <v>0</v>
      </c>
      <c r="S12" s="47">
        <f>+'Monthly Data'!BS12</f>
        <v>0</v>
      </c>
      <c r="T12" s="47">
        <f t="shared" ca="1" si="7"/>
        <v>28688933.666477986</v>
      </c>
      <c r="W12" t="s">
        <v>160</v>
      </c>
      <c r="X12" s="3">
        <f>'WRZ GS 50-2,999'!Y13</f>
        <v>0</v>
      </c>
      <c r="Y12" s="3">
        <f>'WRZ GS 50-2,999'!Z13</f>
        <v>0</v>
      </c>
      <c r="Z12" s="235">
        <f>'WRZ GS 50-2,999'!AA13</f>
        <v>0</v>
      </c>
      <c r="AA12" s="245">
        <f>'WRZ GS 50-2,999'!AB13</f>
        <v>0</v>
      </c>
    </row>
    <row r="13" spans="1:27">
      <c r="A13" s="2">
        <f>'Monthly Data'!A13</f>
        <v>42705</v>
      </c>
      <c r="B13">
        <f>'Monthly Data'!B13</f>
        <v>2016</v>
      </c>
      <c r="C13">
        <f>'Monthly Data'!C13</f>
        <v>12</v>
      </c>
      <c r="D13" s="3">
        <f>'Monthly Data'!BQ13</f>
        <v>27986393.377696451</v>
      </c>
      <c r="E13" s="91">
        <f ca="1">Weather!CW57</f>
        <v>478.38541666666663</v>
      </c>
      <c r="F13" s="91">
        <f ca="1">Weather!DL57</f>
        <v>0</v>
      </c>
      <c r="G13" s="3">
        <f>'Monthly Data'!DQ13</f>
        <v>31</v>
      </c>
      <c r="H13" s="3">
        <f>'Monthly Data'!EJ13</f>
        <v>0</v>
      </c>
      <c r="I13">
        <f>'Monthly Data'!EF13</f>
        <v>0</v>
      </c>
      <c r="K13" s="3">
        <f t="shared" si="0"/>
        <v>13824899.391279301</v>
      </c>
      <c r="L13" s="3">
        <f t="shared" ca="1" si="1"/>
        <v>3690472.2153900201</v>
      </c>
      <c r="M13" s="3">
        <f t="shared" ca="1" si="2"/>
        <v>0</v>
      </c>
      <c r="N13" s="3">
        <f t="shared" si="3"/>
        <v>12808183.109129699</v>
      </c>
      <c r="O13" s="3">
        <f t="shared" si="4"/>
        <v>0</v>
      </c>
      <c r="P13" s="3">
        <f t="shared" si="5"/>
        <v>0</v>
      </c>
      <c r="Q13" s="47">
        <f t="shared" ca="1" si="8"/>
        <v>30323554.715799019</v>
      </c>
      <c r="R13" s="47">
        <f>'Monthly Data'!BR13</f>
        <v>0</v>
      </c>
      <c r="S13" s="47">
        <f>+'Monthly Data'!BS13</f>
        <v>0</v>
      </c>
      <c r="T13" s="47">
        <f t="shared" ca="1" si="7"/>
        <v>30323554.715799019</v>
      </c>
      <c r="X13" s="3"/>
      <c r="Y13" s="3"/>
      <c r="Z13" s="235"/>
      <c r="AA13" s="100"/>
    </row>
    <row r="14" spans="1:27">
      <c r="A14" s="2">
        <f>'Monthly Data'!A14</f>
        <v>42736</v>
      </c>
      <c r="B14">
        <f>'Monthly Data'!B14</f>
        <v>2017</v>
      </c>
      <c r="C14">
        <f>'Monthly Data'!C14</f>
        <v>1</v>
      </c>
      <c r="D14" s="3">
        <f>'Monthly Data'!BQ14</f>
        <v>29882819.409545325</v>
      </c>
      <c r="E14" s="3">
        <f t="shared" ref="E14:F14" ca="1" si="9">E2</f>
        <v>566.78750000000002</v>
      </c>
      <c r="F14" s="3">
        <f t="shared" ca="1" si="9"/>
        <v>0</v>
      </c>
      <c r="G14" s="3">
        <f>'Monthly Data'!DQ14</f>
        <v>31</v>
      </c>
      <c r="H14" s="3">
        <f>'Monthly Data'!EJ14</f>
        <v>0</v>
      </c>
      <c r="I14">
        <f>'Monthly Data'!EF14</f>
        <v>0</v>
      </c>
      <c r="K14" s="3">
        <f t="shared" si="0"/>
        <v>13824899.391279301</v>
      </c>
      <c r="L14" s="3">
        <f t="shared" ca="1" si="1"/>
        <v>4372444.1588441078</v>
      </c>
      <c r="M14" s="3">
        <f t="shared" ca="1" si="2"/>
        <v>0</v>
      </c>
      <c r="N14" s="3">
        <f t="shared" si="3"/>
        <v>12808183.109129699</v>
      </c>
      <c r="O14" s="3">
        <f t="shared" si="4"/>
        <v>0</v>
      </c>
      <c r="P14" s="3">
        <f t="shared" si="5"/>
        <v>0</v>
      </c>
      <c r="Q14" s="47">
        <f t="shared" ca="1" si="8"/>
        <v>31005526.659253106</v>
      </c>
      <c r="R14" s="47">
        <f>'Monthly Data'!BR14</f>
        <v>64.96546153846154</v>
      </c>
      <c r="S14" s="47">
        <f>+'Monthly Data'!BS14</f>
        <v>0</v>
      </c>
      <c r="T14" s="47">
        <f t="shared" ca="1" si="7"/>
        <v>31005591.624714643</v>
      </c>
      <c r="W14" t="s">
        <v>306</v>
      </c>
      <c r="X14" s="3"/>
      <c r="Y14" s="3"/>
      <c r="Z14" s="235"/>
      <c r="AA14" s="100"/>
    </row>
    <row r="15" spans="1:27">
      <c r="A15" s="2">
        <f>'Monthly Data'!A15</f>
        <v>42767</v>
      </c>
      <c r="B15">
        <f>'Monthly Data'!B15</f>
        <v>2017</v>
      </c>
      <c r="C15">
        <f>'Monthly Data'!C15</f>
        <v>2</v>
      </c>
      <c r="D15" s="3">
        <f>'Monthly Data'!BQ15</f>
        <v>27283341.26792654</v>
      </c>
      <c r="E15" s="3">
        <f t="shared" ref="E15:F15" ca="1" si="10">E3</f>
        <v>490.99541666666664</v>
      </c>
      <c r="F15" s="3">
        <f t="shared" ca="1" si="10"/>
        <v>0</v>
      </c>
      <c r="G15" s="3">
        <f>'Monthly Data'!DQ15</f>
        <v>28</v>
      </c>
      <c r="H15" s="3">
        <f>'Monthly Data'!EJ15</f>
        <v>0</v>
      </c>
      <c r="I15">
        <f>'Monthly Data'!EF15</f>
        <v>0</v>
      </c>
      <c r="K15" s="3">
        <f t="shared" si="0"/>
        <v>13824899.391279301</v>
      </c>
      <c r="L15" s="3">
        <f t="shared" ca="1" si="1"/>
        <v>3787751.2147381431</v>
      </c>
      <c r="M15" s="3">
        <f t="shared" ca="1" si="2"/>
        <v>0</v>
      </c>
      <c r="N15" s="3">
        <f t="shared" si="3"/>
        <v>11568681.517923599</v>
      </c>
      <c r="O15" s="3">
        <f t="shared" si="4"/>
        <v>0</v>
      </c>
      <c r="P15" s="3">
        <f t="shared" si="5"/>
        <v>0</v>
      </c>
      <c r="Q15" s="47">
        <f t="shared" ca="1" si="8"/>
        <v>29181332.123941042</v>
      </c>
      <c r="R15" s="47">
        <f>'Monthly Data'!BR15</f>
        <v>129.93092307692308</v>
      </c>
      <c r="S15" s="47">
        <f>+'Monthly Data'!BS15</f>
        <v>0</v>
      </c>
      <c r="T15" s="47">
        <f t="shared" ca="1" si="7"/>
        <v>29181462.05486412</v>
      </c>
      <c r="W15" t="s">
        <v>307</v>
      </c>
      <c r="X15">
        <v>89907703710736</v>
      </c>
      <c r="Y15" t="s">
        <v>308</v>
      </c>
      <c r="Z15">
        <v>888067.60307874903</v>
      </c>
    </row>
    <row r="16" spans="1:27">
      <c r="A16" s="2">
        <f>'Monthly Data'!A16</f>
        <v>42795</v>
      </c>
      <c r="B16">
        <f>'Monthly Data'!B16</f>
        <v>2017</v>
      </c>
      <c r="C16">
        <f>'Monthly Data'!C16</f>
        <v>3</v>
      </c>
      <c r="D16" s="3">
        <f>'Monthly Data'!BQ16</f>
        <v>28468201.331051078</v>
      </c>
      <c r="E16" s="3">
        <f t="shared" ref="E16:F16" ca="1" si="11">E4</f>
        <v>410.21590579710147</v>
      </c>
      <c r="F16" s="3">
        <f t="shared" ca="1" si="11"/>
        <v>2.9583333333332896E-2</v>
      </c>
      <c r="G16" s="3">
        <f>'Monthly Data'!DQ16</f>
        <v>31</v>
      </c>
      <c r="H16" s="3">
        <f>'Monthly Data'!EJ16</f>
        <v>0</v>
      </c>
      <c r="I16">
        <f>'Monthly Data'!EF16</f>
        <v>0</v>
      </c>
      <c r="K16" s="3">
        <f t="shared" si="0"/>
        <v>13824899.391279301</v>
      </c>
      <c r="L16" s="3">
        <f t="shared" ca="1" si="1"/>
        <v>3164583.0953708063</v>
      </c>
      <c r="M16" s="3">
        <f t="shared" ca="1" si="2"/>
        <v>445.54494017078349</v>
      </c>
      <c r="N16" s="3">
        <f t="shared" si="3"/>
        <v>12808183.109129699</v>
      </c>
      <c r="O16" s="3">
        <f t="shared" si="4"/>
        <v>0</v>
      </c>
      <c r="P16" s="3">
        <f t="shared" si="5"/>
        <v>0</v>
      </c>
      <c r="Q16" s="47">
        <f t="shared" ca="1" si="8"/>
        <v>29798111.140719973</v>
      </c>
      <c r="R16" s="47">
        <f>'Monthly Data'!BR16</f>
        <v>194.89638461538465</v>
      </c>
      <c r="S16" s="47">
        <f>+'Monthly Data'!BS16</f>
        <v>0</v>
      </c>
      <c r="T16" s="47">
        <f t="shared" ca="1" si="7"/>
        <v>29798306.037104588</v>
      </c>
      <c r="W16" t="s">
        <v>309</v>
      </c>
      <c r="X16">
        <v>0.71970584575098495</v>
      </c>
      <c r="Y16" t="s">
        <v>310</v>
      </c>
      <c r="Z16">
        <v>0.70741224249444901</v>
      </c>
    </row>
    <row r="17" spans="1:26">
      <c r="A17" s="2">
        <f>'Monthly Data'!A17</f>
        <v>42826</v>
      </c>
      <c r="B17">
        <f>'Monthly Data'!B17</f>
        <v>2017</v>
      </c>
      <c r="C17">
        <f>'Monthly Data'!C17</f>
        <v>4</v>
      </c>
      <c r="D17" s="3">
        <f>'Monthly Data'!BQ17</f>
        <v>26922782.381266579</v>
      </c>
      <c r="E17" s="3">
        <f t="shared" ref="E17:F17" ca="1" si="12">E5</f>
        <v>235.09104166666671</v>
      </c>
      <c r="F17" s="3">
        <f t="shared" ca="1" si="12"/>
        <v>6.0095833333333344</v>
      </c>
      <c r="G17" s="3">
        <f>'Monthly Data'!DQ17</f>
        <v>30</v>
      </c>
      <c r="H17" s="3">
        <f>'Monthly Data'!EJ17</f>
        <v>0</v>
      </c>
      <c r="I17">
        <f>'Monthly Data'!EF17</f>
        <v>0</v>
      </c>
      <c r="K17" s="3">
        <f t="shared" si="0"/>
        <v>13824899.391279301</v>
      </c>
      <c r="L17" s="3">
        <f t="shared" ca="1" si="1"/>
        <v>1813594.0752609991</v>
      </c>
      <c r="M17" s="3">
        <f t="shared" ca="1" si="2"/>
        <v>90508.375663145154</v>
      </c>
      <c r="N17" s="3">
        <f t="shared" si="3"/>
        <v>12395015.912061</v>
      </c>
      <c r="O17" s="3">
        <f t="shared" si="4"/>
        <v>0</v>
      </c>
      <c r="P17" s="3">
        <f t="shared" si="5"/>
        <v>0</v>
      </c>
      <c r="Q17" s="47">
        <f t="shared" ca="1" si="8"/>
        <v>28124017.754264444</v>
      </c>
      <c r="R17" s="47">
        <f>'Monthly Data'!BR17</f>
        <v>259.86184615384616</v>
      </c>
      <c r="S17" s="47">
        <f>+'Monthly Data'!BS17</f>
        <v>0</v>
      </c>
      <c r="T17" s="47">
        <f t="shared" ca="1" si="7"/>
        <v>28124277.616110597</v>
      </c>
      <c r="W17" t="s">
        <v>328</v>
      </c>
      <c r="X17">
        <v>65.807208391757399</v>
      </c>
      <c r="Y17" t="s">
        <v>312</v>
      </c>
      <c r="Z17" s="3">
        <v>5.3819529623914098E-32</v>
      </c>
    </row>
    <row r="18" spans="1:26">
      <c r="A18" s="2">
        <f>'Monthly Data'!A18</f>
        <v>42856</v>
      </c>
      <c r="B18">
        <f>'Monthly Data'!B18</f>
        <v>2017</v>
      </c>
      <c r="C18">
        <f>'Monthly Data'!C18</f>
        <v>5</v>
      </c>
      <c r="D18" s="3">
        <f>'Monthly Data'!BQ18</f>
        <v>26797728.323706638</v>
      </c>
      <c r="E18" s="3">
        <f t="shared" ref="E18:F18" ca="1" si="13">E6</f>
        <v>66.98488157894738</v>
      </c>
      <c r="F18" s="3">
        <f t="shared" ca="1" si="13"/>
        <v>81.50872474747473</v>
      </c>
      <c r="G18" s="3">
        <f>'Monthly Data'!DQ18</f>
        <v>31</v>
      </c>
      <c r="H18" s="3">
        <f>'Monthly Data'!EJ18</f>
        <v>0</v>
      </c>
      <c r="I18">
        <f>'Monthly Data'!EF18</f>
        <v>0</v>
      </c>
      <c r="K18" s="3">
        <f t="shared" si="0"/>
        <v>13824899.391279301</v>
      </c>
      <c r="L18" s="3">
        <f t="shared" ca="1" si="1"/>
        <v>516750.37680035766</v>
      </c>
      <c r="M18" s="3">
        <f t="shared" ca="1" si="2"/>
        <v>1227576.3343440345</v>
      </c>
      <c r="N18" s="3">
        <f t="shared" si="3"/>
        <v>12808183.109129699</v>
      </c>
      <c r="O18" s="3">
        <f t="shared" si="4"/>
        <v>0</v>
      </c>
      <c r="P18" s="3">
        <f t="shared" si="5"/>
        <v>0</v>
      </c>
      <c r="Q18" s="47">
        <f t="shared" ca="1" si="8"/>
        <v>28377409.211553395</v>
      </c>
      <c r="R18" s="47">
        <f>'Monthly Data'!BR18</f>
        <v>324.82730769230773</v>
      </c>
      <c r="S18" s="47">
        <f>+'Monthly Data'!BS18</f>
        <v>0</v>
      </c>
      <c r="T18" s="47">
        <f t="shared" ca="1" si="7"/>
        <v>28377734.038861088</v>
      </c>
      <c r="W18" t="s">
        <v>313</v>
      </c>
      <c r="X18" s="99">
        <v>-5.7410255745753702E-2</v>
      </c>
      <c r="Y18" t="s">
        <v>314</v>
      </c>
      <c r="Z18" s="99">
        <v>2.03201532768602</v>
      </c>
    </row>
    <row r="19" spans="1:26">
      <c r="A19" s="2">
        <f>'Monthly Data'!A19</f>
        <v>42887</v>
      </c>
      <c r="B19">
        <f>'Monthly Data'!B19</f>
        <v>2017</v>
      </c>
      <c r="C19">
        <f>'Monthly Data'!C19</f>
        <v>6</v>
      </c>
      <c r="D19" s="3">
        <f>'Monthly Data'!BQ19</f>
        <v>28226505.817032319</v>
      </c>
      <c r="E19" s="3">
        <f t="shared" ref="E19:F19" ca="1" si="14">E7</f>
        <v>3.128333333333333</v>
      </c>
      <c r="F19" s="3">
        <f t="shared" ca="1" si="14"/>
        <v>202.3599342107168</v>
      </c>
      <c r="G19" s="3">
        <f>'Monthly Data'!DQ19</f>
        <v>30</v>
      </c>
      <c r="H19" s="3">
        <f>'Monthly Data'!EJ19</f>
        <v>0</v>
      </c>
      <c r="I19">
        <f>'Monthly Data'!EF19</f>
        <v>0</v>
      </c>
      <c r="K19" s="3">
        <f t="shared" si="0"/>
        <v>13824899.391279301</v>
      </c>
      <c r="L19" s="3">
        <f t="shared" ca="1" si="1"/>
        <v>24133.317707695824</v>
      </c>
      <c r="M19" s="3">
        <f t="shared" ca="1" si="2"/>
        <v>3047677.0066775945</v>
      </c>
      <c r="N19" s="3">
        <f t="shared" si="3"/>
        <v>12395015.912061</v>
      </c>
      <c r="O19" s="3">
        <f t="shared" si="4"/>
        <v>0</v>
      </c>
      <c r="P19" s="3">
        <f t="shared" si="5"/>
        <v>0</v>
      </c>
      <c r="Q19" s="47">
        <f t="shared" ca="1" si="8"/>
        <v>29291725.627725594</v>
      </c>
      <c r="R19" s="47">
        <f>'Monthly Data'!BR19</f>
        <v>389.7927692307693</v>
      </c>
      <c r="S19" s="47">
        <f>+'Monthly Data'!BS19</f>
        <v>0</v>
      </c>
      <c r="T19" s="47">
        <f t="shared" ca="1" si="7"/>
        <v>29292115.420494825</v>
      </c>
      <c r="X19" s="235"/>
      <c r="Z19" s="99"/>
    </row>
    <row r="20" spans="1:26">
      <c r="A20" s="2">
        <f>'Monthly Data'!A20</f>
        <v>42917</v>
      </c>
      <c r="B20">
        <f>'Monthly Data'!B20</f>
        <v>2017</v>
      </c>
      <c r="C20">
        <f>'Monthly Data'!C20</f>
        <v>7</v>
      </c>
      <c r="D20" s="3">
        <f>'Monthly Data'!BQ20</f>
        <v>27675271.090604164</v>
      </c>
      <c r="E20" s="3">
        <f t="shared" ref="E20:F20" ca="1" si="15">E8</f>
        <v>0</v>
      </c>
      <c r="F20" s="3">
        <f t="shared" ca="1" si="15"/>
        <v>304.72508692061177</v>
      </c>
      <c r="G20" s="3">
        <f>'Monthly Data'!DQ20</f>
        <v>31</v>
      </c>
      <c r="H20" s="3">
        <f>'Monthly Data'!EJ20</f>
        <v>0</v>
      </c>
      <c r="I20">
        <f>'Monthly Data'!EF20</f>
        <v>0</v>
      </c>
      <c r="K20" s="3">
        <f t="shared" si="0"/>
        <v>13824899.391279301</v>
      </c>
      <c r="L20" s="3">
        <f t="shared" ca="1" si="1"/>
        <v>0</v>
      </c>
      <c r="M20" s="3">
        <f t="shared" ca="1" si="2"/>
        <v>4589365.2040760377</v>
      </c>
      <c r="N20" s="3">
        <f t="shared" si="3"/>
        <v>12808183.109129699</v>
      </c>
      <c r="O20" s="3">
        <f t="shared" si="4"/>
        <v>0</v>
      </c>
      <c r="P20" s="3">
        <f t="shared" si="5"/>
        <v>0</v>
      </c>
      <c r="Q20" s="47">
        <f t="shared" ca="1" si="8"/>
        <v>31222447.704485036</v>
      </c>
      <c r="R20" s="47">
        <f>'Monthly Data'!BR20</f>
        <v>454.75823076923086</v>
      </c>
      <c r="S20" s="47">
        <f>+'Monthly Data'!BS20</f>
        <v>0</v>
      </c>
      <c r="T20" s="47">
        <f t="shared" ca="1" si="7"/>
        <v>31222902.462715805</v>
      </c>
      <c r="W20" t="s">
        <v>315</v>
      </c>
      <c r="X20" s="99"/>
      <c r="Z20" s="99"/>
    </row>
    <row r="21" spans="1:26">
      <c r="A21" s="2">
        <f>'Monthly Data'!A21</f>
        <v>42948</v>
      </c>
      <c r="B21">
        <f>'Monthly Data'!B21</f>
        <v>2017</v>
      </c>
      <c r="C21">
        <f>'Monthly Data'!C21</f>
        <v>8</v>
      </c>
      <c r="D21" s="3">
        <f>'Monthly Data'!BQ21</f>
        <v>28599413.156730805</v>
      </c>
      <c r="E21" s="3">
        <f t="shared" ref="E21:F21" ca="1" si="16">E9</f>
        <v>6.5416666666666859E-2</v>
      </c>
      <c r="F21" s="3">
        <f t="shared" ca="1" si="16"/>
        <v>275.96017127799735</v>
      </c>
      <c r="G21" s="3">
        <f>'Monthly Data'!DQ21</f>
        <v>31</v>
      </c>
      <c r="H21" s="3">
        <f>'Monthly Data'!EJ21</f>
        <v>0</v>
      </c>
      <c r="I21">
        <f>'Monthly Data'!EF21</f>
        <v>0</v>
      </c>
      <c r="K21" s="3">
        <f t="shared" si="0"/>
        <v>13824899.391279301</v>
      </c>
      <c r="L21" s="3">
        <f t="shared" ca="1" si="1"/>
        <v>504.65248802720515</v>
      </c>
      <c r="M21" s="3">
        <f t="shared" ca="1" si="2"/>
        <v>4156146.1859687767</v>
      </c>
      <c r="N21" s="3">
        <f t="shared" si="3"/>
        <v>12808183.109129699</v>
      </c>
      <c r="O21" s="3">
        <f t="shared" si="4"/>
        <v>0</v>
      </c>
      <c r="P21" s="3">
        <f t="shared" si="5"/>
        <v>0</v>
      </c>
      <c r="Q21" s="47">
        <f t="shared" ca="1" si="8"/>
        <v>30789733.338865802</v>
      </c>
      <c r="R21" s="47">
        <f>'Monthly Data'!BR21</f>
        <v>519.72369230769232</v>
      </c>
      <c r="S21" s="47">
        <f>+'Monthly Data'!BS21</f>
        <v>0</v>
      </c>
      <c r="T21" s="47">
        <f t="shared" ca="1" si="7"/>
        <v>30790253.062558111</v>
      </c>
      <c r="W21" t="s">
        <v>316</v>
      </c>
      <c r="X21">
        <v>29804777.142005902</v>
      </c>
      <c r="Y21" t="s">
        <v>317</v>
      </c>
      <c r="Z21">
        <v>1638834.2374380999</v>
      </c>
    </row>
    <row r="22" spans="1:26">
      <c r="A22" s="2">
        <f>'Monthly Data'!A22</f>
        <v>42979</v>
      </c>
      <c r="B22">
        <f>'Monthly Data'!B22</f>
        <v>2017</v>
      </c>
      <c r="C22">
        <f>'Monthly Data'!C22</f>
        <v>9</v>
      </c>
      <c r="D22" s="3">
        <f>'Monthly Data'!BQ22</f>
        <v>29212333.29070494</v>
      </c>
      <c r="E22" s="3">
        <f t="shared" ref="E22:F22" ca="1" si="17">E10</f>
        <v>10.085869565217392</v>
      </c>
      <c r="F22" s="3">
        <f t="shared" ca="1" si="17"/>
        <v>154.9849637681159</v>
      </c>
      <c r="G22" s="3">
        <f>'Monthly Data'!DQ22</f>
        <v>30</v>
      </c>
      <c r="H22" s="3">
        <f>'Monthly Data'!EJ22</f>
        <v>0</v>
      </c>
      <c r="I22">
        <f>'Monthly Data'!EF22</f>
        <v>1</v>
      </c>
      <c r="K22" s="3">
        <f t="shared" si="0"/>
        <v>13824899.391279301</v>
      </c>
      <c r="L22" s="3">
        <f t="shared" ca="1" si="1"/>
        <v>77806.764382239096</v>
      </c>
      <c r="M22" s="3">
        <f t="shared" ca="1" si="2"/>
        <v>2334178.0194739359</v>
      </c>
      <c r="N22" s="3">
        <f t="shared" si="3"/>
        <v>12395015.912061</v>
      </c>
      <c r="O22" s="3">
        <f t="shared" si="4"/>
        <v>0</v>
      </c>
      <c r="P22" s="3">
        <f t="shared" si="5"/>
        <v>0</v>
      </c>
      <c r="Q22" s="47">
        <f t="shared" ca="1" si="8"/>
        <v>28631900.087196477</v>
      </c>
      <c r="R22" s="47">
        <f>'Monthly Data'!BR22</f>
        <v>584.68915384615389</v>
      </c>
      <c r="S22" s="47">
        <f>+'Monthly Data'!BS22</f>
        <v>0</v>
      </c>
      <c r="T22" s="47">
        <f t="shared" ca="1" si="7"/>
        <v>28632484.776350323</v>
      </c>
    </row>
    <row r="23" spans="1:26">
      <c r="A23" s="2">
        <f>'Monthly Data'!A23</f>
        <v>43009</v>
      </c>
      <c r="B23">
        <f>'Monthly Data'!B23</f>
        <v>2017</v>
      </c>
      <c r="C23">
        <f>'Monthly Data'!C23</f>
        <v>10</v>
      </c>
      <c r="D23" s="3">
        <f>'Monthly Data'!BQ23</f>
        <v>27215513.618014403</v>
      </c>
      <c r="E23" s="3">
        <f t="shared" ref="E23:F23" ca="1" si="18">E11</f>
        <v>126.20389492753625</v>
      </c>
      <c r="F23" s="3">
        <f t="shared" ca="1" si="18"/>
        <v>38.347916666666663</v>
      </c>
      <c r="G23" s="3">
        <f>'Monthly Data'!DQ23</f>
        <v>31</v>
      </c>
      <c r="H23" s="3">
        <f>'Monthly Data'!EJ23</f>
        <v>0</v>
      </c>
      <c r="I23">
        <f>'Monthly Data'!EF23</f>
        <v>1</v>
      </c>
      <c r="K23" s="3">
        <f t="shared" si="0"/>
        <v>13824899.391279301</v>
      </c>
      <c r="L23" s="3">
        <f t="shared" ca="1" si="1"/>
        <v>973591.48393230501</v>
      </c>
      <c r="M23" s="3">
        <f t="shared" ca="1" si="2"/>
        <v>577545.47279744595</v>
      </c>
      <c r="N23" s="3">
        <f t="shared" si="3"/>
        <v>12808183.109129699</v>
      </c>
      <c r="O23" s="3">
        <f t="shared" si="4"/>
        <v>0</v>
      </c>
      <c r="P23" s="3">
        <f t="shared" si="5"/>
        <v>0</v>
      </c>
      <c r="Q23" s="47">
        <f t="shared" ca="1" si="8"/>
        <v>28184219.457138751</v>
      </c>
      <c r="R23" s="47">
        <f>'Monthly Data'!BR23</f>
        <v>649.65461538461545</v>
      </c>
      <c r="S23" s="47">
        <f>+'Monthly Data'!BS23</f>
        <v>0</v>
      </c>
      <c r="T23" s="47">
        <f t="shared" ca="1" si="7"/>
        <v>28184869.111754134</v>
      </c>
      <c r="X23" s="3"/>
      <c r="Z23" s="3"/>
    </row>
    <row r="24" spans="1:26">
      <c r="A24" s="2">
        <f>'Monthly Data'!A24</f>
        <v>43040</v>
      </c>
      <c r="B24">
        <f>'Monthly Data'!B24</f>
        <v>2017</v>
      </c>
      <c r="C24">
        <f>'Monthly Data'!C24</f>
        <v>11</v>
      </c>
      <c r="D24" s="3">
        <f>'Monthly Data'!BQ24</f>
        <v>28848071.770601567</v>
      </c>
      <c r="E24" s="3">
        <f t="shared" ref="E24:F24" ca="1" si="19">E12</f>
        <v>316.29533055712409</v>
      </c>
      <c r="F24" s="3">
        <f t="shared" ca="1" si="19"/>
        <v>1.9241666666666659</v>
      </c>
      <c r="G24" s="3">
        <f>'Monthly Data'!DQ24</f>
        <v>30</v>
      </c>
      <c r="H24" s="3">
        <f>'Monthly Data'!EJ24</f>
        <v>0</v>
      </c>
      <c r="I24">
        <f>'Monthly Data'!EF24</f>
        <v>1</v>
      </c>
      <c r="K24" s="3">
        <f t="shared" si="0"/>
        <v>13824899.391279301</v>
      </c>
      <c r="L24" s="3">
        <f t="shared" ca="1" si="1"/>
        <v>2440039.1161840432</v>
      </c>
      <c r="M24" s="3">
        <f t="shared" ca="1" si="2"/>
        <v>28979.246953643771</v>
      </c>
      <c r="N24" s="3">
        <f t="shared" si="3"/>
        <v>12395015.912061</v>
      </c>
      <c r="O24" s="3">
        <f t="shared" si="4"/>
        <v>0</v>
      </c>
      <c r="P24" s="3">
        <f t="shared" si="5"/>
        <v>0</v>
      </c>
      <c r="Q24" s="47">
        <f t="shared" ca="1" si="8"/>
        <v>28688933.666477986</v>
      </c>
      <c r="R24" s="47">
        <f>'Monthly Data'!BR24</f>
        <v>714.62007692307702</v>
      </c>
      <c r="S24" s="47">
        <f>+'Monthly Data'!BS24</f>
        <v>0</v>
      </c>
      <c r="T24" s="47">
        <f t="shared" ca="1" si="7"/>
        <v>28689648.28655491</v>
      </c>
    </row>
    <row r="25" spans="1:26">
      <c r="A25" s="2">
        <f>'Monthly Data'!A25</f>
        <v>43070</v>
      </c>
      <c r="B25">
        <f>'Monthly Data'!B25</f>
        <v>2017</v>
      </c>
      <c r="C25">
        <f>'Monthly Data'!C25</f>
        <v>12</v>
      </c>
      <c r="D25" s="3">
        <f>'Monthly Data'!BQ25</f>
        <v>29396179.953810159</v>
      </c>
      <c r="E25" s="3">
        <f t="shared" ref="E25:F25" ca="1" si="20">E13</f>
        <v>478.38541666666663</v>
      </c>
      <c r="F25" s="3">
        <f t="shared" ca="1" si="20"/>
        <v>0</v>
      </c>
      <c r="G25" s="3">
        <f>'Monthly Data'!DQ25</f>
        <v>31</v>
      </c>
      <c r="H25" s="3">
        <f>'Monthly Data'!EJ25</f>
        <v>0</v>
      </c>
      <c r="I25">
        <f>'Monthly Data'!EF25</f>
        <v>0</v>
      </c>
      <c r="K25" s="3">
        <f t="shared" si="0"/>
        <v>13824899.391279301</v>
      </c>
      <c r="L25" s="3">
        <f t="shared" ca="1" si="1"/>
        <v>3690472.2153900201</v>
      </c>
      <c r="M25" s="3">
        <f t="shared" ca="1" si="2"/>
        <v>0</v>
      </c>
      <c r="N25" s="3">
        <f t="shared" si="3"/>
        <v>12808183.109129699</v>
      </c>
      <c r="O25" s="3">
        <f t="shared" si="4"/>
        <v>0</v>
      </c>
      <c r="P25" s="3">
        <f t="shared" si="5"/>
        <v>0</v>
      </c>
      <c r="Q25" s="47">
        <f t="shared" ca="1" si="8"/>
        <v>30323554.715799019</v>
      </c>
      <c r="R25" s="47">
        <f>'Monthly Data'!BR25</f>
        <v>779.58553846153859</v>
      </c>
      <c r="S25" s="47">
        <f>+'Monthly Data'!BS25</f>
        <v>0</v>
      </c>
      <c r="T25" s="47">
        <f t="shared" ca="1" si="7"/>
        <v>30324334.301337481</v>
      </c>
    </row>
    <row r="26" spans="1:26">
      <c r="A26" s="2">
        <f>'Monthly Data'!A26</f>
        <v>43101</v>
      </c>
      <c r="B26">
        <f>'Monthly Data'!B26</f>
        <v>2018</v>
      </c>
      <c r="C26">
        <f>'Monthly Data'!C26</f>
        <v>1</v>
      </c>
      <c r="D26" s="3">
        <f>'Monthly Data'!BQ26</f>
        <v>32811608.305590458</v>
      </c>
      <c r="E26" s="3">
        <f t="shared" ref="E26:F26" ca="1" si="21">E14</f>
        <v>566.78750000000002</v>
      </c>
      <c r="F26" s="3">
        <f t="shared" ca="1" si="21"/>
        <v>0</v>
      </c>
      <c r="G26" s="3">
        <f>'Monthly Data'!DQ26</f>
        <v>31</v>
      </c>
      <c r="H26" s="3">
        <f>'Monthly Data'!EJ26</f>
        <v>0</v>
      </c>
      <c r="I26">
        <f>'Monthly Data'!EF26</f>
        <v>0</v>
      </c>
      <c r="K26" s="3">
        <f t="shared" si="0"/>
        <v>13824899.391279301</v>
      </c>
      <c r="L26" s="3">
        <f t="shared" ca="1" si="1"/>
        <v>4372444.1588441078</v>
      </c>
      <c r="M26" s="3">
        <f t="shared" ca="1" si="2"/>
        <v>0</v>
      </c>
      <c r="N26" s="3">
        <f t="shared" si="3"/>
        <v>12808183.109129699</v>
      </c>
      <c r="O26" s="3">
        <f t="shared" si="4"/>
        <v>0</v>
      </c>
      <c r="P26" s="3">
        <f t="shared" si="5"/>
        <v>0</v>
      </c>
      <c r="Q26" s="47">
        <f t="shared" ca="1" si="8"/>
        <v>31005526.659253106</v>
      </c>
      <c r="R26" s="47">
        <f>'Monthly Data'!BR26</f>
        <v>958.61573076923082</v>
      </c>
      <c r="S26" s="47">
        <f>+'Monthly Data'!BS26</f>
        <v>0</v>
      </c>
      <c r="T26" s="47">
        <f t="shared" ca="1" si="7"/>
        <v>31006485.274983875</v>
      </c>
    </row>
    <row r="27" spans="1:26">
      <c r="A27" s="2">
        <f>'Monthly Data'!A27</f>
        <v>43132</v>
      </c>
      <c r="B27">
        <f>'Monthly Data'!B27</f>
        <v>2018</v>
      </c>
      <c r="C27">
        <f>'Monthly Data'!C27</f>
        <v>2</v>
      </c>
      <c r="D27" s="3">
        <f>'Monthly Data'!BQ27</f>
        <v>28448522.450221829</v>
      </c>
      <c r="E27" s="3">
        <f t="shared" ref="E27:F27" ca="1" si="22">E15</f>
        <v>490.99541666666664</v>
      </c>
      <c r="F27" s="3">
        <f t="shared" ca="1" si="22"/>
        <v>0</v>
      </c>
      <c r="G27" s="3">
        <f>'Monthly Data'!DQ27</f>
        <v>28</v>
      </c>
      <c r="H27" s="3">
        <f>'Monthly Data'!EJ27</f>
        <v>0</v>
      </c>
      <c r="I27">
        <f>'Monthly Data'!EF27</f>
        <v>0</v>
      </c>
      <c r="K27" s="3">
        <f t="shared" si="0"/>
        <v>13824899.391279301</v>
      </c>
      <c r="L27" s="3">
        <f t="shared" ca="1" si="1"/>
        <v>3787751.2147381431</v>
      </c>
      <c r="M27" s="3">
        <f t="shared" ca="1" si="2"/>
        <v>0</v>
      </c>
      <c r="N27" s="3">
        <f t="shared" si="3"/>
        <v>11568681.517923599</v>
      </c>
      <c r="O27" s="3">
        <f t="shared" si="4"/>
        <v>0</v>
      </c>
      <c r="P27" s="3">
        <f t="shared" si="5"/>
        <v>0</v>
      </c>
      <c r="Q27" s="47">
        <f t="shared" ca="1" si="8"/>
        <v>29181332.123941042</v>
      </c>
      <c r="R27" s="47">
        <f>'Monthly Data'!BR27</f>
        <v>1072.6804615384615</v>
      </c>
      <c r="S27" s="47">
        <f>+'Monthly Data'!BS27</f>
        <v>0</v>
      </c>
      <c r="T27" s="47">
        <f t="shared" ca="1" si="7"/>
        <v>29182404.804402579</v>
      </c>
    </row>
    <row r="28" spans="1:26">
      <c r="A28" s="2">
        <f>'Monthly Data'!A28</f>
        <v>43160</v>
      </c>
      <c r="B28">
        <f>'Monthly Data'!B28</f>
        <v>2018</v>
      </c>
      <c r="C28">
        <f>'Monthly Data'!C28</f>
        <v>3</v>
      </c>
      <c r="D28" s="3">
        <f>'Monthly Data'!BQ28</f>
        <v>28693158.336072054</v>
      </c>
      <c r="E28" s="3">
        <f t="shared" ref="E28:F28" ca="1" si="23">E16</f>
        <v>410.21590579710147</v>
      </c>
      <c r="F28" s="3">
        <f t="shared" ca="1" si="23"/>
        <v>2.9583333333332896E-2</v>
      </c>
      <c r="G28" s="3">
        <f>'Monthly Data'!DQ28</f>
        <v>31</v>
      </c>
      <c r="H28" s="3">
        <f>'Monthly Data'!EJ28</f>
        <v>0</v>
      </c>
      <c r="I28">
        <f>'Monthly Data'!EF28</f>
        <v>0</v>
      </c>
      <c r="K28" s="3">
        <f t="shared" si="0"/>
        <v>13824899.391279301</v>
      </c>
      <c r="L28" s="3">
        <f t="shared" ca="1" si="1"/>
        <v>3164583.0953708063</v>
      </c>
      <c r="M28" s="3">
        <f t="shared" ca="1" si="2"/>
        <v>445.54494017078349</v>
      </c>
      <c r="N28" s="3">
        <f t="shared" si="3"/>
        <v>12808183.109129699</v>
      </c>
      <c r="O28" s="3">
        <f t="shared" si="4"/>
        <v>0</v>
      </c>
      <c r="P28" s="3">
        <f t="shared" si="5"/>
        <v>0</v>
      </c>
      <c r="Q28" s="47">
        <f t="shared" ca="1" si="8"/>
        <v>29798111.140719973</v>
      </c>
      <c r="R28" s="47">
        <f>'Monthly Data'!BR28</f>
        <v>1186.7451923076924</v>
      </c>
      <c r="S28" s="47">
        <f>+'Monthly Data'!BS28</f>
        <v>0</v>
      </c>
      <c r="T28" s="47">
        <f t="shared" ca="1" si="7"/>
        <v>29799297.885912281</v>
      </c>
    </row>
    <row r="29" spans="1:26">
      <c r="A29" s="2">
        <f>'Monthly Data'!A29</f>
        <v>43191</v>
      </c>
      <c r="B29">
        <f>'Monthly Data'!B29</f>
        <v>2018</v>
      </c>
      <c r="C29">
        <f>'Monthly Data'!C29</f>
        <v>4</v>
      </c>
      <c r="D29" s="3">
        <f>'Monthly Data'!BQ29</f>
        <v>27590400.876980819</v>
      </c>
      <c r="E29" s="3">
        <f t="shared" ref="E29:F29" ca="1" si="24">E17</f>
        <v>235.09104166666671</v>
      </c>
      <c r="F29" s="3">
        <f t="shared" ca="1" si="24"/>
        <v>6.0095833333333344</v>
      </c>
      <c r="G29" s="3">
        <f>'Monthly Data'!DQ29</f>
        <v>30</v>
      </c>
      <c r="H29" s="3">
        <f>'Monthly Data'!EJ29</f>
        <v>0</v>
      </c>
      <c r="I29">
        <f>'Monthly Data'!EF29</f>
        <v>0</v>
      </c>
      <c r="K29" s="3">
        <f t="shared" si="0"/>
        <v>13824899.391279301</v>
      </c>
      <c r="L29" s="3">
        <f t="shared" ca="1" si="1"/>
        <v>1813594.0752609991</v>
      </c>
      <c r="M29" s="3">
        <f t="shared" ca="1" si="2"/>
        <v>90508.375663145154</v>
      </c>
      <c r="N29" s="3">
        <f t="shared" si="3"/>
        <v>12395015.912061</v>
      </c>
      <c r="O29" s="3">
        <f t="shared" si="4"/>
        <v>0</v>
      </c>
      <c r="P29" s="3">
        <f t="shared" si="5"/>
        <v>0</v>
      </c>
      <c r="Q29" s="47">
        <f t="shared" ca="1" si="8"/>
        <v>28124017.754264444</v>
      </c>
      <c r="R29" s="47">
        <f>'Monthly Data'!BR29</f>
        <v>1300.809923076923</v>
      </c>
      <c r="S29" s="47">
        <f>+'Monthly Data'!BS29</f>
        <v>0</v>
      </c>
      <c r="T29" s="47">
        <f t="shared" ca="1" si="7"/>
        <v>28125318.564187519</v>
      </c>
    </row>
    <row r="30" spans="1:26">
      <c r="A30" s="2">
        <f>'Monthly Data'!A30</f>
        <v>43221</v>
      </c>
      <c r="B30">
        <f>'Monthly Data'!B30</f>
        <v>2018</v>
      </c>
      <c r="C30">
        <f>'Monthly Data'!C30</f>
        <v>5</v>
      </c>
      <c r="D30" s="3">
        <f>'Monthly Data'!BQ30</f>
        <v>27516810.807862565</v>
      </c>
      <c r="E30" s="3">
        <f t="shared" ref="E30:F30" ca="1" si="25">E18</f>
        <v>66.98488157894738</v>
      </c>
      <c r="F30" s="3">
        <f t="shared" ca="1" si="25"/>
        <v>81.50872474747473</v>
      </c>
      <c r="G30" s="3">
        <f>'Monthly Data'!DQ30</f>
        <v>31</v>
      </c>
      <c r="H30" s="3">
        <f>'Monthly Data'!EJ30</f>
        <v>0</v>
      </c>
      <c r="I30">
        <f>'Monthly Data'!EF30</f>
        <v>0</v>
      </c>
      <c r="K30" s="3">
        <f t="shared" si="0"/>
        <v>13824899.391279301</v>
      </c>
      <c r="L30" s="3">
        <f t="shared" ca="1" si="1"/>
        <v>516750.37680035766</v>
      </c>
      <c r="M30" s="3">
        <f t="shared" ca="1" si="2"/>
        <v>1227576.3343440345</v>
      </c>
      <c r="N30" s="3">
        <f t="shared" si="3"/>
        <v>12808183.109129699</v>
      </c>
      <c r="O30" s="3">
        <f t="shared" si="4"/>
        <v>0</v>
      </c>
      <c r="P30" s="3">
        <f t="shared" si="5"/>
        <v>0</v>
      </c>
      <c r="Q30" s="47">
        <f t="shared" ca="1" si="8"/>
        <v>28377409.211553395</v>
      </c>
      <c r="R30" s="47">
        <f>'Monthly Data'!BR30</f>
        <v>1414.8746538461537</v>
      </c>
      <c r="S30" s="47">
        <f>+'Monthly Data'!BS30</f>
        <v>0</v>
      </c>
      <c r="T30" s="47">
        <f t="shared" ca="1" si="7"/>
        <v>28378824.086207241</v>
      </c>
    </row>
    <row r="31" spans="1:26">
      <c r="A31" s="2">
        <f>'Monthly Data'!A31</f>
        <v>43252</v>
      </c>
      <c r="B31">
        <f>'Monthly Data'!B31</f>
        <v>2018</v>
      </c>
      <c r="C31">
        <f>'Monthly Data'!C31</f>
        <v>6</v>
      </c>
      <c r="D31" s="3">
        <f>'Monthly Data'!BQ31</f>
        <v>28125707.035952359</v>
      </c>
      <c r="E31" s="3">
        <f t="shared" ref="E31:F31" ca="1" si="26">E19</f>
        <v>3.128333333333333</v>
      </c>
      <c r="F31" s="3">
        <f t="shared" ca="1" si="26"/>
        <v>202.3599342107168</v>
      </c>
      <c r="G31" s="3">
        <f>'Monthly Data'!DQ31</f>
        <v>30</v>
      </c>
      <c r="H31" s="3">
        <f>'Monthly Data'!EJ31</f>
        <v>0</v>
      </c>
      <c r="I31">
        <f>'Monthly Data'!EF31</f>
        <v>0</v>
      </c>
      <c r="K31" s="3">
        <f t="shared" si="0"/>
        <v>13824899.391279301</v>
      </c>
      <c r="L31" s="3">
        <f t="shared" ca="1" si="1"/>
        <v>24133.317707695824</v>
      </c>
      <c r="M31" s="3">
        <f t="shared" ca="1" si="2"/>
        <v>3047677.0066775945</v>
      </c>
      <c r="N31" s="3">
        <f t="shared" si="3"/>
        <v>12395015.912061</v>
      </c>
      <c r="O31" s="3">
        <f t="shared" si="4"/>
        <v>0</v>
      </c>
      <c r="P31" s="3">
        <f t="shared" si="5"/>
        <v>0</v>
      </c>
      <c r="Q31" s="47">
        <f t="shared" ca="1" si="8"/>
        <v>29291725.627725594</v>
      </c>
      <c r="R31" s="47">
        <f>'Monthly Data'!BR31</f>
        <v>1528.9393846153846</v>
      </c>
      <c r="S31" s="47">
        <f>+'Monthly Data'!BS31</f>
        <v>0</v>
      </c>
      <c r="T31" s="47">
        <f t="shared" ca="1" si="7"/>
        <v>29293254.567110211</v>
      </c>
    </row>
    <row r="32" spans="1:26">
      <c r="A32" s="2">
        <f>'Monthly Data'!A32</f>
        <v>43282</v>
      </c>
      <c r="B32">
        <f>'Monthly Data'!B32</f>
        <v>2018</v>
      </c>
      <c r="C32">
        <f>'Monthly Data'!C32</f>
        <v>7</v>
      </c>
      <c r="D32" s="3">
        <f>'Monthly Data'!BQ32</f>
        <v>29630412.0229734</v>
      </c>
      <c r="E32" s="3">
        <f t="shared" ref="E32:F32" ca="1" si="27">E20</f>
        <v>0</v>
      </c>
      <c r="F32" s="3">
        <f t="shared" ca="1" si="27"/>
        <v>304.72508692061177</v>
      </c>
      <c r="G32" s="3">
        <f>'Monthly Data'!DQ32</f>
        <v>31</v>
      </c>
      <c r="H32" s="3">
        <f>'Monthly Data'!EJ32</f>
        <v>0</v>
      </c>
      <c r="I32">
        <f>'Monthly Data'!EF32</f>
        <v>0</v>
      </c>
      <c r="K32" s="3">
        <f t="shared" si="0"/>
        <v>13824899.391279301</v>
      </c>
      <c r="L32" s="3">
        <f t="shared" ca="1" si="1"/>
        <v>0</v>
      </c>
      <c r="M32" s="3">
        <f t="shared" ca="1" si="2"/>
        <v>4589365.2040760377</v>
      </c>
      <c r="N32" s="3">
        <f t="shared" si="3"/>
        <v>12808183.109129699</v>
      </c>
      <c r="O32" s="3">
        <f t="shared" si="4"/>
        <v>0</v>
      </c>
      <c r="P32" s="3">
        <f t="shared" si="5"/>
        <v>0</v>
      </c>
      <c r="Q32" s="47">
        <f t="shared" ca="1" si="8"/>
        <v>31222447.704485036</v>
      </c>
      <c r="R32" s="47">
        <f>'Monthly Data'!BR32</f>
        <v>1643.0041153846155</v>
      </c>
      <c r="S32" s="47">
        <f>+'Monthly Data'!BS32</f>
        <v>0</v>
      </c>
      <c r="T32" s="47">
        <f t="shared" ca="1" si="7"/>
        <v>31224090.708600421</v>
      </c>
    </row>
    <row r="33" spans="1:20">
      <c r="A33" s="2">
        <f>'Monthly Data'!A33</f>
        <v>43313</v>
      </c>
      <c r="B33">
        <f>'Monthly Data'!B33</f>
        <v>2018</v>
      </c>
      <c r="C33">
        <f>'Monthly Data'!C33</f>
        <v>8</v>
      </c>
      <c r="D33" s="3">
        <f>'Monthly Data'!BQ33</f>
        <v>30927685.411075201</v>
      </c>
      <c r="E33" s="3">
        <f t="shared" ref="E33:F33" ca="1" si="28">E21</f>
        <v>6.5416666666666859E-2</v>
      </c>
      <c r="F33" s="3">
        <f t="shared" ca="1" si="28"/>
        <v>275.96017127799735</v>
      </c>
      <c r="G33" s="3">
        <f>'Monthly Data'!DQ33</f>
        <v>31</v>
      </c>
      <c r="H33" s="3">
        <f>'Monthly Data'!EJ33</f>
        <v>0</v>
      </c>
      <c r="I33">
        <f>'Monthly Data'!EF33</f>
        <v>0</v>
      </c>
      <c r="K33" s="3">
        <f t="shared" si="0"/>
        <v>13824899.391279301</v>
      </c>
      <c r="L33" s="3">
        <f t="shared" ca="1" si="1"/>
        <v>504.65248802720515</v>
      </c>
      <c r="M33" s="3">
        <f t="shared" ca="1" si="2"/>
        <v>4156146.1859687767</v>
      </c>
      <c r="N33" s="3">
        <f t="shared" si="3"/>
        <v>12808183.109129699</v>
      </c>
      <c r="O33" s="3">
        <f t="shared" si="4"/>
        <v>0</v>
      </c>
      <c r="P33" s="3">
        <f t="shared" si="5"/>
        <v>0</v>
      </c>
      <c r="Q33" s="47">
        <f t="shared" ca="1" si="8"/>
        <v>30789733.338865802</v>
      </c>
      <c r="R33" s="47">
        <f>'Monthly Data'!BR33</f>
        <v>1757.0688461538462</v>
      </c>
      <c r="S33" s="47">
        <f>+'Monthly Data'!BS33</f>
        <v>0</v>
      </c>
      <c r="T33" s="47">
        <f t="shared" ca="1" si="7"/>
        <v>30791490.407711957</v>
      </c>
    </row>
    <row r="34" spans="1:20">
      <c r="A34" s="2">
        <f>'Monthly Data'!A34</f>
        <v>43344</v>
      </c>
      <c r="B34">
        <f>'Monthly Data'!B34</f>
        <v>2018</v>
      </c>
      <c r="C34">
        <f>'Monthly Data'!C34</f>
        <v>9</v>
      </c>
      <c r="D34" s="3">
        <f>'Monthly Data'!BQ34</f>
        <v>30565508.01562852</v>
      </c>
      <c r="E34" s="3">
        <f t="shared" ref="E34:F34" ca="1" si="29">E22</f>
        <v>10.085869565217392</v>
      </c>
      <c r="F34" s="3">
        <f t="shared" ca="1" si="29"/>
        <v>154.9849637681159</v>
      </c>
      <c r="G34" s="3">
        <f>'Monthly Data'!DQ34</f>
        <v>30</v>
      </c>
      <c r="H34" s="3">
        <f>'Monthly Data'!EJ34</f>
        <v>0</v>
      </c>
      <c r="I34">
        <f>'Monthly Data'!EF34</f>
        <v>1</v>
      </c>
      <c r="K34" s="3">
        <f t="shared" ref="K34:K65" si="30">$X$7</f>
        <v>13824899.391279301</v>
      </c>
      <c r="L34" s="3">
        <f t="shared" ref="L34:L65" ca="1" si="31">E34*$X$8</f>
        <v>77806.764382239096</v>
      </c>
      <c r="M34" s="3">
        <f t="shared" ref="M34:M65" ca="1" si="32">F34*$X$9</f>
        <v>2334178.0194739359</v>
      </c>
      <c r="N34" s="3">
        <f t="shared" ref="N34:N65" si="33">G34*$X$10</f>
        <v>12395015.912061</v>
      </c>
      <c r="O34" s="3">
        <f t="shared" ref="O34:O65" si="34">H34*$X$11</f>
        <v>0</v>
      </c>
      <c r="P34" s="3">
        <f t="shared" ref="P34:P65" si="35">I34*$X$12</f>
        <v>0</v>
      </c>
      <c r="Q34" s="47">
        <f t="shared" ca="1" si="8"/>
        <v>28631900.087196477</v>
      </c>
      <c r="R34" s="47">
        <f>'Monthly Data'!BR34</f>
        <v>1871.1335769230768</v>
      </c>
      <c r="S34" s="47">
        <f>+'Monthly Data'!BS34</f>
        <v>0</v>
      </c>
      <c r="T34" s="47">
        <f t="shared" ca="1" si="7"/>
        <v>28633771.220773399</v>
      </c>
    </row>
    <row r="35" spans="1:20">
      <c r="A35" s="2">
        <f>'Monthly Data'!A35</f>
        <v>43374</v>
      </c>
      <c r="B35">
        <f>'Monthly Data'!B35</f>
        <v>2018</v>
      </c>
      <c r="C35">
        <f>'Monthly Data'!C35</f>
        <v>10</v>
      </c>
      <c r="D35" s="3">
        <f>'Monthly Data'!BQ35</f>
        <v>28239750.328377575</v>
      </c>
      <c r="E35" s="3">
        <f t="shared" ref="E35:F35" ca="1" si="36">E23</f>
        <v>126.20389492753625</v>
      </c>
      <c r="F35" s="3">
        <f t="shared" ca="1" si="36"/>
        <v>38.347916666666663</v>
      </c>
      <c r="G35" s="3">
        <f>'Monthly Data'!DQ35</f>
        <v>31</v>
      </c>
      <c r="H35" s="3">
        <f>'Monthly Data'!EJ35</f>
        <v>0</v>
      </c>
      <c r="I35">
        <f>'Monthly Data'!EF35</f>
        <v>1</v>
      </c>
      <c r="K35" s="3">
        <f t="shared" si="30"/>
        <v>13824899.391279301</v>
      </c>
      <c r="L35" s="3">
        <f t="shared" ca="1" si="31"/>
        <v>973591.48393230501</v>
      </c>
      <c r="M35" s="3">
        <f t="shared" ca="1" si="32"/>
        <v>577545.47279744595</v>
      </c>
      <c r="N35" s="3">
        <f t="shared" si="33"/>
        <v>12808183.109129699</v>
      </c>
      <c r="O35" s="3">
        <f t="shared" si="34"/>
        <v>0</v>
      </c>
      <c r="P35" s="3">
        <f t="shared" si="35"/>
        <v>0</v>
      </c>
      <c r="Q35" s="47">
        <f t="shared" ca="1" si="8"/>
        <v>28184219.457138751</v>
      </c>
      <c r="R35" s="47">
        <f>'Monthly Data'!BR35</f>
        <v>1985.1983076923075</v>
      </c>
      <c r="S35" s="47">
        <f>+'Monthly Data'!BS35</f>
        <v>0</v>
      </c>
      <c r="T35" s="47">
        <f t="shared" ca="1" si="7"/>
        <v>28186204.655446444</v>
      </c>
    </row>
    <row r="36" spans="1:20">
      <c r="A36" s="2">
        <f>'Monthly Data'!A36</f>
        <v>43405</v>
      </c>
      <c r="B36">
        <f>'Monthly Data'!B36</f>
        <v>2018</v>
      </c>
      <c r="C36">
        <f>'Monthly Data'!C36</f>
        <v>11</v>
      </c>
      <c r="D36" s="3">
        <f>'Monthly Data'!BQ36</f>
        <v>28258256.201618973</v>
      </c>
      <c r="E36" s="3">
        <f t="shared" ref="E36:F36" ca="1" si="37">E24</f>
        <v>316.29533055712409</v>
      </c>
      <c r="F36" s="3">
        <f t="shared" ca="1" si="37"/>
        <v>1.9241666666666659</v>
      </c>
      <c r="G36" s="3">
        <f>'Monthly Data'!DQ36</f>
        <v>30</v>
      </c>
      <c r="H36" s="3">
        <f>'Monthly Data'!EJ36</f>
        <v>0</v>
      </c>
      <c r="I36">
        <f>'Monthly Data'!EF36</f>
        <v>1</v>
      </c>
      <c r="K36" s="3">
        <f t="shared" si="30"/>
        <v>13824899.391279301</v>
      </c>
      <c r="L36" s="3">
        <f t="shared" ca="1" si="31"/>
        <v>2440039.1161840432</v>
      </c>
      <c r="M36" s="3">
        <f t="shared" ca="1" si="32"/>
        <v>28979.246953643771</v>
      </c>
      <c r="N36" s="3">
        <f t="shared" si="33"/>
        <v>12395015.912061</v>
      </c>
      <c r="O36" s="3">
        <f t="shared" si="34"/>
        <v>0</v>
      </c>
      <c r="P36" s="3">
        <f t="shared" si="35"/>
        <v>0</v>
      </c>
      <c r="Q36" s="47">
        <f t="shared" ca="1" si="8"/>
        <v>28688933.666477986</v>
      </c>
      <c r="R36" s="47">
        <f>'Monthly Data'!BR36</f>
        <v>2099.2630384615386</v>
      </c>
      <c r="S36" s="47">
        <f>+'Monthly Data'!BS36</f>
        <v>0</v>
      </c>
      <c r="T36" s="47">
        <f t="shared" ca="1" si="7"/>
        <v>28691032.929516446</v>
      </c>
    </row>
    <row r="37" spans="1:20">
      <c r="A37" s="2">
        <f>'Monthly Data'!A37</f>
        <v>43435</v>
      </c>
      <c r="B37">
        <f>'Monthly Data'!B37</f>
        <v>2018</v>
      </c>
      <c r="C37">
        <f>'Monthly Data'!C37</f>
        <v>12</v>
      </c>
      <c r="D37" s="3">
        <f>'Monthly Data'!BQ37</f>
        <v>28639918.729318488</v>
      </c>
      <c r="E37" s="3">
        <f t="shared" ref="E37:F37" ca="1" si="38">E25</f>
        <v>478.38541666666663</v>
      </c>
      <c r="F37" s="3">
        <f t="shared" ca="1" si="38"/>
        <v>0</v>
      </c>
      <c r="G37" s="3">
        <f>'Monthly Data'!DQ37</f>
        <v>31</v>
      </c>
      <c r="H37" s="3">
        <f>'Monthly Data'!EJ37</f>
        <v>0</v>
      </c>
      <c r="I37">
        <f>'Monthly Data'!EF37</f>
        <v>0</v>
      </c>
      <c r="K37" s="3">
        <f t="shared" si="30"/>
        <v>13824899.391279301</v>
      </c>
      <c r="L37" s="3">
        <f t="shared" ca="1" si="31"/>
        <v>3690472.2153900201</v>
      </c>
      <c r="M37" s="3">
        <f t="shared" ca="1" si="32"/>
        <v>0</v>
      </c>
      <c r="N37" s="3">
        <f t="shared" si="33"/>
        <v>12808183.109129699</v>
      </c>
      <c r="O37" s="3">
        <f t="shared" si="34"/>
        <v>0</v>
      </c>
      <c r="P37" s="3">
        <f t="shared" si="35"/>
        <v>0</v>
      </c>
      <c r="Q37" s="47">
        <f t="shared" ca="1" si="8"/>
        <v>30323554.715799019</v>
      </c>
      <c r="R37" s="47">
        <f>'Monthly Data'!BR37</f>
        <v>2213.3277692307693</v>
      </c>
      <c r="S37" s="47">
        <f>+'Monthly Data'!BS37</f>
        <v>0</v>
      </c>
      <c r="T37" s="47">
        <f t="shared" ca="1" si="7"/>
        <v>30325768.04356825</v>
      </c>
    </row>
    <row r="38" spans="1:20">
      <c r="A38" s="2">
        <f>'Monthly Data'!A38</f>
        <v>43466</v>
      </c>
      <c r="B38">
        <f>'Monthly Data'!B38</f>
        <v>2019</v>
      </c>
      <c r="C38">
        <f>'Monthly Data'!C38</f>
        <v>1</v>
      </c>
      <c r="D38" s="3">
        <f>'Monthly Data'!BQ38</f>
        <v>30583890.625875287</v>
      </c>
      <c r="E38" s="3">
        <f t="shared" ref="E38:F38" ca="1" si="39">E26</f>
        <v>566.78750000000002</v>
      </c>
      <c r="F38" s="3">
        <f t="shared" ca="1" si="39"/>
        <v>0</v>
      </c>
      <c r="G38" s="3">
        <f>'Monthly Data'!DQ38</f>
        <v>31</v>
      </c>
      <c r="H38" s="3">
        <f>'Monthly Data'!EJ38</f>
        <v>0</v>
      </c>
      <c r="I38">
        <f>'Monthly Data'!EF38</f>
        <v>0</v>
      </c>
      <c r="K38" s="3">
        <f t="shared" si="30"/>
        <v>13824899.391279301</v>
      </c>
      <c r="L38" s="3">
        <f t="shared" ca="1" si="31"/>
        <v>4372444.1588441078</v>
      </c>
      <c r="M38" s="3">
        <f t="shared" ca="1" si="32"/>
        <v>0</v>
      </c>
      <c r="N38" s="3">
        <f t="shared" si="33"/>
        <v>12808183.109129699</v>
      </c>
      <c r="O38" s="3">
        <f t="shared" si="34"/>
        <v>0</v>
      </c>
      <c r="P38" s="3">
        <f t="shared" si="35"/>
        <v>0</v>
      </c>
      <c r="Q38" s="47">
        <f t="shared" ca="1" si="8"/>
        <v>31005526.659253106</v>
      </c>
      <c r="R38" s="47">
        <f>'Monthly Data'!BR38</f>
        <v>2406.8221153846152</v>
      </c>
      <c r="S38" s="47">
        <f ca="1">+'Monthly Data'!BS38</f>
        <v>6424.4059827851679</v>
      </c>
      <c r="T38" s="47">
        <f t="shared" ca="1" si="7"/>
        <v>31014357.887351274</v>
      </c>
    </row>
    <row r="39" spans="1:20">
      <c r="A39" s="2">
        <f>'Monthly Data'!A39</f>
        <v>43497</v>
      </c>
      <c r="B39">
        <f>'Monthly Data'!B39</f>
        <v>2019</v>
      </c>
      <c r="C39">
        <f>'Monthly Data'!C39</f>
        <v>2</v>
      </c>
      <c r="D39" s="3">
        <f>'Monthly Data'!BQ39</f>
        <v>29919475.508018777</v>
      </c>
      <c r="E39" s="3">
        <f t="shared" ref="E39:F39" ca="1" si="40">E27</f>
        <v>490.99541666666664</v>
      </c>
      <c r="F39" s="3">
        <f t="shared" ca="1" si="40"/>
        <v>0</v>
      </c>
      <c r="G39" s="3">
        <f>'Monthly Data'!DQ39</f>
        <v>28</v>
      </c>
      <c r="H39" s="3">
        <f>'Monthly Data'!EJ39</f>
        <v>0</v>
      </c>
      <c r="I39">
        <f>'Monthly Data'!EF39</f>
        <v>0</v>
      </c>
      <c r="K39" s="3">
        <f t="shared" si="30"/>
        <v>13824899.391279301</v>
      </c>
      <c r="L39" s="3">
        <f t="shared" ca="1" si="31"/>
        <v>3787751.2147381431</v>
      </c>
      <c r="M39" s="3">
        <f t="shared" ca="1" si="32"/>
        <v>0</v>
      </c>
      <c r="N39" s="3">
        <f t="shared" si="33"/>
        <v>11568681.517923599</v>
      </c>
      <c r="O39" s="3">
        <f t="shared" si="34"/>
        <v>0</v>
      </c>
      <c r="P39" s="3">
        <f t="shared" si="35"/>
        <v>0</v>
      </c>
      <c r="Q39" s="47">
        <f t="shared" ca="1" si="8"/>
        <v>29181332.123941042</v>
      </c>
      <c r="R39" s="47">
        <f>'Monthly Data'!BR39</f>
        <v>2486.2517307692306</v>
      </c>
      <c r="S39" s="47">
        <f ca="1">+'Monthly Data'!BS39</f>
        <v>5266.0263866392215</v>
      </c>
      <c r="T39" s="47">
        <f t="shared" ca="1" si="7"/>
        <v>29189084.402058452</v>
      </c>
    </row>
    <row r="40" spans="1:20">
      <c r="A40" s="2">
        <f>'Monthly Data'!A40</f>
        <v>43525</v>
      </c>
      <c r="B40">
        <f>'Monthly Data'!B40</f>
        <v>2019</v>
      </c>
      <c r="C40">
        <f>'Monthly Data'!C40</f>
        <v>3</v>
      </c>
      <c r="D40" s="3">
        <f>'Monthly Data'!BQ40</f>
        <v>29177700.980975837</v>
      </c>
      <c r="E40" s="3">
        <f t="shared" ref="E40:F40" ca="1" si="41">E28</f>
        <v>410.21590579710147</v>
      </c>
      <c r="F40" s="3">
        <f t="shared" ca="1" si="41"/>
        <v>2.9583333333332896E-2</v>
      </c>
      <c r="G40" s="3">
        <f>'Monthly Data'!DQ40</f>
        <v>31</v>
      </c>
      <c r="H40" s="3">
        <f>'Monthly Data'!EJ40</f>
        <v>0</v>
      </c>
      <c r="I40">
        <f>'Monthly Data'!EF40</f>
        <v>0</v>
      </c>
      <c r="K40" s="3">
        <f t="shared" si="30"/>
        <v>13824899.391279301</v>
      </c>
      <c r="L40" s="3">
        <f t="shared" ca="1" si="31"/>
        <v>3164583.0953708063</v>
      </c>
      <c r="M40" s="3">
        <f t="shared" ca="1" si="32"/>
        <v>445.54494017078349</v>
      </c>
      <c r="N40" s="3">
        <f t="shared" si="33"/>
        <v>12808183.109129699</v>
      </c>
      <c r="O40" s="3">
        <f t="shared" si="34"/>
        <v>0</v>
      </c>
      <c r="P40" s="3">
        <f t="shared" si="35"/>
        <v>0</v>
      </c>
      <c r="Q40" s="47">
        <f t="shared" ca="1" si="8"/>
        <v>29798111.140719973</v>
      </c>
      <c r="R40" s="47">
        <f>'Monthly Data'!BR40</f>
        <v>2565.6813461538463</v>
      </c>
      <c r="S40" s="47">
        <f ca="1">+'Monthly Data'!BS40</f>
        <v>5036.6568615572023</v>
      </c>
      <c r="T40" s="47">
        <f t="shared" ca="1" si="7"/>
        <v>29805713.478927687</v>
      </c>
    </row>
    <row r="41" spans="1:20">
      <c r="A41" s="2">
        <f>'Monthly Data'!A41</f>
        <v>43556</v>
      </c>
      <c r="B41">
        <f>'Monthly Data'!B41</f>
        <v>2019</v>
      </c>
      <c r="C41">
        <f>'Monthly Data'!C41</f>
        <v>4</v>
      </c>
      <c r="D41" s="3">
        <f>'Monthly Data'!BQ41</f>
        <v>27823303.88053152</v>
      </c>
      <c r="E41" s="3">
        <f t="shared" ref="E41:F41" ca="1" si="42">E29</f>
        <v>235.09104166666671</v>
      </c>
      <c r="F41" s="3">
        <f t="shared" ca="1" si="42"/>
        <v>6.0095833333333344</v>
      </c>
      <c r="G41" s="3">
        <f>'Monthly Data'!DQ41</f>
        <v>30</v>
      </c>
      <c r="H41" s="3">
        <f>'Monthly Data'!EJ41</f>
        <v>0</v>
      </c>
      <c r="I41">
        <f>'Monthly Data'!EF41</f>
        <v>0</v>
      </c>
      <c r="K41" s="3">
        <f t="shared" si="30"/>
        <v>13824899.391279301</v>
      </c>
      <c r="L41" s="3">
        <f t="shared" ca="1" si="31"/>
        <v>1813594.0752609991</v>
      </c>
      <c r="M41" s="3">
        <f t="shared" ca="1" si="32"/>
        <v>90508.375663145154</v>
      </c>
      <c r="N41" s="3">
        <f t="shared" si="33"/>
        <v>12395015.912061</v>
      </c>
      <c r="O41" s="3">
        <f t="shared" si="34"/>
        <v>0</v>
      </c>
      <c r="P41" s="3">
        <f t="shared" si="35"/>
        <v>0</v>
      </c>
      <c r="Q41" s="47">
        <f t="shared" ca="1" si="8"/>
        <v>28124017.754264444</v>
      </c>
      <c r="R41" s="47">
        <f>'Monthly Data'!BR41</f>
        <v>2645.1109615384617</v>
      </c>
      <c r="S41" s="47">
        <f ca="1">+'Monthly Data'!BS41</f>
        <v>3020.1750858361092</v>
      </c>
      <c r="T41" s="47">
        <f t="shared" ca="1" si="7"/>
        <v>28129683.040311817</v>
      </c>
    </row>
    <row r="42" spans="1:20">
      <c r="A42" s="2">
        <f>'Monthly Data'!A42</f>
        <v>43586</v>
      </c>
      <c r="B42">
        <f>'Monthly Data'!B42</f>
        <v>2019</v>
      </c>
      <c r="C42">
        <f>'Monthly Data'!C42</f>
        <v>5</v>
      </c>
      <c r="D42" s="3">
        <f>'Monthly Data'!BQ42</f>
        <v>26769079.143941894</v>
      </c>
      <c r="E42" s="3">
        <f t="shared" ref="E42:F42" ca="1" si="43">E30</f>
        <v>66.98488157894738</v>
      </c>
      <c r="F42" s="3">
        <f t="shared" ca="1" si="43"/>
        <v>81.50872474747473</v>
      </c>
      <c r="G42" s="3">
        <f>'Monthly Data'!DQ42</f>
        <v>31</v>
      </c>
      <c r="H42" s="3">
        <f>'Monthly Data'!EJ42</f>
        <v>0</v>
      </c>
      <c r="I42">
        <f>'Monthly Data'!EF42</f>
        <v>0</v>
      </c>
      <c r="K42" s="3">
        <f t="shared" si="30"/>
        <v>13824899.391279301</v>
      </c>
      <c r="L42" s="3">
        <f t="shared" ca="1" si="31"/>
        <v>516750.37680035766</v>
      </c>
      <c r="M42" s="3">
        <f t="shared" ca="1" si="32"/>
        <v>1227576.3343440345</v>
      </c>
      <c r="N42" s="3">
        <f t="shared" si="33"/>
        <v>12808183.109129699</v>
      </c>
      <c r="O42" s="3">
        <f t="shared" si="34"/>
        <v>0</v>
      </c>
      <c r="P42" s="3">
        <f t="shared" si="35"/>
        <v>0</v>
      </c>
      <c r="Q42" s="47">
        <f t="shared" ref="Q42:Q73" ca="1" si="44">SUM(K42:P42)</f>
        <v>28377409.211553395</v>
      </c>
      <c r="R42" s="47">
        <f>'Monthly Data'!BR42</f>
        <v>2724.540576923077</v>
      </c>
      <c r="S42" s="47">
        <f ca="1">+'Monthly Data'!BS42</f>
        <v>1693.0139706310938</v>
      </c>
      <c r="T42" s="47">
        <f t="shared" ref="T42:T105" ca="1" si="45">Q42+R42+S42</f>
        <v>28381826.766100951</v>
      </c>
    </row>
    <row r="43" spans="1:20">
      <c r="A43" s="2">
        <f>'Monthly Data'!A43</f>
        <v>43617</v>
      </c>
      <c r="B43">
        <f>'Monthly Data'!B43</f>
        <v>2019</v>
      </c>
      <c r="C43">
        <f>'Monthly Data'!C43</f>
        <v>6</v>
      </c>
      <c r="D43" s="3">
        <f>'Monthly Data'!BQ43</f>
        <v>27247207.646619752</v>
      </c>
      <c r="E43" s="3">
        <f t="shared" ref="E43:F43" ca="1" si="46">E31</f>
        <v>3.128333333333333</v>
      </c>
      <c r="F43" s="3">
        <f t="shared" ca="1" si="46"/>
        <v>202.3599342107168</v>
      </c>
      <c r="G43" s="3">
        <f>'Monthly Data'!DQ43</f>
        <v>30</v>
      </c>
      <c r="H43" s="3">
        <f>'Monthly Data'!EJ43</f>
        <v>0</v>
      </c>
      <c r="I43">
        <f>'Monthly Data'!EF43</f>
        <v>0</v>
      </c>
      <c r="K43" s="3">
        <f t="shared" si="30"/>
        <v>13824899.391279301</v>
      </c>
      <c r="L43" s="3">
        <f t="shared" ca="1" si="31"/>
        <v>24133.317707695824</v>
      </c>
      <c r="M43" s="3">
        <f t="shared" ca="1" si="32"/>
        <v>3047677.0066775945</v>
      </c>
      <c r="N43" s="3">
        <f t="shared" si="33"/>
        <v>12395015.912061</v>
      </c>
      <c r="O43" s="3">
        <f t="shared" si="34"/>
        <v>0</v>
      </c>
      <c r="P43" s="3">
        <f t="shared" si="35"/>
        <v>0</v>
      </c>
      <c r="Q43" s="47">
        <f t="shared" ca="1" si="44"/>
        <v>29291725.627725594</v>
      </c>
      <c r="R43" s="47">
        <f>'Monthly Data'!BR43</f>
        <v>2803.9701923076923</v>
      </c>
      <c r="S43" s="47">
        <f ca="1">+'Monthly Data'!BS43</f>
        <v>379.90292879438965</v>
      </c>
      <c r="T43" s="47">
        <f t="shared" ca="1" si="45"/>
        <v>29294909.500846699</v>
      </c>
    </row>
    <row r="44" spans="1:20">
      <c r="A44" s="2">
        <f>'Monthly Data'!A44</f>
        <v>43647</v>
      </c>
      <c r="B44">
        <f>'Monthly Data'!B44</f>
        <v>2019</v>
      </c>
      <c r="C44">
        <f>'Monthly Data'!C44</f>
        <v>7</v>
      </c>
      <c r="D44" s="3">
        <f>'Monthly Data'!BQ44</f>
        <v>30235453.019907042</v>
      </c>
      <c r="E44" s="3">
        <f t="shared" ref="E44:F44" ca="1" si="47">E32</f>
        <v>0</v>
      </c>
      <c r="F44" s="3">
        <f t="shared" ca="1" si="47"/>
        <v>304.72508692061177</v>
      </c>
      <c r="G44" s="3">
        <f>'Monthly Data'!DQ44</f>
        <v>31</v>
      </c>
      <c r="H44" s="3">
        <f>'Monthly Data'!EJ44</f>
        <v>0</v>
      </c>
      <c r="I44">
        <f>'Monthly Data'!EF44</f>
        <v>0</v>
      </c>
      <c r="K44" s="3">
        <f t="shared" si="30"/>
        <v>13824899.391279301</v>
      </c>
      <c r="L44" s="3">
        <f t="shared" ca="1" si="31"/>
        <v>0</v>
      </c>
      <c r="M44" s="3">
        <f t="shared" ca="1" si="32"/>
        <v>4589365.2040760377</v>
      </c>
      <c r="N44" s="3">
        <f t="shared" si="33"/>
        <v>12808183.109129699</v>
      </c>
      <c r="O44" s="3">
        <f t="shared" si="34"/>
        <v>0</v>
      </c>
      <c r="P44" s="3">
        <f t="shared" si="35"/>
        <v>0</v>
      </c>
      <c r="Q44" s="47">
        <f t="shared" ca="1" si="44"/>
        <v>31222447.704485036</v>
      </c>
      <c r="R44" s="47">
        <f>'Monthly Data'!BR44</f>
        <v>2883.3998076923081</v>
      </c>
      <c r="S44" s="47">
        <f ca="1">+'Monthly Data'!BS44</f>
        <v>0</v>
      </c>
      <c r="T44" s="47">
        <f t="shared" ca="1" si="45"/>
        <v>31225331.104292728</v>
      </c>
    </row>
    <row r="45" spans="1:20">
      <c r="A45" s="2">
        <f>'Monthly Data'!A45</f>
        <v>43678</v>
      </c>
      <c r="B45">
        <f>'Monthly Data'!B45</f>
        <v>2019</v>
      </c>
      <c r="C45">
        <f>'Monthly Data'!C45</f>
        <v>8</v>
      </c>
      <c r="D45" s="3">
        <f>'Monthly Data'!BQ45</f>
        <v>30625745.192353752</v>
      </c>
      <c r="E45" s="3">
        <f t="shared" ref="E45:F45" ca="1" si="48">E33</f>
        <v>6.5416666666666859E-2</v>
      </c>
      <c r="F45" s="3">
        <f t="shared" ca="1" si="48"/>
        <v>275.96017127799735</v>
      </c>
      <c r="G45" s="3">
        <f>'Monthly Data'!DQ45</f>
        <v>31</v>
      </c>
      <c r="H45" s="3">
        <f>'Monthly Data'!EJ45</f>
        <v>0</v>
      </c>
      <c r="I45">
        <f>'Monthly Data'!EF45</f>
        <v>0</v>
      </c>
      <c r="K45" s="3">
        <f t="shared" si="30"/>
        <v>13824899.391279301</v>
      </c>
      <c r="L45" s="3">
        <f t="shared" ca="1" si="31"/>
        <v>504.65248802720515</v>
      </c>
      <c r="M45" s="3">
        <f t="shared" ca="1" si="32"/>
        <v>4156146.1859687767</v>
      </c>
      <c r="N45" s="3">
        <f t="shared" si="33"/>
        <v>12808183.109129699</v>
      </c>
      <c r="O45" s="3">
        <f t="shared" si="34"/>
        <v>0</v>
      </c>
      <c r="P45" s="3">
        <f t="shared" si="35"/>
        <v>0</v>
      </c>
      <c r="Q45" s="47">
        <f t="shared" ca="1" si="44"/>
        <v>30789733.338865802</v>
      </c>
      <c r="R45" s="47">
        <f>'Monthly Data'!BR45</f>
        <v>2962.8294230769234</v>
      </c>
      <c r="S45" s="47">
        <f ca="1">+'Monthly Data'!BS45</f>
        <v>38.268295745391953</v>
      </c>
      <c r="T45" s="47">
        <f t="shared" ca="1" si="45"/>
        <v>30792734.436584625</v>
      </c>
    </row>
    <row r="46" spans="1:20">
      <c r="A46" s="2">
        <f>'Monthly Data'!A46</f>
        <v>43709</v>
      </c>
      <c r="B46">
        <f>'Monthly Data'!B46</f>
        <v>2019</v>
      </c>
      <c r="C46">
        <f>'Monthly Data'!C46</f>
        <v>9</v>
      </c>
      <c r="D46" s="3">
        <f>'Monthly Data'!BQ46</f>
        <v>28006360.511002794</v>
      </c>
      <c r="E46" s="3">
        <f t="shared" ref="E46:F46" ca="1" si="49">E34</f>
        <v>10.085869565217392</v>
      </c>
      <c r="F46" s="3">
        <f t="shared" ca="1" si="49"/>
        <v>154.9849637681159</v>
      </c>
      <c r="G46" s="3">
        <f>'Monthly Data'!DQ46</f>
        <v>30</v>
      </c>
      <c r="H46" s="3">
        <f>'Monthly Data'!EJ46</f>
        <v>0</v>
      </c>
      <c r="I46">
        <f>'Monthly Data'!EF46</f>
        <v>1</v>
      </c>
      <c r="K46" s="3">
        <f t="shared" si="30"/>
        <v>13824899.391279301</v>
      </c>
      <c r="L46" s="3">
        <f t="shared" ca="1" si="31"/>
        <v>77806.764382239096</v>
      </c>
      <c r="M46" s="3">
        <f t="shared" ca="1" si="32"/>
        <v>2334178.0194739359</v>
      </c>
      <c r="N46" s="3">
        <f t="shared" si="33"/>
        <v>12395015.912061</v>
      </c>
      <c r="O46" s="3">
        <f t="shared" si="34"/>
        <v>0</v>
      </c>
      <c r="P46" s="3">
        <f t="shared" si="35"/>
        <v>0</v>
      </c>
      <c r="Q46" s="47">
        <f t="shared" ca="1" si="44"/>
        <v>28631900.087196477</v>
      </c>
      <c r="R46" s="47">
        <f>'Monthly Data'!BR46</f>
        <v>3042.2590384615387</v>
      </c>
      <c r="S46" s="47">
        <f ca="1">+'Monthly Data'!BS46</f>
        <v>511.14773859742002</v>
      </c>
      <c r="T46" s="47">
        <f t="shared" ca="1" si="45"/>
        <v>28635453.493973538</v>
      </c>
    </row>
    <row r="47" spans="1:20">
      <c r="A47" s="2">
        <f>'Monthly Data'!A47</f>
        <v>43739</v>
      </c>
      <c r="B47">
        <f>'Monthly Data'!B47</f>
        <v>2019</v>
      </c>
      <c r="C47">
        <f>'Monthly Data'!C47</f>
        <v>10</v>
      </c>
      <c r="D47" s="3">
        <f>'Monthly Data'!BQ47</f>
        <v>27168041.974353127</v>
      </c>
      <c r="E47" s="3">
        <f t="shared" ref="E47:F47" ca="1" si="50">E35</f>
        <v>126.20389492753625</v>
      </c>
      <c r="F47" s="3">
        <f t="shared" ca="1" si="50"/>
        <v>38.347916666666663</v>
      </c>
      <c r="G47" s="3">
        <f>'Monthly Data'!DQ47</f>
        <v>31</v>
      </c>
      <c r="H47" s="3">
        <f>'Monthly Data'!EJ47</f>
        <v>0</v>
      </c>
      <c r="I47">
        <f>'Monthly Data'!EF47</f>
        <v>1</v>
      </c>
      <c r="K47" s="3">
        <f t="shared" si="30"/>
        <v>13824899.391279301</v>
      </c>
      <c r="L47" s="3">
        <f t="shared" ca="1" si="31"/>
        <v>973591.48393230501</v>
      </c>
      <c r="M47" s="3">
        <f t="shared" ca="1" si="32"/>
        <v>577545.47279744595</v>
      </c>
      <c r="N47" s="3">
        <f t="shared" si="33"/>
        <v>12808183.109129699</v>
      </c>
      <c r="O47" s="3">
        <f t="shared" si="34"/>
        <v>0</v>
      </c>
      <c r="P47" s="3">
        <f t="shared" si="35"/>
        <v>0</v>
      </c>
      <c r="Q47" s="47">
        <f t="shared" ca="1" si="44"/>
        <v>28184219.457138751</v>
      </c>
      <c r="R47" s="47">
        <f>'Monthly Data'!BR47</f>
        <v>3121.688653846154</v>
      </c>
      <c r="S47" s="47">
        <f ca="1">+'Monthly Data'!BS47</f>
        <v>2008.0387257180728</v>
      </c>
      <c r="T47" s="47">
        <f t="shared" ca="1" si="45"/>
        <v>28189349.184518315</v>
      </c>
    </row>
    <row r="48" spans="1:20">
      <c r="A48" s="2">
        <f>'Monthly Data'!A48</f>
        <v>43770</v>
      </c>
      <c r="B48">
        <f>'Monthly Data'!B48</f>
        <v>2019</v>
      </c>
      <c r="C48">
        <f>'Monthly Data'!C48</f>
        <v>11</v>
      </c>
      <c r="D48" s="3">
        <f>'Monthly Data'!BQ48</f>
        <v>28167253.96187038</v>
      </c>
      <c r="E48" s="3">
        <f t="shared" ref="E48:F48" ca="1" si="51">E36</f>
        <v>316.29533055712409</v>
      </c>
      <c r="F48" s="3">
        <f t="shared" ca="1" si="51"/>
        <v>1.9241666666666659</v>
      </c>
      <c r="G48" s="3">
        <f>'Monthly Data'!DQ48</f>
        <v>30</v>
      </c>
      <c r="H48" s="3">
        <f>'Monthly Data'!EJ48</f>
        <v>0</v>
      </c>
      <c r="I48">
        <f>'Monthly Data'!EF48</f>
        <v>1</v>
      </c>
      <c r="K48" s="3">
        <f t="shared" si="30"/>
        <v>13824899.391279301</v>
      </c>
      <c r="L48" s="3">
        <f t="shared" ca="1" si="31"/>
        <v>2440039.1161840432</v>
      </c>
      <c r="M48" s="3">
        <f t="shared" ca="1" si="32"/>
        <v>28979.246953643771</v>
      </c>
      <c r="N48" s="3">
        <f t="shared" si="33"/>
        <v>12395015.912061</v>
      </c>
      <c r="O48" s="3">
        <f t="shared" si="34"/>
        <v>0</v>
      </c>
      <c r="P48" s="3">
        <f t="shared" si="35"/>
        <v>0</v>
      </c>
      <c r="Q48" s="47">
        <f t="shared" ca="1" si="44"/>
        <v>28688933.666477986</v>
      </c>
      <c r="R48" s="47">
        <f>'Monthly Data'!BR48</f>
        <v>3201.1182692307693</v>
      </c>
      <c r="S48" s="47">
        <f ca="1">+'Monthly Data'!BS48</f>
        <v>4363.4094271701078</v>
      </c>
      <c r="T48" s="47">
        <f t="shared" ca="1" si="45"/>
        <v>28696498.194174387</v>
      </c>
    </row>
    <row r="49" spans="1:20">
      <c r="A49" s="2">
        <f>'Monthly Data'!A49</f>
        <v>43800</v>
      </c>
      <c r="B49">
        <f>'Monthly Data'!B49</f>
        <v>2019</v>
      </c>
      <c r="C49">
        <f>'Monthly Data'!C49</f>
        <v>12</v>
      </c>
      <c r="D49" s="3">
        <f>'Monthly Data'!BQ49</f>
        <v>29039341.006727766</v>
      </c>
      <c r="E49" s="3">
        <f t="shared" ref="E49:F49" ca="1" si="52">E37</f>
        <v>478.38541666666663</v>
      </c>
      <c r="F49" s="3">
        <f t="shared" ca="1" si="52"/>
        <v>0</v>
      </c>
      <c r="G49" s="3">
        <f>'Monthly Data'!DQ49</f>
        <v>31</v>
      </c>
      <c r="H49" s="3">
        <f>'Monthly Data'!EJ49</f>
        <v>0</v>
      </c>
      <c r="I49">
        <f>'Monthly Data'!EF49</f>
        <v>0</v>
      </c>
      <c r="K49" s="3">
        <f t="shared" si="30"/>
        <v>13824899.391279301</v>
      </c>
      <c r="L49" s="3">
        <f t="shared" ca="1" si="31"/>
        <v>3690472.2153900201</v>
      </c>
      <c r="M49" s="3">
        <f t="shared" ca="1" si="32"/>
        <v>0</v>
      </c>
      <c r="N49" s="3">
        <f t="shared" si="33"/>
        <v>12808183.109129699</v>
      </c>
      <c r="O49" s="3">
        <f t="shared" si="34"/>
        <v>0</v>
      </c>
      <c r="P49" s="3">
        <f t="shared" si="35"/>
        <v>0</v>
      </c>
      <c r="Q49" s="47">
        <f t="shared" ca="1" si="44"/>
        <v>30323554.715799019</v>
      </c>
      <c r="R49" s="47">
        <f>'Monthly Data'!BR49</f>
        <v>3280.5478846153846</v>
      </c>
      <c r="S49" s="47">
        <f ca="1">+'Monthly Data'!BS49</f>
        <v>5061.1279780293671</v>
      </c>
      <c r="T49" s="47">
        <f t="shared" ca="1" si="45"/>
        <v>30331896.391661666</v>
      </c>
    </row>
    <row r="50" spans="1:20">
      <c r="A50" s="2">
        <f>'Monthly Data'!A50</f>
        <v>43831</v>
      </c>
      <c r="B50">
        <f>'Monthly Data'!B50</f>
        <v>2020</v>
      </c>
      <c r="C50">
        <f>'Monthly Data'!C50</f>
        <v>1</v>
      </c>
      <c r="D50" s="3">
        <f>'Monthly Data'!BQ50</f>
        <v>30668364.111504901</v>
      </c>
      <c r="E50" s="3">
        <f t="shared" ref="E50:F50" ca="1" si="53">E38</f>
        <v>566.78750000000002</v>
      </c>
      <c r="F50" s="3">
        <f t="shared" ca="1" si="53"/>
        <v>0</v>
      </c>
      <c r="G50" s="3">
        <f>'Monthly Data'!DQ50</f>
        <v>31</v>
      </c>
      <c r="H50" s="3">
        <f>'Monthly Data'!EJ50</f>
        <v>0</v>
      </c>
      <c r="I50">
        <f>'Monthly Data'!EF50</f>
        <v>0</v>
      </c>
      <c r="K50" s="3">
        <f t="shared" si="30"/>
        <v>13824899.391279301</v>
      </c>
      <c r="L50" s="3">
        <f t="shared" ca="1" si="31"/>
        <v>4372444.1588441078</v>
      </c>
      <c r="M50" s="3">
        <f t="shared" ca="1" si="32"/>
        <v>0</v>
      </c>
      <c r="N50" s="3">
        <f t="shared" si="33"/>
        <v>12808183.109129699</v>
      </c>
      <c r="O50" s="3">
        <f t="shared" si="34"/>
        <v>0</v>
      </c>
      <c r="P50" s="3">
        <f t="shared" si="35"/>
        <v>0</v>
      </c>
      <c r="Q50" s="47">
        <f t="shared" ca="1" si="44"/>
        <v>31005526.659253106</v>
      </c>
      <c r="R50" s="47">
        <f>'Monthly Data'!BR50</f>
        <v>3451.3757307692304</v>
      </c>
      <c r="S50" s="47">
        <f ca="1">+'Monthly Data'!BS50</f>
        <v>20259.599502721059</v>
      </c>
      <c r="T50" s="47">
        <f t="shared" ca="1" si="45"/>
        <v>31029237.634486593</v>
      </c>
    </row>
    <row r="51" spans="1:20">
      <c r="A51" s="2">
        <f>'Monthly Data'!A51</f>
        <v>43862</v>
      </c>
      <c r="B51">
        <f>'Monthly Data'!B51</f>
        <v>2020</v>
      </c>
      <c r="C51">
        <f>'Monthly Data'!C51</f>
        <v>2</v>
      </c>
      <c r="D51" s="3">
        <f>'Monthly Data'!BQ51</f>
        <v>28703003.715840835</v>
      </c>
      <c r="E51" s="3">
        <f t="shared" ref="E51:F51" ca="1" si="54">E39</f>
        <v>490.99541666666664</v>
      </c>
      <c r="F51" s="3">
        <f t="shared" ca="1" si="54"/>
        <v>0</v>
      </c>
      <c r="G51" s="3">
        <f>'Monthly Data'!DQ51</f>
        <v>29</v>
      </c>
      <c r="H51" s="3">
        <f>'Monthly Data'!EJ51</f>
        <v>0</v>
      </c>
      <c r="I51">
        <f>'Monthly Data'!EF51</f>
        <v>0</v>
      </c>
      <c r="K51" s="3">
        <f t="shared" si="30"/>
        <v>13824899.391279301</v>
      </c>
      <c r="L51" s="3">
        <f t="shared" ca="1" si="31"/>
        <v>3787751.2147381431</v>
      </c>
      <c r="M51" s="3">
        <f t="shared" ca="1" si="32"/>
        <v>0</v>
      </c>
      <c r="N51" s="3">
        <f t="shared" si="33"/>
        <v>11981848.7149923</v>
      </c>
      <c r="O51" s="3">
        <f t="shared" si="34"/>
        <v>0</v>
      </c>
      <c r="P51" s="3">
        <f t="shared" si="35"/>
        <v>0</v>
      </c>
      <c r="Q51" s="47">
        <f t="shared" ca="1" si="44"/>
        <v>29594499.321009744</v>
      </c>
      <c r="R51" s="47">
        <f>'Monthly Data'!BR51</f>
        <v>3542.7739615384612</v>
      </c>
      <c r="S51" s="47">
        <f ca="1">+'Monthly Data'!BS51</f>
        <v>19988.293747935324</v>
      </c>
      <c r="T51" s="47">
        <f t="shared" ca="1" si="45"/>
        <v>29618030.38871922</v>
      </c>
    </row>
    <row r="52" spans="1:20">
      <c r="A52" s="2">
        <f>'Monthly Data'!A52</f>
        <v>43891</v>
      </c>
      <c r="B52">
        <f>'Monthly Data'!B52</f>
        <v>2020</v>
      </c>
      <c r="C52">
        <f>'Monthly Data'!C52</f>
        <v>3</v>
      </c>
      <c r="D52" s="3">
        <f>'Monthly Data'!BQ52</f>
        <v>27710384.046685323</v>
      </c>
      <c r="E52" s="3">
        <f t="shared" ref="E52:F52" ca="1" si="55">E40</f>
        <v>410.21590579710147</v>
      </c>
      <c r="F52" s="3">
        <f t="shared" ca="1" si="55"/>
        <v>2.9583333333332896E-2</v>
      </c>
      <c r="G52" s="3">
        <f>'Monthly Data'!DQ52</f>
        <v>31</v>
      </c>
      <c r="H52" s="3">
        <f>'Monthly Data'!EJ52</f>
        <v>0.5</v>
      </c>
      <c r="I52">
        <f>'Monthly Data'!EF52</f>
        <v>0</v>
      </c>
      <c r="K52" s="3">
        <f t="shared" si="30"/>
        <v>13824899.391279301</v>
      </c>
      <c r="L52" s="3">
        <f t="shared" ca="1" si="31"/>
        <v>3164583.0953708063</v>
      </c>
      <c r="M52" s="3">
        <f t="shared" ca="1" si="32"/>
        <v>445.54494017078349</v>
      </c>
      <c r="N52" s="3">
        <f t="shared" si="33"/>
        <v>12808183.109129699</v>
      </c>
      <c r="O52" s="3">
        <f t="shared" si="34"/>
        <v>-1751988.64369091</v>
      </c>
      <c r="P52" s="3">
        <f t="shared" si="35"/>
        <v>0</v>
      </c>
      <c r="Q52" s="47">
        <f t="shared" ca="1" si="44"/>
        <v>28046122.497029062</v>
      </c>
      <c r="R52" s="47">
        <f>'Monthly Data'!BR52</f>
        <v>3634.1721923076921</v>
      </c>
      <c r="S52" s="47">
        <f ca="1">+'Monthly Data'!BS52</f>
        <v>15515.440485339572</v>
      </c>
      <c r="T52" s="47">
        <f t="shared" ca="1" si="45"/>
        <v>28065272.109706711</v>
      </c>
    </row>
    <row r="53" spans="1:20">
      <c r="A53" s="2">
        <f>'Monthly Data'!A53</f>
        <v>43922</v>
      </c>
      <c r="B53">
        <f>'Monthly Data'!B53</f>
        <v>2020</v>
      </c>
      <c r="C53">
        <f>'Monthly Data'!C53</f>
        <v>4</v>
      </c>
      <c r="D53" s="3">
        <f>'Monthly Data'!BQ53</f>
        <v>25000248.061708741</v>
      </c>
      <c r="E53" s="3">
        <f t="shared" ref="E53:F53" ca="1" si="56">E41</f>
        <v>235.09104166666671</v>
      </c>
      <c r="F53" s="3">
        <f t="shared" ca="1" si="56"/>
        <v>6.0095833333333344</v>
      </c>
      <c r="G53" s="3">
        <f>'Monthly Data'!DQ53</f>
        <v>30</v>
      </c>
      <c r="H53" s="3">
        <f>'Monthly Data'!EJ53</f>
        <v>1</v>
      </c>
      <c r="I53">
        <f>'Monthly Data'!EF53</f>
        <v>0</v>
      </c>
      <c r="K53" s="3">
        <f t="shared" si="30"/>
        <v>13824899.391279301</v>
      </c>
      <c r="L53" s="3">
        <f t="shared" ca="1" si="31"/>
        <v>1813594.0752609991</v>
      </c>
      <c r="M53" s="3">
        <f t="shared" ca="1" si="32"/>
        <v>90508.375663145154</v>
      </c>
      <c r="N53" s="3">
        <f t="shared" si="33"/>
        <v>12395015.912061</v>
      </c>
      <c r="O53" s="3">
        <f t="shared" si="34"/>
        <v>-3503977.2873818199</v>
      </c>
      <c r="P53" s="3">
        <f t="shared" si="35"/>
        <v>0</v>
      </c>
      <c r="Q53" s="47">
        <f t="shared" ca="1" si="44"/>
        <v>24620040.466882624</v>
      </c>
      <c r="R53" s="47">
        <f>'Monthly Data'!BR53</f>
        <v>3725.5704230769229</v>
      </c>
      <c r="S53" s="47">
        <f ca="1">+'Monthly Data'!BS53</f>
        <v>12232.520033441884</v>
      </c>
      <c r="T53" s="47">
        <f t="shared" ca="1" si="45"/>
        <v>24635998.557339143</v>
      </c>
    </row>
    <row r="54" spans="1:20">
      <c r="A54" s="2">
        <f>'Monthly Data'!A54</f>
        <v>43952</v>
      </c>
      <c r="B54">
        <f>'Monthly Data'!B54</f>
        <v>2020</v>
      </c>
      <c r="C54">
        <f>'Monthly Data'!C54</f>
        <v>5</v>
      </c>
      <c r="D54" s="3">
        <f>'Monthly Data'!BQ54</f>
        <v>24388113.176702131</v>
      </c>
      <c r="E54" s="3">
        <f t="shared" ref="E54:F54" ca="1" si="57">E42</f>
        <v>66.98488157894738</v>
      </c>
      <c r="F54" s="3">
        <f t="shared" ca="1" si="57"/>
        <v>81.50872474747473</v>
      </c>
      <c r="G54" s="3">
        <f>'Monthly Data'!DQ54</f>
        <v>31</v>
      </c>
      <c r="H54" s="3">
        <f>'Monthly Data'!EJ54</f>
        <v>1</v>
      </c>
      <c r="I54">
        <f>'Monthly Data'!EF54</f>
        <v>0</v>
      </c>
      <c r="K54" s="3">
        <f t="shared" si="30"/>
        <v>13824899.391279301</v>
      </c>
      <c r="L54" s="3">
        <f t="shared" ca="1" si="31"/>
        <v>516750.37680035766</v>
      </c>
      <c r="M54" s="3">
        <f t="shared" ca="1" si="32"/>
        <v>1227576.3343440345</v>
      </c>
      <c r="N54" s="3">
        <f t="shared" si="33"/>
        <v>12808183.109129699</v>
      </c>
      <c r="O54" s="3">
        <f t="shared" si="34"/>
        <v>-3503977.2873818199</v>
      </c>
      <c r="P54" s="3">
        <f t="shared" si="35"/>
        <v>0</v>
      </c>
      <c r="Q54" s="47">
        <f t="shared" ca="1" si="44"/>
        <v>24873431.924171574</v>
      </c>
      <c r="R54" s="47">
        <f>'Monthly Data'!BR54</f>
        <v>3816.9686538461538</v>
      </c>
      <c r="S54" s="47">
        <f ca="1">+'Monthly Data'!BS54</f>
        <v>6854.0421395994399</v>
      </c>
      <c r="T54" s="47">
        <f t="shared" ca="1" si="45"/>
        <v>24884102.934965022</v>
      </c>
    </row>
    <row r="55" spans="1:20">
      <c r="A55" s="2">
        <f>'Monthly Data'!A55</f>
        <v>43983</v>
      </c>
      <c r="B55">
        <f>'Monthly Data'!B55</f>
        <v>2020</v>
      </c>
      <c r="C55">
        <f>'Monthly Data'!C55</f>
        <v>6</v>
      </c>
      <c r="D55" s="3">
        <f>'Monthly Data'!BQ55</f>
        <v>28918574.4033737</v>
      </c>
      <c r="E55" s="3">
        <f t="shared" ref="E55:F55" ca="1" si="58">E43</f>
        <v>3.128333333333333</v>
      </c>
      <c r="F55" s="3">
        <f t="shared" ca="1" si="58"/>
        <v>202.3599342107168</v>
      </c>
      <c r="G55" s="3">
        <f>'Monthly Data'!DQ55</f>
        <v>30</v>
      </c>
      <c r="H55" s="3">
        <f>'Monthly Data'!EJ55</f>
        <v>0.5</v>
      </c>
      <c r="I55">
        <f>'Monthly Data'!EF55</f>
        <v>0</v>
      </c>
      <c r="K55" s="3">
        <f t="shared" si="30"/>
        <v>13824899.391279301</v>
      </c>
      <c r="L55" s="3">
        <f t="shared" ca="1" si="31"/>
        <v>24133.317707695824</v>
      </c>
      <c r="M55" s="3">
        <f t="shared" ca="1" si="32"/>
        <v>3047677.0066775945</v>
      </c>
      <c r="N55" s="3">
        <f t="shared" si="33"/>
        <v>12395015.912061</v>
      </c>
      <c r="O55" s="3">
        <f t="shared" si="34"/>
        <v>-1751988.64369091</v>
      </c>
      <c r="P55" s="3">
        <f t="shared" si="35"/>
        <v>0</v>
      </c>
      <c r="Q55" s="47">
        <f t="shared" ca="1" si="44"/>
        <v>27539736.984034684</v>
      </c>
      <c r="R55" s="47">
        <f>'Monthly Data'!BR55</f>
        <v>3908.3668846153846</v>
      </c>
      <c r="S55" s="47">
        <f ca="1">+'Monthly Data'!BS55</f>
        <v>957.96034940674372</v>
      </c>
      <c r="T55" s="47">
        <f t="shared" ca="1" si="45"/>
        <v>27544603.311268706</v>
      </c>
    </row>
    <row r="56" spans="1:20">
      <c r="A56" s="2">
        <f>'Monthly Data'!A56</f>
        <v>44013</v>
      </c>
      <c r="B56">
        <f>'Monthly Data'!B56</f>
        <v>2020</v>
      </c>
      <c r="C56">
        <f>'Monthly Data'!C56</f>
        <v>7</v>
      </c>
      <c r="D56" s="3">
        <f>'Monthly Data'!BQ56</f>
        <v>29561488.452621069</v>
      </c>
      <c r="E56" s="3">
        <f t="shared" ref="E56:F56" ca="1" si="59">E44</f>
        <v>0</v>
      </c>
      <c r="F56" s="3">
        <f t="shared" ca="1" si="59"/>
        <v>304.72508692061177</v>
      </c>
      <c r="G56" s="3">
        <f>'Monthly Data'!DQ56</f>
        <v>31</v>
      </c>
      <c r="H56" s="3">
        <f>'Monthly Data'!EJ56</f>
        <v>0.5</v>
      </c>
      <c r="I56">
        <f>'Monthly Data'!EF56</f>
        <v>0</v>
      </c>
      <c r="K56" s="3">
        <f t="shared" si="30"/>
        <v>13824899.391279301</v>
      </c>
      <c r="L56" s="3">
        <f t="shared" ca="1" si="31"/>
        <v>0</v>
      </c>
      <c r="M56" s="3">
        <f t="shared" ca="1" si="32"/>
        <v>4589365.2040760377</v>
      </c>
      <c r="N56" s="3">
        <f t="shared" si="33"/>
        <v>12808183.109129699</v>
      </c>
      <c r="O56" s="3">
        <f t="shared" si="34"/>
        <v>-1751988.64369091</v>
      </c>
      <c r="P56" s="3">
        <f t="shared" si="35"/>
        <v>0</v>
      </c>
      <c r="Q56" s="47">
        <f t="shared" ca="1" si="44"/>
        <v>29470459.060794126</v>
      </c>
      <c r="R56" s="47">
        <f>'Monthly Data'!BR56</f>
        <v>3999.7651153846155</v>
      </c>
      <c r="S56" s="47">
        <f ca="1">+'Monthly Data'!BS56</f>
        <v>0</v>
      </c>
      <c r="T56" s="47">
        <f t="shared" ca="1" si="45"/>
        <v>29474458.82590951</v>
      </c>
    </row>
    <row r="57" spans="1:20">
      <c r="A57" s="2">
        <f>'Monthly Data'!A57</f>
        <v>44044</v>
      </c>
      <c r="B57">
        <f>'Monthly Data'!B57</f>
        <v>2020</v>
      </c>
      <c r="C57">
        <f>'Monthly Data'!C57</f>
        <v>8</v>
      </c>
      <c r="D57" s="3">
        <f>'Monthly Data'!BQ57</f>
        <v>28647072.719821006</v>
      </c>
      <c r="E57" s="3">
        <f t="shared" ref="E57:F57" ca="1" si="60">E45</f>
        <v>6.5416666666666859E-2</v>
      </c>
      <c r="F57" s="3">
        <f t="shared" ca="1" si="60"/>
        <v>275.96017127799735</v>
      </c>
      <c r="G57" s="3">
        <f>'Monthly Data'!DQ57</f>
        <v>31</v>
      </c>
      <c r="H57" s="3">
        <f>'Monthly Data'!EJ57</f>
        <v>0.5</v>
      </c>
      <c r="I57">
        <f>'Monthly Data'!EF57</f>
        <v>0</v>
      </c>
      <c r="K57" s="3">
        <f t="shared" si="30"/>
        <v>13824899.391279301</v>
      </c>
      <c r="L57" s="3">
        <f t="shared" ca="1" si="31"/>
        <v>504.65248802720515</v>
      </c>
      <c r="M57" s="3">
        <f t="shared" ca="1" si="32"/>
        <v>4156146.1859687767</v>
      </c>
      <c r="N57" s="3">
        <f t="shared" si="33"/>
        <v>12808183.109129699</v>
      </c>
      <c r="O57" s="3">
        <f t="shared" si="34"/>
        <v>-1751988.64369091</v>
      </c>
      <c r="P57" s="3">
        <f t="shared" si="35"/>
        <v>0</v>
      </c>
      <c r="Q57" s="47">
        <f t="shared" ca="1" si="44"/>
        <v>29037744.695174892</v>
      </c>
      <c r="R57" s="47">
        <f>'Monthly Data'!BR57</f>
        <v>4091.1633461538463</v>
      </c>
      <c r="S57" s="47">
        <f ca="1">+'Monthly Data'!BS57</f>
        <v>112.36166093798255</v>
      </c>
      <c r="T57" s="47">
        <f t="shared" ca="1" si="45"/>
        <v>29041948.220181983</v>
      </c>
    </row>
    <row r="58" spans="1:20">
      <c r="A58" s="2">
        <f>'Monthly Data'!A58</f>
        <v>44075</v>
      </c>
      <c r="B58">
        <f>'Monthly Data'!B58</f>
        <v>2020</v>
      </c>
      <c r="C58">
        <f>'Monthly Data'!C58</f>
        <v>9</v>
      </c>
      <c r="D58" s="3">
        <f>'Monthly Data'!BQ58</f>
        <v>26313202.783478461</v>
      </c>
      <c r="E58" s="3">
        <f t="shared" ref="E58:F58" ca="1" si="61">E46</f>
        <v>10.085869565217392</v>
      </c>
      <c r="F58" s="3">
        <f t="shared" ca="1" si="61"/>
        <v>154.9849637681159</v>
      </c>
      <c r="G58" s="3">
        <f>'Monthly Data'!DQ58</f>
        <v>30</v>
      </c>
      <c r="H58" s="3">
        <f>'Monthly Data'!EJ58</f>
        <v>0.5</v>
      </c>
      <c r="I58">
        <f>'Monthly Data'!EF58</f>
        <v>1</v>
      </c>
      <c r="K58" s="3">
        <f t="shared" si="30"/>
        <v>13824899.391279301</v>
      </c>
      <c r="L58" s="3">
        <f t="shared" ca="1" si="31"/>
        <v>77806.764382239096</v>
      </c>
      <c r="M58" s="3">
        <f t="shared" ca="1" si="32"/>
        <v>2334178.0194739359</v>
      </c>
      <c r="N58" s="3">
        <f t="shared" si="33"/>
        <v>12395015.912061</v>
      </c>
      <c r="O58" s="3">
        <f t="shared" si="34"/>
        <v>-1751988.64369091</v>
      </c>
      <c r="P58" s="3">
        <f t="shared" si="35"/>
        <v>0</v>
      </c>
      <c r="Q58" s="47">
        <f t="shared" ca="1" si="44"/>
        <v>26879911.443505567</v>
      </c>
      <c r="R58" s="47">
        <f>'Monthly Data'!BR58</f>
        <v>4182.5615769230772</v>
      </c>
      <c r="S58" s="47">
        <f ca="1">+'Monthly Data'!BS58</f>
        <v>2739.9178856910839</v>
      </c>
      <c r="T58" s="47">
        <f t="shared" ca="1" si="45"/>
        <v>26886833.922968179</v>
      </c>
    </row>
    <row r="59" spans="1:20">
      <c r="A59" s="2">
        <f>'Monthly Data'!A59</f>
        <v>44105</v>
      </c>
      <c r="B59">
        <f>'Monthly Data'!B59</f>
        <v>2020</v>
      </c>
      <c r="C59">
        <f>'Monthly Data'!C59</f>
        <v>10</v>
      </c>
      <c r="D59" s="3">
        <f>'Monthly Data'!BQ59</f>
        <v>26266410.745664895</v>
      </c>
      <c r="E59" s="3">
        <f t="shared" ref="E59:F59" ca="1" si="62">E47</f>
        <v>126.20389492753625</v>
      </c>
      <c r="F59" s="3">
        <f t="shared" ca="1" si="62"/>
        <v>38.347916666666663</v>
      </c>
      <c r="G59" s="3">
        <f>'Monthly Data'!DQ59</f>
        <v>31</v>
      </c>
      <c r="H59" s="3">
        <f>'Monthly Data'!EJ59</f>
        <v>0.5</v>
      </c>
      <c r="I59">
        <f>'Monthly Data'!EF59</f>
        <v>1</v>
      </c>
      <c r="K59" s="3">
        <f t="shared" si="30"/>
        <v>13824899.391279301</v>
      </c>
      <c r="L59" s="3">
        <f t="shared" ca="1" si="31"/>
        <v>973591.48393230501</v>
      </c>
      <c r="M59" s="3">
        <f t="shared" ca="1" si="32"/>
        <v>577545.47279744595</v>
      </c>
      <c r="N59" s="3">
        <f t="shared" si="33"/>
        <v>12808183.109129699</v>
      </c>
      <c r="O59" s="3">
        <f t="shared" si="34"/>
        <v>-1751988.64369091</v>
      </c>
      <c r="P59" s="3">
        <f t="shared" si="35"/>
        <v>0</v>
      </c>
      <c r="Q59" s="47">
        <f t="shared" ca="1" si="44"/>
        <v>26432230.813447841</v>
      </c>
      <c r="R59" s="47">
        <f>'Monthly Data'!BR59</f>
        <v>4273.9598076923075</v>
      </c>
      <c r="S59" s="47">
        <f ca="1">+'Monthly Data'!BS59</f>
        <v>9273.5287187524973</v>
      </c>
      <c r="T59" s="47">
        <f t="shared" ca="1" si="45"/>
        <v>26445778.301974285</v>
      </c>
    </row>
    <row r="60" spans="1:20">
      <c r="A60" s="2">
        <f>'Monthly Data'!A60</f>
        <v>44136</v>
      </c>
      <c r="B60">
        <f>'Monthly Data'!B60</f>
        <v>2020</v>
      </c>
      <c r="C60">
        <f>'Monthly Data'!C60</f>
        <v>11</v>
      </c>
      <c r="D60" s="3">
        <f>'Monthly Data'!BQ60</f>
        <v>26688674.621390801</v>
      </c>
      <c r="E60" s="3">
        <f t="shared" ref="E60:F60" ca="1" si="63">E48</f>
        <v>316.29533055712409</v>
      </c>
      <c r="F60" s="3">
        <f t="shared" ca="1" si="63"/>
        <v>1.9241666666666659</v>
      </c>
      <c r="G60" s="3">
        <f>'Monthly Data'!DQ60</f>
        <v>30</v>
      </c>
      <c r="H60" s="3">
        <f>'Monthly Data'!EJ60</f>
        <v>0.5</v>
      </c>
      <c r="I60">
        <f>'Monthly Data'!EF60</f>
        <v>1</v>
      </c>
      <c r="K60" s="3">
        <f t="shared" si="30"/>
        <v>13824899.391279301</v>
      </c>
      <c r="L60" s="3">
        <f t="shared" ca="1" si="31"/>
        <v>2440039.1161840432</v>
      </c>
      <c r="M60" s="3">
        <f t="shared" ca="1" si="32"/>
        <v>28979.246953643771</v>
      </c>
      <c r="N60" s="3">
        <f t="shared" si="33"/>
        <v>12395015.912061</v>
      </c>
      <c r="O60" s="3">
        <f t="shared" si="34"/>
        <v>-1751988.64369091</v>
      </c>
      <c r="P60" s="3">
        <f t="shared" si="35"/>
        <v>0</v>
      </c>
      <c r="Q60" s="47">
        <f t="shared" ca="1" si="44"/>
        <v>26936945.022787075</v>
      </c>
      <c r="R60" s="47">
        <f>'Monthly Data'!BR60</f>
        <v>4365.3580384615389</v>
      </c>
      <c r="S60" s="47">
        <f ca="1">+'Monthly Data'!BS60</f>
        <v>11801.622314860637</v>
      </c>
      <c r="T60" s="47">
        <f t="shared" ca="1" si="45"/>
        <v>26953112.003140397</v>
      </c>
    </row>
    <row r="61" spans="1:20">
      <c r="A61" s="2">
        <f>'Monthly Data'!A61</f>
        <v>44166</v>
      </c>
      <c r="B61">
        <f>'Monthly Data'!B61</f>
        <v>2020</v>
      </c>
      <c r="C61">
        <f>'Monthly Data'!C61</f>
        <v>12</v>
      </c>
      <c r="D61" s="3">
        <f>'Monthly Data'!BQ61</f>
        <v>29542203.236834507</v>
      </c>
      <c r="E61" s="3">
        <f t="shared" ref="E61:F61" ca="1" si="64">E49</f>
        <v>478.38541666666663</v>
      </c>
      <c r="F61" s="3">
        <f t="shared" ca="1" si="64"/>
        <v>0</v>
      </c>
      <c r="G61" s="3">
        <f>'Monthly Data'!DQ61</f>
        <v>31</v>
      </c>
      <c r="H61" s="3">
        <f>'Monthly Data'!EJ61</f>
        <v>0.5</v>
      </c>
      <c r="I61">
        <f>'Monthly Data'!EF61</f>
        <v>0</v>
      </c>
      <c r="K61" s="3">
        <f t="shared" si="30"/>
        <v>13824899.391279301</v>
      </c>
      <c r="L61" s="3">
        <f t="shared" ca="1" si="31"/>
        <v>3690472.2153900201</v>
      </c>
      <c r="M61" s="3">
        <f t="shared" ca="1" si="32"/>
        <v>0</v>
      </c>
      <c r="N61" s="3">
        <f t="shared" si="33"/>
        <v>12808183.109129699</v>
      </c>
      <c r="O61" s="3">
        <f t="shared" si="34"/>
        <v>-1751988.64369091</v>
      </c>
      <c r="P61" s="3">
        <f t="shared" si="35"/>
        <v>0</v>
      </c>
      <c r="Q61" s="47">
        <f t="shared" ca="1" si="44"/>
        <v>28571566.072108109</v>
      </c>
      <c r="R61" s="47">
        <f>'Monthly Data'!BR61</f>
        <v>4456.7562692307692</v>
      </c>
      <c r="S61" s="47">
        <f ca="1">+'Monthly Data'!BS61</f>
        <v>18780.238088698876</v>
      </c>
      <c r="T61" s="47">
        <f t="shared" ca="1" si="45"/>
        <v>28594803.066466037</v>
      </c>
    </row>
    <row r="62" spans="1:20">
      <c r="A62" s="2">
        <f>'Monthly Data'!A62</f>
        <v>44197</v>
      </c>
      <c r="B62">
        <f>'Monthly Data'!B62</f>
        <v>2021</v>
      </c>
      <c r="C62">
        <f>'Monthly Data'!C62</f>
        <v>1</v>
      </c>
      <c r="D62" s="3">
        <f ca="1">'Monthly Data'!BQ62</f>
        <v>29024209.879696224</v>
      </c>
      <c r="E62" s="3">
        <f t="shared" ref="E62:F62" ca="1" si="65">E50</f>
        <v>566.78750000000002</v>
      </c>
      <c r="F62" s="3">
        <f t="shared" ca="1" si="65"/>
        <v>0</v>
      </c>
      <c r="G62" s="3">
        <f>'Monthly Data'!DQ62</f>
        <v>31</v>
      </c>
      <c r="H62" s="3">
        <f>'Monthly Data'!EJ62</f>
        <v>0.5</v>
      </c>
      <c r="I62">
        <f>'Monthly Data'!EF62</f>
        <v>0</v>
      </c>
      <c r="K62" s="3">
        <f t="shared" si="30"/>
        <v>13824899.391279301</v>
      </c>
      <c r="L62" s="3">
        <f t="shared" ca="1" si="31"/>
        <v>4372444.1588441078</v>
      </c>
      <c r="M62" s="3">
        <f t="shared" ca="1" si="32"/>
        <v>0</v>
      </c>
      <c r="N62" s="3">
        <f t="shared" si="33"/>
        <v>12808183.109129699</v>
      </c>
      <c r="O62" s="3">
        <f t="shared" si="34"/>
        <v>-1751988.64369091</v>
      </c>
      <c r="P62" s="3">
        <f t="shared" si="35"/>
        <v>0</v>
      </c>
      <c r="Q62" s="47">
        <f t="shared" ca="1" si="44"/>
        <v>29253538.015562195</v>
      </c>
      <c r="R62" s="47">
        <f>'Monthly Data'!BR62</f>
        <v>4723.2871153846154</v>
      </c>
      <c r="S62" s="47">
        <f ca="1">+'Monthly Data'!BS62</f>
        <v>37726.824923755725</v>
      </c>
      <c r="T62" s="47">
        <f t="shared" ca="1" si="45"/>
        <v>29295988.127601337</v>
      </c>
    </row>
    <row r="63" spans="1:20">
      <c r="A63" s="2">
        <f>'Monthly Data'!A63</f>
        <v>44228</v>
      </c>
      <c r="B63">
        <f>'Monthly Data'!B63</f>
        <v>2021</v>
      </c>
      <c r="C63">
        <f>'Monthly Data'!C63</f>
        <v>2</v>
      </c>
      <c r="D63" s="3">
        <f ca="1">'Monthly Data'!BQ63</f>
        <v>27383449.558295596</v>
      </c>
      <c r="E63" s="3">
        <f t="shared" ref="E63:F63" ca="1" si="66">E51</f>
        <v>490.99541666666664</v>
      </c>
      <c r="F63" s="3">
        <f t="shared" ca="1" si="66"/>
        <v>0</v>
      </c>
      <c r="G63" s="3">
        <f>'Monthly Data'!DQ63</f>
        <v>28</v>
      </c>
      <c r="H63" s="3">
        <f>'Monthly Data'!EJ63</f>
        <v>0.5</v>
      </c>
      <c r="I63">
        <f>'Monthly Data'!EF63</f>
        <v>0</v>
      </c>
      <c r="K63" s="3">
        <f t="shared" si="30"/>
        <v>13824899.391279301</v>
      </c>
      <c r="L63" s="3">
        <f t="shared" ca="1" si="31"/>
        <v>3787751.2147381431</v>
      </c>
      <c r="M63" s="3">
        <f t="shared" ca="1" si="32"/>
        <v>0</v>
      </c>
      <c r="N63" s="3">
        <f t="shared" si="33"/>
        <v>11568681.517923599</v>
      </c>
      <c r="O63" s="3">
        <f t="shared" si="34"/>
        <v>-1751988.64369091</v>
      </c>
      <c r="P63" s="3">
        <f t="shared" si="35"/>
        <v>0</v>
      </c>
      <c r="Q63" s="47">
        <f t="shared" ca="1" si="44"/>
        <v>27429343.480250131</v>
      </c>
      <c r="R63" s="47">
        <f>'Monthly Data'!BR63</f>
        <v>4898.4197307692311</v>
      </c>
      <c r="S63" s="47">
        <f ca="1">+'Monthly Data'!BS63</f>
        <v>37723.938421507679</v>
      </c>
      <c r="T63" s="47">
        <f t="shared" ca="1" si="45"/>
        <v>27471965.838402405</v>
      </c>
    </row>
    <row r="64" spans="1:20">
      <c r="A64" s="2">
        <f>'Monthly Data'!A64</f>
        <v>44256</v>
      </c>
      <c r="B64">
        <f>'Monthly Data'!B64</f>
        <v>2021</v>
      </c>
      <c r="C64">
        <f>'Monthly Data'!C64</f>
        <v>3</v>
      </c>
      <c r="D64" s="3">
        <f ca="1">'Monthly Data'!BQ64</f>
        <v>28051255.486069389</v>
      </c>
      <c r="E64" s="3">
        <f t="shared" ref="E64:F64" ca="1" si="67">E52</f>
        <v>410.21590579710147</v>
      </c>
      <c r="F64" s="3">
        <f t="shared" ca="1" si="67"/>
        <v>2.9583333333332896E-2</v>
      </c>
      <c r="G64" s="3">
        <f>'Monthly Data'!DQ64</f>
        <v>31</v>
      </c>
      <c r="H64" s="3">
        <f>'Monthly Data'!EJ64</f>
        <v>0.5</v>
      </c>
      <c r="I64">
        <f>'Monthly Data'!EF64</f>
        <v>0</v>
      </c>
      <c r="K64" s="3">
        <f t="shared" si="30"/>
        <v>13824899.391279301</v>
      </c>
      <c r="L64" s="3">
        <f t="shared" ca="1" si="31"/>
        <v>3164583.0953708063</v>
      </c>
      <c r="M64" s="3">
        <f t="shared" ca="1" si="32"/>
        <v>445.54494017078349</v>
      </c>
      <c r="N64" s="3">
        <f t="shared" si="33"/>
        <v>12808183.109129699</v>
      </c>
      <c r="O64" s="3">
        <f t="shared" si="34"/>
        <v>-1751988.64369091</v>
      </c>
      <c r="P64" s="3">
        <f t="shared" si="35"/>
        <v>0</v>
      </c>
      <c r="Q64" s="47">
        <f t="shared" ca="1" si="44"/>
        <v>28046122.497029062</v>
      </c>
      <c r="R64" s="47">
        <f>'Monthly Data'!BR64</f>
        <v>5073.552346153846</v>
      </c>
      <c r="S64" s="47">
        <f ca="1">+'Monthly Data'!BS64</f>
        <v>28437.610980874771</v>
      </c>
      <c r="T64" s="47">
        <f t="shared" ca="1" si="45"/>
        <v>28079633.660356093</v>
      </c>
    </row>
    <row r="65" spans="1:20">
      <c r="A65" s="2">
        <f>'Monthly Data'!A65</f>
        <v>44287</v>
      </c>
      <c r="B65">
        <f>'Monthly Data'!B65</f>
        <v>2021</v>
      </c>
      <c r="C65">
        <f>'Monthly Data'!C65</f>
        <v>4</v>
      </c>
      <c r="D65" s="3">
        <f ca="1">'Monthly Data'!BQ65</f>
        <v>24675867.120237663</v>
      </c>
      <c r="E65" s="3">
        <f t="shared" ref="E65:F65" ca="1" si="68">E53</f>
        <v>235.09104166666671</v>
      </c>
      <c r="F65" s="3">
        <f t="shared" ca="1" si="68"/>
        <v>6.0095833333333344</v>
      </c>
      <c r="G65" s="3">
        <f>'Monthly Data'!DQ65</f>
        <v>30</v>
      </c>
      <c r="H65" s="3">
        <f>'Monthly Data'!EJ65</f>
        <v>0.5</v>
      </c>
      <c r="I65">
        <f>'Monthly Data'!EF65</f>
        <v>0</v>
      </c>
      <c r="K65" s="3">
        <f t="shared" si="30"/>
        <v>13824899.391279301</v>
      </c>
      <c r="L65" s="3">
        <f t="shared" ca="1" si="31"/>
        <v>1813594.0752609991</v>
      </c>
      <c r="M65" s="3">
        <f t="shared" ca="1" si="32"/>
        <v>90508.375663145154</v>
      </c>
      <c r="N65" s="3">
        <f t="shared" si="33"/>
        <v>12395015.912061</v>
      </c>
      <c r="O65" s="3">
        <f t="shared" si="34"/>
        <v>-1751988.64369091</v>
      </c>
      <c r="P65" s="3">
        <f t="shared" si="35"/>
        <v>0</v>
      </c>
      <c r="Q65" s="47">
        <f t="shared" ca="1" si="44"/>
        <v>26372029.110573534</v>
      </c>
      <c r="R65" s="47">
        <f>'Monthly Data'!BR65</f>
        <v>5248.6849615384617</v>
      </c>
      <c r="S65" s="47">
        <f ca="1">+'Monthly Data'!BS65</f>
        <v>18461.827836619093</v>
      </c>
      <c r="T65" s="47">
        <f t="shared" ca="1" si="45"/>
        <v>26395739.623371691</v>
      </c>
    </row>
    <row r="66" spans="1:20">
      <c r="A66" s="2">
        <f>'Monthly Data'!A66</f>
        <v>44317</v>
      </c>
      <c r="B66">
        <f>'Monthly Data'!B66</f>
        <v>2021</v>
      </c>
      <c r="C66">
        <f>'Monthly Data'!C66</f>
        <v>5</v>
      </c>
      <c r="D66" s="3">
        <f ca="1">'Monthly Data'!BQ66</f>
        <v>24808278.454195786</v>
      </c>
      <c r="E66" s="3">
        <f t="shared" ref="E66:F66" ca="1" si="69">E54</f>
        <v>66.98488157894738</v>
      </c>
      <c r="F66" s="3">
        <f t="shared" ca="1" si="69"/>
        <v>81.50872474747473</v>
      </c>
      <c r="G66" s="3">
        <f>'Monthly Data'!DQ66</f>
        <v>31</v>
      </c>
      <c r="H66" s="3">
        <f>'Monthly Data'!EJ66</f>
        <v>0.5</v>
      </c>
      <c r="I66">
        <f>'Monthly Data'!EF66</f>
        <v>0</v>
      </c>
      <c r="K66" s="3">
        <f t="shared" ref="K66:K97" si="70">$X$7</f>
        <v>13824899.391279301</v>
      </c>
      <c r="L66" s="3">
        <f t="shared" ref="L66:L97" ca="1" si="71">E66*$X$8</f>
        <v>516750.37680035766</v>
      </c>
      <c r="M66" s="3">
        <f t="shared" ref="M66:M97" ca="1" si="72">F66*$X$9</f>
        <v>1227576.3343440345</v>
      </c>
      <c r="N66" s="3">
        <f t="shared" ref="N66:N97" si="73">G66*$X$10</f>
        <v>12808183.109129699</v>
      </c>
      <c r="O66" s="3">
        <f t="shared" ref="O66:O97" si="74">H66*$X$11</f>
        <v>-1751988.64369091</v>
      </c>
      <c r="P66" s="3">
        <f t="shared" ref="P66:P97" si="75">I66*$X$12</f>
        <v>0</v>
      </c>
      <c r="Q66" s="47">
        <f t="shared" ca="1" si="44"/>
        <v>26625420.567862485</v>
      </c>
      <c r="R66" s="47">
        <f>'Monthly Data'!BR66</f>
        <v>5423.8175769230775</v>
      </c>
      <c r="S66" s="47">
        <f ca="1">+'Monthly Data'!BS66</f>
        <v>10024.421404357941</v>
      </c>
      <c r="T66" s="47">
        <f t="shared" ca="1" si="45"/>
        <v>26640868.806843765</v>
      </c>
    </row>
    <row r="67" spans="1:20">
      <c r="A67" s="2">
        <f>'Monthly Data'!A67</f>
        <v>44348</v>
      </c>
      <c r="B67">
        <f>'Monthly Data'!B67</f>
        <v>2021</v>
      </c>
      <c r="C67">
        <f>'Monthly Data'!C67</f>
        <v>6</v>
      </c>
      <c r="D67" s="3">
        <f ca="1">'Monthly Data'!BQ67</f>
        <v>27291992.618535176</v>
      </c>
      <c r="E67" s="3">
        <f t="shared" ref="E67:F67" ca="1" si="76">E55</f>
        <v>3.128333333333333</v>
      </c>
      <c r="F67" s="3">
        <f t="shared" ca="1" si="76"/>
        <v>202.3599342107168</v>
      </c>
      <c r="G67" s="3">
        <f>'Monthly Data'!DQ67</f>
        <v>30</v>
      </c>
      <c r="H67" s="3">
        <f>'Monthly Data'!EJ67</f>
        <v>0.5</v>
      </c>
      <c r="I67">
        <f>'Monthly Data'!EF67</f>
        <v>0</v>
      </c>
      <c r="K67" s="3">
        <f t="shared" si="70"/>
        <v>13824899.391279301</v>
      </c>
      <c r="L67" s="3">
        <f t="shared" ca="1" si="71"/>
        <v>24133.317707695824</v>
      </c>
      <c r="M67" s="3">
        <f t="shared" ca="1" si="72"/>
        <v>3047677.0066775945</v>
      </c>
      <c r="N67" s="3">
        <f t="shared" si="73"/>
        <v>12395015.912061</v>
      </c>
      <c r="O67" s="3">
        <f t="shared" si="74"/>
        <v>-1751988.64369091</v>
      </c>
      <c r="P67" s="3">
        <f t="shared" si="75"/>
        <v>0</v>
      </c>
      <c r="Q67" s="47">
        <f t="shared" ca="1" si="44"/>
        <v>27539736.984034684</v>
      </c>
      <c r="R67" s="47">
        <f>'Monthly Data'!BR67</f>
        <v>5598.9501923076932</v>
      </c>
      <c r="S67" s="47">
        <f ca="1">+'Monthly Data'!BS67</f>
        <v>822.89368254581666</v>
      </c>
      <c r="T67" s="47">
        <f t="shared" ca="1" si="45"/>
        <v>27546158.827909537</v>
      </c>
    </row>
    <row r="68" spans="1:20">
      <c r="A68" s="2">
        <f>'Monthly Data'!A68</f>
        <v>44378</v>
      </c>
      <c r="B68">
        <f>'Monthly Data'!B68</f>
        <v>2021</v>
      </c>
      <c r="C68">
        <f>'Monthly Data'!C68</f>
        <v>7</v>
      </c>
      <c r="D68" s="3">
        <f ca="1">'Monthly Data'!BQ68</f>
        <v>28292000.297134548</v>
      </c>
      <c r="E68" s="3">
        <f t="shared" ref="E68:F68" ca="1" si="77">E56</f>
        <v>0</v>
      </c>
      <c r="F68" s="3">
        <f t="shared" ca="1" si="77"/>
        <v>304.72508692061177</v>
      </c>
      <c r="G68" s="3">
        <f>'Monthly Data'!DQ68</f>
        <v>31</v>
      </c>
      <c r="H68" s="3">
        <f>'Monthly Data'!EJ68</f>
        <v>0.5</v>
      </c>
      <c r="I68">
        <f>'Monthly Data'!EF68</f>
        <v>0</v>
      </c>
      <c r="K68" s="3">
        <f t="shared" si="70"/>
        <v>13824899.391279301</v>
      </c>
      <c r="L68" s="3">
        <f t="shared" ca="1" si="71"/>
        <v>0</v>
      </c>
      <c r="M68" s="3">
        <f t="shared" ca="1" si="72"/>
        <v>4589365.2040760377</v>
      </c>
      <c r="N68" s="3">
        <f t="shared" si="73"/>
        <v>12808183.109129699</v>
      </c>
      <c r="O68" s="3">
        <f t="shared" si="74"/>
        <v>-1751988.64369091</v>
      </c>
      <c r="P68" s="3">
        <f t="shared" si="75"/>
        <v>0</v>
      </c>
      <c r="Q68" s="47">
        <f t="shared" ca="1" si="44"/>
        <v>29470459.060794126</v>
      </c>
      <c r="R68" s="47">
        <f>'Monthly Data'!BR68</f>
        <v>5774.0828076923081</v>
      </c>
      <c r="S68" s="47">
        <f ca="1">+'Monthly Data'!BS68</f>
        <v>309.09628239443776</v>
      </c>
      <c r="T68" s="47">
        <f t="shared" ca="1" si="45"/>
        <v>29476542.239884213</v>
      </c>
    </row>
    <row r="69" spans="1:20">
      <c r="A69" s="2">
        <f>'Monthly Data'!A69</f>
        <v>44409</v>
      </c>
      <c r="B69">
        <f>'Monthly Data'!B69</f>
        <v>2021</v>
      </c>
      <c r="C69">
        <f>'Monthly Data'!C69</f>
        <v>8</v>
      </c>
      <c r="D69" s="3">
        <f ca="1">'Monthly Data'!BQ69</f>
        <v>30547441.198189639</v>
      </c>
      <c r="E69" s="3">
        <f t="shared" ref="E69:F69" ca="1" si="78">E57</f>
        <v>6.5416666666666859E-2</v>
      </c>
      <c r="F69" s="3">
        <f t="shared" ca="1" si="78"/>
        <v>275.96017127799735</v>
      </c>
      <c r="G69" s="3">
        <f>'Monthly Data'!DQ69</f>
        <v>31</v>
      </c>
      <c r="H69" s="3">
        <f>'Monthly Data'!EJ69</f>
        <v>0.5</v>
      </c>
      <c r="I69">
        <f>'Monthly Data'!EF69</f>
        <v>0</v>
      </c>
      <c r="K69" s="3">
        <f t="shared" si="70"/>
        <v>13824899.391279301</v>
      </c>
      <c r="L69" s="3">
        <f t="shared" ca="1" si="71"/>
        <v>504.65248802720515</v>
      </c>
      <c r="M69" s="3">
        <f t="shared" ca="1" si="72"/>
        <v>4156146.1859687767</v>
      </c>
      <c r="N69" s="3">
        <f t="shared" si="73"/>
        <v>12808183.109129699</v>
      </c>
      <c r="O69" s="3">
        <f t="shared" si="74"/>
        <v>-1751988.64369091</v>
      </c>
      <c r="P69" s="3">
        <f t="shared" si="75"/>
        <v>0</v>
      </c>
      <c r="Q69" s="47">
        <f t="shared" ca="1" si="44"/>
        <v>29037744.695174892</v>
      </c>
      <c r="R69" s="47">
        <f>'Monthly Data'!BR69</f>
        <v>5949.2154230769238</v>
      </c>
      <c r="S69" s="47">
        <f ca="1">+'Monthly Data'!BS69</f>
        <v>39.929947764573349</v>
      </c>
      <c r="T69" s="47">
        <f t="shared" ca="1" si="45"/>
        <v>29043733.840545733</v>
      </c>
    </row>
    <row r="70" spans="1:20">
      <c r="A70" s="2">
        <f>'Monthly Data'!A70</f>
        <v>44440</v>
      </c>
      <c r="B70">
        <f>'Monthly Data'!B70</f>
        <v>2021</v>
      </c>
      <c r="C70">
        <f>'Monthly Data'!C70</f>
        <v>9</v>
      </c>
      <c r="D70" s="3">
        <f ca="1">'Monthly Data'!BQ70</f>
        <v>26774641.537251331</v>
      </c>
      <c r="E70" s="3">
        <f t="shared" ref="E70:F70" ca="1" si="79">E58</f>
        <v>10.085869565217392</v>
      </c>
      <c r="F70" s="3">
        <f t="shared" ca="1" si="79"/>
        <v>154.9849637681159</v>
      </c>
      <c r="G70" s="3">
        <f>'Monthly Data'!DQ70</f>
        <v>30</v>
      </c>
      <c r="H70" s="3">
        <f>'Monthly Data'!EJ70</f>
        <v>0.5</v>
      </c>
      <c r="I70">
        <f>'Monthly Data'!EF70</f>
        <v>1</v>
      </c>
      <c r="K70" s="3">
        <f t="shared" si="70"/>
        <v>13824899.391279301</v>
      </c>
      <c r="L70" s="3">
        <f t="shared" ca="1" si="71"/>
        <v>77806.764382239096</v>
      </c>
      <c r="M70" s="3">
        <f t="shared" ca="1" si="72"/>
        <v>2334178.0194739359</v>
      </c>
      <c r="N70" s="3">
        <f t="shared" si="73"/>
        <v>12395015.912061</v>
      </c>
      <c r="O70" s="3">
        <f t="shared" si="74"/>
        <v>-1751988.64369091</v>
      </c>
      <c r="P70" s="3">
        <f t="shared" si="75"/>
        <v>0</v>
      </c>
      <c r="Q70" s="47">
        <f t="shared" ca="1" si="44"/>
        <v>26879911.443505567</v>
      </c>
      <c r="R70" s="47">
        <f>'Monthly Data'!BR70</f>
        <v>6124.3480384615395</v>
      </c>
      <c r="S70" s="47">
        <f ca="1">+'Monthly Data'!BS70</f>
        <v>2637.0603454398665</v>
      </c>
      <c r="T70" s="47">
        <f t="shared" ca="1" si="45"/>
        <v>26888672.851889469</v>
      </c>
    </row>
    <row r="71" spans="1:20">
      <c r="A71" s="2">
        <f>'Monthly Data'!A71</f>
        <v>44470</v>
      </c>
      <c r="B71">
        <f>'Monthly Data'!B71</f>
        <v>2021</v>
      </c>
      <c r="C71">
        <f>'Monthly Data'!C71</f>
        <v>10</v>
      </c>
      <c r="D71" s="3">
        <f ca="1">'Monthly Data'!BQ71</f>
        <v>26929954.150104683</v>
      </c>
      <c r="E71" s="3">
        <f t="shared" ref="E71:F71" ca="1" si="80">E59</f>
        <v>126.20389492753625</v>
      </c>
      <c r="F71" s="3">
        <f t="shared" ca="1" si="80"/>
        <v>38.347916666666663</v>
      </c>
      <c r="G71" s="3">
        <f>'Monthly Data'!DQ71</f>
        <v>31</v>
      </c>
      <c r="H71" s="3">
        <f>'Monthly Data'!EJ71</f>
        <v>0.5</v>
      </c>
      <c r="I71">
        <f>'Monthly Data'!EF71</f>
        <v>1</v>
      </c>
      <c r="K71" s="3">
        <f t="shared" si="70"/>
        <v>13824899.391279301</v>
      </c>
      <c r="L71" s="3">
        <f t="shared" ca="1" si="71"/>
        <v>973591.48393230501</v>
      </c>
      <c r="M71" s="3">
        <f t="shared" ca="1" si="72"/>
        <v>577545.47279744595</v>
      </c>
      <c r="N71" s="3">
        <f t="shared" si="73"/>
        <v>12808183.109129699</v>
      </c>
      <c r="O71" s="3">
        <f t="shared" si="74"/>
        <v>-1751988.64369091</v>
      </c>
      <c r="P71" s="3">
        <f t="shared" si="75"/>
        <v>0</v>
      </c>
      <c r="Q71" s="47">
        <f t="shared" ca="1" si="44"/>
        <v>26432230.813447841</v>
      </c>
      <c r="R71" s="47">
        <f>'Monthly Data'!BR71</f>
        <v>6299.4806538461553</v>
      </c>
      <c r="S71" s="47">
        <f ca="1">+'Monthly Data'!BS71</f>
        <v>8860.1186503632216</v>
      </c>
      <c r="T71" s="47">
        <f t="shared" ca="1" si="45"/>
        <v>26447390.412752047</v>
      </c>
    </row>
    <row r="72" spans="1:20">
      <c r="A72" s="2">
        <f>'Monthly Data'!A72</f>
        <v>44501</v>
      </c>
      <c r="B72">
        <f>'Monthly Data'!B72</f>
        <v>2021</v>
      </c>
      <c r="C72">
        <f>'Monthly Data'!C72</f>
        <v>11</v>
      </c>
      <c r="D72" s="3">
        <f ca="1">'Monthly Data'!BQ72</f>
        <v>27602290.887845457</v>
      </c>
      <c r="E72" s="3">
        <f t="shared" ref="E72:F72" ca="1" si="81">E60</f>
        <v>316.29533055712409</v>
      </c>
      <c r="F72" s="3">
        <f t="shared" ca="1" si="81"/>
        <v>1.9241666666666659</v>
      </c>
      <c r="G72" s="3">
        <f>'Monthly Data'!DQ72</f>
        <v>30</v>
      </c>
      <c r="H72" s="3">
        <f>'Monthly Data'!EJ72</f>
        <v>0.5</v>
      </c>
      <c r="I72">
        <f>'Monthly Data'!EF72</f>
        <v>1</v>
      </c>
      <c r="K72" s="3">
        <f t="shared" si="70"/>
        <v>13824899.391279301</v>
      </c>
      <c r="L72" s="3">
        <f t="shared" ca="1" si="71"/>
        <v>2440039.1161840432</v>
      </c>
      <c r="M72" s="3">
        <f t="shared" ca="1" si="72"/>
        <v>28979.246953643771</v>
      </c>
      <c r="N72" s="3">
        <f t="shared" si="73"/>
        <v>12395015.912061</v>
      </c>
      <c r="O72" s="3">
        <f t="shared" si="74"/>
        <v>-1751988.64369091</v>
      </c>
      <c r="P72" s="3">
        <f t="shared" si="75"/>
        <v>0</v>
      </c>
      <c r="Q72" s="47">
        <f t="shared" ca="1" si="44"/>
        <v>26936945.022787075</v>
      </c>
      <c r="R72" s="47">
        <f>'Monthly Data'!BR72</f>
        <v>6474.613269230771</v>
      </c>
      <c r="S72" s="47">
        <f ca="1">+'Monthly Data'!BS72</f>
        <v>25765.646667775101</v>
      </c>
      <c r="T72" s="47">
        <f t="shared" ca="1" si="45"/>
        <v>26969185.282724082</v>
      </c>
    </row>
    <row r="73" spans="1:20">
      <c r="A73" s="2">
        <f>'Monthly Data'!A73</f>
        <v>44531</v>
      </c>
      <c r="B73">
        <f>'Monthly Data'!B73</f>
        <v>2021</v>
      </c>
      <c r="C73">
        <f>'Monthly Data'!C73</f>
        <v>12</v>
      </c>
      <c r="D73" s="3">
        <f ca="1">'Monthly Data'!BQ73</f>
        <v>29161153.809915259</v>
      </c>
      <c r="E73" s="3">
        <f t="shared" ref="E73:F73" ca="1" si="82">E61</f>
        <v>478.38541666666663</v>
      </c>
      <c r="F73" s="3">
        <f t="shared" ca="1" si="82"/>
        <v>0</v>
      </c>
      <c r="G73" s="3">
        <f>'Monthly Data'!DQ73</f>
        <v>31</v>
      </c>
      <c r="H73" s="3">
        <f>'Monthly Data'!EJ73</f>
        <v>0.5</v>
      </c>
      <c r="I73">
        <f>'Monthly Data'!EF73</f>
        <v>0</v>
      </c>
      <c r="K73" s="3">
        <f t="shared" si="70"/>
        <v>13824899.391279301</v>
      </c>
      <c r="L73" s="3">
        <f t="shared" ca="1" si="71"/>
        <v>3690472.2153900201</v>
      </c>
      <c r="M73" s="3">
        <f t="shared" ca="1" si="72"/>
        <v>0</v>
      </c>
      <c r="N73" s="3">
        <f t="shared" si="73"/>
        <v>12808183.109129699</v>
      </c>
      <c r="O73" s="3">
        <f t="shared" si="74"/>
        <v>-1751988.64369091</v>
      </c>
      <c r="P73" s="3">
        <f t="shared" si="75"/>
        <v>0</v>
      </c>
      <c r="Q73" s="47">
        <f t="shared" ca="1" si="44"/>
        <v>28571566.072108109</v>
      </c>
      <c r="R73" s="47">
        <f>'Monthly Data'!BR73</f>
        <v>6649.7458846153859</v>
      </c>
      <c r="S73" s="47">
        <f ca="1">+'Monthly Data'!BS73</f>
        <v>30772.759924515878</v>
      </c>
      <c r="T73" s="47">
        <f t="shared" ca="1" si="45"/>
        <v>28608988.577917241</v>
      </c>
    </row>
    <row r="74" spans="1:20">
      <c r="A74" s="2">
        <f>'Monthly Data'!A74</f>
        <v>44562</v>
      </c>
      <c r="B74">
        <f>'Monthly Data'!B74</f>
        <v>2022</v>
      </c>
      <c r="C74">
        <f>'Monthly Data'!C74</f>
        <v>1</v>
      </c>
      <c r="D74" s="3">
        <f ca="1">'Monthly Data'!BQ74</f>
        <v>30686239.483162697</v>
      </c>
      <c r="E74" s="3">
        <f t="shared" ref="E74:F74" ca="1" si="83">E62</f>
        <v>566.78750000000002</v>
      </c>
      <c r="F74" s="3">
        <f t="shared" ca="1" si="83"/>
        <v>0</v>
      </c>
      <c r="G74" s="3">
        <f>'Monthly Data'!DQ74</f>
        <v>31</v>
      </c>
      <c r="H74" s="3">
        <f>'Monthly Data'!EJ74</f>
        <v>0.25</v>
      </c>
      <c r="I74">
        <f>'Monthly Data'!EF74</f>
        <v>0</v>
      </c>
      <c r="K74" s="3">
        <f t="shared" si="70"/>
        <v>13824899.391279301</v>
      </c>
      <c r="L74" s="3">
        <f t="shared" ca="1" si="71"/>
        <v>4372444.1588441078</v>
      </c>
      <c r="M74" s="3">
        <f t="shared" ca="1" si="72"/>
        <v>0</v>
      </c>
      <c r="N74" s="3">
        <f t="shared" si="73"/>
        <v>12808183.109129699</v>
      </c>
      <c r="O74" s="3">
        <f t="shared" si="74"/>
        <v>-875994.32184545498</v>
      </c>
      <c r="P74" s="3">
        <f t="shared" si="75"/>
        <v>0</v>
      </c>
      <c r="Q74" s="47">
        <f t="shared" ref="Q74:Q96" ca="1" si="84">SUM(K74:P74)</f>
        <v>30129532.337407652</v>
      </c>
      <c r="R74" s="47">
        <f>'Monthly Data'!BR74</f>
        <v>7189.4658974358972</v>
      </c>
      <c r="S74" s="47">
        <f ca="1">+'Monthly Data'!BS74</f>
        <v>69074.190554207904</v>
      </c>
      <c r="T74" s="47">
        <f t="shared" ca="1" si="45"/>
        <v>30205795.993859299</v>
      </c>
    </row>
    <row r="75" spans="1:20">
      <c r="A75" s="2">
        <f>'Monthly Data'!A75</f>
        <v>44593</v>
      </c>
      <c r="B75">
        <f>'Monthly Data'!B75</f>
        <v>2022</v>
      </c>
      <c r="C75">
        <f>'Monthly Data'!C75</f>
        <v>2</v>
      </c>
      <c r="D75" s="3">
        <f ca="1">'Monthly Data'!BQ75</f>
        <v>28370529.540817738</v>
      </c>
      <c r="E75" s="3">
        <f t="shared" ref="E75:F75" ca="1" si="85">E63</f>
        <v>490.99541666666664</v>
      </c>
      <c r="F75" s="3">
        <f t="shared" ca="1" si="85"/>
        <v>0</v>
      </c>
      <c r="G75" s="3">
        <f>'Monthly Data'!DQ75</f>
        <v>28</v>
      </c>
      <c r="H75" s="3">
        <f>'Monthly Data'!EJ75</f>
        <v>0.25</v>
      </c>
      <c r="I75">
        <f>'Monthly Data'!EF75</f>
        <v>0</v>
      </c>
      <c r="K75" s="3">
        <f t="shared" si="70"/>
        <v>13824899.391279301</v>
      </c>
      <c r="L75" s="3">
        <f t="shared" ca="1" si="71"/>
        <v>3787751.2147381431</v>
      </c>
      <c r="M75" s="3">
        <f t="shared" ca="1" si="72"/>
        <v>0</v>
      </c>
      <c r="N75" s="3">
        <f t="shared" si="73"/>
        <v>11568681.517923599</v>
      </c>
      <c r="O75" s="3">
        <f t="shared" si="74"/>
        <v>-875994.32184545498</v>
      </c>
      <c r="P75" s="3">
        <f t="shared" si="75"/>
        <v>0</v>
      </c>
      <c r="Q75" s="47">
        <f t="shared" ca="1" si="84"/>
        <v>28305337.802095588</v>
      </c>
      <c r="R75" s="47">
        <f>'Monthly Data'!BR75</f>
        <v>7554.0532948717946</v>
      </c>
      <c r="S75" s="47">
        <f ca="1">+'Monthly Data'!BS75</f>
        <v>53289.3305053925</v>
      </c>
      <c r="T75" s="47">
        <f t="shared" ca="1" si="45"/>
        <v>28366181.185895853</v>
      </c>
    </row>
    <row r="76" spans="1:20">
      <c r="A76" s="2">
        <f>'Monthly Data'!A76</f>
        <v>44621</v>
      </c>
      <c r="B76">
        <f>'Monthly Data'!B76</f>
        <v>2022</v>
      </c>
      <c r="C76">
        <f>'Monthly Data'!C76</f>
        <v>3</v>
      </c>
      <c r="D76" s="3">
        <f ca="1">'Monthly Data'!BQ76</f>
        <v>29954508.427052781</v>
      </c>
      <c r="E76" s="3">
        <f t="shared" ref="E76:F76" ca="1" si="86">E64</f>
        <v>410.21590579710147</v>
      </c>
      <c r="F76" s="3">
        <f t="shared" ca="1" si="86"/>
        <v>2.9583333333332896E-2</v>
      </c>
      <c r="G76" s="3">
        <f>'Monthly Data'!DQ76</f>
        <v>31</v>
      </c>
      <c r="H76" s="3">
        <f>'Monthly Data'!EJ76</f>
        <v>0.25</v>
      </c>
      <c r="I76">
        <f>'Monthly Data'!EF76</f>
        <v>0</v>
      </c>
      <c r="K76" s="3">
        <f t="shared" si="70"/>
        <v>13824899.391279301</v>
      </c>
      <c r="L76" s="3">
        <f t="shared" ca="1" si="71"/>
        <v>3164583.0953708063</v>
      </c>
      <c r="M76" s="3">
        <f t="shared" ca="1" si="72"/>
        <v>445.54494017078349</v>
      </c>
      <c r="N76" s="3">
        <f t="shared" si="73"/>
        <v>12808183.109129699</v>
      </c>
      <c r="O76" s="3">
        <f t="shared" si="74"/>
        <v>-875994.32184545498</v>
      </c>
      <c r="P76" s="3">
        <f t="shared" si="75"/>
        <v>0</v>
      </c>
      <c r="Q76" s="47">
        <f t="shared" ca="1" si="84"/>
        <v>28922116.818874519</v>
      </c>
      <c r="R76" s="47">
        <f>'Monthly Data'!BR76</f>
        <v>7918.640692307692</v>
      </c>
      <c r="S76" s="47">
        <f ca="1">+'Monthly Data'!BS76</f>
        <v>45580.291309841923</v>
      </c>
      <c r="T76" s="47">
        <f t="shared" ca="1" si="45"/>
        <v>28975615.750876669</v>
      </c>
    </row>
    <row r="77" spans="1:20">
      <c r="A77" s="2">
        <f>'Monthly Data'!A77</f>
        <v>44652</v>
      </c>
      <c r="B77">
        <f>'Monthly Data'!B77</f>
        <v>2022</v>
      </c>
      <c r="C77">
        <f>'Monthly Data'!C77</f>
        <v>4</v>
      </c>
      <c r="D77" s="3">
        <f ca="1">'Monthly Data'!BQ77</f>
        <v>26938308.801129319</v>
      </c>
      <c r="E77" s="3">
        <f t="shared" ref="E77:F77" ca="1" si="87">E65</f>
        <v>235.09104166666671</v>
      </c>
      <c r="F77" s="3">
        <f t="shared" ca="1" si="87"/>
        <v>6.0095833333333344</v>
      </c>
      <c r="G77" s="3">
        <f>'Monthly Data'!DQ77</f>
        <v>30</v>
      </c>
      <c r="H77" s="3">
        <f>'Monthly Data'!EJ77</f>
        <v>0.25</v>
      </c>
      <c r="I77">
        <f>'Monthly Data'!EF77</f>
        <v>0</v>
      </c>
      <c r="K77" s="3">
        <f t="shared" si="70"/>
        <v>13824899.391279301</v>
      </c>
      <c r="L77" s="3">
        <f t="shared" ca="1" si="71"/>
        <v>1813594.0752609991</v>
      </c>
      <c r="M77" s="3">
        <f t="shared" ca="1" si="72"/>
        <v>90508.375663145154</v>
      </c>
      <c r="N77" s="3">
        <f t="shared" si="73"/>
        <v>12395015.912061</v>
      </c>
      <c r="O77" s="3">
        <f t="shared" si="74"/>
        <v>-875994.32184545498</v>
      </c>
      <c r="P77" s="3">
        <f t="shared" si="75"/>
        <v>0</v>
      </c>
      <c r="Q77" s="47">
        <f t="shared" ca="1" si="84"/>
        <v>27248023.432418991</v>
      </c>
      <c r="R77" s="47">
        <f>'Monthly Data'!BR77</f>
        <v>8283.2280897435885</v>
      </c>
      <c r="S77" s="47">
        <f ca="1">+'Monthly Data'!BS77</f>
        <v>29649.346171119436</v>
      </c>
      <c r="T77" s="47">
        <f t="shared" ca="1" si="45"/>
        <v>27285956.006679852</v>
      </c>
    </row>
    <row r="78" spans="1:20">
      <c r="A78" s="2">
        <f>'Monthly Data'!A78</f>
        <v>44682</v>
      </c>
      <c r="B78">
        <f>'Monthly Data'!B78</f>
        <v>2022</v>
      </c>
      <c r="C78">
        <f>'Monthly Data'!C78</f>
        <v>5</v>
      </c>
      <c r="D78" s="3">
        <f ca="1">'Monthly Data'!BQ78</f>
        <v>27035905.065929353</v>
      </c>
      <c r="E78" s="3">
        <f t="shared" ref="E78:F78" ca="1" si="88">E66</f>
        <v>66.98488157894738</v>
      </c>
      <c r="F78" s="3">
        <f t="shared" ca="1" si="88"/>
        <v>81.50872474747473</v>
      </c>
      <c r="G78" s="3">
        <f>'Monthly Data'!DQ78</f>
        <v>31</v>
      </c>
      <c r="H78" s="3">
        <f>'Monthly Data'!EJ78</f>
        <v>0.25</v>
      </c>
      <c r="I78">
        <f>'Monthly Data'!EF78</f>
        <v>0</v>
      </c>
      <c r="K78" s="3">
        <f t="shared" si="70"/>
        <v>13824899.391279301</v>
      </c>
      <c r="L78" s="3">
        <f t="shared" ca="1" si="71"/>
        <v>516750.37680035766</v>
      </c>
      <c r="M78" s="3">
        <f t="shared" ca="1" si="72"/>
        <v>1227576.3343440345</v>
      </c>
      <c r="N78" s="3">
        <f t="shared" si="73"/>
        <v>12808183.109129699</v>
      </c>
      <c r="O78" s="3">
        <f t="shared" si="74"/>
        <v>-875994.32184545498</v>
      </c>
      <c r="P78" s="3">
        <f t="shared" si="75"/>
        <v>0</v>
      </c>
      <c r="Q78" s="47">
        <f t="shared" ca="1" si="84"/>
        <v>27501414.889707942</v>
      </c>
      <c r="R78" s="47">
        <f>'Monthly Data'!BR78</f>
        <v>8647.8154871794868</v>
      </c>
      <c r="S78" s="47">
        <f ca="1">+'Monthly Data'!BS78</f>
        <v>9163.2657110696255</v>
      </c>
      <c r="T78" s="47">
        <f t="shared" ca="1" si="45"/>
        <v>27519225.970906191</v>
      </c>
    </row>
    <row r="79" spans="1:20">
      <c r="A79" s="2">
        <f>'Monthly Data'!A79</f>
        <v>44713</v>
      </c>
      <c r="B79">
        <f>'Monthly Data'!B79</f>
        <v>2022</v>
      </c>
      <c r="C79">
        <f>'Monthly Data'!C79</f>
        <v>6</v>
      </c>
      <c r="D79" s="3">
        <f ca="1">'Monthly Data'!BQ79</f>
        <v>27655496.46492333</v>
      </c>
      <c r="E79" s="3">
        <f t="shared" ref="E79:F79" ca="1" si="89">E67</f>
        <v>3.128333333333333</v>
      </c>
      <c r="F79" s="3">
        <f t="shared" ca="1" si="89"/>
        <v>202.3599342107168</v>
      </c>
      <c r="G79" s="3">
        <f>'Monthly Data'!DQ79</f>
        <v>30</v>
      </c>
      <c r="H79" s="3">
        <f>'Monthly Data'!EJ79</f>
        <v>0.25</v>
      </c>
      <c r="I79">
        <f>'Monthly Data'!EF79</f>
        <v>0</v>
      </c>
      <c r="K79" s="3">
        <f t="shared" si="70"/>
        <v>13824899.391279301</v>
      </c>
      <c r="L79" s="3">
        <f t="shared" ca="1" si="71"/>
        <v>24133.317707695824</v>
      </c>
      <c r="M79" s="3">
        <f t="shared" ca="1" si="72"/>
        <v>3047677.0066775945</v>
      </c>
      <c r="N79" s="3">
        <f t="shared" si="73"/>
        <v>12395015.912061</v>
      </c>
      <c r="O79" s="3">
        <f t="shared" si="74"/>
        <v>-875994.32184545498</v>
      </c>
      <c r="P79" s="3">
        <f t="shared" si="75"/>
        <v>0</v>
      </c>
      <c r="Q79" s="47">
        <f t="shared" ca="1" si="84"/>
        <v>28415731.305880141</v>
      </c>
      <c r="R79" s="47">
        <f>'Monthly Data'!BR79</f>
        <v>9012.4028846153851</v>
      </c>
      <c r="S79" s="47">
        <f ca="1">+'Monthly Data'!BS79</f>
        <v>3026.2843013587449</v>
      </c>
      <c r="T79" s="47">
        <f t="shared" ca="1" si="45"/>
        <v>28427769.993066113</v>
      </c>
    </row>
    <row r="80" spans="1:20">
      <c r="A80" s="2">
        <f>'Monthly Data'!A80</f>
        <v>44743</v>
      </c>
      <c r="B80">
        <f>'Monthly Data'!B80</f>
        <v>2022</v>
      </c>
      <c r="C80">
        <f>'Monthly Data'!C80</f>
        <v>7</v>
      </c>
      <c r="D80" s="3">
        <f ca="1">'Monthly Data'!BQ80</f>
        <v>29984020.638459489</v>
      </c>
      <c r="E80" s="3">
        <f t="shared" ref="E80:F80" ca="1" si="90">E68</f>
        <v>0</v>
      </c>
      <c r="F80" s="3">
        <f t="shared" ca="1" si="90"/>
        <v>304.72508692061177</v>
      </c>
      <c r="G80" s="3">
        <f>'Monthly Data'!DQ80</f>
        <v>31</v>
      </c>
      <c r="H80" s="3">
        <f>'Monthly Data'!EJ80</f>
        <v>0.25</v>
      </c>
      <c r="I80">
        <f>'Monthly Data'!EF80</f>
        <v>0</v>
      </c>
      <c r="K80" s="3">
        <f t="shared" si="70"/>
        <v>13824899.391279301</v>
      </c>
      <c r="L80" s="3">
        <f t="shared" ca="1" si="71"/>
        <v>0</v>
      </c>
      <c r="M80" s="3">
        <f t="shared" ca="1" si="72"/>
        <v>4589365.2040760377</v>
      </c>
      <c r="N80" s="3">
        <f t="shared" si="73"/>
        <v>12808183.109129699</v>
      </c>
      <c r="O80" s="3">
        <f t="shared" si="74"/>
        <v>-875994.32184545498</v>
      </c>
      <c r="P80" s="3">
        <f t="shared" si="75"/>
        <v>0</v>
      </c>
      <c r="Q80" s="47">
        <f t="shared" ca="1" si="84"/>
        <v>30346453.382639583</v>
      </c>
      <c r="R80" s="47">
        <f>'Monthly Data'!BR80</f>
        <v>9376.9902820512816</v>
      </c>
      <c r="S80" s="47">
        <f ca="1">+'Monthly Data'!BS80</f>
        <v>51.94911311731888</v>
      </c>
      <c r="T80" s="47">
        <f t="shared" ca="1" si="45"/>
        <v>30355882.32203475</v>
      </c>
    </row>
    <row r="81" spans="1:20">
      <c r="A81" s="2">
        <f>'Monthly Data'!A81</f>
        <v>44774</v>
      </c>
      <c r="B81">
        <f>'Monthly Data'!B81</f>
        <v>2022</v>
      </c>
      <c r="C81">
        <f>'Monthly Data'!C81</f>
        <v>8</v>
      </c>
      <c r="D81" s="3">
        <f ca="1">'Monthly Data'!BQ81</f>
        <v>31371085.271917589</v>
      </c>
      <c r="E81" s="3">
        <f t="shared" ref="E81:F81" ca="1" si="91">E69</f>
        <v>6.5416666666666859E-2</v>
      </c>
      <c r="F81" s="3">
        <f t="shared" ca="1" si="91"/>
        <v>275.96017127799735</v>
      </c>
      <c r="G81" s="3">
        <f>'Monthly Data'!DQ81</f>
        <v>31</v>
      </c>
      <c r="H81" s="3">
        <f>'Monthly Data'!EJ81</f>
        <v>0.25</v>
      </c>
      <c r="I81">
        <f>'Monthly Data'!EF81</f>
        <v>0</v>
      </c>
      <c r="K81" s="3">
        <f t="shared" si="70"/>
        <v>13824899.391279301</v>
      </c>
      <c r="L81" s="3">
        <f t="shared" ca="1" si="71"/>
        <v>504.65248802720515</v>
      </c>
      <c r="M81" s="3">
        <f t="shared" ca="1" si="72"/>
        <v>4156146.1859687767</v>
      </c>
      <c r="N81" s="3">
        <f t="shared" si="73"/>
        <v>12808183.109129699</v>
      </c>
      <c r="O81" s="3">
        <f t="shared" si="74"/>
        <v>-875994.32184545498</v>
      </c>
      <c r="P81" s="3">
        <f t="shared" si="75"/>
        <v>0</v>
      </c>
      <c r="Q81" s="47">
        <f t="shared" ca="1" si="84"/>
        <v>29913739.017020348</v>
      </c>
      <c r="R81" s="47">
        <f>'Monthly Data'!BR81</f>
        <v>9741.5776794871781</v>
      </c>
      <c r="S81" s="47">
        <f ca="1">+'Monthly Data'!BS81</f>
        <v>63.80327315751267</v>
      </c>
      <c r="T81" s="47">
        <f t="shared" ca="1" si="45"/>
        <v>29923544.397972994</v>
      </c>
    </row>
    <row r="82" spans="1:20">
      <c r="A82" s="2">
        <f>'Monthly Data'!A82</f>
        <v>44805</v>
      </c>
      <c r="B82">
        <f>'Monthly Data'!B82</f>
        <v>2022</v>
      </c>
      <c r="C82">
        <f>'Monthly Data'!C82</f>
        <v>9</v>
      </c>
      <c r="D82" s="3">
        <f ca="1">'Monthly Data'!BQ82</f>
        <v>28041075.671812195</v>
      </c>
      <c r="E82" s="3">
        <f t="shared" ref="E82:F82" ca="1" si="92">E70</f>
        <v>10.085869565217392</v>
      </c>
      <c r="F82" s="3">
        <f t="shared" ca="1" si="92"/>
        <v>154.9849637681159</v>
      </c>
      <c r="G82" s="3">
        <f>'Monthly Data'!DQ82</f>
        <v>30</v>
      </c>
      <c r="H82" s="3">
        <f>'Monthly Data'!EJ82</f>
        <v>0.25</v>
      </c>
      <c r="I82">
        <f>'Monthly Data'!EF82</f>
        <v>1</v>
      </c>
      <c r="K82" s="3">
        <f t="shared" si="70"/>
        <v>13824899.391279301</v>
      </c>
      <c r="L82" s="3">
        <f t="shared" ca="1" si="71"/>
        <v>77806.764382239096</v>
      </c>
      <c r="M82" s="3">
        <f t="shared" ca="1" si="72"/>
        <v>2334178.0194739359</v>
      </c>
      <c r="N82" s="3">
        <f t="shared" si="73"/>
        <v>12395015.912061</v>
      </c>
      <c r="O82" s="3">
        <f t="shared" si="74"/>
        <v>-875994.32184545498</v>
      </c>
      <c r="P82" s="3">
        <f t="shared" si="75"/>
        <v>0</v>
      </c>
      <c r="Q82" s="47">
        <f t="shared" ca="1" si="84"/>
        <v>27755905.765351024</v>
      </c>
      <c r="R82" s="47">
        <f>'Monthly Data'!BR82</f>
        <v>10106.165076923076</v>
      </c>
      <c r="S82" s="47">
        <f ca="1">+'Monthly Data'!BS82</f>
        <v>5975.5426155552213</v>
      </c>
      <c r="T82" s="47">
        <f t="shared" ca="1" si="45"/>
        <v>27771987.473043501</v>
      </c>
    </row>
    <row r="83" spans="1:20">
      <c r="A83" s="2">
        <f>'Monthly Data'!A83</f>
        <v>44835</v>
      </c>
      <c r="B83">
        <f>'Monthly Data'!B83</f>
        <v>2022</v>
      </c>
      <c r="C83">
        <f>'Monthly Data'!C83</f>
        <v>10</v>
      </c>
      <c r="D83" s="3">
        <f ca="1">'Monthly Data'!BQ83</f>
        <v>27173004.881673779</v>
      </c>
      <c r="E83" s="3">
        <f t="shared" ref="E83:F83" ca="1" si="93">E71</f>
        <v>126.20389492753625</v>
      </c>
      <c r="F83" s="3">
        <f t="shared" ca="1" si="93"/>
        <v>38.347916666666663</v>
      </c>
      <c r="G83" s="3">
        <f>'Monthly Data'!DQ83</f>
        <v>31</v>
      </c>
      <c r="H83" s="3">
        <f>'Monthly Data'!EJ83</f>
        <v>0.25</v>
      </c>
      <c r="I83">
        <f>'Monthly Data'!EF83</f>
        <v>1</v>
      </c>
      <c r="K83" s="3">
        <f t="shared" si="70"/>
        <v>13824899.391279301</v>
      </c>
      <c r="L83" s="3">
        <f t="shared" ca="1" si="71"/>
        <v>973591.48393230501</v>
      </c>
      <c r="M83" s="3">
        <f t="shared" ca="1" si="72"/>
        <v>577545.47279744595</v>
      </c>
      <c r="N83" s="3">
        <f t="shared" si="73"/>
        <v>12808183.109129699</v>
      </c>
      <c r="O83" s="3">
        <f t="shared" si="74"/>
        <v>-875994.32184545498</v>
      </c>
      <c r="P83" s="3">
        <f t="shared" si="75"/>
        <v>0</v>
      </c>
      <c r="Q83" s="47">
        <f t="shared" ca="1" si="84"/>
        <v>27308225.135293297</v>
      </c>
      <c r="R83" s="47">
        <f>'Monthly Data'!BR83</f>
        <v>10470.752474358973</v>
      </c>
      <c r="S83" s="47">
        <f ca="1">+'Monthly Data'!BS83</f>
        <v>22496.876464105611</v>
      </c>
      <c r="T83" s="47">
        <f t="shared" ca="1" si="45"/>
        <v>27341192.764231764</v>
      </c>
    </row>
    <row r="84" spans="1:20">
      <c r="A84" s="2">
        <f>'Monthly Data'!A84</f>
        <v>44866</v>
      </c>
      <c r="B84">
        <f>'Monthly Data'!B84</f>
        <v>2022</v>
      </c>
      <c r="C84">
        <f>'Monthly Data'!C84</f>
        <v>11</v>
      </c>
      <c r="D84" s="3">
        <f ca="1">'Monthly Data'!BQ84</f>
        <v>28201099.173492737</v>
      </c>
      <c r="E84" s="3">
        <f t="shared" ref="E84:F84" ca="1" si="94">E72</f>
        <v>316.29533055712409</v>
      </c>
      <c r="F84" s="3">
        <f t="shared" ca="1" si="94"/>
        <v>1.9241666666666659</v>
      </c>
      <c r="G84" s="3">
        <f>'Monthly Data'!DQ84</f>
        <v>30</v>
      </c>
      <c r="H84" s="3">
        <f>'Monthly Data'!EJ84</f>
        <v>0.25</v>
      </c>
      <c r="I84">
        <f>'Monthly Data'!EF84</f>
        <v>1</v>
      </c>
      <c r="K84" s="3">
        <f t="shared" si="70"/>
        <v>13824899.391279301</v>
      </c>
      <c r="L84" s="3">
        <f t="shared" ca="1" si="71"/>
        <v>2440039.1161840432</v>
      </c>
      <c r="M84" s="3">
        <f t="shared" ca="1" si="72"/>
        <v>28979.246953643771</v>
      </c>
      <c r="N84" s="3">
        <f t="shared" si="73"/>
        <v>12395015.912061</v>
      </c>
      <c r="O84" s="3">
        <f t="shared" si="74"/>
        <v>-875994.32184545498</v>
      </c>
      <c r="P84" s="3">
        <f t="shared" si="75"/>
        <v>0</v>
      </c>
      <c r="Q84" s="47">
        <f t="shared" ca="1" si="84"/>
        <v>27812939.344632532</v>
      </c>
      <c r="R84" s="47">
        <f>'Monthly Data'!BR84</f>
        <v>10835.339871794871</v>
      </c>
      <c r="S84" s="47">
        <f ca="1">+'Monthly Data'!BS84</f>
        <v>34460.740540374485</v>
      </c>
      <c r="T84" s="47">
        <f t="shared" ca="1" si="45"/>
        <v>27858235.425044701</v>
      </c>
    </row>
    <row r="85" spans="1:20">
      <c r="A85" s="2">
        <f>'Monthly Data'!A85</f>
        <v>44896</v>
      </c>
      <c r="B85">
        <f>'Monthly Data'!B85</f>
        <v>2022</v>
      </c>
      <c r="C85">
        <f>'Monthly Data'!C85</f>
        <v>12</v>
      </c>
      <c r="D85" s="3">
        <f ca="1">'Monthly Data'!BQ85</f>
        <v>29983452.957356121</v>
      </c>
      <c r="E85" s="3">
        <f t="shared" ref="E85:F85" ca="1" si="95">E73</f>
        <v>478.38541666666663</v>
      </c>
      <c r="F85" s="3">
        <f t="shared" ca="1" si="95"/>
        <v>0</v>
      </c>
      <c r="G85" s="3">
        <f>'Monthly Data'!DQ85</f>
        <v>31</v>
      </c>
      <c r="H85" s="3">
        <f>'Monthly Data'!EJ85</f>
        <v>0.25</v>
      </c>
      <c r="I85">
        <f>'Monthly Data'!EF85</f>
        <v>0</v>
      </c>
      <c r="K85" s="3">
        <f t="shared" si="70"/>
        <v>13824899.391279301</v>
      </c>
      <c r="L85" s="3">
        <f t="shared" ca="1" si="71"/>
        <v>3690472.2153900201</v>
      </c>
      <c r="M85" s="3">
        <f t="shared" ca="1" si="72"/>
        <v>0</v>
      </c>
      <c r="N85" s="3">
        <f t="shared" si="73"/>
        <v>12808183.109129699</v>
      </c>
      <c r="O85" s="3">
        <f t="shared" si="74"/>
        <v>-875994.32184545498</v>
      </c>
      <c r="P85" s="3">
        <f t="shared" si="75"/>
        <v>0</v>
      </c>
      <c r="Q85" s="47">
        <f t="shared" ca="1" si="84"/>
        <v>29447560.393953566</v>
      </c>
      <c r="R85" s="47">
        <f>'Monthly Data'!BR85</f>
        <v>11199.927269230768</v>
      </c>
      <c r="S85" s="47">
        <f ca="1">+'Monthly Data'!BS85</f>
        <v>48960.818831892415</v>
      </c>
      <c r="T85" s="47">
        <f t="shared" ca="1" si="45"/>
        <v>29507721.140054688</v>
      </c>
    </row>
    <row r="86" spans="1:20">
      <c r="A86" s="2">
        <f>'Monthly Data'!A86</f>
        <v>44927</v>
      </c>
      <c r="B86">
        <f>'Monthly Data'!B86</f>
        <v>2023</v>
      </c>
      <c r="C86">
        <f>'Monthly Data'!C86</f>
        <v>1</v>
      </c>
      <c r="D86" s="3">
        <f ca="1">'Monthly Data'!BQ86</f>
        <v>30620248.846673649</v>
      </c>
      <c r="E86" s="3">
        <f t="shared" ref="E86:F86" ca="1" si="96">E74</f>
        <v>566.78750000000002</v>
      </c>
      <c r="F86" s="3">
        <f t="shared" ca="1" si="96"/>
        <v>0</v>
      </c>
      <c r="G86" s="3">
        <f>'Monthly Data'!DQ86</f>
        <v>31</v>
      </c>
      <c r="H86" s="3">
        <f>'Monthly Data'!EJ86</f>
        <v>0</v>
      </c>
      <c r="I86">
        <f>'Monthly Data'!EF86</f>
        <v>0</v>
      </c>
      <c r="K86" s="3">
        <f t="shared" si="70"/>
        <v>13824899.391279301</v>
      </c>
      <c r="L86" s="3">
        <f t="shared" ca="1" si="71"/>
        <v>4372444.1588441078</v>
      </c>
      <c r="M86" s="3">
        <f t="shared" ca="1" si="72"/>
        <v>0</v>
      </c>
      <c r="N86" s="3">
        <f t="shared" si="73"/>
        <v>12808183.109129699</v>
      </c>
      <c r="O86" s="3">
        <f t="shared" si="74"/>
        <v>0</v>
      </c>
      <c r="P86" s="3">
        <f t="shared" si="75"/>
        <v>0</v>
      </c>
      <c r="Q86" s="47">
        <f t="shared" ca="1" si="84"/>
        <v>31005526.659253106</v>
      </c>
      <c r="R86" s="47">
        <f>'Monthly Data'!BR86</f>
        <v>12088.223589743591</v>
      </c>
      <c r="S86" s="47">
        <f ca="1">+'Monthly Data'!BS86</f>
        <v>67700.470175603856</v>
      </c>
      <c r="T86" s="47">
        <f t="shared" ca="1" si="45"/>
        <v>31085315.353018455</v>
      </c>
    </row>
    <row r="87" spans="1:20">
      <c r="A87" s="2">
        <f>'Monthly Data'!A87</f>
        <v>44958</v>
      </c>
      <c r="B87">
        <f>'Monthly Data'!B87</f>
        <v>2023</v>
      </c>
      <c r="C87">
        <f>'Monthly Data'!C87</f>
        <v>2</v>
      </c>
      <c r="D87" s="3">
        <f ca="1">'Monthly Data'!BQ87</f>
        <v>28806353.346567009</v>
      </c>
      <c r="E87" s="3">
        <f t="shared" ref="E87:F87" ca="1" si="97">E75</f>
        <v>490.99541666666664</v>
      </c>
      <c r="F87" s="3">
        <f t="shared" ca="1" si="97"/>
        <v>0</v>
      </c>
      <c r="G87" s="3">
        <f>'Monthly Data'!DQ87</f>
        <v>28</v>
      </c>
      <c r="H87" s="3">
        <f>'Monthly Data'!EJ87</f>
        <v>0</v>
      </c>
      <c r="I87">
        <f>'Monthly Data'!EF87</f>
        <v>0</v>
      </c>
      <c r="K87" s="3">
        <f t="shared" si="70"/>
        <v>13824899.391279301</v>
      </c>
      <c r="L87" s="3">
        <f t="shared" ca="1" si="71"/>
        <v>3787751.2147381431</v>
      </c>
      <c r="M87" s="3">
        <f t="shared" ca="1" si="72"/>
        <v>0</v>
      </c>
      <c r="N87" s="3">
        <f t="shared" si="73"/>
        <v>11568681.517923599</v>
      </c>
      <c r="O87" s="3">
        <f t="shared" si="74"/>
        <v>0</v>
      </c>
      <c r="P87" s="3">
        <f t="shared" si="75"/>
        <v>0</v>
      </c>
      <c r="Q87" s="47">
        <f t="shared" ca="1" si="84"/>
        <v>29181332.123941042</v>
      </c>
      <c r="R87" s="47">
        <f>'Monthly Data'!BR87</f>
        <v>12611.932512820515</v>
      </c>
      <c r="S87" s="47">
        <f ca="1">+'Monthly Data'!BS87</f>
        <v>64266.811338676482</v>
      </c>
      <c r="T87" s="47">
        <f t="shared" ca="1" si="45"/>
        <v>29258210.867792539</v>
      </c>
    </row>
    <row r="88" spans="1:20">
      <c r="A88" s="2">
        <f>'Monthly Data'!A88</f>
        <v>44986</v>
      </c>
      <c r="B88">
        <f>'Monthly Data'!B88</f>
        <v>2023</v>
      </c>
      <c r="C88">
        <f>'Monthly Data'!C88</f>
        <v>3</v>
      </c>
      <c r="D88" s="3">
        <f ca="1">'Monthly Data'!BQ88</f>
        <v>30164073.260450158</v>
      </c>
      <c r="E88" s="3">
        <f t="shared" ref="E88:F88" ca="1" si="98">E76</f>
        <v>410.21590579710147</v>
      </c>
      <c r="F88" s="3">
        <f t="shared" ca="1" si="98"/>
        <v>2.9583333333332896E-2</v>
      </c>
      <c r="G88" s="3">
        <f>'Monthly Data'!DQ88</f>
        <v>31</v>
      </c>
      <c r="H88" s="3">
        <f>'Monthly Data'!EJ88</f>
        <v>0</v>
      </c>
      <c r="I88">
        <f>'Monthly Data'!EF88</f>
        <v>0</v>
      </c>
      <c r="K88" s="3">
        <f t="shared" si="70"/>
        <v>13824899.391279301</v>
      </c>
      <c r="L88" s="3">
        <f t="shared" ca="1" si="71"/>
        <v>3164583.0953708063</v>
      </c>
      <c r="M88" s="3">
        <f t="shared" ca="1" si="72"/>
        <v>445.54494017078349</v>
      </c>
      <c r="N88" s="3">
        <f t="shared" si="73"/>
        <v>12808183.109129699</v>
      </c>
      <c r="O88" s="3">
        <f t="shared" si="74"/>
        <v>0</v>
      </c>
      <c r="P88" s="3">
        <f t="shared" si="75"/>
        <v>0</v>
      </c>
      <c r="Q88" s="47">
        <f t="shared" ca="1" si="84"/>
        <v>29798111.140719973</v>
      </c>
      <c r="R88" s="47">
        <f>'Monthly Data'!BR88</f>
        <v>13135.641435897436</v>
      </c>
      <c r="S88" s="47">
        <f ca="1">+'Monthly Data'!BS88</f>
        <v>61756.359834892828</v>
      </c>
      <c r="T88" s="47">
        <f t="shared" ca="1" si="45"/>
        <v>29873003.141990766</v>
      </c>
    </row>
    <row r="89" spans="1:20">
      <c r="A89" s="2">
        <f>'Monthly Data'!A89</f>
        <v>45017</v>
      </c>
      <c r="B89">
        <f>'Monthly Data'!B89</f>
        <v>2023</v>
      </c>
      <c r="C89">
        <f>'Monthly Data'!C89</f>
        <v>4</v>
      </c>
      <c r="D89" s="3">
        <f ca="1">'Monthly Data'!BQ89</f>
        <v>26569773.62464853</v>
      </c>
      <c r="E89" s="3">
        <f t="shared" ref="E89:F89" ca="1" si="99">E77</f>
        <v>235.09104166666671</v>
      </c>
      <c r="F89" s="3">
        <f t="shared" ca="1" si="99"/>
        <v>6.0095833333333344</v>
      </c>
      <c r="G89" s="3">
        <f>'Monthly Data'!DQ89</f>
        <v>30</v>
      </c>
      <c r="H89" s="3">
        <f>'Monthly Data'!EJ89</f>
        <v>0</v>
      </c>
      <c r="I89">
        <f>'Monthly Data'!EF89</f>
        <v>0</v>
      </c>
      <c r="K89" s="3">
        <f t="shared" si="70"/>
        <v>13824899.391279301</v>
      </c>
      <c r="L89" s="3">
        <f t="shared" ca="1" si="71"/>
        <v>1813594.0752609991</v>
      </c>
      <c r="M89" s="3">
        <f t="shared" ca="1" si="72"/>
        <v>90508.375663145154</v>
      </c>
      <c r="N89" s="3">
        <f t="shared" si="73"/>
        <v>12395015.912061</v>
      </c>
      <c r="O89" s="3">
        <f t="shared" si="74"/>
        <v>0</v>
      </c>
      <c r="P89" s="3">
        <f t="shared" si="75"/>
        <v>0</v>
      </c>
      <c r="Q89" s="47">
        <f t="shared" ca="1" si="84"/>
        <v>28124017.754264444</v>
      </c>
      <c r="R89" s="47">
        <f>'Monthly Data'!BR89</f>
        <v>13659.35035897436</v>
      </c>
      <c r="S89" s="47">
        <f ca="1">+'Monthly Data'!BS89</f>
        <v>33779.021573232159</v>
      </c>
      <c r="T89" s="47">
        <f t="shared" ca="1" si="45"/>
        <v>28171456.126196649</v>
      </c>
    </row>
    <row r="90" spans="1:20">
      <c r="A90" s="2">
        <f>'Monthly Data'!A90</f>
        <v>45047</v>
      </c>
      <c r="B90">
        <f>'Monthly Data'!B90</f>
        <v>2023</v>
      </c>
      <c r="C90">
        <f>'Monthly Data'!C90</f>
        <v>5</v>
      </c>
      <c r="D90" s="3">
        <f ca="1">'Monthly Data'!BQ90</f>
        <v>27252991.543935463</v>
      </c>
      <c r="E90" s="3">
        <f t="shared" ref="E90:F90" ca="1" si="100">E78</f>
        <v>66.98488157894738</v>
      </c>
      <c r="F90" s="3">
        <f t="shared" ca="1" si="100"/>
        <v>81.50872474747473</v>
      </c>
      <c r="G90" s="3">
        <f>'Monthly Data'!DQ90</f>
        <v>31</v>
      </c>
      <c r="H90" s="3">
        <f>'Monthly Data'!EJ90</f>
        <v>0</v>
      </c>
      <c r="I90">
        <f>'Monthly Data'!EF90</f>
        <v>0</v>
      </c>
      <c r="K90" s="3">
        <f t="shared" si="70"/>
        <v>13824899.391279301</v>
      </c>
      <c r="L90" s="3">
        <f t="shared" ca="1" si="71"/>
        <v>516750.37680035766</v>
      </c>
      <c r="M90" s="3">
        <f t="shared" ca="1" si="72"/>
        <v>1227576.3343440345</v>
      </c>
      <c r="N90" s="3">
        <f t="shared" si="73"/>
        <v>12808183.109129699</v>
      </c>
      <c r="O90" s="3">
        <f t="shared" si="74"/>
        <v>0</v>
      </c>
      <c r="P90" s="3">
        <f t="shared" si="75"/>
        <v>0</v>
      </c>
      <c r="Q90" s="47">
        <f t="shared" ca="1" si="84"/>
        <v>28377409.211553395</v>
      </c>
      <c r="R90" s="47">
        <f>'Monthly Data'!BR90</f>
        <v>14183.059282051283</v>
      </c>
      <c r="S90" s="47">
        <f ca="1">+'Monthly Data'!BS90</f>
        <v>18331.245900600781</v>
      </c>
      <c r="T90" s="47">
        <f t="shared" ca="1" si="45"/>
        <v>28409923.516736045</v>
      </c>
    </row>
    <row r="91" spans="1:20">
      <c r="A91" s="2">
        <f>'Monthly Data'!A91</f>
        <v>45078</v>
      </c>
      <c r="B91">
        <f>'Monthly Data'!B91</f>
        <v>2023</v>
      </c>
      <c r="C91">
        <f>'Monthly Data'!C91</f>
        <v>6</v>
      </c>
      <c r="D91" s="3">
        <f ca="1">'Monthly Data'!BQ91</f>
        <v>28586220.679073494</v>
      </c>
      <c r="E91" s="3">
        <f t="shared" ref="E91:F91" ca="1" si="101">E79</f>
        <v>3.128333333333333</v>
      </c>
      <c r="F91" s="3">
        <f t="shared" ca="1" si="101"/>
        <v>202.3599342107168</v>
      </c>
      <c r="G91" s="3">
        <f>'Monthly Data'!DQ91</f>
        <v>30</v>
      </c>
      <c r="H91" s="3">
        <f>'Monthly Data'!EJ91</f>
        <v>0</v>
      </c>
      <c r="I91">
        <f>'Monthly Data'!EF91</f>
        <v>0</v>
      </c>
      <c r="K91" s="3">
        <f t="shared" si="70"/>
        <v>13824899.391279301</v>
      </c>
      <c r="L91" s="3">
        <f t="shared" ca="1" si="71"/>
        <v>24133.317707695824</v>
      </c>
      <c r="M91" s="3">
        <f t="shared" ca="1" si="72"/>
        <v>3047677.0066775945</v>
      </c>
      <c r="N91" s="3">
        <f t="shared" si="73"/>
        <v>12395015.912061</v>
      </c>
      <c r="O91" s="3">
        <f t="shared" si="74"/>
        <v>0</v>
      </c>
      <c r="P91" s="3">
        <f t="shared" si="75"/>
        <v>0</v>
      </c>
      <c r="Q91" s="47">
        <f t="shared" ca="1" si="84"/>
        <v>29291725.627725594</v>
      </c>
      <c r="R91" s="47">
        <f>'Monthly Data'!BR91</f>
        <v>14706.768205128206</v>
      </c>
      <c r="S91" s="47">
        <f ca="1">+'Monthly Data'!BS91</f>
        <v>2403.0475145965033</v>
      </c>
      <c r="T91" s="47">
        <f t="shared" ca="1" si="45"/>
        <v>29308835.443445317</v>
      </c>
    </row>
    <row r="92" spans="1:20">
      <c r="A92" s="2">
        <f>'Monthly Data'!A92</f>
        <v>45108</v>
      </c>
      <c r="B92">
        <f>'Monthly Data'!B92</f>
        <v>2023</v>
      </c>
      <c r="C92">
        <f>'Monthly Data'!C92</f>
        <v>7</v>
      </c>
      <c r="D92" s="3">
        <f ca="1">'Monthly Data'!BQ92</f>
        <v>30529032.349186007</v>
      </c>
      <c r="E92" s="3">
        <f t="shared" ref="E92:F92" ca="1" si="102">E80</f>
        <v>0</v>
      </c>
      <c r="F92" s="3">
        <f t="shared" ca="1" si="102"/>
        <v>304.72508692061177</v>
      </c>
      <c r="G92" s="3">
        <f>'Monthly Data'!DQ92</f>
        <v>31</v>
      </c>
      <c r="H92" s="3">
        <f>'Monthly Data'!EJ92</f>
        <v>0</v>
      </c>
      <c r="I92">
        <f>'Monthly Data'!EF92</f>
        <v>0</v>
      </c>
      <c r="K92" s="3">
        <f t="shared" si="70"/>
        <v>13824899.391279301</v>
      </c>
      <c r="L92" s="3">
        <f t="shared" ca="1" si="71"/>
        <v>0</v>
      </c>
      <c r="M92" s="3">
        <f t="shared" ca="1" si="72"/>
        <v>4589365.2040760377</v>
      </c>
      <c r="N92" s="3">
        <f t="shared" si="73"/>
        <v>12808183.109129699</v>
      </c>
      <c r="O92" s="3">
        <f t="shared" si="74"/>
        <v>0</v>
      </c>
      <c r="P92" s="3">
        <f t="shared" si="75"/>
        <v>0</v>
      </c>
      <c r="Q92" s="47">
        <f t="shared" ca="1" si="84"/>
        <v>31222447.704485036</v>
      </c>
      <c r="R92" s="47">
        <f>'Monthly Data'!BR92</f>
        <v>15230.47712820513</v>
      </c>
      <c r="S92" s="47">
        <f ca="1">+'Monthly Data'!BS92</f>
        <v>14.009215980935304</v>
      </c>
      <c r="T92" s="47">
        <f t="shared" ca="1" si="45"/>
        <v>31237692.190829221</v>
      </c>
    </row>
    <row r="93" spans="1:20">
      <c r="A93" s="2">
        <f>'Monthly Data'!A93</f>
        <v>45139</v>
      </c>
      <c r="B93">
        <f>'Monthly Data'!B93</f>
        <v>2023</v>
      </c>
      <c r="C93">
        <f>'Monthly Data'!C93</f>
        <v>8</v>
      </c>
      <c r="D93" s="3">
        <f ca="1">'Monthly Data'!BQ93</f>
        <v>30212310.704378072</v>
      </c>
      <c r="E93" s="3">
        <f t="shared" ref="E93:F93" ca="1" si="103">E81</f>
        <v>6.5416666666666859E-2</v>
      </c>
      <c r="F93" s="3">
        <f t="shared" ca="1" si="103"/>
        <v>275.96017127799735</v>
      </c>
      <c r="G93" s="3">
        <f>'Monthly Data'!DQ93</f>
        <v>31</v>
      </c>
      <c r="H93" s="3">
        <f>'Monthly Data'!EJ93</f>
        <v>0</v>
      </c>
      <c r="I93">
        <f>'Monthly Data'!EF93</f>
        <v>0</v>
      </c>
      <c r="K93" s="3">
        <f t="shared" si="70"/>
        <v>13824899.391279301</v>
      </c>
      <c r="L93" s="3">
        <f t="shared" ca="1" si="71"/>
        <v>504.65248802720515</v>
      </c>
      <c r="M93" s="3">
        <f t="shared" ca="1" si="72"/>
        <v>4156146.1859687767</v>
      </c>
      <c r="N93" s="3">
        <f t="shared" si="73"/>
        <v>12808183.109129699</v>
      </c>
      <c r="O93" s="3">
        <f t="shared" si="74"/>
        <v>0</v>
      </c>
      <c r="P93" s="3">
        <f t="shared" si="75"/>
        <v>0</v>
      </c>
      <c r="Q93" s="47">
        <f t="shared" ca="1" si="84"/>
        <v>30789733.338865802</v>
      </c>
      <c r="R93" s="47">
        <f>'Monthly Data'!BR93</f>
        <v>15754.186051282053</v>
      </c>
      <c r="S93" s="47">
        <f ca="1">+'Monthly Data'!BS93</f>
        <v>1039.4838257854285</v>
      </c>
      <c r="T93" s="47">
        <f t="shared" ca="1" si="45"/>
        <v>30806527.008742869</v>
      </c>
    </row>
    <row r="94" spans="1:20">
      <c r="A94" s="2">
        <f>'Monthly Data'!A94</f>
        <v>45170</v>
      </c>
      <c r="B94">
        <f>'Monthly Data'!B94</f>
        <v>2023</v>
      </c>
      <c r="C94">
        <f>'Monthly Data'!C94</f>
        <v>9</v>
      </c>
      <c r="D94" s="3">
        <f ca="1">'Monthly Data'!BQ94</f>
        <v>28890972.634472579</v>
      </c>
      <c r="E94" s="3">
        <f t="shared" ref="E94:F94" ca="1" si="104">E82</f>
        <v>10.085869565217392</v>
      </c>
      <c r="F94" s="3">
        <f t="shared" ca="1" si="104"/>
        <v>154.9849637681159</v>
      </c>
      <c r="G94" s="3">
        <f>'Monthly Data'!DQ94</f>
        <v>30</v>
      </c>
      <c r="H94" s="3">
        <f>'Monthly Data'!EJ94</f>
        <v>0</v>
      </c>
      <c r="I94">
        <f>'Monthly Data'!EF94</f>
        <v>1</v>
      </c>
      <c r="K94" s="3">
        <f t="shared" si="70"/>
        <v>13824899.391279301</v>
      </c>
      <c r="L94" s="3">
        <f t="shared" ca="1" si="71"/>
        <v>77806.764382239096</v>
      </c>
      <c r="M94" s="3">
        <f t="shared" ca="1" si="72"/>
        <v>2334178.0194739359</v>
      </c>
      <c r="N94" s="3">
        <f t="shared" si="73"/>
        <v>12395015.912061</v>
      </c>
      <c r="O94" s="3">
        <f t="shared" si="74"/>
        <v>0</v>
      </c>
      <c r="P94" s="3">
        <f t="shared" si="75"/>
        <v>0</v>
      </c>
      <c r="Q94" s="47">
        <f t="shared" ca="1" si="84"/>
        <v>28631900.087196477</v>
      </c>
      <c r="R94" s="47">
        <f>'Monthly Data'!BR94</f>
        <v>16277.894974358976</v>
      </c>
      <c r="S94" s="47">
        <f ca="1">+'Monthly Data'!BS94</f>
        <v>5333.7754978082539</v>
      </c>
      <c r="T94" s="47">
        <f t="shared" ca="1" si="45"/>
        <v>28653511.757668644</v>
      </c>
    </row>
    <row r="95" spans="1:20">
      <c r="A95" s="2">
        <f>'Monthly Data'!A95</f>
        <v>45200</v>
      </c>
      <c r="B95">
        <f>'Monthly Data'!B95</f>
        <v>2023</v>
      </c>
      <c r="C95">
        <f>'Monthly Data'!C95</f>
        <v>10</v>
      </c>
      <c r="D95" s="3">
        <f ca="1">'Monthly Data'!BQ95</f>
        <v>28262268.329802737</v>
      </c>
      <c r="E95" s="3">
        <f t="shared" ref="E95:F95" ca="1" si="105">E83</f>
        <v>126.20389492753625</v>
      </c>
      <c r="F95" s="3">
        <f t="shared" ca="1" si="105"/>
        <v>38.347916666666663</v>
      </c>
      <c r="G95" s="3">
        <f>'Monthly Data'!DQ95</f>
        <v>31</v>
      </c>
      <c r="H95" s="3">
        <f>'Monthly Data'!EJ95</f>
        <v>0</v>
      </c>
      <c r="I95">
        <f>'Monthly Data'!EF95</f>
        <v>1</v>
      </c>
      <c r="K95" s="3">
        <f t="shared" si="70"/>
        <v>13824899.391279301</v>
      </c>
      <c r="L95" s="3">
        <f t="shared" ca="1" si="71"/>
        <v>973591.48393230501</v>
      </c>
      <c r="M95" s="3">
        <f t="shared" ca="1" si="72"/>
        <v>577545.47279744595</v>
      </c>
      <c r="N95" s="3">
        <f t="shared" si="73"/>
        <v>12808183.109129699</v>
      </c>
      <c r="O95" s="3">
        <f t="shared" si="74"/>
        <v>0</v>
      </c>
      <c r="P95" s="3">
        <f t="shared" si="75"/>
        <v>0</v>
      </c>
      <c r="Q95" s="47">
        <f t="shared" ca="1" si="84"/>
        <v>28184219.457138751</v>
      </c>
      <c r="R95" s="47">
        <f>'Monthly Data'!BR95</f>
        <v>16801.6038974359</v>
      </c>
      <c r="S95" s="47">
        <f ca="1">+'Monthly Data'!BS95</f>
        <v>23216.539697472679</v>
      </c>
      <c r="T95" s="47">
        <f t="shared" ca="1" si="45"/>
        <v>28224237.60073366</v>
      </c>
    </row>
    <row r="96" spans="1:20">
      <c r="A96" s="2">
        <f>'Monthly Data'!A96</f>
        <v>45231</v>
      </c>
      <c r="B96">
        <f>'Monthly Data'!B96</f>
        <v>2023</v>
      </c>
      <c r="C96">
        <f>'Monthly Data'!C96</f>
        <v>11</v>
      </c>
      <c r="D96" s="3">
        <f ca="1">'Monthly Data'!BQ96</f>
        <v>29001635.393490754</v>
      </c>
      <c r="E96" s="3">
        <f t="shared" ref="E96:F96" ca="1" si="106">E84</f>
        <v>316.29533055712409</v>
      </c>
      <c r="F96" s="3">
        <f t="shared" ca="1" si="106"/>
        <v>1.9241666666666659</v>
      </c>
      <c r="G96" s="3">
        <f>'Monthly Data'!DQ96</f>
        <v>30</v>
      </c>
      <c r="H96" s="3">
        <f>'Monthly Data'!EJ96</f>
        <v>0</v>
      </c>
      <c r="I96">
        <f>'Monthly Data'!EF96</f>
        <v>1</v>
      </c>
      <c r="K96" s="3">
        <f t="shared" si="70"/>
        <v>13824899.391279301</v>
      </c>
      <c r="L96" s="3">
        <f t="shared" ca="1" si="71"/>
        <v>2440039.1161840432</v>
      </c>
      <c r="M96" s="3">
        <f t="shared" ca="1" si="72"/>
        <v>28979.246953643771</v>
      </c>
      <c r="N96" s="3">
        <f t="shared" si="73"/>
        <v>12395015.912061</v>
      </c>
      <c r="O96" s="3">
        <f t="shared" si="74"/>
        <v>0</v>
      </c>
      <c r="P96" s="3">
        <f t="shared" si="75"/>
        <v>0</v>
      </c>
      <c r="Q96" s="47">
        <f t="shared" ca="1" si="84"/>
        <v>28688933.666477986</v>
      </c>
      <c r="R96" s="47">
        <f>'Monthly Data'!BR96</f>
        <v>17325.312820512823</v>
      </c>
      <c r="S96" s="47">
        <f ca="1">+'Monthly Data'!BS96</f>
        <v>50499.650246037483</v>
      </c>
      <c r="T96" s="47">
        <f t="shared" ca="1" si="45"/>
        <v>28756758.629544538</v>
      </c>
    </row>
    <row r="97" spans="1:20">
      <c r="A97" s="2">
        <f>'Monthly Data'!A97</f>
        <v>45261</v>
      </c>
      <c r="B97">
        <f>'Monthly Data'!B97</f>
        <v>2023</v>
      </c>
      <c r="C97">
        <f>'Monthly Data'!C97</f>
        <v>12</v>
      </c>
      <c r="D97" s="3">
        <f ca="1">'Monthly Data'!BQ97</f>
        <v>29699189.735473577</v>
      </c>
      <c r="E97" s="3">
        <f t="shared" ref="E97:F97" ca="1" si="107">E85</f>
        <v>478.38541666666663</v>
      </c>
      <c r="F97" s="3">
        <f t="shared" ca="1" si="107"/>
        <v>0</v>
      </c>
      <c r="G97" s="3">
        <f>'Monthly Data'!DQ97</f>
        <v>31</v>
      </c>
      <c r="H97" s="3">
        <f>'Monthly Data'!EJ97</f>
        <v>0</v>
      </c>
      <c r="I97">
        <f>'Monthly Data'!EF97</f>
        <v>0</v>
      </c>
      <c r="K97" s="3">
        <f t="shared" si="70"/>
        <v>13824899.391279301</v>
      </c>
      <c r="L97" s="3">
        <f t="shared" ca="1" si="71"/>
        <v>3690472.2153900201</v>
      </c>
      <c r="M97" s="3">
        <f t="shared" ca="1" si="72"/>
        <v>0</v>
      </c>
      <c r="N97" s="3">
        <f t="shared" si="73"/>
        <v>12808183.109129699</v>
      </c>
      <c r="O97" s="3">
        <f t="shared" si="74"/>
        <v>0</v>
      </c>
      <c r="P97" s="3">
        <f t="shared" si="75"/>
        <v>0</v>
      </c>
      <c r="Q97" s="47">
        <f t="shared" ref="Q97:Q109" ca="1" si="108">SUM(K97:P97)</f>
        <v>30323554.715799019</v>
      </c>
      <c r="R97" s="47">
        <f>'Monthly Data'!BR97</f>
        <v>17849.021743589743</v>
      </c>
      <c r="S97" s="47">
        <f ca="1">+'Monthly Data'!BS97</f>
        <v>54880.169657583552</v>
      </c>
      <c r="T97" s="47">
        <f t="shared" ca="1" si="45"/>
        <v>30396283.907200191</v>
      </c>
    </row>
    <row r="98" spans="1:20">
      <c r="A98" s="2">
        <f>'Monthly Data'!A98</f>
        <v>45292</v>
      </c>
      <c r="B98">
        <f>'Monthly Data'!B98</f>
        <v>2024</v>
      </c>
      <c r="C98">
        <f>'Monthly Data'!C98</f>
        <v>1</v>
      </c>
      <c r="D98" s="3">
        <f ca="1">'Monthly Data'!BQ98</f>
        <v>31954341.421856571</v>
      </c>
      <c r="E98" s="3">
        <f t="shared" ref="E98:F98" ca="1" si="109">E86</f>
        <v>566.78750000000002</v>
      </c>
      <c r="F98" s="3">
        <f t="shared" ca="1" si="109"/>
        <v>0</v>
      </c>
      <c r="G98" s="3">
        <f>'Monthly Data'!DQ98</f>
        <v>31</v>
      </c>
      <c r="H98" s="3">
        <f>'Monthly Data'!EJ98</f>
        <v>0</v>
      </c>
      <c r="I98">
        <f>'Monthly Data'!EF98</f>
        <v>0</v>
      </c>
      <c r="K98" s="3">
        <f t="shared" ref="K98:K129" si="110">$X$7</f>
        <v>13824899.391279301</v>
      </c>
      <c r="L98" s="3">
        <f t="shared" ref="L98:L129" ca="1" si="111">E98*$X$8</f>
        <v>4372444.1588441078</v>
      </c>
      <c r="M98" s="3">
        <f t="shared" ref="M98:M129" ca="1" si="112">F98*$X$9</f>
        <v>0</v>
      </c>
      <c r="N98" s="3">
        <f t="shared" ref="N98:N129" si="113">G98*$X$10</f>
        <v>12808183.109129699</v>
      </c>
      <c r="O98" s="3">
        <f t="shared" ref="O98:O129" si="114">H98*$X$11</f>
        <v>0</v>
      </c>
      <c r="P98" s="3">
        <f t="shared" ref="P98:P129" si="115">I98*$X$12</f>
        <v>0</v>
      </c>
      <c r="Q98" s="47">
        <f t="shared" ca="1" si="108"/>
        <v>31005526.659253106</v>
      </c>
      <c r="R98" s="47">
        <f>'Monthly Data'!BR98</f>
        <v>19221.427307692309</v>
      </c>
      <c r="S98" s="47">
        <f ca="1">+'Monthly Data'!BS98</f>
        <v>90108.024816185512</v>
      </c>
      <c r="T98" s="47">
        <f t="shared" ca="1" si="45"/>
        <v>31114856.111376982</v>
      </c>
    </row>
    <row r="99" spans="1:20">
      <c r="A99" s="2">
        <f>'Monthly Data'!A99</f>
        <v>45323</v>
      </c>
      <c r="B99">
        <f>'Monthly Data'!B99</f>
        <v>2024</v>
      </c>
      <c r="C99">
        <f>'Monthly Data'!C99</f>
        <v>2</v>
      </c>
      <c r="D99" s="3">
        <f ca="1">'Monthly Data'!BQ99</f>
        <v>28926920.90323906</v>
      </c>
      <c r="E99" s="3">
        <f t="shared" ref="E99:F99" ca="1" si="116">E87</f>
        <v>490.99541666666664</v>
      </c>
      <c r="F99" s="3">
        <f t="shared" ca="1" si="116"/>
        <v>0</v>
      </c>
      <c r="G99" s="3">
        <f>'Monthly Data'!DQ99</f>
        <v>29</v>
      </c>
      <c r="H99" s="3">
        <f>'Monthly Data'!EJ99</f>
        <v>0</v>
      </c>
      <c r="I99">
        <f>'Monthly Data'!EF99</f>
        <v>0</v>
      </c>
      <c r="K99" s="3">
        <f t="shared" si="110"/>
        <v>13824899.391279301</v>
      </c>
      <c r="L99" s="3">
        <f t="shared" ca="1" si="111"/>
        <v>3787751.2147381431</v>
      </c>
      <c r="M99" s="3">
        <f t="shared" ca="1" si="112"/>
        <v>0</v>
      </c>
      <c r="N99" s="3">
        <f t="shared" si="113"/>
        <v>11981848.7149923</v>
      </c>
      <c r="O99" s="3">
        <f t="shared" si="114"/>
        <v>0</v>
      </c>
      <c r="P99" s="3">
        <f t="shared" si="115"/>
        <v>0</v>
      </c>
      <c r="Q99" s="47">
        <f t="shared" ca="1" si="108"/>
        <v>29594499.321009744</v>
      </c>
      <c r="R99" s="47">
        <f>'Monthly Data'!BR99</f>
        <v>20070.123948717948</v>
      </c>
      <c r="S99" s="47">
        <f ca="1">+'Monthly Data'!BS99</f>
        <v>76806.86640968846</v>
      </c>
      <c r="T99" s="47">
        <f t="shared" ca="1" si="45"/>
        <v>29691376.311368152</v>
      </c>
    </row>
    <row r="100" spans="1:20">
      <c r="A100" s="2">
        <f>'Monthly Data'!A100</f>
        <v>45352</v>
      </c>
      <c r="B100">
        <f>'Monthly Data'!B100</f>
        <v>2024</v>
      </c>
      <c r="C100">
        <f>'Monthly Data'!C100</f>
        <v>3</v>
      </c>
      <c r="D100" s="3">
        <f ca="1">'Monthly Data'!BQ100</f>
        <v>29281414.438058954</v>
      </c>
      <c r="E100" s="3">
        <f t="shared" ref="E100:F100" ca="1" si="117">E88</f>
        <v>410.21590579710147</v>
      </c>
      <c r="F100" s="3">
        <f t="shared" ca="1" si="117"/>
        <v>2.9583333333332896E-2</v>
      </c>
      <c r="G100" s="3">
        <f>'Monthly Data'!DQ100</f>
        <v>31</v>
      </c>
      <c r="H100" s="3">
        <f>'Monthly Data'!EJ100</f>
        <v>0</v>
      </c>
      <c r="I100">
        <f>'Monthly Data'!EF100</f>
        <v>0</v>
      </c>
      <c r="K100" s="3">
        <f t="shared" si="110"/>
        <v>13824899.391279301</v>
      </c>
      <c r="L100" s="3">
        <f t="shared" ca="1" si="111"/>
        <v>3164583.0953708063</v>
      </c>
      <c r="M100" s="3">
        <f t="shared" ca="1" si="112"/>
        <v>445.54494017078349</v>
      </c>
      <c r="N100" s="3">
        <f t="shared" si="113"/>
        <v>12808183.109129699</v>
      </c>
      <c r="O100" s="3">
        <f t="shared" si="114"/>
        <v>0</v>
      </c>
      <c r="P100" s="3">
        <f t="shared" si="115"/>
        <v>0</v>
      </c>
      <c r="Q100" s="47">
        <f t="shared" ca="1" si="108"/>
        <v>29798111.140719973</v>
      </c>
      <c r="R100" s="47">
        <f>'Monthly Data'!BR100</f>
        <v>20918.820589743591</v>
      </c>
      <c r="S100" s="47">
        <f ca="1">+'Monthly Data'!BS100</f>
        <v>65086.498841416527</v>
      </c>
      <c r="T100" s="47">
        <f t="shared" ca="1" si="45"/>
        <v>29884116.460151132</v>
      </c>
    </row>
    <row r="101" spans="1:20">
      <c r="A101" s="2">
        <f>'Monthly Data'!A101</f>
        <v>45383</v>
      </c>
      <c r="B101">
        <f>'Monthly Data'!B101</f>
        <v>2024</v>
      </c>
      <c r="C101">
        <f>'Monthly Data'!C101</f>
        <v>4</v>
      </c>
      <c r="D101" s="3">
        <f ca="1">'Monthly Data'!BQ101</f>
        <v>27542086.864502985</v>
      </c>
      <c r="E101" s="3">
        <f t="shared" ref="E101:F101" ca="1" si="118">E89</f>
        <v>235.09104166666671</v>
      </c>
      <c r="F101" s="3">
        <f t="shared" ca="1" si="118"/>
        <v>6.0095833333333344</v>
      </c>
      <c r="G101" s="3">
        <f>'Monthly Data'!DQ101</f>
        <v>30</v>
      </c>
      <c r="H101" s="3">
        <f>'Monthly Data'!EJ101</f>
        <v>0</v>
      </c>
      <c r="I101">
        <f>'Monthly Data'!EF101</f>
        <v>0</v>
      </c>
      <c r="K101" s="3">
        <f t="shared" si="110"/>
        <v>13824899.391279301</v>
      </c>
      <c r="L101" s="3">
        <f t="shared" ca="1" si="111"/>
        <v>1813594.0752609991</v>
      </c>
      <c r="M101" s="3">
        <f t="shared" ca="1" si="112"/>
        <v>90508.375663145154</v>
      </c>
      <c r="N101" s="3">
        <f t="shared" si="113"/>
        <v>12395015.912061</v>
      </c>
      <c r="O101" s="3">
        <f t="shared" si="114"/>
        <v>0</v>
      </c>
      <c r="P101" s="3">
        <f t="shared" si="115"/>
        <v>0</v>
      </c>
      <c r="Q101" s="47">
        <f t="shared" ca="1" si="108"/>
        <v>28124017.754264444</v>
      </c>
      <c r="R101" s="47">
        <f>'Monthly Data'!BR101</f>
        <v>21767.517230769234</v>
      </c>
      <c r="S101" s="47">
        <f ca="1">+'Monthly Data'!BS101</f>
        <v>43611.1429181692</v>
      </c>
      <c r="T101" s="47">
        <f t="shared" ca="1" si="45"/>
        <v>28189396.414413381</v>
      </c>
    </row>
    <row r="102" spans="1:20">
      <c r="A102" s="2">
        <f>'Monthly Data'!A102</f>
        <v>45413</v>
      </c>
      <c r="B102">
        <f>'Monthly Data'!B102</f>
        <v>2024</v>
      </c>
      <c r="C102">
        <f>'Monthly Data'!C102</f>
        <v>5</v>
      </c>
      <c r="D102" s="3">
        <f ca="1">'Monthly Data'!BQ102</f>
        <v>28231343.706437863</v>
      </c>
      <c r="E102" s="3">
        <f t="shared" ref="E102:F102" ca="1" si="119">E90</f>
        <v>66.98488157894738</v>
      </c>
      <c r="F102" s="3">
        <f t="shared" ca="1" si="119"/>
        <v>81.50872474747473</v>
      </c>
      <c r="G102" s="3">
        <f>'Monthly Data'!DQ102</f>
        <v>31</v>
      </c>
      <c r="H102" s="3">
        <f>'Monthly Data'!EJ102</f>
        <v>0</v>
      </c>
      <c r="I102">
        <f>'Monthly Data'!EF102</f>
        <v>0</v>
      </c>
      <c r="K102" s="3">
        <f t="shared" si="110"/>
        <v>13824899.391279301</v>
      </c>
      <c r="L102" s="3">
        <f t="shared" ca="1" si="111"/>
        <v>516750.37680035766</v>
      </c>
      <c r="M102" s="3">
        <f t="shared" ca="1" si="112"/>
        <v>1227576.3343440345</v>
      </c>
      <c r="N102" s="3">
        <f t="shared" si="113"/>
        <v>12808183.109129699</v>
      </c>
      <c r="O102" s="3">
        <f t="shared" si="114"/>
        <v>0</v>
      </c>
      <c r="P102" s="3">
        <f t="shared" si="115"/>
        <v>0</v>
      </c>
      <c r="Q102" s="47">
        <f t="shared" ca="1" si="108"/>
        <v>28377409.211553395</v>
      </c>
      <c r="R102" s="47">
        <f>'Monthly Data'!BR102</f>
        <v>22616.213871794876</v>
      </c>
      <c r="S102" s="47">
        <f ca="1">+'Monthly Data'!BS102</f>
        <v>12664.598337413099</v>
      </c>
      <c r="T102" s="47">
        <f t="shared" ca="1" si="45"/>
        <v>28412690.023762602</v>
      </c>
    </row>
    <row r="103" spans="1:20">
      <c r="A103" s="2">
        <f>'Monthly Data'!A103</f>
        <v>45444</v>
      </c>
      <c r="B103">
        <f>'Monthly Data'!B103</f>
        <v>2024</v>
      </c>
      <c r="C103">
        <f>'Monthly Data'!C103</f>
        <v>6</v>
      </c>
      <c r="D103" s="3">
        <f ca="1">'Monthly Data'!BQ103</f>
        <v>29312982.713488318</v>
      </c>
      <c r="E103" s="3">
        <f t="shared" ref="E103:F103" ca="1" si="120">E91</f>
        <v>3.128333333333333</v>
      </c>
      <c r="F103" s="3">
        <f t="shared" ca="1" si="120"/>
        <v>202.3599342107168</v>
      </c>
      <c r="G103" s="3">
        <f>'Monthly Data'!DQ103</f>
        <v>30</v>
      </c>
      <c r="H103" s="3">
        <f>'Monthly Data'!EJ103</f>
        <v>0</v>
      </c>
      <c r="I103">
        <f>'Monthly Data'!EF103</f>
        <v>0</v>
      </c>
      <c r="K103" s="3">
        <f t="shared" si="110"/>
        <v>13824899.391279301</v>
      </c>
      <c r="L103" s="3">
        <f t="shared" ca="1" si="111"/>
        <v>24133.317707695824</v>
      </c>
      <c r="M103" s="3">
        <f t="shared" ca="1" si="112"/>
        <v>3047677.0066775945</v>
      </c>
      <c r="N103" s="3">
        <f t="shared" si="113"/>
        <v>12395015.912061</v>
      </c>
      <c r="O103" s="3">
        <f t="shared" si="114"/>
        <v>0</v>
      </c>
      <c r="P103" s="3">
        <f t="shared" si="115"/>
        <v>0</v>
      </c>
      <c r="Q103" s="47">
        <f t="shared" ca="1" si="108"/>
        <v>29291725.627725594</v>
      </c>
      <c r="R103" s="47">
        <f>'Monthly Data'!BR103</f>
        <v>23464.910512820516</v>
      </c>
      <c r="S103" s="47">
        <f ca="1">+'Monthly Data'!BS103</f>
        <v>4465.9404106007833</v>
      </c>
      <c r="T103" s="47">
        <f t="shared" ca="1" si="45"/>
        <v>29319656.478649013</v>
      </c>
    </row>
    <row r="104" spans="1:20">
      <c r="A104" s="2">
        <f>'Monthly Data'!A104</f>
        <v>45474</v>
      </c>
      <c r="B104">
        <f>'Monthly Data'!B104</f>
        <v>2024</v>
      </c>
      <c r="C104">
        <f>'Monthly Data'!C104</f>
        <v>7</v>
      </c>
      <c r="D104" s="3">
        <f ca="1">'Monthly Data'!BQ104</f>
        <v>32061130.132427096</v>
      </c>
      <c r="E104" s="3">
        <f t="shared" ref="E104:F104" ca="1" si="121">E92</f>
        <v>0</v>
      </c>
      <c r="F104" s="3">
        <f t="shared" ca="1" si="121"/>
        <v>304.72508692061177</v>
      </c>
      <c r="G104" s="3">
        <f>'Monthly Data'!DQ104</f>
        <v>31</v>
      </c>
      <c r="H104" s="3">
        <f>'Monthly Data'!EJ104</f>
        <v>0</v>
      </c>
      <c r="I104">
        <f>'Monthly Data'!EF104</f>
        <v>0</v>
      </c>
      <c r="K104" s="3">
        <f t="shared" si="110"/>
        <v>13824899.391279301</v>
      </c>
      <c r="L104" s="3">
        <f t="shared" ca="1" si="111"/>
        <v>0</v>
      </c>
      <c r="M104" s="3">
        <f t="shared" ca="1" si="112"/>
        <v>4589365.2040760377</v>
      </c>
      <c r="N104" s="3">
        <f t="shared" si="113"/>
        <v>12808183.109129699</v>
      </c>
      <c r="O104" s="3">
        <f t="shared" si="114"/>
        <v>0</v>
      </c>
      <c r="P104" s="3">
        <f t="shared" si="115"/>
        <v>0</v>
      </c>
      <c r="Q104" s="47">
        <f t="shared" ca="1" si="108"/>
        <v>31222447.704485036</v>
      </c>
      <c r="R104" s="47">
        <f>'Monthly Data'!BR104</f>
        <v>24313.607153846158</v>
      </c>
      <c r="S104" s="47">
        <f ca="1">+'Monthly Data'!BS104</f>
        <v>46.563190238546234</v>
      </c>
      <c r="T104" s="47">
        <f t="shared" ca="1" si="45"/>
        <v>31246807.874829121</v>
      </c>
    </row>
    <row r="105" spans="1:20">
      <c r="A105" s="2">
        <f>'Monthly Data'!A105</f>
        <v>45505</v>
      </c>
      <c r="B105">
        <f>'Monthly Data'!B105</f>
        <v>2024</v>
      </c>
      <c r="C105">
        <f>'Monthly Data'!C105</f>
        <v>8</v>
      </c>
      <c r="D105" s="3">
        <f ca="1">'Monthly Data'!BQ105</f>
        <v>31790550.471209764</v>
      </c>
      <c r="E105" s="3">
        <f t="shared" ref="E105:F105" ca="1" si="122">E93</f>
        <v>6.5416666666666859E-2</v>
      </c>
      <c r="F105" s="3">
        <f t="shared" ca="1" si="122"/>
        <v>275.96017127799735</v>
      </c>
      <c r="G105" s="3">
        <f>'Monthly Data'!DQ105</f>
        <v>31</v>
      </c>
      <c r="H105" s="3">
        <f>'Monthly Data'!EJ105</f>
        <v>0</v>
      </c>
      <c r="I105">
        <f>'Monthly Data'!EF105</f>
        <v>0</v>
      </c>
      <c r="K105" s="3">
        <f t="shared" si="110"/>
        <v>13824899.391279301</v>
      </c>
      <c r="L105" s="3">
        <f t="shared" ca="1" si="111"/>
        <v>504.65248802720515</v>
      </c>
      <c r="M105" s="3">
        <f t="shared" ca="1" si="112"/>
        <v>4156146.1859687767</v>
      </c>
      <c r="N105" s="3">
        <f t="shared" si="113"/>
        <v>12808183.109129699</v>
      </c>
      <c r="O105" s="3">
        <f t="shared" si="114"/>
        <v>0</v>
      </c>
      <c r="P105" s="3">
        <f t="shared" si="115"/>
        <v>0</v>
      </c>
      <c r="Q105" s="47">
        <f t="shared" ca="1" si="108"/>
        <v>30789733.338865802</v>
      </c>
      <c r="R105" s="47">
        <f>'Monthly Data'!BR105</f>
        <v>25162.303794871797</v>
      </c>
      <c r="S105" s="47">
        <f ca="1">+'Monthly Data'!BS105</f>
        <v>1164.669163435022</v>
      </c>
      <c r="T105" s="47">
        <f t="shared" ca="1" si="45"/>
        <v>30816060.311824109</v>
      </c>
    </row>
    <row r="106" spans="1:20">
      <c r="A106" s="2">
        <f>'Monthly Data'!A106</f>
        <v>45536</v>
      </c>
      <c r="B106">
        <f>'Monthly Data'!B106</f>
        <v>2024</v>
      </c>
      <c r="C106">
        <f>'Monthly Data'!C106</f>
        <v>9</v>
      </c>
      <c r="D106" s="3">
        <f ca="1">'Monthly Data'!BQ106</f>
        <v>29855380.764960915</v>
      </c>
      <c r="E106" s="3">
        <f t="shared" ref="E106:F106" ca="1" si="123">E94</f>
        <v>10.085869565217392</v>
      </c>
      <c r="F106" s="3">
        <f t="shared" ca="1" si="123"/>
        <v>154.9849637681159</v>
      </c>
      <c r="G106" s="3">
        <f>'Monthly Data'!DQ106</f>
        <v>30</v>
      </c>
      <c r="H106" s="3">
        <f>'Monthly Data'!EJ106</f>
        <v>0</v>
      </c>
      <c r="I106">
        <f>'Monthly Data'!EF106</f>
        <v>1</v>
      </c>
      <c r="K106" s="3">
        <f t="shared" si="110"/>
        <v>13824899.391279301</v>
      </c>
      <c r="L106" s="3">
        <f t="shared" ca="1" si="111"/>
        <v>77806.764382239096</v>
      </c>
      <c r="M106" s="3">
        <f t="shared" ca="1" si="112"/>
        <v>2334178.0194739359</v>
      </c>
      <c r="N106" s="3">
        <f t="shared" si="113"/>
        <v>12395015.912061</v>
      </c>
      <c r="O106" s="3">
        <f t="shared" si="114"/>
        <v>0</v>
      </c>
      <c r="P106" s="3">
        <f t="shared" si="115"/>
        <v>0</v>
      </c>
      <c r="Q106" s="47">
        <f t="shared" ca="1" si="108"/>
        <v>28631900.087196477</v>
      </c>
      <c r="R106" s="47">
        <f>'Monthly Data'!BR106</f>
        <v>26011.00043589744</v>
      </c>
      <c r="S106" s="47">
        <f ca="1">+'Monthly Data'!BS106</f>
        <v>4154.1438582439396</v>
      </c>
      <c r="T106" s="47">
        <f t="shared" ref="T106:T169" ca="1" si="124">Q106+R106+S106</f>
        <v>28662065.231490616</v>
      </c>
    </row>
    <row r="107" spans="1:20">
      <c r="A107" s="2">
        <f>'Monthly Data'!A107</f>
        <v>45566</v>
      </c>
      <c r="B107">
        <f>'Monthly Data'!B107</f>
        <v>2024</v>
      </c>
      <c r="C107">
        <f>'Monthly Data'!C107</f>
        <v>10</v>
      </c>
      <c r="D107" s="3">
        <f ca="1">'Monthly Data'!BQ107</f>
        <v>29316651.728781112</v>
      </c>
      <c r="E107" s="3">
        <f t="shared" ref="E107:F107" ca="1" si="125">E95</f>
        <v>126.20389492753625</v>
      </c>
      <c r="F107" s="3">
        <f t="shared" ca="1" si="125"/>
        <v>38.347916666666663</v>
      </c>
      <c r="G107" s="3">
        <f>'Monthly Data'!DQ107</f>
        <v>31</v>
      </c>
      <c r="H107" s="3">
        <f>'Monthly Data'!EJ107</f>
        <v>0</v>
      </c>
      <c r="I107">
        <f>'Monthly Data'!EF107</f>
        <v>1</v>
      </c>
      <c r="K107" s="3">
        <f t="shared" si="110"/>
        <v>13824899.391279301</v>
      </c>
      <c r="L107" s="3">
        <f t="shared" ca="1" si="111"/>
        <v>973591.48393230501</v>
      </c>
      <c r="M107" s="3">
        <f t="shared" ca="1" si="112"/>
        <v>577545.47279744595</v>
      </c>
      <c r="N107" s="3">
        <f t="shared" si="113"/>
        <v>12808183.109129699</v>
      </c>
      <c r="O107" s="3">
        <f t="shared" si="114"/>
        <v>0</v>
      </c>
      <c r="P107" s="3">
        <f t="shared" si="115"/>
        <v>0</v>
      </c>
      <c r="Q107" s="47">
        <f t="shared" ca="1" si="108"/>
        <v>28184219.457138751</v>
      </c>
      <c r="R107" s="47">
        <f>'Monthly Data'!BR107</f>
        <v>26859.697076923083</v>
      </c>
      <c r="S107" s="47">
        <f ca="1">+'Monthly Data'!BS107</f>
        <v>33092.871887764501</v>
      </c>
      <c r="T107" s="47">
        <f t="shared" ca="1" si="124"/>
        <v>28244172.026103441</v>
      </c>
    </row>
    <row r="108" spans="1:20">
      <c r="A108" s="2">
        <f>'Monthly Data'!A108</f>
        <v>45597</v>
      </c>
      <c r="B108">
        <f>'Monthly Data'!B108</f>
        <v>2024</v>
      </c>
      <c r="C108">
        <f>'Monthly Data'!C108</f>
        <v>11</v>
      </c>
      <c r="D108" s="3">
        <f ca="1">'Monthly Data'!BQ108</f>
        <v>29420341.540995181</v>
      </c>
      <c r="E108" s="3">
        <f t="shared" ref="E108:F108" ca="1" si="126">E96</f>
        <v>316.29533055712409</v>
      </c>
      <c r="F108" s="3">
        <f t="shared" ca="1" si="126"/>
        <v>1.9241666666666659</v>
      </c>
      <c r="G108" s="3">
        <f>'Monthly Data'!DQ108</f>
        <v>30</v>
      </c>
      <c r="H108" s="3">
        <f>'Monthly Data'!EJ108</f>
        <v>0</v>
      </c>
      <c r="I108">
        <f>'Monthly Data'!EF108</f>
        <v>1</v>
      </c>
      <c r="K108" s="3">
        <f t="shared" si="110"/>
        <v>13824899.391279301</v>
      </c>
      <c r="L108" s="3">
        <f t="shared" ca="1" si="111"/>
        <v>2440039.1161840432</v>
      </c>
      <c r="M108" s="3">
        <f t="shared" ca="1" si="112"/>
        <v>28979.246953643771</v>
      </c>
      <c r="N108" s="3">
        <f t="shared" si="113"/>
        <v>12395015.912061</v>
      </c>
      <c r="O108" s="3">
        <f t="shared" si="114"/>
        <v>0</v>
      </c>
      <c r="P108" s="3">
        <f t="shared" si="115"/>
        <v>0</v>
      </c>
      <c r="Q108" s="47">
        <f t="shared" ca="1" si="108"/>
        <v>28688933.666477986</v>
      </c>
      <c r="R108" s="47">
        <f>'Monthly Data'!BR108</f>
        <v>27708.393717948726</v>
      </c>
      <c r="S108" s="47">
        <f ca="1">+'Monthly Data'!BS108</f>
        <v>51814.810808488197</v>
      </c>
      <c r="T108" s="47">
        <f t="shared" ca="1" si="124"/>
        <v>28768456.871004421</v>
      </c>
    </row>
    <row r="109" spans="1:20">
      <c r="A109" s="2">
        <f>'Monthly Data'!A109</f>
        <v>45627</v>
      </c>
      <c r="B109">
        <f>'Monthly Data'!B109</f>
        <v>2024</v>
      </c>
      <c r="C109">
        <f>'Monthly Data'!C109</f>
        <v>12</v>
      </c>
      <c r="D109" s="3">
        <f ca="1">'Monthly Data'!BQ109</f>
        <v>32154582.092326634</v>
      </c>
      <c r="E109" s="3">
        <f t="shared" ref="E109:F109" ca="1" si="127">E97</f>
        <v>478.38541666666663</v>
      </c>
      <c r="F109" s="3">
        <f t="shared" ca="1" si="127"/>
        <v>0</v>
      </c>
      <c r="G109" s="3">
        <f>'Monthly Data'!DQ109</f>
        <v>31</v>
      </c>
      <c r="H109" s="3">
        <f>'Monthly Data'!EJ109</f>
        <v>0</v>
      </c>
      <c r="I109">
        <f>'Monthly Data'!EF109</f>
        <v>0</v>
      </c>
      <c r="K109" s="3">
        <f t="shared" si="110"/>
        <v>13824899.391279301</v>
      </c>
      <c r="L109" s="3">
        <f t="shared" ca="1" si="111"/>
        <v>3690472.2153900201</v>
      </c>
      <c r="M109" s="3">
        <f t="shared" ca="1" si="112"/>
        <v>0</v>
      </c>
      <c r="N109" s="3">
        <f t="shared" si="113"/>
        <v>12808183.109129699</v>
      </c>
      <c r="O109" s="3">
        <f t="shared" si="114"/>
        <v>0</v>
      </c>
      <c r="P109" s="3">
        <f t="shared" si="115"/>
        <v>0</v>
      </c>
      <c r="Q109" s="47">
        <f t="shared" ca="1" si="108"/>
        <v>30323554.715799019</v>
      </c>
      <c r="R109" s="47">
        <f>'Monthly Data'!BR109</f>
        <v>28557.090358974368</v>
      </c>
      <c r="S109" s="47">
        <f ca="1">+'Monthly Data'!BS109</f>
        <v>84673.098522645843</v>
      </c>
      <c r="T109" s="47">
        <f t="shared" ca="1" si="124"/>
        <v>30436784.904680636</v>
      </c>
    </row>
    <row r="110" spans="1:20">
      <c r="A110" s="2">
        <f t="shared" ref="A110:A162" si="128">EOMONTH(A109,1)</f>
        <v>45688</v>
      </c>
      <c r="B110">
        <f t="shared" ref="B110:B162" si="129">YEAR(A110)</f>
        <v>2025</v>
      </c>
      <c r="C110">
        <f t="shared" ref="C110:C162" si="130">MONTH(A110)</f>
        <v>1</v>
      </c>
      <c r="D110" s="3">
        <f ca="1">'Monthly Data'!BQ110</f>
        <v>34441247.708394289</v>
      </c>
      <c r="E110" s="3">
        <f t="shared" ref="E110:F110" ca="1" si="131">E98</f>
        <v>566.78750000000002</v>
      </c>
      <c r="F110" s="3">
        <f t="shared" ca="1" si="131"/>
        <v>0</v>
      </c>
      <c r="G110" s="3">
        <f t="shared" ref="G110:G162" si="132">G74</f>
        <v>31</v>
      </c>
      <c r="I110">
        <f t="shared" ref="I110:I162" si="133">I98</f>
        <v>0</v>
      </c>
      <c r="K110" s="3">
        <f t="shared" si="110"/>
        <v>13824899.391279301</v>
      </c>
      <c r="L110" s="3">
        <f t="shared" ca="1" si="111"/>
        <v>4372444.1588441078</v>
      </c>
      <c r="M110" s="3">
        <f t="shared" ca="1" si="112"/>
        <v>0</v>
      </c>
      <c r="N110" s="3">
        <f t="shared" si="113"/>
        <v>12808183.109129699</v>
      </c>
      <c r="O110" s="3">
        <f t="shared" si="114"/>
        <v>0</v>
      </c>
      <c r="P110" s="3">
        <f t="shared" si="115"/>
        <v>0</v>
      </c>
      <c r="Q110" s="47">
        <f t="shared" ref="Q110:Q162" ca="1" si="134">SUM(K110:P110)</f>
        <v>31005526.659253106</v>
      </c>
      <c r="R110" s="47">
        <f>IFERROR(HLOOKUP(B110-1,'EV Forecast WRZ'!$F$124:$T$130,4,FALSE)/12,0)+IFERROR(((HLOOKUP(B110,'EV Forecast WRZ'!$F$116:$T$122,4,FALSE)-HLOOKUP(B110-1,'EV Forecast WRZ'!$F$124:$T$130,4,FALSE)))*C110/78,0)</f>
        <v>29900.222846153847</v>
      </c>
      <c r="S110" s="47">
        <f ca="1">HLOOKUP(B110,Heating!$R$102:$AD$106,5,FALSE)*INDEX(Weather!$BO$1:$CB$20,MATCH(B110,Weather!$BO$1:$BO$20,0),MATCH(C110,Weather!$BO$1:$CB$1,0))/VLOOKUP(B110,Weather!$BO$2:$CB$20,14,FALSE)</f>
        <v>125867.57049504336</v>
      </c>
      <c r="T110" s="47">
        <f t="shared" ca="1" si="124"/>
        <v>31161294.452594303</v>
      </c>
    </row>
    <row r="111" spans="1:20">
      <c r="A111" s="2">
        <f t="shared" si="128"/>
        <v>45716</v>
      </c>
      <c r="B111">
        <f t="shared" si="129"/>
        <v>2025</v>
      </c>
      <c r="C111">
        <f t="shared" si="130"/>
        <v>2</v>
      </c>
      <c r="D111" s="3">
        <f ca="1">'Monthly Data'!BQ111</f>
        <v>31351518.386020195</v>
      </c>
      <c r="E111" s="3">
        <f t="shared" ref="E111:F111" ca="1" si="135">E99</f>
        <v>490.99541666666664</v>
      </c>
      <c r="F111" s="3">
        <f t="shared" ca="1" si="135"/>
        <v>0</v>
      </c>
      <c r="G111" s="3">
        <f t="shared" si="132"/>
        <v>28</v>
      </c>
      <c r="I111">
        <f t="shared" si="133"/>
        <v>0</v>
      </c>
      <c r="K111" s="3">
        <f t="shared" si="110"/>
        <v>13824899.391279301</v>
      </c>
      <c r="L111" s="3">
        <f t="shared" ca="1" si="111"/>
        <v>3787751.2147381431</v>
      </c>
      <c r="M111" s="3">
        <f t="shared" ca="1" si="112"/>
        <v>0</v>
      </c>
      <c r="N111" s="3">
        <f t="shared" si="113"/>
        <v>11568681.517923599</v>
      </c>
      <c r="O111" s="3">
        <f t="shared" si="114"/>
        <v>0</v>
      </c>
      <c r="P111" s="3">
        <f t="shared" si="115"/>
        <v>0</v>
      </c>
      <c r="Q111" s="47">
        <f t="shared" ca="1" si="134"/>
        <v>29181332.123941042</v>
      </c>
      <c r="R111" s="47">
        <f>IFERROR(HLOOKUP(B111-1,'EV Forecast WRZ'!$F$124:$T$130,4,FALSE)/12,0)+IFERROR(((HLOOKUP(B111,'EV Forecast WRZ'!$F$116:$T$122,4,FALSE)-HLOOKUP(B111-1,'EV Forecast WRZ'!$F$124:$T$130,4,FALSE)))*C111/78,0)</f>
        <v>30394.658692307694</v>
      </c>
      <c r="S111" s="47">
        <f ca="1">HLOOKUP(B111,Heating!$R$102:$AD$106,5,FALSE)*INDEX(Weather!$BO$1:$CB$20,MATCH(B111,Weather!$BO$1:$BO$20,0),MATCH(C111,Weather!$BO$1:$CB$1,0))/VLOOKUP(B111,Weather!$BO$2:$CB$20,14,FALSE)</f>
        <v>114324.94817660292</v>
      </c>
      <c r="T111" s="47">
        <f t="shared" ca="1" si="124"/>
        <v>29326051.730809953</v>
      </c>
    </row>
    <row r="112" spans="1:20">
      <c r="A112" s="2">
        <f t="shared" si="128"/>
        <v>45747</v>
      </c>
      <c r="B112">
        <f t="shared" si="129"/>
        <v>2025</v>
      </c>
      <c r="C112">
        <f t="shared" si="130"/>
        <v>3</v>
      </c>
      <c r="D112" s="3">
        <f ca="1">'Monthly Data'!BQ112</f>
        <v>32142014.149205998</v>
      </c>
      <c r="E112" s="3">
        <f t="shared" ref="E112:F112" ca="1" si="136">E100</f>
        <v>410.21590579710147</v>
      </c>
      <c r="F112" s="3">
        <f t="shared" ca="1" si="136"/>
        <v>2.9583333333332896E-2</v>
      </c>
      <c r="G112" s="3">
        <f t="shared" si="132"/>
        <v>31</v>
      </c>
      <c r="I112">
        <f t="shared" si="133"/>
        <v>0</v>
      </c>
      <c r="K112" s="3">
        <f t="shared" si="110"/>
        <v>13824899.391279301</v>
      </c>
      <c r="L112" s="3">
        <f t="shared" ca="1" si="111"/>
        <v>3164583.0953708063</v>
      </c>
      <c r="M112" s="3">
        <f t="shared" ca="1" si="112"/>
        <v>445.54494017078349</v>
      </c>
      <c r="N112" s="3">
        <f t="shared" si="113"/>
        <v>12808183.109129699</v>
      </c>
      <c r="O112" s="3">
        <f t="shared" si="114"/>
        <v>0</v>
      </c>
      <c r="P112" s="3">
        <f t="shared" si="115"/>
        <v>0</v>
      </c>
      <c r="Q112" s="47">
        <f t="shared" ca="1" si="134"/>
        <v>29798111.140719973</v>
      </c>
      <c r="R112" s="47">
        <f>IFERROR(HLOOKUP(B112-1,'EV Forecast WRZ'!$F$124:$T$130,4,FALSE)/12,0)+IFERROR(((HLOOKUP(B112,'EV Forecast WRZ'!$F$116:$T$122,4,FALSE)-HLOOKUP(B112-1,'EV Forecast WRZ'!$F$124:$T$130,4,FALSE)))*C112/78,0)</f>
        <v>30889.094538461537</v>
      </c>
      <c r="S112" s="47">
        <f ca="1">HLOOKUP(B112,Heating!$R$102:$AD$106,5,FALSE)*INDEX(Weather!$BO$1:$CB$20,MATCH(B112,Weather!$BO$1:$BO$20,0),MATCH(C112,Weather!$BO$1:$CB$1,0))/VLOOKUP(B112,Weather!$BO$2:$CB$20,14,FALSE)</f>
        <v>89126.658970136559</v>
      </c>
      <c r="T112" s="47">
        <f t="shared" ca="1" si="124"/>
        <v>29918126.89422857</v>
      </c>
    </row>
    <row r="113" spans="1:20">
      <c r="A113" s="2">
        <f t="shared" si="128"/>
        <v>45777</v>
      </c>
      <c r="B113">
        <f t="shared" si="129"/>
        <v>2025</v>
      </c>
      <c r="C113">
        <f t="shared" si="130"/>
        <v>4</v>
      </c>
      <c r="D113" s="3">
        <f ca="1">'Monthly Data'!BQ113</f>
        <v>29692880.981740344</v>
      </c>
      <c r="E113" s="3">
        <f t="shared" ref="E113:F113" ca="1" si="137">E101</f>
        <v>235.09104166666671</v>
      </c>
      <c r="F113" s="3">
        <f t="shared" ca="1" si="137"/>
        <v>6.0095833333333344</v>
      </c>
      <c r="G113" s="3">
        <f t="shared" si="132"/>
        <v>30</v>
      </c>
      <c r="I113">
        <f t="shared" si="133"/>
        <v>0</v>
      </c>
      <c r="K113" s="3">
        <f t="shared" si="110"/>
        <v>13824899.391279301</v>
      </c>
      <c r="L113" s="3">
        <f t="shared" ca="1" si="111"/>
        <v>1813594.0752609991</v>
      </c>
      <c r="M113" s="3">
        <f t="shared" ca="1" si="112"/>
        <v>90508.375663145154</v>
      </c>
      <c r="N113" s="3">
        <f t="shared" si="113"/>
        <v>12395015.912061</v>
      </c>
      <c r="O113" s="3">
        <f t="shared" si="114"/>
        <v>0</v>
      </c>
      <c r="P113" s="3">
        <f t="shared" si="115"/>
        <v>0</v>
      </c>
      <c r="Q113" s="47">
        <f t="shared" ca="1" si="134"/>
        <v>28124017.754264444</v>
      </c>
      <c r="R113" s="47">
        <f>IFERROR(HLOOKUP(B113-1,'EV Forecast WRZ'!$F$124:$T$130,4,FALSE)/12,0)+IFERROR(((HLOOKUP(B113,'EV Forecast WRZ'!$F$116:$T$122,4,FALSE)-HLOOKUP(B113-1,'EV Forecast WRZ'!$F$124:$T$130,4,FALSE)))*C113/78,0)</f>
        <v>31383.530384615384</v>
      </c>
      <c r="S113" s="47">
        <f ca="1">HLOOKUP(B113,Heating!$R$102:$AD$106,5,FALSE)*INDEX(Weather!$BO$1:$CB$20,MATCH(B113,Weather!$BO$1:$BO$20,0),MATCH(C113,Weather!$BO$1:$CB$1,0))/VLOOKUP(B113,Weather!$BO$2:$CB$20,14,FALSE)</f>
        <v>60464.150981001738</v>
      </c>
      <c r="T113" s="47">
        <f t="shared" ca="1" si="124"/>
        <v>28215865.435630061</v>
      </c>
    </row>
    <row r="114" spans="1:20">
      <c r="A114" s="2">
        <f t="shared" si="128"/>
        <v>45808</v>
      </c>
      <c r="B114">
        <f t="shared" si="129"/>
        <v>2025</v>
      </c>
      <c r="C114">
        <f t="shared" si="130"/>
        <v>5</v>
      </c>
      <c r="D114" s="3">
        <f ca="1">'Monthly Data'!BQ114</f>
        <v>29355826.839192126</v>
      </c>
      <c r="E114" s="3">
        <f t="shared" ref="E114:F114" ca="1" si="138">E102</f>
        <v>66.98488157894738</v>
      </c>
      <c r="F114" s="3">
        <f t="shared" ca="1" si="138"/>
        <v>81.50872474747473</v>
      </c>
      <c r="G114" s="3">
        <f t="shared" si="132"/>
        <v>31</v>
      </c>
      <c r="I114">
        <f t="shared" si="133"/>
        <v>0</v>
      </c>
      <c r="K114" s="3">
        <f t="shared" si="110"/>
        <v>13824899.391279301</v>
      </c>
      <c r="L114" s="3">
        <f t="shared" ca="1" si="111"/>
        <v>516750.37680035766</v>
      </c>
      <c r="M114" s="3">
        <f t="shared" ca="1" si="112"/>
        <v>1227576.3343440345</v>
      </c>
      <c r="N114" s="3">
        <f t="shared" si="113"/>
        <v>12808183.109129699</v>
      </c>
      <c r="O114" s="3">
        <f t="shared" si="114"/>
        <v>0</v>
      </c>
      <c r="P114" s="3">
        <f t="shared" si="115"/>
        <v>0</v>
      </c>
      <c r="Q114" s="47">
        <f t="shared" ca="1" si="134"/>
        <v>28377409.211553395</v>
      </c>
      <c r="R114" s="47">
        <f>IFERROR(HLOOKUP(B114-1,'EV Forecast WRZ'!$F$124:$T$130,4,FALSE)/12,0)+IFERROR(((HLOOKUP(B114,'EV Forecast WRZ'!$F$116:$T$122,4,FALSE)-HLOOKUP(B114-1,'EV Forecast WRZ'!$F$124:$T$130,4,FALSE)))*C114/78,0)</f>
        <v>31877.966230769231</v>
      </c>
      <c r="S114" s="47">
        <f ca="1">HLOOKUP(B114,Heating!$R$102:$AD$106,5,FALSE)*INDEX(Weather!$BO$1:$CB$20,MATCH(B114,Weather!$BO$1:$BO$20,0),MATCH(C114,Weather!$BO$1:$CB$1,0))/VLOOKUP(B114,Weather!$BO$2:$CB$20,14,FALSE)</f>
        <v>27380.073958593421</v>
      </c>
      <c r="T114" s="47">
        <f t="shared" ca="1" si="124"/>
        <v>28436667.251742758</v>
      </c>
    </row>
    <row r="115" spans="1:20">
      <c r="A115" s="2">
        <f t="shared" si="128"/>
        <v>45838</v>
      </c>
      <c r="B115">
        <f t="shared" si="129"/>
        <v>2025</v>
      </c>
      <c r="C115">
        <f t="shared" si="130"/>
        <v>6</v>
      </c>
      <c r="D115" s="3">
        <f ca="1">'Monthly Data'!BQ115</f>
        <v>30992881.680132356</v>
      </c>
      <c r="E115" s="3">
        <f t="shared" ref="E115:F115" ca="1" si="139">E103</f>
        <v>3.128333333333333</v>
      </c>
      <c r="F115" s="3">
        <f t="shared" ca="1" si="139"/>
        <v>202.3599342107168</v>
      </c>
      <c r="G115" s="3">
        <f t="shared" si="132"/>
        <v>30</v>
      </c>
      <c r="I115">
        <f t="shared" si="133"/>
        <v>0</v>
      </c>
      <c r="K115" s="3">
        <f t="shared" si="110"/>
        <v>13824899.391279301</v>
      </c>
      <c r="L115" s="3">
        <f t="shared" ca="1" si="111"/>
        <v>24133.317707695824</v>
      </c>
      <c r="M115" s="3">
        <f t="shared" ca="1" si="112"/>
        <v>3047677.0066775945</v>
      </c>
      <c r="N115" s="3">
        <f t="shared" si="113"/>
        <v>12395015.912061</v>
      </c>
      <c r="O115" s="3">
        <f t="shared" si="114"/>
        <v>0</v>
      </c>
      <c r="P115" s="3">
        <f t="shared" si="115"/>
        <v>0</v>
      </c>
      <c r="Q115" s="47">
        <f t="shared" ca="1" si="134"/>
        <v>29291725.627725594</v>
      </c>
      <c r="R115" s="47">
        <f>IFERROR(HLOOKUP(B115-1,'EV Forecast WRZ'!$F$124:$T$130,4,FALSE)/12,0)+IFERROR(((HLOOKUP(B115,'EV Forecast WRZ'!$F$116:$T$122,4,FALSE)-HLOOKUP(B115-1,'EV Forecast WRZ'!$F$124:$T$130,4,FALSE)))*C115/78,0)</f>
        <v>32372.402076923077</v>
      </c>
      <c r="S115" s="47">
        <f ca="1">HLOOKUP(B115,Heating!$R$102:$AD$106,5,FALSE)*INDEX(Weather!$BO$1:$CB$20,MATCH(B115,Weather!$BO$1:$BO$20,0),MATCH(C115,Weather!$BO$1:$CB$1,0))/VLOOKUP(B115,Weather!$BO$2:$CB$20,14,FALSE)</f>
        <v>3858.7587887143645</v>
      </c>
      <c r="T115" s="47">
        <f t="shared" ca="1" si="124"/>
        <v>29327956.788591232</v>
      </c>
    </row>
    <row r="116" spans="1:20">
      <c r="A116" s="2">
        <f t="shared" si="128"/>
        <v>45869</v>
      </c>
      <c r="B116">
        <f t="shared" si="129"/>
        <v>2025</v>
      </c>
      <c r="C116">
        <f t="shared" si="130"/>
        <v>7</v>
      </c>
      <c r="D116" s="3">
        <f ca="1">'Monthly Data'!BQ116</f>
        <v>34600164.906542413</v>
      </c>
      <c r="E116" s="3">
        <f t="shared" ref="E116:F116" ca="1" si="140">E104</f>
        <v>0</v>
      </c>
      <c r="F116" s="3">
        <f t="shared" ca="1" si="140"/>
        <v>304.72508692061177</v>
      </c>
      <c r="G116" s="3">
        <f t="shared" si="132"/>
        <v>31</v>
      </c>
      <c r="I116">
        <f t="shared" si="133"/>
        <v>0</v>
      </c>
      <c r="K116" s="3">
        <f t="shared" si="110"/>
        <v>13824899.391279301</v>
      </c>
      <c r="L116" s="3">
        <f t="shared" ca="1" si="111"/>
        <v>0</v>
      </c>
      <c r="M116" s="3">
        <f t="shared" ca="1" si="112"/>
        <v>4589365.2040760377</v>
      </c>
      <c r="N116" s="3">
        <f t="shared" si="113"/>
        <v>12808183.109129699</v>
      </c>
      <c r="O116" s="3">
        <f t="shared" si="114"/>
        <v>0</v>
      </c>
      <c r="P116" s="3">
        <f t="shared" si="115"/>
        <v>0</v>
      </c>
      <c r="Q116" s="47">
        <f t="shared" ca="1" si="134"/>
        <v>31222447.704485036</v>
      </c>
      <c r="R116" s="47">
        <f>IFERROR(HLOOKUP(B116-1,'EV Forecast WRZ'!$F$124:$T$130,4,FALSE)/12,0)+IFERROR(((HLOOKUP(B116,'EV Forecast WRZ'!$F$116:$T$122,4,FALSE)-HLOOKUP(B116-1,'EV Forecast WRZ'!$F$124:$T$130,4,FALSE)))*C116/78,0)</f>
        <v>32866.837923076921</v>
      </c>
      <c r="S116" s="47">
        <f ca="1">HLOOKUP(B116,Heating!$R$102:$AD$106,5,FALSE)*INDEX(Weather!$BO$1:$CB$20,MATCH(B116,Weather!$BO$1:$BO$20,0),MATCH(C116,Weather!$BO$1:$CB$1,0))/VLOOKUP(B116,Weather!$BO$2:$CB$20,14,FALSE)</f>
        <v>129.60388583360489</v>
      </c>
      <c r="T116" s="47">
        <f t="shared" ca="1" si="124"/>
        <v>31255444.146293946</v>
      </c>
    </row>
    <row r="117" spans="1:20">
      <c r="A117" s="2">
        <f t="shared" si="128"/>
        <v>45900</v>
      </c>
      <c r="B117">
        <f t="shared" si="129"/>
        <v>2025</v>
      </c>
      <c r="C117">
        <f t="shared" si="130"/>
        <v>8</v>
      </c>
      <c r="D117" s="3">
        <f ca="1">'Monthly Data'!BQ117</f>
        <v>33236477.541538484</v>
      </c>
      <c r="E117" s="3">
        <f t="shared" ref="E117:F117" ca="1" si="141">E105</f>
        <v>6.5416666666666859E-2</v>
      </c>
      <c r="F117" s="3">
        <f t="shared" ca="1" si="141"/>
        <v>275.96017127799735</v>
      </c>
      <c r="G117" s="3">
        <f t="shared" si="132"/>
        <v>31</v>
      </c>
      <c r="I117">
        <f t="shared" si="133"/>
        <v>0</v>
      </c>
      <c r="K117" s="3">
        <f t="shared" si="110"/>
        <v>13824899.391279301</v>
      </c>
      <c r="L117" s="3">
        <f t="shared" ca="1" si="111"/>
        <v>504.65248802720515</v>
      </c>
      <c r="M117" s="3">
        <f t="shared" ca="1" si="112"/>
        <v>4156146.1859687767</v>
      </c>
      <c r="N117" s="3">
        <f t="shared" si="113"/>
        <v>12808183.109129699</v>
      </c>
      <c r="O117" s="3">
        <f t="shared" si="114"/>
        <v>0</v>
      </c>
      <c r="P117" s="3">
        <f t="shared" si="115"/>
        <v>0</v>
      </c>
      <c r="Q117" s="47">
        <f t="shared" ca="1" si="134"/>
        <v>30789733.338865802</v>
      </c>
      <c r="R117" s="47">
        <f>IFERROR(HLOOKUP(B117-1,'EV Forecast WRZ'!$F$124:$T$130,4,FALSE)/12,0)+IFERROR(((HLOOKUP(B117,'EV Forecast WRZ'!$F$116:$T$122,4,FALSE)-HLOOKUP(B117-1,'EV Forecast WRZ'!$F$124:$T$130,4,FALSE)))*C117/78,0)</f>
        <v>33361.273769230771</v>
      </c>
      <c r="S117" s="47">
        <f ca="1">HLOOKUP(B117,Heating!$R$102:$AD$106,5,FALSE)*INDEX(Weather!$BO$1:$CB$20,MATCH(B117,Weather!$BO$1:$BO$20,0),MATCH(C117,Weather!$BO$1:$CB$1,0))/VLOOKUP(B117,Weather!$BO$2:$CB$20,14,FALSE)</f>
        <v>2949.3834571747029</v>
      </c>
      <c r="T117" s="47">
        <f t="shared" ca="1" si="124"/>
        <v>30826043.996092208</v>
      </c>
    </row>
    <row r="118" spans="1:20">
      <c r="A118" s="2">
        <f t="shared" si="128"/>
        <v>45930</v>
      </c>
      <c r="B118">
        <f t="shared" si="129"/>
        <v>2025</v>
      </c>
      <c r="C118">
        <f t="shared" si="130"/>
        <v>9</v>
      </c>
      <c r="D118" s="3">
        <f ca="1">'Monthly Data'!BQ118</f>
        <v>31192892.882028393</v>
      </c>
      <c r="E118" s="3">
        <f t="shared" ref="E118:F118" ca="1" si="142">E106</f>
        <v>10.085869565217392</v>
      </c>
      <c r="F118" s="3">
        <f t="shared" ca="1" si="142"/>
        <v>154.9849637681159</v>
      </c>
      <c r="G118" s="3">
        <f t="shared" si="132"/>
        <v>30</v>
      </c>
      <c r="I118">
        <f t="shared" si="133"/>
        <v>1</v>
      </c>
      <c r="K118" s="3">
        <f t="shared" si="110"/>
        <v>13824899.391279301</v>
      </c>
      <c r="L118" s="3">
        <f t="shared" ca="1" si="111"/>
        <v>77806.764382239096</v>
      </c>
      <c r="M118" s="3">
        <f t="shared" ca="1" si="112"/>
        <v>2334178.0194739359</v>
      </c>
      <c r="N118" s="3">
        <f t="shared" si="113"/>
        <v>12395015.912061</v>
      </c>
      <c r="O118" s="3">
        <f t="shared" si="114"/>
        <v>0</v>
      </c>
      <c r="P118" s="3">
        <f t="shared" si="115"/>
        <v>0</v>
      </c>
      <c r="Q118" s="47">
        <f t="shared" ca="1" si="134"/>
        <v>28631900.087196477</v>
      </c>
      <c r="R118" s="47">
        <f>IFERROR(HLOOKUP(B118-1,'EV Forecast WRZ'!$F$124:$T$130,4,FALSE)/12,0)+IFERROR(((HLOOKUP(B118,'EV Forecast WRZ'!$F$116:$T$122,4,FALSE)-HLOOKUP(B118-1,'EV Forecast WRZ'!$F$124:$T$130,4,FALSE)))*C118/78,0)</f>
        <v>33855.709615384614</v>
      </c>
      <c r="S118" s="47">
        <f ca="1">HLOOKUP(B118,Heating!$R$102:$AD$106,5,FALSE)*INDEX(Weather!$BO$1:$CB$20,MATCH(B118,Weather!$BO$1:$BO$20,0),MATCH(C118,Weather!$BO$1:$CB$1,0))/VLOOKUP(B118,Weather!$BO$2:$CB$20,14,FALSE)</f>
        <v>6387.1086278218845</v>
      </c>
      <c r="T118" s="47">
        <f t="shared" ca="1" si="124"/>
        <v>28672142.905439682</v>
      </c>
    </row>
    <row r="119" spans="1:20">
      <c r="A119" s="2">
        <f t="shared" si="128"/>
        <v>45961</v>
      </c>
      <c r="B119">
        <f t="shared" si="129"/>
        <v>2025</v>
      </c>
      <c r="C119">
        <f t="shared" si="130"/>
        <v>10</v>
      </c>
      <c r="D119" s="3">
        <f ca="1">'Monthly Data'!BQ119</f>
        <v>31031142.482500292</v>
      </c>
      <c r="E119" s="3">
        <f t="shared" ref="E119:F119" ca="1" si="143">E107</f>
        <v>126.20389492753625</v>
      </c>
      <c r="F119" s="3">
        <f t="shared" ca="1" si="143"/>
        <v>38.347916666666663</v>
      </c>
      <c r="G119" s="3">
        <f t="shared" si="132"/>
        <v>31</v>
      </c>
      <c r="I119">
        <f t="shared" si="133"/>
        <v>1</v>
      </c>
      <c r="K119" s="3">
        <f t="shared" si="110"/>
        <v>13824899.391279301</v>
      </c>
      <c r="L119" s="3">
        <f t="shared" ca="1" si="111"/>
        <v>973591.48393230501</v>
      </c>
      <c r="M119" s="3">
        <f t="shared" ca="1" si="112"/>
        <v>577545.47279744595</v>
      </c>
      <c r="N119" s="3">
        <f t="shared" si="113"/>
        <v>12808183.109129699</v>
      </c>
      <c r="O119" s="3">
        <f t="shared" si="114"/>
        <v>0</v>
      </c>
      <c r="P119" s="3">
        <f t="shared" si="115"/>
        <v>0</v>
      </c>
      <c r="Q119" s="47">
        <f t="shared" ca="1" si="134"/>
        <v>28184219.457138751</v>
      </c>
      <c r="R119" s="47">
        <f>IFERROR(HLOOKUP(B119-1,'EV Forecast WRZ'!$F$124:$T$130,4,FALSE)/12,0)+IFERROR(((HLOOKUP(B119,'EV Forecast WRZ'!$F$116:$T$122,4,FALSE)-HLOOKUP(B119-1,'EV Forecast WRZ'!$F$124:$T$130,4,FALSE)))*C119/78,0)</f>
        <v>34350.145461538457</v>
      </c>
      <c r="S119" s="47">
        <f ca="1">HLOOKUP(B119,Heating!$R$102:$AD$106,5,FALSE)*INDEX(Weather!$BO$1:$CB$20,MATCH(B119,Weather!$BO$1:$BO$20,0),MATCH(C119,Weather!$BO$1:$CB$1,0))/VLOOKUP(B119,Weather!$BO$2:$CB$20,14,FALSE)</f>
        <v>37835.026097026981</v>
      </c>
      <c r="T119" s="47">
        <f t="shared" ca="1" si="124"/>
        <v>28256404.628697313</v>
      </c>
    </row>
    <row r="120" spans="1:20">
      <c r="A120" s="2">
        <f t="shared" si="128"/>
        <v>45991</v>
      </c>
      <c r="B120">
        <f t="shared" si="129"/>
        <v>2025</v>
      </c>
      <c r="C120">
        <f t="shared" si="130"/>
        <v>11</v>
      </c>
      <c r="D120" s="3">
        <f ca="1">'Monthly Data'!BQ120</f>
        <v>31333351.994109992</v>
      </c>
      <c r="E120" s="3">
        <f t="shared" ref="E120:F120" ca="1" si="144">E108</f>
        <v>316.29533055712409</v>
      </c>
      <c r="F120" s="3">
        <f t="shared" ca="1" si="144"/>
        <v>1.9241666666666659</v>
      </c>
      <c r="G120" s="3">
        <f t="shared" si="132"/>
        <v>30</v>
      </c>
      <c r="I120">
        <f t="shared" si="133"/>
        <v>1</v>
      </c>
      <c r="K120" s="3">
        <f t="shared" si="110"/>
        <v>13824899.391279301</v>
      </c>
      <c r="L120" s="3">
        <f t="shared" ca="1" si="111"/>
        <v>2440039.1161840432</v>
      </c>
      <c r="M120" s="3">
        <f t="shared" ca="1" si="112"/>
        <v>28979.246953643771</v>
      </c>
      <c r="N120" s="3">
        <f t="shared" si="113"/>
        <v>12395015.912061</v>
      </c>
      <c r="O120" s="3">
        <f t="shared" si="114"/>
        <v>0</v>
      </c>
      <c r="P120" s="3">
        <f t="shared" si="115"/>
        <v>0</v>
      </c>
      <c r="Q120" s="47">
        <f t="shared" ca="1" si="134"/>
        <v>28688933.666477986</v>
      </c>
      <c r="R120" s="47">
        <f>IFERROR(HLOOKUP(B120-1,'EV Forecast WRZ'!$F$124:$T$130,4,FALSE)/12,0)+IFERROR(((HLOOKUP(B120,'EV Forecast WRZ'!$F$116:$T$122,4,FALSE)-HLOOKUP(B120-1,'EV Forecast WRZ'!$F$124:$T$130,4,FALSE)))*C120/78,0)</f>
        <v>34844.581307692308</v>
      </c>
      <c r="S120" s="47">
        <f ca="1">HLOOKUP(B120,Heating!$R$102:$AD$106,5,FALSE)*INDEX(Weather!$BO$1:$CB$20,MATCH(B120,Weather!$BO$1:$BO$20,0),MATCH(C120,Weather!$BO$1:$CB$1,0))/VLOOKUP(B120,Weather!$BO$2:$CB$20,14,FALSE)</f>
        <v>79156.468327334791</v>
      </c>
      <c r="T120" s="47">
        <f t="shared" ca="1" si="124"/>
        <v>28802934.716113012</v>
      </c>
    </row>
    <row r="121" spans="1:20">
      <c r="A121" s="2">
        <f t="shared" si="128"/>
        <v>46022</v>
      </c>
      <c r="B121">
        <f t="shared" si="129"/>
        <v>2025</v>
      </c>
      <c r="C121">
        <f t="shared" si="130"/>
        <v>12</v>
      </c>
      <c r="D121" s="3">
        <f ca="1">'Monthly Data'!BQ121</f>
        <v>34151503.663630225</v>
      </c>
      <c r="E121" s="3">
        <f t="shared" ref="E121:F121" ca="1" si="145">E109</f>
        <v>478.38541666666663</v>
      </c>
      <c r="F121" s="3">
        <f t="shared" ca="1" si="145"/>
        <v>0</v>
      </c>
      <c r="G121" s="3">
        <f t="shared" si="132"/>
        <v>31</v>
      </c>
      <c r="I121">
        <f t="shared" si="133"/>
        <v>0</v>
      </c>
      <c r="K121" s="3">
        <f t="shared" si="110"/>
        <v>13824899.391279301</v>
      </c>
      <c r="L121" s="3">
        <f t="shared" ca="1" si="111"/>
        <v>3690472.2153900201</v>
      </c>
      <c r="M121" s="3">
        <f t="shared" ca="1" si="112"/>
        <v>0</v>
      </c>
      <c r="N121" s="3">
        <f t="shared" si="113"/>
        <v>12808183.109129699</v>
      </c>
      <c r="O121" s="3">
        <f t="shared" si="114"/>
        <v>0</v>
      </c>
      <c r="P121" s="3">
        <f t="shared" si="115"/>
        <v>0</v>
      </c>
      <c r="Q121" s="47">
        <f t="shared" ca="1" si="134"/>
        <v>30323554.715799019</v>
      </c>
      <c r="R121" s="47">
        <f>IFERROR(HLOOKUP(B121-1,'EV Forecast WRZ'!$F$124:$T$130,4,FALSE)/12,0)+IFERROR(((HLOOKUP(B121,'EV Forecast WRZ'!$F$116:$T$122,4,FALSE)-HLOOKUP(B121-1,'EV Forecast WRZ'!$F$124:$T$130,4,FALSE)))*C121/78,0)</f>
        <v>35339.017153846151</v>
      </c>
      <c r="S121" s="47">
        <f ca="1">HLOOKUP(B121,Heating!$R$102:$AD$106,5,FALSE)*INDEX(Weather!$BO$1:$CB$20,MATCH(B121,Weather!$BO$1:$BO$20,0),MATCH(C121,Weather!$BO$1:$CB$1,0))/VLOOKUP(B121,Weather!$BO$2:$CB$20,14,FALSE)</f>
        <v>117236.38132466612</v>
      </c>
      <c r="T121" s="47">
        <f t="shared" ca="1" si="124"/>
        <v>30476130.114277534</v>
      </c>
    </row>
    <row r="122" spans="1:20">
      <c r="A122" s="2">
        <f t="shared" si="128"/>
        <v>46053</v>
      </c>
      <c r="B122">
        <f t="shared" si="129"/>
        <v>2026</v>
      </c>
      <c r="C122">
        <f t="shared" si="130"/>
        <v>1</v>
      </c>
      <c r="E122" s="3">
        <f t="shared" ref="E122:F122" ca="1" si="146">E110</f>
        <v>566.78750000000002</v>
      </c>
      <c r="F122" s="3">
        <f t="shared" ca="1" si="146"/>
        <v>0</v>
      </c>
      <c r="G122" s="3">
        <f t="shared" si="132"/>
        <v>31</v>
      </c>
      <c r="I122">
        <f t="shared" si="133"/>
        <v>0</v>
      </c>
      <c r="K122" s="3">
        <f t="shared" si="110"/>
        <v>13824899.391279301</v>
      </c>
      <c r="L122" s="3">
        <f t="shared" ca="1" si="111"/>
        <v>4372444.1588441078</v>
      </c>
      <c r="M122" s="3">
        <f t="shared" ca="1" si="112"/>
        <v>0</v>
      </c>
      <c r="N122" s="3">
        <f t="shared" si="113"/>
        <v>12808183.109129699</v>
      </c>
      <c r="O122" s="3">
        <f t="shared" si="114"/>
        <v>0</v>
      </c>
      <c r="P122" s="3">
        <f t="shared" si="115"/>
        <v>0</v>
      </c>
      <c r="Q122" s="47">
        <f t="shared" ca="1" si="134"/>
        <v>31005526.659253106</v>
      </c>
      <c r="R122" s="47">
        <f>IFERROR(HLOOKUP(B122-1,'EV Forecast WRZ'!$F$124:$T$130,4,FALSE)/12,0)+IFERROR(((HLOOKUP(B122,'EV Forecast WRZ'!$F$116:$T$122,4,FALSE)-HLOOKUP(B122-1,'EV Forecast WRZ'!$F$124:$T$130,4,FALSE)))*C122/78,0)</f>
        <v>36613.235963914565</v>
      </c>
      <c r="S122" s="47">
        <f ca="1">HLOOKUP(B122,Heating!$R$102:$AD$106,5,FALSE)*INDEX(Weather!$BO$1:$CB$20,MATCH(B122,Weather!$BO$1:$BO$20,0),MATCH(C122,Weather!$BO$1:$CB$1,0))/VLOOKUP(B122,Weather!$BO$2:$CB$20,14,FALSE)</f>
        <v>147241.68436744245</v>
      </c>
      <c r="T122" s="47">
        <f t="shared" ca="1" si="124"/>
        <v>31189381.579584461</v>
      </c>
    </row>
    <row r="123" spans="1:20">
      <c r="A123" s="2">
        <f t="shared" si="128"/>
        <v>46081</v>
      </c>
      <c r="B123">
        <f t="shared" si="129"/>
        <v>2026</v>
      </c>
      <c r="C123">
        <f t="shared" si="130"/>
        <v>2</v>
      </c>
      <c r="E123" s="3">
        <f t="shared" ref="E123:F123" ca="1" si="147">E111</f>
        <v>490.99541666666664</v>
      </c>
      <c r="F123" s="3">
        <f t="shared" ca="1" si="147"/>
        <v>0</v>
      </c>
      <c r="G123" s="3">
        <f t="shared" si="132"/>
        <v>28</v>
      </c>
      <c r="I123">
        <f t="shared" si="133"/>
        <v>0</v>
      </c>
      <c r="K123" s="3">
        <f t="shared" si="110"/>
        <v>13824899.391279301</v>
      </c>
      <c r="L123" s="3">
        <f t="shared" ca="1" si="111"/>
        <v>3787751.2147381431</v>
      </c>
      <c r="M123" s="3">
        <f t="shared" ca="1" si="112"/>
        <v>0</v>
      </c>
      <c r="N123" s="3">
        <f t="shared" si="113"/>
        <v>11568681.517923599</v>
      </c>
      <c r="O123" s="3">
        <f t="shared" si="114"/>
        <v>0</v>
      </c>
      <c r="P123" s="3">
        <f t="shared" si="115"/>
        <v>0</v>
      </c>
      <c r="Q123" s="47">
        <f t="shared" ca="1" si="134"/>
        <v>29181332.123941042</v>
      </c>
      <c r="R123" s="47">
        <f>IFERROR(HLOOKUP(B123-1,'EV Forecast WRZ'!$F$124:$T$130,4,FALSE)/12,0)+IFERROR(((HLOOKUP(B123,'EV Forecast WRZ'!$F$116:$T$122,4,FALSE)-HLOOKUP(B123-1,'EV Forecast WRZ'!$F$124:$T$130,4,FALSE)))*C123/78,0)</f>
        <v>37393.018927829129</v>
      </c>
      <c r="S123" s="47">
        <f ca="1">HLOOKUP(B123,Heating!$R$102:$AD$106,5,FALSE)*INDEX(Weather!$BO$1:$CB$20,MATCH(B123,Weather!$BO$1:$BO$20,0),MATCH(C123,Weather!$BO$1:$CB$1,0))/VLOOKUP(B123,Weather!$BO$2:$CB$20,14,FALSE)</f>
        <v>128784.54059618723</v>
      </c>
      <c r="T123" s="47">
        <f t="shared" ca="1" si="124"/>
        <v>29347509.683465056</v>
      </c>
    </row>
    <row r="124" spans="1:20">
      <c r="A124" s="2">
        <f t="shared" si="128"/>
        <v>46112</v>
      </c>
      <c r="B124">
        <f t="shared" si="129"/>
        <v>2026</v>
      </c>
      <c r="C124">
        <f t="shared" si="130"/>
        <v>3</v>
      </c>
      <c r="E124" s="3">
        <f t="shared" ref="E124:F124" ca="1" si="148">E112</f>
        <v>410.21590579710147</v>
      </c>
      <c r="F124" s="3">
        <f t="shared" ca="1" si="148"/>
        <v>2.9583333333332896E-2</v>
      </c>
      <c r="G124" s="3">
        <f t="shared" si="132"/>
        <v>31</v>
      </c>
      <c r="I124">
        <f t="shared" si="133"/>
        <v>0</v>
      </c>
      <c r="K124" s="3">
        <f t="shared" si="110"/>
        <v>13824899.391279301</v>
      </c>
      <c r="L124" s="3">
        <f t="shared" ca="1" si="111"/>
        <v>3164583.0953708063</v>
      </c>
      <c r="M124" s="3">
        <f t="shared" ca="1" si="112"/>
        <v>445.54494017078349</v>
      </c>
      <c r="N124" s="3">
        <f t="shared" si="113"/>
        <v>12808183.109129699</v>
      </c>
      <c r="O124" s="3">
        <f t="shared" si="114"/>
        <v>0</v>
      </c>
      <c r="P124" s="3">
        <f t="shared" si="115"/>
        <v>0</v>
      </c>
      <c r="Q124" s="47">
        <f t="shared" ca="1" si="134"/>
        <v>29798111.140719973</v>
      </c>
      <c r="R124" s="47">
        <f>IFERROR(HLOOKUP(B124-1,'EV Forecast WRZ'!$F$124:$T$130,4,FALSE)/12,0)+IFERROR(((HLOOKUP(B124,'EV Forecast WRZ'!$F$116:$T$122,4,FALSE)-HLOOKUP(B124-1,'EV Forecast WRZ'!$F$124:$T$130,4,FALSE)))*C124/78,0)</f>
        <v>38172.8018917437</v>
      </c>
      <c r="S124" s="47">
        <f ca="1">HLOOKUP(B124,Heating!$R$102:$AD$106,5,FALSE)*INDEX(Weather!$BO$1:$CB$20,MATCH(B124,Weather!$BO$1:$BO$20,0),MATCH(C124,Weather!$BO$1:$CB$1,0))/VLOOKUP(B124,Weather!$BO$2:$CB$20,14,FALSE)</f>
        <v>113868.37455142742</v>
      </c>
      <c r="T124" s="47">
        <f t="shared" ca="1" si="124"/>
        <v>29950152.317163143</v>
      </c>
    </row>
    <row r="125" spans="1:20">
      <c r="A125" s="2">
        <f t="shared" si="128"/>
        <v>46142</v>
      </c>
      <c r="B125">
        <f t="shared" si="129"/>
        <v>2026</v>
      </c>
      <c r="C125">
        <f t="shared" si="130"/>
        <v>4</v>
      </c>
      <c r="E125" s="3">
        <f t="shared" ref="E125:F125" ca="1" si="149">E113</f>
        <v>235.09104166666671</v>
      </c>
      <c r="F125" s="3">
        <f t="shared" ca="1" si="149"/>
        <v>6.0095833333333344</v>
      </c>
      <c r="G125" s="3">
        <f t="shared" si="132"/>
        <v>30</v>
      </c>
      <c r="I125">
        <f t="shared" si="133"/>
        <v>0</v>
      </c>
      <c r="K125" s="3">
        <f t="shared" si="110"/>
        <v>13824899.391279301</v>
      </c>
      <c r="L125" s="3">
        <f t="shared" ca="1" si="111"/>
        <v>1813594.0752609991</v>
      </c>
      <c r="M125" s="3">
        <f t="shared" ca="1" si="112"/>
        <v>90508.375663145154</v>
      </c>
      <c r="N125" s="3">
        <f t="shared" si="113"/>
        <v>12395015.912061</v>
      </c>
      <c r="O125" s="3">
        <f t="shared" si="114"/>
        <v>0</v>
      </c>
      <c r="P125" s="3">
        <f t="shared" si="115"/>
        <v>0</v>
      </c>
      <c r="Q125" s="47">
        <f t="shared" ca="1" si="134"/>
        <v>28124017.754264444</v>
      </c>
      <c r="R125" s="47">
        <f>IFERROR(HLOOKUP(B125-1,'EV Forecast WRZ'!$F$124:$T$130,4,FALSE)/12,0)+IFERROR(((HLOOKUP(B125,'EV Forecast WRZ'!$F$116:$T$122,4,FALSE)-HLOOKUP(B125-1,'EV Forecast WRZ'!$F$124:$T$130,4,FALSE)))*C125/78,0)</f>
        <v>38952.584855658264</v>
      </c>
      <c r="S125" s="47">
        <f ca="1">HLOOKUP(B125,Heating!$R$102:$AD$106,5,FALSE)*INDEX(Weather!$BO$1:$CB$20,MATCH(B125,Weather!$BO$1:$BO$20,0),MATCH(C125,Weather!$BO$1:$CB$1,0))/VLOOKUP(B125,Weather!$BO$2:$CB$20,14,FALSE)</f>
        <v>75225.732048164515</v>
      </c>
      <c r="T125" s="47">
        <f t="shared" ca="1" si="124"/>
        <v>28238196.071168266</v>
      </c>
    </row>
    <row r="126" spans="1:20">
      <c r="A126" s="2">
        <f t="shared" si="128"/>
        <v>46173</v>
      </c>
      <c r="B126">
        <f t="shared" si="129"/>
        <v>2026</v>
      </c>
      <c r="C126">
        <f t="shared" si="130"/>
        <v>5</v>
      </c>
      <c r="E126" s="3">
        <f t="shared" ref="E126:F126" ca="1" si="150">E114</f>
        <v>66.98488157894738</v>
      </c>
      <c r="F126" s="3">
        <f t="shared" ca="1" si="150"/>
        <v>81.50872474747473</v>
      </c>
      <c r="G126" s="3">
        <f t="shared" si="132"/>
        <v>31</v>
      </c>
      <c r="I126">
        <f t="shared" si="133"/>
        <v>0</v>
      </c>
      <c r="K126" s="3">
        <f t="shared" si="110"/>
        <v>13824899.391279301</v>
      </c>
      <c r="L126" s="3">
        <f t="shared" ca="1" si="111"/>
        <v>516750.37680035766</v>
      </c>
      <c r="M126" s="3">
        <f t="shared" ca="1" si="112"/>
        <v>1227576.3343440345</v>
      </c>
      <c r="N126" s="3">
        <f t="shared" si="113"/>
        <v>12808183.109129699</v>
      </c>
      <c r="O126" s="3">
        <f t="shared" si="114"/>
        <v>0</v>
      </c>
      <c r="P126" s="3">
        <f t="shared" si="115"/>
        <v>0</v>
      </c>
      <c r="Q126" s="47">
        <f t="shared" ca="1" si="134"/>
        <v>28377409.211553395</v>
      </c>
      <c r="R126" s="47">
        <f>IFERROR(HLOOKUP(B126-1,'EV Forecast WRZ'!$F$124:$T$130,4,FALSE)/12,0)+IFERROR(((HLOOKUP(B126,'EV Forecast WRZ'!$F$116:$T$122,4,FALSE)-HLOOKUP(B126-1,'EV Forecast WRZ'!$F$124:$T$130,4,FALSE)))*C126/78,0)</f>
        <v>39732.367819572828</v>
      </c>
      <c r="S126" s="47">
        <f ca="1">HLOOKUP(B126,Heating!$R$102:$AD$106,5,FALSE)*INDEX(Weather!$BO$1:$CB$20,MATCH(B126,Weather!$BO$1:$BO$20,0),MATCH(C126,Weather!$BO$1:$CB$1,0))/VLOOKUP(B126,Weather!$BO$2:$CB$20,14,FALSE)</f>
        <v>33091.016355860105</v>
      </c>
      <c r="T126" s="47">
        <f t="shared" ca="1" si="124"/>
        <v>28450232.59572883</v>
      </c>
    </row>
    <row r="127" spans="1:20">
      <c r="A127" s="2">
        <f t="shared" si="128"/>
        <v>46203</v>
      </c>
      <c r="B127">
        <f t="shared" si="129"/>
        <v>2026</v>
      </c>
      <c r="C127">
        <f t="shared" si="130"/>
        <v>6</v>
      </c>
      <c r="E127" s="3">
        <f t="shared" ref="E127:F127" ca="1" si="151">E115</f>
        <v>3.128333333333333</v>
      </c>
      <c r="F127" s="3">
        <f t="shared" ca="1" si="151"/>
        <v>202.3599342107168</v>
      </c>
      <c r="G127" s="3">
        <f t="shared" si="132"/>
        <v>30</v>
      </c>
      <c r="I127">
        <f t="shared" si="133"/>
        <v>0</v>
      </c>
      <c r="K127" s="3">
        <f t="shared" si="110"/>
        <v>13824899.391279301</v>
      </c>
      <c r="L127" s="3">
        <f t="shared" ca="1" si="111"/>
        <v>24133.317707695824</v>
      </c>
      <c r="M127" s="3">
        <f t="shared" ca="1" si="112"/>
        <v>3047677.0066775945</v>
      </c>
      <c r="N127" s="3">
        <f t="shared" si="113"/>
        <v>12395015.912061</v>
      </c>
      <c r="O127" s="3">
        <f t="shared" si="114"/>
        <v>0</v>
      </c>
      <c r="P127" s="3">
        <f t="shared" si="115"/>
        <v>0</v>
      </c>
      <c r="Q127" s="47">
        <f t="shared" ca="1" si="134"/>
        <v>29291725.627725594</v>
      </c>
      <c r="R127" s="47">
        <f>IFERROR(HLOOKUP(B127-1,'EV Forecast WRZ'!$F$124:$T$130,4,FALSE)/12,0)+IFERROR(((HLOOKUP(B127,'EV Forecast WRZ'!$F$116:$T$122,4,FALSE)-HLOOKUP(B127-1,'EV Forecast WRZ'!$F$124:$T$130,4,FALSE)))*C127/78,0)</f>
        <v>40512.150783487392</v>
      </c>
      <c r="S127" s="47">
        <f ca="1">HLOOKUP(B127,Heating!$R$102:$AD$106,5,FALSE)*INDEX(Weather!$BO$1:$CB$20,MATCH(B127,Weather!$BO$1:$BO$20,0),MATCH(C127,Weather!$BO$1:$CB$1,0))/VLOOKUP(B127,Weather!$BO$2:$CB$20,14,FALSE)</f>
        <v>6452.8835082237556</v>
      </c>
      <c r="T127" s="47">
        <f t="shared" ca="1" si="124"/>
        <v>29338690.662017304</v>
      </c>
    </row>
    <row r="128" spans="1:20">
      <c r="A128" s="2">
        <f t="shared" si="128"/>
        <v>46234</v>
      </c>
      <c r="B128">
        <f t="shared" si="129"/>
        <v>2026</v>
      </c>
      <c r="C128">
        <f t="shared" si="130"/>
        <v>7</v>
      </c>
      <c r="E128" s="3">
        <f t="shared" ref="E128:F128" ca="1" si="152">E116</f>
        <v>0</v>
      </c>
      <c r="F128" s="3">
        <f t="shared" ca="1" si="152"/>
        <v>304.72508692061177</v>
      </c>
      <c r="G128" s="3">
        <f t="shared" si="132"/>
        <v>31</v>
      </c>
      <c r="I128">
        <f t="shared" si="133"/>
        <v>0</v>
      </c>
      <c r="K128" s="3">
        <f t="shared" si="110"/>
        <v>13824899.391279301</v>
      </c>
      <c r="L128" s="3">
        <f t="shared" ca="1" si="111"/>
        <v>0</v>
      </c>
      <c r="M128" s="3">
        <f t="shared" ca="1" si="112"/>
        <v>4589365.2040760377</v>
      </c>
      <c r="N128" s="3">
        <f t="shared" si="113"/>
        <v>12808183.109129699</v>
      </c>
      <c r="O128" s="3">
        <f t="shared" si="114"/>
        <v>0</v>
      </c>
      <c r="P128" s="3">
        <f t="shared" si="115"/>
        <v>0</v>
      </c>
      <c r="Q128" s="47">
        <f t="shared" ca="1" si="134"/>
        <v>31222447.704485036</v>
      </c>
      <c r="R128" s="47">
        <f>IFERROR(HLOOKUP(B128-1,'EV Forecast WRZ'!$F$124:$T$130,4,FALSE)/12,0)+IFERROR(((HLOOKUP(B128,'EV Forecast WRZ'!$F$116:$T$122,4,FALSE)-HLOOKUP(B128-1,'EV Forecast WRZ'!$F$124:$T$130,4,FALSE)))*C128/78,0)</f>
        <v>41291.933747401956</v>
      </c>
      <c r="S128" s="47">
        <f ca="1">HLOOKUP(B128,Heating!$R$102:$AD$106,5,FALSE)*INDEX(Weather!$BO$1:$CB$20,MATCH(B128,Weather!$BO$1:$BO$20,0),MATCH(C128,Weather!$BO$1:$CB$1,0))/VLOOKUP(B128,Weather!$BO$2:$CB$20,14,FALSE)</f>
        <v>231.17945364798152</v>
      </c>
      <c r="T128" s="47">
        <f t="shared" ca="1" si="124"/>
        <v>31263970.817686088</v>
      </c>
    </row>
    <row r="129" spans="1:20">
      <c r="A129" s="2">
        <f t="shared" si="128"/>
        <v>46265</v>
      </c>
      <c r="B129">
        <f t="shared" si="129"/>
        <v>2026</v>
      </c>
      <c r="C129">
        <f t="shared" si="130"/>
        <v>8</v>
      </c>
      <c r="E129" s="3">
        <f t="shared" ref="E129:F129" ca="1" si="153">E117</f>
        <v>6.5416666666666859E-2</v>
      </c>
      <c r="F129" s="3">
        <f t="shared" ca="1" si="153"/>
        <v>275.96017127799735</v>
      </c>
      <c r="G129" s="3">
        <f t="shared" si="132"/>
        <v>31</v>
      </c>
      <c r="I129">
        <f t="shared" si="133"/>
        <v>0</v>
      </c>
      <c r="K129" s="3">
        <f t="shared" si="110"/>
        <v>13824899.391279301</v>
      </c>
      <c r="L129" s="3">
        <f t="shared" ca="1" si="111"/>
        <v>504.65248802720515</v>
      </c>
      <c r="M129" s="3">
        <f t="shared" ca="1" si="112"/>
        <v>4156146.1859687767</v>
      </c>
      <c r="N129" s="3">
        <f t="shared" si="113"/>
        <v>12808183.109129699</v>
      </c>
      <c r="O129" s="3">
        <f t="shared" si="114"/>
        <v>0</v>
      </c>
      <c r="P129" s="3">
        <f t="shared" si="115"/>
        <v>0</v>
      </c>
      <c r="Q129" s="47">
        <f t="shared" ca="1" si="134"/>
        <v>30789733.338865802</v>
      </c>
      <c r="R129" s="47">
        <f>IFERROR(HLOOKUP(B129-1,'EV Forecast WRZ'!$F$124:$T$130,4,FALSE)/12,0)+IFERROR(((HLOOKUP(B129,'EV Forecast WRZ'!$F$116:$T$122,4,FALSE)-HLOOKUP(B129-1,'EV Forecast WRZ'!$F$124:$T$130,4,FALSE)))*C129/78,0)</f>
        <v>42071.716711316527</v>
      </c>
      <c r="S129" s="47">
        <f ca="1">HLOOKUP(B129,Heating!$R$102:$AD$106,5,FALSE)*INDEX(Weather!$BO$1:$CB$20,MATCH(B129,Weather!$BO$1:$BO$20,0),MATCH(C129,Weather!$BO$1:$CB$1,0))/VLOOKUP(B129,Weather!$BO$2:$CB$20,14,FALSE)</f>
        <v>1369.4029949282492</v>
      </c>
      <c r="T129" s="47">
        <f t="shared" ca="1" si="124"/>
        <v>30833174.458572045</v>
      </c>
    </row>
    <row r="130" spans="1:20">
      <c r="A130" s="2">
        <f t="shared" si="128"/>
        <v>46295</v>
      </c>
      <c r="B130">
        <f t="shared" si="129"/>
        <v>2026</v>
      </c>
      <c r="C130">
        <f t="shared" si="130"/>
        <v>9</v>
      </c>
      <c r="E130" s="3">
        <f t="shared" ref="E130:F130" ca="1" si="154">E118</f>
        <v>10.085869565217392</v>
      </c>
      <c r="F130" s="3">
        <f t="shared" ca="1" si="154"/>
        <v>154.9849637681159</v>
      </c>
      <c r="G130" s="3">
        <f t="shared" si="132"/>
        <v>30</v>
      </c>
      <c r="I130">
        <f t="shared" si="133"/>
        <v>1</v>
      </c>
      <c r="K130" s="3">
        <f t="shared" ref="K130:K161" si="155">$X$7</f>
        <v>13824899.391279301</v>
      </c>
      <c r="L130" s="3">
        <f t="shared" ref="L130:L161" ca="1" si="156">E130*$X$8</f>
        <v>77806.764382239096</v>
      </c>
      <c r="M130" s="3">
        <f t="shared" ref="M130:M161" ca="1" si="157">F130*$X$9</f>
        <v>2334178.0194739359</v>
      </c>
      <c r="N130" s="3">
        <f t="shared" ref="N130:N161" si="158">G130*$X$10</f>
        <v>12395015.912061</v>
      </c>
      <c r="O130" s="3">
        <f t="shared" ref="O130:O161" si="159">H130*$X$11</f>
        <v>0</v>
      </c>
      <c r="P130" s="3">
        <f t="shared" ref="P130:P161" si="160">I130*$X$12</f>
        <v>0</v>
      </c>
      <c r="Q130" s="47">
        <f t="shared" ca="1" si="134"/>
        <v>28631900.087196477</v>
      </c>
      <c r="R130" s="47">
        <f>IFERROR(HLOOKUP(B130-1,'EV Forecast WRZ'!$F$124:$T$130,4,FALSE)/12,0)+IFERROR(((HLOOKUP(B130,'EV Forecast WRZ'!$F$116:$T$122,4,FALSE)-HLOOKUP(B130-1,'EV Forecast WRZ'!$F$124:$T$130,4,FALSE)))*C130/78,0)</f>
        <v>42851.499675231091</v>
      </c>
      <c r="S130" s="47">
        <f ca="1">HLOOKUP(B130,Heating!$R$102:$AD$106,5,FALSE)*INDEX(Weather!$BO$1:$CB$20,MATCH(B130,Weather!$BO$1:$BO$20,0),MATCH(C130,Weather!$BO$1:$CB$1,0))/VLOOKUP(B130,Weather!$BO$2:$CB$20,14,FALSE)</f>
        <v>11598.146805188162</v>
      </c>
      <c r="T130" s="47">
        <f t="shared" ca="1" si="124"/>
        <v>28686349.733676899</v>
      </c>
    </row>
    <row r="131" spans="1:20">
      <c r="A131" s="2">
        <f t="shared" si="128"/>
        <v>46326</v>
      </c>
      <c r="B131">
        <f t="shared" si="129"/>
        <v>2026</v>
      </c>
      <c r="C131">
        <f t="shared" si="130"/>
        <v>10</v>
      </c>
      <c r="E131" s="3">
        <f t="shared" ref="E131:F131" ca="1" si="161">E119</f>
        <v>126.20389492753625</v>
      </c>
      <c r="F131" s="3">
        <f t="shared" ca="1" si="161"/>
        <v>38.347916666666663</v>
      </c>
      <c r="G131" s="3">
        <f t="shared" si="132"/>
        <v>31</v>
      </c>
      <c r="I131">
        <f t="shared" si="133"/>
        <v>1</v>
      </c>
      <c r="K131" s="3">
        <f t="shared" si="155"/>
        <v>13824899.391279301</v>
      </c>
      <c r="L131" s="3">
        <f t="shared" ca="1" si="156"/>
        <v>973591.48393230501</v>
      </c>
      <c r="M131" s="3">
        <f t="shared" ca="1" si="157"/>
        <v>577545.47279744595</v>
      </c>
      <c r="N131" s="3">
        <f t="shared" si="158"/>
        <v>12808183.109129699</v>
      </c>
      <c r="O131" s="3">
        <f t="shared" si="159"/>
        <v>0</v>
      </c>
      <c r="P131" s="3">
        <f t="shared" si="160"/>
        <v>0</v>
      </c>
      <c r="Q131" s="47">
        <f t="shared" ca="1" si="134"/>
        <v>28184219.457138751</v>
      </c>
      <c r="R131" s="47">
        <f>IFERROR(HLOOKUP(B131-1,'EV Forecast WRZ'!$F$124:$T$130,4,FALSE)/12,0)+IFERROR(((HLOOKUP(B131,'EV Forecast WRZ'!$F$116:$T$122,4,FALSE)-HLOOKUP(B131-1,'EV Forecast WRZ'!$F$124:$T$130,4,FALSE)))*C131/78,0)</f>
        <v>43631.282639145655</v>
      </c>
      <c r="S131" s="47">
        <f ca="1">HLOOKUP(B131,Heating!$R$102:$AD$106,5,FALSE)*INDEX(Weather!$BO$1:$CB$20,MATCH(B131,Weather!$BO$1:$BO$20,0),MATCH(C131,Weather!$BO$1:$CB$1,0))/VLOOKUP(B131,Weather!$BO$2:$CB$20,14,FALSE)</f>
        <v>49496.591025976217</v>
      </c>
      <c r="T131" s="47">
        <f t="shared" ca="1" si="124"/>
        <v>28277347.330803871</v>
      </c>
    </row>
    <row r="132" spans="1:20">
      <c r="A132" s="2">
        <f t="shared" si="128"/>
        <v>46356</v>
      </c>
      <c r="B132">
        <f t="shared" si="129"/>
        <v>2026</v>
      </c>
      <c r="C132">
        <f t="shared" si="130"/>
        <v>11</v>
      </c>
      <c r="E132" s="3">
        <f t="shared" ref="E132:F132" ca="1" si="162">E120</f>
        <v>316.29533055712409</v>
      </c>
      <c r="F132" s="3">
        <f t="shared" ca="1" si="162"/>
        <v>1.9241666666666659</v>
      </c>
      <c r="G132" s="3">
        <f t="shared" si="132"/>
        <v>30</v>
      </c>
      <c r="I132">
        <f t="shared" si="133"/>
        <v>1</v>
      </c>
      <c r="K132" s="3">
        <f t="shared" si="155"/>
        <v>13824899.391279301</v>
      </c>
      <c r="L132" s="3">
        <f t="shared" ca="1" si="156"/>
        <v>2440039.1161840432</v>
      </c>
      <c r="M132" s="3">
        <f t="shared" ca="1" si="157"/>
        <v>28979.246953643771</v>
      </c>
      <c r="N132" s="3">
        <f t="shared" si="158"/>
        <v>12395015.912061</v>
      </c>
      <c r="O132" s="3">
        <f t="shared" si="159"/>
        <v>0</v>
      </c>
      <c r="P132" s="3">
        <f t="shared" si="160"/>
        <v>0</v>
      </c>
      <c r="Q132" s="47">
        <f t="shared" ca="1" si="134"/>
        <v>28688933.666477986</v>
      </c>
      <c r="R132" s="47">
        <f>IFERROR(HLOOKUP(B132-1,'EV Forecast WRZ'!$F$124:$T$130,4,FALSE)/12,0)+IFERROR(((HLOOKUP(B132,'EV Forecast WRZ'!$F$116:$T$122,4,FALSE)-HLOOKUP(B132-1,'EV Forecast WRZ'!$F$124:$T$130,4,FALSE)))*C132/78,0)</f>
        <v>44411.065603060219</v>
      </c>
      <c r="S132" s="47">
        <f ca="1">HLOOKUP(B132,Heating!$R$102:$AD$106,5,FALSE)*INDEX(Weather!$BO$1:$CB$20,MATCH(B132,Weather!$BO$1:$BO$20,0),MATCH(C132,Weather!$BO$1:$CB$1,0))/VLOOKUP(B132,Weather!$BO$2:$CB$20,14,FALSE)</f>
        <v>92830.03352980323</v>
      </c>
      <c r="T132" s="47">
        <f t="shared" ca="1" si="124"/>
        <v>28826174.765610848</v>
      </c>
    </row>
    <row r="133" spans="1:20">
      <c r="A133" s="2">
        <f t="shared" si="128"/>
        <v>46387</v>
      </c>
      <c r="B133">
        <f t="shared" si="129"/>
        <v>2026</v>
      </c>
      <c r="C133">
        <f t="shared" si="130"/>
        <v>12</v>
      </c>
      <c r="E133" s="3">
        <f t="shared" ref="E133:F133" ca="1" si="163">E121</f>
        <v>478.38541666666663</v>
      </c>
      <c r="F133" s="3">
        <f t="shared" ca="1" si="163"/>
        <v>0</v>
      </c>
      <c r="G133" s="3">
        <f t="shared" si="132"/>
        <v>31</v>
      </c>
      <c r="I133">
        <f t="shared" si="133"/>
        <v>0</v>
      </c>
      <c r="K133" s="3">
        <f t="shared" si="155"/>
        <v>13824899.391279301</v>
      </c>
      <c r="L133" s="3">
        <f t="shared" ca="1" si="156"/>
        <v>3690472.2153900201</v>
      </c>
      <c r="M133" s="3">
        <f t="shared" ca="1" si="157"/>
        <v>0</v>
      </c>
      <c r="N133" s="3">
        <f t="shared" si="158"/>
        <v>12808183.109129699</v>
      </c>
      <c r="O133" s="3">
        <f t="shared" si="159"/>
        <v>0</v>
      </c>
      <c r="P133" s="3">
        <f t="shared" si="160"/>
        <v>0</v>
      </c>
      <c r="Q133" s="47">
        <f t="shared" ca="1" si="134"/>
        <v>30323554.715799019</v>
      </c>
      <c r="R133" s="47">
        <f>IFERROR(HLOOKUP(B133-1,'EV Forecast WRZ'!$F$124:$T$130,4,FALSE)/12,0)+IFERROR(((HLOOKUP(B133,'EV Forecast WRZ'!$F$116:$T$122,4,FALSE)-HLOOKUP(B133-1,'EV Forecast WRZ'!$F$124:$T$130,4,FALSE)))*C133/78,0)</f>
        <v>45190.84856697479</v>
      </c>
      <c r="S133" s="47">
        <f ca="1">HLOOKUP(B133,Heating!$R$102:$AD$106,5,FALSE)*INDEX(Weather!$BO$1:$CB$20,MATCH(B133,Weather!$BO$1:$BO$20,0),MATCH(C133,Weather!$BO$1:$CB$1,0))/VLOOKUP(B133,Weather!$BO$2:$CB$20,14,FALSE)</f>
        <v>128398.73823481699</v>
      </c>
      <c r="T133" s="47">
        <f t="shared" ca="1" si="124"/>
        <v>30497144.302600812</v>
      </c>
    </row>
    <row r="134" spans="1:20">
      <c r="A134" s="2">
        <f t="shared" si="128"/>
        <v>46418</v>
      </c>
      <c r="B134">
        <f t="shared" si="129"/>
        <v>2027</v>
      </c>
      <c r="C134">
        <f t="shared" si="130"/>
        <v>1</v>
      </c>
      <c r="E134" s="3">
        <f t="shared" ref="E134:F134" ca="1" si="164">E122</f>
        <v>566.78750000000002</v>
      </c>
      <c r="F134" s="3">
        <f t="shared" ca="1" si="164"/>
        <v>0</v>
      </c>
      <c r="G134" s="3">
        <f t="shared" si="132"/>
        <v>31</v>
      </c>
      <c r="I134">
        <f t="shared" si="133"/>
        <v>0</v>
      </c>
      <c r="K134" s="3">
        <f t="shared" si="155"/>
        <v>13824899.391279301</v>
      </c>
      <c r="L134" s="3">
        <f t="shared" ca="1" si="156"/>
        <v>4372444.1588441078</v>
      </c>
      <c r="M134" s="3">
        <f t="shared" ca="1" si="157"/>
        <v>0</v>
      </c>
      <c r="N134" s="3">
        <f t="shared" si="158"/>
        <v>12808183.109129699</v>
      </c>
      <c r="O134" s="3">
        <f t="shared" si="159"/>
        <v>0</v>
      </c>
      <c r="P134" s="3">
        <f t="shared" si="160"/>
        <v>0</v>
      </c>
      <c r="Q134" s="47">
        <f t="shared" ca="1" si="134"/>
        <v>31005526.659253106</v>
      </c>
      <c r="R134" s="47">
        <f>IFERROR(HLOOKUP(B134-1,'EV Forecast WRZ'!$F$124:$T$130,4,FALSE)/12,0)+IFERROR(((HLOOKUP(B134,'EV Forecast WRZ'!$F$116:$T$122,4,FALSE)-HLOOKUP(B134-1,'EV Forecast WRZ'!$F$124:$T$130,4,FALSE)))*C134/78,0)</f>
        <v>46838.749211255679</v>
      </c>
      <c r="S134" s="47">
        <f ca="1">HLOOKUP(B134,Heating!$R$102:$AD$106,5,FALSE)*INDEX(Weather!$BO$1:$CB$20,MATCH(B134,Weather!$BO$1:$BO$20,0),MATCH(C134,Weather!$BO$1:$CB$1,0))/VLOOKUP(B134,Weather!$BO$2:$CB$20,14,FALSE)</f>
        <v>171563.28795374621</v>
      </c>
      <c r="T134" s="47">
        <f t="shared" ca="1" si="124"/>
        <v>31223928.696418107</v>
      </c>
    </row>
    <row r="135" spans="1:20">
      <c r="A135" s="2">
        <f t="shared" si="128"/>
        <v>46446</v>
      </c>
      <c r="B135">
        <f t="shared" si="129"/>
        <v>2027</v>
      </c>
      <c r="C135">
        <f t="shared" si="130"/>
        <v>2</v>
      </c>
      <c r="E135" s="3">
        <f t="shared" ref="E135:F135" ca="1" si="165">E123</f>
        <v>490.99541666666664</v>
      </c>
      <c r="F135" s="3">
        <f t="shared" ca="1" si="165"/>
        <v>0</v>
      </c>
      <c r="G135" s="3">
        <f t="shared" si="132"/>
        <v>29</v>
      </c>
      <c r="I135">
        <f t="shared" si="133"/>
        <v>0</v>
      </c>
      <c r="K135" s="3">
        <f t="shared" si="155"/>
        <v>13824899.391279301</v>
      </c>
      <c r="L135" s="3">
        <f t="shared" ca="1" si="156"/>
        <v>3787751.2147381431</v>
      </c>
      <c r="M135" s="3">
        <f t="shared" ca="1" si="157"/>
        <v>0</v>
      </c>
      <c r="N135" s="3">
        <f t="shared" si="158"/>
        <v>11981848.7149923</v>
      </c>
      <c r="O135" s="3">
        <f t="shared" si="159"/>
        <v>0</v>
      </c>
      <c r="P135" s="3">
        <f t="shared" si="160"/>
        <v>0</v>
      </c>
      <c r="Q135" s="47">
        <f t="shared" ca="1" si="134"/>
        <v>29594499.321009744</v>
      </c>
      <c r="R135" s="47">
        <f>IFERROR(HLOOKUP(B135-1,'EV Forecast WRZ'!$F$124:$T$130,4,FALSE)/12,0)+IFERROR(((HLOOKUP(B135,'EV Forecast WRZ'!$F$116:$T$122,4,FALSE)-HLOOKUP(B135-1,'EV Forecast WRZ'!$F$124:$T$130,4,FALSE)))*C135/78,0)</f>
        <v>47706.866891622019</v>
      </c>
      <c r="S135" s="47">
        <f ca="1">HLOOKUP(B135,Heating!$R$102:$AD$106,5,FALSE)*INDEX(Weather!$BO$1:$CB$20,MATCH(B135,Weather!$BO$1:$BO$20,0),MATCH(C135,Weather!$BO$1:$CB$1,0))/VLOOKUP(B135,Weather!$BO$2:$CB$20,14,FALSE)</f>
        <v>150057.36532568553</v>
      </c>
      <c r="T135" s="47">
        <f t="shared" ca="1" si="124"/>
        <v>29792263.553227052</v>
      </c>
    </row>
    <row r="136" spans="1:20">
      <c r="A136" s="2">
        <f t="shared" si="128"/>
        <v>46477</v>
      </c>
      <c r="B136">
        <f t="shared" si="129"/>
        <v>2027</v>
      </c>
      <c r="C136">
        <f t="shared" si="130"/>
        <v>3</v>
      </c>
      <c r="E136" s="3">
        <f t="shared" ref="E136:F136" ca="1" si="166">E124</f>
        <v>410.21590579710147</v>
      </c>
      <c r="F136" s="3">
        <f t="shared" ca="1" si="166"/>
        <v>2.9583333333332896E-2</v>
      </c>
      <c r="G136" s="3">
        <f t="shared" si="132"/>
        <v>31</v>
      </c>
      <c r="I136">
        <f t="shared" si="133"/>
        <v>0</v>
      </c>
      <c r="K136" s="3">
        <f t="shared" si="155"/>
        <v>13824899.391279301</v>
      </c>
      <c r="L136" s="3">
        <f t="shared" ca="1" si="156"/>
        <v>3164583.0953708063</v>
      </c>
      <c r="M136" s="3">
        <f t="shared" ca="1" si="157"/>
        <v>445.54494017078349</v>
      </c>
      <c r="N136" s="3">
        <f t="shared" si="158"/>
        <v>12808183.109129699</v>
      </c>
      <c r="O136" s="3">
        <f t="shared" si="159"/>
        <v>0</v>
      </c>
      <c r="P136" s="3">
        <f t="shared" si="160"/>
        <v>0</v>
      </c>
      <c r="Q136" s="47">
        <f t="shared" ca="1" si="134"/>
        <v>29798111.140719973</v>
      </c>
      <c r="R136" s="47">
        <f>IFERROR(HLOOKUP(B136-1,'EV Forecast WRZ'!$F$124:$T$130,4,FALSE)/12,0)+IFERROR(((HLOOKUP(B136,'EV Forecast WRZ'!$F$116:$T$122,4,FALSE)-HLOOKUP(B136-1,'EV Forecast WRZ'!$F$124:$T$130,4,FALSE)))*C136/78,0)</f>
        <v>48574.984571988367</v>
      </c>
      <c r="S136" s="47">
        <f ca="1">HLOOKUP(B136,Heating!$R$102:$AD$106,5,FALSE)*INDEX(Weather!$BO$1:$CB$20,MATCH(B136,Weather!$BO$1:$BO$20,0),MATCH(C136,Weather!$BO$1:$CB$1,0))/VLOOKUP(B136,Weather!$BO$2:$CB$20,14,FALSE)</f>
        <v>132677.32446771182</v>
      </c>
      <c r="T136" s="47">
        <f t="shared" ca="1" si="124"/>
        <v>29979363.449759673</v>
      </c>
    </row>
    <row r="137" spans="1:20">
      <c r="A137" s="2">
        <f t="shared" si="128"/>
        <v>46507</v>
      </c>
      <c r="B137">
        <f t="shared" si="129"/>
        <v>2027</v>
      </c>
      <c r="C137">
        <f t="shared" si="130"/>
        <v>4</v>
      </c>
      <c r="E137" s="3">
        <f t="shared" ref="E137:F137" ca="1" si="167">E125</f>
        <v>235.09104166666671</v>
      </c>
      <c r="F137" s="3">
        <f t="shared" ca="1" si="167"/>
        <v>6.0095833333333344</v>
      </c>
      <c r="G137" s="3">
        <f t="shared" si="132"/>
        <v>30</v>
      </c>
      <c r="I137">
        <f t="shared" si="133"/>
        <v>0</v>
      </c>
      <c r="K137" s="3">
        <f t="shared" si="155"/>
        <v>13824899.391279301</v>
      </c>
      <c r="L137" s="3">
        <f t="shared" ca="1" si="156"/>
        <v>1813594.0752609991</v>
      </c>
      <c r="M137" s="3">
        <f t="shared" ca="1" si="157"/>
        <v>90508.375663145154</v>
      </c>
      <c r="N137" s="3">
        <f t="shared" si="158"/>
        <v>12395015.912061</v>
      </c>
      <c r="O137" s="3">
        <f t="shared" si="159"/>
        <v>0</v>
      </c>
      <c r="P137" s="3">
        <f t="shared" si="160"/>
        <v>0</v>
      </c>
      <c r="Q137" s="47">
        <f t="shared" ca="1" si="134"/>
        <v>28124017.754264444</v>
      </c>
      <c r="R137" s="47">
        <f>IFERROR(HLOOKUP(B137-1,'EV Forecast WRZ'!$F$124:$T$130,4,FALSE)/12,0)+IFERROR(((HLOOKUP(B137,'EV Forecast WRZ'!$F$116:$T$122,4,FALSE)-HLOOKUP(B137-1,'EV Forecast WRZ'!$F$124:$T$130,4,FALSE)))*C137/78,0)</f>
        <v>49443.102252354707</v>
      </c>
      <c r="S137" s="47">
        <f ca="1">HLOOKUP(B137,Heating!$R$102:$AD$106,5,FALSE)*INDEX(Weather!$BO$1:$CB$20,MATCH(B137,Weather!$BO$1:$BO$20,0),MATCH(C137,Weather!$BO$1:$CB$1,0))/VLOOKUP(B137,Weather!$BO$2:$CB$20,14,FALSE)</f>
        <v>87651.63197062914</v>
      </c>
      <c r="T137" s="47">
        <f t="shared" ca="1" si="124"/>
        <v>28261112.488487426</v>
      </c>
    </row>
    <row r="138" spans="1:20">
      <c r="A138" s="2">
        <f t="shared" si="128"/>
        <v>46538</v>
      </c>
      <c r="B138">
        <f t="shared" si="129"/>
        <v>2027</v>
      </c>
      <c r="C138">
        <f t="shared" si="130"/>
        <v>5</v>
      </c>
      <c r="E138" s="3">
        <f t="shared" ref="E138:F138" ca="1" si="168">E126</f>
        <v>66.98488157894738</v>
      </c>
      <c r="F138" s="3">
        <f t="shared" ca="1" si="168"/>
        <v>81.50872474747473</v>
      </c>
      <c r="G138" s="3">
        <f t="shared" si="132"/>
        <v>31</v>
      </c>
      <c r="I138">
        <f t="shared" si="133"/>
        <v>0</v>
      </c>
      <c r="K138" s="3">
        <f t="shared" si="155"/>
        <v>13824899.391279301</v>
      </c>
      <c r="L138" s="3">
        <f t="shared" ca="1" si="156"/>
        <v>516750.37680035766</v>
      </c>
      <c r="M138" s="3">
        <f t="shared" ca="1" si="157"/>
        <v>1227576.3343440345</v>
      </c>
      <c r="N138" s="3">
        <f t="shared" si="158"/>
        <v>12808183.109129699</v>
      </c>
      <c r="O138" s="3">
        <f t="shared" si="159"/>
        <v>0</v>
      </c>
      <c r="P138" s="3">
        <f t="shared" si="160"/>
        <v>0</v>
      </c>
      <c r="Q138" s="47">
        <f t="shared" ca="1" si="134"/>
        <v>28377409.211553395</v>
      </c>
      <c r="R138" s="47">
        <f>IFERROR(HLOOKUP(B138-1,'EV Forecast WRZ'!$F$124:$T$130,4,FALSE)/12,0)+IFERROR(((HLOOKUP(B138,'EV Forecast WRZ'!$F$116:$T$122,4,FALSE)-HLOOKUP(B138-1,'EV Forecast WRZ'!$F$124:$T$130,4,FALSE)))*C138/78,0)</f>
        <v>50311.219932721047</v>
      </c>
      <c r="S138" s="47">
        <f ca="1">HLOOKUP(B138,Heating!$R$102:$AD$106,5,FALSE)*INDEX(Weather!$BO$1:$CB$20,MATCH(B138,Weather!$BO$1:$BO$20,0),MATCH(C138,Weather!$BO$1:$CB$1,0))/VLOOKUP(B138,Weather!$BO$2:$CB$20,14,FALSE)</f>
        <v>38557.040366198606</v>
      </c>
      <c r="T138" s="47">
        <f t="shared" ca="1" si="124"/>
        <v>28466277.471852314</v>
      </c>
    </row>
    <row r="139" spans="1:20">
      <c r="A139" s="2">
        <f t="shared" si="128"/>
        <v>46568</v>
      </c>
      <c r="B139">
        <f t="shared" si="129"/>
        <v>2027</v>
      </c>
      <c r="C139">
        <f t="shared" si="130"/>
        <v>6</v>
      </c>
      <c r="E139" s="3">
        <f t="shared" ref="E139:F139" ca="1" si="169">E127</f>
        <v>3.128333333333333</v>
      </c>
      <c r="F139" s="3">
        <f t="shared" ca="1" si="169"/>
        <v>202.3599342107168</v>
      </c>
      <c r="G139" s="3">
        <f t="shared" si="132"/>
        <v>30</v>
      </c>
      <c r="I139">
        <f t="shared" si="133"/>
        <v>0</v>
      </c>
      <c r="K139" s="3">
        <f t="shared" si="155"/>
        <v>13824899.391279301</v>
      </c>
      <c r="L139" s="3">
        <f t="shared" ca="1" si="156"/>
        <v>24133.317707695824</v>
      </c>
      <c r="M139" s="3">
        <f t="shared" ca="1" si="157"/>
        <v>3047677.0066775945</v>
      </c>
      <c r="N139" s="3">
        <f t="shared" si="158"/>
        <v>12395015.912061</v>
      </c>
      <c r="O139" s="3">
        <f t="shared" si="159"/>
        <v>0</v>
      </c>
      <c r="P139" s="3">
        <f t="shared" si="160"/>
        <v>0</v>
      </c>
      <c r="Q139" s="47">
        <f t="shared" ca="1" si="134"/>
        <v>29291725.627725594</v>
      </c>
      <c r="R139" s="47">
        <f>IFERROR(HLOOKUP(B139-1,'EV Forecast WRZ'!$F$124:$T$130,4,FALSE)/12,0)+IFERROR(((HLOOKUP(B139,'EV Forecast WRZ'!$F$116:$T$122,4,FALSE)-HLOOKUP(B139-1,'EV Forecast WRZ'!$F$124:$T$130,4,FALSE)))*C139/78,0)</f>
        <v>51179.337613087395</v>
      </c>
      <c r="S139" s="47">
        <f ca="1">HLOOKUP(B139,Heating!$R$102:$AD$106,5,FALSE)*INDEX(Weather!$BO$1:$CB$20,MATCH(B139,Weather!$BO$1:$BO$20,0),MATCH(C139,Weather!$BO$1:$CB$1,0))/VLOOKUP(B139,Weather!$BO$2:$CB$20,14,FALSE)</f>
        <v>7518.7805424084481</v>
      </c>
      <c r="T139" s="47">
        <f t="shared" ca="1" si="124"/>
        <v>29350423.745881088</v>
      </c>
    </row>
    <row r="140" spans="1:20">
      <c r="A140" s="2">
        <f t="shared" si="128"/>
        <v>46599</v>
      </c>
      <c r="B140">
        <f t="shared" si="129"/>
        <v>2027</v>
      </c>
      <c r="C140">
        <f t="shared" si="130"/>
        <v>7</v>
      </c>
      <c r="E140" s="3">
        <f t="shared" ref="E140:F140" ca="1" si="170">E128</f>
        <v>0</v>
      </c>
      <c r="F140" s="3">
        <f t="shared" ca="1" si="170"/>
        <v>304.72508692061177</v>
      </c>
      <c r="G140" s="3">
        <f t="shared" si="132"/>
        <v>31</v>
      </c>
      <c r="I140">
        <f t="shared" si="133"/>
        <v>0</v>
      </c>
      <c r="K140" s="3">
        <f t="shared" si="155"/>
        <v>13824899.391279301</v>
      </c>
      <c r="L140" s="3">
        <f t="shared" ca="1" si="156"/>
        <v>0</v>
      </c>
      <c r="M140" s="3">
        <f t="shared" ca="1" si="157"/>
        <v>4589365.2040760377</v>
      </c>
      <c r="N140" s="3">
        <f t="shared" si="158"/>
        <v>12808183.109129699</v>
      </c>
      <c r="O140" s="3">
        <f t="shared" si="159"/>
        <v>0</v>
      </c>
      <c r="P140" s="3">
        <f t="shared" si="160"/>
        <v>0</v>
      </c>
      <c r="Q140" s="47">
        <f t="shared" ca="1" si="134"/>
        <v>31222447.704485036</v>
      </c>
      <c r="R140" s="47">
        <f>IFERROR(HLOOKUP(B140-1,'EV Forecast WRZ'!$F$124:$T$130,4,FALSE)/12,0)+IFERROR(((HLOOKUP(B140,'EV Forecast WRZ'!$F$116:$T$122,4,FALSE)-HLOOKUP(B140-1,'EV Forecast WRZ'!$F$124:$T$130,4,FALSE)))*C140/78,0)</f>
        <v>52047.455293453735</v>
      </c>
      <c r="S140" s="47">
        <f ca="1">HLOOKUP(B140,Heating!$R$102:$AD$106,5,FALSE)*INDEX(Weather!$BO$1:$CB$20,MATCH(B140,Weather!$BO$1:$BO$20,0),MATCH(C140,Weather!$BO$1:$CB$1,0))/VLOOKUP(B140,Weather!$BO$2:$CB$20,14,FALSE)</f>
        <v>269.36602461176602</v>
      </c>
      <c r="T140" s="47">
        <f t="shared" ca="1" si="124"/>
        <v>31274764.525803104</v>
      </c>
    </row>
    <row r="141" spans="1:20">
      <c r="A141" s="2">
        <f t="shared" si="128"/>
        <v>46630</v>
      </c>
      <c r="B141">
        <f t="shared" si="129"/>
        <v>2027</v>
      </c>
      <c r="C141">
        <f t="shared" si="130"/>
        <v>8</v>
      </c>
      <c r="E141" s="3">
        <f t="shared" ref="E141:F141" ca="1" si="171">E129</f>
        <v>6.5416666666666859E-2</v>
      </c>
      <c r="F141" s="3">
        <f t="shared" ca="1" si="171"/>
        <v>275.96017127799735</v>
      </c>
      <c r="G141" s="3">
        <f t="shared" si="132"/>
        <v>31</v>
      </c>
      <c r="I141">
        <f t="shared" si="133"/>
        <v>0</v>
      </c>
      <c r="K141" s="3">
        <f t="shared" si="155"/>
        <v>13824899.391279301</v>
      </c>
      <c r="L141" s="3">
        <f t="shared" ca="1" si="156"/>
        <v>504.65248802720515</v>
      </c>
      <c r="M141" s="3">
        <f t="shared" ca="1" si="157"/>
        <v>4156146.1859687767</v>
      </c>
      <c r="N141" s="3">
        <f t="shared" si="158"/>
        <v>12808183.109129699</v>
      </c>
      <c r="O141" s="3">
        <f t="shared" si="159"/>
        <v>0</v>
      </c>
      <c r="P141" s="3">
        <f t="shared" si="160"/>
        <v>0</v>
      </c>
      <c r="Q141" s="47">
        <f t="shared" ca="1" si="134"/>
        <v>30789733.338865802</v>
      </c>
      <c r="R141" s="47">
        <f>IFERROR(HLOOKUP(B141-1,'EV Forecast WRZ'!$F$124:$T$130,4,FALSE)/12,0)+IFERROR(((HLOOKUP(B141,'EV Forecast WRZ'!$F$116:$T$122,4,FALSE)-HLOOKUP(B141-1,'EV Forecast WRZ'!$F$124:$T$130,4,FALSE)))*C141/78,0)</f>
        <v>52915.572973820075</v>
      </c>
      <c r="S141" s="47">
        <f ca="1">HLOOKUP(B141,Heating!$R$102:$AD$106,5,FALSE)*INDEX(Weather!$BO$1:$CB$20,MATCH(B141,Weather!$BO$1:$BO$20,0),MATCH(C141,Weather!$BO$1:$CB$1,0))/VLOOKUP(B141,Weather!$BO$2:$CB$20,14,FALSE)</f>
        <v>1595.603047825135</v>
      </c>
      <c r="T141" s="47">
        <f t="shared" ca="1" si="124"/>
        <v>30844244.514887448</v>
      </c>
    </row>
    <row r="142" spans="1:20">
      <c r="A142" s="2">
        <f t="shared" si="128"/>
        <v>46660</v>
      </c>
      <c r="B142">
        <f t="shared" si="129"/>
        <v>2027</v>
      </c>
      <c r="C142">
        <f t="shared" si="130"/>
        <v>9</v>
      </c>
      <c r="E142" s="3">
        <f t="shared" ref="E142:F142" ca="1" si="172">E130</f>
        <v>10.085869565217392</v>
      </c>
      <c r="F142" s="3">
        <f t="shared" ca="1" si="172"/>
        <v>154.9849637681159</v>
      </c>
      <c r="G142" s="3">
        <f t="shared" si="132"/>
        <v>30</v>
      </c>
      <c r="I142">
        <f t="shared" si="133"/>
        <v>1</v>
      </c>
      <c r="K142" s="3">
        <f t="shared" si="155"/>
        <v>13824899.391279301</v>
      </c>
      <c r="L142" s="3">
        <f t="shared" ca="1" si="156"/>
        <v>77806.764382239096</v>
      </c>
      <c r="M142" s="3">
        <f t="shared" ca="1" si="157"/>
        <v>2334178.0194739359</v>
      </c>
      <c r="N142" s="3">
        <f t="shared" si="158"/>
        <v>12395015.912061</v>
      </c>
      <c r="O142" s="3">
        <f t="shared" si="159"/>
        <v>0</v>
      </c>
      <c r="P142" s="3">
        <f t="shared" si="160"/>
        <v>0</v>
      </c>
      <c r="Q142" s="47">
        <f t="shared" ca="1" si="134"/>
        <v>28631900.087196477</v>
      </c>
      <c r="R142" s="47">
        <f>IFERROR(HLOOKUP(B142-1,'EV Forecast WRZ'!$F$124:$T$130,4,FALSE)/12,0)+IFERROR(((HLOOKUP(B142,'EV Forecast WRZ'!$F$116:$T$122,4,FALSE)-HLOOKUP(B142-1,'EV Forecast WRZ'!$F$124:$T$130,4,FALSE)))*C142/78,0)</f>
        <v>53783.690654186415</v>
      </c>
      <c r="S142" s="47">
        <f ca="1">HLOOKUP(B142,Heating!$R$102:$AD$106,5,FALSE)*INDEX(Weather!$BO$1:$CB$20,MATCH(B142,Weather!$BO$1:$BO$20,0),MATCH(C142,Weather!$BO$1:$CB$1,0))/VLOOKUP(B142,Weather!$BO$2:$CB$20,14,FALSE)</f>
        <v>13513.946194086731</v>
      </c>
      <c r="T142" s="47">
        <f t="shared" ca="1" si="124"/>
        <v>28699197.724044748</v>
      </c>
    </row>
    <row r="143" spans="1:20">
      <c r="A143" s="2">
        <f t="shared" si="128"/>
        <v>46691</v>
      </c>
      <c r="B143">
        <f t="shared" si="129"/>
        <v>2027</v>
      </c>
      <c r="C143">
        <f t="shared" si="130"/>
        <v>10</v>
      </c>
      <c r="E143" s="3">
        <f t="shared" ref="E143:F143" ca="1" si="173">E131</f>
        <v>126.20389492753625</v>
      </c>
      <c r="F143" s="3">
        <f t="shared" ca="1" si="173"/>
        <v>38.347916666666663</v>
      </c>
      <c r="G143" s="3">
        <f t="shared" si="132"/>
        <v>31</v>
      </c>
      <c r="I143">
        <f t="shared" si="133"/>
        <v>1</v>
      </c>
      <c r="K143" s="3">
        <f t="shared" si="155"/>
        <v>13824899.391279301</v>
      </c>
      <c r="L143" s="3">
        <f t="shared" ca="1" si="156"/>
        <v>973591.48393230501</v>
      </c>
      <c r="M143" s="3">
        <f t="shared" ca="1" si="157"/>
        <v>577545.47279744595</v>
      </c>
      <c r="N143" s="3">
        <f t="shared" si="158"/>
        <v>12808183.109129699</v>
      </c>
      <c r="O143" s="3">
        <f t="shared" si="159"/>
        <v>0</v>
      </c>
      <c r="P143" s="3">
        <f t="shared" si="160"/>
        <v>0</v>
      </c>
      <c r="Q143" s="47">
        <f t="shared" ca="1" si="134"/>
        <v>28184219.457138751</v>
      </c>
      <c r="R143" s="47">
        <f>IFERROR(HLOOKUP(B143-1,'EV Forecast WRZ'!$F$124:$T$130,4,FALSE)/12,0)+IFERROR(((HLOOKUP(B143,'EV Forecast WRZ'!$F$116:$T$122,4,FALSE)-HLOOKUP(B143-1,'EV Forecast WRZ'!$F$124:$T$130,4,FALSE)))*C143/78,0)</f>
        <v>54651.808334552756</v>
      </c>
      <c r="S143" s="47">
        <f ca="1">HLOOKUP(B143,Heating!$R$102:$AD$106,5,FALSE)*INDEX(Weather!$BO$1:$CB$20,MATCH(B143,Weather!$BO$1:$BO$20,0),MATCH(C143,Weather!$BO$1:$CB$1,0))/VLOOKUP(B143,Weather!$BO$2:$CB$20,14,FALSE)</f>
        <v>57672.512613527571</v>
      </c>
      <c r="T143" s="47">
        <f t="shared" ca="1" si="124"/>
        <v>28296543.77808683</v>
      </c>
    </row>
    <row r="144" spans="1:20">
      <c r="A144" s="2">
        <f t="shared" si="128"/>
        <v>46721</v>
      </c>
      <c r="B144">
        <f t="shared" si="129"/>
        <v>2027</v>
      </c>
      <c r="C144">
        <f t="shared" si="130"/>
        <v>11</v>
      </c>
      <c r="E144" s="3">
        <f t="shared" ref="E144:F144" ca="1" si="174">E132</f>
        <v>316.29533055712409</v>
      </c>
      <c r="F144" s="3">
        <f t="shared" ca="1" si="174"/>
        <v>1.9241666666666659</v>
      </c>
      <c r="G144" s="3">
        <f t="shared" si="132"/>
        <v>30</v>
      </c>
      <c r="I144">
        <f t="shared" si="133"/>
        <v>1</v>
      </c>
      <c r="K144" s="3">
        <f t="shared" si="155"/>
        <v>13824899.391279301</v>
      </c>
      <c r="L144" s="3">
        <f t="shared" ca="1" si="156"/>
        <v>2440039.1161840432</v>
      </c>
      <c r="M144" s="3">
        <f t="shared" ca="1" si="157"/>
        <v>28979.246953643771</v>
      </c>
      <c r="N144" s="3">
        <f t="shared" si="158"/>
        <v>12395015.912061</v>
      </c>
      <c r="O144" s="3">
        <f t="shared" si="159"/>
        <v>0</v>
      </c>
      <c r="P144" s="3">
        <f t="shared" si="160"/>
        <v>0</v>
      </c>
      <c r="Q144" s="47">
        <f t="shared" ca="1" si="134"/>
        <v>28688933.666477986</v>
      </c>
      <c r="R144" s="47">
        <f>IFERROR(HLOOKUP(B144-1,'EV Forecast WRZ'!$F$124:$T$130,4,FALSE)/12,0)+IFERROR(((HLOOKUP(B144,'EV Forecast WRZ'!$F$116:$T$122,4,FALSE)-HLOOKUP(B144-1,'EV Forecast WRZ'!$F$124:$T$130,4,FALSE)))*C144/78,0)</f>
        <v>55519.926014919103</v>
      </c>
      <c r="S144" s="47">
        <f ca="1">HLOOKUP(B144,Heating!$R$102:$AD$106,5,FALSE)*INDEX(Weather!$BO$1:$CB$20,MATCH(B144,Weather!$BO$1:$BO$20,0),MATCH(C144,Weather!$BO$1:$CB$1,0))/VLOOKUP(B144,Weather!$BO$2:$CB$20,14,FALSE)</f>
        <v>108163.83853288152</v>
      </c>
      <c r="T144" s="47">
        <f t="shared" ca="1" si="124"/>
        <v>28852617.431025784</v>
      </c>
    </row>
    <row r="145" spans="1:20">
      <c r="A145" s="2">
        <f t="shared" si="128"/>
        <v>46752</v>
      </c>
      <c r="B145">
        <f t="shared" si="129"/>
        <v>2027</v>
      </c>
      <c r="C145">
        <f t="shared" si="130"/>
        <v>12</v>
      </c>
      <c r="E145" s="3">
        <f t="shared" ref="E145:F145" ca="1" si="175">E133</f>
        <v>478.38541666666663</v>
      </c>
      <c r="F145" s="3">
        <f t="shared" ca="1" si="175"/>
        <v>0</v>
      </c>
      <c r="G145" s="3">
        <f t="shared" si="132"/>
        <v>31</v>
      </c>
      <c r="I145">
        <f t="shared" si="133"/>
        <v>0</v>
      </c>
      <c r="K145" s="3">
        <f t="shared" si="155"/>
        <v>13824899.391279301</v>
      </c>
      <c r="L145" s="3">
        <f t="shared" ca="1" si="156"/>
        <v>3690472.2153900201</v>
      </c>
      <c r="M145" s="3">
        <f t="shared" ca="1" si="157"/>
        <v>0</v>
      </c>
      <c r="N145" s="3">
        <f t="shared" si="158"/>
        <v>12808183.109129699</v>
      </c>
      <c r="O145" s="3">
        <f t="shared" si="159"/>
        <v>0</v>
      </c>
      <c r="P145" s="3">
        <f t="shared" si="160"/>
        <v>0</v>
      </c>
      <c r="Q145" s="47">
        <f t="shared" ca="1" si="134"/>
        <v>30323554.715799019</v>
      </c>
      <c r="R145" s="47">
        <f>IFERROR(HLOOKUP(B145-1,'EV Forecast WRZ'!$F$124:$T$130,4,FALSE)/12,0)+IFERROR(((HLOOKUP(B145,'EV Forecast WRZ'!$F$116:$T$122,4,FALSE)-HLOOKUP(B145-1,'EV Forecast WRZ'!$F$124:$T$130,4,FALSE)))*C145/78,0)</f>
        <v>56388.043695285443</v>
      </c>
      <c r="S145" s="47">
        <f ca="1">HLOOKUP(B145,Heating!$R$102:$AD$106,5,FALSE)*INDEX(Weather!$BO$1:$CB$20,MATCH(B145,Weather!$BO$1:$BO$20,0),MATCH(C145,Weather!$BO$1:$CB$1,0))/VLOOKUP(B145,Weather!$BO$2:$CB$20,14,FALSE)</f>
        <v>149607.83554815449</v>
      </c>
      <c r="T145" s="47">
        <f t="shared" ca="1" si="124"/>
        <v>30529550.59504246</v>
      </c>
    </row>
    <row r="146" spans="1:20">
      <c r="A146" s="2">
        <f t="shared" si="128"/>
        <v>46783</v>
      </c>
      <c r="B146">
        <f t="shared" si="129"/>
        <v>2028</v>
      </c>
      <c r="C146">
        <f t="shared" si="130"/>
        <v>1</v>
      </c>
      <c r="E146" s="3">
        <f t="shared" ref="E146:F146" ca="1" si="176">E134</f>
        <v>566.78750000000002</v>
      </c>
      <c r="F146" s="3">
        <f t="shared" ca="1" si="176"/>
        <v>0</v>
      </c>
      <c r="G146" s="3">
        <f t="shared" si="132"/>
        <v>31</v>
      </c>
      <c r="I146">
        <f t="shared" si="133"/>
        <v>0</v>
      </c>
      <c r="K146" s="3">
        <f t="shared" si="155"/>
        <v>13824899.391279301</v>
      </c>
      <c r="L146" s="3">
        <f t="shared" ca="1" si="156"/>
        <v>4372444.1588441078</v>
      </c>
      <c r="M146" s="3">
        <f t="shared" ca="1" si="157"/>
        <v>0</v>
      </c>
      <c r="N146" s="3">
        <f t="shared" si="158"/>
        <v>12808183.109129699</v>
      </c>
      <c r="O146" s="3">
        <f t="shared" si="159"/>
        <v>0</v>
      </c>
      <c r="P146" s="3">
        <f t="shared" si="160"/>
        <v>0</v>
      </c>
      <c r="Q146" s="47">
        <f t="shared" ca="1" si="134"/>
        <v>31005526.659253106</v>
      </c>
      <c r="R146" s="47">
        <f>IFERROR(HLOOKUP(B146-1,'EV Forecast WRZ'!$F$124:$T$130,4,FALSE)/12,0)+IFERROR(((HLOOKUP(B146,'EV Forecast WRZ'!$F$116:$T$122,4,FALSE)-HLOOKUP(B146-1,'EV Forecast WRZ'!$F$124:$T$130,4,FALSE)))*C146/78,0)</f>
        <v>59097.315869480844</v>
      </c>
      <c r="S146" s="47">
        <f ca="1">HLOOKUP(B146,Heating!$R$102:$AD$106,5,FALSE)*INDEX(Weather!$BO$1:$CB$20,MATCH(B146,Weather!$BO$1:$BO$20,0),MATCH(C146,Weather!$BO$1:$CB$1,0))/VLOOKUP(B146,Weather!$BO$2:$CB$20,14,FALSE)</f>
        <v>196913.92814923183</v>
      </c>
      <c r="T146" s="47">
        <f t="shared" ca="1" si="124"/>
        <v>31261537.903271817</v>
      </c>
    </row>
    <row r="147" spans="1:20">
      <c r="A147" s="2">
        <f t="shared" si="128"/>
        <v>46812</v>
      </c>
      <c r="B147">
        <f t="shared" si="129"/>
        <v>2028</v>
      </c>
      <c r="C147">
        <f t="shared" si="130"/>
        <v>2</v>
      </c>
      <c r="E147" s="3">
        <f t="shared" ref="E147:F147" ca="1" si="177">E135</f>
        <v>490.99541666666664</v>
      </c>
      <c r="F147" s="3">
        <f t="shared" ca="1" si="177"/>
        <v>0</v>
      </c>
      <c r="G147" s="3">
        <f t="shared" si="132"/>
        <v>28</v>
      </c>
      <c r="I147">
        <f t="shared" si="133"/>
        <v>0</v>
      </c>
      <c r="K147" s="3">
        <f t="shared" si="155"/>
        <v>13824899.391279301</v>
      </c>
      <c r="L147" s="3">
        <f t="shared" ca="1" si="156"/>
        <v>3787751.2147381431</v>
      </c>
      <c r="M147" s="3">
        <f t="shared" ca="1" si="157"/>
        <v>0</v>
      </c>
      <c r="N147" s="3">
        <f t="shared" si="158"/>
        <v>11568681.517923599</v>
      </c>
      <c r="O147" s="3">
        <f t="shared" si="159"/>
        <v>0</v>
      </c>
      <c r="P147" s="3">
        <f t="shared" si="160"/>
        <v>0</v>
      </c>
      <c r="Q147" s="47">
        <f t="shared" ca="1" si="134"/>
        <v>29181332.123941042</v>
      </c>
      <c r="R147" s="47">
        <f>IFERROR(HLOOKUP(B147-1,'EV Forecast WRZ'!$F$124:$T$130,4,FALSE)/12,0)+IFERROR(((HLOOKUP(B147,'EV Forecast WRZ'!$F$116:$T$122,4,FALSE)-HLOOKUP(B147-1,'EV Forecast WRZ'!$F$124:$T$130,4,FALSE)))*C147/78,0)</f>
        <v>60093.919363309928</v>
      </c>
      <c r="S147" s="47">
        <f ca="1">HLOOKUP(B147,Heating!$R$102:$AD$106,5,FALSE)*INDEX(Weather!$BO$1:$CB$20,MATCH(B147,Weather!$BO$1:$BO$20,0),MATCH(C147,Weather!$BO$1:$CB$1,0))/VLOOKUP(B147,Weather!$BO$2:$CB$20,14,FALSE)</f>
        <v>172230.23413943528</v>
      </c>
      <c r="T147" s="47">
        <f t="shared" ca="1" si="124"/>
        <v>29413656.277443785</v>
      </c>
    </row>
    <row r="148" spans="1:20">
      <c r="A148" s="2">
        <f t="shared" si="128"/>
        <v>46843</v>
      </c>
      <c r="B148">
        <f t="shared" si="129"/>
        <v>2028</v>
      </c>
      <c r="C148">
        <f t="shared" si="130"/>
        <v>3</v>
      </c>
      <c r="E148" s="3">
        <f t="shared" ref="E148:F148" ca="1" si="178">E136</f>
        <v>410.21590579710147</v>
      </c>
      <c r="F148" s="3">
        <f t="shared" ca="1" si="178"/>
        <v>2.9583333333332896E-2</v>
      </c>
      <c r="G148" s="3">
        <f t="shared" si="132"/>
        <v>31</v>
      </c>
      <c r="I148">
        <f t="shared" si="133"/>
        <v>0</v>
      </c>
      <c r="K148" s="3">
        <f t="shared" si="155"/>
        <v>13824899.391279301</v>
      </c>
      <c r="L148" s="3">
        <f t="shared" ca="1" si="156"/>
        <v>3164583.0953708063</v>
      </c>
      <c r="M148" s="3">
        <f t="shared" ca="1" si="157"/>
        <v>445.54494017078349</v>
      </c>
      <c r="N148" s="3">
        <f t="shared" si="158"/>
        <v>12808183.109129699</v>
      </c>
      <c r="O148" s="3">
        <f t="shared" si="159"/>
        <v>0</v>
      </c>
      <c r="P148" s="3">
        <f t="shared" si="160"/>
        <v>0</v>
      </c>
      <c r="Q148" s="47">
        <f t="shared" ca="1" si="134"/>
        <v>29798111.140719973</v>
      </c>
      <c r="R148" s="47">
        <f>IFERROR(HLOOKUP(B148-1,'EV Forecast WRZ'!$F$124:$T$130,4,FALSE)/12,0)+IFERROR(((HLOOKUP(B148,'EV Forecast WRZ'!$F$116:$T$122,4,FALSE)-HLOOKUP(B148-1,'EV Forecast WRZ'!$F$124:$T$130,4,FALSE)))*C148/78,0)</f>
        <v>61090.522857139018</v>
      </c>
      <c r="S148" s="47">
        <f ca="1">HLOOKUP(B148,Heating!$R$102:$AD$106,5,FALSE)*INDEX(Weather!$BO$1:$CB$20,MATCH(B148,Weather!$BO$1:$BO$20,0),MATCH(C148,Weather!$BO$1:$CB$1,0))/VLOOKUP(B148,Weather!$BO$2:$CB$20,14,FALSE)</f>
        <v>152282.07298236754</v>
      </c>
      <c r="T148" s="47">
        <f t="shared" ca="1" si="124"/>
        <v>30011483.73655948</v>
      </c>
    </row>
    <row r="149" spans="1:20">
      <c r="A149" s="2">
        <f t="shared" si="128"/>
        <v>46873</v>
      </c>
      <c r="B149">
        <f t="shared" si="129"/>
        <v>2028</v>
      </c>
      <c r="C149">
        <f t="shared" si="130"/>
        <v>4</v>
      </c>
      <c r="E149" s="3">
        <f t="shared" ref="E149:F149" ca="1" si="179">E137</f>
        <v>235.09104166666671</v>
      </c>
      <c r="F149" s="3">
        <f t="shared" ca="1" si="179"/>
        <v>6.0095833333333344</v>
      </c>
      <c r="G149" s="3">
        <f t="shared" si="132"/>
        <v>30</v>
      </c>
      <c r="I149">
        <f t="shared" si="133"/>
        <v>0</v>
      </c>
      <c r="K149" s="3">
        <f t="shared" si="155"/>
        <v>13824899.391279301</v>
      </c>
      <c r="L149" s="3">
        <f t="shared" ca="1" si="156"/>
        <v>1813594.0752609991</v>
      </c>
      <c r="M149" s="3">
        <f t="shared" ca="1" si="157"/>
        <v>90508.375663145154</v>
      </c>
      <c r="N149" s="3">
        <f t="shared" si="158"/>
        <v>12395015.912061</v>
      </c>
      <c r="O149" s="3">
        <f t="shared" si="159"/>
        <v>0</v>
      </c>
      <c r="P149" s="3">
        <f t="shared" si="160"/>
        <v>0</v>
      </c>
      <c r="Q149" s="47">
        <f t="shared" ca="1" si="134"/>
        <v>28124017.754264444</v>
      </c>
      <c r="R149" s="47">
        <f>IFERROR(HLOOKUP(B149-1,'EV Forecast WRZ'!$F$124:$T$130,4,FALSE)/12,0)+IFERROR(((HLOOKUP(B149,'EV Forecast WRZ'!$F$116:$T$122,4,FALSE)-HLOOKUP(B149-1,'EV Forecast WRZ'!$F$124:$T$130,4,FALSE)))*C149/78,0)</f>
        <v>62087.126350968101</v>
      </c>
      <c r="S149" s="47">
        <f ca="1">HLOOKUP(B149,Heating!$R$102:$AD$106,5,FALSE)*INDEX(Weather!$BO$1:$CB$20,MATCH(B149,Weather!$BO$1:$BO$20,0),MATCH(C149,Weather!$BO$1:$CB$1,0))/VLOOKUP(B149,Weather!$BO$2:$CB$20,14,FALSE)</f>
        <v>100603.2663857588</v>
      </c>
      <c r="T149" s="47">
        <f t="shared" ca="1" si="124"/>
        <v>28286708.147001173</v>
      </c>
    </row>
    <row r="150" spans="1:20">
      <c r="A150" s="2">
        <f t="shared" si="128"/>
        <v>46904</v>
      </c>
      <c r="B150">
        <f t="shared" si="129"/>
        <v>2028</v>
      </c>
      <c r="C150">
        <f t="shared" si="130"/>
        <v>5</v>
      </c>
      <c r="E150" s="3">
        <f t="shared" ref="E150:F150" ca="1" si="180">E138</f>
        <v>66.98488157894738</v>
      </c>
      <c r="F150" s="3">
        <f t="shared" ca="1" si="180"/>
        <v>81.50872474747473</v>
      </c>
      <c r="G150" s="3">
        <f t="shared" si="132"/>
        <v>31</v>
      </c>
      <c r="I150">
        <f t="shared" si="133"/>
        <v>0</v>
      </c>
      <c r="K150" s="3">
        <f t="shared" si="155"/>
        <v>13824899.391279301</v>
      </c>
      <c r="L150" s="3">
        <f t="shared" ca="1" si="156"/>
        <v>516750.37680035766</v>
      </c>
      <c r="M150" s="3">
        <f t="shared" ca="1" si="157"/>
        <v>1227576.3343440345</v>
      </c>
      <c r="N150" s="3">
        <f t="shared" si="158"/>
        <v>12808183.109129699</v>
      </c>
      <c r="O150" s="3">
        <f t="shared" si="159"/>
        <v>0</v>
      </c>
      <c r="P150" s="3">
        <f t="shared" si="160"/>
        <v>0</v>
      </c>
      <c r="Q150" s="47">
        <f t="shared" ca="1" si="134"/>
        <v>28377409.211553395</v>
      </c>
      <c r="R150" s="47">
        <f>IFERROR(HLOOKUP(B150-1,'EV Forecast WRZ'!$F$124:$T$130,4,FALSE)/12,0)+IFERROR(((HLOOKUP(B150,'EV Forecast WRZ'!$F$116:$T$122,4,FALSE)-HLOOKUP(B150-1,'EV Forecast WRZ'!$F$124:$T$130,4,FALSE)))*C150/78,0)</f>
        <v>63083.729844797184</v>
      </c>
      <c r="S150" s="47">
        <f ca="1">HLOOKUP(B150,Heating!$R$102:$AD$106,5,FALSE)*INDEX(Weather!$BO$1:$CB$20,MATCH(B150,Weather!$BO$1:$BO$20,0),MATCH(C150,Weather!$BO$1:$CB$1,0))/VLOOKUP(B150,Weather!$BO$2:$CB$20,14,FALSE)</f>
        <v>44254.329506459406</v>
      </c>
      <c r="T150" s="47">
        <f t="shared" ca="1" si="124"/>
        <v>28484747.270904653</v>
      </c>
    </row>
    <row r="151" spans="1:20">
      <c r="A151" s="2">
        <f t="shared" si="128"/>
        <v>46934</v>
      </c>
      <c r="B151">
        <f t="shared" si="129"/>
        <v>2028</v>
      </c>
      <c r="C151">
        <f t="shared" si="130"/>
        <v>6</v>
      </c>
      <c r="E151" s="3">
        <f t="shared" ref="E151:F151" ca="1" si="181">E139</f>
        <v>3.128333333333333</v>
      </c>
      <c r="F151" s="3">
        <f t="shared" ca="1" si="181"/>
        <v>202.3599342107168</v>
      </c>
      <c r="G151" s="3">
        <f t="shared" si="132"/>
        <v>30</v>
      </c>
      <c r="I151">
        <f t="shared" si="133"/>
        <v>0</v>
      </c>
      <c r="K151" s="3">
        <f t="shared" si="155"/>
        <v>13824899.391279301</v>
      </c>
      <c r="L151" s="3">
        <f t="shared" ca="1" si="156"/>
        <v>24133.317707695824</v>
      </c>
      <c r="M151" s="3">
        <f t="shared" ca="1" si="157"/>
        <v>3047677.0066775945</v>
      </c>
      <c r="N151" s="3">
        <f t="shared" si="158"/>
        <v>12395015.912061</v>
      </c>
      <c r="O151" s="3">
        <f t="shared" si="159"/>
        <v>0</v>
      </c>
      <c r="P151" s="3">
        <f t="shared" si="160"/>
        <v>0</v>
      </c>
      <c r="Q151" s="47">
        <f t="shared" ca="1" si="134"/>
        <v>29291725.627725594</v>
      </c>
      <c r="R151" s="47">
        <f>IFERROR(HLOOKUP(B151-1,'EV Forecast WRZ'!$F$124:$T$130,4,FALSE)/12,0)+IFERROR(((HLOOKUP(B151,'EV Forecast WRZ'!$F$116:$T$122,4,FALSE)-HLOOKUP(B151-1,'EV Forecast WRZ'!$F$124:$T$130,4,FALSE)))*C151/78,0)</f>
        <v>64080.333338626268</v>
      </c>
      <c r="S151" s="47">
        <f ca="1">HLOOKUP(B151,Heating!$R$102:$AD$106,5,FALSE)*INDEX(Weather!$BO$1:$CB$20,MATCH(B151,Weather!$BO$1:$BO$20,0),MATCH(C151,Weather!$BO$1:$CB$1,0))/VLOOKUP(B151,Weather!$BO$2:$CB$20,14,FALSE)</f>
        <v>8629.775222638651</v>
      </c>
      <c r="T151" s="47">
        <f t="shared" ca="1" si="124"/>
        <v>29364435.73628686</v>
      </c>
    </row>
    <row r="152" spans="1:20">
      <c r="A152" s="2">
        <f t="shared" si="128"/>
        <v>46965</v>
      </c>
      <c r="B152">
        <f t="shared" si="129"/>
        <v>2028</v>
      </c>
      <c r="C152">
        <f t="shared" si="130"/>
        <v>7</v>
      </c>
      <c r="E152" s="3">
        <f t="shared" ref="E152:F152" ca="1" si="182">E140</f>
        <v>0</v>
      </c>
      <c r="F152" s="3">
        <f t="shared" ca="1" si="182"/>
        <v>304.72508692061177</v>
      </c>
      <c r="G152" s="3">
        <f t="shared" si="132"/>
        <v>31</v>
      </c>
      <c r="I152">
        <f t="shared" si="133"/>
        <v>0</v>
      </c>
      <c r="K152" s="3">
        <f t="shared" si="155"/>
        <v>13824899.391279301</v>
      </c>
      <c r="L152" s="3">
        <f t="shared" ca="1" si="156"/>
        <v>0</v>
      </c>
      <c r="M152" s="3">
        <f t="shared" ca="1" si="157"/>
        <v>4589365.2040760377</v>
      </c>
      <c r="N152" s="3">
        <f t="shared" si="158"/>
        <v>12808183.109129699</v>
      </c>
      <c r="O152" s="3">
        <f t="shared" si="159"/>
        <v>0</v>
      </c>
      <c r="P152" s="3">
        <f t="shared" si="160"/>
        <v>0</v>
      </c>
      <c r="Q152" s="47">
        <f t="shared" ca="1" si="134"/>
        <v>31222447.704485036</v>
      </c>
      <c r="R152" s="47">
        <f>IFERROR(HLOOKUP(B152-1,'EV Forecast WRZ'!$F$124:$T$130,4,FALSE)/12,0)+IFERROR(((HLOOKUP(B152,'EV Forecast WRZ'!$F$116:$T$122,4,FALSE)-HLOOKUP(B152-1,'EV Forecast WRZ'!$F$124:$T$130,4,FALSE)))*C152/78,0)</f>
        <v>65076.936832455351</v>
      </c>
      <c r="S152" s="47">
        <f ca="1">HLOOKUP(B152,Heating!$R$102:$AD$106,5,FALSE)*INDEX(Weather!$BO$1:$CB$20,MATCH(B152,Weather!$BO$1:$BO$20,0),MATCH(C152,Weather!$BO$1:$CB$1,0))/VLOOKUP(B152,Weather!$BO$2:$CB$20,14,FALSE)</f>
        <v>309.1682530037877</v>
      </c>
      <c r="T152" s="47">
        <f t="shared" ca="1" si="124"/>
        <v>31287833.809570495</v>
      </c>
    </row>
    <row r="153" spans="1:20">
      <c r="A153" s="2">
        <f t="shared" si="128"/>
        <v>46996</v>
      </c>
      <c r="B153">
        <f t="shared" si="129"/>
        <v>2028</v>
      </c>
      <c r="C153">
        <f t="shared" si="130"/>
        <v>8</v>
      </c>
      <c r="E153" s="3">
        <f t="shared" ref="E153:F153" ca="1" si="183">E141</f>
        <v>6.5416666666666859E-2</v>
      </c>
      <c r="F153" s="3">
        <f t="shared" ca="1" si="183"/>
        <v>275.96017127799735</v>
      </c>
      <c r="G153" s="3">
        <f t="shared" si="132"/>
        <v>31</v>
      </c>
      <c r="I153">
        <f t="shared" si="133"/>
        <v>0</v>
      </c>
      <c r="K153" s="3">
        <f t="shared" si="155"/>
        <v>13824899.391279301</v>
      </c>
      <c r="L153" s="3">
        <f t="shared" ca="1" si="156"/>
        <v>504.65248802720515</v>
      </c>
      <c r="M153" s="3">
        <f t="shared" ca="1" si="157"/>
        <v>4156146.1859687767</v>
      </c>
      <c r="N153" s="3">
        <f t="shared" si="158"/>
        <v>12808183.109129699</v>
      </c>
      <c r="O153" s="3">
        <f t="shared" si="159"/>
        <v>0</v>
      </c>
      <c r="P153" s="3">
        <f t="shared" si="160"/>
        <v>0</v>
      </c>
      <c r="Q153" s="47">
        <f t="shared" ca="1" si="134"/>
        <v>30789733.338865802</v>
      </c>
      <c r="R153" s="47">
        <f>IFERROR(HLOOKUP(B153-1,'EV Forecast WRZ'!$F$124:$T$130,4,FALSE)/12,0)+IFERROR(((HLOOKUP(B153,'EV Forecast WRZ'!$F$116:$T$122,4,FALSE)-HLOOKUP(B153-1,'EV Forecast WRZ'!$F$124:$T$130,4,FALSE)))*C153/78,0)</f>
        <v>66073.540326284434</v>
      </c>
      <c r="S153" s="47">
        <f ca="1">HLOOKUP(B153,Heating!$R$102:$AD$106,5,FALSE)*INDEX(Weather!$BO$1:$CB$20,MATCH(B153,Weather!$BO$1:$BO$20,0),MATCH(C153,Weather!$BO$1:$CB$1,0))/VLOOKUP(B153,Weather!$BO$2:$CB$20,14,FALSE)</f>
        <v>1831.3735278776069</v>
      </c>
      <c r="T153" s="47">
        <f t="shared" ca="1" si="124"/>
        <v>30857638.252719965</v>
      </c>
    </row>
    <row r="154" spans="1:20">
      <c r="A154" s="2">
        <f t="shared" si="128"/>
        <v>47026</v>
      </c>
      <c r="B154">
        <f t="shared" si="129"/>
        <v>2028</v>
      </c>
      <c r="C154">
        <f t="shared" si="130"/>
        <v>9</v>
      </c>
      <c r="E154" s="3">
        <f t="shared" ref="E154:F154" ca="1" si="184">E142</f>
        <v>10.085869565217392</v>
      </c>
      <c r="F154" s="3">
        <f t="shared" ca="1" si="184"/>
        <v>154.9849637681159</v>
      </c>
      <c r="G154" s="3">
        <f t="shared" si="132"/>
        <v>30</v>
      </c>
      <c r="I154">
        <f t="shared" si="133"/>
        <v>1</v>
      </c>
      <c r="K154" s="3">
        <f t="shared" si="155"/>
        <v>13824899.391279301</v>
      </c>
      <c r="L154" s="3">
        <f t="shared" ca="1" si="156"/>
        <v>77806.764382239096</v>
      </c>
      <c r="M154" s="3">
        <f t="shared" ca="1" si="157"/>
        <v>2334178.0194739359</v>
      </c>
      <c r="N154" s="3">
        <f t="shared" si="158"/>
        <v>12395015.912061</v>
      </c>
      <c r="O154" s="3">
        <f t="shared" si="159"/>
        <v>0</v>
      </c>
      <c r="P154" s="3">
        <f t="shared" si="160"/>
        <v>0</v>
      </c>
      <c r="Q154" s="47">
        <f t="shared" ca="1" si="134"/>
        <v>28631900.087196477</v>
      </c>
      <c r="R154" s="47">
        <f>IFERROR(HLOOKUP(B154-1,'EV Forecast WRZ'!$F$124:$T$130,4,FALSE)/12,0)+IFERROR(((HLOOKUP(B154,'EV Forecast WRZ'!$F$116:$T$122,4,FALSE)-HLOOKUP(B154-1,'EV Forecast WRZ'!$F$124:$T$130,4,FALSE)))*C154/78,0)</f>
        <v>67070.143820113517</v>
      </c>
      <c r="S154" s="47">
        <f ca="1">HLOOKUP(B154,Heating!$R$102:$AD$106,5,FALSE)*INDEX(Weather!$BO$1:$CB$20,MATCH(B154,Weather!$BO$1:$BO$20,0),MATCH(C154,Weather!$BO$1:$CB$1,0))/VLOOKUP(B154,Weather!$BO$2:$CB$20,14,FALSE)</f>
        <v>15510.802232890364</v>
      </c>
      <c r="T154" s="47">
        <f t="shared" ca="1" si="124"/>
        <v>28714481.033249483</v>
      </c>
    </row>
    <row r="155" spans="1:20">
      <c r="A155" s="2">
        <f t="shared" si="128"/>
        <v>47057</v>
      </c>
      <c r="B155">
        <f t="shared" si="129"/>
        <v>2028</v>
      </c>
      <c r="C155">
        <f t="shared" si="130"/>
        <v>10</v>
      </c>
      <c r="E155" s="3">
        <f t="shared" ref="E155:F155" ca="1" si="185">E143</f>
        <v>126.20389492753625</v>
      </c>
      <c r="F155" s="3">
        <f t="shared" ca="1" si="185"/>
        <v>38.347916666666663</v>
      </c>
      <c r="G155" s="3">
        <f t="shared" si="132"/>
        <v>31</v>
      </c>
      <c r="I155">
        <f t="shared" si="133"/>
        <v>1</v>
      </c>
      <c r="K155" s="3">
        <f t="shared" si="155"/>
        <v>13824899.391279301</v>
      </c>
      <c r="L155" s="3">
        <f t="shared" ca="1" si="156"/>
        <v>973591.48393230501</v>
      </c>
      <c r="M155" s="3">
        <f t="shared" ca="1" si="157"/>
        <v>577545.47279744595</v>
      </c>
      <c r="N155" s="3">
        <f t="shared" si="158"/>
        <v>12808183.109129699</v>
      </c>
      <c r="O155" s="3">
        <f t="shared" si="159"/>
        <v>0</v>
      </c>
      <c r="P155" s="3">
        <f t="shared" si="160"/>
        <v>0</v>
      </c>
      <c r="Q155" s="47">
        <f t="shared" ca="1" si="134"/>
        <v>28184219.457138751</v>
      </c>
      <c r="R155" s="47">
        <f>IFERROR(HLOOKUP(B155-1,'EV Forecast WRZ'!$F$124:$T$130,4,FALSE)/12,0)+IFERROR(((HLOOKUP(B155,'EV Forecast WRZ'!$F$116:$T$122,4,FALSE)-HLOOKUP(B155-1,'EV Forecast WRZ'!$F$124:$T$130,4,FALSE)))*C155/78,0)</f>
        <v>68066.747313942615</v>
      </c>
      <c r="S155" s="47">
        <f ca="1">HLOOKUP(B155,Heating!$R$102:$AD$106,5,FALSE)*INDEX(Weather!$BO$1:$CB$20,MATCH(B155,Weather!$BO$1:$BO$20,0),MATCH(C155,Weather!$BO$1:$CB$1,0))/VLOOKUP(B155,Weather!$BO$2:$CB$20,14,FALSE)</f>
        <v>66194.353934435974</v>
      </c>
      <c r="T155" s="47">
        <f t="shared" ca="1" si="124"/>
        <v>28318480.55838713</v>
      </c>
    </row>
    <row r="156" spans="1:20">
      <c r="A156" s="2">
        <f t="shared" si="128"/>
        <v>47087</v>
      </c>
      <c r="B156">
        <f t="shared" si="129"/>
        <v>2028</v>
      </c>
      <c r="C156">
        <f t="shared" si="130"/>
        <v>11</v>
      </c>
      <c r="E156" s="3">
        <f t="shared" ref="E156:F156" ca="1" si="186">E144</f>
        <v>316.29533055712409</v>
      </c>
      <c r="F156" s="3">
        <f t="shared" ca="1" si="186"/>
        <v>1.9241666666666659</v>
      </c>
      <c r="G156" s="3">
        <f t="shared" si="132"/>
        <v>30</v>
      </c>
      <c r="I156">
        <f t="shared" si="133"/>
        <v>1</v>
      </c>
      <c r="K156" s="3">
        <f t="shared" si="155"/>
        <v>13824899.391279301</v>
      </c>
      <c r="L156" s="3">
        <f t="shared" ca="1" si="156"/>
        <v>2440039.1161840432</v>
      </c>
      <c r="M156" s="3">
        <f t="shared" ca="1" si="157"/>
        <v>28979.246953643771</v>
      </c>
      <c r="N156" s="3">
        <f t="shared" si="158"/>
        <v>12395015.912061</v>
      </c>
      <c r="O156" s="3">
        <f t="shared" si="159"/>
        <v>0</v>
      </c>
      <c r="P156" s="3">
        <f t="shared" si="160"/>
        <v>0</v>
      </c>
      <c r="Q156" s="47">
        <f t="shared" ca="1" si="134"/>
        <v>28688933.666477986</v>
      </c>
      <c r="R156" s="47">
        <f>IFERROR(HLOOKUP(B156-1,'EV Forecast WRZ'!$F$124:$T$130,4,FALSE)/12,0)+IFERROR(((HLOOKUP(B156,'EV Forecast WRZ'!$F$116:$T$122,4,FALSE)-HLOOKUP(B156-1,'EV Forecast WRZ'!$F$124:$T$130,4,FALSE)))*C156/78,0)</f>
        <v>69063.350807771698</v>
      </c>
      <c r="S156" s="47">
        <f ca="1">HLOOKUP(B156,Heating!$R$102:$AD$106,5,FALSE)*INDEX(Weather!$BO$1:$CB$20,MATCH(B156,Weather!$BO$1:$BO$20,0),MATCH(C156,Weather!$BO$1:$CB$1,0))/VLOOKUP(B156,Weather!$BO$2:$CB$20,14,FALSE)</f>
        <v>124146.41024454593</v>
      </c>
      <c r="T156" s="47">
        <f t="shared" ca="1" si="124"/>
        <v>28882143.427530304</v>
      </c>
    </row>
    <row r="157" spans="1:20">
      <c r="A157" s="2">
        <f t="shared" si="128"/>
        <v>47118</v>
      </c>
      <c r="B157">
        <f t="shared" si="129"/>
        <v>2028</v>
      </c>
      <c r="C157">
        <f t="shared" si="130"/>
        <v>12</v>
      </c>
      <c r="E157" s="3">
        <f t="shared" ref="E157:F157" ca="1" si="187">E145</f>
        <v>478.38541666666663</v>
      </c>
      <c r="F157" s="3">
        <f t="shared" ca="1" si="187"/>
        <v>0</v>
      </c>
      <c r="G157" s="3">
        <f t="shared" si="132"/>
        <v>31</v>
      </c>
      <c r="I157">
        <f t="shared" si="133"/>
        <v>0</v>
      </c>
      <c r="K157" s="3">
        <f t="shared" si="155"/>
        <v>13824899.391279301</v>
      </c>
      <c r="L157" s="3">
        <f t="shared" ca="1" si="156"/>
        <v>3690472.2153900201</v>
      </c>
      <c r="M157" s="3">
        <f t="shared" ca="1" si="157"/>
        <v>0</v>
      </c>
      <c r="N157" s="3">
        <f t="shared" si="158"/>
        <v>12808183.109129699</v>
      </c>
      <c r="O157" s="3">
        <f t="shared" si="159"/>
        <v>0</v>
      </c>
      <c r="P157" s="3">
        <f t="shared" si="160"/>
        <v>0</v>
      </c>
      <c r="Q157" s="47">
        <f t="shared" ca="1" si="134"/>
        <v>30323554.715799019</v>
      </c>
      <c r="R157" s="47">
        <f>IFERROR(HLOOKUP(B157-1,'EV Forecast WRZ'!$F$124:$T$130,4,FALSE)/12,0)+IFERROR(((HLOOKUP(B157,'EV Forecast WRZ'!$F$116:$T$122,4,FALSE)-HLOOKUP(B157-1,'EV Forecast WRZ'!$F$124:$T$130,4,FALSE)))*C157/78,0)</f>
        <v>70059.954301600781</v>
      </c>
      <c r="S157" s="47">
        <f ca="1">HLOOKUP(B157,Heating!$R$102:$AD$106,5,FALSE)*INDEX(Weather!$BO$1:$CB$20,MATCH(B157,Weather!$BO$1:$BO$20,0),MATCH(C157,Weather!$BO$1:$CB$1,0))/VLOOKUP(B157,Weather!$BO$2:$CB$20,14,FALSE)</f>
        <v>171714.28066611668</v>
      </c>
      <c r="T157" s="47">
        <f t="shared" ca="1" si="124"/>
        <v>30565328.950766735</v>
      </c>
    </row>
    <row r="158" spans="1:20">
      <c r="A158" s="2">
        <f t="shared" si="128"/>
        <v>47149</v>
      </c>
      <c r="B158">
        <f t="shared" si="129"/>
        <v>2029</v>
      </c>
      <c r="C158">
        <f t="shared" si="130"/>
        <v>1</v>
      </c>
      <c r="E158" s="3">
        <f t="shared" ref="E158:F158" ca="1" si="188">E146</f>
        <v>566.78750000000002</v>
      </c>
      <c r="F158" s="3">
        <f t="shared" ca="1" si="188"/>
        <v>0</v>
      </c>
      <c r="G158" s="3">
        <f t="shared" si="132"/>
        <v>31</v>
      </c>
      <c r="I158">
        <f t="shared" si="133"/>
        <v>0</v>
      </c>
      <c r="K158" s="3">
        <f t="shared" si="155"/>
        <v>13824899.391279301</v>
      </c>
      <c r="L158" s="3">
        <f t="shared" ca="1" si="156"/>
        <v>4372444.1588441078</v>
      </c>
      <c r="M158" s="3">
        <f t="shared" ca="1" si="157"/>
        <v>0</v>
      </c>
      <c r="N158" s="3">
        <f t="shared" si="158"/>
        <v>12808183.109129699</v>
      </c>
      <c r="O158" s="3">
        <f t="shared" si="159"/>
        <v>0</v>
      </c>
      <c r="P158" s="3">
        <f t="shared" si="160"/>
        <v>0</v>
      </c>
      <c r="Q158" s="47">
        <f t="shared" ca="1" si="134"/>
        <v>31005526.659253106</v>
      </c>
      <c r="R158" s="47">
        <f>IFERROR(HLOOKUP(B158-1,'EV Forecast WRZ'!$F$124:$T$130,4,FALSE)/12,0)+IFERROR(((HLOOKUP(B158,'EV Forecast WRZ'!$F$116:$T$122,4,FALSE)-HLOOKUP(B158-1,'EV Forecast WRZ'!$F$124:$T$130,4,FALSE)))*C158/78,0)</f>
        <v>73840.625526588032</v>
      </c>
      <c r="S158" s="47">
        <f ca="1">HLOOKUP(B158,Heating!$R$102:$AD$106,5,FALSE)*INDEX(Weather!$BO$1:$CB$20,MATCH(B158,Weather!$BO$1:$BO$20,0),MATCH(C158,Weather!$BO$1:$CB$1,0))/VLOOKUP(B158,Weather!$BO$2:$CB$20,14,FALSE)</f>
        <v>223297.70565504767</v>
      </c>
      <c r="T158" s="47">
        <f t="shared" ca="1" si="124"/>
        <v>31302664.990434743</v>
      </c>
    </row>
    <row r="159" spans="1:20">
      <c r="A159" s="2">
        <f t="shared" si="128"/>
        <v>47177</v>
      </c>
      <c r="B159">
        <f t="shared" si="129"/>
        <v>2029</v>
      </c>
      <c r="C159">
        <f t="shared" si="130"/>
        <v>2</v>
      </c>
      <c r="E159" s="3">
        <f t="shared" ref="E159:F159" ca="1" si="189">E147</f>
        <v>490.99541666666664</v>
      </c>
      <c r="F159" s="3">
        <f t="shared" ca="1" si="189"/>
        <v>0</v>
      </c>
      <c r="G159" s="3">
        <f t="shared" si="132"/>
        <v>28</v>
      </c>
      <c r="I159">
        <f t="shared" si="133"/>
        <v>0</v>
      </c>
      <c r="K159" s="3">
        <f t="shared" si="155"/>
        <v>13824899.391279301</v>
      </c>
      <c r="L159" s="3">
        <f t="shared" ca="1" si="156"/>
        <v>3787751.2147381431</v>
      </c>
      <c r="M159" s="3">
        <f t="shared" ca="1" si="157"/>
        <v>0</v>
      </c>
      <c r="N159" s="3">
        <f t="shared" si="158"/>
        <v>11568681.517923599</v>
      </c>
      <c r="O159" s="3">
        <f t="shared" si="159"/>
        <v>0</v>
      </c>
      <c r="P159" s="3">
        <f t="shared" si="160"/>
        <v>0</v>
      </c>
      <c r="Q159" s="47">
        <f t="shared" ca="1" si="134"/>
        <v>29181332.123941042</v>
      </c>
      <c r="R159" s="47">
        <f>IFERROR(HLOOKUP(B159-1,'EV Forecast WRZ'!$F$124:$T$130,4,FALSE)/12,0)+IFERROR(((HLOOKUP(B159,'EV Forecast WRZ'!$F$116:$T$122,4,FALSE)-HLOOKUP(B159-1,'EV Forecast WRZ'!$F$124:$T$130,4,FALSE)))*C159/78,0)</f>
        <v>75141.851757746219</v>
      </c>
      <c r="S159" s="47">
        <f ca="1">HLOOKUP(B159,Heating!$R$102:$AD$106,5,FALSE)*INDEX(Weather!$BO$1:$CB$20,MATCH(B159,Weather!$BO$1:$BO$20,0),MATCH(C159,Weather!$BO$1:$CB$1,0))/VLOOKUP(B159,Weather!$BO$2:$CB$20,14,FALSE)</f>
        <v>195306.73370459393</v>
      </c>
      <c r="T159" s="47">
        <f t="shared" ca="1" si="124"/>
        <v>29451780.709403381</v>
      </c>
    </row>
    <row r="160" spans="1:20">
      <c r="A160" s="2">
        <f t="shared" si="128"/>
        <v>47208</v>
      </c>
      <c r="B160">
        <f t="shared" si="129"/>
        <v>2029</v>
      </c>
      <c r="C160">
        <f t="shared" si="130"/>
        <v>3</v>
      </c>
      <c r="E160" s="3">
        <f t="shared" ref="E160:F160" ca="1" si="190">E148</f>
        <v>410.21590579710147</v>
      </c>
      <c r="F160" s="3">
        <f t="shared" ca="1" si="190"/>
        <v>2.9583333333332896E-2</v>
      </c>
      <c r="G160" s="3">
        <f t="shared" si="132"/>
        <v>31</v>
      </c>
      <c r="I160">
        <f t="shared" si="133"/>
        <v>0</v>
      </c>
      <c r="K160" s="3">
        <f t="shared" si="155"/>
        <v>13824899.391279301</v>
      </c>
      <c r="L160" s="3">
        <f t="shared" ca="1" si="156"/>
        <v>3164583.0953708063</v>
      </c>
      <c r="M160" s="3">
        <f t="shared" ca="1" si="157"/>
        <v>445.54494017078349</v>
      </c>
      <c r="N160" s="3">
        <f t="shared" si="158"/>
        <v>12808183.109129699</v>
      </c>
      <c r="O160" s="3">
        <f t="shared" si="159"/>
        <v>0</v>
      </c>
      <c r="P160" s="3">
        <f t="shared" si="160"/>
        <v>0</v>
      </c>
      <c r="Q160" s="47">
        <f t="shared" ca="1" si="134"/>
        <v>29798111.140719973</v>
      </c>
      <c r="R160" s="47">
        <f>IFERROR(HLOOKUP(B160-1,'EV Forecast WRZ'!$F$124:$T$130,4,FALSE)/12,0)+IFERROR(((HLOOKUP(B160,'EV Forecast WRZ'!$F$116:$T$122,4,FALSE)-HLOOKUP(B160-1,'EV Forecast WRZ'!$F$124:$T$130,4,FALSE)))*C160/78,0)</f>
        <v>76443.077988904421</v>
      </c>
      <c r="S160" s="47">
        <f ca="1">HLOOKUP(B160,Heating!$R$102:$AD$106,5,FALSE)*INDEX(Weather!$BO$1:$CB$20,MATCH(B160,Weather!$BO$1:$BO$20,0),MATCH(C160,Weather!$BO$1:$CB$1,0))/VLOOKUP(B160,Weather!$BO$2:$CB$20,14,FALSE)</f>
        <v>172685.79134527739</v>
      </c>
      <c r="T160" s="47">
        <f t="shared" ca="1" si="124"/>
        <v>30047240.010054152</v>
      </c>
    </row>
    <row r="161" spans="1:20">
      <c r="A161" s="2">
        <f t="shared" si="128"/>
        <v>47238</v>
      </c>
      <c r="B161">
        <f t="shared" si="129"/>
        <v>2029</v>
      </c>
      <c r="C161">
        <f t="shared" si="130"/>
        <v>4</v>
      </c>
      <c r="E161" s="3">
        <f t="shared" ref="E161:F161" ca="1" si="191">E149</f>
        <v>235.09104166666671</v>
      </c>
      <c r="F161" s="3">
        <f t="shared" ca="1" si="191"/>
        <v>6.0095833333333344</v>
      </c>
      <c r="G161" s="3">
        <f t="shared" si="132"/>
        <v>30</v>
      </c>
      <c r="I161">
        <f t="shared" si="133"/>
        <v>0</v>
      </c>
      <c r="K161" s="3">
        <f t="shared" si="155"/>
        <v>13824899.391279301</v>
      </c>
      <c r="L161" s="3">
        <f t="shared" ca="1" si="156"/>
        <v>1813594.0752609991</v>
      </c>
      <c r="M161" s="3">
        <f t="shared" ca="1" si="157"/>
        <v>90508.375663145154</v>
      </c>
      <c r="N161" s="3">
        <f t="shared" si="158"/>
        <v>12395015.912061</v>
      </c>
      <c r="O161" s="3">
        <f t="shared" si="159"/>
        <v>0</v>
      </c>
      <c r="P161" s="3">
        <f t="shared" si="160"/>
        <v>0</v>
      </c>
      <c r="Q161" s="47">
        <f t="shared" ca="1" si="134"/>
        <v>28124017.754264444</v>
      </c>
      <c r="R161" s="47">
        <f>IFERROR(HLOOKUP(B161-1,'EV Forecast WRZ'!$F$124:$T$130,4,FALSE)/12,0)+IFERROR(((HLOOKUP(B161,'EV Forecast WRZ'!$F$116:$T$122,4,FALSE)-HLOOKUP(B161-1,'EV Forecast WRZ'!$F$124:$T$130,4,FALSE)))*C161/78,0)</f>
        <v>77744.304220062608</v>
      </c>
      <c r="S161" s="47">
        <f ca="1">HLOOKUP(B161,Heating!$R$102:$AD$106,5,FALSE)*INDEX(Weather!$BO$1:$CB$20,MATCH(B161,Weather!$BO$1:$BO$20,0),MATCH(C161,Weather!$BO$1:$CB$1,0))/VLOOKUP(B161,Weather!$BO$2:$CB$20,14,FALSE)</f>
        <v>114082.73034053105</v>
      </c>
      <c r="T161" s="47">
        <f t="shared" ca="1" si="124"/>
        <v>28315844.788825035</v>
      </c>
    </row>
    <row r="162" spans="1:20">
      <c r="A162" s="2">
        <f t="shared" si="128"/>
        <v>47269</v>
      </c>
      <c r="B162">
        <f t="shared" si="129"/>
        <v>2029</v>
      </c>
      <c r="C162">
        <f t="shared" si="130"/>
        <v>5</v>
      </c>
      <c r="E162" s="3">
        <f t="shared" ref="E162:F162" ca="1" si="192">E150</f>
        <v>66.98488157894738</v>
      </c>
      <c r="F162" s="3">
        <f t="shared" ca="1" si="192"/>
        <v>81.50872474747473</v>
      </c>
      <c r="G162" s="3">
        <f t="shared" si="132"/>
        <v>31</v>
      </c>
      <c r="I162">
        <f t="shared" si="133"/>
        <v>0</v>
      </c>
      <c r="K162" s="3">
        <f t="shared" ref="K162:K193" si="193">$X$7</f>
        <v>13824899.391279301</v>
      </c>
      <c r="L162" s="3">
        <f t="shared" ref="L162:L193" ca="1" si="194">E162*$X$8</f>
        <v>516750.37680035766</v>
      </c>
      <c r="M162" s="3">
        <f t="shared" ref="M162:M193" ca="1" si="195">F162*$X$9</f>
        <v>1227576.3343440345</v>
      </c>
      <c r="N162" s="3">
        <f t="shared" ref="N162:N193" si="196">G162*$X$10</f>
        <v>12808183.109129699</v>
      </c>
      <c r="O162" s="3">
        <f t="shared" ref="O162:O193" si="197">H162*$X$11</f>
        <v>0</v>
      </c>
      <c r="P162" s="3">
        <f t="shared" ref="P162:P193" si="198">I162*$X$12</f>
        <v>0</v>
      </c>
      <c r="Q162" s="47">
        <f t="shared" ca="1" si="134"/>
        <v>28377409.211553395</v>
      </c>
      <c r="R162" s="47">
        <f>IFERROR(HLOOKUP(B162-1,'EV Forecast WRZ'!$F$124:$T$130,4,FALSE)/12,0)+IFERROR(((HLOOKUP(B162,'EV Forecast WRZ'!$F$116:$T$122,4,FALSE)-HLOOKUP(B162-1,'EV Forecast WRZ'!$F$124:$T$130,4,FALSE)))*C162/78,0)</f>
        <v>79045.530451220795</v>
      </c>
      <c r="S162" s="47">
        <f ca="1">HLOOKUP(B162,Heating!$R$102:$AD$106,5,FALSE)*INDEX(Weather!$BO$1:$CB$20,MATCH(B162,Weather!$BO$1:$BO$20,0),MATCH(C162,Weather!$BO$1:$CB$1,0))/VLOOKUP(B162,Weather!$BO$2:$CB$20,14,FALSE)</f>
        <v>50183.805365996472</v>
      </c>
      <c r="T162" s="47">
        <f t="shared" ca="1" si="124"/>
        <v>28506638.547370613</v>
      </c>
    </row>
    <row r="163" spans="1:20">
      <c r="A163" s="2">
        <f t="shared" ref="A163:A193" si="199">EOMONTH(A162,1)</f>
        <v>47299</v>
      </c>
      <c r="B163">
        <f t="shared" ref="B163:B193" si="200">YEAR(A163)</f>
        <v>2029</v>
      </c>
      <c r="C163">
        <f t="shared" ref="C163:C193" si="201">MONTH(A163)</f>
        <v>6</v>
      </c>
      <c r="E163" s="3">
        <f t="shared" ref="E163:F163" ca="1" si="202">E151</f>
        <v>3.128333333333333</v>
      </c>
      <c r="F163" s="3">
        <f t="shared" ca="1" si="202"/>
        <v>202.3599342107168</v>
      </c>
      <c r="G163" s="3">
        <f t="shared" ref="G163:G193" si="203">G127</f>
        <v>30</v>
      </c>
      <c r="I163">
        <f t="shared" ref="I163:I193" si="204">I151</f>
        <v>0</v>
      </c>
      <c r="K163" s="3">
        <f t="shared" si="193"/>
        <v>13824899.391279301</v>
      </c>
      <c r="L163" s="3">
        <f t="shared" ca="1" si="194"/>
        <v>24133.317707695824</v>
      </c>
      <c r="M163" s="3">
        <f t="shared" ca="1" si="195"/>
        <v>3047677.0066775945</v>
      </c>
      <c r="N163" s="3">
        <f t="shared" si="196"/>
        <v>12395015.912061</v>
      </c>
      <c r="O163" s="3">
        <f t="shared" si="197"/>
        <v>0</v>
      </c>
      <c r="P163" s="3">
        <f t="shared" si="198"/>
        <v>0</v>
      </c>
      <c r="Q163" s="47">
        <f t="shared" ref="Q163:Q193" ca="1" si="205">SUM(K163:P163)</f>
        <v>29291725.627725594</v>
      </c>
      <c r="R163" s="47">
        <f>IFERROR(HLOOKUP(B163-1,'EV Forecast WRZ'!$F$124:$T$130,4,FALSE)/12,0)+IFERROR(((HLOOKUP(B163,'EV Forecast WRZ'!$F$116:$T$122,4,FALSE)-HLOOKUP(B163-1,'EV Forecast WRZ'!$F$124:$T$130,4,FALSE)))*C163/78,0)</f>
        <v>80346.756682378982</v>
      </c>
      <c r="S163" s="47">
        <f ca="1">HLOOKUP(B163,Heating!$R$102:$AD$106,5,FALSE)*INDEX(Weather!$BO$1:$CB$20,MATCH(B163,Weather!$BO$1:$BO$20,0),MATCH(C163,Weather!$BO$1:$CB$1,0))/VLOOKUP(B163,Weather!$BO$2:$CB$20,14,FALSE)</f>
        <v>9786.0472626070386</v>
      </c>
      <c r="T163" s="47">
        <f t="shared" ca="1" si="124"/>
        <v>29381858.431670576</v>
      </c>
    </row>
    <row r="164" spans="1:20">
      <c r="A164" s="2">
        <f t="shared" si="199"/>
        <v>47330</v>
      </c>
      <c r="B164">
        <f t="shared" si="200"/>
        <v>2029</v>
      </c>
      <c r="C164">
        <f t="shared" si="201"/>
        <v>7</v>
      </c>
      <c r="E164" s="3">
        <f t="shared" ref="E164:F164" ca="1" si="206">E152</f>
        <v>0</v>
      </c>
      <c r="F164" s="3">
        <f t="shared" ca="1" si="206"/>
        <v>304.72508692061177</v>
      </c>
      <c r="G164" s="3">
        <f t="shared" si="203"/>
        <v>31</v>
      </c>
      <c r="I164">
        <f t="shared" si="204"/>
        <v>0</v>
      </c>
      <c r="K164" s="3">
        <f t="shared" si="193"/>
        <v>13824899.391279301</v>
      </c>
      <c r="L164" s="3">
        <f t="shared" ca="1" si="194"/>
        <v>0</v>
      </c>
      <c r="M164" s="3">
        <f t="shared" ca="1" si="195"/>
        <v>4589365.2040760377</v>
      </c>
      <c r="N164" s="3">
        <f t="shared" si="196"/>
        <v>12808183.109129699</v>
      </c>
      <c r="O164" s="3">
        <f t="shared" si="197"/>
        <v>0</v>
      </c>
      <c r="P164" s="3">
        <f t="shared" si="198"/>
        <v>0</v>
      </c>
      <c r="Q164" s="47">
        <f t="shared" ca="1" si="205"/>
        <v>31222447.704485036</v>
      </c>
      <c r="R164" s="47">
        <f>IFERROR(HLOOKUP(B164-1,'EV Forecast WRZ'!$F$124:$T$130,4,FALSE)/12,0)+IFERROR(((HLOOKUP(B164,'EV Forecast WRZ'!$F$116:$T$122,4,FALSE)-HLOOKUP(B164-1,'EV Forecast WRZ'!$F$124:$T$130,4,FALSE)))*C164/78,0)</f>
        <v>81647.982913537169</v>
      </c>
      <c r="S164" s="47">
        <f ca="1">HLOOKUP(B164,Heating!$R$102:$AD$106,5,FALSE)*INDEX(Weather!$BO$1:$CB$20,MATCH(B164,Weather!$BO$1:$BO$20,0),MATCH(C164,Weather!$BO$1:$CB$1,0))/VLOOKUP(B164,Weather!$BO$2:$CB$20,14,FALSE)</f>
        <v>350.59257720360705</v>
      </c>
      <c r="T164" s="47">
        <f t="shared" ca="1" si="124"/>
        <v>31304446.279975779</v>
      </c>
    </row>
    <row r="165" spans="1:20">
      <c r="A165" s="2">
        <f t="shared" si="199"/>
        <v>47361</v>
      </c>
      <c r="B165">
        <f t="shared" si="200"/>
        <v>2029</v>
      </c>
      <c r="C165">
        <f t="shared" si="201"/>
        <v>8</v>
      </c>
      <c r="E165" s="3">
        <f t="shared" ref="E165:F165" ca="1" si="207">E153</f>
        <v>6.5416666666666859E-2</v>
      </c>
      <c r="F165" s="3">
        <f t="shared" ca="1" si="207"/>
        <v>275.96017127799735</v>
      </c>
      <c r="G165" s="3">
        <f t="shared" si="203"/>
        <v>31</v>
      </c>
      <c r="I165">
        <f t="shared" si="204"/>
        <v>0</v>
      </c>
      <c r="K165" s="3">
        <f t="shared" si="193"/>
        <v>13824899.391279301</v>
      </c>
      <c r="L165" s="3">
        <f t="shared" ca="1" si="194"/>
        <v>504.65248802720515</v>
      </c>
      <c r="M165" s="3">
        <f t="shared" ca="1" si="195"/>
        <v>4156146.1859687767</v>
      </c>
      <c r="N165" s="3">
        <f t="shared" si="196"/>
        <v>12808183.109129699</v>
      </c>
      <c r="O165" s="3">
        <f t="shared" si="197"/>
        <v>0</v>
      </c>
      <c r="P165" s="3">
        <f t="shared" si="198"/>
        <v>0</v>
      </c>
      <c r="Q165" s="47">
        <f t="shared" ca="1" si="205"/>
        <v>30789733.338865802</v>
      </c>
      <c r="R165" s="47">
        <f>IFERROR(HLOOKUP(B165-1,'EV Forecast WRZ'!$F$124:$T$130,4,FALSE)/12,0)+IFERROR(((HLOOKUP(B165,'EV Forecast WRZ'!$F$116:$T$122,4,FALSE)-HLOOKUP(B165-1,'EV Forecast WRZ'!$F$124:$T$130,4,FALSE)))*C165/78,0)</f>
        <v>82949.209144695371</v>
      </c>
      <c r="S165" s="47">
        <f ca="1">HLOOKUP(B165,Heating!$R$102:$AD$106,5,FALSE)*INDEX(Weather!$BO$1:$CB$20,MATCH(B165,Weather!$BO$1:$BO$20,0),MATCH(C165,Weather!$BO$1:$CB$1,0))/VLOOKUP(B165,Weather!$BO$2:$CB$20,14,FALSE)</f>
        <v>2076.7525731473015</v>
      </c>
      <c r="T165" s="47">
        <f t="shared" ca="1" si="124"/>
        <v>30874759.300583646</v>
      </c>
    </row>
    <row r="166" spans="1:20">
      <c r="A166" s="2">
        <f t="shared" si="199"/>
        <v>47391</v>
      </c>
      <c r="B166">
        <f t="shared" si="200"/>
        <v>2029</v>
      </c>
      <c r="C166">
        <f t="shared" si="201"/>
        <v>9</v>
      </c>
      <c r="E166" s="3">
        <f t="shared" ref="E166:F166" ca="1" si="208">E154</f>
        <v>10.085869565217392</v>
      </c>
      <c r="F166" s="3">
        <f t="shared" ca="1" si="208"/>
        <v>154.9849637681159</v>
      </c>
      <c r="G166" s="3">
        <f t="shared" si="203"/>
        <v>30</v>
      </c>
      <c r="I166">
        <f t="shared" si="204"/>
        <v>1</v>
      </c>
      <c r="K166" s="3">
        <f t="shared" si="193"/>
        <v>13824899.391279301</v>
      </c>
      <c r="L166" s="3">
        <f t="shared" ca="1" si="194"/>
        <v>77806.764382239096</v>
      </c>
      <c r="M166" s="3">
        <f t="shared" ca="1" si="195"/>
        <v>2334178.0194739359</v>
      </c>
      <c r="N166" s="3">
        <f t="shared" si="196"/>
        <v>12395015.912061</v>
      </c>
      <c r="O166" s="3">
        <f t="shared" si="197"/>
        <v>0</v>
      </c>
      <c r="P166" s="3">
        <f t="shared" si="198"/>
        <v>0</v>
      </c>
      <c r="Q166" s="47">
        <f t="shared" ca="1" si="205"/>
        <v>28631900.087196477</v>
      </c>
      <c r="R166" s="47">
        <f>IFERROR(HLOOKUP(B166-1,'EV Forecast WRZ'!$F$124:$T$130,4,FALSE)/12,0)+IFERROR(((HLOOKUP(B166,'EV Forecast WRZ'!$F$116:$T$122,4,FALSE)-HLOOKUP(B166-1,'EV Forecast WRZ'!$F$124:$T$130,4,FALSE)))*C166/78,0)</f>
        <v>84250.435375853558</v>
      </c>
      <c r="S166" s="47">
        <f ca="1">HLOOKUP(B166,Heating!$R$102:$AD$106,5,FALSE)*INDEX(Weather!$BO$1:$CB$20,MATCH(B166,Weather!$BO$1:$BO$20,0),MATCH(C166,Weather!$BO$1:$CB$1,0))/VLOOKUP(B166,Weather!$BO$2:$CB$20,14,FALSE)</f>
        <v>17589.037931581785</v>
      </c>
      <c r="T166" s="47">
        <f t="shared" ca="1" si="124"/>
        <v>28733739.560503911</v>
      </c>
    </row>
    <row r="167" spans="1:20">
      <c r="A167" s="2">
        <f t="shared" si="199"/>
        <v>47422</v>
      </c>
      <c r="B167">
        <f t="shared" si="200"/>
        <v>2029</v>
      </c>
      <c r="C167">
        <f t="shared" si="201"/>
        <v>10</v>
      </c>
      <c r="E167" s="3">
        <f t="shared" ref="E167:F167" ca="1" si="209">E155</f>
        <v>126.20389492753625</v>
      </c>
      <c r="F167" s="3">
        <f t="shared" ca="1" si="209"/>
        <v>38.347916666666663</v>
      </c>
      <c r="G167" s="3">
        <f t="shared" si="203"/>
        <v>31</v>
      </c>
      <c r="I167">
        <f t="shared" si="204"/>
        <v>1</v>
      </c>
      <c r="K167" s="3">
        <f t="shared" si="193"/>
        <v>13824899.391279301</v>
      </c>
      <c r="L167" s="3">
        <f t="shared" ca="1" si="194"/>
        <v>973591.48393230501</v>
      </c>
      <c r="M167" s="3">
        <f t="shared" ca="1" si="195"/>
        <v>577545.47279744595</v>
      </c>
      <c r="N167" s="3">
        <f t="shared" si="196"/>
        <v>12808183.109129699</v>
      </c>
      <c r="O167" s="3">
        <f t="shared" si="197"/>
        <v>0</v>
      </c>
      <c r="P167" s="3">
        <f t="shared" si="198"/>
        <v>0</v>
      </c>
      <c r="Q167" s="47">
        <f t="shared" ca="1" si="205"/>
        <v>28184219.457138751</v>
      </c>
      <c r="R167" s="47">
        <f>IFERROR(HLOOKUP(B167-1,'EV Forecast WRZ'!$F$124:$T$130,4,FALSE)/12,0)+IFERROR(((HLOOKUP(B167,'EV Forecast WRZ'!$F$116:$T$122,4,FALSE)-HLOOKUP(B167-1,'EV Forecast WRZ'!$F$124:$T$130,4,FALSE)))*C167/78,0)</f>
        <v>85551.661607011745</v>
      </c>
      <c r="S167" s="47">
        <f ca="1">HLOOKUP(B167,Heating!$R$102:$AD$106,5,FALSE)*INDEX(Weather!$BO$1:$CB$20,MATCH(B167,Weather!$BO$1:$BO$20,0),MATCH(C167,Weather!$BO$1:$CB$1,0))/VLOOKUP(B167,Weather!$BO$2:$CB$20,14,FALSE)</f>
        <v>75063.493475564959</v>
      </c>
      <c r="T167" s="47">
        <f t="shared" ca="1" si="124"/>
        <v>28344834.612221327</v>
      </c>
    </row>
    <row r="168" spans="1:20">
      <c r="A168" s="2">
        <f t="shared" si="199"/>
        <v>47452</v>
      </c>
      <c r="B168">
        <f t="shared" si="200"/>
        <v>2029</v>
      </c>
      <c r="C168">
        <f t="shared" si="201"/>
        <v>11</v>
      </c>
      <c r="E168" s="3">
        <f t="shared" ref="E168:F168" ca="1" si="210">E156</f>
        <v>316.29533055712409</v>
      </c>
      <c r="F168" s="3">
        <f t="shared" ca="1" si="210"/>
        <v>1.9241666666666659</v>
      </c>
      <c r="G168" s="3">
        <f t="shared" si="203"/>
        <v>30</v>
      </c>
      <c r="I168">
        <f t="shared" si="204"/>
        <v>1</v>
      </c>
      <c r="K168" s="3">
        <f t="shared" si="193"/>
        <v>13824899.391279301</v>
      </c>
      <c r="L168" s="3">
        <f t="shared" ca="1" si="194"/>
        <v>2440039.1161840432</v>
      </c>
      <c r="M168" s="3">
        <f t="shared" ca="1" si="195"/>
        <v>28979.246953643771</v>
      </c>
      <c r="N168" s="3">
        <f t="shared" si="196"/>
        <v>12395015.912061</v>
      </c>
      <c r="O168" s="3">
        <f t="shared" si="197"/>
        <v>0</v>
      </c>
      <c r="P168" s="3">
        <f t="shared" si="198"/>
        <v>0</v>
      </c>
      <c r="Q168" s="47">
        <f t="shared" ca="1" si="205"/>
        <v>28688933.666477986</v>
      </c>
      <c r="R168" s="47">
        <f>IFERROR(HLOOKUP(B168-1,'EV Forecast WRZ'!$F$124:$T$130,4,FALSE)/12,0)+IFERROR(((HLOOKUP(B168,'EV Forecast WRZ'!$F$116:$T$122,4,FALSE)-HLOOKUP(B168-1,'EV Forecast WRZ'!$F$124:$T$130,4,FALSE)))*C168/78,0)</f>
        <v>86852.887838169932</v>
      </c>
      <c r="S168" s="47">
        <f ca="1">HLOOKUP(B168,Heating!$R$102:$AD$106,5,FALSE)*INDEX(Weather!$BO$1:$CB$20,MATCH(B168,Weather!$BO$1:$BO$20,0),MATCH(C168,Weather!$BO$1:$CB$1,0))/VLOOKUP(B168,Weather!$BO$2:$CB$20,14,FALSE)</f>
        <v>140780.33399399003</v>
      </c>
      <c r="T168" s="47">
        <f t="shared" ca="1" si="124"/>
        <v>28916566.888310146</v>
      </c>
    </row>
    <row r="169" spans="1:20">
      <c r="A169" s="2">
        <f t="shared" si="199"/>
        <v>47483</v>
      </c>
      <c r="B169">
        <f t="shared" si="200"/>
        <v>2029</v>
      </c>
      <c r="C169">
        <f t="shared" si="201"/>
        <v>12</v>
      </c>
      <c r="E169" s="3">
        <f t="shared" ref="E169:F169" ca="1" si="211">E157</f>
        <v>478.38541666666663</v>
      </c>
      <c r="F169" s="3">
        <f t="shared" ca="1" si="211"/>
        <v>0</v>
      </c>
      <c r="G169" s="3">
        <f t="shared" si="203"/>
        <v>31</v>
      </c>
      <c r="I169">
        <f t="shared" si="204"/>
        <v>0</v>
      </c>
      <c r="K169" s="3">
        <f t="shared" si="193"/>
        <v>13824899.391279301</v>
      </c>
      <c r="L169" s="3">
        <f t="shared" ca="1" si="194"/>
        <v>3690472.2153900201</v>
      </c>
      <c r="M169" s="3">
        <f t="shared" ca="1" si="195"/>
        <v>0</v>
      </c>
      <c r="N169" s="3">
        <f t="shared" si="196"/>
        <v>12808183.109129699</v>
      </c>
      <c r="O169" s="3">
        <f t="shared" si="197"/>
        <v>0</v>
      </c>
      <c r="P169" s="3">
        <f t="shared" si="198"/>
        <v>0</v>
      </c>
      <c r="Q169" s="47">
        <f t="shared" ca="1" si="205"/>
        <v>30323554.715799019</v>
      </c>
      <c r="R169" s="47">
        <f>IFERROR(HLOOKUP(B169-1,'EV Forecast WRZ'!$F$124:$T$130,4,FALSE)/12,0)+IFERROR(((HLOOKUP(B169,'EV Forecast WRZ'!$F$116:$T$122,4,FALSE)-HLOOKUP(B169-1,'EV Forecast WRZ'!$F$124:$T$130,4,FALSE)))*C169/78,0)</f>
        <v>88154.11406932812</v>
      </c>
      <c r="S169" s="47">
        <f ca="1">HLOOKUP(B169,Heating!$R$102:$AD$106,5,FALSE)*INDEX(Weather!$BO$1:$CB$20,MATCH(B169,Weather!$BO$1:$BO$20,0),MATCH(C169,Weather!$BO$1:$CB$1,0))/VLOOKUP(B169,Weather!$BO$2:$CB$20,14,FALSE)</f>
        <v>194721.64951121234</v>
      </c>
      <c r="T169" s="47">
        <f t="shared" ca="1" si="124"/>
        <v>30606430.479379557</v>
      </c>
    </row>
    <row r="170" spans="1:20">
      <c r="A170" s="2">
        <f t="shared" si="199"/>
        <v>47514</v>
      </c>
      <c r="B170">
        <f t="shared" si="200"/>
        <v>2030</v>
      </c>
      <c r="C170">
        <f t="shared" si="201"/>
        <v>1</v>
      </c>
      <c r="E170" s="3">
        <f t="shared" ref="E170:F170" ca="1" si="212">E158</f>
        <v>566.78750000000002</v>
      </c>
      <c r="F170" s="3">
        <f t="shared" ca="1" si="212"/>
        <v>0</v>
      </c>
      <c r="G170" s="3">
        <f t="shared" si="203"/>
        <v>31</v>
      </c>
      <c r="I170">
        <f t="shared" si="204"/>
        <v>0</v>
      </c>
      <c r="K170" s="3">
        <f t="shared" si="193"/>
        <v>13824899.391279301</v>
      </c>
      <c r="L170" s="3">
        <f t="shared" ca="1" si="194"/>
        <v>4372444.1588441078</v>
      </c>
      <c r="M170" s="3">
        <f t="shared" ca="1" si="195"/>
        <v>0</v>
      </c>
      <c r="N170" s="3">
        <f t="shared" si="196"/>
        <v>12808183.109129699</v>
      </c>
      <c r="O170" s="3">
        <f t="shared" si="197"/>
        <v>0</v>
      </c>
      <c r="P170" s="3">
        <f t="shared" si="198"/>
        <v>0</v>
      </c>
      <c r="Q170" s="47">
        <f t="shared" ca="1" si="205"/>
        <v>31005526.659253106</v>
      </c>
      <c r="R170" s="47">
        <f>IFERROR(HLOOKUP(B170-1,'EV Forecast WRZ'!$F$124:$T$130,4,FALSE)/12,0)+IFERROR(((HLOOKUP(B170,'EV Forecast WRZ'!$F$116:$T$122,4,FALSE)-HLOOKUP(B170-1,'EV Forecast WRZ'!$F$124:$T$130,4,FALSE)))*C170/78,0)</f>
        <v>92009.491014515399</v>
      </c>
      <c r="S170" s="47">
        <f ca="1">HLOOKUP(B170,Heating!$R$102:$AD$106,5,FALSE)*INDEX(Weather!$BO$1:$CB$20,MATCH(B170,Weather!$BO$1:$BO$20,0),MATCH(C170,Weather!$BO$1:$CB$1,0))/VLOOKUP(B170,Weather!$BO$2:$CB$20,14,FALSE)</f>
        <v>250718.73362780837</v>
      </c>
      <c r="T170" s="47">
        <f t="shared" ref="T170:T192" ca="1" si="213">Q170+R170+S170</f>
        <v>31348254.883895427</v>
      </c>
    </row>
    <row r="171" spans="1:20">
      <c r="A171" s="2">
        <f t="shared" si="199"/>
        <v>47542</v>
      </c>
      <c r="B171">
        <f t="shared" si="200"/>
        <v>2030</v>
      </c>
      <c r="C171">
        <f t="shared" si="201"/>
        <v>2</v>
      </c>
      <c r="E171" s="3">
        <f t="shared" ref="E171:F171" ca="1" si="214">E159</f>
        <v>490.99541666666664</v>
      </c>
      <c r="F171" s="3">
        <f t="shared" ca="1" si="214"/>
        <v>0</v>
      </c>
      <c r="G171" s="3">
        <f t="shared" si="203"/>
        <v>29</v>
      </c>
      <c r="I171">
        <f t="shared" si="204"/>
        <v>0</v>
      </c>
      <c r="K171" s="3">
        <f t="shared" si="193"/>
        <v>13824899.391279301</v>
      </c>
      <c r="L171" s="3">
        <f t="shared" ca="1" si="194"/>
        <v>3787751.2147381431</v>
      </c>
      <c r="M171" s="3">
        <f t="shared" ca="1" si="195"/>
        <v>0</v>
      </c>
      <c r="N171" s="3">
        <f t="shared" si="196"/>
        <v>11981848.7149923</v>
      </c>
      <c r="O171" s="3">
        <f t="shared" si="197"/>
        <v>0</v>
      </c>
      <c r="P171" s="3">
        <f t="shared" si="198"/>
        <v>0</v>
      </c>
      <c r="Q171" s="47">
        <f t="shared" ca="1" si="205"/>
        <v>29594499.321009744</v>
      </c>
      <c r="R171" s="47">
        <f>IFERROR(HLOOKUP(B171-1,'EV Forecast WRZ'!$F$124:$T$130,4,FALSE)/12,0)+IFERROR(((HLOOKUP(B171,'EV Forecast WRZ'!$F$116:$T$122,4,FALSE)-HLOOKUP(B171-1,'EV Forecast WRZ'!$F$124:$T$130,4,FALSE)))*C171/78,0)</f>
        <v>93531.05672854447</v>
      </c>
      <c r="S171" s="47">
        <f ca="1">HLOOKUP(B171,Heating!$R$102:$AD$106,5,FALSE)*INDEX(Weather!$BO$1:$CB$20,MATCH(B171,Weather!$BO$1:$BO$20,0),MATCH(C171,Weather!$BO$1:$CB$1,0))/VLOOKUP(B171,Weather!$BO$2:$CB$20,14,FALSE)</f>
        <v>219290.46158245867</v>
      </c>
      <c r="T171" s="47">
        <f t="shared" ca="1" si="213"/>
        <v>29907320.839320749</v>
      </c>
    </row>
    <row r="172" spans="1:20">
      <c r="A172" s="2">
        <f t="shared" si="199"/>
        <v>47573</v>
      </c>
      <c r="B172">
        <f t="shared" si="200"/>
        <v>2030</v>
      </c>
      <c r="C172">
        <f t="shared" si="201"/>
        <v>3</v>
      </c>
      <c r="E172" s="3">
        <f t="shared" ref="E172:F172" ca="1" si="215">E160</f>
        <v>410.21590579710147</v>
      </c>
      <c r="F172" s="3">
        <f t="shared" ca="1" si="215"/>
        <v>2.9583333333332896E-2</v>
      </c>
      <c r="G172" s="3">
        <f t="shared" si="203"/>
        <v>31</v>
      </c>
      <c r="I172">
        <f t="shared" si="204"/>
        <v>0</v>
      </c>
      <c r="K172" s="3">
        <f t="shared" si="193"/>
        <v>13824899.391279301</v>
      </c>
      <c r="L172" s="3">
        <f t="shared" ca="1" si="194"/>
        <v>3164583.0953708063</v>
      </c>
      <c r="M172" s="3">
        <f t="shared" ca="1" si="195"/>
        <v>445.54494017078349</v>
      </c>
      <c r="N172" s="3">
        <f t="shared" si="196"/>
        <v>12808183.109129699</v>
      </c>
      <c r="O172" s="3">
        <f t="shared" si="197"/>
        <v>0</v>
      </c>
      <c r="P172" s="3">
        <f t="shared" si="198"/>
        <v>0</v>
      </c>
      <c r="Q172" s="47">
        <f t="shared" ca="1" si="205"/>
        <v>29798111.140719973</v>
      </c>
      <c r="R172" s="47">
        <f>IFERROR(HLOOKUP(B172-1,'EV Forecast WRZ'!$F$124:$T$130,4,FALSE)/12,0)+IFERROR(((HLOOKUP(B172,'EV Forecast WRZ'!$F$116:$T$122,4,FALSE)-HLOOKUP(B172-1,'EV Forecast WRZ'!$F$124:$T$130,4,FALSE)))*C172/78,0)</f>
        <v>95052.622442573556</v>
      </c>
      <c r="S172" s="47">
        <f ca="1">HLOOKUP(B172,Heating!$R$102:$AD$106,5,FALSE)*INDEX(Weather!$BO$1:$CB$20,MATCH(B172,Weather!$BO$1:$BO$20,0),MATCH(C172,Weather!$BO$1:$CB$1,0))/VLOOKUP(B172,Weather!$BO$2:$CB$20,14,FALSE)</f>
        <v>193891.6604386759</v>
      </c>
      <c r="T172" s="47">
        <f t="shared" ca="1" si="213"/>
        <v>30087055.423601221</v>
      </c>
    </row>
    <row r="173" spans="1:20">
      <c r="A173" s="2">
        <f t="shared" si="199"/>
        <v>47603</v>
      </c>
      <c r="B173">
        <f t="shared" si="200"/>
        <v>2030</v>
      </c>
      <c r="C173">
        <f t="shared" si="201"/>
        <v>4</v>
      </c>
      <c r="E173" s="3">
        <f t="shared" ref="E173:F173" ca="1" si="216">E161</f>
        <v>235.09104166666671</v>
      </c>
      <c r="F173" s="3">
        <f t="shared" ca="1" si="216"/>
        <v>6.0095833333333344</v>
      </c>
      <c r="G173" s="3">
        <f t="shared" si="203"/>
        <v>30</v>
      </c>
      <c r="I173">
        <f t="shared" si="204"/>
        <v>0</v>
      </c>
      <c r="K173" s="3">
        <f t="shared" si="193"/>
        <v>13824899.391279301</v>
      </c>
      <c r="L173" s="3">
        <f t="shared" ca="1" si="194"/>
        <v>1813594.0752609991</v>
      </c>
      <c r="M173" s="3">
        <f t="shared" ca="1" si="195"/>
        <v>90508.375663145154</v>
      </c>
      <c r="N173" s="3">
        <f t="shared" si="196"/>
        <v>12395015.912061</v>
      </c>
      <c r="O173" s="3">
        <f t="shared" si="197"/>
        <v>0</v>
      </c>
      <c r="P173" s="3">
        <f t="shared" si="198"/>
        <v>0</v>
      </c>
      <c r="Q173" s="47">
        <f t="shared" ca="1" si="205"/>
        <v>28124017.754264444</v>
      </c>
      <c r="R173" s="47">
        <f>IFERROR(HLOOKUP(B173-1,'EV Forecast WRZ'!$F$124:$T$130,4,FALSE)/12,0)+IFERROR(((HLOOKUP(B173,'EV Forecast WRZ'!$F$116:$T$122,4,FALSE)-HLOOKUP(B173-1,'EV Forecast WRZ'!$F$124:$T$130,4,FALSE)))*C173/78,0)</f>
        <v>96574.188156602642</v>
      </c>
      <c r="S173" s="47">
        <f ca="1">HLOOKUP(B173,Heating!$R$102:$AD$106,5,FALSE)*INDEX(Weather!$BO$1:$CB$20,MATCH(B173,Weather!$BO$1:$BO$20,0),MATCH(C173,Weather!$BO$1:$CB$1,0))/VLOOKUP(B173,Weather!$BO$2:$CB$20,14,FALSE)</f>
        <v>128092.12524541732</v>
      </c>
      <c r="T173" s="47">
        <f t="shared" ca="1" si="213"/>
        <v>28348684.067666464</v>
      </c>
    </row>
    <row r="174" spans="1:20">
      <c r="A174" s="2">
        <f t="shared" si="199"/>
        <v>47634</v>
      </c>
      <c r="B174">
        <f t="shared" si="200"/>
        <v>2030</v>
      </c>
      <c r="C174">
        <f t="shared" si="201"/>
        <v>5</v>
      </c>
      <c r="E174" s="3">
        <f t="shared" ref="E174:F174" ca="1" si="217">E162</f>
        <v>66.98488157894738</v>
      </c>
      <c r="F174" s="3">
        <f t="shared" ca="1" si="217"/>
        <v>81.50872474747473</v>
      </c>
      <c r="G174" s="3">
        <f t="shared" si="203"/>
        <v>31</v>
      </c>
      <c r="I174">
        <f t="shared" si="204"/>
        <v>0</v>
      </c>
      <c r="K174" s="3">
        <f t="shared" si="193"/>
        <v>13824899.391279301</v>
      </c>
      <c r="L174" s="3">
        <f t="shared" ca="1" si="194"/>
        <v>516750.37680035766</v>
      </c>
      <c r="M174" s="3">
        <f t="shared" ca="1" si="195"/>
        <v>1227576.3343440345</v>
      </c>
      <c r="N174" s="3">
        <f t="shared" si="196"/>
        <v>12808183.109129699</v>
      </c>
      <c r="O174" s="3">
        <f t="shared" si="197"/>
        <v>0</v>
      </c>
      <c r="P174" s="3">
        <f t="shared" si="198"/>
        <v>0</v>
      </c>
      <c r="Q174" s="47">
        <f t="shared" ca="1" si="205"/>
        <v>28377409.211553395</v>
      </c>
      <c r="R174" s="47">
        <f>IFERROR(HLOOKUP(B174-1,'EV Forecast WRZ'!$F$124:$T$130,4,FALSE)/12,0)+IFERROR(((HLOOKUP(B174,'EV Forecast WRZ'!$F$116:$T$122,4,FALSE)-HLOOKUP(B174-1,'EV Forecast WRZ'!$F$124:$T$130,4,FALSE)))*C174/78,0)</f>
        <v>98095.753870631728</v>
      </c>
      <c r="S174" s="47">
        <f ca="1">HLOOKUP(B174,Heating!$R$102:$AD$106,5,FALSE)*INDEX(Weather!$BO$1:$CB$20,MATCH(B174,Weather!$BO$1:$BO$20,0),MATCH(C174,Weather!$BO$1:$CB$1,0))/VLOOKUP(B174,Weather!$BO$2:$CB$20,14,FALSE)</f>
        <v>56346.392333398493</v>
      </c>
      <c r="T174" s="47">
        <f t="shared" ca="1" si="213"/>
        <v>28531851.357757427</v>
      </c>
    </row>
    <row r="175" spans="1:20">
      <c r="A175" s="2">
        <f t="shared" si="199"/>
        <v>47664</v>
      </c>
      <c r="B175">
        <f t="shared" si="200"/>
        <v>2030</v>
      </c>
      <c r="C175">
        <f t="shared" si="201"/>
        <v>6</v>
      </c>
      <c r="E175" s="3">
        <f t="shared" ref="E175:F175" ca="1" si="218">E163</f>
        <v>3.128333333333333</v>
      </c>
      <c r="F175" s="3">
        <f t="shared" ca="1" si="218"/>
        <v>202.3599342107168</v>
      </c>
      <c r="G175" s="3">
        <f t="shared" si="203"/>
        <v>30</v>
      </c>
      <c r="I175">
        <f t="shared" si="204"/>
        <v>0</v>
      </c>
      <c r="K175" s="3">
        <f t="shared" si="193"/>
        <v>13824899.391279301</v>
      </c>
      <c r="L175" s="3">
        <f t="shared" ca="1" si="194"/>
        <v>24133.317707695824</v>
      </c>
      <c r="M175" s="3">
        <f t="shared" ca="1" si="195"/>
        <v>3047677.0066775945</v>
      </c>
      <c r="N175" s="3">
        <f t="shared" si="196"/>
        <v>12395015.912061</v>
      </c>
      <c r="O175" s="3">
        <f t="shared" si="197"/>
        <v>0</v>
      </c>
      <c r="P175" s="3">
        <f t="shared" si="198"/>
        <v>0</v>
      </c>
      <c r="Q175" s="47">
        <f t="shared" ca="1" si="205"/>
        <v>29291725.627725594</v>
      </c>
      <c r="R175" s="47">
        <f>IFERROR(HLOOKUP(B175-1,'EV Forecast WRZ'!$F$124:$T$130,4,FALSE)/12,0)+IFERROR(((HLOOKUP(B175,'EV Forecast WRZ'!$F$116:$T$122,4,FALSE)-HLOOKUP(B175-1,'EV Forecast WRZ'!$F$124:$T$130,4,FALSE)))*C175/78,0)</f>
        <v>99617.3195846608</v>
      </c>
      <c r="S175" s="47">
        <f ca="1">HLOOKUP(B175,Heating!$R$102:$AD$106,5,FALSE)*INDEX(Weather!$BO$1:$CB$20,MATCH(B175,Weather!$BO$1:$BO$20,0),MATCH(C175,Weather!$BO$1:$CB$1,0))/VLOOKUP(B175,Weather!$BO$2:$CB$20,14,FALSE)</f>
        <v>10987.776921868497</v>
      </c>
      <c r="T175" s="47">
        <f t="shared" ca="1" si="213"/>
        <v>29402330.724232122</v>
      </c>
    </row>
    <row r="176" spans="1:20">
      <c r="A176" s="2">
        <f t="shared" si="199"/>
        <v>47695</v>
      </c>
      <c r="B176">
        <f t="shared" si="200"/>
        <v>2030</v>
      </c>
      <c r="C176">
        <f t="shared" si="201"/>
        <v>7</v>
      </c>
      <c r="E176" s="3">
        <f t="shared" ref="E176:F176" ca="1" si="219">E164</f>
        <v>0</v>
      </c>
      <c r="F176" s="3">
        <f t="shared" ca="1" si="219"/>
        <v>304.72508692061177</v>
      </c>
      <c r="G176" s="3">
        <f t="shared" si="203"/>
        <v>31</v>
      </c>
      <c r="I176">
        <f t="shared" si="204"/>
        <v>0</v>
      </c>
      <c r="K176" s="3">
        <f t="shared" si="193"/>
        <v>13824899.391279301</v>
      </c>
      <c r="L176" s="3">
        <f t="shared" ca="1" si="194"/>
        <v>0</v>
      </c>
      <c r="M176" s="3">
        <f t="shared" ca="1" si="195"/>
        <v>4589365.2040760377</v>
      </c>
      <c r="N176" s="3">
        <f t="shared" si="196"/>
        <v>12808183.109129699</v>
      </c>
      <c r="O176" s="3">
        <f t="shared" si="197"/>
        <v>0</v>
      </c>
      <c r="P176" s="3">
        <f t="shared" si="198"/>
        <v>0</v>
      </c>
      <c r="Q176" s="47">
        <f t="shared" ca="1" si="205"/>
        <v>31222447.704485036</v>
      </c>
      <c r="R176" s="47">
        <f>IFERROR(HLOOKUP(B176-1,'EV Forecast WRZ'!$F$124:$T$130,4,FALSE)/12,0)+IFERROR(((HLOOKUP(B176,'EV Forecast WRZ'!$F$116:$T$122,4,FALSE)-HLOOKUP(B176-1,'EV Forecast WRZ'!$F$124:$T$130,4,FALSE)))*C176/78,0)</f>
        <v>101138.88529868989</v>
      </c>
      <c r="S176" s="47">
        <f ca="1">HLOOKUP(B176,Heating!$R$102:$AD$106,5,FALSE)*INDEX(Weather!$BO$1:$CB$20,MATCH(B176,Weather!$BO$1:$BO$20,0),MATCH(C176,Weather!$BO$1:$CB$1,0))/VLOOKUP(B176,Weather!$BO$2:$CB$20,14,FALSE)</f>
        <v>393.64545514671312</v>
      </c>
      <c r="T176" s="47">
        <f t="shared" ca="1" si="213"/>
        <v>31323980.235238876</v>
      </c>
    </row>
    <row r="177" spans="1:20">
      <c r="A177" s="2">
        <f t="shared" si="199"/>
        <v>47726</v>
      </c>
      <c r="B177">
        <f t="shared" si="200"/>
        <v>2030</v>
      </c>
      <c r="C177">
        <f t="shared" si="201"/>
        <v>8</v>
      </c>
      <c r="E177" s="3">
        <f t="shared" ref="E177:F177" ca="1" si="220">E165</f>
        <v>6.5416666666666859E-2</v>
      </c>
      <c r="F177" s="3">
        <f t="shared" ca="1" si="220"/>
        <v>275.96017127799735</v>
      </c>
      <c r="G177" s="3">
        <f t="shared" si="203"/>
        <v>31</v>
      </c>
      <c r="I177">
        <f t="shared" si="204"/>
        <v>0</v>
      </c>
      <c r="K177" s="3">
        <f t="shared" si="193"/>
        <v>13824899.391279301</v>
      </c>
      <c r="L177" s="3">
        <f t="shared" ca="1" si="194"/>
        <v>504.65248802720515</v>
      </c>
      <c r="M177" s="3">
        <f t="shared" ca="1" si="195"/>
        <v>4156146.1859687767</v>
      </c>
      <c r="N177" s="3">
        <f t="shared" si="196"/>
        <v>12808183.109129699</v>
      </c>
      <c r="O177" s="3">
        <f t="shared" si="197"/>
        <v>0</v>
      </c>
      <c r="P177" s="3">
        <f t="shared" si="198"/>
        <v>0</v>
      </c>
      <c r="Q177" s="47">
        <f t="shared" ca="1" si="205"/>
        <v>30789733.338865802</v>
      </c>
      <c r="R177" s="47">
        <f>IFERROR(HLOOKUP(B177-1,'EV Forecast WRZ'!$F$124:$T$130,4,FALSE)/12,0)+IFERROR(((HLOOKUP(B177,'EV Forecast WRZ'!$F$116:$T$122,4,FALSE)-HLOOKUP(B177-1,'EV Forecast WRZ'!$F$124:$T$130,4,FALSE)))*C177/78,0)</f>
        <v>102660.45101271897</v>
      </c>
      <c r="S177" s="47">
        <f ca="1">HLOOKUP(B177,Heating!$R$102:$AD$106,5,FALSE)*INDEX(Weather!$BO$1:$CB$20,MATCH(B177,Weather!$BO$1:$BO$20,0),MATCH(C177,Weather!$BO$1:$CB$1,0))/VLOOKUP(B177,Weather!$BO$2:$CB$20,14,FALSE)</f>
        <v>2331.7784375363726</v>
      </c>
      <c r="T177" s="47">
        <f t="shared" ca="1" si="213"/>
        <v>30894725.568316057</v>
      </c>
    </row>
    <row r="178" spans="1:20">
      <c r="A178" s="2">
        <f t="shared" si="199"/>
        <v>47756</v>
      </c>
      <c r="B178">
        <f t="shared" si="200"/>
        <v>2030</v>
      </c>
      <c r="C178">
        <f t="shared" si="201"/>
        <v>9</v>
      </c>
      <c r="E178" s="3">
        <f t="shared" ref="E178:F178" ca="1" si="221">E166</f>
        <v>10.085869565217392</v>
      </c>
      <c r="F178" s="3">
        <f t="shared" ca="1" si="221"/>
        <v>154.9849637681159</v>
      </c>
      <c r="G178" s="3">
        <f t="shared" si="203"/>
        <v>30</v>
      </c>
      <c r="I178">
        <f t="shared" si="204"/>
        <v>1</v>
      </c>
      <c r="K178" s="3">
        <f t="shared" si="193"/>
        <v>13824899.391279301</v>
      </c>
      <c r="L178" s="3">
        <f t="shared" ca="1" si="194"/>
        <v>77806.764382239096</v>
      </c>
      <c r="M178" s="3">
        <f t="shared" ca="1" si="195"/>
        <v>2334178.0194739359</v>
      </c>
      <c r="N178" s="3">
        <f t="shared" si="196"/>
        <v>12395015.912061</v>
      </c>
      <c r="O178" s="3">
        <f t="shared" si="197"/>
        <v>0</v>
      </c>
      <c r="P178" s="3">
        <f t="shared" si="198"/>
        <v>0</v>
      </c>
      <c r="Q178" s="47">
        <f t="shared" ca="1" si="205"/>
        <v>28631900.087196477</v>
      </c>
      <c r="R178" s="47">
        <f>IFERROR(HLOOKUP(B178-1,'EV Forecast WRZ'!$F$124:$T$130,4,FALSE)/12,0)+IFERROR(((HLOOKUP(B178,'EV Forecast WRZ'!$F$116:$T$122,4,FALSE)-HLOOKUP(B178-1,'EV Forecast WRZ'!$F$124:$T$130,4,FALSE)))*C178/78,0)</f>
        <v>104182.01672674806</v>
      </c>
      <c r="S178" s="47">
        <f ca="1">HLOOKUP(B178,Heating!$R$102:$AD$106,5,FALSE)*INDEX(Weather!$BO$1:$CB$20,MATCH(B178,Weather!$BO$1:$BO$20,0),MATCH(C178,Weather!$BO$1:$CB$1,0))/VLOOKUP(B178,Weather!$BO$2:$CB$20,14,FALSE)</f>
        <v>19748.977281253967</v>
      </c>
      <c r="T178" s="47">
        <f t="shared" ca="1" si="213"/>
        <v>28755831.081204478</v>
      </c>
    </row>
    <row r="179" spans="1:20">
      <c r="A179" s="2">
        <f t="shared" si="199"/>
        <v>47787</v>
      </c>
      <c r="B179">
        <f t="shared" si="200"/>
        <v>2030</v>
      </c>
      <c r="C179">
        <f t="shared" si="201"/>
        <v>10</v>
      </c>
      <c r="E179" s="3">
        <f t="shared" ref="E179:F179" ca="1" si="222">E167</f>
        <v>126.20389492753625</v>
      </c>
      <c r="F179" s="3">
        <f t="shared" ca="1" si="222"/>
        <v>38.347916666666663</v>
      </c>
      <c r="G179" s="3">
        <f t="shared" si="203"/>
        <v>31</v>
      </c>
      <c r="I179">
        <f t="shared" si="204"/>
        <v>1</v>
      </c>
      <c r="K179" s="3">
        <f t="shared" si="193"/>
        <v>13824899.391279301</v>
      </c>
      <c r="L179" s="3">
        <f t="shared" ca="1" si="194"/>
        <v>973591.48393230501</v>
      </c>
      <c r="M179" s="3">
        <f t="shared" ca="1" si="195"/>
        <v>577545.47279744595</v>
      </c>
      <c r="N179" s="3">
        <f t="shared" si="196"/>
        <v>12808183.109129699</v>
      </c>
      <c r="O179" s="3">
        <f t="shared" si="197"/>
        <v>0</v>
      </c>
      <c r="P179" s="3">
        <f t="shared" si="198"/>
        <v>0</v>
      </c>
      <c r="Q179" s="47">
        <f t="shared" ca="1" si="205"/>
        <v>28184219.457138751</v>
      </c>
      <c r="R179" s="47">
        <f>IFERROR(HLOOKUP(B179-1,'EV Forecast WRZ'!$F$124:$T$130,4,FALSE)/12,0)+IFERROR(((HLOOKUP(B179,'EV Forecast WRZ'!$F$116:$T$122,4,FALSE)-HLOOKUP(B179-1,'EV Forecast WRZ'!$F$124:$T$130,4,FALSE)))*C179/78,0)</f>
        <v>105703.58244077713</v>
      </c>
      <c r="S179" s="47">
        <f ca="1">HLOOKUP(B179,Heating!$R$102:$AD$106,5,FALSE)*INDEX(Weather!$BO$1:$CB$20,MATCH(B179,Weather!$BO$1:$BO$20,0),MATCH(C179,Weather!$BO$1:$CB$1,0))/VLOOKUP(B179,Weather!$BO$2:$CB$20,14,FALSE)</f>
        <v>84281.313910792887</v>
      </c>
      <c r="T179" s="47">
        <f t="shared" ca="1" si="213"/>
        <v>28374204.353490323</v>
      </c>
    </row>
    <row r="180" spans="1:20">
      <c r="A180" s="2">
        <f t="shared" si="199"/>
        <v>47817</v>
      </c>
      <c r="B180">
        <f t="shared" si="200"/>
        <v>2030</v>
      </c>
      <c r="C180">
        <f t="shared" si="201"/>
        <v>11</v>
      </c>
      <c r="E180" s="3">
        <f t="shared" ref="E180:F180" ca="1" si="223">E168</f>
        <v>316.29533055712409</v>
      </c>
      <c r="F180" s="3">
        <f t="shared" ca="1" si="223"/>
        <v>1.9241666666666659</v>
      </c>
      <c r="G180" s="3">
        <f t="shared" si="203"/>
        <v>30</v>
      </c>
      <c r="I180">
        <f t="shared" si="204"/>
        <v>1</v>
      </c>
      <c r="K180" s="3">
        <f t="shared" si="193"/>
        <v>13824899.391279301</v>
      </c>
      <c r="L180" s="3">
        <f t="shared" ca="1" si="194"/>
        <v>2440039.1161840432</v>
      </c>
      <c r="M180" s="3">
        <f t="shared" ca="1" si="195"/>
        <v>28979.246953643771</v>
      </c>
      <c r="N180" s="3">
        <f t="shared" si="196"/>
        <v>12395015.912061</v>
      </c>
      <c r="O180" s="3">
        <f t="shared" si="197"/>
        <v>0</v>
      </c>
      <c r="P180" s="3">
        <f t="shared" si="198"/>
        <v>0</v>
      </c>
      <c r="Q180" s="47">
        <f t="shared" ca="1" si="205"/>
        <v>28688933.666477986</v>
      </c>
      <c r="R180" s="47">
        <f>IFERROR(HLOOKUP(B180-1,'EV Forecast WRZ'!$F$124:$T$130,4,FALSE)/12,0)+IFERROR(((HLOOKUP(B180,'EV Forecast WRZ'!$F$116:$T$122,4,FALSE)-HLOOKUP(B180-1,'EV Forecast WRZ'!$F$124:$T$130,4,FALSE)))*C180/78,0)</f>
        <v>107225.14815480621</v>
      </c>
      <c r="S180" s="47">
        <f ca="1">HLOOKUP(B180,Heating!$R$102:$AD$106,5,FALSE)*INDEX(Weather!$BO$1:$CB$20,MATCH(B180,Weather!$BO$1:$BO$20,0),MATCH(C180,Weather!$BO$1:$CB$1,0))/VLOOKUP(B180,Weather!$BO$2:$CB$20,14,FALSE)</f>
        <v>158068.20296308407</v>
      </c>
      <c r="T180" s="47">
        <f t="shared" ca="1" si="213"/>
        <v>28954227.017595876</v>
      </c>
    </row>
    <row r="181" spans="1:20">
      <c r="A181" s="2">
        <f t="shared" si="199"/>
        <v>47848</v>
      </c>
      <c r="B181">
        <f t="shared" si="200"/>
        <v>2030</v>
      </c>
      <c r="C181">
        <f t="shared" si="201"/>
        <v>12</v>
      </c>
      <c r="E181" s="3">
        <f t="shared" ref="E181:F181" ca="1" si="224">E169</f>
        <v>478.38541666666663</v>
      </c>
      <c r="F181" s="3">
        <f t="shared" ca="1" si="224"/>
        <v>0</v>
      </c>
      <c r="G181" s="3">
        <f t="shared" si="203"/>
        <v>31</v>
      </c>
      <c r="I181">
        <f t="shared" si="204"/>
        <v>0</v>
      </c>
      <c r="K181" s="3">
        <f t="shared" si="193"/>
        <v>13824899.391279301</v>
      </c>
      <c r="L181" s="3">
        <f t="shared" ca="1" si="194"/>
        <v>3690472.2153900201</v>
      </c>
      <c r="M181" s="3">
        <f t="shared" ca="1" si="195"/>
        <v>0</v>
      </c>
      <c r="N181" s="3">
        <f t="shared" si="196"/>
        <v>12808183.109129699</v>
      </c>
      <c r="O181" s="3">
        <f t="shared" si="197"/>
        <v>0</v>
      </c>
      <c r="P181" s="3">
        <f t="shared" si="198"/>
        <v>0</v>
      </c>
      <c r="Q181" s="47">
        <f t="shared" ca="1" si="205"/>
        <v>30323554.715799019</v>
      </c>
      <c r="R181" s="47">
        <f>IFERROR(HLOOKUP(B181-1,'EV Forecast WRZ'!$F$124:$T$130,4,FALSE)/12,0)+IFERROR(((HLOOKUP(B181,'EV Forecast WRZ'!$F$116:$T$122,4,FALSE)-HLOOKUP(B181-1,'EV Forecast WRZ'!$F$124:$T$130,4,FALSE)))*C181/78,0)</f>
        <v>108746.7138688353</v>
      </c>
      <c r="S181" s="47">
        <f ca="1">HLOOKUP(B181,Heating!$R$102:$AD$106,5,FALSE)*INDEX(Weather!$BO$1:$CB$20,MATCH(B181,Weather!$BO$1:$BO$20,0),MATCH(C181,Weather!$BO$1:$CB$1,0))/VLOOKUP(B181,Weather!$BO$2:$CB$20,14,FALSE)</f>
        <v>218633.52886745401</v>
      </c>
      <c r="T181" s="47">
        <f t="shared" ca="1" si="213"/>
        <v>30650934.958535306</v>
      </c>
    </row>
    <row r="182" spans="1:20">
      <c r="A182" s="2">
        <f t="shared" si="199"/>
        <v>47879</v>
      </c>
      <c r="B182">
        <f t="shared" si="200"/>
        <v>2031</v>
      </c>
      <c r="C182">
        <f t="shared" si="201"/>
        <v>1</v>
      </c>
      <c r="E182" s="3">
        <f t="shared" ref="E182:F182" ca="1" si="225">E170</f>
        <v>566.78750000000002</v>
      </c>
      <c r="F182" s="3">
        <f t="shared" ca="1" si="225"/>
        <v>0</v>
      </c>
      <c r="G182" s="3">
        <f t="shared" si="203"/>
        <v>31</v>
      </c>
      <c r="I182">
        <f t="shared" si="204"/>
        <v>0</v>
      </c>
      <c r="K182" s="3">
        <f t="shared" si="193"/>
        <v>13824899.391279301</v>
      </c>
      <c r="L182" s="3">
        <f t="shared" ca="1" si="194"/>
        <v>4372444.1588441078</v>
      </c>
      <c r="M182" s="3">
        <f t="shared" ca="1" si="195"/>
        <v>0</v>
      </c>
      <c r="N182" s="3">
        <f t="shared" si="196"/>
        <v>12808183.109129699</v>
      </c>
      <c r="O182" s="3">
        <f t="shared" si="197"/>
        <v>0</v>
      </c>
      <c r="P182" s="3">
        <f t="shared" si="198"/>
        <v>0</v>
      </c>
      <c r="Q182" s="47">
        <f t="shared" ca="1" si="205"/>
        <v>31005526.659253106</v>
      </c>
      <c r="R182" s="47">
        <f>IFERROR(HLOOKUP(B182-1,'EV Forecast WRZ'!$F$124:$T$130,4,FALSE)/12,0)+IFERROR(((HLOOKUP(B182,'EV Forecast WRZ'!$F$116:$T$122,4,FALSE)-HLOOKUP(B182-1,'EV Forecast WRZ'!$F$124:$T$130,4,FALSE)))*C182/78,0)</f>
        <v>113064.01727566365</v>
      </c>
      <c r="S182" s="47">
        <f ca="1">HLOOKUP(B182,Heating!$R$102:$AD$106,5,FALSE)*INDEX(Weather!$BO$1:$CB$20,MATCH(B182,Weather!$BO$1:$BO$20,0),MATCH(C182,Weather!$BO$1:$CB$1,0))/VLOOKUP(B182,Weather!$BO$2:$CB$20,14,FALSE)</f>
        <v>279181.13771336223</v>
      </c>
      <c r="T182" s="47">
        <f t="shared" ca="1" si="213"/>
        <v>31397771.814242132</v>
      </c>
    </row>
    <row r="183" spans="1:20">
      <c r="A183" s="2">
        <f t="shared" si="199"/>
        <v>47907</v>
      </c>
      <c r="B183">
        <f t="shared" si="200"/>
        <v>2031</v>
      </c>
      <c r="C183">
        <f t="shared" si="201"/>
        <v>2</v>
      </c>
      <c r="E183" s="3">
        <f t="shared" ref="E183:F183" ca="1" si="226">E171</f>
        <v>490.99541666666664</v>
      </c>
      <c r="F183" s="3">
        <f t="shared" ca="1" si="226"/>
        <v>0</v>
      </c>
      <c r="G183" s="3">
        <f t="shared" si="203"/>
        <v>28</v>
      </c>
      <c r="I183">
        <f t="shared" si="204"/>
        <v>0</v>
      </c>
      <c r="K183" s="3">
        <f t="shared" si="193"/>
        <v>13824899.391279301</v>
      </c>
      <c r="L183" s="3">
        <f t="shared" ca="1" si="194"/>
        <v>3787751.2147381431</v>
      </c>
      <c r="M183" s="3">
        <f t="shared" ca="1" si="195"/>
        <v>0</v>
      </c>
      <c r="N183" s="3">
        <f t="shared" si="196"/>
        <v>11568681.517923599</v>
      </c>
      <c r="O183" s="3">
        <f t="shared" si="197"/>
        <v>0</v>
      </c>
      <c r="P183" s="3">
        <f t="shared" si="198"/>
        <v>0</v>
      </c>
      <c r="Q183" s="47">
        <f t="shared" ca="1" si="205"/>
        <v>29181332.123941042</v>
      </c>
      <c r="R183" s="47">
        <f>IFERROR(HLOOKUP(B183-1,'EV Forecast WRZ'!$F$124:$T$130,4,FALSE)/12,0)+IFERROR(((HLOOKUP(B183,'EV Forecast WRZ'!$F$116:$T$122,4,FALSE)-HLOOKUP(B183-1,'EV Forecast WRZ'!$F$124:$T$130,4,FALSE)))*C183/78,0)</f>
        <v>114671.57796846292</v>
      </c>
      <c r="S183" s="47">
        <f ca="1">HLOOKUP(B183,Heating!$R$102:$AD$106,5,FALSE)*INDEX(Weather!$BO$1:$CB$20,MATCH(B183,Weather!$BO$1:$BO$20,0),MATCH(C183,Weather!$BO$1:$CB$1,0))/VLOOKUP(B183,Weather!$BO$2:$CB$20,14,FALSE)</f>
        <v>244185.02625800105</v>
      </c>
      <c r="T183" s="47">
        <f t="shared" ca="1" si="213"/>
        <v>29540188.728167504</v>
      </c>
    </row>
    <row r="184" spans="1:20">
      <c r="A184" s="2">
        <f t="shared" si="199"/>
        <v>47938</v>
      </c>
      <c r="B184">
        <f t="shared" si="200"/>
        <v>2031</v>
      </c>
      <c r="C184">
        <f t="shared" si="201"/>
        <v>3</v>
      </c>
      <c r="E184" s="3">
        <f t="shared" ref="E184:F184" ca="1" si="227">E172</f>
        <v>410.21590579710147</v>
      </c>
      <c r="F184" s="3">
        <f t="shared" ca="1" si="227"/>
        <v>2.9583333333332896E-2</v>
      </c>
      <c r="G184" s="3">
        <f t="shared" si="203"/>
        <v>31</v>
      </c>
      <c r="I184">
        <f t="shared" si="204"/>
        <v>0</v>
      </c>
      <c r="K184" s="3">
        <f t="shared" si="193"/>
        <v>13824899.391279301</v>
      </c>
      <c r="L184" s="3">
        <f t="shared" ca="1" si="194"/>
        <v>3164583.0953708063</v>
      </c>
      <c r="M184" s="3">
        <f t="shared" ca="1" si="195"/>
        <v>445.54494017078349</v>
      </c>
      <c r="N184" s="3">
        <f t="shared" si="196"/>
        <v>12808183.109129699</v>
      </c>
      <c r="O184" s="3">
        <f t="shared" si="197"/>
        <v>0</v>
      </c>
      <c r="P184" s="3">
        <f t="shared" si="198"/>
        <v>0</v>
      </c>
      <c r="Q184" s="47">
        <f t="shared" ca="1" si="205"/>
        <v>29798111.140719973</v>
      </c>
      <c r="R184" s="47">
        <f>IFERROR(HLOOKUP(B184-1,'EV Forecast WRZ'!$F$124:$T$130,4,FALSE)/12,0)+IFERROR(((HLOOKUP(B184,'EV Forecast WRZ'!$F$116:$T$122,4,FALSE)-HLOOKUP(B184-1,'EV Forecast WRZ'!$F$124:$T$130,4,FALSE)))*C184/78,0)</f>
        <v>116279.13866126219</v>
      </c>
      <c r="S184" s="47">
        <f ca="1">HLOOKUP(B184,Heating!$R$102:$AD$106,5,FALSE)*INDEX(Weather!$BO$1:$CB$20,MATCH(B184,Weather!$BO$1:$BO$20,0),MATCH(C184,Weather!$BO$1:$CB$1,0))/VLOOKUP(B184,Weather!$BO$2:$CB$20,14,FALSE)</f>
        <v>215902.8708032631</v>
      </c>
      <c r="T184" s="47">
        <f t="shared" ca="1" si="213"/>
        <v>30130293.150184497</v>
      </c>
    </row>
    <row r="185" spans="1:20">
      <c r="A185" s="2">
        <f t="shared" si="199"/>
        <v>47968</v>
      </c>
      <c r="B185">
        <f t="shared" si="200"/>
        <v>2031</v>
      </c>
      <c r="C185">
        <f t="shared" si="201"/>
        <v>4</v>
      </c>
      <c r="E185" s="3">
        <f t="shared" ref="E185:F185" ca="1" si="228">E173</f>
        <v>235.09104166666671</v>
      </c>
      <c r="F185" s="3">
        <f t="shared" ca="1" si="228"/>
        <v>6.0095833333333344</v>
      </c>
      <c r="G185" s="3">
        <f t="shared" si="203"/>
        <v>30</v>
      </c>
      <c r="I185">
        <f t="shared" si="204"/>
        <v>0</v>
      </c>
      <c r="K185" s="3">
        <f t="shared" si="193"/>
        <v>13824899.391279301</v>
      </c>
      <c r="L185" s="3">
        <f t="shared" ca="1" si="194"/>
        <v>1813594.0752609991</v>
      </c>
      <c r="M185" s="3">
        <f t="shared" ca="1" si="195"/>
        <v>90508.375663145154</v>
      </c>
      <c r="N185" s="3">
        <f t="shared" si="196"/>
        <v>12395015.912061</v>
      </c>
      <c r="O185" s="3">
        <f t="shared" si="197"/>
        <v>0</v>
      </c>
      <c r="P185" s="3">
        <f t="shared" si="198"/>
        <v>0</v>
      </c>
      <c r="Q185" s="47">
        <f t="shared" ca="1" si="205"/>
        <v>28124017.754264444</v>
      </c>
      <c r="R185" s="47">
        <f>IFERROR(HLOOKUP(B185-1,'EV Forecast WRZ'!$F$124:$T$130,4,FALSE)/12,0)+IFERROR(((HLOOKUP(B185,'EV Forecast WRZ'!$F$116:$T$122,4,FALSE)-HLOOKUP(B185-1,'EV Forecast WRZ'!$F$124:$T$130,4,FALSE)))*C185/78,0)</f>
        <v>117886.69935406146</v>
      </c>
      <c r="S185" s="47">
        <f ca="1">HLOOKUP(B185,Heating!$R$102:$AD$106,5,FALSE)*INDEX(Weather!$BO$1:$CB$20,MATCH(B185,Weather!$BO$1:$BO$20,0),MATCH(C185,Weather!$BO$1:$CB$1,0))/VLOOKUP(B185,Weather!$BO$2:$CB$20,14,FALSE)</f>
        <v>142633.55889163478</v>
      </c>
      <c r="T185" s="47">
        <f t="shared" ca="1" si="213"/>
        <v>28384538.012510139</v>
      </c>
    </row>
    <row r="186" spans="1:20">
      <c r="A186" s="2">
        <f t="shared" si="199"/>
        <v>47999</v>
      </c>
      <c r="B186">
        <f t="shared" si="200"/>
        <v>2031</v>
      </c>
      <c r="C186">
        <f t="shared" si="201"/>
        <v>5</v>
      </c>
      <c r="E186" s="3">
        <f t="shared" ref="E186:F186" ca="1" si="229">E174</f>
        <v>66.98488157894738</v>
      </c>
      <c r="F186" s="3">
        <f t="shared" ca="1" si="229"/>
        <v>81.50872474747473</v>
      </c>
      <c r="G186" s="3">
        <f t="shared" si="203"/>
        <v>31</v>
      </c>
      <c r="I186">
        <f t="shared" si="204"/>
        <v>0</v>
      </c>
      <c r="K186" s="3">
        <f t="shared" si="193"/>
        <v>13824899.391279301</v>
      </c>
      <c r="L186" s="3">
        <f t="shared" ca="1" si="194"/>
        <v>516750.37680035766</v>
      </c>
      <c r="M186" s="3">
        <f t="shared" ca="1" si="195"/>
        <v>1227576.3343440345</v>
      </c>
      <c r="N186" s="3">
        <f t="shared" si="196"/>
        <v>12808183.109129699</v>
      </c>
      <c r="O186" s="3">
        <f t="shared" si="197"/>
        <v>0</v>
      </c>
      <c r="P186" s="3">
        <f t="shared" si="198"/>
        <v>0</v>
      </c>
      <c r="Q186" s="47">
        <f t="shared" ca="1" si="205"/>
        <v>28377409.211553395</v>
      </c>
      <c r="R186" s="47">
        <f>IFERROR(HLOOKUP(B186-1,'EV Forecast WRZ'!$F$124:$T$130,4,FALSE)/12,0)+IFERROR(((HLOOKUP(B186,'EV Forecast WRZ'!$F$116:$T$122,4,FALSE)-HLOOKUP(B186-1,'EV Forecast WRZ'!$F$124:$T$130,4,FALSE)))*C186/78,0)</f>
        <v>119494.26004686073</v>
      </c>
      <c r="S186" s="47">
        <f ca="1">HLOOKUP(B186,Heating!$R$102:$AD$106,5,FALSE)*INDEX(Weather!$BO$1:$CB$20,MATCH(B186,Weather!$BO$1:$BO$20,0),MATCH(C186,Weather!$BO$1:$CB$1,0))/VLOOKUP(B186,Weather!$BO$2:$CB$20,14,FALSE)</f>
        <v>62743.017604077751</v>
      </c>
      <c r="T186" s="47">
        <f t="shared" ca="1" si="213"/>
        <v>28559646.489204336</v>
      </c>
    </row>
    <row r="187" spans="1:20">
      <c r="A187" s="2">
        <f t="shared" si="199"/>
        <v>48029</v>
      </c>
      <c r="B187">
        <f t="shared" si="200"/>
        <v>2031</v>
      </c>
      <c r="C187">
        <f t="shared" si="201"/>
        <v>6</v>
      </c>
      <c r="E187" s="3">
        <f t="shared" ref="E187:F187" ca="1" si="230">E175</f>
        <v>3.128333333333333</v>
      </c>
      <c r="F187" s="3">
        <f t="shared" ca="1" si="230"/>
        <v>202.3599342107168</v>
      </c>
      <c r="G187" s="3">
        <f t="shared" si="203"/>
        <v>30</v>
      </c>
      <c r="I187">
        <f t="shared" si="204"/>
        <v>0</v>
      </c>
      <c r="K187" s="3">
        <f t="shared" si="193"/>
        <v>13824899.391279301</v>
      </c>
      <c r="L187" s="3">
        <f t="shared" ca="1" si="194"/>
        <v>24133.317707695824</v>
      </c>
      <c r="M187" s="3">
        <f t="shared" ca="1" si="195"/>
        <v>3047677.0066775945</v>
      </c>
      <c r="N187" s="3">
        <f t="shared" si="196"/>
        <v>12395015.912061</v>
      </c>
      <c r="O187" s="3">
        <f t="shared" si="197"/>
        <v>0</v>
      </c>
      <c r="P187" s="3">
        <f t="shared" si="198"/>
        <v>0</v>
      </c>
      <c r="Q187" s="47">
        <f t="shared" ca="1" si="205"/>
        <v>29291725.627725594</v>
      </c>
      <c r="R187" s="47">
        <f>IFERROR(HLOOKUP(B187-1,'EV Forecast WRZ'!$F$124:$T$130,4,FALSE)/12,0)+IFERROR(((HLOOKUP(B187,'EV Forecast WRZ'!$F$116:$T$122,4,FALSE)-HLOOKUP(B187-1,'EV Forecast WRZ'!$F$124:$T$130,4,FALSE)))*C187/78,0)</f>
        <v>121101.82073965999</v>
      </c>
      <c r="S187" s="47">
        <f ca="1">HLOOKUP(B187,Heating!$R$102:$AD$106,5,FALSE)*INDEX(Weather!$BO$1:$CB$20,MATCH(B187,Weather!$BO$1:$BO$20,0),MATCH(C187,Weather!$BO$1:$CB$1,0))/VLOOKUP(B187,Weather!$BO$2:$CB$20,14,FALSE)</f>
        <v>12235.145007319996</v>
      </c>
      <c r="T187" s="47">
        <f t="shared" ca="1" si="213"/>
        <v>29425062.593472574</v>
      </c>
    </row>
    <row r="188" spans="1:20">
      <c r="A188" s="2">
        <f t="shared" si="199"/>
        <v>48060</v>
      </c>
      <c r="B188">
        <f t="shared" si="200"/>
        <v>2031</v>
      </c>
      <c r="C188">
        <f t="shared" si="201"/>
        <v>7</v>
      </c>
      <c r="E188" s="3">
        <f t="shared" ref="E188:F188" ca="1" si="231">E176</f>
        <v>0</v>
      </c>
      <c r="F188" s="3">
        <f t="shared" ca="1" si="231"/>
        <v>304.72508692061177</v>
      </c>
      <c r="G188" s="3">
        <f t="shared" si="203"/>
        <v>31</v>
      </c>
      <c r="I188">
        <f t="shared" si="204"/>
        <v>0</v>
      </c>
      <c r="K188" s="3">
        <f t="shared" si="193"/>
        <v>13824899.391279301</v>
      </c>
      <c r="L188" s="3">
        <f t="shared" ca="1" si="194"/>
        <v>0</v>
      </c>
      <c r="M188" s="3">
        <f t="shared" ca="1" si="195"/>
        <v>4589365.2040760377</v>
      </c>
      <c r="N188" s="3">
        <f t="shared" si="196"/>
        <v>12808183.109129699</v>
      </c>
      <c r="O188" s="3">
        <f t="shared" si="197"/>
        <v>0</v>
      </c>
      <c r="P188" s="3">
        <f t="shared" si="198"/>
        <v>0</v>
      </c>
      <c r="Q188" s="47">
        <f t="shared" ca="1" si="205"/>
        <v>31222447.704485036</v>
      </c>
      <c r="R188" s="47">
        <f>IFERROR(HLOOKUP(B188-1,'EV Forecast WRZ'!$F$124:$T$130,4,FALSE)/12,0)+IFERROR(((HLOOKUP(B188,'EV Forecast WRZ'!$F$116:$T$122,4,FALSE)-HLOOKUP(B188-1,'EV Forecast WRZ'!$F$124:$T$130,4,FALSE)))*C188/78,0)</f>
        <v>122709.38143245927</v>
      </c>
      <c r="S188" s="47">
        <f ca="1">HLOOKUP(B188,Heating!$R$102:$AD$106,5,FALSE)*INDEX(Weather!$BO$1:$CB$20,MATCH(B188,Weather!$BO$1:$BO$20,0),MATCH(C188,Weather!$BO$1:$CB$1,0))/VLOOKUP(B188,Weather!$BO$2:$CB$20,14,FALSE)</f>
        <v>438.33336437754059</v>
      </c>
      <c r="T188" s="47">
        <f t="shared" ca="1" si="213"/>
        <v>31345595.419281874</v>
      </c>
    </row>
    <row r="189" spans="1:20">
      <c r="A189" s="2">
        <f t="shared" si="199"/>
        <v>48091</v>
      </c>
      <c r="B189">
        <f t="shared" si="200"/>
        <v>2031</v>
      </c>
      <c r="C189">
        <f t="shared" si="201"/>
        <v>8</v>
      </c>
      <c r="E189" s="3">
        <f t="shared" ref="E189:F189" ca="1" si="232">E177</f>
        <v>6.5416666666666859E-2</v>
      </c>
      <c r="F189" s="3">
        <f t="shared" ca="1" si="232"/>
        <v>275.96017127799735</v>
      </c>
      <c r="G189" s="3">
        <f t="shared" si="203"/>
        <v>31</v>
      </c>
      <c r="I189">
        <f t="shared" si="204"/>
        <v>0</v>
      </c>
      <c r="K189" s="3">
        <f t="shared" si="193"/>
        <v>13824899.391279301</v>
      </c>
      <c r="L189" s="3">
        <f t="shared" ca="1" si="194"/>
        <v>504.65248802720515</v>
      </c>
      <c r="M189" s="3">
        <f t="shared" ca="1" si="195"/>
        <v>4156146.1859687767</v>
      </c>
      <c r="N189" s="3">
        <f t="shared" si="196"/>
        <v>12808183.109129699</v>
      </c>
      <c r="O189" s="3">
        <f t="shared" si="197"/>
        <v>0</v>
      </c>
      <c r="P189" s="3">
        <f t="shared" si="198"/>
        <v>0</v>
      </c>
      <c r="Q189" s="47">
        <f t="shared" ca="1" si="205"/>
        <v>30789733.338865802</v>
      </c>
      <c r="R189" s="47">
        <f>IFERROR(HLOOKUP(B189-1,'EV Forecast WRZ'!$F$124:$T$130,4,FALSE)/12,0)+IFERROR(((HLOOKUP(B189,'EV Forecast WRZ'!$F$116:$T$122,4,FALSE)-HLOOKUP(B189-1,'EV Forecast WRZ'!$F$124:$T$130,4,FALSE)))*C189/78,0)</f>
        <v>124316.94212525853</v>
      </c>
      <c r="S189" s="47">
        <f ca="1">HLOOKUP(B189,Heating!$R$102:$AD$106,5,FALSE)*INDEX(Weather!$BO$1:$CB$20,MATCH(B189,Weather!$BO$1:$BO$20,0),MATCH(C189,Weather!$BO$1:$CB$1,0))/VLOOKUP(B189,Weather!$BO$2:$CB$20,14,FALSE)</f>
        <v>2596.4894911015399</v>
      </c>
      <c r="T189" s="47">
        <f t="shared" ca="1" si="213"/>
        <v>30916646.77048216</v>
      </c>
    </row>
    <row r="190" spans="1:20">
      <c r="A190" s="2">
        <f t="shared" si="199"/>
        <v>48121</v>
      </c>
      <c r="B190">
        <f t="shared" si="200"/>
        <v>2031</v>
      </c>
      <c r="C190">
        <f t="shared" si="201"/>
        <v>9</v>
      </c>
      <c r="E190" s="3">
        <f t="shared" ref="E190:F190" ca="1" si="233">E178</f>
        <v>10.085869565217392</v>
      </c>
      <c r="F190" s="3">
        <f t="shared" ca="1" si="233"/>
        <v>154.9849637681159</v>
      </c>
      <c r="G190" s="3">
        <f t="shared" si="203"/>
        <v>30</v>
      </c>
      <c r="I190">
        <f t="shared" si="204"/>
        <v>1</v>
      </c>
      <c r="K190" s="3">
        <f t="shared" si="193"/>
        <v>13824899.391279301</v>
      </c>
      <c r="L190" s="3">
        <f t="shared" ca="1" si="194"/>
        <v>77806.764382239096</v>
      </c>
      <c r="M190" s="3">
        <f t="shared" ca="1" si="195"/>
        <v>2334178.0194739359</v>
      </c>
      <c r="N190" s="3">
        <f t="shared" si="196"/>
        <v>12395015.912061</v>
      </c>
      <c r="O190" s="3">
        <f t="shared" si="197"/>
        <v>0</v>
      </c>
      <c r="P190" s="3">
        <f t="shared" si="198"/>
        <v>0</v>
      </c>
      <c r="Q190" s="47">
        <f t="shared" ca="1" si="205"/>
        <v>28631900.087196477</v>
      </c>
      <c r="R190" s="47">
        <f>IFERROR(HLOOKUP(B190-1,'EV Forecast WRZ'!$F$124:$T$130,4,FALSE)/12,0)+IFERROR(((HLOOKUP(B190,'EV Forecast WRZ'!$F$116:$T$122,4,FALSE)-HLOOKUP(B190-1,'EV Forecast WRZ'!$F$124:$T$130,4,FALSE)))*C190/78,0)</f>
        <v>125924.50281805781</v>
      </c>
      <c r="S190" s="47">
        <f ca="1">HLOOKUP(B190,Heating!$R$102:$AD$106,5,FALSE)*INDEX(Weather!$BO$1:$CB$20,MATCH(B190,Weather!$BO$1:$BO$20,0),MATCH(C190,Weather!$BO$1:$CB$1,0))/VLOOKUP(B190,Weather!$BO$2:$CB$20,14,FALSE)</f>
        <v>21990.945256769966</v>
      </c>
      <c r="T190" s="47">
        <f t="shared" ca="1" si="213"/>
        <v>28779815.535271306</v>
      </c>
    </row>
    <row r="191" spans="1:20">
      <c r="A191" s="2">
        <f t="shared" si="199"/>
        <v>48152</v>
      </c>
      <c r="B191">
        <f t="shared" si="200"/>
        <v>2031</v>
      </c>
      <c r="C191">
        <f t="shared" si="201"/>
        <v>10</v>
      </c>
      <c r="E191" s="3">
        <f t="shared" ref="E191:F191" ca="1" si="234">E179</f>
        <v>126.20389492753625</v>
      </c>
      <c r="F191" s="3">
        <f t="shared" ca="1" si="234"/>
        <v>38.347916666666663</v>
      </c>
      <c r="G191" s="3">
        <f t="shared" si="203"/>
        <v>31</v>
      </c>
      <c r="I191">
        <f t="shared" si="204"/>
        <v>1</v>
      </c>
      <c r="K191" s="3">
        <f t="shared" si="193"/>
        <v>13824899.391279301</v>
      </c>
      <c r="L191" s="3">
        <f t="shared" ca="1" si="194"/>
        <v>973591.48393230501</v>
      </c>
      <c r="M191" s="3">
        <f t="shared" ca="1" si="195"/>
        <v>577545.47279744595</v>
      </c>
      <c r="N191" s="3">
        <f t="shared" si="196"/>
        <v>12808183.109129699</v>
      </c>
      <c r="O191" s="3">
        <f t="shared" si="197"/>
        <v>0</v>
      </c>
      <c r="P191" s="3">
        <f t="shared" si="198"/>
        <v>0</v>
      </c>
      <c r="Q191" s="47">
        <f t="shared" ca="1" si="205"/>
        <v>28184219.457138751</v>
      </c>
      <c r="R191" s="47">
        <f>IFERROR(HLOOKUP(B191-1,'EV Forecast WRZ'!$F$124:$T$130,4,FALSE)/12,0)+IFERROR(((HLOOKUP(B191,'EV Forecast WRZ'!$F$116:$T$122,4,FALSE)-HLOOKUP(B191-1,'EV Forecast WRZ'!$F$124:$T$130,4,FALSE)))*C191/78,0)</f>
        <v>127532.06351085707</v>
      </c>
      <c r="S191" s="47">
        <f ca="1">HLOOKUP(B191,Heating!$R$102:$AD$106,5,FALSE)*INDEX(Weather!$BO$1:$CB$20,MATCH(B191,Weather!$BO$1:$BO$20,0),MATCH(C191,Weather!$BO$1:$CB$1,0))/VLOOKUP(B191,Weather!$BO$2:$CB$20,14,FALSE)</f>
        <v>93849.202112364146</v>
      </c>
      <c r="T191" s="47">
        <f t="shared" ca="1" si="213"/>
        <v>28405600.722761974</v>
      </c>
    </row>
    <row r="192" spans="1:20">
      <c r="A192" s="2">
        <f t="shared" si="199"/>
        <v>48182</v>
      </c>
      <c r="B192">
        <f t="shared" si="200"/>
        <v>2031</v>
      </c>
      <c r="C192">
        <f t="shared" si="201"/>
        <v>11</v>
      </c>
      <c r="E192" s="3">
        <f t="shared" ref="E192:F192" ca="1" si="235">E180</f>
        <v>316.29533055712409</v>
      </c>
      <c r="F192" s="3">
        <f t="shared" ca="1" si="235"/>
        <v>1.9241666666666659</v>
      </c>
      <c r="G192" s="3">
        <f t="shared" si="203"/>
        <v>30</v>
      </c>
      <c r="I192">
        <f t="shared" si="204"/>
        <v>1</v>
      </c>
      <c r="K192" s="3">
        <f t="shared" si="193"/>
        <v>13824899.391279301</v>
      </c>
      <c r="L192" s="3">
        <f t="shared" ca="1" si="194"/>
        <v>2440039.1161840432</v>
      </c>
      <c r="M192" s="3">
        <f t="shared" ca="1" si="195"/>
        <v>28979.246953643771</v>
      </c>
      <c r="N192" s="3">
        <f t="shared" si="196"/>
        <v>12395015.912061</v>
      </c>
      <c r="O192" s="3">
        <f t="shared" si="197"/>
        <v>0</v>
      </c>
      <c r="P192" s="3">
        <f t="shared" si="198"/>
        <v>0</v>
      </c>
      <c r="Q192" s="47">
        <f t="shared" ca="1" si="205"/>
        <v>28688933.666477986</v>
      </c>
      <c r="R192" s="47">
        <f>IFERROR(HLOOKUP(B192-1,'EV Forecast WRZ'!$F$124:$T$130,4,FALSE)/12,0)+IFERROR(((HLOOKUP(B192,'EV Forecast WRZ'!$F$116:$T$122,4,FALSE)-HLOOKUP(B192-1,'EV Forecast WRZ'!$F$124:$T$130,4,FALSE)))*C192/78,0)</f>
        <v>129139.62420365633</v>
      </c>
      <c r="S192" s="47">
        <f ca="1">HLOOKUP(B192,Heating!$R$102:$AD$106,5,FALSE)*INDEX(Weather!$BO$1:$CB$20,MATCH(B192,Weather!$BO$1:$BO$20,0),MATCH(C192,Weather!$BO$1:$CB$1,0))/VLOOKUP(B192,Weather!$BO$2:$CB$20,14,FALSE)</f>
        <v>176012.61820766408</v>
      </c>
      <c r="T192" s="47">
        <f t="shared" ca="1" si="213"/>
        <v>28994085.908889305</v>
      </c>
    </row>
    <row r="193" spans="1:20">
      <c r="A193" s="2">
        <f t="shared" si="199"/>
        <v>48213</v>
      </c>
      <c r="B193">
        <f t="shared" si="200"/>
        <v>2031</v>
      </c>
      <c r="C193">
        <f t="shared" si="201"/>
        <v>12</v>
      </c>
      <c r="E193" s="3">
        <f t="shared" ref="E193:F193" ca="1" si="236">E181</f>
        <v>478.38541666666663</v>
      </c>
      <c r="F193" s="3">
        <f t="shared" ca="1" si="236"/>
        <v>0</v>
      </c>
      <c r="G193" s="3">
        <f t="shared" si="203"/>
        <v>31</v>
      </c>
      <c r="I193">
        <f t="shared" si="204"/>
        <v>0</v>
      </c>
      <c r="K193" s="3">
        <f t="shared" si="193"/>
        <v>13824899.391279301</v>
      </c>
      <c r="L193" s="3">
        <f t="shared" ca="1" si="194"/>
        <v>3690472.2153900201</v>
      </c>
      <c r="M193" s="3">
        <f t="shared" ca="1" si="195"/>
        <v>0</v>
      </c>
      <c r="N193" s="3">
        <f t="shared" si="196"/>
        <v>12808183.109129699</v>
      </c>
      <c r="O193" s="3">
        <f t="shared" si="197"/>
        <v>0</v>
      </c>
      <c r="P193" s="3">
        <f t="shared" si="198"/>
        <v>0</v>
      </c>
      <c r="Q193" s="47">
        <f t="shared" ca="1" si="205"/>
        <v>30323554.715799019</v>
      </c>
      <c r="R193" s="47">
        <f>IFERROR(HLOOKUP(B193-1,'EV Forecast WRZ'!$F$124:$T$130,4,FALSE)/12,0)+IFERROR(((HLOOKUP(B193,'EV Forecast WRZ'!$F$116:$T$122,4,FALSE)-HLOOKUP(B193-1,'EV Forecast WRZ'!$F$124:$T$130,4,FALSE)))*C193/78,0)</f>
        <v>130747.18489645561</v>
      </c>
      <c r="S193" s="47">
        <f ca="1">HLOOKUP(B193,Heating!$R$102:$AD$106,5,FALSE)*INDEX(Weather!$BO$1:$CB$20,MATCH(B193,Weather!$BO$1:$BO$20,0),MATCH(C193,Weather!$BO$1:$CB$1,0))/VLOOKUP(B193,Weather!$BO$2:$CB$20,14,FALSE)</f>
        <v>243453.5164098044</v>
      </c>
      <c r="T193" s="47">
        <f ca="1">Q193+R193+S193</f>
        <v>30697755.417105276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8C6F8-E6B5-4D1F-A38A-4248B5BB7C87}">
  <sheetPr codeName="Sheet36">
    <tabColor theme="7" tint="0.79998168889431442"/>
  </sheetPr>
  <dimension ref="A1:V193"/>
  <sheetViews>
    <sheetView workbookViewId="0">
      <selection activeCell="N26" sqref="N26"/>
    </sheetView>
  </sheetViews>
  <sheetFormatPr defaultRowHeight="14.5"/>
  <cols>
    <col min="4" max="4" width="24.81640625" customWidth="1"/>
    <col min="6" max="7" width="10.453125" style="3" customWidth="1"/>
    <col min="8" max="8" width="8.81640625" customWidth="1"/>
    <col min="9" max="9" width="13.81640625" bestFit="1" customWidth="1"/>
    <col min="10" max="11" width="11.1796875" bestFit="1" customWidth="1"/>
    <col min="12" max="12" width="11.1796875" customWidth="1"/>
    <col min="13" max="15" width="12.54296875" customWidth="1"/>
    <col min="18" max="18" width="26.453125" customWidth="1"/>
    <col min="19" max="19" width="13.81640625" bestFit="1" customWidth="1"/>
    <col min="20" max="20" width="12.81640625" bestFit="1" customWidth="1"/>
    <col min="21" max="21" width="13.81640625" bestFit="1" customWidth="1"/>
    <col min="22" max="22" width="8.81640625" bestFit="1" customWidth="1"/>
  </cols>
  <sheetData>
    <row r="1" spans="1:22">
      <c r="A1" s="541" t="str">
        <f>'Monthly Data'!A1</f>
        <v>Date</v>
      </c>
      <c r="B1" s="541" t="str">
        <f>'Monthly Data'!B1</f>
        <v>Year</v>
      </c>
      <c r="C1" s="541" t="str">
        <f>'Monthly Data'!C1</f>
        <v>Month</v>
      </c>
      <c r="D1" s="541" t="str">
        <f>'Monthly Data'!BW1</f>
        <v>WRZ_GS3000to4999kWh_No_CDM</v>
      </c>
      <c r="E1" s="542" t="str">
        <f>'Monthly Data'!DQ1</f>
        <v>Month Days</v>
      </c>
      <c r="F1" s="542" t="str">
        <f>'Monthly Data'!CJ1</f>
        <v>WRZ_GS3000-4999Customers</v>
      </c>
      <c r="G1" s="542" t="str">
        <f>'Monthly Data'!ED1</f>
        <v>Dec</v>
      </c>
      <c r="H1" s="543"/>
      <c r="I1" s="543" t="str">
        <f>R8</f>
        <v>const</v>
      </c>
      <c r="J1" s="541" t="str">
        <f>E1</f>
        <v>Month Days</v>
      </c>
      <c r="K1" s="541" t="str">
        <f>F1</f>
        <v>WRZ_GS3000-4999Customers</v>
      </c>
      <c r="L1" s="541" t="str">
        <f>G1</f>
        <v>Dec</v>
      </c>
      <c r="M1" s="541" t="s">
        <v>610</v>
      </c>
      <c r="N1" s="541" t="s">
        <v>332</v>
      </c>
      <c r="O1" s="541" t="s">
        <v>619</v>
      </c>
    </row>
    <row r="2" spans="1:22">
      <c r="A2" s="2">
        <f>'Monthly Data'!A2</f>
        <v>42370</v>
      </c>
      <c r="B2">
        <f>'Monthly Data'!B2</f>
        <v>2016</v>
      </c>
      <c r="C2">
        <f>'Monthly Data'!C2</f>
        <v>1</v>
      </c>
      <c r="D2" s="3">
        <f>'Monthly Data'!BW2</f>
        <v>5141689.2920646761</v>
      </c>
      <c r="E2" s="3">
        <f>'Monthly Data'!DQ2</f>
        <v>31</v>
      </c>
      <c r="F2" s="3">
        <f>'Monthly Data'!CJ2</f>
        <v>2</v>
      </c>
      <c r="G2" s="3">
        <f>'Monthly Data'!ED2</f>
        <v>0</v>
      </c>
      <c r="I2" s="3">
        <f t="shared" ref="I2:I33" si="0">$S$8</f>
        <v>-5182660.36787258</v>
      </c>
      <c r="J2" s="3">
        <f t="shared" ref="J2:J33" si="1">E2*$S$9</f>
        <v>5746871.2725865664</v>
      </c>
      <c r="K2" s="3">
        <f t="shared" ref="K2:K33" si="2">F2*$S$10</f>
        <v>4608785.2412954001</v>
      </c>
      <c r="L2" s="3">
        <f t="shared" ref="L2:L33" si="3">G2*$S$11</f>
        <v>0</v>
      </c>
      <c r="M2" s="47">
        <f t="shared" ref="M2:M42" si="4">SUM(I2:L2)</f>
        <v>5172996.1460093865</v>
      </c>
      <c r="N2" s="47">
        <f>'Monthly Data'!BX2</f>
        <v>0</v>
      </c>
      <c r="O2" s="47">
        <f t="shared" ref="O2:O42" si="5">M2+N2</f>
        <v>5172996.1460093865</v>
      </c>
    </row>
    <row r="3" spans="1:22">
      <c r="A3" s="2">
        <f>'Monthly Data'!A3</f>
        <v>42401</v>
      </c>
      <c r="B3">
        <f>'Monthly Data'!B3</f>
        <v>2016</v>
      </c>
      <c r="C3">
        <f>'Monthly Data'!C3</f>
        <v>2</v>
      </c>
      <c r="D3" s="3">
        <f>'Monthly Data'!BW3</f>
        <v>4809699.1898330748</v>
      </c>
      <c r="E3" s="3">
        <f>'Monthly Data'!DQ3</f>
        <v>29</v>
      </c>
      <c r="F3" s="3">
        <f>'Monthly Data'!CJ3</f>
        <v>2</v>
      </c>
      <c r="G3" s="3">
        <f>'Monthly Data'!ED3</f>
        <v>0</v>
      </c>
      <c r="I3" s="3">
        <f t="shared" si="0"/>
        <v>-5182660.36787258</v>
      </c>
      <c r="J3" s="3">
        <f t="shared" si="1"/>
        <v>5376105.384032594</v>
      </c>
      <c r="K3" s="3">
        <f t="shared" si="2"/>
        <v>4608785.2412954001</v>
      </c>
      <c r="L3" s="3">
        <f t="shared" si="3"/>
        <v>0</v>
      </c>
      <c r="M3" s="47">
        <f t="shared" si="4"/>
        <v>4802230.2574554142</v>
      </c>
      <c r="N3" s="47">
        <f>'Monthly Data'!BX3</f>
        <v>0</v>
      </c>
      <c r="O3" s="47">
        <f t="shared" si="5"/>
        <v>4802230.2574554142</v>
      </c>
      <c r="R3" t="s">
        <v>632</v>
      </c>
    </row>
    <row r="4" spans="1:22">
      <c r="A4" s="2">
        <f>'Monthly Data'!A4</f>
        <v>42430</v>
      </c>
      <c r="B4">
        <f>'Monthly Data'!B4</f>
        <v>2016</v>
      </c>
      <c r="C4">
        <f>'Monthly Data'!C4</f>
        <v>3</v>
      </c>
      <c r="D4" s="3">
        <f>'Monthly Data'!BW4</f>
        <v>5130404.1213526772</v>
      </c>
      <c r="E4" s="3">
        <f>'Monthly Data'!DQ4</f>
        <v>31</v>
      </c>
      <c r="F4" s="3">
        <f>'Monthly Data'!CJ4</f>
        <v>2</v>
      </c>
      <c r="G4" s="3">
        <f>'Monthly Data'!ED4</f>
        <v>0</v>
      </c>
      <c r="I4" s="3">
        <f t="shared" si="0"/>
        <v>-5182660.36787258</v>
      </c>
      <c r="J4" s="3">
        <f t="shared" si="1"/>
        <v>5746871.2725865664</v>
      </c>
      <c r="K4" s="3">
        <f t="shared" si="2"/>
        <v>4608785.2412954001</v>
      </c>
      <c r="L4" s="3">
        <f t="shared" si="3"/>
        <v>0</v>
      </c>
      <c r="M4" s="47">
        <f t="shared" si="4"/>
        <v>5172996.1460093865</v>
      </c>
      <c r="N4" s="47">
        <f>'Monthly Data'!BX4</f>
        <v>0</v>
      </c>
      <c r="O4" s="47">
        <f t="shared" si="5"/>
        <v>5172996.1460093865</v>
      </c>
      <c r="R4" t="s">
        <v>633</v>
      </c>
    </row>
    <row r="5" spans="1:22">
      <c r="A5" s="2">
        <f>'Monthly Data'!A5</f>
        <v>42461</v>
      </c>
      <c r="B5">
        <f>'Monthly Data'!B5</f>
        <v>2016</v>
      </c>
      <c r="C5">
        <f>'Monthly Data'!C5</f>
        <v>4</v>
      </c>
      <c r="D5" s="3">
        <f>'Monthly Data'!BW5</f>
        <v>5035884.4723515455</v>
      </c>
      <c r="E5" s="3">
        <f>'Monthly Data'!DQ5</f>
        <v>30</v>
      </c>
      <c r="F5" s="3">
        <f>'Monthly Data'!CJ5</f>
        <v>2</v>
      </c>
      <c r="G5" s="3">
        <f>'Monthly Data'!ED5</f>
        <v>0</v>
      </c>
      <c r="I5" s="3">
        <f t="shared" si="0"/>
        <v>-5182660.36787258</v>
      </c>
      <c r="J5" s="3">
        <f t="shared" si="1"/>
        <v>5561488.3283095798</v>
      </c>
      <c r="K5" s="3">
        <f t="shared" si="2"/>
        <v>4608785.2412954001</v>
      </c>
      <c r="L5" s="3">
        <f t="shared" si="3"/>
        <v>0</v>
      </c>
      <c r="M5" s="47">
        <f t="shared" si="4"/>
        <v>4987613.2017323999</v>
      </c>
      <c r="N5" s="47">
        <f>'Monthly Data'!BX5</f>
        <v>0</v>
      </c>
      <c r="O5" s="47">
        <f t="shared" si="5"/>
        <v>4987613.2017323999</v>
      </c>
      <c r="R5" t="s">
        <v>634</v>
      </c>
    </row>
    <row r="6" spans="1:22">
      <c r="A6" s="2">
        <f>'Monthly Data'!A6</f>
        <v>42491</v>
      </c>
      <c r="B6">
        <f>'Monthly Data'!B6</f>
        <v>2016</v>
      </c>
      <c r="C6">
        <f>'Monthly Data'!C6</f>
        <v>5</v>
      </c>
      <c r="D6" s="3">
        <f>'Monthly Data'!BW6</f>
        <v>5183993.704739036</v>
      </c>
      <c r="E6" s="3">
        <f>'Monthly Data'!DQ6</f>
        <v>31</v>
      </c>
      <c r="F6" s="3">
        <f>'Monthly Data'!CJ6</f>
        <v>2</v>
      </c>
      <c r="G6" s="3">
        <f>'Monthly Data'!ED6</f>
        <v>0</v>
      </c>
      <c r="I6" s="3">
        <f t="shared" si="0"/>
        <v>-5182660.36787258</v>
      </c>
      <c r="J6" s="3">
        <f t="shared" si="1"/>
        <v>5746871.2725865664</v>
      </c>
      <c r="K6" s="3">
        <f t="shared" si="2"/>
        <v>4608785.2412954001</v>
      </c>
      <c r="L6" s="3">
        <f t="shared" si="3"/>
        <v>0</v>
      </c>
      <c r="M6" s="47">
        <f t="shared" si="4"/>
        <v>5172996.1460093865</v>
      </c>
      <c r="N6" s="47">
        <f>'Monthly Data'!BX6</f>
        <v>0</v>
      </c>
      <c r="O6" s="47">
        <f t="shared" si="5"/>
        <v>5172996.1460093865</v>
      </c>
    </row>
    <row r="7" spans="1:22">
      <c r="A7" s="2">
        <f>'Monthly Data'!A7</f>
        <v>42522</v>
      </c>
      <c r="B7">
        <f>'Monthly Data'!B7</f>
        <v>2016</v>
      </c>
      <c r="C7">
        <f>'Monthly Data'!C7</f>
        <v>6</v>
      </c>
      <c r="D7" s="3">
        <f>'Monthly Data'!BW7</f>
        <v>5038786.8233367484</v>
      </c>
      <c r="E7" s="3">
        <f>'Monthly Data'!DQ7</f>
        <v>30</v>
      </c>
      <c r="F7" s="3">
        <f>'Monthly Data'!CJ7</f>
        <v>2</v>
      </c>
      <c r="G7" s="3">
        <f>'Monthly Data'!ED7</f>
        <v>0</v>
      </c>
      <c r="I7" s="3">
        <f t="shared" si="0"/>
        <v>-5182660.36787258</v>
      </c>
      <c r="J7" s="3">
        <f t="shared" si="1"/>
        <v>5561488.3283095798</v>
      </c>
      <c r="K7" s="3">
        <f t="shared" si="2"/>
        <v>4608785.2412954001</v>
      </c>
      <c r="L7" s="3">
        <f t="shared" si="3"/>
        <v>0</v>
      </c>
      <c r="M7" s="47">
        <f t="shared" si="4"/>
        <v>4987613.2017323999</v>
      </c>
      <c r="N7" s="47">
        <f>'Monthly Data'!BX7</f>
        <v>0</v>
      </c>
      <c r="O7" s="47">
        <f t="shared" si="5"/>
        <v>4987613.2017323999</v>
      </c>
      <c r="S7" t="s">
        <v>300</v>
      </c>
      <c r="T7" t="s">
        <v>301</v>
      </c>
      <c r="U7" t="s">
        <v>302</v>
      </c>
      <c r="V7" t="s">
        <v>303</v>
      </c>
    </row>
    <row r="8" spans="1:22">
      <c r="A8" s="2">
        <f>'Monthly Data'!A8</f>
        <v>42552</v>
      </c>
      <c r="B8">
        <f>'Monthly Data'!B8</f>
        <v>2016</v>
      </c>
      <c r="C8">
        <f>'Monthly Data'!C8</f>
        <v>7</v>
      </c>
      <c r="D8" s="3">
        <f>'Monthly Data'!BW8</f>
        <v>5334136.6439595334</v>
      </c>
      <c r="E8" s="3">
        <f>'Monthly Data'!DQ8</f>
        <v>31</v>
      </c>
      <c r="F8" s="3">
        <f>'Monthly Data'!CJ8</f>
        <v>2</v>
      </c>
      <c r="G8" s="3">
        <f>'Monthly Data'!ED8</f>
        <v>0</v>
      </c>
      <c r="I8" s="3">
        <f t="shared" si="0"/>
        <v>-5182660.36787258</v>
      </c>
      <c r="J8" s="3">
        <f t="shared" si="1"/>
        <v>5746871.2725865664</v>
      </c>
      <c r="K8" s="3">
        <f t="shared" si="2"/>
        <v>4608785.2412954001</v>
      </c>
      <c r="L8" s="3">
        <f t="shared" si="3"/>
        <v>0</v>
      </c>
      <c r="M8" s="47">
        <f t="shared" si="4"/>
        <v>5172996.1460093865</v>
      </c>
      <c r="N8" s="47">
        <f>'Monthly Data'!BX8</f>
        <v>0</v>
      </c>
      <c r="O8" s="47">
        <f t="shared" si="5"/>
        <v>5172996.1460093865</v>
      </c>
      <c r="R8" t="s">
        <v>304</v>
      </c>
      <c r="S8" s="436">
        <f>'WRZ GS 3,000-4,999'!U8</f>
        <v>-5182660.36787258</v>
      </c>
      <c r="T8" s="3">
        <f>'WRZ GS 3,000-4,999'!V8</f>
        <v>881968.17224075401</v>
      </c>
      <c r="U8" s="235">
        <f>'WRZ GS 3,000-4,999'!W8</f>
        <v>-5.8762442126515397</v>
      </c>
      <c r="V8" s="245">
        <f>'WRZ GS 3,000-4,999'!X8</f>
        <v>4.10460740519867E-8</v>
      </c>
    </row>
    <row r="9" spans="1:22">
      <c r="A9" s="2">
        <f>'Monthly Data'!A9</f>
        <v>42583</v>
      </c>
      <c r="B9">
        <f>'Monthly Data'!B9</f>
        <v>2016</v>
      </c>
      <c r="C9">
        <f>'Monthly Data'!C9</f>
        <v>8</v>
      </c>
      <c r="D9" s="3">
        <f>'Monthly Data'!BW9</f>
        <v>5472457.9399921549</v>
      </c>
      <c r="E9" s="3">
        <f>'Monthly Data'!DQ9</f>
        <v>31</v>
      </c>
      <c r="F9" s="3">
        <f>'Monthly Data'!CJ9</f>
        <v>2</v>
      </c>
      <c r="G9" s="3">
        <f>'Monthly Data'!ED9</f>
        <v>0</v>
      </c>
      <c r="I9" s="3">
        <f t="shared" si="0"/>
        <v>-5182660.36787258</v>
      </c>
      <c r="J9" s="3">
        <f t="shared" si="1"/>
        <v>5746871.2725865664</v>
      </c>
      <c r="K9" s="3">
        <f t="shared" si="2"/>
        <v>4608785.2412954001</v>
      </c>
      <c r="L9" s="3">
        <f t="shared" si="3"/>
        <v>0</v>
      </c>
      <c r="M9" s="47">
        <f t="shared" si="4"/>
        <v>5172996.1460093865</v>
      </c>
      <c r="N9" s="47">
        <f>'Monthly Data'!BX9</f>
        <v>0</v>
      </c>
      <c r="O9" s="47">
        <f t="shared" si="5"/>
        <v>5172996.1460093865</v>
      </c>
      <c r="R9" t="s">
        <v>305</v>
      </c>
      <c r="S9" s="3">
        <f>'WRZ GS 3,000-4,999'!U9</f>
        <v>185382.944276986</v>
      </c>
      <c r="T9" s="3">
        <f>'WRZ GS 3,000-4,999'!V9</f>
        <v>23844.0123094191</v>
      </c>
      <c r="U9" s="235">
        <f>'WRZ GS 3,000-4,999'!W9</f>
        <v>7.7748216982656997</v>
      </c>
      <c r="V9" s="245">
        <f>'WRZ GS 3,000-4,999'!X9</f>
        <v>3.3838046773107501E-12</v>
      </c>
    </row>
    <row r="10" spans="1:22">
      <c r="A10" s="2">
        <f>'Monthly Data'!A10</f>
        <v>42614</v>
      </c>
      <c r="B10">
        <f>'Monthly Data'!B10</f>
        <v>2016</v>
      </c>
      <c r="C10">
        <f>'Monthly Data'!C10</f>
        <v>9</v>
      </c>
      <c r="D10" s="3">
        <f>'Monthly Data'!BW10</f>
        <v>5238661.4443179285</v>
      </c>
      <c r="E10" s="3">
        <f>'Monthly Data'!DQ10</f>
        <v>30</v>
      </c>
      <c r="F10" s="3">
        <f>'Monthly Data'!CJ10</f>
        <v>2</v>
      </c>
      <c r="G10" s="3">
        <f>'Monthly Data'!ED10</f>
        <v>0</v>
      </c>
      <c r="I10" s="3">
        <f t="shared" si="0"/>
        <v>-5182660.36787258</v>
      </c>
      <c r="J10" s="3">
        <f t="shared" si="1"/>
        <v>5561488.3283095798</v>
      </c>
      <c r="K10" s="3">
        <f t="shared" si="2"/>
        <v>4608785.2412954001</v>
      </c>
      <c r="L10" s="3">
        <f t="shared" si="3"/>
        <v>0</v>
      </c>
      <c r="M10" s="47">
        <f t="shared" si="4"/>
        <v>4987613.2017323999</v>
      </c>
      <c r="N10" s="47">
        <f>'Monthly Data'!BX10</f>
        <v>0</v>
      </c>
      <c r="O10" s="47">
        <f t="shared" si="5"/>
        <v>4987613.2017323999</v>
      </c>
      <c r="R10" t="s">
        <v>361</v>
      </c>
      <c r="S10" s="436">
        <f>'WRZ GS 3,000-4,999'!U10</f>
        <v>2304392.6206477</v>
      </c>
      <c r="T10" s="3">
        <f>'WRZ GS 3,000-4,999'!V10</f>
        <v>179978.3221475</v>
      </c>
      <c r="U10" s="235">
        <f>'WRZ GS 3,000-4,999'!W10</f>
        <v>12.803723210393899</v>
      </c>
      <c r="V10" s="245">
        <f>'WRZ GS 3,000-4,999'!X10</f>
        <v>6.18894740207189E-24</v>
      </c>
    </row>
    <row r="11" spans="1:22">
      <c r="A11" s="2">
        <f>'Monthly Data'!A11</f>
        <v>42644</v>
      </c>
      <c r="B11">
        <f>'Monthly Data'!B11</f>
        <v>2016</v>
      </c>
      <c r="C11">
        <f>'Monthly Data'!C11</f>
        <v>10</v>
      </c>
      <c r="D11" s="3">
        <f>'Monthly Data'!BW11</f>
        <v>5260263.3382290453</v>
      </c>
      <c r="E11" s="3">
        <f>'Monthly Data'!DQ11</f>
        <v>31</v>
      </c>
      <c r="F11" s="3">
        <f>'Monthly Data'!CJ11</f>
        <v>2</v>
      </c>
      <c r="G11" s="3">
        <f>'Monthly Data'!ED11</f>
        <v>0</v>
      </c>
      <c r="I11" s="3">
        <f t="shared" si="0"/>
        <v>-5182660.36787258</v>
      </c>
      <c r="J11" s="3">
        <f t="shared" si="1"/>
        <v>5746871.2725865664</v>
      </c>
      <c r="K11" s="3">
        <f t="shared" si="2"/>
        <v>4608785.2412954001</v>
      </c>
      <c r="L11" s="3">
        <f t="shared" si="3"/>
        <v>0</v>
      </c>
      <c r="M11" s="47">
        <f t="shared" si="4"/>
        <v>5172996.1460093865</v>
      </c>
      <c r="N11" s="47">
        <f>'Monthly Data'!BX11</f>
        <v>0</v>
      </c>
      <c r="O11" s="47">
        <f t="shared" si="5"/>
        <v>5172996.1460093865</v>
      </c>
      <c r="R11" s="436" t="str">
        <f>'WRZ GS 3,000-4,999'!T11</f>
        <v>Dec</v>
      </c>
      <c r="S11" s="436">
        <f>'WRZ GS 3,000-4,999'!U11</f>
        <v>-145191.56089796999</v>
      </c>
      <c r="T11" s="3">
        <f>'WRZ GS 3,000-4,999'!V11</f>
        <v>81370.179182195294</v>
      </c>
      <c r="U11" s="235">
        <f>'WRZ GS 3,000-4,999'!W11</f>
        <v>-1.78433379841616</v>
      </c>
      <c r="V11" s="245">
        <f>'WRZ GS 3,000-4,999'!X11</f>
        <v>7.6983674702275698E-2</v>
      </c>
    </row>
    <row r="12" spans="1:22">
      <c r="A12" s="2">
        <f>'Monthly Data'!A12</f>
        <v>42675</v>
      </c>
      <c r="B12">
        <f>'Monthly Data'!B12</f>
        <v>2016</v>
      </c>
      <c r="C12">
        <f>'Monthly Data'!C12</f>
        <v>11</v>
      </c>
      <c r="D12" s="3">
        <f>'Monthly Data'!BW12</f>
        <v>4992603.8049463341</v>
      </c>
      <c r="E12" s="3">
        <f>'Monthly Data'!DQ12</f>
        <v>30</v>
      </c>
      <c r="F12" s="3">
        <f>'Monthly Data'!CJ12</f>
        <v>2</v>
      </c>
      <c r="G12" s="3">
        <f>'Monthly Data'!ED12</f>
        <v>0</v>
      </c>
      <c r="I12" s="3">
        <f t="shared" si="0"/>
        <v>-5182660.36787258</v>
      </c>
      <c r="J12" s="3">
        <f t="shared" si="1"/>
        <v>5561488.3283095798</v>
      </c>
      <c r="K12" s="3">
        <f t="shared" si="2"/>
        <v>4608785.2412954001</v>
      </c>
      <c r="L12" s="3">
        <f t="shared" si="3"/>
        <v>0</v>
      </c>
      <c r="M12" s="47">
        <f t="shared" si="4"/>
        <v>4987613.2017323999</v>
      </c>
      <c r="N12" s="47">
        <f>'Monthly Data'!BX12</f>
        <v>0</v>
      </c>
      <c r="O12" s="47">
        <f t="shared" si="5"/>
        <v>4987613.2017323999</v>
      </c>
      <c r="V12" s="100"/>
    </row>
    <row r="13" spans="1:22">
      <c r="A13" s="2">
        <f>'Monthly Data'!A13</f>
        <v>42705</v>
      </c>
      <c r="B13">
        <f>'Monthly Data'!B13</f>
        <v>2016</v>
      </c>
      <c r="C13">
        <f>'Monthly Data'!C13</f>
        <v>12</v>
      </c>
      <c r="D13" s="3">
        <f>'Monthly Data'!BW13</f>
        <v>4898980.9351158887</v>
      </c>
      <c r="E13" s="3">
        <f>'Monthly Data'!DQ13</f>
        <v>31</v>
      </c>
      <c r="F13" s="3">
        <f>'Monthly Data'!CJ13</f>
        <v>2</v>
      </c>
      <c r="G13" s="3">
        <f>'Monthly Data'!ED13</f>
        <v>1</v>
      </c>
      <c r="I13" s="3">
        <f t="shared" si="0"/>
        <v>-5182660.36787258</v>
      </c>
      <c r="J13" s="3">
        <f t="shared" si="1"/>
        <v>5746871.2725865664</v>
      </c>
      <c r="K13" s="3">
        <f t="shared" si="2"/>
        <v>4608785.2412954001</v>
      </c>
      <c r="L13" s="3">
        <f t="shared" si="3"/>
        <v>-145191.56089796999</v>
      </c>
      <c r="M13" s="47">
        <f t="shared" si="4"/>
        <v>5027804.5851114169</v>
      </c>
      <c r="N13" s="47">
        <f>'Monthly Data'!BX13</f>
        <v>0</v>
      </c>
      <c r="O13" s="47">
        <f t="shared" si="5"/>
        <v>5027804.5851114169</v>
      </c>
      <c r="R13" t="s">
        <v>306</v>
      </c>
      <c r="S13" s="3"/>
      <c r="T13" s="3"/>
      <c r="U13" s="235"/>
      <c r="V13" s="100"/>
    </row>
    <row r="14" spans="1:22">
      <c r="A14" s="2">
        <f>'Monthly Data'!A14</f>
        <v>42736</v>
      </c>
      <c r="B14">
        <f>'Monthly Data'!B14</f>
        <v>2017</v>
      </c>
      <c r="C14">
        <f>'Monthly Data'!C14</f>
        <v>1</v>
      </c>
      <c r="D14" s="3">
        <f>'Monthly Data'!BW14</f>
        <v>5119997.4039993146</v>
      </c>
      <c r="E14" s="3">
        <f>'Monthly Data'!DQ14</f>
        <v>31</v>
      </c>
      <c r="F14" s="3">
        <f>'Monthly Data'!CJ14</f>
        <v>2</v>
      </c>
      <c r="G14" s="3">
        <f>'Monthly Data'!ED14</f>
        <v>0</v>
      </c>
      <c r="I14" s="3">
        <f t="shared" si="0"/>
        <v>-5182660.36787258</v>
      </c>
      <c r="J14" s="3">
        <f t="shared" si="1"/>
        <v>5746871.2725865664</v>
      </c>
      <c r="K14" s="3">
        <f t="shared" si="2"/>
        <v>4608785.2412954001</v>
      </c>
      <c r="L14" s="3">
        <f t="shared" si="3"/>
        <v>0</v>
      </c>
      <c r="M14" s="47">
        <f t="shared" si="4"/>
        <v>5172996.1460093865</v>
      </c>
      <c r="N14" s="47">
        <f>'Monthly Data'!BX14</f>
        <v>13.949153846153845</v>
      </c>
      <c r="O14" s="47">
        <f t="shared" si="5"/>
        <v>5173010.0951632326</v>
      </c>
      <c r="R14" t="s">
        <v>307</v>
      </c>
      <c r="S14" s="3">
        <v>10623798842006.301</v>
      </c>
      <c r="T14" s="3" t="s">
        <v>308</v>
      </c>
      <c r="U14" s="235">
        <v>301333.20345479198</v>
      </c>
      <c r="V14" s="100"/>
    </row>
    <row r="15" spans="1:22">
      <c r="A15" s="2">
        <f>'Monthly Data'!A15</f>
        <v>42767</v>
      </c>
      <c r="B15">
        <f>'Monthly Data'!B15</f>
        <v>2017</v>
      </c>
      <c r="C15">
        <f>'Monthly Data'!C15</f>
        <v>2</v>
      </c>
      <c r="D15" s="3">
        <f>'Monthly Data'!BW15</f>
        <v>4601619.7228876669</v>
      </c>
      <c r="E15" s="3">
        <f>'Monthly Data'!DQ15</f>
        <v>28</v>
      </c>
      <c r="F15" s="3">
        <f>'Monthly Data'!CJ15</f>
        <v>2</v>
      </c>
      <c r="G15" s="3">
        <f>'Monthly Data'!ED15</f>
        <v>0</v>
      </c>
      <c r="I15" s="3">
        <f t="shared" si="0"/>
        <v>-5182660.36787258</v>
      </c>
      <c r="J15" s="3">
        <f t="shared" si="1"/>
        <v>5190722.4397556083</v>
      </c>
      <c r="K15" s="3">
        <f t="shared" si="2"/>
        <v>4608785.2412954001</v>
      </c>
      <c r="L15" s="3">
        <f t="shared" si="3"/>
        <v>0</v>
      </c>
      <c r="M15" s="47">
        <f t="shared" si="4"/>
        <v>4616847.3131784284</v>
      </c>
      <c r="N15" s="47">
        <f>'Monthly Data'!BX15</f>
        <v>27.898307692307689</v>
      </c>
      <c r="O15" s="47">
        <f t="shared" si="5"/>
        <v>4616875.2114861207</v>
      </c>
      <c r="R15" t="s">
        <v>309</v>
      </c>
      <c r="S15" s="3">
        <v>0.93572289545600396</v>
      </c>
      <c r="T15" s="3" t="s">
        <v>310</v>
      </c>
      <c r="U15" s="235">
        <v>0.93462414153217499</v>
      </c>
      <c r="V15" s="100"/>
    </row>
    <row r="16" spans="1:22">
      <c r="A16" s="2">
        <f>'Monthly Data'!A16</f>
        <v>42795</v>
      </c>
      <c r="B16">
        <f>'Monthly Data'!B16</f>
        <v>2017</v>
      </c>
      <c r="C16">
        <f>'Monthly Data'!C16</f>
        <v>3</v>
      </c>
      <c r="D16" s="3">
        <f>'Monthly Data'!BW16</f>
        <v>5259281.1449582772</v>
      </c>
      <c r="E16" s="3">
        <f>'Monthly Data'!DQ16</f>
        <v>31</v>
      </c>
      <c r="F16" s="3">
        <f>'Monthly Data'!CJ16</f>
        <v>2</v>
      </c>
      <c r="G16" s="3">
        <f>'Monthly Data'!ED16</f>
        <v>0</v>
      </c>
      <c r="I16" s="3">
        <f t="shared" si="0"/>
        <v>-5182660.36787258</v>
      </c>
      <c r="J16" s="3">
        <f t="shared" si="1"/>
        <v>5746871.2725865664</v>
      </c>
      <c r="K16" s="3">
        <f t="shared" si="2"/>
        <v>4608785.2412954001</v>
      </c>
      <c r="L16" s="3">
        <f t="shared" si="3"/>
        <v>0</v>
      </c>
      <c r="M16" s="47">
        <f t="shared" si="4"/>
        <v>5172996.1460093865</v>
      </c>
      <c r="N16" s="47">
        <f>'Monthly Data'!BX16</f>
        <v>41.847461538461538</v>
      </c>
      <c r="O16" s="47">
        <f t="shared" si="5"/>
        <v>5173037.9934709249</v>
      </c>
      <c r="R16" t="s">
        <v>338</v>
      </c>
      <c r="S16" s="3">
        <v>146.77894849529201</v>
      </c>
      <c r="T16" s="3" t="s">
        <v>312</v>
      </c>
      <c r="U16" s="235">
        <v>1.2778207054076501E-32</v>
      </c>
    </row>
    <row r="17" spans="1:21">
      <c r="A17" s="2">
        <f>'Monthly Data'!A17</f>
        <v>42826</v>
      </c>
      <c r="B17">
        <f>'Monthly Data'!B17</f>
        <v>2017</v>
      </c>
      <c r="C17">
        <f>'Monthly Data'!C17</f>
        <v>4</v>
      </c>
      <c r="D17" s="3">
        <f>'Monthly Data'!BW17</f>
        <v>5084683.9074339001</v>
      </c>
      <c r="E17" s="3">
        <f>'Monthly Data'!DQ17</f>
        <v>30</v>
      </c>
      <c r="F17" s="3">
        <f>'Monthly Data'!CJ17</f>
        <v>2</v>
      </c>
      <c r="G17" s="3">
        <f>'Monthly Data'!ED17</f>
        <v>0</v>
      </c>
      <c r="I17" s="3">
        <f t="shared" si="0"/>
        <v>-5182660.36787258</v>
      </c>
      <c r="J17" s="3">
        <f t="shared" si="1"/>
        <v>5561488.3283095798</v>
      </c>
      <c r="K17" s="3">
        <f t="shared" si="2"/>
        <v>4608785.2412954001</v>
      </c>
      <c r="L17" s="3">
        <f t="shared" si="3"/>
        <v>0</v>
      </c>
      <c r="M17" s="47">
        <f t="shared" si="4"/>
        <v>4987613.2017323999</v>
      </c>
      <c r="N17" s="47">
        <f>'Monthly Data'!BX17</f>
        <v>55.796615384615379</v>
      </c>
      <c r="O17" s="47">
        <f t="shared" si="5"/>
        <v>4987668.9983477844</v>
      </c>
      <c r="R17" t="s">
        <v>313</v>
      </c>
      <c r="S17">
        <v>-0.103745472293627</v>
      </c>
      <c r="T17" t="s">
        <v>314</v>
      </c>
      <c r="U17">
        <v>2.1566633614717001</v>
      </c>
    </row>
    <row r="18" spans="1:21">
      <c r="A18" s="2">
        <f>'Monthly Data'!A18</f>
        <v>42856</v>
      </c>
      <c r="B18">
        <f>'Monthly Data'!B18</f>
        <v>2017</v>
      </c>
      <c r="C18">
        <f>'Monthly Data'!C18</f>
        <v>5</v>
      </c>
      <c r="D18" s="3">
        <f>'Monthly Data'!BW18</f>
        <v>5243483.5551554263</v>
      </c>
      <c r="E18" s="3">
        <f>'Monthly Data'!DQ18</f>
        <v>31</v>
      </c>
      <c r="F18" s="3">
        <f>'Monthly Data'!CJ18</f>
        <v>2</v>
      </c>
      <c r="G18" s="3">
        <f>'Monthly Data'!ED18</f>
        <v>0</v>
      </c>
      <c r="I18" s="3">
        <f t="shared" si="0"/>
        <v>-5182660.36787258</v>
      </c>
      <c r="J18" s="3">
        <f t="shared" si="1"/>
        <v>5746871.2725865664</v>
      </c>
      <c r="K18" s="3">
        <f t="shared" si="2"/>
        <v>4608785.2412954001</v>
      </c>
      <c r="L18" s="3">
        <f t="shared" si="3"/>
        <v>0</v>
      </c>
      <c r="M18" s="47">
        <f t="shared" si="4"/>
        <v>5172996.1460093865</v>
      </c>
      <c r="N18" s="47">
        <f>'Monthly Data'!BX18</f>
        <v>69.745769230769227</v>
      </c>
      <c r="O18" s="47">
        <f t="shared" si="5"/>
        <v>5173065.8917786172</v>
      </c>
    </row>
    <row r="19" spans="1:21">
      <c r="A19" s="2">
        <f>'Monthly Data'!A19</f>
        <v>42887</v>
      </c>
      <c r="B19">
        <f>'Monthly Data'!B19</f>
        <v>2017</v>
      </c>
      <c r="C19">
        <f>'Monthly Data'!C19</f>
        <v>6</v>
      </c>
      <c r="D19" s="3">
        <f>'Monthly Data'!BW19</f>
        <v>5046822.5760688521</v>
      </c>
      <c r="E19" s="3">
        <f>'Monthly Data'!DQ19</f>
        <v>30</v>
      </c>
      <c r="F19" s="3">
        <f>'Monthly Data'!CJ19</f>
        <v>2</v>
      </c>
      <c r="G19" s="3">
        <f>'Monthly Data'!ED19</f>
        <v>0</v>
      </c>
      <c r="I19" s="3">
        <f t="shared" si="0"/>
        <v>-5182660.36787258</v>
      </c>
      <c r="J19" s="3">
        <f t="shared" si="1"/>
        <v>5561488.3283095798</v>
      </c>
      <c r="K19" s="3">
        <f t="shared" si="2"/>
        <v>4608785.2412954001</v>
      </c>
      <c r="L19" s="3">
        <f t="shared" si="3"/>
        <v>0</v>
      </c>
      <c r="M19" s="47">
        <f t="shared" si="4"/>
        <v>4987613.2017323999</v>
      </c>
      <c r="N19" s="47">
        <f>'Monthly Data'!BX19</f>
        <v>83.694923076923075</v>
      </c>
      <c r="O19" s="47">
        <f t="shared" si="5"/>
        <v>4987696.8966554767</v>
      </c>
      <c r="R19" t="s">
        <v>315</v>
      </c>
      <c r="U19" s="3"/>
    </row>
    <row r="20" spans="1:21">
      <c r="A20" s="2">
        <f>'Monthly Data'!A20</f>
        <v>42917</v>
      </c>
      <c r="B20">
        <f>'Monthly Data'!B20</f>
        <v>2017</v>
      </c>
      <c r="C20">
        <f>'Monthly Data'!C20</f>
        <v>7</v>
      </c>
      <c r="D20" s="3">
        <f>'Monthly Data'!BW20</f>
        <v>5118068.3086505514</v>
      </c>
      <c r="E20" s="3">
        <f>'Monthly Data'!DQ20</f>
        <v>31</v>
      </c>
      <c r="F20" s="3">
        <f>'Monthly Data'!CJ20</f>
        <v>2</v>
      </c>
      <c r="G20" s="3">
        <f>'Monthly Data'!ED20</f>
        <v>0</v>
      </c>
      <c r="I20" s="3">
        <f t="shared" si="0"/>
        <v>-5182660.36787258</v>
      </c>
      <c r="J20" s="3">
        <f t="shared" si="1"/>
        <v>5746871.2725865664</v>
      </c>
      <c r="K20" s="3">
        <f t="shared" si="2"/>
        <v>4608785.2412954001</v>
      </c>
      <c r="L20" s="3">
        <f t="shared" si="3"/>
        <v>0</v>
      </c>
      <c r="M20" s="47">
        <f t="shared" si="4"/>
        <v>5172996.1460093865</v>
      </c>
      <c r="N20" s="47">
        <f>'Monthly Data'!BX20</f>
        <v>97.644076923076909</v>
      </c>
      <c r="O20" s="47">
        <f t="shared" si="5"/>
        <v>5173093.7900863094</v>
      </c>
      <c r="R20" t="s">
        <v>316</v>
      </c>
      <c r="S20" s="99">
        <v>6756961.5291064996</v>
      </c>
      <c r="T20" t="s">
        <v>317</v>
      </c>
      <c r="U20" s="99">
        <v>1178474.69415211</v>
      </c>
    </row>
    <row r="21" spans="1:21">
      <c r="A21" s="2">
        <f>'Monthly Data'!A21</f>
        <v>42948</v>
      </c>
      <c r="B21">
        <f>'Monthly Data'!B21</f>
        <v>2017</v>
      </c>
      <c r="C21">
        <f>'Monthly Data'!C21</f>
        <v>8</v>
      </c>
      <c r="D21" s="3">
        <f>'Monthly Data'!BW21</f>
        <v>5211369.4607115174</v>
      </c>
      <c r="E21" s="3">
        <f>'Monthly Data'!DQ21</f>
        <v>31</v>
      </c>
      <c r="F21" s="3">
        <f>'Monthly Data'!CJ21</f>
        <v>2</v>
      </c>
      <c r="G21" s="3">
        <f>'Monthly Data'!ED21</f>
        <v>0</v>
      </c>
      <c r="I21" s="3">
        <f t="shared" si="0"/>
        <v>-5182660.36787258</v>
      </c>
      <c r="J21" s="3">
        <f t="shared" si="1"/>
        <v>5746871.2725865664</v>
      </c>
      <c r="K21" s="3">
        <f t="shared" si="2"/>
        <v>4608785.2412954001</v>
      </c>
      <c r="L21" s="3">
        <f t="shared" si="3"/>
        <v>0</v>
      </c>
      <c r="M21" s="47">
        <f t="shared" si="4"/>
        <v>5172996.1460093865</v>
      </c>
      <c r="N21" s="47">
        <f>'Monthly Data'!BX21</f>
        <v>111.59323076923076</v>
      </c>
      <c r="O21" s="47">
        <f t="shared" si="5"/>
        <v>5173107.7392401556</v>
      </c>
      <c r="S21" s="99"/>
      <c r="U21" s="99"/>
    </row>
    <row r="22" spans="1:21">
      <c r="A22" s="2">
        <f>'Monthly Data'!A22</f>
        <v>42979</v>
      </c>
      <c r="B22">
        <f>'Monthly Data'!B22</f>
        <v>2017</v>
      </c>
      <c r="C22">
        <f>'Monthly Data'!C22</f>
        <v>9</v>
      </c>
      <c r="D22" s="3">
        <f>'Monthly Data'!BW22</f>
        <v>5099602.7342768228</v>
      </c>
      <c r="E22" s="3">
        <f>'Monthly Data'!DQ22</f>
        <v>30</v>
      </c>
      <c r="F22" s="3">
        <f>'Monthly Data'!CJ22</f>
        <v>2</v>
      </c>
      <c r="G22" s="3">
        <f>'Monthly Data'!ED22</f>
        <v>0</v>
      </c>
      <c r="I22" s="3">
        <f t="shared" si="0"/>
        <v>-5182660.36787258</v>
      </c>
      <c r="J22" s="3">
        <f t="shared" si="1"/>
        <v>5561488.3283095798</v>
      </c>
      <c r="K22" s="3">
        <f t="shared" si="2"/>
        <v>4608785.2412954001</v>
      </c>
      <c r="L22" s="3">
        <f t="shared" si="3"/>
        <v>0</v>
      </c>
      <c r="M22" s="47">
        <f t="shared" si="4"/>
        <v>4987613.2017323999</v>
      </c>
      <c r="N22" s="47">
        <f>'Monthly Data'!BX22</f>
        <v>125.54238461538459</v>
      </c>
      <c r="O22" s="47">
        <f t="shared" si="5"/>
        <v>4987738.744117015</v>
      </c>
    </row>
    <row r="23" spans="1:21">
      <c r="A23" s="2">
        <f>'Monthly Data'!A23</f>
        <v>43009</v>
      </c>
      <c r="B23">
        <f>'Monthly Data'!B23</f>
        <v>2017</v>
      </c>
      <c r="C23">
        <f>'Monthly Data'!C23</f>
        <v>10</v>
      </c>
      <c r="D23" s="3">
        <f>'Monthly Data'!BW23</f>
        <v>5235669.247957848</v>
      </c>
      <c r="E23" s="3">
        <f>'Monthly Data'!DQ23</f>
        <v>31</v>
      </c>
      <c r="F23" s="3">
        <f>'Monthly Data'!CJ23</f>
        <v>2</v>
      </c>
      <c r="G23" s="3">
        <f>'Monthly Data'!ED23</f>
        <v>0</v>
      </c>
      <c r="I23" s="3">
        <f t="shared" si="0"/>
        <v>-5182660.36787258</v>
      </c>
      <c r="J23" s="3">
        <f t="shared" si="1"/>
        <v>5746871.2725865664</v>
      </c>
      <c r="K23" s="3">
        <f t="shared" si="2"/>
        <v>4608785.2412954001</v>
      </c>
      <c r="L23" s="3">
        <f t="shared" si="3"/>
        <v>0</v>
      </c>
      <c r="M23" s="47">
        <f t="shared" si="4"/>
        <v>5172996.1460093865</v>
      </c>
      <c r="N23" s="47">
        <f>'Monthly Data'!BX23</f>
        <v>139.49153846153845</v>
      </c>
      <c r="O23" s="47">
        <f t="shared" si="5"/>
        <v>5173135.6375478478</v>
      </c>
    </row>
    <row r="24" spans="1:21">
      <c r="A24" s="2">
        <f>'Monthly Data'!A24</f>
        <v>43040</v>
      </c>
      <c r="B24">
        <f>'Monthly Data'!B24</f>
        <v>2017</v>
      </c>
      <c r="C24">
        <f>'Monthly Data'!C24</f>
        <v>11</v>
      </c>
      <c r="D24" s="3">
        <f>'Monthly Data'!BW24</f>
        <v>5088964.4887362672</v>
      </c>
      <c r="E24" s="3">
        <f>'Monthly Data'!DQ24</f>
        <v>30</v>
      </c>
      <c r="F24" s="3">
        <f>'Monthly Data'!CJ24</f>
        <v>2</v>
      </c>
      <c r="G24" s="3">
        <f>'Monthly Data'!ED24</f>
        <v>0</v>
      </c>
      <c r="I24" s="3">
        <f t="shared" si="0"/>
        <v>-5182660.36787258</v>
      </c>
      <c r="J24" s="3">
        <f t="shared" si="1"/>
        <v>5561488.3283095798</v>
      </c>
      <c r="K24" s="3">
        <f t="shared" si="2"/>
        <v>4608785.2412954001</v>
      </c>
      <c r="L24" s="3">
        <f t="shared" si="3"/>
        <v>0</v>
      </c>
      <c r="M24" s="47">
        <f t="shared" si="4"/>
        <v>4987613.2017323999</v>
      </c>
      <c r="N24" s="47">
        <f>'Monthly Data'!BX24</f>
        <v>153.44069230769227</v>
      </c>
      <c r="O24" s="47">
        <f t="shared" si="5"/>
        <v>4987766.6424247073</v>
      </c>
      <c r="S24" s="3"/>
      <c r="U24" s="3"/>
    </row>
    <row r="25" spans="1:21">
      <c r="A25" s="2">
        <f>'Monthly Data'!A25</f>
        <v>43070</v>
      </c>
      <c r="B25">
        <f>'Monthly Data'!B25</f>
        <v>2017</v>
      </c>
      <c r="C25">
        <f>'Monthly Data'!C25</f>
        <v>12</v>
      </c>
      <c r="D25" s="3">
        <f>'Monthly Data'!BW25</f>
        <v>4788159.170208999</v>
      </c>
      <c r="E25" s="3">
        <f>'Monthly Data'!DQ25</f>
        <v>31</v>
      </c>
      <c r="F25" s="3">
        <f>'Monthly Data'!CJ25</f>
        <v>2</v>
      </c>
      <c r="G25" s="3">
        <f>'Monthly Data'!ED25</f>
        <v>1</v>
      </c>
      <c r="I25" s="3">
        <f t="shared" si="0"/>
        <v>-5182660.36787258</v>
      </c>
      <c r="J25" s="3">
        <f t="shared" si="1"/>
        <v>5746871.2725865664</v>
      </c>
      <c r="K25" s="3">
        <f t="shared" si="2"/>
        <v>4608785.2412954001</v>
      </c>
      <c r="L25" s="3">
        <f t="shared" si="3"/>
        <v>-145191.56089796999</v>
      </c>
      <c r="M25" s="47">
        <f t="shared" si="4"/>
        <v>5027804.5851114169</v>
      </c>
      <c r="N25" s="47">
        <f>'Monthly Data'!BX25</f>
        <v>167.38984615384615</v>
      </c>
      <c r="O25" s="47">
        <f t="shared" si="5"/>
        <v>5027971.9749575704</v>
      </c>
    </row>
    <row r="26" spans="1:21">
      <c r="A26" s="2">
        <f>'Monthly Data'!A26</f>
        <v>43101</v>
      </c>
      <c r="B26">
        <f>'Monthly Data'!B26</f>
        <v>2018</v>
      </c>
      <c r="C26">
        <f>'Monthly Data'!C26</f>
        <v>1</v>
      </c>
      <c r="D26" s="3">
        <f>'Monthly Data'!BW26</f>
        <v>5177918.4467225913</v>
      </c>
      <c r="E26" s="3">
        <f>'Monthly Data'!DQ26</f>
        <v>31</v>
      </c>
      <c r="F26" s="3">
        <f>'Monthly Data'!CJ26</f>
        <v>2.0833333333333335</v>
      </c>
      <c r="G26" s="3">
        <f>'Monthly Data'!ED26</f>
        <v>0</v>
      </c>
      <c r="I26" s="3">
        <f t="shared" si="0"/>
        <v>-5182660.36787258</v>
      </c>
      <c r="J26" s="3">
        <f t="shared" si="1"/>
        <v>5746871.2725865664</v>
      </c>
      <c r="K26" s="3">
        <f t="shared" si="2"/>
        <v>4800817.9596827086</v>
      </c>
      <c r="L26" s="3">
        <f t="shared" si="3"/>
        <v>0</v>
      </c>
      <c r="M26" s="47">
        <f t="shared" si="4"/>
        <v>5365028.864396695</v>
      </c>
      <c r="N26" s="47">
        <f>'Monthly Data'!BX26</f>
        <v>196.25644871794873</v>
      </c>
      <c r="O26" s="47">
        <f t="shared" si="5"/>
        <v>5365225.1208454128</v>
      </c>
    </row>
    <row r="27" spans="1:21">
      <c r="A27" s="2">
        <f>'Monthly Data'!A27</f>
        <v>43132</v>
      </c>
      <c r="B27">
        <f>'Monthly Data'!B27</f>
        <v>2018</v>
      </c>
      <c r="C27">
        <f>'Monthly Data'!C27</f>
        <v>2</v>
      </c>
      <c r="D27" s="3">
        <f>'Monthly Data'!BW27</f>
        <v>4743168.4120744802</v>
      </c>
      <c r="E27" s="3">
        <f>'Monthly Data'!DQ27</f>
        <v>28</v>
      </c>
      <c r="F27" s="3">
        <f>'Monthly Data'!CJ27</f>
        <v>2.166666666666667</v>
      </c>
      <c r="G27" s="3">
        <f>'Monthly Data'!ED27</f>
        <v>0</v>
      </c>
      <c r="I27" s="3">
        <f t="shared" si="0"/>
        <v>-5182660.36787258</v>
      </c>
      <c r="J27" s="3">
        <f t="shared" si="1"/>
        <v>5190722.4397556083</v>
      </c>
      <c r="K27" s="3">
        <f t="shared" si="2"/>
        <v>4992850.6780700171</v>
      </c>
      <c r="L27" s="3">
        <f t="shared" si="3"/>
        <v>0</v>
      </c>
      <c r="M27" s="47">
        <f t="shared" si="4"/>
        <v>5000912.7499530455</v>
      </c>
      <c r="N27" s="47">
        <f>'Monthly Data'!BX27</f>
        <v>211.17389743589746</v>
      </c>
      <c r="O27" s="47">
        <f t="shared" si="5"/>
        <v>5001123.9238504814</v>
      </c>
    </row>
    <row r="28" spans="1:21">
      <c r="A28" s="2">
        <f>'Monthly Data'!A28</f>
        <v>43160</v>
      </c>
      <c r="B28">
        <f>'Monthly Data'!B28</f>
        <v>2018</v>
      </c>
      <c r="C28">
        <f>'Monthly Data'!C28</f>
        <v>3</v>
      </c>
      <c r="D28" s="3">
        <f>'Monthly Data'!BW28</f>
        <v>4925871.3668188471</v>
      </c>
      <c r="E28" s="3">
        <f>'Monthly Data'!DQ28</f>
        <v>31</v>
      </c>
      <c r="F28" s="3">
        <f>'Monthly Data'!CJ28</f>
        <v>2.2500000000000004</v>
      </c>
      <c r="G28" s="3">
        <f>'Monthly Data'!ED28</f>
        <v>0</v>
      </c>
      <c r="I28" s="3">
        <f t="shared" si="0"/>
        <v>-5182660.36787258</v>
      </c>
      <c r="J28" s="3">
        <f t="shared" si="1"/>
        <v>5746871.2725865664</v>
      </c>
      <c r="K28" s="3">
        <f t="shared" si="2"/>
        <v>5184883.3964573257</v>
      </c>
      <c r="L28" s="3">
        <f t="shared" si="3"/>
        <v>0</v>
      </c>
      <c r="M28" s="47">
        <f t="shared" si="4"/>
        <v>5749094.3011713121</v>
      </c>
      <c r="N28" s="47">
        <f>'Monthly Data'!BX28</f>
        <v>226.09134615384616</v>
      </c>
      <c r="O28" s="47">
        <f t="shared" si="5"/>
        <v>5749320.3925174661</v>
      </c>
    </row>
    <row r="29" spans="1:21">
      <c r="A29" s="2">
        <f>'Monthly Data'!A29</f>
        <v>43191</v>
      </c>
      <c r="B29">
        <f>'Monthly Data'!B29</f>
        <v>2018</v>
      </c>
      <c r="C29">
        <f>'Monthly Data'!C29</f>
        <v>4</v>
      </c>
      <c r="D29" s="3">
        <f>'Monthly Data'!BW29</f>
        <v>6426291.0235882867</v>
      </c>
      <c r="E29" s="3">
        <f>'Monthly Data'!DQ29</f>
        <v>30</v>
      </c>
      <c r="F29" s="3">
        <f>'Monthly Data'!CJ29</f>
        <v>2.3333333333333339</v>
      </c>
      <c r="G29" s="3">
        <f>'Monthly Data'!ED29</f>
        <v>0</v>
      </c>
      <c r="I29" s="3">
        <f t="shared" si="0"/>
        <v>-5182660.36787258</v>
      </c>
      <c r="J29" s="3">
        <f t="shared" si="1"/>
        <v>5561488.3283095798</v>
      </c>
      <c r="K29" s="3">
        <f t="shared" si="2"/>
        <v>5376916.1148446351</v>
      </c>
      <c r="L29" s="3">
        <f t="shared" si="3"/>
        <v>0</v>
      </c>
      <c r="M29" s="47">
        <f t="shared" si="4"/>
        <v>5755744.0752816349</v>
      </c>
      <c r="N29" s="47">
        <f>'Monthly Data'!BX29</f>
        <v>241.00879487179489</v>
      </c>
      <c r="O29" s="47">
        <f t="shared" si="5"/>
        <v>5755985.084076507</v>
      </c>
    </row>
    <row r="30" spans="1:21">
      <c r="A30" s="2">
        <f>'Monthly Data'!A30</f>
        <v>43221</v>
      </c>
      <c r="B30">
        <f>'Monthly Data'!B30</f>
        <v>2018</v>
      </c>
      <c r="C30">
        <f>'Monthly Data'!C30</f>
        <v>5</v>
      </c>
      <c r="D30" s="3">
        <f>'Monthly Data'!BW30</f>
        <v>5941563.32259495</v>
      </c>
      <c r="E30" s="3">
        <f>'Monthly Data'!DQ30</f>
        <v>31</v>
      </c>
      <c r="F30" s="3">
        <f>'Monthly Data'!CJ30</f>
        <v>2.4166666666666674</v>
      </c>
      <c r="G30" s="3">
        <f>'Monthly Data'!ED30</f>
        <v>0</v>
      </c>
      <c r="I30" s="3">
        <f t="shared" si="0"/>
        <v>-5182660.36787258</v>
      </c>
      <c r="J30" s="3">
        <f t="shared" si="1"/>
        <v>5746871.2725865664</v>
      </c>
      <c r="K30" s="3">
        <f t="shared" si="2"/>
        <v>5568948.8332319437</v>
      </c>
      <c r="L30" s="3">
        <f t="shared" si="3"/>
        <v>0</v>
      </c>
      <c r="M30" s="47">
        <f t="shared" si="4"/>
        <v>6133159.7379459301</v>
      </c>
      <c r="N30" s="47">
        <f>'Monthly Data'!BX30</f>
        <v>255.92624358974359</v>
      </c>
      <c r="O30" s="47">
        <f t="shared" si="5"/>
        <v>6133415.6641895203</v>
      </c>
    </row>
    <row r="31" spans="1:21">
      <c r="A31" s="2">
        <f>'Monthly Data'!A31</f>
        <v>43252</v>
      </c>
      <c r="B31">
        <f>'Monthly Data'!B31</f>
        <v>2018</v>
      </c>
      <c r="C31">
        <f>'Monthly Data'!C31</f>
        <v>6</v>
      </c>
      <c r="D31" s="3">
        <f>'Monthly Data'!BW31</f>
        <v>6220112.2464810722</v>
      </c>
      <c r="E31" s="3">
        <f>'Monthly Data'!DQ31</f>
        <v>30</v>
      </c>
      <c r="F31" s="3">
        <f>'Monthly Data'!CJ31</f>
        <v>2.5000000000000009</v>
      </c>
      <c r="G31" s="3">
        <f>'Monthly Data'!ED31</f>
        <v>0</v>
      </c>
      <c r="I31" s="3">
        <f t="shared" si="0"/>
        <v>-5182660.36787258</v>
      </c>
      <c r="J31" s="3">
        <f t="shared" si="1"/>
        <v>5561488.3283095798</v>
      </c>
      <c r="K31" s="3">
        <f t="shared" si="2"/>
        <v>5760981.5516192522</v>
      </c>
      <c r="L31" s="3">
        <f t="shared" si="3"/>
        <v>0</v>
      </c>
      <c r="M31" s="47">
        <f t="shared" si="4"/>
        <v>6139809.512056252</v>
      </c>
      <c r="N31" s="47">
        <f>'Monthly Data'!BX31</f>
        <v>270.84369230769232</v>
      </c>
      <c r="O31" s="47">
        <f t="shared" si="5"/>
        <v>6140080.3557485593</v>
      </c>
    </row>
    <row r="32" spans="1:21">
      <c r="A32" s="2">
        <f>'Monthly Data'!A32</f>
        <v>43282</v>
      </c>
      <c r="B32">
        <f>'Monthly Data'!B32</f>
        <v>2018</v>
      </c>
      <c r="C32">
        <f>'Monthly Data'!C32</f>
        <v>7</v>
      </c>
      <c r="D32" s="3">
        <f>'Monthly Data'!BW32</f>
        <v>6392674.0440412536</v>
      </c>
      <c r="E32" s="3">
        <f>'Monthly Data'!DQ32</f>
        <v>31</v>
      </c>
      <c r="F32" s="3">
        <f>'Monthly Data'!CJ32</f>
        <v>2.5833333333333344</v>
      </c>
      <c r="G32" s="3">
        <f>'Monthly Data'!ED32</f>
        <v>0</v>
      </c>
      <c r="I32" s="3">
        <f t="shared" si="0"/>
        <v>-5182660.36787258</v>
      </c>
      <c r="J32" s="3">
        <f t="shared" si="1"/>
        <v>5746871.2725865664</v>
      </c>
      <c r="K32" s="3">
        <f t="shared" si="2"/>
        <v>5953014.2700065607</v>
      </c>
      <c r="L32" s="3">
        <f t="shared" si="3"/>
        <v>0</v>
      </c>
      <c r="M32" s="47">
        <f t="shared" si="4"/>
        <v>6517225.1747205472</v>
      </c>
      <c r="N32" s="47">
        <f>'Monthly Data'!BX32</f>
        <v>285.761141025641</v>
      </c>
      <c r="O32" s="47">
        <f t="shared" si="5"/>
        <v>6517510.9358615726</v>
      </c>
    </row>
    <row r="33" spans="1:15">
      <c r="A33" s="2">
        <f>'Monthly Data'!A33</f>
        <v>43313</v>
      </c>
      <c r="B33">
        <f>'Monthly Data'!B33</f>
        <v>2018</v>
      </c>
      <c r="C33">
        <f>'Monthly Data'!C33</f>
        <v>8</v>
      </c>
      <c r="D33" s="3">
        <f>'Monthly Data'!BW33</f>
        <v>6364814.3179755919</v>
      </c>
      <c r="E33" s="3">
        <f>'Monthly Data'!DQ33</f>
        <v>31</v>
      </c>
      <c r="F33" s="3">
        <f>'Monthly Data'!CJ33</f>
        <v>2.6666666666666679</v>
      </c>
      <c r="G33" s="3">
        <f>'Monthly Data'!ED33</f>
        <v>0</v>
      </c>
      <c r="I33" s="3">
        <f t="shared" si="0"/>
        <v>-5182660.36787258</v>
      </c>
      <c r="J33" s="3">
        <f t="shared" si="1"/>
        <v>5746871.2725865664</v>
      </c>
      <c r="K33" s="3">
        <f t="shared" si="2"/>
        <v>6145046.9883938693</v>
      </c>
      <c r="L33" s="3">
        <f t="shared" si="3"/>
        <v>0</v>
      </c>
      <c r="M33" s="47">
        <f t="shared" si="4"/>
        <v>6709257.8931078557</v>
      </c>
      <c r="N33" s="47">
        <f>'Monthly Data'!BX33</f>
        <v>300.67858974358973</v>
      </c>
      <c r="O33" s="47">
        <f t="shared" si="5"/>
        <v>6709558.5716975993</v>
      </c>
    </row>
    <row r="34" spans="1:15">
      <c r="A34" s="2">
        <f>'Monthly Data'!A34</f>
        <v>43344</v>
      </c>
      <c r="B34">
        <f>'Monthly Data'!B34</f>
        <v>2018</v>
      </c>
      <c r="C34">
        <f>'Monthly Data'!C34</f>
        <v>9</v>
      </c>
      <c r="D34" s="3">
        <f>'Monthly Data'!BW34</f>
        <v>6465049.1435010592</v>
      </c>
      <c r="E34" s="3">
        <f>'Monthly Data'!DQ34</f>
        <v>30</v>
      </c>
      <c r="F34" s="3">
        <f>'Monthly Data'!CJ34</f>
        <v>2.7500000000000013</v>
      </c>
      <c r="G34" s="3">
        <f>'Monthly Data'!ED34</f>
        <v>0</v>
      </c>
      <c r="I34" s="3">
        <f t="shared" ref="I34:I65" si="6">$S$8</f>
        <v>-5182660.36787258</v>
      </c>
      <c r="J34" s="3">
        <f t="shared" ref="J34:J65" si="7">E34*$S$9</f>
        <v>5561488.3283095798</v>
      </c>
      <c r="K34" s="3">
        <f t="shared" ref="K34:K65" si="8">F34*$S$10</f>
        <v>6337079.7067811778</v>
      </c>
      <c r="L34" s="3">
        <f t="shared" ref="L34:L65" si="9">G34*$S$11</f>
        <v>0</v>
      </c>
      <c r="M34" s="47">
        <f t="shared" si="4"/>
        <v>6715907.6672181776</v>
      </c>
      <c r="N34" s="47">
        <f>'Monthly Data'!BX34</f>
        <v>315.59603846153846</v>
      </c>
      <c r="O34" s="47">
        <f t="shared" si="5"/>
        <v>6716223.2632566392</v>
      </c>
    </row>
    <row r="35" spans="1:15">
      <c r="A35" s="2">
        <f>'Monthly Data'!A35</f>
        <v>43374</v>
      </c>
      <c r="B35">
        <f>'Monthly Data'!B35</f>
        <v>2018</v>
      </c>
      <c r="C35">
        <f>'Monthly Data'!C35</f>
        <v>10</v>
      </c>
      <c r="D35" s="3">
        <f>'Monthly Data'!BW35</f>
        <v>6295344.9429898821</v>
      </c>
      <c r="E35" s="3">
        <f>'Monthly Data'!DQ35</f>
        <v>31</v>
      </c>
      <c r="F35" s="3">
        <f>'Monthly Data'!CJ35</f>
        <v>2.8333333333333348</v>
      </c>
      <c r="G35" s="3">
        <f>'Monthly Data'!ED35</f>
        <v>0</v>
      </c>
      <c r="I35" s="3">
        <f t="shared" si="6"/>
        <v>-5182660.36787258</v>
      </c>
      <c r="J35" s="3">
        <f t="shared" si="7"/>
        <v>5746871.2725865664</v>
      </c>
      <c r="K35" s="3">
        <f t="shared" si="8"/>
        <v>6529112.4251684872</v>
      </c>
      <c r="L35" s="3">
        <f t="shared" si="9"/>
        <v>0</v>
      </c>
      <c r="M35" s="47">
        <f t="shared" si="4"/>
        <v>7093323.3298824737</v>
      </c>
      <c r="N35" s="47">
        <f>'Monthly Data'!BX35</f>
        <v>330.51348717948713</v>
      </c>
      <c r="O35" s="47">
        <f t="shared" si="5"/>
        <v>7093653.8433696534</v>
      </c>
    </row>
    <row r="36" spans="1:15">
      <c r="A36" s="2">
        <f>'Monthly Data'!A36</f>
        <v>43405</v>
      </c>
      <c r="B36">
        <f>'Monthly Data'!B36</f>
        <v>2018</v>
      </c>
      <c r="C36">
        <f>'Monthly Data'!C36</f>
        <v>11</v>
      </c>
      <c r="D36" s="3">
        <f>'Monthly Data'!BW36</f>
        <v>6641521.1474931687</v>
      </c>
      <c r="E36" s="3">
        <f>'Monthly Data'!DQ36</f>
        <v>30</v>
      </c>
      <c r="F36" s="3">
        <f>'Monthly Data'!CJ36</f>
        <v>2.9166666666666683</v>
      </c>
      <c r="G36" s="3">
        <f>'Monthly Data'!ED36</f>
        <v>0</v>
      </c>
      <c r="I36" s="3">
        <f t="shared" si="6"/>
        <v>-5182660.36787258</v>
      </c>
      <c r="J36" s="3">
        <f t="shared" si="7"/>
        <v>5561488.3283095798</v>
      </c>
      <c r="K36" s="3">
        <f t="shared" si="8"/>
        <v>6721145.1435557958</v>
      </c>
      <c r="L36" s="3">
        <f t="shared" si="9"/>
        <v>0</v>
      </c>
      <c r="M36" s="47">
        <f t="shared" si="4"/>
        <v>7099973.1039927956</v>
      </c>
      <c r="N36" s="47">
        <f>'Monthly Data'!BX36</f>
        <v>345.43093589743592</v>
      </c>
      <c r="O36" s="47">
        <f t="shared" si="5"/>
        <v>7100318.5349286934</v>
      </c>
    </row>
    <row r="37" spans="1:15">
      <c r="A37" s="2">
        <f>'Monthly Data'!A37</f>
        <v>43435</v>
      </c>
      <c r="B37">
        <f>'Monthly Data'!B37</f>
        <v>2018</v>
      </c>
      <c r="C37">
        <f>'Monthly Data'!C37</f>
        <v>12</v>
      </c>
      <c r="D37" s="3">
        <f>'Monthly Data'!BW37</f>
        <v>6850341.4503571112</v>
      </c>
      <c r="E37" s="3">
        <f>'Monthly Data'!DQ37</f>
        <v>31</v>
      </c>
      <c r="F37" s="3">
        <f>'Monthly Data'!CJ37</f>
        <v>3</v>
      </c>
      <c r="G37" s="3">
        <f>'Monthly Data'!ED37</f>
        <v>1</v>
      </c>
      <c r="I37" s="3">
        <f t="shared" si="6"/>
        <v>-5182660.36787258</v>
      </c>
      <c r="J37" s="3">
        <f t="shared" si="7"/>
        <v>5746871.2725865664</v>
      </c>
      <c r="K37" s="3">
        <f t="shared" si="8"/>
        <v>6913177.8619430996</v>
      </c>
      <c r="L37" s="3">
        <f t="shared" si="9"/>
        <v>-145191.56089796999</v>
      </c>
      <c r="M37" s="47">
        <f t="shared" si="4"/>
        <v>7332197.2057591164</v>
      </c>
      <c r="N37" s="47">
        <f>'Monthly Data'!BX37</f>
        <v>360.34838461538459</v>
      </c>
      <c r="O37" s="47">
        <f t="shared" si="5"/>
        <v>7332557.5541437315</v>
      </c>
    </row>
    <row r="38" spans="1:15">
      <c r="A38" s="2">
        <f>'Monthly Data'!A38</f>
        <v>43466</v>
      </c>
      <c r="B38">
        <f>'Monthly Data'!B38</f>
        <v>2019</v>
      </c>
      <c r="C38">
        <f>'Monthly Data'!C38</f>
        <v>1</v>
      </c>
      <c r="D38" s="3">
        <f>'Monthly Data'!BW38</f>
        <v>6907801.7869382352</v>
      </c>
      <c r="E38" s="3">
        <f>'Monthly Data'!DQ38</f>
        <v>31</v>
      </c>
      <c r="F38" s="3">
        <f>'Monthly Data'!CJ38</f>
        <v>3</v>
      </c>
      <c r="G38" s="3">
        <f>'Monthly Data'!ED38</f>
        <v>0</v>
      </c>
      <c r="I38" s="3">
        <f t="shared" si="6"/>
        <v>-5182660.36787258</v>
      </c>
      <c r="J38" s="3">
        <f t="shared" si="7"/>
        <v>5746871.2725865664</v>
      </c>
      <c r="K38" s="3">
        <f t="shared" si="8"/>
        <v>6913177.8619430996</v>
      </c>
      <c r="L38" s="3">
        <f t="shared" si="9"/>
        <v>0</v>
      </c>
      <c r="M38" s="47">
        <f t="shared" si="4"/>
        <v>7477388.7666570861</v>
      </c>
      <c r="N38" s="47">
        <f>'Monthly Data'!BX38</f>
        <v>384.09134615384619</v>
      </c>
      <c r="O38" s="47">
        <f t="shared" si="5"/>
        <v>7477772.8580032401</v>
      </c>
    </row>
    <row r="39" spans="1:15">
      <c r="A39" s="2">
        <f>'Monthly Data'!A39</f>
        <v>43497</v>
      </c>
      <c r="B39">
        <f>'Monthly Data'!B39</f>
        <v>2019</v>
      </c>
      <c r="C39">
        <f>'Monthly Data'!C39</f>
        <v>2</v>
      </c>
      <c r="D39" s="3">
        <f>'Monthly Data'!BW39</f>
        <v>6478625.9176253611</v>
      </c>
      <c r="E39" s="3">
        <f>'Monthly Data'!DQ39</f>
        <v>28</v>
      </c>
      <c r="F39" s="3">
        <f>'Monthly Data'!CJ39</f>
        <v>3</v>
      </c>
      <c r="G39" s="3">
        <f>'Monthly Data'!ED39</f>
        <v>0</v>
      </c>
      <c r="I39" s="3">
        <f t="shared" si="6"/>
        <v>-5182660.36787258</v>
      </c>
      <c r="J39" s="3">
        <f t="shared" si="7"/>
        <v>5190722.4397556083</v>
      </c>
      <c r="K39" s="3">
        <f t="shared" si="8"/>
        <v>6913177.8619430996</v>
      </c>
      <c r="L39" s="3">
        <f t="shared" si="9"/>
        <v>0</v>
      </c>
      <c r="M39" s="47">
        <f t="shared" si="4"/>
        <v>6921239.933826128</v>
      </c>
      <c r="N39" s="47">
        <f>'Monthly Data'!BX39</f>
        <v>392.916858974359</v>
      </c>
      <c r="O39" s="47">
        <f t="shared" si="5"/>
        <v>6921632.8506851019</v>
      </c>
    </row>
    <row r="40" spans="1:15">
      <c r="A40" s="2">
        <f>'Monthly Data'!A40</f>
        <v>43525</v>
      </c>
      <c r="B40">
        <f>'Monthly Data'!B40</f>
        <v>2019</v>
      </c>
      <c r="C40">
        <f>'Monthly Data'!C40</f>
        <v>3</v>
      </c>
      <c r="D40" s="3">
        <f>'Monthly Data'!BW40</f>
        <v>7028510.2122469144</v>
      </c>
      <c r="E40" s="3">
        <f>'Monthly Data'!DQ40</f>
        <v>31</v>
      </c>
      <c r="F40" s="3">
        <f>'Monthly Data'!CJ40</f>
        <v>3</v>
      </c>
      <c r="G40" s="3">
        <f>'Monthly Data'!ED40</f>
        <v>0</v>
      </c>
      <c r="I40" s="3">
        <f t="shared" si="6"/>
        <v>-5182660.36787258</v>
      </c>
      <c r="J40" s="3">
        <f t="shared" si="7"/>
        <v>5746871.2725865664</v>
      </c>
      <c r="K40" s="3">
        <f t="shared" si="8"/>
        <v>6913177.8619430996</v>
      </c>
      <c r="L40" s="3">
        <f t="shared" si="9"/>
        <v>0</v>
      </c>
      <c r="M40" s="47">
        <f t="shared" si="4"/>
        <v>7477388.7666570861</v>
      </c>
      <c r="N40" s="47">
        <f>'Monthly Data'!BX40</f>
        <v>401.74237179487181</v>
      </c>
      <c r="O40" s="47">
        <f t="shared" si="5"/>
        <v>7477790.5090288809</v>
      </c>
    </row>
    <row r="41" spans="1:15">
      <c r="A41" s="2">
        <f>'Monthly Data'!A41</f>
        <v>43556</v>
      </c>
      <c r="B41">
        <f>'Monthly Data'!B41</f>
        <v>2019</v>
      </c>
      <c r="C41">
        <f>'Monthly Data'!C41</f>
        <v>4</v>
      </c>
      <c r="D41" s="3">
        <f>'Monthly Data'!BW41</f>
        <v>6635792.0382088702</v>
      </c>
      <c r="E41" s="3">
        <f>'Monthly Data'!DQ41</f>
        <v>30</v>
      </c>
      <c r="F41" s="3">
        <f>'Monthly Data'!CJ41</f>
        <v>3</v>
      </c>
      <c r="G41" s="3">
        <f>'Monthly Data'!ED41</f>
        <v>0</v>
      </c>
      <c r="I41" s="3">
        <f t="shared" si="6"/>
        <v>-5182660.36787258</v>
      </c>
      <c r="J41" s="3">
        <f t="shared" si="7"/>
        <v>5561488.3283095798</v>
      </c>
      <c r="K41" s="3">
        <f t="shared" si="8"/>
        <v>6913177.8619430996</v>
      </c>
      <c r="L41" s="3">
        <f t="shared" si="9"/>
        <v>0</v>
      </c>
      <c r="M41" s="47">
        <f t="shared" si="4"/>
        <v>7292005.8223800994</v>
      </c>
      <c r="N41" s="47">
        <f>'Monthly Data'!BX41</f>
        <v>410.56788461538463</v>
      </c>
      <c r="O41" s="47">
        <f t="shared" si="5"/>
        <v>7292416.3902647151</v>
      </c>
    </row>
    <row r="42" spans="1:15">
      <c r="A42" s="2">
        <f>'Monthly Data'!A42</f>
        <v>43586</v>
      </c>
      <c r="B42">
        <f>'Monthly Data'!B42</f>
        <v>2019</v>
      </c>
      <c r="C42">
        <f>'Monthly Data'!C42</f>
        <v>5</v>
      </c>
      <c r="D42" s="3">
        <f>'Monthly Data'!BW42</f>
        <v>6720394.8959933929</v>
      </c>
      <c r="E42" s="3">
        <f>'Monthly Data'!DQ42</f>
        <v>31</v>
      </c>
      <c r="F42" s="3">
        <f>'Monthly Data'!CJ42</f>
        <v>3</v>
      </c>
      <c r="G42" s="3">
        <f>'Monthly Data'!ED42</f>
        <v>0</v>
      </c>
      <c r="I42" s="3">
        <f t="shared" si="6"/>
        <v>-5182660.36787258</v>
      </c>
      <c r="J42" s="3">
        <f t="shared" si="7"/>
        <v>5746871.2725865664</v>
      </c>
      <c r="K42" s="3">
        <f t="shared" si="8"/>
        <v>6913177.8619430996</v>
      </c>
      <c r="L42" s="3">
        <f t="shared" si="9"/>
        <v>0</v>
      </c>
      <c r="M42" s="47">
        <f t="shared" si="4"/>
        <v>7477388.7666570861</v>
      </c>
      <c r="N42" s="47">
        <f>'Monthly Data'!BX42</f>
        <v>419.39339743589744</v>
      </c>
      <c r="O42" s="47">
        <f t="shared" si="5"/>
        <v>7477808.1600545216</v>
      </c>
    </row>
    <row r="43" spans="1:15">
      <c r="A43" s="2">
        <f>'Monthly Data'!A43</f>
        <v>43617</v>
      </c>
      <c r="B43">
        <f>'Monthly Data'!B43</f>
        <v>2019</v>
      </c>
      <c r="C43">
        <f>'Monthly Data'!C43</f>
        <v>6</v>
      </c>
      <c r="D43" s="3">
        <f>'Monthly Data'!BW43</f>
        <v>6574956.0565744443</v>
      </c>
      <c r="E43" s="3">
        <f>'Monthly Data'!DQ43</f>
        <v>30</v>
      </c>
      <c r="F43" s="3">
        <f>'Monthly Data'!CJ43</f>
        <v>3</v>
      </c>
      <c r="G43" s="3">
        <f>'Monthly Data'!ED43</f>
        <v>0</v>
      </c>
      <c r="I43" s="3">
        <f t="shared" si="6"/>
        <v>-5182660.36787258</v>
      </c>
      <c r="J43" s="3">
        <f t="shared" si="7"/>
        <v>5561488.3283095798</v>
      </c>
      <c r="K43" s="3">
        <f t="shared" si="8"/>
        <v>6913177.8619430996</v>
      </c>
      <c r="L43" s="3">
        <f t="shared" si="9"/>
        <v>0</v>
      </c>
      <c r="M43" s="47">
        <f t="shared" ref="M43:M106" si="10">SUM(I43:L43)</f>
        <v>7292005.8223800994</v>
      </c>
      <c r="N43" s="47">
        <f>'Monthly Data'!BX43</f>
        <v>428.21891025641025</v>
      </c>
      <c r="O43" s="47">
        <f t="shared" ref="O43:O106" si="11">M43+N43</f>
        <v>7292434.0412903558</v>
      </c>
    </row>
    <row r="44" spans="1:15">
      <c r="A44" s="2">
        <f>'Monthly Data'!A44</f>
        <v>43647</v>
      </c>
      <c r="B44">
        <f>'Monthly Data'!B44</f>
        <v>2019</v>
      </c>
      <c r="C44">
        <f>'Monthly Data'!C44</f>
        <v>7</v>
      </c>
      <c r="D44" s="3">
        <f>'Monthly Data'!BW44</f>
        <v>6769475.7031728523</v>
      </c>
      <c r="E44" s="3">
        <f>'Monthly Data'!DQ44</f>
        <v>31</v>
      </c>
      <c r="F44" s="3">
        <f>'Monthly Data'!CJ44</f>
        <v>3</v>
      </c>
      <c r="G44" s="3">
        <f>'Monthly Data'!ED44</f>
        <v>0</v>
      </c>
      <c r="I44" s="3">
        <f t="shared" si="6"/>
        <v>-5182660.36787258</v>
      </c>
      <c r="J44" s="3">
        <f t="shared" si="7"/>
        <v>5746871.2725865664</v>
      </c>
      <c r="K44" s="3">
        <f t="shared" si="8"/>
        <v>6913177.8619430996</v>
      </c>
      <c r="L44" s="3">
        <f t="shared" si="9"/>
        <v>0</v>
      </c>
      <c r="M44" s="47">
        <f t="shared" si="10"/>
        <v>7477388.7666570861</v>
      </c>
      <c r="N44" s="47">
        <f>'Monthly Data'!BX44</f>
        <v>437.04442307692307</v>
      </c>
      <c r="O44" s="47">
        <f t="shared" si="11"/>
        <v>7477825.8110801633</v>
      </c>
    </row>
    <row r="45" spans="1:15">
      <c r="A45" s="2">
        <f>'Monthly Data'!A45</f>
        <v>43678</v>
      </c>
      <c r="B45">
        <f>'Monthly Data'!B45</f>
        <v>2019</v>
      </c>
      <c r="C45">
        <f>'Monthly Data'!C45</f>
        <v>8</v>
      </c>
      <c r="D45" s="3">
        <f>'Monthly Data'!BW45</f>
        <v>6841267.1337635471</v>
      </c>
      <c r="E45" s="3">
        <f>'Monthly Data'!DQ45</f>
        <v>31</v>
      </c>
      <c r="F45" s="3">
        <f>'Monthly Data'!CJ45</f>
        <v>3</v>
      </c>
      <c r="G45" s="3">
        <f>'Monthly Data'!ED45</f>
        <v>0</v>
      </c>
      <c r="I45" s="3">
        <f t="shared" si="6"/>
        <v>-5182660.36787258</v>
      </c>
      <c r="J45" s="3">
        <f t="shared" si="7"/>
        <v>5746871.2725865664</v>
      </c>
      <c r="K45" s="3">
        <f t="shared" si="8"/>
        <v>6913177.8619430996</v>
      </c>
      <c r="L45" s="3">
        <f t="shared" si="9"/>
        <v>0</v>
      </c>
      <c r="M45" s="47">
        <f t="shared" si="10"/>
        <v>7477388.7666570861</v>
      </c>
      <c r="N45" s="47">
        <f>'Monthly Data'!BX45</f>
        <v>445.86993589743588</v>
      </c>
      <c r="O45" s="47">
        <f t="shared" si="11"/>
        <v>7477834.6365929833</v>
      </c>
    </row>
    <row r="46" spans="1:15">
      <c r="A46" s="2">
        <f>'Monthly Data'!A46</f>
        <v>43709</v>
      </c>
      <c r="B46">
        <f>'Monthly Data'!B46</f>
        <v>2019</v>
      </c>
      <c r="C46">
        <f>'Monthly Data'!C46</f>
        <v>9</v>
      </c>
      <c r="D46" s="3">
        <f>'Monthly Data'!BW46</f>
        <v>6502345.3917409331</v>
      </c>
      <c r="E46" s="3">
        <f>'Monthly Data'!DQ46</f>
        <v>30</v>
      </c>
      <c r="F46" s="3">
        <f>'Monthly Data'!CJ46</f>
        <v>3</v>
      </c>
      <c r="G46" s="3">
        <f>'Monthly Data'!ED46</f>
        <v>0</v>
      </c>
      <c r="I46" s="3">
        <f t="shared" si="6"/>
        <v>-5182660.36787258</v>
      </c>
      <c r="J46" s="3">
        <f t="shared" si="7"/>
        <v>5561488.3283095798</v>
      </c>
      <c r="K46" s="3">
        <f t="shared" si="8"/>
        <v>6913177.8619430996</v>
      </c>
      <c r="L46" s="3">
        <f t="shared" si="9"/>
        <v>0</v>
      </c>
      <c r="M46" s="47">
        <f t="shared" si="10"/>
        <v>7292005.8223800994</v>
      </c>
      <c r="N46" s="47">
        <f>'Monthly Data'!BX46</f>
        <v>454.69544871794869</v>
      </c>
      <c r="O46" s="47">
        <f t="shared" si="11"/>
        <v>7292460.5178288175</v>
      </c>
    </row>
    <row r="47" spans="1:15">
      <c r="A47" s="2">
        <f>'Monthly Data'!A47</f>
        <v>43739</v>
      </c>
      <c r="B47">
        <f>'Monthly Data'!B47</f>
        <v>2019</v>
      </c>
      <c r="C47">
        <f>'Monthly Data'!C47</f>
        <v>10</v>
      </c>
      <c r="D47" s="3">
        <f>'Monthly Data'!BW47</f>
        <v>7017868.9438359672</v>
      </c>
      <c r="E47" s="3">
        <f>'Monthly Data'!DQ47</f>
        <v>31</v>
      </c>
      <c r="F47" s="3">
        <f>'Monthly Data'!CJ47</f>
        <v>3</v>
      </c>
      <c r="G47" s="3">
        <f>'Monthly Data'!ED47</f>
        <v>0</v>
      </c>
      <c r="I47" s="3">
        <f t="shared" si="6"/>
        <v>-5182660.36787258</v>
      </c>
      <c r="J47" s="3">
        <f t="shared" si="7"/>
        <v>5746871.2725865664</v>
      </c>
      <c r="K47" s="3">
        <f t="shared" si="8"/>
        <v>6913177.8619430996</v>
      </c>
      <c r="L47" s="3">
        <f t="shared" si="9"/>
        <v>0</v>
      </c>
      <c r="M47" s="47">
        <f t="shared" si="10"/>
        <v>7477388.7666570861</v>
      </c>
      <c r="N47" s="47">
        <f>'Monthly Data'!BX47</f>
        <v>463.52096153846151</v>
      </c>
      <c r="O47" s="47">
        <f t="shared" si="11"/>
        <v>7477852.287618625</v>
      </c>
    </row>
    <row r="48" spans="1:15">
      <c r="A48" s="2">
        <f>'Monthly Data'!A48</f>
        <v>43770</v>
      </c>
      <c r="B48">
        <f>'Monthly Data'!B48</f>
        <v>2019</v>
      </c>
      <c r="C48">
        <f>'Monthly Data'!C48</f>
        <v>11</v>
      </c>
      <c r="D48" s="3">
        <f>'Monthly Data'!BW48</f>
        <v>6714473.4506079536</v>
      </c>
      <c r="E48" s="3">
        <f>'Monthly Data'!DQ48</f>
        <v>30</v>
      </c>
      <c r="F48" s="3">
        <f>'Monthly Data'!CJ48</f>
        <v>3</v>
      </c>
      <c r="G48" s="3">
        <f>'Monthly Data'!ED48</f>
        <v>0</v>
      </c>
      <c r="I48" s="3">
        <f t="shared" si="6"/>
        <v>-5182660.36787258</v>
      </c>
      <c r="J48" s="3">
        <f t="shared" si="7"/>
        <v>5561488.3283095798</v>
      </c>
      <c r="K48" s="3">
        <f t="shared" si="8"/>
        <v>6913177.8619430996</v>
      </c>
      <c r="L48" s="3">
        <f t="shared" si="9"/>
        <v>0</v>
      </c>
      <c r="M48" s="47">
        <f t="shared" si="10"/>
        <v>7292005.8223800994</v>
      </c>
      <c r="N48" s="47">
        <f>'Monthly Data'!BX48</f>
        <v>472.34647435897432</v>
      </c>
      <c r="O48" s="47">
        <f t="shared" si="11"/>
        <v>7292478.1688544583</v>
      </c>
    </row>
    <row r="49" spans="1:15">
      <c r="A49" s="2">
        <f>'Monthly Data'!A49</f>
        <v>43800</v>
      </c>
      <c r="B49">
        <f>'Monthly Data'!B49</f>
        <v>2019</v>
      </c>
      <c r="C49">
        <f>'Monthly Data'!C49</f>
        <v>12</v>
      </c>
      <c r="D49" s="3">
        <f>'Monthly Data'!BW49</f>
        <v>6876129.452076179</v>
      </c>
      <c r="E49" s="3">
        <f>'Monthly Data'!DQ49</f>
        <v>31</v>
      </c>
      <c r="F49" s="3">
        <f>'Monthly Data'!CJ49</f>
        <v>3</v>
      </c>
      <c r="G49" s="3">
        <f>'Monthly Data'!ED49</f>
        <v>1</v>
      </c>
      <c r="I49" s="3">
        <f t="shared" si="6"/>
        <v>-5182660.36787258</v>
      </c>
      <c r="J49" s="3">
        <f t="shared" si="7"/>
        <v>5746871.2725865664</v>
      </c>
      <c r="K49" s="3">
        <f t="shared" si="8"/>
        <v>6913177.8619430996</v>
      </c>
      <c r="L49" s="3">
        <f t="shared" si="9"/>
        <v>-145191.56089796999</v>
      </c>
      <c r="M49" s="47">
        <f t="shared" si="10"/>
        <v>7332197.2057591164</v>
      </c>
      <c r="N49" s="47">
        <f>'Monthly Data'!BX49</f>
        <v>481.17198717948713</v>
      </c>
      <c r="O49" s="47">
        <f t="shared" si="11"/>
        <v>7332678.3777462961</v>
      </c>
    </row>
    <row r="50" spans="1:15">
      <c r="A50" s="2">
        <f>'Monthly Data'!A50</f>
        <v>43831</v>
      </c>
      <c r="B50">
        <f>'Monthly Data'!B50</f>
        <v>2020</v>
      </c>
      <c r="C50">
        <f>'Monthly Data'!C50</f>
        <v>1</v>
      </c>
      <c r="D50" s="3">
        <f>'Monthly Data'!BW50</f>
        <v>7331990.714216033</v>
      </c>
      <c r="E50" s="3">
        <f>'Monthly Data'!DQ50</f>
        <v>31</v>
      </c>
      <c r="F50" s="3">
        <f>'Monthly Data'!CJ50</f>
        <v>3</v>
      </c>
      <c r="G50" s="3">
        <f>'Monthly Data'!ED50</f>
        <v>0</v>
      </c>
      <c r="I50" s="3">
        <f t="shared" si="6"/>
        <v>-5182660.36787258</v>
      </c>
      <c r="J50" s="3">
        <f t="shared" si="7"/>
        <v>5746871.2725865664</v>
      </c>
      <c r="K50" s="3">
        <f t="shared" si="8"/>
        <v>6913177.8619430996</v>
      </c>
      <c r="L50" s="3">
        <f t="shared" si="9"/>
        <v>0</v>
      </c>
      <c r="M50" s="47">
        <f t="shared" si="10"/>
        <v>7477388.7666570861</v>
      </c>
      <c r="N50" s="47">
        <f>'Monthly Data'!BX50</f>
        <v>502.39644871794872</v>
      </c>
      <c r="O50" s="47">
        <f t="shared" si="11"/>
        <v>7477891.1631058045</v>
      </c>
    </row>
    <row r="51" spans="1:15">
      <c r="A51" s="2">
        <f>'Monthly Data'!A51</f>
        <v>43862</v>
      </c>
      <c r="B51">
        <f>'Monthly Data'!B51</f>
        <v>2020</v>
      </c>
      <c r="C51">
        <f>'Monthly Data'!C51</f>
        <v>2</v>
      </c>
      <c r="D51" s="3">
        <f>'Monthly Data'!BW51</f>
        <v>6829773.7946677273</v>
      </c>
      <c r="E51" s="3">
        <f>'Monthly Data'!DQ51</f>
        <v>29</v>
      </c>
      <c r="F51" s="3">
        <f>'Monthly Data'!CJ51</f>
        <v>3</v>
      </c>
      <c r="G51" s="3">
        <f>'Monthly Data'!ED51</f>
        <v>0</v>
      </c>
      <c r="I51" s="3">
        <f t="shared" si="6"/>
        <v>-5182660.36787258</v>
      </c>
      <c r="J51" s="3">
        <f t="shared" si="7"/>
        <v>5376105.384032594</v>
      </c>
      <c r="K51" s="3">
        <f t="shared" si="8"/>
        <v>6913177.8619430996</v>
      </c>
      <c r="L51" s="3">
        <f t="shared" si="9"/>
        <v>0</v>
      </c>
      <c r="M51" s="47">
        <f t="shared" si="10"/>
        <v>7106622.8781031137</v>
      </c>
      <c r="N51" s="47">
        <f>'Monthly Data'!BX51</f>
        <v>514.79539743589737</v>
      </c>
      <c r="O51" s="47">
        <f t="shared" si="11"/>
        <v>7107137.67350055</v>
      </c>
    </row>
    <row r="52" spans="1:15">
      <c r="A52" s="2">
        <f>'Monthly Data'!A52</f>
        <v>43891</v>
      </c>
      <c r="B52">
        <f>'Monthly Data'!B52</f>
        <v>2020</v>
      </c>
      <c r="C52">
        <f>'Monthly Data'!C52</f>
        <v>3</v>
      </c>
      <c r="D52" s="3">
        <f>'Monthly Data'!BW52</f>
        <v>7275369.0159101635</v>
      </c>
      <c r="E52" s="3">
        <f>'Monthly Data'!DQ52</f>
        <v>31</v>
      </c>
      <c r="F52" s="3">
        <f>'Monthly Data'!CJ52</f>
        <v>3</v>
      </c>
      <c r="G52" s="3">
        <f>'Monthly Data'!ED52</f>
        <v>0</v>
      </c>
      <c r="I52" s="3">
        <f t="shared" si="6"/>
        <v>-5182660.36787258</v>
      </c>
      <c r="J52" s="3">
        <f t="shared" si="7"/>
        <v>5746871.2725865664</v>
      </c>
      <c r="K52" s="3">
        <f t="shared" si="8"/>
        <v>6913177.8619430996</v>
      </c>
      <c r="L52" s="3">
        <f t="shared" si="9"/>
        <v>0</v>
      </c>
      <c r="M52" s="47">
        <f t="shared" si="10"/>
        <v>7477388.7666570861</v>
      </c>
      <c r="N52" s="47">
        <f>'Monthly Data'!BX52</f>
        <v>527.19434615384614</v>
      </c>
      <c r="O52" s="47">
        <f t="shared" si="11"/>
        <v>7477915.9610032402</v>
      </c>
    </row>
    <row r="53" spans="1:15">
      <c r="A53" s="2">
        <f>'Monthly Data'!A53</f>
        <v>43922</v>
      </c>
      <c r="B53">
        <f>'Monthly Data'!B53</f>
        <v>2020</v>
      </c>
      <c r="C53">
        <f>'Monthly Data'!C53</f>
        <v>4</v>
      </c>
      <c r="D53" s="3">
        <f>'Monthly Data'!BW53</f>
        <v>7443530.8234592555</v>
      </c>
      <c r="E53" s="3">
        <f>'Monthly Data'!DQ53</f>
        <v>30</v>
      </c>
      <c r="F53" s="3">
        <f>'Monthly Data'!CJ53</f>
        <v>3</v>
      </c>
      <c r="G53" s="3">
        <f>'Monthly Data'!ED53</f>
        <v>0</v>
      </c>
      <c r="I53" s="3">
        <f t="shared" si="6"/>
        <v>-5182660.36787258</v>
      </c>
      <c r="J53" s="3">
        <f t="shared" si="7"/>
        <v>5561488.3283095798</v>
      </c>
      <c r="K53" s="3">
        <f t="shared" si="8"/>
        <v>6913177.8619430996</v>
      </c>
      <c r="L53" s="3">
        <f t="shared" si="9"/>
        <v>0</v>
      </c>
      <c r="M53" s="47">
        <f t="shared" si="10"/>
        <v>7292005.8223800994</v>
      </c>
      <c r="N53" s="47">
        <f>'Monthly Data'!BX53</f>
        <v>539.5932948717948</v>
      </c>
      <c r="O53" s="47">
        <f t="shared" si="11"/>
        <v>7292545.4156749714</v>
      </c>
    </row>
    <row r="54" spans="1:15">
      <c r="A54" s="2">
        <f>'Monthly Data'!A54</f>
        <v>43952</v>
      </c>
      <c r="B54">
        <f>'Monthly Data'!B54</f>
        <v>2020</v>
      </c>
      <c r="C54">
        <f>'Monthly Data'!C54</f>
        <v>5</v>
      </c>
      <c r="D54" s="3">
        <f>'Monthly Data'!BW54</f>
        <v>7607514.4728598408</v>
      </c>
      <c r="E54" s="3">
        <f>'Monthly Data'!DQ54</f>
        <v>31</v>
      </c>
      <c r="F54" s="3">
        <f>'Monthly Data'!CJ54</f>
        <v>3</v>
      </c>
      <c r="G54" s="3">
        <f>'Monthly Data'!ED54</f>
        <v>0</v>
      </c>
      <c r="I54" s="3">
        <f t="shared" si="6"/>
        <v>-5182660.36787258</v>
      </c>
      <c r="J54" s="3">
        <f t="shared" si="7"/>
        <v>5746871.2725865664</v>
      </c>
      <c r="K54" s="3">
        <f t="shared" si="8"/>
        <v>6913177.8619430996</v>
      </c>
      <c r="L54" s="3">
        <f t="shared" si="9"/>
        <v>0</v>
      </c>
      <c r="M54" s="47">
        <f t="shared" si="10"/>
        <v>7477388.7666570861</v>
      </c>
      <c r="N54" s="47">
        <f>'Monthly Data'!BX54</f>
        <v>551.99224358974357</v>
      </c>
      <c r="O54" s="47">
        <f t="shared" si="11"/>
        <v>7477940.7589006759</v>
      </c>
    </row>
    <row r="55" spans="1:15">
      <c r="A55" s="2">
        <f>'Monthly Data'!A55</f>
        <v>43983</v>
      </c>
      <c r="B55">
        <f>'Monthly Data'!B55</f>
        <v>2020</v>
      </c>
      <c r="C55">
        <f>'Monthly Data'!C55</f>
        <v>6</v>
      </c>
      <c r="D55" s="3">
        <f>'Monthly Data'!BW55</f>
        <v>7438554.785712692</v>
      </c>
      <c r="E55" s="3">
        <f>'Monthly Data'!DQ55</f>
        <v>30</v>
      </c>
      <c r="F55" s="3">
        <f>'Monthly Data'!CJ55</f>
        <v>3</v>
      </c>
      <c r="G55" s="3">
        <f>'Monthly Data'!ED55</f>
        <v>0</v>
      </c>
      <c r="I55" s="3">
        <f t="shared" si="6"/>
        <v>-5182660.36787258</v>
      </c>
      <c r="J55" s="3">
        <f t="shared" si="7"/>
        <v>5561488.3283095798</v>
      </c>
      <c r="K55" s="3">
        <f t="shared" si="8"/>
        <v>6913177.8619430996</v>
      </c>
      <c r="L55" s="3">
        <f t="shared" si="9"/>
        <v>0</v>
      </c>
      <c r="M55" s="47">
        <f t="shared" si="10"/>
        <v>7292005.8223800994</v>
      </c>
      <c r="N55" s="47">
        <f>'Monthly Data'!BX55</f>
        <v>564.39119230769222</v>
      </c>
      <c r="O55" s="47">
        <f t="shared" si="11"/>
        <v>7292570.2135724071</v>
      </c>
    </row>
    <row r="56" spans="1:15">
      <c r="A56" s="2">
        <f>'Monthly Data'!A56</f>
        <v>44013</v>
      </c>
      <c r="B56">
        <f>'Monthly Data'!B56</f>
        <v>2020</v>
      </c>
      <c r="C56">
        <f>'Monthly Data'!C56</f>
        <v>7</v>
      </c>
      <c r="D56" s="3">
        <f>'Monthly Data'!BW56</f>
        <v>7827764.0860293815</v>
      </c>
      <c r="E56" s="3">
        <f>'Monthly Data'!DQ56</f>
        <v>31</v>
      </c>
      <c r="F56" s="3">
        <f>'Monthly Data'!CJ56</f>
        <v>3</v>
      </c>
      <c r="G56" s="3">
        <f>'Monthly Data'!ED56</f>
        <v>0</v>
      </c>
      <c r="I56" s="3">
        <f t="shared" si="6"/>
        <v>-5182660.36787258</v>
      </c>
      <c r="J56" s="3">
        <f t="shared" si="7"/>
        <v>5746871.2725865664</v>
      </c>
      <c r="K56" s="3">
        <f t="shared" si="8"/>
        <v>6913177.8619430996</v>
      </c>
      <c r="L56" s="3">
        <f t="shared" si="9"/>
        <v>0</v>
      </c>
      <c r="M56" s="47">
        <f t="shared" si="10"/>
        <v>7477388.7666570861</v>
      </c>
      <c r="N56" s="47">
        <f>'Monthly Data'!BX56</f>
        <v>576.79014102564099</v>
      </c>
      <c r="O56" s="47">
        <f t="shared" si="11"/>
        <v>7477965.5567981116</v>
      </c>
    </row>
    <row r="57" spans="1:15">
      <c r="A57" s="2">
        <f>'Monthly Data'!A57</f>
        <v>44044</v>
      </c>
      <c r="B57">
        <f>'Monthly Data'!B57</f>
        <v>2020</v>
      </c>
      <c r="C57">
        <f>'Monthly Data'!C57</f>
        <v>8</v>
      </c>
      <c r="D57" s="3">
        <f>'Monthly Data'!BW57</f>
        <v>7629281.0044752909</v>
      </c>
      <c r="E57" s="3">
        <f>'Monthly Data'!DQ57</f>
        <v>31</v>
      </c>
      <c r="F57" s="3">
        <f>'Monthly Data'!CJ57</f>
        <v>3</v>
      </c>
      <c r="G57" s="3">
        <f>'Monthly Data'!ED57</f>
        <v>0</v>
      </c>
      <c r="I57" s="3">
        <f t="shared" si="6"/>
        <v>-5182660.36787258</v>
      </c>
      <c r="J57" s="3">
        <f t="shared" si="7"/>
        <v>5746871.2725865664</v>
      </c>
      <c r="K57" s="3">
        <f t="shared" si="8"/>
        <v>6913177.8619430996</v>
      </c>
      <c r="L57" s="3">
        <f t="shared" si="9"/>
        <v>0</v>
      </c>
      <c r="M57" s="47">
        <f t="shared" si="10"/>
        <v>7477388.7666570861</v>
      </c>
      <c r="N57" s="47">
        <f>'Monthly Data'!BX57</f>
        <v>589.18908974358965</v>
      </c>
      <c r="O57" s="47">
        <f t="shared" si="11"/>
        <v>7477977.9557468295</v>
      </c>
    </row>
    <row r="58" spans="1:15">
      <c r="A58" s="2">
        <f>'Monthly Data'!A58</f>
        <v>44075</v>
      </c>
      <c r="B58">
        <f>'Monthly Data'!B58</f>
        <v>2020</v>
      </c>
      <c r="C58">
        <f>'Monthly Data'!C58</f>
        <v>9</v>
      </c>
      <c r="D58" s="3">
        <f>'Monthly Data'!BW58</f>
        <v>6954633.5641941009</v>
      </c>
      <c r="E58" s="3">
        <f>'Monthly Data'!DQ58</f>
        <v>30</v>
      </c>
      <c r="F58" s="3">
        <f>'Monthly Data'!CJ58</f>
        <v>3</v>
      </c>
      <c r="G58" s="3">
        <f>'Monthly Data'!ED58</f>
        <v>0</v>
      </c>
      <c r="I58" s="3">
        <f t="shared" si="6"/>
        <v>-5182660.36787258</v>
      </c>
      <c r="J58" s="3">
        <f t="shared" si="7"/>
        <v>5561488.3283095798</v>
      </c>
      <c r="K58" s="3">
        <f t="shared" si="8"/>
        <v>6913177.8619430996</v>
      </c>
      <c r="L58" s="3">
        <f t="shared" si="9"/>
        <v>0</v>
      </c>
      <c r="M58" s="47">
        <f t="shared" si="10"/>
        <v>7292005.8223800994</v>
      </c>
      <c r="N58" s="47">
        <f>'Monthly Data'!BX58</f>
        <v>601.58803846153842</v>
      </c>
      <c r="O58" s="47">
        <f t="shared" si="11"/>
        <v>7292607.4104185607</v>
      </c>
    </row>
    <row r="59" spans="1:15">
      <c r="A59" s="2">
        <f>'Monthly Data'!A59</f>
        <v>44105</v>
      </c>
      <c r="B59">
        <f>'Monthly Data'!B59</f>
        <v>2020</v>
      </c>
      <c r="C59">
        <f>'Monthly Data'!C59</f>
        <v>10</v>
      </c>
      <c r="D59" s="3">
        <f>'Monthly Data'!BW59</f>
        <v>6913489.8461887073</v>
      </c>
      <c r="E59" s="3">
        <f>'Monthly Data'!DQ59</f>
        <v>31</v>
      </c>
      <c r="F59" s="3">
        <f>'Monthly Data'!CJ59</f>
        <v>3</v>
      </c>
      <c r="G59" s="3">
        <f>'Monthly Data'!ED59</f>
        <v>0</v>
      </c>
      <c r="I59" s="3">
        <f t="shared" si="6"/>
        <v>-5182660.36787258</v>
      </c>
      <c r="J59" s="3">
        <f t="shared" si="7"/>
        <v>5746871.2725865664</v>
      </c>
      <c r="K59" s="3">
        <f t="shared" si="8"/>
        <v>6913177.8619430996</v>
      </c>
      <c r="L59" s="3">
        <f t="shared" si="9"/>
        <v>0</v>
      </c>
      <c r="M59" s="47">
        <f t="shared" si="10"/>
        <v>7477388.7666570861</v>
      </c>
      <c r="N59" s="47">
        <f>'Monthly Data'!BX59</f>
        <v>613.98698717948707</v>
      </c>
      <c r="O59" s="47">
        <f t="shared" si="11"/>
        <v>7478002.7536442652</v>
      </c>
    </row>
    <row r="60" spans="1:15">
      <c r="A60" s="2">
        <f>'Monthly Data'!A60</f>
        <v>44136</v>
      </c>
      <c r="B60">
        <f>'Monthly Data'!B60</f>
        <v>2020</v>
      </c>
      <c r="C60">
        <f>'Monthly Data'!C60</f>
        <v>11</v>
      </c>
      <c r="D60" s="3">
        <f>'Monthly Data'!BW60</f>
        <v>6722600.4965536129</v>
      </c>
      <c r="E60" s="3">
        <f>'Monthly Data'!DQ60</f>
        <v>30</v>
      </c>
      <c r="F60" s="3">
        <f>'Monthly Data'!CJ60</f>
        <v>3</v>
      </c>
      <c r="G60" s="3">
        <f>'Monthly Data'!ED60</f>
        <v>0</v>
      </c>
      <c r="I60" s="3">
        <f t="shared" si="6"/>
        <v>-5182660.36787258</v>
      </c>
      <c r="J60" s="3">
        <f t="shared" si="7"/>
        <v>5561488.3283095798</v>
      </c>
      <c r="K60" s="3">
        <f t="shared" si="8"/>
        <v>6913177.8619430996</v>
      </c>
      <c r="L60" s="3">
        <f t="shared" si="9"/>
        <v>0</v>
      </c>
      <c r="M60" s="47">
        <f t="shared" si="10"/>
        <v>7292005.8223800994</v>
      </c>
      <c r="N60" s="47">
        <f>'Monthly Data'!BX60</f>
        <v>626.38593589743584</v>
      </c>
      <c r="O60" s="47">
        <f t="shared" si="11"/>
        <v>7292632.2083159965</v>
      </c>
    </row>
    <row r="61" spans="1:15">
      <c r="A61" s="2">
        <f>'Monthly Data'!A61</f>
        <v>44166</v>
      </c>
      <c r="B61">
        <f>'Monthly Data'!B61</f>
        <v>2020</v>
      </c>
      <c r="C61">
        <f>'Monthly Data'!C61</f>
        <v>12</v>
      </c>
      <c r="D61" s="3">
        <f>'Monthly Data'!BW61</f>
        <v>7326414.6763302833</v>
      </c>
      <c r="E61" s="3">
        <f>'Monthly Data'!DQ61</f>
        <v>31</v>
      </c>
      <c r="F61" s="3">
        <f>'Monthly Data'!CJ61</f>
        <v>3</v>
      </c>
      <c r="G61" s="3">
        <f>'Monthly Data'!ED61</f>
        <v>1</v>
      </c>
      <c r="I61" s="3">
        <f t="shared" si="6"/>
        <v>-5182660.36787258</v>
      </c>
      <c r="J61" s="3">
        <f t="shared" si="7"/>
        <v>5746871.2725865664</v>
      </c>
      <c r="K61" s="3">
        <f t="shared" si="8"/>
        <v>6913177.8619430996</v>
      </c>
      <c r="L61" s="3">
        <f t="shared" si="9"/>
        <v>-145191.56089796999</v>
      </c>
      <c r="M61" s="47">
        <f t="shared" si="10"/>
        <v>7332197.2057591164</v>
      </c>
      <c r="N61" s="47">
        <f>'Monthly Data'!BX61</f>
        <v>638.7848846153845</v>
      </c>
      <c r="O61" s="47">
        <f t="shared" si="11"/>
        <v>7332835.9906437322</v>
      </c>
    </row>
    <row r="62" spans="1:15">
      <c r="A62" s="2">
        <f>'Monthly Data'!A62</f>
        <v>44197</v>
      </c>
      <c r="B62">
        <f>'Monthly Data'!B62</f>
        <v>2021</v>
      </c>
      <c r="C62">
        <f>'Monthly Data'!C62</f>
        <v>1</v>
      </c>
      <c r="D62" s="3">
        <f ca="1">'Monthly Data'!BW62</f>
        <v>7897272.6694190977</v>
      </c>
      <c r="E62" s="3">
        <f>'Monthly Data'!DQ62</f>
        <v>31</v>
      </c>
      <c r="F62" s="3">
        <f>'Monthly Data'!CJ62</f>
        <v>3</v>
      </c>
      <c r="G62" s="3">
        <f>'Monthly Data'!ED62</f>
        <v>0</v>
      </c>
      <c r="I62" s="3">
        <f t="shared" si="6"/>
        <v>-5182660.36787258</v>
      </c>
      <c r="J62" s="3">
        <f t="shared" si="7"/>
        <v>5746871.2725865664</v>
      </c>
      <c r="K62" s="3">
        <f t="shared" si="8"/>
        <v>6913177.8619430996</v>
      </c>
      <c r="L62" s="3">
        <f t="shared" si="9"/>
        <v>0</v>
      </c>
      <c r="M62" s="47">
        <f t="shared" si="10"/>
        <v>7477388.7666570861</v>
      </c>
      <c r="N62" s="47">
        <f>'Monthly Data'!BX62</f>
        <v>670.64301282051292</v>
      </c>
      <c r="O62" s="47">
        <f t="shared" si="11"/>
        <v>7478059.4096699068</v>
      </c>
    </row>
    <row r="63" spans="1:15">
      <c r="A63" s="2">
        <f>'Monthly Data'!A63</f>
        <v>44228</v>
      </c>
      <c r="B63">
        <f>'Monthly Data'!B63</f>
        <v>2021</v>
      </c>
      <c r="C63">
        <f>'Monthly Data'!C63</f>
        <v>2</v>
      </c>
      <c r="D63" s="3">
        <f ca="1">'Monthly Data'!BW63</f>
        <v>7362682.0108770644</v>
      </c>
      <c r="E63" s="3">
        <f>'Monthly Data'!DQ63</f>
        <v>28</v>
      </c>
      <c r="F63" s="3">
        <f>'Monthly Data'!CJ63</f>
        <v>3</v>
      </c>
      <c r="G63" s="3">
        <f>'Monthly Data'!ED63</f>
        <v>0</v>
      </c>
      <c r="I63" s="3">
        <f t="shared" si="6"/>
        <v>-5182660.36787258</v>
      </c>
      <c r="J63" s="3">
        <f t="shared" si="7"/>
        <v>5190722.4397556083</v>
      </c>
      <c r="K63" s="3">
        <f t="shared" si="8"/>
        <v>6913177.8619430996</v>
      </c>
      <c r="L63" s="3">
        <f t="shared" si="9"/>
        <v>0</v>
      </c>
      <c r="M63" s="47">
        <f t="shared" si="10"/>
        <v>6921239.933826128</v>
      </c>
      <c r="N63" s="47">
        <f>'Monthly Data'!BX63</f>
        <v>690.10219230769235</v>
      </c>
      <c r="O63" s="47">
        <f t="shared" si="11"/>
        <v>6921930.0360184358</v>
      </c>
    </row>
    <row r="64" spans="1:15">
      <c r="A64" s="2">
        <f>'Monthly Data'!A64</f>
        <v>44256</v>
      </c>
      <c r="B64">
        <f>'Monthly Data'!B64</f>
        <v>2021</v>
      </c>
      <c r="C64">
        <f>'Monthly Data'!C64</f>
        <v>3</v>
      </c>
      <c r="D64" s="3">
        <f ca="1">'Monthly Data'!BW64</f>
        <v>7681457.475768012</v>
      </c>
      <c r="E64" s="3">
        <f>'Monthly Data'!DQ64</f>
        <v>31</v>
      </c>
      <c r="F64" s="3">
        <f>'Monthly Data'!CJ64</f>
        <v>3</v>
      </c>
      <c r="G64" s="3">
        <f>'Monthly Data'!ED64</f>
        <v>0</v>
      </c>
      <c r="I64" s="3">
        <f t="shared" si="6"/>
        <v>-5182660.36787258</v>
      </c>
      <c r="J64" s="3">
        <f t="shared" si="7"/>
        <v>5746871.2725865664</v>
      </c>
      <c r="K64" s="3">
        <f t="shared" si="8"/>
        <v>6913177.8619430996</v>
      </c>
      <c r="L64" s="3">
        <f t="shared" si="9"/>
        <v>0</v>
      </c>
      <c r="M64" s="47">
        <f t="shared" si="10"/>
        <v>7477388.7666570861</v>
      </c>
      <c r="N64" s="47">
        <f>'Monthly Data'!BX64</f>
        <v>709.56137179487189</v>
      </c>
      <c r="O64" s="47">
        <f t="shared" si="11"/>
        <v>7478098.328028881</v>
      </c>
    </row>
    <row r="65" spans="1:15">
      <c r="A65" s="2">
        <f>'Monthly Data'!A65</f>
        <v>44287</v>
      </c>
      <c r="B65">
        <f>'Monthly Data'!B65</f>
        <v>2021</v>
      </c>
      <c r="C65">
        <f>'Monthly Data'!C65</f>
        <v>4</v>
      </c>
      <c r="D65" s="3">
        <f ca="1">'Monthly Data'!BW65</f>
        <v>7342324.2617775705</v>
      </c>
      <c r="E65" s="3">
        <f>'Monthly Data'!DQ65</f>
        <v>30</v>
      </c>
      <c r="F65" s="3">
        <f>'Monthly Data'!CJ65</f>
        <v>3</v>
      </c>
      <c r="G65" s="3">
        <f>'Monthly Data'!ED65</f>
        <v>0</v>
      </c>
      <c r="I65" s="3">
        <f t="shared" si="6"/>
        <v>-5182660.36787258</v>
      </c>
      <c r="J65" s="3">
        <f t="shared" si="7"/>
        <v>5561488.3283095798</v>
      </c>
      <c r="K65" s="3">
        <f t="shared" si="8"/>
        <v>6913177.8619430996</v>
      </c>
      <c r="L65" s="3">
        <f t="shared" si="9"/>
        <v>0</v>
      </c>
      <c r="M65" s="47">
        <f t="shared" si="10"/>
        <v>7292005.8223800994</v>
      </c>
      <c r="N65" s="47">
        <f>'Monthly Data'!BX65</f>
        <v>729.02055128205143</v>
      </c>
      <c r="O65" s="47">
        <f t="shared" si="11"/>
        <v>7292734.8429313814</v>
      </c>
    </row>
    <row r="66" spans="1:15">
      <c r="A66" s="2">
        <f>'Monthly Data'!A66</f>
        <v>44317</v>
      </c>
      <c r="B66">
        <f>'Monthly Data'!B66</f>
        <v>2021</v>
      </c>
      <c r="C66">
        <f>'Monthly Data'!C66</f>
        <v>5</v>
      </c>
      <c r="D66" s="3">
        <f ca="1">'Monthly Data'!BW66</f>
        <v>7598741.2406511586</v>
      </c>
      <c r="E66" s="3">
        <f>'Monthly Data'!DQ66</f>
        <v>31</v>
      </c>
      <c r="F66" s="3">
        <f>'Monthly Data'!CJ66</f>
        <v>3</v>
      </c>
      <c r="G66" s="3">
        <f>'Monthly Data'!ED66</f>
        <v>0</v>
      </c>
      <c r="I66" s="3">
        <f t="shared" ref="I66:I97" si="12">$S$8</f>
        <v>-5182660.36787258</v>
      </c>
      <c r="J66" s="3">
        <f t="shared" ref="J66:J97" si="13">E66*$S$9</f>
        <v>5746871.2725865664</v>
      </c>
      <c r="K66" s="3">
        <f t="shared" ref="K66:K97" si="14">F66*$S$10</f>
        <v>6913177.8619430996</v>
      </c>
      <c r="L66" s="3">
        <f t="shared" ref="L66:L97" si="15">G66*$S$11</f>
        <v>0</v>
      </c>
      <c r="M66" s="47">
        <f t="shared" si="10"/>
        <v>7477388.7666570861</v>
      </c>
      <c r="N66" s="47">
        <f>'Monthly Data'!BX66</f>
        <v>748.47973076923086</v>
      </c>
      <c r="O66" s="47">
        <f t="shared" si="11"/>
        <v>7478137.2463878551</v>
      </c>
    </row>
    <row r="67" spans="1:15">
      <c r="A67" s="2">
        <f>'Monthly Data'!A67</f>
        <v>44348</v>
      </c>
      <c r="B67">
        <f>'Monthly Data'!B67</f>
        <v>2021</v>
      </c>
      <c r="C67">
        <f>'Monthly Data'!C67</f>
        <v>6</v>
      </c>
      <c r="D67" s="3">
        <f ca="1">'Monthly Data'!BW67</f>
        <v>7414560.4567475058</v>
      </c>
      <c r="E67" s="3">
        <f>'Monthly Data'!DQ67</f>
        <v>30</v>
      </c>
      <c r="F67" s="3">
        <f>'Monthly Data'!CJ67</f>
        <v>3</v>
      </c>
      <c r="G67" s="3">
        <f>'Monthly Data'!ED67</f>
        <v>0</v>
      </c>
      <c r="I67" s="3">
        <f t="shared" si="12"/>
        <v>-5182660.36787258</v>
      </c>
      <c r="J67" s="3">
        <f t="shared" si="13"/>
        <v>5561488.3283095798</v>
      </c>
      <c r="K67" s="3">
        <f t="shared" si="14"/>
        <v>6913177.8619430996</v>
      </c>
      <c r="L67" s="3">
        <f t="shared" si="15"/>
        <v>0</v>
      </c>
      <c r="M67" s="47">
        <f t="shared" si="10"/>
        <v>7292005.8223800994</v>
      </c>
      <c r="N67" s="47">
        <f>'Monthly Data'!BX67</f>
        <v>767.9389102564104</v>
      </c>
      <c r="O67" s="47">
        <f t="shared" si="11"/>
        <v>7292773.7612903556</v>
      </c>
    </row>
    <row r="68" spans="1:15">
      <c r="A68" s="2">
        <f>'Monthly Data'!A68</f>
        <v>44378</v>
      </c>
      <c r="B68">
        <f>'Monthly Data'!B68</f>
        <v>2021</v>
      </c>
      <c r="C68">
        <f>'Monthly Data'!C68</f>
        <v>7</v>
      </c>
      <c r="D68" s="3">
        <f ca="1">'Monthly Data'!BW68</f>
        <v>7639183.1154668052</v>
      </c>
      <c r="E68" s="3">
        <f>'Monthly Data'!DQ68</f>
        <v>31</v>
      </c>
      <c r="F68" s="3">
        <f>'Monthly Data'!CJ68</f>
        <v>3</v>
      </c>
      <c r="G68" s="3">
        <f>'Monthly Data'!ED68</f>
        <v>0</v>
      </c>
      <c r="I68" s="3">
        <f t="shared" si="12"/>
        <v>-5182660.36787258</v>
      </c>
      <c r="J68" s="3">
        <f t="shared" si="13"/>
        <v>5746871.2725865664</v>
      </c>
      <c r="K68" s="3">
        <f t="shared" si="14"/>
        <v>6913177.8619430996</v>
      </c>
      <c r="L68" s="3">
        <f t="shared" si="15"/>
        <v>0</v>
      </c>
      <c r="M68" s="47">
        <f t="shared" si="10"/>
        <v>7477388.7666570861</v>
      </c>
      <c r="N68" s="47">
        <f>'Monthly Data'!BX68</f>
        <v>787.39808974358982</v>
      </c>
      <c r="O68" s="47">
        <f t="shared" si="11"/>
        <v>7478176.1647468293</v>
      </c>
    </row>
    <row r="69" spans="1:15">
      <c r="A69" s="2">
        <f>'Monthly Data'!A69</f>
        <v>44409</v>
      </c>
      <c r="B69">
        <f>'Monthly Data'!B69</f>
        <v>2021</v>
      </c>
      <c r="C69">
        <f>'Monthly Data'!C69</f>
        <v>8</v>
      </c>
      <c r="D69" s="3">
        <f ca="1">'Monthly Data'!BW69</f>
        <v>7851829.1396634411</v>
      </c>
      <c r="E69" s="3">
        <f>'Monthly Data'!DQ69</f>
        <v>31</v>
      </c>
      <c r="F69" s="3">
        <f>'Monthly Data'!CJ69</f>
        <v>3</v>
      </c>
      <c r="G69" s="3">
        <f>'Monthly Data'!ED69</f>
        <v>0</v>
      </c>
      <c r="I69" s="3">
        <f t="shared" si="12"/>
        <v>-5182660.36787258</v>
      </c>
      <c r="J69" s="3">
        <f t="shared" si="13"/>
        <v>5746871.2725865664</v>
      </c>
      <c r="K69" s="3">
        <f t="shared" si="14"/>
        <v>6913177.8619430996</v>
      </c>
      <c r="L69" s="3">
        <f t="shared" si="15"/>
        <v>0</v>
      </c>
      <c r="M69" s="47">
        <f t="shared" si="10"/>
        <v>7477388.7666570861</v>
      </c>
      <c r="N69" s="47">
        <f>'Monthly Data'!BX69</f>
        <v>806.85726923076936</v>
      </c>
      <c r="O69" s="47">
        <f t="shared" si="11"/>
        <v>7478195.6239263173</v>
      </c>
    </row>
    <row r="70" spans="1:15">
      <c r="A70" s="2">
        <f>'Monthly Data'!A70</f>
        <v>44440</v>
      </c>
      <c r="B70">
        <f>'Monthly Data'!B70</f>
        <v>2021</v>
      </c>
      <c r="C70">
        <f>'Monthly Data'!C70</f>
        <v>9</v>
      </c>
      <c r="D70" s="3">
        <f ca="1">'Monthly Data'!BW70</f>
        <v>7602094.9806392472</v>
      </c>
      <c r="E70" s="3">
        <f>'Monthly Data'!DQ70</f>
        <v>30</v>
      </c>
      <c r="F70" s="3">
        <f>'Monthly Data'!CJ70</f>
        <v>3</v>
      </c>
      <c r="G70" s="3">
        <f>'Monthly Data'!ED70</f>
        <v>0</v>
      </c>
      <c r="I70" s="3">
        <f t="shared" si="12"/>
        <v>-5182660.36787258</v>
      </c>
      <c r="J70" s="3">
        <f t="shared" si="13"/>
        <v>5561488.3283095798</v>
      </c>
      <c r="K70" s="3">
        <f t="shared" si="14"/>
        <v>6913177.8619430996</v>
      </c>
      <c r="L70" s="3">
        <f t="shared" si="15"/>
        <v>0</v>
      </c>
      <c r="M70" s="47">
        <f t="shared" si="10"/>
        <v>7292005.8223800994</v>
      </c>
      <c r="N70" s="47">
        <f>'Monthly Data'!BX70</f>
        <v>826.31644871794879</v>
      </c>
      <c r="O70" s="47">
        <f t="shared" si="11"/>
        <v>7292832.1388288178</v>
      </c>
    </row>
    <row r="71" spans="1:15">
      <c r="A71" s="2">
        <f>'Monthly Data'!A71</f>
        <v>44470</v>
      </c>
      <c r="B71">
        <f>'Monthly Data'!B71</f>
        <v>2021</v>
      </c>
      <c r="C71">
        <f>'Monthly Data'!C71</f>
        <v>10</v>
      </c>
      <c r="D71" s="3">
        <f ca="1">'Monthly Data'!BW71</f>
        <v>7675653.0202650055</v>
      </c>
      <c r="E71" s="3">
        <f>'Monthly Data'!DQ71</f>
        <v>31</v>
      </c>
      <c r="F71" s="3">
        <f>'Monthly Data'!CJ71</f>
        <v>3</v>
      </c>
      <c r="G71" s="3">
        <f>'Monthly Data'!ED71</f>
        <v>0</v>
      </c>
      <c r="I71" s="3">
        <f t="shared" si="12"/>
        <v>-5182660.36787258</v>
      </c>
      <c r="J71" s="3">
        <f t="shared" si="13"/>
        <v>5746871.2725865664</v>
      </c>
      <c r="K71" s="3">
        <f t="shared" si="14"/>
        <v>6913177.8619430996</v>
      </c>
      <c r="L71" s="3">
        <f t="shared" si="15"/>
        <v>0</v>
      </c>
      <c r="M71" s="47">
        <f t="shared" si="10"/>
        <v>7477388.7666570861</v>
      </c>
      <c r="N71" s="47">
        <f>'Monthly Data'!BX71</f>
        <v>845.77562820512833</v>
      </c>
      <c r="O71" s="47">
        <f t="shared" si="11"/>
        <v>7478234.5422852915</v>
      </c>
    </row>
    <row r="72" spans="1:15">
      <c r="A72" s="2">
        <f>'Monthly Data'!A72</f>
        <v>44501</v>
      </c>
      <c r="B72">
        <f>'Monthly Data'!B72</f>
        <v>2021</v>
      </c>
      <c r="C72">
        <f>'Monthly Data'!C72</f>
        <v>11</v>
      </c>
      <c r="D72" s="3">
        <f ca="1">'Monthly Data'!BW72</f>
        <v>7575112.0434973231</v>
      </c>
      <c r="E72" s="3">
        <f>'Monthly Data'!DQ72</f>
        <v>30</v>
      </c>
      <c r="F72" s="3">
        <f>'Monthly Data'!CJ72</f>
        <v>3</v>
      </c>
      <c r="G72" s="3">
        <f>'Monthly Data'!ED72</f>
        <v>0</v>
      </c>
      <c r="I72" s="3">
        <f t="shared" si="12"/>
        <v>-5182660.36787258</v>
      </c>
      <c r="J72" s="3">
        <f t="shared" si="13"/>
        <v>5561488.3283095798</v>
      </c>
      <c r="K72" s="3">
        <f t="shared" si="14"/>
        <v>6913177.8619430996</v>
      </c>
      <c r="L72" s="3">
        <f t="shared" si="15"/>
        <v>0</v>
      </c>
      <c r="M72" s="47">
        <f t="shared" si="10"/>
        <v>7292005.8223800994</v>
      </c>
      <c r="N72" s="47">
        <f>'Monthly Data'!BX72</f>
        <v>865.23480769230787</v>
      </c>
      <c r="O72" s="47">
        <f t="shared" si="11"/>
        <v>7292871.0571877919</v>
      </c>
    </row>
    <row r="73" spans="1:15">
      <c r="A73" s="2">
        <f>'Monthly Data'!A73</f>
        <v>44531</v>
      </c>
      <c r="B73">
        <f>'Monthly Data'!B73</f>
        <v>2021</v>
      </c>
      <c r="C73">
        <f>'Monthly Data'!C73</f>
        <v>12</v>
      </c>
      <c r="D73" s="3">
        <f ca="1">'Monthly Data'!BW73</f>
        <v>7578255.4254567362</v>
      </c>
      <c r="E73" s="3">
        <f>'Monthly Data'!DQ73</f>
        <v>31</v>
      </c>
      <c r="F73" s="3">
        <f>'Monthly Data'!CJ73</f>
        <v>3</v>
      </c>
      <c r="G73" s="3">
        <f>'Monthly Data'!ED73</f>
        <v>1</v>
      </c>
      <c r="I73" s="3">
        <f t="shared" si="12"/>
        <v>-5182660.36787258</v>
      </c>
      <c r="J73" s="3">
        <f t="shared" si="13"/>
        <v>5746871.2725865664</v>
      </c>
      <c r="K73" s="3">
        <f t="shared" si="14"/>
        <v>6913177.8619430996</v>
      </c>
      <c r="L73" s="3">
        <f t="shared" si="15"/>
        <v>-145191.56089796999</v>
      </c>
      <c r="M73" s="47">
        <f t="shared" si="10"/>
        <v>7332197.2057591164</v>
      </c>
      <c r="N73" s="47">
        <f>'Monthly Data'!BX73</f>
        <v>884.69398717948729</v>
      </c>
      <c r="O73" s="47">
        <f t="shared" si="11"/>
        <v>7333081.899746296</v>
      </c>
    </row>
    <row r="74" spans="1:15">
      <c r="A74" s="2">
        <f>'Monthly Data'!A74</f>
        <v>44562</v>
      </c>
      <c r="B74">
        <f>'Monthly Data'!B74</f>
        <v>2022</v>
      </c>
      <c r="C74">
        <f>'Monthly Data'!C74</f>
        <v>1</v>
      </c>
      <c r="D74" s="3">
        <f ca="1">'Monthly Data'!BW74</f>
        <v>8322920.9923291262</v>
      </c>
      <c r="E74" s="3">
        <f>'Monthly Data'!DQ74</f>
        <v>31</v>
      </c>
      <c r="F74" s="3">
        <f>'Monthly Data'!CJ74</f>
        <v>3</v>
      </c>
      <c r="G74" s="3">
        <f>'Monthly Data'!ED74</f>
        <v>0</v>
      </c>
      <c r="I74" s="3">
        <f t="shared" si="12"/>
        <v>-5182660.36787258</v>
      </c>
      <c r="J74" s="3">
        <f t="shared" si="13"/>
        <v>5746871.2725865664</v>
      </c>
      <c r="K74" s="3">
        <f t="shared" si="14"/>
        <v>6913177.8619430996</v>
      </c>
      <c r="L74" s="3">
        <f t="shared" si="15"/>
        <v>0</v>
      </c>
      <c r="M74" s="47">
        <f t="shared" si="10"/>
        <v>7477388.7666570861</v>
      </c>
      <c r="N74" s="47">
        <f>'Monthly Data'!BX74</f>
        <v>962.3623076923077</v>
      </c>
      <c r="O74" s="47">
        <f t="shared" si="11"/>
        <v>7478351.128964778</v>
      </c>
    </row>
    <row r="75" spans="1:15">
      <c r="A75" s="2">
        <f>'Monthly Data'!A75</f>
        <v>44593</v>
      </c>
      <c r="B75">
        <f>'Monthly Data'!B75</f>
        <v>2022</v>
      </c>
      <c r="C75">
        <f>'Monthly Data'!C75</f>
        <v>2</v>
      </c>
      <c r="D75" s="3">
        <f ca="1">'Monthly Data'!BW75</f>
        <v>7689767.9800311103</v>
      </c>
      <c r="E75" s="3">
        <f>'Monthly Data'!DQ75</f>
        <v>28</v>
      </c>
      <c r="F75" s="3">
        <f>'Monthly Data'!CJ75</f>
        <v>3</v>
      </c>
      <c r="G75" s="3">
        <f>'Monthly Data'!ED75</f>
        <v>0</v>
      </c>
      <c r="I75" s="3">
        <f t="shared" si="12"/>
        <v>-5182660.36787258</v>
      </c>
      <c r="J75" s="3">
        <f t="shared" si="13"/>
        <v>5190722.4397556083</v>
      </c>
      <c r="K75" s="3">
        <f t="shared" si="14"/>
        <v>6913177.8619430996</v>
      </c>
      <c r="L75" s="3">
        <f t="shared" si="15"/>
        <v>0</v>
      </c>
      <c r="M75" s="47">
        <f t="shared" si="10"/>
        <v>6921239.933826128</v>
      </c>
      <c r="N75" s="47">
        <f>'Monthly Data'!BX75</f>
        <v>1020.5714487179487</v>
      </c>
      <c r="O75" s="47">
        <f t="shared" si="11"/>
        <v>6922260.5052748462</v>
      </c>
    </row>
    <row r="76" spans="1:15">
      <c r="A76" s="2">
        <f>'Monthly Data'!A76</f>
        <v>44621</v>
      </c>
      <c r="B76">
        <f>'Monthly Data'!B76</f>
        <v>2022</v>
      </c>
      <c r="C76">
        <f>'Monthly Data'!C76</f>
        <v>3</v>
      </c>
      <c r="D76" s="3">
        <f ca="1">'Monthly Data'!BW76</f>
        <v>8523568.1982056126</v>
      </c>
      <c r="E76" s="3">
        <f>'Monthly Data'!DQ76</f>
        <v>31</v>
      </c>
      <c r="F76" s="3">
        <f>'Monthly Data'!CJ76</f>
        <v>3</v>
      </c>
      <c r="G76" s="3">
        <f>'Monthly Data'!ED76</f>
        <v>0</v>
      </c>
      <c r="I76" s="3">
        <f t="shared" si="12"/>
        <v>-5182660.36787258</v>
      </c>
      <c r="J76" s="3">
        <f t="shared" si="13"/>
        <v>5746871.2725865664</v>
      </c>
      <c r="K76" s="3">
        <f t="shared" si="14"/>
        <v>6913177.8619430996</v>
      </c>
      <c r="L76" s="3">
        <f t="shared" si="15"/>
        <v>0</v>
      </c>
      <c r="M76" s="47">
        <f t="shared" si="10"/>
        <v>7477388.7666570861</v>
      </c>
      <c r="N76" s="47">
        <f>'Monthly Data'!BX76</f>
        <v>1078.7805897435896</v>
      </c>
      <c r="O76" s="47">
        <f t="shared" si="11"/>
        <v>7478467.5472468296</v>
      </c>
    </row>
    <row r="77" spans="1:15">
      <c r="A77" s="2">
        <f>'Monthly Data'!A77</f>
        <v>44652</v>
      </c>
      <c r="B77">
        <f>'Monthly Data'!B77</f>
        <v>2022</v>
      </c>
      <c r="C77">
        <f>'Monthly Data'!C77</f>
        <v>4</v>
      </c>
      <c r="D77" s="3">
        <f ca="1">'Monthly Data'!BW77</f>
        <v>7575683.7587137679</v>
      </c>
      <c r="E77" s="3">
        <f>'Monthly Data'!DQ77</f>
        <v>30</v>
      </c>
      <c r="F77" s="3">
        <f>'Monthly Data'!CJ77</f>
        <v>3</v>
      </c>
      <c r="G77" s="3">
        <f>'Monthly Data'!ED77</f>
        <v>0</v>
      </c>
      <c r="I77" s="3">
        <f t="shared" si="12"/>
        <v>-5182660.36787258</v>
      </c>
      <c r="J77" s="3">
        <f t="shared" si="13"/>
        <v>5561488.3283095798</v>
      </c>
      <c r="K77" s="3">
        <f t="shared" si="14"/>
        <v>6913177.8619430996</v>
      </c>
      <c r="L77" s="3">
        <f t="shared" si="15"/>
        <v>0</v>
      </c>
      <c r="M77" s="47">
        <f t="shared" si="10"/>
        <v>7292005.8223800994</v>
      </c>
      <c r="N77" s="47">
        <f>'Monthly Data'!BX77</f>
        <v>1136.9897307692308</v>
      </c>
      <c r="O77" s="47">
        <f t="shared" si="11"/>
        <v>7293142.8121108683</v>
      </c>
    </row>
    <row r="78" spans="1:15">
      <c r="A78" s="2">
        <f>'Monthly Data'!A78</f>
        <v>44682</v>
      </c>
      <c r="B78">
        <f>'Monthly Data'!B78</f>
        <v>2022</v>
      </c>
      <c r="C78">
        <f>'Monthly Data'!C78</f>
        <v>5</v>
      </c>
      <c r="D78" s="3">
        <f ca="1">'Monthly Data'!BW78</f>
        <v>7501786.368402251</v>
      </c>
      <c r="E78" s="3">
        <f>'Monthly Data'!DQ78</f>
        <v>31</v>
      </c>
      <c r="F78" s="3">
        <f>'Monthly Data'!CJ78</f>
        <v>3</v>
      </c>
      <c r="G78" s="3">
        <f>'Monthly Data'!ED78</f>
        <v>0</v>
      </c>
      <c r="I78" s="3">
        <f t="shared" si="12"/>
        <v>-5182660.36787258</v>
      </c>
      <c r="J78" s="3">
        <f t="shared" si="13"/>
        <v>5746871.2725865664</v>
      </c>
      <c r="K78" s="3">
        <f t="shared" si="14"/>
        <v>6913177.8619430996</v>
      </c>
      <c r="L78" s="3">
        <f t="shared" si="15"/>
        <v>0</v>
      </c>
      <c r="M78" s="47">
        <f t="shared" si="10"/>
        <v>7477388.7666570861</v>
      </c>
      <c r="N78" s="47">
        <f>'Monthly Data'!BX78</f>
        <v>1195.1988717948718</v>
      </c>
      <c r="O78" s="47">
        <f t="shared" si="11"/>
        <v>7478583.9655288812</v>
      </c>
    </row>
    <row r="79" spans="1:15">
      <c r="A79" s="2">
        <f>'Monthly Data'!A79</f>
        <v>44713</v>
      </c>
      <c r="B79">
        <f>'Monthly Data'!B79</f>
        <v>2022</v>
      </c>
      <c r="C79">
        <f>'Monthly Data'!C79</f>
        <v>6</v>
      </c>
      <c r="D79" s="3">
        <f ca="1">'Monthly Data'!BW79</f>
        <v>7041647.5991129149</v>
      </c>
      <c r="E79" s="3">
        <f>'Monthly Data'!DQ79</f>
        <v>30</v>
      </c>
      <c r="F79" s="3">
        <f>'Monthly Data'!CJ79</f>
        <v>3</v>
      </c>
      <c r="G79" s="3">
        <f>'Monthly Data'!ED79</f>
        <v>0</v>
      </c>
      <c r="I79" s="3">
        <f t="shared" si="12"/>
        <v>-5182660.36787258</v>
      </c>
      <c r="J79" s="3">
        <f t="shared" si="13"/>
        <v>5561488.3283095798</v>
      </c>
      <c r="K79" s="3">
        <f t="shared" si="14"/>
        <v>6913177.8619430996</v>
      </c>
      <c r="L79" s="3">
        <f t="shared" si="15"/>
        <v>0</v>
      </c>
      <c r="M79" s="47">
        <f t="shared" si="10"/>
        <v>7292005.8223800994</v>
      </c>
      <c r="N79" s="47">
        <f>'Monthly Data'!BX79</f>
        <v>1253.4080128205128</v>
      </c>
      <c r="O79" s="47">
        <f t="shared" si="11"/>
        <v>7293259.2303929199</v>
      </c>
    </row>
    <row r="80" spans="1:15">
      <c r="A80" s="2">
        <f>'Monthly Data'!A80</f>
        <v>44743</v>
      </c>
      <c r="B80">
        <f>'Monthly Data'!B80</f>
        <v>2022</v>
      </c>
      <c r="C80">
        <f>'Monthly Data'!C80</f>
        <v>7</v>
      </c>
      <c r="D80" s="3">
        <f ca="1">'Monthly Data'!BW80</f>
        <v>7624346.4383095959</v>
      </c>
      <c r="E80" s="3">
        <f>'Monthly Data'!DQ80</f>
        <v>31</v>
      </c>
      <c r="F80" s="3">
        <f>'Monthly Data'!CJ80</f>
        <v>3</v>
      </c>
      <c r="G80" s="3">
        <f>'Monthly Data'!ED80</f>
        <v>0</v>
      </c>
      <c r="I80" s="3">
        <f t="shared" si="12"/>
        <v>-5182660.36787258</v>
      </c>
      <c r="J80" s="3">
        <f t="shared" si="13"/>
        <v>5746871.2725865664</v>
      </c>
      <c r="K80" s="3">
        <f t="shared" si="14"/>
        <v>6913177.8619430996</v>
      </c>
      <c r="L80" s="3">
        <f t="shared" si="15"/>
        <v>0</v>
      </c>
      <c r="M80" s="47">
        <f t="shared" si="10"/>
        <v>7477388.7666570861</v>
      </c>
      <c r="N80" s="47">
        <f>'Monthly Data'!BX80</f>
        <v>1311.617153846154</v>
      </c>
      <c r="O80" s="47">
        <f t="shared" si="11"/>
        <v>7478700.3838109318</v>
      </c>
    </row>
    <row r="81" spans="1:15">
      <c r="A81" s="2">
        <f>'Monthly Data'!A81</f>
        <v>44774</v>
      </c>
      <c r="B81">
        <f>'Monthly Data'!B81</f>
        <v>2022</v>
      </c>
      <c r="C81">
        <f>'Monthly Data'!C81</f>
        <v>8</v>
      </c>
      <c r="D81" s="3">
        <f ca="1">'Monthly Data'!BW81</f>
        <v>7919911.400939256</v>
      </c>
      <c r="E81" s="3">
        <f>'Monthly Data'!DQ81</f>
        <v>31</v>
      </c>
      <c r="F81" s="3">
        <f>'Monthly Data'!CJ81</f>
        <v>3</v>
      </c>
      <c r="G81" s="3">
        <f>'Monthly Data'!ED81</f>
        <v>0</v>
      </c>
      <c r="I81" s="3">
        <f t="shared" si="12"/>
        <v>-5182660.36787258</v>
      </c>
      <c r="J81" s="3">
        <f t="shared" si="13"/>
        <v>5746871.2725865664</v>
      </c>
      <c r="K81" s="3">
        <f t="shared" si="14"/>
        <v>6913177.8619430996</v>
      </c>
      <c r="L81" s="3">
        <f t="shared" si="15"/>
        <v>0</v>
      </c>
      <c r="M81" s="47">
        <f t="shared" si="10"/>
        <v>7477388.7666570861</v>
      </c>
      <c r="N81" s="47">
        <f>'Monthly Data'!BX81</f>
        <v>1369.826294871795</v>
      </c>
      <c r="O81" s="47">
        <f t="shared" si="11"/>
        <v>7478758.5929519581</v>
      </c>
    </row>
    <row r="82" spans="1:15">
      <c r="A82" s="2">
        <f>'Monthly Data'!A82</f>
        <v>44805</v>
      </c>
      <c r="B82">
        <f>'Monthly Data'!B82</f>
        <v>2022</v>
      </c>
      <c r="C82">
        <f>'Monthly Data'!C82</f>
        <v>9</v>
      </c>
      <c r="D82" s="3">
        <f ca="1">'Monthly Data'!BW82</f>
        <v>7284083.0945235929</v>
      </c>
      <c r="E82" s="3">
        <f>'Monthly Data'!DQ82</f>
        <v>30</v>
      </c>
      <c r="F82" s="3">
        <f>'Monthly Data'!CJ82</f>
        <v>3</v>
      </c>
      <c r="G82" s="3">
        <f>'Monthly Data'!ED82</f>
        <v>0</v>
      </c>
      <c r="I82" s="3">
        <f t="shared" si="12"/>
        <v>-5182660.36787258</v>
      </c>
      <c r="J82" s="3">
        <f t="shared" si="13"/>
        <v>5561488.3283095798</v>
      </c>
      <c r="K82" s="3">
        <f t="shared" si="14"/>
        <v>6913177.8619430996</v>
      </c>
      <c r="L82" s="3">
        <f t="shared" si="15"/>
        <v>0</v>
      </c>
      <c r="M82" s="47">
        <f t="shared" si="10"/>
        <v>7292005.8223800994</v>
      </c>
      <c r="N82" s="47">
        <f>'Monthly Data'!BX82</f>
        <v>1428.0354358974359</v>
      </c>
      <c r="O82" s="47">
        <f t="shared" si="11"/>
        <v>7293433.8578159967</v>
      </c>
    </row>
    <row r="83" spans="1:15">
      <c r="A83" s="2">
        <f>'Monthly Data'!A83</f>
        <v>44835</v>
      </c>
      <c r="B83">
        <f>'Monthly Data'!B83</f>
        <v>2022</v>
      </c>
      <c r="C83">
        <f>'Monthly Data'!C83</f>
        <v>10</v>
      </c>
      <c r="D83" s="3">
        <f ca="1">'Monthly Data'!BW83</f>
        <v>7816862.2423027232</v>
      </c>
      <c r="E83" s="3">
        <f>'Monthly Data'!DQ83</f>
        <v>31</v>
      </c>
      <c r="F83" s="3">
        <f>'Monthly Data'!CJ83</f>
        <v>3</v>
      </c>
      <c r="G83" s="3">
        <f>'Monthly Data'!ED83</f>
        <v>0</v>
      </c>
      <c r="I83" s="3">
        <f t="shared" si="12"/>
        <v>-5182660.36787258</v>
      </c>
      <c r="J83" s="3">
        <f t="shared" si="13"/>
        <v>5746871.2725865664</v>
      </c>
      <c r="K83" s="3">
        <f t="shared" si="14"/>
        <v>6913177.8619430996</v>
      </c>
      <c r="L83" s="3">
        <f t="shared" si="15"/>
        <v>0</v>
      </c>
      <c r="M83" s="47">
        <f t="shared" si="10"/>
        <v>7477388.7666570861</v>
      </c>
      <c r="N83" s="47">
        <f>'Monthly Data'!BX83</f>
        <v>1486.2445769230771</v>
      </c>
      <c r="O83" s="47">
        <f t="shared" si="11"/>
        <v>7478875.0112340087</v>
      </c>
    </row>
    <row r="84" spans="1:15">
      <c r="A84" s="2">
        <f>'Monthly Data'!A84</f>
        <v>44866</v>
      </c>
      <c r="B84">
        <f>'Monthly Data'!B84</f>
        <v>2022</v>
      </c>
      <c r="C84">
        <f>'Monthly Data'!C84</f>
        <v>11</v>
      </c>
      <c r="D84" s="3">
        <f ca="1">'Monthly Data'!BW84</f>
        <v>7736024.7652023928</v>
      </c>
      <c r="E84" s="3">
        <f>'Monthly Data'!DQ84</f>
        <v>30</v>
      </c>
      <c r="F84" s="3">
        <f>'Monthly Data'!CJ84</f>
        <v>3</v>
      </c>
      <c r="G84" s="3">
        <f>'Monthly Data'!ED84</f>
        <v>0</v>
      </c>
      <c r="I84" s="3">
        <f t="shared" si="12"/>
        <v>-5182660.36787258</v>
      </c>
      <c r="J84" s="3">
        <f t="shared" si="13"/>
        <v>5561488.3283095798</v>
      </c>
      <c r="K84" s="3">
        <f t="shared" si="14"/>
        <v>6913177.8619430996</v>
      </c>
      <c r="L84" s="3">
        <f t="shared" si="15"/>
        <v>0</v>
      </c>
      <c r="M84" s="47">
        <f t="shared" si="10"/>
        <v>7292005.8223800994</v>
      </c>
      <c r="N84" s="47">
        <f>'Monthly Data'!BX84</f>
        <v>1544.4537179487181</v>
      </c>
      <c r="O84" s="47">
        <f t="shared" si="11"/>
        <v>7293550.2760980483</v>
      </c>
    </row>
    <row r="85" spans="1:15">
      <c r="A85" s="2">
        <f>'Monthly Data'!A85</f>
        <v>44896</v>
      </c>
      <c r="B85">
        <f>'Monthly Data'!B85</f>
        <v>2022</v>
      </c>
      <c r="C85">
        <f>'Monthly Data'!C85</f>
        <v>12</v>
      </c>
      <c r="D85" s="3">
        <f ca="1">'Monthly Data'!BW85</f>
        <v>7349770.8368002307</v>
      </c>
      <c r="E85" s="3">
        <f>'Monthly Data'!DQ85</f>
        <v>31</v>
      </c>
      <c r="F85" s="3">
        <f>'Monthly Data'!CJ85</f>
        <v>3</v>
      </c>
      <c r="G85" s="3">
        <f>'Monthly Data'!ED85</f>
        <v>1</v>
      </c>
      <c r="I85" s="3">
        <f t="shared" si="12"/>
        <v>-5182660.36787258</v>
      </c>
      <c r="J85" s="3">
        <f t="shared" si="13"/>
        <v>5746871.2725865664</v>
      </c>
      <c r="K85" s="3">
        <f t="shared" si="14"/>
        <v>6913177.8619430996</v>
      </c>
      <c r="L85" s="3">
        <f t="shared" si="15"/>
        <v>-145191.56089796999</v>
      </c>
      <c r="M85" s="47">
        <f t="shared" si="10"/>
        <v>7332197.2057591164</v>
      </c>
      <c r="N85" s="47">
        <f>'Monthly Data'!BX85</f>
        <v>1602.6628589743591</v>
      </c>
      <c r="O85" s="47">
        <f t="shared" si="11"/>
        <v>7333799.8686180906</v>
      </c>
    </row>
    <row r="86" spans="1:15">
      <c r="A86" s="2">
        <f>'Monthly Data'!A86</f>
        <v>44927</v>
      </c>
      <c r="B86">
        <f>'Monthly Data'!B86</f>
        <v>2023</v>
      </c>
      <c r="C86">
        <f>'Monthly Data'!C86</f>
        <v>1</v>
      </c>
      <c r="D86" s="3">
        <f ca="1">'Monthly Data'!BW86</f>
        <v>8004724.5071544191</v>
      </c>
      <c r="E86" s="3">
        <f>'Monthly Data'!DQ86</f>
        <v>31</v>
      </c>
      <c r="F86" s="3">
        <f>'Monthly Data'!CJ86</f>
        <v>3</v>
      </c>
      <c r="G86" s="3">
        <f>'Monthly Data'!ED86</f>
        <v>0</v>
      </c>
      <c r="I86" s="3">
        <f t="shared" si="12"/>
        <v>-5182660.36787258</v>
      </c>
      <c r="J86" s="3">
        <f t="shared" si="13"/>
        <v>5746871.2725865664</v>
      </c>
      <c r="K86" s="3">
        <f t="shared" si="14"/>
        <v>6913177.8619430996</v>
      </c>
      <c r="L86" s="3">
        <f t="shared" si="15"/>
        <v>0</v>
      </c>
      <c r="M86" s="47">
        <f t="shared" si="10"/>
        <v>7477388.7666570861</v>
      </c>
      <c r="N86" s="47">
        <f>'Monthly Data'!BX86</f>
        <v>1746.7328205128206</v>
      </c>
      <c r="O86" s="47">
        <f t="shared" si="11"/>
        <v>7479135.4994775988</v>
      </c>
    </row>
    <row r="87" spans="1:15">
      <c r="A87" s="2">
        <f>'Monthly Data'!A87</f>
        <v>44958</v>
      </c>
      <c r="B87">
        <f>'Monthly Data'!B87</f>
        <v>2023</v>
      </c>
      <c r="C87">
        <f>'Monthly Data'!C87</f>
        <v>2</v>
      </c>
      <c r="D87" s="3">
        <f ca="1">'Monthly Data'!BW87</f>
        <v>7496516.6737266537</v>
      </c>
      <c r="E87" s="3">
        <f>'Monthly Data'!DQ87</f>
        <v>28</v>
      </c>
      <c r="F87" s="3">
        <f>'Monthly Data'!CJ87</f>
        <v>3</v>
      </c>
      <c r="G87" s="3">
        <f>'Monthly Data'!ED87</f>
        <v>0</v>
      </c>
      <c r="I87" s="3">
        <f t="shared" si="12"/>
        <v>-5182660.36787258</v>
      </c>
      <c r="J87" s="3">
        <f t="shared" si="13"/>
        <v>5190722.4397556083</v>
      </c>
      <c r="K87" s="3">
        <f t="shared" si="14"/>
        <v>6913177.8619430996</v>
      </c>
      <c r="L87" s="3">
        <f t="shared" si="15"/>
        <v>0</v>
      </c>
      <c r="M87" s="47">
        <f t="shared" si="10"/>
        <v>6921239.933826128</v>
      </c>
      <c r="N87" s="47">
        <f>'Monthly Data'!BX87</f>
        <v>1832.5936410256411</v>
      </c>
      <c r="O87" s="47">
        <f t="shared" si="11"/>
        <v>6923072.527467154</v>
      </c>
    </row>
    <row r="88" spans="1:15">
      <c r="A88" s="2">
        <f>'Monthly Data'!A88</f>
        <v>44986</v>
      </c>
      <c r="B88">
        <f>'Monthly Data'!B88</f>
        <v>2023</v>
      </c>
      <c r="C88">
        <f>'Monthly Data'!C88</f>
        <v>3</v>
      </c>
      <c r="D88" s="3">
        <f ca="1">'Monthly Data'!BW88</f>
        <v>7916052.7457955144</v>
      </c>
      <c r="E88" s="3">
        <f>'Monthly Data'!DQ88</f>
        <v>31</v>
      </c>
      <c r="F88" s="3">
        <f>'Monthly Data'!CJ88</f>
        <v>3</v>
      </c>
      <c r="G88" s="3">
        <f>'Monthly Data'!ED88</f>
        <v>0</v>
      </c>
      <c r="I88" s="3">
        <f t="shared" si="12"/>
        <v>-5182660.36787258</v>
      </c>
      <c r="J88" s="3">
        <f t="shared" si="13"/>
        <v>5746871.2725865664</v>
      </c>
      <c r="K88" s="3">
        <f t="shared" si="14"/>
        <v>6913177.8619430996</v>
      </c>
      <c r="L88" s="3">
        <f t="shared" si="15"/>
        <v>0</v>
      </c>
      <c r="M88" s="47">
        <f t="shared" si="10"/>
        <v>7477388.7666570861</v>
      </c>
      <c r="N88" s="47">
        <f>'Monthly Data'!BX88</f>
        <v>1918.4544615384616</v>
      </c>
      <c r="O88" s="47">
        <f t="shared" si="11"/>
        <v>7479307.2211186243</v>
      </c>
    </row>
    <row r="89" spans="1:15">
      <c r="A89" s="2">
        <f>'Monthly Data'!A89</f>
        <v>45017</v>
      </c>
      <c r="B89">
        <f>'Monthly Data'!B89</f>
        <v>2023</v>
      </c>
      <c r="C89">
        <f>'Monthly Data'!C89</f>
        <v>4</v>
      </c>
      <c r="D89" s="3">
        <f ca="1">'Monthly Data'!BW89</f>
        <v>7189802.5787129765</v>
      </c>
      <c r="E89" s="3">
        <f>'Monthly Data'!DQ89</f>
        <v>30</v>
      </c>
      <c r="F89" s="3">
        <f>'Monthly Data'!CJ89</f>
        <v>3</v>
      </c>
      <c r="G89" s="3">
        <f>'Monthly Data'!ED89</f>
        <v>0</v>
      </c>
      <c r="I89" s="3">
        <f t="shared" si="12"/>
        <v>-5182660.36787258</v>
      </c>
      <c r="J89" s="3">
        <f t="shared" si="13"/>
        <v>5561488.3283095798</v>
      </c>
      <c r="K89" s="3">
        <f t="shared" si="14"/>
        <v>6913177.8619430996</v>
      </c>
      <c r="L89" s="3">
        <f t="shared" si="15"/>
        <v>0</v>
      </c>
      <c r="M89" s="47">
        <f t="shared" si="10"/>
        <v>7292005.8223800994</v>
      </c>
      <c r="N89" s="47">
        <f>'Monthly Data'!BX89</f>
        <v>2004.3152820512821</v>
      </c>
      <c r="O89" s="47">
        <f t="shared" si="11"/>
        <v>7294010.1376621509</v>
      </c>
    </row>
    <row r="90" spans="1:15">
      <c r="A90" s="2">
        <f>'Monthly Data'!A90</f>
        <v>45047</v>
      </c>
      <c r="B90">
        <f>'Monthly Data'!B90</f>
        <v>2023</v>
      </c>
      <c r="C90">
        <f>'Monthly Data'!C90</f>
        <v>5</v>
      </c>
      <c r="D90" s="3">
        <f ca="1">'Monthly Data'!BW90</f>
        <v>7349692.0355455782</v>
      </c>
      <c r="E90" s="3">
        <f>'Monthly Data'!DQ90</f>
        <v>31</v>
      </c>
      <c r="F90" s="3">
        <f>'Monthly Data'!CJ90</f>
        <v>3</v>
      </c>
      <c r="G90" s="3">
        <f>'Monthly Data'!ED90</f>
        <v>0</v>
      </c>
      <c r="I90" s="3">
        <f t="shared" si="12"/>
        <v>-5182660.36787258</v>
      </c>
      <c r="J90" s="3">
        <f t="shared" si="13"/>
        <v>5746871.2725865664</v>
      </c>
      <c r="K90" s="3">
        <f t="shared" si="14"/>
        <v>6913177.8619430996</v>
      </c>
      <c r="L90" s="3">
        <f t="shared" si="15"/>
        <v>0</v>
      </c>
      <c r="M90" s="47">
        <f t="shared" si="10"/>
        <v>7477388.7666570861</v>
      </c>
      <c r="N90" s="47">
        <f>'Monthly Data'!BX90</f>
        <v>2090.1761025641026</v>
      </c>
      <c r="O90" s="47">
        <f t="shared" si="11"/>
        <v>7479478.9427596498</v>
      </c>
    </row>
    <row r="91" spans="1:15">
      <c r="A91" s="2">
        <f>'Monthly Data'!A91</f>
        <v>45078</v>
      </c>
      <c r="B91">
        <f>'Monthly Data'!B91</f>
        <v>2023</v>
      </c>
      <c r="C91">
        <f>'Monthly Data'!C91</f>
        <v>6</v>
      </c>
      <c r="D91" s="3">
        <f ca="1">'Monthly Data'!BW91</f>
        <v>7037759.0815777946</v>
      </c>
      <c r="E91" s="3">
        <f>'Monthly Data'!DQ91</f>
        <v>30</v>
      </c>
      <c r="F91" s="3">
        <f>'Monthly Data'!CJ91</f>
        <v>3</v>
      </c>
      <c r="G91" s="3">
        <f>'Monthly Data'!ED91</f>
        <v>0</v>
      </c>
      <c r="I91" s="3">
        <f t="shared" si="12"/>
        <v>-5182660.36787258</v>
      </c>
      <c r="J91" s="3">
        <f t="shared" si="13"/>
        <v>5561488.3283095798</v>
      </c>
      <c r="K91" s="3">
        <f t="shared" si="14"/>
        <v>6913177.8619430996</v>
      </c>
      <c r="L91" s="3">
        <f t="shared" si="15"/>
        <v>0</v>
      </c>
      <c r="M91" s="47">
        <f t="shared" si="10"/>
        <v>7292005.8223800994</v>
      </c>
      <c r="N91" s="47">
        <f>'Monthly Data'!BX91</f>
        <v>2176.0369230769229</v>
      </c>
      <c r="O91" s="47">
        <f t="shared" si="11"/>
        <v>7294181.8593031764</v>
      </c>
    </row>
    <row r="92" spans="1:15">
      <c r="A92" s="2">
        <f>'Monthly Data'!A92</f>
        <v>45108</v>
      </c>
      <c r="B92">
        <f>'Monthly Data'!B92</f>
        <v>2023</v>
      </c>
      <c r="C92">
        <f>'Monthly Data'!C92</f>
        <v>7</v>
      </c>
      <c r="D92" s="3">
        <f ca="1">'Monthly Data'!BW92</f>
        <v>7093177.9019590942</v>
      </c>
      <c r="E92" s="3">
        <f>'Monthly Data'!DQ92</f>
        <v>31</v>
      </c>
      <c r="F92" s="3">
        <f>'Monthly Data'!CJ92</f>
        <v>3</v>
      </c>
      <c r="G92" s="3">
        <f>'Monthly Data'!ED92</f>
        <v>0</v>
      </c>
      <c r="I92" s="3">
        <f t="shared" si="12"/>
        <v>-5182660.36787258</v>
      </c>
      <c r="J92" s="3">
        <f t="shared" si="13"/>
        <v>5746871.2725865664</v>
      </c>
      <c r="K92" s="3">
        <f t="shared" si="14"/>
        <v>6913177.8619430996</v>
      </c>
      <c r="L92" s="3">
        <f t="shared" si="15"/>
        <v>0</v>
      </c>
      <c r="M92" s="47">
        <f t="shared" si="10"/>
        <v>7477388.7666570861</v>
      </c>
      <c r="N92" s="47">
        <f>'Monthly Data'!BX92</f>
        <v>2261.8977435897436</v>
      </c>
      <c r="O92" s="47">
        <f t="shared" si="11"/>
        <v>7479650.6644006763</v>
      </c>
    </row>
    <row r="93" spans="1:15">
      <c r="A93" s="2">
        <f>'Monthly Data'!A93</f>
        <v>45139</v>
      </c>
      <c r="B93">
        <f>'Monthly Data'!B93</f>
        <v>2023</v>
      </c>
      <c r="C93">
        <f>'Monthly Data'!C93</f>
        <v>8</v>
      </c>
      <c r="D93" s="3">
        <f ca="1">'Monthly Data'!BW93</f>
        <v>7842158.8534879349</v>
      </c>
      <c r="E93" s="3">
        <f>'Monthly Data'!DQ93</f>
        <v>31</v>
      </c>
      <c r="F93" s="3">
        <f>'Monthly Data'!CJ93</f>
        <v>3</v>
      </c>
      <c r="G93" s="3">
        <f>'Monthly Data'!ED93</f>
        <v>0</v>
      </c>
      <c r="I93" s="3">
        <f t="shared" si="12"/>
        <v>-5182660.36787258</v>
      </c>
      <c r="J93" s="3">
        <f t="shared" si="13"/>
        <v>5746871.2725865664</v>
      </c>
      <c r="K93" s="3">
        <f t="shared" si="14"/>
        <v>6913177.8619430996</v>
      </c>
      <c r="L93" s="3">
        <f t="shared" si="15"/>
        <v>0</v>
      </c>
      <c r="M93" s="47">
        <f t="shared" si="10"/>
        <v>7477388.7666570861</v>
      </c>
      <c r="N93" s="47">
        <f>'Monthly Data'!BX93</f>
        <v>2347.7585641025644</v>
      </c>
      <c r="O93" s="47">
        <f t="shared" si="11"/>
        <v>7479736.5252211886</v>
      </c>
    </row>
    <row r="94" spans="1:15">
      <c r="A94" s="2">
        <f>'Monthly Data'!A94</f>
        <v>45170</v>
      </c>
      <c r="B94">
        <f>'Monthly Data'!B94</f>
        <v>2023</v>
      </c>
      <c r="C94">
        <f>'Monthly Data'!C94</f>
        <v>9</v>
      </c>
      <c r="D94" s="3">
        <f ca="1">'Monthly Data'!BW94</f>
        <v>7491489.718227963</v>
      </c>
      <c r="E94" s="3">
        <f>'Monthly Data'!DQ94</f>
        <v>30</v>
      </c>
      <c r="F94" s="3">
        <f>'Monthly Data'!CJ94</f>
        <v>3</v>
      </c>
      <c r="G94" s="3">
        <f>'Monthly Data'!ED94</f>
        <v>0</v>
      </c>
      <c r="I94" s="3">
        <f t="shared" si="12"/>
        <v>-5182660.36787258</v>
      </c>
      <c r="J94" s="3">
        <f t="shared" si="13"/>
        <v>5561488.3283095798</v>
      </c>
      <c r="K94" s="3">
        <f t="shared" si="14"/>
        <v>6913177.8619430996</v>
      </c>
      <c r="L94" s="3">
        <f t="shared" si="15"/>
        <v>0</v>
      </c>
      <c r="M94" s="47">
        <f t="shared" si="10"/>
        <v>7292005.8223800994</v>
      </c>
      <c r="N94" s="47">
        <f>'Monthly Data'!BX94</f>
        <v>2433.6193846153847</v>
      </c>
      <c r="O94" s="47">
        <f t="shared" si="11"/>
        <v>7294439.4417647151</v>
      </c>
    </row>
    <row r="95" spans="1:15">
      <c r="A95" s="2">
        <f>'Monthly Data'!A95</f>
        <v>45200</v>
      </c>
      <c r="B95">
        <f>'Monthly Data'!B95</f>
        <v>2023</v>
      </c>
      <c r="C95">
        <f>'Monthly Data'!C95</f>
        <v>10</v>
      </c>
      <c r="D95" s="3">
        <f ca="1">'Monthly Data'!BW95</f>
        <v>7667399.4450702071</v>
      </c>
      <c r="E95" s="3">
        <f>'Monthly Data'!DQ95</f>
        <v>31</v>
      </c>
      <c r="F95" s="3">
        <f>'Monthly Data'!CJ95</f>
        <v>3</v>
      </c>
      <c r="G95" s="3">
        <f>'Monthly Data'!ED95</f>
        <v>0</v>
      </c>
      <c r="I95" s="3">
        <f t="shared" si="12"/>
        <v>-5182660.36787258</v>
      </c>
      <c r="J95" s="3">
        <f t="shared" si="13"/>
        <v>5746871.2725865664</v>
      </c>
      <c r="K95" s="3">
        <f t="shared" si="14"/>
        <v>6913177.8619430996</v>
      </c>
      <c r="L95" s="3">
        <f t="shared" si="15"/>
        <v>0</v>
      </c>
      <c r="M95" s="47">
        <f t="shared" si="10"/>
        <v>7477388.7666570861</v>
      </c>
      <c r="N95" s="47">
        <f>'Monthly Data'!BX95</f>
        <v>2519.4802051282054</v>
      </c>
      <c r="O95" s="47">
        <f t="shared" si="11"/>
        <v>7479908.2468622141</v>
      </c>
    </row>
    <row r="96" spans="1:15">
      <c r="A96" s="2">
        <f>'Monthly Data'!A96</f>
        <v>45231</v>
      </c>
      <c r="B96">
        <f>'Monthly Data'!B96</f>
        <v>2023</v>
      </c>
      <c r="C96">
        <f>'Monthly Data'!C96</f>
        <v>11</v>
      </c>
      <c r="D96" s="3">
        <f ca="1">'Monthly Data'!BW96</f>
        <v>7487198.4004563289</v>
      </c>
      <c r="E96" s="3">
        <f>'Monthly Data'!DQ96</f>
        <v>30</v>
      </c>
      <c r="F96" s="3">
        <f>'Monthly Data'!CJ96</f>
        <v>3</v>
      </c>
      <c r="G96" s="3">
        <f>'Monthly Data'!ED96</f>
        <v>0</v>
      </c>
      <c r="I96" s="3">
        <f t="shared" si="12"/>
        <v>-5182660.36787258</v>
      </c>
      <c r="J96" s="3">
        <f t="shared" si="13"/>
        <v>5561488.3283095798</v>
      </c>
      <c r="K96" s="3">
        <f t="shared" si="14"/>
        <v>6913177.8619430996</v>
      </c>
      <c r="L96" s="3">
        <f t="shared" si="15"/>
        <v>0</v>
      </c>
      <c r="M96" s="47">
        <f t="shared" si="10"/>
        <v>7292005.8223800994</v>
      </c>
      <c r="N96" s="47">
        <f>'Monthly Data'!BX96</f>
        <v>2605.3410256410257</v>
      </c>
      <c r="O96" s="47">
        <f t="shared" si="11"/>
        <v>7294611.1634057406</v>
      </c>
    </row>
    <row r="97" spans="1:15">
      <c r="A97" s="2">
        <f>'Monthly Data'!A97</f>
        <v>45261</v>
      </c>
      <c r="B97">
        <f>'Monthly Data'!B97</f>
        <v>2023</v>
      </c>
      <c r="C97">
        <f>'Monthly Data'!C97</f>
        <v>12</v>
      </c>
      <c r="D97" s="3">
        <f ca="1">'Monthly Data'!BW97</f>
        <v>7522038.6962474659</v>
      </c>
      <c r="E97" s="3">
        <f>'Monthly Data'!DQ97</f>
        <v>31</v>
      </c>
      <c r="F97" s="3">
        <f>'Monthly Data'!CJ97</f>
        <v>3</v>
      </c>
      <c r="G97" s="3">
        <f>'Monthly Data'!ED97</f>
        <v>1</v>
      </c>
      <c r="I97" s="3">
        <f t="shared" si="12"/>
        <v>-5182660.36787258</v>
      </c>
      <c r="J97" s="3">
        <f t="shared" si="13"/>
        <v>5746871.2725865664</v>
      </c>
      <c r="K97" s="3">
        <f t="shared" si="14"/>
        <v>6913177.8619430996</v>
      </c>
      <c r="L97" s="3">
        <f t="shared" si="15"/>
        <v>-145191.56089796999</v>
      </c>
      <c r="M97" s="47">
        <f t="shared" si="10"/>
        <v>7332197.2057591164</v>
      </c>
      <c r="N97" s="47">
        <f>'Monthly Data'!BX97</f>
        <v>2691.2018461538464</v>
      </c>
      <c r="O97" s="47">
        <f t="shared" si="11"/>
        <v>7334888.4076052699</v>
      </c>
    </row>
    <row r="98" spans="1:15">
      <c r="A98" s="2">
        <f>'Monthly Data'!A98</f>
        <v>45292</v>
      </c>
      <c r="B98">
        <f>'Monthly Data'!B98</f>
        <v>2024</v>
      </c>
      <c r="C98">
        <f>'Monthly Data'!C98</f>
        <v>1</v>
      </c>
      <c r="D98" s="3">
        <f ca="1">'Monthly Data'!BW98</f>
        <v>7826708.6426535351</v>
      </c>
      <c r="E98" s="3">
        <f>'Monthly Data'!DQ98</f>
        <v>31</v>
      </c>
      <c r="F98" s="3">
        <f>'Monthly Data'!CJ98</f>
        <v>3</v>
      </c>
      <c r="G98" s="3">
        <f>'Monthly Data'!ED98</f>
        <v>0</v>
      </c>
      <c r="I98" s="3">
        <f t="shared" ref="I98:I129" si="16">$S$8</f>
        <v>-5182660.36787258</v>
      </c>
      <c r="J98" s="3">
        <f t="shared" ref="J98:J129" si="17">E98*$S$9</f>
        <v>5746871.2725865664</v>
      </c>
      <c r="K98" s="3">
        <f t="shared" ref="K98:K129" si="18">F98*$S$10</f>
        <v>6913177.8619430996</v>
      </c>
      <c r="L98" s="3">
        <f t="shared" ref="L98:L129" si="19">G98*$S$11</f>
        <v>0</v>
      </c>
      <c r="M98" s="47">
        <f t="shared" si="10"/>
        <v>7477388.7666570861</v>
      </c>
      <c r="N98" s="47">
        <f>'Monthly Data'!BX98</f>
        <v>2978.5560256410258</v>
      </c>
      <c r="O98" s="47">
        <f t="shared" si="11"/>
        <v>7480367.3226827271</v>
      </c>
    </row>
    <row r="99" spans="1:15">
      <c r="A99" s="2">
        <f>'Monthly Data'!A99</f>
        <v>45323</v>
      </c>
      <c r="B99">
        <f>'Monthly Data'!B99</f>
        <v>2024</v>
      </c>
      <c r="C99">
        <f>'Monthly Data'!C99</f>
        <v>2</v>
      </c>
      <c r="D99" s="3">
        <f ca="1">'Monthly Data'!BW99</f>
        <v>7401020.897422784</v>
      </c>
      <c r="E99" s="3">
        <f>'Monthly Data'!DQ99</f>
        <v>29</v>
      </c>
      <c r="F99" s="3">
        <f>'Monthly Data'!CJ99</f>
        <v>3</v>
      </c>
      <c r="G99" s="3">
        <f>'Monthly Data'!ED99</f>
        <v>0</v>
      </c>
      <c r="I99" s="3">
        <f t="shared" si="16"/>
        <v>-5182660.36787258</v>
      </c>
      <c r="J99" s="3">
        <f t="shared" si="17"/>
        <v>5376105.384032594</v>
      </c>
      <c r="K99" s="3">
        <f t="shared" si="18"/>
        <v>6913177.8619430996</v>
      </c>
      <c r="L99" s="3">
        <f t="shared" si="19"/>
        <v>0</v>
      </c>
      <c r="M99" s="47">
        <f t="shared" si="10"/>
        <v>7106622.8781031137</v>
      </c>
      <c r="N99" s="47">
        <f>'Monthly Data'!BX99</f>
        <v>3180.0493846153845</v>
      </c>
      <c r="O99" s="47">
        <f t="shared" si="11"/>
        <v>7109802.9274877291</v>
      </c>
    </row>
    <row r="100" spans="1:15">
      <c r="A100" s="2">
        <f>'Monthly Data'!A100</f>
        <v>45352</v>
      </c>
      <c r="B100">
        <f>'Monthly Data'!B100</f>
        <v>2024</v>
      </c>
      <c r="C100">
        <f>'Monthly Data'!C100</f>
        <v>3</v>
      </c>
      <c r="D100" s="3">
        <f ca="1">'Monthly Data'!BW100</f>
        <v>7811672.573599942</v>
      </c>
      <c r="E100" s="3">
        <f>'Monthly Data'!DQ100</f>
        <v>31</v>
      </c>
      <c r="F100" s="3">
        <f>'Monthly Data'!CJ100</f>
        <v>3</v>
      </c>
      <c r="G100" s="3">
        <f>'Monthly Data'!ED100</f>
        <v>0</v>
      </c>
      <c r="I100" s="3">
        <f t="shared" si="16"/>
        <v>-5182660.36787258</v>
      </c>
      <c r="J100" s="3">
        <f t="shared" si="17"/>
        <v>5746871.2725865664</v>
      </c>
      <c r="K100" s="3">
        <f t="shared" si="18"/>
        <v>6913177.8619430996</v>
      </c>
      <c r="L100" s="3">
        <f t="shared" si="19"/>
        <v>0</v>
      </c>
      <c r="M100" s="47">
        <f t="shared" si="10"/>
        <v>7477388.7666570861</v>
      </c>
      <c r="N100" s="47">
        <f>'Monthly Data'!BX100</f>
        <v>3381.5427435897436</v>
      </c>
      <c r="O100" s="47">
        <f t="shared" si="11"/>
        <v>7480770.3094006758</v>
      </c>
    </row>
    <row r="101" spans="1:15">
      <c r="A101" s="2">
        <f>'Monthly Data'!A101</f>
        <v>45383</v>
      </c>
      <c r="B101">
        <f>'Monthly Data'!B101</f>
        <v>2024</v>
      </c>
      <c r="C101">
        <f>'Monthly Data'!C101</f>
        <v>4</v>
      </c>
      <c r="D101" s="3">
        <f ca="1">'Monthly Data'!BW101</f>
        <v>6907362.9479448907</v>
      </c>
      <c r="E101" s="3">
        <f>'Monthly Data'!DQ101</f>
        <v>30</v>
      </c>
      <c r="F101" s="3">
        <f>'Monthly Data'!CJ101</f>
        <v>3</v>
      </c>
      <c r="G101" s="3">
        <f>'Monthly Data'!ED101</f>
        <v>0</v>
      </c>
      <c r="I101" s="3">
        <f t="shared" si="16"/>
        <v>-5182660.36787258</v>
      </c>
      <c r="J101" s="3">
        <f t="shared" si="17"/>
        <v>5561488.3283095798</v>
      </c>
      <c r="K101" s="3">
        <f t="shared" si="18"/>
        <v>6913177.8619430996</v>
      </c>
      <c r="L101" s="3">
        <f t="shared" si="19"/>
        <v>0</v>
      </c>
      <c r="M101" s="47">
        <f t="shared" si="10"/>
        <v>7292005.8223800994</v>
      </c>
      <c r="N101" s="47">
        <f>'Monthly Data'!BX101</f>
        <v>3583.0361025641023</v>
      </c>
      <c r="O101" s="47">
        <f t="shared" si="11"/>
        <v>7295588.8584826635</v>
      </c>
    </row>
    <row r="102" spans="1:15">
      <c r="A102" s="2">
        <f>'Monthly Data'!A102</f>
        <v>45413</v>
      </c>
      <c r="B102">
        <f>'Monthly Data'!B102</f>
        <v>2024</v>
      </c>
      <c r="C102">
        <f>'Monthly Data'!C102</f>
        <v>5</v>
      </c>
      <c r="D102" s="3">
        <f ca="1">'Monthly Data'!BW102</f>
        <v>7313678.4042570516</v>
      </c>
      <c r="E102" s="3">
        <f>'Monthly Data'!DQ102</f>
        <v>31</v>
      </c>
      <c r="F102" s="3">
        <f>'Monthly Data'!CJ102</f>
        <v>3</v>
      </c>
      <c r="G102" s="3">
        <f>'Monthly Data'!ED102</f>
        <v>0</v>
      </c>
      <c r="I102" s="3">
        <f t="shared" si="16"/>
        <v>-5182660.36787258</v>
      </c>
      <c r="J102" s="3">
        <f t="shared" si="17"/>
        <v>5746871.2725865664</v>
      </c>
      <c r="K102" s="3">
        <f t="shared" si="18"/>
        <v>6913177.8619430996</v>
      </c>
      <c r="L102" s="3">
        <f t="shared" si="19"/>
        <v>0</v>
      </c>
      <c r="M102" s="47">
        <f t="shared" si="10"/>
        <v>7477388.7666570861</v>
      </c>
      <c r="N102" s="47">
        <f>'Monthly Data'!BX102</f>
        <v>3784.529461538461</v>
      </c>
      <c r="O102" s="47">
        <f t="shared" si="11"/>
        <v>7481173.2961186245</v>
      </c>
    </row>
    <row r="103" spans="1:15">
      <c r="A103" s="2">
        <f>'Monthly Data'!A103</f>
        <v>45444</v>
      </c>
      <c r="B103">
        <f>'Monthly Data'!B103</f>
        <v>2024</v>
      </c>
      <c r="C103">
        <f>'Monthly Data'!C103</f>
        <v>6</v>
      </c>
      <c r="D103" s="3">
        <f ca="1">'Monthly Data'!BW103</f>
        <v>7337715.7699231198</v>
      </c>
      <c r="E103" s="3">
        <f>'Monthly Data'!DQ103</f>
        <v>30</v>
      </c>
      <c r="F103" s="3">
        <f>'Monthly Data'!CJ103</f>
        <v>3</v>
      </c>
      <c r="G103" s="3">
        <f>'Monthly Data'!ED103</f>
        <v>0</v>
      </c>
      <c r="I103" s="3">
        <f t="shared" si="16"/>
        <v>-5182660.36787258</v>
      </c>
      <c r="J103" s="3">
        <f t="shared" si="17"/>
        <v>5561488.3283095798</v>
      </c>
      <c r="K103" s="3">
        <f t="shared" si="18"/>
        <v>6913177.8619430996</v>
      </c>
      <c r="L103" s="3">
        <f t="shared" si="19"/>
        <v>0</v>
      </c>
      <c r="M103" s="47">
        <f t="shared" si="10"/>
        <v>7292005.8223800994</v>
      </c>
      <c r="N103" s="47">
        <f>'Monthly Data'!BX103</f>
        <v>3986.0228205128205</v>
      </c>
      <c r="O103" s="47">
        <f t="shared" si="11"/>
        <v>7295991.8452006122</v>
      </c>
    </row>
    <row r="104" spans="1:15">
      <c r="A104" s="2">
        <f>'Monthly Data'!A104</f>
        <v>45474</v>
      </c>
      <c r="B104">
        <f>'Monthly Data'!B104</f>
        <v>2024</v>
      </c>
      <c r="C104">
        <f>'Monthly Data'!C104</f>
        <v>7</v>
      </c>
      <c r="D104" s="3">
        <f ca="1">'Monthly Data'!BW104</f>
        <v>7719754.1577685503</v>
      </c>
      <c r="E104" s="3">
        <f>'Monthly Data'!DQ104</f>
        <v>31</v>
      </c>
      <c r="F104" s="3">
        <f>'Monthly Data'!CJ104</f>
        <v>3</v>
      </c>
      <c r="G104" s="3">
        <f>'Monthly Data'!ED104</f>
        <v>0</v>
      </c>
      <c r="I104" s="3">
        <f t="shared" si="16"/>
        <v>-5182660.36787258</v>
      </c>
      <c r="J104" s="3">
        <f t="shared" si="17"/>
        <v>5746871.2725865664</v>
      </c>
      <c r="K104" s="3">
        <f t="shared" si="18"/>
        <v>6913177.8619430996</v>
      </c>
      <c r="L104" s="3">
        <f t="shared" si="19"/>
        <v>0</v>
      </c>
      <c r="M104" s="47">
        <f t="shared" si="10"/>
        <v>7477388.7666570861</v>
      </c>
      <c r="N104" s="47">
        <f>'Monthly Data'!BX104</f>
        <v>4187.5161794871792</v>
      </c>
      <c r="O104" s="47">
        <f t="shared" si="11"/>
        <v>7481576.2828365732</v>
      </c>
    </row>
    <row r="105" spans="1:15">
      <c r="A105" s="2">
        <f>'Monthly Data'!A105</f>
        <v>45505</v>
      </c>
      <c r="B105">
        <f>'Monthly Data'!B105</f>
        <v>2024</v>
      </c>
      <c r="C105">
        <f>'Monthly Data'!C105</f>
        <v>8</v>
      </c>
      <c r="D105" s="3">
        <f ca="1">'Monthly Data'!BW105</f>
        <v>7521206.1425281567</v>
      </c>
      <c r="E105" s="3">
        <f>'Monthly Data'!DQ105</f>
        <v>31</v>
      </c>
      <c r="F105" s="3">
        <f>'Monthly Data'!CJ105</f>
        <v>3</v>
      </c>
      <c r="G105" s="3">
        <f>'Monthly Data'!ED105</f>
        <v>0</v>
      </c>
      <c r="I105" s="3">
        <f t="shared" si="16"/>
        <v>-5182660.36787258</v>
      </c>
      <c r="J105" s="3">
        <f t="shared" si="17"/>
        <v>5746871.2725865664</v>
      </c>
      <c r="K105" s="3">
        <f t="shared" si="18"/>
        <v>6913177.8619430996</v>
      </c>
      <c r="L105" s="3">
        <f t="shared" si="19"/>
        <v>0</v>
      </c>
      <c r="M105" s="47">
        <f t="shared" si="10"/>
        <v>7477388.7666570861</v>
      </c>
      <c r="N105" s="47">
        <f>'Monthly Data'!BX105</f>
        <v>4389.0095384615379</v>
      </c>
      <c r="O105" s="47">
        <f t="shared" si="11"/>
        <v>7481777.7761955475</v>
      </c>
    </row>
    <row r="106" spans="1:15">
      <c r="A106" s="2">
        <f>'Monthly Data'!A106</f>
        <v>45536</v>
      </c>
      <c r="B106">
        <f>'Monthly Data'!B106</f>
        <v>2024</v>
      </c>
      <c r="C106">
        <f>'Monthly Data'!C106</f>
        <v>9</v>
      </c>
      <c r="D106" s="3">
        <f ca="1">'Monthly Data'!BW106</f>
        <v>7101253.2381845815</v>
      </c>
      <c r="E106" s="3">
        <f>'Monthly Data'!DQ106</f>
        <v>30</v>
      </c>
      <c r="F106" s="3">
        <f>'Monthly Data'!CJ106</f>
        <v>3</v>
      </c>
      <c r="G106" s="3">
        <f>'Monthly Data'!ED106</f>
        <v>0</v>
      </c>
      <c r="I106" s="3">
        <f t="shared" si="16"/>
        <v>-5182660.36787258</v>
      </c>
      <c r="J106" s="3">
        <f t="shared" si="17"/>
        <v>5561488.3283095798</v>
      </c>
      <c r="K106" s="3">
        <f t="shared" si="18"/>
        <v>6913177.8619430996</v>
      </c>
      <c r="L106" s="3">
        <f t="shared" si="19"/>
        <v>0</v>
      </c>
      <c r="M106" s="47">
        <f t="shared" si="10"/>
        <v>7292005.8223800994</v>
      </c>
      <c r="N106" s="47">
        <f>'Monthly Data'!BX106</f>
        <v>4590.5028974358975</v>
      </c>
      <c r="O106" s="47">
        <f t="shared" si="11"/>
        <v>7296596.3252775352</v>
      </c>
    </row>
    <row r="107" spans="1:15">
      <c r="A107" s="2">
        <f>'Monthly Data'!A107</f>
        <v>45566</v>
      </c>
      <c r="B107">
        <f>'Monthly Data'!B107</f>
        <v>2024</v>
      </c>
      <c r="C107">
        <f>'Monthly Data'!C107</f>
        <v>10</v>
      </c>
      <c r="D107" s="3">
        <f ca="1">'Monthly Data'!BW107</f>
        <v>6787793.1110830493</v>
      </c>
      <c r="E107" s="3">
        <f>'Monthly Data'!DQ107</f>
        <v>31</v>
      </c>
      <c r="F107" s="3">
        <f>'Monthly Data'!CJ107</f>
        <v>3</v>
      </c>
      <c r="G107" s="3">
        <f>'Monthly Data'!ED107</f>
        <v>0</v>
      </c>
      <c r="I107" s="3">
        <f t="shared" si="16"/>
        <v>-5182660.36787258</v>
      </c>
      <c r="J107" s="3">
        <f t="shared" si="17"/>
        <v>5746871.2725865664</v>
      </c>
      <c r="K107" s="3">
        <f t="shared" si="18"/>
        <v>6913177.8619430996</v>
      </c>
      <c r="L107" s="3">
        <f t="shared" si="19"/>
        <v>0</v>
      </c>
      <c r="M107" s="47">
        <f t="shared" ref="M107:M170" si="20">SUM(I107:L107)</f>
        <v>7477388.7666570861</v>
      </c>
      <c r="N107" s="47">
        <f>'Monthly Data'!BX107</f>
        <v>4791.9962564102552</v>
      </c>
      <c r="O107" s="47">
        <f t="shared" ref="O107:O170" si="21">M107+N107</f>
        <v>7482180.7629134962</v>
      </c>
    </row>
    <row r="108" spans="1:15">
      <c r="A108" s="2">
        <f>'Monthly Data'!A108</f>
        <v>45597</v>
      </c>
      <c r="B108">
        <f>'Monthly Data'!B108</f>
        <v>2024</v>
      </c>
      <c r="C108">
        <f>'Monthly Data'!C108</f>
        <v>11</v>
      </c>
      <c r="D108" s="3">
        <f ca="1">'Monthly Data'!BW108</f>
        <v>6442675.0476266481</v>
      </c>
      <c r="E108" s="3">
        <f>'Monthly Data'!DQ108</f>
        <v>30</v>
      </c>
      <c r="F108" s="3">
        <f>'Monthly Data'!CJ108</f>
        <v>3</v>
      </c>
      <c r="G108" s="3">
        <f>'Monthly Data'!ED108</f>
        <v>0</v>
      </c>
      <c r="I108" s="3">
        <f t="shared" si="16"/>
        <v>-5182660.36787258</v>
      </c>
      <c r="J108" s="3">
        <f t="shared" si="17"/>
        <v>5561488.3283095798</v>
      </c>
      <c r="K108" s="3">
        <f t="shared" si="18"/>
        <v>6913177.8619430996</v>
      </c>
      <c r="L108" s="3">
        <f t="shared" si="19"/>
        <v>0</v>
      </c>
      <c r="M108" s="47">
        <f t="shared" si="20"/>
        <v>7292005.8223800994</v>
      </c>
      <c r="N108" s="47">
        <f>'Monthly Data'!BX108</f>
        <v>4993.4896153846148</v>
      </c>
      <c r="O108" s="47">
        <f t="shared" si="21"/>
        <v>7296999.3119954839</v>
      </c>
    </row>
    <row r="109" spans="1:15">
      <c r="A109" s="2">
        <f>'Monthly Data'!A109</f>
        <v>45627</v>
      </c>
      <c r="B109">
        <f>'Monthly Data'!B109</f>
        <v>2024</v>
      </c>
      <c r="C109">
        <f>'Monthly Data'!C109</f>
        <v>12</v>
      </c>
      <c r="D109" s="3">
        <f ca="1">'Monthly Data'!BW109</f>
        <v>7518106.0005636895</v>
      </c>
      <c r="E109" s="3">
        <f>'Monthly Data'!DQ109</f>
        <v>31</v>
      </c>
      <c r="F109" s="3">
        <f>'Monthly Data'!CJ109</f>
        <v>3</v>
      </c>
      <c r="G109" s="3">
        <f>'Monthly Data'!ED109</f>
        <v>1</v>
      </c>
      <c r="I109" s="3">
        <f t="shared" si="16"/>
        <v>-5182660.36787258</v>
      </c>
      <c r="J109" s="3">
        <f t="shared" si="17"/>
        <v>5746871.2725865664</v>
      </c>
      <c r="K109" s="3">
        <f t="shared" si="18"/>
        <v>6913177.8619430996</v>
      </c>
      <c r="L109" s="3">
        <f t="shared" si="19"/>
        <v>-145191.56089796999</v>
      </c>
      <c r="M109" s="47">
        <f t="shared" si="20"/>
        <v>7332197.2057591164</v>
      </c>
      <c r="N109" s="47">
        <f>'Monthly Data'!BX109</f>
        <v>5194.9829743589744</v>
      </c>
      <c r="O109" s="47">
        <f t="shared" si="21"/>
        <v>7337392.1887334753</v>
      </c>
    </row>
    <row r="110" spans="1:15">
      <c r="A110" s="2">
        <f t="shared" ref="A110:A162" si="22">EOMONTH(A109,1)</f>
        <v>45688</v>
      </c>
      <c r="B110">
        <f t="shared" ref="B110:B162" si="23">YEAR(A110)</f>
        <v>2025</v>
      </c>
      <c r="C110">
        <f t="shared" ref="C110:C162" si="24">MONTH(A110)</f>
        <v>1</v>
      </c>
      <c r="D110" s="3">
        <f ca="1">'Monthly Data'!BW110</f>
        <v>7511724.9532214822</v>
      </c>
      <c r="E110" s="47">
        <f t="shared" ref="E110:E162" si="25">E74</f>
        <v>31</v>
      </c>
      <c r="F110" s="3">
        <f>'Customer Count'!BH45</f>
        <v>3</v>
      </c>
      <c r="G110" s="3">
        <f>'Monthly Data'!ED110</f>
        <v>0</v>
      </c>
      <c r="I110" s="3">
        <f t="shared" si="16"/>
        <v>-5182660.36787258</v>
      </c>
      <c r="J110" s="3">
        <f t="shared" si="17"/>
        <v>5746871.2725865664</v>
      </c>
      <c r="K110" s="3">
        <f t="shared" si="18"/>
        <v>6913177.8619430996</v>
      </c>
      <c r="L110" s="3">
        <f t="shared" si="19"/>
        <v>0</v>
      </c>
      <c r="M110" s="47">
        <f t="shared" si="20"/>
        <v>7477388.7666570861</v>
      </c>
      <c r="N110" s="47">
        <f>IFERROR(HLOOKUP(B110-1,'EV Forecast WRZ'!$F$124:$T$130,5,FALSE)/12,0)+IFERROR(((HLOOKUP(B110,'EV Forecast WRZ'!$F$116:$T$122,5,FALSE)-HLOOKUP(B110-1,'EV Forecast WRZ'!$F$124:$T$130,5,FALSE)))*C110/78,0)</f>
        <v>5490.3025384615394</v>
      </c>
      <c r="O110" s="47">
        <f t="shared" si="21"/>
        <v>7482879.0691955481</v>
      </c>
    </row>
    <row r="111" spans="1:15">
      <c r="A111" s="2">
        <f t="shared" si="22"/>
        <v>45716</v>
      </c>
      <c r="B111">
        <f t="shared" si="23"/>
        <v>2025</v>
      </c>
      <c r="C111">
        <f t="shared" si="24"/>
        <v>2</v>
      </c>
      <c r="D111" s="3">
        <f ca="1">'Monthly Data'!BW111</f>
        <v>7157356.3732128087</v>
      </c>
      <c r="E111" s="47">
        <f t="shared" si="25"/>
        <v>28</v>
      </c>
      <c r="F111" s="3">
        <f>'Customer Count'!BH46</f>
        <v>3</v>
      </c>
      <c r="G111" s="3">
        <f>'Monthly Data'!ED111</f>
        <v>0</v>
      </c>
      <c r="I111" s="3">
        <f t="shared" si="16"/>
        <v>-5182660.36787258</v>
      </c>
      <c r="J111" s="3">
        <f t="shared" si="17"/>
        <v>5190722.4397556083</v>
      </c>
      <c r="K111" s="3">
        <f t="shared" si="18"/>
        <v>6913177.8619430996</v>
      </c>
      <c r="L111" s="3">
        <f t="shared" si="19"/>
        <v>0</v>
      </c>
      <c r="M111" s="47">
        <f t="shared" si="20"/>
        <v>6921239.933826128</v>
      </c>
      <c r="N111" s="47">
        <f>IFERROR(HLOOKUP(B111-1,'EV Forecast WRZ'!$F$124:$T$130,5,FALSE)/12,0)+IFERROR(((HLOOKUP(B111,'EV Forecast WRZ'!$F$116:$T$122,5,FALSE)-HLOOKUP(B111-1,'EV Forecast WRZ'!$F$124:$T$130,5,FALSE)))*C111/78,0)</f>
        <v>5584.1287435897439</v>
      </c>
      <c r="O111" s="47">
        <f t="shared" si="21"/>
        <v>6926824.0625697179</v>
      </c>
    </row>
    <row r="112" spans="1:15">
      <c r="A112" s="2">
        <f t="shared" si="22"/>
        <v>45747</v>
      </c>
      <c r="B112">
        <f t="shared" si="23"/>
        <v>2025</v>
      </c>
      <c r="C112">
        <f t="shared" si="24"/>
        <v>3</v>
      </c>
      <c r="D112" s="3">
        <f ca="1">'Monthly Data'!BW112</f>
        <v>7626855.5270517739</v>
      </c>
      <c r="E112" s="47">
        <f t="shared" si="25"/>
        <v>31</v>
      </c>
      <c r="F112" s="3">
        <f>'Customer Count'!BH47</f>
        <v>3</v>
      </c>
      <c r="G112" s="3">
        <f>'Monthly Data'!ED112</f>
        <v>0</v>
      </c>
      <c r="I112" s="3">
        <f t="shared" si="16"/>
        <v>-5182660.36787258</v>
      </c>
      <c r="J112" s="3">
        <f t="shared" si="17"/>
        <v>5746871.2725865664</v>
      </c>
      <c r="K112" s="3">
        <f t="shared" si="18"/>
        <v>6913177.8619430996</v>
      </c>
      <c r="L112" s="3">
        <f t="shared" si="19"/>
        <v>0</v>
      </c>
      <c r="M112" s="47">
        <f t="shared" si="20"/>
        <v>7477388.7666570861</v>
      </c>
      <c r="N112" s="47">
        <f>IFERROR(HLOOKUP(B112-1,'EV Forecast WRZ'!$F$124:$T$130,5,FALSE)/12,0)+IFERROR(((HLOOKUP(B112,'EV Forecast WRZ'!$F$116:$T$122,5,FALSE)-HLOOKUP(B112-1,'EV Forecast WRZ'!$F$124:$T$130,5,FALSE)))*C112/78,0)</f>
        <v>5677.9549487179493</v>
      </c>
      <c r="O112" s="47">
        <f t="shared" si="21"/>
        <v>7483066.7216058038</v>
      </c>
    </row>
    <row r="113" spans="1:15">
      <c r="A113" s="2">
        <f t="shared" si="22"/>
        <v>45777</v>
      </c>
      <c r="B113">
        <f t="shared" si="23"/>
        <v>2025</v>
      </c>
      <c r="C113">
        <f t="shared" si="24"/>
        <v>4</v>
      </c>
      <c r="D113" s="3">
        <f ca="1">'Monthly Data'!BW113</f>
        <v>7141301.2575541902</v>
      </c>
      <c r="E113" s="47">
        <f t="shared" si="25"/>
        <v>30</v>
      </c>
      <c r="F113" s="3">
        <f>'Customer Count'!BH48</f>
        <v>3</v>
      </c>
      <c r="G113" s="3">
        <f>'Monthly Data'!ED113</f>
        <v>0</v>
      </c>
      <c r="I113" s="3">
        <f t="shared" si="16"/>
        <v>-5182660.36787258</v>
      </c>
      <c r="J113" s="3">
        <f t="shared" si="17"/>
        <v>5561488.3283095798</v>
      </c>
      <c r="K113" s="3">
        <f t="shared" si="18"/>
        <v>6913177.8619430996</v>
      </c>
      <c r="L113" s="3">
        <f t="shared" si="19"/>
        <v>0</v>
      </c>
      <c r="M113" s="47">
        <f t="shared" si="20"/>
        <v>7292005.8223800994</v>
      </c>
      <c r="N113" s="47">
        <f>IFERROR(HLOOKUP(B113-1,'EV Forecast WRZ'!$F$124:$T$130,5,FALSE)/12,0)+IFERROR(((HLOOKUP(B113,'EV Forecast WRZ'!$F$116:$T$122,5,FALSE)-HLOOKUP(B113-1,'EV Forecast WRZ'!$F$124:$T$130,5,FALSE)))*C113/78,0)</f>
        <v>5771.7811538461547</v>
      </c>
      <c r="O113" s="47">
        <f t="shared" si="21"/>
        <v>7297777.603533946</v>
      </c>
    </row>
    <row r="114" spans="1:15">
      <c r="A114" s="2">
        <f t="shared" si="22"/>
        <v>45808</v>
      </c>
      <c r="B114">
        <f t="shared" si="23"/>
        <v>2025</v>
      </c>
      <c r="C114">
        <f t="shared" si="24"/>
        <v>5</v>
      </c>
      <c r="D114" s="3">
        <f ca="1">'Monthly Data'!BW114</f>
        <v>7222836.8241221812</v>
      </c>
      <c r="E114" s="47">
        <f t="shared" si="25"/>
        <v>31</v>
      </c>
      <c r="F114" s="3">
        <f>'Customer Count'!BH49</f>
        <v>3</v>
      </c>
      <c r="G114" s="3">
        <f>'Monthly Data'!ED114</f>
        <v>0</v>
      </c>
      <c r="I114" s="3">
        <f t="shared" si="16"/>
        <v>-5182660.36787258</v>
      </c>
      <c r="J114" s="3">
        <f t="shared" si="17"/>
        <v>5746871.2725865664</v>
      </c>
      <c r="K114" s="3">
        <f t="shared" si="18"/>
        <v>6913177.8619430996</v>
      </c>
      <c r="L114" s="3">
        <f t="shared" si="19"/>
        <v>0</v>
      </c>
      <c r="M114" s="47">
        <f t="shared" si="20"/>
        <v>7477388.7666570861</v>
      </c>
      <c r="N114" s="47">
        <f>IFERROR(HLOOKUP(B114-1,'EV Forecast WRZ'!$F$124:$T$130,5,FALSE)/12,0)+IFERROR(((HLOOKUP(B114,'EV Forecast WRZ'!$F$116:$T$122,5,FALSE)-HLOOKUP(B114-1,'EV Forecast WRZ'!$F$124:$T$130,5,FALSE)))*C114/78,0)</f>
        <v>5865.6073589743592</v>
      </c>
      <c r="O114" s="47">
        <f t="shared" si="21"/>
        <v>7483254.3740160605</v>
      </c>
    </row>
    <row r="115" spans="1:15">
      <c r="A115" s="2">
        <f t="shared" si="22"/>
        <v>45838</v>
      </c>
      <c r="B115">
        <f t="shared" si="23"/>
        <v>2025</v>
      </c>
      <c r="C115">
        <f t="shared" si="24"/>
        <v>6</v>
      </c>
      <c r="D115" s="3">
        <f ca="1">'Monthly Data'!BW115</f>
        <v>6917228.3116159188</v>
      </c>
      <c r="E115" s="47">
        <f t="shared" si="25"/>
        <v>30</v>
      </c>
      <c r="F115" s="3">
        <f>'Customer Count'!BH50</f>
        <v>3</v>
      </c>
      <c r="G115" s="3">
        <f>'Monthly Data'!ED115</f>
        <v>0</v>
      </c>
      <c r="I115" s="3">
        <f t="shared" si="16"/>
        <v>-5182660.36787258</v>
      </c>
      <c r="J115" s="3">
        <f t="shared" si="17"/>
        <v>5561488.3283095798</v>
      </c>
      <c r="K115" s="3">
        <f t="shared" si="18"/>
        <v>6913177.8619430996</v>
      </c>
      <c r="L115" s="3">
        <f t="shared" si="19"/>
        <v>0</v>
      </c>
      <c r="M115" s="47">
        <f t="shared" si="20"/>
        <v>7292005.8223800994</v>
      </c>
      <c r="N115" s="47">
        <f>IFERROR(HLOOKUP(B115-1,'EV Forecast WRZ'!$F$124:$T$130,5,FALSE)/12,0)+IFERROR(((HLOOKUP(B115,'EV Forecast WRZ'!$F$116:$T$122,5,FALSE)-HLOOKUP(B115-1,'EV Forecast WRZ'!$F$124:$T$130,5,FALSE)))*C115/78,0)</f>
        <v>5959.4335641025646</v>
      </c>
      <c r="O115" s="47">
        <f t="shared" si="21"/>
        <v>7297965.2559442017</v>
      </c>
    </row>
    <row r="116" spans="1:15">
      <c r="A116" s="2">
        <f t="shared" si="22"/>
        <v>45869</v>
      </c>
      <c r="B116">
        <f t="shared" si="23"/>
        <v>2025</v>
      </c>
      <c r="C116">
        <f t="shared" si="24"/>
        <v>7</v>
      </c>
      <c r="D116" s="3">
        <f ca="1">'Monthly Data'!BW116</f>
        <v>7716850.5319929738</v>
      </c>
      <c r="E116" s="47">
        <f t="shared" si="25"/>
        <v>31</v>
      </c>
      <c r="F116" s="3">
        <f>'Customer Count'!BH51</f>
        <v>3</v>
      </c>
      <c r="G116" s="3">
        <f>'Monthly Data'!ED116</f>
        <v>0</v>
      </c>
      <c r="I116" s="3">
        <f t="shared" si="16"/>
        <v>-5182660.36787258</v>
      </c>
      <c r="J116" s="3">
        <f t="shared" si="17"/>
        <v>5746871.2725865664</v>
      </c>
      <c r="K116" s="3">
        <f t="shared" si="18"/>
        <v>6913177.8619430996</v>
      </c>
      <c r="L116" s="3">
        <f t="shared" si="19"/>
        <v>0</v>
      </c>
      <c r="M116" s="47">
        <f t="shared" si="20"/>
        <v>7477388.7666570861</v>
      </c>
      <c r="N116" s="47">
        <f>IFERROR(HLOOKUP(B116-1,'EV Forecast WRZ'!$F$124:$T$130,5,FALSE)/12,0)+IFERROR(((HLOOKUP(B116,'EV Forecast WRZ'!$F$116:$T$122,5,FALSE)-HLOOKUP(B116-1,'EV Forecast WRZ'!$F$124:$T$130,5,FALSE)))*C116/78,0)</f>
        <v>6053.25976923077</v>
      </c>
      <c r="O116" s="47">
        <f t="shared" si="21"/>
        <v>7483442.0264263172</v>
      </c>
    </row>
    <row r="117" spans="1:15">
      <c r="A117" s="2">
        <f t="shared" si="22"/>
        <v>45900</v>
      </c>
      <c r="B117">
        <f t="shared" si="23"/>
        <v>2025</v>
      </c>
      <c r="C117">
        <f t="shared" si="24"/>
        <v>8</v>
      </c>
      <c r="D117" s="3">
        <f ca="1">'Monthly Data'!BW117</f>
        <v>7385243.311675719</v>
      </c>
      <c r="E117" s="47">
        <f t="shared" si="25"/>
        <v>31</v>
      </c>
      <c r="F117" s="3">
        <f>'Customer Count'!BH52</f>
        <v>3</v>
      </c>
      <c r="G117" s="3">
        <f>'Monthly Data'!ED117</f>
        <v>0</v>
      </c>
      <c r="I117" s="3">
        <f t="shared" si="16"/>
        <v>-5182660.36787258</v>
      </c>
      <c r="J117" s="3">
        <f t="shared" si="17"/>
        <v>5746871.2725865664</v>
      </c>
      <c r="K117" s="3">
        <f t="shared" si="18"/>
        <v>6913177.8619430996</v>
      </c>
      <c r="L117" s="3">
        <f t="shared" si="19"/>
        <v>0</v>
      </c>
      <c r="M117" s="47">
        <f t="shared" si="20"/>
        <v>7477388.7666570861</v>
      </c>
      <c r="N117" s="47">
        <f>IFERROR(HLOOKUP(B117-1,'EV Forecast WRZ'!$F$124:$T$130,5,FALSE)/12,0)+IFERROR(((HLOOKUP(B117,'EV Forecast WRZ'!$F$116:$T$122,5,FALSE)-HLOOKUP(B117-1,'EV Forecast WRZ'!$F$124:$T$130,5,FALSE)))*C117/78,0)</f>
        <v>6147.0859743589745</v>
      </c>
      <c r="O117" s="47">
        <f t="shared" si="21"/>
        <v>7483535.852631445</v>
      </c>
    </row>
    <row r="118" spans="1:15">
      <c r="A118" s="2">
        <f t="shared" si="22"/>
        <v>45930</v>
      </c>
      <c r="B118">
        <f t="shared" si="23"/>
        <v>2025</v>
      </c>
      <c r="C118">
        <f t="shared" si="24"/>
        <v>9</v>
      </c>
      <c r="D118" s="3">
        <f ca="1">'Monthly Data'!BW118</f>
        <v>7250255.7249168046</v>
      </c>
      <c r="E118" s="47">
        <f t="shared" si="25"/>
        <v>30</v>
      </c>
      <c r="F118" s="3">
        <f>'Customer Count'!BH53</f>
        <v>3</v>
      </c>
      <c r="G118" s="3">
        <f>'Monthly Data'!ED118</f>
        <v>0</v>
      </c>
      <c r="I118" s="3">
        <f t="shared" si="16"/>
        <v>-5182660.36787258</v>
      </c>
      <c r="J118" s="3">
        <f t="shared" si="17"/>
        <v>5561488.3283095798</v>
      </c>
      <c r="K118" s="3">
        <f t="shared" si="18"/>
        <v>6913177.8619430996</v>
      </c>
      <c r="L118" s="3">
        <f t="shared" si="19"/>
        <v>0</v>
      </c>
      <c r="M118" s="47">
        <f t="shared" si="20"/>
        <v>7292005.8223800994</v>
      </c>
      <c r="N118" s="47">
        <f>IFERROR(HLOOKUP(B118-1,'EV Forecast WRZ'!$F$124:$T$130,5,FALSE)/12,0)+IFERROR(((HLOOKUP(B118,'EV Forecast WRZ'!$F$116:$T$122,5,FALSE)-HLOOKUP(B118-1,'EV Forecast WRZ'!$F$124:$T$130,5,FALSE)))*C118/78,0)</f>
        <v>6240.9121794871799</v>
      </c>
      <c r="O118" s="47">
        <f t="shared" si="21"/>
        <v>7298246.7345595863</v>
      </c>
    </row>
    <row r="119" spans="1:15">
      <c r="A119" s="2">
        <f t="shared" si="22"/>
        <v>45961</v>
      </c>
      <c r="B119">
        <f t="shared" si="23"/>
        <v>2025</v>
      </c>
      <c r="C119">
        <f t="shared" si="24"/>
        <v>10</v>
      </c>
      <c r="D119" s="3">
        <f ca="1">'Monthly Data'!BW119</f>
        <v>7615284.7437509475</v>
      </c>
      <c r="E119" s="47">
        <f t="shared" si="25"/>
        <v>31</v>
      </c>
      <c r="F119" s="3">
        <f>'Customer Count'!BH54</f>
        <v>3</v>
      </c>
      <c r="G119" s="3">
        <f>'Monthly Data'!ED119</f>
        <v>0</v>
      </c>
      <c r="I119" s="3">
        <f t="shared" si="16"/>
        <v>-5182660.36787258</v>
      </c>
      <c r="J119" s="3">
        <f t="shared" si="17"/>
        <v>5746871.2725865664</v>
      </c>
      <c r="K119" s="3">
        <f t="shared" si="18"/>
        <v>6913177.8619430996</v>
      </c>
      <c r="L119" s="3">
        <f t="shared" si="19"/>
        <v>0</v>
      </c>
      <c r="M119" s="47">
        <f t="shared" si="20"/>
        <v>7477388.7666570861</v>
      </c>
      <c r="N119" s="47">
        <f>IFERROR(HLOOKUP(B119-1,'EV Forecast WRZ'!$F$124:$T$130,5,FALSE)/12,0)+IFERROR(((HLOOKUP(B119,'EV Forecast WRZ'!$F$116:$T$122,5,FALSE)-HLOOKUP(B119-1,'EV Forecast WRZ'!$F$124:$T$130,5,FALSE)))*C119/78,0)</f>
        <v>6334.7383846153843</v>
      </c>
      <c r="O119" s="47">
        <f t="shared" si="21"/>
        <v>7483723.5050417017</v>
      </c>
    </row>
    <row r="120" spans="1:15">
      <c r="A120" s="2">
        <f t="shared" si="22"/>
        <v>45991</v>
      </c>
      <c r="B120">
        <f t="shared" si="23"/>
        <v>2025</v>
      </c>
      <c r="C120">
        <f t="shared" si="24"/>
        <v>11</v>
      </c>
      <c r="D120" s="3">
        <f ca="1">'Monthly Data'!BW120</f>
        <v>7483197.4270016775</v>
      </c>
      <c r="E120" s="47">
        <f t="shared" si="25"/>
        <v>30</v>
      </c>
      <c r="F120" s="3">
        <f>'Customer Count'!BH55</f>
        <v>3</v>
      </c>
      <c r="G120" s="3">
        <f>'Monthly Data'!ED120</f>
        <v>0</v>
      </c>
      <c r="I120" s="3">
        <f t="shared" si="16"/>
        <v>-5182660.36787258</v>
      </c>
      <c r="J120" s="3">
        <f t="shared" si="17"/>
        <v>5561488.3283095798</v>
      </c>
      <c r="K120" s="3">
        <f t="shared" si="18"/>
        <v>6913177.8619430996</v>
      </c>
      <c r="L120" s="3">
        <f t="shared" si="19"/>
        <v>0</v>
      </c>
      <c r="M120" s="47">
        <f t="shared" si="20"/>
        <v>7292005.8223800994</v>
      </c>
      <c r="N120" s="47">
        <f>IFERROR(HLOOKUP(B120-1,'EV Forecast WRZ'!$F$124:$T$130,5,FALSE)/12,0)+IFERROR(((HLOOKUP(B120,'EV Forecast WRZ'!$F$116:$T$122,5,FALSE)-HLOOKUP(B120-1,'EV Forecast WRZ'!$F$124:$T$130,5,FALSE)))*C120/78,0)</f>
        <v>6428.5645897435897</v>
      </c>
      <c r="O120" s="47">
        <f t="shared" si="21"/>
        <v>7298434.3869698429</v>
      </c>
    </row>
    <row r="121" spans="1:15">
      <c r="A121" s="2">
        <f t="shared" si="22"/>
        <v>46022</v>
      </c>
      <c r="B121">
        <f t="shared" si="23"/>
        <v>2025</v>
      </c>
      <c r="C121">
        <f t="shared" si="24"/>
        <v>12</v>
      </c>
      <c r="D121" s="3">
        <f ca="1">'Monthly Data'!BW121</f>
        <v>8281605.365334373</v>
      </c>
      <c r="E121" s="47">
        <f t="shared" si="25"/>
        <v>31</v>
      </c>
      <c r="F121" s="3">
        <f>'Customer Count'!BH56</f>
        <v>3</v>
      </c>
      <c r="G121" s="3">
        <f>'Monthly Data'!ED121</f>
        <v>1</v>
      </c>
      <c r="I121" s="3">
        <f t="shared" si="16"/>
        <v>-5182660.36787258</v>
      </c>
      <c r="J121" s="3">
        <f t="shared" si="17"/>
        <v>5746871.2725865664</v>
      </c>
      <c r="K121" s="3">
        <f t="shared" si="18"/>
        <v>6913177.8619430996</v>
      </c>
      <c r="L121" s="3">
        <f t="shared" si="19"/>
        <v>-145191.56089796999</v>
      </c>
      <c r="M121" s="47">
        <f t="shared" si="20"/>
        <v>7332197.2057591164</v>
      </c>
      <c r="N121" s="47">
        <f>IFERROR(HLOOKUP(B121-1,'EV Forecast WRZ'!$F$124:$T$130,5,FALSE)/12,0)+IFERROR(((HLOOKUP(B121,'EV Forecast WRZ'!$F$116:$T$122,5,FALSE)-HLOOKUP(B121-1,'EV Forecast WRZ'!$F$124:$T$130,5,FALSE)))*C121/78,0)</f>
        <v>6522.3907948717952</v>
      </c>
      <c r="O121" s="47">
        <f t="shared" si="21"/>
        <v>7338719.5965539878</v>
      </c>
    </row>
    <row r="122" spans="1:15">
      <c r="A122" s="2">
        <f t="shared" si="22"/>
        <v>46053</v>
      </c>
      <c r="B122">
        <f t="shared" si="23"/>
        <v>2026</v>
      </c>
      <c r="C122">
        <f t="shared" si="24"/>
        <v>1</v>
      </c>
      <c r="E122" s="47">
        <f t="shared" si="25"/>
        <v>31</v>
      </c>
      <c r="F122" s="3">
        <f>'Customer Count'!BH57</f>
        <v>3</v>
      </c>
      <c r="G122" s="3">
        <f>'Monthly Data'!ED122</f>
        <v>0</v>
      </c>
      <c r="I122" s="3">
        <f t="shared" si="16"/>
        <v>-5182660.36787258</v>
      </c>
      <c r="J122" s="3">
        <f t="shared" si="17"/>
        <v>5746871.2725865664</v>
      </c>
      <c r="K122" s="3">
        <f t="shared" si="18"/>
        <v>6913177.8619430996</v>
      </c>
      <c r="L122" s="3">
        <f t="shared" si="19"/>
        <v>0</v>
      </c>
      <c r="M122" s="47">
        <f t="shared" si="20"/>
        <v>7477388.7666570861</v>
      </c>
      <c r="N122" s="47">
        <f>IFERROR(HLOOKUP(B122-1,'EV Forecast WRZ'!$F$124:$T$130,5,FALSE)/12,0)+IFERROR(((HLOOKUP(B122,'EV Forecast WRZ'!$F$116:$T$122,5,FALSE)-HLOOKUP(B122-1,'EV Forecast WRZ'!$F$124:$T$130,5,FALSE)))*C122/78,0)</f>
        <v>6758.8549614053973</v>
      </c>
      <c r="O122" s="47">
        <f t="shared" si="21"/>
        <v>7484147.6216184916</v>
      </c>
    </row>
    <row r="123" spans="1:15">
      <c r="A123" s="2">
        <f t="shared" si="22"/>
        <v>46081</v>
      </c>
      <c r="B123">
        <f t="shared" si="23"/>
        <v>2026</v>
      </c>
      <c r="C123">
        <f t="shared" si="24"/>
        <v>2</v>
      </c>
      <c r="E123" s="47">
        <f t="shared" si="25"/>
        <v>28</v>
      </c>
      <c r="F123" s="3">
        <f>'Customer Count'!BH58</f>
        <v>3</v>
      </c>
      <c r="G123" s="3">
        <f>'Monthly Data'!ED123</f>
        <v>0</v>
      </c>
      <c r="I123" s="3">
        <f t="shared" si="16"/>
        <v>-5182660.36787258</v>
      </c>
      <c r="J123" s="3">
        <f t="shared" si="17"/>
        <v>5190722.4397556083</v>
      </c>
      <c r="K123" s="3">
        <f t="shared" si="18"/>
        <v>6913177.8619430996</v>
      </c>
      <c r="L123" s="3">
        <f t="shared" si="19"/>
        <v>0</v>
      </c>
      <c r="M123" s="47">
        <f t="shared" si="20"/>
        <v>6921239.933826128</v>
      </c>
      <c r="N123" s="47">
        <f>IFERROR(HLOOKUP(B123-1,'EV Forecast WRZ'!$F$124:$T$130,5,FALSE)/12,0)+IFERROR(((HLOOKUP(B123,'EV Forecast WRZ'!$F$116:$T$122,5,FALSE)-HLOOKUP(B123-1,'EV Forecast WRZ'!$F$124:$T$130,5,FALSE)))*C123/78,0)</f>
        <v>6901.492922810794</v>
      </c>
      <c r="O123" s="47">
        <f t="shared" si="21"/>
        <v>6928141.4267489389</v>
      </c>
    </row>
    <row r="124" spans="1:15">
      <c r="A124" s="2">
        <f t="shared" si="22"/>
        <v>46112</v>
      </c>
      <c r="B124">
        <f t="shared" si="23"/>
        <v>2026</v>
      </c>
      <c r="C124">
        <f t="shared" si="24"/>
        <v>3</v>
      </c>
      <c r="E124" s="47">
        <f t="shared" si="25"/>
        <v>31</v>
      </c>
      <c r="F124" s="3">
        <f>'Customer Count'!BH59</f>
        <v>3</v>
      </c>
      <c r="G124" s="3">
        <f>'Monthly Data'!ED124</f>
        <v>0</v>
      </c>
      <c r="I124" s="3">
        <f t="shared" si="16"/>
        <v>-5182660.36787258</v>
      </c>
      <c r="J124" s="3">
        <f t="shared" si="17"/>
        <v>5746871.2725865664</v>
      </c>
      <c r="K124" s="3">
        <f t="shared" si="18"/>
        <v>6913177.8619430996</v>
      </c>
      <c r="L124" s="3">
        <f t="shared" si="19"/>
        <v>0</v>
      </c>
      <c r="M124" s="47">
        <f t="shared" si="20"/>
        <v>7477388.7666570861</v>
      </c>
      <c r="N124" s="47">
        <f>IFERROR(HLOOKUP(B124-1,'EV Forecast WRZ'!$F$124:$T$130,5,FALSE)/12,0)+IFERROR(((HLOOKUP(B124,'EV Forecast WRZ'!$F$116:$T$122,5,FALSE)-HLOOKUP(B124-1,'EV Forecast WRZ'!$F$124:$T$130,5,FALSE)))*C124/78,0)</f>
        <v>7044.1308842161916</v>
      </c>
      <c r="O124" s="47">
        <f t="shared" si="21"/>
        <v>7484432.8975413023</v>
      </c>
    </row>
    <row r="125" spans="1:15">
      <c r="A125" s="2">
        <f t="shared" si="22"/>
        <v>46142</v>
      </c>
      <c r="B125">
        <f t="shared" si="23"/>
        <v>2026</v>
      </c>
      <c r="C125">
        <f t="shared" si="24"/>
        <v>4</v>
      </c>
      <c r="E125" s="47">
        <f t="shared" si="25"/>
        <v>30</v>
      </c>
      <c r="F125" s="3">
        <f>'Customer Count'!BH60</f>
        <v>3</v>
      </c>
      <c r="G125" s="3">
        <f>'Monthly Data'!ED125</f>
        <v>0</v>
      </c>
      <c r="I125" s="3">
        <f t="shared" si="16"/>
        <v>-5182660.36787258</v>
      </c>
      <c r="J125" s="3">
        <f t="shared" si="17"/>
        <v>5561488.3283095798</v>
      </c>
      <c r="K125" s="3">
        <f t="shared" si="18"/>
        <v>6913177.8619430996</v>
      </c>
      <c r="L125" s="3">
        <f t="shared" si="19"/>
        <v>0</v>
      </c>
      <c r="M125" s="47">
        <f t="shared" si="20"/>
        <v>7292005.8223800994</v>
      </c>
      <c r="N125" s="47">
        <f>IFERROR(HLOOKUP(B125-1,'EV Forecast WRZ'!$F$124:$T$130,5,FALSE)/12,0)+IFERROR(((HLOOKUP(B125,'EV Forecast WRZ'!$F$116:$T$122,5,FALSE)-HLOOKUP(B125-1,'EV Forecast WRZ'!$F$124:$T$130,5,FALSE)))*C125/78,0)</f>
        <v>7186.7688456215892</v>
      </c>
      <c r="O125" s="47">
        <f t="shared" si="21"/>
        <v>7299192.5912257209</v>
      </c>
    </row>
    <row r="126" spans="1:15">
      <c r="A126" s="2">
        <f t="shared" si="22"/>
        <v>46173</v>
      </c>
      <c r="B126">
        <f t="shared" si="23"/>
        <v>2026</v>
      </c>
      <c r="C126">
        <f t="shared" si="24"/>
        <v>5</v>
      </c>
      <c r="E126" s="47">
        <f t="shared" si="25"/>
        <v>31</v>
      </c>
      <c r="F126" s="3">
        <f>'Customer Count'!BH61</f>
        <v>3</v>
      </c>
      <c r="G126" s="3">
        <f>'Monthly Data'!ED126</f>
        <v>0</v>
      </c>
      <c r="I126" s="3">
        <f t="shared" si="16"/>
        <v>-5182660.36787258</v>
      </c>
      <c r="J126" s="3">
        <f t="shared" si="17"/>
        <v>5746871.2725865664</v>
      </c>
      <c r="K126" s="3">
        <f t="shared" si="18"/>
        <v>6913177.8619430996</v>
      </c>
      <c r="L126" s="3">
        <f t="shared" si="19"/>
        <v>0</v>
      </c>
      <c r="M126" s="47">
        <f t="shared" si="20"/>
        <v>7477388.7666570861</v>
      </c>
      <c r="N126" s="47">
        <f>IFERROR(HLOOKUP(B126-1,'EV Forecast WRZ'!$F$124:$T$130,5,FALSE)/12,0)+IFERROR(((HLOOKUP(B126,'EV Forecast WRZ'!$F$116:$T$122,5,FALSE)-HLOOKUP(B126-1,'EV Forecast WRZ'!$F$124:$T$130,5,FALSE)))*C126/78,0)</f>
        <v>7329.4068070269859</v>
      </c>
      <c r="O126" s="47">
        <f t="shared" si="21"/>
        <v>7484718.1734641129</v>
      </c>
    </row>
    <row r="127" spans="1:15">
      <c r="A127" s="2">
        <f t="shared" si="22"/>
        <v>46203</v>
      </c>
      <c r="B127">
        <f t="shared" si="23"/>
        <v>2026</v>
      </c>
      <c r="C127">
        <f t="shared" si="24"/>
        <v>6</v>
      </c>
      <c r="E127" s="47">
        <f t="shared" si="25"/>
        <v>30</v>
      </c>
      <c r="F127" s="3">
        <f>'Customer Count'!BH62</f>
        <v>3</v>
      </c>
      <c r="G127" s="3">
        <f>'Monthly Data'!ED127</f>
        <v>0</v>
      </c>
      <c r="I127" s="3">
        <f t="shared" si="16"/>
        <v>-5182660.36787258</v>
      </c>
      <c r="J127" s="3">
        <f t="shared" si="17"/>
        <v>5561488.3283095798</v>
      </c>
      <c r="K127" s="3">
        <f t="shared" si="18"/>
        <v>6913177.8619430996</v>
      </c>
      <c r="L127" s="3">
        <f t="shared" si="19"/>
        <v>0</v>
      </c>
      <c r="M127" s="47">
        <f t="shared" si="20"/>
        <v>7292005.8223800994</v>
      </c>
      <c r="N127" s="47">
        <f>IFERROR(HLOOKUP(B127-1,'EV Forecast WRZ'!$F$124:$T$130,5,FALSE)/12,0)+IFERROR(((HLOOKUP(B127,'EV Forecast WRZ'!$F$116:$T$122,5,FALSE)-HLOOKUP(B127-1,'EV Forecast WRZ'!$F$124:$T$130,5,FALSE)))*C127/78,0)</f>
        <v>7472.0447684323835</v>
      </c>
      <c r="O127" s="47">
        <f t="shared" si="21"/>
        <v>7299477.8671485316</v>
      </c>
    </row>
    <row r="128" spans="1:15">
      <c r="A128" s="2">
        <f t="shared" si="22"/>
        <v>46234</v>
      </c>
      <c r="B128">
        <f t="shared" si="23"/>
        <v>2026</v>
      </c>
      <c r="C128">
        <f t="shared" si="24"/>
        <v>7</v>
      </c>
      <c r="E128" s="47">
        <f t="shared" si="25"/>
        <v>31</v>
      </c>
      <c r="F128" s="3">
        <f>'Customer Count'!BH63</f>
        <v>3</v>
      </c>
      <c r="G128" s="3">
        <f>'Monthly Data'!ED128</f>
        <v>0</v>
      </c>
      <c r="I128" s="3">
        <f t="shared" si="16"/>
        <v>-5182660.36787258</v>
      </c>
      <c r="J128" s="3">
        <f t="shared" si="17"/>
        <v>5746871.2725865664</v>
      </c>
      <c r="K128" s="3">
        <f t="shared" si="18"/>
        <v>6913177.8619430996</v>
      </c>
      <c r="L128" s="3">
        <f t="shared" si="19"/>
        <v>0</v>
      </c>
      <c r="M128" s="47">
        <f t="shared" si="20"/>
        <v>7477388.7666570861</v>
      </c>
      <c r="N128" s="47">
        <f>IFERROR(HLOOKUP(B128-1,'EV Forecast WRZ'!$F$124:$T$130,5,FALSE)/12,0)+IFERROR(((HLOOKUP(B128,'EV Forecast WRZ'!$F$116:$T$122,5,FALSE)-HLOOKUP(B128-1,'EV Forecast WRZ'!$F$124:$T$130,5,FALSE)))*C128/78,0)</f>
        <v>7614.6827298377812</v>
      </c>
      <c r="O128" s="47">
        <f t="shared" si="21"/>
        <v>7485003.4493869236</v>
      </c>
    </row>
    <row r="129" spans="1:15">
      <c r="A129" s="2">
        <f t="shared" si="22"/>
        <v>46265</v>
      </c>
      <c r="B129">
        <f t="shared" si="23"/>
        <v>2026</v>
      </c>
      <c r="C129">
        <f t="shared" si="24"/>
        <v>8</v>
      </c>
      <c r="E129" s="47">
        <f t="shared" si="25"/>
        <v>31</v>
      </c>
      <c r="F129" s="3">
        <f>'Customer Count'!BH64</f>
        <v>3</v>
      </c>
      <c r="G129" s="3">
        <f>'Monthly Data'!ED129</f>
        <v>0</v>
      </c>
      <c r="I129" s="3">
        <f t="shared" si="16"/>
        <v>-5182660.36787258</v>
      </c>
      <c r="J129" s="3">
        <f t="shared" si="17"/>
        <v>5746871.2725865664</v>
      </c>
      <c r="K129" s="3">
        <f t="shared" si="18"/>
        <v>6913177.8619430996</v>
      </c>
      <c r="L129" s="3">
        <f t="shared" si="19"/>
        <v>0</v>
      </c>
      <c r="M129" s="47">
        <f t="shared" si="20"/>
        <v>7477388.7666570861</v>
      </c>
      <c r="N129" s="47">
        <f>IFERROR(HLOOKUP(B129-1,'EV Forecast WRZ'!$F$124:$T$130,5,FALSE)/12,0)+IFERROR(((HLOOKUP(B129,'EV Forecast WRZ'!$F$116:$T$122,5,FALSE)-HLOOKUP(B129-1,'EV Forecast WRZ'!$F$124:$T$130,5,FALSE)))*C129/78,0)</f>
        <v>7757.3206912431779</v>
      </c>
      <c r="O129" s="47">
        <f t="shared" si="21"/>
        <v>7485146.0873483289</v>
      </c>
    </row>
    <row r="130" spans="1:15">
      <c r="A130" s="2">
        <f t="shared" si="22"/>
        <v>46295</v>
      </c>
      <c r="B130">
        <f t="shared" si="23"/>
        <v>2026</v>
      </c>
      <c r="C130">
        <f t="shared" si="24"/>
        <v>9</v>
      </c>
      <c r="E130" s="47">
        <f t="shared" si="25"/>
        <v>30</v>
      </c>
      <c r="F130" s="3">
        <f>'Customer Count'!BH65</f>
        <v>3</v>
      </c>
      <c r="G130" s="3">
        <f>'Monthly Data'!ED130</f>
        <v>0</v>
      </c>
      <c r="I130" s="3">
        <f t="shared" ref="I130:I161" si="26">$S$8</f>
        <v>-5182660.36787258</v>
      </c>
      <c r="J130" s="3">
        <f t="shared" ref="J130:J161" si="27">E130*$S$9</f>
        <v>5561488.3283095798</v>
      </c>
      <c r="K130" s="3">
        <f t="shared" ref="K130:K161" si="28">F130*$S$10</f>
        <v>6913177.8619430996</v>
      </c>
      <c r="L130" s="3">
        <f t="shared" ref="L130:L161" si="29">G130*$S$11</f>
        <v>0</v>
      </c>
      <c r="M130" s="47">
        <f t="shared" si="20"/>
        <v>7292005.8223800994</v>
      </c>
      <c r="N130" s="47">
        <f>IFERROR(HLOOKUP(B130-1,'EV Forecast WRZ'!$F$124:$T$130,5,FALSE)/12,0)+IFERROR(((HLOOKUP(B130,'EV Forecast WRZ'!$F$116:$T$122,5,FALSE)-HLOOKUP(B130-1,'EV Forecast WRZ'!$F$124:$T$130,5,FALSE)))*C130/78,0)</f>
        <v>7899.9586526485755</v>
      </c>
      <c r="O130" s="47">
        <f t="shared" si="21"/>
        <v>7299905.7810327476</v>
      </c>
    </row>
    <row r="131" spans="1:15">
      <c r="A131" s="2">
        <f t="shared" si="22"/>
        <v>46326</v>
      </c>
      <c r="B131">
        <f t="shared" si="23"/>
        <v>2026</v>
      </c>
      <c r="C131">
        <f t="shared" si="24"/>
        <v>10</v>
      </c>
      <c r="E131" s="47">
        <f t="shared" si="25"/>
        <v>31</v>
      </c>
      <c r="F131" s="3">
        <f>'Customer Count'!BH66</f>
        <v>3</v>
      </c>
      <c r="G131" s="3">
        <f>'Monthly Data'!ED131</f>
        <v>0</v>
      </c>
      <c r="I131" s="3">
        <f t="shared" si="26"/>
        <v>-5182660.36787258</v>
      </c>
      <c r="J131" s="3">
        <f t="shared" si="27"/>
        <v>5746871.2725865664</v>
      </c>
      <c r="K131" s="3">
        <f t="shared" si="28"/>
        <v>6913177.8619430996</v>
      </c>
      <c r="L131" s="3">
        <f t="shared" si="29"/>
        <v>0</v>
      </c>
      <c r="M131" s="47">
        <f t="shared" si="20"/>
        <v>7477388.7666570861</v>
      </c>
      <c r="N131" s="47">
        <f>IFERROR(HLOOKUP(B131-1,'EV Forecast WRZ'!$F$124:$T$130,5,FALSE)/12,0)+IFERROR(((HLOOKUP(B131,'EV Forecast WRZ'!$F$116:$T$122,5,FALSE)-HLOOKUP(B131-1,'EV Forecast WRZ'!$F$124:$T$130,5,FALSE)))*C131/78,0)</f>
        <v>8042.5966140539731</v>
      </c>
      <c r="O131" s="47">
        <f t="shared" si="21"/>
        <v>7485431.3632711405</v>
      </c>
    </row>
    <row r="132" spans="1:15">
      <c r="A132" s="2">
        <f t="shared" si="22"/>
        <v>46356</v>
      </c>
      <c r="B132">
        <f t="shared" si="23"/>
        <v>2026</v>
      </c>
      <c r="C132">
        <f t="shared" si="24"/>
        <v>11</v>
      </c>
      <c r="E132" s="47">
        <f t="shared" si="25"/>
        <v>30</v>
      </c>
      <c r="F132" s="3">
        <f>'Customer Count'!BH67</f>
        <v>3</v>
      </c>
      <c r="G132" s="3">
        <f>'Monthly Data'!ED132</f>
        <v>0</v>
      </c>
      <c r="I132" s="3">
        <f t="shared" si="26"/>
        <v>-5182660.36787258</v>
      </c>
      <c r="J132" s="3">
        <f t="shared" si="27"/>
        <v>5561488.3283095798</v>
      </c>
      <c r="K132" s="3">
        <f t="shared" si="28"/>
        <v>6913177.8619430996</v>
      </c>
      <c r="L132" s="3">
        <f t="shared" si="29"/>
        <v>0</v>
      </c>
      <c r="M132" s="47">
        <f t="shared" si="20"/>
        <v>7292005.8223800994</v>
      </c>
      <c r="N132" s="47">
        <f>IFERROR(HLOOKUP(B132-1,'EV Forecast WRZ'!$F$124:$T$130,5,FALSE)/12,0)+IFERROR(((HLOOKUP(B132,'EV Forecast WRZ'!$F$116:$T$122,5,FALSE)-HLOOKUP(B132-1,'EV Forecast WRZ'!$F$124:$T$130,5,FALSE)))*C132/78,0)</f>
        <v>8185.2345754593698</v>
      </c>
      <c r="O132" s="47">
        <f t="shared" si="21"/>
        <v>7300191.0569555592</v>
      </c>
    </row>
    <row r="133" spans="1:15">
      <c r="A133" s="2">
        <f t="shared" si="22"/>
        <v>46387</v>
      </c>
      <c r="B133">
        <f t="shared" si="23"/>
        <v>2026</v>
      </c>
      <c r="C133">
        <f t="shared" si="24"/>
        <v>12</v>
      </c>
      <c r="E133" s="47">
        <f t="shared" si="25"/>
        <v>31</v>
      </c>
      <c r="F133" s="3">
        <f>'Customer Count'!BH68</f>
        <v>3</v>
      </c>
      <c r="G133" s="3">
        <f>'Monthly Data'!ED133</f>
        <v>0</v>
      </c>
      <c r="I133" s="3">
        <f t="shared" si="26"/>
        <v>-5182660.36787258</v>
      </c>
      <c r="J133" s="3">
        <f t="shared" si="27"/>
        <v>5746871.2725865664</v>
      </c>
      <c r="K133" s="3">
        <f t="shared" si="28"/>
        <v>6913177.8619430996</v>
      </c>
      <c r="L133" s="3">
        <f t="shared" si="29"/>
        <v>0</v>
      </c>
      <c r="M133" s="47">
        <f t="shared" si="20"/>
        <v>7477388.7666570861</v>
      </c>
      <c r="N133" s="47">
        <f>IFERROR(HLOOKUP(B133-1,'EV Forecast WRZ'!$F$124:$T$130,5,FALSE)/12,0)+IFERROR(((HLOOKUP(B133,'EV Forecast WRZ'!$F$116:$T$122,5,FALSE)-HLOOKUP(B133-1,'EV Forecast WRZ'!$F$124:$T$130,5,FALSE)))*C133/78,0)</f>
        <v>8327.8725368647683</v>
      </c>
      <c r="O133" s="47">
        <f t="shared" si="21"/>
        <v>7485716.6391939512</v>
      </c>
    </row>
    <row r="134" spans="1:15">
      <c r="A134" s="2">
        <f t="shared" si="22"/>
        <v>46418</v>
      </c>
      <c r="B134">
        <f t="shared" si="23"/>
        <v>2027</v>
      </c>
      <c r="C134">
        <f t="shared" si="24"/>
        <v>1</v>
      </c>
      <c r="E134" s="47">
        <f t="shared" si="25"/>
        <v>31</v>
      </c>
      <c r="F134" s="3">
        <f>'Customer Count'!BH69</f>
        <v>3</v>
      </c>
      <c r="G134" s="3">
        <f>'Monthly Data'!ED134</f>
        <v>0</v>
      </c>
      <c r="I134" s="3">
        <f t="shared" si="26"/>
        <v>-5182660.36787258</v>
      </c>
      <c r="J134" s="3">
        <f t="shared" si="27"/>
        <v>5746871.2725865664</v>
      </c>
      <c r="K134" s="3">
        <f t="shared" si="28"/>
        <v>6913177.8619430996</v>
      </c>
      <c r="L134" s="3">
        <f t="shared" si="29"/>
        <v>0</v>
      </c>
      <c r="M134" s="47">
        <f t="shared" si="20"/>
        <v>7477388.7666570861</v>
      </c>
      <c r="N134" s="47">
        <f>IFERROR(HLOOKUP(B134-1,'EV Forecast WRZ'!$F$124:$T$130,5,FALSE)/12,0)+IFERROR(((HLOOKUP(B134,'EV Forecast WRZ'!$F$116:$T$122,5,FALSE)-HLOOKUP(B134-1,'EV Forecast WRZ'!$F$124:$T$130,5,FALSE)))*C134/78,0)</f>
        <v>8625.1753200209478</v>
      </c>
      <c r="O134" s="47">
        <f t="shared" si="21"/>
        <v>7486013.941977107</v>
      </c>
    </row>
    <row r="135" spans="1:15">
      <c r="A135" s="2">
        <f t="shared" si="22"/>
        <v>46446</v>
      </c>
      <c r="B135">
        <f t="shared" si="23"/>
        <v>2027</v>
      </c>
      <c r="C135">
        <f t="shared" si="24"/>
        <v>2</v>
      </c>
      <c r="E135" s="47">
        <f t="shared" si="25"/>
        <v>29</v>
      </c>
      <c r="F135" s="3">
        <f>'Customer Count'!BH70</f>
        <v>3</v>
      </c>
      <c r="G135" s="3">
        <f>'Monthly Data'!ED135</f>
        <v>0</v>
      </c>
      <c r="I135" s="3">
        <f t="shared" si="26"/>
        <v>-5182660.36787258</v>
      </c>
      <c r="J135" s="3">
        <f t="shared" si="27"/>
        <v>5376105.384032594</v>
      </c>
      <c r="K135" s="3">
        <f t="shared" si="28"/>
        <v>6913177.8619430996</v>
      </c>
      <c r="L135" s="3">
        <f t="shared" si="29"/>
        <v>0</v>
      </c>
      <c r="M135" s="47">
        <f t="shared" si="20"/>
        <v>7106622.8781031137</v>
      </c>
      <c r="N135" s="47">
        <f>IFERROR(HLOOKUP(B135-1,'EV Forecast WRZ'!$F$124:$T$130,5,FALSE)/12,0)+IFERROR(((HLOOKUP(B135,'EV Forecast WRZ'!$F$116:$T$122,5,FALSE)-HLOOKUP(B135-1,'EV Forecast WRZ'!$F$124:$T$130,5,FALSE)))*C135/78,0)</f>
        <v>8779.8401417717287</v>
      </c>
      <c r="O135" s="47">
        <f t="shared" si="21"/>
        <v>7115402.7182448851</v>
      </c>
    </row>
    <row r="136" spans="1:15">
      <c r="A136" s="2">
        <f t="shared" si="22"/>
        <v>46477</v>
      </c>
      <c r="B136">
        <f t="shared" si="23"/>
        <v>2027</v>
      </c>
      <c r="C136">
        <f t="shared" si="24"/>
        <v>3</v>
      </c>
      <c r="E136" s="47">
        <f t="shared" si="25"/>
        <v>31</v>
      </c>
      <c r="F136" s="3">
        <f>'Customer Count'!BH71</f>
        <v>3</v>
      </c>
      <c r="G136" s="3">
        <f>'Monthly Data'!ED136</f>
        <v>0</v>
      </c>
      <c r="I136" s="3">
        <f t="shared" si="26"/>
        <v>-5182660.36787258</v>
      </c>
      <c r="J136" s="3">
        <f t="shared" si="27"/>
        <v>5746871.2725865664</v>
      </c>
      <c r="K136" s="3">
        <f t="shared" si="28"/>
        <v>6913177.8619430996</v>
      </c>
      <c r="L136" s="3">
        <f t="shared" si="29"/>
        <v>0</v>
      </c>
      <c r="M136" s="47">
        <f t="shared" si="20"/>
        <v>7477388.7666570861</v>
      </c>
      <c r="N136" s="47">
        <f>IFERROR(HLOOKUP(B136-1,'EV Forecast WRZ'!$F$124:$T$130,5,FALSE)/12,0)+IFERROR(((HLOOKUP(B136,'EV Forecast WRZ'!$F$116:$T$122,5,FALSE)-HLOOKUP(B136-1,'EV Forecast WRZ'!$F$124:$T$130,5,FALSE)))*C136/78,0)</f>
        <v>8934.5049635225114</v>
      </c>
      <c r="O136" s="47">
        <f t="shared" si="21"/>
        <v>7486323.2716206089</v>
      </c>
    </row>
    <row r="137" spans="1:15">
      <c r="A137" s="2">
        <f t="shared" si="22"/>
        <v>46507</v>
      </c>
      <c r="B137">
        <f t="shared" si="23"/>
        <v>2027</v>
      </c>
      <c r="C137">
        <f t="shared" si="24"/>
        <v>4</v>
      </c>
      <c r="E137" s="47">
        <f t="shared" si="25"/>
        <v>30</v>
      </c>
      <c r="F137" s="3">
        <f>'Customer Count'!BH72</f>
        <v>3</v>
      </c>
      <c r="G137" s="3">
        <f>'Monthly Data'!ED137</f>
        <v>0</v>
      </c>
      <c r="I137" s="3">
        <f t="shared" si="26"/>
        <v>-5182660.36787258</v>
      </c>
      <c r="J137" s="3">
        <f t="shared" si="27"/>
        <v>5561488.3283095798</v>
      </c>
      <c r="K137" s="3">
        <f t="shared" si="28"/>
        <v>6913177.8619430996</v>
      </c>
      <c r="L137" s="3">
        <f t="shared" si="29"/>
        <v>0</v>
      </c>
      <c r="M137" s="47">
        <f t="shared" si="20"/>
        <v>7292005.8223800994</v>
      </c>
      <c r="N137" s="47">
        <f>IFERROR(HLOOKUP(B137-1,'EV Forecast WRZ'!$F$124:$T$130,5,FALSE)/12,0)+IFERROR(((HLOOKUP(B137,'EV Forecast WRZ'!$F$116:$T$122,5,FALSE)-HLOOKUP(B137-1,'EV Forecast WRZ'!$F$124:$T$130,5,FALSE)))*C137/78,0)</f>
        <v>9089.1697852732941</v>
      </c>
      <c r="O137" s="47">
        <f t="shared" si="21"/>
        <v>7301094.9921653727</v>
      </c>
    </row>
    <row r="138" spans="1:15">
      <c r="A138" s="2">
        <f t="shared" si="22"/>
        <v>46538</v>
      </c>
      <c r="B138">
        <f t="shared" si="23"/>
        <v>2027</v>
      </c>
      <c r="C138">
        <f t="shared" si="24"/>
        <v>5</v>
      </c>
      <c r="E138" s="47">
        <f t="shared" si="25"/>
        <v>31</v>
      </c>
      <c r="F138" s="3">
        <f>'Customer Count'!BH73</f>
        <v>3</v>
      </c>
      <c r="G138" s="3">
        <f>'Monthly Data'!ED138</f>
        <v>0</v>
      </c>
      <c r="I138" s="3">
        <f t="shared" si="26"/>
        <v>-5182660.36787258</v>
      </c>
      <c r="J138" s="3">
        <f t="shared" si="27"/>
        <v>5746871.2725865664</v>
      </c>
      <c r="K138" s="3">
        <f t="shared" si="28"/>
        <v>6913177.8619430996</v>
      </c>
      <c r="L138" s="3">
        <f t="shared" si="29"/>
        <v>0</v>
      </c>
      <c r="M138" s="47">
        <f t="shared" si="20"/>
        <v>7477388.7666570861</v>
      </c>
      <c r="N138" s="47">
        <f>IFERROR(HLOOKUP(B138-1,'EV Forecast WRZ'!$F$124:$T$130,5,FALSE)/12,0)+IFERROR(((HLOOKUP(B138,'EV Forecast WRZ'!$F$116:$T$122,5,FALSE)-HLOOKUP(B138-1,'EV Forecast WRZ'!$F$124:$T$130,5,FALSE)))*C138/78,0)</f>
        <v>9243.834607024075</v>
      </c>
      <c r="O138" s="47">
        <f t="shared" si="21"/>
        <v>7486632.6012641098</v>
      </c>
    </row>
    <row r="139" spans="1:15">
      <c r="A139" s="2">
        <f t="shared" si="22"/>
        <v>46568</v>
      </c>
      <c r="B139">
        <f t="shared" si="23"/>
        <v>2027</v>
      </c>
      <c r="C139">
        <f t="shared" si="24"/>
        <v>6</v>
      </c>
      <c r="E139" s="47">
        <f t="shared" si="25"/>
        <v>30</v>
      </c>
      <c r="F139" s="3">
        <f>'Customer Count'!BH74</f>
        <v>3</v>
      </c>
      <c r="G139" s="3">
        <f>'Monthly Data'!ED139</f>
        <v>0</v>
      </c>
      <c r="I139" s="3">
        <f t="shared" si="26"/>
        <v>-5182660.36787258</v>
      </c>
      <c r="J139" s="3">
        <f t="shared" si="27"/>
        <v>5561488.3283095798</v>
      </c>
      <c r="K139" s="3">
        <f t="shared" si="28"/>
        <v>6913177.8619430996</v>
      </c>
      <c r="L139" s="3">
        <f t="shared" si="29"/>
        <v>0</v>
      </c>
      <c r="M139" s="47">
        <f t="shared" si="20"/>
        <v>7292005.8223800994</v>
      </c>
      <c r="N139" s="47">
        <f>IFERROR(HLOOKUP(B139-1,'EV Forecast WRZ'!$F$124:$T$130,5,FALSE)/12,0)+IFERROR(((HLOOKUP(B139,'EV Forecast WRZ'!$F$116:$T$122,5,FALSE)-HLOOKUP(B139-1,'EV Forecast WRZ'!$F$124:$T$130,5,FALSE)))*C139/78,0)</f>
        <v>9398.4994287748577</v>
      </c>
      <c r="O139" s="47">
        <f t="shared" si="21"/>
        <v>7301404.3218088746</v>
      </c>
    </row>
    <row r="140" spans="1:15">
      <c r="A140" s="2">
        <f t="shared" si="22"/>
        <v>46599</v>
      </c>
      <c r="B140">
        <f t="shared" si="23"/>
        <v>2027</v>
      </c>
      <c r="C140">
        <f t="shared" si="24"/>
        <v>7</v>
      </c>
      <c r="E140" s="47">
        <f t="shared" si="25"/>
        <v>31</v>
      </c>
      <c r="F140" s="3">
        <f>'Customer Count'!BH75</f>
        <v>3</v>
      </c>
      <c r="G140" s="3">
        <f>'Monthly Data'!ED140</f>
        <v>0</v>
      </c>
      <c r="I140" s="3">
        <f t="shared" si="26"/>
        <v>-5182660.36787258</v>
      </c>
      <c r="J140" s="3">
        <f t="shared" si="27"/>
        <v>5746871.2725865664</v>
      </c>
      <c r="K140" s="3">
        <f t="shared" si="28"/>
        <v>6913177.8619430996</v>
      </c>
      <c r="L140" s="3">
        <f t="shared" si="29"/>
        <v>0</v>
      </c>
      <c r="M140" s="47">
        <f t="shared" si="20"/>
        <v>7477388.7666570861</v>
      </c>
      <c r="N140" s="47">
        <f>IFERROR(HLOOKUP(B140-1,'EV Forecast WRZ'!$F$124:$T$130,5,FALSE)/12,0)+IFERROR(((HLOOKUP(B140,'EV Forecast WRZ'!$F$116:$T$122,5,FALSE)-HLOOKUP(B140-1,'EV Forecast WRZ'!$F$124:$T$130,5,FALSE)))*C140/78,0)</f>
        <v>9553.1642505256405</v>
      </c>
      <c r="O140" s="47">
        <f t="shared" si="21"/>
        <v>7486941.9309076117</v>
      </c>
    </row>
    <row r="141" spans="1:15">
      <c r="A141" s="2">
        <f t="shared" si="22"/>
        <v>46630</v>
      </c>
      <c r="B141">
        <f t="shared" si="23"/>
        <v>2027</v>
      </c>
      <c r="C141">
        <f t="shared" si="24"/>
        <v>8</v>
      </c>
      <c r="E141" s="47">
        <f t="shared" si="25"/>
        <v>31</v>
      </c>
      <c r="F141" s="3">
        <f>'Customer Count'!BH76</f>
        <v>3</v>
      </c>
      <c r="G141" s="3">
        <f>'Monthly Data'!ED141</f>
        <v>0</v>
      </c>
      <c r="I141" s="3">
        <f t="shared" si="26"/>
        <v>-5182660.36787258</v>
      </c>
      <c r="J141" s="3">
        <f t="shared" si="27"/>
        <v>5746871.2725865664</v>
      </c>
      <c r="K141" s="3">
        <f t="shared" si="28"/>
        <v>6913177.8619430996</v>
      </c>
      <c r="L141" s="3">
        <f t="shared" si="29"/>
        <v>0</v>
      </c>
      <c r="M141" s="47">
        <f t="shared" si="20"/>
        <v>7477388.7666570861</v>
      </c>
      <c r="N141" s="47">
        <f>IFERROR(HLOOKUP(B141-1,'EV Forecast WRZ'!$F$124:$T$130,5,FALSE)/12,0)+IFERROR(((HLOOKUP(B141,'EV Forecast WRZ'!$F$116:$T$122,5,FALSE)-HLOOKUP(B141-1,'EV Forecast WRZ'!$F$124:$T$130,5,FALSE)))*C141/78,0)</f>
        <v>9707.8290722764214</v>
      </c>
      <c r="O141" s="47">
        <f t="shared" si="21"/>
        <v>7487096.5957293622</v>
      </c>
    </row>
    <row r="142" spans="1:15">
      <c r="A142" s="2">
        <f t="shared" si="22"/>
        <v>46660</v>
      </c>
      <c r="B142">
        <f t="shared" si="23"/>
        <v>2027</v>
      </c>
      <c r="C142">
        <f t="shared" si="24"/>
        <v>9</v>
      </c>
      <c r="E142" s="47">
        <f t="shared" si="25"/>
        <v>30</v>
      </c>
      <c r="F142" s="3">
        <f>'Customer Count'!BH77</f>
        <v>3</v>
      </c>
      <c r="G142" s="3">
        <f>'Monthly Data'!ED142</f>
        <v>0</v>
      </c>
      <c r="I142" s="3">
        <f t="shared" si="26"/>
        <v>-5182660.36787258</v>
      </c>
      <c r="J142" s="3">
        <f t="shared" si="27"/>
        <v>5561488.3283095798</v>
      </c>
      <c r="K142" s="3">
        <f t="shared" si="28"/>
        <v>6913177.8619430996</v>
      </c>
      <c r="L142" s="3">
        <f t="shared" si="29"/>
        <v>0</v>
      </c>
      <c r="M142" s="47">
        <f t="shared" si="20"/>
        <v>7292005.8223800994</v>
      </c>
      <c r="N142" s="47">
        <f>IFERROR(HLOOKUP(B142-1,'EV Forecast WRZ'!$F$124:$T$130,5,FALSE)/12,0)+IFERROR(((HLOOKUP(B142,'EV Forecast WRZ'!$F$116:$T$122,5,FALSE)-HLOOKUP(B142-1,'EV Forecast WRZ'!$F$124:$T$130,5,FALSE)))*C142/78,0)</f>
        <v>9862.4938940272041</v>
      </c>
      <c r="O142" s="47">
        <f t="shared" si="21"/>
        <v>7301868.316274127</v>
      </c>
    </row>
    <row r="143" spans="1:15">
      <c r="A143" s="2">
        <f t="shared" si="22"/>
        <v>46691</v>
      </c>
      <c r="B143">
        <f t="shared" si="23"/>
        <v>2027</v>
      </c>
      <c r="C143">
        <f t="shared" si="24"/>
        <v>10</v>
      </c>
      <c r="E143" s="47">
        <f t="shared" si="25"/>
        <v>31</v>
      </c>
      <c r="F143" s="3">
        <f>'Customer Count'!BH78</f>
        <v>3</v>
      </c>
      <c r="G143" s="3">
        <f>'Monthly Data'!ED143</f>
        <v>0</v>
      </c>
      <c r="I143" s="3">
        <f t="shared" si="26"/>
        <v>-5182660.36787258</v>
      </c>
      <c r="J143" s="3">
        <f t="shared" si="27"/>
        <v>5746871.2725865664</v>
      </c>
      <c r="K143" s="3">
        <f t="shared" si="28"/>
        <v>6913177.8619430996</v>
      </c>
      <c r="L143" s="3">
        <f t="shared" si="29"/>
        <v>0</v>
      </c>
      <c r="M143" s="47">
        <f t="shared" si="20"/>
        <v>7477388.7666570861</v>
      </c>
      <c r="N143" s="47">
        <f>IFERROR(HLOOKUP(B143-1,'EV Forecast WRZ'!$F$124:$T$130,5,FALSE)/12,0)+IFERROR(((HLOOKUP(B143,'EV Forecast WRZ'!$F$116:$T$122,5,FALSE)-HLOOKUP(B143-1,'EV Forecast WRZ'!$F$124:$T$130,5,FALSE)))*C143/78,0)</f>
        <v>10017.158715777987</v>
      </c>
      <c r="O143" s="47">
        <f t="shared" si="21"/>
        <v>7487405.9253728641</v>
      </c>
    </row>
    <row r="144" spans="1:15">
      <c r="A144" s="2">
        <f t="shared" si="22"/>
        <v>46721</v>
      </c>
      <c r="B144">
        <f t="shared" si="23"/>
        <v>2027</v>
      </c>
      <c r="C144">
        <f t="shared" si="24"/>
        <v>11</v>
      </c>
      <c r="E144" s="47">
        <f t="shared" si="25"/>
        <v>30</v>
      </c>
      <c r="F144" s="3">
        <f>'Customer Count'!BH79</f>
        <v>3</v>
      </c>
      <c r="G144" s="3">
        <f>'Monthly Data'!ED144</f>
        <v>0</v>
      </c>
      <c r="I144" s="3">
        <f t="shared" si="26"/>
        <v>-5182660.36787258</v>
      </c>
      <c r="J144" s="3">
        <f t="shared" si="27"/>
        <v>5561488.3283095798</v>
      </c>
      <c r="K144" s="3">
        <f t="shared" si="28"/>
        <v>6913177.8619430996</v>
      </c>
      <c r="L144" s="3">
        <f t="shared" si="29"/>
        <v>0</v>
      </c>
      <c r="M144" s="47">
        <f t="shared" si="20"/>
        <v>7292005.8223800994</v>
      </c>
      <c r="N144" s="47">
        <f>IFERROR(HLOOKUP(B144-1,'EV Forecast WRZ'!$F$124:$T$130,5,FALSE)/12,0)+IFERROR(((HLOOKUP(B144,'EV Forecast WRZ'!$F$116:$T$122,5,FALSE)-HLOOKUP(B144-1,'EV Forecast WRZ'!$F$124:$T$130,5,FALSE)))*C144/78,0)</f>
        <v>10171.82353752877</v>
      </c>
      <c r="O144" s="47">
        <f t="shared" si="21"/>
        <v>7302177.645917628</v>
      </c>
    </row>
    <row r="145" spans="1:15">
      <c r="A145" s="2">
        <f t="shared" si="22"/>
        <v>46752</v>
      </c>
      <c r="B145">
        <f t="shared" si="23"/>
        <v>2027</v>
      </c>
      <c r="C145">
        <f t="shared" si="24"/>
        <v>12</v>
      </c>
      <c r="E145" s="47">
        <f t="shared" si="25"/>
        <v>31</v>
      </c>
      <c r="F145" s="3">
        <f>'Customer Count'!BH80</f>
        <v>3</v>
      </c>
      <c r="G145" s="3">
        <f>'Monthly Data'!ED145</f>
        <v>0</v>
      </c>
      <c r="I145" s="3">
        <f t="shared" si="26"/>
        <v>-5182660.36787258</v>
      </c>
      <c r="J145" s="3">
        <f t="shared" si="27"/>
        <v>5746871.2725865664</v>
      </c>
      <c r="K145" s="3">
        <f t="shared" si="28"/>
        <v>6913177.8619430996</v>
      </c>
      <c r="L145" s="3">
        <f t="shared" si="29"/>
        <v>0</v>
      </c>
      <c r="M145" s="47">
        <f t="shared" si="20"/>
        <v>7477388.7666570861</v>
      </c>
      <c r="N145" s="47">
        <f>IFERROR(HLOOKUP(B145-1,'EV Forecast WRZ'!$F$124:$T$130,5,FALSE)/12,0)+IFERROR(((HLOOKUP(B145,'EV Forecast WRZ'!$F$116:$T$122,5,FALSE)-HLOOKUP(B145-1,'EV Forecast WRZ'!$F$124:$T$130,5,FALSE)))*C145/78,0)</f>
        <v>10326.48835927955</v>
      </c>
      <c r="O145" s="47">
        <f t="shared" si="21"/>
        <v>7487715.255016366</v>
      </c>
    </row>
    <row r="146" spans="1:15">
      <c r="A146" s="2">
        <f t="shared" si="22"/>
        <v>46783</v>
      </c>
      <c r="B146">
        <f t="shared" si="23"/>
        <v>2028</v>
      </c>
      <c r="C146">
        <f t="shared" si="24"/>
        <v>1</v>
      </c>
      <c r="E146" s="47">
        <f t="shared" si="25"/>
        <v>31</v>
      </c>
      <c r="F146" s="3">
        <f>'Customer Count'!BH81</f>
        <v>3</v>
      </c>
      <c r="G146" s="3">
        <f>'Monthly Data'!ED146</f>
        <v>0</v>
      </c>
      <c r="I146" s="3">
        <f t="shared" si="26"/>
        <v>-5182660.36787258</v>
      </c>
      <c r="J146" s="3">
        <f t="shared" si="27"/>
        <v>5746871.2725865664</v>
      </c>
      <c r="K146" s="3">
        <f t="shared" si="28"/>
        <v>6913177.8619430996</v>
      </c>
      <c r="L146" s="3">
        <f t="shared" si="29"/>
        <v>0</v>
      </c>
      <c r="M146" s="47">
        <f t="shared" si="20"/>
        <v>7477388.7666570861</v>
      </c>
      <c r="N146" s="47">
        <f>IFERROR(HLOOKUP(B146-1,'EV Forecast WRZ'!$F$124:$T$130,5,FALSE)/12,0)+IFERROR(((HLOOKUP(B146,'EV Forecast WRZ'!$F$116:$T$122,5,FALSE)-HLOOKUP(B146-1,'EV Forecast WRZ'!$F$124:$T$130,5,FALSE)))*C146/78,0)</f>
        <v>10856.685532612164</v>
      </c>
      <c r="O146" s="47">
        <f t="shared" si="21"/>
        <v>7488245.4521896979</v>
      </c>
    </row>
    <row r="147" spans="1:15">
      <c r="A147" s="2">
        <f t="shared" si="22"/>
        <v>46812</v>
      </c>
      <c r="B147">
        <f t="shared" si="23"/>
        <v>2028</v>
      </c>
      <c r="C147">
        <f t="shared" si="24"/>
        <v>2</v>
      </c>
      <c r="E147" s="47">
        <f t="shared" si="25"/>
        <v>28</v>
      </c>
      <c r="F147" s="3">
        <f>'Customer Count'!BH82</f>
        <v>3</v>
      </c>
      <c r="G147" s="3">
        <f>'Monthly Data'!ED147</f>
        <v>0</v>
      </c>
      <c r="I147" s="3">
        <f t="shared" si="26"/>
        <v>-5182660.36787258</v>
      </c>
      <c r="J147" s="3">
        <f t="shared" si="27"/>
        <v>5190722.4397556083</v>
      </c>
      <c r="K147" s="3">
        <f t="shared" si="28"/>
        <v>6913177.8619430996</v>
      </c>
      <c r="L147" s="3">
        <f t="shared" si="29"/>
        <v>0</v>
      </c>
      <c r="M147" s="47">
        <f t="shared" si="20"/>
        <v>6921239.933826128</v>
      </c>
      <c r="N147" s="47">
        <f>IFERROR(HLOOKUP(B147-1,'EV Forecast WRZ'!$F$124:$T$130,5,FALSE)/12,0)+IFERROR(((HLOOKUP(B147,'EV Forecast WRZ'!$F$116:$T$122,5,FALSE)-HLOOKUP(B147-1,'EV Forecast WRZ'!$F$124:$T$130,5,FALSE)))*C147/78,0)</f>
        <v>11050.878884193993</v>
      </c>
      <c r="O147" s="47">
        <f t="shared" si="21"/>
        <v>6932290.8127103224</v>
      </c>
    </row>
    <row r="148" spans="1:15">
      <c r="A148" s="2">
        <f t="shared" si="22"/>
        <v>46843</v>
      </c>
      <c r="B148">
        <f t="shared" si="23"/>
        <v>2028</v>
      </c>
      <c r="C148">
        <f t="shared" si="24"/>
        <v>3</v>
      </c>
      <c r="E148" s="47">
        <f t="shared" si="25"/>
        <v>31</v>
      </c>
      <c r="F148" s="3">
        <f>'Customer Count'!BH83</f>
        <v>3</v>
      </c>
      <c r="G148" s="3">
        <f>'Monthly Data'!ED148</f>
        <v>0</v>
      </c>
      <c r="I148" s="3">
        <f t="shared" si="26"/>
        <v>-5182660.36787258</v>
      </c>
      <c r="J148" s="3">
        <f t="shared" si="27"/>
        <v>5746871.2725865664</v>
      </c>
      <c r="K148" s="3">
        <f t="shared" si="28"/>
        <v>6913177.8619430996</v>
      </c>
      <c r="L148" s="3">
        <f t="shared" si="29"/>
        <v>0</v>
      </c>
      <c r="M148" s="47">
        <f t="shared" si="20"/>
        <v>7477388.7666570861</v>
      </c>
      <c r="N148" s="47">
        <f>IFERROR(HLOOKUP(B148-1,'EV Forecast WRZ'!$F$124:$T$130,5,FALSE)/12,0)+IFERROR(((HLOOKUP(B148,'EV Forecast WRZ'!$F$116:$T$122,5,FALSE)-HLOOKUP(B148-1,'EV Forecast WRZ'!$F$124:$T$130,5,FALSE)))*C148/78,0)</f>
        <v>11245.072235775824</v>
      </c>
      <c r="O148" s="47">
        <f t="shared" si="21"/>
        <v>7488633.8388928622</v>
      </c>
    </row>
    <row r="149" spans="1:15">
      <c r="A149" s="2">
        <f t="shared" si="22"/>
        <v>46873</v>
      </c>
      <c r="B149">
        <f t="shared" si="23"/>
        <v>2028</v>
      </c>
      <c r="C149">
        <f t="shared" si="24"/>
        <v>4</v>
      </c>
      <c r="E149" s="47">
        <f t="shared" si="25"/>
        <v>30</v>
      </c>
      <c r="F149" s="3">
        <f>'Customer Count'!BH84</f>
        <v>3</v>
      </c>
      <c r="G149" s="3">
        <f>'Monthly Data'!ED149</f>
        <v>0</v>
      </c>
      <c r="I149" s="3">
        <f t="shared" si="26"/>
        <v>-5182660.36787258</v>
      </c>
      <c r="J149" s="3">
        <f t="shared" si="27"/>
        <v>5561488.3283095798</v>
      </c>
      <c r="K149" s="3">
        <f t="shared" si="28"/>
        <v>6913177.8619430996</v>
      </c>
      <c r="L149" s="3">
        <f t="shared" si="29"/>
        <v>0</v>
      </c>
      <c r="M149" s="47">
        <f t="shared" si="20"/>
        <v>7292005.8223800994</v>
      </c>
      <c r="N149" s="47">
        <f>IFERROR(HLOOKUP(B149-1,'EV Forecast WRZ'!$F$124:$T$130,5,FALSE)/12,0)+IFERROR(((HLOOKUP(B149,'EV Forecast WRZ'!$F$116:$T$122,5,FALSE)-HLOOKUP(B149-1,'EV Forecast WRZ'!$F$124:$T$130,5,FALSE)))*C149/78,0)</f>
        <v>11439.265587357655</v>
      </c>
      <c r="O149" s="47">
        <f t="shared" si="21"/>
        <v>7303445.0879674572</v>
      </c>
    </row>
    <row r="150" spans="1:15">
      <c r="A150" s="2">
        <f t="shared" si="22"/>
        <v>46904</v>
      </c>
      <c r="B150">
        <f t="shared" si="23"/>
        <v>2028</v>
      </c>
      <c r="C150">
        <f t="shared" si="24"/>
        <v>5</v>
      </c>
      <c r="E150" s="47">
        <f t="shared" si="25"/>
        <v>31</v>
      </c>
      <c r="F150" s="3">
        <f>'Customer Count'!BH85</f>
        <v>3</v>
      </c>
      <c r="G150" s="3">
        <f>'Monthly Data'!ED150</f>
        <v>0</v>
      </c>
      <c r="I150" s="3">
        <f t="shared" si="26"/>
        <v>-5182660.36787258</v>
      </c>
      <c r="J150" s="3">
        <f t="shared" si="27"/>
        <v>5746871.2725865664</v>
      </c>
      <c r="K150" s="3">
        <f t="shared" si="28"/>
        <v>6913177.8619430996</v>
      </c>
      <c r="L150" s="3">
        <f t="shared" si="29"/>
        <v>0</v>
      </c>
      <c r="M150" s="47">
        <f t="shared" si="20"/>
        <v>7477388.7666570861</v>
      </c>
      <c r="N150" s="47">
        <f>IFERROR(HLOOKUP(B150-1,'EV Forecast WRZ'!$F$124:$T$130,5,FALSE)/12,0)+IFERROR(((HLOOKUP(B150,'EV Forecast WRZ'!$F$116:$T$122,5,FALSE)-HLOOKUP(B150-1,'EV Forecast WRZ'!$F$124:$T$130,5,FALSE)))*C150/78,0)</f>
        <v>11633.458938939484</v>
      </c>
      <c r="O150" s="47">
        <f t="shared" si="21"/>
        <v>7489022.2255960256</v>
      </c>
    </row>
    <row r="151" spans="1:15">
      <c r="A151" s="2">
        <f t="shared" si="22"/>
        <v>46934</v>
      </c>
      <c r="B151">
        <f t="shared" si="23"/>
        <v>2028</v>
      </c>
      <c r="C151">
        <f t="shared" si="24"/>
        <v>6</v>
      </c>
      <c r="E151" s="47">
        <f t="shared" si="25"/>
        <v>30</v>
      </c>
      <c r="F151" s="3">
        <f>'Customer Count'!BH86</f>
        <v>3</v>
      </c>
      <c r="G151" s="3">
        <f>'Monthly Data'!ED151</f>
        <v>0</v>
      </c>
      <c r="I151" s="3">
        <f t="shared" si="26"/>
        <v>-5182660.36787258</v>
      </c>
      <c r="J151" s="3">
        <f t="shared" si="27"/>
        <v>5561488.3283095798</v>
      </c>
      <c r="K151" s="3">
        <f t="shared" si="28"/>
        <v>6913177.8619430996</v>
      </c>
      <c r="L151" s="3">
        <f t="shared" si="29"/>
        <v>0</v>
      </c>
      <c r="M151" s="47">
        <f t="shared" si="20"/>
        <v>7292005.8223800994</v>
      </c>
      <c r="N151" s="47">
        <f>IFERROR(HLOOKUP(B151-1,'EV Forecast WRZ'!$F$124:$T$130,5,FALSE)/12,0)+IFERROR(((HLOOKUP(B151,'EV Forecast WRZ'!$F$116:$T$122,5,FALSE)-HLOOKUP(B151-1,'EV Forecast WRZ'!$F$124:$T$130,5,FALSE)))*C151/78,0)</f>
        <v>11827.652290521315</v>
      </c>
      <c r="O151" s="47">
        <f t="shared" si="21"/>
        <v>7303833.4746706206</v>
      </c>
    </row>
    <row r="152" spans="1:15">
      <c r="A152" s="2">
        <f t="shared" si="22"/>
        <v>46965</v>
      </c>
      <c r="B152">
        <f t="shared" si="23"/>
        <v>2028</v>
      </c>
      <c r="C152">
        <f t="shared" si="24"/>
        <v>7</v>
      </c>
      <c r="E152" s="47">
        <f t="shared" si="25"/>
        <v>31</v>
      </c>
      <c r="F152" s="3">
        <f>'Customer Count'!BH87</f>
        <v>3</v>
      </c>
      <c r="G152" s="3">
        <f>'Monthly Data'!ED152</f>
        <v>0</v>
      </c>
      <c r="I152" s="3">
        <f t="shared" si="26"/>
        <v>-5182660.36787258</v>
      </c>
      <c r="J152" s="3">
        <f t="shared" si="27"/>
        <v>5746871.2725865664</v>
      </c>
      <c r="K152" s="3">
        <f t="shared" si="28"/>
        <v>6913177.8619430996</v>
      </c>
      <c r="L152" s="3">
        <f t="shared" si="29"/>
        <v>0</v>
      </c>
      <c r="M152" s="47">
        <f t="shared" si="20"/>
        <v>7477388.7666570861</v>
      </c>
      <c r="N152" s="47">
        <f>IFERROR(HLOOKUP(B152-1,'EV Forecast WRZ'!$F$124:$T$130,5,FALSE)/12,0)+IFERROR(((HLOOKUP(B152,'EV Forecast WRZ'!$F$116:$T$122,5,FALSE)-HLOOKUP(B152-1,'EV Forecast WRZ'!$F$124:$T$130,5,FALSE)))*C152/78,0)</f>
        <v>12021.845642103146</v>
      </c>
      <c r="O152" s="47">
        <f t="shared" si="21"/>
        <v>7489410.612299189</v>
      </c>
    </row>
    <row r="153" spans="1:15">
      <c r="A153" s="2">
        <f t="shared" si="22"/>
        <v>46996</v>
      </c>
      <c r="B153">
        <f t="shared" si="23"/>
        <v>2028</v>
      </c>
      <c r="C153">
        <f t="shared" si="24"/>
        <v>8</v>
      </c>
      <c r="E153" s="47">
        <f t="shared" si="25"/>
        <v>31</v>
      </c>
      <c r="F153" s="3">
        <f>'Customer Count'!BH88</f>
        <v>3</v>
      </c>
      <c r="G153" s="3">
        <f>'Monthly Data'!ED153</f>
        <v>0</v>
      </c>
      <c r="I153" s="3">
        <f t="shared" si="26"/>
        <v>-5182660.36787258</v>
      </c>
      <c r="J153" s="3">
        <f t="shared" si="27"/>
        <v>5746871.2725865664</v>
      </c>
      <c r="K153" s="3">
        <f t="shared" si="28"/>
        <v>6913177.8619430996</v>
      </c>
      <c r="L153" s="3">
        <f t="shared" si="29"/>
        <v>0</v>
      </c>
      <c r="M153" s="47">
        <f t="shared" si="20"/>
        <v>7477388.7666570861</v>
      </c>
      <c r="N153" s="47">
        <f>IFERROR(HLOOKUP(B153-1,'EV Forecast WRZ'!$F$124:$T$130,5,FALSE)/12,0)+IFERROR(((HLOOKUP(B153,'EV Forecast WRZ'!$F$116:$T$122,5,FALSE)-HLOOKUP(B153-1,'EV Forecast WRZ'!$F$124:$T$130,5,FALSE)))*C153/78,0)</f>
        <v>12216.038993684975</v>
      </c>
      <c r="O153" s="47">
        <f t="shared" si="21"/>
        <v>7489604.8056507707</v>
      </c>
    </row>
    <row r="154" spans="1:15">
      <c r="A154" s="2">
        <f t="shared" si="22"/>
        <v>47026</v>
      </c>
      <c r="B154">
        <f t="shared" si="23"/>
        <v>2028</v>
      </c>
      <c r="C154">
        <f t="shared" si="24"/>
        <v>9</v>
      </c>
      <c r="E154" s="47">
        <f t="shared" si="25"/>
        <v>30</v>
      </c>
      <c r="F154" s="3">
        <f>'Customer Count'!BH89</f>
        <v>3</v>
      </c>
      <c r="G154" s="3">
        <f>'Monthly Data'!ED154</f>
        <v>0</v>
      </c>
      <c r="I154" s="3">
        <f t="shared" si="26"/>
        <v>-5182660.36787258</v>
      </c>
      <c r="J154" s="3">
        <f t="shared" si="27"/>
        <v>5561488.3283095798</v>
      </c>
      <c r="K154" s="3">
        <f t="shared" si="28"/>
        <v>6913177.8619430996</v>
      </c>
      <c r="L154" s="3">
        <f t="shared" si="29"/>
        <v>0</v>
      </c>
      <c r="M154" s="47">
        <f t="shared" si="20"/>
        <v>7292005.8223800994</v>
      </c>
      <c r="N154" s="47">
        <f>IFERROR(HLOOKUP(B154-1,'EV Forecast WRZ'!$F$124:$T$130,5,FALSE)/12,0)+IFERROR(((HLOOKUP(B154,'EV Forecast WRZ'!$F$116:$T$122,5,FALSE)-HLOOKUP(B154-1,'EV Forecast WRZ'!$F$124:$T$130,5,FALSE)))*C154/78,0)</f>
        <v>12410.232345266806</v>
      </c>
      <c r="O154" s="47">
        <f t="shared" si="21"/>
        <v>7304416.0547253666</v>
      </c>
    </row>
    <row r="155" spans="1:15">
      <c r="A155" s="2">
        <f t="shared" si="22"/>
        <v>47057</v>
      </c>
      <c r="B155">
        <f t="shared" si="23"/>
        <v>2028</v>
      </c>
      <c r="C155">
        <f t="shared" si="24"/>
        <v>10</v>
      </c>
      <c r="E155" s="47">
        <f t="shared" si="25"/>
        <v>31</v>
      </c>
      <c r="F155" s="3">
        <f>'Customer Count'!BH90</f>
        <v>3</v>
      </c>
      <c r="G155" s="3">
        <f>'Monthly Data'!ED155</f>
        <v>0</v>
      </c>
      <c r="I155" s="3">
        <f t="shared" si="26"/>
        <v>-5182660.36787258</v>
      </c>
      <c r="J155" s="3">
        <f t="shared" si="27"/>
        <v>5746871.2725865664</v>
      </c>
      <c r="K155" s="3">
        <f t="shared" si="28"/>
        <v>6913177.8619430996</v>
      </c>
      <c r="L155" s="3">
        <f t="shared" si="29"/>
        <v>0</v>
      </c>
      <c r="M155" s="47">
        <f t="shared" si="20"/>
        <v>7477388.7666570861</v>
      </c>
      <c r="N155" s="47">
        <f>IFERROR(HLOOKUP(B155-1,'EV Forecast WRZ'!$F$124:$T$130,5,FALSE)/12,0)+IFERROR(((HLOOKUP(B155,'EV Forecast WRZ'!$F$116:$T$122,5,FALSE)-HLOOKUP(B155-1,'EV Forecast WRZ'!$F$124:$T$130,5,FALSE)))*C155/78,0)</f>
        <v>12604.425696848637</v>
      </c>
      <c r="O155" s="47">
        <f t="shared" si="21"/>
        <v>7489993.192353935</v>
      </c>
    </row>
    <row r="156" spans="1:15">
      <c r="A156" s="2">
        <f t="shared" si="22"/>
        <v>47087</v>
      </c>
      <c r="B156">
        <f t="shared" si="23"/>
        <v>2028</v>
      </c>
      <c r="C156">
        <f t="shared" si="24"/>
        <v>11</v>
      </c>
      <c r="E156" s="47">
        <f t="shared" si="25"/>
        <v>30</v>
      </c>
      <c r="F156" s="3">
        <f>'Customer Count'!BH91</f>
        <v>3</v>
      </c>
      <c r="G156" s="3">
        <f>'Monthly Data'!ED156</f>
        <v>0</v>
      </c>
      <c r="I156" s="3">
        <f t="shared" si="26"/>
        <v>-5182660.36787258</v>
      </c>
      <c r="J156" s="3">
        <f t="shared" si="27"/>
        <v>5561488.3283095798</v>
      </c>
      <c r="K156" s="3">
        <f t="shared" si="28"/>
        <v>6913177.8619430996</v>
      </c>
      <c r="L156" s="3">
        <f t="shared" si="29"/>
        <v>0</v>
      </c>
      <c r="M156" s="47">
        <f t="shared" si="20"/>
        <v>7292005.8223800994</v>
      </c>
      <c r="N156" s="47">
        <f>IFERROR(HLOOKUP(B156-1,'EV Forecast WRZ'!$F$124:$T$130,5,FALSE)/12,0)+IFERROR(((HLOOKUP(B156,'EV Forecast WRZ'!$F$116:$T$122,5,FALSE)-HLOOKUP(B156-1,'EV Forecast WRZ'!$F$124:$T$130,5,FALSE)))*C156/78,0)</f>
        <v>12798.619048430468</v>
      </c>
      <c r="O156" s="47">
        <f t="shared" si="21"/>
        <v>7304804.44142853</v>
      </c>
    </row>
    <row r="157" spans="1:15">
      <c r="A157" s="2">
        <f t="shared" si="22"/>
        <v>47118</v>
      </c>
      <c r="B157">
        <f t="shared" si="23"/>
        <v>2028</v>
      </c>
      <c r="C157">
        <f t="shared" si="24"/>
        <v>12</v>
      </c>
      <c r="E157" s="47">
        <f t="shared" si="25"/>
        <v>31</v>
      </c>
      <c r="F157" s="3">
        <f>'Customer Count'!BH92</f>
        <v>3</v>
      </c>
      <c r="G157" s="3">
        <f>'Monthly Data'!ED157</f>
        <v>0</v>
      </c>
      <c r="I157" s="3">
        <f t="shared" si="26"/>
        <v>-5182660.36787258</v>
      </c>
      <c r="J157" s="3">
        <f t="shared" si="27"/>
        <v>5746871.2725865664</v>
      </c>
      <c r="K157" s="3">
        <f t="shared" si="28"/>
        <v>6913177.8619430996</v>
      </c>
      <c r="L157" s="3">
        <f t="shared" si="29"/>
        <v>0</v>
      </c>
      <c r="M157" s="47">
        <f t="shared" si="20"/>
        <v>7477388.7666570861</v>
      </c>
      <c r="N157" s="47">
        <f>IFERROR(HLOOKUP(B157-1,'EV Forecast WRZ'!$F$124:$T$130,5,FALSE)/12,0)+IFERROR(((HLOOKUP(B157,'EV Forecast WRZ'!$F$116:$T$122,5,FALSE)-HLOOKUP(B157-1,'EV Forecast WRZ'!$F$124:$T$130,5,FALSE)))*C157/78,0)</f>
        <v>12992.812400012297</v>
      </c>
      <c r="O157" s="47">
        <f t="shared" si="21"/>
        <v>7490381.5790570984</v>
      </c>
    </row>
    <row r="158" spans="1:15">
      <c r="A158" s="2">
        <f t="shared" si="22"/>
        <v>47149</v>
      </c>
      <c r="B158">
        <f t="shared" si="23"/>
        <v>2029</v>
      </c>
      <c r="C158">
        <f t="shared" si="24"/>
        <v>1</v>
      </c>
      <c r="E158" s="47">
        <f t="shared" si="25"/>
        <v>31</v>
      </c>
      <c r="F158" s="3">
        <f>'Customer Count'!BH93</f>
        <v>3</v>
      </c>
      <c r="G158" s="3">
        <f>'Monthly Data'!ED158</f>
        <v>0</v>
      </c>
      <c r="I158" s="3">
        <f t="shared" si="26"/>
        <v>-5182660.36787258</v>
      </c>
      <c r="J158" s="3">
        <f t="shared" si="27"/>
        <v>5746871.2725865664</v>
      </c>
      <c r="K158" s="3">
        <f t="shared" si="28"/>
        <v>6913177.8619430996</v>
      </c>
      <c r="L158" s="3">
        <f t="shared" si="29"/>
        <v>0</v>
      </c>
      <c r="M158" s="47">
        <f t="shared" si="20"/>
        <v>7477388.7666570861</v>
      </c>
      <c r="N158" s="47">
        <f>IFERROR(HLOOKUP(B158-1,'EV Forecast WRZ'!$F$124:$T$130,5,FALSE)/12,0)+IFERROR(((HLOOKUP(B158,'EV Forecast WRZ'!$F$116:$T$122,5,FALSE)-HLOOKUP(B158-1,'EV Forecast WRZ'!$F$124:$T$130,5,FALSE)))*C158/78,0)</f>
        <v>13630.360507410009</v>
      </c>
      <c r="O158" s="47">
        <f t="shared" si="21"/>
        <v>7491019.1271644961</v>
      </c>
    </row>
    <row r="159" spans="1:15">
      <c r="A159" s="2">
        <f t="shared" si="22"/>
        <v>47177</v>
      </c>
      <c r="B159">
        <f t="shared" si="23"/>
        <v>2029</v>
      </c>
      <c r="C159">
        <f t="shared" si="24"/>
        <v>2</v>
      </c>
      <c r="E159" s="47">
        <f t="shared" si="25"/>
        <v>28</v>
      </c>
      <c r="F159" s="3">
        <f>'Customer Count'!BH94</f>
        <v>3</v>
      </c>
      <c r="G159" s="3">
        <f>'Monthly Data'!ED159</f>
        <v>0</v>
      </c>
      <c r="I159" s="3">
        <f t="shared" si="26"/>
        <v>-5182660.36787258</v>
      </c>
      <c r="J159" s="3">
        <f t="shared" si="27"/>
        <v>5190722.4397556083</v>
      </c>
      <c r="K159" s="3">
        <f t="shared" si="28"/>
        <v>6913177.8619430996</v>
      </c>
      <c r="L159" s="3">
        <f t="shared" si="29"/>
        <v>0</v>
      </c>
      <c r="M159" s="47">
        <f t="shared" si="20"/>
        <v>6921239.933826128</v>
      </c>
      <c r="N159" s="47">
        <f>IFERROR(HLOOKUP(B159-1,'EV Forecast WRZ'!$F$124:$T$130,5,FALSE)/12,0)+IFERROR(((HLOOKUP(B159,'EV Forecast WRZ'!$F$116:$T$122,5,FALSE)-HLOOKUP(B159-1,'EV Forecast WRZ'!$F$124:$T$130,5,FALSE)))*C159/78,0)</f>
        <v>13879.788429892558</v>
      </c>
      <c r="O159" s="47">
        <f t="shared" si="21"/>
        <v>6935119.7222560206</v>
      </c>
    </row>
    <row r="160" spans="1:15">
      <c r="A160" s="2">
        <f t="shared" si="22"/>
        <v>47208</v>
      </c>
      <c r="B160">
        <f t="shared" si="23"/>
        <v>2029</v>
      </c>
      <c r="C160">
        <f t="shared" si="24"/>
        <v>3</v>
      </c>
      <c r="E160" s="47">
        <f t="shared" si="25"/>
        <v>31</v>
      </c>
      <c r="F160" s="3">
        <f>'Customer Count'!BH95</f>
        <v>3</v>
      </c>
      <c r="G160" s="3">
        <f>'Monthly Data'!ED160</f>
        <v>0</v>
      </c>
      <c r="I160" s="3">
        <f t="shared" si="26"/>
        <v>-5182660.36787258</v>
      </c>
      <c r="J160" s="3">
        <f t="shared" si="27"/>
        <v>5746871.2725865664</v>
      </c>
      <c r="K160" s="3">
        <f t="shared" si="28"/>
        <v>6913177.8619430996</v>
      </c>
      <c r="L160" s="3">
        <f t="shared" si="29"/>
        <v>0</v>
      </c>
      <c r="M160" s="47">
        <f t="shared" si="20"/>
        <v>7477388.7666570861</v>
      </c>
      <c r="N160" s="47">
        <f>IFERROR(HLOOKUP(B160-1,'EV Forecast WRZ'!$F$124:$T$130,5,FALSE)/12,0)+IFERROR(((HLOOKUP(B160,'EV Forecast WRZ'!$F$116:$T$122,5,FALSE)-HLOOKUP(B160-1,'EV Forecast WRZ'!$F$124:$T$130,5,FALSE)))*C160/78,0)</f>
        <v>14129.216352375106</v>
      </c>
      <c r="O160" s="47">
        <f t="shared" si="21"/>
        <v>7491517.9830094613</v>
      </c>
    </row>
    <row r="161" spans="1:15">
      <c r="A161" s="2">
        <f t="shared" si="22"/>
        <v>47238</v>
      </c>
      <c r="B161">
        <f t="shared" si="23"/>
        <v>2029</v>
      </c>
      <c r="C161">
        <f t="shared" si="24"/>
        <v>4</v>
      </c>
      <c r="E161" s="47">
        <f t="shared" si="25"/>
        <v>30</v>
      </c>
      <c r="F161" s="3">
        <f>'Customer Count'!BH96</f>
        <v>3</v>
      </c>
      <c r="G161" s="3">
        <f>'Monthly Data'!ED161</f>
        <v>0</v>
      </c>
      <c r="I161" s="3">
        <f t="shared" si="26"/>
        <v>-5182660.36787258</v>
      </c>
      <c r="J161" s="3">
        <f t="shared" si="27"/>
        <v>5561488.3283095798</v>
      </c>
      <c r="K161" s="3">
        <f t="shared" si="28"/>
        <v>6913177.8619430996</v>
      </c>
      <c r="L161" s="3">
        <f t="shared" si="29"/>
        <v>0</v>
      </c>
      <c r="M161" s="47">
        <f t="shared" si="20"/>
        <v>7292005.8223800994</v>
      </c>
      <c r="N161" s="47">
        <f>IFERROR(HLOOKUP(B161-1,'EV Forecast WRZ'!$F$124:$T$130,5,FALSE)/12,0)+IFERROR(((HLOOKUP(B161,'EV Forecast WRZ'!$F$116:$T$122,5,FALSE)-HLOOKUP(B161-1,'EV Forecast WRZ'!$F$124:$T$130,5,FALSE)))*C161/78,0)</f>
        <v>14378.644274857656</v>
      </c>
      <c r="O161" s="47">
        <f t="shared" si="21"/>
        <v>7306384.4666549573</v>
      </c>
    </row>
    <row r="162" spans="1:15">
      <c r="A162" s="2">
        <f t="shared" si="22"/>
        <v>47269</v>
      </c>
      <c r="B162">
        <f t="shared" si="23"/>
        <v>2029</v>
      </c>
      <c r="C162">
        <f t="shared" si="24"/>
        <v>5</v>
      </c>
      <c r="E162" s="47">
        <f t="shared" si="25"/>
        <v>31</v>
      </c>
      <c r="F162" s="3">
        <f>'Customer Count'!BH97</f>
        <v>3</v>
      </c>
      <c r="G162" s="3">
        <f>'Monthly Data'!ED162</f>
        <v>0</v>
      </c>
      <c r="I162" s="3">
        <f t="shared" ref="I162:I193" si="30">$S$8</f>
        <v>-5182660.36787258</v>
      </c>
      <c r="J162" s="3">
        <f t="shared" ref="J162:J193" si="31">E162*$S$9</f>
        <v>5746871.2725865664</v>
      </c>
      <c r="K162" s="3">
        <f t="shared" ref="K162:K193" si="32">F162*$S$10</f>
        <v>6913177.8619430996</v>
      </c>
      <c r="L162" s="3">
        <f t="shared" ref="L162:L193" si="33">G162*$S$11</f>
        <v>0</v>
      </c>
      <c r="M162" s="47">
        <f t="shared" si="20"/>
        <v>7477388.7666570861</v>
      </c>
      <c r="N162" s="47">
        <f>IFERROR(HLOOKUP(B162-1,'EV Forecast WRZ'!$F$124:$T$130,5,FALSE)/12,0)+IFERROR(((HLOOKUP(B162,'EV Forecast WRZ'!$F$116:$T$122,5,FALSE)-HLOOKUP(B162-1,'EV Forecast WRZ'!$F$124:$T$130,5,FALSE)))*C162/78,0)</f>
        <v>14628.072197340203</v>
      </c>
      <c r="O162" s="47">
        <f t="shared" si="21"/>
        <v>7492016.8388544265</v>
      </c>
    </row>
    <row r="163" spans="1:15">
      <c r="A163" s="2">
        <f t="shared" ref="A163:A193" si="34">EOMONTH(A162,1)</f>
        <v>47299</v>
      </c>
      <c r="B163">
        <f t="shared" ref="B163:B193" si="35">YEAR(A163)</f>
        <v>2029</v>
      </c>
      <c r="C163">
        <f t="shared" ref="C163:C193" si="36">MONTH(A163)</f>
        <v>6</v>
      </c>
      <c r="E163" s="47">
        <f t="shared" ref="E163:E193" si="37">E127</f>
        <v>30</v>
      </c>
      <c r="F163" s="3">
        <f>'Customer Count'!BH98</f>
        <v>3</v>
      </c>
      <c r="G163" s="3">
        <f>'Monthly Data'!ED163</f>
        <v>0</v>
      </c>
      <c r="I163" s="3">
        <f t="shared" si="30"/>
        <v>-5182660.36787258</v>
      </c>
      <c r="J163" s="3">
        <f t="shared" si="31"/>
        <v>5561488.3283095798</v>
      </c>
      <c r="K163" s="3">
        <f t="shared" si="32"/>
        <v>6913177.8619430996</v>
      </c>
      <c r="L163" s="3">
        <f t="shared" si="33"/>
        <v>0</v>
      </c>
      <c r="M163" s="47">
        <f t="shared" si="20"/>
        <v>7292005.8223800994</v>
      </c>
      <c r="N163" s="47">
        <f>IFERROR(HLOOKUP(B163-1,'EV Forecast WRZ'!$F$124:$T$130,5,FALSE)/12,0)+IFERROR(((HLOOKUP(B163,'EV Forecast WRZ'!$F$116:$T$122,5,FALSE)-HLOOKUP(B163-1,'EV Forecast WRZ'!$F$124:$T$130,5,FALSE)))*C163/78,0)</f>
        <v>14877.500119822753</v>
      </c>
      <c r="O163" s="47">
        <f t="shared" si="21"/>
        <v>7306883.3224999225</v>
      </c>
    </row>
    <row r="164" spans="1:15">
      <c r="A164" s="2">
        <f t="shared" si="34"/>
        <v>47330</v>
      </c>
      <c r="B164">
        <f t="shared" si="35"/>
        <v>2029</v>
      </c>
      <c r="C164">
        <f t="shared" si="36"/>
        <v>7</v>
      </c>
      <c r="E164" s="47">
        <f t="shared" si="37"/>
        <v>31</v>
      </c>
      <c r="F164" s="3">
        <f>'Customer Count'!BH99</f>
        <v>3</v>
      </c>
      <c r="G164" s="3">
        <f>'Monthly Data'!ED164</f>
        <v>0</v>
      </c>
      <c r="I164" s="3">
        <f t="shared" si="30"/>
        <v>-5182660.36787258</v>
      </c>
      <c r="J164" s="3">
        <f t="shared" si="31"/>
        <v>5746871.2725865664</v>
      </c>
      <c r="K164" s="3">
        <f t="shared" si="32"/>
        <v>6913177.8619430996</v>
      </c>
      <c r="L164" s="3">
        <f t="shared" si="33"/>
        <v>0</v>
      </c>
      <c r="M164" s="47">
        <f t="shared" si="20"/>
        <v>7477388.7666570861</v>
      </c>
      <c r="N164" s="47">
        <f>IFERROR(HLOOKUP(B164-1,'EV Forecast WRZ'!$F$124:$T$130,5,FALSE)/12,0)+IFERROR(((HLOOKUP(B164,'EV Forecast WRZ'!$F$116:$T$122,5,FALSE)-HLOOKUP(B164-1,'EV Forecast WRZ'!$F$124:$T$130,5,FALSE)))*C164/78,0)</f>
        <v>15126.928042305301</v>
      </c>
      <c r="O164" s="47">
        <f t="shared" si="21"/>
        <v>7492515.6946993917</v>
      </c>
    </row>
    <row r="165" spans="1:15">
      <c r="A165" s="2">
        <f t="shared" si="34"/>
        <v>47361</v>
      </c>
      <c r="B165">
        <f t="shared" si="35"/>
        <v>2029</v>
      </c>
      <c r="C165">
        <f t="shared" si="36"/>
        <v>8</v>
      </c>
      <c r="E165" s="47">
        <f t="shared" si="37"/>
        <v>31</v>
      </c>
      <c r="F165" s="3">
        <f>'Customer Count'!BH100</f>
        <v>3</v>
      </c>
      <c r="G165" s="3">
        <f>'Monthly Data'!ED165</f>
        <v>0</v>
      </c>
      <c r="I165" s="3">
        <f t="shared" si="30"/>
        <v>-5182660.36787258</v>
      </c>
      <c r="J165" s="3">
        <f t="shared" si="31"/>
        <v>5746871.2725865664</v>
      </c>
      <c r="K165" s="3">
        <f t="shared" si="32"/>
        <v>6913177.8619430996</v>
      </c>
      <c r="L165" s="3">
        <f t="shared" si="33"/>
        <v>0</v>
      </c>
      <c r="M165" s="47">
        <f t="shared" si="20"/>
        <v>7477388.7666570861</v>
      </c>
      <c r="N165" s="47">
        <f>IFERROR(HLOOKUP(B165-1,'EV Forecast WRZ'!$F$124:$T$130,5,FALSE)/12,0)+IFERROR(((HLOOKUP(B165,'EV Forecast WRZ'!$F$116:$T$122,5,FALSE)-HLOOKUP(B165-1,'EV Forecast WRZ'!$F$124:$T$130,5,FALSE)))*C165/78,0)</f>
        <v>15376.35596478785</v>
      </c>
      <c r="O165" s="47">
        <f t="shared" si="21"/>
        <v>7492765.1226218743</v>
      </c>
    </row>
    <row r="166" spans="1:15">
      <c r="A166" s="2">
        <f t="shared" si="34"/>
        <v>47391</v>
      </c>
      <c r="B166">
        <f t="shared" si="35"/>
        <v>2029</v>
      </c>
      <c r="C166">
        <f t="shared" si="36"/>
        <v>9</v>
      </c>
      <c r="E166" s="47">
        <f t="shared" si="37"/>
        <v>30</v>
      </c>
      <c r="F166" s="3">
        <f>'Customer Count'!BH101</f>
        <v>3</v>
      </c>
      <c r="G166" s="3">
        <f>'Monthly Data'!ED166</f>
        <v>0</v>
      </c>
      <c r="I166" s="3">
        <f t="shared" si="30"/>
        <v>-5182660.36787258</v>
      </c>
      <c r="J166" s="3">
        <f t="shared" si="31"/>
        <v>5561488.3283095798</v>
      </c>
      <c r="K166" s="3">
        <f t="shared" si="32"/>
        <v>6913177.8619430996</v>
      </c>
      <c r="L166" s="3">
        <f t="shared" si="33"/>
        <v>0</v>
      </c>
      <c r="M166" s="47">
        <f t="shared" si="20"/>
        <v>7292005.8223800994</v>
      </c>
      <c r="N166" s="47">
        <f>IFERROR(HLOOKUP(B166-1,'EV Forecast WRZ'!$F$124:$T$130,5,FALSE)/12,0)+IFERROR(((HLOOKUP(B166,'EV Forecast WRZ'!$F$116:$T$122,5,FALSE)-HLOOKUP(B166-1,'EV Forecast WRZ'!$F$124:$T$130,5,FALSE)))*C166/78,0)</f>
        <v>15625.783887270398</v>
      </c>
      <c r="O166" s="47">
        <f t="shared" si="21"/>
        <v>7307631.6062673703</v>
      </c>
    </row>
    <row r="167" spans="1:15">
      <c r="A167" s="2">
        <f t="shared" si="34"/>
        <v>47422</v>
      </c>
      <c r="B167">
        <f t="shared" si="35"/>
        <v>2029</v>
      </c>
      <c r="C167">
        <f t="shared" si="36"/>
        <v>10</v>
      </c>
      <c r="E167" s="47">
        <f t="shared" si="37"/>
        <v>31</v>
      </c>
      <c r="F167" s="3">
        <f>'Customer Count'!BH102</f>
        <v>3</v>
      </c>
      <c r="G167" s="3">
        <f>'Monthly Data'!ED167</f>
        <v>0</v>
      </c>
      <c r="I167" s="3">
        <f t="shared" si="30"/>
        <v>-5182660.36787258</v>
      </c>
      <c r="J167" s="3">
        <f t="shared" si="31"/>
        <v>5746871.2725865664</v>
      </c>
      <c r="K167" s="3">
        <f t="shared" si="32"/>
        <v>6913177.8619430996</v>
      </c>
      <c r="L167" s="3">
        <f t="shared" si="33"/>
        <v>0</v>
      </c>
      <c r="M167" s="47">
        <f t="shared" si="20"/>
        <v>7477388.7666570861</v>
      </c>
      <c r="N167" s="47">
        <f>IFERROR(HLOOKUP(B167-1,'EV Forecast WRZ'!$F$124:$T$130,5,FALSE)/12,0)+IFERROR(((HLOOKUP(B167,'EV Forecast WRZ'!$F$116:$T$122,5,FALSE)-HLOOKUP(B167-1,'EV Forecast WRZ'!$F$124:$T$130,5,FALSE)))*C167/78,0)</f>
        <v>15875.211809752946</v>
      </c>
      <c r="O167" s="47">
        <f t="shared" si="21"/>
        <v>7493263.9784668386</v>
      </c>
    </row>
    <row r="168" spans="1:15">
      <c r="A168" s="2">
        <f t="shared" si="34"/>
        <v>47452</v>
      </c>
      <c r="B168">
        <f t="shared" si="35"/>
        <v>2029</v>
      </c>
      <c r="C168">
        <f t="shared" si="36"/>
        <v>11</v>
      </c>
      <c r="E168" s="47">
        <f t="shared" si="37"/>
        <v>30</v>
      </c>
      <c r="F168" s="3">
        <f>'Customer Count'!BH103</f>
        <v>3</v>
      </c>
      <c r="G168" s="3">
        <f>'Monthly Data'!ED168</f>
        <v>0</v>
      </c>
      <c r="I168" s="3">
        <f t="shared" si="30"/>
        <v>-5182660.36787258</v>
      </c>
      <c r="J168" s="3">
        <f t="shared" si="31"/>
        <v>5561488.3283095798</v>
      </c>
      <c r="K168" s="3">
        <f t="shared" si="32"/>
        <v>6913177.8619430996</v>
      </c>
      <c r="L168" s="3">
        <f t="shared" si="33"/>
        <v>0</v>
      </c>
      <c r="M168" s="47">
        <f t="shared" si="20"/>
        <v>7292005.8223800994</v>
      </c>
      <c r="N168" s="47">
        <f>IFERROR(HLOOKUP(B168-1,'EV Forecast WRZ'!$F$124:$T$130,5,FALSE)/12,0)+IFERROR(((HLOOKUP(B168,'EV Forecast WRZ'!$F$116:$T$122,5,FALSE)-HLOOKUP(B168-1,'EV Forecast WRZ'!$F$124:$T$130,5,FALSE)))*C168/78,0)</f>
        <v>16124.639732235495</v>
      </c>
      <c r="O168" s="47">
        <f t="shared" si="21"/>
        <v>7308130.4621123346</v>
      </c>
    </row>
    <row r="169" spans="1:15">
      <c r="A169" s="2">
        <f t="shared" si="34"/>
        <v>47483</v>
      </c>
      <c r="B169">
        <f t="shared" si="35"/>
        <v>2029</v>
      </c>
      <c r="C169">
        <f t="shared" si="36"/>
        <v>12</v>
      </c>
      <c r="E169" s="47">
        <f t="shared" si="37"/>
        <v>31</v>
      </c>
      <c r="F169" s="3">
        <f>'Customer Count'!BH104</f>
        <v>3</v>
      </c>
      <c r="G169" s="3">
        <f>'Monthly Data'!ED169</f>
        <v>0</v>
      </c>
      <c r="I169" s="3">
        <f t="shared" si="30"/>
        <v>-5182660.36787258</v>
      </c>
      <c r="J169" s="3">
        <f t="shared" si="31"/>
        <v>5746871.2725865664</v>
      </c>
      <c r="K169" s="3">
        <f t="shared" si="32"/>
        <v>6913177.8619430996</v>
      </c>
      <c r="L169" s="3">
        <f t="shared" si="33"/>
        <v>0</v>
      </c>
      <c r="M169" s="47">
        <f t="shared" si="20"/>
        <v>7477388.7666570861</v>
      </c>
      <c r="N169" s="47">
        <f>IFERROR(HLOOKUP(B169-1,'EV Forecast WRZ'!$F$124:$T$130,5,FALSE)/12,0)+IFERROR(((HLOOKUP(B169,'EV Forecast WRZ'!$F$116:$T$122,5,FALSE)-HLOOKUP(B169-1,'EV Forecast WRZ'!$F$124:$T$130,5,FALSE)))*C169/78,0)</f>
        <v>16374.067654718045</v>
      </c>
      <c r="O169" s="47">
        <f t="shared" si="21"/>
        <v>7493762.8343118038</v>
      </c>
    </row>
    <row r="170" spans="1:15">
      <c r="A170" s="2">
        <f t="shared" si="34"/>
        <v>47514</v>
      </c>
      <c r="B170">
        <f t="shared" si="35"/>
        <v>2030</v>
      </c>
      <c r="C170">
        <f t="shared" si="36"/>
        <v>1</v>
      </c>
      <c r="E170" s="47">
        <f t="shared" si="37"/>
        <v>31</v>
      </c>
      <c r="F170" s="3">
        <f>'Customer Count'!BH105</f>
        <v>3</v>
      </c>
      <c r="G170" s="3">
        <f>'Monthly Data'!ED170</f>
        <v>0</v>
      </c>
      <c r="I170" s="3">
        <f t="shared" si="30"/>
        <v>-5182660.36787258</v>
      </c>
      <c r="J170" s="3">
        <f t="shared" si="31"/>
        <v>5746871.2725865664</v>
      </c>
      <c r="K170" s="3">
        <f t="shared" si="32"/>
        <v>6913177.8619430996</v>
      </c>
      <c r="L170" s="3">
        <f t="shared" si="33"/>
        <v>0</v>
      </c>
      <c r="M170" s="47">
        <f t="shared" si="20"/>
        <v>7477388.7666570861</v>
      </c>
      <c r="N170" s="47">
        <f>IFERROR(HLOOKUP(B170-1,'EV Forecast WRZ'!$F$124:$T$130,5,FALSE)/12,0)+IFERROR(((HLOOKUP(B170,'EV Forecast WRZ'!$F$116:$T$122,5,FALSE)-HLOOKUP(B170-1,'EV Forecast WRZ'!$F$124:$T$130,5,FALSE)))*C170/78,0)</f>
        <v>17025.191410325406</v>
      </c>
      <c r="O170" s="47">
        <f t="shared" si="21"/>
        <v>7494413.9580674116</v>
      </c>
    </row>
    <row r="171" spans="1:15">
      <c r="A171" s="2">
        <f t="shared" si="34"/>
        <v>47542</v>
      </c>
      <c r="B171">
        <f t="shared" si="35"/>
        <v>2030</v>
      </c>
      <c r="C171">
        <f t="shared" si="36"/>
        <v>2</v>
      </c>
      <c r="E171" s="47">
        <f t="shared" si="37"/>
        <v>29</v>
      </c>
      <c r="F171" s="3">
        <f>'Customer Count'!BH106</f>
        <v>3</v>
      </c>
      <c r="G171" s="3">
        <f>'Monthly Data'!ED171</f>
        <v>0</v>
      </c>
      <c r="I171" s="3">
        <f t="shared" si="30"/>
        <v>-5182660.36787258</v>
      </c>
      <c r="J171" s="3">
        <f t="shared" si="31"/>
        <v>5376105.384032594</v>
      </c>
      <c r="K171" s="3">
        <f t="shared" si="32"/>
        <v>6913177.8619430996</v>
      </c>
      <c r="L171" s="3">
        <f t="shared" si="33"/>
        <v>0</v>
      </c>
      <c r="M171" s="47">
        <f t="shared" ref="M171:M193" si="38">SUM(I171:L171)</f>
        <v>7106622.8781031137</v>
      </c>
      <c r="N171" s="47">
        <f>IFERROR(HLOOKUP(B171-1,'EV Forecast WRZ'!$F$124:$T$130,5,FALSE)/12,0)+IFERROR(((HLOOKUP(B171,'EV Forecast WRZ'!$F$116:$T$122,5,FALSE)-HLOOKUP(B171-1,'EV Forecast WRZ'!$F$124:$T$130,5,FALSE)))*C171/78,0)</f>
        <v>17312.155576783556</v>
      </c>
      <c r="O171" s="47">
        <f t="shared" ref="O171:O193" si="39">M171+N171</f>
        <v>7123935.033679897</v>
      </c>
    </row>
    <row r="172" spans="1:15">
      <c r="A172" s="2">
        <f t="shared" si="34"/>
        <v>47573</v>
      </c>
      <c r="B172">
        <f t="shared" si="35"/>
        <v>2030</v>
      </c>
      <c r="C172">
        <f t="shared" si="36"/>
        <v>3</v>
      </c>
      <c r="E172" s="47">
        <f t="shared" si="37"/>
        <v>31</v>
      </c>
      <c r="F172" s="3">
        <f>'Customer Count'!BH107</f>
        <v>3</v>
      </c>
      <c r="G172" s="3">
        <f>'Monthly Data'!ED172</f>
        <v>0</v>
      </c>
      <c r="I172" s="3">
        <f t="shared" si="30"/>
        <v>-5182660.36787258</v>
      </c>
      <c r="J172" s="3">
        <f t="shared" si="31"/>
        <v>5746871.2725865664</v>
      </c>
      <c r="K172" s="3">
        <f t="shared" si="32"/>
        <v>6913177.8619430996</v>
      </c>
      <c r="L172" s="3">
        <f t="shared" si="33"/>
        <v>0</v>
      </c>
      <c r="M172" s="47">
        <f t="shared" si="38"/>
        <v>7477388.7666570861</v>
      </c>
      <c r="N172" s="47">
        <f>IFERROR(HLOOKUP(B172-1,'EV Forecast WRZ'!$F$124:$T$130,5,FALSE)/12,0)+IFERROR(((HLOOKUP(B172,'EV Forecast WRZ'!$F$116:$T$122,5,FALSE)-HLOOKUP(B172-1,'EV Forecast WRZ'!$F$124:$T$130,5,FALSE)))*C172/78,0)</f>
        <v>17599.119743241707</v>
      </c>
      <c r="O172" s="47">
        <f t="shared" si="39"/>
        <v>7494987.886400328</v>
      </c>
    </row>
    <row r="173" spans="1:15">
      <c r="A173" s="2">
        <f t="shared" si="34"/>
        <v>47603</v>
      </c>
      <c r="B173">
        <f t="shared" si="35"/>
        <v>2030</v>
      </c>
      <c r="C173">
        <f t="shared" si="36"/>
        <v>4</v>
      </c>
      <c r="E173" s="47">
        <f t="shared" si="37"/>
        <v>30</v>
      </c>
      <c r="F173" s="3">
        <f>'Customer Count'!BH108</f>
        <v>3</v>
      </c>
      <c r="G173" s="3">
        <f>'Monthly Data'!ED173</f>
        <v>0</v>
      </c>
      <c r="I173" s="3">
        <f t="shared" si="30"/>
        <v>-5182660.36787258</v>
      </c>
      <c r="J173" s="3">
        <f t="shared" si="31"/>
        <v>5561488.3283095798</v>
      </c>
      <c r="K173" s="3">
        <f t="shared" si="32"/>
        <v>6913177.8619430996</v>
      </c>
      <c r="L173" s="3">
        <f t="shared" si="33"/>
        <v>0</v>
      </c>
      <c r="M173" s="47">
        <f t="shared" si="38"/>
        <v>7292005.8223800994</v>
      </c>
      <c r="N173" s="47">
        <f>IFERROR(HLOOKUP(B173-1,'EV Forecast WRZ'!$F$124:$T$130,5,FALSE)/12,0)+IFERROR(((HLOOKUP(B173,'EV Forecast WRZ'!$F$116:$T$122,5,FALSE)-HLOOKUP(B173-1,'EV Forecast WRZ'!$F$124:$T$130,5,FALSE)))*C173/78,0)</f>
        <v>17886.083909699857</v>
      </c>
      <c r="O173" s="47">
        <f t="shared" si="39"/>
        <v>7309891.9062897991</v>
      </c>
    </row>
    <row r="174" spans="1:15">
      <c r="A174" s="2">
        <f t="shared" si="34"/>
        <v>47634</v>
      </c>
      <c r="B174">
        <f t="shared" si="35"/>
        <v>2030</v>
      </c>
      <c r="C174">
        <f t="shared" si="36"/>
        <v>5</v>
      </c>
      <c r="E174" s="47">
        <f t="shared" si="37"/>
        <v>31</v>
      </c>
      <c r="F174" s="3">
        <f>'Customer Count'!BH109</f>
        <v>3</v>
      </c>
      <c r="G174" s="3">
        <f>'Monthly Data'!ED174</f>
        <v>0</v>
      </c>
      <c r="I174" s="3">
        <f t="shared" si="30"/>
        <v>-5182660.36787258</v>
      </c>
      <c r="J174" s="3">
        <f t="shared" si="31"/>
        <v>5746871.2725865664</v>
      </c>
      <c r="K174" s="3">
        <f t="shared" si="32"/>
        <v>6913177.8619430996</v>
      </c>
      <c r="L174" s="3">
        <f t="shared" si="33"/>
        <v>0</v>
      </c>
      <c r="M174" s="47">
        <f t="shared" si="38"/>
        <v>7477388.7666570861</v>
      </c>
      <c r="N174" s="47">
        <f>IFERROR(HLOOKUP(B174-1,'EV Forecast WRZ'!$F$124:$T$130,5,FALSE)/12,0)+IFERROR(((HLOOKUP(B174,'EV Forecast WRZ'!$F$116:$T$122,5,FALSE)-HLOOKUP(B174-1,'EV Forecast WRZ'!$F$124:$T$130,5,FALSE)))*C174/78,0)</f>
        <v>18173.048076158007</v>
      </c>
      <c r="O174" s="47">
        <f t="shared" si="39"/>
        <v>7495561.8147332445</v>
      </c>
    </row>
    <row r="175" spans="1:15">
      <c r="A175" s="2">
        <f t="shared" si="34"/>
        <v>47664</v>
      </c>
      <c r="B175">
        <f t="shared" si="35"/>
        <v>2030</v>
      </c>
      <c r="C175">
        <f t="shared" si="36"/>
        <v>6</v>
      </c>
      <c r="E175" s="47">
        <f t="shared" si="37"/>
        <v>30</v>
      </c>
      <c r="F175" s="3">
        <f>'Customer Count'!BH110</f>
        <v>3</v>
      </c>
      <c r="G175" s="3">
        <f>'Monthly Data'!ED175</f>
        <v>0</v>
      </c>
      <c r="I175" s="3">
        <f t="shared" si="30"/>
        <v>-5182660.36787258</v>
      </c>
      <c r="J175" s="3">
        <f t="shared" si="31"/>
        <v>5561488.3283095798</v>
      </c>
      <c r="K175" s="3">
        <f t="shared" si="32"/>
        <v>6913177.8619430996</v>
      </c>
      <c r="L175" s="3">
        <f t="shared" si="33"/>
        <v>0</v>
      </c>
      <c r="M175" s="47">
        <f t="shared" si="38"/>
        <v>7292005.8223800994</v>
      </c>
      <c r="N175" s="47">
        <f>IFERROR(HLOOKUP(B175-1,'EV Forecast WRZ'!$F$124:$T$130,5,FALSE)/12,0)+IFERROR(((HLOOKUP(B175,'EV Forecast WRZ'!$F$116:$T$122,5,FALSE)-HLOOKUP(B175-1,'EV Forecast WRZ'!$F$124:$T$130,5,FALSE)))*C175/78,0)</f>
        <v>18460.012242616158</v>
      </c>
      <c r="O175" s="47">
        <f t="shared" si="39"/>
        <v>7310465.8346227156</v>
      </c>
    </row>
    <row r="176" spans="1:15">
      <c r="A176" s="2">
        <f t="shared" si="34"/>
        <v>47695</v>
      </c>
      <c r="B176">
        <f t="shared" si="35"/>
        <v>2030</v>
      </c>
      <c r="C176">
        <f t="shared" si="36"/>
        <v>7</v>
      </c>
      <c r="E176" s="47">
        <f t="shared" si="37"/>
        <v>31</v>
      </c>
      <c r="F176" s="3">
        <f>'Customer Count'!BH111</f>
        <v>3</v>
      </c>
      <c r="G176" s="3">
        <f>'Monthly Data'!ED176</f>
        <v>0</v>
      </c>
      <c r="I176" s="3">
        <f t="shared" si="30"/>
        <v>-5182660.36787258</v>
      </c>
      <c r="J176" s="3">
        <f t="shared" si="31"/>
        <v>5746871.2725865664</v>
      </c>
      <c r="K176" s="3">
        <f t="shared" si="32"/>
        <v>6913177.8619430996</v>
      </c>
      <c r="L176" s="3">
        <f t="shared" si="33"/>
        <v>0</v>
      </c>
      <c r="M176" s="47">
        <f t="shared" si="38"/>
        <v>7477388.7666570861</v>
      </c>
      <c r="N176" s="47">
        <f>IFERROR(HLOOKUP(B176-1,'EV Forecast WRZ'!$F$124:$T$130,5,FALSE)/12,0)+IFERROR(((HLOOKUP(B176,'EV Forecast WRZ'!$F$116:$T$122,5,FALSE)-HLOOKUP(B176-1,'EV Forecast WRZ'!$F$124:$T$130,5,FALSE)))*C176/78,0)</f>
        <v>18746.976409074308</v>
      </c>
      <c r="O176" s="47">
        <f t="shared" si="39"/>
        <v>7496135.74306616</v>
      </c>
    </row>
    <row r="177" spans="1:15">
      <c r="A177" s="2">
        <f t="shared" si="34"/>
        <v>47726</v>
      </c>
      <c r="B177">
        <f t="shared" si="35"/>
        <v>2030</v>
      </c>
      <c r="C177">
        <f t="shared" si="36"/>
        <v>8</v>
      </c>
      <c r="E177" s="47">
        <f t="shared" si="37"/>
        <v>31</v>
      </c>
      <c r="F177" s="3">
        <f>'Customer Count'!BH112</f>
        <v>3</v>
      </c>
      <c r="G177" s="3">
        <f>'Monthly Data'!ED177</f>
        <v>0</v>
      </c>
      <c r="I177" s="3">
        <f t="shared" si="30"/>
        <v>-5182660.36787258</v>
      </c>
      <c r="J177" s="3">
        <f t="shared" si="31"/>
        <v>5746871.2725865664</v>
      </c>
      <c r="K177" s="3">
        <f t="shared" si="32"/>
        <v>6913177.8619430996</v>
      </c>
      <c r="L177" s="3">
        <f t="shared" si="33"/>
        <v>0</v>
      </c>
      <c r="M177" s="47">
        <f t="shared" si="38"/>
        <v>7477388.7666570861</v>
      </c>
      <c r="N177" s="47">
        <f>IFERROR(HLOOKUP(B177-1,'EV Forecast WRZ'!$F$124:$T$130,5,FALSE)/12,0)+IFERROR(((HLOOKUP(B177,'EV Forecast WRZ'!$F$116:$T$122,5,FALSE)-HLOOKUP(B177-1,'EV Forecast WRZ'!$F$124:$T$130,5,FALSE)))*C177/78,0)</f>
        <v>19033.940575532459</v>
      </c>
      <c r="O177" s="47">
        <f t="shared" si="39"/>
        <v>7496422.7072326187</v>
      </c>
    </row>
    <row r="178" spans="1:15">
      <c r="A178" s="2">
        <f t="shared" si="34"/>
        <v>47756</v>
      </c>
      <c r="B178">
        <f t="shared" si="35"/>
        <v>2030</v>
      </c>
      <c r="C178">
        <f t="shared" si="36"/>
        <v>9</v>
      </c>
      <c r="E178" s="47">
        <f t="shared" si="37"/>
        <v>30</v>
      </c>
      <c r="F178" s="3">
        <f>'Customer Count'!BH113</f>
        <v>3</v>
      </c>
      <c r="G178" s="3">
        <f>'Monthly Data'!ED178</f>
        <v>0</v>
      </c>
      <c r="I178" s="3">
        <f t="shared" si="30"/>
        <v>-5182660.36787258</v>
      </c>
      <c r="J178" s="3">
        <f t="shared" si="31"/>
        <v>5561488.3283095798</v>
      </c>
      <c r="K178" s="3">
        <f t="shared" si="32"/>
        <v>6913177.8619430996</v>
      </c>
      <c r="L178" s="3">
        <f t="shared" si="33"/>
        <v>0</v>
      </c>
      <c r="M178" s="47">
        <f t="shared" si="38"/>
        <v>7292005.8223800994</v>
      </c>
      <c r="N178" s="47">
        <f>IFERROR(HLOOKUP(B178-1,'EV Forecast WRZ'!$F$124:$T$130,5,FALSE)/12,0)+IFERROR(((HLOOKUP(B178,'EV Forecast WRZ'!$F$116:$T$122,5,FALSE)-HLOOKUP(B178-1,'EV Forecast WRZ'!$F$124:$T$130,5,FALSE)))*C178/78,0)</f>
        <v>19320.904741990606</v>
      </c>
      <c r="O178" s="47">
        <f t="shared" si="39"/>
        <v>7311326.7271220898</v>
      </c>
    </row>
    <row r="179" spans="1:15">
      <c r="A179" s="2">
        <f t="shared" si="34"/>
        <v>47787</v>
      </c>
      <c r="B179">
        <f t="shared" si="35"/>
        <v>2030</v>
      </c>
      <c r="C179">
        <f t="shared" si="36"/>
        <v>10</v>
      </c>
      <c r="E179" s="47">
        <f t="shared" si="37"/>
        <v>31</v>
      </c>
      <c r="F179" s="3">
        <f>'Customer Count'!BH114</f>
        <v>3</v>
      </c>
      <c r="G179" s="3">
        <f>'Monthly Data'!ED179</f>
        <v>0</v>
      </c>
      <c r="I179" s="3">
        <f t="shared" si="30"/>
        <v>-5182660.36787258</v>
      </c>
      <c r="J179" s="3">
        <f t="shared" si="31"/>
        <v>5746871.2725865664</v>
      </c>
      <c r="K179" s="3">
        <f t="shared" si="32"/>
        <v>6913177.8619430996</v>
      </c>
      <c r="L179" s="3">
        <f t="shared" si="33"/>
        <v>0</v>
      </c>
      <c r="M179" s="47">
        <f t="shared" si="38"/>
        <v>7477388.7666570861</v>
      </c>
      <c r="N179" s="47">
        <f>IFERROR(HLOOKUP(B179-1,'EV Forecast WRZ'!$F$124:$T$130,5,FALSE)/12,0)+IFERROR(((HLOOKUP(B179,'EV Forecast WRZ'!$F$116:$T$122,5,FALSE)-HLOOKUP(B179-1,'EV Forecast WRZ'!$F$124:$T$130,5,FALSE)))*C179/78,0)</f>
        <v>19607.868908448756</v>
      </c>
      <c r="O179" s="47">
        <f t="shared" si="39"/>
        <v>7496996.6355655352</v>
      </c>
    </row>
    <row r="180" spans="1:15">
      <c r="A180" s="2">
        <f t="shared" si="34"/>
        <v>47817</v>
      </c>
      <c r="B180">
        <f t="shared" si="35"/>
        <v>2030</v>
      </c>
      <c r="C180">
        <f t="shared" si="36"/>
        <v>11</v>
      </c>
      <c r="E180" s="47">
        <f t="shared" si="37"/>
        <v>30</v>
      </c>
      <c r="F180" s="3">
        <f>'Customer Count'!BH115</f>
        <v>3</v>
      </c>
      <c r="G180" s="3">
        <f>'Monthly Data'!ED180</f>
        <v>0</v>
      </c>
      <c r="I180" s="3">
        <f t="shared" si="30"/>
        <v>-5182660.36787258</v>
      </c>
      <c r="J180" s="3">
        <f t="shared" si="31"/>
        <v>5561488.3283095798</v>
      </c>
      <c r="K180" s="3">
        <f t="shared" si="32"/>
        <v>6913177.8619430996</v>
      </c>
      <c r="L180" s="3">
        <f t="shared" si="33"/>
        <v>0</v>
      </c>
      <c r="M180" s="47">
        <f t="shared" si="38"/>
        <v>7292005.8223800994</v>
      </c>
      <c r="N180" s="47">
        <f>IFERROR(HLOOKUP(B180-1,'EV Forecast WRZ'!$F$124:$T$130,5,FALSE)/12,0)+IFERROR(((HLOOKUP(B180,'EV Forecast WRZ'!$F$116:$T$122,5,FALSE)-HLOOKUP(B180-1,'EV Forecast WRZ'!$F$124:$T$130,5,FALSE)))*C180/78,0)</f>
        <v>19894.833074906906</v>
      </c>
      <c r="O180" s="47">
        <f t="shared" si="39"/>
        <v>7311900.6554550063</v>
      </c>
    </row>
    <row r="181" spans="1:15">
      <c r="A181" s="2">
        <f t="shared" si="34"/>
        <v>47848</v>
      </c>
      <c r="B181">
        <f t="shared" si="35"/>
        <v>2030</v>
      </c>
      <c r="C181">
        <f t="shared" si="36"/>
        <v>12</v>
      </c>
      <c r="E181" s="47">
        <f t="shared" si="37"/>
        <v>31</v>
      </c>
      <c r="F181" s="3">
        <f>'Customer Count'!BH116</f>
        <v>3</v>
      </c>
      <c r="G181" s="3">
        <f>'Monthly Data'!ED181</f>
        <v>0</v>
      </c>
      <c r="I181" s="3">
        <f t="shared" si="30"/>
        <v>-5182660.36787258</v>
      </c>
      <c r="J181" s="3">
        <f t="shared" si="31"/>
        <v>5746871.2725865664</v>
      </c>
      <c r="K181" s="3">
        <f t="shared" si="32"/>
        <v>6913177.8619430996</v>
      </c>
      <c r="L181" s="3">
        <f t="shared" si="33"/>
        <v>0</v>
      </c>
      <c r="M181" s="47">
        <f t="shared" si="38"/>
        <v>7477388.7666570861</v>
      </c>
      <c r="N181" s="47">
        <f>IFERROR(HLOOKUP(B181-1,'EV Forecast WRZ'!$F$124:$T$130,5,FALSE)/12,0)+IFERROR(((HLOOKUP(B181,'EV Forecast WRZ'!$F$116:$T$122,5,FALSE)-HLOOKUP(B181-1,'EV Forecast WRZ'!$F$124:$T$130,5,FALSE)))*C181/78,0)</f>
        <v>20181.797241365057</v>
      </c>
      <c r="O181" s="47">
        <f t="shared" si="39"/>
        <v>7497570.5638984507</v>
      </c>
    </row>
    <row r="182" spans="1:15">
      <c r="A182" s="2">
        <f t="shared" si="34"/>
        <v>47879</v>
      </c>
      <c r="B182">
        <f t="shared" si="35"/>
        <v>2031</v>
      </c>
      <c r="C182">
        <f t="shared" si="36"/>
        <v>1</v>
      </c>
      <c r="E182" s="47">
        <f t="shared" si="37"/>
        <v>31</v>
      </c>
      <c r="F182" s="3">
        <f>'Customer Count'!BH117</f>
        <v>3</v>
      </c>
      <c r="G182" s="3">
        <f>'Monthly Data'!ED182</f>
        <v>0</v>
      </c>
      <c r="I182" s="3">
        <f t="shared" si="30"/>
        <v>-5182660.36787258</v>
      </c>
      <c r="J182" s="3">
        <f t="shared" si="31"/>
        <v>5746871.2725865664</v>
      </c>
      <c r="K182" s="3">
        <f t="shared" si="32"/>
        <v>6913177.8619430996</v>
      </c>
      <c r="L182" s="3">
        <f t="shared" si="33"/>
        <v>0</v>
      </c>
      <c r="M182" s="47">
        <f t="shared" si="38"/>
        <v>7477388.7666570861</v>
      </c>
      <c r="N182" s="47">
        <f>IFERROR(HLOOKUP(B182-1,'EV Forecast WRZ'!$F$124:$T$130,5,FALSE)/12,0)+IFERROR(((HLOOKUP(B182,'EV Forecast WRZ'!$F$116:$T$122,5,FALSE)-HLOOKUP(B182-1,'EV Forecast WRZ'!$F$124:$T$130,5,FALSE)))*C182/78,0)</f>
        <v>20949.155054898274</v>
      </c>
      <c r="O182" s="47">
        <f t="shared" si="39"/>
        <v>7498337.9217119841</v>
      </c>
    </row>
    <row r="183" spans="1:15">
      <c r="A183" s="2">
        <f t="shared" si="34"/>
        <v>47907</v>
      </c>
      <c r="B183">
        <f t="shared" si="35"/>
        <v>2031</v>
      </c>
      <c r="C183">
        <f t="shared" si="36"/>
        <v>2</v>
      </c>
      <c r="E183" s="47">
        <f t="shared" si="37"/>
        <v>28</v>
      </c>
      <c r="F183" s="3">
        <f>'Customer Count'!BH118</f>
        <v>3</v>
      </c>
      <c r="G183" s="3">
        <f>'Monthly Data'!ED183</f>
        <v>0</v>
      </c>
      <c r="I183" s="3">
        <f t="shared" si="30"/>
        <v>-5182660.36787258</v>
      </c>
      <c r="J183" s="3">
        <f t="shared" si="31"/>
        <v>5190722.4397556083</v>
      </c>
      <c r="K183" s="3">
        <f t="shared" si="32"/>
        <v>6913177.8619430996</v>
      </c>
      <c r="L183" s="3">
        <f t="shared" si="33"/>
        <v>0</v>
      </c>
      <c r="M183" s="47">
        <f t="shared" si="38"/>
        <v>6921239.933826128</v>
      </c>
      <c r="N183" s="47">
        <f>IFERROR(HLOOKUP(B183-1,'EV Forecast WRZ'!$F$124:$T$130,5,FALSE)/12,0)+IFERROR(((HLOOKUP(B183,'EV Forecast WRZ'!$F$116:$T$122,5,FALSE)-HLOOKUP(B183-1,'EV Forecast WRZ'!$F$124:$T$130,5,FALSE)))*C183/78,0)</f>
        <v>21268.362368640006</v>
      </c>
      <c r="O183" s="47">
        <f t="shared" si="39"/>
        <v>6942508.2961947676</v>
      </c>
    </row>
    <row r="184" spans="1:15">
      <c r="A184" s="2">
        <f t="shared" si="34"/>
        <v>47938</v>
      </c>
      <c r="B184">
        <f t="shared" si="35"/>
        <v>2031</v>
      </c>
      <c r="C184">
        <f t="shared" si="36"/>
        <v>3</v>
      </c>
      <c r="E184" s="47">
        <f t="shared" si="37"/>
        <v>31</v>
      </c>
      <c r="F184" s="3">
        <f>'Customer Count'!BH119</f>
        <v>3</v>
      </c>
      <c r="G184" s="3">
        <f>'Monthly Data'!ED184</f>
        <v>0</v>
      </c>
      <c r="I184" s="3">
        <f t="shared" si="30"/>
        <v>-5182660.36787258</v>
      </c>
      <c r="J184" s="3">
        <f t="shared" si="31"/>
        <v>5746871.2725865664</v>
      </c>
      <c r="K184" s="3">
        <f t="shared" si="32"/>
        <v>6913177.8619430996</v>
      </c>
      <c r="L184" s="3">
        <f t="shared" si="33"/>
        <v>0</v>
      </c>
      <c r="M184" s="47">
        <f t="shared" si="38"/>
        <v>7477388.7666570861</v>
      </c>
      <c r="N184" s="47">
        <f>IFERROR(HLOOKUP(B184-1,'EV Forecast WRZ'!$F$124:$T$130,5,FALSE)/12,0)+IFERROR(((HLOOKUP(B184,'EV Forecast WRZ'!$F$116:$T$122,5,FALSE)-HLOOKUP(B184-1,'EV Forecast WRZ'!$F$124:$T$130,5,FALSE)))*C184/78,0)</f>
        <v>21587.569682381734</v>
      </c>
      <c r="O184" s="47">
        <f t="shared" si="39"/>
        <v>7498976.3363394681</v>
      </c>
    </row>
    <row r="185" spans="1:15">
      <c r="A185" s="2">
        <f t="shared" si="34"/>
        <v>47968</v>
      </c>
      <c r="B185">
        <f t="shared" si="35"/>
        <v>2031</v>
      </c>
      <c r="C185">
        <f t="shared" si="36"/>
        <v>4</v>
      </c>
      <c r="E185" s="47">
        <f t="shared" si="37"/>
        <v>30</v>
      </c>
      <c r="F185" s="3">
        <f>'Customer Count'!BH120</f>
        <v>3</v>
      </c>
      <c r="G185" s="3">
        <f>'Monthly Data'!ED185</f>
        <v>0</v>
      </c>
      <c r="I185" s="3">
        <f t="shared" si="30"/>
        <v>-5182660.36787258</v>
      </c>
      <c r="J185" s="3">
        <f t="shared" si="31"/>
        <v>5561488.3283095798</v>
      </c>
      <c r="K185" s="3">
        <f t="shared" si="32"/>
        <v>6913177.8619430996</v>
      </c>
      <c r="L185" s="3">
        <f t="shared" si="33"/>
        <v>0</v>
      </c>
      <c r="M185" s="47">
        <f t="shared" si="38"/>
        <v>7292005.8223800994</v>
      </c>
      <c r="N185" s="47">
        <f>IFERROR(HLOOKUP(B185-1,'EV Forecast WRZ'!$F$124:$T$130,5,FALSE)/12,0)+IFERROR(((HLOOKUP(B185,'EV Forecast WRZ'!$F$116:$T$122,5,FALSE)-HLOOKUP(B185-1,'EV Forecast WRZ'!$F$124:$T$130,5,FALSE)))*C185/78,0)</f>
        <v>21906.776996123466</v>
      </c>
      <c r="O185" s="47">
        <f t="shared" si="39"/>
        <v>7313912.5993762231</v>
      </c>
    </row>
    <row r="186" spans="1:15">
      <c r="A186" s="2">
        <f t="shared" si="34"/>
        <v>47999</v>
      </c>
      <c r="B186">
        <f t="shared" si="35"/>
        <v>2031</v>
      </c>
      <c r="C186">
        <f t="shared" si="36"/>
        <v>5</v>
      </c>
      <c r="E186" s="47">
        <f t="shared" si="37"/>
        <v>31</v>
      </c>
      <c r="F186" s="3">
        <f>'Customer Count'!BH121</f>
        <v>3</v>
      </c>
      <c r="G186" s="3">
        <f>'Monthly Data'!ED186</f>
        <v>0</v>
      </c>
      <c r="I186" s="3">
        <f t="shared" si="30"/>
        <v>-5182660.36787258</v>
      </c>
      <c r="J186" s="3">
        <f t="shared" si="31"/>
        <v>5746871.2725865664</v>
      </c>
      <c r="K186" s="3">
        <f t="shared" si="32"/>
        <v>6913177.8619430996</v>
      </c>
      <c r="L186" s="3">
        <f t="shared" si="33"/>
        <v>0</v>
      </c>
      <c r="M186" s="47">
        <f t="shared" si="38"/>
        <v>7477388.7666570861</v>
      </c>
      <c r="N186" s="47">
        <f>IFERROR(HLOOKUP(B186-1,'EV Forecast WRZ'!$F$124:$T$130,5,FALSE)/12,0)+IFERROR(((HLOOKUP(B186,'EV Forecast WRZ'!$F$116:$T$122,5,FALSE)-HLOOKUP(B186-1,'EV Forecast WRZ'!$F$124:$T$130,5,FALSE)))*C186/78,0)</f>
        <v>22225.984309865198</v>
      </c>
      <c r="O186" s="47">
        <f t="shared" si="39"/>
        <v>7499614.7509669513</v>
      </c>
    </row>
    <row r="187" spans="1:15">
      <c r="A187" s="2">
        <f t="shared" si="34"/>
        <v>48029</v>
      </c>
      <c r="B187">
        <f t="shared" si="35"/>
        <v>2031</v>
      </c>
      <c r="C187">
        <f t="shared" si="36"/>
        <v>6</v>
      </c>
      <c r="E187" s="47">
        <f t="shared" si="37"/>
        <v>30</v>
      </c>
      <c r="F187" s="3">
        <f>'Customer Count'!BH122</f>
        <v>3</v>
      </c>
      <c r="G187" s="3">
        <f>'Monthly Data'!ED187</f>
        <v>0</v>
      </c>
      <c r="I187" s="3">
        <f t="shared" si="30"/>
        <v>-5182660.36787258</v>
      </c>
      <c r="J187" s="3">
        <f t="shared" si="31"/>
        <v>5561488.3283095798</v>
      </c>
      <c r="K187" s="3">
        <f t="shared" si="32"/>
        <v>6913177.8619430996</v>
      </c>
      <c r="L187" s="3">
        <f t="shared" si="33"/>
        <v>0</v>
      </c>
      <c r="M187" s="47">
        <f t="shared" si="38"/>
        <v>7292005.8223800994</v>
      </c>
      <c r="N187" s="47">
        <f>IFERROR(HLOOKUP(B187-1,'EV Forecast WRZ'!$F$124:$T$130,5,FALSE)/12,0)+IFERROR(((HLOOKUP(B187,'EV Forecast WRZ'!$F$116:$T$122,5,FALSE)-HLOOKUP(B187-1,'EV Forecast WRZ'!$F$124:$T$130,5,FALSE)))*C187/78,0)</f>
        <v>22545.19162360693</v>
      </c>
      <c r="O187" s="47">
        <f t="shared" si="39"/>
        <v>7314551.0140037062</v>
      </c>
    </row>
    <row r="188" spans="1:15">
      <c r="A188" s="2">
        <f t="shared" si="34"/>
        <v>48060</v>
      </c>
      <c r="B188">
        <f t="shared" si="35"/>
        <v>2031</v>
      </c>
      <c r="C188">
        <f t="shared" si="36"/>
        <v>7</v>
      </c>
      <c r="E188" s="47">
        <f t="shared" si="37"/>
        <v>31</v>
      </c>
      <c r="F188" s="3">
        <f>'Customer Count'!BH123</f>
        <v>3</v>
      </c>
      <c r="G188" s="3">
        <f>'Monthly Data'!ED188</f>
        <v>0</v>
      </c>
      <c r="I188" s="3">
        <f t="shared" si="30"/>
        <v>-5182660.36787258</v>
      </c>
      <c r="J188" s="3">
        <f t="shared" si="31"/>
        <v>5746871.2725865664</v>
      </c>
      <c r="K188" s="3">
        <f t="shared" si="32"/>
        <v>6913177.8619430996</v>
      </c>
      <c r="L188" s="3">
        <f t="shared" si="33"/>
        <v>0</v>
      </c>
      <c r="M188" s="47">
        <f t="shared" si="38"/>
        <v>7477388.7666570861</v>
      </c>
      <c r="N188" s="47">
        <f>IFERROR(HLOOKUP(B188-1,'EV Forecast WRZ'!$F$124:$T$130,5,FALSE)/12,0)+IFERROR(((HLOOKUP(B188,'EV Forecast WRZ'!$F$116:$T$122,5,FALSE)-HLOOKUP(B188-1,'EV Forecast WRZ'!$F$124:$T$130,5,FALSE)))*C188/78,0)</f>
        <v>22864.398937348662</v>
      </c>
      <c r="O188" s="47">
        <f t="shared" si="39"/>
        <v>7500253.1655944344</v>
      </c>
    </row>
    <row r="189" spans="1:15">
      <c r="A189" s="2">
        <f t="shared" si="34"/>
        <v>48091</v>
      </c>
      <c r="B189">
        <f t="shared" si="35"/>
        <v>2031</v>
      </c>
      <c r="C189">
        <f t="shared" si="36"/>
        <v>8</v>
      </c>
      <c r="E189" s="47">
        <f t="shared" si="37"/>
        <v>31</v>
      </c>
      <c r="F189" s="3">
        <f>'Customer Count'!BH124</f>
        <v>3</v>
      </c>
      <c r="G189" s="3">
        <f>'Monthly Data'!ED189</f>
        <v>0</v>
      </c>
      <c r="I189" s="3">
        <f t="shared" si="30"/>
        <v>-5182660.36787258</v>
      </c>
      <c r="J189" s="3">
        <f t="shared" si="31"/>
        <v>5746871.2725865664</v>
      </c>
      <c r="K189" s="3">
        <f t="shared" si="32"/>
        <v>6913177.8619430996</v>
      </c>
      <c r="L189" s="3">
        <f t="shared" si="33"/>
        <v>0</v>
      </c>
      <c r="M189" s="47">
        <f t="shared" si="38"/>
        <v>7477388.7666570861</v>
      </c>
      <c r="N189" s="47">
        <f>IFERROR(HLOOKUP(B189-1,'EV Forecast WRZ'!$F$124:$T$130,5,FALSE)/12,0)+IFERROR(((HLOOKUP(B189,'EV Forecast WRZ'!$F$116:$T$122,5,FALSE)-HLOOKUP(B189-1,'EV Forecast WRZ'!$F$124:$T$130,5,FALSE)))*C189/78,0)</f>
        <v>23183.60625109039</v>
      </c>
      <c r="O189" s="47">
        <f t="shared" si="39"/>
        <v>7500572.3729081769</v>
      </c>
    </row>
    <row r="190" spans="1:15">
      <c r="A190" s="2">
        <f t="shared" si="34"/>
        <v>48121</v>
      </c>
      <c r="B190">
        <f t="shared" si="35"/>
        <v>2031</v>
      </c>
      <c r="C190">
        <f t="shared" si="36"/>
        <v>9</v>
      </c>
      <c r="E190" s="47">
        <f t="shared" si="37"/>
        <v>30</v>
      </c>
      <c r="F190" s="3">
        <f>'Customer Count'!BH125</f>
        <v>3</v>
      </c>
      <c r="G190" s="3">
        <f>'Monthly Data'!ED190</f>
        <v>0</v>
      </c>
      <c r="I190" s="3">
        <f t="shared" si="30"/>
        <v>-5182660.36787258</v>
      </c>
      <c r="J190" s="3">
        <f t="shared" si="31"/>
        <v>5561488.3283095798</v>
      </c>
      <c r="K190" s="3">
        <f t="shared" si="32"/>
        <v>6913177.8619430996</v>
      </c>
      <c r="L190" s="3">
        <f t="shared" si="33"/>
        <v>0</v>
      </c>
      <c r="M190" s="47">
        <f t="shared" si="38"/>
        <v>7292005.8223800994</v>
      </c>
      <c r="N190" s="47">
        <f>IFERROR(HLOOKUP(B190-1,'EV Forecast WRZ'!$F$124:$T$130,5,FALSE)/12,0)+IFERROR(((HLOOKUP(B190,'EV Forecast WRZ'!$F$116:$T$122,5,FALSE)-HLOOKUP(B190-1,'EV Forecast WRZ'!$F$124:$T$130,5,FALSE)))*C190/78,0)</f>
        <v>23502.813564832122</v>
      </c>
      <c r="O190" s="47">
        <f t="shared" si="39"/>
        <v>7315508.6359449318</v>
      </c>
    </row>
    <row r="191" spans="1:15">
      <c r="A191" s="2">
        <f t="shared" si="34"/>
        <v>48152</v>
      </c>
      <c r="B191">
        <f t="shared" si="35"/>
        <v>2031</v>
      </c>
      <c r="C191">
        <f t="shared" si="36"/>
        <v>10</v>
      </c>
      <c r="E191" s="47">
        <f t="shared" si="37"/>
        <v>31</v>
      </c>
      <c r="F191" s="3">
        <f>'Customer Count'!BH126</f>
        <v>3</v>
      </c>
      <c r="G191" s="3">
        <f>'Monthly Data'!ED191</f>
        <v>0</v>
      </c>
      <c r="I191" s="3">
        <f t="shared" si="30"/>
        <v>-5182660.36787258</v>
      </c>
      <c r="J191" s="3">
        <f t="shared" si="31"/>
        <v>5746871.2725865664</v>
      </c>
      <c r="K191" s="3">
        <f t="shared" si="32"/>
        <v>6913177.8619430996</v>
      </c>
      <c r="L191" s="3">
        <f t="shared" si="33"/>
        <v>0</v>
      </c>
      <c r="M191" s="47">
        <f t="shared" si="38"/>
        <v>7477388.7666570861</v>
      </c>
      <c r="N191" s="47">
        <f>IFERROR(HLOOKUP(B191-1,'EV Forecast WRZ'!$F$124:$T$130,5,FALSE)/12,0)+IFERROR(((HLOOKUP(B191,'EV Forecast WRZ'!$F$116:$T$122,5,FALSE)-HLOOKUP(B191-1,'EV Forecast WRZ'!$F$124:$T$130,5,FALSE)))*C191/78,0)</f>
        <v>23822.020878573854</v>
      </c>
      <c r="O191" s="47">
        <f t="shared" si="39"/>
        <v>7501210.78753566</v>
      </c>
    </row>
    <row r="192" spans="1:15">
      <c r="A192" s="2">
        <f t="shared" si="34"/>
        <v>48182</v>
      </c>
      <c r="B192">
        <f t="shared" si="35"/>
        <v>2031</v>
      </c>
      <c r="C192">
        <f t="shared" si="36"/>
        <v>11</v>
      </c>
      <c r="E192" s="47">
        <f t="shared" si="37"/>
        <v>30</v>
      </c>
      <c r="F192" s="3">
        <f>'Customer Count'!BH127</f>
        <v>3</v>
      </c>
      <c r="G192" s="3">
        <f>'Monthly Data'!ED192</f>
        <v>0</v>
      </c>
      <c r="I192" s="3">
        <f t="shared" si="30"/>
        <v>-5182660.36787258</v>
      </c>
      <c r="J192" s="3">
        <f t="shared" si="31"/>
        <v>5561488.3283095798</v>
      </c>
      <c r="K192" s="3">
        <f t="shared" si="32"/>
        <v>6913177.8619430996</v>
      </c>
      <c r="L192" s="3">
        <f t="shared" si="33"/>
        <v>0</v>
      </c>
      <c r="M192" s="47">
        <f t="shared" si="38"/>
        <v>7292005.8223800994</v>
      </c>
      <c r="N192" s="47">
        <f>IFERROR(HLOOKUP(B192-1,'EV Forecast WRZ'!$F$124:$T$130,5,FALSE)/12,0)+IFERROR(((HLOOKUP(B192,'EV Forecast WRZ'!$F$116:$T$122,5,FALSE)-HLOOKUP(B192-1,'EV Forecast WRZ'!$F$124:$T$130,5,FALSE)))*C192/78,0)</f>
        <v>24141.228192315586</v>
      </c>
      <c r="O192" s="47">
        <f t="shared" si="39"/>
        <v>7316147.0505724149</v>
      </c>
    </row>
    <row r="193" spans="1:15">
      <c r="A193" s="2">
        <f t="shared" si="34"/>
        <v>48213</v>
      </c>
      <c r="B193">
        <f t="shared" si="35"/>
        <v>2031</v>
      </c>
      <c r="C193">
        <f t="shared" si="36"/>
        <v>12</v>
      </c>
      <c r="E193" s="47">
        <f t="shared" si="37"/>
        <v>31</v>
      </c>
      <c r="F193" s="3">
        <f>'Customer Count'!BH128</f>
        <v>3</v>
      </c>
      <c r="G193" s="3">
        <f>'Monthly Data'!ED193</f>
        <v>0</v>
      </c>
      <c r="I193" s="3">
        <f t="shared" si="30"/>
        <v>-5182660.36787258</v>
      </c>
      <c r="J193" s="3">
        <f t="shared" si="31"/>
        <v>5746871.2725865664</v>
      </c>
      <c r="K193" s="3">
        <f t="shared" si="32"/>
        <v>6913177.8619430996</v>
      </c>
      <c r="L193" s="3">
        <f t="shared" si="33"/>
        <v>0</v>
      </c>
      <c r="M193" s="47">
        <f t="shared" si="38"/>
        <v>7477388.7666570861</v>
      </c>
      <c r="N193" s="47">
        <f>IFERROR(HLOOKUP(B193-1,'EV Forecast WRZ'!$F$124:$T$130,5,FALSE)/12,0)+IFERROR(((HLOOKUP(B193,'EV Forecast WRZ'!$F$116:$T$122,5,FALSE)-HLOOKUP(B193-1,'EV Forecast WRZ'!$F$124:$T$130,5,FALSE)))*C193/78,0)</f>
        <v>24460.435506057314</v>
      </c>
      <c r="O193" s="47">
        <f t="shared" si="39"/>
        <v>7501849.2021631431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79651-9056-46D7-AA73-ABB7E4652E03}">
  <sheetPr codeName="Sheet37">
    <tabColor rgb="FFFF0000"/>
  </sheetPr>
  <dimension ref="B1:ET67"/>
  <sheetViews>
    <sheetView topLeftCell="AX1" workbookViewId="0">
      <selection activeCell="CR6" sqref="CR6"/>
    </sheetView>
  </sheetViews>
  <sheetFormatPr defaultColWidth="8.81640625" defaultRowHeight="12.5"/>
  <cols>
    <col min="1" max="1" width="8.81640625" style="98"/>
    <col min="2" max="2" width="5.453125" style="98" customWidth="1"/>
    <col min="3" max="3" width="13.1796875" style="98" customWidth="1"/>
    <col min="4" max="4" width="11.81640625" style="98" bestFit="1" customWidth="1"/>
    <col min="5" max="5" width="12.81640625" style="98" customWidth="1"/>
    <col min="6" max="6" width="12.54296875" style="98" customWidth="1"/>
    <col min="7" max="7" width="11.81640625" style="98" customWidth="1"/>
    <col min="8" max="8" width="12.81640625" style="98" bestFit="1" customWidth="1"/>
    <col min="9" max="9" width="8.81640625" style="98" bestFit="1" customWidth="1"/>
    <col min="10" max="10" width="13.81640625" style="98" bestFit="1" customWidth="1"/>
    <col min="11" max="11" width="10.1796875" style="98" bestFit="1" customWidth="1"/>
    <col min="12" max="12" width="7" style="98" customWidth="1"/>
    <col min="13" max="13" width="13.453125" style="98" customWidth="1"/>
    <col min="14" max="17" width="11.81640625" style="98" bestFit="1" customWidth="1"/>
    <col min="18" max="18" width="10.1796875" style="98" bestFit="1" customWidth="1"/>
    <col min="19" max="19" width="8.81640625" style="98" bestFit="1" customWidth="1"/>
    <col min="20" max="20" width="14.453125" style="98" bestFit="1" customWidth="1"/>
    <col min="21" max="21" width="10.1796875" style="98" customWidth="1"/>
    <col min="22" max="22" width="5.1796875" style="98" bestFit="1" customWidth="1"/>
    <col min="23" max="23" width="13.453125" style="98" customWidth="1"/>
    <col min="24" max="24" width="11.1796875" style="98" customWidth="1"/>
    <col min="25" max="26" width="11.81640625" style="98" bestFit="1" customWidth="1"/>
    <col min="27" max="27" width="11.1796875" style="98" customWidth="1"/>
    <col min="28" max="28" width="11.1796875" style="98" bestFit="1" customWidth="1"/>
    <col min="29" max="29" width="10" style="98" bestFit="1" customWidth="1"/>
    <col min="30" max="30" width="14.453125" style="98" bestFit="1" customWidth="1"/>
    <col min="31" max="35" width="14.81640625" style="98" customWidth="1"/>
    <col min="36" max="36" width="12.81640625" style="98" customWidth="1"/>
    <col min="37" max="41" width="14.81640625" style="98" customWidth="1"/>
    <col min="42" max="42" width="8.1796875" style="98" customWidth="1"/>
    <col min="43" max="46" width="14.81640625" style="98" customWidth="1"/>
    <col min="47" max="47" width="12" style="98" customWidth="1"/>
    <col min="48" max="48" width="13.81640625" style="98" customWidth="1"/>
    <col min="49" max="52" width="14.81640625" style="98" customWidth="1"/>
    <col min="53" max="53" width="8" style="98" customWidth="1"/>
    <col min="54" max="63" width="14.81640625" style="98" customWidth="1"/>
    <col min="64" max="64" width="6.81640625" style="98" customWidth="1"/>
    <col min="65" max="65" width="13" style="98" bestFit="1" customWidth="1"/>
    <col min="66" max="66" width="10.453125" style="98" customWidth="1"/>
    <col min="67" max="67" width="8.81640625" style="98" customWidth="1"/>
    <col min="68" max="68" width="10.1796875" style="98" customWidth="1"/>
    <col min="69" max="69" width="12.1796875" style="98" customWidth="1"/>
    <col min="70" max="71" width="8.81640625" style="98"/>
    <col min="72" max="76" width="8.81640625" style="98" bestFit="1" customWidth="1"/>
    <col min="77" max="78" width="8.81640625" style="98"/>
    <col min="79" max="79" width="8.81640625" style="98" bestFit="1" customWidth="1"/>
    <col min="80" max="80" width="13.1796875" style="98" customWidth="1"/>
    <col min="81" max="81" width="12.1796875" style="98" bestFit="1" customWidth="1"/>
    <col min="82" max="82" width="11.54296875" style="98" customWidth="1"/>
    <col min="83" max="83" width="9.81640625" style="98" bestFit="1" customWidth="1"/>
    <col min="84" max="84" width="8.81640625" style="98"/>
    <col min="85" max="85" width="11.81640625" style="98" bestFit="1" customWidth="1"/>
    <col min="86" max="87" width="8.81640625" style="98"/>
    <col min="88" max="88" width="8.81640625" style="98" bestFit="1" customWidth="1"/>
    <col min="89" max="89" width="11.1796875" style="98" bestFit="1" customWidth="1"/>
    <col min="90" max="90" width="11.453125" style="98" customWidth="1"/>
    <col min="91" max="92" width="11.1796875" style="98" bestFit="1" customWidth="1"/>
    <col min="93" max="93" width="11.81640625" style="98" customWidth="1"/>
    <col min="94" max="94" width="12.1796875" style="98" customWidth="1"/>
    <col min="95" max="95" width="11.453125" style="98" customWidth="1"/>
    <col min="96" max="96" width="11.81640625" style="98" customWidth="1"/>
    <col min="97" max="97" width="11.1796875" style="98" bestFit="1" customWidth="1"/>
    <col min="98" max="98" width="8.81640625" style="98" bestFit="1" customWidth="1"/>
    <col min="99" max="99" width="10.1796875" style="98" bestFit="1" customWidth="1"/>
    <col min="100" max="100" width="11.453125" style="98" customWidth="1"/>
    <col min="101" max="101" width="10.1796875" style="98" bestFit="1" customWidth="1"/>
    <col min="102" max="102" width="11.1796875" style="98" bestFit="1" customWidth="1"/>
    <col min="103" max="104" width="11.1796875" style="98" customWidth="1"/>
    <col min="105" max="105" width="8.81640625" style="98" bestFit="1" customWidth="1"/>
    <col min="106" max="106" width="11.453125" style="98" customWidth="1"/>
    <col min="107" max="107" width="8.81640625" style="98"/>
    <col min="108" max="108" width="8.81640625" style="98" bestFit="1" customWidth="1"/>
    <col min="109" max="109" width="11.1796875" style="98" bestFit="1" customWidth="1"/>
    <col min="110" max="110" width="10.1796875" style="98" bestFit="1" customWidth="1"/>
    <col min="111" max="112" width="11.1796875" style="98" bestFit="1" customWidth="1"/>
    <col min="113" max="113" width="10.1796875" style="98" customWidth="1"/>
    <col min="114" max="114" width="11.1796875" style="98" bestFit="1" customWidth="1"/>
    <col min="115" max="115" width="10.1796875" style="98" customWidth="1"/>
    <col min="116" max="116" width="10.81640625" style="98" customWidth="1"/>
    <col min="117" max="117" width="14" style="98" customWidth="1"/>
    <col min="118" max="118" width="11.1796875" style="98" customWidth="1"/>
    <col min="119" max="119" width="8.81640625" style="98" bestFit="1" customWidth="1"/>
    <col min="120" max="121" width="10.81640625" style="98" customWidth="1"/>
    <col min="122" max="122" width="10" style="98" customWidth="1"/>
    <col min="123" max="123" width="10.54296875" style="98" customWidth="1"/>
    <col min="124" max="124" width="10.1796875" style="98" customWidth="1"/>
    <col min="125" max="125" width="10.54296875" style="98" customWidth="1"/>
    <col min="126" max="126" width="10.81640625" style="98" customWidth="1"/>
    <col min="127" max="127" width="13.81640625" style="98" customWidth="1"/>
    <col min="128" max="128" width="11.1796875" style="98" bestFit="1" customWidth="1"/>
    <col min="129" max="129" width="8.81640625" style="98"/>
    <col min="130" max="130" width="8.81640625" style="98" bestFit="1" customWidth="1"/>
    <col min="131" max="131" width="10.81640625" style="98" customWidth="1"/>
    <col min="132" max="133" width="8.81640625" style="98" bestFit="1" customWidth="1"/>
    <col min="134" max="134" width="9.1796875" style="98" bestFit="1" customWidth="1"/>
    <col min="135" max="136" width="8.81640625" style="98"/>
    <col min="137" max="141" width="8.81640625" style="98" bestFit="1" customWidth="1"/>
    <col min="142" max="143" width="8.81640625" style="98"/>
    <col min="144" max="144" width="8.81640625" style="98" bestFit="1" customWidth="1"/>
    <col min="145" max="145" width="9.1796875" style="98" bestFit="1" customWidth="1"/>
    <col min="146" max="147" width="8.81640625" style="98" bestFit="1" customWidth="1"/>
    <col min="148" max="148" width="9.1796875" style="98" bestFit="1" customWidth="1"/>
    <col min="149" max="16384" width="8.81640625" style="98"/>
  </cols>
  <sheetData>
    <row r="1" spans="2:148">
      <c r="AE1" s="497"/>
      <c r="AO1" s="497"/>
      <c r="AP1" s="497"/>
      <c r="AQ1" s="497"/>
      <c r="AR1" s="497"/>
      <c r="AS1" s="497"/>
      <c r="AT1" s="497"/>
      <c r="AU1" s="497"/>
      <c r="AV1" s="497"/>
      <c r="AW1" s="497"/>
      <c r="AX1" s="497"/>
      <c r="AY1" s="497"/>
      <c r="AZ1" s="497"/>
      <c r="BA1" s="501"/>
      <c r="BB1" s="497"/>
      <c r="BC1" s="497"/>
      <c r="BD1" s="497"/>
      <c r="BE1" s="497"/>
      <c r="BF1" s="497"/>
      <c r="BG1" s="497"/>
      <c r="BH1" s="497"/>
      <c r="BI1" s="497"/>
      <c r="BJ1" s="497"/>
      <c r="BK1" s="497"/>
      <c r="DC1" s="497"/>
      <c r="DM1" s="497"/>
      <c r="DN1" s="497"/>
      <c r="DO1" s="497"/>
      <c r="DP1" s="497"/>
      <c r="DQ1" s="497"/>
      <c r="DR1" s="497"/>
      <c r="DS1" s="497"/>
      <c r="DT1" s="497"/>
      <c r="DU1" s="497"/>
      <c r="DV1" s="497"/>
      <c r="DW1" s="497"/>
      <c r="DX1" s="497"/>
    </row>
    <row r="2" spans="2:148" ht="13">
      <c r="B2" s="833" t="s">
        <v>635</v>
      </c>
      <c r="C2" s="833"/>
      <c r="D2" s="833"/>
      <c r="E2" s="833"/>
      <c r="F2" s="833"/>
      <c r="G2" s="833"/>
      <c r="H2" s="833"/>
      <c r="I2" s="492"/>
      <c r="J2" s="492"/>
      <c r="L2" s="833" t="s">
        <v>636</v>
      </c>
      <c r="M2" s="833"/>
      <c r="N2" s="833"/>
      <c r="O2" s="833"/>
      <c r="P2" s="833"/>
      <c r="Q2" s="833"/>
      <c r="R2" s="833"/>
      <c r="S2" s="492"/>
      <c r="T2" s="492"/>
      <c r="V2" s="833" t="s">
        <v>637</v>
      </c>
      <c r="W2" s="833"/>
      <c r="X2" s="833"/>
      <c r="Y2" s="833"/>
      <c r="Z2" s="833"/>
      <c r="AA2" s="833"/>
      <c r="AB2" s="833"/>
      <c r="AC2" s="833"/>
      <c r="AD2" s="833"/>
      <c r="AE2" s="83"/>
      <c r="AF2" s="833" t="s">
        <v>368</v>
      </c>
      <c r="AG2" s="833"/>
      <c r="AH2" s="833"/>
      <c r="AI2" s="833"/>
      <c r="AJ2" s="833"/>
      <c r="AK2" s="833"/>
      <c r="AL2" s="833"/>
      <c r="AM2" s="833"/>
      <c r="AN2" s="833"/>
      <c r="AO2" s="833"/>
      <c r="AP2" s="83"/>
      <c r="AQ2" s="833" t="s">
        <v>369</v>
      </c>
      <c r="AR2" s="833"/>
      <c r="AS2" s="833"/>
      <c r="AT2" s="833"/>
      <c r="AU2" s="833"/>
      <c r="AV2" s="833"/>
      <c r="AW2" s="833"/>
      <c r="AX2" s="833"/>
      <c r="AY2" s="833"/>
      <c r="AZ2" s="833"/>
      <c r="BA2" s="501"/>
      <c r="BB2" s="833" t="s">
        <v>638</v>
      </c>
      <c r="BC2" s="833"/>
      <c r="BD2" s="833"/>
      <c r="BE2" s="833"/>
      <c r="BF2" s="833"/>
      <c r="BG2" s="833"/>
      <c r="BH2" s="833"/>
      <c r="BI2" s="833"/>
      <c r="BJ2" s="833"/>
      <c r="BK2" s="833"/>
      <c r="BM2" s="833" t="s">
        <v>639</v>
      </c>
      <c r="BN2" s="833"/>
      <c r="BO2" s="833"/>
      <c r="BP2" s="833"/>
      <c r="BQ2" s="833"/>
      <c r="BT2" s="833" t="s">
        <v>640</v>
      </c>
      <c r="BU2" s="833"/>
      <c r="BV2" s="833"/>
      <c r="BW2" s="833"/>
      <c r="BX2" s="833"/>
      <c r="CA2" s="833" t="s">
        <v>641</v>
      </c>
      <c r="CB2" s="833"/>
      <c r="CC2" s="833"/>
      <c r="CD2" s="833"/>
      <c r="CE2" s="833"/>
      <c r="CJ2" s="833" t="s">
        <v>371</v>
      </c>
      <c r="CK2" s="833"/>
      <c r="CL2" s="833"/>
      <c r="CM2" s="833"/>
      <c r="CN2" s="833"/>
      <c r="CO2" s="833"/>
      <c r="CP2" s="833"/>
      <c r="CQ2" s="833"/>
      <c r="CR2" s="833"/>
      <c r="CT2" s="833" t="s">
        <v>642</v>
      </c>
      <c r="CU2" s="833"/>
      <c r="CV2" s="833"/>
      <c r="CW2" s="833"/>
      <c r="CX2" s="833"/>
      <c r="CY2" s="833"/>
      <c r="CZ2" s="833"/>
      <c r="DA2" s="833"/>
      <c r="DB2" s="833"/>
      <c r="DC2" s="83"/>
      <c r="DD2" s="833" t="s">
        <v>373</v>
      </c>
      <c r="DE2" s="833"/>
      <c r="DF2" s="833"/>
      <c r="DG2" s="833"/>
      <c r="DH2" s="833"/>
      <c r="DI2" s="833"/>
      <c r="DJ2" s="833"/>
      <c r="DK2" s="833"/>
      <c r="DL2" s="833"/>
      <c r="DM2" s="833"/>
      <c r="DN2" s="83"/>
      <c r="DO2" s="833" t="s">
        <v>374</v>
      </c>
      <c r="DP2" s="833"/>
      <c r="DQ2" s="833"/>
      <c r="DR2" s="833"/>
      <c r="DS2" s="833"/>
      <c r="DT2" s="833"/>
      <c r="DU2" s="833"/>
      <c r="DV2" s="833"/>
      <c r="DW2" s="833"/>
      <c r="DX2" s="833"/>
      <c r="DZ2" s="833" t="s">
        <v>643</v>
      </c>
      <c r="EA2" s="833"/>
      <c r="EB2" s="833"/>
      <c r="EC2" s="833"/>
      <c r="ED2" s="833"/>
      <c r="EG2" s="833" t="s">
        <v>644</v>
      </c>
      <c r="EH2" s="833"/>
      <c r="EI2" s="833"/>
      <c r="EJ2" s="833"/>
      <c r="EK2" s="833"/>
      <c r="EN2" s="833" t="s">
        <v>645</v>
      </c>
      <c r="EO2" s="833"/>
      <c r="EP2" s="833"/>
      <c r="EQ2" s="833"/>
      <c r="ER2" s="833"/>
    </row>
    <row r="3" spans="2:148" s="498" customFormat="1" ht="75">
      <c r="B3" s="88" t="s">
        <v>27</v>
      </c>
      <c r="C3" s="88" t="s">
        <v>375</v>
      </c>
      <c r="D3" s="88" t="s">
        <v>646</v>
      </c>
      <c r="E3" s="88" t="s">
        <v>647</v>
      </c>
      <c r="F3" s="88" t="s">
        <v>648</v>
      </c>
      <c r="G3" s="88" t="s">
        <v>646</v>
      </c>
      <c r="H3" s="88" t="s">
        <v>610</v>
      </c>
      <c r="I3" s="88" t="s">
        <v>649</v>
      </c>
      <c r="J3" s="88" t="s">
        <v>650</v>
      </c>
      <c r="L3" s="88" t="s">
        <v>27</v>
      </c>
      <c r="M3" s="88" t="s">
        <v>375</v>
      </c>
      <c r="N3" s="88" t="s">
        <v>646</v>
      </c>
      <c r="O3" s="88" t="s">
        <v>647</v>
      </c>
      <c r="P3" s="88" t="s">
        <v>651</v>
      </c>
      <c r="Q3" s="88" t="s">
        <v>646</v>
      </c>
      <c r="R3" s="88" t="s">
        <v>610</v>
      </c>
      <c r="S3" s="88" t="s">
        <v>649</v>
      </c>
      <c r="T3" s="88" t="s">
        <v>650</v>
      </c>
      <c r="V3" s="88" t="s">
        <v>27</v>
      </c>
      <c r="W3" s="88" t="s">
        <v>375</v>
      </c>
      <c r="X3" s="88" t="s">
        <v>646</v>
      </c>
      <c r="Y3" s="88" t="s">
        <v>647</v>
      </c>
      <c r="Z3" s="88" t="s">
        <v>648</v>
      </c>
      <c r="AA3" s="88" t="s">
        <v>646</v>
      </c>
      <c r="AB3" s="88" t="s">
        <v>610</v>
      </c>
      <c r="AC3" s="88" t="s">
        <v>652</v>
      </c>
      <c r="AD3" s="88" t="s">
        <v>650</v>
      </c>
      <c r="AE3" s="82"/>
      <c r="AF3" s="88" t="s">
        <v>27</v>
      </c>
      <c r="AG3" s="88" t="s">
        <v>375</v>
      </c>
      <c r="AH3" s="88" t="s">
        <v>646</v>
      </c>
      <c r="AI3" s="88" t="s">
        <v>647</v>
      </c>
      <c r="AJ3" s="88" t="s">
        <v>648</v>
      </c>
      <c r="AK3" s="88" t="s">
        <v>646</v>
      </c>
      <c r="AL3" s="88" t="s">
        <v>610</v>
      </c>
      <c r="AM3" s="88" t="s">
        <v>649</v>
      </c>
      <c r="AN3" s="88" t="s">
        <v>650</v>
      </c>
      <c r="AO3" s="88" t="s">
        <v>653</v>
      </c>
      <c r="AP3" s="83"/>
      <c r="AQ3" s="88" t="s">
        <v>27</v>
      </c>
      <c r="AR3" s="88" t="s">
        <v>375</v>
      </c>
      <c r="AS3" s="88" t="s">
        <v>646</v>
      </c>
      <c r="AT3" s="88" t="s">
        <v>647</v>
      </c>
      <c r="AU3" s="88" t="s">
        <v>648</v>
      </c>
      <c r="AV3" s="88" t="s">
        <v>646</v>
      </c>
      <c r="AW3" s="88" t="s">
        <v>610</v>
      </c>
      <c r="AX3" s="88" t="s">
        <v>652</v>
      </c>
      <c r="AY3" s="88" t="s">
        <v>650</v>
      </c>
      <c r="AZ3" s="88" t="s">
        <v>653</v>
      </c>
      <c r="BA3" s="501"/>
      <c r="BB3" s="88" t="s">
        <v>27</v>
      </c>
      <c r="BC3" s="88" t="s">
        <v>375</v>
      </c>
      <c r="BD3" s="88" t="s">
        <v>646</v>
      </c>
      <c r="BE3" s="88" t="s">
        <v>647</v>
      </c>
      <c r="BF3" s="88" t="s">
        <v>648</v>
      </c>
      <c r="BG3" s="88" t="s">
        <v>646</v>
      </c>
      <c r="BH3" s="88" t="s">
        <v>610</v>
      </c>
      <c r="BI3" s="88" t="s">
        <v>652</v>
      </c>
      <c r="BJ3" s="88" t="s">
        <v>650</v>
      </c>
      <c r="BK3" s="88" t="s">
        <v>653</v>
      </c>
      <c r="BM3" s="87" t="s">
        <v>27</v>
      </c>
      <c r="BN3" s="86" t="s">
        <v>375</v>
      </c>
      <c r="BO3" s="86" t="s">
        <v>654</v>
      </c>
      <c r="BP3" s="86" t="s">
        <v>655</v>
      </c>
      <c r="BQ3" s="86" t="s">
        <v>656</v>
      </c>
      <c r="BT3" s="87" t="s">
        <v>27</v>
      </c>
      <c r="BU3" s="86" t="s">
        <v>375</v>
      </c>
      <c r="BV3" s="86" t="s">
        <v>654</v>
      </c>
      <c r="BW3" s="86" t="s">
        <v>655</v>
      </c>
      <c r="BX3" s="86" t="s">
        <v>656</v>
      </c>
      <c r="CA3" s="87" t="s">
        <v>27</v>
      </c>
      <c r="CB3" s="87" t="s">
        <v>375</v>
      </c>
      <c r="CC3" s="87" t="s">
        <v>657</v>
      </c>
      <c r="CD3" s="86" t="s">
        <v>658</v>
      </c>
      <c r="CE3" s="86" t="s">
        <v>656</v>
      </c>
      <c r="CJ3" s="88" t="s">
        <v>27</v>
      </c>
      <c r="CK3" s="88" t="s">
        <v>375</v>
      </c>
      <c r="CL3" s="88" t="s">
        <v>646</v>
      </c>
      <c r="CM3" s="88" t="s">
        <v>647</v>
      </c>
      <c r="CN3" s="88" t="s">
        <v>648</v>
      </c>
      <c r="CO3" s="88" t="s">
        <v>646</v>
      </c>
      <c r="CP3" s="88" t="s">
        <v>610</v>
      </c>
      <c r="CQ3" s="88" t="s">
        <v>649</v>
      </c>
      <c r="CR3" s="88" t="s">
        <v>650</v>
      </c>
      <c r="CT3" s="88" t="s">
        <v>27</v>
      </c>
      <c r="CU3" s="88" t="s">
        <v>375</v>
      </c>
      <c r="CV3" s="88" t="s">
        <v>646</v>
      </c>
      <c r="CW3" s="88" t="s">
        <v>647</v>
      </c>
      <c r="CX3" s="88" t="s">
        <v>648</v>
      </c>
      <c r="CY3" s="88" t="s">
        <v>646</v>
      </c>
      <c r="CZ3" s="88" t="s">
        <v>610</v>
      </c>
      <c r="DA3" s="88" t="s">
        <v>652</v>
      </c>
      <c r="DB3" s="88" t="s">
        <v>650</v>
      </c>
      <c r="DC3" s="82"/>
      <c r="DD3" s="88" t="s">
        <v>27</v>
      </c>
      <c r="DE3" s="88" t="s">
        <v>375</v>
      </c>
      <c r="DF3" s="88" t="s">
        <v>646</v>
      </c>
      <c r="DG3" s="88" t="s">
        <v>647</v>
      </c>
      <c r="DH3" s="88" t="s">
        <v>648</v>
      </c>
      <c r="DI3" s="88" t="s">
        <v>646</v>
      </c>
      <c r="DJ3" s="88" t="s">
        <v>610</v>
      </c>
      <c r="DK3" s="88" t="s">
        <v>652</v>
      </c>
      <c r="DL3" s="88" t="s">
        <v>650</v>
      </c>
      <c r="DM3" s="88" t="s">
        <v>653</v>
      </c>
      <c r="DN3" s="83"/>
      <c r="DO3" s="88" t="s">
        <v>27</v>
      </c>
      <c r="DP3" s="88" t="s">
        <v>375</v>
      </c>
      <c r="DQ3" s="88" t="s">
        <v>646</v>
      </c>
      <c r="DR3" s="88" t="s">
        <v>647</v>
      </c>
      <c r="DS3" s="88" t="s">
        <v>648</v>
      </c>
      <c r="DT3" s="88" t="s">
        <v>646</v>
      </c>
      <c r="DU3" s="88" t="s">
        <v>610</v>
      </c>
      <c r="DV3" s="88" t="s">
        <v>652</v>
      </c>
      <c r="DW3" s="88" t="s">
        <v>650</v>
      </c>
      <c r="DX3" s="88" t="s">
        <v>653</v>
      </c>
      <c r="DZ3" s="87" t="s">
        <v>27</v>
      </c>
      <c r="EA3" s="86" t="s">
        <v>375</v>
      </c>
      <c r="EB3" s="86" t="s">
        <v>654</v>
      </c>
      <c r="EC3" s="86" t="s">
        <v>655</v>
      </c>
      <c r="ED3" s="86" t="s">
        <v>656</v>
      </c>
      <c r="EG3" s="87" t="s">
        <v>27</v>
      </c>
      <c r="EH3" s="86" t="s">
        <v>375</v>
      </c>
      <c r="EI3" s="86" t="s">
        <v>654</v>
      </c>
      <c r="EJ3" s="86" t="s">
        <v>655</v>
      </c>
      <c r="EK3" s="86" t="s">
        <v>656</v>
      </c>
      <c r="EN3" s="87" t="s">
        <v>27</v>
      </c>
      <c r="EO3" s="87" t="s">
        <v>375</v>
      </c>
      <c r="EP3" s="87" t="s">
        <v>657</v>
      </c>
      <c r="EQ3" s="86" t="s">
        <v>658</v>
      </c>
      <c r="ER3" s="86" t="s">
        <v>656</v>
      </c>
    </row>
    <row r="4" spans="2:148" s="499" customFormat="1" ht="13">
      <c r="B4" s="493"/>
      <c r="C4" s="493" t="s">
        <v>474</v>
      </c>
      <c r="D4" s="493" t="s">
        <v>476</v>
      </c>
      <c r="E4" s="493" t="s">
        <v>659</v>
      </c>
      <c r="F4" s="493" t="s">
        <v>660</v>
      </c>
      <c r="G4" s="493" t="s">
        <v>661</v>
      </c>
      <c r="H4" s="493" t="s">
        <v>662</v>
      </c>
      <c r="I4" s="493" t="s">
        <v>663</v>
      </c>
      <c r="J4" s="493" t="s">
        <v>664</v>
      </c>
      <c r="L4" s="493"/>
      <c r="M4" s="493" t="s">
        <v>474</v>
      </c>
      <c r="N4" s="493" t="s">
        <v>476</v>
      </c>
      <c r="O4" s="493" t="s">
        <v>659</v>
      </c>
      <c r="P4" s="493" t="s">
        <v>660</v>
      </c>
      <c r="Q4" s="493" t="s">
        <v>661</v>
      </c>
      <c r="R4" s="493" t="s">
        <v>662</v>
      </c>
      <c r="S4" s="493" t="s">
        <v>663</v>
      </c>
      <c r="T4" s="493" t="s">
        <v>664</v>
      </c>
      <c r="V4" s="493"/>
      <c r="W4" s="493" t="s">
        <v>474</v>
      </c>
      <c r="X4" s="493" t="s">
        <v>476</v>
      </c>
      <c r="Y4" s="493" t="s">
        <v>659</v>
      </c>
      <c r="Z4" s="493" t="s">
        <v>660</v>
      </c>
      <c r="AA4" s="493" t="s">
        <v>661</v>
      </c>
      <c r="AB4" s="493" t="s">
        <v>662</v>
      </c>
      <c r="AC4" s="493" t="s">
        <v>663</v>
      </c>
      <c r="AD4" s="493" t="s">
        <v>664</v>
      </c>
      <c r="AE4" s="494"/>
      <c r="AF4" s="493"/>
      <c r="AG4" s="493" t="s">
        <v>474</v>
      </c>
      <c r="AH4" s="493" t="s">
        <v>476</v>
      </c>
      <c r="AI4" s="493" t="s">
        <v>659</v>
      </c>
      <c r="AJ4" s="493" t="s">
        <v>660</v>
      </c>
      <c r="AK4" s="493" t="s">
        <v>661</v>
      </c>
      <c r="AL4" s="493" t="s">
        <v>662</v>
      </c>
      <c r="AM4" s="493" t="s">
        <v>663</v>
      </c>
      <c r="AN4" s="493" t="s">
        <v>664</v>
      </c>
      <c r="AO4" s="493" t="s">
        <v>665</v>
      </c>
      <c r="AP4" s="83"/>
      <c r="AQ4" s="493"/>
      <c r="AR4" s="493" t="s">
        <v>474</v>
      </c>
      <c r="AS4" s="493" t="s">
        <v>476</v>
      </c>
      <c r="AT4" s="493" t="s">
        <v>659</v>
      </c>
      <c r="AU4" s="493" t="s">
        <v>660</v>
      </c>
      <c r="AV4" s="493" t="s">
        <v>661</v>
      </c>
      <c r="AW4" s="493" t="s">
        <v>662</v>
      </c>
      <c r="AX4" s="493" t="s">
        <v>663</v>
      </c>
      <c r="AY4" s="493" t="s">
        <v>664</v>
      </c>
      <c r="AZ4" s="493" t="s">
        <v>665</v>
      </c>
      <c r="BA4" s="501"/>
      <c r="BB4" s="493"/>
      <c r="BC4" s="493" t="s">
        <v>474</v>
      </c>
      <c r="BD4" s="493" t="s">
        <v>476</v>
      </c>
      <c r="BE4" s="493" t="s">
        <v>659</v>
      </c>
      <c r="BF4" s="493" t="s">
        <v>660</v>
      </c>
      <c r="BG4" s="493" t="s">
        <v>661</v>
      </c>
      <c r="BH4" s="493" t="s">
        <v>662</v>
      </c>
      <c r="BI4" s="493" t="s">
        <v>663</v>
      </c>
      <c r="BJ4" s="493" t="s">
        <v>664</v>
      </c>
      <c r="BK4" s="493" t="s">
        <v>665</v>
      </c>
      <c r="BM4" s="147"/>
      <c r="BN4" s="147" t="s">
        <v>474</v>
      </c>
      <c r="BO4" s="147" t="s">
        <v>476</v>
      </c>
      <c r="BP4" s="147" t="s">
        <v>666</v>
      </c>
      <c r="BQ4" s="147" t="s">
        <v>667</v>
      </c>
      <c r="BT4" s="147"/>
      <c r="BU4" s="147" t="s">
        <v>474</v>
      </c>
      <c r="BV4" s="147" t="s">
        <v>476</v>
      </c>
      <c r="BW4" s="147" t="s">
        <v>666</v>
      </c>
      <c r="BX4" s="147" t="s">
        <v>667</v>
      </c>
      <c r="CA4" s="147"/>
      <c r="CB4" s="147" t="s">
        <v>474</v>
      </c>
      <c r="CC4" s="147" t="s">
        <v>476</v>
      </c>
      <c r="CD4" s="147" t="s">
        <v>666</v>
      </c>
      <c r="CE4" s="147" t="s">
        <v>667</v>
      </c>
      <c r="CJ4" s="493"/>
      <c r="CK4" s="493" t="s">
        <v>474</v>
      </c>
      <c r="CL4" s="493" t="s">
        <v>476</v>
      </c>
      <c r="CM4" s="493" t="s">
        <v>659</v>
      </c>
      <c r="CN4" s="493" t="s">
        <v>660</v>
      </c>
      <c r="CO4" s="493" t="s">
        <v>661</v>
      </c>
      <c r="CP4" s="493" t="s">
        <v>662</v>
      </c>
      <c r="CQ4" s="493" t="s">
        <v>663</v>
      </c>
      <c r="CR4" s="493" t="s">
        <v>664</v>
      </c>
      <c r="CT4" s="493"/>
      <c r="CU4" s="493" t="s">
        <v>474</v>
      </c>
      <c r="CV4" s="493" t="s">
        <v>476</v>
      </c>
      <c r="CW4" s="493" t="s">
        <v>659</v>
      </c>
      <c r="CX4" s="493" t="s">
        <v>660</v>
      </c>
      <c r="CY4" s="493" t="s">
        <v>661</v>
      </c>
      <c r="CZ4" s="493" t="s">
        <v>662</v>
      </c>
      <c r="DA4" s="493" t="s">
        <v>663</v>
      </c>
      <c r="DB4" s="493" t="s">
        <v>664</v>
      </c>
      <c r="DC4" s="494"/>
      <c r="DD4" s="493"/>
      <c r="DE4" s="493" t="s">
        <v>474</v>
      </c>
      <c r="DF4" s="493" t="s">
        <v>476</v>
      </c>
      <c r="DG4" s="493" t="s">
        <v>659</v>
      </c>
      <c r="DH4" s="493" t="s">
        <v>660</v>
      </c>
      <c r="DI4" s="493" t="s">
        <v>661</v>
      </c>
      <c r="DJ4" s="493" t="s">
        <v>662</v>
      </c>
      <c r="DK4" s="493" t="s">
        <v>663</v>
      </c>
      <c r="DL4" s="493" t="s">
        <v>664</v>
      </c>
      <c r="DM4" s="493" t="s">
        <v>665</v>
      </c>
      <c r="DN4" s="83"/>
      <c r="DO4" s="493"/>
      <c r="DP4" s="493" t="s">
        <v>474</v>
      </c>
      <c r="DQ4" s="493" t="s">
        <v>476</v>
      </c>
      <c r="DR4" s="493" t="s">
        <v>659</v>
      </c>
      <c r="DS4" s="493" t="s">
        <v>660</v>
      </c>
      <c r="DT4" s="493" t="s">
        <v>661</v>
      </c>
      <c r="DU4" s="493" t="s">
        <v>662</v>
      </c>
      <c r="DV4" s="493" t="s">
        <v>663</v>
      </c>
      <c r="DW4" s="493" t="s">
        <v>664</v>
      </c>
      <c r="DX4" s="493" t="s">
        <v>665</v>
      </c>
      <c r="DZ4" s="147"/>
      <c r="EA4" s="147" t="s">
        <v>474</v>
      </c>
      <c r="EB4" s="147" t="s">
        <v>476</v>
      </c>
      <c r="EC4" s="147" t="s">
        <v>666</v>
      </c>
      <c r="ED4" s="147" t="s">
        <v>667</v>
      </c>
      <c r="EG4" s="147"/>
      <c r="EH4" s="147" t="s">
        <v>474</v>
      </c>
      <c r="EI4" s="147" t="s">
        <v>476</v>
      </c>
      <c r="EJ4" s="147" t="s">
        <v>666</v>
      </c>
      <c r="EK4" s="147" t="s">
        <v>667</v>
      </c>
      <c r="EN4" s="147"/>
      <c r="EO4" s="147" t="s">
        <v>474</v>
      </c>
      <c r="EP4" s="147" t="s">
        <v>476</v>
      </c>
      <c r="EQ4" s="147" t="s">
        <v>666</v>
      </c>
      <c r="ER4" s="147" t="s">
        <v>667</v>
      </c>
    </row>
    <row r="5" spans="2:148" ht="13" hidden="1">
      <c r="B5" s="85">
        <v>2014</v>
      </c>
      <c r="C5" s="51">
        <f>SUMIFS('Monthly Data'!D:D,'Monthly Data'!$B:$B,B5)</f>
        <v>0</v>
      </c>
      <c r="D5" s="51">
        <f>SUMIFS('Monthly Data'!E:E,'Monthly Data'!$B:$B,B5)</f>
        <v>0</v>
      </c>
      <c r="E5" s="51">
        <f>SUMIFS('Monthly Data'!I:I,'Monthly Data'!$B:$B,B5)</f>
        <v>0</v>
      </c>
      <c r="F5" s="51">
        <f>SUMIFS('VRZ Residential Normalized'!X:X,'VRZ Residential Normalized'!B:B,B5)</f>
        <v>0</v>
      </c>
      <c r="G5" s="51">
        <f t="shared" ref="G5:G14" si="0">D5</f>
        <v>0</v>
      </c>
      <c r="H5" s="51">
        <f t="shared" ref="H5:H17" si="1">F5-G5</f>
        <v>0</v>
      </c>
      <c r="I5" s="51"/>
      <c r="J5" s="51">
        <f t="shared" ref="J5:J17" si="2">H5+I5</f>
        <v>0</v>
      </c>
      <c r="L5" s="85">
        <f>B5</f>
        <v>2014</v>
      </c>
      <c r="M5" s="51">
        <f>SUMIFS('Monthly Data'!J:J,'Monthly Data'!$B:$B,L5)</f>
        <v>0</v>
      </c>
      <c r="N5" s="51">
        <f>SUMIFS('Monthly Data'!K:K,'Monthly Data'!$B:$B,L5)</f>
        <v>0</v>
      </c>
      <c r="O5" s="51">
        <f>SUMIFS('Monthly Data'!L:L,'Monthly Data'!$B:$B,L5)</f>
        <v>0</v>
      </c>
      <c r="P5" s="51">
        <f>SUMIFS('VRZ Seasonal Normalized'!V:V,'VRZ Seasonal Normalized'!B:B,L5)</f>
        <v>0</v>
      </c>
      <c r="Q5" s="51">
        <f t="shared" ref="Q5:Q14" si="3">N5</f>
        <v>0</v>
      </c>
      <c r="R5" s="51">
        <f t="shared" ref="R5:R20" si="4">P5-Q5</f>
        <v>0</v>
      </c>
      <c r="S5" s="51"/>
      <c r="T5" s="51">
        <f t="shared" ref="T5:T17" si="5">R5+S5</f>
        <v>0</v>
      </c>
      <c r="V5" s="85">
        <f>L5</f>
        <v>2014</v>
      </c>
      <c r="W5" s="51">
        <f>SUMIFS('Monthly Data'!P:P,'Monthly Data'!$B:$B,V5)</f>
        <v>0</v>
      </c>
      <c r="X5" s="51">
        <f>SUMIFS('Monthly Data'!Q:Q,'Monthly Data'!$B:$B,V5)</f>
        <v>0</v>
      </c>
      <c r="Y5" s="51">
        <f>SUMIFS('Monthly Data'!R:R,'Monthly Data'!$B:$B,V5)</f>
        <v>0</v>
      </c>
      <c r="Z5" s="51">
        <f>SUMIFS('VRZ GS &lt; 50 Normalized'!T:T,'VRZ GS &lt; 50 Normalized'!B:B,V5)</f>
        <v>0</v>
      </c>
      <c r="AA5" s="51">
        <f t="shared" ref="AA5:AA14" si="6">X5</f>
        <v>0</v>
      </c>
      <c r="AB5" s="51">
        <f t="shared" ref="AB5:AB18" si="7">Z5-AA5</f>
        <v>0</v>
      </c>
      <c r="AC5" s="51"/>
      <c r="AD5" s="51">
        <f t="shared" ref="AD5:AD17" si="8">AB5+AC5</f>
        <v>0</v>
      </c>
      <c r="AE5" s="51"/>
      <c r="AF5" s="85">
        <f>V5</f>
        <v>2014</v>
      </c>
      <c r="AG5" s="51">
        <f>SUMIFS('Monthly Data'!V:V,'Monthly Data'!$B:$B,AF5)</f>
        <v>0</v>
      </c>
      <c r="AH5" s="51">
        <f>SUMIFS('Monthly Data'!W:W,'Monthly Data'!$B:$B,AF5)</f>
        <v>0</v>
      </c>
      <c r="AI5" s="51">
        <f>SUMIFS('Monthly Data'!X:X,'Monthly Data'!$B:$B,AF5)</f>
        <v>0</v>
      </c>
      <c r="AJ5" s="51">
        <f>SUMIFS('VRZ GS 50-2,999 Normalized'!V:V,'VRZ GS 50-2,999 Normalized'!B:B,AF5)</f>
        <v>0</v>
      </c>
      <c r="AK5" s="51">
        <f t="shared" ref="AK5:AK14" si="9">AH5</f>
        <v>0</v>
      </c>
      <c r="AL5" s="51">
        <f t="shared" ref="AL5:AL18" si="10">AJ5-AK5</f>
        <v>0</v>
      </c>
      <c r="AM5" s="51"/>
      <c r="AN5" s="51">
        <f t="shared" ref="AN5:AN17" si="11">AL5+AM5</f>
        <v>0</v>
      </c>
      <c r="AO5" s="51"/>
      <c r="AP5" s="83"/>
      <c r="AQ5" s="85">
        <f>AF5</f>
        <v>2014</v>
      </c>
      <c r="AR5" s="51">
        <f>SUMIFS('Monthly Data'!AB:AB,'Monthly Data'!$B:$B,AQ5)</f>
        <v>0</v>
      </c>
      <c r="AS5" s="51">
        <f>SUMIFS('Monthly Data'!AC:AC,'Monthly Data'!$B:$B,AQ5)</f>
        <v>0</v>
      </c>
      <c r="AT5" s="51">
        <f>SUMIFS('Monthly Data'!AD:AD,'Monthly Data'!$B:$B,AQ5)</f>
        <v>0</v>
      </c>
      <c r="AU5" s="51">
        <f>SUMIFS('VRZ GS 3,000-4,999 Normalized'!M:M,'VRZ GS 3,000-4,999 Normalized'!B:B,'Normalized Annual Summary'!AQ5)</f>
        <v>0</v>
      </c>
      <c r="AV5" s="51">
        <f t="shared" ref="AV5:AV14" si="12">AS5</f>
        <v>0</v>
      </c>
      <c r="AW5" s="51">
        <f t="shared" ref="AW5:AW18" si="13">AU5-AV5</f>
        <v>0</v>
      </c>
      <c r="AX5" s="51"/>
      <c r="AY5" s="51">
        <f t="shared" ref="AY5:AY17" si="14">AW5+AX5</f>
        <v>0</v>
      </c>
      <c r="AZ5" s="51"/>
      <c r="BA5" s="501"/>
      <c r="BB5" s="85">
        <f>AQ5</f>
        <v>2014</v>
      </c>
      <c r="BC5" s="51">
        <f>SUMIFS('Monthly Data'!AG:AG,'Monthly Data'!$B:$B,BB5)</f>
        <v>0</v>
      </c>
      <c r="BD5" s="51">
        <f>SUMIFS('Monthly Data'!AH:AH,'Monthly Data'!$B:$B,BB5)</f>
        <v>0</v>
      </c>
      <c r="BE5" s="51">
        <f>SUMIFS('Monthly Data'!AI:AI,'Monthly Data'!$B:$B,BB5)</f>
        <v>0</v>
      </c>
      <c r="BF5" s="51">
        <f>SUMIFS('VRZ Large Use Normalized'!Q:Q,'VRZ Large Use Normalized'!B:B,'Normalized Annual Summary'!BB5)</f>
        <v>0</v>
      </c>
      <c r="BG5" s="51">
        <f t="shared" ref="BG5:BG14" si="15">BD5</f>
        <v>0</v>
      </c>
      <c r="BH5" s="51">
        <f t="shared" ref="BH5:BH18" si="16">BF5-BG5</f>
        <v>0</v>
      </c>
      <c r="BI5" s="51"/>
      <c r="BJ5" s="51">
        <f t="shared" ref="BJ5:BJ17" si="17">BH5+BI5</f>
        <v>0</v>
      </c>
      <c r="BK5" s="51"/>
      <c r="BM5" s="85">
        <f>V5</f>
        <v>2014</v>
      </c>
      <c r="BN5" s="51">
        <f>SUMIFS('Monthly Data'!AL:AL,'Monthly Data'!$B:$B,BM5)</f>
        <v>0</v>
      </c>
      <c r="BO5" s="51" t="e">
        <f>'Customer Count'!#REF!</f>
        <v>#REF!</v>
      </c>
      <c r="BP5" s="51" t="e">
        <f t="shared" ref="BP5:BP12" si="18">BN5/BO5</f>
        <v>#REF!</v>
      </c>
      <c r="BQ5" s="51" t="e">
        <f>BP5*BO5</f>
        <v>#REF!</v>
      </c>
      <c r="BT5" s="85">
        <f>BM5</f>
        <v>2014</v>
      </c>
      <c r="BU5" s="51">
        <f>SUMIFS('Monthly Data'!AM:AM,'Monthly Data'!$B:$B,BT5)</f>
        <v>0</v>
      </c>
      <c r="BV5" s="51" t="e">
        <f>'Customer Count'!#REF!</f>
        <v>#REF!</v>
      </c>
      <c r="BW5" s="51" t="e">
        <f t="shared" ref="BW5:BW12" si="19">BU5/BV5</f>
        <v>#REF!</v>
      </c>
      <c r="BX5" s="51" t="e">
        <f>BW5*BV5</f>
        <v>#REF!</v>
      </c>
      <c r="CA5" s="85">
        <f>BM5</f>
        <v>2014</v>
      </c>
      <c r="CB5" s="51">
        <f>SUMIFS('Monthly Data'!AN:AN,'Monthly Data'!$B:$B,BT5)</f>
        <v>0</v>
      </c>
      <c r="CC5" s="51" t="e">
        <f>'Customer Count'!#REF!</f>
        <v>#REF!</v>
      </c>
      <c r="CD5" s="51" t="e">
        <f t="shared" ref="CD5:CD12" si="20">CB5/CC5</f>
        <v>#REF!</v>
      </c>
      <c r="CE5" s="51" t="e">
        <f t="shared" ref="CE5:CE10" si="21">CD5*CC5</f>
        <v>#REF!</v>
      </c>
      <c r="CJ5" s="85">
        <v>2014</v>
      </c>
      <c r="CK5" s="51">
        <f>SUMIFS('Monthly Data'!BC:BC,'Monthly Data'!$B:$B,CJ5)</f>
        <v>0</v>
      </c>
      <c r="CL5" s="51">
        <f>SUMIFS('Monthly Data'!BD:BD,'Monthly Data'!$B:$B,CJ5)</f>
        <v>0</v>
      </c>
      <c r="CM5" s="51">
        <f>SUMIFS('Monthly Data'!BE:BE,'Monthly Data'!$B:$B,CJ5)</f>
        <v>0</v>
      </c>
      <c r="CN5" s="51">
        <f>SUMIFS('WRZ Residential Normalized'!X:X,'WRZ Residential Normalized'!B:B,'Normalized Annual Summary'!CJ5)</f>
        <v>0</v>
      </c>
      <c r="CO5" s="51">
        <f t="shared" ref="CO5:CO14" si="22">CL5</f>
        <v>0</v>
      </c>
      <c r="CP5" s="51">
        <f t="shared" ref="CP5:CP17" si="23">CN5-CO5</f>
        <v>0</v>
      </c>
      <c r="CQ5" s="51"/>
      <c r="CR5" s="51">
        <f t="shared" ref="CR5:CR17" si="24">CP5+CQ5</f>
        <v>0</v>
      </c>
      <c r="CT5" s="85">
        <f>CJ5</f>
        <v>2014</v>
      </c>
      <c r="CU5" s="51">
        <f>SUMIFS('Monthly Data'!BI:BI,'Monthly Data'!$B:$B,CT5)</f>
        <v>0</v>
      </c>
      <c r="CV5" s="51">
        <f>SUMIFS('Monthly Data'!BJ:BJ,'Monthly Data'!$B:$B,CT5)</f>
        <v>0</v>
      </c>
      <c r="CW5" s="51">
        <f>SUMIFS('Monthly Data'!BK:BK,'Monthly Data'!$B:$B,CT5)</f>
        <v>0</v>
      </c>
      <c r="CX5" s="51">
        <f>SUMIFS('WRZ GS &lt; 50 Normalized'!V:V,'WRZ GS &lt; 50 Normalized'!B:B,CT5)</f>
        <v>0</v>
      </c>
      <c r="CY5" s="51">
        <f t="shared" ref="CY5:CY14" si="25">CV5</f>
        <v>0</v>
      </c>
      <c r="CZ5" s="51">
        <f t="shared" ref="CZ5:CZ18" si="26">CX5-CY5</f>
        <v>0</v>
      </c>
      <c r="DA5" s="51"/>
      <c r="DB5" s="51">
        <f t="shared" ref="DB5:DB17" si="27">CZ5+DA5</f>
        <v>0</v>
      </c>
      <c r="DC5" s="51"/>
      <c r="DD5" s="85">
        <f>CT5</f>
        <v>2014</v>
      </c>
      <c r="DE5" s="51">
        <f>SUMIFS('Monthly Data'!BO:BO,'Monthly Data'!$B:$B,DD5)</f>
        <v>0</v>
      </c>
      <c r="DF5" s="51">
        <f>SUMIFS('Monthly Data'!BP:BP,'Monthly Data'!$B:$B,DD5)</f>
        <v>0</v>
      </c>
      <c r="DG5" s="51">
        <f>SUMIFS('Monthly Data'!BQ:BQ,'Monthly Data'!$B:$B,DD5)</f>
        <v>0</v>
      </c>
      <c r="DH5" s="51">
        <f>SUMIFS('WRZ GS 50-2,999 Normalized'!T:T,'WRZ GS 50-2,999 Normalized'!B:B,'Normalized Annual Summary'!DD5)</f>
        <v>0</v>
      </c>
      <c r="DI5" s="51">
        <f t="shared" ref="DI5:DI14" si="28">DF5</f>
        <v>0</v>
      </c>
      <c r="DJ5" s="51">
        <f t="shared" ref="DJ5:DJ18" si="29">DH5-DI5</f>
        <v>0</v>
      </c>
      <c r="DK5" s="51"/>
      <c r="DL5" s="51">
        <f t="shared" ref="DL5:DL17" si="30">DJ5+DK5</f>
        <v>0</v>
      </c>
      <c r="DM5" s="51"/>
      <c r="DN5" s="83"/>
      <c r="DO5" s="85">
        <f>DD5</f>
        <v>2014</v>
      </c>
      <c r="DP5" s="51">
        <f>SUMIFS('Monthly Data'!BU:BU,'Monthly Data'!$B:$B,DO5)</f>
        <v>0</v>
      </c>
      <c r="DQ5" s="51">
        <f>SUMIFS('Monthly Data'!BV:BV,'Monthly Data'!$B:$B,DO5)</f>
        <v>0</v>
      </c>
      <c r="DR5" s="51">
        <f>SUMIFS('Monthly Data'!BW:BW,'Monthly Data'!$B:$B,DO5)</f>
        <v>0</v>
      </c>
      <c r="DS5" s="51">
        <f>SUMIFS('WRZ GS 3,000-4,999 Normalized'!O:O,'WRZ GS 3,000-4,999 Normalized'!B:B,'Normalized Annual Summary'!DO5)</f>
        <v>0</v>
      </c>
      <c r="DT5" s="51">
        <f t="shared" ref="DT5:DT14" si="31">DQ5</f>
        <v>0</v>
      </c>
      <c r="DU5" s="51">
        <f t="shared" ref="DU5:DU18" si="32">DS5-DT5</f>
        <v>0</v>
      </c>
      <c r="DV5" s="51"/>
      <c r="DW5" s="51">
        <f t="shared" ref="DW5:DW17" si="33">DU5+DV5</f>
        <v>0</v>
      </c>
      <c r="DX5" s="51"/>
      <c r="DZ5" s="85">
        <f>CT5</f>
        <v>2014</v>
      </c>
      <c r="EA5" s="51">
        <f>SUMIFS('Monthly Data'!BZ:BZ,'Monthly Data'!$B:$B,DZ5)</f>
        <v>0</v>
      </c>
      <c r="EB5" s="51" t="e">
        <f>'Customer Count'!#REF!</f>
        <v>#REF!</v>
      </c>
      <c r="EC5" s="51" t="e">
        <f t="shared" ref="EC5:EC12" si="34">EA5/EB5</f>
        <v>#REF!</v>
      </c>
      <c r="ED5" s="51" t="e">
        <f>EC5*EB5</f>
        <v>#REF!</v>
      </c>
      <c r="EG5" s="85">
        <f>DZ5</f>
        <v>2014</v>
      </c>
      <c r="EH5" s="51">
        <f>SUMIFS('Monthly Data'!CA:CA,'Monthly Data'!$B:$B,EG5)</f>
        <v>0</v>
      </c>
      <c r="EI5" s="51" t="e">
        <f>'Customer Count'!#REF!</f>
        <v>#REF!</v>
      </c>
      <c r="EJ5" s="51" t="e">
        <f t="shared" ref="EJ5:EJ12" si="35">EH5/EI5</f>
        <v>#REF!</v>
      </c>
      <c r="EK5" s="51" t="e">
        <f>EJ5*EI5</f>
        <v>#REF!</v>
      </c>
      <c r="EN5" s="85">
        <f>DZ5</f>
        <v>2014</v>
      </c>
      <c r="EO5" s="51">
        <f>SUMIFS('Monthly Data'!CB:CB,'Monthly Data'!$B:$B,EN5)</f>
        <v>0</v>
      </c>
      <c r="EP5" s="51" t="e">
        <f>'Customer Count'!#REF!</f>
        <v>#REF!</v>
      </c>
      <c r="EQ5" s="51" t="e">
        <f t="shared" ref="EQ5:EQ12" si="36">EO5/EP5</f>
        <v>#REF!</v>
      </c>
      <c r="ER5" s="51" t="e">
        <f t="shared" ref="ER5:ER10" si="37">EQ5*EP5</f>
        <v>#REF!</v>
      </c>
    </row>
    <row r="6" spans="2:148" ht="13">
      <c r="B6" s="500">
        <v>2016</v>
      </c>
      <c r="C6" s="501">
        <f>SUMIFS('Monthly Data'!D:D,'Monthly Data'!$B:$B,B6)</f>
        <v>915112945.17717803</v>
      </c>
      <c r="D6" s="501">
        <f>SUMIFS('Monthly Data'!E:E,'Monthly Data'!$B:$B,B6)</f>
        <v>15668447.662871411</v>
      </c>
      <c r="E6" s="501">
        <f>SUMIFS('Monthly Data'!I:I,'Monthly Data'!$B:$B,B6)</f>
        <v>930781392.84004951</v>
      </c>
      <c r="F6" s="501">
        <f ca="1">SUMIFS('VRZ Residential Normalized'!X:X,'VRZ Residential Normalized'!B:B,B6)</f>
        <v>912212773.76520073</v>
      </c>
      <c r="G6" s="501">
        <f t="shared" si="0"/>
        <v>15668447.662871411</v>
      </c>
      <c r="H6" s="501">
        <f t="shared" ca="1" si="1"/>
        <v>896544326.10232937</v>
      </c>
      <c r="I6" s="501"/>
      <c r="J6" s="501">
        <f t="shared" ca="1" si="2"/>
        <v>896544326.10232937</v>
      </c>
      <c r="K6" s="499"/>
      <c r="L6" s="500">
        <v>2016</v>
      </c>
      <c r="M6" s="501">
        <f>SUMIFS('Monthly Data'!J:J,'Monthly Data'!$B:$B,L6)</f>
        <v>9051572.815264266</v>
      </c>
      <c r="N6" s="501">
        <f>SUMIFS('Monthly Data'!K:K,'Monthly Data'!$B:$B,L6)</f>
        <v>179463.32190874958</v>
      </c>
      <c r="O6" s="501">
        <f>SUMIFS('Monthly Data'!L:L,'Monthly Data'!$B:$B,L6)</f>
        <v>9231036.1371730156</v>
      </c>
      <c r="P6" s="501">
        <f ca="1">SUMIFS('VRZ Seasonal Normalized'!V:V,'VRZ Seasonal Normalized'!B:B,L6)</f>
        <v>9086858.9921838641</v>
      </c>
      <c r="Q6" s="501">
        <f t="shared" si="3"/>
        <v>179463.32190874958</v>
      </c>
      <c r="R6" s="501">
        <f t="shared" ca="1" si="4"/>
        <v>8907395.6702751145</v>
      </c>
      <c r="S6" s="501"/>
      <c r="T6" s="501">
        <f t="shared" ca="1" si="5"/>
        <v>8907395.6702751145</v>
      </c>
      <c r="U6" s="499"/>
      <c r="V6" s="500">
        <v>2016</v>
      </c>
      <c r="W6" s="501">
        <f>SUMIFS('Monthly Data'!P:P,'Monthly Data'!$B:$B,V6)</f>
        <v>271038059.0962218</v>
      </c>
      <c r="X6" s="501">
        <f>SUMIFS('Monthly Data'!Q:Q,'Monthly Data'!$B:$B,V6)</f>
        <v>6266003.6809074264</v>
      </c>
      <c r="Y6" s="501">
        <f>SUMIFS('Monthly Data'!R:R,'Monthly Data'!$B:$B,V6)</f>
        <v>277304062.77712923</v>
      </c>
      <c r="Z6" s="501">
        <f ca="1">SUMIFS('VRZ GS &lt; 50 Normalized'!T:T,'VRZ GS &lt; 50 Normalized'!B:B,V6)</f>
        <v>278056902.0299626</v>
      </c>
      <c r="AA6" s="501">
        <f t="shared" si="6"/>
        <v>6266003.6809074264</v>
      </c>
      <c r="AB6" s="501">
        <f t="shared" ca="1" si="7"/>
        <v>271790898.34905517</v>
      </c>
      <c r="AC6" s="501"/>
      <c r="AD6" s="501">
        <f t="shared" ca="1" si="8"/>
        <v>271790898.34905517</v>
      </c>
      <c r="AE6" s="501"/>
      <c r="AF6" s="500">
        <v>2016</v>
      </c>
      <c r="AG6" s="501">
        <f>SUMIFS('Monthly Data'!V:V,'Monthly Data'!$B:$B,AF6)</f>
        <v>927454086.06637979</v>
      </c>
      <c r="AH6" s="501">
        <f>SUMIFS('Monthly Data'!W:W,'Monthly Data'!$B:$B,AF6)</f>
        <v>22146619.607547037</v>
      </c>
      <c r="AI6" s="501">
        <f>SUMIFS('Monthly Data'!X:X,'Monthly Data'!$B:$B,AF6)</f>
        <v>949600705.67392671</v>
      </c>
      <c r="AJ6" s="501">
        <f ca="1">SUMIFS('VRZ GS 50-2,999 Normalized'!V:V,'VRZ GS 50-2,999 Normalized'!B:B,AF6)</f>
        <v>938502179.91205549</v>
      </c>
      <c r="AK6" s="501">
        <f t="shared" si="9"/>
        <v>22146619.607547037</v>
      </c>
      <c r="AL6" s="501">
        <f t="shared" ca="1" si="10"/>
        <v>916355560.30450845</v>
      </c>
      <c r="AM6" s="501"/>
      <c r="AN6" s="501">
        <f t="shared" ca="1" si="11"/>
        <v>916355560.30450845</v>
      </c>
      <c r="AO6" s="501">
        <f t="shared" ref="AO6:AO20" ca="1" si="38">AJ6+AM6</f>
        <v>938502179.91205549</v>
      </c>
      <c r="AP6" s="501"/>
      <c r="AQ6" s="500">
        <v>2016</v>
      </c>
      <c r="AR6" s="501">
        <f>SUMIFS('Monthly Data'!AB:AB,'Monthly Data'!$B:$B,AQ6)</f>
        <v>78366220.038373992</v>
      </c>
      <c r="AS6" s="501">
        <f>SUMIFS('Monthly Data'!AC:AC,'Monthly Data'!$B:$B,AQ6)</f>
        <v>498549.66246977251</v>
      </c>
      <c r="AT6" s="501">
        <f>SUMIFS('Monthly Data'!AD:AD,'Monthly Data'!$B:$B,AQ6)</f>
        <v>78864769.700843766</v>
      </c>
      <c r="AU6" s="501">
        <f>SUMIFS('VRZ GS 3,000-4,999 Normalized'!M:M,'VRZ GS 3,000-4,999 Normalized'!B:B,'Normalized Annual Summary'!AQ6)</f>
        <v>85219354.991337776</v>
      </c>
      <c r="AV6" s="501">
        <f t="shared" si="12"/>
        <v>498549.66246977251</v>
      </c>
      <c r="AW6" s="501">
        <f t="shared" si="13"/>
        <v>84720805.328868002</v>
      </c>
      <c r="AX6" s="501"/>
      <c r="AY6" s="501">
        <f t="shared" si="14"/>
        <v>84720805.328868002</v>
      </c>
      <c r="AZ6" s="501">
        <f t="shared" ref="AZ6:AZ20" si="39">AU6+AX6</f>
        <v>85219354.991337776</v>
      </c>
      <c r="BA6" s="501"/>
      <c r="BB6" s="500">
        <v>2016</v>
      </c>
      <c r="BC6" s="501">
        <f>SUMIFS('Monthly Data'!AG:AG,'Monthly Data'!$B:$B,BB6)</f>
        <v>214289820.48699546</v>
      </c>
      <c r="BD6" s="501">
        <f>SUMIFS('Monthly Data'!AH:AH,'Monthly Data'!$B:$B,BB6)</f>
        <v>7128817.1578657255</v>
      </c>
      <c r="BE6" s="501">
        <f>SUMIFS('Monthly Data'!AI:AI,'Monthly Data'!$B:$B,BB6)</f>
        <v>221418637.64486113</v>
      </c>
      <c r="BF6" s="501">
        <f>SUMIFS('VRZ Large Use Normalized'!Q:Q,'VRZ Large Use Normalized'!B:B,'Normalized Annual Summary'!BB6)</f>
        <v>227004612.86657929</v>
      </c>
      <c r="BG6" s="501">
        <f t="shared" si="15"/>
        <v>7128817.1578657255</v>
      </c>
      <c r="BH6" s="501">
        <f t="shared" si="16"/>
        <v>219875795.70871356</v>
      </c>
      <c r="BI6" s="501"/>
      <c r="BJ6" s="501">
        <f t="shared" si="17"/>
        <v>219875795.70871356</v>
      </c>
      <c r="BK6" s="501">
        <f t="shared" ref="BK6:BK20" si="40">BF6+BI6</f>
        <v>227004612.86657929</v>
      </c>
      <c r="BL6" s="499"/>
      <c r="BM6" s="500">
        <v>2016</v>
      </c>
      <c r="BN6" s="501">
        <f>SUMIFS('Monthly Data'!AL:AL,'Monthly Data'!$B:$B,BM6)</f>
        <v>20696694.0755581</v>
      </c>
      <c r="BO6" s="501">
        <f>'Customer Count'!AG4</f>
        <v>30030.75</v>
      </c>
      <c r="BP6" s="501">
        <f t="shared" si="18"/>
        <v>689.18338954432045</v>
      </c>
      <c r="BQ6" s="501">
        <f t="shared" ref="BQ6:BQ20" si="41">BP6*BO6</f>
        <v>20696694.0755581</v>
      </c>
      <c r="BR6" s="499"/>
      <c r="BS6" s="499"/>
      <c r="BT6" s="500">
        <v>2016</v>
      </c>
      <c r="BU6" s="501">
        <f>SUMIFS('Monthly Data'!AM:AM,'Monthly Data'!$B:$B,BT6)</f>
        <v>149076.16867010115</v>
      </c>
      <c r="BV6" s="501">
        <f>'Customer Count'!AK4</f>
        <v>439</v>
      </c>
      <c r="BW6" s="501">
        <f t="shared" si="19"/>
        <v>339.58124981799807</v>
      </c>
      <c r="BX6" s="501">
        <f t="shared" ref="BX6:BX21" si="42">BW6*BV6</f>
        <v>149076.16867010115</v>
      </c>
      <c r="BY6" s="499"/>
      <c r="BZ6" s="499"/>
      <c r="CA6" s="500" t="e">
        <f>#REF!+1</f>
        <v>#REF!</v>
      </c>
      <c r="CB6" s="501">
        <f>SUMIFS('Monthly Data'!AN:AN,'Monthly Data'!$B:$B,BT6)</f>
        <v>4746940.8319023084</v>
      </c>
      <c r="CC6" s="501">
        <f>'Customer Count'!AO4</f>
        <v>837.41666666666686</v>
      </c>
      <c r="CD6" s="501">
        <f t="shared" si="20"/>
        <v>5668.5530881508294</v>
      </c>
      <c r="CE6" s="501">
        <f t="shared" si="21"/>
        <v>4746940.8319023084</v>
      </c>
      <c r="CF6" s="499"/>
      <c r="CG6" s="499"/>
      <c r="CH6" s="499"/>
      <c r="CI6" s="499"/>
      <c r="CJ6" s="500">
        <v>2016</v>
      </c>
      <c r="CK6" s="501">
        <f>SUMIFS('Monthly Data'!BC:BC,'Monthly Data'!$B:$B,CJ6)</f>
        <v>354262497.03685707</v>
      </c>
      <c r="CL6" s="501">
        <f>SUMIFS('Monthly Data'!BD:BD,'Monthly Data'!$B:$B,CJ6)</f>
        <v>7827292.6426584842</v>
      </c>
      <c r="CM6" s="501">
        <f>SUMIFS('Monthly Data'!BE:BE,'Monthly Data'!$B:$B,CJ6)</f>
        <v>362089789.67951554</v>
      </c>
      <c r="CN6" s="501">
        <f ca="1">SUMIFS('WRZ Residential Normalized'!X:X,'WRZ Residential Normalized'!B:B,'Normalized Annual Summary'!CJ6)</f>
        <v>349518064.05316168</v>
      </c>
      <c r="CO6" s="501">
        <f t="shared" si="22"/>
        <v>7827292.6426584842</v>
      </c>
      <c r="CP6" s="501">
        <f t="shared" ca="1" si="23"/>
        <v>341690771.41050321</v>
      </c>
      <c r="CQ6" s="501"/>
      <c r="CR6" s="501">
        <f t="shared" ca="1" si="24"/>
        <v>341690771.41050321</v>
      </c>
      <c r="CS6" s="499"/>
      <c r="CT6" s="500">
        <v>2016</v>
      </c>
      <c r="CU6" s="501">
        <f>SUMIFS('Monthly Data'!BI:BI,'Monthly Data'!$B:$B,CT6)</f>
        <v>85344572.942318693</v>
      </c>
      <c r="CV6" s="501">
        <f>SUMIFS('Monthly Data'!BJ:BJ,'Monthly Data'!$B:$B,CT6)</f>
        <v>1385622.3728529485</v>
      </c>
      <c r="CW6" s="501">
        <f>SUMIFS('Monthly Data'!BK:BK,'Monthly Data'!$B:$B,CT6)</f>
        <v>86730195.315171614</v>
      </c>
      <c r="CX6" s="501">
        <f ca="1">SUMIFS('WRZ GS &lt; 50 Normalized'!V:V,'WRZ GS &lt; 50 Normalized'!B:B,CT6)</f>
        <v>88341464.752347767</v>
      </c>
      <c r="CY6" s="501">
        <f t="shared" si="25"/>
        <v>1385622.3728529485</v>
      </c>
      <c r="CZ6" s="501">
        <f t="shared" ca="1" si="26"/>
        <v>86955842.379494816</v>
      </c>
      <c r="DA6" s="501"/>
      <c r="DB6" s="501">
        <f t="shared" ca="1" si="27"/>
        <v>86955842.379494816</v>
      </c>
      <c r="DC6" s="501"/>
      <c r="DD6" s="500">
        <v>2016</v>
      </c>
      <c r="DE6" s="501">
        <f>SUMIFS('Monthly Data'!BO:BO,'Monthly Data'!$B:$B,DD6)</f>
        <v>344664289.79645747</v>
      </c>
      <c r="DF6" s="501">
        <f>SUMIFS('Monthly Data'!BP:BP,'Monthly Data'!$B:$B,DD6)</f>
        <v>5095617.3960494818</v>
      </c>
      <c r="DG6" s="501">
        <f>SUMIFS('Monthly Data'!BQ:BQ,'Monthly Data'!$B:$B,DD6)</f>
        <v>349759907.19250697</v>
      </c>
      <c r="DH6" s="501">
        <f ca="1">SUMIFS('WRZ GS 50-2,999 Normalized'!T:T,'WRZ GS 50-2,999 Normalized'!B:B,'Normalized Annual Summary'!DD6)</f>
        <v>354032078.68448937</v>
      </c>
      <c r="DI6" s="501">
        <f t="shared" si="28"/>
        <v>5095617.3960494818</v>
      </c>
      <c r="DJ6" s="501">
        <f t="shared" ca="1" si="29"/>
        <v>348936461.28843987</v>
      </c>
      <c r="DK6" s="501"/>
      <c r="DL6" s="501">
        <f t="shared" ca="1" si="30"/>
        <v>348936461.28843987</v>
      </c>
      <c r="DM6" s="501">
        <f t="shared" ref="DM6:DM21" ca="1" si="43">DH6+DK6</f>
        <v>354032078.68448937</v>
      </c>
      <c r="DN6" s="83"/>
      <c r="DO6" s="500">
        <v>2016</v>
      </c>
      <c r="DP6" s="501">
        <f>SUMIFS('Monthly Data'!BU:BU,'Monthly Data'!$B:$B,DO6)</f>
        <v>60391954.021215044</v>
      </c>
      <c r="DQ6" s="501">
        <f>SUMIFS('Monthly Data'!BV:BV,'Monthly Data'!$B:$B,DO6)</f>
        <v>1145607.6890235953</v>
      </c>
      <c r="DR6" s="501">
        <f>SUMIFS('Monthly Data'!BW:BW,'Monthly Data'!$B:$B,DO6)</f>
        <v>61537561.710238636</v>
      </c>
      <c r="DS6" s="501">
        <f>SUMIFS('WRZ GS 3,000-4,999 Normalized'!O:O,'WRZ GS 3,000-4,999 Normalized'!B:B,'Normalized Annual Summary'!DO6)</f>
        <v>60818464.525552742</v>
      </c>
      <c r="DT6" s="501">
        <f t="shared" si="31"/>
        <v>1145607.6890235953</v>
      </c>
      <c r="DU6" s="501">
        <f t="shared" si="32"/>
        <v>59672856.836529151</v>
      </c>
      <c r="DV6" s="501"/>
      <c r="DW6" s="501">
        <f t="shared" si="33"/>
        <v>59672856.836529151</v>
      </c>
      <c r="DX6" s="501">
        <f t="shared" ref="DX6:DX21" si="44">DS6+DV6</f>
        <v>60818464.525552742</v>
      </c>
      <c r="DY6" s="499"/>
      <c r="DZ6" s="500">
        <v>2016</v>
      </c>
      <c r="EA6" s="501">
        <f>SUMIFS('Monthly Data'!BZ:BZ,'Monthly Data'!$B:$B,DZ6)</f>
        <v>6040411.8327912744</v>
      </c>
      <c r="EB6" s="501">
        <f>'Customer Count'!BN4</f>
        <v>11857.375</v>
      </c>
      <c r="EC6" s="501">
        <f t="shared" si="34"/>
        <v>509.42234961711802</v>
      </c>
      <c r="ED6" s="501">
        <f t="shared" ref="ED6:ED21" si="45">EC6*EB6</f>
        <v>6040411.8327912744</v>
      </c>
      <c r="EE6" s="499"/>
      <c r="EF6" s="499"/>
      <c r="EG6" s="500">
        <v>2016</v>
      </c>
      <c r="EH6" s="501">
        <f>SUMIFS('Monthly Data'!CA:CA,'Monthly Data'!$B:$B,EG6)</f>
        <v>30332.130602026107</v>
      </c>
      <c r="EI6" s="501">
        <f>'Customer Count'!BR4</f>
        <v>39</v>
      </c>
      <c r="EJ6" s="501">
        <f t="shared" si="35"/>
        <v>777.74693851348991</v>
      </c>
      <c r="EK6" s="501">
        <f t="shared" ref="EK6:EK21" si="46">EJ6*EI6</f>
        <v>30332.130602026107</v>
      </c>
      <c r="EL6" s="499"/>
      <c r="EM6" s="499"/>
      <c r="EN6" s="500">
        <v>2016</v>
      </c>
      <c r="EO6" s="501">
        <f>SUMIFS('Monthly Data'!CB:CB,'Monthly Data'!$B:$B,EN6)</f>
        <v>572545.95370193222</v>
      </c>
      <c r="EP6" s="501">
        <f>'Customer Count'!BV4</f>
        <v>372.20833333333348</v>
      </c>
      <c r="EQ6" s="501">
        <f t="shared" si="36"/>
        <v>1538.2405562349006</v>
      </c>
      <c r="ER6" s="501">
        <f t="shared" si="37"/>
        <v>572545.95370193222</v>
      </c>
    </row>
    <row r="7" spans="2:148">
      <c r="B7" s="500">
        <f t="shared" ref="B7:B17" si="47">B6+1</f>
        <v>2017</v>
      </c>
      <c r="C7" s="501">
        <f>SUMIFS('Monthly Data'!D:D,'Monthly Data'!$B:$B,B7)</f>
        <v>860495844.41722929</v>
      </c>
      <c r="D7" s="501">
        <f>SUMIFS('Monthly Data'!E:E,'Monthly Data'!$B:$B,B7)</f>
        <v>33039525.220143016</v>
      </c>
      <c r="E7" s="501">
        <f>SUMIFS('Monthly Data'!I:I,'Monthly Data'!$B:$B,B7)</f>
        <v>893290489.68808842</v>
      </c>
      <c r="F7" s="501">
        <f ca="1">SUMIFS('VRZ Residential Normalized'!X:X,'VRZ Residential Normalized'!B:B,B7)</f>
        <v>925745432.90255678</v>
      </c>
      <c r="G7" s="501">
        <f t="shared" si="0"/>
        <v>33039525.220143016</v>
      </c>
      <c r="H7" s="501">
        <f t="shared" ca="1" si="1"/>
        <v>892705907.68241382</v>
      </c>
      <c r="I7" s="501"/>
      <c r="J7" s="501">
        <f t="shared" ca="1" si="2"/>
        <v>892705907.68241382</v>
      </c>
      <c r="K7" s="499"/>
      <c r="L7" s="500">
        <f t="shared" ref="L7:L17" si="48">L6+1</f>
        <v>2017</v>
      </c>
      <c r="M7" s="501">
        <f>SUMIFS('Monthly Data'!J:J,'Monthly Data'!$B:$B,L7)</f>
        <v>9456862.8725147881</v>
      </c>
      <c r="N7" s="501">
        <f>SUMIFS('Monthly Data'!K:K,'Monthly Data'!$B:$B,L7)</f>
        <v>378428.23219464702</v>
      </c>
      <c r="O7" s="501">
        <f>SUMIFS('Monthly Data'!L:L,'Monthly Data'!$B:$B,L7)</f>
        <v>9835291.1047094334</v>
      </c>
      <c r="P7" s="501">
        <f ca="1">SUMIFS('VRZ Seasonal Normalized'!V:V,'VRZ Seasonal Normalized'!B:B,L7)</f>
        <v>9419884.5382634029</v>
      </c>
      <c r="Q7" s="501">
        <f t="shared" si="3"/>
        <v>378428.23219464702</v>
      </c>
      <c r="R7" s="501">
        <f t="shared" ca="1" si="4"/>
        <v>9041456.3060687557</v>
      </c>
      <c r="S7" s="501"/>
      <c r="T7" s="501">
        <f t="shared" ca="1" si="5"/>
        <v>9041456.3060687557</v>
      </c>
      <c r="U7" s="499"/>
      <c r="V7" s="500">
        <f t="shared" ref="V7:V17" si="49">V6+1</f>
        <v>2017</v>
      </c>
      <c r="W7" s="501">
        <f>SUMIFS('Monthly Data'!P:P,'Monthly Data'!$B:$B,V7)</f>
        <v>261365989.78409663</v>
      </c>
      <c r="X7" s="501">
        <f>SUMIFS('Monthly Data'!Q:Q,'Monthly Data'!$B:$B,V7)</f>
        <v>8395441.8564269301</v>
      </c>
      <c r="Y7" s="501">
        <f>SUMIFS('Monthly Data'!R:R,'Monthly Data'!$B:$B,V7)</f>
        <v>269761431.64052355</v>
      </c>
      <c r="Z7" s="501">
        <f ca="1">SUMIFS('VRZ GS &lt; 50 Normalized'!T:T,'VRZ GS &lt; 50 Normalized'!B:B,V7)</f>
        <v>277636933.48814881</v>
      </c>
      <c r="AA7" s="501">
        <f t="shared" si="6"/>
        <v>8395441.8564269301</v>
      </c>
      <c r="AB7" s="501">
        <f t="shared" ca="1" si="7"/>
        <v>269241491.63172185</v>
      </c>
      <c r="AC7" s="501"/>
      <c r="AD7" s="501">
        <f t="shared" ca="1" si="8"/>
        <v>269241491.63172185</v>
      </c>
      <c r="AE7" s="501"/>
      <c r="AF7" s="500">
        <f t="shared" ref="AF7:AF17" si="50">AF6+1</f>
        <v>2017</v>
      </c>
      <c r="AG7" s="501">
        <f>SUMIFS('Monthly Data'!V:V,'Monthly Data'!$B:$B,AF7)</f>
        <v>906283743.08643579</v>
      </c>
      <c r="AH7" s="501">
        <f>SUMIFS('Monthly Data'!W:W,'Monthly Data'!$B:$B,AF7)</f>
        <v>31009573.56877904</v>
      </c>
      <c r="AI7" s="501">
        <f>SUMIFS('Monthly Data'!X:X,'Monthly Data'!$B:$B,AF7)</f>
        <v>937293316.65521491</v>
      </c>
      <c r="AJ7" s="501">
        <f ca="1">SUMIFS('VRZ GS 50-2,999 Normalized'!V:V,'VRZ GS 50-2,999 Normalized'!B:B,AF7)</f>
        <v>946417802.62648213</v>
      </c>
      <c r="AK7" s="501">
        <f t="shared" si="9"/>
        <v>31009573.56877904</v>
      </c>
      <c r="AL7" s="501">
        <f t="shared" ca="1" si="10"/>
        <v>915408229.05770314</v>
      </c>
      <c r="AM7" s="501"/>
      <c r="AN7" s="501">
        <f t="shared" ca="1" si="11"/>
        <v>915408229.05770314</v>
      </c>
      <c r="AO7" s="501">
        <f t="shared" ca="1" si="38"/>
        <v>946417802.62648213</v>
      </c>
      <c r="AP7" s="501"/>
      <c r="AQ7" s="500">
        <f t="shared" ref="AQ7:AQ17" si="51">AQ6+1</f>
        <v>2017</v>
      </c>
      <c r="AR7" s="501">
        <f>SUMIFS('Monthly Data'!AB:AB,'Monthly Data'!$B:$B,AQ7)</f>
        <v>87507089.957190782</v>
      </c>
      <c r="AS7" s="501">
        <f>SUMIFS('Monthly Data'!AC:AC,'Monthly Data'!$B:$B,AQ7)</f>
        <v>1165452.6221753072</v>
      </c>
      <c r="AT7" s="501">
        <f>SUMIFS('Monthly Data'!AD:AD,'Monthly Data'!$B:$B,AQ7)</f>
        <v>88672542.579366088</v>
      </c>
      <c r="AU7" s="501">
        <f>SUMIFS('VRZ GS 3,000-4,999 Normalized'!M:M,'VRZ GS 3,000-4,999 Normalized'!B:B,'Normalized Annual Summary'!AQ7)</f>
        <v>87767373.528162256</v>
      </c>
      <c r="AV7" s="501">
        <f t="shared" si="12"/>
        <v>1165452.6221753072</v>
      </c>
      <c r="AW7" s="501">
        <f t="shared" si="13"/>
        <v>86601920.90598695</v>
      </c>
      <c r="AX7" s="501"/>
      <c r="AY7" s="501">
        <f t="shared" si="14"/>
        <v>86601920.90598695</v>
      </c>
      <c r="AZ7" s="501">
        <f t="shared" si="39"/>
        <v>87767373.528162256</v>
      </c>
      <c r="BA7" s="501"/>
      <c r="BB7" s="500">
        <f t="shared" ref="BB7:BB17" si="52">BB6+1</f>
        <v>2017</v>
      </c>
      <c r="BC7" s="501">
        <f>SUMIFS('Monthly Data'!AG:AG,'Monthly Data'!$B:$B,BB7)</f>
        <v>222292495.33607462</v>
      </c>
      <c r="BD7" s="501">
        <f>SUMIFS('Monthly Data'!AH:AH,'Monthly Data'!$B:$B,BB7)</f>
        <v>9855831.7522191294</v>
      </c>
      <c r="BE7" s="501">
        <f>SUMIFS('Monthly Data'!AI:AI,'Monthly Data'!$B:$B,BB7)</f>
        <v>232148327.08829373</v>
      </c>
      <c r="BF7" s="501">
        <f>SUMIFS('VRZ Large Use Normalized'!Q:Q,'VRZ Large Use Normalized'!B:B,'Normalized Annual Summary'!BB7)</f>
        <v>242541437.25891751</v>
      </c>
      <c r="BG7" s="501">
        <f t="shared" si="15"/>
        <v>9855831.7522191294</v>
      </c>
      <c r="BH7" s="501">
        <f t="shared" si="16"/>
        <v>232685605.50669837</v>
      </c>
      <c r="BI7" s="501"/>
      <c r="BJ7" s="501">
        <f t="shared" si="17"/>
        <v>232685605.50669837</v>
      </c>
      <c r="BK7" s="501">
        <f t="shared" si="40"/>
        <v>242541437.25891751</v>
      </c>
      <c r="BL7" s="499"/>
      <c r="BM7" s="500">
        <f t="shared" ref="BM7:BM17" si="53">BM6+1</f>
        <v>2017</v>
      </c>
      <c r="BN7" s="501">
        <f>SUMIFS('Monthly Data'!AL:AL,'Monthly Data'!$B:$B,BM7)</f>
        <v>19519835.661133371</v>
      </c>
      <c r="BO7" s="501">
        <f>'Customer Count'!AG5</f>
        <v>30411.75</v>
      </c>
      <c r="BP7" s="501">
        <f t="shared" si="18"/>
        <v>641.85177311839573</v>
      </c>
      <c r="BQ7" s="501">
        <f t="shared" si="41"/>
        <v>19519835.661133371</v>
      </c>
      <c r="BR7" s="499"/>
      <c r="BS7" s="499"/>
      <c r="BT7" s="500">
        <f t="shared" ref="BT7:BT17" si="54">BT6+1</f>
        <v>2017</v>
      </c>
      <c r="BU7" s="501">
        <f>SUMIFS('Monthly Data'!AM:AM,'Monthly Data'!$B:$B,BT7)</f>
        <v>297128.43922915473</v>
      </c>
      <c r="BV7" s="501">
        <f>'Customer Count'!AK5</f>
        <v>439</v>
      </c>
      <c r="BW7" s="501">
        <f t="shared" si="19"/>
        <v>676.8301576973912</v>
      </c>
      <c r="BX7" s="501">
        <f t="shared" si="42"/>
        <v>297128.43922915473</v>
      </c>
      <c r="BY7" s="499"/>
      <c r="BZ7" s="499"/>
      <c r="CA7" s="500" t="e">
        <f t="shared" ref="CA7:CA17" si="55">CA6+1</f>
        <v>#REF!</v>
      </c>
      <c r="CB7" s="501">
        <f>SUMIFS('Monthly Data'!AN:AN,'Monthly Data'!$B:$B,BT7)</f>
        <v>4693448.8360999813</v>
      </c>
      <c r="CC7" s="501">
        <f>'Customer Count'!AO5</f>
        <v>825.58333333333314</v>
      </c>
      <c r="CD7" s="501">
        <f t="shared" si="20"/>
        <v>5685.0091887755916</v>
      </c>
      <c r="CE7" s="501">
        <f t="shared" si="21"/>
        <v>4693448.8360999813</v>
      </c>
      <c r="CF7" s="499"/>
      <c r="CG7" s="499"/>
      <c r="CH7" s="499"/>
      <c r="CI7" s="499"/>
      <c r="CJ7" s="500">
        <f t="shared" ref="CJ7:CJ17" si="56">CJ6+1</f>
        <v>2017</v>
      </c>
      <c r="CK7" s="501">
        <f>SUMIFS('Monthly Data'!BC:BC,'Monthly Data'!$B:$B,CJ7)</f>
        <v>327526191.75668687</v>
      </c>
      <c r="CL7" s="501">
        <f>SUMIFS('Monthly Data'!BD:BD,'Monthly Data'!$B:$B,CJ7)</f>
        <v>17132013.012366947</v>
      </c>
      <c r="CM7" s="501">
        <f>SUMIFS('Monthly Data'!BE:BE,'Monthly Data'!$B:$B,CJ7)</f>
        <v>344658204.76905382</v>
      </c>
      <c r="CN7" s="501">
        <f ca="1">SUMIFS('WRZ Residential Normalized'!X:X,'WRZ Residential Normalized'!B:B,'Normalized Annual Summary'!CJ7)</f>
        <v>355617745.73657948</v>
      </c>
      <c r="CO7" s="501">
        <f t="shared" si="22"/>
        <v>17132013.012366947</v>
      </c>
      <c r="CP7" s="501">
        <f t="shared" ca="1" si="23"/>
        <v>338485732.72421253</v>
      </c>
      <c r="CQ7" s="501"/>
      <c r="CR7" s="501">
        <f t="shared" ca="1" si="24"/>
        <v>338485732.72421253</v>
      </c>
      <c r="CS7" s="499"/>
      <c r="CT7" s="500">
        <f t="shared" ref="CT7:CT17" si="57">CT6+1</f>
        <v>2017</v>
      </c>
      <c r="CU7" s="501">
        <f>SUMIFS('Monthly Data'!BI:BI,'Monthly Data'!$B:$B,CT7)</f>
        <v>83249374.995054513</v>
      </c>
      <c r="CV7" s="501">
        <f>SUMIFS('Monthly Data'!BJ:BJ,'Monthly Data'!$B:$B,CT7)</f>
        <v>1654412.3870165935</v>
      </c>
      <c r="CW7" s="501">
        <f>SUMIFS('Monthly Data'!BK:BK,'Monthly Data'!$B:$B,CT7)</f>
        <v>84903787.382071093</v>
      </c>
      <c r="CX7" s="501">
        <f ca="1">SUMIFS('WRZ GS &lt; 50 Normalized'!V:V,'WRZ GS &lt; 50 Normalized'!B:B,CT7)</f>
        <v>87955716.912347764</v>
      </c>
      <c r="CY7" s="501">
        <f t="shared" si="25"/>
        <v>1654412.3870165935</v>
      </c>
      <c r="CZ7" s="501">
        <f t="shared" ca="1" si="26"/>
        <v>86301304.525331169</v>
      </c>
      <c r="DA7" s="501"/>
      <c r="DB7" s="501">
        <f t="shared" ca="1" si="27"/>
        <v>86301304.525331169</v>
      </c>
      <c r="DC7" s="501"/>
      <c r="DD7" s="500">
        <f t="shared" ref="DD7:DD17" si="58">DD6+1</f>
        <v>2017</v>
      </c>
      <c r="DE7" s="501">
        <f>SUMIFS('Monthly Data'!BO:BO,'Monthly Data'!$B:$B,DD7)</f>
        <v>329917316.99549681</v>
      </c>
      <c r="DF7" s="501">
        <f>SUMIFS('Monthly Data'!BP:BP,'Monthly Data'!$B:$B,DD7)</f>
        <v>8610844.415497696</v>
      </c>
      <c r="DG7" s="501">
        <f>SUMIFS('Monthly Data'!BQ:BQ,'Monthly Data'!$B:$B,DD7)</f>
        <v>338528161.41099447</v>
      </c>
      <c r="DH7" s="501">
        <f ca="1">SUMIFS('WRZ GS 50-2,999 Normalized'!T:T,'WRZ GS 50-2,999 Normalized'!B:B,'Normalized Annual Summary'!DD7)</f>
        <v>353623978.79342067</v>
      </c>
      <c r="DI7" s="501">
        <f t="shared" si="28"/>
        <v>8610844.415497696</v>
      </c>
      <c r="DJ7" s="501">
        <f t="shared" ca="1" si="29"/>
        <v>345013134.37792295</v>
      </c>
      <c r="DK7" s="501"/>
      <c r="DL7" s="501">
        <f t="shared" ca="1" si="30"/>
        <v>345013134.37792295</v>
      </c>
      <c r="DM7" s="501">
        <f t="shared" ca="1" si="43"/>
        <v>353623978.79342067</v>
      </c>
      <c r="DN7" s="501"/>
      <c r="DO7" s="500">
        <f t="shared" ref="DO7:DO17" si="59">DO6+1</f>
        <v>2017</v>
      </c>
      <c r="DP7" s="501">
        <f>SUMIFS('Monthly Data'!BU:BU,'Monthly Data'!$B:$B,DO7)</f>
        <v>58961813.114754111</v>
      </c>
      <c r="DQ7" s="501">
        <f>SUMIFS('Monthly Data'!BV:BV,'Monthly Data'!$B:$B,DO7)</f>
        <v>1935908.6062913383</v>
      </c>
      <c r="DR7" s="501">
        <f>SUMIFS('Monthly Data'!BW:BW,'Monthly Data'!$B:$B,DO7)</f>
        <v>60897721.721045442</v>
      </c>
      <c r="DS7" s="501">
        <f>SUMIFS('WRZ GS 3,000-4,999 Normalized'!O:O,'WRZ GS 3,000-4,999 Normalized'!B:B,'Normalized Annual Summary'!DO7)</f>
        <v>60634169.61527577</v>
      </c>
      <c r="DT7" s="501">
        <f t="shared" si="31"/>
        <v>1935908.6062913383</v>
      </c>
      <c r="DU7" s="501">
        <f t="shared" si="32"/>
        <v>58698261.008984432</v>
      </c>
      <c r="DV7" s="501"/>
      <c r="DW7" s="501">
        <f t="shared" si="33"/>
        <v>58698261.008984432</v>
      </c>
      <c r="DX7" s="501">
        <f t="shared" si="44"/>
        <v>60634169.61527577</v>
      </c>
      <c r="DY7" s="499"/>
      <c r="DZ7" s="500">
        <f t="shared" ref="DZ7:DZ17" si="60">DZ6+1</f>
        <v>2017</v>
      </c>
      <c r="EA7" s="501">
        <f>SUMIFS('Monthly Data'!BZ:BZ,'Monthly Data'!$B:$B,DZ7)</f>
        <v>4772411.8997512907</v>
      </c>
      <c r="EB7" s="501">
        <f>'Customer Count'!BN5</f>
        <v>11891</v>
      </c>
      <c r="EC7" s="501">
        <f t="shared" si="34"/>
        <v>401.34655619807342</v>
      </c>
      <c r="ED7" s="501">
        <f t="shared" si="45"/>
        <v>4772411.8997512907</v>
      </c>
      <c r="EE7" s="499"/>
      <c r="EF7" s="499"/>
      <c r="EG7" s="500">
        <f t="shared" ref="EG7:EG17" si="61">EG6+1</f>
        <v>2017</v>
      </c>
      <c r="EH7" s="501">
        <f>SUMIFS('Monthly Data'!CA:CA,'Monthly Data'!$B:$B,EG7)</f>
        <v>29013.342314981488</v>
      </c>
      <c r="EI7" s="501">
        <f>'Customer Count'!BR5</f>
        <v>38.458333333333321</v>
      </c>
      <c r="EJ7" s="501">
        <f t="shared" si="35"/>
        <v>754.40976767015809</v>
      </c>
      <c r="EK7" s="501">
        <f t="shared" si="46"/>
        <v>29013.342314981488</v>
      </c>
      <c r="EL7" s="499"/>
      <c r="EM7" s="499"/>
      <c r="EN7" s="500">
        <f t="shared" ref="EN7:EN17" si="62">EN6+1</f>
        <v>2017</v>
      </c>
      <c r="EO7" s="501">
        <f>SUMIFS('Monthly Data'!CB:CB,'Monthly Data'!$B:$B,EN7)</f>
        <v>571359.93877941452</v>
      </c>
      <c r="EP7" s="501">
        <f>'Customer Count'!BV5</f>
        <v>370.625</v>
      </c>
      <c r="EQ7" s="501">
        <f t="shared" si="36"/>
        <v>1541.6119764705957</v>
      </c>
      <c r="ER7" s="501">
        <f t="shared" si="37"/>
        <v>571359.93877941452</v>
      </c>
    </row>
    <row r="8" spans="2:148">
      <c r="B8" s="500">
        <f t="shared" si="47"/>
        <v>2018</v>
      </c>
      <c r="C8" s="501">
        <f>SUMIFS('Monthly Data'!D:D,'Monthly Data'!$B:$B,B8)</f>
        <v>934649898.43460441</v>
      </c>
      <c r="D8" s="501">
        <f>SUMIFS('Monthly Data'!E:E,'Monthly Data'!$B:$B,B8)</f>
        <v>42806369.441916883</v>
      </c>
      <c r="E8" s="501">
        <f>SUMIFS('Monthly Data'!I:I,'Monthly Data'!$B:$B,B8)</f>
        <v>976352700.69590151</v>
      </c>
      <c r="F8" s="501">
        <f ca="1">SUMIFS('VRZ Residential Normalized'!X:X,'VRZ Residential Normalized'!B:B,B8)</f>
        <v>941811093.76626563</v>
      </c>
      <c r="G8" s="501">
        <f t="shared" si="0"/>
        <v>42806369.441916883</v>
      </c>
      <c r="H8" s="501">
        <f t="shared" ca="1" si="1"/>
        <v>899004724.32434869</v>
      </c>
      <c r="I8" s="501"/>
      <c r="J8" s="501">
        <f t="shared" ca="1" si="2"/>
        <v>899004724.32434869</v>
      </c>
      <c r="K8" s="499"/>
      <c r="L8" s="500">
        <f t="shared" si="48"/>
        <v>2018</v>
      </c>
      <c r="M8" s="501">
        <f>SUMIFS('Monthly Data'!J:J,'Monthly Data'!$B:$B,L8)</f>
        <v>10033713.471751574</v>
      </c>
      <c r="N8" s="501">
        <f>SUMIFS('Monthly Data'!K:K,'Monthly Data'!$B:$B,L8)</f>
        <v>490295.74749153882</v>
      </c>
      <c r="O8" s="501">
        <f>SUMIFS('Monthly Data'!L:L,'Monthly Data'!$B:$B,L8)</f>
        <v>10524009.219243117</v>
      </c>
      <c r="P8" s="501">
        <f ca="1">SUMIFS('VRZ Seasonal Normalized'!V:V,'VRZ Seasonal Normalized'!B:B,L8)</f>
        <v>9799431.8497510348</v>
      </c>
      <c r="Q8" s="501">
        <f t="shared" si="3"/>
        <v>490295.74749153882</v>
      </c>
      <c r="R8" s="501">
        <f t="shared" ca="1" si="4"/>
        <v>9309136.1022594962</v>
      </c>
      <c r="S8" s="501"/>
      <c r="T8" s="501">
        <f t="shared" ca="1" si="5"/>
        <v>9309136.1022594962</v>
      </c>
      <c r="U8" s="499"/>
      <c r="V8" s="500">
        <f t="shared" si="49"/>
        <v>2018</v>
      </c>
      <c r="W8" s="501">
        <f>SUMIFS('Monthly Data'!P:P,'Monthly Data'!$B:$B,V8)</f>
        <v>268034830.8908416</v>
      </c>
      <c r="X8" s="501">
        <f>SUMIFS('Monthly Data'!Q:Q,'Monthly Data'!$B:$B,V8)</f>
        <v>12035401.390313063</v>
      </c>
      <c r="Y8" s="501">
        <f>SUMIFS('Monthly Data'!R:R,'Monthly Data'!$B:$B,V8)</f>
        <v>280070232.28115469</v>
      </c>
      <c r="Z8" s="501">
        <f ca="1">SUMIFS('VRZ GS &lt; 50 Normalized'!T:T,'VRZ GS &lt; 50 Normalized'!B:B,V8)</f>
        <v>277746552.76814884</v>
      </c>
      <c r="AA8" s="501">
        <f t="shared" si="6"/>
        <v>12035401.390313063</v>
      </c>
      <c r="AB8" s="501">
        <f t="shared" ca="1" si="7"/>
        <v>265711151.37783578</v>
      </c>
      <c r="AC8" s="501"/>
      <c r="AD8" s="501">
        <f t="shared" ca="1" si="8"/>
        <v>265711151.37783578</v>
      </c>
      <c r="AE8" s="501"/>
      <c r="AF8" s="500">
        <f t="shared" si="50"/>
        <v>2018</v>
      </c>
      <c r="AG8" s="501">
        <f>SUMIFS('Monthly Data'!V:V,'Monthly Data'!$B:$B,AF8)</f>
        <v>927588344.49577141</v>
      </c>
      <c r="AH8" s="501">
        <f>SUMIFS('Monthly Data'!W:W,'Monthly Data'!$B:$B,AF8)</f>
        <v>42215473.979362331</v>
      </c>
      <c r="AI8" s="501">
        <f>SUMIFS('Monthly Data'!X:X,'Monthly Data'!$B:$B,AF8)</f>
        <v>969803818.47513402</v>
      </c>
      <c r="AJ8" s="501">
        <f ca="1">SUMIFS('VRZ GS 50-2,999 Normalized'!V:V,'VRZ GS 50-2,999 Normalized'!B:B,AF8)</f>
        <v>957977223.74634957</v>
      </c>
      <c r="AK8" s="501">
        <f t="shared" si="9"/>
        <v>42215473.979362331</v>
      </c>
      <c r="AL8" s="501">
        <f t="shared" ca="1" si="10"/>
        <v>915761749.7669872</v>
      </c>
      <c r="AM8" s="501"/>
      <c r="AN8" s="501">
        <f t="shared" ca="1" si="11"/>
        <v>915761749.7669872</v>
      </c>
      <c r="AO8" s="501">
        <f t="shared" ca="1" si="38"/>
        <v>957977223.74634957</v>
      </c>
      <c r="AP8" s="501"/>
      <c r="AQ8" s="500">
        <f t="shared" si="51"/>
        <v>2018</v>
      </c>
      <c r="AR8" s="501">
        <f>SUMIFS('Monthly Data'!AB:AB,'Monthly Data'!$B:$B,AQ8)</f>
        <v>80858592.396544397</v>
      </c>
      <c r="AS8" s="501">
        <f>SUMIFS('Monthly Data'!AC:AC,'Monthly Data'!$B:$B,AQ8)</f>
        <v>1987430.9185984104</v>
      </c>
      <c r="AT8" s="501">
        <f>SUMIFS('Monthly Data'!AD:AD,'Monthly Data'!$B:$B,AQ8)</f>
        <v>82846023.315142795</v>
      </c>
      <c r="AU8" s="501">
        <f>SUMIFS('VRZ GS 3,000-4,999 Normalized'!M:M,'VRZ GS 3,000-4,999 Normalized'!B:B,'Normalized Annual Summary'!AQ8)</f>
        <v>90738004.658406839</v>
      </c>
      <c r="AV8" s="501">
        <f t="shared" si="12"/>
        <v>1987430.9185984104</v>
      </c>
      <c r="AW8" s="501">
        <f t="shared" si="13"/>
        <v>88750573.739808425</v>
      </c>
      <c r="AX8" s="501"/>
      <c r="AY8" s="501">
        <f t="shared" si="14"/>
        <v>88750573.739808425</v>
      </c>
      <c r="AZ8" s="501">
        <f t="shared" si="39"/>
        <v>90738004.658406839</v>
      </c>
      <c r="BA8" s="501"/>
      <c r="BB8" s="500">
        <f t="shared" si="52"/>
        <v>2018</v>
      </c>
      <c r="BC8" s="501">
        <f>SUMIFS('Monthly Data'!AG:AG,'Monthly Data'!$B:$B,BB8)</f>
        <v>248469427.75455135</v>
      </c>
      <c r="BD8" s="501">
        <f>SUMIFS('Monthly Data'!AH:AH,'Monthly Data'!$B:$B,BB8)</f>
        <v>16245528.999497306</v>
      </c>
      <c r="BE8" s="501">
        <f>SUMIFS('Monthly Data'!AI:AI,'Monthly Data'!$B:$B,BB8)</f>
        <v>264714956.75404868</v>
      </c>
      <c r="BF8" s="501">
        <f>SUMIFS('VRZ Large Use Normalized'!Q:Q,'VRZ Large Use Normalized'!B:B,'Normalized Annual Summary'!BB8)</f>
        <v>261454125.81003451</v>
      </c>
      <c r="BG8" s="501">
        <f t="shared" si="15"/>
        <v>16245528.999497306</v>
      </c>
      <c r="BH8" s="501">
        <f t="shared" si="16"/>
        <v>245208596.81053722</v>
      </c>
      <c r="BI8" s="501"/>
      <c r="BJ8" s="501">
        <f t="shared" si="17"/>
        <v>245208596.81053722</v>
      </c>
      <c r="BK8" s="501">
        <f t="shared" si="40"/>
        <v>261454125.81003451</v>
      </c>
      <c r="BL8" s="499"/>
      <c r="BM8" s="500">
        <f t="shared" si="53"/>
        <v>2018</v>
      </c>
      <c r="BN8" s="501">
        <f>SUMIFS('Monthly Data'!AL:AL,'Monthly Data'!$B:$B,BM8)</f>
        <v>15418262.659797747</v>
      </c>
      <c r="BO8" s="501">
        <f>'Customer Count'!AG6</f>
        <v>30897.625</v>
      </c>
      <c r="BP8" s="501">
        <f t="shared" si="18"/>
        <v>499.01125603659654</v>
      </c>
      <c r="BQ8" s="501">
        <f t="shared" si="41"/>
        <v>15418262.659797747</v>
      </c>
      <c r="BR8" s="499"/>
      <c r="BS8" s="499"/>
      <c r="BT8" s="500">
        <f t="shared" si="54"/>
        <v>2018</v>
      </c>
      <c r="BU8" s="501">
        <f>SUMIFS('Monthly Data'!AM:AM,'Monthly Data'!$B:$B,BT8)</f>
        <v>236464.57737073075</v>
      </c>
      <c r="BV8" s="501">
        <f>'Customer Count'!AK6</f>
        <v>439</v>
      </c>
      <c r="BW8" s="501">
        <f t="shared" si="19"/>
        <v>538.64368421578763</v>
      </c>
      <c r="BX8" s="501">
        <f t="shared" si="42"/>
        <v>236464.57737073078</v>
      </c>
      <c r="BY8" s="499"/>
      <c r="BZ8" s="499"/>
      <c r="CA8" s="500" t="e">
        <f t="shared" si="55"/>
        <v>#REF!</v>
      </c>
      <c r="CB8" s="501">
        <f>SUMIFS('Monthly Data'!AN:AN,'Monthly Data'!$B:$B,BT8)</f>
        <v>4665788.0175539022</v>
      </c>
      <c r="CC8" s="501">
        <f>'Customer Count'!AO6</f>
        <v>817.75</v>
      </c>
      <c r="CD8" s="502">
        <f t="shared" si="20"/>
        <v>5705.6411098182843</v>
      </c>
      <c r="CE8" s="501">
        <f t="shared" si="21"/>
        <v>4665788.0175539022</v>
      </c>
      <c r="CF8" s="499"/>
      <c r="CG8" s="499"/>
      <c r="CH8" s="499"/>
      <c r="CI8" s="499"/>
      <c r="CJ8" s="500">
        <f t="shared" si="56"/>
        <v>2018</v>
      </c>
      <c r="CK8" s="501">
        <f>SUMIFS('Monthly Data'!BC:BC,'Monthly Data'!$B:$B,CJ8)</f>
        <v>352677775.93598539</v>
      </c>
      <c r="CL8" s="501">
        <f>SUMIFS('Monthly Data'!BD:BD,'Monthly Data'!$B:$B,CJ8)</f>
        <v>21750215.183498174</v>
      </c>
      <c r="CM8" s="501">
        <f>SUMIFS('Monthly Data'!BE:BE,'Monthly Data'!$B:$B,CJ8)</f>
        <v>374427991.11948341</v>
      </c>
      <c r="CN8" s="501">
        <f ca="1">SUMIFS('WRZ Residential Normalized'!X:X,'WRZ Residential Normalized'!B:B,'Normalized Annual Summary'!CJ8)</f>
        <v>362683960.15256393</v>
      </c>
      <c r="CO8" s="501">
        <f t="shared" si="22"/>
        <v>21750215.183498174</v>
      </c>
      <c r="CP8" s="501">
        <f t="shared" ca="1" si="23"/>
        <v>340933744.96906579</v>
      </c>
      <c r="CQ8" s="501"/>
      <c r="CR8" s="501">
        <f t="shared" ca="1" si="24"/>
        <v>340933744.96906579</v>
      </c>
      <c r="CS8" s="499"/>
      <c r="CT8" s="500">
        <f t="shared" si="57"/>
        <v>2018</v>
      </c>
      <c r="CU8" s="501">
        <f>SUMIFS('Monthly Data'!BI:BI,'Monthly Data'!$B:$B,CT8)</f>
        <v>86231210.620193273</v>
      </c>
      <c r="CV8" s="501">
        <f>SUMIFS('Monthly Data'!BJ:BJ,'Monthly Data'!$B:$B,CT8)</f>
        <v>2178865.286832728</v>
      </c>
      <c r="CW8" s="501">
        <f>SUMIFS('Monthly Data'!BK:BK,'Monthly Data'!$B:$B,CT8)</f>
        <v>88410075.907026008</v>
      </c>
      <c r="CX8" s="501">
        <f ca="1">SUMIFS('WRZ GS &lt; 50 Normalized'!V:V,'WRZ GS &lt; 50 Normalized'!B:B,CT8)</f>
        <v>89215345.097347766</v>
      </c>
      <c r="CY8" s="501">
        <f t="shared" si="25"/>
        <v>2178865.286832728</v>
      </c>
      <c r="CZ8" s="501">
        <f t="shared" ca="1" si="26"/>
        <v>87036479.810515031</v>
      </c>
      <c r="DA8" s="501"/>
      <c r="DB8" s="501">
        <f t="shared" ca="1" si="27"/>
        <v>87036479.810515031</v>
      </c>
      <c r="DC8" s="501"/>
      <c r="DD8" s="500">
        <f t="shared" si="58"/>
        <v>2018</v>
      </c>
      <c r="DE8" s="501">
        <f>SUMIFS('Monthly Data'!BO:BO,'Monthly Data'!$B:$B,DD8)</f>
        <v>336878004.7024917</v>
      </c>
      <c r="DF8" s="501">
        <f>SUMIFS('Monthly Data'!BP:BP,'Monthly Data'!$B:$B,DD8)</f>
        <v>12569733.819180507</v>
      </c>
      <c r="DG8" s="501">
        <f>SUMIFS('Monthly Data'!BQ:BQ,'Monthly Data'!$B:$B,DD8)</f>
        <v>349447738.52167225</v>
      </c>
      <c r="DH8" s="501">
        <f ca="1">SUMIFS('WRZ GS 50-2,999 Normalized'!T:T,'WRZ GS 50-2,999 Normalized'!B:B,'Normalized Annual Summary'!DD8)</f>
        <v>353637943.14842063</v>
      </c>
      <c r="DI8" s="501">
        <f t="shared" si="28"/>
        <v>12569733.819180507</v>
      </c>
      <c r="DJ8" s="501">
        <f t="shared" ca="1" si="29"/>
        <v>341068209.32924014</v>
      </c>
      <c r="DK8" s="501"/>
      <c r="DL8" s="501">
        <f t="shared" ca="1" si="30"/>
        <v>341068209.32924014</v>
      </c>
      <c r="DM8" s="501">
        <f t="shared" ca="1" si="43"/>
        <v>353637943.14842063</v>
      </c>
      <c r="DN8" s="501"/>
      <c r="DO8" s="500">
        <f t="shared" si="59"/>
        <v>2018</v>
      </c>
      <c r="DP8" s="501">
        <f>SUMIFS('Monthly Data'!BU:BU,'Monthly Data'!$B:$B,DO8)</f>
        <v>69618715.207328841</v>
      </c>
      <c r="DQ8" s="501">
        <f>SUMIFS('Monthly Data'!BV:BV,'Monthly Data'!$B:$B,DO8)</f>
        <v>2825954.6573094549</v>
      </c>
      <c r="DR8" s="501">
        <f>SUMIFS('Monthly Data'!BW:BW,'Monthly Data'!$B:$B,DO8)</f>
        <v>72444669.864638299</v>
      </c>
      <c r="DS8" s="501">
        <f>SUMIFS('WRZ GS 3,000-4,999 Normalized'!O:O,'WRZ GS 3,000-4,999 Normalized'!B:B,'Normalized Annual Summary'!DO8)</f>
        <v>75614973.24448584</v>
      </c>
      <c r="DT8" s="501">
        <f t="shared" si="31"/>
        <v>2825954.6573094549</v>
      </c>
      <c r="DU8" s="501">
        <f t="shared" si="32"/>
        <v>72789018.587176383</v>
      </c>
      <c r="DV8" s="501"/>
      <c r="DW8" s="501">
        <f t="shared" si="33"/>
        <v>72789018.587176383</v>
      </c>
      <c r="DX8" s="501">
        <f t="shared" si="44"/>
        <v>75614973.24448584</v>
      </c>
      <c r="DY8" s="499"/>
      <c r="DZ8" s="500">
        <f t="shared" si="60"/>
        <v>2018</v>
      </c>
      <c r="EA8" s="501">
        <f>SUMIFS('Monthly Data'!BZ:BZ,'Monthly Data'!$B:$B,DZ8)</f>
        <v>3647423.9429883291</v>
      </c>
      <c r="EB8" s="501">
        <f>'Customer Count'!BN6</f>
        <v>12053.666666666672</v>
      </c>
      <c r="EC8" s="501">
        <f t="shared" si="34"/>
        <v>302.59870658900428</v>
      </c>
      <c r="ED8" s="501">
        <f t="shared" si="45"/>
        <v>3647423.9429883296</v>
      </c>
      <c r="EE8" s="499"/>
      <c r="EF8" s="499"/>
      <c r="EG8" s="500">
        <f t="shared" si="61"/>
        <v>2018</v>
      </c>
      <c r="EH8" s="501">
        <f>SUMIFS('Monthly Data'!CA:CA,'Monthly Data'!$B:$B,EG8)</f>
        <v>28683.645243220333</v>
      </c>
      <c r="EI8" s="501">
        <f>'Customer Count'!BR6</f>
        <v>37.458333333333321</v>
      </c>
      <c r="EJ8" s="501">
        <f t="shared" si="35"/>
        <v>765.74803763880777</v>
      </c>
      <c r="EK8" s="501">
        <f t="shared" si="46"/>
        <v>28683.645243220333</v>
      </c>
      <c r="EL8" s="499"/>
      <c r="EM8" s="499"/>
      <c r="EN8" s="500">
        <f t="shared" si="62"/>
        <v>2018</v>
      </c>
      <c r="EO8" s="501">
        <f>SUMIFS('Monthly Data'!CB:CB,'Monthly Data'!$B:$B,EN8)</f>
        <v>578219.02621006314</v>
      </c>
      <c r="EP8" s="501">
        <f>'Customer Count'!BV6</f>
        <v>376.875</v>
      </c>
      <c r="EQ8" s="502">
        <f t="shared" si="36"/>
        <v>1534.2461723650099</v>
      </c>
      <c r="ER8" s="501">
        <f t="shared" si="37"/>
        <v>578219.02621006314</v>
      </c>
    </row>
    <row r="9" spans="2:148">
      <c r="B9" s="500">
        <f t="shared" si="47"/>
        <v>2019</v>
      </c>
      <c r="C9" s="501">
        <f>SUMIFS('Monthly Data'!D:D,'Monthly Data'!$B:$B,B9)</f>
        <v>911810351.49413323</v>
      </c>
      <c r="D9" s="501">
        <f>SUMIFS('Monthly Data'!E:E,'Monthly Data'!$B:$B,B9)</f>
        <v>45836334.722457305</v>
      </c>
      <c r="E9" s="501">
        <f ca="1">SUMIFS('Monthly Data'!I:I,'Monthly Data'!$B:$B,B9)</f>
        <v>954849499.7856741</v>
      </c>
      <c r="F9" s="501">
        <f ca="1">SUMIFS('VRZ Residential Normalized'!X:X,'VRZ Residential Normalized'!B:B,B9)</f>
        <v>958711686.64893556</v>
      </c>
      <c r="G9" s="501">
        <f t="shared" si="0"/>
        <v>45836334.722457305</v>
      </c>
      <c r="H9" s="501">
        <f t="shared" ca="1" si="1"/>
        <v>912875351.92647827</v>
      </c>
      <c r="I9" s="501"/>
      <c r="J9" s="501">
        <f t="shared" ca="1" si="2"/>
        <v>912875351.92647827</v>
      </c>
      <c r="K9" s="499"/>
      <c r="L9" s="500">
        <f t="shared" si="48"/>
        <v>2019</v>
      </c>
      <c r="M9" s="501">
        <f>SUMIFS('Monthly Data'!J:J,'Monthly Data'!$B:$B,L9)</f>
        <v>10358890.180652544</v>
      </c>
      <c r="N9" s="501">
        <f>SUMIFS('Monthly Data'!K:K,'Monthly Data'!$B:$B,L9)</f>
        <v>525000.374664178</v>
      </c>
      <c r="O9" s="501">
        <f>SUMIFS('Monthly Data'!L:L,'Monthly Data'!$B:$B,L9)</f>
        <v>10883890.555316722</v>
      </c>
      <c r="P9" s="501">
        <f ca="1">SUMIFS('VRZ Seasonal Normalized'!V:V,'VRZ Seasonal Normalized'!B:B,L9)</f>
        <v>10190714.703372158</v>
      </c>
      <c r="Q9" s="501">
        <f t="shared" si="3"/>
        <v>525000.374664178</v>
      </c>
      <c r="R9" s="501">
        <f t="shared" ca="1" si="4"/>
        <v>9665714.32870798</v>
      </c>
      <c r="S9" s="501"/>
      <c r="T9" s="501">
        <f t="shared" ca="1" si="5"/>
        <v>9665714.32870798</v>
      </c>
      <c r="U9" s="499"/>
      <c r="V9" s="500">
        <f t="shared" si="49"/>
        <v>2019</v>
      </c>
      <c r="W9" s="501">
        <f>SUMIFS('Monthly Data'!P:P,'Monthly Data'!$B:$B,V9)</f>
        <v>276005071.40924454</v>
      </c>
      <c r="X9" s="501">
        <f>SUMIFS('Monthly Data'!Q:Q,'Monthly Data'!$B:$B,V9)</f>
        <v>15081361.218734965</v>
      </c>
      <c r="Y9" s="501">
        <f>SUMIFS('Monthly Data'!R:R,'Monthly Data'!$B:$B,V9)</f>
        <v>291086432.62797958</v>
      </c>
      <c r="Z9" s="501">
        <f ca="1">SUMIFS('VRZ GS &lt; 50 Normalized'!T:T,'VRZ GS &lt; 50 Normalized'!B:B,V9)</f>
        <v>278056767.83462274</v>
      </c>
      <c r="AA9" s="501">
        <f t="shared" si="6"/>
        <v>15081361.218734965</v>
      </c>
      <c r="AB9" s="501">
        <f t="shared" ca="1" si="7"/>
        <v>262975406.61588776</v>
      </c>
      <c r="AC9" s="501"/>
      <c r="AD9" s="501">
        <f t="shared" ca="1" si="8"/>
        <v>262975406.61588776</v>
      </c>
      <c r="AE9" s="501"/>
      <c r="AF9" s="500">
        <f t="shared" si="50"/>
        <v>2019</v>
      </c>
      <c r="AG9" s="501">
        <f>SUMIFS('Monthly Data'!V:V,'Monthly Data'!$B:$B,AF9)</f>
        <v>905509752.26774502</v>
      </c>
      <c r="AH9" s="501">
        <f>SUMIFS('Monthly Data'!W:W,'Monthly Data'!$B:$B,AF9)</f>
        <v>53160687.282865867</v>
      </c>
      <c r="AI9" s="501">
        <f>SUMIFS('Monthly Data'!X:X,'Monthly Data'!$B:$B,AF9)</f>
        <v>958670439.55061078</v>
      </c>
      <c r="AJ9" s="501">
        <f ca="1">SUMIFS('VRZ GS 50-2,999 Normalized'!V:V,'VRZ GS 50-2,999 Normalized'!B:B,AF9)</f>
        <v>966201326.89122713</v>
      </c>
      <c r="AK9" s="501">
        <f t="shared" si="9"/>
        <v>53160687.282865867</v>
      </c>
      <c r="AL9" s="501">
        <f t="shared" ca="1" si="10"/>
        <v>913040639.60836124</v>
      </c>
      <c r="AM9" s="501"/>
      <c r="AN9" s="501">
        <f t="shared" ca="1" si="11"/>
        <v>913040639.60836124</v>
      </c>
      <c r="AO9" s="501">
        <f t="shared" ca="1" si="38"/>
        <v>966201326.89122713</v>
      </c>
      <c r="AP9" s="501"/>
      <c r="AQ9" s="500">
        <f t="shared" si="51"/>
        <v>2019</v>
      </c>
      <c r="AR9" s="501">
        <f>SUMIFS('Monthly Data'!AB:AB,'Monthly Data'!$B:$B,AQ9)</f>
        <v>89925973.080334738</v>
      </c>
      <c r="AS9" s="501">
        <f>SUMIFS('Monthly Data'!AC:AC,'Monthly Data'!$B:$B,AQ9)</f>
        <v>2523293.7631115634</v>
      </c>
      <c r="AT9" s="501">
        <f>SUMIFS('Monthly Data'!AD:AD,'Monthly Data'!$B:$B,AQ9)</f>
        <v>92449266.843446299</v>
      </c>
      <c r="AU9" s="501">
        <f>SUMIFS('VRZ GS 3,000-4,999 Normalized'!M:M,'VRZ GS 3,000-4,999 Normalized'!B:B,'Normalized Annual Summary'!AQ9)</f>
        <v>92992894.678955168</v>
      </c>
      <c r="AV9" s="501">
        <f t="shared" si="12"/>
        <v>2523293.7631115634</v>
      </c>
      <c r="AW9" s="501">
        <f t="shared" si="13"/>
        <v>90469600.915843606</v>
      </c>
      <c r="AX9" s="501"/>
      <c r="AY9" s="501">
        <f t="shared" si="14"/>
        <v>90469600.915843606</v>
      </c>
      <c r="AZ9" s="501">
        <f t="shared" si="39"/>
        <v>92992894.678955168</v>
      </c>
      <c r="BA9" s="501"/>
      <c r="BB9" s="500">
        <f t="shared" si="52"/>
        <v>2019</v>
      </c>
      <c r="BC9" s="501">
        <f>SUMIFS('Monthly Data'!AG:AG,'Monthly Data'!$B:$B,BB9)</f>
        <v>257775123.13030541</v>
      </c>
      <c r="BD9" s="501">
        <f>SUMIFS('Monthly Data'!AH:AH,'Monthly Data'!$B:$B,BB9)</f>
        <v>18748905.302183963</v>
      </c>
      <c r="BE9" s="501">
        <f>SUMIFS('Monthly Data'!AI:AI,'Monthly Data'!$B:$B,BB9)</f>
        <v>276524028.4324894</v>
      </c>
      <c r="BF9" s="501">
        <f>SUMIFS('VRZ Large Use Normalized'!Q:Q,'VRZ Large Use Normalized'!B:B,'Normalized Annual Summary'!BB9)</f>
        <v>275085550.70624685</v>
      </c>
      <c r="BG9" s="501">
        <f t="shared" si="15"/>
        <v>18748905.302183963</v>
      </c>
      <c r="BH9" s="501">
        <f t="shared" si="16"/>
        <v>256336645.4040629</v>
      </c>
      <c r="BI9" s="501"/>
      <c r="BJ9" s="501">
        <f t="shared" si="17"/>
        <v>256336645.4040629</v>
      </c>
      <c r="BK9" s="501">
        <f t="shared" si="40"/>
        <v>275085550.70624685</v>
      </c>
      <c r="BL9" s="499"/>
      <c r="BM9" s="500">
        <f t="shared" si="53"/>
        <v>2019</v>
      </c>
      <c r="BN9" s="501">
        <f>SUMIFS('Monthly Data'!AL:AL,'Monthly Data'!$B:$B,BM9)</f>
        <v>13154878.992558671</v>
      </c>
      <c r="BO9" s="501">
        <f>'Customer Count'!AG7</f>
        <v>31143.041666666657</v>
      </c>
      <c r="BP9" s="501">
        <f t="shared" si="18"/>
        <v>422.40186855732651</v>
      </c>
      <c r="BQ9" s="501">
        <f t="shared" si="41"/>
        <v>13154878.992558671</v>
      </c>
      <c r="BR9" s="499"/>
      <c r="BS9" s="499"/>
      <c r="BT9" s="500">
        <f t="shared" si="54"/>
        <v>2019</v>
      </c>
      <c r="BU9" s="501">
        <f>SUMIFS('Monthly Data'!AM:AM,'Monthly Data'!$B:$B,BT9)</f>
        <v>219210.48464033578</v>
      </c>
      <c r="BV9" s="501">
        <f>'Customer Count'!AK7</f>
        <v>342.04166666666652</v>
      </c>
      <c r="BW9" s="501">
        <f t="shared" si="19"/>
        <v>640.88824843075417</v>
      </c>
      <c r="BX9" s="501">
        <f t="shared" si="42"/>
        <v>219210.48464033578</v>
      </c>
      <c r="BY9" s="499"/>
      <c r="BZ9" s="499"/>
      <c r="CA9" s="500" t="e">
        <f t="shared" si="55"/>
        <v>#REF!</v>
      </c>
      <c r="CB9" s="501">
        <f>SUMIFS('Monthly Data'!AN:AN,'Monthly Data'!$B:$B,BT9)</f>
        <v>4623203.0910131652</v>
      </c>
      <c r="CC9" s="501">
        <f>'Customer Count'!AO7</f>
        <v>809.04166666666697</v>
      </c>
      <c r="CD9" s="501">
        <f t="shared" si="20"/>
        <v>5714.4190237583525</v>
      </c>
      <c r="CE9" s="501">
        <f t="shared" si="21"/>
        <v>4623203.0910131652</v>
      </c>
      <c r="CF9" s="499"/>
      <c r="CG9" s="499"/>
      <c r="CH9" s="499"/>
      <c r="CI9" s="499"/>
      <c r="CJ9" s="500">
        <f t="shared" si="56"/>
        <v>2019</v>
      </c>
      <c r="CK9" s="501">
        <f>SUMIFS('Monthly Data'!BC:BC,'Monthly Data'!$B:$B,CJ9)</f>
        <v>337849639.8890568</v>
      </c>
      <c r="CL9" s="501">
        <f>SUMIFS('Monthly Data'!BD:BD,'Monthly Data'!$B:$B,CJ9)</f>
        <v>23029344.909228727</v>
      </c>
      <c r="CM9" s="501">
        <f>SUMIFS('Monthly Data'!BE:BE,'Monthly Data'!$B:$B,CJ9)</f>
        <v>360878984.79828548</v>
      </c>
      <c r="CN9" s="501">
        <f ca="1">SUMIFS('WRZ Residential Normalized'!X:X,'WRZ Residential Normalized'!B:B,'Normalized Annual Summary'!CJ9)</f>
        <v>370067560.61188686</v>
      </c>
      <c r="CO9" s="501">
        <f t="shared" si="22"/>
        <v>23029344.909228727</v>
      </c>
      <c r="CP9" s="501">
        <f t="shared" ca="1" si="23"/>
        <v>347038215.70265812</v>
      </c>
      <c r="CQ9" s="501"/>
      <c r="CR9" s="501">
        <f t="shared" ca="1" si="24"/>
        <v>347038215.70265812</v>
      </c>
      <c r="CS9" s="499"/>
      <c r="CT9" s="500">
        <f t="shared" si="57"/>
        <v>2019</v>
      </c>
      <c r="CU9" s="501">
        <f>SUMIFS('Monthly Data'!BI:BI,'Monthly Data'!$B:$B,CT9)</f>
        <v>85349702.348775536</v>
      </c>
      <c r="CV9" s="501">
        <f>SUMIFS('Monthly Data'!BJ:BJ,'Monthly Data'!$B:$B,CT9)</f>
        <v>2473207.88925929</v>
      </c>
      <c r="CW9" s="501">
        <f>SUMIFS('Monthly Data'!BK:BK,'Monthly Data'!$B:$B,CT9)</f>
        <v>87822910.238034844</v>
      </c>
      <c r="CX9" s="501">
        <f ca="1">SUMIFS('WRZ GS &lt; 50 Normalized'!V:V,'WRZ GS &lt; 50 Normalized'!B:B,CT9)</f>
        <v>89294828.464159399</v>
      </c>
      <c r="CY9" s="501">
        <f t="shared" si="25"/>
        <v>2473207.88925929</v>
      </c>
      <c r="CZ9" s="501">
        <f t="shared" ca="1" si="26"/>
        <v>86821620.574900106</v>
      </c>
      <c r="DA9" s="501"/>
      <c r="DB9" s="501">
        <f t="shared" ca="1" si="27"/>
        <v>86821620.574900106</v>
      </c>
      <c r="DC9" s="501"/>
      <c r="DD9" s="500">
        <f t="shared" si="58"/>
        <v>2019</v>
      </c>
      <c r="DE9" s="501">
        <f>SUMIFS('Monthly Data'!BO:BO,'Monthly Data'!$B:$B,DD9)</f>
        <v>326553718.48934257</v>
      </c>
      <c r="DF9" s="501">
        <f>SUMIFS('Monthly Data'!BP:BP,'Monthly Data'!$B:$B,DD9)</f>
        <v>18209134.962835405</v>
      </c>
      <c r="DG9" s="501">
        <f>SUMIFS('Monthly Data'!BQ:BQ,'Monthly Data'!$B:$B,DD9)</f>
        <v>344762853.45217794</v>
      </c>
      <c r="DH9" s="501">
        <f ca="1">SUMIFS('WRZ GS 50-2,999 Normalized'!T:T,'WRZ GS 50-2,999 Normalized'!B:B,'Normalized Annual Summary'!DD9)</f>
        <v>353686837.88080215</v>
      </c>
      <c r="DI9" s="501">
        <f t="shared" si="28"/>
        <v>18209134.962835405</v>
      </c>
      <c r="DJ9" s="501">
        <f t="shared" ca="1" si="29"/>
        <v>335477702.91796672</v>
      </c>
      <c r="DK9" s="501"/>
      <c r="DL9" s="501">
        <f t="shared" ca="1" si="30"/>
        <v>335477702.91796672</v>
      </c>
      <c r="DM9" s="501">
        <f t="shared" ca="1" si="43"/>
        <v>353686837.88080215</v>
      </c>
      <c r="DN9" s="501"/>
      <c r="DO9" s="500">
        <f t="shared" si="59"/>
        <v>2019</v>
      </c>
      <c r="DP9" s="501">
        <f>SUMIFS('Monthly Data'!BU:BU,'Monthly Data'!$B:$B,DO9)</f>
        <v>76973824.001928642</v>
      </c>
      <c r="DQ9" s="501">
        <f>SUMIFS('Monthly Data'!BV:BV,'Monthly Data'!$B:$B,DO9)</f>
        <v>4093816.9808560032</v>
      </c>
      <c r="DR9" s="501">
        <f>SUMIFS('Monthly Data'!BW:BW,'Monthly Data'!$B:$B,DO9)</f>
        <v>81067640.982784644</v>
      </c>
      <c r="DS9" s="501">
        <f>SUMIFS('WRZ GS 3,000-4,999 Normalized'!O:O,'WRZ GS 3,000-4,999 Normalized'!B:B,'Normalized Annual Summary'!DO9)</f>
        <v>88290984.609048173</v>
      </c>
      <c r="DT9" s="501">
        <f t="shared" si="31"/>
        <v>4093816.9808560032</v>
      </c>
      <c r="DU9" s="501">
        <f t="shared" si="32"/>
        <v>84197167.628192171</v>
      </c>
      <c r="DV9" s="501"/>
      <c r="DW9" s="501">
        <f t="shared" si="33"/>
        <v>84197167.628192171</v>
      </c>
      <c r="DX9" s="501">
        <f t="shared" si="44"/>
        <v>88290984.609048173</v>
      </c>
      <c r="DY9" s="499"/>
      <c r="DZ9" s="500">
        <f t="shared" si="60"/>
        <v>2019</v>
      </c>
      <c r="EA9" s="501">
        <f>SUMIFS('Monthly Data'!BZ:BZ,'Monthly Data'!$B:$B,DZ9)</f>
        <v>3343338.8655060264</v>
      </c>
      <c r="EB9" s="501">
        <f>'Customer Count'!BN7</f>
        <v>12408.416666666672</v>
      </c>
      <c r="EC9" s="501">
        <f t="shared" si="34"/>
        <v>269.44121521059162</v>
      </c>
      <c r="ED9" s="501">
        <f t="shared" si="45"/>
        <v>3343338.8655060264</v>
      </c>
      <c r="EE9" s="499"/>
      <c r="EF9" s="499"/>
      <c r="EG9" s="500">
        <f t="shared" si="61"/>
        <v>2019</v>
      </c>
      <c r="EH9" s="501">
        <f>SUMIFS('Monthly Data'!CA:CA,'Monthly Data'!$B:$B,EG9)</f>
        <v>28353.948171459182</v>
      </c>
      <c r="EI9" s="501">
        <f>'Customer Count'!BR7</f>
        <v>37</v>
      </c>
      <c r="EJ9" s="501">
        <f t="shared" si="35"/>
        <v>766.3229235529509</v>
      </c>
      <c r="EK9" s="501">
        <f t="shared" si="46"/>
        <v>28353.948171459182</v>
      </c>
      <c r="EL9" s="499"/>
      <c r="EM9" s="499"/>
      <c r="EN9" s="500">
        <f t="shared" si="62"/>
        <v>2019</v>
      </c>
      <c r="EO9" s="501">
        <f>SUMIFS('Monthly Data'!CB:CB,'Monthly Data'!$B:$B,EN9)</f>
        <v>571919.91582169512</v>
      </c>
      <c r="EP9" s="501">
        <f>'Customer Count'!BV7</f>
        <v>384.25</v>
      </c>
      <c r="EQ9" s="501">
        <f t="shared" si="36"/>
        <v>1488.4057666146912</v>
      </c>
      <c r="ER9" s="501">
        <f t="shared" si="37"/>
        <v>571919.91582169512</v>
      </c>
    </row>
    <row r="10" spans="2:148">
      <c r="B10" s="500">
        <f t="shared" si="47"/>
        <v>2020</v>
      </c>
      <c r="C10" s="501">
        <f>SUMIFS('Monthly Data'!D:D,'Monthly Data'!$B:$B,B10)</f>
        <v>986594181.70185447</v>
      </c>
      <c r="D10" s="501">
        <f>SUMIFS('Monthly Data'!E:E,'Monthly Data'!$B:$B,B10)</f>
        <v>45977943.062860571</v>
      </c>
      <c r="E10" s="501">
        <f ca="1">SUMIFS('Monthly Data'!I:I,'Monthly Data'!$B:$B,B10)</f>
        <v>1026995070.1147552</v>
      </c>
      <c r="F10" s="501">
        <f ca="1">SUMIFS('VRZ Residential Normalized'!X:X,'VRZ Residential Normalized'!B:B,B10)</f>
        <v>1005302277.5530121</v>
      </c>
      <c r="G10" s="501">
        <f t="shared" si="0"/>
        <v>45977943.062860571</v>
      </c>
      <c r="H10" s="501">
        <f t="shared" ca="1" si="1"/>
        <v>959324334.49015152</v>
      </c>
      <c r="I10" s="501"/>
      <c r="J10" s="501">
        <f t="shared" ca="1" si="2"/>
        <v>959324334.49015152</v>
      </c>
      <c r="K10" s="499"/>
      <c r="L10" s="500">
        <f t="shared" si="48"/>
        <v>2020</v>
      </c>
      <c r="M10" s="501">
        <f>SUMIFS('Monthly Data'!J:J,'Monthly Data'!$B:$B,L10)</f>
        <v>11810325.210704066</v>
      </c>
      <c r="N10" s="501">
        <f>SUMIFS('Monthly Data'!K:K,'Monthly Data'!$B:$B,L10)</f>
        <v>526622.32878021791</v>
      </c>
      <c r="O10" s="501">
        <f>SUMIFS('Monthly Data'!L:L,'Monthly Data'!$B:$B,L10)</f>
        <v>12336947.539484285</v>
      </c>
      <c r="P10" s="501">
        <f ca="1">SUMIFS('VRZ Seasonal Normalized'!V:V,'VRZ Seasonal Normalized'!B:B,L10)</f>
        <v>11453557.358991215</v>
      </c>
      <c r="Q10" s="501">
        <f t="shared" si="3"/>
        <v>526622.32878021791</v>
      </c>
      <c r="R10" s="501">
        <f t="shared" ca="1" si="4"/>
        <v>10926935.030210998</v>
      </c>
      <c r="S10" s="501"/>
      <c r="T10" s="501">
        <f t="shared" ca="1" si="5"/>
        <v>10926935.030210998</v>
      </c>
      <c r="U10" s="499"/>
      <c r="V10" s="500">
        <f t="shared" si="49"/>
        <v>2020</v>
      </c>
      <c r="W10" s="501">
        <f>SUMIFS('Monthly Data'!P:P,'Monthly Data'!$B:$B,V10)</f>
        <v>254394430.02200004</v>
      </c>
      <c r="X10" s="501">
        <f>SUMIFS('Monthly Data'!Q:Q,'Monthly Data'!$B:$B,V10)</f>
        <v>16208808.983902762</v>
      </c>
      <c r="Y10" s="501">
        <f>SUMIFS('Monthly Data'!R:R,'Monthly Data'!$B:$B,V10)</f>
        <v>270603239.00590277</v>
      </c>
      <c r="Z10" s="501">
        <f ca="1">SUMIFS('VRZ GS &lt; 50 Normalized'!T:T,'VRZ GS &lt; 50 Normalized'!B:B,V10)</f>
        <v>263396205.10963377</v>
      </c>
      <c r="AA10" s="501">
        <f t="shared" si="6"/>
        <v>16208808.983902762</v>
      </c>
      <c r="AB10" s="501">
        <f t="shared" ca="1" si="7"/>
        <v>247187396.12573102</v>
      </c>
      <c r="AC10" s="501"/>
      <c r="AD10" s="501">
        <f t="shared" ca="1" si="8"/>
        <v>247187396.12573102</v>
      </c>
      <c r="AE10" s="501"/>
      <c r="AF10" s="500">
        <f t="shared" si="50"/>
        <v>2020</v>
      </c>
      <c r="AG10" s="501">
        <f>SUMIFS('Monthly Data'!V:V,'Monthly Data'!$B:$B,AF10)</f>
        <v>857792305.03628862</v>
      </c>
      <c r="AH10" s="501">
        <f>SUMIFS('Monthly Data'!W:W,'Monthly Data'!$B:$B,AF10)</f>
        <v>58143132.380277865</v>
      </c>
      <c r="AI10" s="501">
        <f>SUMIFS('Monthly Data'!X:X,'Monthly Data'!$B:$B,AF10)</f>
        <v>915935437.41656649</v>
      </c>
      <c r="AJ10" s="501">
        <f ca="1">SUMIFS('VRZ GS 50-2,999 Normalized'!V:V,'VRZ GS 50-2,999 Normalized'!B:B,AF10)</f>
        <v>914682218.76843131</v>
      </c>
      <c r="AK10" s="501">
        <f t="shared" si="9"/>
        <v>58143132.380277865</v>
      </c>
      <c r="AL10" s="501">
        <f t="shared" ca="1" si="10"/>
        <v>856539086.38815343</v>
      </c>
      <c r="AM10" s="501"/>
      <c r="AN10" s="501">
        <f t="shared" ca="1" si="11"/>
        <v>856539086.38815343</v>
      </c>
      <c r="AO10" s="501">
        <f t="shared" ca="1" si="38"/>
        <v>914682218.76843131</v>
      </c>
      <c r="AP10" s="501"/>
      <c r="AQ10" s="500">
        <f t="shared" si="51"/>
        <v>2020</v>
      </c>
      <c r="AR10" s="501">
        <f>SUMIFS('Monthly Data'!AB:AB,'Monthly Data'!$B:$B,AQ10)</f>
        <v>86212022.147016823</v>
      </c>
      <c r="AS10" s="501">
        <f>SUMIFS('Monthly Data'!AC:AC,'Monthly Data'!$B:$B,AQ10)</f>
        <v>2728507.3357045613</v>
      </c>
      <c r="AT10" s="501">
        <f>SUMIFS('Monthly Data'!AD:AD,'Monthly Data'!$B:$B,AQ10)</f>
        <v>88940529.482721388</v>
      </c>
      <c r="AU10" s="501">
        <f>SUMIFS('VRZ GS 3,000-4,999 Normalized'!M:M,'VRZ GS 3,000-4,999 Normalized'!B:B,'Normalized Annual Summary'!AQ10)</f>
        <v>88681787.069527477</v>
      </c>
      <c r="AV10" s="501">
        <f t="shared" si="12"/>
        <v>2728507.3357045613</v>
      </c>
      <c r="AW10" s="501">
        <f t="shared" si="13"/>
        <v>85953279.733822912</v>
      </c>
      <c r="AX10" s="501"/>
      <c r="AY10" s="501">
        <f t="shared" si="14"/>
        <v>85953279.733822912</v>
      </c>
      <c r="AZ10" s="501">
        <f t="shared" si="39"/>
        <v>88681787.069527477</v>
      </c>
      <c r="BA10" s="501"/>
      <c r="BB10" s="500">
        <f t="shared" si="52"/>
        <v>2020</v>
      </c>
      <c r="BC10" s="501">
        <f>SUMIFS('Monthly Data'!AG:AG,'Monthly Data'!$B:$B,BB10)</f>
        <v>262392771.64005709</v>
      </c>
      <c r="BD10" s="501">
        <f>SUMIFS('Monthly Data'!AH:AH,'Monthly Data'!$B:$B,BB10)</f>
        <v>19533897.241536319</v>
      </c>
      <c r="BE10" s="501">
        <f>SUMIFS('Monthly Data'!AI:AI,'Monthly Data'!$B:$B,BB10)</f>
        <v>281926668.88159341</v>
      </c>
      <c r="BF10" s="501">
        <f>SUMIFS('VRZ Large Use Normalized'!Q:Q,'VRZ Large Use Normalized'!B:B,'Normalized Annual Summary'!BB10)</f>
        <v>270334099.0934751</v>
      </c>
      <c r="BG10" s="501">
        <f t="shared" si="15"/>
        <v>19533897.241536319</v>
      </c>
      <c r="BH10" s="501">
        <f t="shared" si="16"/>
        <v>250800201.85193878</v>
      </c>
      <c r="BI10" s="501"/>
      <c r="BJ10" s="501">
        <f t="shared" si="17"/>
        <v>250800201.85193878</v>
      </c>
      <c r="BK10" s="501">
        <f t="shared" si="40"/>
        <v>270334099.0934751</v>
      </c>
      <c r="BL10" s="499"/>
      <c r="BM10" s="500">
        <f t="shared" si="53"/>
        <v>2020</v>
      </c>
      <c r="BN10" s="501">
        <f>SUMIFS('Monthly Data'!AL:AL,'Monthly Data'!$B:$B,BM10)</f>
        <v>11375771.341347072</v>
      </c>
      <c r="BO10" s="501">
        <f>'Customer Count'!AG8</f>
        <v>31414.916666666657</v>
      </c>
      <c r="BP10" s="501">
        <f t="shared" si="18"/>
        <v>362.11368828546131</v>
      </c>
      <c r="BQ10" s="501">
        <f t="shared" si="41"/>
        <v>11375771.341347072</v>
      </c>
      <c r="BR10" s="499"/>
      <c r="BS10" s="499"/>
      <c r="BT10" s="500">
        <f t="shared" si="54"/>
        <v>2020</v>
      </c>
      <c r="BU10" s="501">
        <f>SUMIFS('Monthly Data'!AM:AM,'Monthly Data'!$B:$B,BT10)</f>
        <v>219089.71570311007</v>
      </c>
      <c r="BV10" s="501">
        <f>'Customer Count'!AK8</f>
        <v>255.125</v>
      </c>
      <c r="BW10" s="501">
        <f t="shared" si="19"/>
        <v>858.75439766040199</v>
      </c>
      <c r="BX10" s="501">
        <f t="shared" si="42"/>
        <v>219089.71570311007</v>
      </c>
      <c r="BY10" s="499"/>
      <c r="BZ10" s="499"/>
      <c r="CA10" s="500" t="e">
        <f t="shared" si="55"/>
        <v>#REF!</v>
      </c>
      <c r="CB10" s="501">
        <f>SUMIFS('Monthly Data'!AN:AN,'Monthly Data'!$B:$B,BT10)</f>
        <v>4593300.2480442664</v>
      </c>
      <c r="CC10" s="501">
        <f>'Customer Count'!AO8</f>
        <v>801.83333333333303</v>
      </c>
      <c r="CD10" s="501">
        <f t="shared" si="20"/>
        <v>5728.4975032769917</v>
      </c>
      <c r="CE10" s="501">
        <f t="shared" si="21"/>
        <v>4593300.2480442664</v>
      </c>
      <c r="CF10" s="499"/>
      <c r="CG10" s="499"/>
      <c r="CH10" s="499"/>
      <c r="CI10" s="499"/>
      <c r="CJ10" s="500">
        <f t="shared" si="56"/>
        <v>2020</v>
      </c>
      <c r="CK10" s="501">
        <f>SUMIFS('Monthly Data'!BC:BC,'Monthly Data'!$B:$B,CJ10)</f>
        <v>376808883.61974311</v>
      </c>
      <c r="CL10" s="501">
        <f>SUMIFS('Monthly Data'!BD:BD,'Monthly Data'!$B:$B,CJ10)</f>
        <v>23039289.717194855</v>
      </c>
      <c r="CM10" s="501">
        <f>SUMIFS('Monthly Data'!BE:BE,'Monthly Data'!$B:$B,CJ10)</f>
        <v>399848173.33693796</v>
      </c>
      <c r="CN10" s="501">
        <f ca="1">SUMIFS('WRZ Residential Normalized'!X:X,'WRZ Residential Normalized'!B:B,'Normalized Annual Summary'!CJ10)</f>
        <v>392619632.21635342</v>
      </c>
      <c r="CO10" s="501">
        <f t="shared" si="22"/>
        <v>23039289.717194855</v>
      </c>
      <c r="CP10" s="501">
        <f t="shared" ca="1" si="23"/>
        <v>369580342.49915856</v>
      </c>
      <c r="CQ10" s="501"/>
      <c r="CR10" s="501">
        <f t="shared" ca="1" si="24"/>
        <v>369580342.49915856</v>
      </c>
      <c r="CS10" s="499"/>
      <c r="CT10" s="500">
        <f t="shared" si="57"/>
        <v>2020</v>
      </c>
      <c r="CU10" s="501">
        <f>SUMIFS('Monthly Data'!BI:BI,'Monthly Data'!$B:$B,CT10)</f>
        <v>78127840.869743645</v>
      </c>
      <c r="CV10" s="501">
        <f>SUMIFS('Monthly Data'!BJ:BJ,'Monthly Data'!$B:$B,CT10)</f>
        <v>2609960.8076858083</v>
      </c>
      <c r="CW10" s="501">
        <f>SUMIFS('Monthly Data'!BK:BK,'Monthly Data'!$B:$B,CT10)</f>
        <v>80737801.677429453</v>
      </c>
      <c r="CX10" s="501">
        <f ca="1">SUMIFS('WRZ GS &lt; 50 Normalized'!V:V,'WRZ GS &lt; 50 Normalized'!B:B,CT10)</f>
        <v>83606115.438405529</v>
      </c>
      <c r="CY10" s="501">
        <f t="shared" si="25"/>
        <v>2609960.8076858083</v>
      </c>
      <c r="CZ10" s="501">
        <f t="shared" ca="1" si="26"/>
        <v>80996154.630719721</v>
      </c>
      <c r="DA10" s="501"/>
      <c r="DB10" s="501">
        <f t="shared" ca="1" si="27"/>
        <v>80996154.630719721</v>
      </c>
      <c r="DC10" s="501"/>
      <c r="DD10" s="500">
        <f t="shared" si="58"/>
        <v>2020</v>
      </c>
      <c r="DE10" s="501">
        <f>SUMIFS('Monthly Data'!BO:BO,'Monthly Data'!$B:$B,DD10)</f>
        <v>310262827.01891321</v>
      </c>
      <c r="DF10" s="501">
        <f>SUMIFS('Monthly Data'!BP:BP,'Monthly Data'!$B:$B,DD10)</f>
        <v>22144913.05671316</v>
      </c>
      <c r="DG10" s="501">
        <f>SUMIFS('Monthly Data'!BQ:BQ,'Monthly Data'!$B:$B,DD10)</f>
        <v>332407740.07562643</v>
      </c>
      <c r="DH10" s="501">
        <f ca="1">SUMIFS('WRZ GS 50-2,999 Normalized'!T:T,'WRZ GS 50-2,999 Normalized'!B:B,'Normalized Annual Summary'!DD10)</f>
        <v>333174179.27712578</v>
      </c>
      <c r="DI10" s="501">
        <f t="shared" si="28"/>
        <v>22144913.05671316</v>
      </c>
      <c r="DJ10" s="501">
        <f t="shared" ca="1" si="29"/>
        <v>311029266.22041261</v>
      </c>
      <c r="DK10" s="501"/>
      <c r="DL10" s="501">
        <f t="shared" ca="1" si="30"/>
        <v>311029266.22041261</v>
      </c>
      <c r="DM10" s="501">
        <f t="shared" ca="1" si="43"/>
        <v>333174179.27712578</v>
      </c>
      <c r="DN10" s="501"/>
      <c r="DO10" s="500">
        <f t="shared" si="59"/>
        <v>2020</v>
      </c>
      <c r="DP10" s="501">
        <f>SUMIFS('Monthly Data'!BU:BU,'Monthly Data'!$B:$B,DO10)</f>
        <v>82322250.183220834</v>
      </c>
      <c r="DQ10" s="501">
        <f>SUMIFS('Monthly Data'!BV:BV,'Monthly Data'!$B:$B,DO10)</f>
        <v>4978667.0973762516</v>
      </c>
      <c r="DR10" s="501">
        <f>SUMIFS('Monthly Data'!BW:BW,'Monthly Data'!$B:$B,DO10)</f>
        <v>87300917.280597076</v>
      </c>
      <c r="DS10" s="501">
        <f>SUMIFS('WRZ GS 3,000-4,999 Normalized'!O:O,'WRZ GS 3,000-4,999 Normalized'!B:B,'Normalized Annual Summary'!DO10)</f>
        <v>88478023.061325133</v>
      </c>
      <c r="DT10" s="501">
        <f t="shared" si="31"/>
        <v>4978667.0973762516</v>
      </c>
      <c r="DU10" s="501">
        <f t="shared" si="32"/>
        <v>83499355.963948876</v>
      </c>
      <c r="DV10" s="501"/>
      <c r="DW10" s="501">
        <f t="shared" si="33"/>
        <v>83499355.963948876</v>
      </c>
      <c r="DX10" s="501">
        <f t="shared" si="44"/>
        <v>88478023.061325133</v>
      </c>
      <c r="DY10" s="499"/>
      <c r="DZ10" s="500">
        <f t="shared" si="60"/>
        <v>2020</v>
      </c>
      <c r="EA10" s="501">
        <f>SUMIFS('Monthly Data'!BZ:BZ,'Monthly Data'!$B:$B,DZ10)</f>
        <v>3228914.1476946622</v>
      </c>
      <c r="EB10" s="501">
        <f>'Customer Count'!BN8</f>
        <v>12707.791666666672</v>
      </c>
      <c r="EC10" s="501">
        <f t="shared" si="34"/>
        <v>254.0893203470045</v>
      </c>
      <c r="ED10" s="501">
        <f t="shared" si="45"/>
        <v>3228914.1476946622</v>
      </c>
      <c r="EE10" s="499"/>
      <c r="EF10" s="499"/>
      <c r="EG10" s="500">
        <f t="shared" si="61"/>
        <v>2020</v>
      </c>
      <c r="EH10" s="501">
        <f>SUMIFS('Monthly Data'!CA:CA,'Monthly Data'!$B:$B,EG10)</f>
        <v>23738.189166803026</v>
      </c>
      <c r="EI10" s="501">
        <f>'Customer Count'!BR8</f>
        <v>37</v>
      </c>
      <c r="EJ10" s="501">
        <f t="shared" si="35"/>
        <v>641.5726801838656</v>
      </c>
      <c r="EK10" s="501">
        <f t="shared" si="46"/>
        <v>23738.189166803026</v>
      </c>
      <c r="EL10" s="499"/>
      <c r="EM10" s="499"/>
      <c r="EN10" s="500">
        <f t="shared" si="62"/>
        <v>2020</v>
      </c>
      <c r="EO10" s="501">
        <f>SUMIFS('Monthly Data'!CB:CB,'Monthly Data'!$B:$B,EN10)</f>
        <v>1772122.9864166826</v>
      </c>
      <c r="EP10" s="501">
        <f>'Customer Count'!BV8</f>
        <v>389.16666666666652</v>
      </c>
      <c r="EQ10" s="501">
        <f t="shared" si="36"/>
        <v>4553.6350828694221</v>
      </c>
      <c r="ER10" s="501">
        <f t="shared" si="37"/>
        <v>1772122.9864166828</v>
      </c>
    </row>
    <row r="11" spans="2:148">
      <c r="B11" s="500">
        <f t="shared" si="47"/>
        <v>2021</v>
      </c>
      <c r="C11" s="501">
        <f>SUMIFS('Monthly Data'!D:D,'Monthly Data'!$B:$B,B11)</f>
        <v>979049816.42103958</v>
      </c>
      <c r="D11" s="501">
        <f ca="1">SUMIFS('Monthly Data'!E:E,'Monthly Data'!$B:$B,B11)</f>
        <v>46124535.321949117</v>
      </c>
      <c r="E11" s="501">
        <f ca="1">SUMIFS('Monthly Data'!I:I,'Monthly Data'!$B:$B,B11)</f>
        <v>1016190676.3380977</v>
      </c>
      <c r="F11" s="501">
        <f ca="1">SUMIFS('VRZ Residential Normalized'!X:X,'VRZ Residential Normalized'!B:B,B11)</f>
        <v>1023218223.1371634</v>
      </c>
      <c r="G11" s="501">
        <f t="shared" ca="1" si="0"/>
        <v>46124535.321949117</v>
      </c>
      <c r="H11" s="501">
        <f t="shared" ca="1" si="1"/>
        <v>977093687.81521428</v>
      </c>
      <c r="I11" s="501"/>
      <c r="J11" s="501">
        <f t="shared" ca="1" si="2"/>
        <v>977093687.81521428</v>
      </c>
      <c r="K11" s="499"/>
      <c r="L11" s="500">
        <f t="shared" si="48"/>
        <v>2021</v>
      </c>
      <c r="M11" s="501">
        <f>SUMIFS('Monthly Data'!J:J,'Monthly Data'!$B:$B,L11)</f>
        <v>12014859.141223051</v>
      </c>
      <c r="N11" s="501">
        <f ca="1">SUMIFS('Monthly Data'!K:K,'Monthly Data'!$B:$B,L11)</f>
        <v>528301.3677219305</v>
      </c>
      <c r="O11" s="501">
        <f ca="1">SUMIFS('Monthly Data'!L:L,'Monthly Data'!$B:$B,L11)</f>
        <v>12543160.508944979</v>
      </c>
      <c r="P11" s="501">
        <f ca="1">SUMIFS('VRZ Seasonal Normalized'!V:V,'VRZ Seasonal Normalized'!B:B,L11)</f>
        <v>11952607.019384075</v>
      </c>
      <c r="Q11" s="501">
        <f t="shared" ca="1" si="3"/>
        <v>528301.3677219305</v>
      </c>
      <c r="R11" s="501">
        <f t="shared" ca="1" si="4"/>
        <v>11424305.651662145</v>
      </c>
      <c r="S11" s="501"/>
      <c r="T11" s="501">
        <f t="shared" ca="1" si="5"/>
        <v>11424305.651662145</v>
      </c>
      <c r="U11" s="499"/>
      <c r="V11" s="500">
        <f t="shared" si="49"/>
        <v>2021</v>
      </c>
      <c r="W11" s="501">
        <f>SUMIFS('Monthly Data'!P:P,'Monthly Data'!$B:$B,V11)</f>
        <v>253491506.57862046</v>
      </c>
      <c r="X11" s="501">
        <f ca="1">SUMIFS('Monthly Data'!Q:Q,'Monthly Data'!$B:$B,V11)</f>
        <v>16893318.332978338</v>
      </c>
      <c r="Y11" s="501">
        <f ca="1">SUMIFS('Monthly Data'!R:R,'Monthly Data'!$B:$B,V11)</f>
        <v>270384824.9115988</v>
      </c>
      <c r="Z11" s="501">
        <f ca="1">SUMIFS('VRZ GS &lt; 50 Normalized'!T:T,'VRZ GS &lt; 50 Normalized'!B:B,V11)</f>
        <v>263627998.25459197</v>
      </c>
      <c r="AA11" s="501">
        <f t="shared" ca="1" si="6"/>
        <v>16893318.332978338</v>
      </c>
      <c r="AB11" s="501">
        <f t="shared" ca="1" si="7"/>
        <v>246734679.92161363</v>
      </c>
      <c r="AC11" s="501"/>
      <c r="AD11" s="501">
        <f t="shared" ca="1" si="8"/>
        <v>246734679.92161363</v>
      </c>
      <c r="AE11" s="501"/>
      <c r="AF11" s="500">
        <f t="shared" si="50"/>
        <v>2021</v>
      </c>
      <c r="AG11" s="501">
        <f>SUMIFS('Monthly Data'!V:V,'Monthly Data'!$B:$B,AF11)</f>
        <v>879197905.48144305</v>
      </c>
      <c r="AH11" s="501">
        <f ca="1">SUMIFS('Monthly Data'!W:W,'Monthly Data'!$B:$B,AF11)</f>
        <v>63812465.250825219</v>
      </c>
      <c r="AI11" s="501">
        <f ca="1">SUMIFS('Monthly Data'!X:X,'Monthly Data'!$B:$B,AF11)</f>
        <v>943010370.73226821</v>
      </c>
      <c r="AJ11" s="501">
        <f ca="1">SUMIFS('VRZ GS 50-2,999 Normalized'!V:V,'VRZ GS 50-2,999 Normalized'!B:B,AF11)</f>
        <v>935539356.47381258</v>
      </c>
      <c r="AK11" s="501">
        <f t="shared" ca="1" si="9"/>
        <v>63812465.250825219</v>
      </c>
      <c r="AL11" s="501">
        <f t="shared" ca="1" si="10"/>
        <v>871726891.22298741</v>
      </c>
      <c r="AM11" s="501"/>
      <c r="AN11" s="501">
        <f t="shared" ca="1" si="11"/>
        <v>871726891.22298741</v>
      </c>
      <c r="AO11" s="501">
        <f t="shared" ca="1" si="38"/>
        <v>935539356.47381258</v>
      </c>
      <c r="AP11" s="501"/>
      <c r="AQ11" s="500">
        <f t="shared" si="51"/>
        <v>2021</v>
      </c>
      <c r="AR11" s="501">
        <f>SUMIFS('Monthly Data'!AB:AB,'Monthly Data'!$B:$B,AQ11)</f>
        <v>94614053.935747579</v>
      </c>
      <c r="AS11" s="501">
        <f ca="1">SUMIFS('Monthly Data'!AC:AC,'Monthly Data'!$B:$B,AQ11)</f>
        <v>2909148.9857156607</v>
      </c>
      <c r="AT11" s="501">
        <f ca="1">SUMIFS('Monthly Data'!AD:AD,'Monthly Data'!$B:$B,AQ11)</f>
        <v>97523202.921463251</v>
      </c>
      <c r="AU11" s="501">
        <f>SUMIFS('VRZ GS 3,000-4,999 Normalized'!M:M,'VRZ GS 3,000-4,999 Normalized'!B:B,'Normalized Annual Summary'!AQ11)</f>
        <v>93788829.376597568</v>
      </c>
      <c r="AV11" s="501">
        <f t="shared" ca="1" si="12"/>
        <v>2909148.9857156607</v>
      </c>
      <c r="AW11" s="501">
        <f t="shared" ca="1" si="13"/>
        <v>90879680.390881911</v>
      </c>
      <c r="AX11" s="501"/>
      <c r="AY11" s="501">
        <f t="shared" ca="1" si="14"/>
        <v>90879680.390881911</v>
      </c>
      <c r="AZ11" s="501">
        <f t="shared" si="39"/>
        <v>93788829.376597568</v>
      </c>
      <c r="BA11" s="501"/>
      <c r="BB11" s="500">
        <f t="shared" si="52"/>
        <v>2021</v>
      </c>
      <c r="BC11" s="501">
        <f>SUMIFS('Monthly Data'!AG:AG,'Monthly Data'!$B:$B,BB11)</f>
        <v>282815639.36618131</v>
      </c>
      <c r="BD11" s="501">
        <f ca="1">SUMIFS('Monthly Data'!AH:AH,'Monthly Data'!$B:$B,BB11)</f>
        <v>20653756.365170676</v>
      </c>
      <c r="BE11" s="501">
        <f ca="1">SUMIFS('Monthly Data'!AI:AI,'Monthly Data'!$B:$B,BB11)</f>
        <v>303469395.73135197</v>
      </c>
      <c r="BF11" s="501">
        <f>SUMIFS('VRZ Large Use Normalized'!Q:Q,'VRZ Large Use Normalized'!B:B,'Normalized Annual Summary'!BB11)</f>
        <v>305029432.8276087</v>
      </c>
      <c r="BG11" s="501">
        <f t="shared" ca="1" si="15"/>
        <v>20653756.365170676</v>
      </c>
      <c r="BH11" s="501">
        <f t="shared" ca="1" si="16"/>
        <v>284375676.46243805</v>
      </c>
      <c r="BI11" s="501"/>
      <c r="BJ11" s="501">
        <f t="shared" ca="1" si="17"/>
        <v>284375676.46243805</v>
      </c>
      <c r="BK11" s="501">
        <f t="shared" si="40"/>
        <v>305029432.8276087</v>
      </c>
      <c r="BL11" s="499"/>
      <c r="BM11" s="500">
        <f t="shared" si="53"/>
        <v>2021</v>
      </c>
      <c r="BN11" s="501">
        <f>SUMIFS('Monthly Data'!AL:AL,'Monthly Data'!$B:$B,BM11)</f>
        <v>11145146.346117154</v>
      </c>
      <c r="BO11" s="501">
        <f>'Customer Count'!AG9</f>
        <v>31679.166666666657</v>
      </c>
      <c r="BP11" s="501">
        <f t="shared" si="18"/>
        <v>351.81311627885276</v>
      </c>
      <c r="BQ11" s="501">
        <f t="shared" si="41"/>
        <v>11145146.346117154</v>
      </c>
      <c r="BR11" s="499"/>
      <c r="BS11" s="499"/>
      <c r="BT11" s="500">
        <f t="shared" si="54"/>
        <v>2021</v>
      </c>
      <c r="BU11" s="501">
        <f>SUMIFS('Monthly Data'!AM:AM,'Monthly Data'!$B:$B,BT11)</f>
        <v>216801.46918526999</v>
      </c>
      <c r="BV11" s="501">
        <f>'Customer Count'!AK9</f>
        <v>248.83333333333326</v>
      </c>
      <c r="BW11" s="501">
        <f t="shared" si="19"/>
        <v>871.27181186310804</v>
      </c>
      <c r="BX11" s="501">
        <f t="shared" si="42"/>
        <v>216801.46918526999</v>
      </c>
      <c r="BY11" s="499"/>
      <c r="BZ11" s="499"/>
      <c r="CA11" s="500" t="e">
        <f t="shared" si="55"/>
        <v>#REF!</v>
      </c>
      <c r="CB11" s="501">
        <f>SUMIFS('Monthly Data'!AN:AN,'Monthly Data'!$B:$B,BT11)</f>
        <v>4562375.2909750044</v>
      </c>
      <c r="CC11" s="501">
        <f>'Customer Count'!AO9</f>
        <v>801.625</v>
      </c>
      <c r="CD11" s="501">
        <f t="shared" si="20"/>
        <v>5691.4084403243469</v>
      </c>
      <c r="CE11" s="501">
        <f>CD11*CC11</f>
        <v>4562375.2909750044</v>
      </c>
      <c r="CF11" s="499"/>
      <c r="CG11" s="499"/>
      <c r="CH11" s="499"/>
      <c r="CI11" s="499"/>
      <c r="CJ11" s="500">
        <f t="shared" si="56"/>
        <v>2021</v>
      </c>
      <c r="CK11" s="501">
        <f>SUMIFS('Monthly Data'!BC:BC,'Monthly Data'!$B:$B,CJ11)</f>
        <v>377870468.70321423</v>
      </c>
      <c r="CL11" s="501">
        <f ca="1">SUMIFS('Monthly Data'!BD:BD,'Monthly Data'!$B:$B,CJ11)</f>
        <v>20372488.849605791</v>
      </c>
      <c r="CM11" s="501">
        <f ca="1">SUMIFS('Monthly Data'!BE:BE,'Monthly Data'!$B:$B,CJ11)</f>
        <v>398242957.55281997</v>
      </c>
      <c r="CN11" s="501">
        <f ca="1">SUMIFS('WRZ Residential Normalized'!X:X,'WRZ Residential Normalized'!B:B,'Normalized Annual Summary'!CJ11)</f>
        <v>401012390.66775811</v>
      </c>
      <c r="CO11" s="501">
        <f t="shared" ca="1" si="22"/>
        <v>20372488.849605791</v>
      </c>
      <c r="CP11" s="501">
        <f t="shared" ca="1" si="23"/>
        <v>380639901.81815231</v>
      </c>
      <c r="CQ11" s="501"/>
      <c r="CR11" s="501">
        <f t="shared" ca="1" si="24"/>
        <v>380639901.81815231</v>
      </c>
      <c r="CS11" s="499"/>
      <c r="CT11" s="500">
        <f t="shared" si="57"/>
        <v>2021</v>
      </c>
      <c r="CU11" s="501">
        <f>SUMIFS('Monthly Data'!BI:BI,'Monthly Data'!$B:$B,CT11)</f>
        <v>78970544.989649892</v>
      </c>
      <c r="CV11" s="501">
        <f ca="1">SUMIFS('Monthly Data'!BJ:BJ,'Monthly Data'!$B:$B,CT11)</f>
        <v>2775508.3156735152</v>
      </c>
      <c r="CW11" s="501">
        <f ca="1">SUMIFS('Monthly Data'!BK:BK,'Monthly Data'!$B:$B,CT11)</f>
        <v>81746053.305323392</v>
      </c>
      <c r="CX11" s="501">
        <f ca="1">SUMIFS('WRZ GS &lt; 50 Normalized'!V:V,'WRZ GS &lt; 50 Normalized'!B:B,CT11)</f>
        <v>84850406.090402737</v>
      </c>
      <c r="CY11" s="501">
        <f t="shared" ca="1" si="25"/>
        <v>2775508.3156735152</v>
      </c>
      <c r="CZ11" s="501">
        <f t="shared" ca="1" si="26"/>
        <v>82074897.774729222</v>
      </c>
      <c r="DA11" s="501"/>
      <c r="DB11" s="501">
        <f t="shared" ca="1" si="27"/>
        <v>82074897.774729222</v>
      </c>
      <c r="DC11" s="501"/>
      <c r="DD11" s="500">
        <f t="shared" si="58"/>
        <v>2021</v>
      </c>
      <c r="DE11" s="501">
        <f>SUMIFS('Monthly Data'!BO:BO,'Monthly Data'!$B:$B,DD11)</f>
        <v>304899663.70699489</v>
      </c>
      <c r="DF11" s="501">
        <f ca="1">SUMIFS('Monthly Data'!BP:BP,'Monthly Data'!$B:$B,DD11)</f>
        <v>25642871.290475875</v>
      </c>
      <c r="DG11" s="501">
        <f ca="1">SUMIFS('Monthly Data'!BQ:BQ,'Monthly Data'!$B:$B,DD11)</f>
        <v>330542534.99747074</v>
      </c>
      <c r="DH11" s="501">
        <f ca="1">SUMIFS('WRZ GS 50-2,999 Normalized'!T:T,'WRZ GS 50-2,999 Normalized'!B:B,'Normalized Annual Summary'!DD11)</f>
        <v>332864868.09019756</v>
      </c>
      <c r="DI11" s="501">
        <f t="shared" ca="1" si="28"/>
        <v>25642871.290475875</v>
      </c>
      <c r="DJ11" s="501">
        <f t="shared" ca="1" si="29"/>
        <v>307221996.79972172</v>
      </c>
      <c r="DK11" s="501"/>
      <c r="DL11" s="501">
        <f t="shared" ca="1" si="30"/>
        <v>307221996.79972172</v>
      </c>
      <c r="DM11" s="501">
        <f t="shared" ca="1" si="43"/>
        <v>332864868.09019756</v>
      </c>
      <c r="DN11" s="501"/>
      <c r="DO11" s="500">
        <f t="shared" si="59"/>
        <v>2021</v>
      </c>
      <c r="DP11" s="501">
        <f>SUMIFS('Monthly Data'!BU:BU,'Monthly Data'!$B:$B,DO11)</f>
        <v>85453559.662487954</v>
      </c>
      <c r="DQ11" s="501">
        <f ca="1">SUMIFS('Monthly Data'!BV:BV,'Monthly Data'!$B:$B,DO11)</f>
        <v>5765606.1777410153</v>
      </c>
      <c r="DR11" s="501">
        <f ca="1">SUMIFS('Monthly Data'!BW:BW,'Monthly Data'!$B:$B,DO11)</f>
        <v>91219165.840228975</v>
      </c>
      <c r="DS11" s="501">
        <f>SUMIFS('WRZ GS 3,000-4,999 Normalized'!O:O,'WRZ GS 3,000-4,999 Normalized'!B:B,'Normalized Annual Summary'!DO11)</f>
        <v>88295125.051048175</v>
      </c>
      <c r="DT11" s="501">
        <f t="shared" ca="1" si="31"/>
        <v>5765606.1777410153</v>
      </c>
      <c r="DU11" s="501">
        <f t="shared" ca="1" si="32"/>
        <v>82529518.873307154</v>
      </c>
      <c r="DV11" s="501"/>
      <c r="DW11" s="501">
        <f t="shared" ca="1" si="33"/>
        <v>82529518.873307154</v>
      </c>
      <c r="DX11" s="501">
        <f t="shared" si="44"/>
        <v>88295125.051048175</v>
      </c>
      <c r="DY11" s="499"/>
      <c r="DZ11" s="500">
        <f t="shared" si="60"/>
        <v>2021</v>
      </c>
      <c r="EA11" s="501">
        <f>SUMIFS('Monthly Data'!BZ:BZ,'Monthly Data'!$B:$B,DZ11)</f>
        <v>3113190.396020662</v>
      </c>
      <c r="EB11" s="501">
        <f>'Customer Count'!BN9</f>
        <v>13023.791666666672</v>
      </c>
      <c r="EC11" s="501">
        <f t="shared" si="34"/>
        <v>239.03871281883431</v>
      </c>
      <c r="ED11" s="501">
        <f t="shared" si="45"/>
        <v>3113190.396020662</v>
      </c>
      <c r="EE11" s="499"/>
      <c r="EF11" s="499"/>
      <c r="EG11" s="500">
        <f t="shared" si="61"/>
        <v>2021</v>
      </c>
      <c r="EH11" s="501">
        <f>SUMIFS('Monthly Data'!CA:CA,'Monthly Data'!$B:$B,EG11)</f>
        <v>24367.361775396963</v>
      </c>
      <c r="EI11" s="501">
        <f>'Customer Count'!BR9</f>
        <v>42.416666666666679</v>
      </c>
      <c r="EJ11" s="501">
        <f t="shared" si="35"/>
        <v>574.47611258303232</v>
      </c>
      <c r="EK11" s="501">
        <f t="shared" si="46"/>
        <v>24367.361775396959</v>
      </c>
      <c r="EL11" s="499"/>
      <c r="EM11" s="499"/>
      <c r="EN11" s="500">
        <f t="shared" si="62"/>
        <v>2021</v>
      </c>
      <c r="EO11" s="501">
        <f>SUMIFS('Monthly Data'!CB:CB,'Monthly Data'!$B:$B,EN11)</f>
        <v>1884136.9236655824</v>
      </c>
      <c r="EP11" s="501">
        <f>'Customer Count'!BV9</f>
        <v>391.54166666666652</v>
      </c>
      <c r="EQ11" s="501">
        <f t="shared" si="36"/>
        <v>4812.0981342954128</v>
      </c>
      <c r="ER11" s="501">
        <f>EQ11*EP11</f>
        <v>1884136.9236655824</v>
      </c>
    </row>
    <row r="12" spans="2:148">
      <c r="B12" s="500">
        <f t="shared" si="47"/>
        <v>2022</v>
      </c>
      <c r="C12" s="501">
        <f>SUMIFS('Monthly Data'!D:D,'Monthly Data'!$B:$B,B12)</f>
        <v>970911458.52476048</v>
      </c>
      <c r="D12" s="501">
        <f ca="1">SUMIFS('Monthly Data'!E:E,'Monthly Data'!$B:$B,B12)</f>
        <v>46174752.589602843</v>
      </c>
      <c r="E12" s="501">
        <f ca="1">SUMIFS('Monthly Data'!I:I,'Monthly Data'!$B:$B,B12)</f>
        <v>1002515321.824033</v>
      </c>
      <c r="F12" s="501">
        <f ca="1">SUMIFS('VRZ Residential Normalized'!X:X,'VRZ Residential Normalized'!B:B,B12)</f>
        <v>1030229801.8591908</v>
      </c>
      <c r="G12" s="501">
        <f t="shared" ca="1" si="0"/>
        <v>46174752.589602843</v>
      </c>
      <c r="H12" s="501">
        <f t="shared" ca="1" si="1"/>
        <v>984055049.26958799</v>
      </c>
      <c r="I12" s="501"/>
      <c r="J12" s="501">
        <f t="shared" ca="1" si="2"/>
        <v>984055049.26958799</v>
      </c>
      <c r="K12" s="499"/>
      <c r="L12" s="500">
        <f t="shared" si="48"/>
        <v>2022</v>
      </c>
      <c r="M12" s="501">
        <f>SUMIFS('Monthly Data'!J:J,'Monthly Data'!$B:$B,L12)</f>
        <v>12020836.275310056</v>
      </c>
      <c r="N12" s="501">
        <f ca="1">SUMIFS('Monthly Data'!K:K,'Monthly Data'!$B:$B,L12)</f>
        <v>528876.54644187959</v>
      </c>
      <c r="O12" s="501">
        <f ca="1">SUMIFS('Monthly Data'!L:L,'Monthly Data'!$B:$B,L12)</f>
        <v>12549712.821751935</v>
      </c>
      <c r="P12" s="501">
        <f ca="1">SUMIFS('VRZ Seasonal Normalized'!V:V,'VRZ Seasonal Normalized'!B:B,L12)</f>
        <v>11965311.471165352</v>
      </c>
      <c r="Q12" s="501">
        <f t="shared" ca="1" si="3"/>
        <v>528876.54644187959</v>
      </c>
      <c r="R12" s="501">
        <f t="shared" ca="1" si="4"/>
        <v>11436434.924723472</v>
      </c>
      <c r="S12" s="501"/>
      <c r="T12" s="501">
        <f t="shared" ca="1" si="5"/>
        <v>11436434.924723472</v>
      </c>
      <c r="U12" s="499"/>
      <c r="V12" s="500">
        <f t="shared" si="49"/>
        <v>2022</v>
      </c>
      <c r="W12" s="501">
        <f>SUMIFS('Monthly Data'!P:P,'Monthly Data'!$B:$B,V12)</f>
        <v>265787178.57022482</v>
      </c>
      <c r="X12" s="501">
        <f ca="1">SUMIFS('Monthly Data'!Q:Q,'Monthly Data'!$B:$B,V12)</f>
        <v>18222837.706879091</v>
      </c>
      <c r="Y12" s="501">
        <f ca="1">SUMIFS('Monthly Data'!R:R,'Monthly Data'!$B:$B,V12)</f>
        <v>284010016.27710396</v>
      </c>
      <c r="Z12" s="501">
        <f ca="1">SUMIFS('VRZ GS &lt; 50 Normalized'!T:T,'VRZ GS &lt; 50 Normalized'!B:B,V12)</f>
        <v>272563626.04604363</v>
      </c>
      <c r="AA12" s="501">
        <f t="shared" ca="1" si="6"/>
        <v>18222837.706879091</v>
      </c>
      <c r="AB12" s="501">
        <f t="shared" ca="1" si="7"/>
        <v>254340788.33916456</v>
      </c>
      <c r="AC12" s="501"/>
      <c r="AD12" s="501">
        <f t="shared" ca="1" si="8"/>
        <v>254340788.33916456</v>
      </c>
      <c r="AE12" s="501"/>
      <c r="AF12" s="500">
        <f t="shared" si="50"/>
        <v>2022</v>
      </c>
      <c r="AG12" s="501">
        <f>SUMIFS('Monthly Data'!V:V,'Monthly Data'!$B:$B,AF12)</f>
        <v>894031405.22001076</v>
      </c>
      <c r="AH12" s="501">
        <f ca="1">SUMIFS('Monthly Data'!W:W,'Monthly Data'!$B:$B,AF12)</f>
        <v>73020379.734248713</v>
      </c>
      <c r="AI12" s="501">
        <f ca="1">SUMIFS('Monthly Data'!X:X,'Monthly Data'!$B:$B,AF12)</f>
        <v>967051784.9542594</v>
      </c>
      <c r="AJ12" s="501">
        <f ca="1">SUMIFS('VRZ GS 50-2,999 Normalized'!V:V,'VRZ GS 50-2,999 Normalized'!B:B,AF12)</f>
        <v>970277731.47616279</v>
      </c>
      <c r="AK12" s="501">
        <f t="shared" ca="1" si="9"/>
        <v>73020379.734248713</v>
      </c>
      <c r="AL12" s="501">
        <f t="shared" ca="1" si="10"/>
        <v>897257351.74191403</v>
      </c>
      <c r="AM12" s="501"/>
      <c r="AN12" s="501">
        <f t="shared" ca="1" si="11"/>
        <v>897257351.74191403</v>
      </c>
      <c r="AO12" s="501">
        <f t="shared" ca="1" si="38"/>
        <v>970277731.47616279</v>
      </c>
      <c r="AP12" s="501"/>
      <c r="AQ12" s="500">
        <f t="shared" si="51"/>
        <v>2022</v>
      </c>
      <c r="AR12" s="501">
        <f>SUMIFS('Monthly Data'!AB:AB,'Monthly Data'!$B:$B,AQ12)</f>
        <v>104923623.55856374</v>
      </c>
      <c r="AS12" s="501">
        <f ca="1">SUMIFS('Monthly Data'!AC:AC,'Monthly Data'!$B:$B,AQ12)</f>
        <v>3267870.476997294</v>
      </c>
      <c r="AT12" s="501">
        <f ca="1">SUMIFS('Monthly Data'!AD:AD,'Monthly Data'!$B:$B,AQ12)</f>
        <v>108191494.03556103</v>
      </c>
      <c r="AU12" s="501">
        <f>SUMIFS('VRZ GS 3,000-4,999 Normalized'!M:M,'VRZ GS 3,000-4,999 Normalized'!B:B,'Normalized Annual Summary'!AQ12)</f>
        <v>97923982.74183476</v>
      </c>
      <c r="AV12" s="501">
        <f t="shared" ca="1" si="12"/>
        <v>3267870.476997294</v>
      </c>
      <c r="AW12" s="501">
        <f t="shared" ca="1" si="13"/>
        <v>94656112.264837459</v>
      </c>
      <c r="AX12" s="501"/>
      <c r="AY12" s="501">
        <f t="shared" ca="1" si="14"/>
        <v>94656112.264837459</v>
      </c>
      <c r="AZ12" s="501">
        <f t="shared" si="39"/>
        <v>97923982.74183476</v>
      </c>
      <c r="BA12" s="501"/>
      <c r="BB12" s="500">
        <f t="shared" si="52"/>
        <v>2022</v>
      </c>
      <c r="BC12" s="501">
        <f>SUMIFS('Monthly Data'!AG:AG,'Monthly Data'!$B:$B,BB12)</f>
        <v>287178352.97389549</v>
      </c>
      <c r="BD12" s="501">
        <f ca="1">SUMIFS('Monthly Data'!AH:AH,'Monthly Data'!$B:$B,BB12)</f>
        <v>20876550.973202195</v>
      </c>
      <c r="BE12" s="501">
        <f ca="1">SUMIFS('Monthly Data'!AI:AI,'Monthly Data'!$B:$B,BB12)</f>
        <v>308054903.94709766</v>
      </c>
      <c r="BF12" s="501">
        <f>SUMIFS('VRZ Large Use Normalized'!Q:Q,'VRZ Large Use Normalized'!B:B,'Normalized Annual Summary'!BB12)</f>
        <v>319922172.24525082</v>
      </c>
      <c r="BG12" s="501">
        <f t="shared" ca="1" si="15"/>
        <v>20876550.973202195</v>
      </c>
      <c r="BH12" s="501">
        <f t="shared" ca="1" si="16"/>
        <v>299045621.27204865</v>
      </c>
      <c r="BI12" s="501"/>
      <c r="BJ12" s="501">
        <f t="shared" ca="1" si="17"/>
        <v>299045621.27204865</v>
      </c>
      <c r="BK12" s="501">
        <f t="shared" si="40"/>
        <v>319922172.24525082</v>
      </c>
      <c r="BL12" s="499"/>
      <c r="BM12" s="500">
        <f t="shared" si="53"/>
        <v>2022</v>
      </c>
      <c r="BN12" s="501">
        <f>SUMIFS('Monthly Data'!AL:AL,'Monthly Data'!$B:$B,BM12)</f>
        <v>11108255.523755008</v>
      </c>
      <c r="BO12" s="501">
        <f>'Customer Count'!AG10</f>
        <v>31795.041666666657</v>
      </c>
      <c r="BP12" s="501">
        <f t="shared" si="18"/>
        <v>349.37068616584645</v>
      </c>
      <c r="BQ12" s="501">
        <f t="shared" si="41"/>
        <v>11108255.523755008</v>
      </c>
      <c r="BR12" s="499"/>
      <c r="BS12" s="499"/>
      <c r="BT12" s="500">
        <f t="shared" si="54"/>
        <v>2022</v>
      </c>
      <c r="BU12" s="501">
        <f>SUMIFS('Monthly Data'!AM:AM,'Monthly Data'!$B:$B,BT12)</f>
        <v>206492.3201679069</v>
      </c>
      <c r="BV12" s="501">
        <f>'Customer Count'!AK10</f>
        <v>245.91666666666674</v>
      </c>
      <c r="BW12" s="501">
        <f t="shared" si="19"/>
        <v>839.68412131985156</v>
      </c>
      <c r="BX12" s="501">
        <f t="shared" si="42"/>
        <v>206492.3201679069</v>
      </c>
      <c r="BY12" s="499"/>
      <c r="BZ12" s="499"/>
      <c r="CA12" s="500" t="e">
        <f t="shared" si="55"/>
        <v>#REF!</v>
      </c>
      <c r="CB12" s="501">
        <f>SUMIFS('Monthly Data'!AN:AN,'Monthly Data'!$B:$B,BT12)</f>
        <v>4553725.701202061</v>
      </c>
      <c r="CC12" s="501">
        <f>'Customer Count'!AO10</f>
        <v>800.83333333333303</v>
      </c>
      <c r="CD12" s="501">
        <f t="shared" si="20"/>
        <v>5686.2339661212018</v>
      </c>
      <c r="CE12" s="501">
        <f>CD12*CC12</f>
        <v>4553725.701202061</v>
      </c>
      <c r="CF12" s="499"/>
      <c r="CG12" s="499"/>
      <c r="CH12" s="499"/>
      <c r="CI12" s="499"/>
      <c r="CJ12" s="500">
        <f t="shared" si="56"/>
        <v>2022</v>
      </c>
      <c r="CK12" s="501">
        <f>SUMIFS('Monthly Data'!BC:BC,'Monthly Data'!$B:$B,CJ12)</f>
        <v>376493215.67660195</v>
      </c>
      <c r="CL12" s="501">
        <f ca="1">SUMIFS('Monthly Data'!BD:BD,'Monthly Data'!$B:$B,CJ12)</f>
        <v>20417888.257595446</v>
      </c>
      <c r="CM12" s="501">
        <f ca="1">SUMIFS('Monthly Data'!BE:BE,'Monthly Data'!$B:$B,CJ12)</f>
        <v>396911103.93419737</v>
      </c>
      <c r="CN12" s="501">
        <f ca="1">SUMIFS('WRZ Residential Normalized'!X:X,'WRZ Residential Normalized'!B:B,'Normalized Annual Summary'!CJ12)</f>
        <v>402845128.17931181</v>
      </c>
      <c r="CO12" s="501">
        <f t="shared" ca="1" si="22"/>
        <v>20417888.257595446</v>
      </c>
      <c r="CP12" s="501">
        <f t="shared" ca="1" si="23"/>
        <v>382427239.92171639</v>
      </c>
      <c r="CQ12" s="501"/>
      <c r="CR12" s="501">
        <f t="shared" ca="1" si="24"/>
        <v>382427239.92171639</v>
      </c>
      <c r="CS12" s="499"/>
      <c r="CT12" s="500">
        <f t="shared" si="57"/>
        <v>2022</v>
      </c>
      <c r="CU12" s="501">
        <f>SUMIFS('Monthly Data'!BI:BI,'Monthly Data'!$B:$B,CT12)</f>
        <v>83688802.82709007</v>
      </c>
      <c r="CV12" s="501">
        <f ca="1">SUMIFS('Monthly Data'!BJ:BJ,'Monthly Data'!$B:$B,CT12)</f>
        <v>3137811.5162113644</v>
      </c>
      <c r="CW12" s="501">
        <f ca="1">SUMIFS('Monthly Data'!BK:BK,'Monthly Data'!$B:$B,CT12)</f>
        <v>86826614.34330143</v>
      </c>
      <c r="CX12" s="501">
        <f ca="1">SUMIFS('WRZ GS &lt; 50 Normalized'!V:V,'WRZ GS &lt; 50 Normalized'!B:B,CT12)</f>
        <v>90793122.063716263</v>
      </c>
      <c r="CY12" s="501">
        <f t="shared" ca="1" si="25"/>
        <v>3137811.5162113644</v>
      </c>
      <c r="CZ12" s="501">
        <f t="shared" ca="1" si="26"/>
        <v>87655310.547504902</v>
      </c>
      <c r="DA12" s="501"/>
      <c r="DB12" s="501">
        <f t="shared" ca="1" si="27"/>
        <v>87655310.547504902</v>
      </c>
      <c r="DC12" s="501"/>
      <c r="DD12" s="500">
        <f t="shared" si="58"/>
        <v>2022</v>
      </c>
      <c r="DE12" s="501">
        <f>SUMIFS('Monthly Data'!BO:BO,'Monthly Data'!$B:$B,DD12)</f>
        <v>314844960.08646047</v>
      </c>
      <c r="DF12" s="501">
        <f ca="1">SUMIFS('Monthly Data'!BP:BP,'Monthly Data'!$B:$B,DD12)</f>
        <v>30549766.29126662</v>
      </c>
      <c r="DG12" s="501">
        <f ca="1">SUMIFS('Monthly Data'!BQ:BQ,'Monthly Data'!$B:$B,DD12)</f>
        <v>345394726.37772709</v>
      </c>
      <c r="DH12" s="501">
        <f ca="1">SUMIFS('WRZ GS 50-2,999 Normalized'!T:T,'WRZ GS 50-2,999 Normalized'!B:B,'Normalized Annual Summary'!DD12)</f>
        <v>343539108.42366636</v>
      </c>
      <c r="DI12" s="501">
        <f t="shared" ca="1" si="28"/>
        <v>30549766.29126662</v>
      </c>
      <c r="DJ12" s="501">
        <f t="shared" ca="1" si="29"/>
        <v>312989342.13239974</v>
      </c>
      <c r="DK12" s="501"/>
      <c r="DL12" s="501">
        <f t="shared" ca="1" si="30"/>
        <v>312989342.13239974</v>
      </c>
      <c r="DM12" s="501">
        <f t="shared" ca="1" si="43"/>
        <v>343539108.42366636</v>
      </c>
      <c r="DN12" s="501"/>
      <c r="DO12" s="500">
        <f t="shared" si="59"/>
        <v>2022</v>
      </c>
      <c r="DP12" s="501">
        <f>SUMIFS('Monthly Data'!BU:BU,'Monthly Data'!$B:$B,DO12)</f>
        <v>85515948.081002906</v>
      </c>
      <c r="DQ12" s="501">
        <f ca="1">SUMIFS('Monthly Data'!BV:BV,'Monthly Data'!$B:$B,DO12)</f>
        <v>6870425.5938696731</v>
      </c>
      <c r="DR12" s="501">
        <f ca="1">SUMIFS('Monthly Data'!BW:BW,'Monthly Data'!$B:$B,DO12)</f>
        <v>92386373.674872577</v>
      </c>
      <c r="DS12" s="501">
        <f>SUMIFS('WRZ GS 3,000-4,999 Normalized'!O:O,'WRZ GS 3,000-4,999 Normalized'!B:B,'Normalized Annual Summary'!DO12)</f>
        <v>88301183.180048153</v>
      </c>
      <c r="DT12" s="501">
        <f t="shared" ca="1" si="31"/>
        <v>6870425.5938696731</v>
      </c>
      <c r="DU12" s="501">
        <f t="shared" ca="1" si="32"/>
        <v>81430757.586178482</v>
      </c>
      <c r="DV12" s="501"/>
      <c r="DW12" s="501">
        <f t="shared" ca="1" si="33"/>
        <v>81430757.586178482</v>
      </c>
      <c r="DX12" s="501">
        <f t="shared" si="44"/>
        <v>88301183.180048153</v>
      </c>
      <c r="DY12" s="499"/>
      <c r="DZ12" s="500">
        <f t="shared" si="60"/>
        <v>2022</v>
      </c>
      <c r="EA12" s="501">
        <f>SUMIFS('Monthly Data'!BZ:BZ,'Monthly Data'!$B:$B,DZ12)</f>
        <v>3428741.8882724312</v>
      </c>
      <c r="EB12" s="501">
        <f>'Customer Count'!BN10</f>
        <v>13342.91666666667</v>
      </c>
      <c r="EC12" s="501">
        <f t="shared" si="34"/>
        <v>256.97094375460864</v>
      </c>
      <c r="ED12" s="501">
        <f t="shared" si="45"/>
        <v>3428741.8882724312</v>
      </c>
      <c r="EE12" s="499"/>
      <c r="EF12" s="499"/>
      <c r="EG12" s="500">
        <f t="shared" si="61"/>
        <v>2022</v>
      </c>
      <c r="EH12" s="501">
        <f>SUMIFS('Monthly Data'!CA:CA,'Monthly Data'!$B:$B,EG12)</f>
        <v>29649.448744324083</v>
      </c>
      <c r="EI12" s="501">
        <f>'Customer Count'!BR10</f>
        <v>46.458333333333314</v>
      </c>
      <c r="EJ12" s="501">
        <f t="shared" si="35"/>
        <v>638.19441243388189</v>
      </c>
      <c r="EK12" s="501">
        <f t="shared" si="46"/>
        <v>29649.448744324083</v>
      </c>
      <c r="EL12" s="499"/>
      <c r="EM12" s="499"/>
      <c r="EN12" s="500">
        <f t="shared" si="62"/>
        <v>2022</v>
      </c>
      <c r="EO12" s="501">
        <f>SUMIFS('Monthly Data'!CB:CB,'Monthly Data'!$B:$B,EN12)</f>
        <v>1871392.8257126459</v>
      </c>
      <c r="EP12" s="501">
        <f>'Customer Count'!BV10</f>
        <v>393.08333333333348</v>
      </c>
      <c r="EQ12" s="501">
        <f t="shared" si="36"/>
        <v>4760.8043053957481</v>
      </c>
      <c r="ER12" s="501">
        <f>EQ12*EP12</f>
        <v>1871392.8257126461</v>
      </c>
    </row>
    <row r="13" spans="2:148">
      <c r="B13" s="500">
        <f t="shared" si="47"/>
        <v>2023</v>
      </c>
      <c r="C13" s="501">
        <f>SUMIFS('Monthly Data'!D:D,'Monthly Data'!$B:$B,B13)</f>
        <v>962244781.52788401</v>
      </c>
      <c r="D13" s="501">
        <f ca="1">SUMIFS('Monthly Data'!E:E,'Monthly Data'!$B:$B,B13)</f>
        <v>46181181.145015426</v>
      </c>
      <c r="E13" s="501">
        <f ca="1">SUMIFS('Monthly Data'!I:I,'Monthly Data'!$B:$B,B13)</f>
        <v>988358680.59087169</v>
      </c>
      <c r="F13" s="501">
        <f ca="1">SUMIFS('VRZ Residential Normalized'!X:X,'VRZ Residential Normalized'!B:B,B13)</f>
        <v>1036809676.8295399</v>
      </c>
      <c r="G13" s="501">
        <f t="shared" ca="1" si="0"/>
        <v>46181181.145015426</v>
      </c>
      <c r="H13" s="501">
        <f t="shared" ref="H13:H14" ca="1" si="63">F13-G13</f>
        <v>990628495.68452442</v>
      </c>
      <c r="I13" s="501"/>
      <c r="J13" s="501">
        <f t="shared" ref="J13:J14" ca="1" si="64">H13+I13</f>
        <v>990628495.68452442</v>
      </c>
      <c r="K13" s="499"/>
      <c r="L13" s="500">
        <f t="shared" si="48"/>
        <v>2023</v>
      </c>
      <c r="M13" s="501">
        <f>SUMIFS('Monthly Data'!J:J,'Monthly Data'!$B:$B,L13)</f>
        <v>11612873.390622018</v>
      </c>
      <c r="N13" s="501">
        <f ca="1">SUMIFS('Monthly Data'!K:K,'Monthly Data'!$B:$B,L13)</f>
        <v>528949.1741718679</v>
      </c>
      <c r="O13" s="501">
        <f ca="1">SUMIFS('Monthly Data'!L:L,'Monthly Data'!$B:$B,L13)</f>
        <v>12141822.564793887</v>
      </c>
      <c r="P13" s="501">
        <f ca="1">SUMIFS('VRZ Seasonal Normalized'!V:V,'VRZ Seasonal Normalized'!B:B,L13)</f>
        <v>11881209.300509991</v>
      </c>
      <c r="Q13" s="501">
        <f t="shared" ca="1" si="3"/>
        <v>528949.1741718679</v>
      </c>
      <c r="R13" s="501">
        <f t="shared" ref="R13:R14" ca="1" si="65">P13-Q13</f>
        <v>11352260.126338122</v>
      </c>
      <c r="S13" s="501"/>
      <c r="T13" s="501">
        <f t="shared" ref="T13:T14" ca="1" si="66">R13+S13</f>
        <v>11352260.126338122</v>
      </c>
      <c r="U13" s="499"/>
      <c r="V13" s="500">
        <f t="shared" si="49"/>
        <v>2023</v>
      </c>
      <c r="W13" s="501">
        <f>SUMIFS('Monthly Data'!P:P,'Monthly Data'!$B:$B,V13)</f>
        <v>263510329.38142473</v>
      </c>
      <c r="X13" s="501">
        <f ca="1">SUMIFS('Monthly Data'!Q:Q,'Monthly Data'!$B:$B,V13)</f>
        <v>18830869.813586522</v>
      </c>
      <c r="Y13" s="501">
        <f ca="1">SUMIFS('Monthly Data'!R:R,'Monthly Data'!$B:$B,V13)</f>
        <v>282341199.19501126</v>
      </c>
      <c r="Z13" s="501">
        <f ca="1">SUMIFS('VRZ GS &lt; 50 Normalized'!T:T,'VRZ GS &lt; 50 Normalized'!B:B,V13)</f>
        <v>281331303.52386671</v>
      </c>
      <c r="AA13" s="501">
        <f t="shared" ca="1" si="6"/>
        <v>18830869.813586522</v>
      </c>
      <c r="AB13" s="501">
        <f t="shared" ref="AB13:AB14" ca="1" si="67">Z13-AA13</f>
        <v>262500433.71028018</v>
      </c>
      <c r="AC13" s="501"/>
      <c r="AD13" s="501">
        <f t="shared" ref="AD13:AD14" ca="1" si="68">AB13+AC13</f>
        <v>262500433.71028018</v>
      </c>
      <c r="AE13" s="501"/>
      <c r="AF13" s="500">
        <f t="shared" si="50"/>
        <v>2023</v>
      </c>
      <c r="AG13" s="501">
        <f>SUMIFS('Monthly Data'!V:V,'Monthly Data'!$B:$B,AF13)</f>
        <v>890084578.42248416</v>
      </c>
      <c r="AH13" s="501">
        <f ca="1">SUMIFS('Monthly Data'!W:W,'Monthly Data'!$B:$B,AF13)</f>
        <v>77418264.505728513</v>
      </c>
      <c r="AI13" s="501">
        <f ca="1">SUMIFS('Monthly Data'!X:X,'Monthly Data'!$B:$B,AF13)</f>
        <v>967502842.92821264</v>
      </c>
      <c r="AJ13" s="501">
        <f ca="1">SUMIFS('VRZ GS 50-2,999 Normalized'!V:V,'VRZ GS 50-2,999 Normalized'!B:B,AF13)</f>
        <v>998173449.15633404</v>
      </c>
      <c r="AK13" s="501">
        <f t="shared" ca="1" si="9"/>
        <v>77418264.505728513</v>
      </c>
      <c r="AL13" s="501">
        <f t="shared" ref="AL13:AL14" ca="1" si="69">AJ13-AK13</f>
        <v>920755184.65060556</v>
      </c>
      <c r="AM13" s="501"/>
      <c r="AN13" s="501">
        <f t="shared" ref="AN13:AN14" ca="1" si="70">AL13+AM13</f>
        <v>920755184.65060556</v>
      </c>
      <c r="AO13" s="501">
        <f t="shared" ca="1" si="38"/>
        <v>998173449.15633404</v>
      </c>
      <c r="AP13" s="501"/>
      <c r="AQ13" s="500">
        <f t="shared" si="51"/>
        <v>2023</v>
      </c>
      <c r="AR13" s="501">
        <f>SUMIFS('Monthly Data'!AB:AB,'Monthly Data'!$B:$B,AQ13)</f>
        <v>105772784.76802033</v>
      </c>
      <c r="AS13" s="501">
        <f ca="1">SUMIFS('Monthly Data'!AC:AC,'Monthly Data'!$B:$B,AQ13)</f>
        <v>3606084.6148862736</v>
      </c>
      <c r="AT13" s="501">
        <f ca="1">SUMIFS('Monthly Data'!AD:AD,'Monthly Data'!$B:$B,AQ13)</f>
        <v>109378869.38290659</v>
      </c>
      <c r="AU13" s="501">
        <f>SUMIFS('VRZ GS 3,000-4,999 Normalized'!M:M,'VRZ GS 3,000-4,999 Normalized'!B:B,'Normalized Annual Summary'!AQ13)</f>
        <v>100511378.62520504</v>
      </c>
      <c r="AV13" s="501">
        <f t="shared" ca="1" si="12"/>
        <v>3606084.6148862736</v>
      </c>
      <c r="AW13" s="501">
        <f t="shared" ref="AW13:AW14" ca="1" si="71">AU13-AV13</f>
        <v>96905294.010318771</v>
      </c>
      <c r="AX13" s="501"/>
      <c r="AY13" s="501">
        <f t="shared" ref="AY13:AY14" ca="1" si="72">AW13+AX13</f>
        <v>96905294.010318771</v>
      </c>
      <c r="AZ13" s="501">
        <f t="shared" si="39"/>
        <v>100511378.62520504</v>
      </c>
      <c r="BA13" s="501"/>
      <c r="BB13" s="500">
        <f t="shared" si="52"/>
        <v>2023</v>
      </c>
      <c r="BC13" s="501">
        <f>SUMIFS('Monthly Data'!AG:AG,'Monthly Data'!$B:$B,BB13)</f>
        <v>301783249.88881892</v>
      </c>
      <c r="BD13" s="501">
        <f ca="1">SUMIFS('Monthly Data'!AH:AH,'Monthly Data'!$B:$B,BB13)</f>
        <v>22225756.675456408</v>
      </c>
      <c r="BE13" s="501">
        <f ca="1">SUMIFS('Monthly Data'!AI:AI,'Monthly Data'!$B:$B,BB13)</f>
        <v>324009006.56427532</v>
      </c>
      <c r="BF13" s="501">
        <f>SUMIFS('VRZ Large Use Normalized'!Q:Q,'VRZ Large Use Normalized'!B:B,'Normalized Annual Summary'!BB13)</f>
        <v>324149630.93636644</v>
      </c>
      <c r="BG13" s="501">
        <f t="shared" ca="1" si="15"/>
        <v>22225756.675456408</v>
      </c>
      <c r="BH13" s="501">
        <f t="shared" ref="BH13:BH14" ca="1" si="73">BF13-BG13</f>
        <v>301923874.26091003</v>
      </c>
      <c r="BI13" s="501"/>
      <c r="BJ13" s="501">
        <f t="shared" ref="BJ13:BJ14" ca="1" si="74">BH13+BI13</f>
        <v>301923874.26091003</v>
      </c>
      <c r="BK13" s="501">
        <f t="shared" si="40"/>
        <v>324149630.93636644</v>
      </c>
      <c r="BL13" s="499"/>
      <c r="BM13" s="500">
        <f t="shared" si="53"/>
        <v>2023</v>
      </c>
      <c r="BN13" s="501">
        <f>SUMIFS('Monthly Data'!AL:AL,'Monthly Data'!$B:$B,BM13)</f>
        <v>11322769.347452775</v>
      </c>
      <c r="BO13" s="501">
        <f>'Customer Count'!AG11</f>
        <v>32131.541666666657</v>
      </c>
      <c r="BP13" s="501">
        <f t="shared" ref="BP13:BP14" si="75">BN13/BO13</f>
        <v>352.38798887757832</v>
      </c>
      <c r="BQ13" s="501">
        <f t="shared" ref="BQ13:BQ14" si="76">BP13*BO13</f>
        <v>11322769.347452775</v>
      </c>
      <c r="BR13" s="499"/>
      <c r="BS13" s="499"/>
      <c r="BT13" s="500">
        <f t="shared" si="54"/>
        <v>2023</v>
      </c>
      <c r="BU13" s="501">
        <f>SUMIFS('Monthly Data'!AM:AM,'Monthly Data'!$B:$B,BT13)</f>
        <v>208749.31310818545</v>
      </c>
      <c r="BV13" s="501">
        <f>'Customer Count'!AK11</f>
        <v>242.83333333333326</v>
      </c>
      <c r="BW13" s="501">
        <f t="shared" ref="BW13:BW14" si="77">BU13/BV13</f>
        <v>859.64027360954913</v>
      </c>
      <c r="BX13" s="501">
        <f t="shared" ref="BX13:BX14" si="78">BW13*BV13</f>
        <v>208749.31310818545</v>
      </c>
      <c r="BY13" s="499"/>
      <c r="BZ13" s="499"/>
      <c r="CA13" s="500" t="e">
        <f t="shared" si="55"/>
        <v>#REF!</v>
      </c>
      <c r="CB13" s="501">
        <f>SUMIFS('Monthly Data'!AN:AN,'Monthly Data'!$B:$B,BT13)</f>
        <v>4536379.8034726195</v>
      </c>
      <c r="CC13" s="501">
        <f>'Customer Count'!AO11</f>
        <v>797.91666666666697</v>
      </c>
      <c r="CD13" s="501">
        <f t="shared" ref="CD13:CD14" si="79">CB13/CC13</f>
        <v>5685.2801714539337</v>
      </c>
      <c r="CE13" s="501">
        <f>CD13*CC13</f>
        <v>4536379.8034726195</v>
      </c>
      <c r="CF13" s="499"/>
      <c r="CG13" s="499"/>
      <c r="CH13" s="499"/>
      <c r="CI13" s="499"/>
      <c r="CJ13" s="500">
        <f t="shared" si="56"/>
        <v>2023</v>
      </c>
      <c r="CK13" s="501">
        <f>SUMIFS('Monthly Data'!BC:BC,'Monthly Data'!$B:$B,CJ13)</f>
        <v>375458413.71048301</v>
      </c>
      <c r="CL13" s="501">
        <f ca="1">SUMIFS('Monthly Data'!BD:BD,'Monthly Data'!$B:$B,CJ13)</f>
        <v>20472423.277131665</v>
      </c>
      <c r="CM13" s="501">
        <f ca="1">SUMIFS('Monthly Data'!BE:BE,'Monthly Data'!$B:$B,CJ13)</f>
        <v>395930836.98761469</v>
      </c>
      <c r="CN13" s="501">
        <f ca="1">SUMIFS('WRZ Residential Normalized'!X:X,'WRZ Residential Normalized'!B:B,'Normalized Annual Summary'!CJ13)</f>
        <v>404193144.92029387</v>
      </c>
      <c r="CO13" s="501">
        <f t="shared" ca="1" si="22"/>
        <v>20472423.277131665</v>
      </c>
      <c r="CP13" s="501">
        <f t="shared" ref="CP13:CP14" ca="1" si="80">CN13-CO13</f>
        <v>383720721.64316219</v>
      </c>
      <c r="CQ13" s="501"/>
      <c r="CR13" s="501">
        <f t="shared" ref="CR13:CR14" ca="1" si="81">CP13+CQ13</f>
        <v>383720721.64316219</v>
      </c>
      <c r="CS13" s="499"/>
      <c r="CT13" s="500">
        <f t="shared" si="57"/>
        <v>2023</v>
      </c>
      <c r="CU13" s="501">
        <f>SUMIFS('Monthly Data'!BI:BI,'Monthly Data'!$B:$B,CT13)</f>
        <v>84916933.924258634</v>
      </c>
      <c r="CV13" s="501">
        <f ca="1">SUMIFS('Monthly Data'!BJ:BJ,'Monthly Data'!$B:$B,CT13)</f>
        <v>3366258.2168578375</v>
      </c>
      <c r="CW13" s="501">
        <f ca="1">SUMIFS('Monthly Data'!BK:BK,'Monthly Data'!$B:$B,CT13)</f>
        <v>88283192.14111647</v>
      </c>
      <c r="CX13" s="501">
        <f ca="1">SUMIFS('WRZ GS &lt; 50 Normalized'!V:V,'WRZ GS &lt; 50 Normalized'!B:B,CT13)</f>
        <v>93965294.276947573</v>
      </c>
      <c r="CY13" s="501">
        <f t="shared" ca="1" si="25"/>
        <v>3366258.2168578375</v>
      </c>
      <c r="CZ13" s="501">
        <f t="shared" ref="CZ13:CZ14" ca="1" si="82">CX13-CY13</f>
        <v>90599036.060089737</v>
      </c>
      <c r="DA13" s="501"/>
      <c r="DB13" s="501">
        <f t="shared" ref="DB13:DB14" ca="1" si="83">CZ13+DA13</f>
        <v>90599036.060089737</v>
      </c>
      <c r="DC13" s="501"/>
      <c r="DD13" s="500">
        <f t="shared" si="58"/>
        <v>2023</v>
      </c>
      <c r="DE13" s="501">
        <f>SUMIFS('Monthly Data'!BO:BO,'Monthly Data'!$B:$B,DD13)</f>
        <v>315729102.65025514</v>
      </c>
      <c r="DF13" s="501">
        <f ca="1">SUMIFS('Monthly Data'!BP:BP,'Monthly Data'!$B:$B,DD13)</f>
        <v>32865967.797896877</v>
      </c>
      <c r="DG13" s="501">
        <f ca="1">SUMIFS('Monthly Data'!BQ:BQ,'Monthly Data'!$B:$B,DD13)</f>
        <v>348595070.44815201</v>
      </c>
      <c r="DH13" s="501">
        <f ca="1">SUMIFS('WRZ GS 50-2,999 Normalized'!T:T,'WRZ GS 50-2,999 Normalized'!B:B,'Normalized Annual Summary'!DD13)</f>
        <v>354181755.54389894</v>
      </c>
      <c r="DI13" s="501">
        <f t="shared" ca="1" si="28"/>
        <v>32865967.797896877</v>
      </c>
      <c r="DJ13" s="501">
        <f t="shared" ref="DJ13:DJ14" ca="1" si="84">DH13-DI13</f>
        <v>321315787.74600208</v>
      </c>
      <c r="DK13" s="501"/>
      <c r="DL13" s="501">
        <f t="shared" ref="DL13:DL14" ca="1" si="85">DJ13+DK13</f>
        <v>321315787.74600208</v>
      </c>
      <c r="DM13" s="501">
        <f t="shared" ca="1" si="43"/>
        <v>354181755.54389894</v>
      </c>
      <c r="DN13" s="501"/>
      <c r="DO13" s="500">
        <f t="shared" si="59"/>
        <v>2023</v>
      </c>
      <c r="DP13" s="501">
        <f>SUMIFS('Monthly Data'!BU:BU,'Monthly Data'!$B:$B,DO13)</f>
        <v>82703199.884281576</v>
      </c>
      <c r="DQ13" s="501">
        <f ca="1">SUMIFS('Monthly Data'!BV:BV,'Monthly Data'!$B:$B,DO13)</f>
        <v>7394810.7536803428</v>
      </c>
      <c r="DR13" s="501">
        <f ca="1">SUMIFS('Monthly Data'!BW:BW,'Monthly Data'!$B:$B,DO13)</f>
        <v>90098010.637961924</v>
      </c>
      <c r="DS13" s="501">
        <f>SUMIFS('WRZ GS 3,000-4,999 Normalized'!O:O,'WRZ GS 3,000-4,999 Normalized'!B:B,'Normalized Annual Summary'!DO13)</f>
        <v>88312420.63704817</v>
      </c>
      <c r="DT13" s="501">
        <f t="shared" ca="1" si="31"/>
        <v>7394810.7536803428</v>
      </c>
      <c r="DU13" s="501">
        <f t="shared" ref="DU13:DU14" ca="1" si="86">DS13-DT13</f>
        <v>80917609.883367822</v>
      </c>
      <c r="DV13" s="501"/>
      <c r="DW13" s="501">
        <f t="shared" ref="DW13:DW14" ca="1" si="87">DU13+DV13</f>
        <v>80917609.883367822</v>
      </c>
      <c r="DX13" s="501">
        <f t="shared" si="44"/>
        <v>88312420.63704817</v>
      </c>
      <c r="DY13" s="499"/>
      <c r="DZ13" s="500">
        <f t="shared" si="60"/>
        <v>2023</v>
      </c>
      <c r="EA13" s="501">
        <f>SUMIFS('Monthly Data'!BZ:BZ,'Monthly Data'!$B:$B,DZ13)</f>
        <v>3509109.9961737129</v>
      </c>
      <c r="EB13" s="501">
        <f>'Customer Count'!BN11</f>
        <v>13555.45833333333</v>
      </c>
      <c r="EC13" s="501">
        <f t="shared" ref="EC13:EC14" si="88">EA13/EB13</f>
        <v>258.87062686362236</v>
      </c>
      <c r="ED13" s="501">
        <f t="shared" ref="ED13:ED14" si="89">EC13*EB13</f>
        <v>3509109.9961737129</v>
      </c>
      <c r="EE13" s="499"/>
      <c r="EF13" s="499"/>
      <c r="EG13" s="500">
        <f t="shared" si="61"/>
        <v>2023</v>
      </c>
      <c r="EH13" s="501">
        <f>SUMIFS('Monthly Data'!CA:CA,'Monthly Data'!$B:$B,EG13)</f>
        <v>29841.878706715124</v>
      </c>
      <c r="EI13" s="501">
        <f>'Customer Count'!BR11</f>
        <v>46</v>
      </c>
      <c r="EJ13" s="501">
        <f t="shared" ref="EJ13:EJ14" si="90">EH13/EI13</f>
        <v>648.7364936242418</v>
      </c>
      <c r="EK13" s="501">
        <f t="shared" ref="EK13:EK14" si="91">EJ13*EI13</f>
        <v>29841.878706715124</v>
      </c>
      <c r="EL13" s="499"/>
      <c r="EM13" s="499"/>
      <c r="EN13" s="500">
        <f t="shared" si="62"/>
        <v>2023</v>
      </c>
      <c r="EO13" s="501">
        <f>SUMIFS('Monthly Data'!CB:CB,'Monthly Data'!$B:$B,EN13)</f>
        <v>1876376.7744404057</v>
      </c>
      <c r="EP13" s="501">
        <f>'Customer Count'!BV11</f>
        <v>400.5</v>
      </c>
      <c r="EQ13" s="501">
        <f t="shared" ref="EQ13:EQ14" si="92">EO13/EP13</f>
        <v>4685.0855791271051</v>
      </c>
      <c r="ER13" s="501">
        <f>EQ13*EP13</f>
        <v>1876376.7744404057</v>
      </c>
    </row>
    <row r="14" spans="2:148" s="503" customFormat="1">
      <c r="B14" s="500">
        <f t="shared" si="47"/>
        <v>2024</v>
      </c>
      <c r="C14" s="501">
        <f>SUMIFS('Monthly Data'!D:D,'Monthly Data'!$B:$B,B14)</f>
        <v>1004549490.8056266</v>
      </c>
      <c r="D14" s="501">
        <f ca="1">SUMIFS('Monthly Data'!E:E,'Monthly Data'!$B:$B,B14)</f>
        <v>48701093.158022732</v>
      </c>
      <c r="E14" s="501">
        <f ca="1">SUMIFS('Monthly Data'!I:I,'Monthly Data'!$B:$B,B14)</f>
        <v>1026061378.5316277</v>
      </c>
      <c r="F14" s="501">
        <f ca="1">SUMIFS('VRZ Residential Normalized'!X:X,'VRZ Residential Normalized'!B:B,B14)</f>
        <v>1061057768.2562079</v>
      </c>
      <c r="G14" s="501">
        <f t="shared" ca="1" si="0"/>
        <v>48701093.158022732</v>
      </c>
      <c r="H14" s="501">
        <f t="shared" ca="1" si="63"/>
        <v>1012356675.0981852</v>
      </c>
      <c r="I14" s="501"/>
      <c r="J14" s="501">
        <f t="shared" ca="1" si="64"/>
        <v>1012356675.0981852</v>
      </c>
      <c r="K14" s="499"/>
      <c r="L14" s="500">
        <f t="shared" si="48"/>
        <v>2024</v>
      </c>
      <c r="M14" s="501">
        <f>SUMIFS('Monthly Data'!J:J,'Monthly Data'!$B:$B,L14)</f>
        <v>11668301.471916554</v>
      </c>
      <c r="N14" s="501">
        <f ca="1">SUMIFS('Monthly Data'!K:K,'Monthly Data'!$B:$B,L14)</f>
        <v>557800.29148058279</v>
      </c>
      <c r="O14" s="501">
        <f ca="1">SUMIFS('Monthly Data'!L:L,'Monthly Data'!$B:$B,L14)</f>
        <v>12226101.763397139</v>
      </c>
      <c r="P14" s="501">
        <f ca="1">SUMIFS('VRZ Seasonal Normalized'!V:V,'VRZ Seasonal Normalized'!B:B,L14)</f>
        <v>12376747.797103334</v>
      </c>
      <c r="Q14" s="501">
        <f t="shared" ca="1" si="3"/>
        <v>557800.29148058279</v>
      </c>
      <c r="R14" s="501">
        <f t="shared" ca="1" si="65"/>
        <v>11818947.505622752</v>
      </c>
      <c r="S14" s="501"/>
      <c r="T14" s="501">
        <f t="shared" ca="1" si="66"/>
        <v>11818947.505622752</v>
      </c>
      <c r="U14" s="499"/>
      <c r="V14" s="500">
        <f t="shared" si="49"/>
        <v>2024</v>
      </c>
      <c r="W14" s="501">
        <f>SUMIFS('Monthly Data'!P:P,'Monthly Data'!$B:$B,V14)</f>
        <v>245688514.14038527</v>
      </c>
      <c r="X14" s="501">
        <f ca="1">SUMIFS('Monthly Data'!Q:Q,'Monthly Data'!$B:$B,V14)</f>
        <v>20216081.352370325</v>
      </c>
      <c r="Y14" s="501">
        <f ca="1">SUMIFS('Monthly Data'!R:R,'Monthly Data'!$B:$B,V14)</f>
        <v>265904595.49275559</v>
      </c>
      <c r="Z14" s="501">
        <f ca="1">SUMIFS('VRZ GS &lt; 50 Normalized'!T:T,'VRZ GS &lt; 50 Normalized'!B:B,V14)</f>
        <v>282937794.41428858</v>
      </c>
      <c r="AA14" s="501">
        <f t="shared" ca="1" si="6"/>
        <v>20216081.352370325</v>
      </c>
      <c r="AB14" s="501">
        <f t="shared" ca="1" si="67"/>
        <v>262721713.06191826</v>
      </c>
      <c r="AC14" s="501"/>
      <c r="AD14" s="501">
        <f t="shared" ca="1" si="68"/>
        <v>262721713.06191826</v>
      </c>
      <c r="AE14" s="501"/>
      <c r="AF14" s="500">
        <f t="shared" si="50"/>
        <v>2024</v>
      </c>
      <c r="AG14" s="501">
        <f>SUMIFS('Monthly Data'!V:V,'Monthly Data'!$B:$B,AF14)</f>
        <v>926699529.78917146</v>
      </c>
      <c r="AH14" s="501">
        <f ca="1">SUMIFS('Monthly Data'!W:W,'Monthly Data'!$B:$B,AF14)</f>
        <v>84096539.303872481</v>
      </c>
      <c r="AI14" s="501">
        <f ca="1">SUMIFS('Monthly Data'!X:X,'Monthly Data'!$B:$B,AF14)</f>
        <v>1010796069.0930438</v>
      </c>
      <c r="AJ14" s="501">
        <f ca="1">SUMIFS('VRZ GS 50-2,999 Normalized'!V:V,'VRZ GS 50-2,999 Normalized'!B:B,AF14)</f>
        <v>1006888640.1475468</v>
      </c>
      <c r="AK14" s="501">
        <f t="shared" ca="1" si="9"/>
        <v>84096539.303872481</v>
      </c>
      <c r="AL14" s="501">
        <f t="shared" ca="1" si="69"/>
        <v>922792100.8436743</v>
      </c>
      <c r="AM14" s="501"/>
      <c r="AN14" s="501">
        <f t="shared" ca="1" si="70"/>
        <v>922792100.8436743</v>
      </c>
      <c r="AO14" s="501">
        <f t="shared" ca="1" si="38"/>
        <v>1006888640.1475468</v>
      </c>
      <c r="AP14" s="501"/>
      <c r="AQ14" s="500">
        <f t="shared" si="51"/>
        <v>2024</v>
      </c>
      <c r="AR14" s="501">
        <f>SUMIFS('Monthly Data'!AB:AB,'Monthly Data'!$B:$B,AQ14)</f>
        <v>94679921.545373872</v>
      </c>
      <c r="AS14" s="501">
        <f ca="1">SUMIFS('Monthly Data'!AC:AC,'Monthly Data'!$B:$B,AQ14)</f>
        <v>4256507.924413424</v>
      </c>
      <c r="AT14" s="501">
        <f ca="1">SUMIFS('Monthly Data'!AD:AD,'Monthly Data'!$B:$B,AQ14)</f>
        <v>98936429.469787315</v>
      </c>
      <c r="AU14" s="501">
        <f>SUMIFS('VRZ GS 3,000-4,999 Normalized'!M:M,'VRZ GS 3,000-4,999 Normalized'!B:B,'Normalized Annual Summary'!AQ14)</f>
        <v>102652191.16987173</v>
      </c>
      <c r="AV14" s="501">
        <f t="shared" ca="1" si="12"/>
        <v>4256507.924413424</v>
      </c>
      <c r="AW14" s="501">
        <f t="shared" ca="1" si="71"/>
        <v>98395683.245458305</v>
      </c>
      <c r="AX14" s="501"/>
      <c r="AY14" s="501">
        <f t="shared" ca="1" si="72"/>
        <v>98395683.245458305</v>
      </c>
      <c r="AZ14" s="501">
        <f t="shared" si="39"/>
        <v>102652191.16987173</v>
      </c>
      <c r="BA14" s="501"/>
      <c r="BB14" s="500">
        <f t="shared" si="52"/>
        <v>2024</v>
      </c>
      <c r="BC14" s="501">
        <f>SUMIFS('Monthly Data'!AG:AG,'Monthly Data'!$B:$B,BB14)</f>
        <v>319639648.58016247</v>
      </c>
      <c r="BD14" s="501">
        <f ca="1">SUMIFS('Monthly Data'!AH:AH,'Monthly Data'!$B:$B,BB14)</f>
        <v>24278179.364980012</v>
      </c>
      <c r="BE14" s="501">
        <f ca="1">SUMIFS('Monthly Data'!AI:AI,'Monthly Data'!$B:$B,BB14)</f>
        <v>343917827.94514245</v>
      </c>
      <c r="BF14" s="501">
        <f>SUMIFS('VRZ Large Use Normalized'!Q:Q,'VRZ Large Use Normalized'!B:B,'Normalized Annual Summary'!BB14)</f>
        <v>336150216.80939806</v>
      </c>
      <c r="BG14" s="501">
        <f t="shared" ca="1" si="15"/>
        <v>24278179.364980012</v>
      </c>
      <c r="BH14" s="501">
        <f t="shared" ca="1" si="73"/>
        <v>311872037.44441807</v>
      </c>
      <c r="BI14" s="501"/>
      <c r="BJ14" s="501">
        <f t="shared" ca="1" si="74"/>
        <v>311872037.44441807</v>
      </c>
      <c r="BK14" s="501">
        <f t="shared" si="40"/>
        <v>336150216.80939806</v>
      </c>
      <c r="BL14" s="499"/>
      <c r="BM14" s="500">
        <f t="shared" si="53"/>
        <v>2024</v>
      </c>
      <c r="BN14" s="501">
        <f>SUMIFS('Monthly Data'!AL:AL,'Monthly Data'!$B:$B,BM14)</f>
        <v>11585951.65998855</v>
      </c>
      <c r="BO14" s="501">
        <f>'Customer Count'!AG12</f>
        <v>32717.416666666661</v>
      </c>
      <c r="BP14" s="501">
        <f t="shared" si="75"/>
        <v>354.12183602480491</v>
      </c>
      <c r="BQ14" s="501">
        <f t="shared" si="76"/>
        <v>11585951.65998855</v>
      </c>
      <c r="BR14" s="499"/>
      <c r="BS14" s="499"/>
      <c r="BT14" s="500">
        <f t="shared" si="54"/>
        <v>2024</v>
      </c>
      <c r="BU14" s="501">
        <f>SUMIFS('Monthly Data'!AM:AM,'Monthly Data'!$B:$B,BT14)</f>
        <v>85942.730394962797</v>
      </c>
      <c r="BV14" s="501">
        <f>'Customer Count'!AK12</f>
        <v>238.29166666666674</v>
      </c>
      <c r="BW14" s="501">
        <f t="shared" si="77"/>
        <v>360.66192157354544</v>
      </c>
      <c r="BX14" s="501">
        <f t="shared" si="78"/>
        <v>85942.730394962797</v>
      </c>
      <c r="BY14" s="499"/>
      <c r="BZ14" s="499"/>
      <c r="CA14" s="500" t="e">
        <f t="shared" si="55"/>
        <v>#REF!</v>
      </c>
      <c r="CB14" s="501">
        <f>SUMIFS('Monthly Data'!AN:AN,'Monthly Data'!$B:$B,BT14)</f>
        <v>4525963.0509444773</v>
      </c>
      <c r="CC14" s="501">
        <f>'Customer Count'!AO12</f>
        <v>769.91666666666697</v>
      </c>
      <c r="CD14" s="501">
        <f t="shared" si="79"/>
        <v>5878.5102945485123</v>
      </c>
      <c r="CE14" s="501">
        <f>CD14*CC14</f>
        <v>4525963.0509444773</v>
      </c>
      <c r="CF14" s="499"/>
      <c r="CG14" s="499"/>
      <c r="CH14" s="499"/>
      <c r="CI14" s="499"/>
      <c r="CJ14" s="500">
        <f t="shared" si="56"/>
        <v>2024</v>
      </c>
      <c r="CK14" s="501">
        <f>SUMIFS('Monthly Data'!BC:BC,'Monthly Data'!$B:$B,CJ14)</f>
        <v>392915024.61658382</v>
      </c>
      <c r="CL14" s="501">
        <f ca="1">SUMIFS('Monthly Data'!BD:BD,'Monthly Data'!$B:$B,CJ14)</f>
        <v>21468218.343334988</v>
      </c>
      <c r="CM14" s="501">
        <f ca="1">SUMIFS('Monthly Data'!BE:BE,'Monthly Data'!$B:$B,CJ14)</f>
        <v>414383242.9599188</v>
      </c>
      <c r="CN14" s="501">
        <f ca="1">SUMIFS('WRZ Residential Normalized'!X:X,'WRZ Residential Normalized'!B:B,'Normalized Annual Summary'!CJ14)</f>
        <v>414530824.43792969</v>
      </c>
      <c r="CO14" s="501">
        <f t="shared" ca="1" si="22"/>
        <v>21468218.343334988</v>
      </c>
      <c r="CP14" s="501">
        <f t="shared" ca="1" si="80"/>
        <v>393062606.09459472</v>
      </c>
      <c r="CQ14" s="501"/>
      <c r="CR14" s="501">
        <f t="shared" ca="1" si="81"/>
        <v>393062606.09459472</v>
      </c>
      <c r="CS14" s="499"/>
      <c r="CT14" s="500">
        <f t="shared" si="57"/>
        <v>2024</v>
      </c>
      <c r="CU14" s="501">
        <f>SUMIFS('Monthly Data'!BI:BI,'Monthly Data'!$B:$B,CT14)</f>
        <v>84569272.920165718</v>
      </c>
      <c r="CV14" s="501">
        <f ca="1">SUMIFS('Monthly Data'!BJ:BJ,'Monthly Data'!$B:$B,CT14)</f>
        <v>3783850.3564802604</v>
      </c>
      <c r="CW14" s="501">
        <f ca="1">SUMIFS('Monthly Data'!BK:BK,'Monthly Data'!$B:$B,CT14)</f>
        <v>88353123.276645958</v>
      </c>
      <c r="CX14" s="501">
        <f ca="1">SUMIFS('WRZ GS &lt; 50 Normalized'!V:V,'WRZ GS &lt; 50 Normalized'!B:B,CT14)</f>
        <v>95668868.366025284</v>
      </c>
      <c r="CY14" s="501">
        <f t="shared" ca="1" si="25"/>
        <v>3783850.3564802604</v>
      </c>
      <c r="CZ14" s="501">
        <f t="shared" ca="1" si="82"/>
        <v>91885018.009545028</v>
      </c>
      <c r="DA14" s="501"/>
      <c r="DB14" s="501">
        <f t="shared" ca="1" si="83"/>
        <v>91885018.009545028</v>
      </c>
      <c r="DC14" s="501"/>
      <c r="DD14" s="500">
        <f t="shared" si="58"/>
        <v>2024</v>
      </c>
      <c r="DE14" s="501">
        <f>SUMIFS('Monthly Data'!BO:BO,'Monthly Data'!$B:$B,DD14)</f>
        <v>323457018.24557191</v>
      </c>
      <c r="DF14" s="501">
        <f ca="1">SUMIFS('Monthly Data'!BP:BP,'Monthly Data'!$B:$B,DD14)</f>
        <v>36390708.532712564</v>
      </c>
      <c r="DG14" s="501">
        <f ca="1">SUMIFS('Monthly Data'!BQ:BQ,'Monthly Data'!$B:$B,DD14)</f>
        <v>359847726.77828443</v>
      </c>
      <c r="DH14" s="501">
        <f ca="1">SUMIFS('WRZ GS 50-2,999 Normalized'!T:T,'WRZ GS 50-2,999 Normalized'!B:B,'Normalized Annual Summary'!DD14)</f>
        <v>354786439.01965356</v>
      </c>
      <c r="DI14" s="501">
        <f t="shared" ca="1" si="28"/>
        <v>36390708.532712564</v>
      </c>
      <c r="DJ14" s="501">
        <f t="shared" ca="1" si="84"/>
        <v>318395730.48694098</v>
      </c>
      <c r="DK14" s="501"/>
      <c r="DL14" s="501">
        <f t="shared" ca="1" si="85"/>
        <v>318395730.48694098</v>
      </c>
      <c r="DM14" s="501">
        <f t="shared" ca="1" si="43"/>
        <v>354786439.01965356</v>
      </c>
      <c r="DN14" s="501"/>
      <c r="DO14" s="500">
        <f t="shared" si="59"/>
        <v>2024</v>
      </c>
      <c r="DP14" s="501">
        <f>SUMIFS('Monthly Data'!BU:BU,'Monthly Data'!$B:$B,DO14)</f>
        <v>79491989.566055939</v>
      </c>
      <c r="DQ14" s="501">
        <f ca="1">SUMIFS('Monthly Data'!BV:BV,'Monthly Data'!$B:$B,DO14)</f>
        <v>8196957.3675000612</v>
      </c>
      <c r="DR14" s="501">
        <f ca="1">SUMIFS('Monthly Data'!BW:BW,'Monthly Data'!$B:$B,DO14)</f>
        <v>87688946.93355599</v>
      </c>
      <c r="DS14" s="501">
        <f>SUMIFS('WRZ GS 3,000-4,999 Normalized'!O:O,'WRZ GS 3,000-4,999 Normalized'!B:B,'Normalized Annual Summary'!DO14)</f>
        <v>88520217.207325146</v>
      </c>
      <c r="DT14" s="501">
        <f t="shared" ca="1" si="31"/>
        <v>8196957.3675000612</v>
      </c>
      <c r="DU14" s="501">
        <f t="shared" ca="1" si="86"/>
        <v>80323259.839825079</v>
      </c>
      <c r="DV14" s="501"/>
      <c r="DW14" s="501">
        <f t="shared" ca="1" si="87"/>
        <v>80323259.839825079</v>
      </c>
      <c r="DX14" s="501">
        <f t="shared" si="44"/>
        <v>88520217.207325146</v>
      </c>
      <c r="DY14" s="499"/>
      <c r="DZ14" s="500">
        <f t="shared" si="60"/>
        <v>2024</v>
      </c>
      <c r="EA14" s="501">
        <f>SUMIFS('Monthly Data'!BZ:BZ,'Monthly Data'!$B:$B,DZ14)</f>
        <v>3547066.0034436584</v>
      </c>
      <c r="EB14" s="501">
        <f>'Customer Count'!BN12</f>
        <v>13708</v>
      </c>
      <c r="EC14" s="501">
        <f t="shared" si="88"/>
        <v>258.758827213573</v>
      </c>
      <c r="ED14" s="501">
        <f t="shared" si="89"/>
        <v>3547066.0034436588</v>
      </c>
      <c r="EE14" s="499"/>
      <c r="EF14" s="499"/>
      <c r="EG14" s="500">
        <f t="shared" si="61"/>
        <v>2024</v>
      </c>
      <c r="EH14" s="501">
        <f>SUMIFS('Monthly Data'!CA:CA,'Monthly Data'!$B:$B,EG14)</f>
        <v>6038.9707289075932</v>
      </c>
      <c r="EI14" s="501">
        <f>'Customer Count'!BR12</f>
        <v>45.458333333333314</v>
      </c>
      <c r="EJ14" s="501">
        <f t="shared" si="90"/>
        <v>132.84628551217443</v>
      </c>
      <c r="EK14" s="501">
        <f t="shared" si="91"/>
        <v>6038.9707289075932</v>
      </c>
      <c r="EL14" s="499"/>
      <c r="EM14" s="499"/>
      <c r="EN14" s="500">
        <f t="shared" si="62"/>
        <v>2024</v>
      </c>
      <c r="EO14" s="501">
        <f>SUMIFS('Monthly Data'!CB:CB,'Monthly Data'!$B:$B,EN14)</f>
        <v>1876673.7325425674</v>
      </c>
      <c r="EP14" s="501">
        <f>'Customer Count'!BV12</f>
        <v>396.25</v>
      </c>
      <c r="EQ14" s="501">
        <f t="shared" si="92"/>
        <v>4736.0851294449649</v>
      </c>
      <c r="ER14" s="501">
        <f>EQ14*EP14</f>
        <v>1876673.7325425674</v>
      </c>
    </row>
    <row r="15" spans="2:148" s="503" customFormat="1">
      <c r="B15" s="500">
        <f t="shared" si="47"/>
        <v>2025</v>
      </c>
      <c r="C15" s="501">
        <f>SUMIFS('Monthly Data'!D:D,'Monthly Data'!$B:$B,B15)</f>
        <v>1029025835.5756625</v>
      </c>
      <c r="D15" s="501">
        <f ca="1">SUMIFS('Monthly Data'!E:E,'Monthly Data'!$B:$B,B15)</f>
        <v>53678229.867533736</v>
      </c>
      <c r="E15" s="501">
        <f ca="1">SUMIFS('Monthly Data'!I:I,'Monthly Data'!$B:$B,B15)</f>
        <v>1045222584.8829026</v>
      </c>
      <c r="F15" s="501">
        <f ca="1">SUMIFS('VRZ Residential Normalized'!X:X,'VRZ Residential Normalized'!B:B,B15)</f>
        <v>1084637822.572552</v>
      </c>
      <c r="G15" s="501">
        <f t="shared" ref="G15" ca="1" si="93">D15</f>
        <v>53678229.867533736</v>
      </c>
      <c r="H15" s="501">
        <f t="shared" ref="H15" ca="1" si="94">F15-G15</f>
        <v>1030959592.7050183</v>
      </c>
      <c r="I15" s="501"/>
      <c r="J15" s="501">
        <f t="shared" ref="J15" ca="1" si="95">H15+I15</f>
        <v>1030959592.7050183</v>
      </c>
      <c r="K15" s="499"/>
      <c r="L15" s="500">
        <f t="shared" si="48"/>
        <v>2025</v>
      </c>
      <c r="M15" s="501">
        <f>SUMIFS('Monthly Data'!J:J,'Monthly Data'!$B:$B,L15)</f>
        <v>12704009.788637662</v>
      </c>
      <c r="N15" s="501">
        <f ca="1">SUMIFS('Monthly Data'!K:K,'Monthly Data'!$B:$B,L15)</f>
        <v>614782.90910103905</v>
      </c>
      <c r="O15" s="501">
        <f ca="1">SUMIFS('Monthly Data'!L:L,'Monthly Data'!$B:$B,L15)</f>
        <v>13318792.6977387</v>
      </c>
      <c r="P15" s="501">
        <f ca="1">SUMIFS('VRZ Seasonal Normalized'!V:V,'VRZ Seasonal Normalized'!B:B,L15)</f>
        <v>12831182.139277501</v>
      </c>
      <c r="Q15" s="501">
        <f t="shared" ref="Q15" ca="1" si="96">N15</f>
        <v>614782.90910103905</v>
      </c>
      <c r="R15" s="501">
        <f t="shared" ref="R15" ca="1" si="97">P15-Q15</f>
        <v>12216399.230176462</v>
      </c>
      <c r="S15" s="501"/>
      <c r="T15" s="501">
        <f t="shared" ref="T15" ca="1" si="98">R15+S15</f>
        <v>12216399.230176462</v>
      </c>
      <c r="U15" s="499"/>
      <c r="V15" s="500">
        <f t="shared" si="49"/>
        <v>2025</v>
      </c>
      <c r="W15" s="501">
        <f>SUMIFS('Monthly Data'!P:P,'Monthly Data'!$B:$B,V15)</f>
        <v>250378458.48071903</v>
      </c>
      <c r="X15" s="501">
        <f ca="1">SUMIFS('Monthly Data'!Q:Q,'Monthly Data'!$B:$B,V15)</f>
        <v>22435569.534482233</v>
      </c>
      <c r="Y15" s="501">
        <f ca="1">SUMIFS('Monthly Data'!R:R,'Monthly Data'!$B:$B,V15)</f>
        <v>272814028.01520127</v>
      </c>
      <c r="Z15" s="501">
        <f ca="1">SUMIFS('VRZ GS &lt; 50 Normalized'!T:T,'VRZ GS &lt; 50 Normalized'!B:B,V15)</f>
        <v>284369855.61462831</v>
      </c>
      <c r="AA15" s="501">
        <f t="shared" ref="AA15" ca="1" si="99">X15</f>
        <v>22435569.534482233</v>
      </c>
      <c r="AB15" s="501">
        <f t="shared" ref="AB15" ca="1" si="100">Z15-AA15</f>
        <v>261934286.08014607</v>
      </c>
      <c r="AC15" s="501"/>
      <c r="AD15" s="501">
        <f t="shared" ref="AD15" ca="1" si="101">AB15+AC15</f>
        <v>261934286.08014607</v>
      </c>
      <c r="AE15" s="501"/>
      <c r="AF15" s="500">
        <f t="shared" si="50"/>
        <v>2025</v>
      </c>
      <c r="AG15" s="501">
        <f>SUMIFS('Monthly Data'!V:V,'Monthly Data'!$B:$B,AF15)</f>
        <v>928770254.56307244</v>
      </c>
      <c r="AH15" s="501">
        <f ca="1">SUMIFS('Monthly Data'!W:W,'Monthly Data'!$B:$B,AF15)</f>
        <v>96649861.339127272</v>
      </c>
      <c r="AI15" s="501">
        <f ca="1">SUMIFS('Monthly Data'!X:X,'Monthly Data'!$B:$B,AF15)</f>
        <v>1025420115.9021995</v>
      </c>
      <c r="AJ15" s="501">
        <f ca="1">SUMIFS('VRZ GS 50-2,999 Normalized'!V:V,'VRZ GS 50-2,999 Normalized'!B:B,AF15)</f>
        <v>1010966516.2769028</v>
      </c>
      <c r="AK15" s="501">
        <f t="shared" ref="AK15" ca="1" si="102">AH15</f>
        <v>96649861.339127272</v>
      </c>
      <c r="AL15" s="501">
        <f t="shared" ref="AL15" ca="1" si="103">AJ15-AK15</f>
        <v>914316654.93777549</v>
      </c>
      <c r="AM15" s="501"/>
      <c r="AN15" s="501">
        <f t="shared" ref="AN15" ca="1" si="104">AL15+AM15</f>
        <v>914316654.93777549</v>
      </c>
      <c r="AO15" s="501">
        <f t="shared" ref="AO15" ca="1" si="105">AJ15+AM15</f>
        <v>1010966516.2769028</v>
      </c>
      <c r="AP15" s="501"/>
      <c r="AQ15" s="500">
        <f t="shared" si="51"/>
        <v>2025</v>
      </c>
      <c r="AR15" s="501">
        <f>SUMIFS('Monthly Data'!AB:AB,'Monthly Data'!$B:$B,AQ15)</f>
        <v>95012917.659763187</v>
      </c>
      <c r="AS15" s="501">
        <f ca="1">SUMIFS('Monthly Data'!AC:AC,'Monthly Data'!$B:$B,AQ15)</f>
        <v>5254981.7322503617</v>
      </c>
      <c r="AT15" s="501">
        <f ca="1">SUMIFS('Monthly Data'!AD:AD,'Monthly Data'!$B:$B,AQ15)</f>
        <v>100267899.39201353</v>
      </c>
      <c r="AU15" s="501">
        <f>SUMIFS('VRZ GS 3,000-4,999 Normalized'!M:M,'VRZ GS 3,000-4,999 Normalized'!B:B,'Normalized Annual Summary'!AQ15)</f>
        <v>103835270.14932095</v>
      </c>
      <c r="AV15" s="501">
        <f t="shared" ref="AV15" ca="1" si="106">AS15</f>
        <v>5254981.7322503617</v>
      </c>
      <c r="AW15" s="501">
        <f t="shared" ref="AW15" ca="1" si="107">AU15-AV15</f>
        <v>98580288.417070583</v>
      </c>
      <c r="AX15" s="501"/>
      <c r="AY15" s="501">
        <f t="shared" ref="AY15" ca="1" si="108">AW15+AX15</f>
        <v>98580288.417070583</v>
      </c>
      <c r="AZ15" s="501">
        <f t="shared" ref="AZ15" si="109">AU15+AX15</f>
        <v>103835270.14932095</v>
      </c>
      <c r="BA15" s="501"/>
      <c r="BB15" s="500">
        <f t="shared" si="52"/>
        <v>2025</v>
      </c>
      <c r="BC15" s="501">
        <f>SUMIFS('Monthly Data'!AG:AG,'Monthly Data'!$B:$B,BB15)</f>
        <v>320243428.7364316</v>
      </c>
      <c r="BD15" s="501">
        <f ca="1">SUMIFS('Monthly Data'!AH:AH,'Monthly Data'!$B:$B,BB15)</f>
        <v>28857906.653327536</v>
      </c>
      <c r="BE15" s="501">
        <f ca="1">SUMIFS('Monthly Data'!AI:AI,'Monthly Data'!$B:$B,BB15)</f>
        <v>349101335.38975924</v>
      </c>
      <c r="BF15" s="501">
        <f>SUMIFS('VRZ Large Use Normalized'!Q:Q,'VRZ Large Use Normalized'!B:B,'Normalized Annual Summary'!BB15)</f>
        <v>343395116.9900229</v>
      </c>
      <c r="BG15" s="501">
        <f t="shared" ref="BG15" ca="1" si="110">BD15</f>
        <v>28857906.653327536</v>
      </c>
      <c r="BH15" s="501">
        <f t="shared" ref="BH15" ca="1" si="111">BF15-BG15</f>
        <v>314537210.33669537</v>
      </c>
      <c r="BI15" s="501"/>
      <c r="BJ15" s="501">
        <f t="shared" ref="BJ15" ca="1" si="112">BH15+BI15</f>
        <v>314537210.33669537</v>
      </c>
      <c r="BK15" s="501">
        <f t="shared" ref="BK15" si="113">BF15+BI15</f>
        <v>343395116.9900229</v>
      </c>
      <c r="BL15" s="499"/>
      <c r="BM15" s="500">
        <f t="shared" si="53"/>
        <v>2025</v>
      </c>
      <c r="BN15" s="501">
        <f>SUMIFS('Monthly Data'!AL:AL,'Monthly Data'!$B:$B,BM15)</f>
        <v>11654612.020606756</v>
      </c>
      <c r="BO15" s="501">
        <f>'Customer Count'!AG13</f>
        <v>33148.291666666679</v>
      </c>
      <c r="BP15" s="501">
        <f t="shared" ref="BP15" si="114">BN15/BO15</f>
        <v>351.59012530128132</v>
      </c>
      <c r="BQ15" s="501">
        <f t="shared" ref="BQ15" si="115">BP15*BO15</f>
        <v>11654612.020606756</v>
      </c>
      <c r="BR15" s="499"/>
      <c r="BS15" s="499"/>
      <c r="BT15" s="500">
        <f t="shared" si="54"/>
        <v>2025</v>
      </c>
      <c r="BU15" s="501">
        <f>SUMIFS('Monthly Data'!AM:AM,'Monthly Data'!$B:$B,BT15)</f>
        <v>84532.818164472439</v>
      </c>
      <c r="BV15" s="501">
        <f>'Customer Count'!AK13</f>
        <v>231.125</v>
      </c>
      <c r="BW15" s="501">
        <f t="shared" ref="BW15" si="116">BU15/BV15</f>
        <v>365.74502180409922</v>
      </c>
      <c r="BX15" s="501">
        <f t="shared" ref="BX15" si="117">BW15*BV15</f>
        <v>84532.818164472439</v>
      </c>
      <c r="BY15" s="499"/>
      <c r="BZ15" s="499"/>
      <c r="CA15" s="500" t="e">
        <f t="shared" si="55"/>
        <v>#REF!</v>
      </c>
      <c r="CB15" s="501">
        <f>SUMIFS('Monthly Data'!AN:AN,'Monthly Data'!$B:$B,BT15)</f>
        <v>4511287.6741079949</v>
      </c>
      <c r="CC15" s="501">
        <f>'Customer Count'!AO13</f>
        <v>775.16666666666697</v>
      </c>
      <c r="CD15" s="501">
        <f t="shared" ref="CD15" si="118">CB15/CC15</f>
        <v>5819.7647913670089</v>
      </c>
      <c r="CE15" s="501">
        <f>CD15*CC15</f>
        <v>4511287.6741079949</v>
      </c>
      <c r="CF15" s="499"/>
      <c r="CG15" s="499"/>
      <c r="CH15" s="499"/>
      <c r="CI15" s="499"/>
      <c r="CJ15" s="500">
        <f t="shared" si="56"/>
        <v>2025</v>
      </c>
      <c r="CK15" s="501">
        <f>SUMIFS('Monthly Data'!BC:BC,'Monthly Data'!$B:$B,CJ15)</f>
        <v>402680727.20947945</v>
      </c>
      <c r="CL15" s="501">
        <f ca="1">SUMIFS('Monthly Data'!BD:BD,'Monthly Data'!$B:$B,CJ15)</f>
        <v>23405957.63295152</v>
      </c>
      <c r="CM15" s="501">
        <f ca="1">SUMIFS('Monthly Data'!BE:BE,'Monthly Data'!$B:$B,CJ15)</f>
        <v>426086684.84243095</v>
      </c>
      <c r="CN15" s="501">
        <f ca="1">SUMIFS('WRZ Residential Normalized'!X:X,'WRZ Residential Normalized'!B:B,'Normalized Annual Summary'!CJ15)</f>
        <v>424420113.3362121</v>
      </c>
      <c r="CO15" s="501">
        <f t="shared" ref="CO15" ca="1" si="119">CL15</f>
        <v>23405957.63295152</v>
      </c>
      <c r="CP15" s="501">
        <f t="shared" ref="CP15" ca="1" si="120">CN15-CO15</f>
        <v>401014155.7032606</v>
      </c>
      <c r="CQ15" s="501"/>
      <c r="CR15" s="501">
        <f t="shared" ref="CR15" ca="1" si="121">CP15+CQ15</f>
        <v>401014155.7032606</v>
      </c>
      <c r="CS15" s="499"/>
      <c r="CT15" s="500">
        <f t="shared" si="57"/>
        <v>2025</v>
      </c>
      <c r="CU15" s="501">
        <f>SUMIFS('Monthly Data'!BI:BI,'Monthly Data'!$B:$B,CT15)</f>
        <v>84094466.362244099</v>
      </c>
      <c r="CV15" s="501">
        <f ca="1">SUMIFS('Monthly Data'!BJ:BJ,'Monthly Data'!$B:$B,CT15)</f>
        <v>4051534.2818650324</v>
      </c>
      <c r="CW15" s="501">
        <f ca="1">SUMIFS('Monthly Data'!BK:BK,'Monthly Data'!$B:$B,CT15)</f>
        <v>88146000.644109145</v>
      </c>
      <c r="CX15" s="501">
        <f ca="1">SUMIFS('WRZ GS &lt; 50 Normalized'!V:V,'WRZ GS &lt; 50 Normalized'!B:B,CT15)</f>
        <v>97080915.92819646</v>
      </c>
      <c r="CY15" s="501">
        <f t="shared" ref="CY15" ca="1" si="122">CV15</f>
        <v>4051534.2818650324</v>
      </c>
      <c r="CZ15" s="501">
        <f t="shared" ref="CZ15" ca="1" si="123">CX15-CY15</f>
        <v>93029381.646331429</v>
      </c>
      <c r="DA15" s="501"/>
      <c r="DB15" s="501">
        <f t="shared" ref="DB15" ca="1" si="124">CZ15+DA15</f>
        <v>93029381.646331429</v>
      </c>
      <c r="DC15" s="501"/>
      <c r="DD15" s="500">
        <f t="shared" si="58"/>
        <v>2025</v>
      </c>
      <c r="DE15" s="501">
        <f>SUMIFS('Monthly Data'!BO:BO,'Monthly Data'!$B:$B,DD15)</f>
        <v>341652807.60852599</v>
      </c>
      <c r="DF15" s="501">
        <f ca="1">SUMIFS('Monthly Data'!BP:BP,'Monthly Data'!$B:$B,DD15)</f>
        <v>41869095.606509157</v>
      </c>
      <c r="DG15" s="501">
        <f ca="1">SUMIFS('Monthly Data'!BQ:BQ,'Monthly Data'!$B:$B,DD15)</f>
        <v>383521903.21503514</v>
      </c>
      <c r="DH15" s="501">
        <f ca="1">SUMIFS('WRZ GS 50-2,999 Normalized'!T:T,'WRZ GS 50-2,999 Normalized'!B:B,'Normalized Annual Summary'!DD15)</f>
        <v>354675063.06051058</v>
      </c>
      <c r="DI15" s="501">
        <f t="shared" ref="DI15" ca="1" si="125">DF15</f>
        <v>41869095.606509157</v>
      </c>
      <c r="DJ15" s="501">
        <f t="shared" ref="DJ15" ca="1" si="126">DH15-DI15</f>
        <v>312805967.45400143</v>
      </c>
      <c r="DK15" s="501"/>
      <c r="DL15" s="501">
        <f t="shared" ref="DL15" ca="1" si="127">DJ15+DK15</f>
        <v>312805967.45400143</v>
      </c>
      <c r="DM15" s="501">
        <f t="shared" ref="DM15" ca="1" si="128">DH15+DK15</f>
        <v>354675063.06051058</v>
      </c>
      <c r="DN15" s="501"/>
      <c r="DO15" s="500">
        <f t="shared" si="59"/>
        <v>2025</v>
      </c>
      <c r="DP15" s="501">
        <f>SUMIFS('Monthly Data'!BU:BU,'Monthly Data'!$B:$B,DO15)</f>
        <v>79867037.608023137</v>
      </c>
      <c r="DQ15" s="501">
        <f ca="1">SUMIFS('Monthly Data'!BV:BV,'Monthly Data'!$B:$B,DO15)</f>
        <v>9442702.7434277013</v>
      </c>
      <c r="DR15" s="501">
        <f ca="1">SUMIFS('Monthly Data'!BW:BW,'Monthly Data'!$B:$B,DO15)</f>
        <v>89309740.351450846</v>
      </c>
      <c r="DS15" s="501">
        <f>SUMIFS('WRZ GS 3,000-4,999 Normalized'!O:O,'WRZ GS 3,000-4,999 Normalized'!B:B,'Normalized Annual Summary'!DO15)</f>
        <v>88357869.189048156</v>
      </c>
      <c r="DT15" s="501">
        <f t="shared" ref="DT15" ca="1" si="129">DQ15</f>
        <v>9442702.7434277013</v>
      </c>
      <c r="DU15" s="501">
        <f t="shared" ref="DU15" ca="1" si="130">DS15-DT15</f>
        <v>78915166.445620447</v>
      </c>
      <c r="DV15" s="501"/>
      <c r="DW15" s="501">
        <f t="shared" ref="DW15" ca="1" si="131">DU15+DV15</f>
        <v>78915166.445620447</v>
      </c>
      <c r="DX15" s="501">
        <f t="shared" ref="DX15" si="132">DS15+DV15</f>
        <v>88357869.189048156</v>
      </c>
      <c r="DY15" s="499"/>
      <c r="DZ15" s="500">
        <f t="shared" si="60"/>
        <v>2025</v>
      </c>
      <c r="EA15" s="501">
        <f>SUMIFS('Monthly Data'!BZ:BZ,'Monthly Data'!$B:$B,DZ15)</f>
        <v>3585601.999234742</v>
      </c>
      <c r="EB15" s="501">
        <f>'Customer Count'!BN13</f>
        <v>13854.54166666667</v>
      </c>
      <c r="EC15" s="501">
        <f t="shared" ref="EC15" si="133">EA15/EB15</f>
        <v>258.8033646657197</v>
      </c>
      <c r="ED15" s="501">
        <f t="shared" ref="ED15" si="134">EC15*EB15</f>
        <v>3585601.999234742</v>
      </c>
      <c r="EE15" s="499"/>
      <c r="EF15" s="499"/>
      <c r="EG15" s="500">
        <f t="shared" si="61"/>
        <v>2025</v>
      </c>
      <c r="EH15" s="501">
        <f>SUMIFS('Monthly Data'!CA:CA,'Monthly Data'!$B:$B,EG15)</f>
        <v>6022.4698679931107</v>
      </c>
      <c r="EI15" s="501">
        <f>'Customer Count'!BR13</f>
        <v>44.458333333333314</v>
      </c>
      <c r="EJ15" s="501">
        <f t="shared" ref="EJ15" si="135">EH15/EI15</f>
        <v>135.46323976741772</v>
      </c>
      <c r="EK15" s="501">
        <f t="shared" ref="EK15" si="136">EJ15*EI15</f>
        <v>6022.4698679931098</v>
      </c>
      <c r="EL15" s="499"/>
      <c r="EM15" s="499"/>
      <c r="EN15" s="500">
        <f t="shared" si="62"/>
        <v>2025</v>
      </c>
      <c r="EO15" s="501">
        <f>SUMIFS('Monthly Data'!CB:CB,'Monthly Data'!$B:$B,EN15)</f>
        <v>1871192.7396211973</v>
      </c>
      <c r="EP15" s="501">
        <f>'Customer Count'!BV13</f>
        <v>390.16666666666652</v>
      </c>
      <c r="EQ15" s="501">
        <f t="shared" ref="EQ15" si="137">EO15/EP15</f>
        <v>4795.8805799774409</v>
      </c>
      <c r="ER15" s="501">
        <f>EQ15*EP15</f>
        <v>1871192.7396211976</v>
      </c>
    </row>
    <row r="16" spans="2:148" s="503" customFormat="1">
      <c r="B16" s="495">
        <f t="shared" si="47"/>
        <v>2026</v>
      </c>
      <c r="C16" s="496"/>
      <c r="D16" s="496"/>
      <c r="E16" s="496"/>
      <c r="F16" s="496">
        <f ca="1">SUMIFS('VRZ Residential Normalized'!X:X,'VRZ Residential Normalized'!B:B,B16)</f>
        <v>1108278710.0654449</v>
      </c>
      <c r="G16" s="496">
        <f ca="1">CDM!W26</f>
        <v>47526780.406003781</v>
      </c>
      <c r="H16" s="496">
        <f t="shared" ca="1" si="1"/>
        <v>1060751929.6594411</v>
      </c>
      <c r="I16" s="496"/>
      <c r="J16" s="496">
        <f t="shared" ca="1" si="2"/>
        <v>1060751929.6594411</v>
      </c>
      <c r="K16" s="504"/>
      <c r="L16" s="495">
        <f t="shared" si="48"/>
        <v>2026</v>
      </c>
      <c r="M16" s="496"/>
      <c r="N16" s="496"/>
      <c r="O16" s="496"/>
      <c r="P16" s="496">
        <f ca="1">SUMIFS('VRZ Seasonal Normalized'!V:V,'VRZ Seasonal Normalized'!B:B,L16)</f>
        <v>13302104.407652184</v>
      </c>
      <c r="Q16" s="496">
        <f ca="1">CDM!X26</f>
        <v>544351.16344422672</v>
      </c>
      <c r="R16" s="496">
        <f t="shared" ca="1" si="4"/>
        <v>12757753.244207958</v>
      </c>
      <c r="S16" s="496"/>
      <c r="T16" s="496">
        <f t="shared" ca="1" si="5"/>
        <v>12757753.244207958</v>
      </c>
      <c r="U16" s="504"/>
      <c r="V16" s="495">
        <f t="shared" si="49"/>
        <v>2026</v>
      </c>
      <c r="W16" s="496"/>
      <c r="X16" s="496"/>
      <c r="Y16" s="496"/>
      <c r="Z16" s="496">
        <f ca="1">SUMIFS('VRZ GS &lt; 50 Normalized'!T:T,'VRZ GS &lt; 50 Normalized'!B:B,V16)</f>
        <v>285809081.07103664</v>
      </c>
      <c r="AA16" s="496">
        <f ca="1">CDM!Y26</f>
        <v>17015729.508243386</v>
      </c>
      <c r="AB16" s="496">
        <f t="shared" ca="1" si="7"/>
        <v>268793351.56279325</v>
      </c>
      <c r="AC16" s="496"/>
      <c r="AD16" s="496">
        <f t="shared" ca="1" si="8"/>
        <v>268793351.56279325</v>
      </c>
      <c r="AE16" s="496"/>
      <c r="AF16" s="495">
        <f t="shared" si="50"/>
        <v>2026</v>
      </c>
      <c r="AG16" s="496"/>
      <c r="AH16" s="496"/>
      <c r="AI16" s="496"/>
      <c r="AJ16" s="496">
        <f ca="1">SUMIFS('VRZ GS 50-2,999 Normalized'!V:V,'VRZ GS 50-2,999 Normalized'!B:B,AF16)</f>
        <v>1014289345.1608567</v>
      </c>
      <c r="AK16" s="496">
        <f ca="1">CDM!Z26</f>
        <v>77688350.574746475</v>
      </c>
      <c r="AL16" s="496">
        <f t="shared" ca="1" si="10"/>
        <v>936600994.58611023</v>
      </c>
      <c r="AM16" s="496">
        <f>'Total Additional'!F21</f>
        <v>42830972.129799999</v>
      </c>
      <c r="AN16" s="496">
        <f t="shared" ca="1" si="11"/>
        <v>979431966.7159102</v>
      </c>
      <c r="AO16" s="496">
        <f t="shared" ca="1" si="38"/>
        <v>1057120317.2906567</v>
      </c>
      <c r="AP16" s="496"/>
      <c r="AQ16" s="495">
        <f t="shared" si="51"/>
        <v>2026</v>
      </c>
      <c r="AR16" s="496"/>
      <c r="AS16" s="496"/>
      <c r="AT16" s="496"/>
      <c r="AU16" s="496">
        <f>SUMIFS('VRZ GS 3,000-4,999 Normalized'!M:M,'VRZ GS 3,000-4,999 Normalized'!B:B,'Normalized Annual Summary'!AQ16)</f>
        <v>104549706.13007125</v>
      </c>
      <c r="AV16" s="496">
        <f ca="1">CDM!AA26</f>
        <v>4109352.1106328429</v>
      </c>
      <c r="AW16" s="496">
        <f t="shared" ca="1" si="13"/>
        <v>100440354.01943842</v>
      </c>
      <c r="AX16" s="496">
        <f>'Total Additional'!F22</f>
        <v>21255699.266600002</v>
      </c>
      <c r="AY16" s="496">
        <f t="shared" ca="1" si="14"/>
        <v>121696053.28603841</v>
      </c>
      <c r="AZ16" s="496">
        <f t="shared" si="39"/>
        <v>125805405.39667125</v>
      </c>
      <c r="BA16" s="496"/>
      <c r="BB16" s="495">
        <f t="shared" si="52"/>
        <v>2026</v>
      </c>
      <c r="BC16" s="496"/>
      <c r="BD16" s="496"/>
      <c r="BE16" s="496"/>
      <c r="BF16" s="496">
        <f>SUMIFS('VRZ Large Use Normalized'!Q:Q,'VRZ Large Use Normalized'!B:B,'Normalized Annual Summary'!BB16)</f>
        <v>347632765.02085567</v>
      </c>
      <c r="BG16" s="496">
        <f ca="1">CDM!AB26</f>
        <v>22216184.132143892</v>
      </c>
      <c r="BH16" s="496">
        <f t="shared" ca="1" si="16"/>
        <v>325416580.88871175</v>
      </c>
      <c r="BI16" s="496">
        <f>'Total Additional'!F23</f>
        <v>23648220.5473</v>
      </c>
      <c r="BJ16" s="496">
        <f t="shared" ca="1" si="17"/>
        <v>349064801.43601173</v>
      </c>
      <c r="BK16" s="496">
        <f t="shared" si="40"/>
        <v>371280985.56815565</v>
      </c>
      <c r="BL16" s="504"/>
      <c r="BM16" s="495">
        <f t="shared" si="53"/>
        <v>2026</v>
      </c>
      <c r="BN16" s="496"/>
      <c r="BO16" s="496">
        <f>'Customer Count'!AG14</f>
        <v>33514.076725497005</v>
      </c>
      <c r="BP16" s="496">
        <f>BP15</f>
        <v>351.59012530128132</v>
      </c>
      <c r="BQ16" s="496">
        <f t="shared" si="41"/>
        <v>11783218.435274247</v>
      </c>
      <c r="BR16" s="504"/>
      <c r="BS16" s="504"/>
      <c r="BT16" s="495">
        <f t="shared" si="54"/>
        <v>2026</v>
      </c>
      <c r="BU16" s="496"/>
      <c r="BV16" s="496">
        <f>'Customer Count'!AK14</f>
        <v>226.60302622442222</v>
      </c>
      <c r="BW16" s="496">
        <f>BW15</f>
        <v>365.74502180409922</v>
      </c>
      <c r="BX16" s="496">
        <f t="shared" si="42"/>
        <v>82878.928767326172</v>
      </c>
      <c r="BY16" s="504"/>
      <c r="BZ16" s="504"/>
      <c r="CA16" s="495" t="e">
        <f t="shared" si="55"/>
        <v>#REF!</v>
      </c>
      <c r="CB16" s="496"/>
      <c r="CC16" s="496">
        <f>'Customer Count'!AO14</f>
        <v>795.29655282409192</v>
      </c>
      <c r="CD16" s="496">
        <f t="shared" ref="CD16:CD21" si="138">CD15</f>
        <v>5819.7647913670089</v>
      </c>
      <c r="CE16" s="496">
        <f t="shared" ref="CE16:CE18" si="139">CD16*CC16</f>
        <v>4628438.8768212022</v>
      </c>
      <c r="CF16" s="504"/>
      <c r="CG16" s="504"/>
      <c r="CH16" s="504"/>
      <c r="CI16" s="504"/>
      <c r="CJ16" s="495">
        <f t="shared" si="56"/>
        <v>2026</v>
      </c>
      <c r="CK16" s="496"/>
      <c r="CL16" s="496"/>
      <c r="CM16" s="496"/>
      <c r="CN16" s="496">
        <f ca="1">SUMIFS('WRZ Residential Normalized'!X:X,'WRZ Residential Normalized'!B:B,'Normalized Annual Summary'!CJ16)</f>
        <v>434249326.55898499</v>
      </c>
      <c r="CO16" s="496">
        <f ca="1">CDM!AF26</f>
        <v>20967097.618756715</v>
      </c>
      <c r="CP16" s="496">
        <f t="shared" ca="1" si="23"/>
        <v>413282228.94022828</v>
      </c>
      <c r="CQ16" s="496"/>
      <c r="CR16" s="496">
        <f t="shared" ca="1" si="24"/>
        <v>413282228.94022828</v>
      </c>
      <c r="CS16" s="504"/>
      <c r="CT16" s="495">
        <f t="shared" si="57"/>
        <v>2026</v>
      </c>
      <c r="CU16" s="496"/>
      <c r="CV16" s="496"/>
      <c r="CW16" s="496"/>
      <c r="CX16" s="496">
        <f ca="1">SUMIFS('WRZ GS &lt; 50 Normalized'!V:V,'WRZ GS &lt; 50 Normalized'!B:B,CT16)</f>
        <v>97847661.460822016</v>
      </c>
      <c r="CY16" s="496">
        <f ca="1">CDM!AG26</f>
        <v>2788052.6141392309</v>
      </c>
      <c r="CZ16" s="496">
        <f t="shared" ca="1" si="26"/>
        <v>95059608.846682787</v>
      </c>
      <c r="DA16" s="496"/>
      <c r="DB16" s="496">
        <f t="shared" ca="1" si="27"/>
        <v>95059608.846682787</v>
      </c>
      <c r="DC16" s="496"/>
      <c r="DD16" s="495">
        <f t="shared" si="58"/>
        <v>2026</v>
      </c>
      <c r="DE16" s="496"/>
      <c r="DF16" s="496"/>
      <c r="DG16" s="496"/>
      <c r="DH16" s="496">
        <f ca="1">SUMIFS('WRZ GS 50-2,999 Normalized'!T:T,'WRZ GS 50-2,999 Normalized'!B:B,'Normalized Annual Summary'!DD16)</f>
        <v>354898324.31807768</v>
      </c>
      <c r="DI16" s="496">
        <f ca="1">CDM!AH26</f>
        <v>34215356.137195639</v>
      </c>
      <c r="DJ16" s="496">
        <f t="shared" ca="1" si="29"/>
        <v>320682968.18088204</v>
      </c>
      <c r="DK16" s="496">
        <f>'Total Additional'!F47</f>
        <v>19814596.9153</v>
      </c>
      <c r="DL16" s="496">
        <f t="shared" ca="1" si="30"/>
        <v>340497565.09618205</v>
      </c>
      <c r="DM16" s="496">
        <f t="shared" ca="1" si="43"/>
        <v>374712921.2333777</v>
      </c>
      <c r="DN16" s="496"/>
      <c r="DO16" s="495">
        <f t="shared" si="59"/>
        <v>2026</v>
      </c>
      <c r="DP16" s="496"/>
      <c r="DQ16" s="496"/>
      <c r="DR16" s="496"/>
      <c r="DS16" s="496">
        <f>SUMIFS('WRZ GS 3,000-4,999 Normalized'!O:O,'WRZ GS 3,000-4,999 Normalized'!B:B,'Normalized Annual Summary'!DO16)</f>
        <v>88521504.954935759</v>
      </c>
      <c r="DT16" s="496">
        <f ca="1">CDM!AI26</f>
        <v>7707856.6675306838</v>
      </c>
      <c r="DU16" s="496">
        <f t="shared" ca="1" si="32"/>
        <v>80813648.287405074</v>
      </c>
      <c r="DV16" s="496">
        <f>'Total Additional'!F48</f>
        <v>11258812.1252</v>
      </c>
      <c r="DW16" s="496">
        <f t="shared" ca="1" si="33"/>
        <v>92072460.412605077</v>
      </c>
      <c r="DX16" s="496">
        <f t="shared" si="44"/>
        <v>99780317.080135763</v>
      </c>
      <c r="DY16" s="504"/>
      <c r="DZ16" s="495">
        <f t="shared" si="60"/>
        <v>2026</v>
      </c>
      <c r="EA16" s="496"/>
      <c r="EB16" s="496">
        <f>'Customer Count'!BN14</f>
        <v>14096.25265098176</v>
      </c>
      <c r="EC16" s="496">
        <f>EC15</f>
        <v>258.8033646657197</v>
      </c>
      <c r="ED16" s="496">
        <f t="shared" si="45"/>
        <v>3648157.6152521502</v>
      </c>
      <c r="EE16" s="504"/>
      <c r="EF16" s="504"/>
      <c r="EG16" s="495">
        <f t="shared" si="61"/>
        <v>2026</v>
      </c>
      <c r="EH16" s="496"/>
      <c r="EI16" s="496">
        <f>'Customer Count'!BR14</f>
        <v>45.11013533333908</v>
      </c>
      <c r="EJ16" s="496">
        <f>EJ15</f>
        <v>135.46323976741772</v>
      </c>
      <c r="EK16" s="496">
        <f t="shared" si="46"/>
        <v>6110.7650786007734</v>
      </c>
      <c r="EL16" s="504"/>
      <c r="EM16" s="504"/>
      <c r="EN16" s="495">
        <f t="shared" si="62"/>
        <v>2026</v>
      </c>
      <c r="EO16" s="496"/>
      <c r="EP16" s="496">
        <f>'Customer Count'!BV14</f>
        <v>392.21477425243933</v>
      </c>
      <c r="EQ16" s="496">
        <f t="shared" ref="EQ16:EQ21" si="140">EQ15</f>
        <v>4795.8805799774409</v>
      </c>
      <c r="ER16" s="496">
        <f t="shared" ref="ER16:ER18" si="141">EQ16*EP16</f>
        <v>1881015.2190175098</v>
      </c>
    </row>
    <row r="17" spans="2:150" s="503" customFormat="1">
      <c r="B17" s="495">
        <f t="shared" si="47"/>
        <v>2027</v>
      </c>
      <c r="C17" s="496"/>
      <c r="D17" s="496"/>
      <c r="E17" s="496"/>
      <c r="F17" s="496">
        <f ca="1">SUMIFS('VRZ Residential Normalized'!X:X,'VRZ Residential Normalized'!B:B,B17)</f>
        <v>1133052725.8399596</v>
      </c>
      <c r="G17" s="496">
        <f ca="1">CDM!W27</f>
        <v>47123913.101451702</v>
      </c>
      <c r="H17" s="496">
        <f t="shared" ca="1" si="1"/>
        <v>1085928812.738508</v>
      </c>
      <c r="I17" s="496"/>
      <c r="J17" s="496">
        <f t="shared" ca="1" si="2"/>
        <v>1085928812.738508</v>
      </c>
      <c r="K17" s="504"/>
      <c r="L17" s="495">
        <f t="shared" si="48"/>
        <v>2027</v>
      </c>
      <c r="M17" s="496"/>
      <c r="N17" s="496"/>
      <c r="O17" s="496"/>
      <c r="P17" s="496">
        <f ca="1">SUMIFS('VRZ Seasonal Normalized'!V:V,'VRZ Seasonal Normalized'!B:B,L17)</f>
        <v>13824325.580122944</v>
      </c>
      <c r="Q17" s="496">
        <f ca="1">CDM!X27</f>
        <v>539736.81193947955</v>
      </c>
      <c r="R17" s="496">
        <f t="shared" ca="1" si="4"/>
        <v>13284588.768183464</v>
      </c>
      <c r="S17" s="496"/>
      <c r="T17" s="496">
        <f t="shared" ca="1" si="5"/>
        <v>13284588.768183464</v>
      </c>
      <c r="U17" s="504"/>
      <c r="V17" s="495">
        <f t="shared" si="49"/>
        <v>2027</v>
      </c>
      <c r="W17" s="496"/>
      <c r="X17" s="496"/>
      <c r="Y17" s="496"/>
      <c r="Z17" s="496">
        <f ca="1">SUMIFS('VRZ GS &lt; 50 Normalized'!T:T,'VRZ GS &lt; 50 Normalized'!B:B,V17)</f>
        <v>287870427.15294719</v>
      </c>
      <c r="AA17" s="496">
        <f ca="1">CDM!Y27</f>
        <v>15437824.274614323</v>
      </c>
      <c r="AB17" s="496">
        <f t="shared" ca="1" si="7"/>
        <v>272432602.87833285</v>
      </c>
      <c r="AC17" s="496"/>
      <c r="AD17" s="496">
        <f t="shared" ca="1" si="8"/>
        <v>272432602.87833285</v>
      </c>
      <c r="AE17" s="496"/>
      <c r="AF17" s="495">
        <f t="shared" si="50"/>
        <v>2027</v>
      </c>
      <c r="AG17" s="496"/>
      <c r="AH17" s="496"/>
      <c r="AI17" s="496"/>
      <c r="AJ17" s="496">
        <f ca="1">SUMIFS('VRZ GS 50-2,999 Normalized'!V:V,'VRZ GS 50-2,999 Normalized'!B:B,AF17)</f>
        <v>1016408453.401781</v>
      </c>
      <c r="AK17" s="496">
        <f ca="1">CDM!Z27</f>
        <v>73067115.738456935</v>
      </c>
      <c r="AL17" s="496">
        <f t="shared" ca="1" si="10"/>
        <v>943341337.663324</v>
      </c>
      <c r="AM17" s="496">
        <f>'Total Additional'!G21</f>
        <v>102912193.98119999</v>
      </c>
      <c r="AN17" s="496">
        <f t="shared" ca="1" si="11"/>
        <v>1046253531.644524</v>
      </c>
      <c r="AO17" s="496">
        <f ca="1">AJ17+AM17</f>
        <v>1119320647.3829811</v>
      </c>
      <c r="AP17" s="496"/>
      <c r="AQ17" s="495">
        <f t="shared" si="51"/>
        <v>2027</v>
      </c>
      <c r="AR17" s="496"/>
      <c r="AS17" s="496"/>
      <c r="AT17" s="496"/>
      <c r="AU17" s="496">
        <f>SUMIFS('VRZ GS 3,000-4,999 Normalized'!M:M,'VRZ GS 3,000-4,999 Normalized'!B:B,'Normalized Annual Summary'!AQ17)</f>
        <v>104254097.30462824</v>
      </c>
      <c r="AV17" s="496">
        <f ca="1">CDM!AA27</f>
        <v>3922265.5184256011</v>
      </c>
      <c r="AW17" s="496">
        <f t="shared" ca="1" si="13"/>
        <v>100331831.78620264</v>
      </c>
      <c r="AX17" s="496">
        <f>'Total Additional'!G22</f>
        <v>56423215.258599997</v>
      </c>
      <c r="AY17" s="496">
        <f t="shared" ca="1" si="14"/>
        <v>156755047.04480264</v>
      </c>
      <c r="AZ17" s="496">
        <f t="shared" si="39"/>
        <v>160677312.56322825</v>
      </c>
      <c r="BA17" s="496"/>
      <c r="BB17" s="495">
        <f t="shared" si="52"/>
        <v>2027</v>
      </c>
      <c r="BC17" s="496"/>
      <c r="BD17" s="496"/>
      <c r="BE17" s="496"/>
      <c r="BF17" s="496">
        <f>SUMIFS('VRZ Large Use Normalized'!Q:Q,'VRZ Large Use Normalized'!B:B,'Normalized Annual Summary'!BB17)</f>
        <v>346860072.55024594</v>
      </c>
      <c r="BG17" s="496">
        <f ca="1">CDM!AB27</f>
        <v>19011602.213402767</v>
      </c>
      <c r="BH17" s="496">
        <f t="shared" ca="1" si="16"/>
        <v>327848470.33684319</v>
      </c>
      <c r="BI17" s="496">
        <f>'Total Additional'!G23</f>
        <v>95144469.202500001</v>
      </c>
      <c r="BJ17" s="496">
        <f t="shared" ca="1" si="17"/>
        <v>422992939.53934318</v>
      </c>
      <c r="BK17" s="496">
        <f t="shared" si="40"/>
        <v>442004541.75274593</v>
      </c>
      <c r="BL17" s="504"/>
      <c r="BM17" s="495">
        <f t="shared" si="53"/>
        <v>2027</v>
      </c>
      <c r="BN17" s="496"/>
      <c r="BO17" s="496">
        <f>'Customer Count'!AG15</f>
        <v>33883.898152494017</v>
      </c>
      <c r="BP17" s="496">
        <f t="shared" ref="BP17:BP21" si="142">BP16</f>
        <v>351.59012530128132</v>
      </c>
      <c r="BQ17" s="496">
        <f t="shared" si="41"/>
        <v>11913243.997131227</v>
      </c>
      <c r="BR17" s="504"/>
      <c r="BS17" s="504"/>
      <c r="BT17" s="495">
        <f t="shared" si="54"/>
        <v>2027</v>
      </c>
      <c r="BU17" s="496"/>
      <c r="BV17" s="496">
        <f>'Customer Count'!AK15</f>
        <v>222.16952512305542</v>
      </c>
      <c r="BW17" s="496">
        <f t="shared" ref="BW17:BW21" si="143">BW16</f>
        <v>365.74502180409922</v>
      </c>
      <c r="BX17" s="496">
        <f t="shared" si="42"/>
        <v>81257.397810338269</v>
      </c>
      <c r="BY17" s="504"/>
      <c r="BZ17" s="504"/>
      <c r="CA17" s="495" t="e">
        <f t="shared" si="55"/>
        <v>#REF!</v>
      </c>
      <c r="CB17" s="496"/>
      <c r="CC17" s="496">
        <f>'Customer Count'!AO15</f>
        <v>788.50002223379988</v>
      </c>
      <c r="CD17" s="496">
        <f t="shared" si="138"/>
        <v>5819.7647913670089</v>
      </c>
      <c r="CE17" s="496">
        <f t="shared" si="139"/>
        <v>4588884.6673883721</v>
      </c>
      <c r="CF17" s="504"/>
      <c r="CG17" s="504"/>
      <c r="CH17" s="504"/>
      <c r="CI17" s="504"/>
      <c r="CJ17" s="495">
        <f t="shared" si="56"/>
        <v>2027</v>
      </c>
      <c r="CK17" s="496"/>
      <c r="CL17" s="496"/>
      <c r="CM17" s="496"/>
      <c r="CN17" s="496">
        <f ca="1">SUMIFS('WRZ Residential Normalized'!X:X,'WRZ Residential Normalized'!B:B,'Normalized Annual Summary'!CJ17)</f>
        <v>445553522.52943909</v>
      </c>
      <c r="CO17" s="496">
        <f ca="1">CDM!AF27</f>
        <v>20673129.077576995</v>
      </c>
      <c r="CP17" s="496">
        <f t="shared" ca="1" si="23"/>
        <v>424880393.4518621</v>
      </c>
      <c r="CQ17" s="496"/>
      <c r="CR17" s="496">
        <f t="shared" ca="1" si="24"/>
        <v>424880393.4518621</v>
      </c>
      <c r="CS17" s="504"/>
      <c r="CT17" s="495">
        <f t="shared" si="57"/>
        <v>2027</v>
      </c>
      <c r="CU17" s="496"/>
      <c r="CV17" s="496"/>
      <c r="CW17" s="496"/>
      <c r="CX17" s="496">
        <f ca="1">SUMIFS('WRZ GS &lt; 50 Normalized'!V:V,'WRZ GS &lt; 50 Normalized'!B:B,CT17)</f>
        <v>98782734.443288967</v>
      </c>
      <c r="CY17" s="496">
        <f ca="1">CDM!AG27</f>
        <v>2501636.181852886</v>
      </c>
      <c r="CZ17" s="496">
        <f t="shared" ca="1" si="26"/>
        <v>96281098.261436075</v>
      </c>
      <c r="DA17" s="496"/>
      <c r="DB17" s="496">
        <f t="shared" ca="1" si="27"/>
        <v>96281098.261436075</v>
      </c>
      <c r="DC17" s="496"/>
      <c r="DD17" s="495">
        <f t="shared" si="58"/>
        <v>2027</v>
      </c>
      <c r="DE17" s="496"/>
      <c r="DF17" s="496"/>
      <c r="DG17" s="496"/>
      <c r="DH17" s="496">
        <f ca="1">SUMIFS('WRZ GS 50-2,999 Normalized'!T:T,'WRZ GS 50-2,999 Normalized'!B:B,'Normalized Annual Summary'!DD17)</f>
        <v>355570287.97451603</v>
      </c>
      <c r="DI17" s="496">
        <f ca="1">CDM!AH27</f>
        <v>32350183.100287482</v>
      </c>
      <c r="DJ17" s="496">
        <f t="shared" ca="1" si="29"/>
        <v>323220104.87422854</v>
      </c>
      <c r="DK17" s="496">
        <f>'Total Additional'!G47</f>
        <v>51132328.531999998</v>
      </c>
      <c r="DL17" s="496">
        <f t="shared" ca="1" si="30"/>
        <v>374352433.40622854</v>
      </c>
      <c r="DM17" s="496">
        <f t="shared" ca="1" si="43"/>
        <v>406702616.50651604</v>
      </c>
      <c r="DN17" s="496"/>
      <c r="DO17" s="495">
        <f t="shared" si="59"/>
        <v>2027</v>
      </c>
      <c r="DP17" s="496"/>
      <c r="DQ17" s="496"/>
      <c r="DR17" s="496"/>
      <c r="DS17" s="496">
        <f>SUMIFS('WRZ GS 3,000-4,999 Normalized'!O:O,'WRZ GS 3,000-4,999 Normalized'!B:B,'Normalized Annual Summary'!DO17)</f>
        <v>88730077.51629892</v>
      </c>
      <c r="DT17" s="496">
        <f ca="1">CDM!AI27</f>
        <v>7288351.2240660675</v>
      </c>
      <c r="DU17" s="496">
        <f t="shared" ca="1" si="32"/>
        <v>81441726.292232856</v>
      </c>
      <c r="DV17" s="496">
        <f>'Total Additional'!G48</f>
        <v>27399744.5425</v>
      </c>
      <c r="DW17" s="496">
        <f t="shared" ca="1" si="33"/>
        <v>108841470.83473286</v>
      </c>
      <c r="DX17" s="496">
        <f t="shared" si="44"/>
        <v>116129822.05879892</v>
      </c>
      <c r="DY17" s="504"/>
      <c r="DZ17" s="495">
        <f t="shared" si="60"/>
        <v>2027</v>
      </c>
      <c r="EA17" s="496"/>
      <c r="EB17" s="496">
        <f>'Customer Count'!BN15</f>
        <v>14342.180606261623</v>
      </c>
      <c r="EC17" s="496">
        <f t="shared" ref="EC17:EC21" si="144">EC16</f>
        <v>258.8033646657197</v>
      </c>
      <c r="ED17" s="496">
        <f t="shared" si="45"/>
        <v>3711804.5975439399</v>
      </c>
      <c r="EE17" s="504"/>
      <c r="EF17" s="504"/>
      <c r="EG17" s="495">
        <f t="shared" si="61"/>
        <v>2027</v>
      </c>
      <c r="EH17" s="496"/>
      <c r="EI17" s="496">
        <f>'Customer Count'!BR15</f>
        <v>45.771493378642951</v>
      </c>
      <c r="EJ17" s="496">
        <f t="shared" ref="EJ17:EJ21" si="145">EJ16</f>
        <v>135.46323976741772</v>
      </c>
      <c r="EK17" s="496">
        <f t="shared" si="46"/>
        <v>6200.3547820638823</v>
      </c>
      <c r="EL17" s="504"/>
      <c r="EM17" s="504"/>
      <c r="EN17" s="495">
        <f t="shared" si="62"/>
        <v>2027</v>
      </c>
      <c r="EO17" s="496"/>
      <c r="EP17" s="496">
        <f>'Customer Count'!BV15</f>
        <v>394.27363299929601</v>
      </c>
      <c r="EQ17" s="496">
        <f t="shared" si="140"/>
        <v>4795.8805799774409</v>
      </c>
      <c r="ER17" s="496">
        <f t="shared" si="141"/>
        <v>1890889.2596984764</v>
      </c>
    </row>
    <row r="18" spans="2:150" s="503" customFormat="1">
      <c r="B18" s="495">
        <f>B17+1</f>
        <v>2028</v>
      </c>
      <c r="C18" s="496"/>
      <c r="D18" s="496"/>
      <c r="E18" s="496"/>
      <c r="F18" s="496">
        <f ca="1">SUMIFS('VRZ Residential Normalized'!X:X,'VRZ Residential Normalized'!B:B,B18)</f>
        <v>1160781122.5992265</v>
      </c>
      <c r="G18" s="496">
        <f ca="1">CDM!W28</f>
        <v>46819582.229578406</v>
      </c>
      <c r="H18" s="496">
        <f ca="1">F18-G18</f>
        <v>1113961540.369648</v>
      </c>
      <c r="I18" s="496"/>
      <c r="J18" s="496">
        <f ca="1">H18+I18</f>
        <v>1113961540.369648</v>
      </c>
      <c r="K18" s="504"/>
      <c r="L18" s="495">
        <f>L17+1</f>
        <v>2028</v>
      </c>
      <c r="M18" s="496"/>
      <c r="N18" s="496"/>
      <c r="O18" s="496"/>
      <c r="P18" s="496">
        <f ca="1">SUMIFS('VRZ Seasonal Normalized'!V:V,'VRZ Seasonal Normalized'!B:B,L18)</f>
        <v>14282265.153925531</v>
      </c>
      <c r="Q18" s="496">
        <f ca="1">CDM!X28</f>
        <v>536251.09843670367</v>
      </c>
      <c r="R18" s="496">
        <f t="shared" ca="1" si="4"/>
        <v>13746014.055488827</v>
      </c>
      <c r="S18" s="496"/>
      <c r="T18" s="496">
        <f ca="1">R18+S18</f>
        <v>13746014.055488827</v>
      </c>
      <c r="U18" s="504"/>
      <c r="V18" s="495">
        <f>V17+1</f>
        <v>2028</v>
      </c>
      <c r="W18" s="496"/>
      <c r="X18" s="496"/>
      <c r="Y18" s="496"/>
      <c r="Z18" s="496">
        <f ca="1">SUMIFS('VRZ GS &lt; 50 Normalized'!T:T,'VRZ GS &lt; 50 Normalized'!B:B,V18)</f>
        <v>289177594.25481993</v>
      </c>
      <c r="AA18" s="496">
        <f ca="1">CDM!Y28</f>
        <v>14113249.557930898</v>
      </c>
      <c r="AB18" s="496">
        <f t="shared" ca="1" si="7"/>
        <v>275064344.69688904</v>
      </c>
      <c r="AC18" s="496"/>
      <c r="AD18" s="496">
        <f ca="1">AB18+AC18</f>
        <v>275064344.69688904</v>
      </c>
      <c r="AE18" s="496"/>
      <c r="AF18" s="495">
        <f>AF17+1</f>
        <v>2028</v>
      </c>
      <c r="AG18" s="496"/>
      <c r="AH18" s="496"/>
      <c r="AI18" s="496"/>
      <c r="AJ18" s="496">
        <f ca="1">SUMIFS('VRZ GS 50-2,999 Normalized'!V:V,'VRZ GS 50-2,999 Normalized'!B:B,AF18)</f>
        <v>1015971086.5503885</v>
      </c>
      <c r="AK18" s="496">
        <f ca="1">CDM!Z28</f>
        <v>68884345.202381954</v>
      </c>
      <c r="AL18" s="496">
        <f t="shared" ca="1" si="10"/>
        <v>947086741.34800649</v>
      </c>
      <c r="AM18" s="496">
        <f>'Total Additional'!H21</f>
        <v>127313595.1129</v>
      </c>
      <c r="AN18" s="496">
        <f ca="1">AL18+AM18</f>
        <v>1074400336.4609065</v>
      </c>
      <c r="AO18" s="496">
        <f t="shared" ca="1" si="38"/>
        <v>1143284681.6632884</v>
      </c>
      <c r="AP18" s="496"/>
      <c r="AQ18" s="495">
        <f>AQ17+1</f>
        <v>2028</v>
      </c>
      <c r="AR18" s="496"/>
      <c r="AS18" s="496"/>
      <c r="AT18" s="496"/>
      <c r="AU18" s="496">
        <f>SUMIFS('VRZ GS 3,000-4,999 Normalized'!M:M,'VRZ GS 3,000-4,999 Normalized'!B:B,'Normalized Annual Summary'!AQ18)</f>
        <v>104485262.1836585</v>
      </c>
      <c r="AV18" s="496">
        <f ca="1">CDM!AA28</f>
        <v>3675392.8231623494</v>
      </c>
      <c r="AW18" s="496">
        <f t="shared" ca="1" si="13"/>
        <v>100809869.36049615</v>
      </c>
      <c r="AX18" s="496">
        <f>'Total Additional'!H22</f>
        <v>82823932.7729</v>
      </c>
      <c r="AY18" s="496">
        <f ca="1">AW18+AX18</f>
        <v>183633802.13339615</v>
      </c>
      <c r="AZ18" s="496">
        <f t="shared" si="39"/>
        <v>187309194.9565585</v>
      </c>
      <c r="BA18" s="496"/>
      <c r="BB18" s="495">
        <f>BB17+1</f>
        <v>2028</v>
      </c>
      <c r="BC18" s="496"/>
      <c r="BD18" s="496"/>
      <c r="BE18" s="496"/>
      <c r="BF18" s="496">
        <f>SUMIFS('VRZ Large Use Normalized'!Q:Q,'VRZ Large Use Normalized'!B:B,'Normalized Annual Summary'!BB18)</f>
        <v>347265761.31458241</v>
      </c>
      <c r="BG18" s="496">
        <f ca="1">CDM!AB28</f>
        <v>15863207.149387021</v>
      </c>
      <c r="BH18" s="496">
        <f t="shared" ca="1" si="16"/>
        <v>331402554.16519541</v>
      </c>
      <c r="BI18" s="496">
        <f>'Total Additional'!H23</f>
        <v>177564440.8457</v>
      </c>
      <c r="BJ18" s="496">
        <f ca="1">BH18+BI18</f>
        <v>508966995.01089537</v>
      </c>
      <c r="BK18" s="496">
        <f t="shared" si="40"/>
        <v>524830202.16028237</v>
      </c>
      <c r="BL18" s="504"/>
      <c r="BM18" s="495">
        <f>BM17+1</f>
        <v>2028</v>
      </c>
      <c r="BN18" s="496"/>
      <c r="BO18" s="496">
        <f>'Customer Count'!AG16</f>
        <v>34257.800488208472</v>
      </c>
      <c r="BP18" s="496">
        <f t="shared" si="142"/>
        <v>351.59012530128132</v>
      </c>
      <c r="BQ18" s="496">
        <f t="shared" si="41"/>
        <v>12044704.366195513</v>
      </c>
      <c r="BR18" s="504"/>
      <c r="BS18" s="504"/>
      <c r="BT18" s="495">
        <f>BT17+1</f>
        <v>2028</v>
      </c>
      <c r="BU18" s="496"/>
      <c r="BV18" s="496">
        <f>'Customer Count'!AK16</f>
        <v>217.82276572299472</v>
      </c>
      <c r="BW18" s="496">
        <f t="shared" si="143"/>
        <v>365.74502180409922</v>
      </c>
      <c r="BX18" s="496">
        <f t="shared" si="42"/>
        <v>79667.592198785904</v>
      </c>
      <c r="BY18" s="504"/>
      <c r="BZ18" s="504"/>
      <c r="CA18" s="495" t="e">
        <f>CA17+1</f>
        <v>#REF!</v>
      </c>
      <c r="CB18" s="496"/>
      <c r="CC18" s="496">
        <f>'Customer Count'!AO16</f>
        <v>781.76157416367062</v>
      </c>
      <c r="CD18" s="496">
        <f t="shared" si="138"/>
        <v>5819.7647913670089</v>
      </c>
      <c r="CE18" s="496">
        <f t="shared" si="139"/>
        <v>4549668.4845613791</v>
      </c>
      <c r="CF18" s="504"/>
      <c r="CG18" s="504"/>
      <c r="CH18" s="504"/>
      <c r="CI18" s="504"/>
      <c r="CJ18" s="495">
        <f>CJ17+1</f>
        <v>2028</v>
      </c>
      <c r="CK18" s="496"/>
      <c r="CL18" s="496"/>
      <c r="CM18" s="496"/>
      <c r="CN18" s="496">
        <f ca="1">SUMIFS('WRZ Residential Normalized'!X:X,'WRZ Residential Normalized'!B:B,'Normalized Annual Summary'!CJ18)</f>
        <v>455767980.30035037</v>
      </c>
      <c r="CO18" s="496">
        <f ca="1">CDM!AF28</f>
        <v>20594934.882024378</v>
      </c>
      <c r="CP18" s="496">
        <f ca="1">CN18-CO18</f>
        <v>435173045.41832602</v>
      </c>
      <c r="CQ18" s="496"/>
      <c r="CR18" s="496">
        <f ca="1">CP18+CQ18</f>
        <v>435173045.41832602</v>
      </c>
      <c r="CS18" s="504"/>
      <c r="CT18" s="495">
        <f>CT17+1</f>
        <v>2028</v>
      </c>
      <c r="CU18" s="496"/>
      <c r="CV18" s="496"/>
      <c r="CW18" s="496"/>
      <c r="CX18" s="496">
        <f ca="1">SUMIFS('WRZ GS &lt; 50 Normalized'!V:V,'WRZ GS &lt; 50 Normalized'!B:B,CT18)</f>
        <v>99581977.111988559</v>
      </c>
      <c r="CY18" s="496">
        <f ca="1">CDM!AG28</f>
        <v>2345472.3042526571</v>
      </c>
      <c r="CZ18" s="496">
        <f t="shared" ca="1" si="26"/>
        <v>97236504.807735905</v>
      </c>
      <c r="DA18" s="496"/>
      <c r="DB18" s="496">
        <f ca="1">CZ18+DA18</f>
        <v>97236504.807735905</v>
      </c>
      <c r="DC18" s="496"/>
      <c r="DD18" s="495">
        <f>DD17+1</f>
        <v>2028</v>
      </c>
      <c r="DE18" s="496"/>
      <c r="DF18" s="496"/>
      <c r="DG18" s="496"/>
      <c r="DH18" s="496">
        <f ca="1">SUMIFS('WRZ GS 50-2,999 Normalized'!T:T,'WRZ GS 50-2,999 Normalized'!B:B,'Normalized Annual Summary'!DD18)</f>
        <v>355448475.10369188</v>
      </c>
      <c r="DI18" s="496">
        <f ca="1">CDM!AH28</f>
        <v>30963949.523323607</v>
      </c>
      <c r="DJ18" s="496">
        <f t="shared" ca="1" si="29"/>
        <v>324484525.58036828</v>
      </c>
      <c r="DK18" s="496">
        <f>'Total Additional'!H47</f>
        <v>67284408.456300005</v>
      </c>
      <c r="DL18" s="496">
        <f ca="1">DJ18+DK18</f>
        <v>391768934.0366683</v>
      </c>
      <c r="DM18" s="496">
        <f t="shared" ca="1" si="43"/>
        <v>422732883.5599919</v>
      </c>
      <c r="DN18" s="496"/>
      <c r="DO18" s="495">
        <f>DO17+1</f>
        <v>2028</v>
      </c>
      <c r="DP18" s="496"/>
      <c r="DQ18" s="496"/>
      <c r="DR18" s="496"/>
      <c r="DS18" s="496">
        <f>SUMIFS('WRZ GS 3,000-4,999 Normalized'!O:O,'WRZ GS 3,000-4,999 Normalized'!B:B,'Normalized Annual Summary'!DO18)</f>
        <v>88574081.577541873</v>
      </c>
      <c r="DT18" s="496">
        <f ca="1">CDM!AI28</f>
        <v>6976390.8614668502</v>
      </c>
      <c r="DU18" s="496">
        <f t="shared" ca="1" si="32"/>
        <v>81597690.716075018</v>
      </c>
      <c r="DV18" s="496">
        <f>'Total Additional'!H48</f>
        <v>34527023.8508</v>
      </c>
      <c r="DW18" s="496">
        <f ca="1">DU18+DV18</f>
        <v>116124714.56687501</v>
      </c>
      <c r="DX18" s="496">
        <f t="shared" si="44"/>
        <v>123101105.42834187</v>
      </c>
      <c r="DY18" s="504"/>
      <c r="DZ18" s="495">
        <f>DZ17+1</f>
        <v>2028</v>
      </c>
      <c r="EA18" s="496"/>
      <c r="EB18" s="496">
        <f>'Customer Count'!BN16</f>
        <v>14592.399103197175</v>
      </c>
      <c r="EC18" s="496">
        <f t="shared" si="144"/>
        <v>258.8033646657197</v>
      </c>
      <c r="ED18" s="496">
        <f t="shared" si="45"/>
        <v>3776561.9864524594</v>
      </c>
      <c r="EE18" s="504"/>
      <c r="EF18" s="504"/>
      <c r="EG18" s="495">
        <f>EG17+1</f>
        <v>2028</v>
      </c>
      <c r="EH18" s="496"/>
      <c r="EI18" s="496">
        <f>'Customer Count'!BR16</f>
        <v>46.44254757007576</v>
      </c>
      <c r="EJ18" s="496">
        <f t="shared" si="145"/>
        <v>135.46323976741772</v>
      </c>
      <c r="EK18" s="496">
        <f t="shared" si="46"/>
        <v>6291.2579568948759</v>
      </c>
      <c r="EL18" s="504"/>
      <c r="EM18" s="504"/>
      <c r="EN18" s="495">
        <f>EN17+1</f>
        <v>2028</v>
      </c>
      <c r="EO18" s="496"/>
      <c r="EP18" s="496">
        <f>'Customer Count'!BV16</f>
        <v>396.34329934346363</v>
      </c>
      <c r="EQ18" s="496">
        <f t="shared" si="140"/>
        <v>4795.8805799774409</v>
      </c>
      <c r="ER18" s="496">
        <f t="shared" si="141"/>
        <v>1900815.1323255028</v>
      </c>
    </row>
    <row r="19" spans="2:150" s="503" customFormat="1">
      <c r="B19" s="495">
        <f t="shared" ref="B19:B20" si="146">B18+1</f>
        <v>2029</v>
      </c>
      <c r="C19" s="495"/>
      <c r="D19" s="495"/>
      <c r="E19" s="495"/>
      <c r="F19" s="496">
        <f ca="1">SUMIFS('VRZ Residential Normalized'!X:X,'VRZ Residential Normalized'!B:B,B19)</f>
        <v>1187096259.5808895</v>
      </c>
      <c r="G19" s="496">
        <f ca="1">CDM!W29</f>
        <v>46532753.892368428</v>
      </c>
      <c r="H19" s="496">
        <f ca="1">F19-G19</f>
        <v>1140563505.6885211</v>
      </c>
      <c r="I19" s="496"/>
      <c r="J19" s="496">
        <f t="shared" ref="J19:J20" ca="1" si="147">H19+I19</f>
        <v>1140563505.6885211</v>
      </c>
      <c r="K19" s="505"/>
      <c r="L19" s="495">
        <f t="shared" ref="L19:L20" si="148">L18+1</f>
        <v>2029</v>
      </c>
      <c r="M19" s="495"/>
      <c r="N19" s="495"/>
      <c r="O19" s="495"/>
      <c r="P19" s="496">
        <f ca="1">SUMIFS('VRZ Seasonal Normalized'!V:V,'VRZ Seasonal Normalized'!B:B,L19)</f>
        <v>14809216.462379646</v>
      </c>
      <c r="Q19" s="496">
        <f ca="1">CDM!X29</f>
        <v>532965.84170376032</v>
      </c>
      <c r="R19" s="496">
        <f t="shared" ca="1" si="4"/>
        <v>14276250.620675886</v>
      </c>
      <c r="S19" s="496"/>
      <c r="T19" s="496">
        <f t="shared" ref="T19:T20" ca="1" si="149">R19+S19</f>
        <v>14276250.620675886</v>
      </c>
      <c r="U19" s="504"/>
      <c r="V19" s="495">
        <f t="shared" ref="V19:V20" si="150">V18+1</f>
        <v>2029</v>
      </c>
      <c r="W19" s="495"/>
      <c r="X19" s="495"/>
      <c r="Y19" s="495"/>
      <c r="Z19" s="496">
        <f ca="1">SUMIFS('VRZ GS &lt; 50 Normalized'!T:T,'VRZ GS &lt; 50 Normalized'!B:B,V19)</f>
        <v>291266337.98410279</v>
      </c>
      <c r="AA19" s="496">
        <f ca="1">CDM!Y29</f>
        <v>12648138.049929934</v>
      </c>
      <c r="AB19" s="496">
        <f ca="1">Z19-AA19</f>
        <v>278618199.93417287</v>
      </c>
      <c r="AC19" s="496"/>
      <c r="AD19" s="496">
        <f t="shared" ref="AD19:AD20" ca="1" si="151">AB19+AC19</f>
        <v>278618199.93417287</v>
      </c>
      <c r="AE19" s="496"/>
      <c r="AF19" s="495">
        <f t="shared" ref="AF19:AF20" si="152">AF18+1</f>
        <v>2029</v>
      </c>
      <c r="AG19" s="495"/>
      <c r="AH19" s="495"/>
      <c r="AI19" s="495"/>
      <c r="AJ19" s="496">
        <f ca="1">SUMIFS('VRZ GS 50-2,999 Normalized'!V:V,'VRZ GS 50-2,999 Normalized'!B:B,AF19)</f>
        <v>1024397041.0671161</v>
      </c>
      <c r="AK19" s="496">
        <f ca="1">CDM!Z29</f>
        <v>61280029.101496659</v>
      </c>
      <c r="AL19" s="496">
        <f ca="1">AJ19-AK19</f>
        <v>963117011.96561944</v>
      </c>
      <c r="AM19" s="496">
        <f>'Total Additional'!I21</f>
        <v>137032602.80849999</v>
      </c>
      <c r="AN19" s="496">
        <f t="shared" ref="AN19:AN20" ca="1" si="153">AL19+AM19</f>
        <v>1100149614.7741194</v>
      </c>
      <c r="AO19" s="496">
        <f t="shared" ca="1" si="38"/>
        <v>1161429643.8756161</v>
      </c>
      <c r="AP19" s="496"/>
      <c r="AQ19" s="495">
        <f t="shared" ref="AQ19:AQ20" si="154">AQ18+1</f>
        <v>2029</v>
      </c>
      <c r="AR19" s="495"/>
      <c r="AS19" s="495"/>
      <c r="AT19" s="495"/>
      <c r="AU19" s="496">
        <f>SUMIFS('VRZ GS 3,000-4,999 Normalized'!M:M,'VRZ GS 3,000-4,999 Normalized'!B:B,'Normalized Annual Summary'!AQ19)</f>
        <v>106467330.12877738</v>
      </c>
      <c r="AV19" s="496">
        <f ca="1">CDM!AA29</f>
        <v>3194370.1163794771</v>
      </c>
      <c r="AW19" s="496">
        <f ca="1">AU19-AV19</f>
        <v>103272960.01239792</v>
      </c>
      <c r="AX19" s="496">
        <f>'Total Additional'!I22</f>
        <v>97628363.048800007</v>
      </c>
      <c r="AY19" s="496">
        <f t="shared" ref="AY19:AY20" ca="1" si="155">AW19+AX19</f>
        <v>200901323.06119794</v>
      </c>
      <c r="AZ19" s="496">
        <f t="shared" si="39"/>
        <v>204095693.17757738</v>
      </c>
      <c r="BA19" s="496"/>
      <c r="BB19" s="495">
        <f t="shared" ref="BB19:BB20" si="156">BB18+1</f>
        <v>2029</v>
      </c>
      <c r="BC19" s="495"/>
      <c r="BD19" s="495"/>
      <c r="BE19" s="495"/>
      <c r="BF19" s="496">
        <f>SUMIFS('VRZ Large Use Normalized'!Q:Q,'VRZ Large Use Normalized'!B:B,'Normalized Annual Summary'!BB19)</f>
        <v>359427066.69045842</v>
      </c>
      <c r="BG19" s="496">
        <f ca="1">CDM!AB29</f>
        <v>13249873.568048878</v>
      </c>
      <c r="BH19" s="496">
        <f ca="1">BF19-BG19</f>
        <v>346177193.12240952</v>
      </c>
      <c r="BI19" s="496">
        <f>'Total Additional'!I23</f>
        <v>216780862.04010001</v>
      </c>
      <c r="BJ19" s="496">
        <f t="shared" ref="BJ19" ca="1" si="157">BH19+BI19</f>
        <v>562958055.16250956</v>
      </c>
      <c r="BK19" s="496">
        <f t="shared" si="40"/>
        <v>576207928.7305584</v>
      </c>
      <c r="BL19" s="504"/>
      <c r="BM19" s="495">
        <f t="shared" ref="BM19:BM20" si="158">BM18+1</f>
        <v>2029</v>
      </c>
      <c r="BN19" s="495"/>
      <c r="BO19" s="496">
        <f>'Customer Count'!AG17</f>
        <v>34635.828764687583</v>
      </c>
      <c r="BP19" s="496">
        <f t="shared" si="142"/>
        <v>351.59012530128132</v>
      </c>
      <c r="BQ19" s="496">
        <f t="shared" si="41"/>
        <v>12177615.375290232</v>
      </c>
      <c r="BR19" s="504"/>
      <c r="BS19" s="504"/>
      <c r="BT19" s="495">
        <f t="shared" ref="BT19:BT20" si="159">BT18+1</f>
        <v>2029</v>
      </c>
      <c r="BU19" s="495"/>
      <c r="BV19" s="496">
        <f>'Customer Count'!AK17</f>
        <v>213.56105091791864</v>
      </c>
      <c r="BW19" s="496">
        <f t="shared" si="143"/>
        <v>365.74502180409922</v>
      </c>
      <c r="BX19" s="496">
        <f t="shared" si="42"/>
        <v>78108.891224480496</v>
      </c>
      <c r="BY19" s="504"/>
      <c r="BZ19" s="504"/>
      <c r="CA19" s="495" t="e">
        <f t="shared" ref="CA19:CA20" si="160">CA18+1</f>
        <v>#REF!</v>
      </c>
      <c r="CB19" s="495"/>
      <c r="CC19" s="496">
        <f>'Customer Count'!AO17</f>
        <v>775.08071224587297</v>
      </c>
      <c r="CD19" s="496">
        <f t="shared" si="138"/>
        <v>5819.7647913670089</v>
      </c>
      <c r="CE19" s="496">
        <f>CD19*CC19</f>
        <v>4510787.4395961957</v>
      </c>
      <c r="CF19" s="504"/>
      <c r="CG19" s="504"/>
      <c r="CH19" s="504"/>
      <c r="CI19" s="504"/>
      <c r="CJ19" s="495">
        <f t="shared" ref="CJ19:CJ20" si="161">CJ18+1</f>
        <v>2029</v>
      </c>
      <c r="CK19" s="495"/>
      <c r="CL19" s="495"/>
      <c r="CM19" s="495"/>
      <c r="CN19" s="496">
        <f ca="1">SUMIFS('WRZ Residential Normalized'!X:X,'WRZ Residential Normalized'!B:B,'Normalized Annual Summary'!CJ19)</f>
        <v>467598432.27490151</v>
      </c>
      <c r="CO19" s="496">
        <f ca="1">CDM!AF29</f>
        <v>20556584.801973999</v>
      </c>
      <c r="CP19" s="496">
        <f ca="1">CN19-CO19</f>
        <v>447041847.47292751</v>
      </c>
      <c r="CQ19" s="496"/>
      <c r="CR19" s="496">
        <f t="shared" ref="CR19:CR20" ca="1" si="162">CP19+CQ19</f>
        <v>447041847.47292751</v>
      </c>
      <c r="CS19" s="505"/>
      <c r="CT19" s="495">
        <f t="shared" ref="CT19:CT20" si="163">CT18+1</f>
        <v>2029</v>
      </c>
      <c r="CU19" s="495"/>
      <c r="CV19" s="495"/>
      <c r="CW19" s="495"/>
      <c r="CX19" s="496">
        <f ca="1">SUMIFS('WRZ GS &lt; 50 Normalized'!V:V,'WRZ GS &lt; 50 Normalized'!B:B,CT19)</f>
        <v>100779072.45243661</v>
      </c>
      <c r="CY19" s="496">
        <f ca="1">CDM!AG29</f>
        <v>2168186.1459398684</v>
      </c>
      <c r="CZ19" s="496">
        <f ca="1">CX19-CY19</f>
        <v>98610886.306496739</v>
      </c>
      <c r="DA19" s="496"/>
      <c r="DB19" s="496">
        <f t="shared" ref="DB19:DB20" ca="1" si="164">CZ19+DA19</f>
        <v>98610886.306496739</v>
      </c>
      <c r="DC19" s="496"/>
      <c r="DD19" s="495">
        <f t="shared" ref="DD19:DD20" si="165">DD18+1</f>
        <v>2029</v>
      </c>
      <c r="DE19" s="495"/>
      <c r="DF19" s="495"/>
      <c r="DG19" s="495"/>
      <c r="DH19" s="496">
        <f ca="1">SUMIFS('WRZ GS 50-2,999 Normalized'!T:T,'WRZ GS 50-2,999 Normalized'!B:B,'Normalized Annual Summary'!DD19)</f>
        <v>355786804.59873277</v>
      </c>
      <c r="DI19" s="496">
        <f ca="1">CDM!AH29</f>
        <v>27669779.55112819</v>
      </c>
      <c r="DJ19" s="496">
        <f ca="1">DH19-DI19</f>
        <v>328117025.04760456</v>
      </c>
      <c r="DK19" s="496">
        <f>'Total Additional'!I47</f>
        <v>77409318.867799997</v>
      </c>
      <c r="DL19" s="496">
        <f t="shared" ref="DL19:DL20" ca="1" si="166">DJ19+DK19</f>
        <v>405526343.91540456</v>
      </c>
      <c r="DM19" s="496">
        <f t="shared" ca="1" si="43"/>
        <v>433196123.46653277</v>
      </c>
      <c r="DN19" s="496"/>
      <c r="DO19" s="495">
        <f t="shared" ref="DO19:DO20" si="167">DO18+1</f>
        <v>2029</v>
      </c>
      <c r="DP19" s="495"/>
      <c r="DQ19" s="495"/>
      <c r="DR19" s="495"/>
      <c r="DS19" s="496">
        <f>SUMIFS('WRZ GS 3,000-4,999 Normalized'!O:O,'WRZ GS 3,000-4,999 Normalized'!B:B,'Normalized Annual Summary'!DO19)</f>
        <v>88611011.158918902</v>
      </c>
      <c r="DT19" s="496">
        <f ca="1">CDM!AI29</f>
        <v>6235488.3010314768</v>
      </c>
      <c r="DU19" s="496">
        <f ca="1">DS19-DT19</f>
        <v>82375522.857887432</v>
      </c>
      <c r="DV19" s="496">
        <f>'Total Additional'!I48</f>
        <v>39583033.909699999</v>
      </c>
      <c r="DW19" s="496">
        <f t="shared" ref="DW19:DW20" ca="1" si="168">DU19+DV19</f>
        <v>121958556.76758742</v>
      </c>
      <c r="DX19" s="496">
        <f t="shared" si="44"/>
        <v>128194045.06861889</v>
      </c>
      <c r="DY19" s="504"/>
      <c r="DZ19" s="495">
        <f t="shared" ref="DZ19:DZ20" si="169">DZ18+1</f>
        <v>2029</v>
      </c>
      <c r="EA19" s="495"/>
      <c r="EB19" s="496">
        <f>'Customer Count'!BN17</f>
        <v>14846.982996018296</v>
      </c>
      <c r="EC19" s="496">
        <f t="shared" si="144"/>
        <v>258.8033646657197</v>
      </c>
      <c r="ED19" s="496">
        <f t="shared" si="45"/>
        <v>3842449.1545042628</v>
      </c>
      <c r="EE19" s="504"/>
      <c r="EF19" s="504"/>
      <c r="EG19" s="495">
        <f t="shared" ref="EG19:EG20" si="170">EG18+1</f>
        <v>2029</v>
      </c>
      <c r="EH19" s="495"/>
      <c r="EI19" s="496">
        <f>'Customer Count'!BR17</f>
        <v>47.1234400624815</v>
      </c>
      <c r="EJ19" s="496">
        <f t="shared" si="145"/>
        <v>135.46323976741772</v>
      </c>
      <c r="EK19" s="496">
        <f t="shared" si="46"/>
        <v>6383.4938598494691</v>
      </c>
      <c r="EL19" s="504"/>
      <c r="EM19" s="504"/>
      <c r="EN19" s="495">
        <f t="shared" ref="EN19:EN20" si="171">EN18+1</f>
        <v>2029</v>
      </c>
      <c r="EO19" s="495"/>
      <c r="EP19" s="496">
        <f>'Customer Count'!BV17</f>
        <v>398.42383001742064</v>
      </c>
      <c r="EQ19" s="496">
        <f t="shared" si="140"/>
        <v>4795.8805799774409</v>
      </c>
      <c r="ER19" s="496">
        <f>EQ19*EP19</f>
        <v>1910793.1089807807</v>
      </c>
    </row>
    <row r="20" spans="2:150" s="503" customFormat="1">
      <c r="B20" s="495">
        <f t="shared" si="146"/>
        <v>2030</v>
      </c>
      <c r="C20" s="495"/>
      <c r="D20" s="495"/>
      <c r="E20" s="495"/>
      <c r="F20" s="496">
        <f ca="1">SUMIFS('VRZ Residential Normalized'!X:X,'VRZ Residential Normalized'!B:B,B20)</f>
        <v>1217137717.7432864</v>
      </c>
      <c r="G20" s="496">
        <f ca="1">CDM!W30</f>
        <v>43588376.924352907</v>
      </c>
      <c r="H20" s="496">
        <f ca="1">F20-G20</f>
        <v>1173549340.8189335</v>
      </c>
      <c r="I20" s="496"/>
      <c r="J20" s="496">
        <f t="shared" ca="1" si="147"/>
        <v>1173549340.8189335</v>
      </c>
      <c r="K20" s="504"/>
      <c r="L20" s="495">
        <f t="shared" si="148"/>
        <v>2030</v>
      </c>
      <c r="M20" s="495"/>
      <c r="N20" s="495"/>
      <c r="O20" s="495"/>
      <c r="P20" s="496">
        <f ca="1">SUMIFS('VRZ Seasonal Normalized'!V:V,'VRZ Seasonal Normalized'!B:B,L20)</f>
        <v>15396703.374084229</v>
      </c>
      <c r="Q20" s="496">
        <f ca="1">CDM!X30</f>
        <v>499241.53018640273</v>
      </c>
      <c r="R20" s="496">
        <f t="shared" ca="1" si="4"/>
        <v>14897461.843897825</v>
      </c>
      <c r="S20" s="496"/>
      <c r="T20" s="496">
        <f t="shared" ca="1" si="149"/>
        <v>14897461.843897825</v>
      </c>
      <c r="U20" s="504"/>
      <c r="V20" s="495">
        <f t="shared" si="150"/>
        <v>2030</v>
      </c>
      <c r="W20" s="495"/>
      <c r="X20" s="495"/>
      <c r="Y20" s="495"/>
      <c r="Z20" s="496">
        <f ca="1">SUMIFS('VRZ GS &lt; 50 Normalized'!T:T,'VRZ GS &lt; 50 Normalized'!B:B,V20)</f>
        <v>294053191.29527962</v>
      </c>
      <c r="AA20" s="496">
        <f ca="1">CDM!Y30</f>
        <v>11478487.109850315</v>
      </c>
      <c r="AB20" s="496">
        <f ca="1">Z20-AA20</f>
        <v>282574704.18542933</v>
      </c>
      <c r="AC20" s="496"/>
      <c r="AD20" s="496">
        <f t="shared" ca="1" si="151"/>
        <v>282574704.18542933</v>
      </c>
      <c r="AE20" s="496"/>
      <c r="AF20" s="495">
        <f t="shared" si="152"/>
        <v>2030</v>
      </c>
      <c r="AG20" s="495"/>
      <c r="AH20" s="495"/>
      <c r="AI20" s="495"/>
      <c r="AJ20" s="496">
        <f ca="1">SUMIFS('VRZ GS 50-2,999 Normalized'!V:V,'VRZ GS 50-2,999 Normalized'!B:B,AF20)</f>
        <v>1034390374.5544569</v>
      </c>
      <c r="AK20" s="496">
        <f ca="1">CDM!Z30</f>
        <v>55846048.766872004</v>
      </c>
      <c r="AL20" s="496">
        <f ca="1">AJ20-AK20</f>
        <v>978544325.7875849</v>
      </c>
      <c r="AM20" s="496">
        <f>'Total Additional'!J21</f>
        <v>139870421.89120001</v>
      </c>
      <c r="AN20" s="496">
        <f t="shared" ca="1" si="153"/>
        <v>1118414747.6787848</v>
      </c>
      <c r="AO20" s="496">
        <f t="shared" ca="1" si="38"/>
        <v>1174260796.445657</v>
      </c>
      <c r="AP20" s="496"/>
      <c r="AQ20" s="495">
        <f t="shared" si="154"/>
        <v>2030</v>
      </c>
      <c r="AR20" s="495"/>
      <c r="AS20" s="495"/>
      <c r="AT20" s="495"/>
      <c r="AU20" s="496">
        <f>SUMIFS('VRZ GS 3,000-4,999 Normalized'!M:M,'VRZ GS 3,000-4,999 Normalized'!B:B,'Normalized Annual Summary'!AQ20)</f>
        <v>108497823.6862157</v>
      </c>
      <c r="AV20" s="496">
        <f ca="1">CDM!AA30</f>
        <v>2996740.7507406985</v>
      </c>
      <c r="AW20" s="496">
        <f ca="1">AU20-AV20</f>
        <v>105501082.93547501</v>
      </c>
      <c r="AX20" s="496">
        <f>'Total Additional'!J22</f>
        <v>101849113.36669999</v>
      </c>
      <c r="AY20" s="496">
        <f t="shared" ca="1" si="155"/>
        <v>207350196.30217499</v>
      </c>
      <c r="AZ20" s="496">
        <f t="shared" si="39"/>
        <v>210346937.05291569</v>
      </c>
      <c r="BA20" s="496"/>
      <c r="BB20" s="495">
        <f t="shared" si="156"/>
        <v>2030</v>
      </c>
      <c r="BC20" s="495"/>
      <c r="BD20" s="495"/>
      <c r="BE20" s="495"/>
      <c r="BF20" s="496">
        <f>SUMIFS('VRZ Large Use Normalized'!Q:Q,'VRZ Large Use Normalized'!B:B,'Normalized Annual Summary'!BB20)</f>
        <v>371809956.56963456</v>
      </c>
      <c r="BG20" s="496">
        <f ca="1">CDM!AB30</f>
        <v>12218442.981491039</v>
      </c>
      <c r="BH20" s="496">
        <f ca="1">BF20-BG20</f>
        <v>359591513.58814353</v>
      </c>
      <c r="BI20" s="496">
        <f>'Total Additional'!J23</f>
        <v>221425339.69929999</v>
      </c>
      <c r="BJ20" s="496">
        <f ca="1">BH20+BI20</f>
        <v>581016853.28744352</v>
      </c>
      <c r="BK20" s="496">
        <f t="shared" si="40"/>
        <v>593235296.26893449</v>
      </c>
      <c r="BL20" s="504"/>
      <c r="BM20" s="495">
        <f t="shared" si="158"/>
        <v>2030</v>
      </c>
      <c r="BN20" s="495"/>
      <c r="BO20" s="496">
        <f>'Customer Count'!AG18</f>
        <v>35018.028510898584</v>
      </c>
      <c r="BP20" s="496">
        <f t="shared" si="142"/>
        <v>351.59012530128132</v>
      </c>
      <c r="BQ20" s="496">
        <f t="shared" si="41"/>
        <v>12311993.031950675</v>
      </c>
      <c r="BR20" s="504"/>
      <c r="BS20" s="504"/>
      <c r="BT20" s="495">
        <f t="shared" si="159"/>
        <v>2030</v>
      </c>
      <c r="BU20" s="495"/>
      <c r="BV20" s="496">
        <f>'Customer Count'!AK18</f>
        <v>209.38271680548743</v>
      </c>
      <c r="BW20" s="496">
        <f t="shared" si="143"/>
        <v>365.74502180409922</v>
      </c>
      <c r="BX20" s="496">
        <f t="shared" si="42"/>
        <v>76580.686323424539</v>
      </c>
      <c r="BY20" s="504"/>
      <c r="BZ20" s="504"/>
      <c r="CA20" s="495" t="e">
        <f t="shared" si="160"/>
        <v>#REF!</v>
      </c>
      <c r="CB20" s="495"/>
      <c r="CC20" s="496">
        <f>'Customer Count'!AO18</f>
        <v>768.45694435448922</v>
      </c>
      <c r="CD20" s="496">
        <f t="shared" si="138"/>
        <v>5819.7647913670089</v>
      </c>
      <c r="CE20" s="496">
        <f>CD20*CC20</f>
        <v>4472238.6684357328</v>
      </c>
      <c r="CF20" s="504"/>
      <c r="CG20" s="506"/>
      <c r="CH20" s="504"/>
      <c r="CI20" s="504"/>
      <c r="CJ20" s="495">
        <f t="shared" si="161"/>
        <v>2030</v>
      </c>
      <c r="CK20" s="495"/>
      <c r="CL20" s="495"/>
      <c r="CM20" s="495"/>
      <c r="CN20" s="496">
        <f ca="1">SUMIFS('WRZ Residential Normalized'!X:X,'WRZ Residential Normalized'!B:B,'Normalized Annual Summary'!CJ20)</f>
        <v>480949426.56134427</v>
      </c>
      <c r="CO20" s="496">
        <f ca="1">CDM!AF30</f>
        <v>19016480.935493737</v>
      </c>
      <c r="CP20" s="496">
        <f ca="1">CN20-CO20</f>
        <v>461932945.62585056</v>
      </c>
      <c r="CQ20" s="496"/>
      <c r="CR20" s="496">
        <f t="shared" ca="1" si="162"/>
        <v>461932945.62585056</v>
      </c>
      <c r="CS20" s="504"/>
      <c r="CT20" s="495">
        <f t="shared" si="163"/>
        <v>2030</v>
      </c>
      <c r="CU20" s="495"/>
      <c r="CV20" s="495"/>
      <c r="CW20" s="495"/>
      <c r="CX20" s="496">
        <f ca="1">SUMIFS('WRZ GS &lt; 50 Normalized'!V:V,'WRZ GS &lt; 50 Normalized'!B:B,CT20)</f>
        <v>102235150.29780279</v>
      </c>
      <c r="CY20" s="496">
        <f ca="1">CDM!AG30</f>
        <v>2093102.9702343142</v>
      </c>
      <c r="CZ20" s="496">
        <f ca="1">CX20-CY20</f>
        <v>100142047.32756847</v>
      </c>
      <c r="DA20" s="496"/>
      <c r="DB20" s="496">
        <f t="shared" ca="1" si="164"/>
        <v>100142047.32756847</v>
      </c>
      <c r="DC20" s="496"/>
      <c r="DD20" s="495">
        <f t="shared" si="165"/>
        <v>2030</v>
      </c>
      <c r="DE20" s="495"/>
      <c r="DF20" s="495"/>
      <c r="DG20" s="495"/>
      <c r="DH20" s="496">
        <f ca="1">SUMIFS('WRZ GS 50-2,999 Normalized'!T:T,'WRZ GS 50-2,999 Normalized'!B:B,'Normalized Annual Summary'!DD20)</f>
        <v>356579400.51085436</v>
      </c>
      <c r="DI20" s="496">
        <f ca="1">CDM!AH30</f>
        <v>26173647.350142889</v>
      </c>
      <c r="DJ20" s="496">
        <f ca="1">DH20-DI20</f>
        <v>330405753.16071147</v>
      </c>
      <c r="DK20" s="496">
        <f>'Total Additional'!J47</f>
        <v>86209801.848399997</v>
      </c>
      <c r="DL20" s="496">
        <f t="shared" ca="1" si="166"/>
        <v>416615555.00911146</v>
      </c>
      <c r="DM20" s="496">
        <f t="shared" ca="1" si="43"/>
        <v>442789202.35925436</v>
      </c>
      <c r="DN20" s="496"/>
      <c r="DO20" s="495">
        <f t="shared" si="167"/>
        <v>2030</v>
      </c>
      <c r="DP20" s="495"/>
      <c r="DQ20" s="495"/>
      <c r="DR20" s="495"/>
      <c r="DS20" s="496">
        <f>SUMIFS('WRZ GS 3,000-4,999 Normalized'!O:O,'WRZ GS 3,000-4,999 Normalized'!B:B,'Normalized Annual Summary'!DO20)</f>
        <v>88839609.466133252</v>
      </c>
      <c r="DT20" s="496">
        <f ca="1">CDM!AI30</f>
        <v>5899009.877435579</v>
      </c>
      <c r="DU20" s="496">
        <f ca="1">DS20-DT20</f>
        <v>82940599.588697672</v>
      </c>
      <c r="DV20" s="496">
        <f>'Total Additional'!J48</f>
        <v>46620066.630099997</v>
      </c>
      <c r="DW20" s="496">
        <f t="shared" ca="1" si="168"/>
        <v>129560666.21879767</v>
      </c>
      <c r="DX20" s="496">
        <f t="shared" si="44"/>
        <v>135459676.09623325</v>
      </c>
      <c r="DY20" s="504"/>
      <c r="DZ20" s="495">
        <f t="shared" si="169"/>
        <v>2030</v>
      </c>
      <c r="EA20" s="495"/>
      <c r="EB20" s="496">
        <f>'Customer Count'!BN18</f>
        <v>15106.008444886891</v>
      </c>
      <c r="EC20" s="496">
        <f t="shared" si="144"/>
        <v>258.8033646657197</v>
      </c>
      <c r="ED20" s="496">
        <f t="shared" si="45"/>
        <v>3909485.8122055032</v>
      </c>
      <c r="EE20" s="504"/>
      <c r="EF20" s="504"/>
      <c r="EG20" s="495">
        <f t="shared" si="170"/>
        <v>2030</v>
      </c>
      <c r="EH20" s="495"/>
      <c r="EI20" s="496">
        <f>'Customer Count'!BR18</f>
        <v>47.81431509483113</v>
      </c>
      <c r="EJ20" s="496">
        <f t="shared" si="145"/>
        <v>135.46323976741772</v>
      </c>
      <c r="EK20" s="496">
        <f t="shared" si="46"/>
        <v>6477.0820300059695</v>
      </c>
      <c r="EL20" s="504"/>
      <c r="EM20" s="504"/>
      <c r="EN20" s="495">
        <f t="shared" si="171"/>
        <v>2030</v>
      </c>
      <c r="EO20" s="495"/>
      <c r="EP20" s="496">
        <f>'Customer Count'!BV18</f>
        <v>400.51528205145229</v>
      </c>
      <c r="EQ20" s="496">
        <f t="shared" si="140"/>
        <v>4795.8805799774409</v>
      </c>
      <c r="ER20" s="496">
        <f>EQ20*EP20</f>
        <v>1920823.4631747473</v>
      </c>
      <c r="ET20" s="507"/>
    </row>
    <row r="21" spans="2:150" s="503" customFormat="1">
      <c r="B21" s="495">
        <f>B20+1</f>
        <v>2031</v>
      </c>
      <c r="C21" s="496"/>
      <c r="D21" s="496"/>
      <c r="E21" s="496"/>
      <c r="F21" s="496">
        <f ca="1">SUMIFS('VRZ Residential Normalized'!X:X,'VRZ Residential Normalized'!B:B,B21)</f>
        <v>1248390640.5551538</v>
      </c>
      <c r="G21" s="496">
        <f ca="1">CDM!W31</f>
        <v>39652207.609117113</v>
      </c>
      <c r="H21" s="496">
        <f ca="1">F21-G21</f>
        <v>1208738432.9460368</v>
      </c>
      <c r="I21" s="496"/>
      <c r="J21" s="496">
        <f ca="1">H21+I21</f>
        <v>1208738432.9460368</v>
      </c>
      <c r="K21" s="504"/>
      <c r="L21" s="495">
        <f>L20+1</f>
        <v>2031</v>
      </c>
      <c r="M21" s="496"/>
      <c r="N21" s="496"/>
      <c r="O21" s="496"/>
      <c r="P21" s="496">
        <f ca="1">SUMIFS('VRZ Seasonal Normalized'!V:V,'VRZ Seasonal Normalized'!B:B,L21)</f>
        <v>15922532.345976315</v>
      </c>
      <c r="Q21" s="496">
        <f ca="1">CDM!X31</f>
        <v>454157.43028713117</v>
      </c>
      <c r="R21" s="496">
        <f t="shared" ref="R21" ca="1" si="172">P21-Q21</f>
        <v>15468374.915689183</v>
      </c>
      <c r="S21" s="496"/>
      <c r="T21" s="496">
        <f ca="1">R21+S21</f>
        <v>15468374.915689183</v>
      </c>
      <c r="U21" s="504"/>
      <c r="V21" s="495">
        <f>V20+1</f>
        <v>2031</v>
      </c>
      <c r="W21" s="496"/>
      <c r="X21" s="496"/>
      <c r="Y21" s="496"/>
      <c r="Z21" s="496">
        <f ca="1">SUMIFS('VRZ GS &lt; 50 Normalized'!T:T,'VRZ GS &lt; 50 Normalized'!B:B,V21)</f>
        <v>296117187.95997161</v>
      </c>
      <c r="AA21" s="496">
        <f ca="1">CDM!Y31</f>
        <v>7840773.9027254544</v>
      </c>
      <c r="AB21" s="496">
        <f t="shared" ref="AB21" ca="1" si="173">Z21-AA21</f>
        <v>288276414.05724615</v>
      </c>
      <c r="AC21" s="496"/>
      <c r="AD21" s="496">
        <f ca="1">AB21+AC21</f>
        <v>288276414.05724615</v>
      </c>
      <c r="AE21" s="496"/>
      <c r="AF21" s="495">
        <f>AF20+1</f>
        <v>2031</v>
      </c>
      <c r="AG21" s="496"/>
      <c r="AH21" s="496"/>
      <c r="AI21" s="496"/>
      <c r="AJ21" s="496">
        <f ca="1">SUMIFS('VRZ GS 50-2,999 Normalized'!V:V,'VRZ GS 50-2,999 Normalized'!B:B,AF21)</f>
        <v>1041977546.3370543</v>
      </c>
      <c r="AK21" s="496">
        <f ca="1">CDM!Z31</f>
        <v>37334161.293305904</v>
      </c>
      <c r="AL21" s="496">
        <f t="shared" ref="AL21" ca="1" si="174">AJ21-AK21</f>
        <v>1004643385.0437484</v>
      </c>
      <c r="AM21" s="496">
        <f>'Total Additional'!K21</f>
        <v>140244483.45339999</v>
      </c>
      <c r="AN21" s="496">
        <f ca="1">AL21+AM21</f>
        <v>1144887868.4971483</v>
      </c>
      <c r="AO21" s="496">
        <f ca="1">AJ21+AM21</f>
        <v>1182222029.7904541</v>
      </c>
      <c r="AP21" s="496"/>
      <c r="AQ21" s="495">
        <f>AQ20+1</f>
        <v>2031</v>
      </c>
      <c r="AR21" s="496"/>
      <c r="AS21" s="496"/>
      <c r="AT21" s="496"/>
      <c r="AU21" s="496">
        <f>SUMIFS('VRZ GS 3,000-4,999 Normalized'!M:M,'VRZ GS 3,000-4,999 Normalized'!B:B,'Normalized Annual Summary'!AQ21)</f>
        <v>110573519.07420997</v>
      </c>
      <c r="AV21" s="496">
        <f ca="1">CDM!AA31</f>
        <v>1898244.9504815072</v>
      </c>
      <c r="AW21" s="496">
        <f t="shared" ref="AW21" ca="1" si="175">AU21-AV21</f>
        <v>108675274.12372847</v>
      </c>
      <c r="AX21" s="496">
        <f>'Total Additional'!K22</f>
        <v>107657042.8822</v>
      </c>
      <c r="AY21" s="496">
        <f ca="1">AW21+AX21</f>
        <v>216332317.00592846</v>
      </c>
      <c r="AZ21" s="496">
        <f>AU21+AX21</f>
        <v>218230561.95640999</v>
      </c>
      <c r="BA21" s="496"/>
      <c r="BB21" s="495">
        <f>BB20+1</f>
        <v>2031</v>
      </c>
      <c r="BC21" s="496"/>
      <c r="BD21" s="496"/>
      <c r="BE21" s="496"/>
      <c r="BF21" s="496">
        <f>SUMIFS('VRZ Large Use Normalized'!Q:Q,'VRZ Large Use Normalized'!B:B,'Normalized Annual Summary'!BB21)</f>
        <v>384418478.38855839</v>
      </c>
      <c r="BG21" s="496">
        <f ca="1">CDM!AB31</f>
        <v>8794855.5808784068</v>
      </c>
      <c r="BH21" s="496">
        <f t="shared" ref="BH21" ca="1" si="176">BF21-BG21</f>
        <v>375623622.80768001</v>
      </c>
      <c r="BI21" s="496">
        <f>'Total Additional'!K23</f>
        <v>221425339.69929999</v>
      </c>
      <c r="BJ21" s="496">
        <f ca="1">BH21+BI21</f>
        <v>597048962.50697994</v>
      </c>
      <c r="BK21" s="496">
        <f>BF21+BI21</f>
        <v>605843818.08785844</v>
      </c>
      <c r="BL21" s="504"/>
      <c r="BM21" s="495">
        <f>BM20+1</f>
        <v>2031</v>
      </c>
      <c r="BN21" s="496"/>
      <c r="BO21" s="496">
        <f>'Customer Count'!AG19</f>
        <v>35404.445758212161</v>
      </c>
      <c r="BP21" s="496">
        <f t="shared" si="142"/>
        <v>351.59012530128132</v>
      </c>
      <c r="BQ21" s="496">
        <f t="shared" ref="BQ21" si="177">BP21*BO21</f>
        <v>12447853.520352231</v>
      </c>
      <c r="BR21" s="504"/>
      <c r="BS21" s="504"/>
      <c r="BT21" s="495">
        <f>BT20+1</f>
        <v>2031</v>
      </c>
      <c r="BU21" s="496"/>
      <c r="BV21" s="496">
        <f>'Customer Count'!AK19</f>
        <v>205.2861320377053</v>
      </c>
      <c r="BW21" s="496">
        <f t="shared" si="143"/>
        <v>365.74502180409922</v>
      </c>
      <c r="BX21" s="496">
        <f t="shared" si="42"/>
        <v>75082.38083820972</v>
      </c>
      <c r="BY21" s="504"/>
      <c r="BZ21" s="504"/>
      <c r="CA21" s="495" t="e">
        <f>CA20+1</f>
        <v>#REF!</v>
      </c>
      <c r="CB21" s="496"/>
      <c r="CC21" s="496">
        <f>'Customer Count'!AO19</f>
        <v>761.88978256926418</v>
      </c>
      <c r="CD21" s="496">
        <f t="shared" si="138"/>
        <v>5819.7647913670089</v>
      </c>
      <c r="CE21" s="496">
        <f t="shared" ref="CE21" si="178">CD21*CC21</f>
        <v>4434019.3314988697</v>
      </c>
      <c r="CF21" s="504"/>
      <c r="CG21" s="504"/>
      <c r="CH21" s="504"/>
      <c r="CI21" s="504"/>
      <c r="CJ21" s="495">
        <f>CJ20+1</f>
        <v>2031</v>
      </c>
      <c r="CK21" s="496"/>
      <c r="CL21" s="496"/>
      <c r="CM21" s="496"/>
      <c r="CN21" s="496">
        <f ca="1">SUMIFS('WRZ Residential Normalized'!X:X,'WRZ Residential Normalized'!B:B,'Normalized Annual Summary'!CJ21)</f>
        <v>493163975.89296597</v>
      </c>
      <c r="CO21" s="496">
        <f ca="1">CDM!AF31</f>
        <v>17648686.609587401</v>
      </c>
      <c r="CP21" s="496">
        <f ca="1">CN21-CO21</f>
        <v>475515289.2833786</v>
      </c>
      <c r="CQ21" s="496"/>
      <c r="CR21" s="496">
        <f ca="1">CP21+CQ21</f>
        <v>475515289.2833786</v>
      </c>
      <c r="CS21" s="504"/>
      <c r="CT21" s="495">
        <f>CT20+1</f>
        <v>2031</v>
      </c>
      <c r="CU21" s="496"/>
      <c r="CV21" s="496"/>
      <c r="CW21" s="496"/>
      <c r="CX21" s="496">
        <f ca="1">SUMIFS('WRZ GS &lt; 50 Normalized'!V:V,'WRZ GS &lt; 50 Normalized'!B:B,CT21)</f>
        <v>103451164.09172952</v>
      </c>
      <c r="CY21" s="496">
        <f ca="1">CDM!AG31</f>
        <v>1608596.1753076953</v>
      </c>
      <c r="CZ21" s="496">
        <f t="shared" ref="CZ21" ca="1" si="179">CX21-CY21</f>
        <v>101842567.91642183</v>
      </c>
      <c r="DA21" s="496"/>
      <c r="DB21" s="496">
        <f ca="1">CZ21+DA21</f>
        <v>101842567.91642183</v>
      </c>
      <c r="DC21" s="496"/>
      <c r="DD21" s="495">
        <f>DD20+1</f>
        <v>2031</v>
      </c>
      <c r="DE21" s="496"/>
      <c r="DF21" s="496"/>
      <c r="DG21" s="496"/>
      <c r="DH21" s="496">
        <f ca="1">SUMIFS('WRZ GS 50-2,999 Normalized'!T:T,'WRZ GS 50-2,999 Normalized'!B:B,'Normalized Annual Summary'!DD21)</f>
        <v>356577000.56157303</v>
      </c>
      <c r="DI21" s="496">
        <f ca="1">CDM!AH31</f>
        <v>21193380.869797029</v>
      </c>
      <c r="DJ21" s="496">
        <f t="shared" ref="DJ21" ca="1" si="180">DH21-DI21</f>
        <v>335383619.69177598</v>
      </c>
      <c r="DK21" s="496">
        <f>'Total Additional'!K47</f>
        <v>91094428.5484</v>
      </c>
      <c r="DL21" s="496">
        <f ca="1">DJ21+DK21</f>
        <v>426478048.24017596</v>
      </c>
      <c r="DM21" s="496">
        <f t="shared" ca="1" si="43"/>
        <v>447671429.10997301</v>
      </c>
      <c r="DN21" s="496"/>
      <c r="DO21" s="495">
        <f>DO20+1</f>
        <v>2031</v>
      </c>
      <c r="DP21" s="496"/>
      <c r="DQ21" s="496"/>
      <c r="DR21" s="496"/>
      <c r="DS21" s="496">
        <f>SUMIFS('WRZ GS 3,000-4,999 Normalized'!O:O,'WRZ GS 3,000-4,999 Normalized'!B:B,'Normalized Annual Summary'!DO21)</f>
        <v>88703442.133311868</v>
      </c>
      <c r="DT21" s="496">
        <f ca="1">CDM!AI31</f>
        <v>4779021.8965418544</v>
      </c>
      <c r="DU21" s="496">
        <f t="shared" ref="DU21" ca="1" si="181">DS21-DT21</f>
        <v>83924420.236770019</v>
      </c>
      <c r="DV21" s="496">
        <f>'Total Additional'!K48</f>
        <v>52254975.533399999</v>
      </c>
      <c r="DW21" s="496">
        <f ca="1">DU21+DV21</f>
        <v>136179395.77017003</v>
      </c>
      <c r="DX21" s="496">
        <f t="shared" si="44"/>
        <v>140958417.66671187</v>
      </c>
      <c r="DY21" s="504"/>
      <c r="DZ21" s="495">
        <f>DZ20+1</f>
        <v>2031</v>
      </c>
      <c r="EA21" s="496"/>
      <c r="EB21" s="496">
        <f>'Customer Count'!BN19</f>
        <v>15369.552938680612</v>
      </c>
      <c r="EC21" s="496">
        <f t="shared" si="144"/>
        <v>258.8033646657197</v>
      </c>
      <c r="ED21" s="496">
        <f t="shared" si="45"/>
        <v>3977692.0139384423</v>
      </c>
      <c r="EE21" s="504"/>
      <c r="EF21" s="504"/>
      <c r="EG21" s="495">
        <f>EG20+1</f>
        <v>2031</v>
      </c>
      <c r="EH21" s="496"/>
      <c r="EI21" s="496">
        <f>'Customer Count'!BR19</f>
        <v>48.515319020777902</v>
      </c>
      <c r="EJ21" s="496">
        <f t="shared" si="145"/>
        <v>135.46323976741772</v>
      </c>
      <c r="EK21" s="496">
        <f t="shared" si="46"/>
        <v>6572.042292904398</v>
      </c>
      <c r="EL21" s="504"/>
      <c r="EM21" s="504"/>
      <c r="EN21" s="495">
        <f>EN20+1</f>
        <v>2031</v>
      </c>
      <c r="EO21" s="496"/>
      <c r="EP21" s="496">
        <f>'Customer Count'!BV19</f>
        <v>402.61771277521353</v>
      </c>
      <c r="EQ21" s="496">
        <f t="shared" si="140"/>
        <v>4795.8805799774409</v>
      </c>
      <c r="ER21" s="496">
        <f t="shared" ref="ER21" si="182">EQ21*EP21</f>
        <v>1930906.4698535819</v>
      </c>
    </row>
    <row r="45" spans="2:124">
      <c r="C45" s="198"/>
      <c r="G45" s="510"/>
      <c r="Q45" s="510"/>
      <c r="R45" s="510"/>
      <c r="AA45" s="510"/>
      <c r="AK45" s="510"/>
      <c r="AV45" s="510"/>
      <c r="BG45" s="510"/>
      <c r="CO45" s="510"/>
      <c r="CY45" s="510"/>
      <c r="DI45" s="510"/>
      <c r="DT45" s="510"/>
    </row>
    <row r="48" spans="2:124" ht="13">
      <c r="B48" s="81"/>
      <c r="C48" s="81"/>
      <c r="D48" s="81"/>
      <c r="E48" s="81"/>
      <c r="F48" s="81"/>
      <c r="G48" s="81"/>
      <c r="H48" s="81"/>
      <c r="I48" s="81"/>
      <c r="J48" s="81"/>
      <c r="L48" s="81"/>
      <c r="M48" s="81"/>
      <c r="N48" s="81"/>
      <c r="O48" s="81"/>
      <c r="P48" s="81"/>
      <c r="Q48" s="81"/>
      <c r="R48" s="81"/>
      <c r="S48" s="81"/>
      <c r="T48" s="81"/>
      <c r="V48" s="81"/>
      <c r="W48" s="81"/>
      <c r="X48" s="81"/>
      <c r="Y48" s="81"/>
      <c r="Z48" s="81"/>
      <c r="AA48" s="81"/>
      <c r="AB48" s="81"/>
      <c r="AC48" s="81"/>
      <c r="AD48" s="81"/>
      <c r="CJ48" s="81"/>
      <c r="CK48" s="81"/>
      <c r="CL48" s="81"/>
      <c r="CM48" s="81"/>
      <c r="CN48" s="81"/>
      <c r="CO48" s="81"/>
      <c r="CP48" s="81"/>
      <c r="CQ48" s="81"/>
      <c r="CR48" s="81"/>
      <c r="CT48" s="81"/>
      <c r="CU48" s="81"/>
      <c r="CV48" s="81"/>
      <c r="CW48" s="81"/>
      <c r="CX48" s="81"/>
      <c r="CY48" s="81"/>
      <c r="CZ48" s="81"/>
      <c r="DA48" s="81"/>
      <c r="DB48" s="81"/>
    </row>
    <row r="49" spans="2:136">
      <c r="B49" s="80"/>
      <c r="C49" s="80"/>
      <c r="D49" s="80"/>
      <c r="E49" s="80"/>
      <c r="F49" s="80"/>
      <c r="G49" s="80"/>
      <c r="H49" s="80"/>
      <c r="I49" s="80"/>
      <c r="J49" s="80"/>
      <c r="K49" s="498"/>
      <c r="L49" s="80"/>
      <c r="M49" s="80"/>
      <c r="N49" s="80"/>
      <c r="O49" s="80"/>
      <c r="P49" s="80"/>
      <c r="Q49" s="80"/>
      <c r="R49" s="80"/>
      <c r="S49" s="80"/>
      <c r="T49" s="80"/>
      <c r="U49" s="498"/>
      <c r="V49" s="80"/>
      <c r="W49" s="80"/>
      <c r="X49" s="80"/>
      <c r="Y49" s="80"/>
      <c r="Z49" s="80"/>
      <c r="AA49" s="80"/>
      <c r="AB49" s="80"/>
      <c r="AC49" s="80"/>
      <c r="AD49" s="80"/>
      <c r="CJ49" s="80"/>
      <c r="CK49" s="80"/>
      <c r="CL49" s="80"/>
      <c r="CM49" s="80"/>
      <c r="CN49" s="80"/>
      <c r="CO49" s="80"/>
      <c r="CP49" s="80"/>
      <c r="CQ49" s="80"/>
      <c r="CR49" s="80"/>
      <c r="CS49" s="498"/>
      <c r="CT49" s="80"/>
      <c r="CU49" s="80"/>
      <c r="CV49" s="80"/>
      <c r="CW49" s="80"/>
      <c r="CX49" s="80"/>
      <c r="CY49" s="80"/>
      <c r="CZ49" s="80"/>
      <c r="DA49" s="80"/>
      <c r="DB49" s="80"/>
    </row>
    <row r="50" spans="2:136">
      <c r="B50" s="79"/>
      <c r="C50" s="79"/>
      <c r="D50" s="79"/>
      <c r="E50" s="79"/>
      <c r="F50" s="79"/>
      <c r="G50" s="79"/>
      <c r="H50" s="79"/>
      <c r="I50" s="79"/>
      <c r="J50" s="79"/>
      <c r="L50" s="79"/>
      <c r="M50" s="79"/>
      <c r="N50" s="79"/>
      <c r="O50" s="79"/>
      <c r="P50" s="79"/>
      <c r="Q50" s="79"/>
      <c r="R50" s="79"/>
      <c r="S50" s="79"/>
      <c r="T50" s="79"/>
      <c r="V50" s="79"/>
      <c r="W50" s="79"/>
      <c r="X50" s="79"/>
      <c r="Y50" s="79"/>
      <c r="Z50" s="79"/>
      <c r="AA50" s="79"/>
      <c r="AB50" s="79"/>
      <c r="AC50" s="79"/>
      <c r="AD50" s="79"/>
      <c r="CJ50" s="79"/>
      <c r="CK50" s="79"/>
      <c r="CL50" s="79"/>
      <c r="CM50" s="79"/>
      <c r="CN50" s="79"/>
      <c r="CO50" s="79"/>
      <c r="CP50" s="79"/>
      <c r="CQ50" s="79"/>
      <c r="CR50" s="79"/>
      <c r="CT50" s="79"/>
      <c r="CU50" s="79"/>
      <c r="CV50" s="79"/>
      <c r="CW50" s="79"/>
      <c r="CX50" s="79"/>
      <c r="CY50" s="79"/>
      <c r="CZ50" s="79"/>
      <c r="DA50" s="79"/>
      <c r="DB50" s="79"/>
    </row>
    <row r="51" spans="2:136">
      <c r="B51" s="508"/>
      <c r="C51" s="509"/>
      <c r="D51" s="509"/>
      <c r="E51" s="509"/>
      <c r="F51" s="509"/>
      <c r="G51" s="509"/>
      <c r="H51" s="509"/>
      <c r="I51" s="509"/>
      <c r="J51" s="509"/>
      <c r="K51" s="510"/>
      <c r="L51" s="508"/>
      <c r="M51" s="509"/>
      <c r="N51" s="509"/>
      <c r="O51" s="509"/>
      <c r="P51" s="509"/>
      <c r="Q51" s="509"/>
      <c r="R51" s="509"/>
      <c r="S51" s="509"/>
      <c r="T51" s="509"/>
      <c r="U51" s="510"/>
      <c r="V51" s="508"/>
      <c r="W51" s="509"/>
      <c r="X51" s="509"/>
      <c r="Y51" s="509"/>
      <c r="Z51" s="509"/>
      <c r="AA51" s="509"/>
      <c r="AB51" s="509"/>
      <c r="AC51" s="509"/>
      <c r="AD51" s="509"/>
      <c r="BL51" s="510"/>
      <c r="BS51" s="510"/>
      <c r="CJ51" s="508"/>
      <c r="CK51" s="509"/>
      <c r="CL51" s="509"/>
      <c r="CM51" s="509"/>
      <c r="CN51" s="509"/>
      <c r="CO51" s="509"/>
      <c r="CP51" s="509"/>
      <c r="CQ51" s="509"/>
      <c r="CR51" s="509"/>
      <c r="CS51" s="510"/>
      <c r="CT51" s="508"/>
      <c r="CU51" s="509"/>
      <c r="CV51" s="509"/>
      <c r="CW51" s="509"/>
      <c r="CX51" s="509"/>
      <c r="CY51" s="509"/>
      <c r="CZ51" s="509"/>
      <c r="DA51" s="509"/>
      <c r="DB51" s="509"/>
      <c r="DY51" s="510"/>
      <c r="EF51" s="510"/>
    </row>
    <row r="52" spans="2:136">
      <c r="B52" s="508"/>
      <c r="C52" s="509"/>
      <c r="D52" s="509"/>
      <c r="E52" s="509"/>
      <c r="F52" s="509"/>
      <c r="G52" s="509"/>
      <c r="H52" s="509"/>
      <c r="I52" s="509"/>
      <c r="J52" s="509"/>
      <c r="K52" s="510"/>
      <c r="L52" s="508"/>
      <c r="M52" s="509"/>
      <c r="N52" s="509"/>
      <c r="O52" s="509"/>
      <c r="P52" s="509"/>
      <c r="Q52" s="509"/>
      <c r="R52" s="509"/>
      <c r="S52" s="509"/>
      <c r="T52" s="509"/>
      <c r="U52" s="510"/>
      <c r="V52" s="508"/>
      <c r="W52" s="509"/>
      <c r="X52" s="509"/>
      <c r="Y52" s="509"/>
      <c r="Z52" s="509"/>
      <c r="AA52" s="509"/>
      <c r="AB52" s="509"/>
      <c r="AC52" s="509"/>
      <c r="AD52" s="509"/>
      <c r="BL52" s="510"/>
      <c r="BS52" s="510"/>
      <c r="CJ52" s="508"/>
      <c r="CK52" s="509"/>
      <c r="CL52" s="509"/>
      <c r="CM52" s="509"/>
      <c r="CN52" s="509"/>
      <c r="CO52" s="509"/>
      <c r="CP52" s="509"/>
      <c r="CQ52" s="509"/>
      <c r="CR52" s="509"/>
      <c r="CS52" s="510"/>
      <c r="CT52" s="508"/>
      <c r="CU52" s="509"/>
      <c r="CV52" s="509"/>
      <c r="CW52" s="509"/>
      <c r="CX52" s="509"/>
      <c r="CY52" s="509"/>
      <c r="CZ52" s="509"/>
      <c r="DA52" s="509"/>
      <c r="DB52" s="509"/>
      <c r="DY52" s="510"/>
      <c r="EF52" s="510"/>
    </row>
    <row r="53" spans="2:136">
      <c r="B53" s="508"/>
      <c r="C53" s="509"/>
      <c r="D53" s="509"/>
      <c r="E53" s="509"/>
      <c r="F53" s="509"/>
      <c r="G53" s="509"/>
      <c r="H53" s="509"/>
      <c r="I53" s="509"/>
      <c r="J53" s="509"/>
      <c r="K53" s="510"/>
      <c r="L53" s="508"/>
      <c r="M53" s="509"/>
      <c r="N53" s="509"/>
      <c r="O53" s="509"/>
      <c r="P53" s="509"/>
      <c r="Q53" s="509"/>
      <c r="R53" s="509"/>
      <c r="S53" s="509"/>
      <c r="T53" s="509"/>
      <c r="U53" s="510"/>
      <c r="V53" s="508"/>
      <c r="W53" s="509"/>
      <c r="X53" s="509"/>
      <c r="Y53" s="509"/>
      <c r="Z53" s="509"/>
      <c r="AA53" s="509"/>
      <c r="AB53" s="509"/>
      <c r="AC53" s="509"/>
      <c r="AD53" s="509"/>
      <c r="AE53" s="509"/>
      <c r="AF53" s="509"/>
      <c r="AG53" s="509"/>
      <c r="AH53" s="509"/>
      <c r="AI53" s="509"/>
      <c r="AJ53" s="509"/>
      <c r="AK53" s="509"/>
      <c r="AL53" s="509"/>
      <c r="AM53" s="509"/>
      <c r="AN53" s="509"/>
      <c r="AO53" s="509"/>
      <c r="AP53" s="509"/>
      <c r="AQ53" s="509"/>
      <c r="AR53" s="509"/>
      <c r="AS53" s="509"/>
      <c r="AT53" s="509"/>
      <c r="AU53" s="509"/>
      <c r="AV53" s="509"/>
      <c r="AW53" s="509"/>
      <c r="AX53" s="509"/>
      <c r="AY53" s="509"/>
      <c r="AZ53" s="509"/>
      <c r="BA53" s="509"/>
      <c r="BB53" s="509"/>
      <c r="BC53" s="509"/>
      <c r="BD53" s="509"/>
      <c r="BE53" s="509"/>
      <c r="BF53" s="509"/>
      <c r="BG53" s="509"/>
      <c r="BH53" s="509"/>
      <c r="BI53" s="509"/>
      <c r="BJ53" s="509"/>
      <c r="BK53" s="509"/>
      <c r="BL53" s="510"/>
      <c r="BS53" s="510"/>
      <c r="CJ53" s="508"/>
      <c r="CK53" s="509"/>
      <c r="CL53" s="509"/>
      <c r="CM53" s="509"/>
      <c r="CN53" s="509"/>
      <c r="CO53" s="509"/>
      <c r="CP53" s="509"/>
      <c r="CQ53" s="509"/>
      <c r="CR53" s="509"/>
      <c r="CS53" s="510"/>
      <c r="CT53" s="508"/>
      <c r="CU53" s="509"/>
      <c r="CV53" s="509"/>
      <c r="CW53" s="509"/>
      <c r="CX53" s="509"/>
      <c r="CY53" s="509"/>
      <c r="CZ53" s="509"/>
      <c r="DA53" s="509"/>
      <c r="DB53" s="509"/>
      <c r="DC53" s="509"/>
      <c r="DD53" s="509"/>
      <c r="DE53" s="509"/>
      <c r="DF53" s="509"/>
      <c r="DG53" s="509"/>
      <c r="DH53" s="509"/>
      <c r="DI53" s="509"/>
      <c r="DJ53" s="509"/>
      <c r="DK53" s="509"/>
      <c r="DL53" s="509"/>
      <c r="DM53" s="509"/>
      <c r="DN53" s="509"/>
      <c r="DO53" s="509"/>
      <c r="DP53" s="509"/>
      <c r="DQ53" s="509"/>
      <c r="DR53" s="509"/>
      <c r="DS53" s="509"/>
      <c r="DT53" s="509"/>
      <c r="DU53" s="509"/>
      <c r="DV53" s="509"/>
      <c r="DW53" s="509"/>
      <c r="DX53" s="509"/>
      <c r="DY53" s="510"/>
      <c r="EF53" s="510"/>
    </row>
    <row r="54" spans="2:136">
      <c r="B54" s="508"/>
      <c r="C54" s="509"/>
      <c r="D54" s="509"/>
      <c r="E54" s="509"/>
      <c r="F54" s="509"/>
      <c r="G54" s="509"/>
      <c r="H54" s="509"/>
      <c r="I54" s="509"/>
      <c r="J54" s="509"/>
      <c r="K54" s="510"/>
      <c r="L54" s="508"/>
      <c r="M54" s="509"/>
      <c r="N54" s="509"/>
      <c r="O54" s="509"/>
      <c r="P54" s="509"/>
      <c r="Q54" s="509"/>
      <c r="R54" s="509"/>
      <c r="S54" s="509"/>
      <c r="T54" s="509"/>
      <c r="U54" s="510"/>
      <c r="V54" s="508"/>
      <c r="W54" s="509"/>
      <c r="X54" s="509"/>
      <c r="Y54" s="509"/>
      <c r="Z54" s="509"/>
      <c r="AA54" s="509"/>
      <c r="AB54" s="509"/>
      <c r="AC54" s="509"/>
      <c r="AD54" s="509"/>
      <c r="AE54" s="509"/>
      <c r="AF54" s="509"/>
      <c r="AG54" s="509"/>
      <c r="AH54" s="509"/>
      <c r="AI54" s="509"/>
      <c r="AJ54" s="509"/>
      <c r="AK54" s="509"/>
      <c r="AL54" s="509"/>
      <c r="AM54" s="509"/>
      <c r="AN54" s="509"/>
      <c r="AO54" s="509"/>
      <c r="AP54" s="509"/>
      <c r="AQ54" s="509"/>
      <c r="AR54" s="509"/>
      <c r="AS54" s="509"/>
      <c r="AT54" s="509"/>
      <c r="AU54" s="509"/>
      <c r="AV54" s="509"/>
      <c r="AW54" s="509"/>
      <c r="AX54" s="509"/>
      <c r="AY54" s="509"/>
      <c r="AZ54" s="509"/>
      <c r="BA54" s="509"/>
      <c r="BB54" s="509"/>
      <c r="BC54" s="509"/>
      <c r="BD54" s="509"/>
      <c r="BE54" s="509"/>
      <c r="BF54" s="509"/>
      <c r="BG54" s="509"/>
      <c r="BH54" s="509"/>
      <c r="BI54" s="509"/>
      <c r="BJ54" s="509"/>
      <c r="BK54" s="509"/>
      <c r="BL54" s="510"/>
      <c r="BS54" s="510"/>
      <c r="CJ54" s="508"/>
      <c r="CK54" s="509"/>
      <c r="CL54" s="509"/>
      <c r="CM54" s="509"/>
      <c r="CN54" s="509"/>
      <c r="CO54" s="509"/>
      <c r="CP54" s="509"/>
      <c r="CQ54" s="509"/>
      <c r="CR54" s="509"/>
      <c r="CS54" s="510"/>
      <c r="CT54" s="508"/>
      <c r="CU54" s="509"/>
      <c r="CV54" s="509"/>
      <c r="CW54" s="509"/>
      <c r="CX54" s="509"/>
      <c r="CY54" s="509"/>
      <c r="CZ54" s="509"/>
      <c r="DA54" s="509"/>
      <c r="DB54" s="509"/>
      <c r="DC54" s="509"/>
      <c r="DD54" s="509"/>
      <c r="DE54" s="509"/>
      <c r="DF54" s="509"/>
      <c r="DG54" s="509"/>
      <c r="DH54" s="509"/>
      <c r="DI54" s="509"/>
      <c r="DJ54" s="509"/>
      <c r="DK54" s="509"/>
      <c r="DL54" s="509"/>
      <c r="DM54" s="509"/>
      <c r="DN54" s="509"/>
      <c r="DO54" s="509"/>
      <c r="DP54" s="509"/>
      <c r="DQ54" s="509"/>
      <c r="DR54" s="509"/>
      <c r="DS54" s="509"/>
      <c r="DT54" s="509"/>
      <c r="DU54" s="509"/>
      <c r="DV54" s="509"/>
      <c r="DW54" s="509"/>
      <c r="DX54" s="509"/>
      <c r="DY54" s="510"/>
      <c r="EF54" s="510"/>
    </row>
    <row r="55" spans="2:136">
      <c r="B55" s="508"/>
      <c r="C55" s="509"/>
      <c r="D55" s="509"/>
      <c r="E55" s="509"/>
      <c r="F55" s="509"/>
      <c r="G55" s="509"/>
      <c r="H55" s="509"/>
      <c r="I55" s="509"/>
      <c r="J55" s="509"/>
      <c r="K55" s="510"/>
      <c r="L55" s="508"/>
      <c r="M55" s="509"/>
      <c r="N55" s="509"/>
      <c r="O55" s="509"/>
      <c r="P55" s="509"/>
      <c r="Q55" s="509"/>
      <c r="R55" s="509"/>
      <c r="S55" s="509"/>
      <c r="T55" s="509"/>
      <c r="U55" s="510"/>
      <c r="V55" s="508"/>
      <c r="W55" s="509"/>
      <c r="X55" s="509"/>
      <c r="Y55" s="509"/>
      <c r="Z55" s="509"/>
      <c r="AA55" s="509"/>
      <c r="AB55" s="509"/>
      <c r="AC55" s="509"/>
      <c r="AD55" s="509"/>
      <c r="AE55" s="509"/>
      <c r="AF55" s="509"/>
      <c r="AG55" s="509"/>
      <c r="AH55" s="509"/>
      <c r="AI55" s="509"/>
      <c r="AJ55" s="509"/>
      <c r="AK55" s="509"/>
      <c r="AL55" s="509"/>
      <c r="AM55" s="509"/>
      <c r="AN55" s="509"/>
      <c r="AO55" s="509"/>
      <c r="AP55" s="509"/>
      <c r="AQ55" s="509"/>
      <c r="AR55" s="509"/>
      <c r="AS55" s="509"/>
      <c r="AT55" s="509"/>
      <c r="AU55" s="509"/>
      <c r="AV55" s="509"/>
      <c r="AW55" s="509"/>
      <c r="AX55" s="509"/>
      <c r="AY55" s="509"/>
      <c r="AZ55" s="509"/>
      <c r="BA55" s="509"/>
      <c r="BB55" s="509"/>
      <c r="BC55" s="509"/>
      <c r="BD55" s="509"/>
      <c r="BE55" s="509"/>
      <c r="BF55" s="509"/>
      <c r="BG55" s="509"/>
      <c r="BH55" s="509"/>
      <c r="BI55" s="509"/>
      <c r="BJ55" s="509"/>
      <c r="BK55" s="509"/>
      <c r="BL55" s="510"/>
      <c r="BS55" s="510"/>
      <c r="CJ55" s="508"/>
      <c r="CK55" s="509"/>
      <c r="CL55" s="509"/>
      <c r="CM55" s="509"/>
      <c r="CN55" s="509"/>
      <c r="CO55" s="509"/>
      <c r="CP55" s="509"/>
      <c r="CQ55" s="509"/>
      <c r="CR55" s="509"/>
      <c r="CS55" s="510"/>
      <c r="CT55" s="508"/>
      <c r="CU55" s="509"/>
      <c r="CV55" s="509"/>
      <c r="CW55" s="509"/>
      <c r="CX55" s="509"/>
      <c r="CY55" s="509"/>
      <c r="CZ55" s="509"/>
      <c r="DA55" s="509"/>
      <c r="DB55" s="509"/>
      <c r="DC55" s="509"/>
      <c r="DD55" s="509"/>
      <c r="DE55" s="509"/>
      <c r="DF55" s="509"/>
      <c r="DG55" s="509"/>
      <c r="DH55" s="509"/>
      <c r="DI55" s="509"/>
      <c r="DJ55" s="509"/>
      <c r="DK55" s="509"/>
      <c r="DL55" s="509"/>
      <c r="DM55" s="509"/>
      <c r="DN55" s="509"/>
      <c r="DO55" s="509"/>
      <c r="DP55" s="509"/>
      <c r="DQ55" s="509"/>
      <c r="DR55" s="509"/>
      <c r="DS55" s="509"/>
      <c r="DT55" s="509"/>
      <c r="DU55" s="509"/>
      <c r="DV55" s="509"/>
      <c r="DW55" s="509"/>
      <c r="DX55" s="509"/>
      <c r="DY55" s="510"/>
      <c r="EF55" s="510"/>
    </row>
    <row r="56" spans="2:136">
      <c r="B56" s="508"/>
      <c r="C56" s="509"/>
      <c r="D56" s="509"/>
      <c r="E56" s="509"/>
      <c r="F56" s="509"/>
      <c r="G56" s="509"/>
      <c r="H56" s="509"/>
      <c r="I56" s="509"/>
      <c r="J56" s="509"/>
      <c r="K56" s="510"/>
      <c r="L56" s="508"/>
      <c r="M56" s="509"/>
      <c r="N56" s="509"/>
      <c r="O56" s="509"/>
      <c r="P56" s="509"/>
      <c r="Q56" s="509"/>
      <c r="R56" s="509"/>
      <c r="S56" s="509"/>
      <c r="T56" s="509"/>
      <c r="U56" s="510"/>
      <c r="V56" s="508"/>
      <c r="W56" s="509"/>
      <c r="X56" s="509"/>
      <c r="Y56" s="509"/>
      <c r="Z56" s="509"/>
      <c r="AA56" s="509"/>
      <c r="AB56" s="509"/>
      <c r="AC56" s="509"/>
      <c r="AD56" s="509"/>
      <c r="AE56" s="509"/>
      <c r="AF56" s="509"/>
      <c r="AG56" s="509"/>
      <c r="AH56" s="509"/>
      <c r="AI56" s="509"/>
      <c r="AJ56" s="509"/>
      <c r="AK56" s="509"/>
      <c r="AL56" s="509"/>
      <c r="AM56" s="509"/>
      <c r="AN56" s="509"/>
      <c r="AO56" s="509"/>
      <c r="AP56" s="509"/>
      <c r="AQ56" s="509"/>
      <c r="AR56" s="509"/>
      <c r="AS56" s="509"/>
      <c r="AT56" s="509"/>
      <c r="AU56" s="509"/>
      <c r="AV56" s="509"/>
      <c r="AW56" s="509"/>
      <c r="AX56" s="509"/>
      <c r="AY56" s="509"/>
      <c r="AZ56" s="509"/>
      <c r="BA56" s="509"/>
      <c r="BB56" s="509"/>
      <c r="BC56" s="509"/>
      <c r="BD56" s="509"/>
      <c r="BE56" s="509"/>
      <c r="BF56" s="509"/>
      <c r="BG56" s="509"/>
      <c r="BH56" s="509"/>
      <c r="BI56" s="509"/>
      <c r="BJ56" s="509"/>
      <c r="BK56" s="509"/>
      <c r="BL56" s="510"/>
      <c r="BS56" s="510"/>
      <c r="CJ56" s="508"/>
      <c r="CK56" s="509"/>
      <c r="CL56" s="509"/>
      <c r="CM56" s="509"/>
      <c r="CN56" s="509"/>
      <c r="CO56" s="509"/>
      <c r="CP56" s="509"/>
      <c r="CQ56" s="509"/>
      <c r="CR56" s="509"/>
      <c r="CS56" s="510"/>
      <c r="CT56" s="508"/>
      <c r="CU56" s="509"/>
      <c r="CV56" s="509"/>
      <c r="CW56" s="509"/>
      <c r="CX56" s="509"/>
      <c r="CY56" s="509"/>
      <c r="CZ56" s="509"/>
      <c r="DA56" s="509"/>
      <c r="DB56" s="509"/>
      <c r="DC56" s="509"/>
      <c r="DD56" s="509"/>
      <c r="DE56" s="509"/>
      <c r="DF56" s="509"/>
      <c r="DG56" s="509"/>
      <c r="DH56" s="509"/>
      <c r="DI56" s="509"/>
      <c r="DJ56" s="509"/>
      <c r="DK56" s="509"/>
      <c r="DL56" s="509"/>
      <c r="DM56" s="509"/>
      <c r="DN56" s="509"/>
      <c r="DO56" s="509"/>
      <c r="DP56" s="509"/>
      <c r="DQ56" s="509"/>
      <c r="DR56" s="509"/>
      <c r="DS56" s="509"/>
      <c r="DT56" s="509"/>
      <c r="DU56" s="509"/>
      <c r="DV56" s="509"/>
      <c r="DW56" s="509"/>
      <c r="DX56" s="509"/>
      <c r="DY56" s="510"/>
      <c r="EF56" s="510"/>
    </row>
    <row r="57" spans="2:136">
      <c r="B57" s="508"/>
      <c r="C57" s="509"/>
      <c r="D57" s="509"/>
      <c r="E57" s="509"/>
      <c r="F57" s="509"/>
      <c r="G57" s="509"/>
      <c r="H57" s="509"/>
      <c r="I57" s="509"/>
      <c r="J57" s="509"/>
      <c r="K57" s="510"/>
      <c r="L57" s="508"/>
      <c r="M57" s="509"/>
      <c r="N57" s="509"/>
      <c r="O57" s="509"/>
      <c r="P57" s="509"/>
      <c r="Q57" s="509"/>
      <c r="R57" s="509"/>
      <c r="S57" s="509"/>
      <c r="T57" s="509"/>
      <c r="U57" s="510"/>
      <c r="V57" s="508"/>
      <c r="W57" s="509"/>
      <c r="X57" s="509"/>
      <c r="Y57" s="509"/>
      <c r="Z57" s="509"/>
      <c r="AA57" s="509"/>
      <c r="AB57" s="509"/>
      <c r="AC57" s="509"/>
      <c r="AD57" s="509"/>
      <c r="AE57" s="509"/>
      <c r="AF57" s="509"/>
      <c r="AG57" s="509"/>
      <c r="AH57" s="509"/>
      <c r="AI57" s="509"/>
      <c r="AJ57" s="509"/>
      <c r="AK57" s="509"/>
      <c r="AL57" s="509"/>
      <c r="AM57" s="509"/>
      <c r="AN57" s="509"/>
      <c r="AO57" s="509"/>
      <c r="AP57" s="509"/>
      <c r="AQ57" s="509"/>
      <c r="AR57" s="509"/>
      <c r="AS57" s="509"/>
      <c r="AT57" s="509"/>
      <c r="AU57" s="509"/>
      <c r="AV57" s="509"/>
      <c r="AW57" s="509"/>
      <c r="AX57" s="509"/>
      <c r="AY57" s="509"/>
      <c r="AZ57" s="509"/>
      <c r="BA57" s="509"/>
      <c r="BB57" s="509"/>
      <c r="BC57" s="509"/>
      <c r="BD57" s="509"/>
      <c r="BE57" s="509"/>
      <c r="BF57" s="509"/>
      <c r="BG57" s="509"/>
      <c r="BH57" s="509"/>
      <c r="BI57" s="509"/>
      <c r="BJ57" s="509"/>
      <c r="BK57" s="509"/>
      <c r="BL57" s="510"/>
      <c r="BS57" s="510"/>
      <c r="CJ57" s="508"/>
      <c r="CK57" s="509"/>
      <c r="CL57" s="509"/>
      <c r="CM57" s="509"/>
      <c r="CN57" s="509"/>
      <c r="CO57" s="509"/>
      <c r="CP57" s="509"/>
      <c r="CQ57" s="509"/>
      <c r="CR57" s="509"/>
      <c r="CS57" s="510"/>
      <c r="CT57" s="508"/>
      <c r="CU57" s="509"/>
      <c r="CV57" s="509"/>
      <c r="CW57" s="509"/>
      <c r="CX57" s="509"/>
      <c r="CY57" s="509"/>
      <c r="CZ57" s="509"/>
      <c r="DA57" s="509"/>
      <c r="DB57" s="509"/>
      <c r="DC57" s="509"/>
      <c r="DD57" s="509"/>
      <c r="DE57" s="509"/>
      <c r="DF57" s="509"/>
      <c r="DG57" s="509"/>
      <c r="DH57" s="509"/>
      <c r="DI57" s="509"/>
      <c r="DJ57" s="509"/>
      <c r="DK57" s="509"/>
      <c r="DL57" s="509"/>
      <c r="DM57" s="509"/>
      <c r="DN57" s="509"/>
      <c r="DO57" s="509"/>
      <c r="DP57" s="509"/>
      <c r="DQ57" s="509"/>
      <c r="DR57" s="509"/>
      <c r="DS57" s="509"/>
      <c r="DT57" s="509"/>
      <c r="DU57" s="509"/>
      <c r="DV57" s="509"/>
      <c r="DW57" s="509"/>
      <c r="DX57" s="509"/>
      <c r="DY57" s="510"/>
      <c r="EF57" s="510"/>
    </row>
    <row r="58" spans="2:136">
      <c r="B58" s="508"/>
      <c r="C58" s="509"/>
      <c r="D58" s="509"/>
      <c r="E58" s="509"/>
      <c r="F58" s="509"/>
      <c r="G58" s="509"/>
      <c r="H58" s="509"/>
      <c r="I58" s="509"/>
      <c r="J58" s="509"/>
      <c r="K58" s="510"/>
      <c r="L58" s="508"/>
      <c r="M58" s="509"/>
      <c r="N58" s="509"/>
      <c r="O58" s="509"/>
      <c r="P58" s="509"/>
      <c r="Q58" s="509"/>
      <c r="R58" s="509"/>
      <c r="S58" s="509"/>
      <c r="T58" s="509"/>
      <c r="U58" s="510"/>
      <c r="V58" s="508"/>
      <c r="W58" s="509"/>
      <c r="X58" s="509"/>
      <c r="Y58" s="509"/>
      <c r="Z58" s="509"/>
      <c r="AA58" s="509"/>
      <c r="AB58" s="509"/>
      <c r="AC58" s="509"/>
      <c r="AD58" s="509"/>
      <c r="AE58" s="509"/>
      <c r="AF58" s="509"/>
      <c r="AG58" s="509"/>
      <c r="AH58" s="509"/>
      <c r="AI58" s="509"/>
      <c r="AJ58" s="509"/>
      <c r="AK58" s="509"/>
      <c r="AL58" s="509"/>
      <c r="AM58" s="509"/>
      <c r="AN58" s="509"/>
      <c r="AO58" s="509"/>
      <c r="AP58" s="509"/>
      <c r="AQ58" s="509"/>
      <c r="AR58" s="509"/>
      <c r="AS58" s="509"/>
      <c r="AT58" s="509"/>
      <c r="AU58" s="509"/>
      <c r="AV58" s="509"/>
      <c r="AW58" s="509"/>
      <c r="AX58" s="509"/>
      <c r="AY58" s="509"/>
      <c r="AZ58" s="509"/>
      <c r="BA58" s="509"/>
      <c r="BB58" s="509"/>
      <c r="BC58" s="509"/>
      <c r="BD58" s="509"/>
      <c r="BE58" s="509"/>
      <c r="BF58" s="509"/>
      <c r="BG58" s="509"/>
      <c r="BH58" s="509"/>
      <c r="BI58" s="509"/>
      <c r="BJ58" s="509"/>
      <c r="BK58" s="509"/>
      <c r="BL58" s="510"/>
      <c r="BS58" s="510"/>
      <c r="CJ58" s="508"/>
      <c r="CK58" s="509"/>
      <c r="CL58" s="509"/>
      <c r="CM58" s="509"/>
      <c r="CN58" s="509"/>
      <c r="CO58" s="509"/>
      <c r="CP58" s="509"/>
      <c r="CQ58" s="509"/>
      <c r="CR58" s="509"/>
      <c r="CS58" s="510"/>
      <c r="CT58" s="508"/>
      <c r="CU58" s="509"/>
      <c r="CV58" s="509"/>
      <c r="CW58" s="509"/>
      <c r="CX58" s="509"/>
      <c r="CY58" s="509"/>
      <c r="CZ58" s="509"/>
      <c r="DA58" s="509"/>
      <c r="DB58" s="509"/>
      <c r="DC58" s="509"/>
      <c r="DD58" s="509"/>
      <c r="DE58" s="509"/>
      <c r="DF58" s="509"/>
      <c r="DG58" s="509"/>
      <c r="DH58" s="509"/>
      <c r="DI58" s="509"/>
      <c r="DJ58" s="509"/>
      <c r="DK58" s="509"/>
      <c r="DL58" s="509"/>
      <c r="DM58" s="509"/>
      <c r="DN58" s="509"/>
      <c r="DO58" s="509"/>
      <c r="DP58" s="509"/>
      <c r="DQ58" s="509"/>
      <c r="DR58" s="509"/>
      <c r="DS58" s="509"/>
      <c r="DT58" s="509"/>
      <c r="DU58" s="509"/>
      <c r="DV58" s="509"/>
      <c r="DW58" s="509"/>
      <c r="DX58" s="509"/>
      <c r="DY58" s="510"/>
      <c r="EF58" s="510"/>
    </row>
    <row r="59" spans="2:136">
      <c r="B59" s="508"/>
      <c r="C59" s="509"/>
      <c r="D59" s="509"/>
      <c r="E59" s="509"/>
      <c r="F59" s="509"/>
      <c r="G59" s="509"/>
      <c r="H59" s="509"/>
      <c r="I59" s="509"/>
      <c r="J59" s="509"/>
      <c r="K59" s="510"/>
      <c r="L59" s="508"/>
      <c r="M59" s="509"/>
      <c r="N59" s="509"/>
      <c r="O59" s="509"/>
      <c r="P59" s="509"/>
      <c r="Q59" s="509"/>
      <c r="R59" s="509"/>
      <c r="S59" s="509"/>
      <c r="T59" s="509"/>
      <c r="U59" s="510"/>
      <c r="V59" s="508"/>
      <c r="W59" s="509"/>
      <c r="X59" s="509"/>
      <c r="Y59" s="509"/>
      <c r="Z59" s="509"/>
      <c r="AA59" s="509"/>
      <c r="AB59" s="509"/>
      <c r="AC59" s="509"/>
      <c r="AD59" s="509"/>
      <c r="AE59" s="509"/>
      <c r="AF59" s="509"/>
      <c r="AG59" s="509"/>
      <c r="AH59" s="509"/>
      <c r="AI59" s="509"/>
      <c r="AJ59" s="509"/>
      <c r="AK59" s="509"/>
      <c r="AL59" s="509"/>
      <c r="AM59" s="509"/>
      <c r="AN59" s="509"/>
      <c r="AO59" s="509"/>
      <c r="AP59" s="509"/>
      <c r="AQ59" s="509"/>
      <c r="AR59" s="509"/>
      <c r="AS59" s="509"/>
      <c r="AT59" s="509"/>
      <c r="AU59" s="509"/>
      <c r="AV59" s="509"/>
      <c r="AW59" s="509"/>
      <c r="AX59" s="509"/>
      <c r="AY59" s="509"/>
      <c r="AZ59" s="509"/>
      <c r="BA59" s="509"/>
      <c r="BB59" s="509"/>
      <c r="BC59" s="509"/>
      <c r="BD59" s="509"/>
      <c r="BE59" s="509"/>
      <c r="BF59" s="509"/>
      <c r="BG59" s="509"/>
      <c r="BH59" s="509"/>
      <c r="BI59" s="509"/>
      <c r="BJ59" s="509"/>
      <c r="BK59" s="509"/>
      <c r="BL59" s="510"/>
      <c r="BS59" s="510"/>
      <c r="CJ59" s="508"/>
      <c r="CK59" s="509"/>
      <c r="CL59" s="509"/>
      <c r="CM59" s="509"/>
      <c r="CN59" s="509"/>
      <c r="CO59" s="509"/>
      <c r="CP59" s="509"/>
      <c r="CQ59" s="509"/>
      <c r="CR59" s="509"/>
      <c r="CS59" s="510"/>
      <c r="CT59" s="508"/>
      <c r="CU59" s="509"/>
      <c r="CV59" s="509"/>
      <c r="CW59" s="509"/>
      <c r="CX59" s="509"/>
      <c r="CY59" s="509"/>
      <c r="CZ59" s="509"/>
      <c r="DA59" s="509"/>
      <c r="DB59" s="509"/>
      <c r="DC59" s="509"/>
      <c r="DD59" s="509"/>
      <c r="DE59" s="509"/>
      <c r="DF59" s="509"/>
      <c r="DG59" s="509"/>
      <c r="DH59" s="509"/>
      <c r="DI59" s="509"/>
      <c r="DJ59" s="509"/>
      <c r="DK59" s="509"/>
      <c r="DL59" s="509"/>
      <c r="DM59" s="509"/>
      <c r="DN59" s="509"/>
      <c r="DO59" s="509"/>
      <c r="DP59" s="509"/>
      <c r="DQ59" s="509"/>
      <c r="DR59" s="509"/>
      <c r="DS59" s="509"/>
      <c r="DT59" s="509"/>
      <c r="DU59" s="509"/>
      <c r="DV59" s="509"/>
      <c r="DW59" s="509"/>
      <c r="DX59" s="509"/>
      <c r="DY59" s="510"/>
      <c r="EF59" s="510"/>
    </row>
    <row r="60" spans="2:136">
      <c r="B60" s="508"/>
      <c r="C60" s="509"/>
      <c r="D60" s="509"/>
      <c r="E60" s="509"/>
      <c r="F60" s="509"/>
      <c r="G60" s="509"/>
      <c r="H60" s="509"/>
      <c r="I60" s="509"/>
      <c r="J60" s="509"/>
      <c r="K60" s="510"/>
      <c r="L60" s="508"/>
      <c r="M60" s="509"/>
      <c r="N60" s="509"/>
      <c r="O60" s="509"/>
      <c r="P60" s="509"/>
      <c r="Q60" s="509"/>
      <c r="R60" s="509"/>
      <c r="S60" s="509"/>
      <c r="T60" s="509"/>
      <c r="U60" s="510"/>
      <c r="V60" s="508"/>
      <c r="W60" s="509"/>
      <c r="X60" s="509"/>
      <c r="Y60" s="509"/>
      <c r="Z60" s="509"/>
      <c r="AA60" s="509"/>
      <c r="AB60" s="509"/>
      <c r="AC60" s="509"/>
      <c r="AD60" s="509"/>
      <c r="AE60" s="509"/>
      <c r="AF60" s="509"/>
      <c r="AG60" s="509"/>
      <c r="AH60" s="509"/>
      <c r="AI60" s="509"/>
      <c r="AJ60" s="509"/>
      <c r="AK60" s="509"/>
      <c r="AL60" s="509"/>
      <c r="AM60" s="509"/>
      <c r="AN60" s="509"/>
      <c r="AO60" s="509"/>
      <c r="AP60" s="509"/>
      <c r="AQ60" s="509"/>
      <c r="AR60" s="509"/>
      <c r="AS60" s="509"/>
      <c r="AT60" s="509"/>
      <c r="AU60" s="509"/>
      <c r="AV60" s="509"/>
      <c r="AW60" s="509"/>
      <c r="AX60" s="509"/>
      <c r="AY60" s="509"/>
      <c r="AZ60" s="509"/>
      <c r="BA60" s="509"/>
      <c r="BB60" s="509"/>
      <c r="BC60" s="509"/>
      <c r="BD60" s="509"/>
      <c r="BE60" s="509"/>
      <c r="BF60" s="509"/>
      <c r="BG60" s="509"/>
      <c r="BH60" s="509"/>
      <c r="BI60" s="509"/>
      <c r="BJ60" s="509"/>
      <c r="BK60" s="509"/>
      <c r="BL60" s="510"/>
      <c r="BS60" s="510"/>
      <c r="CJ60" s="508"/>
      <c r="CK60" s="509"/>
      <c r="CL60" s="509"/>
      <c r="CM60" s="509"/>
      <c r="CN60" s="509"/>
      <c r="CO60" s="509"/>
      <c r="CP60" s="509"/>
      <c r="CQ60" s="509"/>
      <c r="CR60" s="509"/>
      <c r="CS60" s="510"/>
      <c r="CT60" s="508"/>
      <c r="CU60" s="509"/>
      <c r="CV60" s="509"/>
      <c r="CW60" s="509"/>
      <c r="CX60" s="509"/>
      <c r="CY60" s="509"/>
      <c r="CZ60" s="509"/>
      <c r="DA60" s="509"/>
      <c r="DB60" s="509"/>
      <c r="DC60" s="509"/>
      <c r="DD60" s="509"/>
      <c r="DE60" s="509"/>
      <c r="DF60" s="509"/>
      <c r="DG60" s="509"/>
      <c r="DH60" s="509"/>
      <c r="DI60" s="509"/>
      <c r="DJ60" s="509"/>
      <c r="DK60" s="509"/>
      <c r="DL60" s="509"/>
      <c r="DM60" s="509"/>
      <c r="DN60" s="509"/>
      <c r="DO60" s="509"/>
      <c r="DP60" s="509"/>
      <c r="DQ60" s="509"/>
      <c r="DR60" s="509"/>
      <c r="DS60" s="509"/>
      <c r="DT60" s="509"/>
      <c r="DU60" s="509"/>
      <c r="DV60" s="509"/>
      <c r="DW60" s="509"/>
      <c r="DX60" s="509"/>
      <c r="DY60" s="510"/>
      <c r="EF60" s="510"/>
    </row>
    <row r="61" spans="2:136">
      <c r="B61" s="508"/>
      <c r="C61" s="509"/>
      <c r="D61" s="509"/>
      <c r="E61" s="509"/>
      <c r="F61" s="509"/>
      <c r="G61" s="509"/>
      <c r="H61" s="509"/>
      <c r="I61" s="509"/>
      <c r="J61" s="509"/>
      <c r="K61" s="510"/>
      <c r="L61" s="508"/>
      <c r="M61" s="509"/>
      <c r="N61" s="509"/>
      <c r="O61" s="509"/>
      <c r="P61" s="509"/>
      <c r="Q61" s="509"/>
      <c r="R61" s="509"/>
      <c r="S61" s="509"/>
      <c r="T61" s="509"/>
      <c r="U61" s="510"/>
      <c r="V61" s="508"/>
      <c r="W61" s="509"/>
      <c r="X61" s="509"/>
      <c r="Y61" s="509"/>
      <c r="Z61" s="509"/>
      <c r="AA61" s="509"/>
      <c r="AB61" s="509"/>
      <c r="AC61" s="509"/>
      <c r="AD61" s="509"/>
      <c r="AE61" s="509"/>
      <c r="AF61" s="509"/>
      <c r="AG61" s="509"/>
      <c r="AH61" s="509"/>
      <c r="AI61" s="509"/>
      <c r="AJ61" s="509"/>
      <c r="AK61" s="509"/>
      <c r="AL61" s="509"/>
      <c r="AM61" s="509"/>
      <c r="AN61" s="509"/>
      <c r="AO61" s="509"/>
      <c r="AP61" s="509"/>
      <c r="AQ61" s="509"/>
      <c r="AR61" s="509"/>
      <c r="AS61" s="509"/>
      <c r="AT61" s="509"/>
      <c r="AU61" s="509"/>
      <c r="AV61" s="509"/>
      <c r="AW61" s="509"/>
      <c r="AX61" s="509"/>
      <c r="AY61" s="509"/>
      <c r="AZ61" s="509"/>
      <c r="BA61" s="509"/>
      <c r="BB61" s="509"/>
      <c r="BC61" s="509"/>
      <c r="BD61" s="509"/>
      <c r="BE61" s="509"/>
      <c r="BF61" s="509"/>
      <c r="BG61" s="509"/>
      <c r="BH61" s="509"/>
      <c r="BI61" s="509"/>
      <c r="BJ61" s="509"/>
      <c r="BK61" s="509"/>
      <c r="BL61" s="510"/>
      <c r="CJ61" s="508"/>
      <c r="CK61" s="509"/>
      <c r="CL61" s="509"/>
      <c r="CM61" s="509"/>
      <c r="CN61" s="509"/>
      <c r="CO61" s="509"/>
      <c r="CP61" s="509"/>
      <c r="CQ61" s="509"/>
      <c r="CR61" s="509"/>
      <c r="CS61" s="510"/>
      <c r="CT61" s="508"/>
      <c r="CU61" s="509"/>
      <c r="CV61" s="509"/>
      <c r="CW61" s="509"/>
      <c r="CX61" s="509"/>
      <c r="CY61" s="509"/>
      <c r="CZ61" s="509"/>
      <c r="DA61" s="509"/>
      <c r="DB61" s="509"/>
      <c r="DC61" s="509"/>
      <c r="DD61" s="509"/>
      <c r="DE61" s="509"/>
      <c r="DF61" s="509"/>
      <c r="DG61" s="509"/>
      <c r="DH61" s="509"/>
      <c r="DI61" s="509"/>
      <c r="DJ61" s="509"/>
      <c r="DK61" s="509"/>
      <c r="DL61" s="509"/>
      <c r="DM61" s="509"/>
      <c r="DN61" s="509"/>
      <c r="DO61" s="509"/>
      <c r="DP61" s="509"/>
      <c r="DQ61" s="509"/>
      <c r="DR61" s="509"/>
      <c r="DS61" s="509"/>
      <c r="DT61" s="509"/>
      <c r="DU61" s="509"/>
      <c r="DV61" s="509"/>
      <c r="DW61" s="509"/>
      <c r="DX61" s="509"/>
      <c r="DY61" s="510"/>
    </row>
    <row r="62" spans="2:136">
      <c r="B62" s="508"/>
      <c r="C62" s="509"/>
      <c r="D62" s="509"/>
      <c r="E62" s="509"/>
      <c r="F62" s="509"/>
      <c r="G62" s="509"/>
      <c r="H62" s="509"/>
      <c r="I62" s="509"/>
      <c r="J62" s="509"/>
      <c r="K62" s="510"/>
      <c r="L62" s="508"/>
      <c r="M62" s="509"/>
      <c r="N62" s="509"/>
      <c r="O62" s="509"/>
      <c r="P62" s="509"/>
      <c r="Q62" s="509"/>
      <c r="R62" s="509"/>
      <c r="S62" s="509"/>
      <c r="T62" s="509"/>
      <c r="U62" s="510"/>
      <c r="V62" s="508"/>
      <c r="W62" s="509"/>
      <c r="X62" s="509"/>
      <c r="Y62" s="509"/>
      <c r="Z62" s="509"/>
      <c r="AA62" s="509"/>
      <c r="AB62" s="509"/>
      <c r="AC62" s="509"/>
      <c r="AD62" s="509"/>
      <c r="AE62" s="509"/>
      <c r="AF62" s="509"/>
      <c r="AG62" s="509"/>
      <c r="AH62" s="509"/>
      <c r="AI62" s="509"/>
      <c r="AJ62" s="509"/>
      <c r="AK62" s="509"/>
      <c r="AL62" s="509"/>
      <c r="AM62" s="509"/>
      <c r="AN62" s="509"/>
      <c r="AO62" s="509"/>
      <c r="AP62" s="509"/>
      <c r="AQ62" s="509"/>
      <c r="AR62" s="509"/>
      <c r="AS62" s="509"/>
      <c r="AT62" s="509"/>
      <c r="AU62" s="509"/>
      <c r="AV62" s="509"/>
      <c r="AW62" s="509"/>
      <c r="AX62" s="509"/>
      <c r="AY62" s="509"/>
      <c r="AZ62" s="509"/>
      <c r="BA62" s="509"/>
      <c r="BB62" s="509"/>
      <c r="BC62" s="509"/>
      <c r="BD62" s="509"/>
      <c r="BE62" s="509"/>
      <c r="BF62" s="509"/>
      <c r="BG62" s="509"/>
      <c r="BH62" s="509"/>
      <c r="BI62" s="509"/>
      <c r="BJ62" s="509"/>
      <c r="BK62" s="509"/>
      <c r="BL62" s="510"/>
      <c r="CJ62" s="508"/>
      <c r="CK62" s="509"/>
      <c r="CL62" s="509"/>
      <c r="CM62" s="509"/>
      <c r="CN62" s="509"/>
      <c r="CO62" s="509"/>
      <c r="CP62" s="509"/>
      <c r="CQ62" s="509"/>
      <c r="CR62" s="509"/>
      <c r="CS62" s="510"/>
      <c r="CT62" s="508"/>
      <c r="CU62" s="509"/>
      <c r="CV62" s="509"/>
      <c r="CW62" s="509"/>
      <c r="CX62" s="509"/>
      <c r="CY62" s="509"/>
      <c r="CZ62" s="509"/>
      <c r="DA62" s="509"/>
      <c r="DB62" s="509"/>
      <c r="DC62" s="509"/>
      <c r="DD62" s="509"/>
      <c r="DE62" s="509"/>
      <c r="DF62" s="509"/>
      <c r="DG62" s="509"/>
      <c r="DH62" s="509"/>
      <c r="DI62" s="509"/>
      <c r="DJ62" s="509"/>
      <c r="DK62" s="509"/>
      <c r="DL62" s="509"/>
      <c r="DM62" s="509"/>
      <c r="DN62" s="509"/>
      <c r="DO62" s="509"/>
      <c r="DP62" s="509"/>
      <c r="DQ62" s="509"/>
      <c r="DR62" s="509"/>
      <c r="DS62" s="509"/>
      <c r="DT62" s="509"/>
      <c r="DU62" s="509"/>
      <c r="DV62" s="509"/>
      <c r="DW62" s="509"/>
      <c r="DX62" s="509"/>
      <c r="DY62" s="510"/>
    </row>
    <row r="63" spans="2:136">
      <c r="B63" s="508"/>
      <c r="C63" s="509"/>
      <c r="D63" s="509"/>
      <c r="E63" s="509"/>
      <c r="F63" s="509"/>
      <c r="G63" s="509"/>
      <c r="H63" s="509"/>
      <c r="I63" s="509"/>
      <c r="J63" s="509"/>
      <c r="K63" s="510"/>
      <c r="L63" s="508"/>
      <c r="M63" s="509"/>
      <c r="N63" s="509"/>
      <c r="O63" s="509"/>
      <c r="P63" s="509"/>
      <c r="Q63" s="509"/>
      <c r="R63" s="509"/>
      <c r="S63" s="509"/>
      <c r="T63" s="509"/>
      <c r="U63" s="510"/>
      <c r="V63" s="508"/>
      <c r="W63" s="509"/>
      <c r="X63" s="509"/>
      <c r="Y63" s="509"/>
      <c r="Z63" s="509"/>
      <c r="AA63" s="509"/>
      <c r="AB63" s="509"/>
      <c r="AC63" s="509"/>
      <c r="AD63" s="509"/>
      <c r="AE63" s="509"/>
      <c r="AF63" s="509"/>
      <c r="AG63" s="509"/>
      <c r="AH63" s="509"/>
      <c r="AI63" s="509"/>
      <c r="AJ63" s="509"/>
      <c r="AK63" s="509"/>
      <c r="AL63" s="509"/>
      <c r="AM63" s="509"/>
      <c r="AN63" s="509"/>
      <c r="AO63" s="509"/>
      <c r="AP63" s="509"/>
      <c r="AQ63" s="509"/>
      <c r="AR63" s="509"/>
      <c r="AS63" s="509"/>
      <c r="AT63" s="509"/>
      <c r="AU63" s="509"/>
      <c r="AV63" s="509"/>
      <c r="AW63" s="509"/>
      <c r="AX63" s="509"/>
      <c r="AY63" s="509"/>
      <c r="AZ63" s="509"/>
      <c r="BA63" s="509"/>
      <c r="BB63" s="509"/>
      <c r="BC63" s="509"/>
      <c r="BD63" s="509"/>
      <c r="BE63" s="509"/>
      <c r="BF63" s="509"/>
      <c r="BG63" s="509"/>
      <c r="BH63" s="509"/>
      <c r="BI63" s="509"/>
      <c r="BJ63" s="509"/>
      <c r="BK63" s="509"/>
      <c r="BL63" s="510"/>
    </row>
    <row r="64" spans="2:136">
      <c r="B64" s="508"/>
      <c r="C64" s="509"/>
      <c r="D64" s="509"/>
      <c r="E64" s="509"/>
      <c r="F64" s="509"/>
      <c r="G64" s="509"/>
      <c r="H64" s="509"/>
      <c r="I64" s="509"/>
      <c r="J64" s="509"/>
      <c r="K64" s="510"/>
      <c r="L64" s="508"/>
      <c r="M64" s="509"/>
      <c r="N64" s="509"/>
      <c r="O64" s="509"/>
      <c r="P64" s="509"/>
      <c r="Q64" s="509"/>
      <c r="R64" s="509"/>
      <c r="S64" s="509"/>
      <c r="T64" s="509"/>
      <c r="U64" s="510"/>
      <c r="V64" s="508"/>
      <c r="W64" s="509"/>
      <c r="X64" s="509"/>
      <c r="Y64" s="509"/>
      <c r="Z64" s="509"/>
      <c r="AA64" s="509"/>
      <c r="AB64" s="509"/>
      <c r="AC64" s="509"/>
      <c r="AD64" s="509"/>
      <c r="AE64" s="509"/>
      <c r="AF64" s="509"/>
      <c r="AG64" s="509"/>
      <c r="AH64" s="509"/>
      <c r="AI64" s="509"/>
      <c r="AJ64" s="509"/>
      <c r="AK64" s="509"/>
      <c r="AL64" s="509"/>
      <c r="AM64" s="509"/>
      <c r="AN64" s="509"/>
      <c r="AO64" s="509"/>
      <c r="AP64" s="509"/>
      <c r="AQ64" s="509"/>
      <c r="AR64" s="509"/>
      <c r="AS64" s="509"/>
      <c r="AT64" s="509"/>
      <c r="AU64" s="509"/>
      <c r="AV64" s="509"/>
      <c r="AW64" s="509"/>
      <c r="AX64" s="509"/>
      <c r="AY64" s="509"/>
      <c r="AZ64" s="509"/>
      <c r="BA64" s="509"/>
      <c r="BB64" s="509"/>
      <c r="BC64" s="509"/>
      <c r="BD64" s="509"/>
      <c r="BE64" s="509"/>
      <c r="BF64" s="509"/>
      <c r="BG64" s="509"/>
      <c r="BH64" s="509"/>
      <c r="BI64" s="509"/>
      <c r="BJ64" s="509"/>
      <c r="BK64" s="509"/>
      <c r="BL64" s="510"/>
    </row>
    <row r="65" spans="2:64">
      <c r="B65" s="77"/>
      <c r="C65" s="78"/>
      <c r="D65" s="78"/>
      <c r="E65" s="78"/>
      <c r="F65" s="509"/>
      <c r="G65" s="78"/>
      <c r="H65" s="78"/>
      <c r="I65" s="78"/>
      <c r="J65" s="78"/>
      <c r="K65" s="510"/>
      <c r="L65" s="77"/>
      <c r="M65" s="78"/>
      <c r="N65" s="78"/>
      <c r="O65" s="78"/>
      <c r="P65" s="509"/>
      <c r="Q65" s="78"/>
      <c r="R65" s="78"/>
      <c r="S65" s="78"/>
      <c r="T65" s="78"/>
      <c r="U65" s="510"/>
      <c r="V65" s="77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510"/>
    </row>
    <row r="66" spans="2:64">
      <c r="B66" s="77"/>
      <c r="C66" s="77"/>
      <c r="D66" s="77"/>
      <c r="E66" s="77"/>
      <c r="F66" s="509"/>
      <c r="G66" s="78"/>
      <c r="H66" s="78"/>
      <c r="I66" s="78"/>
      <c r="J66" s="78"/>
      <c r="K66" s="510"/>
      <c r="L66" s="77"/>
      <c r="M66" s="77"/>
      <c r="N66" s="77"/>
      <c r="O66" s="77"/>
      <c r="P66" s="509"/>
      <c r="Q66" s="78"/>
      <c r="R66" s="78"/>
      <c r="S66" s="78"/>
      <c r="T66" s="78"/>
      <c r="U66" s="510"/>
      <c r="V66" s="77"/>
      <c r="W66" s="77"/>
      <c r="X66" s="77"/>
      <c r="Y66" s="77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510"/>
    </row>
    <row r="67" spans="2:64">
      <c r="B67" s="77"/>
      <c r="C67" s="77"/>
      <c r="D67" s="77"/>
      <c r="E67" s="77"/>
      <c r="F67" s="509"/>
      <c r="G67" s="78"/>
      <c r="H67" s="78"/>
      <c r="I67" s="78"/>
      <c r="J67" s="78"/>
      <c r="K67" s="510"/>
      <c r="L67" s="77"/>
      <c r="M67" s="77"/>
      <c r="N67" s="77"/>
      <c r="O67" s="77"/>
      <c r="P67" s="509"/>
      <c r="Q67" s="78"/>
      <c r="R67" s="78"/>
      <c r="S67" s="78"/>
      <c r="T67" s="78"/>
      <c r="U67" s="510"/>
      <c r="V67" s="77"/>
      <c r="W67" s="77"/>
      <c r="X67" s="77"/>
      <c r="Y67" s="77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510"/>
    </row>
  </sheetData>
  <mergeCells count="16">
    <mergeCell ref="EG2:EK2"/>
    <mergeCell ref="EN2:ER2"/>
    <mergeCell ref="CJ2:CR2"/>
    <mergeCell ref="CT2:DB2"/>
    <mergeCell ref="DZ2:ED2"/>
    <mergeCell ref="DD2:DM2"/>
    <mergeCell ref="DO2:DX2"/>
    <mergeCell ref="B2:H2"/>
    <mergeCell ref="L2:R2"/>
    <mergeCell ref="V2:AD2"/>
    <mergeCell ref="BM2:BQ2"/>
    <mergeCell ref="CA2:CE2"/>
    <mergeCell ref="BT2:BX2"/>
    <mergeCell ref="AF2:AO2"/>
    <mergeCell ref="AQ2:AZ2"/>
    <mergeCell ref="BB2:BK2"/>
  </mergeCells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A08BA-75F4-4519-97C1-58FA41307B32}">
  <sheetPr codeName="Sheet40"/>
  <dimension ref="A1:CI129"/>
  <sheetViews>
    <sheetView topLeftCell="AK1" workbookViewId="0">
      <selection activeCell="BJ14" sqref="BJ14:BJ16"/>
    </sheetView>
  </sheetViews>
  <sheetFormatPr defaultColWidth="8.81640625" defaultRowHeight="13"/>
  <cols>
    <col min="1" max="1" width="6.1796875" style="9" customWidth="1"/>
    <col min="2" max="2" width="5.1796875" style="9" bestFit="1" customWidth="1"/>
    <col min="3" max="3" width="10.81640625" style="9" bestFit="1" customWidth="1"/>
    <col min="4" max="5" width="10.453125" style="9" customWidth="1"/>
    <col min="6" max="6" width="5.81640625" style="9" customWidth="1"/>
    <col min="7" max="7" width="10.81640625" style="9" bestFit="1" customWidth="1"/>
    <col min="8" max="8" width="9.81640625" style="9" bestFit="1" customWidth="1"/>
    <col min="9" max="9" width="8.1796875" style="9" customWidth="1"/>
    <col min="10" max="10" width="5.1796875" style="9" bestFit="1" customWidth="1"/>
    <col min="11" max="11" width="10.81640625" style="9" bestFit="1" customWidth="1"/>
    <col min="12" max="12" width="11.81640625" style="9" customWidth="1"/>
    <col min="13" max="13" width="11.54296875" style="9" customWidth="1"/>
    <col min="14" max="14" width="16.1796875" style="9" customWidth="1"/>
    <col min="15" max="15" width="7" style="9" customWidth="1"/>
    <col min="16" max="17" width="9.81640625" style="9" customWidth="1"/>
    <col min="18" max="18" width="10.81640625" style="9" customWidth="1"/>
    <col min="19" max="21" width="7" style="9" customWidth="1"/>
    <col min="22" max="22" width="8.81640625" style="9" customWidth="1"/>
    <col min="23" max="23" width="10.1796875" style="9" customWidth="1"/>
    <col min="24" max="24" width="10" style="9" customWidth="1"/>
    <col min="25" max="25" width="7" style="9" customWidth="1"/>
    <col min="26" max="26" width="5.1796875" style="9" bestFit="1" customWidth="1"/>
    <col min="27" max="27" width="10.81640625" style="9" bestFit="1" customWidth="1"/>
    <col min="28" max="28" width="9.81640625" style="9" bestFit="1" customWidth="1"/>
    <col min="29" max="29" width="9.81640625" style="9" customWidth="1"/>
    <col min="30" max="30" width="11.1796875" style="9" customWidth="1"/>
    <col min="31" max="31" width="9.81640625" style="9" customWidth="1"/>
    <col min="32" max="32" width="5" style="9" bestFit="1" customWidth="1"/>
    <col min="33" max="34" width="9.81640625" style="9" customWidth="1"/>
    <col min="35" max="35" width="7.54296875" style="9" customWidth="1"/>
    <col min="36" max="36" width="5.1796875" style="9" bestFit="1" customWidth="1"/>
    <col min="37" max="37" width="10.81640625" style="9" bestFit="1" customWidth="1"/>
    <col min="38" max="38" width="8.81640625" style="9" bestFit="1" customWidth="1"/>
    <col min="39" max="39" width="8.81640625" style="9"/>
    <col min="40" max="40" width="8.81640625" style="9" bestFit="1" customWidth="1"/>
    <col min="41" max="41" width="7.81640625" style="9" customWidth="1"/>
    <col min="42" max="42" width="8.81640625" style="9" bestFit="1" customWidth="1"/>
    <col min="43" max="43" width="4.1796875" style="9" customWidth="1"/>
    <col min="44" max="44" width="5.81640625" style="9" customWidth="1"/>
    <col min="45" max="45" width="8.81640625" style="9" bestFit="1" customWidth="1"/>
    <col min="46" max="46" width="10" style="9" bestFit="1" customWidth="1"/>
    <col min="47" max="47" width="8.81640625" style="9" bestFit="1" customWidth="1"/>
    <col min="48" max="48" width="8.81640625" style="9"/>
    <col min="49" max="51" width="8.81640625" style="9" bestFit="1" customWidth="1"/>
    <col min="52" max="52" width="8.81640625" style="9"/>
    <col min="53" max="55" width="8.81640625" style="9" bestFit="1" customWidth="1"/>
    <col min="56" max="56" width="10" style="9" customWidth="1"/>
    <col min="57" max="57" width="9.81640625" style="9" customWidth="1"/>
    <col min="58" max="58" width="8.81640625" style="9"/>
    <col min="59" max="61" width="8.81640625" style="9" bestFit="1" customWidth="1"/>
    <col min="62" max="62" width="9.81640625" style="9" customWidth="1"/>
    <col min="63" max="63" width="10.1796875" style="9" customWidth="1"/>
    <col min="64" max="64" width="8.81640625" style="9"/>
    <col min="65" max="65" width="8.81640625" style="9" bestFit="1" customWidth="1"/>
    <col min="66" max="66" width="9.1796875" style="9" bestFit="1" customWidth="1"/>
    <col min="67" max="67" width="8.81640625" style="9" bestFit="1" customWidth="1"/>
    <col min="68" max="68" width="8.81640625" style="9"/>
    <col min="69" max="71" width="8.81640625" style="9" bestFit="1" customWidth="1"/>
    <col min="72" max="72" width="8.81640625" style="9"/>
    <col min="73" max="75" width="8.81640625" style="9" bestFit="1" customWidth="1"/>
    <col min="76" max="78" width="8.81640625" style="9"/>
    <col min="79" max="79" width="16.1796875" style="9" customWidth="1"/>
    <col min="80" max="80" width="11.1796875" style="9" bestFit="1" customWidth="1"/>
    <col min="81" max="81" width="10.1796875" style="9" bestFit="1" customWidth="1"/>
    <col min="82" max="82" width="11.1796875" style="9" bestFit="1" customWidth="1"/>
    <col min="83" max="84" width="11.1796875" style="9" customWidth="1"/>
    <col min="85" max="85" width="11.1796875" style="9" bestFit="1" customWidth="1"/>
    <col min="86" max="87" width="8.81640625" style="9"/>
    <col min="88" max="88" width="11.1796875" style="9" bestFit="1" customWidth="1"/>
    <col min="89" max="89" width="10.1796875" style="9" bestFit="1" customWidth="1"/>
    <col min="90" max="16384" width="8.81640625" style="9"/>
  </cols>
  <sheetData>
    <row r="1" spans="1:87" ht="14.75" customHeight="1">
      <c r="B1" s="836" t="s">
        <v>1</v>
      </c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404"/>
      <c r="AS1" s="836" t="s">
        <v>2</v>
      </c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6"/>
      <c r="BV1" s="836"/>
      <c r="BW1" s="836"/>
    </row>
    <row r="2" spans="1:87" ht="13.25" customHeight="1">
      <c r="B2" s="835" t="s">
        <v>12</v>
      </c>
      <c r="C2" s="835"/>
      <c r="D2" s="834" t="s">
        <v>668</v>
      </c>
      <c r="E2" s="402"/>
      <c r="F2" s="835" t="s">
        <v>669</v>
      </c>
      <c r="G2" s="835"/>
      <c r="H2" s="834" t="s">
        <v>668</v>
      </c>
      <c r="I2" s="402"/>
      <c r="J2" s="835" t="s">
        <v>545</v>
      </c>
      <c r="K2" s="835"/>
      <c r="L2" s="834" t="s">
        <v>668</v>
      </c>
      <c r="M2" s="402"/>
      <c r="N2" s="835" t="s">
        <v>15</v>
      </c>
      <c r="O2" s="835"/>
      <c r="P2" s="834" t="s">
        <v>668</v>
      </c>
      <c r="Q2" s="410" t="s">
        <v>670</v>
      </c>
      <c r="R2" s="410" t="s">
        <v>290</v>
      </c>
      <c r="S2" s="402"/>
      <c r="T2" s="835" t="s">
        <v>16</v>
      </c>
      <c r="U2" s="835"/>
      <c r="V2" s="834" t="s">
        <v>668</v>
      </c>
      <c r="W2" s="410" t="s">
        <v>670</v>
      </c>
      <c r="X2" s="410" t="s">
        <v>290</v>
      </c>
      <c r="Y2" s="402"/>
      <c r="Z2" s="835" t="s">
        <v>17</v>
      </c>
      <c r="AA2" s="835"/>
      <c r="AB2" s="834" t="s">
        <v>668</v>
      </c>
      <c r="AC2" s="410" t="s">
        <v>670</v>
      </c>
      <c r="AD2" s="410" t="s">
        <v>290</v>
      </c>
      <c r="AF2" s="835" t="s">
        <v>671</v>
      </c>
      <c r="AG2" s="835"/>
      <c r="AH2" s="834" t="s">
        <v>668</v>
      </c>
      <c r="AI2" s="402"/>
      <c r="AJ2" s="835" t="s">
        <v>672</v>
      </c>
      <c r="AK2" s="835"/>
      <c r="AL2" s="834" t="s">
        <v>668</v>
      </c>
      <c r="AM2" s="402"/>
      <c r="AN2" s="835" t="s">
        <v>20</v>
      </c>
      <c r="AO2" s="835"/>
      <c r="AP2" s="834" t="s">
        <v>668</v>
      </c>
      <c r="AQ2" s="404"/>
      <c r="AS2" s="835" t="s">
        <v>12</v>
      </c>
      <c r="AT2" s="835"/>
      <c r="AU2" s="834" t="s">
        <v>668</v>
      </c>
      <c r="AV2" s="402"/>
      <c r="AW2" s="835" t="s">
        <v>545</v>
      </c>
      <c r="AX2" s="835"/>
      <c r="AY2" s="834" t="s">
        <v>668</v>
      </c>
      <c r="AZ2" s="402"/>
      <c r="BA2" s="835" t="s">
        <v>15</v>
      </c>
      <c r="BB2" s="835"/>
      <c r="BC2" s="834" t="s">
        <v>668</v>
      </c>
      <c r="BD2" s="410" t="s">
        <v>670</v>
      </c>
      <c r="BE2" s="410" t="s">
        <v>290</v>
      </c>
      <c r="BF2" s="402"/>
      <c r="BG2" s="835" t="s">
        <v>16</v>
      </c>
      <c r="BH2" s="835"/>
      <c r="BI2" s="834" t="s">
        <v>668</v>
      </c>
      <c r="BJ2" s="410" t="s">
        <v>670</v>
      </c>
      <c r="BK2" s="410" t="s">
        <v>290</v>
      </c>
      <c r="BL2" s="402"/>
      <c r="BM2" s="835" t="s">
        <v>671</v>
      </c>
      <c r="BN2" s="835"/>
      <c r="BO2" s="834" t="s">
        <v>668</v>
      </c>
      <c r="BP2" s="402"/>
      <c r="BQ2" s="835" t="s">
        <v>672</v>
      </c>
      <c r="BR2" s="835"/>
      <c r="BS2" s="834" t="s">
        <v>668</v>
      </c>
      <c r="BU2" s="835" t="s">
        <v>20</v>
      </c>
      <c r="BV2" s="835"/>
      <c r="BW2" s="834" t="s">
        <v>668</v>
      </c>
    </row>
    <row r="3" spans="1:87" ht="27.65" customHeight="1">
      <c r="B3" s="398" t="s">
        <v>27</v>
      </c>
      <c r="C3" s="398" t="s">
        <v>603</v>
      </c>
      <c r="D3" s="834"/>
      <c r="E3" s="402"/>
      <c r="F3" s="398" t="s">
        <v>27</v>
      </c>
      <c r="G3" s="398" t="s">
        <v>603</v>
      </c>
      <c r="H3" s="834"/>
      <c r="I3" s="402"/>
      <c r="J3" s="398" t="s">
        <v>27</v>
      </c>
      <c r="K3" s="398" t="s">
        <v>603</v>
      </c>
      <c r="L3" s="834"/>
      <c r="M3" s="402"/>
      <c r="N3" s="398" t="s">
        <v>27</v>
      </c>
      <c r="O3" s="398" t="s">
        <v>603</v>
      </c>
      <c r="P3" s="834"/>
      <c r="Q3" s="410" t="s">
        <v>673</v>
      </c>
      <c r="R3" s="410" t="s">
        <v>603</v>
      </c>
      <c r="S3" s="402"/>
      <c r="T3" s="398" t="s">
        <v>27</v>
      </c>
      <c r="U3" s="398" t="s">
        <v>603</v>
      </c>
      <c r="V3" s="834"/>
      <c r="W3" s="410" t="s">
        <v>673</v>
      </c>
      <c r="X3" s="410" t="s">
        <v>603</v>
      </c>
      <c r="Y3" s="402"/>
      <c r="Z3" s="398" t="s">
        <v>27</v>
      </c>
      <c r="AA3" s="398" t="s">
        <v>674</v>
      </c>
      <c r="AB3" s="834"/>
      <c r="AC3" s="410" t="s">
        <v>673</v>
      </c>
      <c r="AD3" s="410" t="s">
        <v>603</v>
      </c>
      <c r="AF3" s="398" t="s">
        <v>27</v>
      </c>
      <c r="AG3" s="398" t="s">
        <v>674</v>
      </c>
      <c r="AH3" s="834"/>
      <c r="AI3" s="402"/>
      <c r="AJ3" s="398" t="s">
        <v>27</v>
      </c>
      <c r="AK3" s="398" t="s">
        <v>674</v>
      </c>
      <c r="AL3" s="834"/>
      <c r="AM3" s="402"/>
      <c r="AN3" s="398" t="s">
        <v>27</v>
      </c>
      <c r="AO3" s="398" t="s">
        <v>674</v>
      </c>
      <c r="AP3" s="834"/>
      <c r="AQ3" s="404"/>
      <c r="AS3" s="398" t="s">
        <v>27</v>
      </c>
      <c r="AT3" s="398" t="s">
        <v>603</v>
      </c>
      <c r="AU3" s="834"/>
      <c r="AV3" s="402"/>
      <c r="AW3" s="398" t="s">
        <v>27</v>
      </c>
      <c r="AX3" s="398" t="s">
        <v>603</v>
      </c>
      <c r="AY3" s="834"/>
      <c r="AZ3" s="402"/>
      <c r="BA3" s="398" t="s">
        <v>27</v>
      </c>
      <c r="BB3" s="398" t="s">
        <v>603</v>
      </c>
      <c r="BC3" s="834"/>
      <c r="BD3" s="410" t="s">
        <v>673</v>
      </c>
      <c r="BE3" s="410" t="s">
        <v>603</v>
      </c>
      <c r="BF3" s="402"/>
      <c r="BG3" s="398" t="s">
        <v>27</v>
      </c>
      <c r="BH3" s="398" t="s">
        <v>603</v>
      </c>
      <c r="BI3" s="834"/>
      <c r="BJ3" s="410" t="s">
        <v>673</v>
      </c>
      <c r="BK3" s="410" t="s">
        <v>603</v>
      </c>
      <c r="BL3" s="402"/>
      <c r="BM3" s="398" t="s">
        <v>27</v>
      </c>
      <c r="BN3" s="398" t="s">
        <v>603</v>
      </c>
      <c r="BO3" s="834"/>
      <c r="BP3" s="402"/>
      <c r="BQ3" s="398" t="s">
        <v>27</v>
      </c>
      <c r="BR3" s="398" t="s">
        <v>674</v>
      </c>
      <c r="BS3" s="834"/>
      <c r="BU3" s="398" t="s">
        <v>27</v>
      </c>
      <c r="BV3" s="398" t="s">
        <v>674</v>
      </c>
      <c r="BW3" s="834"/>
    </row>
    <row r="4" spans="1:87">
      <c r="B4" s="402">
        <v>2016</v>
      </c>
      <c r="C4" s="399">
        <f>AVERAGEIFS('Monthly Data'!AT:AT,'Monthly Data'!$B:$B,$B4)</f>
        <v>107447.625</v>
      </c>
      <c r="D4" s="400"/>
      <c r="E4" s="408"/>
      <c r="F4" s="402">
        <v>2016</v>
      </c>
      <c r="G4" s="399">
        <f>AVERAGEIFS('Monthly Data'!AU:AU,'Monthly Data'!$B:$B,$B4)</f>
        <v>1585.75</v>
      </c>
      <c r="H4" s="400"/>
      <c r="I4" s="408"/>
      <c r="J4" s="402">
        <v>2016</v>
      </c>
      <c r="K4" s="399">
        <f>AVERAGEIFS('Monthly Data'!AV:AV,'Monthly Data'!$B:$B,$B4)</f>
        <v>8953.4166666666697</v>
      </c>
      <c r="L4" s="400"/>
      <c r="M4" s="408"/>
      <c r="N4" s="402">
        <v>2016</v>
      </c>
      <c r="O4" s="399">
        <f>AVERAGEIFS('Monthly Data'!AW:AW,'Monthly Data'!$B:$B,$B4)</f>
        <v>1056.0416666666663</v>
      </c>
      <c r="P4" s="400"/>
      <c r="Q4" s="400"/>
      <c r="R4" s="400"/>
      <c r="S4" s="408"/>
      <c r="T4" s="402">
        <v>2016</v>
      </c>
      <c r="U4" s="399">
        <f>AVERAGEIFS('Monthly Data'!AX:AX,'Monthly Data'!$B:$B,$B4)</f>
        <v>5</v>
      </c>
      <c r="V4" s="400"/>
      <c r="W4" s="400"/>
      <c r="X4" s="400"/>
      <c r="Y4" s="408"/>
      <c r="Z4" s="402">
        <v>2016</v>
      </c>
      <c r="AA4" s="399">
        <f>AVERAGEIFS('Monthly Data'!AY:AY,'Monthly Data'!$B:$B,$B4)</f>
        <v>3</v>
      </c>
      <c r="AB4" s="400"/>
      <c r="AC4" s="400"/>
      <c r="AD4" s="400"/>
      <c r="AF4" s="402">
        <v>2016</v>
      </c>
      <c r="AG4" s="399">
        <f>AVERAGEIFS('Monthly Data'!AZ:AZ,'Monthly Data'!$B:$B,$B4)</f>
        <v>30030.75</v>
      </c>
      <c r="AH4" s="400"/>
      <c r="AI4" s="408"/>
      <c r="AJ4" s="402">
        <v>2016</v>
      </c>
      <c r="AK4" s="399">
        <f>AVERAGEIFS('Monthly Data'!BA:BA,'Monthly Data'!$B:$B,$B4)</f>
        <v>439</v>
      </c>
      <c r="AL4" s="400"/>
      <c r="AM4" s="408"/>
      <c r="AN4" s="402">
        <v>2016</v>
      </c>
      <c r="AO4" s="399">
        <f>AVERAGEIFS('Monthly Data'!BB:BB,'Monthly Data'!$B:$B,$B4)</f>
        <v>837.41666666666686</v>
      </c>
      <c r="AP4" s="400"/>
      <c r="AQ4" s="404"/>
      <c r="AS4" s="402">
        <v>2016</v>
      </c>
      <c r="AT4" s="399">
        <f>AVERAGEIFS('Monthly Data'!CG:CG,'Monthly Data'!$B:$B,$B4)</f>
        <v>39433.541666666679</v>
      </c>
      <c r="AU4" s="400"/>
      <c r="AV4" s="408"/>
      <c r="AW4" s="402">
        <v>2016</v>
      </c>
      <c r="AX4" s="399">
        <f>AVERAGEIFS('Monthly Data'!CH:CH,'Monthly Data'!$B:$B,$B4)</f>
        <v>2201.2083333333326</v>
      </c>
      <c r="AY4" s="400"/>
      <c r="AZ4" s="408"/>
      <c r="BA4" s="402">
        <v>2016</v>
      </c>
      <c r="BB4" s="399">
        <f>AVERAGEIFS('Monthly Data'!CI:CI,'Monthly Data'!$B:$B,$B4)</f>
        <v>367.08333333333348</v>
      </c>
      <c r="BC4" s="400"/>
      <c r="BD4" s="400"/>
      <c r="BE4" s="400"/>
      <c r="BF4" s="408"/>
      <c r="BG4" s="402">
        <v>2016</v>
      </c>
      <c r="BH4" s="399">
        <f>AVERAGEIFS('Monthly Data'!CJ:CJ,'Monthly Data'!$B:$B,$B4)</f>
        <v>2</v>
      </c>
      <c r="BI4" s="400"/>
      <c r="BJ4" s="400"/>
      <c r="BK4" s="400"/>
      <c r="BL4" s="408"/>
      <c r="BM4" s="402">
        <v>2016</v>
      </c>
      <c r="BN4" s="399">
        <f>AVERAGEIFS('Monthly Data'!CK:CK,'Monthly Data'!$B:$B,$B4)</f>
        <v>11857.375</v>
      </c>
      <c r="BO4" s="400"/>
      <c r="BP4" s="408"/>
      <c r="BQ4" s="402">
        <v>2016</v>
      </c>
      <c r="BR4" s="399">
        <f>AVERAGEIFS('Monthly Data'!CL:CL,'Monthly Data'!$B:$B,$B4)</f>
        <v>39</v>
      </c>
      <c r="BS4" s="400"/>
      <c r="BU4" s="402">
        <v>2016</v>
      </c>
      <c r="BV4" s="399">
        <f>AVERAGEIFS('Monthly Data'!CM:CM,'Monthly Data'!$B:$B,$B4)</f>
        <v>372.20833333333348</v>
      </c>
      <c r="BW4" s="400"/>
    </row>
    <row r="5" spans="1:87">
      <c r="B5" s="402">
        <f t="shared" ref="B5:B19" si="0">B4+1</f>
        <v>2017</v>
      </c>
      <c r="C5" s="399">
        <f>AVERAGEIFS('Monthly Data'!AT:AT,'Monthly Data'!$B:$B,$B5)</f>
        <v>108364.75</v>
      </c>
      <c r="D5" s="400">
        <f t="shared" ref="D5:D12" si="1">C5/C4</f>
        <v>1.0085355539501222</v>
      </c>
      <c r="E5" s="408"/>
      <c r="F5" s="402">
        <f t="shared" ref="F5:F13" si="2">F4+1</f>
        <v>2017</v>
      </c>
      <c r="G5" s="399">
        <f>AVERAGEIFS('Monthly Data'!AU:AU,'Monthly Data'!$B:$B,$B5)</f>
        <v>1577.0416666666661</v>
      </c>
      <c r="H5" s="400">
        <f t="shared" ref="H5:H11" si="3">G5/G4</f>
        <v>0.99450838194334923</v>
      </c>
      <c r="I5" s="408"/>
      <c r="J5" s="402">
        <f t="shared" ref="J5:J13" si="4">J4+1</f>
        <v>2017</v>
      </c>
      <c r="K5" s="399">
        <f>AVERAGEIFS('Monthly Data'!AV:AV,'Monthly Data'!$B:$B,$B5)</f>
        <v>9015.375</v>
      </c>
      <c r="L5" s="400">
        <f t="shared" ref="L5:L11" si="5">K5/K4</f>
        <v>1.006920077065552</v>
      </c>
      <c r="M5" s="408"/>
      <c r="N5" s="402">
        <f t="shared" ref="N5:N13" si="6">N4+1</f>
        <v>2017</v>
      </c>
      <c r="O5" s="399">
        <f>AVERAGEIFS('Monthly Data'!AW:AW,'Monthly Data'!$B:$B,$B5)</f>
        <v>1068.3333333333337</v>
      </c>
      <c r="P5" s="400">
        <f t="shared" ref="P5:P11" si="7">O5/O4</f>
        <v>1.0116393766028811</v>
      </c>
      <c r="Q5" s="400"/>
      <c r="R5" s="400"/>
      <c r="S5" s="408"/>
      <c r="T5" s="402">
        <f t="shared" ref="T5:T13" si="8">T4+1</f>
        <v>2017</v>
      </c>
      <c r="U5" s="399">
        <f>AVERAGEIFS('Monthly Data'!AX:AX,'Monthly Data'!$B:$B,$B5)</f>
        <v>5</v>
      </c>
      <c r="V5" s="400">
        <f t="shared" ref="V5:V11" si="9">U5/U4</f>
        <v>1</v>
      </c>
      <c r="W5" s="400"/>
      <c r="X5" s="400"/>
      <c r="Y5" s="408"/>
      <c r="Z5" s="402">
        <f t="shared" ref="Z5:Z13" si="10">Z4+1</f>
        <v>2017</v>
      </c>
      <c r="AA5" s="399">
        <f>AVERAGEIFS('Monthly Data'!AY:AY,'Monthly Data'!$B:$B,$B5)</f>
        <v>3</v>
      </c>
      <c r="AB5" s="400">
        <f t="shared" ref="AB5:AB11" si="11">AA5/AA4</f>
        <v>1</v>
      </c>
      <c r="AC5" s="400"/>
      <c r="AD5" s="400"/>
      <c r="AF5" s="402">
        <f t="shared" ref="AF5:AF11" si="12">N5</f>
        <v>2017</v>
      </c>
      <c r="AG5" s="399">
        <f>AVERAGEIFS('Monthly Data'!AZ:AZ,'Monthly Data'!$B:$B,$B5)</f>
        <v>30411.75</v>
      </c>
      <c r="AH5" s="400">
        <f t="shared" ref="AH5:AH11" si="13">AG5/AG4</f>
        <v>1.012686995829275</v>
      </c>
      <c r="AI5" s="408"/>
      <c r="AJ5" s="402">
        <f t="shared" ref="AJ5:AJ13" si="14">AJ4+1</f>
        <v>2017</v>
      </c>
      <c r="AK5" s="399">
        <f>AVERAGEIFS('Monthly Data'!BA:BA,'Monthly Data'!$B:$B,$B5)</f>
        <v>439</v>
      </c>
      <c r="AL5" s="400">
        <f t="shared" ref="AL5:AL11" si="15">AK5/AK4</f>
        <v>1</v>
      </c>
      <c r="AM5" s="408"/>
      <c r="AN5" s="402">
        <f t="shared" ref="AN5:AN13" si="16">AN4+1</f>
        <v>2017</v>
      </c>
      <c r="AO5" s="399">
        <f>AVERAGEIFS('Monthly Data'!BB:BB,'Monthly Data'!$B:$B,$B5)</f>
        <v>825.58333333333314</v>
      </c>
      <c r="AP5" s="400">
        <f t="shared" ref="AP5:AP11" si="17">AO5/AO4</f>
        <v>0.98586924072046922</v>
      </c>
      <c r="AQ5" s="404"/>
      <c r="AS5" s="402">
        <f t="shared" ref="AS5:AS19" si="18">AS4+1</f>
        <v>2017</v>
      </c>
      <c r="AT5" s="399">
        <f>AVERAGEIFS('Monthly Data'!CG:CG,'Monthly Data'!$B:$B,$B5)</f>
        <v>39751.583333333321</v>
      </c>
      <c r="AU5" s="400">
        <f t="shared" ref="AU5:AU10" si="19">AT5/AT4</f>
        <v>1.0080652574743365</v>
      </c>
      <c r="AV5" s="408"/>
      <c r="AW5" s="402">
        <f t="shared" ref="AW5:AW13" si="20">AW4+1</f>
        <v>2017</v>
      </c>
      <c r="AX5" s="399">
        <f>AVERAGEIFS('Monthly Data'!CH:CH,'Monthly Data'!$B:$B,$B5)</f>
        <v>2229.75</v>
      </c>
      <c r="AY5" s="400">
        <f t="shared" ref="AY5:AY10" si="21">AX5/AX4</f>
        <v>1.0129663631717432</v>
      </c>
      <c r="AZ5" s="408"/>
      <c r="BA5" s="402">
        <f t="shared" ref="BA5:BA13" si="22">BA4+1</f>
        <v>2017</v>
      </c>
      <c r="BB5" s="399">
        <f>AVERAGEIFS('Monthly Data'!CI:CI,'Monthly Data'!$B:$B,$B5)</f>
        <v>368</v>
      </c>
      <c r="BC5" s="400">
        <f t="shared" ref="BC5:BC10" si="23">BB5/BB4</f>
        <v>1.0024971623155501</v>
      </c>
      <c r="BD5" s="400"/>
      <c r="BE5" s="400"/>
      <c r="BF5" s="408"/>
      <c r="BG5" s="402">
        <f t="shared" ref="BG5:BG13" si="24">BG4+1</f>
        <v>2017</v>
      </c>
      <c r="BH5" s="399">
        <f>AVERAGEIFS('Monthly Data'!CJ:CJ,'Monthly Data'!$B:$B,$B5)</f>
        <v>2</v>
      </c>
      <c r="BI5" s="400">
        <f t="shared" ref="BI5:BI10" si="25">BH5/BH4</f>
        <v>1</v>
      </c>
      <c r="BJ5" s="400"/>
      <c r="BK5" s="400"/>
      <c r="BL5" s="408"/>
      <c r="BM5" s="402">
        <f t="shared" ref="BM5:BM13" si="26">BM4+1</f>
        <v>2017</v>
      </c>
      <c r="BN5" s="399">
        <f>AVERAGEIFS('Monthly Data'!CK:CK,'Monthly Data'!$B:$B,$B5)</f>
        <v>11891</v>
      </c>
      <c r="BO5" s="400">
        <f t="shared" ref="BO5:BO10" si="27">BN5/BN4</f>
        <v>1.002835787853551</v>
      </c>
      <c r="BP5" s="408"/>
      <c r="BQ5" s="402">
        <f t="shared" ref="BQ5:BQ13" si="28">BQ4+1</f>
        <v>2017</v>
      </c>
      <c r="BR5" s="399">
        <f>AVERAGEIFS('Monthly Data'!CL:CL,'Monthly Data'!$B:$B,$B5)</f>
        <v>38.458333333333321</v>
      </c>
      <c r="BS5" s="400">
        <f t="shared" ref="BS5:BS10" si="29">BR5/BR4</f>
        <v>0.98611111111111083</v>
      </c>
      <c r="BU5" s="402">
        <f t="shared" ref="BU5:BU10" si="30">BG5</f>
        <v>2017</v>
      </c>
      <c r="BV5" s="399">
        <f>AVERAGEIFS('Monthly Data'!CM:CM,'Monthly Data'!$B:$B,$B5)</f>
        <v>370.625</v>
      </c>
      <c r="BW5" s="400">
        <f t="shared" ref="BW5:BW10" si="31">BV5/BV4</f>
        <v>0.99574610992947454</v>
      </c>
    </row>
    <row r="6" spans="1:87">
      <c r="B6" s="402">
        <f t="shared" si="0"/>
        <v>2018</v>
      </c>
      <c r="C6" s="399">
        <f>AVERAGEIFS('Monthly Data'!AT:AT,'Monthly Data'!$B:$B,$B6)</f>
        <v>109469.75</v>
      </c>
      <c r="D6" s="400">
        <f t="shared" si="1"/>
        <v>1.0101970428575713</v>
      </c>
      <c r="E6" s="408"/>
      <c r="F6" s="402">
        <f t="shared" si="2"/>
        <v>2018</v>
      </c>
      <c r="G6" s="399">
        <f>AVERAGEIFS('Monthly Data'!AU:AU,'Monthly Data'!$B:$B,$B6)</f>
        <v>1570.9166666666661</v>
      </c>
      <c r="H6" s="400">
        <f t="shared" si="3"/>
        <v>0.99611614573700757</v>
      </c>
      <c r="I6" s="408"/>
      <c r="J6" s="402">
        <f t="shared" si="4"/>
        <v>2018</v>
      </c>
      <c r="K6" s="399">
        <f>AVERAGEIFS('Monthly Data'!AV:AV,'Monthly Data'!$B:$B,$B6)</f>
        <v>9089.625</v>
      </c>
      <c r="L6" s="400">
        <f t="shared" si="5"/>
        <v>1.0082359302857618</v>
      </c>
      <c r="M6" s="408"/>
      <c r="N6" s="402">
        <f t="shared" si="6"/>
        <v>2018</v>
      </c>
      <c r="O6" s="399">
        <f>AVERAGEIFS('Monthly Data'!AW:AW,'Monthly Data'!$B:$B,$B6)</f>
        <v>1060.25</v>
      </c>
      <c r="P6" s="400">
        <f t="shared" si="7"/>
        <v>0.99243369734789355</v>
      </c>
      <c r="Q6" s="400"/>
      <c r="R6" s="400"/>
      <c r="S6" s="408"/>
      <c r="T6" s="402">
        <f t="shared" si="8"/>
        <v>2018</v>
      </c>
      <c r="U6" s="399">
        <f>AVERAGEIFS('Monthly Data'!AX:AX,'Monthly Data'!$B:$B,$B6)</f>
        <v>4.4583333333333348</v>
      </c>
      <c r="V6" s="400">
        <f t="shared" si="9"/>
        <v>0.89166666666666694</v>
      </c>
      <c r="W6" s="400"/>
      <c r="X6" s="400"/>
      <c r="Y6" s="408"/>
      <c r="Z6" s="402">
        <f t="shared" si="10"/>
        <v>2018</v>
      </c>
      <c r="AA6" s="399">
        <f>AVERAGEIFS('Monthly Data'!AY:AY,'Monthly Data'!$B:$B,$B6)</f>
        <v>3.5416666666666674</v>
      </c>
      <c r="AB6" s="400">
        <f t="shared" si="11"/>
        <v>1.1805555555555558</v>
      </c>
      <c r="AC6" s="400"/>
      <c r="AD6" s="400"/>
      <c r="AF6" s="402">
        <f t="shared" si="12"/>
        <v>2018</v>
      </c>
      <c r="AG6" s="399">
        <f>AVERAGEIFS('Monthly Data'!AZ:AZ,'Monthly Data'!$B:$B,$B6)</f>
        <v>30897.625</v>
      </c>
      <c r="AH6" s="400">
        <f t="shared" si="13"/>
        <v>1.0159765551143884</v>
      </c>
      <c r="AI6" s="408"/>
      <c r="AJ6" s="402">
        <f t="shared" si="14"/>
        <v>2018</v>
      </c>
      <c r="AK6" s="399">
        <f>AVERAGEIFS('Monthly Data'!BA:BA,'Monthly Data'!$B:$B,$B6)</f>
        <v>439</v>
      </c>
      <c r="AL6" s="400">
        <f t="shared" si="15"/>
        <v>1</v>
      </c>
      <c r="AM6" s="408"/>
      <c r="AN6" s="402">
        <f t="shared" si="16"/>
        <v>2018</v>
      </c>
      <c r="AO6" s="399">
        <f>AVERAGEIFS('Monthly Data'!BB:BB,'Monthly Data'!$B:$B,$B6)</f>
        <v>817.75</v>
      </c>
      <c r="AP6" s="400">
        <f t="shared" si="17"/>
        <v>0.99051175936206748</v>
      </c>
      <c r="AQ6" s="404"/>
      <c r="AS6" s="402">
        <f t="shared" si="18"/>
        <v>2018</v>
      </c>
      <c r="AT6" s="399">
        <f>AVERAGEIFS('Monthly Data'!CG:CG,'Monthly Data'!$B:$B,$B6)</f>
        <v>40096.916666666679</v>
      </c>
      <c r="AU6" s="400">
        <f t="shared" si="19"/>
        <v>1.0086872849928417</v>
      </c>
      <c r="AV6" s="408"/>
      <c r="AW6" s="402">
        <f t="shared" si="20"/>
        <v>2018</v>
      </c>
      <c r="AX6" s="399">
        <f>AVERAGEIFS('Monthly Data'!CH:CH,'Monthly Data'!$B:$B,$B6)</f>
        <v>2246.6666666666674</v>
      </c>
      <c r="AY6" s="400">
        <f t="shared" si="21"/>
        <v>1.0075867997159624</v>
      </c>
      <c r="AZ6" s="408"/>
      <c r="BA6" s="402">
        <f t="shared" si="22"/>
        <v>2018</v>
      </c>
      <c r="BB6" s="399">
        <f>AVERAGEIFS('Monthly Data'!CI:CI,'Monthly Data'!$B:$B,$B6)</f>
        <v>372.875</v>
      </c>
      <c r="BC6" s="400">
        <f t="shared" si="23"/>
        <v>1.0132472826086956</v>
      </c>
      <c r="BD6" s="400"/>
      <c r="BE6" s="400"/>
      <c r="BF6" s="408"/>
      <c r="BG6" s="402">
        <f t="shared" si="24"/>
        <v>2018</v>
      </c>
      <c r="BH6" s="399">
        <f>AVERAGEIFS('Monthly Data'!CJ:CJ,'Monthly Data'!$B:$B,$B6)</f>
        <v>2.5416666666666674</v>
      </c>
      <c r="BI6" s="400">
        <f t="shared" si="25"/>
        <v>1.2708333333333337</v>
      </c>
      <c r="BJ6" s="400"/>
      <c r="BK6" s="400"/>
      <c r="BL6" s="408"/>
      <c r="BM6" s="402">
        <f t="shared" si="26"/>
        <v>2018</v>
      </c>
      <c r="BN6" s="399">
        <f>AVERAGEIFS('Monthly Data'!CK:CK,'Monthly Data'!$B:$B,$B6)</f>
        <v>12053.666666666672</v>
      </c>
      <c r="BO6" s="400">
        <f t="shared" si="27"/>
        <v>1.0136798138648282</v>
      </c>
      <c r="BP6" s="408"/>
      <c r="BQ6" s="402">
        <f t="shared" si="28"/>
        <v>2018</v>
      </c>
      <c r="BR6" s="399">
        <f>AVERAGEIFS('Monthly Data'!CL:CL,'Monthly Data'!$B:$B,$B6)</f>
        <v>37.458333333333321</v>
      </c>
      <c r="BS6" s="400">
        <f t="shared" si="29"/>
        <v>0.97399783315276267</v>
      </c>
      <c r="BU6" s="402">
        <f t="shared" si="30"/>
        <v>2018</v>
      </c>
      <c r="BV6" s="399">
        <f>AVERAGEIFS('Monthly Data'!CM:CM,'Monthly Data'!$B:$B,$B6)</f>
        <v>376.875</v>
      </c>
      <c r="BW6" s="400">
        <f t="shared" si="31"/>
        <v>1.0168634064080944</v>
      </c>
    </row>
    <row r="7" spans="1:87" s="420" customFormat="1" ht="14.5" customHeight="1">
      <c r="B7" s="402">
        <f t="shared" si="0"/>
        <v>2019</v>
      </c>
      <c r="C7" s="399">
        <f>AVERAGEIFS('Monthly Data'!AT:AT,'Monthly Data'!$B:$B,$B7)</f>
        <v>110960.875</v>
      </c>
      <c r="D7" s="400">
        <f t="shared" si="1"/>
        <v>1.0136213428823944</v>
      </c>
      <c r="E7" s="408"/>
      <c r="F7" s="402">
        <f t="shared" si="2"/>
        <v>2019</v>
      </c>
      <c r="G7" s="399">
        <f>AVERAGEIFS('Monthly Data'!AU:AU,'Monthly Data'!$B:$B,$B7)</f>
        <v>1565.125</v>
      </c>
      <c r="H7" s="400">
        <f t="shared" si="3"/>
        <v>0.99631319293406229</v>
      </c>
      <c r="I7" s="408"/>
      <c r="J7" s="402">
        <f t="shared" si="4"/>
        <v>2019</v>
      </c>
      <c r="K7" s="399">
        <f>AVERAGEIFS('Monthly Data'!AV:AV,'Monthly Data'!$B:$B,$B7)</f>
        <v>9207.0416666666697</v>
      </c>
      <c r="L7" s="400">
        <f t="shared" si="5"/>
        <v>1.0129176579525194</v>
      </c>
      <c r="M7" s="408"/>
      <c r="N7" s="402">
        <f t="shared" si="6"/>
        <v>2019</v>
      </c>
      <c r="O7" s="399">
        <f>AVERAGEIFS('Monthly Data'!AW:AW,'Monthly Data'!$B:$B,$B7)</f>
        <v>1029.0833333333337</v>
      </c>
      <c r="P7" s="400">
        <f t="shared" si="7"/>
        <v>0.97060441719720225</v>
      </c>
      <c r="Q7" s="400"/>
      <c r="R7" s="400"/>
      <c r="S7" s="408"/>
      <c r="T7" s="402">
        <f t="shared" si="8"/>
        <v>2019</v>
      </c>
      <c r="U7" s="399">
        <f>AVERAGEIFS('Monthly Data'!AX:AX,'Monthly Data'!$B:$B,$B7)</f>
        <v>4</v>
      </c>
      <c r="V7" s="400">
        <f t="shared" si="9"/>
        <v>0.89719626168224265</v>
      </c>
      <c r="W7" s="400"/>
      <c r="X7" s="400"/>
      <c r="Y7" s="408"/>
      <c r="Z7" s="402">
        <f t="shared" si="10"/>
        <v>2019</v>
      </c>
      <c r="AA7" s="399">
        <f>AVERAGEIFS('Monthly Data'!AY:AY,'Monthly Data'!$B:$B,$B7)</f>
        <v>4</v>
      </c>
      <c r="AB7" s="400">
        <f t="shared" si="11"/>
        <v>1.1294117647058821</v>
      </c>
      <c r="AC7" s="400"/>
      <c r="AD7" s="400"/>
      <c r="AE7" s="9"/>
      <c r="AF7" s="402">
        <f t="shared" si="12"/>
        <v>2019</v>
      </c>
      <c r="AG7" s="399">
        <f>AVERAGEIFS('Monthly Data'!AZ:AZ,'Monthly Data'!$B:$B,$B7)</f>
        <v>31143.041666666657</v>
      </c>
      <c r="AH7" s="400">
        <f t="shared" si="13"/>
        <v>1.007942897444922</v>
      </c>
      <c r="AI7" s="408"/>
      <c r="AJ7" s="402">
        <f t="shared" si="14"/>
        <v>2019</v>
      </c>
      <c r="AK7" s="399">
        <f>AVERAGEIFS('Monthly Data'!BA:BA,'Monthly Data'!$B:$B,$B7)</f>
        <v>342.04166666666652</v>
      </c>
      <c r="AL7" s="400">
        <f t="shared" si="15"/>
        <v>0.77913819286256614</v>
      </c>
      <c r="AM7" s="408"/>
      <c r="AN7" s="402">
        <f t="shared" si="16"/>
        <v>2019</v>
      </c>
      <c r="AO7" s="399">
        <f>AVERAGEIFS('Monthly Data'!BB:BB,'Monthly Data'!$B:$B,$B7)</f>
        <v>809.04166666666697</v>
      </c>
      <c r="AP7" s="400">
        <f t="shared" si="17"/>
        <v>0.98935086110261938</v>
      </c>
      <c r="AQ7" s="411"/>
      <c r="AS7" s="402">
        <f t="shared" si="18"/>
        <v>2019</v>
      </c>
      <c r="AT7" s="399">
        <f>AVERAGEIFS('Monthly Data'!CG:CG,'Monthly Data'!$B:$B,$B7)</f>
        <v>40903.041666666679</v>
      </c>
      <c r="AU7" s="400">
        <f t="shared" si="19"/>
        <v>1.0201044136810187</v>
      </c>
      <c r="AV7" s="408"/>
      <c r="AW7" s="402">
        <f t="shared" si="20"/>
        <v>2019</v>
      </c>
      <c r="AX7" s="399">
        <f>AVERAGEIFS('Monthly Data'!CH:CH,'Monthly Data'!$B:$B,$B7)</f>
        <v>2261.0416666666674</v>
      </c>
      <c r="AY7" s="400">
        <f t="shared" si="21"/>
        <v>1.0063983679525224</v>
      </c>
      <c r="AZ7" s="408"/>
      <c r="BA7" s="402">
        <f t="shared" si="22"/>
        <v>2019</v>
      </c>
      <c r="BB7" s="399">
        <f>AVERAGEIFS('Monthly Data'!CI:CI,'Monthly Data'!$B:$B,$B7)</f>
        <v>377</v>
      </c>
      <c r="BC7" s="400">
        <f t="shared" si="23"/>
        <v>1.0110626885685552</v>
      </c>
      <c r="BD7" s="400"/>
      <c r="BE7" s="400"/>
      <c r="BF7" s="408"/>
      <c r="BG7" s="402">
        <f t="shared" si="24"/>
        <v>2019</v>
      </c>
      <c r="BH7" s="399">
        <f>AVERAGEIFS('Monthly Data'!CJ:CJ,'Monthly Data'!$B:$B,$B7)</f>
        <v>3</v>
      </c>
      <c r="BI7" s="400">
        <f t="shared" si="25"/>
        <v>1.1803278688524588</v>
      </c>
      <c r="BJ7" s="400"/>
      <c r="BK7" s="400"/>
      <c r="BL7" s="408"/>
      <c r="BM7" s="402">
        <f t="shared" si="26"/>
        <v>2019</v>
      </c>
      <c r="BN7" s="399">
        <f>AVERAGEIFS('Monthly Data'!CK:CK,'Monthly Data'!$B:$B,$B7)</f>
        <v>12408.416666666672</v>
      </c>
      <c r="BO7" s="400">
        <f t="shared" si="27"/>
        <v>1.0294308785708359</v>
      </c>
      <c r="BP7" s="408"/>
      <c r="BQ7" s="402">
        <f t="shared" si="28"/>
        <v>2019</v>
      </c>
      <c r="BR7" s="399">
        <f>AVERAGEIFS('Monthly Data'!CL:CL,'Monthly Data'!$B:$B,$B7)</f>
        <v>37</v>
      </c>
      <c r="BS7" s="400">
        <f t="shared" si="29"/>
        <v>0.98776418242491693</v>
      </c>
      <c r="BT7" s="9"/>
      <c r="BU7" s="402">
        <f t="shared" si="30"/>
        <v>2019</v>
      </c>
      <c r="BV7" s="399">
        <f>AVERAGEIFS('Monthly Data'!CM:CM,'Monthly Data'!$B:$B,$B7)</f>
        <v>384.25</v>
      </c>
      <c r="BW7" s="400">
        <f t="shared" si="31"/>
        <v>1.0195688225538972</v>
      </c>
    </row>
    <row r="8" spans="1:87" s="420" customFormat="1" ht="14.5" customHeight="1">
      <c r="B8" s="402">
        <f t="shared" si="0"/>
        <v>2020</v>
      </c>
      <c r="C8" s="399">
        <f>AVERAGEIFS('Monthly Data'!AT:AT,'Monthly Data'!$B:$B,$B8)</f>
        <v>112218.375</v>
      </c>
      <c r="D8" s="400">
        <f t="shared" si="1"/>
        <v>1.0113328233938315</v>
      </c>
      <c r="E8" s="408"/>
      <c r="F8" s="402">
        <f t="shared" si="2"/>
        <v>2020</v>
      </c>
      <c r="G8" s="399">
        <f>AVERAGEIFS('Monthly Data'!AU:AU,'Monthly Data'!$B:$B,$B8)</f>
        <v>1561</v>
      </c>
      <c r="H8" s="400">
        <f t="shared" si="3"/>
        <v>0.99736442776136092</v>
      </c>
      <c r="I8" s="408"/>
      <c r="J8" s="402">
        <f t="shared" si="4"/>
        <v>2020</v>
      </c>
      <c r="K8" s="399">
        <f>AVERAGEIFS('Monthly Data'!AV:AV,'Monthly Data'!$B:$B,$B8)</f>
        <v>9277.75</v>
      </c>
      <c r="L8" s="400">
        <f t="shared" si="5"/>
        <v>1.0076798102901308</v>
      </c>
      <c r="M8" s="408"/>
      <c r="N8" s="402">
        <f t="shared" si="6"/>
        <v>2020</v>
      </c>
      <c r="O8" s="399">
        <f>AVERAGEIFS('Monthly Data'!AW:AW,'Monthly Data'!$B:$B,$B8)</f>
        <v>1032</v>
      </c>
      <c r="P8" s="400">
        <f t="shared" si="7"/>
        <v>1.0028342375900878</v>
      </c>
      <c r="Q8" s="400"/>
      <c r="R8" s="400"/>
      <c r="S8" s="408"/>
      <c r="T8" s="402">
        <f t="shared" si="8"/>
        <v>2020</v>
      </c>
      <c r="U8" s="399">
        <f>AVERAGEIFS('Monthly Data'!AX:AX,'Monthly Data'!$B:$B,$B8)</f>
        <v>4.5416666666666652</v>
      </c>
      <c r="V8" s="400">
        <f t="shared" si="9"/>
        <v>1.1354166666666663</v>
      </c>
      <c r="W8" s="400"/>
      <c r="X8" s="400"/>
      <c r="Y8" s="408"/>
      <c r="Z8" s="402">
        <f t="shared" si="10"/>
        <v>2020</v>
      </c>
      <c r="AA8" s="399">
        <f>AVERAGEIFS('Monthly Data'!AY:AY,'Monthly Data'!$B:$B,$B8)</f>
        <v>4</v>
      </c>
      <c r="AB8" s="400">
        <f t="shared" si="11"/>
        <v>1</v>
      </c>
      <c r="AC8" s="400"/>
      <c r="AD8" s="400"/>
      <c r="AE8" s="400"/>
      <c r="AF8" s="402">
        <f t="shared" si="12"/>
        <v>2020</v>
      </c>
      <c r="AG8" s="399">
        <f>AVERAGEIFS('Monthly Data'!AZ:AZ,'Monthly Data'!$B:$B,$B8)</f>
        <v>31414.916666666657</v>
      </c>
      <c r="AH8" s="400">
        <f t="shared" si="13"/>
        <v>1.0087298794674573</v>
      </c>
      <c r="AI8" s="408"/>
      <c r="AJ8" s="402">
        <f t="shared" si="14"/>
        <v>2020</v>
      </c>
      <c r="AK8" s="399">
        <f>AVERAGEIFS('Monthly Data'!BA:BA,'Monthly Data'!$B:$B,$B8)</f>
        <v>255.125</v>
      </c>
      <c r="AL8" s="400">
        <f t="shared" si="15"/>
        <v>0.74588865878913424</v>
      </c>
      <c r="AM8" s="408"/>
      <c r="AN8" s="402">
        <f t="shared" si="16"/>
        <v>2020</v>
      </c>
      <c r="AO8" s="399">
        <f>AVERAGEIFS('Monthly Data'!BB:BB,'Monthly Data'!$B:$B,$B8)</f>
        <v>801.83333333333303</v>
      </c>
      <c r="AP8" s="400">
        <f t="shared" si="17"/>
        <v>0.99109028171190117</v>
      </c>
      <c r="AQ8" s="411"/>
      <c r="AS8" s="402">
        <f t="shared" si="18"/>
        <v>2020</v>
      </c>
      <c r="AT8" s="399">
        <f>AVERAGEIFS('Monthly Data'!CG:CG,'Monthly Data'!$B:$B,$B8)</f>
        <v>41880.625</v>
      </c>
      <c r="AU8" s="400">
        <f t="shared" si="19"/>
        <v>1.0239000155856377</v>
      </c>
      <c r="AV8" s="408"/>
      <c r="AW8" s="402">
        <f t="shared" si="20"/>
        <v>2020</v>
      </c>
      <c r="AX8" s="399">
        <f>AVERAGEIFS('Monthly Data'!CH:CH,'Monthly Data'!$B:$B,$B8)</f>
        <v>2284.3333333333326</v>
      </c>
      <c r="AY8" s="400">
        <f t="shared" si="21"/>
        <v>1.0103012991799496</v>
      </c>
      <c r="AZ8" s="408"/>
      <c r="BA8" s="402">
        <f t="shared" si="22"/>
        <v>2020</v>
      </c>
      <c r="BB8" s="399">
        <f>AVERAGEIFS('Monthly Data'!CI:CI,'Monthly Data'!$B:$B,$B8)</f>
        <v>381.875</v>
      </c>
      <c r="BC8" s="400">
        <f t="shared" si="23"/>
        <v>1.0129310344827587</v>
      </c>
      <c r="BD8" s="400"/>
      <c r="BE8" s="400"/>
      <c r="BF8" s="408"/>
      <c r="BG8" s="402">
        <f t="shared" si="24"/>
        <v>2020</v>
      </c>
      <c r="BH8" s="399">
        <f>AVERAGEIFS('Monthly Data'!CJ:CJ,'Monthly Data'!$B:$B,$B8)</f>
        <v>3</v>
      </c>
      <c r="BI8" s="400">
        <f t="shared" si="25"/>
        <v>1</v>
      </c>
      <c r="BJ8" s="400"/>
      <c r="BK8" s="400"/>
      <c r="BL8" s="408"/>
      <c r="BM8" s="402">
        <f t="shared" si="26"/>
        <v>2020</v>
      </c>
      <c r="BN8" s="399">
        <f>AVERAGEIFS('Monthly Data'!CK:CK,'Monthly Data'!$B:$B,$B8)</f>
        <v>12707.791666666672</v>
      </c>
      <c r="BO8" s="400">
        <f t="shared" si="27"/>
        <v>1.0241267687926878</v>
      </c>
      <c r="BP8" s="408"/>
      <c r="BQ8" s="402">
        <f t="shared" si="28"/>
        <v>2020</v>
      </c>
      <c r="BR8" s="399">
        <f>AVERAGEIFS('Monthly Data'!CL:CL,'Monthly Data'!$B:$B,$B8)</f>
        <v>37</v>
      </c>
      <c r="BS8" s="400">
        <f t="shared" si="29"/>
        <v>1</v>
      </c>
      <c r="BT8" s="400"/>
      <c r="BU8" s="402">
        <f t="shared" si="30"/>
        <v>2020</v>
      </c>
      <c r="BV8" s="399">
        <f>AVERAGEIFS('Monthly Data'!CM:CM,'Monthly Data'!$B:$B,$B8)</f>
        <v>389.16666666666652</v>
      </c>
      <c r="BW8" s="400">
        <f t="shared" si="31"/>
        <v>1.0127954890479285</v>
      </c>
      <c r="CI8" s="9"/>
    </row>
    <row r="9" spans="1:87" s="420" customFormat="1">
      <c r="B9" s="402">
        <f t="shared" si="0"/>
        <v>2021</v>
      </c>
      <c r="C9" s="399">
        <f>AVERAGEIFS('Monthly Data'!AT:AT,'Monthly Data'!$B:$B,$B9)</f>
        <v>113059.29166666664</v>
      </c>
      <c r="D9" s="400">
        <f t="shared" si="1"/>
        <v>1.0074935737277129</v>
      </c>
      <c r="E9" s="408"/>
      <c r="F9" s="402">
        <f t="shared" si="2"/>
        <v>2021</v>
      </c>
      <c r="G9" s="399">
        <f>AVERAGEIFS('Monthly Data'!AU:AU,'Monthly Data'!$B:$B,$B9)</f>
        <v>1558.8333333333339</v>
      </c>
      <c r="H9" s="400">
        <f t="shared" si="3"/>
        <v>0.99861200085415369</v>
      </c>
      <c r="I9" s="408"/>
      <c r="J9" s="402">
        <f t="shared" si="4"/>
        <v>2021</v>
      </c>
      <c r="K9" s="399">
        <f>AVERAGEIFS('Monthly Data'!AV:AV,'Monthly Data'!$B:$B,$B9)</f>
        <v>9314.7083333333303</v>
      </c>
      <c r="L9" s="400">
        <f t="shared" si="5"/>
        <v>1.0039835448609125</v>
      </c>
      <c r="M9" s="408"/>
      <c r="N9" s="402">
        <f t="shared" si="6"/>
        <v>2021</v>
      </c>
      <c r="O9" s="399">
        <f>AVERAGEIFS('Monthly Data'!AW:AW,'Monthly Data'!$B:$B,$B9)</f>
        <v>1052.2083333333337</v>
      </c>
      <c r="P9" s="400">
        <f t="shared" si="7"/>
        <v>1.0195817183462537</v>
      </c>
      <c r="Q9" s="400"/>
      <c r="R9" s="400"/>
      <c r="S9" s="408"/>
      <c r="T9" s="402">
        <f t="shared" si="8"/>
        <v>2021</v>
      </c>
      <c r="U9" s="399">
        <f>AVERAGEIFS('Monthly Data'!AX:AX,'Monthly Data'!$B:$B,$B9)</f>
        <v>5.5416666666666643</v>
      </c>
      <c r="V9" s="400">
        <f t="shared" si="9"/>
        <v>1.2201834862385319</v>
      </c>
      <c r="W9" s="400"/>
      <c r="X9" s="400"/>
      <c r="Y9" s="408"/>
      <c r="Z9" s="402">
        <f t="shared" si="10"/>
        <v>2021</v>
      </c>
      <c r="AA9" s="399">
        <f>AVERAGEIFS('Monthly Data'!AY:AY,'Monthly Data'!$B:$B,$B9)</f>
        <v>4</v>
      </c>
      <c r="AB9" s="400">
        <f t="shared" si="11"/>
        <v>1</v>
      </c>
      <c r="AC9" s="400"/>
      <c r="AD9" s="400"/>
      <c r="AE9" s="400"/>
      <c r="AF9" s="402">
        <f t="shared" si="12"/>
        <v>2021</v>
      </c>
      <c r="AG9" s="399">
        <f>AVERAGEIFS('Monthly Data'!AZ:AZ,'Monthly Data'!$B:$B,$B9)</f>
        <v>31679.166666666657</v>
      </c>
      <c r="AH9" s="400">
        <f t="shared" si="13"/>
        <v>1.0084116091347264</v>
      </c>
      <c r="AI9" s="408"/>
      <c r="AJ9" s="402">
        <f t="shared" si="14"/>
        <v>2021</v>
      </c>
      <c r="AK9" s="399">
        <f>AVERAGEIFS('Monthly Data'!BA:BA,'Monthly Data'!$B:$B,$B9)</f>
        <v>248.83333333333326</v>
      </c>
      <c r="AL9" s="400">
        <f t="shared" si="15"/>
        <v>0.97533888616691133</v>
      </c>
      <c r="AM9" s="408"/>
      <c r="AN9" s="402">
        <f t="shared" si="16"/>
        <v>2021</v>
      </c>
      <c r="AO9" s="399">
        <f>AVERAGEIFS('Monthly Data'!BB:BB,'Monthly Data'!$B:$B,$B9)</f>
        <v>801.625</v>
      </c>
      <c r="AP9" s="400">
        <f t="shared" si="17"/>
        <v>0.9997401787570156</v>
      </c>
      <c r="AQ9" s="411"/>
      <c r="AS9" s="402">
        <f t="shared" si="18"/>
        <v>2021</v>
      </c>
      <c r="AT9" s="399">
        <f>AVERAGEIFS('Monthly Data'!CG:CG,'Monthly Data'!$B:$B,$B9)</f>
        <v>42897.875</v>
      </c>
      <c r="AU9" s="400">
        <f t="shared" si="19"/>
        <v>1.0242892745750571</v>
      </c>
      <c r="AV9" s="408"/>
      <c r="AW9" s="402">
        <f t="shared" si="20"/>
        <v>2021</v>
      </c>
      <c r="AX9" s="399">
        <f>AVERAGEIFS('Monthly Data'!CH:CH,'Monthly Data'!$B:$B,$B9)</f>
        <v>2326.625</v>
      </c>
      <c r="AY9" s="400">
        <f t="shared" si="21"/>
        <v>1.0185137895812058</v>
      </c>
      <c r="AZ9" s="408"/>
      <c r="BA9" s="402">
        <f t="shared" si="22"/>
        <v>2021</v>
      </c>
      <c r="BB9" s="399">
        <f>AVERAGEIFS('Monthly Data'!CI:CI,'Monthly Data'!$B:$B,$B9)</f>
        <v>390.875</v>
      </c>
      <c r="BC9" s="400">
        <f t="shared" si="23"/>
        <v>1.0235679214402618</v>
      </c>
      <c r="BD9" s="400"/>
      <c r="BE9" s="400"/>
      <c r="BF9" s="408"/>
      <c r="BG9" s="402">
        <f t="shared" si="24"/>
        <v>2021</v>
      </c>
      <c r="BH9" s="399">
        <f>AVERAGEIFS('Monthly Data'!CJ:CJ,'Monthly Data'!$B:$B,$B9)</f>
        <v>3</v>
      </c>
      <c r="BI9" s="400">
        <f t="shared" si="25"/>
        <v>1</v>
      </c>
      <c r="BJ9" s="400"/>
      <c r="BK9" s="400"/>
      <c r="BL9" s="408"/>
      <c r="BM9" s="402">
        <f t="shared" si="26"/>
        <v>2021</v>
      </c>
      <c r="BN9" s="399">
        <f>AVERAGEIFS('Monthly Data'!CK:CK,'Monthly Data'!$B:$B,$B9)</f>
        <v>13023.791666666672</v>
      </c>
      <c r="BO9" s="400">
        <f t="shared" si="27"/>
        <v>1.0248666336597954</v>
      </c>
      <c r="BP9" s="408"/>
      <c r="BQ9" s="402">
        <f t="shared" si="28"/>
        <v>2021</v>
      </c>
      <c r="BR9" s="399">
        <f>AVERAGEIFS('Monthly Data'!CL:CL,'Monthly Data'!$B:$B,$B9)</f>
        <v>42.416666666666679</v>
      </c>
      <c r="BS9" s="400">
        <f t="shared" si="29"/>
        <v>1.1463963963963968</v>
      </c>
      <c r="BT9" s="400"/>
      <c r="BU9" s="402">
        <f t="shared" si="30"/>
        <v>2021</v>
      </c>
      <c r="BV9" s="399">
        <f>AVERAGEIFS('Monthly Data'!CM:CM,'Monthly Data'!$B:$B,$B9)</f>
        <v>391.54166666666652</v>
      </c>
      <c r="BW9" s="400">
        <f t="shared" si="31"/>
        <v>1.00610278372591</v>
      </c>
      <c r="CI9" s="9"/>
    </row>
    <row r="10" spans="1:87" s="420" customFormat="1">
      <c r="B10" s="402">
        <f t="shared" si="0"/>
        <v>2022</v>
      </c>
      <c r="C10" s="399">
        <f>AVERAGEIFS('Monthly Data'!AT:AT,'Monthly Data'!$B:$B,$B10)</f>
        <v>114160.83333333336</v>
      </c>
      <c r="D10" s="400">
        <f t="shared" si="1"/>
        <v>1.0097430441180757</v>
      </c>
      <c r="E10" s="408"/>
      <c r="F10" s="402">
        <f t="shared" si="2"/>
        <v>2022</v>
      </c>
      <c r="G10" s="399">
        <f>AVERAGEIFS('Monthly Data'!AU:AU,'Monthly Data'!$B:$B,$B10)</f>
        <v>1559.1666666666661</v>
      </c>
      <c r="H10" s="400">
        <f t="shared" si="3"/>
        <v>1.0002138351331116</v>
      </c>
      <c r="I10" s="408"/>
      <c r="J10" s="402">
        <f t="shared" si="4"/>
        <v>2022</v>
      </c>
      <c r="K10" s="399">
        <f>AVERAGEIFS('Monthly Data'!AV:AV,'Monthly Data'!$B:$B,$B10)</f>
        <v>9413.2083333333303</v>
      </c>
      <c r="L10" s="400">
        <f t="shared" si="5"/>
        <v>1.010574673567342</v>
      </c>
      <c r="M10" s="408"/>
      <c r="N10" s="402">
        <f t="shared" si="6"/>
        <v>2022</v>
      </c>
      <c r="O10" s="399">
        <f>AVERAGEIFS('Monthly Data'!AW:AW,'Monthly Data'!$B:$B,$B10)</f>
        <v>1037.25</v>
      </c>
      <c r="P10" s="400">
        <f t="shared" si="7"/>
        <v>0.98578386726329514</v>
      </c>
      <c r="Q10" s="400"/>
      <c r="R10" s="400"/>
      <c r="S10" s="408"/>
      <c r="T10" s="402">
        <f t="shared" si="8"/>
        <v>2022</v>
      </c>
      <c r="U10" s="399">
        <f>AVERAGEIFS('Monthly Data'!AX:AX,'Monthly Data'!$B:$B,$B10)</f>
        <v>5.4583333333333357</v>
      </c>
      <c r="V10" s="400">
        <f t="shared" si="9"/>
        <v>0.98496240601503848</v>
      </c>
      <c r="W10" s="400"/>
      <c r="X10" s="400"/>
      <c r="Y10" s="408"/>
      <c r="Z10" s="402">
        <f t="shared" si="10"/>
        <v>2022</v>
      </c>
      <c r="AA10" s="399">
        <f>AVERAGEIFS('Monthly Data'!AY:AY,'Monthly Data'!$B:$B,$B10)</f>
        <v>4</v>
      </c>
      <c r="AB10" s="400">
        <f t="shared" si="11"/>
        <v>1</v>
      </c>
      <c r="AC10" s="400"/>
      <c r="AD10" s="400"/>
      <c r="AE10" s="400"/>
      <c r="AF10" s="402">
        <f t="shared" si="12"/>
        <v>2022</v>
      </c>
      <c r="AG10" s="399">
        <f>AVERAGEIFS('Monthly Data'!AZ:AZ,'Monthly Data'!$B:$B,$B10)</f>
        <v>31795.041666666657</v>
      </c>
      <c r="AH10" s="400">
        <f t="shared" si="13"/>
        <v>1.0036577666710509</v>
      </c>
      <c r="AI10" s="408"/>
      <c r="AJ10" s="402">
        <f t="shared" si="14"/>
        <v>2022</v>
      </c>
      <c r="AK10" s="399">
        <f>AVERAGEIFS('Monthly Data'!BA:BA,'Monthly Data'!$B:$B,$B10)</f>
        <v>245.91666666666674</v>
      </c>
      <c r="AL10" s="400">
        <f t="shared" si="15"/>
        <v>0.98827863362357726</v>
      </c>
      <c r="AM10" s="408"/>
      <c r="AN10" s="402">
        <f t="shared" si="16"/>
        <v>2022</v>
      </c>
      <c r="AO10" s="399">
        <f>AVERAGEIFS('Monthly Data'!BB:BB,'Monthly Data'!$B:$B,$B10)</f>
        <v>800.83333333333303</v>
      </c>
      <c r="AP10" s="400">
        <f t="shared" si="17"/>
        <v>0.99901242268309121</v>
      </c>
      <c r="AQ10" s="411"/>
      <c r="AS10" s="402">
        <f t="shared" si="18"/>
        <v>2022</v>
      </c>
      <c r="AT10" s="399">
        <f>AVERAGEIFS('Monthly Data'!CG:CG,'Monthly Data'!$B:$B,$B10)</f>
        <v>44013.541666666686</v>
      </c>
      <c r="AU10" s="400">
        <f t="shared" si="19"/>
        <v>1.0260075042567187</v>
      </c>
      <c r="AV10" s="408"/>
      <c r="AW10" s="402">
        <f t="shared" si="20"/>
        <v>2022</v>
      </c>
      <c r="AX10" s="399">
        <f>AVERAGEIFS('Monthly Data'!CH:CH,'Monthly Data'!$B:$B,$B10)</f>
        <v>2383.5833333333326</v>
      </c>
      <c r="AY10" s="400">
        <f t="shared" si="21"/>
        <v>1.0244810974408565</v>
      </c>
      <c r="AZ10" s="408"/>
      <c r="BA10" s="402">
        <f t="shared" si="22"/>
        <v>2022</v>
      </c>
      <c r="BB10" s="399">
        <f>AVERAGEIFS('Monthly Data'!CI:CI,'Monthly Data'!$B:$B,$B10)</f>
        <v>386.33333333333348</v>
      </c>
      <c r="BC10" s="400">
        <f t="shared" si="23"/>
        <v>0.9883807696407636</v>
      </c>
      <c r="BD10" s="400"/>
      <c r="BE10" s="400"/>
      <c r="BF10" s="408"/>
      <c r="BG10" s="402">
        <f t="shared" si="24"/>
        <v>2022</v>
      </c>
      <c r="BH10" s="399">
        <f>AVERAGEIFS('Monthly Data'!CJ:CJ,'Monthly Data'!$B:$B,$B10)</f>
        <v>3</v>
      </c>
      <c r="BI10" s="400">
        <f t="shared" si="25"/>
        <v>1</v>
      </c>
      <c r="BJ10" s="400"/>
      <c r="BK10" s="400"/>
      <c r="BL10" s="408"/>
      <c r="BM10" s="402">
        <f t="shared" si="26"/>
        <v>2022</v>
      </c>
      <c r="BN10" s="399">
        <f>AVERAGEIFS('Monthly Data'!CK:CK,'Monthly Data'!$B:$B,$B10)</f>
        <v>13342.91666666667</v>
      </c>
      <c r="BO10" s="400">
        <f t="shared" si="27"/>
        <v>1.0245032328654928</v>
      </c>
      <c r="BP10" s="408"/>
      <c r="BQ10" s="402">
        <f t="shared" si="28"/>
        <v>2022</v>
      </c>
      <c r="BR10" s="399">
        <f>AVERAGEIFS('Monthly Data'!CL:CL,'Monthly Data'!$B:$B,$B10)</f>
        <v>46.458333333333314</v>
      </c>
      <c r="BS10" s="400">
        <f t="shared" si="29"/>
        <v>1.0952848722986239</v>
      </c>
      <c r="BT10" s="400"/>
      <c r="BU10" s="402">
        <f t="shared" si="30"/>
        <v>2022</v>
      </c>
      <c r="BV10" s="399">
        <f>AVERAGEIFS('Monthly Data'!CM:CM,'Monthly Data'!$B:$B,$B10)</f>
        <v>393.08333333333348</v>
      </c>
      <c r="BW10" s="400">
        <f t="shared" si="31"/>
        <v>1.0039374268383534</v>
      </c>
      <c r="CI10" s="9"/>
    </row>
    <row r="11" spans="1:87" s="420" customFormat="1">
      <c r="B11" s="402">
        <f t="shared" si="0"/>
        <v>2023</v>
      </c>
      <c r="C11" s="399">
        <f>AVERAGEIFS('Monthly Data'!AT:AT,'Monthly Data'!$B:$B,$B11)</f>
        <v>115689.125</v>
      </c>
      <c r="D11" s="400">
        <f t="shared" si="1"/>
        <v>1.0133871803668799</v>
      </c>
      <c r="E11" s="408"/>
      <c r="F11" s="402">
        <f t="shared" si="2"/>
        <v>2023</v>
      </c>
      <c r="G11" s="399">
        <f>AVERAGEIFS('Monthly Data'!AU:AU,'Monthly Data'!$B:$B,$B11)</f>
        <v>1562.625</v>
      </c>
      <c r="H11" s="400">
        <f t="shared" si="3"/>
        <v>1.0022180652057726</v>
      </c>
      <c r="I11" s="408"/>
      <c r="J11" s="402">
        <f t="shared" si="4"/>
        <v>2023</v>
      </c>
      <c r="K11" s="399">
        <f>AVERAGEIFS('Monthly Data'!AV:AV,'Monthly Data'!$B:$B,$B11)</f>
        <v>9487.375</v>
      </c>
      <c r="L11" s="400">
        <f t="shared" si="5"/>
        <v>1.0078789998096649</v>
      </c>
      <c r="M11" s="408"/>
      <c r="N11" s="402">
        <f t="shared" si="6"/>
        <v>2023</v>
      </c>
      <c r="O11" s="399">
        <f>AVERAGEIFS('Monthly Data'!AW:AW,'Monthly Data'!$B:$B,$B11)</f>
        <v>1030.4583333333335</v>
      </c>
      <c r="P11" s="400">
        <f t="shared" si="7"/>
        <v>0.99345223748694478</v>
      </c>
      <c r="Q11" s="400"/>
      <c r="R11" s="400"/>
      <c r="S11" s="408"/>
      <c r="T11" s="402">
        <f t="shared" si="8"/>
        <v>2023</v>
      </c>
      <c r="U11" s="399">
        <f>AVERAGEIFS('Monthly Data'!AX:AX,'Monthly Data'!$B:$B,$B11)</f>
        <v>5</v>
      </c>
      <c r="V11" s="400">
        <f t="shared" si="9"/>
        <v>0.91603053435114468</v>
      </c>
      <c r="W11" s="400"/>
      <c r="X11" s="400"/>
      <c r="Y11" s="408"/>
      <c r="Z11" s="402">
        <f t="shared" si="10"/>
        <v>2023</v>
      </c>
      <c r="AA11" s="399">
        <f>AVERAGEIFS('Monthly Data'!AY:AY,'Monthly Data'!$B:$B,$B11)</f>
        <v>4.5416666666666652</v>
      </c>
      <c r="AB11" s="400">
        <f t="shared" si="11"/>
        <v>1.1354166666666663</v>
      </c>
      <c r="AC11" s="400"/>
      <c r="AD11" s="400"/>
      <c r="AE11" s="400"/>
      <c r="AF11" s="402">
        <f t="shared" si="12"/>
        <v>2023</v>
      </c>
      <c r="AG11" s="399">
        <f>AVERAGEIFS('Monthly Data'!AZ:AZ,'Monthly Data'!$B:$B,$B11)</f>
        <v>32131.541666666657</v>
      </c>
      <c r="AH11" s="400">
        <f t="shared" si="13"/>
        <v>1.0105834111975007</v>
      </c>
      <c r="AI11" s="408"/>
      <c r="AJ11" s="402">
        <f t="shared" si="14"/>
        <v>2023</v>
      </c>
      <c r="AK11" s="399">
        <f>AVERAGEIFS('Monthly Data'!BA:BA,'Monthly Data'!$B:$B,$B11)</f>
        <v>242.83333333333326</v>
      </c>
      <c r="AL11" s="400">
        <f t="shared" si="15"/>
        <v>0.98746187732971813</v>
      </c>
      <c r="AM11" s="408"/>
      <c r="AN11" s="402">
        <f t="shared" si="16"/>
        <v>2023</v>
      </c>
      <c r="AO11" s="399">
        <f>AVERAGEIFS('Monthly Data'!BB:BB,'Monthly Data'!$B:$B,$B11)</f>
        <v>797.91666666666697</v>
      </c>
      <c r="AP11" s="400">
        <f t="shared" si="17"/>
        <v>0.99635796045785718</v>
      </c>
      <c r="AQ11" s="411"/>
      <c r="AS11" s="402">
        <f t="shared" si="18"/>
        <v>2023</v>
      </c>
      <c r="AT11" s="399">
        <f>AVERAGEIFS('Monthly Data'!CG:CG,'Monthly Data'!$B:$B,$B11)</f>
        <v>44945.416666666686</v>
      </c>
      <c r="AU11" s="400">
        <f t="shared" ref="AU11:AU12" si="32">AT11/AT10</f>
        <v>1.0211724611270205</v>
      </c>
      <c r="AV11" s="408"/>
      <c r="AW11" s="402">
        <f t="shared" si="20"/>
        <v>2023</v>
      </c>
      <c r="AX11" s="399">
        <f>AVERAGEIFS('Monthly Data'!CH:CH,'Monthly Data'!$B:$B,$B11)</f>
        <v>2435.2916666666674</v>
      </c>
      <c r="AY11" s="400">
        <f t="shared" ref="AY11:AY12" si="33">AX11/AX10</f>
        <v>1.0216935286508415</v>
      </c>
      <c r="AZ11" s="408"/>
      <c r="BA11" s="402">
        <f t="shared" si="22"/>
        <v>2023</v>
      </c>
      <c r="BB11" s="399">
        <f>AVERAGEIFS('Monthly Data'!CI:CI,'Monthly Data'!$B:$B,$B11)</f>
        <v>383.33333333333348</v>
      </c>
      <c r="BC11" s="400">
        <f t="shared" ref="BC11:BC12" si="34">BB11/BB10</f>
        <v>0.99223468507333912</v>
      </c>
      <c r="BD11" s="400"/>
      <c r="BE11" s="400"/>
      <c r="BF11" s="408"/>
      <c r="BG11" s="402">
        <f t="shared" si="24"/>
        <v>2023</v>
      </c>
      <c r="BH11" s="399">
        <f>AVERAGEIFS('Monthly Data'!CJ:CJ,'Monthly Data'!$B:$B,$B11)</f>
        <v>3</v>
      </c>
      <c r="BI11" s="400">
        <f t="shared" ref="BI11:BI12" si="35">BH11/BH10</f>
        <v>1</v>
      </c>
      <c r="BJ11" s="400"/>
      <c r="BK11" s="400"/>
      <c r="BL11" s="408"/>
      <c r="BM11" s="402">
        <f t="shared" si="26"/>
        <v>2023</v>
      </c>
      <c r="BN11" s="399">
        <f>AVERAGEIFS('Monthly Data'!CK:CK,'Monthly Data'!$B:$B,$B11)</f>
        <v>13555.45833333333</v>
      </c>
      <c r="BO11" s="400">
        <f t="shared" ref="BO11:BO12" si="36">BN11/BN10</f>
        <v>1.0159291759048179</v>
      </c>
      <c r="BP11" s="408"/>
      <c r="BQ11" s="402">
        <f t="shared" si="28"/>
        <v>2023</v>
      </c>
      <c r="BR11" s="399">
        <f>AVERAGEIFS('Monthly Data'!CL:CL,'Monthly Data'!$B:$B,$B11)</f>
        <v>46</v>
      </c>
      <c r="BS11" s="400">
        <f t="shared" ref="BS11:BS12" si="37">BR11/BR10</f>
        <v>0.9901345291479825</v>
      </c>
      <c r="BT11" s="400"/>
      <c r="BU11" s="402">
        <f t="shared" ref="BU11:BU12" si="38">BG11</f>
        <v>2023</v>
      </c>
      <c r="BV11" s="399">
        <f>AVERAGEIFS('Monthly Data'!CM:CM,'Monthly Data'!$B:$B,$B11)</f>
        <v>400.5</v>
      </c>
      <c r="BW11" s="400">
        <f t="shared" ref="BW11:BW12" si="39">BV11/BV10</f>
        <v>1.0188679245283014</v>
      </c>
      <c r="CI11" s="9"/>
    </row>
    <row r="12" spans="1:87">
      <c r="B12" s="402">
        <f t="shared" si="0"/>
        <v>2024</v>
      </c>
      <c r="C12" s="399">
        <f>AVERAGEIFS('Monthly Data'!AT:AT,'Monthly Data'!$B:$B,$B12)</f>
        <v>117456.375</v>
      </c>
      <c r="D12" s="400">
        <f t="shared" si="1"/>
        <v>1.0152758524191448</v>
      </c>
      <c r="E12" s="408"/>
      <c r="F12" s="402">
        <f t="shared" si="2"/>
        <v>2024</v>
      </c>
      <c r="G12" s="399">
        <f>AVERAGEIFS('Monthly Data'!AU:AU,'Monthly Data'!$B:$B,$B12)</f>
        <v>1561.8333333333339</v>
      </c>
      <c r="H12" s="400">
        <f t="shared" ref="H12" si="40">G12/G11</f>
        <v>0.99949337386342463</v>
      </c>
      <c r="I12" s="408"/>
      <c r="J12" s="402">
        <f t="shared" si="4"/>
        <v>2024</v>
      </c>
      <c r="K12" s="399">
        <f>AVERAGEIFS('Monthly Data'!AV:AV,'Monthly Data'!$B:$B,$B12)</f>
        <v>9501.875</v>
      </c>
      <c r="L12" s="400">
        <f t="shared" ref="L12" si="41">K12/K11</f>
        <v>1.0015283468820406</v>
      </c>
      <c r="M12" s="408"/>
      <c r="N12" s="402">
        <f t="shared" si="6"/>
        <v>2024</v>
      </c>
      <c r="O12" s="399">
        <f>AVERAGEIFS('Monthly Data'!AW:AW,'Monthly Data'!$B:$B,$B12)</f>
        <v>1059.4166666666663</v>
      </c>
      <c r="P12" s="400">
        <f t="shared" ref="P12:P13" si="42">O12/O11</f>
        <v>1.0281023816262984</v>
      </c>
      <c r="Q12" s="400"/>
      <c r="R12" s="400"/>
      <c r="S12" s="408"/>
      <c r="T12" s="402">
        <f t="shared" si="8"/>
        <v>2024</v>
      </c>
      <c r="U12" s="399">
        <f>AVERAGEIFS('Monthly Data'!AX:AX,'Monthly Data'!$B:$B,$B12)</f>
        <v>5</v>
      </c>
      <c r="V12" s="400">
        <f t="shared" ref="V12:V13" si="43">U12/U11</f>
        <v>1</v>
      </c>
      <c r="W12" s="400"/>
      <c r="X12" s="400"/>
      <c r="Y12" s="408"/>
      <c r="Z12" s="402">
        <f t="shared" si="10"/>
        <v>2024</v>
      </c>
      <c r="AA12" s="399">
        <f>AVERAGEIFS('Monthly Data'!AY:AY,'Monthly Data'!$B:$B,$B12)</f>
        <v>5</v>
      </c>
      <c r="AB12" s="400">
        <f t="shared" ref="AB12" si="44">AA12/AA11</f>
        <v>1.1009174311926608</v>
      </c>
      <c r="AC12" s="400"/>
      <c r="AD12" s="400"/>
      <c r="AE12" s="418"/>
      <c r="AF12" s="402">
        <f t="shared" ref="AF12" si="45">N12</f>
        <v>2024</v>
      </c>
      <c r="AG12" s="399">
        <f>AVERAGEIFS('Monthly Data'!AZ:AZ,'Monthly Data'!$B:$B,$B12)</f>
        <v>32717.416666666661</v>
      </c>
      <c r="AH12" s="400">
        <f t="shared" ref="AH12" si="46">AG12/AG11</f>
        <v>1.0182336411392234</v>
      </c>
      <c r="AI12" s="408"/>
      <c r="AJ12" s="402">
        <f t="shared" si="14"/>
        <v>2024</v>
      </c>
      <c r="AK12" s="399">
        <f>AVERAGEIFS('Monthly Data'!BA:BA,'Monthly Data'!$B:$B,$B12)</f>
        <v>238.29166666666674</v>
      </c>
      <c r="AL12" s="400">
        <f t="shared" ref="AL12:AL13" si="47">AK12/AK11</f>
        <v>0.98129718599862792</v>
      </c>
      <c r="AM12" s="408"/>
      <c r="AN12" s="402">
        <f t="shared" si="16"/>
        <v>2024</v>
      </c>
      <c r="AO12" s="399">
        <f>AVERAGEIFS('Monthly Data'!BB:BB,'Monthly Data'!$B:$B,$B12)</f>
        <v>769.91666666666697</v>
      </c>
      <c r="AP12" s="400">
        <f t="shared" ref="AP12:AP13" si="48">AO12/AO11</f>
        <v>0.96490861618798962</v>
      </c>
      <c r="AQ12" s="404"/>
      <c r="AS12" s="402">
        <f t="shared" si="18"/>
        <v>2024</v>
      </c>
      <c r="AT12" s="399">
        <f>AVERAGEIFS('Monthly Data'!CG:CG,'Monthly Data'!$B:$B,$B12)</f>
        <v>45520.625</v>
      </c>
      <c r="AU12" s="400">
        <f t="shared" si="32"/>
        <v>1.0127979308234984</v>
      </c>
      <c r="AV12" s="408"/>
      <c r="AW12" s="402">
        <f t="shared" si="20"/>
        <v>2024</v>
      </c>
      <c r="AX12" s="399">
        <f>AVERAGEIFS('Monthly Data'!CH:CH,'Monthly Data'!$B:$B,$B12)</f>
        <v>2464.75</v>
      </c>
      <c r="AY12" s="400">
        <f t="shared" si="33"/>
        <v>1.0120964292435879</v>
      </c>
      <c r="AZ12" s="408"/>
      <c r="BA12" s="402">
        <f t="shared" si="22"/>
        <v>2024</v>
      </c>
      <c r="BB12" s="399">
        <f>AVERAGEIFS('Monthly Data'!CI:CI,'Monthly Data'!$B:$B,$B12)</f>
        <v>388.625</v>
      </c>
      <c r="BC12" s="400">
        <f t="shared" si="34"/>
        <v>1.0138043478260865</v>
      </c>
      <c r="BD12" s="400"/>
      <c r="BE12" s="400"/>
      <c r="BF12" s="408"/>
      <c r="BG12" s="402">
        <f t="shared" si="24"/>
        <v>2024</v>
      </c>
      <c r="BH12" s="399">
        <f>AVERAGEIFS('Monthly Data'!CJ:CJ,'Monthly Data'!$B:$B,$B12)</f>
        <v>3</v>
      </c>
      <c r="BI12" s="400">
        <f t="shared" si="35"/>
        <v>1</v>
      </c>
      <c r="BJ12" s="400"/>
      <c r="BK12" s="400"/>
      <c r="BL12" s="408"/>
      <c r="BM12" s="402">
        <f t="shared" si="26"/>
        <v>2024</v>
      </c>
      <c r="BN12" s="399">
        <f>AVERAGEIFS('Monthly Data'!CK:CK,'Monthly Data'!$B:$B,$B12)</f>
        <v>13708</v>
      </c>
      <c r="BO12" s="400">
        <f t="shared" si="36"/>
        <v>1.0112531544795917</v>
      </c>
      <c r="BP12" s="408"/>
      <c r="BQ12" s="402">
        <f t="shared" si="28"/>
        <v>2024</v>
      </c>
      <c r="BR12" s="399">
        <f>AVERAGEIFS('Monthly Data'!CL:CL,'Monthly Data'!$B:$B,$B12)</f>
        <v>45.458333333333314</v>
      </c>
      <c r="BS12" s="400">
        <f t="shared" si="37"/>
        <v>0.98822463768115898</v>
      </c>
      <c r="BT12" s="400"/>
      <c r="BU12" s="402">
        <f t="shared" si="38"/>
        <v>2024</v>
      </c>
      <c r="BV12" s="399">
        <f>AVERAGEIFS('Monthly Data'!CM:CM,'Monthly Data'!$B:$B,$B12)</f>
        <v>396.25</v>
      </c>
      <c r="BW12" s="400">
        <f t="shared" si="39"/>
        <v>0.98938826466916352</v>
      </c>
    </row>
    <row r="13" spans="1:87">
      <c r="B13" s="402">
        <f t="shared" si="0"/>
        <v>2025</v>
      </c>
      <c r="C13" s="399">
        <f>AVERAGEIFS('Monthly Data'!AT:AT,'Monthly Data'!$B:$B,$B13)</f>
        <v>118908.83333333337</v>
      </c>
      <c r="D13" s="400">
        <f t="shared" ref="D13" si="49">C13/C12</f>
        <v>1.0123659387013551</v>
      </c>
      <c r="E13" s="533"/>
      <c r="F13" s="402">
        <f t="shared" si="2"/>
        <v>2025</v>
      </c>
      <c r="G13" s="399">
        <f>AVERAGEIFS('Monthly Data'!AU:AU,'Monthly Data'!$B:$B,$B13)</f>
        <v>1553.5</v>
      </c>
      <c r="H13" s="400">
        <f t="shared" ref="H13" si="50">G13/G12</f>
        <v>0.99466439013979258</v>
      </c>
      <c r="I13" s="401"/>
      <c r="J13" s="402">
        <f t="shared" si="4"/>
        <v>2025</v>
      </c>
      <c r="K13" s="399">
        <f>AVERAGEIFS('Monthly Data'!AV:AV,'Monthly Data'!$B:$B,$B13)</f>
        <v>9505.4583333333303</v>
      </c>
      <c r="L13" s="400">
        <f t="shared" ref="L13" si="51">K13/K12</f>
        <v>1.0003771185511627</v>
      </c>
      <c r="M13" s="408"/>
      <c r="N13" s="402">
        <f t="shared" si="6"/>
        <v>2025</v>
      </c>
      <c r="O13" s="399">
        <f>AVERAGEIFS('Monthly Data'!AW:AW,'Monthly Data'!$B:$B,$B13)</f>
        <v>1088</v>
      </c>
      <c r="P13" s="400">
        <f t="shared" si="42"/>
        <v>1.026980256430426</v>
      </c>
      <c r="Q13" s="413"/>
      <c r="R13" s="407"/>
      <c r="S13" s="408"/>
      <c r="T13" s="402">
        <f t="shared" si="8"/>
        <v>2025</v>
      </c>
      <c r="U13" s="399">
        <f>AVERAGEIFS('Monthly Data'!AX:AX,'Monthly Data'!$B:$B,$B13)</f>
        <v>5</v>
      </c>
      <c r="V13" s="400">
        <f t="shared" si="43"/>
        <v>1</v>
      </c>
      <c r="W13" s="413"/>
      <c r="X13" s="407"/>
      <c r="Y13" s="408"/>
      <c r="Z13" s="402">
        <f t="shared" si="10"/>
        <v>2025</v>
      </c>
      <c r="AA13" s="399">
        <f>AVERAGEIFS('Monthly Data'!AY:AY,'Monthly Data'!$B:$B,$B13)</f>
        <v>5</v>
      </c>
      <c r="AB13" s="400">
        <f t="shared" ref="AB13" si="52">AA13/AA12</f>
        <v>1</v>
      </c>
      <c r="AC13" s="413"/>
      <c r="AD13" s="407"/>
      <c r="AE13" s="418"/>
      <c r="AF13" s="402">
        <f t="shared" ref="AF13" si="53">N13</f>
        <v>2025</v>
      </c>
      <c r="AG13" s="399">
        <f>AVERAGEIFS('Monthly Data'!AZ:AZ,'Monthly Data'!$B:$B,$B13)</f>
        <v>33148.291666666679</v>
      </c>
      <c r="AH13" s="400">
        <f t="shared" ref="AH13" si="54">AG13/AG12</f>
        <v>1.0131695911199188</v>
      </c>
      <c r="AI13" s="408"/>
      <c r="AJ13" s="402">
        <f t="shared" si="14"/>
        <v>2025</v>
      </c>
      <c r="AK13" s="399">
        <f>AVERAGEIFS('Monthly Data'!BA:BA,'Monthly Data'!$B:$B,$B13)</f>
        <v>231.125</v>
      </c>
      <c r="AL13" s="400">
        <f t="shared" si="47"/>
        <v>0.96992481203007486</v>
      </c>
      <c r="AN13" s="402">
        <f t="shared" si="16"/>
        <v>2025</v>
      </c>
      <c r="AO13" s="399">
        <f>AVERAGEIFS('Monthly Data'!BB:BB,'Monthly Data'!$B:$B,$B13)</f>
        <v>775.16666666666697</v>
      </c>
      <c r="AP13" s="400">
        <f t="shared" si="48"/>
        <v>1.0068189197965147</v>
      </c>
      <c r="AQ13" s="404"/>
      <c r="AS13" s="402">
        <f t="shared" si="18"/>
        <v>2025</v>
      </c>
      <c r="AT13" s="399">
        <f>AVERAGEIFS('Monthly Data'!CG:CG,'Monthly Data'!$B:$B,$B13)</f>
        <v>45869</v>
      </c>
      <c r="AU13" s="400">
        <f t="shared" ref="AU13" si="55">AT13/AT12</f>
        <v>1.0076531242705917</v>
      </c>
      <c r="AV13" s="401"/>
      <c r="AW13" s="402">
        <f t="shared" si="20"/>
        <v>2025</v>
      </c>
      <c r="AX13" s="399">
        <f>AVERAGEIFS('Monthly Data'!CH:CH,'Monthly Data'!$B:$B,$B13)</f>
        <v>2473</v>
      </c>
      <c r="AY13" s="400">
        <f t="shared" ref="AY13" si="56">AX13/AX12</f>
        <v>1.0033471954559285</v>
      </c>
      <c r="AZ13" s="408"/>
      <c r="BA13" s="402">
        <f t="shared" si="22"/>
        <v>2025</v>
      </c>
      <c r="BB13" s="399">
        <f>AVERAGEIFS('Monthly Data'!CI:CI,'Monthly Data'!$B:$B,$B13)</f>
        <v>396.5</v>
      </c>
      <c r="BC13" s="400">
        <f t="shared" ref="BC13" si="57">BB13/BB12</f>
        <v>1.0202637504020586</v>
      </c>
      <c r="BD13" s="413"/>
      <c r="BE13" s="407"/>
      <c r="BF13" s="408"/>
      <c r="BG13" s="402">
        <f t="shared" si="24"/>
        <v>2025</v>
      </c>
      <c r="BH13" s="399">
        <f>AVERAGEIFS('Monthly Data'!CJ:CJ,'Monthly Data'!$B:$B,$B13)</f>
        <v>3</v>
      </c>
      <c r="BI13" s="400">
        <f t="shared" ref="BI13" si="58">BH13/BH12</f>
        <v>1</v>
      </c>
      <c r="BJ13" s="413"/>
      <c r="BK13" s="407"/>
      <c r="BL13" s="408"/>
      <c r="BM13" s="402">
        <f t="shared" si="26"/>
        <v>2025</v>
      </c>
      <c r="BN13" s="399">
        <f>AVERAGEIFS('Monthly Data'!CK:CK,'Monthly Data'!$B:$B,$B13)</f>
        <v>13854.54166666667</v>
      </c>
      <c r="BO13" s="400">
        <f t="shared" ref="BO13" si="59">BN13/BN12</f>
        <v>1.0106902295496549</v>
      </c>
      <c r="BP13" s="408"/>
      <c r="BQ13" s="402">
        <f t="shared" si="28"/>
        <v>2025</v>
      </c>
      <c r="BR13" s="399">
        <f>AVERAGEIFS('Monthly Data'!CL:CL,'Monthly Data'!$B:$B,$B13)</f>
        <v>44.458333333333314</v>
      </c>
      <c r="BS13" s="400">
        <f t="shared" ref="BS13" si="60">BR13/BR12</f>
        <v>0.97800183318056833</v>
      </c>
      <c r="BT13" s="418"/>
      <c r="BU13" s="402">
        <f t="shared" ref="BU13" si="61">BG13</f>
        <v>2025</v>
      </c>
      <c r="BV13" s="399">
        <f>AVERAGEIFS('Monthly Data'!CM:CM,'Monthly Data'!$B:$B,$B13)</f>
        <v>390.16666666666652</v>
      </c>
      <c r="BW13" s="400">
        <f t="shared" ref="BW13" si="62">BV13/BV12</f>
        <v>0.98464773922187132</v>
      </c>
    </row>
    <row r="14" spans="1:87">
      <c r="B14" s="408">
        <f t="shared" si="0"/>
        <v>2026</v>
      </c>
      <c r="C14" s="403">
        <f ca="1">C13*D14</f>
        <v>120549.84671692953</v>
      </c>
      <c r="D14" s="405">
        <f ca="1">AVERAGE(1+OFFSET('Additional Growth'!$I$27,0,ROW()-ROW($D$13)),GEOMEAN($D$5:$D$13),'Additional Growth'!G41)</f>
        <v>1.0138006011630436</v>
      </c>
      <c r="E14" s="591"/>
      <c r="F14" s="408">
        <f t="shared" ref="F14:F19" si="63">F13+1</f>
        <v>2026</v>
      </c>
      <c r="G14" s="403">
        <f>G13*H14</f>
        <v>1549.9573994549814</v>
      </c>
      <c r="H14" s="405">
        <f>GEOMEAN($H$5:$H$13)</f>
        <v>0.99771960055035824</v>
      </c>
      <c r="I14" s="401"/>
      <c r="J14" s="408">
        <f t="shared" ref="J14:J19" si="64">J13+1</f>
        <v>2026</v>
      </c>
      <c r="K14" s="403">
        <f>K13*L14</f>
        <v>9568.8600587040273</v>
      </c>
      <c r="L14" s="418">
        <f>GEOMEAN(L5:L13)</f>
        <v>1.0066700334846941</v>
      </c>
      <c r="M14" s="408"/>
      <c r="N14" s="408">
        <f t="shared" ref="N14:N19" si="65">N13+1</f>
        <v>2026</v>
      </c>
      <c r="O14" s="406">
        <f t="shared" ref="O14:O19" si="66">O13*P14</f>
        <v>1091.6100978431068</v>
      </c>
      <c r="P14" s="418">
        <f>GEOMEAN(P5:P13)</f>
        <v>1.0033181046352084</v>
      </c>
      <c r="Q14" s="413">
        <v>7.5</v>
      </c>
      <c r="R14" s="407">
        <f>O14+SUM($Q$14:Q14)-Q14/2</f>
        <v>1095.3600978431068</v>
      </c>
      <c r="S14" s="408"/>
      <c r="T14" s="408">
        <f t="shared" ref="T14:T19" si="67">T13+1</f>
        <v>2026</v>
      </c>
      <c r="U14" s="406">
        <f>U13</f>
        <v>5</v>
      </c>
      <c r="V14" s="418">
        <f t="shared" ref="V14:V19" si="68">U14/U13</f>
        <v>1</v>
      </c>
      <c r="W14" s="413">
        <v>2.5</v>
      </c>
      <c r="X14" s="407">
        <f>U14+SUM($W$14:W14)-W14/2</f>
        <v>6.25</v>
      </c>
      <c r="Y14" s="408"/>
      <c r="Z14" s="408">
        <f t="shared" ref="Z14:Z19" si="69">Z13+1</f>
        <v>2026</v>
      </c>
      <c r="AA14" s="406">
        <f t="shared" ref="AA14:AA19" si="70">AA13</f>
        <v>5</v>
      </c>
      <c r="AB14" s="418">
        <f t="shared" ref="AB14:AB19" si="71">AA14/AA13</f>
        <v>1</v>
      </c>
      <c r="AC14" s="413">
        <v>0.375</v>
      </c>
      <c r="AD14" s="407">
        <f>AA14+SUM($AC$14:AC14)-AC14/2</f>
        <v>5.1875</v>
      </c>
      <c r="AE14" s="418"/>
      <c r="AF14" s="408">
        <f t="shared" ref="AF14:AF19" si="72">AF13+1</f>
        <v>2026</v>
      </c>
      <c r="AG14" s="403">
        <f>AG13*AH14</f>
        <v>33514.076725497005</v>
      </c>
      <c r="AH14" s="418">
        <f>GEOMEAN(AH5:AH13)</f>
        <v>1.0110348087469663</v>
      </c>
      <c r="AI14" s="408"/>
      <c r="AJ14" s="408">
        <f t="shared" ref="AJ14:AJ19" si="73">AJ13+1</f>
        <v>2026</v>
      </c>
      <c r="AK14" s="403">
        <f>AK13*AL14</f>
        <v>226.60302622442222</v>
      </c>
      <c r="AL14" s="405">
        <f>GEOMEAN(AL9:AL13)</f>
        <v>0.98043494310188084</v>
      </c>
      <c r="AN14" s="408">
        <f t="shared" ref="AN14:AN19" si="74">AN13+1</f>
        <v>2026</v>
      </c>
      <c r="AO14" s="403">
        <f>AVERAGE(AO57:AO68)</f>
        <v>795.29655282409192</v>
      </c>
      <c r="AP14" s="418">
        <f>GEOMEAN(AP5:AP13)</f>
        <v>0.99145409273288365</v>
      </c>
      <c r="AQ14" s="404"/>
      <c r="AS14" s="408">
        <f t="shared" si="18"/>
        <v>2026</v>
      </c>
      <c r="AT14" s="403">
        <f t="shared" ref="AT14:AT19" ca="1" si="75">AT13*AU14</f>
        <v>46497.492198288273</v>
      </c>
      <c r="AU14" s="405">
        <f ca="1">AVERAGE(1+OFFSET('Additional Growth'!$I$29,0,ROW()-ROW($D$13)),GEOMEAN($AU$5:$AU$13),'Additional Growth'!G41)</f>
        <v>1.0137018944883969</v>
      </c>
      <c r="AV14" s="591"/>
      <c r="AW14" s="408">
        <f t="shared" ref="AW14:AW19" si="76">AW13+1</f>
        <v>2026</v>
      </c>
      <c r="AX14" s="403">
        <f>AX13*AY14</f>
        <v>2505.1989668447673</v>
      </c>
      <c r="AY14" s="418">
        <f>GEOMEAN(AY5:AY13)</f>
        <v>1.0130202049513819</v>
      </c>
      <c r="AZ14" s="408"/>
      <c r="BA14" s="408">
        <f t="shared" ref="BA14:BA19" si="77">BA13+1</f>
        <v>2026</v>
      </c>
      <c r="BB14" s="406">
        <f>BB13*BC14</f>
        <v>399.91070322198391</v>
      </c>
      <c r="BC14" s="418">
        <f>GEOMEAN(BC5:BC13)</f>
        <v>1.0086020257805395</v>
      </c>
      <c r="BD14" s="423">
        <v>6.45</v>
      </c>
      <c r="BE14" s="403">
        <f>BB14+SUM(BD$14:BD14)-BD14/2</f>
        <v>403.13570322198387</v>
      </c>
      <c r="BF14" s="408"/>
      <c r="BG14" s="408">
        <f t="shared" ref="BG14:BG19" si="78">BG13+1</f>
        <v>2026</v>
      </c>
      <c r="BH14" s="406">
        <f t="shared" ref="BH14:BH19" si="79">BH13*BI14</f>
        <v>3</v>
      </c>
      <c r="BI14" s="418">
        <f>BI13</f>
        <v>1</v>
      </c>
      <c r="BJ14" s="423">
        <v>2.125</v>
      </c>
      <c r="BK14" s="403">
        <f>BH14+SUM(BJ$14:BJ14)-BJ14/2</f>
        <v>4.0625</v>
      </c>
      <c r="BL14" s="408"/>
      <c r="BM14" s="408">
        <f t="shared" ref="BM14:BM19" si="80">BM13+1</f>
        <v>2026</v>
      </c>
      <c r="BN14" s="403">
        <f>BN13*BO14</f>
        <v>14096.25265098176</v>
      </c>
      <c r="BO14" s="418">
        <f>GEOMEAN(BO5:BO13)</f>
        <v>1.0174463356587706</v>
      </c>
      <c r="BP14" s="408"/>
      <c r="BQ14" s="408">
        <f t="shared" ref="BQ14:BQ19" si="81">BQ13+1</f>
        <v>2026</v>
      </c>
      <c r="BR14" s="403">
        <f>BR13*BS14</f>
        <v>45.11013533333908</v>
      </c>
      <c r="BS14" s="418">
        <f>GEOMEAN(BS5:BS13)</f>
        <v>1.014660963449052</v>
      </c>
      <c r="BT14" s="418"/>
      <c r="BU14" s="408">
        <f t="shared" ref="BU14:BU19" si="82">BU13+1</f>
        <v>2026</v>
      </c>
      <c r="BV14" s="403">
        <f>BV13*BW14</f>
        <v>392.21477425243933</v>
      </c>
      <c r="BW14" s="418">
        <f>GEOMEAN(BW5:BW13)</f>
        <v>1.0052493146153938</v>
      </c>
    </row>
    <row r="15" spans="1:87">
      <c r="A15" s="10"/>
      <c r="B15" s="408">
        <f t="shared" si="0"/>
        <v>2027</v>
      </c>
      <c r="C15" s="403">
        <f t="shared" ref="C15:C18" ca="1" si="83">C14*D15</f>
        <v>122282.04983393001</v>
      </c>
      <c r="D15" s="405">
        <f ca="1">AVERAGE(1+OFFSET('Additional Growth'!$I$27,0,ROW()-ROW($D$13)),GEOMEAN($D$5:$D$13),'Additional Growth'!G42)</f>
        <v>1.0143691855624501</v>
      </c>
      <c r="E15" s="533"/>
      <c r="F15" s="408">
        <f t="shared" si="63"/>
        <v>2027</v>
      </c>
      <c r="G15" s="403">
        <f t="shared" ref="G15:G18" si="84">G14*H15</f>
        <v>1546.4228774542962</v>
      </c>
      <c r="H15" s="405">
        <f t="shared" ref="H15:H19" si="85">GEOMEAN($H$4:$H$13)</f>
        <v>0.99771960055035824</v>
      </c>
      <c r="I15" s="401"/>
      <c r="J15" s="408">
        <f t="shared" si="64"/>
        <v>2027</v>
      </c>
      <c r="K15" s="403">
        <f>K14*L15</f>
        <v>9632.6846757059357</v>
      </c>
      <c r="L15" s="418">
        <f t="shared" ref="L15:L18" si="86">L14</f>
        <v>1.0066700334846941</v>
      </c>
      <c r="M15" s="408"/>
      <c r="N15" s="408">
        <f t="shared" si="65"/>
        <v>2027</v>
      </c>
      <c r="O15" s="406">
        <f t="shared" si="66"/>
        <v>1095.2321743686005</v>
      </c>
      <c r="P15" s="418">
        <f t="shared" ref="P15:P18" si="87">P14</f>
        <v>1.0033181046352084</v>
      </c>
      <c r="Q15" s="413">
        <v>2.6</v>
      </c>
      <c r="R15" s="407">
        <f>O15+SUM($Q$14:Q15)-Q15/2</f>
        <v>1104.0321743686004</v>
      </c>
      <c r="S15" s="408"/>
      <c r="T15" s="408">
        <f t="shared" si="67"/>
        <v>2027</v>
      </c>
      <c r="U15" s="406">
        <f t="shared" ref="U15:U19" si="88">U14</f>
        <v>5</v>
      </c>
      <c r="V15" s="418">
        <f t="shared" si="68"/>
        <v>1</v>
      </c>
      <c r="W15" s="413">
        <v>1.1000000000000001</v>
      </c>
      <c r="X15" s="407">
        <f>U15+SUM($W$14:W15)-W15/2</f>
        <v>8.0499999999999989</v>
      </c>
      <c r="Y15" s="408"/>
      <c r="Z15" s="408">
        <f t="shared" si="69"/>
        <v>2027</v>
      </c>
      <c r="AA15" s="406">
        <f t="shared" si="70"/>
        <v>5</v>
      </c>
      <c r="AB15" s="418">
        <f t="shared" si="71"/>
        <v>1</v>
      </c>
      <c r="AC15" s="413">
        <v>0.5</v>
      </c>
      <c r="AD15" s="407">
        <f>AA15+SUM($AC$14:AC15)-AC15/2</f>
        <v>5.625</v>
      </c>
      <c r="AE15" s="418"/>
      <c r="AF15" s="408">
        <f t="shared" si="72"/>
        <v>2027</v>
      </c>
      <c r="AG15" s="403">
        <f t="shared" ref="AG15:AG18" si="89">AG14*AH15</f>
        <v>33883.898152494017</v>
      </c>
      <c r="AH15" s="418">
        <f t="shared" ref="AH15:AH18" si="90">AH14</f>
        <v>1.0110348087469663</v>
      </c>
      <c r="AI15" s="408"/>
      <c r="AJ15" s="408">
        <f t="shared" si="73"/>
        <v>2027</v>
      </c>
      <c r="AK15" s="403">
        <f t="shared" ref="AK15:AK18" si="91">AK14*AL15</f>
        <v>222.16952512305542</v>
      </c>
      <c r="AL15" s="418">
        <f t="shared" ref="AL15:AL18" si="92">AL14</f>
        <v>0.98043494310188084</v>
      </c>
      <c r="AN15" s="408">
        <f t="shared" si="74"/>
        <v>2027</v>
      </c>
      <c r="AO15" s="403">
        <f t="shared" ref="AO15:AO18" si="93">AO14*AP15</f>
        <v>788.50002223379988</v>
      </c>
      <c r="AP15" s="418">
        <f t="shared" ref="AP15:AP18" si="94">AP14</f>
        <v>0.99145409273288365</v>
      </c>
      <c r="AQ15" s="404"/>
      <c r="AR15" s="10"/>
      <c r="AS15" s="408">
        <f t="shared" si="18"/>
        <v>2027</v>
      </c>
      <c r="AT15" s="403">
        <f t="shared" ca="1" si="75"/>
        <v>47176.766343092844</v>
      </c>
      <c r="AU15" s="405">
        <f ca="1">AVERAGE(1+OFFSET('Additional Growth'!$I$29,0,ROW()-ROW($D$13)),GEOMEAN($AU$5:$AU$13),'Additional Growth'!G42)</f>
        <v>1.014608833997064</v>
      </c>
      <c r="AV15" s="401"/>
      <c r="AW15" s="408">
        <f t="shared" si="76"/>
        <v>2027</v>
      </c>
      <c r="AX15" s="403">
        <f t="shared" ref="AX15:AX18" si="95">AX14*AY15</f>
        <v>2537.8171708370764</v>
      </c>
      <c r="AY15" s="418">
        <f t="shared" ref="AY15:AY18" si="96">AY14</f>
        <v>1.0130202049513819</v>
      </c>
      <c r="AZ15" s="408"/>
      <c r="BA15" s="408">
        <f t="shared" si="77"/>
        <v>2027</v>
      </c>
      <c r="BB15" s="406">
        <f t="shared" ref="BB15:BB19" si="97">BB14*BC15</f>
        <v>403.35074540101311</v>
      </c>
      <c r="BC15" s="418">
        <f t="shared" ref="BC15:BC18" si="98">BC14</f>
        <v>1.0086020257805395</v>
      </c>
      <c r="BD15" s="423">
        <v>3.875</v>
      </c>
      <c r="BE15" s="403">
        <f>BB15+SUM(BD$14:BD15)-BD15/2</f>
        <v>411.7382454010131</v>
      </c>
      <c r="BF15" s="408"/>
      <c r="BG15" s="408">
        <f t="shared" si="78"/>
        <v>2027</v>
      </c>
      <c r="BH15" s="406">
        <f t="shared" si="79"/>
        <v>3</v>
      </c>
      <c r="BI15" s="418">
        <f t="shared" ref="BI15:BI19" si="99">BI14</f>
        <v>1</v>
      </c>
      <c r="BJ15" s="423">
        <v>0.75</v>
      </c>
      <c r="BK15" s="403">
        <f>BH15+SUM(BJ$14:BJ15)-BJ15/2</f>
        <v>5.5</v>
      </c>
      <c r="BL15" s="408"/>
      <c r="BM15" s="408">
        <f t="shared" si="80"/>
        <v>2027</v>
      </c>
      <c r="BN15" s="403">
        <f t="shared" ref="BN15:BN18" si="100">BN14*BO15</f>
        <v>14342.180606261623</v>
      </c>
      <c r="BO15" s="418">
        <f t="shared" ref="BO15:BO18" si="101">BO14</f>
        <v>1.0174463356587706</v>
      </c>
      <c r="BP15" s="408"/>
      <c r="BQ15" s="408">
        <f t="shared" si="81"/>
        <v>2027</v>
      </c>
      <c r="BR15" s="403">
        <f t="shared" ref="BR15:BR18" si="102">BR14*BS15</f>
        <v>45.771493378642951</v>
      </c>
      <c r="BS15" s="418">
        <f t="shared" ref="BS15:BS18" si="103">BS14</f>
        <v>1.014660963449052</v>
      </c>
      <c r="BT15" s="418"/>
      <c r="BU15" s="408">
        <f t="shared" si="82"/>
        <v>2027</v>
      </c>
      <c r="BV15" s="403">
        <f t="shared" ref="BV15:BV18" si="104">BV14*BW15</f>
        <v>394.27363299929601</v>
      </c>
      <c r="BW15" s="418">
        <f t="shared" ref="BW15:BW18" si="105">BW14</f>
        <v>1.0052493146153938</v>
      </c>
    </row>
    <row r="16" spans="1:87">
      <c r="A16" s="10"/>
      <c r="B16" s="408">
        <f t="shared" si="0"/>
        <v>2028</v>
      </c>
      <c r="C16" s="403">
        <f t="shared" ca="1" si="83"/>
        <v>124108.11114771535</v>
      </c>
      <c r="D16" s="405">
        <f ca="1">AVERAGE(1+OFFSET('Additional Growth'!$I$27,0,ROW()-ROW($D$13)),GEOMEAN($D$5:$D$13),'Additional Growth'!G43)</f>
        <v>1.0149331918811084</v>
      </c>
      <c r="E16" s="394"/>
      <c r="F16" s="408">
        <f t="shared" si="63"/>
        <v>2028</v>
      </c>
      <c r="G16" s="403">
        <f t="shared" si="84"/>
        <v>1542.896415575636</v>
      </c>
      <c r="H16" s="405">
        <f t="shared" si="85"/>
        <v>0.99771960055035824</v>
      </c>
      <c r="I16" s="408"/>
      <c r="J16" s="408">
        <f t="shared" si="64"/>
        <v>2028</v>
      </c>
      <c r="K16" s="403">
        <f>K15*L16</f>
        <v>9696.9350050403937</v>
      </c>
      <c r="L16" s="418">
        <f t="shared" si="86"/>
        <v>1.0066700334846941</v>
      </c>
      <c r="M16" s="408"/>
      <c r="N16" s="408">
        <f t="shared" si="65"/>
        <v>2028</v>
      </c>
      <c r="O16" s="406">
        <f t="shared" si="66"/>
        <v>1098.8662693230024</v>
      </c>
      <c r="P16" s="418">
        <f t="shared" si="87"/>
        <v>1.0033181046352084</v>
      </c>
      <c r="Q16" s="413">
        <v>0.9</v>
      </c>
      <c r="R16" s="407">
        <f>O16+SUM($Q$14:Q16)-Q16/2</f>
        <v>1109.4162693230023</v>
      </c>
      <c r="S16" s="408"/>
      <c r="T16" s="408">
        <f t="shared" si="67"/>
        <v>2028</v>
      </c>
      <c r="U16" s="406">
        <f t="shared" si="88"/>
        <v>5</v>
      </c>
      <c r="V16" s="418">
        <f t="shared" si="68"/>
        <v>1</v>
      </c>
      <c r="W16" s="413">
        <v>0.6</v>
      </c>
      <c r="X16" s="407">
        <f>U16+SUM($W$14:W16)-W16/2</f>
        <v>8.8999999999999986</v>
      </c>
      <c r="Y16" s="408"/>
      <c r="Z16" s="408">
        <f t="shared" si="69"/>
        <v>2028</v>
      </c>
      <c r="AA16" s="406">
        <f t="shared" si="70"/>
        <v>5</v>
      </c>
      <c r="AB16" s="418">
        <f t="shared" si="71"/>
        <v>1</v>
      </c>
      <c r="AC16" s="413">
        <v>0.125</v>
      </c>
      <c r="AD16" s="407">
        <f>AA16+SUM($AC$14:AC16)-AC16/2</f>
        <v>5.9375</v>
      </c>
      <c r="AE16" s="418"/>
      <c r="AF16" s="408">
        <f t="shared" si="72"/>
        <v>2028</v>
      </c>
      <c r="AG16" s="403">
        <f t="shared" si="89"/>
        <v>34257.800488208472</v>
      </c>
      <c r="AH16" s="418">
        <f t="shared" si="90"/>
        <v>1.0110348087469663</v>
      </c>
      <c r="AI16" s="408"/>
      <c r="AJ16" s="408">
        <f t="shared" si="73"/>
        <v>2028</v>
      </c>
      <c r="AK16" s="403">
        <f t="shared" si="91"/>
        <v>217.82276572299472</v>
      </c>
      <c r="AL16" s="418">
        <f t="shared" si="92"/>
        <v>0.98043494310188084</v>
      </c>
      <c r="AN16" s="408">
        <f t="shared" si="74"/>
        <v>2028</v>
      </c>
      <c r="AO16" s="403">
        <f t="shared" si="93"/>
        <v>781.76157416367062</v>
      </c>
      <c r="AP16" s="418">
        <f t="shared" si="94"/>
        <v>0.99145409273288365</v>
      </c>
      <c r="AQ16" s="404"/>
      <c r="AR16" s="10"/>
      <c r="AS16" s="408">
        <f t="shared" si="18"/>
        <v>2028</v>
      </c>
      <c r="AT16" s="403">
        <f t="shared" ca="1" si="75"/>
        <v>47930.479613112941</v>
      </c>
      <c r="AU16" s="405">
        <f ca="1">AVERAGE(1+OFFSET('Additional Growth'!$I$29,0,ROW()-ROW($D$13)),GEOMEAN($AU$5:$AU$13),'Additional Growth'!G43)</f>
        <v>1.0159763656656482</v>
      </c>
      <c r="AV16" s="408"/>
      <c r="AW16" s="408">
        <f t="shared" si="76"/>
        <v>2028</v>
      </c>
      <c r="AX16" s="403">
        <f t="shared" si="95"/>
        <v>2570.8600705305112</v>
      </c>
      <c r="AY16" s="418">
        <f t="shared" si="96"/>
        <v>1.0130202049513819</v>
      </c>
      <c r="AZ16" s="408"/>
      <c r="BA16" s="408">
        <f t="shared" si="77"/>
        <v>2028</v>
      </c>
      <c r="BB16" s="406">
        <f t="shared" si="97"/>
        <v>406.82037891155244</v>
      </c>
      <c r="BC16" s="418">
        <f t="shared" si="98"/>
        <v>1.0086020257805395</v>
      </c>
      <c r="BD16" s="423">
        <v>1.55</v>
      </c>
      <c r="BE16" s="403">
        <f>BB16+SUM(BD$14:BD16)-BD16/2</f>
        <v>417.92037891155246</v>
      </c>
      <c r="BF16" s="408"/>
      <c r="BG16" s="408">
        <f t="shared" si="78"/>
        <v>2028</v>
      </c>
      <c r="BH16" s="406">
        <f t="shared" si="79"/>
        <v>3</v>
      </c>
      <c r="BI16" s="418">
        <f t="shared" si="99"/>
        <v>1</v>
      </c>
      <c r="BJ16" s="423">
        <v>0.125</v>
      </c>
      <c r="BK16" s="403">
        <f>BH16+SUM(BJ$14:BJ16)-BJ16/2</f>
        <v>5.9375</v>
      </c>
      <c r="BL16" s="408"/>
      <c r="BM16" s="408">
        <f t="shared" si="80"/>
        <v>2028</v>
      </c>
      <c r="BN16" s="403">
        <f t="shared" si="100"/>
        <v>14592.399103197175</v>
      </c>
      <c r="BO16" s="418">
        <f t="shared" si="101"/>
        <v>1.0174463356587706</v>
      </c>
      <c r="BP16" s="408"/>
      <c r="BQ16" s="408">
        <f t="shared" si="81"/>
        <v>2028</v>
      </c>
      <c r="BR16" s="403">
        <f t="shared" si="102"/>
        <v>46.44254757007576</v>
      </c>
      <c r="BS16" s="418">
        <f t="shared" si="103"/>
        <v>1.014660963449052</v>
      </c>
      <c r="BT16" s="418"/>
      <c r="BU16" s="408">
        <f t="shared" si="82"/>
        <v>2028</v>
      </c>
      <c r="BV16" s="403">
        <f t="shared" si="104"/>
        <v>396.34329934346363</v>
      </c>
      <c r="BW16" s="418">
        <f t="shared" si="105"/>
        <v>1.0052493146153938</v>
      </c>
    </row>
    <row r="17" spans="1:86">
      <c r="A17" s="10"/>
      <c r="B17" s="408">
        <f t="shared" si="0"/>
        <v>2029</v>
      </c>
      <c r="C17" s="403">
        <f t="shared" ca="1" si="83"/>
        <v>126024.56251198032</v>
      </c>
      <c r="D17" s="405">
        <f ca="1">AVERAGE(1+OFFSET('Additional Growth'!$I$27,0,ROW()-ROW($D$13)),GEOMEAN($D$5:$D$13),'Additional Growth'!G44)</f>
        <v>1.0154417897955434</v>
      </c>
      <c r="E17" s="533"/>
      <c r="F17" s="408">
        <f t="shared" si="63"/>
        <v>2029</v>
      </c>
      <c r="G17" s="403">
        <f t="shared" si="84"/>
        <v>1539.377995438703</v>
      </c>
      <c r="H17" s="405">
        <f t="shared" si="85"/>
        <v>0.99771960055035824</v>
      </c>
      <c r="I17" s="408"/>
      <c r="J17" s="408">
        <f t="shared" si="64"/>
        <v>2029</v>
      </c>
      <c r="K17" s="403">
        <f t="shared" ref="K17:K18" si="106">K16*L17</f>
        <v>9761.6138862229145</v>
      </c>
      <c r="L17" s="418">
        <f t="shared" si="86"/>
        <v>1.0066700334846941</v>
      </c>
      <c r="M17" s="408"/>
      <c r="N17" s="408">
        <f t="shared" si="65"/>
        <v>2029</v>
      </c>
      <c r="O17" s="406">
        <f t="shared" si="66"/>
        <v>1102.5124225847171</v>
      </c>
      <c r="P17" s="418">
        <f t="shared" si="87"/>
        <v>1.0033181046352084</v>
      </c>
      <c r="Q17" s="413">
        <v>0.2</v>
      </c>
      <c r="R17" s="407">
        <f>O17+SUM($Q$14:Q17)-Q17/2</f>
        <v>1113.6124225847173</v>
      </c>
      <c r="S17" s="408"/>
      <c r="T17" s="408">
        <f t="shared" si="67"/>
        <v>2029</v>
      </c>
      <c r="U17" s="406">
        <f t="shared" si="88"/>
        <v>5</v>
      </c>
      <c r="V17" s="418">
        <f t="shared" si="68"/>
        <v>1</v>
      </c>
      <c r="W17" s="413">
        <v>0.1</v>
      </c>
      <c r="X17" s="407">
        <f>U17+SUM($W$14:W17)-W17/2</f>
        <v>9.25</v>
      </c>
      <c r="Y17" s="408"/>
      <c r="Z17" s="408">
        <f t="shared" si="69"/>
        <v>2029</v>
      </c>
      <c r="AA17" s="406">
        <f t="shared" si="70"/>
        <v>5</v>
      </c>
      <c r="AB17" s="418">
        <f t="shared" si="71"/>
        <v>1</v>
      </c>
      <c r="AC17" s="413">
        <v>0</v>
      </c>
      <c r="AD17" s="407">
        <f>AA17+SUM($AC$14:AC17)-AC17/2</f>
        <v>6</v>
      </c>
      <c r="AE17" s="418"/>
      <c r="AF17" s="408">
        <f t="shared" si="72"/>
        <v>2029</v>
      </c>
      <c r="AG17" s="403">
        <f t="shared" si="89"/>
        <v>34635.828764687583</v>
      </c>
      <c r="AH17" s="418">
        <f t="shared" si="90"/>
        <v>1.0110348087469663</v>
      </c>
      <c r="AI17" s="408"/>
      <c r="AJ17" s="408">
        <f t="shared" si="73"/>
        <v>2029</v>
      </c>
      <c r="AK17" s="403">
        <f t="shared" si="91"/>
        <v>213.56105091791864</v>
      </c>
      <c r="AL17" s="418">
        <f t="shared" si="92"/>
        <v>0.98043494310188084</v>
      </c>
      <c r="AN17" s="408">
        <f t="shared" si="74"/>
        <v>2029</v>
      </c>
      <c r="AO17" s="403">
        <f t="shared" si="93"/>
        <v>775.08071224587297</v>
      </c>
      <c r="AP17" s="418">
        <f t="shared" si="94"/>
        <v>0.99145409273288365</v>
      </c>
      <c r="AQ17" s="404"/>
      <c r="AR17" s="10"/>
      <c r="AS17" s="408">
        <f t="shared" si="18"/>
        <v>2029</v>
      </c>
      <c r="AT17" s="403">
        <f t="shared" ca="1" si="75"/>
        <v>48757.224403053908</v>
      </c>
      <c r="AU17" s="405">
        <f ca="1">AVERAGE(1+OFFSET('Additional Growth'!$I$29,0,ROW()-ROW($D$13)),GEOMEAN($AU$5:$AU$13),'Additional Growth'!G44)</f>
        <v>1.0172488319877939</v>
      </c>
      <c r="AV17" s="408"/>
      <c r="AW17" s="408">
        <f t="shared" si="76"/>
        <v>2029</v>
      </c>
      <c r="AX17" s="403">
        <f t="shared" si="95"/>
        <v>2604.3331955501426</v>
      </c>
      <c r="AY17" s="418">
        <f t="shared" si="96"/>
        <v>1.0130202049513819</v>
      </c>
      <c r="AZ17" s="408"/>
      <c r="BA17" s="408">
        <f t="shared" si="77"/>
        <v>2029</v>
      </c>
      <c r="BB17" s="406">
        <f t="shared" si="97"/>
        <v>410.31985829899844</v>
      </c>
      <c r="BC17" s="418">
        <f t="shared" si="98"/>
        <v>1.0086020257805395</v>
      </c>
      <c r="BD17" s="423">
        <v>1.075</v>
      </c>
      <c r="BE17" s="403">
        <f>BB17+SUM(BD$14:BD17)-BD17/2</f>
        <v>422.73235829899841</v>
      </c>
      <c r="BF17" s="408"/>
      <c r="BG17" s="408">
        <f t="shared" si="78"/>
        <v>2029</v>
      </c>
      <c r="BH17" s="406">
        <f t="shared" si="79"/>
        <v>3</v>
      </c>
      <c r="BI17" s="418">
        <f t="shared" si="99"/>
        <v>1</v>
      </c>
      <c r="BJ17" s="423">
        <v>0</v>
      </c>
      <c r="BK17" s="403">
        <f>BH17+SUM(BJ$14:BJ17)-BJ17/2</f>
        <v>6</v>
      </c>
      <c r="BL17" s="408"/>
      <c r="BM17" s="408">
        <f t="shared" si="80"/>
        <v>2029</v>
      </c>
      <c r="BN17" s="403">
        <f t="shared" si="100"/>
        <v>14846.982996018296</v>
      </c>
      <c r="BO17" s="418">
        <f t="shared" si="101"/>
        <v>1.0174463356587706</v>
      </c>
      <c r="BP17" s="408"/>
      <c r="BQ17" s="408">
        <f t="shared" si="81"/>
        <v>2029</v>
      </c>
      <c r="BR17" s="403">
        <f t="shared" si="102"/>
        <v>47.1234400624815</v>
      </c>
      <c r="BS17" s="418">
        <f t="shared" si="103"/>
        <v>1.014660963449052</v>
      </c>
      <c r="BT17" s="418"/>
      <c r="BU17" s="408">
        <f t="shared" si="82"/>
        <v>2029</v>
      </c>
      <c r="BV17" s="403">
        <f t="shared" si="104"/>
        <v>398.42383001742064</v>
      </c>
      <c r="BW17" s="418">
        <f t="shared" si="105"/>
        <v>1.0052493146153938</v>
      </c>
    </row>
    <row r="18" spans="1:86">
      <c r="A18" s="10"/>
      <c r="B18" s="408">
        <f t="shared" si="0"/>
        <v>2030</v>
      </c>
      <c r="C18" s="403">
        <f t="shared" ca="1" si="83"/>
        <v>128017.98706491762</v>
      </c>
      <c r="D18" s="405">
        <f ca="1">AVERAGE(1+OFFSET('Additional Growth'!$I$27,0,ROW()-ROW($D$13)),GEOMEAN($D$5:$D$13),'Additional Growth'!G45)</f>
        <v>1.0158177462647235</v>
      </c>
      <c r="E18" s="533"/>
      <c r="F18" s="408">
        <f t="shared" si="63"/>
        <v>2030</v>
      </c>
      <c r="G18" s="403">
        <f t="shared" si="84"/>
        <v>1535.867598705114</v>
      </c>
      <c r="H18" s="405">
        <f t="shared" si="85"/>
        <v>0.99771960055035824</v>
      </c>
      <c r="I18" s="408"/>
      <c r="J18" s="408">
        <f t="shared" si="64"/>
        <v>2030</v>
      </c>
      <c r="K18" s="403">
        <f t="shared" si="106"/>
        <v>9826.7241777086765</v>
      </c>
      <c r="L18" s="418">
        <f t="shared" si="86"/>
        <v>1.0066700334846941</v>
      </c>
      <c r="M18" s="408"/>
      <c r="N18" s="408">
        <f t="shared" si="65"/>
        <v>2030</v>
      </c>
      <c r="O18" s="406">
        <f t="shared" si="66"/>
        <v>1106.1706741644703</v>
      </c>
      <c r="P18" s="418">
        <f t="shared" si="87"/>
        <v>1.0033181046352084</v>
      </c>
      <c r="Q18" s="413">
        <v>0</v>
      </c>
      <c r="R18" s="407">
        <f>O18+SUM($Q$14:Q18)-Q18/2</f>
        <v>1117.3706741644703</v>
      </c>
      <c r="S18" s="408"/>
      <c r="T18" s="408">
        <f t="shared" si="67"/>
        <v>2030</v>
      </c>
      <c r="U18" s="406">
        <f t="shared" si="88"/>
        <v>5</v>
      </c>
      <c r="V18" s="418">
        <f t="shared" si="68"/>
        <v>1</v>
      </c>
      <c r="W18" s="413">
        <v>0</v>
      </c>
      <c r="X18" s="407">
        <f>U18+SUM($W$14:W18)-W18/2</f>
        <v>9.3000000000000007</v>
      </c>
      <c r="Y18" s="408"/>
      <c r="Z18" s="408">
        <f t="shared" si="69"/>
        <v>2030</v>
      </c>
      <c r="AA18" s="406">
        <f t="shared" si="70"/>
        <v>5</v>
      </c>
      <c r="AB18" s="418">
        <f t="shared" si="71"/>
        <v>1</v>
      </c>
      <c r="AC18" s="413">
        <v>0</v>
      </c>
      <c r="AD18" s="407">
        <f>AA18+SUM($AC$14:AC18)-AC18/2</f>
        <v>6</v>
      </c>
      <c r="AE18" s="418"/>
      <c r="AF18" s="408">
        <f t="shared" si="72"/>
        <v>2030</v>
      </c>
      <c r="AG18" s="403">
        <f t="shared" si="89"/>
        <v>35018.028510898584</v>
      </c>
      <c r="AH18" s="418">
        <f t="shared" si="90"/>
        <v>1.0110348087469663</v>
      </c>
      <c r="AI18" s="408"/>
      <c r="AJ18" s="408">
        <f t="shared" si="73"/>
        <v>2030</v>
      </c>
      <c r="AK18" s="403">
        <f t="shared" si="91"/>
        <v>209.38271680548743</v>
      </c>
      <c r="AL18" s="418">
        <f t="shared" si="92"/>
        <v>0.98043494310188084</v>
      </c>
      <c r="AN18" s="408">
        <f t="shared" si="74"/>
        <v>2030</v>
      </c>
      <c r="AO18" s="403">
        <f t="shared" si="93"/>
        <v>768.45694435448922</v>
      </c>
      <c r="AP18" s="418">
        <f t="shared" si="94"/>
        <v>0.99145409273288365</v>
      </c>
      <c r="AQ18" s="404"/>
      <c r="AR18" s="10"/>
      <c r="AS18" s="408">
        <f t="shared" si="18"/>
        <v>2030</v>
      </c>
      <c r="AT18" s="403">
        <f t="shared" ca="1" si="75"/>
        <v>49613.688345034083</v>
      </c>
      <c r="AU18" s="405">
        <f ca="1">AVERAGE(1+OFFSET('Additional Growth'!$I$29,0,ROW()-ROW($D$13)),GEOMEAN($AU$5:$AU$13),'Additional Growth'!G45)</f>
        <v>1.0175658879779574</v>
      </c>
      <c r="AV18" s="408"/>
      <c r="AW18" s="408">
        <f t="shared" si="76"/>
        <v>2030</v>
      </c>
      <c r="AX18" s="403">
        <f t="shared" si="95"/>
        <v>2638.2421475178926</v>
      </c>
      <c r="AY18" s="418">
        <f t="shared" si="96"/>
        <v>1.0130202049513819</v>
      </c>
      <c r="AZ18" s="408"/>
      <c r="BA18" s="408">
        <f t="shared" si="77"/>
        <v>2030</v>
      </c>
      <c r="BB18" s="406">
        <f t="shared" si="97"/>
        <v>413.84944029835373</v>
      </c>
      <c r="BC18" s="418">
        <f t="shared" si="98"/>
        <v>1.0086020257805395</v>
      </c>
      <c r="BD18" s="423">
        <v>1.2250000000000001</v>
      </c>
      <c r="BE18" s="403">
        <f>BB18+SUM(BD$14:BD18)-BD18/2</f>
        <v>427.41194029835373</v>
      </c>
      <c r="BF18" s="408"/>
      <c r="BG18" s="408">
        <f t="shared" si="78"/>
        <v>2030</v>
      </c>
      <c r="BH18" s="406">
        <f t="shared" si="79"/>
        <v>3</v>
      </c>
      <c r="BI18" s="418">
        <f t="shared" si="99"/>
        <v>1</v>
      </c>
      <c r="BJ18" s="423">
        <v>0</v>
      </c>
      <c r="BK18" s="403">
        <f>BH18+SUM(BJ$14:BJ18)-BJ18/2</f>
        <v>6</v>
      </c>
      <c r="BL18" s="408"/>
      <c r="BM18" s="408">
        <f t="shared" si="80"/>
        <v>2030</v>
      </c>
      <c r="BN18" s="403">
        <f t="shared" si="100"/>
        <v>15106.008444886891</v>
      </c>
      <c r="BO18" s="418">
        <f t="shared" si="101"/>
        <v>1.0174463356587706</v>
      </c>
      <c r="BP18" s="408"/>
      <c r="BQ18" s="408">
        <f t="shared" si="81"/>
        <v>2030</v>
      </c>
      <c r="BR18" s="403">
        <f t="shared" si="102"/>
        <v>47.81431509483113</v>
      </c>
      <c r="BS18" s="418">
        <f t="shared" si="103"/>
        <v>1.014660963449052</v>
      </c>
      <c r="BT18" s="418"/>
      <c r="BU18" s="408">
        <f t="shared" si="82"/>
        <v>2030</v>
      </c>
      <c r="BV18" s="403">
        <f t="shared" si="104"/>
        <v>400.51528205145229</v>
      </c>
      <c r="BW18" s="418">
        <f t="shared" si="105"/>
        <v>1.0052493146153938</v>
      </c>
    </row>
    <row r="19" spans="1:86">
      <c r="A19" s="10"/>
      <c r="B19" s="408">
        <f t="shared" si="0"/>
        <v>2031</v>
      </c>
      <c r="C19" s="403">
        <f ca="1">C18*D19</f>
        <v>129909.19591068925</v>
      </c>
      <c r="D19" s="405">
        <f ca="1">AVERAGE(1+OFFSET('Additional Growth'!$I$27,0,ROW()-ROW($D$13)),GEOMEAN($D$5:$D$13),'Additional Growth'!G46)</f>
        <v>1.0147729931483191</v>
      </c>
      <c r="E19" s="533"/>
      <c r="F19" s="408">
        <f t="shared" si="63"/>
        <v>2031</v>
      </c>
      <c r="G19" s="403">
        <f>G18*H19</f>
        <v>1532.3652070783044</v>
      </c>
      <c r="H19" s="405">
        <f t="shared" si="85"/>
        <v>0.99771960055035824</v>
      </c>
      <c r="I19" s="408"/>
      <c r="J19" s="408">
        <f t="shared" si="64"/>
        <v>2031</v>
      </c>
      <c r="K19" s="403">
        <f>K18*L19</f>
        <v>9892.2687570188464</v>
      </c>
      <c r="L19" s="418">
        <f>L18</f>
        <v>1.0066700334846941</v>
      </c>
      <c r="M19" s="408"/>
      <c r="N19" s="408">
        <f t="shared" si="65"/>
        <v>2031</v>
      </c>
      <c r="O19" s="406">
        <f t="shared" si="66"/>
        <v>1109.841064205747</v>
      </c>
      <c r="P19" s="418">
        <f>P18</f>
        <v>1.0033181046352084</v>
      </c>
      <c r="Q19" s="413">
        <v>0</v>
      </c>
      <c r="R19" s="407">
        <f>O19+SUM($Q$14:Q19)-Q19/2</f>
        <v>1121.041064205747</v>
      </c>
      <c r="S19" s="408"/>
      <c r="T19" s="408">
        <f t="shared" si="67"/>
        <v>2031</v>
      </c>
      <c r="U19" s="406">
        <f t="shared" si="88"/>
        <v>5</v>
      </c>
      <c r="V19" s="418">
        <f t="shared" si="68"/>
        <v>1</v>
      </c>
      <c r="W19" s="413">
        <v>0</v>
      </c>
      <c r="X19" s="407">
        <f>U19+SUM($W$14:W19)-W19/2</f>
        <v>9.3000000000000007</v>
      </c>
      <c r="Y19" s="408"/>
      <c r="Z19" s="408">
        <f t="shared" si="69"/>
        <v>2031</v>
      </c>
      <c r="AA19" s="406">
        <f t="shared" si="70"/>
        <v>5</v>
      </c>
      <c r="AB19" s="418">
        <f t="shared" si="71"/>
        <v>1</v>
      </c>
      <c r="AC19" s="413">
        <v>0</v>
      </c>
      <c r="AD19" s="407">
        <f>AA19+SUM($AC$14:AC19)-AC19/2</f>
        <v>6</v>
      </c>
      <c r="AE19" s="418"/>
      <c r="AF19" s="408">
        <f t="shared" si="72"/>
        <v>2031</v>
      </c>
      <c r="AG19" s="403">
        <f>AG18*AH19</f>
        <v>35404.445758212161</v>
      </c>
      <c r="AH19" s="418">
        <f>AH18</f>
        <v>1.0110348087469663</v>
      </c>
      <c r="AI19" s="408"/>
      <c r="AJ19" s="408">
        <f t="shared" si="73"/>
        <v>2031</v>
      </c>
      <c r="AK19" s="403">
        <f>AK18*AL19</f>
        <v>205.2861320377053</v>
      </c>
      <c r="AL19" s="418">
        <f>AL18</f>
        <v>0.98043494310188084</v>
      </c>
      <c r="AN19" s="408">
        <f t="shared" si="74"/>
        <v>2031</v>
      </c>
      <c r="AO19" s="403">
        <f>AO18*AP19</f>
        <v>761.88978256926418</v>
      </c>
      <c r="AP19" s="418">
        <f>AP18</f>
        <v>0.99145409273288365</v>
      </c>
      <c r="AQ19" s="404"/>
      <c r="AR19" s="10"/>
      <c r="AS19" s="408">
        <f t="shared" si="18"/>
        <v>2031</v>
      </c>
      <c r="AT19" s="403">
        <f t="shared" ca="1" si="75"/>
        <v>50394.096755453822</v>
      </c>
      <c r="AU19" s="405">
        <f ca="1">AVERAGE(1+OFFSET('Additional Growth'!$I$29,0,ROW()-ROW($D$13)),GEOMEAN($AU$5:$AU$13),'Additional Growth'!G46)</f>
        <v>1.0157296995335734</v>
      </c>
      <c r="AV19" s="408"/>
      <c r="AW19" s="408">
        <f t="shared" si="76"/>
        <v>2031</v>
      </c>
      <c r="AX19" s="403">
        <f>AX18*AY19</f>
        <v>2672.5926009899495</v>
      </c>
      <c r="AY19" s="418">
        <f>AY18</f>
        <v>1.0130202049513819</v>
      </c>
      <c r="AZ19" s="408"/>
      <c r="BA19" s="408">
        <f t="shared" si="77"/>
        <v>2031</v>
      </c>
      <c r="BB19" s="406">
        <f t="shared" si="97"/>
        <v>417.40938385306202</v>
      </c>
      <c r="BC19" s="418">
        <f>BC18</f>
        <v>1.0086020257805395</v>
      </c>
      <c r="BD19" s="423">
        <v>1.075</v>
      </c>
      <c r="BE19" s="403">
        <f>BB19+SUM(BD$14:BD19)-BD19/2</f>
        <v>432.121883853062</v>
      </c>
      <c r="BF19" s="408"/>
      <c r="BG19" s="408">
        <f t="shared" si="78"/>
        <v>2031</v>
      </c>
      <c r="BH19" s="406">
        <f t="shared" si="79"/>
        <v>3</v>
      </c>
      <c r="BI19" s="418">
        <f t="shared" si="99"/>
        <v>1</v>
      </c>
      <c r="BJ19" s="423">
        <v>0</v>
      </c>
      <c r="BK19" s="403">
        <f>BH19+SUM(BJ$14:BJ19)-BJ19/2</f>
        <v>6</v>
      </c>
      <c r="BL19" s="408"/>
      <c r="BM19" s="408">
        <f t="shared" si="80"/>
        <v>2031</v>
      </c>
      <c r="BN19" s="403">
        <f>BN18*BO19</f>
        <v>15369.552938680612</v>
      </c>
      <c r="BO19" s="418">
        <f>BO18</f>
        <v>1.0174463356587706</v>
      </c>
      <c r="BP19" s="408"/>
      <c r="BQ19" s="408">
        <f t="shared" si="81"/>
        <v>2031</v>
      </c>
      <c r="BR19" s="403">
        <f>BR18*BS19</f>
        <v>48.515319020777902</v>
      </c>
      <c r="BS19" s="418">
        <f>BS18</f>
        <v>1.014660963449052</v>
      </c>
      <c r="BT19" s="418"/>
      <c r="BU19" s="408">
        <f t="shared" si="82"/>
        <v>2031</v>
      </c>
      <c r="BV19" s="403">
        <f>BV18*BW19</f>
        <v>402.61771277521353</v>
      </c>
      <c r="BW19" s="418">
        <f>BW18</f>
        <v>1.0052493146153938</v>
      </c>
      <c r="CH19" s="420"/>
    </row>
    <row r="20" spans="1:86" ht="13.25" customHeight="1">
      <c r="B20" s="408"/>
      <c r="C20" s="403"/>
      <c r="D20" s="418"/>
      <c r="E20" s="408"/>
      <c r="F20" s="408"/>
      <c r="G20" s="403"/>
      <c r="H20" s="418"/>
      <c r="I20" s="408"/>
      <c r="J20" s="408"/>
      <c r="K20" s="403"/>
      <c r="L20" s="418"/>
      <c r="M20" s="408"/>
      <c r="N20" s="408"/>
      <c r="O20" s="403"/>
      <c r="P20" s="418"/>
      <c r="Q20" s="418"/>
      <c r="R20" s="418"/>
      <c r="S20" s="408"/>
      <c r="T20" s="408"/>
      <c r="U20" s="403"/>
      <c r="V20" s="418"/>
      <c r="W20" s="418"/>
      <c r="X20" s="418"/>
      <c r="Y20" s="408"/>
      <c r="Z20" s="408"/>
      <c r="AA20" s="403"/>
      <c r="AB20" s="418"/>
      <c r="AC20" s="418"/>
      <c r="AD20" s="418"/>
      <c r="AE20" s="418"/>
      <c r="AF20" s="418"/>
      <c r="AG20" s="418"/>
      <c r="AH20" s="418"/>
      <c r="AI20" s="408"/>
      <c r="AJ20" s="408"/>
      <c r="AK20" s="403"/>
      <c r="AL20" s="418"/>
      <c r="AN20" s="408"/>
      <c r="AO20" s="403"/>
      <c r="AP20" s="418"/>
      <c r="AQ20" s="404"/>
      <c r="AS20" s="408"/>
      <c r="AT20" s="403"/>
      <c r="AU20" s="418"/>
      <c r="AV20" s="408"/>
      <c r="AW20" s="408"/>
      <c r="AX20" s="403"/>
      <c r="AY20" s="418"/>
      <c r="AZ20" s="408"/>
      <c r="BA20" s="408"/>
      <c r="BB20" s="403"/>
      <c r="BC20" s="418"/>
      <c r="BD20" s="418"/>
      <c r="BE20" s="418"/>
      <c r="BF20" s="408"/>
      <c r="BG20" s="408"/>
      <c r="BH20" s="403"/>
      <c r="BI20" s="418"/>
      <c r="BJ20" s="418"/>
      <c r="BK20" s="418"/>
      <c r="BL20" s="408"/>
      <c r="BM20" s="408"/>
      <c r="BN20" s="403"/>
      <c r="BO20" s="418"/>
      <c r="BP20" s="408"/>
      <c r="BQ20" s="408"/>
      <c r="BR20" s="403"/>
      <c r="BS20" s="418"/>
      <c r="BT20" s="418"/>
      <c r="BU20" s="418"/>
      <c r="BV20" s="418"/>
      <c r="BW20" s="418"/>
    </row>
    <row r="21" spans="1:86">
      <c r="B21" s="10" t="s">
        <v>675</v>
      </c>
      <c r="G21" s="9" t="s">
        <v>676</v>
      </c>
      <c r="K21" s="9" t="s">
        <v>677</v>
      </c>
      <c r="N21" s="9" t="s">
        <v>678</v>
      </c>
      <c r="T21" s="9" t="s">
        <v>679</v>
      </c>
      <c r="Z21" s="9" t="s">
        <v>679</v>
      </c>
      <c r="AF21" s="9" t="s">
        <v>680</v>
      </c>
      <c r="AJ21" s="9" t="s">
        <v>681</v>
      </c>
      <c r="AN21" s="9" t="s">
        <v>680</v>
      </c>
      <c r="AQ21" s="404"/>
      <c r="AS21" s="10" t="s">
        <v>675</v>
      </c>
      <c r="AW21" s="9" t="s">
        <v>680</v>
      </c>
      <c r="BA21" s="9" t="s">
        <v>680</v>
      </c>
      <c r="BG21" s="9" t="s">
        <v>679</v>
      </c>
      <c r="BM21" s="9" t="s">
        <v>680</v>
      </c>
      <c r="BQ21" s="9" t="s">
        <v>680</v>
      </c>
      <c r="BU21" s="9" t="s">
        <v>680</v>
      </c>
    </row>
    <row r="22" spans="1:86">
      <c r="A22" s="9" t="s">
        <v>682</v>
      </c>
      <c r="C22" s="10"/>
      <c r="K22" s="150"/>
      <c r="O22" s="150"/>
      <c r="U22" s="150"/>
      <c r="AQ22" s="404"/>
      <c r="BB22" s="150"/>
      <c r="BH22" s="150"/>
      <c r="BN22" s="150"/>
      <c r="CH22" s="421"/>
    </row>
    <row r="23" spans="1:86">
      <c r="B23" s="408">
        <f>B13</f>
        <v>2025</v>
      </c>
      <c r="C23" s="403">
        <f t="shared" ref="C23:C29" si="107">AVERAGEIFS(C$33:C$128,$A$33:$A$128,B23)</f>
        <v>118908.83333333337</v>
      </c>
      <c r="D23" s="418"/>
      <c r="E23" s="408"/>
      <c r="F23" s="408">
        <f>F13</f>
        <v>2025</v>
      </c>
      <c r="G23" s="403">
        <f t="shared" ref="G23:G29" si="108">AVERAGEIFS(G$33:G$128,$A$33:$A$128,F23)</f>
        <v>1553.5</v>
      </c>
      <c r="H23" s="418"/>
      <c r="I23" s="408"/>
      <c r="J23" s="408">
        <f>J13</f>
        <v>2025</v>
      </c>
      <c r="K23" s="403">
        <f t="shared" ref="K23:K29" si="109">AVERAGEIFS(K$33:K$128,$A$33:$A$128,J23)</f>
        <v>9505.4583333333303</v>
      </c>
      <c r="L23" s="418"/>
      <c r="M23" s="408"/>
      <c r="N23" s="408">
        <f>N13</f>
        <v>2025</v>
      </c>
      <c r="O23" s="403">
        <f t="shared" ref="O23:O29" si="110">AVERAGEIFS(O$33:O$128,$A$33:$A$128,N23)</f>
        <v>1088</v>
      </c>
      <c r="P23" s="418"/>
      <c r="Q23" s="423"/>
      <c r="R23" s="403"/>
      <c r="S23" s="408"/>
      <c r="T23" s="408">
        <f>T13</f>
        <v>2025</v>
      </c>
      <c r="U23" s="403">
        <f t="shared" ref="U23:U29" si="111">AVERAGEIFS(U$33:U$128,$A$33:$A$128,T23)</f>
        <v>5</v>
      </c>
      <c r="V23" s="418"/>
      <c r="W23" s="403"/>
      <c r="X23" s="403"/>
      <c r="Y23" s="408"/>
      <c r="Z23" s="408">
        <f>Z13</f>
        <v>2025</v>
      </c>
      <c r="AA23" s="403">
        <f t="shared" ref="AA23:AA29" si="112">AVERAGEIFS(AA$33:AA$128,$A$33:$A$128,Z23)</f>
        <v>5</v>
      </c>
      <c r="AB23" s="418"/>
      <c r="AC23" s="403"/>
      <c r="AD23" s="403"/>
      <c r="AE23" s="418"/>
      <c r="AF23" s="408">
        <f>AF13</f>
        <v>2025</v>
      </c>
      <c r="AG23" s="403">
        <f t="shared" ref="AG23:AG29" si="113">AVERAGEIFS(AG$33:AG$128,$A$33:$A$128,AF23)</f>
        <v>33148.291666666679</v>
      </c>
      <c r="AH23" s="418"/>
      <c r="AI23" s="408"/>
      <c r="AJ23" s="408">
        <f>AJ13</f>
        <v>2025</v>
      </c>
      <c r="AK23" s="403">
        <f t="shared" ref="AK23:AK29" si="114">AVERAGEIFS(AK$33:AK$128,$A$33:$A$128,AJ23)</f>
        <v>231.125</v>
      </c>
      <c r="AL23" s="418"/>
      <c r="AN23" s="408">
        <f>AN13</f>
        <v>2025</v>
      </c>
      <c r="AO23" s="403">
        <f t="shared" ref="AO23:AO29" si="115">AVERAGEIFS(AO$33:AO$128,$A$33:$A$128,AN23)</f>
        <v>775.16666666666697</v>
      </c>
      <c r="AP23" s="418"/>
      <c r="AQ23" s="404"/>
      <c r="AS23" s="408">
        <f>AS13</f>
        <v>2025</v>
      </c>
      <c r="AT23" s="403">
        <f t="shared" ref="AT23:AT27" si="116">AVERAGEIFS(AT$33:AT$128,$A$33:$A$128,AS23)</f>
        <v>45869</v>
      </c>
      <c r="AU23" s="418"/>
      <c r="AV23" s="408"/>
      <c r="AW23" s="408">
        <f>AW13</f>
        <v>2025</v>
      </c>
      <c r="AX23" s="403">
        <f t="shared" ref="AX23:AX29" si="117">AVERAGEIFS(AX$33:AX$128,$A$33:$A$128,AW23)</f>
        <v>2473</v>
      </c>
      <c r="AY23" s="418"/>
      <c r="AZ23" s="408"/>
      <c r="BA23" s="408">
        <f>BA13</f>
        <v>2025</v>
      </c>
      <c r="BB23" s="403">
        <f t="shared" ref="BB23:BB29" si="118">AVERAGEIFS(BB$33:BB$128,$A$33:$A$128,BA23)</f>
        <v>396.5</v>
      </c>
      <c r="BC23" s="418"/>
      <c r="BD23" s="403"/>
      <c r="BE23" s="403"/>
      <c r="BF23" s="408"/>
      <c r="BG23" s="408">
        <f>BG13</f>
        <v>2025</v>
      </c>
      <c r="BH23" s="403">
        <f t="shared" ref="BH23:BH29" si="119">AVERAGEIFS(BH$33:BH$128,$A$33:$A$128,BG23)</f>
        <v>3</v>
      </c>
      <c r="BI23" s="418"/>
      <c r="BJ23" s="403"/>
      <c r="BK23" s="403"/>
      <c r="BL23" s="408"/>
      <c r="BM23" s="408">
        <f>BM13</f>
        <v>2025</v>
      </c>
      <c r="BN23" s="403">
        <f t="shared" ref="BN23:BN29" si="120">AVERAGEIFS(BN$33:BN$128,$A$33:$A$128,BM23)</f>
        <v>13854.54166666667</v>
      </c>
      <c r="BO23" s="418"/>
      <c r="BP23" s="408"/>
      <c r="BQ23" s="408">
        <f>BQ13</f>
        <v>2025</v>
      </c>
      <c r="BR23" s="403">
        <f t="shared" ref="BR23:BR29" si="121">AVERAGEIFS(BR$33:BR$128,$A$33:$A$128,BQ23)</f>
        <v>44.458333333333314</v>
      </c>
      <c r="BS23" s="418"/>
      <c r="BT23" s="418"/>
      <c r="BU23" s="408">
        <f>BU13</f>
        <v>2025</v>
      </c>
      <c r="BV23" s="403">
        <f t="shared" ref="BV23:BV29" si="122">AVERAGEIFS(BV$33:BV$128,$A$33:$A$128,BU23)</f>
        <v>390.16666666666652</v>
      </c>
      <c r="BW23" s="418"/>
      <c r="CH23" s="421"/>
    </row>
    <row r="24" spans="1:86">
      <c r="B24" s="408">
        <v>2026</v>
      </c>
      <c r="C24" s="403">
        <f t="shared" ca="1" si="107"/>
        <v>120549.42139909492</v>
      </c>
      <c r="D24" s="418">
        <f t="shared" ref="D24:D29" ca="1" si="123">C24/C23</f>
        <v>1.0137970243233532</v>
      </c>
      <c r="E24" s="408"/>
      <c r="F24" s="408">
        <v>2026</v>
      </c>
      <c r="G24" s="403">
        <f t="shared" si="108"/>
        <v>1549.9606514054349</v>
      </c>
      <c r="H24" s="418">
        <f t="shared" ref="H24:H29" si="124">G24/G23</f>
        <v>0.99772169385608944</v>
      </c>
      <c r="I24" s="408"/>
      <c r="J24" s="408">
        <v>2026</v>
      </c>
      <c r="K24" s="403">
        <f t="shared" si="109"/>
        <v>9568.8251056720273</v>
      </c>
      <c r="L24" s="418">
        <f t="shared" ref="L24:L29" si="125">K24/K23</f>
        <v>1.0066663563309184</v>
      </c>
      <c r="M24" s="408"/>
      <c r="N24" s="408">
        <v>2026</v>
      </c>
      <c r="O24" s="403">
        <f t="shared" si="110"/>
        <v>1091.607611892214</v>
      </c>
      <c r="P24" s="418">
        <f t="shared" ref="P24:P29" si="126">O24/O23</f>
        <v>1.0033158197538732</v>
      </c>
      <c r="Q24" s="423">
        <f t="shared" ref="Q24:Q28" si="127">AVERAGEIFS(Q$33:Q$128,$A$33:$A$128,N24)</f>
        <v>4.0625</v>
      </c>
      <c r="R24" s="403">
        <f t="shared" ref="R24:R28" si="128">AVERAGEIFS(R$33:R$128,$A$33:$A$128,N24)</f>
        <v>1095.670111892214</v>
      </c>
      <c r="S24" s="408"/>
      <c r="T24" s="408">
        <v>2026</v>
      </c>
      <c r="U24" s="403">
        <f t="shared" si="111"/>
        <v>5</v>
      </c>
      <c r="V24" s="418">
        <f t="shared" ref="V24:V29" si="129">U24/U23</f>
        <v>1</v>
      </c>
      <c r="W24" s="423">
        <f t="shared" ref="W24:W29" si="130">AVERAGEIFS(W$33:W$128,$A$33:$A$128,T24)</f>
        <v>1.3541666666666667</v>
      </c>
      <c r="X24" s="403">
        <f t="shared" ref="X24:X29" si="131">AVERAGEIFS(X$33:X$128,$A$33:$A$128,T24)</f>
        <v>6.354166666666667</v>
      </c>
      <c r="Y24" s="408"/>
      <c r="Z24" s="408">
        <v>2026</v>
      </c>
      <c r="AA24" s="403">
        <f t="shared" si="112"/>
        <v>5</v>
      </c>
      <c r="AB24" s="418">
        <f t="shared" ref="AB24:AB29" si="132">AA24/AA23</f>
        <v>1</v>
      </c>
      <c r="AC24" s="403">
        <f t="shared" ref="AC24:AC29" si="133">AVERAGEIFS(AC$33:AC$128,$A$33:$A$128,Z24)</f>
        <v>0.203125</v>
      </c>
      <c r="AD24" s="403">
        <f t="shared" ref="AD24:AD29" si="134">AVERAGEIFS(AD$33:AD$128,$A$33:$A$128,Z24)</f>
        <v>5.203125</v>
      </c>
      <c r="AE24" s="418"/>
      <c r="AF24" s="408">
        <v>2026</v>
      </c>
      <c r="AG24" s="403">
        <f t="shared" si="113"/>
        <v>33513.940476027485</v>
      </c>
      <c r="AH24" s="418">
        <f t="shared" ref="AH24:AH29" si="135">AG24/AG23</f>
        <v>1.0110306984455701</v>
      </c>
      <c r="AI24" s="408"/>
      <c r="AJ24" s="408">
        <v>2026</v>
      </c>
      <c r="AK24" s="403">
        <f t="shared" si="114"/>
        <v>226.61037880257982</v>
      </c>
      <c r="AL24" s="418">
        <f t="shared" ref="AL24:AL29" si="136">AK24/AK23</f>
        <v>0.98046675523019933</v>
      </c>
      <c r="AN24" s="408">
        <v>2026</v>
      </c>
      <c r="AO24" s="403">
        <f t="shared" si="115"/>
        <v>795.29655282409192</v>
      </c>
      <c r="AP24" s="418">
        <f t="shared" ref="AP24:AP29" si="137">AO24/AO23</f>
        <v>1.0259684620392495</v>
      </c>
      <c r="AQ24" s="404"/>
      <c r="AS24" s="408">
        <v>2026</v>
      </c>
      <c r="AT24" s="403">
        <f t="shared" ca="1" si="116"/>
        <v>46497.326764268808</v>
      </c>
      <c r="AU24" s="418">
        <f t="shared" ref="AU24:AU29" ca="1" si="138">AT24/AT23</f>
        <v>1.0136982878255207</v>
      </c>
      <c r="AV24" s="408"/>
      <c r="AW24" s="408">
        <v>2026</v>
      </c>
      <c r="AX24" s="403">
        <f t="shared" si="117"/>
        <v>2505.1895921108166</v>
      </c>
      <c r="AY24" s="418">
        <f t="shared" ref="AY24:AY29" si="139">AX24/AX23</f>
        <v>1.0130164141167879</v>
      </c>
      <c r="AZ24" s="408"/>
      <c r="BA24" s="408">
        <v>2026</v>
      </c>
      <c r="BB24" s="403">
        <f t="shared" si="118"/>
        <v>399.90909286596508</v>
      </c>
      <c r="BC24" s="418">
        <f t="shared" ref="BC24:BC29" si="140">BB24/BB23</f>
        <v>1.0085979643530014</v>
      </c>
      <c r="BD24" s="403">
        <f t="shared" ref="BD24:BD29" si="141">AVERAGEIFS(BD$33:BD$128,$A$33:$A$128,BA24)</f>
        <v>3.4937499999999999</v>
      </c>
      <c r="BE24" s="403">
        <f t="shared" ref="BE24:BE29" si="142">AVERAGEIFS(BE$33:BE$128,$A$33:$A$128,BA24)</f>
        <v>403.40284286596511</v>
      </c>
      <c r="BF24" s="408"/>
      <c r="BG24" s="408">
        <v>2026</v>
      </c>
      <c r="BH24" s="403">
        <f t="shared" si="119"/>
        <v>3</v>
      </c>
      <c r="BI24" s="418">
        <f t="shared" ref="BI24:BI29" si="143">BH24/BH23</f>
        <v>1</v>
      </c>
      <c r="BJ24" s="403">
        <f t="shared" ref="BJ24:BJ29" si="144">AVERAGEIFS(BJ$33:BJ$128,$A$33:$A$128,BG24)</f>
        <v>1.1510416666666665</v>
      </c>
      <c r="BK24" s="403">
        <f t="shared" ref="BK24:BK29" si="145">AVERAGEIFS(BK$33:BK$128,$A$33:$A$128,BG24)</f>
        <v>4.151041666666667</v>
      </c>
      <c r="BL24" s="408"/>
      <c r="BM24" s="408">
        <v>2026</v>
      </c>
      <c r="BN24" s="403">
        <f t="shared" si="120"/>
        <v>14096.226104550549</v>
      </c>
      <c r="BO24" s="418">
        <f t="shared" ref="BO24:BO29" si="146">BN24/BN23</f>
        <v>1.0174444195772538</v>
      </c>
      <c r="BP24" s="408"/>
      <c r="BQ24" s="408">
        <v>2026</v>
      </c>
      <c r="BR24" s="403">
        <f t="shared" si="121"/>
        <v>45.109989372759536</v>
      </c>
      <c r="BS24" s="418">
        <f t="shared" ref="BS24:BS29" si="147">BR24/BR23</f>
        <v>1.0146576803619769</v>
      </c>
      <c r="BT24" s="418"/>
      <c r="BU24" s="408">
        <v>2026</v>
      </c>
      <c r="BV24" s="403">
        <f t="shared" si="122"/>
        <v>392.21352593855869</v>
      </c>
      <c r="BW24" s="418">
        <f t="shared" ref="BW24:BW29" si="148">BV24/BV23</f>
        <v>1.0052461151778527</v>
      </c>
      <c r="CH24" s="421"/>
    </row>
    <row r="25" spans="1:86">
      <c r="B25" s="408">
        <f>B24+1</f>
        <v>2027</v>
      </c>
      <c r="C25" s="403">
        <f t="shared" ca="1" si="107"/>
        <v>122281.64122964442</v>
      </c>
      <c r="D25" s="418">
        <f t="shared" ca="1" si="123"/>
        <v>1.0143693749040466</v>
      </c>
      <c r="E25" s="408"/>
      <c r="F25" s="408">
        <f>F24+1</f>
        <v>2027</v>
      </c>
      <c r="G25" s="403">
        <f t="shared" si="108"/>
        <v>1546.4261219890034</v>
      </c>
      <c r="H25" s="418">
        <f t="shared" si="124"/>
        <v>0.99771960055035813</v>
      </c>
      <c r="I25" s="408"/>
      <c r="J25" s="408">
        <f>J24+1</f>
        <v>2027</v>
      </c>
      <c r="K25" s="403">
        <f t="shared" si="109"/>
        <v>9632.6494895360411</v>
      </c>
      <c r="L25" s="418">
        <f t="shared" si="125"/>
        <v>1.0066700334846941</v>
      </c>
      <c r="M25" s="408"/>
      <c r="N25" s="408">
        <f>N24+1</f>
        <v>2027</v>
      </c>
      <c r="O25" s="403">
        <f t="shared" si="110"/>
        <v>1095.2296801690618</v>
      </c>
      <c r="P25" s="418">
        <f t="shared" si="126"/>
        <v>1.003318104635208</v>
      </c>
      <c r="Q25" s="423">
        <f t="shared" si="127"/>
        <v>8.9083333333333368</v>
      </c>
      <c r="R25" s="403">
        <f t="shared" si="128"/>
        <v>1104.1380135023953</v>
      </c>
      <c r="S25" s="408"/>
      <c r="T25" s="408">
        <f>T24+1</f>
        <v>2027</v>
      </c>
      <c r="U25" s="403">
        <f t="shared" si="111"/>
        <v>5</v>
      </c>
      <c r="V25" s="418">
        <f t="shared" si="129"/>
        <v>1</v>
      </c>
      <c r="W25" s="423">
        <f t="shared" si="130"/>
        <v>3.0958333333333345</v>
      </c>
      <c r="X25" s="403">
        <f t="shared" si="131"/>
        <v>8.0958333333333332</v>
      </c>
      <c r="Y25" s="408"/>
      <c r="Z25" s="408">
        <f>Z24+1</f>
        <v>2027</v>
      </c>
      <c r="AA25" s="403">
        <f t="shared" si="112"/>
        <v>5</v>
      </c>
      <c r="AB25" s="418">
        <f t="shared" si="132"/>
        <v>1</v>
      </c>
      <c r="AC25" s="403">
        <f t="shared" si="133"/>
        <v>0.64583333333333326</v>
      </c>
      <c r="AD25" s="403">
        <f t="shared" si="134"/>
        <v>5.645833333333333</v>
      </c>
      <c r="AE25" s="418"/>
      <c r="AF25" s="408">
        <f>AF24+1</f>
        <v>2027</v>
      </c>
      <c r="AG25" s="403">
        <f t="shared" si="113"/>
        <v>33883.760399537663</v>
      </c>
      <c r="AH25" s="418">
        <f t="shared" si="135"/>
        <v>1.0110348087469663</v>
      </c>
      <c r="AI25" s="408"/>
      <c r="AJ25" s="408">
        <f>AJ24+1</f>
        <v>2027</v>
      </c>
      <c r="AK25" s="403">
        <f t="shared" si="114"/>
        <v>222.17673384760306</v>
      </c>
      <c r="AL25" s="418">
        <f t="shared" si="136"/>
        <v>0.98043494310188106</v>
      </c>
      <c r="AN25" s="408">
        <f>AN24+1</f>
        <v>2027</v>
      </c>
      <c r="AO25" s="403">
        <f t="shared" si="115"/>
        <v>788.50800554610271</v>
      </c>
      <c r="AP25" s="418">
        <f t="shared" si="137"/>
        <v>0.99146413089069341</v>
      </c>
      <c r="AQ25" s="404"/>
      <c r="AS25" s="408">
        <f>AS24+1</f>
        <v>2027</v>
      </c>
      <c r="AT25" s="403">
        <f t="shared" ca="1" si="116"/>
        <v>47176.612779935756</v>
      </c>
      <c r="AU25" s="418">
        <f t="shared" ca="1" si="138"/>
        <v>1.0146091412762455</v>
      </c>
      <c r="AV25" s="408"/>
      <c r="AW25" s="408">
        <f>AW24+1</f>
        <v>2027</v>
      </c>
      <c r="AX25" s="403">
        <f t="shared" si="117"/>
        <v>2537.8076740421684</v>
      </c>
      <c r="AY25" s="418">
        <f t="shared" si="139"/>
        <v>1.0130202049513819</v>
      </c>
      <c r="AZ25" s="408"/>
      <c r="BA25" s="408">
        <f>BA24+1</f>
        <v>2027</v>
      </c>
      <c r="BB25" s="403">
        <f t="shared" si="118"/>
        <v>403.34912119267028</v>
      </c>
      <c r="BC25" s="418">
        <f t="shared" si="140"/>
        <v>1.0086020257805395</v>
      </c>
      <c r="BD25" s="403">
        <f t="shared" si="141"/>
        <v>8.5489583333333314</v>
      </c>
      <c r="BE25" s="403">
        <f t="shared" si="142"/>
        <v>411.89807952600358</v>
      </c>
      <c r="BF25" s="408"/>
      <c r="BG25" s="408">
        <f>BG24+1</f>
        <v>2027</v>
      </c>
      <c r="BH25" s="403">
        <f t="shared" si="119"/>
        <v>3</v>
      </c>
      <c r="BI25" s="418">
        <f t="shared" si="143"/>
        <v>1</v>
      </c>
      <c r="BJ25" s="403">
        <f t="shared" si="144"/>
        <v>2.5312499999999996</v>
      </c>
      <c r="BK25" s="403">
        <f t="shared" si="145"/>
        <v>5.53125</v>
      </c>
      <c r="BL25" s="408"/>
      <c r="BM25" s="408">
        <f>BM24+1</f>
        <v>2027</v>
      </c>
      <c r="BN25" s="403">
        <f t="shared" si="120"/>
        <v>14342.153596692464</v>
      </c>
      <c r="BO25" s="418">
        <f t="shared" si="146"/>
        <v>1.0174463356587706</v>
      </c>
      <c r="BP25" s="408"/>
      <c r="BQ25" s="408">
        <f>BQ24+1</f>
        <v>2027</v>
      </c>
      <c r="BR25" s="403">
        <f t="shared" si="121"/>
        <v>45.771345278140679</v>
      </c>
      <c r="BS25" s="418">
        <f t="shared" si="147"/>
        <v>1.0146609634490518</v>
      </c>
      <c r="BT25" s="418"/>
      <c r="BU25" s="408">
        <f>BU24+1</f>
        <v>2027</v>
      </c>
      <c r="BV25" s="403">
        <f t="shared" si="122"/>
        <v>394.27237813262309</v>
      </c>
      <c r="BW25" s="418">
        <f t="shared" si="148"/>
        <v>1.0052493146153938</v>
      </c>
      <c r="CH25" s="421"/>
    </row>
    <row r="26" spans="1:86">
      <c r="B26" s="408">
        <f t="shared" ref="B26:B29" si="149">B25+1</f>
        <v>2028</v>
      </c>
      <c r="C26" s="403">
        <f t="shared" ca="1" si="107"/>
        <v>124107.7225953329</v>
      </c>
      <c r="D26" s="418">
        <f t="shared" ca="1" si="123"/>
        <v>1.0149334057616965</v>
      </c>
      <c r="E26" s="408"/>
      <c r="F26" s="408">
        <f t="shared" ref="F26:F29" si="150">F25+1</f>
        <v>2028</v>
      </c>
      <c r="G26" s="403">
        <f t="shared" si="108"/>
        <v>1542.8996527115078</v>
      </c>
      <c r="H26" s="418">
        <f t="shared" si="124"/>
        <v>0.99771960055035813</v>
      </c>
      <c r="I26" s="408"/>
      <c r="J26" s="408">
        <f t="shared" ref="J26:J29" si="151">J25+1</f>
        <v>2028</v>
      </c>
      <c r="K26" s="403">
        <f t="shared" si="109"/>
        <v>9696.8995841775704</v>
      </c>
      <c r="L26" s="418">
        <f t="shared" si="125"/>
        <v>1.0066700334846943</v>
      </c>
      <c r="M26" s="408"/>
      <c r="N26" s="408">
        <f t="shared" ref="N26:N29" si="152">N25+1</f>
        <v>2028</v>
      </c>
      <c r="O26" s="403">
        <f t="shared" si="110"/>
        <v>1098.8637668474491</v>
      </c>
      <c r="P26" s="418">
        <f t="shared" si="126"/>
        <v>1.0033181046352089</v>
      </c>
      <c r="Q26" s="423">
        <f t="shared" si="127"/>
        <v>10.587499999999999</v>
      </c>
      <c r="R26" s="403">
        <f t="shared" si="128"/>
        <v>1109.4512668474492</v>
      </c>
      <c r="S26" s="408"/>
      <c r="T26" s="408">
        <f t="shared" ref="T26:T29" si="153">T25+1</f>
        <v>2028</v>
      </c>
      <c r="U26" s="403">
        <f t="shared" si="111"/>
        <v>5</v>
      </c>
      <c r="V26" s="418">
        <f t="shared" si="129"/>
        <v>1</v>
      </c>
      <c r="W26" s="423">
        <f t="shared" si="130"/>
        <v>3.9250000000000007</v>
      </c>
      <c r="X26" s="403">
        <f t="shared" si="131"/>
        <v>8.9250000000000007</v>
      </c>
      <c r="Y26" s="408"/>
      <c r="Z26" s="408">
        <f t="shared" ref="Z26:Z29" si="154">Z25+1</f>
        <v>2028</v>
      </c>
      <c r="AA26" s="403">
        <f t="shared" si="112"/>
        <v>5</v>
      </c>
      <c r="AB26" s="418">
        <f t="shared" si="132"/>
        <v>1</v>
      </c>
      <c r="AC26" s="403">
        <f t="shared" si="133"/>
        <v>0.9427083333333327</v>
      </c>
      <c r="AD26" s="403">
        <f t="shared" si="134"/>
        <v>5.9427083333333321</v>
      </c>
      <c r="AE26" s="418"/>
      <c r="AF26" s="408">
        <f t="shared" ref="AF26:AF29" si="155">AF25+1</f>
        <v>2028</v>
      </c>
      <c r="AG26" s="403">
        <f t="shared" si="113"/>
        <v>34257.661215174587</v>
      </c>
      <c r="AH26" s="418">
        <f t="shared" si="135"/>
        <v>1.0110348087469661</v>
      </c>
      <c r="AI26" s="408"/>
      <c r="AJ26" s="408">
        <f t="shared" ref="AJ26:AJ29" si="156">AJ25+1</f>
        <v>2028</v>
      </c>
      <c r="AK26" s="403">
        <f t="shared" si="114"/>
        <v>217.82983340843643</v>
      </c>
      <c r="AL26" s="418">
        <f t="shared" si="136"/>
        <v>0.98043494310188084</v>
      </c>
      <c r="AN26" s="408">
        <f t="shared" ref="AN26:AN29" si="157">AN25+1</f>
        <v>2028</v>
      </c>
      <c r="AO26" s="403">
        <f t="shared" si="115"/>
        <v>781.76948925132695</v>
      </c>
      <c r="AP26" s="418">
        <f t="shared" si="137"/>
        <v>0.99145409273288376</v>
      </c>
      <c r="AQ26" s="404"/>
      <c r="AS26" s="408">
        <f t="shared" ref="AS26:AS29" si="158">AS25+1</f>
        <v>2028</v>
      </c>
      <c r="AT26" s="403">
        <f t="shared" ca="1" si="116"/>
        <v>47930.351446795765</v>
      </c>
      <c r="AU26" s="418">
        <f t="shared" ca="1" si="138"/>
        <v>1.0159769560052132</v>
      </c>
      <c r="AV26" s="408"/>
      <c r="AW26" s="408">
        <f t="shared" ref="AW26:AW29" si="159">AW25+1</f>
        <v>2028</v>
      </c>
      <c r="AX26" s="403">
        <f t="shared" si="117"/>
        <v>2570.8504500853869</v>
      </c>
      <c r="AY26" s="418">
        <f t="shared" si="139"/>
        <v>1.0130202049513817</v>
      </c>
      <c r="AZ26" s="408"/>
      <c r="BA26" s="408">
        <f t="shared" ref="BA26:BA29" si="160">BA25+1</f>
        <v>2028</v>
      </c>
      <c r="BB26" s="403">
        <f t="shared" si="118"/>
        <v>406.81874073172759</v>
      </c>
      <c r="BC26" s="418">
        <f t="shared" si="140"/>
        <v>1.0086020257805395</v>
      </c>
      <c r="BD26" s="403">
        <f t="shared" si="141"/>
        <v>11.164583333333326</v>
      </c>
      <c r="BE26" s="403">
        <f t="shared" si="142"/>
        <v>417.98332406506097</v>
      </c>
      <c r="BF26" s="408"/>
      <c r="BG26" s="408">
        <f t="shared" ref="BG26:BG29" si="161">BG25+1</f>
        <v>2028</v>
      </c>
      <c r="BH26" s="403">
        <f t="shared" si="119"/>
        <v>3</v>
      </c>
      <c r="BI26" s="418">
        <f t="shared" si="143"/>
        <v>1</v>
      </c>
      <c r="BJ26" s="403">
        <f t="shared" si="144"/>
        <v>2.9427083333333317</v>
      </c>
      <c r="BK26" s="403">
        <f t="shared" si="145"/>
        <v>5.9427083333333321</v>
      </c>
      <c r="BL26" s="408"/>
      <c r="BM26" s="408">
        <f t="shared" ref="BM26:BM29" si="162">BM25+1</f>
        <v>2028</v>
      </c>
      <c r="BN26" s="403">
        <f t="shared" si="120"/>
        <v>14592.371622410006</v>
      </c>
      <c r="BO26" s="418">
        <f t="shared" si="146"/>
        <v>1.0174463356587706</v>
      </c>
      <c r="BP26" s="408"/>
      <c r="BQ26" s="408">
        <f t="shared" ref="BQ26:BQ29" si="163">BQ25+1</f>
        <v>2028</v>
      </c>
      <c r="BR26" s="403">
        <f t="shared" si="121"/>
        <v>46.442397298277456</v>
      </c>
      <c r="BS26" s="418">
        <f t="shared" si="147"/>
        <v>1.0146609634490524</v>
      </c>
      <c r="BT26" s="418"/>
      <c r="BU26" s="408">
        <f t="shared" ref="BU26:BU29" si="164">BU25+1</f>
        <v>2028</v>
      </c>
      <c r="BV26" s="403">
        <f t="shared" si="122"/>
        <v>396.3420378896007</v>
      </c>
      <c r="BW26" s="418">
        <f t="shared" si="148"/>
        <v>1.0052493146153938</v>
      </c>
      <c r="CH26" s="421"/>
    </row>
    <row r="27" spans="1:86">
      <c r="B27" s="408">
        <f t="shared" si="149"/>
        <v>2029</v>
      </c>
      <c r="C27" s="403">
        <f t="shared" ca="1" si="107"/>
        <v>126024.19465642334</v>
      </c>
      <c r="D27" s="418">
        <f t="shared" ca="1" si="123"/>
        <v>1.0154420049052009</v>
      </c>
      <c r="E27" s="408"/>
      <c r="F27" s="408">
        <f t="shared" si="150"/>
        <v>2029</v>
      </c>
      <c r="G27" s="403">
        <f t="shared" si="108"/>
        <v>1539.381225192612</v>
      </c>
      <c r="H27" s="418">
        <f t="shared" si="124"/>
        <v>0.99771960055035824</v>
      </c>
      <c r="I27" s="408"/>
      <c r="J27" s="408">
        <f t="shared" si="151"/>
        <v>2029</v>
      </c>
      <c r="K27" s="403">
        <f t="shared" si="109"/>
        <v>9761.5782291017476</v>
      </c>
      <c r="L27" s="418">
        <f t="shared" si="125"/>
        <v>1.0066700334846936</v>
      </c>
      <c r="M27" s="408"/>
      <c r="N27" s="408">
        <f t="shared" si="152"/>
        <v>2029</v>
      </c>
      <c r="O27" s="403">
        <f>AVERAGEIFS(O$33:O$128,$A$33:$A$128,N27)</f>
        <v>1102.5099118056878</v>
      </c>
      <c r="P27" s="418">
        <f t="shared" si="126"/>
        <v>1.003318104635208</v>
      </c>
      <c r="Q27" s="423">
        <f>AVERAGEIFS(Q$33:Q$128,$A$33:$A$128,N27)</f>
        <v>11.108333333333333</v>
      </c>
      <c r="R27" s="403">
        <f>AVERAGEIFS(R$33:R$128,$A$33:$A$128,N27)</f>
        <v>1113.6182451390212</v>
      </c>
      <c r="S27" s="408"/>
      <c r="T27" s="408">
        <f t="shared" si="153"/>
        <v>2029</v>
      </c>
      <c r="U27" s="403">
        <f t="shared" si="111"/>
        <v>5</v>
      </c>
      <c r="V27" s="418">
        <f t="shared" si="129"/>
        <v>1</v>
      </c>
      <c r="W27" s="423">
        <f t="shared" si="130"/>
        <v>4.2541666666666691</v>
      </c>
      <c r="X27" s="403">
        <f t="shared" si="131"/>
        <v>9.2541666666666682</v>
      </c>
      <c r="Y27" s="408"/>
      <c r="Z27" s="408">
        <f t="shared" si="154"/>
        <v>2029</v>
      </c>
      <c r="AA27" s="403">
        <f t="shared" si="112"/>
        <v>5</v>
      </c>
      <c r="AB27" s="418">
        <f t="shared" si="132"/>
        <v>1</v>
      </c>
      <c r="AC27" s="403">
        <f t="shared" si="133"/>
        <v>0.99999999999999944</v>
      </c>
      <c r="AD27" s="403">
        <f t="shared" si="134"/>
        <v>5.9999999999999991</v>
      </c>
      <c r="AE27" s="418"/>
      <c r="AF27" s="408">
        <f t="shared" si="155"/>
        <v>2029</v>
      </c>
      <c r="AG27" s="403">
        <f t="shared" si="113"/>
        <v>34635.687954802408</v>
      </c>
      <c r="AH27" s="418">
        <f t="shared" si="135"/>
        <v>1.0110348087469665</v>
      </c>
      <c r="AI27" s="408"/>
      <c r="AJ27" s="408">
        <f t="shared" si="156"/>
        <v>2029</v>
      </c>
      <c r="AK27" s="403">
        <f t="shared" si="114"/>
        <v>213.56798032369252</v>
      </c>
      <c r="AL27" s="418">
        <f t="shared" si="136"/>
        <v>0.98043494310188073</v>
      </c>
      <c r="AN27" s="408">
        <f t="shared" si="157"/>
        <v>2029</v>
      </c>
      <c r="AO27" s="403">
        <f t="shared" si="115"/>
        <v>775.08855969192416</v>
      </c>
      <c r="AP27" s="418">
        <f t="shared" si="137"/>
        <v>0.99145409273288365</v>
      </c>
      <c r="AQ27" s="404"/>
      <c r="AS27" s="408">
        <f t="shared" si="158"/>
        <v>2029</v>
      </c>
      <c r="AT27" s="403">
        <f t="shared" ca="1" si="116"/>
        <v>48757.126914828092</v>
      </c>
      <c r="AU27" s="418">
        <f t="shared" ca="1" si="138"/>
        <v>1.0172495181670027</v>
      </c>
      <c r="AV27" s="408"/>
      <c r="AW27" s="408">
        <f t="shared" si="159"/>
        <v>2029</v>
      </c>
      <c r="AX27" s="403">
        <f t="shared" si="117"/>
        <v>2604.3234498448514</v>
      </c>
      <c r="AY27" s="418">
        <f t="shared" si="139"/>
        <v>1.0130202049513821</v>
      </c>
      <c r="AZ27" s="408"/>
      <c r="BA27" s="408">
        <f t="shared" si="160"/>
        <v>2029</v>
      </c>
      <c r="BB27" s="403">
        <f t="shared" si="118"/>
        <v>410.31820602750844</v>
      </c>
      <c r="BC27" s="418">
        <f t="shared" si="140"/>
        <v>1.0086020257805393</v>
      </c>
      <c r="BD27" s="403">
        <f t="shared" si="141"/>
        <v>12.457291666666661</v>
      </c>
      <c r="BE27" s="403">
        <f t="shared" si="142"/>
        <v>422.77549769417504</v>
      </c>
      <c r="BF27" s="408"/>
      <c r="BG27" s="408">
        <f t="shared" si="161"/>
        <v>2029</v>
      </c>
      <c r="BH27" s="403">
        <f t="shared" si="119"/>
        <v>3</v>
      </c>
      <c r="BI27" s="418">
        <f t="shared" si="143"/>
        <v>1</v>
      </c>
      <c r="BJ27" s="403">
        <f t="shared" si="144"/>
        <v>2.9999999999999978</v>
      </c>
      <c r="BK27" s="403">
        <f t="shared" si="145"/>
        <v>5.9999999999999991</v>
      </c>
      <c r="BL27" s="408"/>
      <c r="BM27" s="408">
        <f t="shared" si="162"/>
        <v>2029</v>
      </c>
      <c r="BN27" s="403">
        <f t="shared" si="120"/>
        <v>14846.955035792089</v>
      </c>
      <c r="BO27" s="418">
        <f t="shared" si="146"/>
        <v>1.0174463356587704</v>
      </c>
      <c r="BP27" s="408"/>
      <c r="BQ27" s="408">
        <f t="shared" si="163"/>
        <v>2029</v>
      </c>
      <c r="BR27" s="403">
        <f t="shared" si="121"/>
        <v>47.123287587553826</v>
      </c>
      <c r="BS27" s="418">
        <f t="shared" si="147"/>
        <v>1.0146609634490513</v>
      </c>
      <c r="BT27" s="418"/>
      <c r="BU27" s="408">
        <f t="shared" si="164"/>
        <v>2029</v>
      </c>
      <c r="BV27" s="403">
        <f t="shared" si="122"/>
        <v>398.42256194178958</v>
      </c>
      <c r="BW27" s="418">
        <f t="shared" si="148"/>
        <v>1.0052493146153938</v>
      </c>
      <c r="CH27" s="421"/>
    </row>
    <row r="28" spans="1:86">
      <c r="B28" s="408">
        <f t="shared" si="149"/>
        <v>2030</v>
      </c>
      <c r="C28" s="403">
        <f t="shared" ca="1" si="107"/>
        <v>128017.6351365939</v>
      </c>
      <c r="D28" s="418">
        <f t="shared" ca="1" si="123"/>
        <v>1.0158179188179319</v>
      </c>
      <c r="E28" s="408"/>
      <c r="F28" s="408">
        <f t="shared" si="150"/>
        <v>2030</v>
      </c>
      <c r="G28" s="403">
        <f t="shared" si="108"/>
        <v>1535.8708210938942</v>
      </c>
      <c r="H28" s="418">
        <f t="shared" si="124"/>
        <v>0.99771960055035847</v>
      </c>
      <c r="I28" s="408"/>
      <c r="J28" s="408">
        <f t="shared" si="151"/>
        <v>2030</v>
      </c>
      <c r="K28" s="403">
        <f t="shared" si="109"/>
        <v>9826.6882827533191</v>
      </c>
      <c r="L28" s="418">
        <f t="shared" si="125"/>
        <v>1.0066700334846943</v>
      </c>
      <c r="M28" s="299"/>
      <c r="N28" s="408">
        <f t="shared" si="152"/>
        <v>2030</v>
      </c>
      <c r="O28" s="403">
        <f t="shared" si="110"/>
        <v>1106.1681550544135</v>
      </c>
      <c r="P28" s="418">
        <f t="shared" si="126"/>
        <v>1.0033181046352084</v>
      </c>
      <c r="Q28" s="423">
        <f t="shared" si="127"/>
        <v>11.200000000000003</v>
      </c>
      <c r="R28" s="403">
        <f t="shared" si="128"/>
        <v>1117.3681550544138</v>
      </c>
      <c r="S28" s="408"/>
      <c r="T28" s="408">
        <f t="shared" si="153"/>
        <v>2030</v>
      </c>
      <c r="U28" s="403">
        <f t="shared" si="111"/>
        <v>5</v>
      </c>
      <c r="V28" s="418">
        <f t="shared" si="129"/>
        <v>1</v>
      </c>
      <c r="W28" s="423">
        <f t="shared" si="130"/>
        <v>4.3000000000000043</v>
      </c>
      <c r="X28" s="403">
        <f t="shared" si="131"/>
        <v>9.300000000000006</v>
      </c>
      <c r="Y28" s="408"/>
      <c r="Z28" s="408">
        <f t="shared" si="154"/>
        <v>2030</v>
      </c>
      <c r="AA28" s="403">
        <f t="shared" si="112"/>
        <v>5</v>
      </c>
      <c r="AB28" s="418">
        <f t="shared" si="132"/>
        <v>1</v>
      </c>
      <c r="AC28" s="403">
        <f t="shared" si="133"/>
        <v>0.99999999999999944</v>
      </c>
      <c r="AD28" s="403">
        <f t="shared" si="134"/>
        <v>5.9999999999999991</v>
      </c>
      <c r="AE28" s="418"/>
      <c r="AF28" s="408">
        <f t="shared" si="155"/>
        <v>2030</v>
      </c>
      <c r="AG28" s="403">
        <f t="shared" si="113"/>
        <v>35017.886147203273</v>
      </c>
      <c r="AH28" s="418">
        <f t="shared" si="135"/>
        <v>1.0110348087469667</v>
      </c>
      <c r="AI28" s="408"/>
      <c r="AJ28" s="408">
        <f t="shared" si="156"/>
        <v>2030</v>
      </c>
      <c r="AK28" s="403">
        <f t="shared" si="114"/>
        <v>209.38951063704306</v>
      </c>
      <c r="AL28" s="418">
        <f t="shared" si="136"/>
        <v>0.98043494310188073</v>
      </c>
      <c r="AN28" s="408">
        <f t="shared" si="157"/>
        <v>2030</v>
      </c>
      <c r="AO28" s="403">
        <f t="shared" si="115"/>
        <v>768.46472473699441</v>
      </c>
      <c r="AP28" s="418">
        <f t="shared" si="137"/>
        <v>0.99145409273288387</v>
      </c>
      <c r="AQ28" s="404"/>
      <c r="AS28" s="408">
        <f t="shared" si="158"/>
        <v>2030</v>
      </c>
      <c r="AT28" s="403">
        <f ca="1">AVERAGEIFS(AT$33:AT$128,$A$33:$A$128,AS28)</f>
        <v>49613.598476663967</v>
      </c>
      <c r="AU28" s="418">
        <f t="shared" ca="1" si="138"/>
        <v>1.0175660793822412</v>
      </c>
      <c r="AV28" s="408"/>
      <c r="AW28" s="408">
        <f t="shared" si="159"/>
        <v>2030</v>
      </c>
      <c r="AX28" s="403">
        <f t="shared" si="117"/>
        <v>2638.2322749215205</v>
      </c>
      <c r="AY28" s="418">
        <f t="shared" si="139"/>
        <v>1.0130202049513815</v>
      </c>
      <c r="AZ28" s="408"/>
      <c r="BA28" s="408">
        <f t="shared" si="160"/>
        <v>2030</v>
      </c>
      <c r="BB28" s="403">
        <f t="shared" si="118"/>
        <v>413.8477738139818</v>
      </c>
      <c r="BC28" s="418">
        <f t="shared" si="140"/>
        <v>1.0086020257805395</v>
      </c>
      <c r="BD28" s="403">
        <f t="shared" si="141"/>
        <v>13.613541666666658</v>
      </c>
      <c r="BE28" s="403">
        <f t="shared" si="142"/>
        <v>427.46131548064847</v>
      </c>
      <c r="BF28" s="408"/>
      <c r="BG28" s="408">
        <f t="shared" si="161"/>
        <v>2030</v>
      </c>
      <c r="BH28" s="403">
        <f t="shared" si="119"/>
        <v>3</v>
      </c>
      <c r="BI28" s="418">
        <f t="shared" si="143"/>
        <v>1</v>
      </c>
      <c r="BJ28" s="403">
        <f t="shared" si="144"/>
        <v>2.9999999999999978</v>
      </c>
      <c r="BK28" s="403">
        <f t="shared" si="145"/>
        <v>5.9999999999999991</v>
      </c>
      <c r="BL28" s="408"/>
      <c r="BM28" s="408">
        <f t="shared" si="162"/>
        <v>2030</v>
      </c>
      <c r="BN28" s="403">
        <f t="shared" si="120"/>
        <v>15105.979996857195</v>
      </c>
      <c r="BO28" s="418">
        <f t="shared" si="146"/>
        <v>1.0174463356587709</v>
      </c>
      <c r="BP28" s="408"/>
      <c r="BQ28" s="408">
        <f t="shared" si="163"/>
        <v>2030</v>
      </c>
      <c r="BR28" s="403">
        <f t="shared" si="121"/>
        <v>47.814160384474128</v>
      </c>
      <c r="BS28" s="418">
        <f t="shared" si="147"/>
        <v>1.0146609634490522</v>
      </c>
      <c r="BT28" s="418"/>
      <c r="BU28" s="408">
        <f t="shared" si="164"/>
        <v>2030</v>
      </c>
      <c r="BV28" s="403">
        <f t="shared" si="122"/>
        <v>400.51400731929334</v>
      </c>
      <c r="BW28" s="418">
        <f t="shared" si="148"/>
        <v>1.005249314615394</v>
      </c>
      <c r="CH28" s="421"/>
    </row>
    <row r="29" spans="1:86">
      <c r="B29" s="408">
        <f t="shared" si="149"/>
        <v>2031</v>
      </c>
      <c r="C29" s="403">
        <f t="shared" ca="1" si="107"/>
        <v>129908.78108451176</v>
      </c>
      <c r="D29" s="418">
        <f t="shared" ca="1" si="123"/>
        <v>1.0147725424383915</v>
      </c>
      <c r="E29" s="408"/>
      <c r="F29" s="408">
        <f t="shared" si="150"/>
        <v>2031</v>
      </c>
      <c r="G29" s="403">
        <f t="shared" si="108"/>
        <v>1532.3684221187507</v>
      </c>
      <c r="H29" s="418">
        <f t="shared" si="124"/>
        <v>0.99771960055035813</v>
      </c>
      <c r="I29" s="408"/>
      <c r="J29" s="408">
        <f t="shared" si="151"/>
        <v>2031</v>
      </c>
      <c r="K29" s="403">
        <f t="shared" si="109"/>
        <v>9892.2326226429323</v>
      </c>
      <c r="L29" s="418">
        <f t="shared" si="125"/>
        <v>1.0066700334846939</v>
      </c>
      <c r="M29" s="299"/>
      <c r="N29" s="408">
        <f t="shared" si="152"/>
        <v>2031</v>
      </c>
      <c r="O29" s="403">
        <f t="shared" si="110"/>
        <v>1109.8385367370199</v>
      </c>
      <c r="P29" s="418">
        <f t="shared" si="126"/>
        <v>1.0033181046352089</v>
      </c>
      <c r="Q29" s="423">
        <f>AVERAGEIFS(Q$33:Q$128,$A$33:$A$128,N29)</f>
        <v>11.200000000000003</v>
      </c>
      <c r="R29" s="403">
        <f>AVERAGEIFS(R$33:R$128,$A$33:$A$128,N29)</f>
        <v>1121.0385367370197</v>
      </c>
      <c r="S29" s="408"/>
      <c r="T29" s="408">
        <f t="shared" si="153"/>
        <v>2031</v>
      </c>
      <c r="U29" s="403">
        <f t="shared" si="111"/>
        <v>5</v>
      </c>
      <c r="V29" s="418">
        <f t="shared" si="129"/>
        <v>1</v>
      </c>
      <c r="W29" s="423">
        <f t="shared" si="130"/>
        <v>4.3000000000000043</v>
      </c>
      <c r="X29" s="403">
        <f t="shared" si="131"/>
        <v>9.300000000000006</v>
      </c>
      <c r="Y29" s="408"/>
      <c r="Z29" s="408">
        <f t="shared" si="154"/>
        <v>2031</v>
      </c>
      <c r="AA29" s="403">
        <f t="shared" si="112"/>
        <v>5</v>
      </c>
      <c r="AB29" s="418">
        <f t="shared" si="132"/>
        <v>1</v>
      </c>
      <c r="AC29" s="403">
        <f t="shared" si="133"/>
        <v>0.99999999999999944</v>
      </c>
      <c r="AD29" s="403">
        <f t="shared" si="134"/>
        <v>5.9999999999999991</v>
      </c>
      <c r="AE29" s="418"/>
      <c r="AF29" s="408">
        <f t="shared" si="155"/>
        <v>2031</v>
      </c>
      <c r="AG29" s="403">
        <f t="shared" si="113"/>
        <v>35404.301823560694</v>
      </c>
      <c r="AH29" s="418">
        <f t="shared" si="135"/>
        <v>1.0110348087469661</v>
      </c>
      <c r="AI29" s="408"/>
      <c r="AJ29" s="408">
        <f t="shared" si="156"/>
        <v>2031</v>
      </c>
      <c r="AK29" s="403">
        <f t="shared" si="114"/>
        <v>205.29279294756</v>
      </c>
      <c r="AL29" s="418">
        <f t="shared" si="136"/>
        <v>0.98043494310188095</v>
      </c>
      <c r="AN29" s="408">
        <f t="shared" si="157"/>
        <v>2031</v>
      </c>
      <c r="AO29" s="403">
        <f t="shared" si="115"/>
        <v>761.89749646134203</v>
      </c>
      <c r="AP29" s="418">
        <f t="shared" si="137"/>
        <v>0.99145409273288376</v>
      </c>
      <c r="AQ29" s="404"/>
      <c r="AS29" s="408">
        <f t="shared" si="158"/>
        <v>2031</v>
      </c>
      <c r="AT29" s="403">
        <f ca="1">AVERAGEIFS(AT$33:AT$128,$A$33:$A$128,AS29)</f>
        <v>50393.956163665607</v>
      </c>
      <c r="AU29" s="418">
        <f t="shared" ca="1" si="138"/>
        <v>1.0157287056565487</v>
      </c>
      <c r="AV29" s="408"/>
      <c r="AW29" s="408">
        <f t="shared" si="159"/>
        <v>2031</v>
      </c>
      <c r="AX29" s="403">
        <f t="shared" si="117"/>
        <v>2672.5825998503497</v>
      </c>
      <c r="AY29" s="418">
        <f t="shared" si="139"/>
        <v>1.0130202049513821</v>
      </c>
      <c r="AZ29" s="408"/>
      <c r="BA29" s="408">
        <f t="shared" si="160"/>
        <v>2031</v>
      </c>
      <c r="BB29" s="403">
        <f t="shared" si="118"/>
        <v>417.40770303354844</v>
      </c>
      <c r="BC29" s="418">
        <f t="shared" si="140"/>
        <v>1.0086020257805393</v>
      </c>
      <c r="BD29" s="403">
        <f t="shared" si="141"/>
        <v>14.75729166666666</v>
      </c>
      <c r="BE29" s="403">
        <f t="shared" si="142"/>
        <v>432.16499470021517</v>
      </c>
      <c r="BF29" s="408"/>
      <c r="BG29" s="408">
        <f t="shared" si="161"/>
        <v>2031</v>
      </c>
      <c r="BH29" s="403">
        <f t="shared" si="119"/>
        <v>3</v>
      </c>
      <c r="BI29" s="418">
        <f t="shared" si="143"/>
        <v>1</v>
      </c>
      <c r="BJ29" s="403">
        <f t="shared" si="144"/>
        <v>2.9999999999999978</v>
      </c>
      <c r="BK29" s="403">
        <f t="shared" si="145"/>
        <v>5.9999999999999991</v>
      </c>
      <c r="BL29" s="408"/>
      <c r="BM29" s="408">
        <f t="shared" si="162"/>
        <v>2031</v>
      </c>
      <c r="BN29" s="403">
        <f t="shared" si="120"/>
        <v>15369.52399433704</v>
      </c>
      <c r="BO29" s="418">
        <f t="shared" si="146"/>
        <v>1.0174463356587706</v>
      </c>
      <c r="BP29" s="408"/>
      <c r="BQ29" s="408">
        <f t="shared" si="163"/>
        <v>2031</v>
      </c>
      <c r="BR29" s="403">
        <f t="shared" si="121"/>
        <v>48.515162042218009</v>
      </c>
      <c r="BS29" s="418">
        <f t="shared" si="147"/>
        <v>1.014660963449052</v>
      </c>
      <c r="BT29" s="418"/>
      <c r="BU29" s="408">
        <f t="shared" si="164"/>
        <v>2031</v>
      </c>
      <c r="BV29" s="403">
        <f t="shared" si="122"/>
        <v>402.61643135158437</v>
      </c>
      <c r="BW29" s="418">
        <f t="shared" si="148"/>
        <v>1.0052493146153936</v>
      </c>
      <c r="CH29" s="421"/>
    </row>
    <row r="30" spans="1:86">
      <c r="H30" s="417"/>
      <c r="L30" s="417"/>
      <c r="M30" s="299"/>
      <c r="R30" s="588"/>
      <c r="X30" s="588"/>
      <c r="AD30" s="588"/>
      <c r="AQ30" s="404"/>
      <c r="AY30" s="417"/>
      <c r="BC30" s="417"/>
      <c r="BD30" s="417"/>
      <c r="BE30" s="588"/>
      <c r="BK30" s="588"/>
      <c r="CH30" s="421"/>
    </row>
    <row r="31" spans="1:86">
      <c r="A31" s="416" t="s">
        <v>683</v>
      </c>
      <c r="C31" s="412" t="str">
        <f ca="1">IF(ROUND(C28,0)=ROUND(C18,0),IF(ROUND(C29,0)=ROUND(C19,0),"Match","Check"),"Check")</f>
        <v>Match</v>
      </c>
      <c r="G31" s="412" t="str">
        <f>IF(ROUND(G28,0)=ROUND(G18,0),IF(ROUND(G29,0)=ROUND(G19,0),"Match","Check"),"Check")</f>
        <v>Match</v>
      </c>
      <c r="K31" s="412" t="str">
        <f>IF(ROUND(K28,0)=ROUND(K18,0),IF(ROUND(K29,0)=ROUND(K19,0),"Match","Check"),"Check")</f>
        <v>Match</v>
      </c>
      <c r="M31" s="299"/>
      <c r="O31" s="412" t="str">
        <f>IF(ROUND(O28,0)=ROUND(O18,0),IF(ROUND(O29,0)=ROUND(O19,0),"Match","Check"),"Check")</f>
        <v>Match</v>
      </c>
      <c r="U31" s="412" t="str">
        <f>IF(ROUND(U28,0)=ROUND(U18,0),IF(ROUND(U29,0)=ROUND(U19,0),"Match","Check"),"Check")</f>
        <v>Match</v>
      </c>
      <c r="AA31" s="412" t="str">
        <f>IF(ROUND(AA28,0)=ROUND(AA18,0),IF(ROUND(AA29,0)=ROUND(AA19,0),"Match","Check"),"Check")</f>
        <v>Match</v>
      </c>
      <c r="AG31" s="412" t="str">
        <f>IF(ROUND(AG28,0)=ROUND(AG18,0),IF(ROUND(AG29,0)=ROUND(AG19,0),"Match","Check"),"Check")</f>
        <v>Match</v>
      </c>
      <c r="AK31" s="412" t="str">
        <f>IF(ROUND(AK28,0)=ROUND(AK18,0),IF(ROUND(AK29,0)=ROUND(AK19,0),"Match","Check"),"Check")</f>
        <v>Match</v>
      </c>
      <c r="AO31" s="412" t="str">
        <f>IF(ROUND(AO28,0)=ROUND(AO18,0),IF(ROUND(AO29,0)=ROUND(AO19,0),"Match","Check"),"Check")</f>
        <v>Match</v>
      </c>
      <c r="AQ31" s="404"/>
      <c r="AT31" s="412" t="str">
        <f ca="1">IF(ROUND(AT28,0)=ROUND(AT18,0),IF(ROUND(AT29,0)=ROUND(AT19,0),"Match","Check"),"Check")</f>
        <v>Match</v>
      </c>
      <c r="AX31" s="412" t="str">
        <f>IF(ROUND(AX28,0)=ROUND(AX18,0),IF(ROUND(AX29,0)=ROUND(AX19,0),"Match","Check"),"Check")</f>
        <v>Match</v>
      </c>
      <c r="BB31" s="412" t="str">
        <f>IF(ROUND(BB28,0)=ROUND(BB18,0),IF(ROUND(BB29,0)=ROUND(BB19,0),"Match","Check"),"Check")</f>
        <v>Match</v>
      </c>
      <c r="BH31" s="412" t="str">
        <f>IF(ROUND(BH28,0)=ROUND(BH18,0),IF(ROUND(BH29,0)=ROUND(BH19,0),"Match","Check"),"Check")</f>
        <v>Match</v>
      </c>
      <c r="BN31" s="412" t="str">
        <f>IF(ROUND(BN28,0)=ROUND(BN18,0),IF(ROUND(BN29,0)=ROUND(BN19,0),"Match","Check"),"Check")</f>
        <v>Match</v>
      </c>
      <c r="BR31" s="412" t="str">
        <f>IF(ROUND(BR28,0)=ROUND(BR18,0),IF(ROUND(BR29,0)=ROUND(BR19,0),"Match","Check"),"Check")</f>
        <v>Match</v>
      </c>
      <c r="BV31" s="412" t="str">
        <f>IF(ROUND(BV28,0)=ROUND(BV18,0),IF(ROUND(BV29,0)=ROUND(BV19,0),"Match","Check"),"Check")</f>
        <v>Match</v>
      </c>
    </row>
    <row r="32" spans="1:86">
      <c r="A32" s="420"/>
      <c r="C32" s="412"/>
      <c r="G32" s="412"/>
      <c r="H32" s="415"/>
      <c r="K32" s="412"/>
      <c r="M32" s="299"/>
      <c r="N32" s="300"/>
      <c r="AA32" s="412"/>
      <c r="AK32" s="412"/>
      <c r="AO32" s="412"/>
      <c r="AQ32" s="404"/>
      <c r="AT32" s="412"/>
      <c r="AX32" s="412"/>
      <c r="AY32" s="415"/>
      <c r="BB32" s="412"/>
      <c r="BR32" s="412"/>
      <c r="CH32" s="420"/>
    </row>
    <row r="33" spans="1:75">
      <c r="A33" s="9">
        <v>2024</v>
      </c>
      <c r="B33" s="9" t="s">
        <v>147</v>
      </c>
      <c r="C33" s="529">
        <f>'Monthly Data'!AT98</f>
        <v>116599.75</v>
      </c>
      <c r="D33" s="530"/>
      <c r="E33" s="11"/>
      <c r="F33" s="11"/>
      <c r="G33" s="531">
        <f>'Monthly Data'!AU98</f>
        <v>1563.6666666666667</v>
      </c>
      <c r="H33" s="530"/>
      <c r="I33" s="11"/>
      <c r="J33" s="11"/>
      <c r="K33" s="529">
        <f>'Monthly Data'!AV98</f>
        <v>9497.75</v>
      </c>
      <c r="L33" s="530"/>
      <c r="M33" s="11"/>
      <c r="N33" s="531"/>
      <c r="O33" s="529">
        <f>'Monthly Data'!AW98</f>
        <v>1043.8333333333333</v>
      </c>
      <c r="P33" s="530"/>
      <c r="Q33" s="530"/>
      <c r="R33" s="530"/>
      <c r="S33" s="531"/>
      <c r="T33" s="531"/>
      <c r="U33" s="529">
        <f>'Monthly Data'!AX98</f>
        <v>5</v>
      </c>
      <c r="V33" s="530"/>
      <c r="W33" s="530"/>
      <c r="X33" s="530"/>
      <c r="Y33" s="531"/>
      <c r="Z33" s="11"/>
      <c r="AA33" s="529">
        <f>'Monthly Data'!AY98</f>
        <v>5</v>
      </c>
      <c r="AB33" s="532"/>
      <c r="AC33" s="532"/>
      <c r="AD33" s="532"/>
      <c r="AE33" s="532"/>
      <c r="AF33" s="532"/>
      <c r="AG33" s="529">
        <f>'Monthly Data'!AZ98</f>
        <v>32426.833333333332</v>
      </c>
      <c r="AH33" s="532"/>
      <c r="AI33" s="11"/>
      <c r="AJ33" s="11"/>
      <c r="AK33" s="529">
        <f>'Monthly Data'!BA98</f>
        <v>240.58333333333334</v>
      </c>
      <c r="AL33" s="532"/>
      <c r="AN33" s="11"/>
      <c r="AO33" s="529">
        <f>'Monthly Data'!BB98</f>
        <v>792.83333333333337</v>
      </c>
      <c r="AP33" s="532"/>
      <c r="AQ33" s="404"/>
      <c r="AT33" s="529">
        <f>'Monthly Data'!CG98</f>
        <v>45354.25</v>
      </c>
      <c r="AU33" s="530"/>
      <c r="AV33" s="11"/>
      <c r="AW33" s="11"/>
      <c r="AX33" s="531">
        <f>'Monthly Data'!CH98</f>
        <v>2456.5</v>
      </c>
      <c r="AY33" s="530"/>
      <c r="AZ33" s="11"/>
      <c r="BA33" s="11"/>
      <c r="BB33" s="529">
        <f>'Monthly Data'!CI98</f>
        <v>387.25</v>
      </c>
      <c r="BC33" s="530"/>
      <c r="BD33" s="530"/>
      <c r="BE33" s="530"/>
      <c r="BF33" s="11"/>
      <c r="BG33" s="531"/>
      <c r="BH33" s="529">
        <f>'Monthly Data'!CJ98</f>
        <v>3</v>
      </c>
      <c r="BI33" s="530"/>
      <c r="BJ33" s="530"/>
      <c r="BK33" s="530"/>
      <c r="BL33" s="531"/>
      <c r="BM33" s="531"/>
      <c r="BN33" s="529">
        <f>'Monthly Data'!CK98</f>
        <v>13653</v>
      </c>
      <c r="BO33" s="530"/>
      <c r="BP33" s="531"/>
      <c r="BQ33" s="11"/>
      <c r="BR33" s="529">
        <f>'Monthly Data'!CL98</f>
        <v>45.916666666666664</v>
      </c>
      <c r="BS33" s="532"/>
      <c r="BT33" s="532"/>
      <c r="BU33" s="532"/>
      <c r="BV33" s="529">
        <f>'Monthly Data'!CM98</f>
        <v>404.5</v>
      </c>
      <c r="BW33" s="532"/>
    </row>
    <row r="34" spans="1:75">
      <c r="A34" s="9">
        <f>A33</f>
        <v>2024</v>
      </c>
      <c r="B34" s="9" t="s">
        <v>148</v>
      </c>
      <c r="C34" s="414">
        <f>'Monthly Data'!AT99</f>
        <v>116755.5</v>
      </c>
      <c r="D34" s="419">
        <f t="shared" ref="D34:D44" si="165">C34/C33</f>
        <v>1.001335766157303</v>
      </c>
      <c r="E34" s="11"/>
      <c r="F34" s="11"/>
      <c r="G34" s="216">
        <f>'Monthly Data'!AU99</f>
        <v>1563.3333333333335</v>
      </c>
      <c r="H34" s="419">
        <f t="shared" ref="H34:H44" si="166">G34/G33</f>
        <v>0.99978682583670864</v>
      </c>
      <c r="I34" s="11"/>
      <c r="J34" s="11"/>
      <c r="K34" s="414">
        <f>'Monthly Data'!AV99</f>
        <v>9498.5</v>
      </c>
      <c r="L34" s="419">
        <f t="shared" ref="L34:L44" si="167">K34/K33</f>
        <v>1.0000789660709115</v>
      </c>
      <c r="M34" s="11"/>
      <c r="N34" s="216"/>
      <c r="O34" s="414">
        <f>'Monthly Data'!AW99</f>
        <v>1046.6666666666665</v>
      </c>
      <c r="P34" s="419">
        <f t="shared" ref="P34:P44" si="168">O34/O33</f>
        <v>1.0027143541433816</v>
      </c>
      <c r="Q34" s="419"/>
      <c r="R34" s="419"/>
      <c r="S34" s="216"/>
      <c r="T34" s="216"/>
      <c r="U34" s="414">
        <f>'Monthly Data'!AX99</f>
        <v>5</v>
      </c>
      <c r="V34" s="419">
        <f t="shared" ref="V34:V44" si="169">U34/U33</f>
        <v>1</v>
      </c>
      <c r="W34" s="419"/>
      <c r="X34" s="419"/>
      <c r="Y34" s="216"/>
      <c r="Z34" s="11"/>
      <c r="AA34" s="414">
        <f>'Monthly Data'!AY99</f>
        <v>5</v>
      </c>
      <c r="AB34" s="415">
        <f t="shared" ref="AB34:AB44" si="170">AA34/AA33</f>
        <v>1</v>
      </c>
      <c r="AC34" s="415"/>
      <c r="AD34" s="415"/>
      <c r="AE34" s="415"/>
      <c r="AF34" s="415"/>
      <c r="AG34" s="414">
        <f>'Monthly Data'!AZ99</f>
        <v>32479.666666666664</v>
      </c>
      <c r="AH34" s="415">
        <f t="shared" ref="AH34:AH44" si="171">AG34/AG33</f>
        <v>1.0016293090598836</v>
      </c>
      <c r="AI34" s="11"/>
      <c r="AJ34" s="11"/>
      <c r="AK34" s="414">
        <f>'Monthly Data'!BA99</f>
        <v>240.16666666666669</v>
      </c>
      <c r="AL34" s="415">
        <f t="shared" ref="AL34:AL44" si="172">AK34/AK33</f>
        <v>0.99826809837201247</v>
      </c>
      <c r="AN34" s="11"/>
      <c r="AO34" s="414">
        <f>'Monthly Data'!BB99</f>
        <v>788.66666666666674</v>
      </c>
      <c r="AP34" s="415">
        <f t="shared" ref="AP34:AP44" si="173">AO34/AO33</f>
        <v>0.99474458692453227</v>
      </c>
      <c r="AQ34" s="404"/>
      <c r="AT34" s="414">
        <f>'Monthly Data'!CG99</f>
        <v>45384.5</v>
      </c>
      <c r="AU34" s="419">
        <f t="shared" ref="AU34:AU44" si="174">AT34/AT33</f>
        <v>1.0006669716729966</v>
      </c>
      <c r="AV34" s="11"/>
      <c r="AW34" s="11"/>
      <c r="AX34" s="216">
        <f>'Monthly Data'!CH99</f>
        <v>2458</v>
      </c>
      <c r="AY34" s="419">
        <f t="shared" ref="AY34:AY44" si="175">AX34/AX33</f>
        <v>1.0006106248727864</v>
      </c>
      <c r="AZ34" s="11"/>
      <c r="BA34" s="11"/>
      <c r="BB34" s="414">
        <f>'Monthly Data'!CI99</f>
        <v>387.5</v>
      </c>
      <c r="BC34" s="419">
        <f t="shared" ref="BC34:BC44" si="176">BB34/BB33</f>
        <v>1.0006455777921239</v>
      </c>
      <c r="BD34" s="419"/>
      <c r="BE34" s="419"/>
      <c r="BF34" s="11"/>
      <c r="BG34" s="216"/>
      <c r="BH34" s="414">
        <f>'Monthly Data'!CJ99</f>
        <v>3</v>
      </c>
      <c r="BI34" s="419">
        <f t="shared" ref="BI34:BI44" si="177">BH34/BH33</f>
        <v>1</v>
      </c>
      <c r="BJ34" s="419"/>
      <c r="BK34" s="419"/>
      <c r="BL34" s="216"/>
      <c r="BM34" s="216"/>
      <c r="BN34" s="414">
        <f>'Monthly Data'!CK99</f>
        <v>13663</v>
      </c>
      <c r="BO34" s="419">
        <f t="shared" ref="BO34:BO44" si="178">BN34/BN33</f>
        <v>1.00073243975683</v>
      </c>
      <c r="BP34" s="216"/>
      <c r="BQ34" s="11"/>
      <c r="BR34" s="414">
        <f>'Monthly Data'!CL99</f>
        <v>45.833333333333329</v>
      </c>
      <c r="BS34" s="415">
        <f t="shared" ref="BS34:BS43" si="179">BR34/BR33</f>
        <v>0.99818511796733211</v>
      </c>
      <c r="BT34" s="415"/>
      <c r="BU34" s="415"/>
      <c r="BV34" s="414">
        <f>'Monthly Data'!CM99</f>
        <v>403</v>
      </c>
      <c r="BW34" s="415">
        <f t="shared" ref="BW34:BW43" si="180">BV34/BV33</f>
        <v>0.99629171817058093</v>
      </c>
    </row>
    <row r="35" spans="1:75">
      <c r="A35" s="9">
        <f t="shared" ref="A35:A43" si="181">A34</f>
        <v>2024</v>
      </c>
      <c r="B35" s="9" t="s">
        <v>149</v>
      </c>
      <c r="C35" s="414">
        <f>'Monthly Data'!AT100</f>
        <v>116911.25</v>
      </c>
      <c r="D35" s="419">
        <f t="shared" si="165"/>
        <v>1.0013339842662659</v>
      </c>
      <c r="E35" s="11"/>
      <c r="F35" s="11"/>
      <c r="G35" s="216">
        <f>'Monthly Data'!AU100</f>
        <v>1563.0000000000002</v>
      </c>
      <c r="H35" s="419">
        <f t="shared" si="166"/>
        <v>0.99978678038379531</v>
      </c>
      <c r="I35" s="11"/>
      <c r="J35" s="11"/>
      <c r="K35" s="414">
        <f>'Monthly Data'!AV100</f>
        <v>9499.25</v>
      </c>
      <c r="L35" s="419">
        <f t="shared" si="167"/>
        <v>1.0000789598357636</v>
      </c>
      <c r="M35" s="11"/>
      <c r="N35" s="216"/>
      <c r="O35" s="414">
        <f>'Monthly Data'!AW100</f>
        <v>1049.4999999999998</v>
      </c>
      <c r="P35" s="419">
        <f t="shared" si="168"/>
        <v>1.0027070063694268</v>
      </c>
      <c r="Q35" s="419"/>
      <c r="R35" s="419"/>
      <c r="S35" s="216"/>
      <c r="T35" s="216"/>
      <c r="U35" s="414">
        <f>'Monthly Data'!AX100</f>
        <v>5</v>
      </c>
      <c r="V35" s="419">
        <f t="shared" si="169"/>
        <v>1</v>
      </c>
      <c r="W35" s="419"/>
      <c r="X35" s="419"/>
      <c r="Y35" s="216"/>
      <c r="Z35" s="11"/>
      <c r="AA35" s="414">
        <f>'Monthly Data'!AY100</f>
        <v>5</v>
      </c>
      <c r="AB35" s="415">
        <f t="shared" si="170"/>
        <v>1</v>
      </c>
      <c r="AC35" s="415"/>
      <c r="AD35" s="415"/>
      <c r="AE35" s="415"/>
      <c r="AF35" s="415"/>
      <c r="AG35" s="414">
        <f>'Monthly Data'!AZ100</f>
        <v>32532.499999999996</v>
      </c>
      <c r="AH35" s="415">
        <f t="shared" si="171"/>
        <v>1.0016266587300773</v>
      </c>
      <c r="AI35" s="11"/>
      <c r="AJ35" s="11"/>
      <c r="AK35" s="414">
        <f>'Monthly Data'!BA100</f>
        <v>239.75000000000003</v>
      </c>
      <c r="AL35" s="415">
        <f t="shared" si="172"/>
        <v>0.9982650936849411</v>
      </c>
      <c r="AN35" s="11"/>
      <c r="AO35" s="414">
        <f>'Monthly Data'!BB100</f>
        <v>784.50000000000011</v>
      </c>
      <c r="AP35" s="415">
        <f t="shared" si="173"/>
        <v>0.99471682163989861</v>
      </c>
      <c r="AQ35" s="404"/>
      <c r="AT35" s="414">
        <f>'Monthly Data'!CG100</f>
        <v>45414.75</v>
      </c>
      <c r="AU35" s="419">
        <f t="shared" si="174"/>
        <v>1.0006665271182893</v>
      </c>
      <c r="AV35" s="11"/>
      <c r="AW35" s="11"/>
      <c r="AX35" s="216">
        <f>'Monthly Data'!CH100</f>
        <v>2459.5</v>
      </c>
      <c r="AY35" s="419">
        <f t="shared" si="175"/>
        <v>1.0006102522375915</v>
      </c>
      <c r="AZ35" s="11"/>
      <c r="BA35" s="11"/>
      <c r="BB35" s="414">
        <f>'Monthly Data'!CI100</f>
        <v>387.75</v>
      </c>
      <c r="BC35" s="419">
        <f t="shared" si="176"/>
        <v>1.0006451612903227</v>
      </c>
      <c r="BD35" s="419"/>
      <c r="BE35" s="419"/>
      <c r="BF35" s="11"/>
      <c r="BG35" s="216"/>
      <c r="BH35" s="414">
        <f>'Monthly Data'!CJ100</f>
        <v>3</v>
      </c>
      <c r="BI35" s="419">
        <f t="shared" si="177"/>
        <v>1</v>
      </c>
      <c r="BJ35" s="419"/>
      <c r="BK35" s="419"/>
      <c r="BL35" s="216"/>
      <c r="BM35" s="216"/>
      <c r="BN35" s="414">
        <f>'Monthly Data'!CK100</f>
        <v>13673</v>
      </c>
      <c r="BO35" s="419">
        <f t="shared" si="178"/>
        <v>1.0007319036814755</v>
      </c>
      <c r="BP35" s="216"/>
      <c r="BQ35" s="11"/>
      <c r="BR35" s="414">
        <f>'Monthly Data'!CL100</f>
        <v>45.749999999999993</v>
      </c>
      <c r="BS35" s="415">
        <f t="shared" si="179"/>
        <v>0.99818181818181817</v>
      </c>
      <c r="BT35" s="415"/>
      <c r="BU35" s="415"/>
      <c r="BV35" s="414">
        <f>'Monthly Data'!CM100</f>
        <v>401.5</v>
      </c>
      <c r="BW35" s="415">
        <f t="shared" si="180"/>
        <v>0.99627791563275436</v>
      </c>
    </row>
    <row r="36" spans="1:75">
      <c r="A36" s="9">
        <f t="shared" si="181"/>
        <v>2024</v>
      </c>
      <c r="B36" s="9" t="s">
        <v>150</v>
      </c>
      <c r="C36" s="414">
        <f>'Monthly Data'!AT101</f>
        <v>117067</v>
      </c>
      <c r="D36" s="419">
        <f t="shared" si="165"/>
        <v>1.0013322071229245</v>
      </c>
      <c r="E36" s="11"/>
      <c r="F36" s="11"/>
      <c r="G36" s="216">
        <f>'Monthly Data'!AU101</f>
        <v>1562.666666666667</v>
      </c>
      <c r="H36" s="419">
        <f t="shared" si="166"/>
        <v>0.99978673491149506</v>
      </c>
      <c r="I36" s="11"/>
      <c r="J36" s="11"/>
      <c r="K36" s="414">
        <f>'Monthly Data'!AV101</f>
        <v>9500</v>
      </c>
      <c r="L36" s="419">
        <f t="shared" si="167"/>
        <v>1.0000789536016002</v>
      </c>
      <c r="M36" s="11"/>
      <c r="N36" s="216"/>
      <c r="O36" s="414">
        <f>'Monthly Data'!AW101</f>
        <v>1052.333333333333</v>
      </c>
      <c r="P36" s="419">
        <f t="shared" si="168"/>
        <v>1.0026996982690168</v>
      </c>
      <c r="Q36" s="419"/>
      <c r="R36" s="419"/>
      <c r="S36" s="216"/>
      <c r="T36" s="216"/>
      <c r="U36" s="414">
        <f>'Monthly Data'!AX101</f>
        <v>5</v>
      </c>
      <c r="V36" s="419">
        <f t="shared" si="169"/>
        <v>1</v>
      </c>
      <c r="W36" s="419"/>
      <c r="X36" s="419"/>
      <c r="Y36" s="216"/>
      <c r="Z36" s="11"/>
      <c r="AA36" s="414">
        <f>'Monthly Data'!AY101</f>
        <v>5</v>
      </c>
      <c r="AB36" s="415">
        <f t="shared" si="170"/>
        <v>1</v>
      </c>
      <c r="AC36" s="415"/>
      <c r="AD36" s="415"/>
      <c r="AE36" s="415"/>
      <c r="AF36" s="415"/>
      <c r="AG36" s="414">
        <f>'Monthly Data'!AZ101</f>
        <v>32585.333333333328</v>
      </c>
      <c r="AH36" s="415">
        <f t="shared" si="171"/>
        <v>1.0016240170086324</v>
      </c>
      <c r="AI36" s="11"/>
      <c r="AJ36" s="11"/>
      <c r="AK36" s="414">
        <f>'Monthly Data'!BA101</f>
        <v>239.33333333333337</v>
      </c>
      <c r="AL36" s="415">
        <f t="shared" si="172"/>
        <v>0.99826207855404936</v>
      </c>
      <c r="AN36" s="11"/>
      <c r="AO36" s="414">
        <f>'Monthly Data'!BB101</f>
        <v>780.33333333333348</v>
      </c>
      <c r="AP36" s="415">
        <f t="shared" si="173"/>
        <v>0.99468876141916296</v>
      </c>
      <c r="AQ36" s="404"/>
      <c r="AT36" s="414">
        <f>'Monthly Data'!CG101</f>
        <v>45445</v>
      </c>
      <c r="AU36" s="419">
        <f t="shared" si="174"/>
        <v>1.000666083155803</v>
      </c>
      <c r="AV36" s="11"/>
      <c r="AW36" s="11"/>
      <c r="AX36" s="216">
        <f>'Monthly Data'!CH101</f>
        <v>2461</v>
      </c>
      <c r="AY36" s="419">
        <f t="shared" si="175"/>
        <v>1.0006098800569221</v>
      </c>
      <c r="AZ36" s="11"/>
      <c r="BA36" s="11"/>
      <c r="BB36" s="414">
        <f>'Monthly Data'!CI101</f>
        <v>388</v>
      </c>
      <c r="BC36" s="419">
        <f t="shared" si="176"/>
        <v>1.0006447453255964</v>
      </c>
      <c r="BD36" s="419"/>
      <c r="BE36" s="419"/>
      <c r="BF36" s="11"/>
      <c r="BG36" s="216"/>
      <c r="BH36" s="414">
        <f>'Monthly Data'!CJ101</f>
        <v>3</v>
      </c>
      <c r="BI36" s="419">
        <f t="shared" si="177"/>
        <v>1</v>
      </c>
      <c r="BJ36" s="419"/>
      <c r="BK36" s="419"/>
      <c r="BL36" s="216"/>
      <c r="BM36" s="216"/>
      <c r="BN36" s="414">
        <f>'Monthly Data'!CK101</f>
        <v>13683</v>
      </c>
      <c r="BO36" s="419">
        <f t="shared" si="178"/>
        <v>1.0007313683902581</v>
      </c>
      <c r="BP36" s="216"/>
      <c r="BQ36" s="11"/>
      <c r="BR36" s="414">
        <f>'Monthly Data'!CL101</f>
        <v>45.666666666666657</v>
      </c>
      <c r="BS36" s="415">
        <f t="shared" si="179"/>
        <v>0.99817850637522765</v>
      </c>
      <c r="BT36" s="415"/>
      <c r="BU36" s="415"/>
      <c r="BV36" s="414">
        <f>'Monthly Data'!CM101</f>
        <v>400</v>
      </c>
      <c r="BW36" s="415">
        <f t="shared" si="180"/>
        <v>0.99626400996264008</v>
      </c>
    </row>
    <row r="37" spans="1:75">
      <c r="A37" s="9">
        <f t="shared" si="181"/>
        <v>2024</v>
      </c>
      <c r="B37" s="9" t="s">
        <v>151</v>
      </c>
      <c r="C37" s="414">
        <f>'Monthly Data'!AT102</f>
        <v>117222.75</v>
      </c>
      <c r="D37" s="419">
        <f t="shared" si="165"/>
        <v>1.0013304347083294</v>
      </c>
      <c r="E37" s="11"/>
      <c r="F37" s="11"/>
      <c r="G37" s="216">
        <f>'Monthly Data'!AU102</f>
        <v>1562.3333333333337</v>
      </c>
      <c r="H37" s="419">
        <f t="shared" si="166"/>
        <v>0.99978668941979532</v>
      </c>
      <c r="I37" s="11"/>
      <c r="J37" s="11"/>
      <c r="K37" s="414">
        <f>'Monthly Data'!AV102</f>
        <v>9500.75</v>
      </c>
      <c r="L37" s="419">
        <f t="shared" si="167"/>
        <v>1.0000789473684211</v>
      </c>
      <c r="M37" s="11"/>
      <c r="N37" s="216"/>
      <c r="O37" s="414">
        <f>'Monthly Data'!AW102</f>
        <v>1055.1666666666663</v>
      </c>
      <c r="P37" s="419">
        <f t="shared" si="168"/>
        <v>1.0026924295216977</v>
      </c>
      <c r="Q37" s="419"/>
      <c r="R37" s="419"/>
      <c r="S37" s="216"/>
      <c r="T37" s="216"/>
      <c r="U37" s="414">
        <f>'Monthly Data'!AX102</f>
        <v>5</v>
      </c>
      <c r="V37" s="419">
        <f t="shared" si="169"/>
        <v>1</v>
      </c>
      <c r="W37" s="419"/>
      <c r="X37" s="419"/>
      <c r="Y37" s="216"/>
      <c r="Z37" s="11"/>
      <c r="AA37" s="414">
        <f>'Monthly Data'!AY102</f>
        <v>5</v>
      </c>
      <c r="AB37" s="415">
        <f t="shared" si="170"/>
        <v>1</v>
      </c>
      <c r="AC37" s="415"/>
      <c r="AD37" s="415"/>
      <c r="AE37" s="415"/>
      <c r="AF37" s="415"/>
      <c r="AG37" s="414">
        <f>'Monthly Data'!AZ102</f>
        <v>32638.166666666661</v>
      </c>
      <c r="AH37" s="415">
        <f t="shared" si="171"/>
        <v>1.0016213838536765</v>
      </c>
      <c r="AI37" s="11"/>
      <c r="AJ37" s="11"/>
      <c r="AK37" s="414">
        <f>'Monthly Data'!BA102</f>
        <v>238.91666666666671</v>
      </c>
      <c r="AL37" s="415">
        <f t="shared" si="172"/>
        <v>0.99825905292479111</v>
      </c>
      <c r="AN37" s="11"/>
      <c r="AO37" s="414">
        <f>'Monthly Data'!BB102</f>
        <v>776.16666666666686</v>
      </c>
      <c r="AP37" s="415">
        <f t="shared" si="173"/>
        <v>0.99466040153780444</v>
      </c>
      <c r="AQ37" s="404"/>
      <c r="AT37" s="414">
        <f>'Monthly Data'!CG102</f>
        <v>45475.25</v>
      </c>
      <c r="AU37" s="419">
        <f t="shared" si="174"/>
        <v>1.0006656397843547</v>
      </c>
      <c r="AV37" s="11"/>
      <c r="AW37" s="11"/>
      <c r="AX37" s="216">
        <f>'Monthly Data'!CH102</f>
        <v>2462.5</v>
      </c>
      <c r="AY37" s="419">
        <f t="shared" si="175"/>
        <v>1.0006095083299471</v>
      </c>
      <c r="AZ37" s="11"/>
      <c r="BA37" s="11"/>
      <c r="BB37" s="414">
        <f>'Monthly Data'!CI102</f>
        <v>388.25</v>
      </c>
      <c r="BC37" s="419">
        <f t="shared" si="176"/>
        <v>1.0006443298969072</v>
      </c>
      <c r="BD37" s="419"/>
      <c r="BE37" s="419"/>
      <c r="BF37" s="11"/>
      <c r="BG37" s="216"/>
      <c r="BH37" s="414">
        <f>'Monthly Data'!CJ102</f>
        <v>3</v>
      </c>
      <c r="BI37" s="419">
        <f t="shared" si="177"/>
        <v>1</v>
      </c>
      <c r="BJ37" s="419"/>
      <c r="BK37" s="419"/>
      <c r="BL37" s="216"/>
      <c r="BM37" s="216"/>
      <c r="BN37" s="414">
        <f>'Monthly Data'!CK102</f>
        <v>13693</v>
      </c>
      <c r="BO37" s="419">
        <f t="shared" si="178"/>
        <v>1.0007308338814587</v>
      </c>
      <c r="BP37" s="216"/>
      <c r="BQ37" s="11"/>
      <c r="BR37" s="414">
        <f>'Monthly Data'!CL102</f>
        <v>45.583333333333321</v>
      </c>
      <c r="BS37" s="415">
        <f t="shared" si="179"/>
        <v>0.99817518248175174</v>
      </c>
      <c r="BT37" s="415"/>
      <c r="BU37" s="415"/>
      <c r="BV37" s="414">
        <f>'Monthly Data'!CM102</f>
        <v>398.5</v>
      </c>
      <c r="BW37" s="415">
        <f t="shared" si="180"/>
        <v>0.99624999999999997</v>
      </c>
    </row>
    <row r="38" spans="1:75">
      <c r="A38" s="9">
        <f t="shared" si="181"/>
        <v>2024</v>
      </c>
      <c r="B38" s="9" t="s">
        <v>152</v>
      </c>
      <c r="C38" s="414">
        <f>'Monthly Data'!AT103</f>
        <v>117378.5</v>
      </c>
      <c r="D38" s="419">
        <f t="shared" si="165"/>
        <v>1.0013286670036319</v>
      </c>
      <c r="E38" s="11"/>
      <c r="F38" s="11"/>
      <c r="G38" s="216">
        <f>'Monthly Data'!AU103</f>
        <v>1562.0000000000005</v>
      </c>
      <c r="H38" s="419">
        <f t="shared" si="166"/>
        <v>0.99978664390868366</v>
      </c>
      <c r="I38" s="11"/>
      <c r="J38" s="11"/>
      <c r="K38" s="414">
        <f>'Monthly Data'!AV103</f>
        <v>9501.5</v>
      </c>
      <c r="L38" s="419">
        <f t="shared" si="167"/>
        <v>1.0000789411362261</v>
      </c>
      <c r="M38" s="11"/>
      <c r="N38" s="216"/>
      <c r="O38" s="414">
        <f>'Monthly Data'!AW103</f>
        <v>1057.9999999999995</v>
      </c>
      <c r="P38" s="419">
        <f t="shared" si="168"/>
        <v>1.0026851998104565</v>
      </c>
      <c r="Q38" s="419"/>
      <c r="R38" s="419"/>
      <c r="S38" s="216"/>
      <c r="T38" s="216"/>
      <c r="U38" s="414">
        <f>'Monthly Data'!AX103</f>
        <v>5</v>
      </c>
      <c r="V38" s="419">
        <f t="shared" si="169"/>
        <v>1</v>
      </c>
      <c r="W38" s="419"/>
      <c r="X38" s="419"/>
      <c r="Y38" s="216"/>
      <c r="Z38" s="11"/>
      <c r="AA38" s="414">
        <f>'Monthly Data'!AY103</f>
        <v>5</v>
      </c>
      <c r="AB38" s="415">
        <f t="shared" si="170"/>
        <v>1</v>
      </c>
      <c r="AC38" s="415"/>
      <c r="AD38" s="415"/>
      <c r="AE38" s="415"/>
      <c r="AF38" s="415"/>
      <c r="AG38" s="414">
        <f>'Monthly Data'!AZ103</f>
        <v>32690.999999999993</v>
      </c>
      <c r="AH38" s="415">
        <f t="shared" si="171"/>
        <v>1.0016187592236083</v>
      </c>
      <c r="AI38" s="11"/>
      <c r="AJ38" s="11"/>
      <c r="AK38" s="414">
        <f>'Monthly Data'!BA103</f>
        <v>238.50000000000006</v>
      </c>
      <c r="AL38" s="415">
        <f t="shared" si="172"/>
        <v>0.99825601674223929</v>
      </c>
      <c r="AN38" s="11"/>
      <c r="AO38" s="414">
        <f>'Monthly Data'!BB103</f>
        <v>772.00000000000023</v>
      </c>
      <c r="AP38" s="415">
        <f t="shared" si="173"/>
        <v>0.99463173716985187</v>
      </c>
      <c r="AQ38" s="404"/>
      <c r="AT38" s="414">
        <f>'Monthly Data'!CG103</f>
        <v>45505.5</v>
      </c>
      <c r="AU38" s="419">
        <f t="shared" si="174"/>
        <v>1.0006651970027653</v>
      </c>
      <c r="AV38" s="11"/>
      <c r="AW38" s="11"/>
      <c r="AX38" s="216">
        <f>'Monthly Data'!CH103</f>
        <v>2464</v>
      </c>
      <c r="AY38" s="419">
        <f t="shared" si="175"/>
        <v>1.0006091370558376</v>
      </c>
      <c r="AZ38" s="11"/>
      <c r="BA38" s="11"/>
      <c r="BB38" s="414">
        <f>'Monthly Data'!CI103</f>
        <v>388.5</v>
      </c>
      <c r="BC38" s="419">
        <f t="shared" si="176"/>
        <v>1.0006439150032196</v>
      </c>
      <c r="BD38" s="419"/>
      <c r="BE38" s="419"/>
      <c r="BF38" s="11"/>
      <c r="BG38" s="216"/>
      <c r="BH38" s="414">
        <f>'Monthly Data'!CJ103</f>
        <v>3</v>
      </c>
      <c r="BI38" s="419">
        <f t="shared" si="177"/>
        <v>1</v>
      </c>
      <c r="BJ38" s="419"/>
      <c r="BK38" s="419"/>
      <c r="BL38" s="216"/>
      <c r="BM38" s="216"/>
      <c r="BN38" s="414">
        <f>'Monthly Data'!CK103</f>
        <v>13703</v>
      </c>
      <c r="BO38" s="419">
        <f t="shared" si="178"/>
        <v>1.000730300153363</v>
      </c>
      <c r="BP38" s="216"/>
      <c r="BQ38" s="11"/>
      <c r="BR38" s="414">
        <f>'Monthly Data'!CL103</f>
        <v>45.499999999999986</v>
      </c>
      <c r="BS38" s="415">
        <f t="shared" si="179"/>
        <v>0.99817184643510048</v>
      </c>
      <c r="BT38" s="415"/>
      <c r="BU38" s="415"/>
      <c r="BV38" s="414">
        <f>'Monthly Data'!CM103</f>
        <v>397</v>
      </c>
      <c r="BW38" s="415">
        <f t="shared" si="180"/>
        <v>0.99623588456712675</v>
      </c>
    </row>
    <row r="39" spans="1:75">
      <c r="A39" s="9">
        <f t="shared" si="181"/>
        <v>2024</v>
      </c>
      <c r="B39" s="9" t="s">
        <v>153</v>
      </c>
      <c r="C39" s="414">
        <f>'Monthly Data'!AT104</f>
        <v>117534.25</v>
      </c>
      <c r="D39" s="419">
        <f t="shared" si="165"/>
        <v>1.0013269039900834</v>
      </c>
      <c r="E39" s="11"/>
      <c r="F39" s="11"/>
      <c r="G39" s="216">
        <f>'Monthly Data'!AU104</f>
        <v>1561.6666666666672</v>
      </c>
      <c r="H39" s="419">
        <f t="shared" si="166"/>
        <v>0.99978659837814776</v>
      </c>
      <c r="I39" s="11"/>
      <c r="J39" s="11"/>
      <c r="K39" s="414">
        <f>'Monthly Data'!AV104</f>
        <v>9502.25</v>
      </c>
      <c r="L39" s="419">
        <f t="shared" si="167"/>
        <v>1.000078934905015</v>
      </c>
      <c r="M39" s="11"/>
      <c r="N39" s="216"/>
      <c r="O39" s="414">
        <f>'Monthly Data'!AW104</f>
        <v>1060.8333333333328</v>
      </c>
      <c r="P39" s="419">
        <f t="shared" si="168"/>
        <v>1.002678008821676</v>
      </c>
      <c r="Q39" s="419"/>
      <c r="R39" s="419"/>
      <c r="S39" s="216"/>
      <c r="T39" s="216"/>
      <c r="U39" s="414">
        <f>'Monthly Data'!AX104</f>
        <v>5</v>
      </c>
      <c r="V39" s="419">
        <f t="shared" si="169"/>
        <v>1</v>
      </c>
      <c r="W39" s="419"/>
      <c r="X39" s="419"/>
      <c r="Y39" s="216"/>
      <c r="Z39" s="11"/>
      <c r="AA39" s="414">
        <f>'Monthly Data'!AY104</f>
        <v>5</v>
      </c>
      <c r="AB39" s="415">
        <f t="shared" si="170"/>
        <v>1</v>
      </c>
      <c r="AC39" s="415"/>
      <c r="AD39" s="415"/>
      <c r="AE39" s="415"/>
      <c r="AF39" s="415"/>
      <c r="AG39" s="414">
        <f>'Monthly Data'!AZ104</f>
        <v>32743.833333333325</v>
      </c>
      <c r="AH39" s="415">
        <f t="shared" si="171"/>
        <v>1.0016161430770956</v>
      </c>
      <c r="AI39" s="11"/>
      <c r="AJ39" s="11"/>
      <c r="AK39" s="414">
        <f>'Monthly Data'!BA104</f>
        <v>238.0833333333334</v>
      </c>
      <c r="AL39" s="415">
        <f t="shared" si="172"/>
        <v>0.99825296995108315</v>
      </c>
      <c r="AN39" s="11"/>
      <c r="AO39" s="414">
        <f>'Monthly Data'!BB104</f>
        <v>767.8333333333336</v>
      </c>
      <c r="AP39" s="415">
        <f t="shared" si="173"/>
        <v>0.99460276338514686</v>
      </c>
      <c r="AQ39" s="404"/>
      <c r="AT39" s="414">
        <f>'Monthly Data'!CG104</f>
        <v>45535.75</v>
      </c>
      <c r="AU39" s="419">
        <f t="shared" si="174"/>
        <v>1.0006647548098582</v>
      </c>
      <c r="AV39" s="11"/>
      <c r="AW39" s="11"/>
      <c r="AX39" s="216">
        <f>'Monthly Data'!CH104</f>
        <v>2465.5</v>
      </c>
      <c r="AY39" s="419">
        <f t="shared" si="175"/>
        <v>1.0006087662337662</v>
      </c>
      <c r="AZ39" s="11"/>
      <c r="BA39" s="11"/>
      <c r="BB39" s="414">
        <f>'Monthly Data'!CI104</f>
        <v>388.75</v>
      </c>
      <c r="BC39" s="419">
        <f t="shared" si="176"/>
        <v>1.0006435006435006</v>
      </c>
      <c r="BD39" s="419"/>
      <c r="BE39" s="419"/>
      <c r="BF39" s="11"/>
      <c r="BG39" s="216"/>
      <c r="BH39" s="414">
        <f>'Monthly Data'!CJ104</f>
        <v>3</v>
      </c>
      <c r="BI39" s="419">
        <f t="shared" si="177"/>
        <v>1</v>
      </c>
      <c r="BJ39" s="419"/>
      <c r="BK39" s="419"/>
      <c r="BL39" s="216"/>
      <c r="BM39" s="216"/>
      <c r="BN39" s="414">
        <f>'Monthly Data'!CK104</f>
        <v>13713</v>
      </c>
      <c r="BO39" s="419">
        <f t="shared" si="178"/>
        <v>1.0007297672042619</v>
      </c>
      <c r="BP39" s="216"/>
      <c r="BQ39" s="11"/>
      <c r="BR39" s="414">
        <f>'Monthly Data'!CL104</f>
        <v>45.41666666666665</v>
      </c>
      <c r="BS39" s="415">
        <f t="shared" si="179"/>
        <v>0.99816849816849806</v>
      </c>
      <c r="BT39" s="415"/>
      <c r="BU39" s="415"/>
      <c r="BV39" s="414">
        <f>'Monthly Data'!CM104</f>
        <v>395.5</v>
      </c>
      <c r="BW39" s="415">
        <f t="shared" si="180"/>
        <v>0.99622166246851385</v>
      </c>
    </row>
    <row r="40" spans="1:75">
      <c r="A40" s="9">
        <f t="shared" si="181"/>
        <v>2024</v>
      </c>
      <c r="B40" s="9" t="s">
        <v>154</v>
      </c>
      <c r="C40" s="414">
        <f>'Monthly Data'!AT105</f>
        <v>117690</v>
      </c>
      <c r="D40" s="419">
        <f t="shared" si="165"/>
        <v>1.0013251456490342</v>
      </c>
      <c r="E40" s="11"/>
      <c r="F40" s="11"/>
      <c r="G40" s="216">
        <f>'Monthly Data'!AU105</f>
        <v>1561.3333333333339</v>
      </c>
      <c r="H40" s="419">
        <f t="shared" si="166"/>
        <v>0.99978655282817508</v>
      </c>
      <c r="I40" s="11"/>
      <c r="J40" s="11"/>
      <c r="K40" s="414">
        <f>'Monthly Data'!AV105</f>
        <v>9503</v>
      </c>
      <c r="L40" s="419">
        <f t="shared" si="167"/>
        <v>1.0000789286747875</v>
      </c>
      <c r="M40" s="11"/>
      <c r="N40" s="216"/>
      <c r="O40" s="414">
        <f>'Monthly Data'!AW105</f>
        <v>1063.6666666666661</v>
      </c>
      <c r="P40" s="419">
        <f t="shared" si="168"/>
        <v>1.0026708562450903</v>
      </c>
      <c r="Q40" s="419"/>
      <c r="R40" s="419"/>
      <c r="S40" s="216"/>
      <c r="T40" s="216"/>
      <c r="U40" s="414">
        <f>'Monthly Data'!AX105</f>
        <v>5</v>
      </c>
      <c r="V40" s="419">
        <f t="shared" si="169"/>
        <v>1</v>
      </c>
      <c r="W40" s="419"/>
      <c r="X40" s="419"/>
      <c r="Y40" s="216"/>
      <c r="Z40" s="11"/>
      <c r="AA40" s="414">
        <f>'Monthly Data'!AY105</f>
        <v>5</v>
      </c>
      <c r="AB40" s="415">
        <f t="shared" si="170"/>
        <v>1</v>
      </c>
      <c r="AC40" s="415"/>
      <c r="AD40" s="415"/>
      <c r="AE40" s="415"/>
      <c r="AF40" s="415"/>
      <c r="AG40" s="414">
        <f>'Monthly Data'!AZ105</f>
        <v>32796.666666666657</v>
      </c>
      <c r="AH40" s="415">
        <f t="shared" si="171"/>
        <v>1.0016135353730728</v>
      </c>
      <c r="AI40" s="11"/>
      <c r="AJ40" s="11"/>
      <c r="AK40" s="414">
        <f>'Monthly Data'!BA105</f>
        <v>237.66666666666674</v>
      </c>
      <c r="AL40" s="415">
        <f t="shared" si="172"/>
        <v>0.99824991249562478</v>
      </c>
      <c r="AN40" s="11"/>
      <c r="AO40" s="414">
        <f>'Monthly Data'!BB105</f>
        <v>763.66666666666697</v>
      </c>
      <c r="AP40" s="415">
        <f t="shared" si="173"/>
        <v>0.99457347514651617</v>
      </c>
      <c r="AQ40" s="404"/>
      <c r="AT40" s="414">
        <f>'Monthly Data'!CG105</f>
        <v>45566</v>
      </c>
      <c r="AU40" s="419">
        <f t="shared" si="174"/>
        <v>1.0006643132044601</v>
      </c>
      <c r="AV40" s="11"/>
      <c r="AW40" s="11"/>
      <c r="AX40" s="216">
        <f>'Monthly Data'!CH105</f>
        <v>2467</v>
      </c>
      <c r="AY40" s="419">
        <f t="shared" si="175"/>
        <v>1.0006083958629082</v>
      </c>
      <c r="AZ40" s="11"/>
      <c r="BA40" s="11"/>
      <c r="BB40" s="414">
        <f>'Monthly Data'!CI105</f>
        <v>389</v>
      </c>
      <c r="BC40" s="419">
        <f t="shared" si="176"/>
        <v>1.0006430868167202</v>
      </c>
      <c r="BD40" s="419"/>
      <c r="BE40" s="419"/>
      <c r="BF40" s="11"/>
      <c r="BG40" s="216"/>
      <c r="BH40" s="414">
        <f>'Monthly Data'!CJ105</f>
        <v>3</v>
      </c>
      <c r="BI40" s="419">
        <f t="shared" si="177"/>
        <v>1</v>
      </c>
      <c r="BJ40" s="419"/>
      <c r="BK40" s="419"/>
      <c r="BL40" s="216"/>
      <c r="BM40" s="216"/>
      <c r="BN40" s="414">
        <f>'Monthly Data'!CK105</f>
        <v>13723</v>
      </c>
      <c r="BO40" s="419">
        <f t="shared" si="178"/>
        <v>1.000729235032451</v>
      </c>
      <c r="BP40" s="216"/>
      <c r="BQ40" s="11"/>
      <c r="BR40" s="414">
        <f>'Monthly Data'!CL105</f>
        <v>45.333333333333314</v>
      </c>
      <c r="BS40" s="415">
        <f t="shared" si="179"/>
        <v>0.99816513761467884</v>
      </c>
      <c r="BT40" s="415"/>
      <c r="BU40" s="415"/>
      <c r="BV40" s="414">
        <f>'Monthly Data'!CM105</f>
        <v>394</v>
      </c>
      <c r="BW40" s="415">
        <f t="shared" si="180"/>
        <v>0.99620733249051829</v>
      </c>
    </row>
    <row r="41" spans="1:75">
      <c r="A41" s="9">
        <f t="shared" si="181"/>
        <v>2024</v>
      </c>
      <c r="B41" s="9" t="s">
        <v>684</v>
      </c>
      <c r="C41" s="414">
        <f>'Monthly Data'!AT106</f>
        <v>117845.75</v>
      </c>
      <c r="D41" s="419">
        <f t="shared" si="165"/>
        <v>1.001323391961934</v>
      </c>
      <c r="E41" s="11"/>
      <c r="F41" s="11"/>
      <c r="G41" s="216">
        <f>'Monthly Data'!AU106</f>
        <v>1561.0000000000007</v>
      </c>
      <c r="H41" s="419">
        <f t="shared" si="166"/>
        <v>0.99978650725875329</v>
      </c>
      <c r="I41" s="11"/>
      <c r="J41" s="11"/>
      <c r="K41" s="414">
        <f>'Monthly Data'!AV106</f>
        <v>9503.75</v>
      </c>
      <c r="L41" s="419">
        <f t="shared" si="167"/>
        <v>1.0000789224455435</v>
      </c>
      <c r="M41" s="11"/>
      <c r="N41" s="216"/>
      <c r="O41" s="414">
        <f>'Monthly Data'!AW106</f>
        <v>1066.4999999999993</v>
      </c>
      <c r="P41" s="419">
        <f t="shared" si="168"/>
        <v>1.0026637417737385</v>
      </c>
      <c r="Q41" s="419"/>
      <c r="R41" s="419"/>
      <c r="S41" s="216"/>
      <c r="T41" s="216"/>
      <c r="U41" s="414">
        <f>'Monthly Data'!AX106</f>
        <v>5</v>
      </c>
      <c r="V41" s="419">
        <f t="shared" si="169"/>
        <v>1</v>
      </c>
      <c r="W41" s="419"/>
      <c r="X41" s="419"/>
      <c r="Y41" s="216"/>
      <c r="Z41" s="11"/>
      <c r="AA41" s="414">
        <f>'Monthly Data'!AY106</f>
        <v>5</v>
      </c>
      <c r="AB41" s="415">
        <f t="shared" si="170"/>
        <v>1</v>
      </c>
      <c r="AC41" s="415"/>
      <c r="AD41" s="415"/>
      <c r="AE41" s="415"/>
      <c r="AF41" s="415"/>
      <c r="AG41" s="414">
        <f>'Monthly Data'!AZ106</f>
        <v>32849.499999999993</v>
      </c>
      <c r="AH41" s="415">
        <f t="shared" si="171"/>
        <v>1.001610936070739</v>
      </c>
      <c r="AI41" s="11"/>
      <c r="AJ41" s="11"/>
      <c r="AK41" s="414">
        <f>'Monthly Data'!BA106</f>
        <v>237.25000000000009</v>
      </c>
      <c r="AL41" s="415">
        <f t="shared" si="172"/>
        <v>0.99824684431977562</v>
      </c>
      <c r="AN41" s="11"/>
      <c r="AO41" s="414">
        <f>'Monthly Data'!BB106</f>
        <v>759.50000000000034</v>
      </c>
      <c r="AP41" s="415">
        <f t="shared" si="173"/>
        <v>0.99454386730685296</v>
      </c>
      <c r="AQ41" s="404"/>
      <c r="AT41" s="414">
        <f>'Monthly Data'!CG106</f>
        <v>45596.25</v>
      </c>
      <c r="AU41" s="419">
        <f t="shared" si="174"/>
        <v>1.0006638721854013</v>
      </c>
      <c r="AV41" s="11"/>
      <c r="AW41" s="11"/>
      <c r="AX41" s="216">
        <f>'Monthly Data'!CH106</f>
        <v>2468.5</v>
      </c>
      <c r="AY41" s="419">
        <f t="shared" si="175"/>
        <v>1.0006080259424401</v>
      </c>
      <c r="AZ41" s="11"/>
      <c r="BA41" s="11"/>
      <c r="BB41" s="414">
        <f>'Monthly Data'!CI106</f>
        <v>389.25</v>
      </c>
      <c r="BC41" s="419">
        <f t="shared" si="176"/>
        <v>1.000642673521851</v>
      </c>
      <c r="BD41" s="419"/>
      <c r="BE41" s="419"/>
      <c r="BF41" s="11"/>
      <c r="BG41" s="216"/>
      <c r="BH41" s="414">
        <f>'Monthly Data'!CJ106</f>
        <v>3</v>
      </c>
      <c r="BI41" s="419">
        <f t="shared" si="177"/>
        <v>1</v>
      </c>
      <c r="BJ41" s="419"/>
      <c r="BK41" s="419"/>
      <c r="BL41" s="216"/>
      <c r="BM41" s="216"/>
      <c r="BN41" s="414">
        <f>'Monthly Data'!CK106</f>
        <v>13733</v>
      </c>
      <c r="BO41" s="419">
        <f t="shared" si="178"/>
        <v>1.0007287036362311</v>
      </c>
      <c r="BP41" s="216"/>
      <c r="BQ41" s="11"/>
      <c r="BR41" s="414">
        <f>'Monthly Data'!CL106</f>
        <v>45.249999999999979</v>
      </c>
      <c r="BS41" s="415">
        <f t="shared" si="179"/>
        <v>0.99816176470588225</v>
      </c>
      <c r="BT41" s="415"/>
      <c r="BU41" s="415"/>
      <c r="BV41" s="414">
        <f>'Monthly Data'!CM106</f>
        <v>392.5</v>
      </c>
      <c r="BW41" s="415">
        <f t="shared" si="180"/>
        <v>0.99619289340101524</v>
      </c>
    </row>
    <row r="42" spans="1:75">
      <c r="A42" s="9">
        <f t="shared" si="181"/>
        <v>2024</v>
      </c>
      <c r="B42" s="9" t="s">
        <v>156</v>
      </c>
      <c r="C42" s="414">
        <f>'Monthly Data'!AT107</f>
        <v>118001.5</v>
      </c>
      <c r="D42" s="419">
        <f t="shared" si="165"/>
        <v>1.0013216429103298</v>
      </c>
      <c r="E42" s="11"/>
      <c r="F42" s="11"/>
      <c r="G42" s="216">
        <f>'Monthly Data'!AU107</f>
        <v>1560.6666666666674</v>
      </c>
      <c r="H42" s="419">
        <f t="shared" si="166"/>
        <v>0.99978646166986984</v>
      </c>
      <c r="I42" s="11"/>
      <c r="J42" s="11"/>
      <c r="K42" s="414">
        <f>'Monthly Data'!AV107</f>
        <v>9504.5</v>
      </c>
      <c r="L42" s="419">
        <f t="shared" si="167"/>
        <v>1.0000789162172827</v>
      </c>
      <c r="M42" s="11"/>
      <c r="N42" s="216"/>
      <c r="O42" s="414">
        <f>'Monthly Data'!AW107</f>
        <v>1069.3333333333326</v>
      </c>
      <c r="P42" s="419">
        <f t="shared" si="168"/>
        <v>1.0026566651039224</v>
      </c>
      <c r="Q42" s="419"/>
      <c r="R42" s="419"/>
      <c r="S42" s="216"/>
      <c r="T42" s="216"/>
      <c r="U42" s="414">
        <f>'Monthly Data'!AX107</f>
        <v>5</v>
      </c>
      <c r="V42" s="419">
        <f t="shared" si="169"/>
        <v>1</v>
      </c>
      <c r="W42" s="419"/>
      <c r="X42" s="419"/>
      <c r="Y42" s="216"/>
      <c r="Z42" s="11"/>
      <c r="AA42" s="414">
        <f>'Monthly Data'!AY107</f>
        <v>5</v>
      </c>
      <c r="AB42" s="415">
        <f t="shared" si="170"/>
        <v>1</v>
      </c>
      <c r="AC42" s="415"/>
      <c r="AD42" s="415"/>
      <c r="AE42" s="415"/>
      <c r="AF42" s="415"/>
      <c r="AG42" s="414">
        <f>'Monthly Data'!AZ107</f>
        <v>32902.333333333328</v>
      </c>
      <c r="AH42" s="415">
        <f t="shared" si="171"/>
        <v>1.0016083451295557</v>
      </c>
      <c r="AI42" s="11"/>
      <c r="AJ42" s="11"/>
      <c r="AK42" s="414">
        <f>'Monthly Data'!BA107</f>
        <v>236.83333333333343</v>
      </c>
      <c r="AL42" s="415">
        <f t="shared" si="172"/>
        <v>0.99824376536705306</v>
      </c>
      <c r="AN42" s="11"/>
      <c r="AO42" s="414">
        <f>'Monthly Data'!BB107</f>
        <v>755.33333333333371</v>
      </c>
      <c r="AP42" s="415">
        <f t="shared" si="173"/>
        <v>0.9945139346061006</v>
      </c>
      <c r="AQ42" s="404"/>
      <c r="AT42" s="414">
        <f>'Monthly Data'!CG107</f>
        <v>45626.5</v>
      </c>
      <c r="AU42" s="419">
        <f t="shared" si="174"/>
        <v>1.0006634317515146</v>
      </c>
      <c r="AV42" s="11"/>
      <c r="AW42" s="11"/>
      <c r="AX42" s="216">
        <f>'Monthly Data'!CH107</f>
        <v>2470</v>
      </c>
      <c r="AY42" s="419">
        <f t="shared" si="175"/>
        <v>1.0006076564715414</v>
      </c>
      <c r="AZ42" s="11"/>
      <c r="BA42" s="11"/>
      <c r="BB42" s="414">
        <f>'Monthly Data'!CI107</f>
        <v>389.5</v>
      </c>
      <c r="BC42" s="419">
        <f t="shared" si="176"/>
        <v>1.0006422607578678</v>
      </c>
      <c r="BD42" s="419"/>
      <c r="BE42" s="419"/>
      <c r="BF42" s="11"/>
      <c r="BG42" s="216"/>
      <c r="BH42" s="414">
        <f>'Monthly Data'!CJ107</f>
        <v>3</v>
      </c>
      <c r="BI42" s="419">
        <f t="shared" si="177"/>
        <v>1</v>
      </c>
      <c r="BJ42" s="419"/>
      <c r="BK42" s="419"/>
      <c r="BL42" s="216"/>
      <c r="BM42" s="216"/>
      <c r="BN42" s="414">
        <f>'Monthly Data'!CK107</f>
        <v>13743</v>
      </c>
      <c r="BO42" s="419">
        <f t="shared" si="178"/>
        <v>1.0007281730139082</v>
      </c>
      <c r="BP42" s="216"/>
      <c r="BQ42" s="11"/>
      <c r="BR42" s="414">
        <f>'Monthly Data'!CL107</f>
        <v>45.166666666666643</v>
      </c>
      <c r="BS42" s="415">
        <f t="shared" si="179"/>
        <v>0.99815837937384888</v>
      </c>
      <c r="BT42" s="415"/>
      <c r="BU42" s="415"/>
      <c r="BV42" s="414">
        <f>'Monthly Data'!CM107</f>
        <v>391</v>
      </c>
      <c r="BW42" s="415">
        <f t="shared" si="180"/>
        <v>0.99617834394904459</v>
      </c>
    </row>
    <row r="43" spans="1:75">
      <c r="A43" s="9">
        <f t="shared" si="181"/>
        <v>2024</v>
      </c>
      <c r="B43" s="9" t="s">
        <v>157</v>
      </c>
      <c r="C43" s="414">
        <f>'Monthly Data'!AT108</f>
        <v>118157.25</v>
      </c>
      <c r="D43" s="419">
        <f t="shared" si="165"/>
        <v>1.0013198984758669</v>
      </c>
      <c r="E43" s="11"/>
      <c r="F43" s="11"/>
      <c r="G43" s="216">
        <f>'Monthly Data'!AU108</f>
        <v>1560.3333333333342</v>
      </c>
      <c r="H43" s="419">
        <f t="shared" si="166"/>
        <v>0.9997864160615122</v>
      </c>
      <c r="I43" s="11"/>
      <c r="J43" s="11"/>
      <c r="K43" s="414">
        <f>'Monthly Data'!AV108</f>
        <v>9505.25</v>
      </c>
      <c r="L43" s="419">
        <f t="shared" si="167"/>
        <v>1.0000789099900047</v>
      </c>
      <c r="M43" s="11"/>
      <c r="N43" s="216"/>
      <c r="O43" s="414">
        <f>'Monthly Data'!AW108</f>
        <v>1072.1666666666658</v>
      </c>
      <c r="P43" s="419">
        <f t="shared" si="168"/>
        <v>1.002649625935162</v>
      </c>
      <c r="Q43" s="419"/>
      <c r="R43" s="419"/>
      <c r="S43" s="216"/>
      <c r="T43" s="216"/>
      <c r="U43" s="414">
        <f>'Monthly Data'!AX108</f>
        <v>5</v>
      </c>
      <c r="V43" s="419">
        <f t="shared" si="169"/>
        <v>1</v>
      </c>
      <c r="W43" s="419"/>
      <c r="X43" s="419"/>
      <c r="Y43" s="216"/>
      <c r="Z43" s="11"/>
      <c r="AA43" s="414">
        <f>'Monthly Data'!AY108</f>
        <v>5</v>
      </c>
      <c r="AB43" s="415">
        <f t="shared" si="170"/>
        <v>1</v>
      </c>
      <c r="AC43" s="415"/>
      <c r="AD43" s="415"/>
      <c r="AE43" s="415"/>
      <c r="AF43" s="415"/>
      <c r="AG43" s="414">
        <f>'Monthly Data'!AZ108</f>
        <v>32955.166666666664</v>
      </c>
      <c r="AH43" s="415">
        <f t="shared" si="171"/>
        <v>1.0016057625092447</v>
      </c>
      <c r="AI43" s="11"/>
      <c r="AJ43" s="11"/>
      <c r="AK43" s="414">
        <f>'Monthly Data'!BA108</f>
        <v>236.41666666666677</v>
      </c>
      <c r="AL43" s="415">
        <f t="shared" si="172"/>
        <v>0.99824067558057705</v>
      </c>
      <c r="AN43" s="11"/>
      <c r="AO43" s="414">
        <f>'Monthly Data'!BB108</f>
        <v>751.16666666666708</v>
      </c>
      <c r="AP43" s="415">
        <f t="shared" si="173"/>
        <v>0.99448367166813778</v>
      </c>
      <c r="AQ43" s="404"/>
      <c r="AT43" s="414">
        <f>'Monthly Data'!CG108</f>
        <v>45656.75</v>
      </c>
      <c r="AU43" s="419">
        <f t="shared" si="174"/>
        <v>1.0006629919016361</v>
      </c>
      <c r="AV43" s="11"/>
      <c r="AW43" s="11"/>
      <c r="AX43" s="216">
        <f>'Monthly Data'!CH108</f>
        <v>2471.5</v>
      </c>
      <c r="AY43" s="419">
        <f t="shared" si="175"/>
        <v>1.0006072874493928</v>
      </c>
      <c r="AZ43" s="11"/>
      <c r="BA43" s="11"/>
      <c r="BB43" s="414">
        <f>'Monthly Data'!CI108</f>
        <v>389.75</v>
      </c>
      <c r="BC43" s="419">
        <f t="shared" si="176"/>
        <v>1.0006418485237485</v>
      </c>
      <c r="BD43" s="419"/>
      <c r="BE43" s="419"/>
      <c r="BF43" s="11"/>
      <c r="BG43" s="216"/>
      <c r="BH43" s="414">
        <f>'Monthly Data'!CJ108</f>
        <v>3</v>
      </c>
      <c r="BI43" s="419">
        <f t="shared" si="177"/>
        <v>1</v>
      </c>
      <c r="BJ43" s="419"/>
      <c r="BK43" s="419"/>
      <c r="BL43" s="216"/>
      <c r="BM43" s="216"/>
      <c r="BN43" s="414">
        <f>'Monthly Data'!CK108</f>
        <v>13753</v>
      </c>
      <c r="BO43" s="419">
        <f t="shared" si="178"/>
        <v>1.0007276431637924</v>
      </c>
      <c r="BP43" s="216"/>
      <c r="BQ43" s="11"/>
      <c r="BR43" s="414">
        <f>'Monthly Data'!CL108</f>
        <v>45.083333333333307</v>
      </c>
      <c r="BS43" s="415">
        <f t="shared" si="179"/>
        <v>0.99815498154981541</v>
      </c>
      <c r="BT43" s="415"/>
      <c r="BU43" s="415"/>
      <c r="BV43" s="414">
        <f>'Monthly Data'!CM108</f>
        <v>389.5</v>
      </c>
      <c r="BW43" s="415">
        <f t="shared" si="180"/>
        <v>0.99616368286445012</v>
      </c>
    </row>
    <row r="44" spans="1:75">
      <c r="A44" s="9">
        <f>A43</f>
        <v>2024</v>
      </c>
      <c r="B44" s="9" t="s">
        <v>158</v>
      </c>
      <c r="C44" s="529">
        <f>'Monthly Data'!AT109</f>
        <v>118313</v>
      </c>
      <c r="D44" s="530">
        <f t="shared" si="165"/>
        <v>1.0013181586402866</v>
      </c>
      <c r="E44" s="11"/>
      <c r="F44" s="11"/>
      <c r="G44" s="531">
        <f>'Monthly Data'!AU109</f>
        <v>1560</v>
      </c>
      <c r="H44" s="530">
        <f t="shared" si="166"/>
        <v>0.99978637043366747</v>
      </c>
      <c r="I44" s="11"/>
      <c r="J44" s="11"/>
      <c r="K44" s="529">
        <f>'Monthly Data'!AV109</f>
        <v>9506</v>
      </c>
      <c r="L44" s="530">
        <f t="shared" si="167"/>
        <v>1.0000789037637094</v>
      </c>
      <c r="M44" s="11"/>
      <c r="N44" s="531"/>
      <c r="O44" s="529">
        <f>'Monthly Data'!AW109</f>
        <v>1075</v>
      </c>
      <c r="P44" s="530">
        <f t="shared" si="168"/>
        <v>1.0026426239701547</v>
      </c>
      <c r="Q44" s="530"/>
      <c r="R44" s="530"/>
      <c r="S44" s="531"/>
      <c r="T44" s="531"/>
      <c r="U44" s="529">
        <f>'Monthly Data'!AX109</f>
        <v>5</v>
      </c>
      <c r="V44" s="530">
        <f t="shared" si="169"/>
        <v>1</v>
      </c>
      <c r="W44" s="530"/>
      <c r="X44" s="530"/>
      <c r="Y44" s="531"/>
      <c r="Z44" s="11"/>
      <c r="AA44" s="529">
        <f>'Monthly Data'!AY109</f>
        <v>5</v>
      </c>
      <c r="AB44" s="532">
        <f t="shared" si="170"/>
        <v>1</v>
      </c>
      <c r="AC44" s="532"/>
      <c r="AD44" s="532"/>
      <c r="AE44" s="532"/>
      <c r="AF44" s="532"/>
      <c r="AG44" s="529">
        <f>'Monthly Data'!AZ109</f>
        <v>33008</v>
      </c>
      <c r="AH44" s="532">
        <f t="shared" si="171"/>
        <v>1.0016031881697862</v>
      </c>
      <c r="AI44" s="11"/>
      <c r="AJ44" s="11"/>
      <c r="AK44" s="529">
        <f>'Monthly Data'!BA109</f>
        <v>236</v>
      </c>
      <c r="AL44" s="532">
        <f t="shared" si="172"/>
        <v>0.99823757490306619</v>
      </c>
      <c r="AN44" s="11"/>
      <c r="AO44" s="529">
        <f>'Monthly Data'!BB109</f>
        <v>747</v>
      </c>
      <c r="AP44" s="532">
        <f t="shared" si="173"/>
        <v>0.99445307299755881</v>
      </c>
      <c r="AQ44" s="404"/>
      <c r="AT44" s="529">
        <f>'Monthly Data'!CG109</f>
        <v>45687</v>
      </c>
      <c r="AU44" s="530">
        <f t="shared" si="174"/>
        <v>1.0006625526346049</v>
      </c>
      <c r="AV44" s="11"/>
      <c r="AW44" s="11"/>
      <c r="AX44" s="531">
        <f>'Monthly Data'!CH109</f>
        <v>2473</v>
      </c>
      <c r="AY44" s="530">
        <f t="shared" si="175"/>
        <v>1.0006069188751769</v>
      </c>
      <c r="AZ44" s="11"/>
      <c r="BA44" s="11"/>
      <c r="BB44" s="529">
        <f>'Monthly Data'!CI109</f>
        <v>390</v>
      </c>
      <c r="BC44" s="530">
        <f t="shared" si="176"/>
        <v>1.0006414368184733</v>
      </c>
      <c r="BD44" s="530"/>
      <c r="BE44" s="530"/>
      <c r="BF44" s="11"/>
      <c r="BG44" s="531"/>
      <c r="BH44" s="529">
        <f>'Monthly Data'!CJ109</f>
        <v>3</v>
      </c>
      <c r="BI44" s="530">
        <f t="shared" si="177"/>
        <v>1</v>
      </c>
      <c r="BJ44" s="530"/>
      <c r="BK44" s="530"/>
      <c r="BL44" s="531"/>
      <c r="BM44" s="531"/>
      <c r="BN44" s="529">
        <f>'Monthly Data'!CK109</f>
        <v>13763</v>
      </c>
      <c r="BO44" s="530">
        <f t="shared" si="178"/>
        <v>1.0007271140841998</v>
      </c>
      <c r="BP44" s="531"/>
      <c r="BQ44" s="11"/>
      <c r="BR44" s="414">
        <f>'Monthly Data'!CL109</f>
        <v>45</v>
      </c>
      <c r="BS44" s="415">
        <f t="shared" ref="BS44:BS56" si="182">BR44/BR43</f>
        <v>0.9981515711645107</v>
      </c>
      <c r="BT44" s="415"/>
      <c r="BU44" s="415"/>
      <c r="BV44" s="414">
        <f>'Monthly Data'!CM109</f>
        <v>388</v>
      </c>
      <c r="BW44" s="415">
        <f t="shared" ref="BW44:BW56" si="183">BV44/BV43</f>
        <v>0.99614890885750962</v>
      </c>
    </row>
    <row r="45" spans="1:75">
      <c r="A45" s="9">
        <f t="shared" ref="A45:A97" si="184">A33+1</f>
        <v>2025</v>
      </c>
      <c r="B45" s="9" t="s">
        <v>147</v>
      </c>
      <c r="C45" s="529">
        <f>'Monthly Data'!AT110</f>
        <v>118404.66666666667</v>
      </c>
      <c r="D45" s="530">
        <f t="shared" ref="D45:D55" si="185">C45/C44</f>
        <v>1.0007747810187102</v>
      </c>
      <c r="E45" s="11"/>
      <c r="F45" s="11"/>
      <c r="G45" s="531">
        <f>'Monthly Data'!AU110</f>
        <v>1559</v>
      </c>
      <c r="H45" s="530">
        <f t="shared" ref="H45:H55" si="186">G45/G44</f>
        <v>0.99935897435897436</v>
      </c>
      <c r="I45" s="11"/>
      <c r="J45" s="11"/>
      <c r="K45" s="529">
        <f>'Monthly Data'!AV110</f>
        <v>9505.9166666666661</v>
      </c>
      <c r="L45" s="530">
        <f t="shared" ref="L45:L55" si="187">K45/K44</f>
        <v>0.99999123360684472</v>
      </c>
      <c r="M45" s="11"/>
      <c r="N45" s="531"/>
      <c r="O45" s="529">
        <f>'Monthly Data'!AW110</f>
        <v>1077</v>
      </c>
      <c r="P45" s="530">
        <f t="shared" ref="P45:P55" si="188">O45/O44</f>
        <v>1.001860465116279</v>
      </c>
      <c r="Q45" s="530"/>
      <c r="R45" s="530"/>
      <c r="S45" s="531"/>
      <c r="T45" s="531"/>
      <c r="U45" s="529">
        <f>'Monthly Data'!AX110</f>
        <v>5</v>
      </c>
      <c r="V45" s="530">
        <f t="shared" ref="V45:V55" si="189">U45/U44</f>
        <v>1</v>
      </c>
      <c r="W45" s="530"/>
      <c r="X45" s="530"/>
      <c r="Y45" s="531"/>
      <c r="Z45" s="11"/>
      <c r="AA45" s="529">
        <f>'Monthly Data'!AY110</f>
        <v>5</v>
      </c>
      <c r="AB45" s="532">
        <f t="shared" ref="AB45:AB55" si="190">AA45/AA44</f>
        <v>1</v>
      </c>
      <c r="AC45" s="532"/>
      <c r="AD45" s="532"/>
      <c r="AE45" s="532"/>
      <c r="AF45" s="532"/>
      <c r="AG45" s="529">
        <f>'Monthly Data'!AZ110</f>
        <v>33029.583333333336</v>
      </c>
      <c r="AH45" s="532">
        <f t="shared" ref="AH45:AH55" si="191">AG45/AG44</f>
        <v>1.0006538818872193</v>
      </c>
      <c r="AI45" s="11"/>
      <c r="AJ45" s="11"/>
      <c r="AK45" s="529">
        <f>'Monthly Data'!BA110</f>
        <v>235.25</v>
      </c>
      <c r="AL45" s="532">
        <f t="shared" ref="AL45:AL55" si="192">AK45/AK44</f>
        <v>0.99682203389830504</v>
      </c>
      <c r="AN45" s="11"/>
      <c r="AO45" s="529">
        <f>'Monthly Data'!BB110</f>
        <v>751.33333333333337</v>
      </c>
      <c r="AP45" s="532">
        <f t="shared" ref="AP45:AP55" si="193">AO45/AO44</f>
        <v>1.0058009817045963</v>
      </c>
      <c r="AQ45" s="404"/>
      <c r="AT45" s="529">
        <f>'Monthly Data'!CG110</f>
        <v>45715</v>
      </c>
      <c r="AU45" s="530">
        <f t="shared" ref="AU45:AU55" si="194">AT45/AT44</f>
        <v>1.000612865804277</v>
      </c>
      <c r="AV45" s="11"/>
      <c r="AW45" s="11"/>
      <c r="AX45" s="531">
        <f>'Monthly Data'!CH110</f>
        <v>2473</v>
      </c>
      <c r="AY45" s="530">
        <f t="shared" ref="AY45:AY55" si="195">AX45/AX44</f>
        <v>1</v>
      </c>
      <c r="AZ45" s="11"/>
      <c r="BA45" s="11"/>
      <c r="BB45" s="529">
        <f>'Monthly Data'!CI110</f>
        <v>391</v>
      </c>
      <c r="BC45" s="530">
        <f t="shared" ref="BC45:BC55" si="196">BB45/BB44</f>
        <v>1.0025641025641026</v>
      </c>
      <c r="BD45" s="530"/>
      <c r="BE45" s="530"/>
      <c r="BF45" s="11"/>
      <c r="BG45" s="531"/>
      <c r="BH45" s="529">
        <f>'Monthly Data'!CJ110</f>
        <v>3</v>
      </c>
      <c r="BI45" s="530">
        <f t="shared" ref="BI45:BI55" si="197">BH45/BH44</f>
        <v>1</v>
      </c>
      <c r="BJ45" s="530"/>
      <c r="BK45" s="530"/>
      <c r="BL45" s="531"/>
      <c r="BM45" s="531"/>
      <c r="BN45" s="529">
        <f>'Monthly Data'!CK110</f>
        <v>13777.083333333334</v>
      </c>
      <c r="BO45" s="530">
        <f t="shared" ref="BO45:BO55" si="198">BN45/BN44</f>
        <v>1.0010232749642762</v>
      </c>
      <c r="BP45" s="11"/>
      <c r="BQ45" s="11"/>
      <c r="BR45" s="414">
        <f>'Monthly Data'!CL110</f>
        <v>44.916666666666664</v>
      </c>
      <c r="BS45" s="415">
        <f t="shared" si="182"/>
        <v>0.99814814814814812</v>
      </c>
      <c r="BT45" s="415"/>
      <c r="BU45" s="415"/>
      <c r="BV45" s="414">
        <f>'Monthly Data'!CM110</f>
        <v>388.33333333333331</v>
      </c>
      <c r="BW45" s="415">
        <f t="shared" si="183"/>
        <v>1.0008591065292096</v>
      </c>
    </row>
    <row r="46" spans="1:75">
      <c r="A46" s="9">
        <f t="shared" si="184"/>
        <v>2025</v>
      </c>
      <c r="B46" s="9" t="s">
        <v>148</v>
      </c>
      <c r="C46" s="529">
        <f>'Monthly Data'!AT111</f>
        <v>118496.33333333334</v>
      </c>
      <c r="D46" s="530">
        <f t="shared" si="185"/>
        <v>1.0007741811978133</v>
      </c>
      <c r="E46" s="11"/>
      <c r="F46" s="11"/>
      <c r="G46" s="531">
        <f>'Monthly Data'!AU111</f>
        <v>1558</v>
      </c>
      <c r="H46" s="530">
        <f t="shared" si="186"/>
        <v>0.9993585631815266</v>
      </c>
      <c r="I46" s="11"/>
      <c r="J46" s="11"/>
      <c r="K46" s="529">
        <f>'Monthly Data'!AV111</f>
        <v>9505.8333333333321</v>
      </c>
      <c r="L46" s="530">
        <f t="shared" si="187"/>
        <v>0.99999123352999442</v>
      </c>
      <c r="M46" s="11"/>
      <c r="N46" s="531"/>
      <c r="O46" s="529">
        <f>'Monthly Data'!AW111</f>
        <v>1079</v>
      </c>
      <c r="P46" s="530">
        <f t="shared" si="188"/>
        <v>1.0018570102135562</v>
      </c>
      <c r="Q46" s="530"/>
      <c r="R46" s="530"/>
      <c r="S46" s="531"/>
      <c r="T46" s="531"/>
      <c r="U46" s="529">
        <f>'Monthly Data'!AX111</f>
        <v>5</v>
      </c>
      <c r="V46" s="530">
        <f t="shared" si="189"/>
        <v>1</v>
      </c>
      <c r="W46" s="530"/>
      <c r="X46" s="530"/>
      <c r="Y46" s="531"/>
      <c r="Z46" s="11"/>
      <c r="AA46" s="529">
        <f>'Monthly Data'!AY111</f>
        <v>5</v>
      </c>
      <c r="AB46" s="532">
        <f t="shared" si="190"/>
        <v>1</v>
      </c>
      <c r="AC46" s="532"/>
      <c r="AD46" s="532"/>
      <c r="AE46" s="532"/>
      <c r="AF46" s="532"/>
      <c r="AG46" s="529">
        <f>'Monthly Data'!AZ111</f>
        <v>33051.166666666672</v>
      </c>
      <c r="AH46" s="532">
        <f t="shared" si="191"/>
        <v>1.0006534546050889</v>
      </c>
      <c r="AI46" s="11"/>
      <c r="AJ46" s="11"/>
      <c r="AK46" s="529">
        <f>'Monthly Data'!BA111</f>
        <v>234.5</v>
      </c>
      <c r="AL46" s="532">
        <f t="shared" si="192"/>
        <v>0.99681190223166849</v>
      </c>
      <c r="AN46" s="11"/>
      <c r="AO46" s="529">
        <f>'Monthly Data'!BB111</f>
        <v>755.66666666666674</v>
      </c>
      <c r="AP46" s="532">
        <f t="shared" si="193"/>
        <v>1.0057675244010649</v>
      </c>
      <c r="AQ46" s="404"/>
      <c r="AT46" s="529">
        <f>'Monthly Data'!CG111</f>
        <v>45743</v>
      </c>
      <c r="AU46" s="530">
        <f t="shared" si="194"/>
        <v>1.000612490429837</v>
      </c>
      <c r="AV46" s="11"/>
      <c r="AW46" s="11"/>
      <c r="AX46" s="531">
        <f>'Monthly Data'!CH111</f>
        <v>2473</v>
      </c>
      <c r="AY46" s="530">
        <f t="shared" si="195"/>
        <v>1</v>
      </c>
      <c r="AZ46" s="11"/>
      <c r="BA46" s="11"/>
      <c r="BB46" s="529">
        <f>'Monthly Data'!CI111</f>
        <v>392</v>
      </c>
      <c r="BC46" s="530">
        <f t="shared" si="196"/>
        <v>1.0025575447570332</v>
      </c>
      <c r="BD46" s="530"/>
      <c r="BE46" s="530"/>
      <c r="BF46" s="11"/>
      <c r="BG46" s="531"/>
      <c r="BH46" s="529">
        <f>'Monthly Data'!CJ111</f>
        <v>3</v>
      </c>
      <c r="BI46" s="530">
        <f t="shared" si="197"/>
        <v>1</v>
      </c>
      <c r="BJ46" s="530"/>
      <c r="BK46" s="530"/>
      <c r="BL46" s="531"/>
      <c r="BM46" s="531"/>
      <c r="BN46" s="529">
        <f>'Monthly Data'!CK111</f>
        <v>13791.166666666668</v>
      </c>
      <c r="BO46" s="530">
        <f t="shared" si="198"/>
        <v>1.0010222289429911</v>
      </c>
      <c r="BP46" s="11"/>
      <c r="BQ46" s="11"/>
      <c r="BR46" s="414">
        <f>'Monthly Data'!CL111</f>
        <v>44.833333333333329</v>
      </c>
      <c r="BS46" s="415">
        <f t="shared" si="182"/>
        <v>0.99814471243042668</v>
      </c>
      <c r="BT46" s="415"/>
      <c r="BU46" s="415"/>
      <c r="BV46" s="414">
        <f>'Monthly Data'!CM111</f>
        <v>388.66666666666663</v>
      </c>
      <c r="BW46" s="415">
        <f t="shared" si="183"/>
        <v>1.0008583690987125</v>
      </c>
    </row>
    <row r="47" spans="1:75">
      <c r="A47" s="9">
        <f t="shared" si="184"/>
        <v>2025</v>
      </c>
      <c r="B47" s="9" t="s">
        <v>149</v>
      </c>
      <c r="C47" s="529">
        <f>'Monthly Data'!AT112</f>
        <v>118588.00000000001</v>
      </c>
      <c r="D47" s="530">
        <f t="shared" si="185"/>
        <v>1.0007735823049377</v>
      </c>
      <c r="E47" s="11"/>
      <c r="F47" s="11"/>
      <c r="G47" s="531">
        <f>'Monthly Data'!AU112</f>
        <v>1557</v>
      </c>
      <c r="H47" s="530">
        <f t="shared" si="186"/>
        <v>0.99935815147625162</v>
      </c>
      <c r="I47" s="11"/>
      <c r="J47" s="11"/>
      <c r="K47" s="529">
        <f>'Monthly Data'!AV112</f>
        <v>9505.7499999999982</v>
      </c>
      <c r="L47" s="530">
        <f t="shared" si="187"/>
        <v>0.99999123345314278</v>
      </c>
      <c r="M47" s="11"/>
      <c r="N47" s="531"/>
      <c r="O47" s="529">
        <f>'Monthly Data'!AW112</f>
        <v>1081</v>
      </c>
      <c r="P47" s="530">
        <f t="shared" si="188"/>
        <v>1.0018535681186285</v>
      </c>
      <c r="Q47" s="530"/>
      <c r="R47" s="530"/>
      <c r="S47" s="531"/>
      <c r="T47" s="531"/>
      <c r="U47" s="529">
        <f>'Monthly Data'!AX112</f>
        <v>5</v>
      </c>
      <c r="V47" s="530">
        <f t="shared" si="189"/>
        <v>1</v>
      </c>
      <c r="W47" s="530"/>
      <c r="X47" s="530"/>
      <c r="Y47" s="531"/>
      <c r="Z47" s="11"/>
      <c r="AA47" s="529">
        <f>'Monthly Data'!AY112</f>
        <v>5</v>
      </c>
      <c r="AB47" s="532">
        <f t="shared" si="190"/>
        <v>1</v>
      </c>
      <c r="AC47" s="532"/>
      <c r="AD47" s="532"/>
      <c r="AE47" s="532"/>
      <c r="AF47" s="532"/>
      <c r="AG47" s="529">
        <f>'Monthly Data'!AZ112</f>
        <v>33072.750000000007</v>
      </c>
      <c r="AH47" s="532">
        <f t="shared" si="191"/>
        <v>1.0006530278810128</v>
      </c>
      <c r="AI47" s="11"/>
      <c r="AJ47" s="11"/>
      <c r="AK47" s="529">
        <f>'Monthly Data'!BA112</f>
        <v>233.75</v>
      </c>
      <c r="AL47" s="532">
        <f t="shared" si="192"/>
        <v>0.99680170575692961</v>
      </c>
      <c r="AN47" s="11"/>
      <c r="AO47" s="529">
        <f>'Monthly Data'!BB112</f>
        <v>760.00000000000011</v>
      </c>
      <c r="AP47" s="532">
        <f t="shared" si="193"/>
        <v>1.0057344508160566</v>
      </c>
      <c r="AQ47" s="404"/>
      <c r="AT47" s="529">
        <f>'Monthly Data'!CG112</f>
        <v>45771</v>
      </c>
      <c r="AU47" s="530">
        <f t="shared" si="194"/>
        <v>1.0006121155149421</v>
      </c>
      <c r="AV47" s="11"/>
      <c r="AW47" s="11"/>
      <c r="AX47" s="531">
        <f>'Monthly Data'!CH112</f>
        <v>2473</v>
      </c>
      <c r="AY47" s="530">
        <f t="shared" si="195"/>
        <v>1</v>
      </c>
      <c r="AZ47" s="11"/>
      <c r="BA47" s="11"/>
      <c r="BB47" s="529">
        <f>'Monthly Data'!CI112</f>
        <v>393</v>
      </c>
      <c r="BC47" s="530">
        <f t="shared" si="196"/>
        <v>1.0025510204081634</v>
      </c>
      <c r="BD47" s="530"/>
      <c r="BE47" s="530"/>
      <c r="BF47" s="11"/>
      <c r="BG47" s="531"/>
      <c r="BH47" s="529">
        <f>'Monthly Data'!CJ112</f>
        <v>3</v>
      </c>
      <c r="BI47" s="530">
        <f t="shared" si="197"/>
        <v>1</v>
      </c>
      <c r="BJ47" s="530"/>
      <c r="BK47" s="530"/>
      <c r="BL47" s="531"/>
      <c r="BM47" s="531"/>
      <c r="BN47" s="529">
        <f>'Monthly Data'!CK112</f>
        <v>13805.250000000002</v>
      </c>
      <c r="BO47" s="530">
        <f t="shared" si="198"/>
        <v>1.0010211850580686</v>
      </c>
      <c r="BP47" s="11"/>
      <c r="BQ47" s="11"/>
      <c r="BR47" s="414">
        <f>'Monthly Data'!CL112</f>
        <v>44.749999999999993</v>
      </c>
      <c r="BS47" s="415">
        <f t="shared" si="182"/>
        <v>0.99814126394052038</v>
      </c>
      <c r="BT47" s="415"/>
      <c r="BU47" s="415"/>
      <c r="BV47" s="414">
        <f>'Monthly Data'!CM112</f>
        <v>388.99999999999994</v>
      </c>
      <c r="BW47" s="415">
        <f t="shared" si="183"/>
        <v>1.0008576329331045</v>
      </c>
    </row>
    <row r="48" spans="1:75">
      <c r="A48" s="9">
        <f t="shared" si="184"/>
        <v>2025</v>
      </c>
      <c r="B48" s="9" t="s">
        <v>150</v>
      </c>
      <c r="C48" s="529">
        <f>'Monthly Data'!AT113</f>
        <v>118679.66666666669</v>
      </c>
      <c r="D48" s="530">
        <f t="shared" si="185"/>
        <v>1.0007729843379318</v>
      </c>
      <c r="E48" s="11"/>
      <c r="F48" s="11"/>
      <c r="G48" s="531">
        <f>'Monthly Data'!AU113</f>
        <v>1556</v>
      </c>
      <c r="H48" s="530">
        <f t="shared" si="186"/>
        <v>0.99935773924213234</v>
      </c>
      <c r="I48" s="11"/>
      <c r="J48" s="11"/>
      <c r="K48" s="529">
        <f>'Monthly Data'!AV113</f>
        <v>9505.6666666666642</v>
      </c>
      <c r="L48" s="530">
        <f t="shared" si="187"/>
        <v>0.9999912333762897</v>
      </c>
      <c r="M48" s="11"/>
      <c r="N48" s="531"/>
      <c r="O48" s="529">
        <f>'Monthly Data'!AW113</f>
        <v>1083</v>
      </c>
      <c r="P48" s="530">
        <f t="shared" si="188"/>
        <v>1.0018501387604071</v>
      </c>
      <c r="Q48" s="530"/>
      <c r="R48" s="530"/>
      <c r="S48" s="531"/>
      <c r="T48" s="531"/>
      <c r="U48" s="529">
        <f>'Monthly Data'!AX113</f>
        <v>5</v>
      </c>
      <c r="V48" s="530">
        <f t="shared" si="189"/>
        <v>1</v>
      </c>
      <c r="W48" s="530"/>
      <c r="X48" s="530"/>
      <c r="Y48" s="531"/>
      <c r="Z48" s="11"/>
      <c r="AA48" s="529">
        <f>'Monthly Data'!AY113</f>
        <v>5</v>
      </c>
      <c r="AB48" s="532">
        <f t="shared" si="190"/>
        <v>1</v>
      </c>
      <c r="AC48" s="532"/>
      <c r="AD48" s="532"/>
      <c r="AE48" s="532"/>
      <c r="AF48" s="532"/>
      <c r="AG48" s="529">
        <f>'Monthly Data'!AZ113</f>
        <v>33094.333333333343</v>
      </c>
      <c r="AH48" s="532">
        <f t="shared" si="191"/>
        <v>1.0006526017138986</v>
      </c>
      <c r="AI48" s="11"/>
      <c r="AJ48" s="11"/>
      <c r="AK48" s="529">
        <f>'Monthly Data'!BA113</f>
        <v>233</v>
      </c>
      <c r="AL48" s="532">
        <f t="shared" si="192"/>
        <v>0.99679144385026741</v>
      </c>
      <c r="AN48" s="11"/>
      <c r="AO48" s="529">
        <f>'Monthly Data'!BB113</f>
        <v>764.33333333333348</v>
      </c>
      <c r="AP48" s="532">
        <f t="shared" si="193"/>
        <v>1.005701754385965</v>
      </c>
      <c r="AQ48" s="404"/>
      <c r="AT48" s="529">
        <f>'Monthly Data'!CG113</f>
        <v>45799</v>
      </c>
      <c r="AU48" s="530">
        <f t="shared" si="194"/>
        <v>1.0006117410587489</v>
      </c>
      <c r="AV48" s="11"/>
      <c r="AW48" s="11"/>
      <c r="AX48" s="531">
        <f>'Monthly Data'!CH113</f>
        <v>2473</v>
      </c>
      <c r="AY48" s="530">
        <f t="shared" si="195"/>
        <v>1</v>
      </c>
      <c r="AZ48" s="11"/>
      <c r="BA48" s="11"/>
      <c r="BB48" s="529">
        <f>'Monthly Data'!CI113</f>
        <v>394</v>
      </c>
      <c r="BC48" s="530">
        <f t="shared" si="196"/>
        <v>1.0025445292620865</v>
      </c>
      <c r="BD48" s="530"/>
      <c r="BE48" s="530"/>
      <c r="BF48" s="11"/>
      <c r="BG48" s="531"/>
      <c r="BH48" s="529">
        <f>'Monthly Data'!CJ113</f>
        <v>3</v>
      </c>
      <c r="BI48" s="530">
        <f t="shared" si="197"/>
        <v>1</v>
      </c>
      <c r="BJ48" s="530"/>
      <c r="BK48" s="530"/>
      <c r="BL48" s="531"/>
      <c r="BM48" s="531"/>
      <c r="BN48" s="529">
        <f>'Monthly Data'!CK113</f>
        <v>13819.333333333336</v>
      </c>
      <c r="BO48" s="530">
        <f t="shared" si="198"/>
        <v>1.0010201433029706</v>
      </c>
      <c r="BP48" s="11"/>
      <c r="BQ48" s="11"/>
      <c r="BR48" s="414">
        <f>'Monthly Data'!CL113</f>
        <v>44.666666666666657</v>
      </c>
      <c r="BS48" s="415">
        <f t="shared" si="182"/>
        <v>0.9981378026070763</v>
      </c>
      <c r="BT48" s="415"/>
      <c r="BU48" s="415"/>
      <c r="BV48" s="414">
        <f>'Monthly Data'!CM113</f>
        <v>389.33333333333326</v>
      </c>
      <c r="BW48" s="415">
        <f t="shared" si="183"/>
        <v>1.0008568980291346</v>
      </c>
    </row>
    <row r="49" spans="1:75">
      <c r="A49" s="9">
        <f t="shared" si="184"/>
        <v>2025</v>
      </c>
      <c r="B49" s="9" t="s">
        <v>151</v>
      </c>
      <c r="C49" s="529">
        <f>'Monthly Data'!AT114</f>
        <v>118771.33333333336</v>
      </c>
      <c r="D49" s="530">
        <f t="shared" si="185"/>
        <v>1.0007723872946503</v>
      </c>
      <c r="E49" s="11"/>
      <c r="F49" s="11"/>
      <c r="G49" s="531">
        <f>'Monthly Data'!AU114</f>
        <v>1555</v>
      </c>
      <c r="H49" s="530">
        <f t="shared" si="186"/>
        <v>0.99935732647814912</v>
      </c>
      <c r="I49" s="11"/>
      <c r="J49" s="11"/>
      <c r="K49" s="529">
        <f>'Monthly Data'!AV114</f>
        <v>9505.5833333333303</v>
      </c>
      <c r="L49" s="530">
        <f t="shared" si="187"/>
        <v>0.9999912332994354</v>
      </c>
      <c r="M49" s="11"/>
      <c r="N49" s="531"/>
      <c r="O49" s="529">
        <f>'Monthly Data'!AW114</f>
        <v>1085</v>
      </c>
      <c r="P49" s="530">
        <f t="shared" si="188"/>
        <v>1.0018467220683287</v>
      </c>
      <c r="Q49" s="530"/>
      <c r="R49" s="530"/>
      <c r="S49" s="531"/>
      <c r="T49" s="531"/>
      <c r="U49" s="529">
        <f>'Monthly Data'!AX114</f>
        <v>5</v>
      </c>
      <c r="V49" s="530">
        <f t="shared" si="189"/>
        <v>1</v>
      </c>
      <c r="W49" s="530"/>
      <c r="X49" s="530"/>
      <c r="Y49" s="531"/>
      <c r="Z49" s="11"/>
      <c r="AA49" s="529">
        <f>'Monthly Data'!AY114</f>
        <v>5</v>
      </c>
      <c r="AB49" s="532">
        <f t="shared" si="190"/>
        <v>1</v>
      </c>
      <c r="AC49" s="532"/>
      <c r="AD49" s="532"/>
      <c r="AE49" s="532"/>
      <c r="AF49" s="532"/>
      <c r="AG49" s="529">
        <f>'Monthly Data'!AZ114</f>
        <v>33115.916666666679</v>
      </c>
      <c r="AH49" s="532">
        <f t="shared" si="191"/>
        <v>1.0006521761026561</v>
      </c>
      <c r="AI49" s="11"/>
      <c r="AJ49" s="11"/>
      <c r="AK49" s="529">
        <f>'Monthly Data'!BA114</f>
        <v>232.25</v>
      </c>
      <c r="AL49" s="532">
        <f t="shared" si="192"/>
        <v>0.99678111587982832</v>
      </c>
      <c r="AN49" s="11"/>
      <c r="AO49" s="529">
        <f>'Monthly Data'!BB114</f>
        <v>768.66666666666686</v>
      </c>
      <c r="AP49" s="532">
        <f t="shared" si="193"/>
        <v>1.0056694286960315</v>
      </c>
      <c r="AQ49" s="404"/>
      <c r="AT49" s="529">
        <f>'Monthly Data'!CG114</f>
        <v>45827</v>
      </c>
      <c r="AU49" s="530">
        <f t="shared" si="194"/>
        <v>1.0006113670604162</v>
      </c>
      <c r="AV49" s="11"/>
      <c r="AW49" s="11"/>
      <c r="AX49" s="531">
        <f>'Monthly Data'!CH114</f>
        <v>2473</v>
      </c>
      <c r="AY49" s="530">
        <f t="shared" si="195"/>
        <v>1</v>
      </c>
      <c r="AZ49" s="11"/>
      <c r="BA49" s="11"/>
      <c r="BB49" s="529">
        <f>'Monthly Data'!CI114</f>
        <v>395</v>
      </c>
      <c r="BC49" s="530">
        <f t="shared" si="196"/>
        <v>1.0025380710659899</v>
      </c>
      <c r="BD49" s="530"/>
      <c r="BE49" s="530"/>
      <c r="BF49" s="11"/>
      <c r="BG49" s="531"/>
      <c r="BH49" s="529">
        <f>'Monthly Data'!CJ114</f>
        <v>3</v>
      </c>
      <c r="BI49" s="530">
        <f t="shared" si="197"/>
        <v>1</v>
      </c>
      <c r="BJ49" s="530"/>
      <c r="BK49" s="530"/>
      <c r="BL49" s="531"/>
      <c r="BM49" s="531"/>
      <c r="BN49" s="529">
        <f>'Monthly Data'!CK114</f>
        <v>13833.41666666667</v>
      </c>
      <c r="BO49" s="530">
        <f t="shared" si="198"/>
        <v>1.0010191036711853</v>
      </c>
      <c r="BP49" s="11"/>
      <c r="BQ49" s="11"/>
      <c r="BR49" s="414">
        <f>'Monthly Data'!CL114</f>
        <v>44.583333333333321</v>
      </c>
      <c r="BS49" s="415">
        <f t="shared" si="182"/>
        <v>0.99813432835820892</v>
      </c>
      <c r="BT49" s="415"/>
      <c r="BU49" s="415"/>
      <c r="BV49" s="414">
        <f>'Monthly Data'!CM114</f>
        <v>389.66666666666657</v>
      </c>
      <c r="BW49" s="415">
        <f t="shared" si="183"/>
        <v>1.0008561643835616</v>
      </c>
    </row>
    <row r="50" spans="1:75">
      <c r="A50" s="9">
        <f t="shared" si="184"/>
        <v>2025</v>
      </c>
      <c r="B50" s="9" t="s">
        <v>152</v>
      </c>
      <c r="C50" s="529">
        <f>'Monthly Data'!AT115</f>
        <v>118863.00000000003</v>
      </c>
      <c r="D50" s="530">
        <f t="shared" si="185"/>
        <v>1.0007717911729543</v>
      </c>
      <c r="E50" s="11"/>
      <c r="F50" s="11"/>
      <c r="G50" s="531">
        <f>'Monthly Data'!AU115</f>
        <v>1554</v>
      </c>
      <c r="H50" s="530">
        <f t="shared" si="186"/>
        <v>0.99935691318327979</v>
      </c>
      <c r="I50" s="11"/>
      <c r="J50" s="11"/>
      <c r="K50" s="529">
        <f>'Monthly Data'!AV115</f>
        <v>9505.4999999999964</v>
      </c>
      <c r="L50" s="530">
        <f t="shared" si="187"/>
        <v>0.99999123322257966</v>
      </c>
      <c r="M50" s="11"/>
      <c r="N50" s="531"/>
      <c r="O50" s="529">
        <f>'Monthly Data'!AW115</f>
        <v>1087</v>
      </c>
      <c r="P50" s="530">
        <f t="shared" si="188"/>
        <v>1.0018433179723503</v>
      </c>
      <c r="Q50" s="530"/>
      <c r="R50" s="530"/>
      <c r="S50" s="531"/>
      <c r="T50" s="531"/>
      <c r="U50" s="529">
        <f>'Monthly Data'!AX115</f>
        <v>5</v>
      </c>
      <c r="V50" s="530">
        <f t="shared" si="189"/>
        <v>1</v>
      </c>
      <c r="W50" s="530"/>
      <c r="X50" s="530"/>
      <c r="Y50" s="531"/>
      <c r="Z50" s="11"/>
      <c r="AA50" s="529">
        <f>'Monthly Data'!AY115</f>
        <v>5</v>
      </c>
      <c r="AB50" s="532">
        <f t="shared" si="190"/>
        <v>1</v>
      </c>
      <c r="AC50" s="532"/>
      <c r="AD50" s="532"/>
      <c r="AE50" s="532"/>
      <c r="AF50" s="532"/>
      <c r="AG50" s="529">
        <f>'Monthly Data'!AZ115</f>
        <v>33137.500000000015</v>
      </c>
      <c r="AH50" s="532">
        <f t="shared" si="191"/>
        <v>1.000651751046199</v>
      </c>
      <c r="AI50" s="11"/>
      <c r="AJ50" s="11"/>
      <c r="AK50" s="529">
        <f>'Monthly Data'!BA115</f>
        <v>231.5</v>
      </c>
      <c r="AL50" s="532">
        <f t="shared" si="192"/>
        <v>0.9967707212055974</v>
      </c>
      <c r="AN50" s="11"/>
      <c r="AO50" s="529">
        <f>'Monthly Data'!BB115</f>
        <v>773.00000000000023</v>
      </c>
      <c r="AP50" s="532">
        <f t="shared" si="193"/>
        <v>1.0056374674761492</v>
      </c>
      <c r="AQ50" s="404"/>
      <c r="AT50" s="529">
        <f>'Monthly Data'!CG115</f>
        <v>45855</v>
      </c>
      <c r="AU50" s="530">
        <f t="shared" si="194"/>
        <v>1.0006109935191045</v>
      </c>
      <c r="AV50" s="11"/>
      <c r="AW50" s="11"/>
      <c r="AX50" s="531">
        <f>'Monthly Data'!CH115</f>
        <v>2473</v>
      </c>
      <c r="AY50" s="530">
        <f t="shared" si="195"/>
        <v>1</v>
      </c>
      <c r="AZ50" s="11"/>
      <c r="BA50" s="11"/>
      <c r="BB50" s="529">
        <f>'Monthly Data'!CI115</f>
        <v>396</v>
      </c>
      <c r="BC50" s="530">
        <f t="shared" si="196"/>
        <v>1.0025316455696203</v>
      </c>
      <c r="BD50" s="530"/>
      <c r="BE50" s="530"/>
      <c r="BF50" s="11"/>
      <c r="BG50" s="531"/>
      <c r="BH50" s="529">
        <f>'Monthly Data'!CJ115</f>
        <v>3</v>
      </c>
      <c r="BI50" s="530">
        <f t="shared" si="197"/>
        <v>1</v>
      </c>
      <c r="BJ50" s="530"/>
      <c r="BK50" s="530"/>
      <c r="BL50" s="531"/>
      <c r="BM50" s="531"/>
      <c r="BN50" s="529">
        <f>'Monthly Data'!CK115</f>
        <v>13847.500000000004</v>
      </c>
      <c r="BO50" s="530">
        <f t="shared" si="198"/>
        <v>1.001018066156228</v>
      </c>
      <c r="BP50" s="11"/>
      <c r="BQ50" s="11"/>
      <c r="BR50" s="414">
        <f>'Monthly Data'!CL115</f>
        <v>44.499999999999986</v>
      </c>
      <c r="BS50" s="415">
        <f t="shared" si="182"/>
        <v>0.9981308411214953</v>
      </c>
      <c r="BT50" s="415"/>
      <c r="BU50" s="415"/>
      <c r="BV50" s="414">
        <f>'Monthly Data'!CM115</f>
        <v>389.99999999999989</v>
      </c>
      <c r="BW50" s="415">
        <f t="shared" si="183"/>
        <v>1.0008554319931564</v>
      </c>
    </row>
    <row r="51" spans="1:75">
      <c r="A51" s="9">
        <f t="shared" si="184"/>
        <v>2025</v>
      </c>
      <c r="B51" s="9" t="s">
        <v>153</v>
      </c>
      <c r="C51" s="529">
        <f>'Monthly Data'!AT116</f>
        <v>118954.6666666667</v>
      </c>
      <c r="D51" s="530">
        <f t="shared" si="185"/>
        <v>1.0007711959707115</v>
      </c>
      <c r="E51" s="11"/>
      <c r="F51" s="11"/>
      <c r="G51" s="531">
        <f>'Monthly Data'!AU116</f>
        <v>1553</v>
      </c>
      <c r="H51" s="530">
        <f t="shared" si="186"/>
        <v>0.99935649935649939</v>
      </c>
      <c r="I51" s="11"/>
      <c r="J51" s="11"/>
      <c r="K51" s="529">
        <f>'Monthly Data'!AV116</f>
        <v>9505.4166666666624</v>
      </c>
      <c r="L51" s="530">
        <f t="shared" si="187"/>
        <v>0.99999123314572258</v>
      </c>
      <c r="M51" s="11"/>
      <c r="N51" s="531"/>
      <c r="O51" s="529">
        <f>'Monthly Data'!AW116</f>
        <v>1089</v>
      </c>
      <c r="P51" s="530">
        <f t="shared" si="188"/>
        <v>1.0018399264029438</v>
      </c>
      <c r="Q51" s="530"/>
      <c r="R51" s="530"/>
      <c r="S51" s="531"/>
      <c r="T51" s="531"/>
      <c r="U51" s="529">
        <f>'Monthly Data'!AX116</f>
        <v>5</v>
      </c>
      <c r="V51" s="530">
        <f t="shared" si="189"/>
        <v>1</v>
      </c>
      <c r="W51" s="530"/>
      <c r="X51" s="530"/>
      <c r="Y51" s="531"/>
      <c r="Z51" s="11"/>
      <c r="AA51" s="529">
        <f>'Monthly Data'!AY116</f>
        <v>5</v>
      </c>
      <c r="AB51" s="532">
        <f t="shared" si="190"/>
        <v>1</v>
      </c>
      <c r="AC51" s="532"/>
      <c r="AD51" s="532"/>
      <c r="AE51" s="532"/>
      <c r="AF51" s="532"/>
      <c r="AG51" s="529">
        <f>'Monthly Data'!AZ116</f>
        <v>33159.08333333335</v>
      </c>
      <c r="AH51" s="532">
        <f t="shared" si="191"/>
        <v>1.0006513265434429</v>
      </c>
      <c r="AI51" s="11"/>
      <c r="AJ51" s="11"/>
      <c r="AK51" s="529">
        <f>'Monthly Data'!BA116</f>
        <v>230.75</v>
      </c>
      <c r="AL51" s="532">
        <f t="shared" si="192"/>
        <v>0.9967602591792657</v>
      </c>
      <c r="AN51" s="11"/>
      <c r="AO51" s="529">
        <f>'Monthly Data'!BB116</f>
        <v>777.3333333333336</v>
      </c>
      <c r="AP51" s="532">
        <f t="shared" si="193"/>
        <v>1.0056058645968091</v>
      </c>
      <c r="AQ51" s="404"/>
      <c r="AT51" s="529">
        <f>'Monthly Data'!CG116</f>
        <v>45883</v>
      </c>
      <c r="AU51" s="530">
        <f t="shared" si="194"/>
        <v>1.0006106204339766</v>
      </c>
      <c r="AV51" s="11"/>
      <c r="AW51" s="11"/>
      <c r="AX51" s="531">
        <f>'Monthly Data'!CH116</f>
        <v>2473</v>
      </c>
      <c r="AY51" s="530">
        <f t="shared" si="195"/>
        <v>1</v>
      </c>
      <c r="AZ51" s="11"/>
      <c r="BA51" s="11"/>
      <c r="BB51" s="529">
        <f>'Monthly Data'!CI116</f>
        <v>397</v>
      </c>
      <c r="BC51" s="530">
        <f t="shared" si="196"/>
        <v>1.0025252525252526</v>
      </c>
      <c r="BD51" s="530"/>
      <c r="BE51" s="530"/>
      <c r="BF51" s="11"/>
      <c r="BG51" s="531"/>
      <c r="BH51" s="529">
        <f>'Monthly Data'!CJ116</f>
        <v>3</v>
      </c>
      <c r="BI51" s="530">
        <f t="shared" si="197"/>
        <v>1</v>
      </c>
      <c r="BJ51" s="530"/>
      <c r="BK51" s="530"/>
      <c r="BL51" s="531"/>
      <c r="BM51" s="531"/>
      <c r="BN51" s="529">
        <f>'Monthly Data'!CK116</f>
        <v>13861.583333333338</v>
      </c>
      <c r="BO51" s="530">
        <f t="shared" si="198"/>
        <v>1.0010170307516399</v>
      </c>
      <c r="BP51" s="11"/>
      <c r="BQ51" s="11"/>
      <c r="BR51" s="414">
        <f>'Monthly Data'!CL116</f>
        <v>44.41666666666665</v>
      </c>
      <c r="BS51" s="415">
        <f t="shared" si="182"/>
        <v>0.99812734082397003</v>
      </c>
      <c r="BT51" s="415"/>
      <c r="BU51" s="415"/>
      <c r="BV51" s="414">
        <f>'Monthly Data'!CM116</f>
        <v>390.3333333333332</v>
      </c>
      <c r="BW51" s="415">
        <f t="shared" si="183"/>
        <v>1.0008547008547009</v>
      </c>
    </row>
    <row r="52" spans="1:75">
      <c r="A52" s="9">
        <f t="shared" si="184"/>
        <v>2025</v>
      </c>
      <c r="B52" s="9" t="s">
        <v>154</v>
      </c>
      <c r="C52" s="529">
        <f>'Monthly Data'!AT117</f>
        <v>119046.33333333337</v>
      </c>
      <c r="D52" s="530">
        <f t="shared" si="185"/>
        <v>1.0007706016857962</v>
      </c>
      <c r="E52" s="11"/>
      <c r="F52" s="11"/>
      <c r="G52" s="531">
        <f>'Monthly Data'!AU117</f>
        <v>1552</v>
      </c>
      <c r="H52" s="530">
        <f t="shared" si="186"/>
        <v>0.99935608499678041</v>
      </c>
      <c r="I52" s="11"/>
      <c r="J52" s="11"/>
      <c r="K52" s="529">
        <f>'Monthly Data'!AV117</f>
        <v>9505.3333333333285</v>
      </c>
      <c r="L52" s="530">
        <f t="shared" si="187"/>
        <v>0.99999123306886417</v>
      </c>
      <c r="M52" s="11"/>
      <c r="N52" s="531"/>
      <c r="O52" s="529">
        <f>'Monthly Data'!AW117</f>
        <v>1091</v>
      </c>
      <c r="P52" s="530">
        <f t="shared" si="188"/>
        <v>1.0018365472910928</v>
      </c>
      <c r="Q52" s="530"/>
      <c r="R52" s="530"/>
      <c r="S52" s="531"/>
      <c r="T52" s="531"/>
      <c r="U52" s="529">
        <f>'Monthly Data'!AX117</f>
        <v>5</v>
      </c>
      <c r="V52" s="530">
        <f t="shared" si="189"/>
        <v>1</v>
      </c>
      <c r="W52" s="530"/>
      <c r="X52" s="530"/>
      <c r="Y52" s="531"/>
      <c r="Z52" s="11"/>
      <c r="AA52" s="529">
        <f>'Monthly Data'!AY117</f>
        <v>5</v>
      </c>
      <c r="AB52" s="532">
        <f t="shared" si="190"/>
        <v>1</v>
      </c>
      <c r="AC52" s="532"/>
      <c r="AD52" s="532"/>
      <c r="AE52" s="532"/>
      <c r="AF52" s="532"/>
      <c r="AG52" s="529">
        <f>'Monthly Data'!AZ117</f>
        <v>33180.666666666686</v>
      </c>
      <c r="AH52" s="532">
        <f t="shared" si="191"/>
        <v>1.0006509025933066</v>
      </c>
      <c r="AI52" s="11"/>
      <c r="AJ52" s="11"/>
      <c r="AK52" s="529">
        <f>'Monthly Data'!BA117</f>
        <v>230</v>
      </c>
      <c r="AL52" s="532">
        <f t="shared" si="192"/>
        <v>0.99674972914409532</v>
      </c>
      <c r="AN52" s="11"/>
      <c r="AO52" s="529">
        <f>'Monthly Data'!BB117</f>
        <v>781.66666666666697</v>
      </c>
      <c r="AP52" s="532">
        <f t="shared" si="193"/>
        <v>1.0055746140651802</v>
      </c>
      <c r="AQ52" s="404"/>
      <c r="AT52" s="529">
        <f>'Monthly Data'!CG117</f>
        <v>45911</v>
      </c>
      <c r="AU52" s="530">
        <f t="shared" si="194"/>
        <v>1.0006102478041976</v>
      </c>
      <c r="AV52" s="11"/>
      <c r="AW52" s="11"/>
      <c r="AX52" s="531">
        <f>'Monthly Data'!CH117</f>
        <v>2473</v>
      </c>
      <c r="AY52" s="530">
        <f t="shared" si="195"/>
        <v>1</v>
      </c>
      <c r="AZ52" s="11"/>
      <c r="BA52" s="11"/>
      <c r="BB52" s="529">
        <f>'Monthly Data'!CI117</f>
        <v>398</v>
      </c>
      <c r="BC52" s="530">
        <f t="shared" si="196"/>
        <v>1.0025188916876575</v>
      </c>
      <c r="BD52" s="530"/>
      <c r="BE52" s="530"/>
      <c r="BF52" s="11"/>
      <c r="BG52" s="531"/>
      <c r="BH52" s="529">
        <f>'Monthly Data'!CJ117</f>
        <v>3</v>
      </c>
      <c r="BI52" s="530">
        <f t="shared" si="197"/>
        <v>1</v>
      </c>
      <c r="BJ52" s="530"/>
      <c r="BK52" s="530"/>
      <c r="BL52" s="531"/>
      <c r="BM52" s="531"/>
      <c r="BN52" s="529">
        <f>'Monthly Data'!CK117</f>
        <v>13875.666666666672</v>
      </c>
      <c r="BO52" s="530">
        <f t="shared" si="198"/>
        <v>1.0010159974509887</v>
      </c>
      <c r="BP52" s="11"/>
      <c r="BQ52" s="11"/>
      <c r="BR52" s="414">
        <f>'Monthly Data'!CL117</f>
        <v>44.333333333333314</v>
      </c>
      <c r="BS52" s="415">
        <f t="shared" si="182"/>
        <v>0.99812382739212002</v>
      </c>
      <c r="BT52" s="415"/>
      <c r="BU52" s="415"/>
      <c r="BV52" s="414">
        <f>'Monthly Data'!CM117</f>
        <v>390.66666666666652</v>
      </c>
      <c r="BW52" s="415">
        <f t="shared" si="183"/>
        <v>1.0008539709649871</v>
      </c>
    </row>
    <row r="53" spans="1:75">
      <c r="A53" s="9">
        <f t="shared" si="184"/>
        <v>2025</v>
      </c>
      <c r="B53" s="9" t="s">
        <v>684</v>
      </c>
      <c r="C53" s="529">
        <f>'Monthly Data'!AT118</f>
        <v>119138.00000000004</v>
      </c>
      <c r="D53" s="530">
        <f t="shared" si="185"/>
        <v>1.0007700083160898</v>
      </c>
      <c r="E53" s="11"/>
      <c r="F53" s="11"/>
      <c r="G53" s="531">
        <f>'Monthly Data'!AU118</f>
        <v>1551</v>
      </c>
      <c r="H53" s="530">
        <f t="shared" si="186"/>
        <v>0.99935567010309279</v>
      </c>
      <c r="I53" s="11"/>
      <c r="J53" s="11"/>
      <c r="K53" s="529">
        <f>'Monthly Data'!AV118</f>
        <v>9505.2499999999945</v>
      </c>
      <c r="L53" s="530">
        <f t="shared" si="187"/>
        <v>0.99999123299200443</v>
      </c>
      <c r="M53" s="11"/>
      <c r="N53" s="531"/>
      <c r="O53" s="529">
        <f>'Monthly Data'!AW118</f>
        <v>1093</v>
      </c>
      <c r="P53" s="530">
        <f t="shared" si="188"/>
        <v>1.0018331805682861</v>
      </c>
      <c r="Q53" s="530"/>
      <c r="R53" s="530"/>
      <c r="S53" s="531"/>
      <c r="T53" s="531"/>
      <c r="U53" s="529">
        <f>'Monthly Data'!AX118</f>
        <v>5</v>
      </c>
      <c r="V53" s="530">
        <f t="shared" si="189"/>
        <v>1</v>
      </c>
      <c r="W53" s="530"/>
      <c r="X53" s="530"/>
      <c r="Y53" s="531"/>
      <c r="Z53" s="11"/>
      <c r="AA53" s="529">
        <f>'Monthly Data'!AY118</f>
        <v>5</v>
      </c>
      <c r="AB53" s="532">
        <f t="shared" si="190"/>
        <v>1</v>
      </c>
      <c r="AC53" s="532"/>
      <c r="AD53" s="532"/>
      <c r="AE53" s="532"/>
      <c r="AF53" s="532"/>
      <c r="AG53" s="529">
        <f>'Monthly Data'!AZ118</f>
        <v>33202.250000000022</v>
      </c>
      <c r="AH53" s="532">
        <f t="shared" si="191"/>
        <v>1.000650479194712</v>
      </c>
      <c r="AI53" s="11"/>
      <c r="AJ53" s="11"/>
      <c r="AK53" s="529">
        <f>'Monthly Data'!BA118</f>
        <v>229.25</v>
      </c>
      <c r="AL53" s="532">
        <f t="shared" si="192"/>
        <v>0.99673913043478257</v>
      </c>
      <c r="AN53" s="11"/>
      <c r="AO53" s="529">
        <f>'Monthly Data'!BB118</f>
        <v>786.00000000000034</v>
      </c>
      <c r="AP53" s="532">
        <f t="shared" si="193"/>
        <v>1.005543710021322</v>
      </c>
      <c r="AQ53" s="404"/>
      <c r="AT53" s="529">
        <f>'Monthly Data'!CG118</f>
        <v>45939</v>
      </c>
      <c r="AU53" s="530">
        <f t="shared" si="194"/>
        <v>1.0006098756289343</v>
      </c>
      <c r="AV53" s="11"/>
      <c r="AW53" s="11"/>
      <c r="AX53" s="531">
        <f>'Monthly Data'!CH118</f>
        <v>2473</v>
      </c>
      <c r="AY53" s="530">
        <f t="shared" si="195"/>
        <v>1</v>
      </c>
      <c r="AZ53" s="11"/>
      <c r="BA53" s="11"/>
      <c r="BB53" s="529">
        <f>'Monthly Data'!CI118</f>
        <v>399</v>
      </c>
      <c r="BC53" s="530">
        <f t="shared" si="196"/>
        <v>1.0025125628140703</v>
      </c>
      <c r="BD53" s="530"/>
      <c r="BE53" s="530"/>
      <c r="BF53" s="11"/>
      <c r="BG53" s="531"/>
      <c r="BH53" s="529">
        <f>'Monthly Data'!CJ118</f>
        <v>3</v>
      </c>
      <c r="BI53" s="530">
        <f t="shared" si="197"/>
        <v>1</v>
      </c>
      <c r="BJ53" s="530"/>
      <c r="BK53" s="530"/>
      <c r="BL53" s="531"/>
      <c r="BM53" s="531"/>
      <c r="BN53" s="529">
        <f>'Monthly Data'!CK118</f>
        <v>13889.750000000005</v>
      </c>
      <c r="BO53" s="530">
        <f t="shared" si="198"/>
        <v>1.001014966247868</v>
      </c>
      <c r="BP53" s="11"/>
      <c r="BQ53" s="11"/>
      <c r="BR53" s="414">
        <f>'Monthly Data'!CL118</f>
        <v>44.249999999999979</v>
      </c>
      <c r="BS53" s="415">
        <f t="shared" si="182"/>
        <v>0.99812030075187963</v>
      </c>
      <c r="BT53" s="415"/>
      <c r="BU53" s="415"/>
      <c r="BV53" s="414">
        <f>'Monthly Data'!CM118</f>
        <v>390.99999999999983</v>
      </c>
      <c r="BW53" s="415">
        <f t="shared" si="183"/>
        <v>1.000853242320819</v>
      </c>
    </row>
    <row r="54" spans="1:75">
      <c r="A54" s="9">
        <f t="shared" si="184"/>
        <v>2025</v>
      </c>
      <c r="B54" s="9" t="s">
        <v>156</v>
      </c>
      <c r="C54" s="529">
        <f>'Monthly Data'!AT119</f>
        <v>119229.66666666672</v>
      </c>
      <c r="D54" s="530">
        <f t="shared" si="185"/>
        <v>1.0007694158594795</v>
      </c>
      <c r="E54" s="11"/>
      <c r="F54" s="11"/>
      <c r="G54" s="531">
        <f>'Monthly Data'!AU119</f>
        <v>1550</v>
      </c>
      <c r="H54" s="530">
        <f t="shared" si="186"/>
        <v>0.99935525467440356</v>
      </c>
      <c r="I54" s="11"/>
      <c r="J54" s="11"/>
      <c r="K54" s="529">
        <f>'Monthly Data'!AV119</f>
        <v>9505.1666666666606</v>
      </c>
      <c r="L54" s="530">
        <f t="shared" si="187"/>
        <v>0.99999123291514336</v>
      </c>
      <c r="M54" s="11"/>
      <c r="N54" s="531"/>
      <c r="O54" s="529">
        <f>'Monthly Data'!AW119</f>
        <v>1095</v>
      </c>
      <c r="P54" s="530">
        <f t="shared" si="188"/>
        <v>1.0018298261665142</v>
      </c>
      <c r="Q54" s="530"/>
      <c r="R54" s="530"/>
      <c r="S54" s="531"/>
      <c r="T54" s="531"/>
      <c r="U54" s="529">
        <f>'Monthly Data'!AX119</f>
        <v>5</v>
      </c>
      <c r="V54" s="530">
        <f t="shared" si="189"/>
        <v>1</v>
      </c>
      <c r="W54" s="530"/>
      <c r="X54" s="530"/>
      <c r="Y54" s="531"/>
      <c r="Z54" s="11"/>
      <c r="AA54" s="529">
        <f>'Monthly Data'!AY119</f>
        <v>5</v>
      </c>
      <c r="AB54" s="532">
        <f t="shared" si="190"/>
        <v>1</v>
      </c>
      <c r="AC54" s="532"/>
      <c r="AD54" s="532"/>
      <c r="AE54" s="532"/>
      <c r="AF54" s="532"/>
      <c r="AG54" s="529">
        <f>'Monthly Data'!AZ119</f>
        <v>33223.833333333358</v>
      </c>
      <c r="AH54" s="532">
        <f t="shared" si="191"/>
        <v>1.000650056346583</v>
      </c>
      <c r="AI54" s="11"/>
      <c r="AJ54" s="11"/>
      <c r="AK54" s="529">
        <f>'Monthly Data'!BA119</f>
        <v>228.5</v>
      </c>
      <c r="AL54" s="532">
        <f t="shared" si="192"/>
        <v>0.99672846237731738</v>
      </c>
      <c r="AN54" s="11"/>
      <c r="AO54" s="529">
        <f>'Monthly Data'!BB119</f>
        <v>790.33333333333371</v>
      </c>
      <c r="AP54" s="532">
        <f t="shared" si="193"/>
        <v>1.0055131467345209</v>
      </c>
      <c r="AQ54" s="404"/>
      <c r="AT54" s="529">
        <f>'Monthly Data'!CG119</f>
        <v>45967</v>
      </c>
      <c r="AU54" s="530">
        <f t="shared" si="194"/>
        <v>1.0006095039073555</v>
      </c>
      <c r="AV54" s="11"/>
      <c r="AW54" s="11"/>
      <c r="AX54" s="531">
        <f>'Monthly Data'!CH119</f>
        <v>2473</v>
      </c>
      <c r="AY54" s="530">
        <f t="shared" si="195"/>
        <v>1</v>
      </c>
      <c r="AZ54" s="11"/>
      <c r="BA54" s="11"/>
      <c r="BB54" s="529">
        <f>'Monthly Data'!CI119</f>
        <v>400</v>
      </c>
      <c r="BC54" s="530">
        <f t="shared" si="196"/>
        <v>1.0025062656641603</v>
      </c>
      <c r="BD54" s="530"/>
      <c r="BE54" s="530"/>
      <c r="BF54" s="11"/>
      <c r="BG54" s="531"/>
      <c r="BH54" s="529">
        <f>'Monthly Data'!CJ119</f>
        <v>3</v>
      </c>
      <c r="BI54" s="530">
        <f t="shared" si="197"/>
        <v>1</v>
      </c>
      <c r="BJ54" s="530"/>
      <c r="BK54" s="530"/>
      <c r="BL54" s="531"/>
      <c r="BM54" s="531"/>
      <c r="BN54" s="529">
        <f>'Monthly Data'!CK119</f>
        <v>13903.833333333339</v>
      </c>
      <c r="BO54" s="530">
        <f t="shared" si="198"/>
        <v>1.0010139371358977</v>
      </c>
      <c r="BP54" s="11"/>
      <c r="BQ54" s="11"/>
      <c r="BR54" s="414">
        <f>'Monthly Data'!CL119</f>
        <v>44.166666666666643</v>
      </c>
      <c r="BS54" s="415">
        <f t="shared" si="182"/>
        <v>0.99811676082862522</v>
      </c>
      <c r="BT54" s="415"/>
      <c r="BU54" s="415"/>
      <c r="BV54" s="414">
        <f>'Monthly Data'!CM119</f>
        <v>391.33333333333314</v>
      </c>
      <c r="BW54" s="415">
        <f t="shared" si="183"/>
        <v>1.0008525149190111</v>
      </c>
    </row>
    <row r="55" spans="1:75">
      <c r="A55" s="9">
        <f t="shared" si="184"/>
        <v>2025</v>
      </c>
      <c r="B55" s="9" t="s">
        <v>157</v>
      </c>
      <c r="C55" s="529">
        <f>'Monthly Data'!AT120</f>
        <v>119321.33333333339</v>
      </c>
      <c r="D55" s="530">
        <f t="shared" si="185"/>
        <v>1.0007688243138593</v>
      </c>
      <c r="E55" s="11"/>
      <c r="F55" s="11"/>
      <c r="G55" s="531">
        <f>'Monthly Data'!AU120</f>
        <v>1549</v>
      </c>
      <c r="H55" s="530">
        <f t="shared" si="186"/>
        <v>0.99935483870967745</v>
      </c>
      <c r="I55" s="11"/>
      <c r="J55" s="11"/>
      <c r="K55" s="529">
        <f>'Monthly Data'!AV120</f>
        <v>9505.0833333333267</v>
      </c>
      <c r="L55" s="530">
        <f t="shared" si="187"/>
        <v>0.99999123283828084</v>
      </c>
      <c r="M55" s="11"/>
      <c r="N55" s="531"/>
      <c r="O55" s="529">
        <f>'Monthly Data'!AW120</f>
        <v>1097</v>
      </c>
      <c r="P55" s="530">
        <f t="shared" si="188"/>
        <v>1.0018264840182649</v>
      </c>
      <c r="Q55" s="530"/>
      <c r="R55" s="530"/>
      <c r="S55" s="531"/>
      <c r="T55" s="531"/>
      <c r="U55" s="529">
        <f>'Monthly Data'!AX120</f>
        <v>5</v>
      </c>
      <c r="V55" s="530">
        <f t="shared" si="189"/>
        <v>1</v>
      </c>
      <c r="W55" s="530"/>
      <c r="X55" s="530"/>
      <c r="Y55" s="531"/>
      <c r="Z55" s="11"/>
      <c r="AA55" s="529">
        <f>'Monthly Data'!AY120</f>
        <v>5</v>
      </c>
      <c r="AB55" s="532">
        <f t="shared" si="190"/>
        <v>1</v>
      </c>
      <c r="AC55" s="532"/>
      <c r="AD55" s="532"/>
      <c r="AE55" s="532"/>
      <c r="AF55" s="532"/>
      <c r="AG55" s="529">
        <f>'Monthly Data'!AZ120</f>
        <v>33245.416666666693</v>
      </c>
      <c r="AH55" s="532">
        <f t="shared" si="191"/>
        <v>1.0006496340478472</v>
      </c>
      <c r="AI55" s="11"/>
      <c r="AJ55" s="11"/>
      <c r="AK55" s="529">
        <f>'Monthly Data'!BA120</f>
        <v>227.75</v>
      </c>
      <c r="AL55" s="532">
        <f t="shared" si="192"/>
        <v>0.99671772428884031</v>
      </c>
      <c r="AN55" s="11"/>
      <c r="AO55" s="529">
        <f>'Monthly Data'!BB120</f>
        <v>794.66666666666708</v>
      </c>
      <c r="AP55" s="532">
        <f t="shared" si="193"/>
        <v>1.0054829185997469</v>
      </c>
      <c r="AQ55" s="404"/>
      <c r="AT55" s="529">
        <f>'Monthly Data'!CG120</f>
        <v>45995</v>
      </c>
      <c r="AU55" s="530">
        <f t="shared" si="194"/>
        <v>1.0006091326386322</v>
      </c>
      <c r="AV55" s="11"/>
      <c r="AW55" s="11"/>
      <c r="AX55" s="531">
        <f>'Monthly Data'!CH120</f>
        <v>2473</v>
      </c>
      <c r="AY55" s="530">
        <f t="shared" si="195"/>
        <v>1</v>
      </c>
      <c r="AZ55" s="11"/>
      <c r="BA55" s="11"/>
      <c r="BB55" s="529">
        <f>'Monthly Data'!CI120</f>
        <v>401</v>
      </c>
      <c r="BC55" s="530">
        <f t="shared" si="196"/>
        <v>1.0024999999999999</v>
      </c>
      <c r="BD55" s="530"/>
      <c r="BE55" s="530"/>
      <c r="BF55" s="11"/>
      <c r="BG55" s="531"/>
      <c r="BH55" s="529">
        <f>'Monthly Data'!CJ120</f>
        <v>3</v>
      </c>
      <c r="BI55" s="530">
        <f t="shared" si="197"/>
        <v>1</v>
      </c>
      <c r="BJ55" s="530"/>
      <c r="BK55" s="530"/>
      <c r="BL55" s="531"/>
      <c r="BM55" s="531"/>
      <c r="BN55" s="529">
        <f>'Monthly Data'!CK120</f>
        <v>13917.916666666673</v>
      </c>
      <c r="BO55" s="530">
        <f t="shared" si="198"/>
        <v>1.0010129101087231</v>
      </c>
      <c r="BP55" s="11"/>
      <c r="BQ55" s="11"/>
      <c r="BR55" s="414">
        <f>'Monthly Data'!CL120</f>
        <v>44.083333333333307</v>
      </c>
      <c r="BS55" s="415">
        <f t="shared" si="182"/>
        <v>0.99811320754716981</v>
      </c>
      <c r="BT55" s="415"/>
      <c r="BU55" s="415"/>
      <c r="BV55" s="414">
        <f>'Monthly Data'!CM120</f>
        <v>391.66666666666646</v>
      </c>
      <c r="BW55" s="415">
        <f t="shared" si="183"/>
        <v>1.0008517887563884</v>
      </c>
    </row>
    <row r="56" spans="1:75">
      <c r="A56" s="9">
        <f t="shared" si="184"/>
        <v>2025</v>
      </c>
      <c r="B56" s="9" t="s">
        <v>158</v>
      </c>
      <c r="C56" s="529">
        <f>'Monthly Data'!AT121</f>
        <v>119413</v>
      </c>
      <c r="D56" s="530">
        <f t="shared" ref="D56" si="199">C56/C55</f>
        <v>1.0007682336771291</v>
      </c>
      <c r="E56" s="11"/>
      <c r="F56" s="11"/>
      <c r="G56" s="531">
        <f>'Monthly Data'!AU121</f>
        <v>1548</v>
      </c>
      <c r="H56" s="530">
        <f t="shared" ref="H56" si="200">G56/G55</f>
        <v>0.99935442220787607</v>
      </c>
      <c r="I56" s="11"/>
      <c r="J56" s="11"/>
      <c r="K56" s="529">
        <f>'Monthly Data'!AV121</f>
        <v>9505</v>
      </c>
      <c r="L56" s="530">
        <f t="shared" ref="L56" si="201">K56/K55</f>
        <v>0.99999123276141788</v>
      </c>
      <c r="M56" s="11"/>
      <c r="N56" s="531"/>
      <c r="O56" s="529">
        <f>'Monthly Data'!AW121</f>
        <v>1099</v>
      </c>
      <c r="P56" s="530">
        <f t="shared" ref="P56" si="202">O56/O55</f>
        <v>1.0018231540565177</v>
      </c>
      <c r="Q56" s="530"/>
      <c r="R56" s="530"/>
      <c r="S56" s="531"/>
      <c r="T56" s="531"/>
      <c r="U56" s="529">
        <f>'Monthly Data'!AX121</f>
        <v>5</v>
      </c>
      <c r="V56" s="530">
        <f t="shared" ref="V56" si="203">U56/U55</f>
        <v>1</v>
      </c>
      <c r="W56" s="530"/>
      <c r="X56" s="530"/>
      <c r="Y56" s="531"/>
      <c r="Z56" s="11"/>
      <c r="AA56" s="529">
        <f>'Monthly Data'!AY121</f>
        <v>5</v>
      </c>
      <c r="AB56" s="532">
        <f t="shared" ref="AB56" si="204">AA56/AA55</f>
        <v>1</v>
      </c>
      <c r="AC56" s="532"/>
      <c r="AD56" s="532"/>
      <c r="AE56" s="532"/>
      <c r="AF56" s="532"/>
      <c r="AG56" s="529">
        <f>'Monthly Data'!AZ121</f>
        <v>33267</v>
      </c>
      <c r="AH56" s="532">
        <f t="shared" ref="AH56" si="205">AG56/AG55</f>
        <v>1.0006492122974338</v>
      </c>
      <c r="AI56" s="11"/>
      <c r="AJ56" s="11"/>
      <c r="AK56" s="529">
        <f>'Monthly Data'!BA121</f>
        <v>227</v>
      </c>
      <c r="AL56" s="532">
        <f t="shared" ref="AL56" si="206">AK56/AK55</f>
        <v>0.99670691547749724</v>
      </c>
      <c r="AN56" s="11"/>
      <c r="AO56" s="529">
        <f>'Monthly Data'!BB121</f>
        <v>799</v>
      </c>
      <c r="AP56" s="532">
        <f t="shared" ref="AP56" si="207">AO56/AO55</f>
        <v>1.0054530201342278</v>
      </c>
      <c r="AQ56" s="404"/>
      <c r="AT56" s="529">
        <f>'Monthly Data'!CG121</f>
        <v>46023</v>
      </c>
      <c r="AU56" s="530">
        <f t="shared" ref="AU56" si="208">AT56/AT55</f>
        <v>1.0006087618219373</v>
      </c>
      <c r="AV56" s="11"/>
      <c r="AW56" s="11"/>
      <c r="AX56" s="531">
        <f>'Monthly Data'!CH121</f>
        <v>2473</v>
      </c>
      <c r="AY56" s="530">
        <f t="shared" ref="AY56" si="209">AX56/AX55</f>
        <v>1</v>
      </c>
      <c r="AZ56" s="11"/>
      <c r="BA56" s="11"/>
      <c r="BB56" s="529">
        <f>'Monthly Data'!CI121</f>
        <v>402</v>
      </c>
      <c r="BC56" s="530">
        <f t="shared" ref="BC56" si="210">BB56/BB55</f>
        <v>1.0024937655860349</v>
      </c>
      <c r="BD56" s="530"/>
      <c r="BE56" s="530"/>
      <c r="BF56" s="11"/>
      <c r="BG56" s="531"/>
      <c r="BH56" s="529">
        <f>'Monthly Data'!CJ121</f>
        <v>3</v>
      </c>
      <c r="BI56" s="530">
        <f t="shared" ref="BI56" si="211">BH56/BH55</f>
        <v>1</v>
      </c>
      <c r="BJ56" s="530"/>
      <c r="BK56" s="530"/>
      <c r="BL56" s="531"/>
      <c r="BM56" s="531"/>
      <c r="BN56" s="529">
        <f>'Monthly Data'!CK121</f>
        <v>13932</v>
      </c>
      <c r="BO56" s="530">
        <f t="shared" ref="BO56" si="212">BN56/BN55</f>
        <v>1.0010118851600152</v>
      </c>
      <c r="BP56" s="11"/>
      <c r="BQ56" s="11"/>
      <c r="BR56" s="414">
        <f>'Monthly Data'!CL121</f>
        <v>44</v>
      </c>
      <c r="BS56" s="415">
        <f t="shared" si="182"/>
        <v>0.99810964083175857</v>
      </c>
      <c r="BT56" s="415"/>
      <c r="BU56" s="415"/>
      <c r="BV56" s="414">
        <f>'Monthly Data'!CM121</f>
        <v>392</v>
      </c>
      <c r="BW56" s="415">
        <f t="shared" si="183"/>
        <v>1.0008510638297878</v>
      </c>
    </row>
    <row r="57" spans="1:75">
      <c r="A57" s="9">
        <f t="shared" si="184"/>
        <v>2026</v>
      </c>
      <c r="B57" s="9" t="s">
        <v>147</v>
      </c>
      <c r="C57" s="149">
        <f ca="1">C14/D14^(5.50989446627246/12)</f>
        <v>119793.56923712911</v>
      </c>
      <c r="D57" s="148">
        <f t="shared" ref="D57:D68" ca="1" si="213">C57/C56</f>
        <v>1.003187000051327</v>
      </c>
      <c r="E57" s="11"/>
      <c r="F57" s="11"/>
      <c r="G57" s="149">
        <f>G14/H14^(5.50989446627246/12)</f>
        <v>1551.5830081889012</v>
      </c>
      <c r="H57" s="148">
        <f t="shared" ref="H57:H98" si="214">G57/G56</f>
        <v>1.0023146047731919</v>
      </c>
      <c r="I57" s="11"/>
      <c r="J57" s="11"/>
      <c r="K57" s="149">
        <f>K14/L14^(5.50989446627246/12)</f>
        <v>9539.6963182982818</v>
      </c>
      <c r="L57" s="148">
        <f>K57/K56</f>
        <v>1.0036503228088671</v>
      </c>
      <c r="M57" s="11"/>
      <c r="N57" s="11"/>
      <c r="O57" s="149">
        <f>O14/P14^(5.50989446627246/12)</f>
        <v>1089.9510080499786</v>
      </c>
      <c r="P57" s="148">
        <f t="shared" ref="P57:P98" si="215">O57/O56</f>
        <v>0.99176615837122706</v>
      </c>
      <c r="Q57" s="394">
        <f>SUMIFS(Q$14:Q$19,N$14:N$19,$A57)/12+Q56</f>
        <v>0.625</v>
      </c>
      <c r="R57" s="395">
        <f t="shared" ref="R57:R109" si="216">Q57+O57</f>
        <v>1090.5760080499786</v>
      </c>
      <c r="S57" s="11"/>
      <c r="T57" s="11"/>
      <c r="U57" s="149">
        <f>U14/V14^(5.50989446627246/12)</f>
        <v>5</v>
      </c>
      <c r="V57" s="148">
        <f t="shared" ref="V57:V98" si="217">U57/U56</f>
        <v>1</v>
      </c>
      <c r="W57" s="394">
        <f t="shared" ref="W57:W109" si="218">SUMIFS(W$13:W$19,T$13:T$19,$A57)/12+W56</f>
        <v>0.20833333333333334</v>
      </c>
      <c r="X57" s="395">
        <f t="shared" ref="X57:X109" si="219">W57+U57</f>
        <v>5.208333333333333</v>
      </c>
      <c r="Y57" s="11"/>
      <c r="Z57" s="11"/>
      <c r="AA57" s="149">
        <f>AA14/AB14^(5.50989446627246/12)</f>
        <v>5</v>
      </c>
      <c r="AB57" s="148">
        <f t="shared" ref="AB57:AB98" si="220">AA57/AA56</f>
        <v>1</v>
      </c>
      <c r="AC57" s="394">
        <f t="shared" ref="AC57:AC109" si="221">SUMIFS(AC$13:AC$19,Z$13:Z$19,$A57)/12+AC56</f>
        <v>3.125E-2</v>
      </c>
      <c r="AD57" s="395">
        <f t="shared" ref="AD57:AD109" si="222">AC57+AA57</f>
        <v>5.03125</v>
      </c>
      <c r="AE57" s="148"/>
      <c r="AF57" s="148"/>
      <c r="AG57" s="149">
        <f>AG14/AH14^(5.50989446627246/12)</f>
        <v>33345.625128484571</v>
      </c>
      <c r="AH57" s="148">
        <f t="shared" ref="AH57:AH98" si="223">AG57/AG56</f>
        <v>1.0023634571342344</v>
      </c>
      <c r="AI57" s="11"/>
      <c r="AJ57" s="11"/>
      <c r="AK57" s="149">
        <f>AK14/AL14^(5.50989446627246/12)</f>
        <v>228.66823497414597</v>
      </c>
      <c r="AL57" s="148">
        <f t="shared" ref="AL57:AL98" si="224">AK57/AK56</f>
        <v>1.0073490527495417</v>
      </c>
      <c r="AN57" s="11"/>
      <c r="AO57" s="149">
        <f>AO56*AP57</f>
        <v>798.42874400256187</v>
      </c>
      <c r="AP57" s="148">
        <f>AP14^(1/12)</f>
        <v>0.99928503629857557</v>
      </c>
      <c r="AQ57" s="404"/>
      <c r="AT57" s="149">
        <f ca="1">AT14/AU14^(5.50989446627246/12)</f>
        <v>46207.852864989596</v>
      </c>
      <c r="AU57" s="148">
        <f t="shared" ref="AU57:AU98" ca="1" si="225">AT57/AT56</f>
        <v>1.0040165322771135</v>
      </c>
      <c r="AV57" s="11"/>
      <c r="AW57" s="11"/>
      <c r="AX57" s="149">
        <f>AX14/AY14^(5.50989446627246/12)</f>
        <v>2490.3628297994906</v>
      </c>
      <c r="AY57" s="148">
        <f t="shared" ref="AY57:AY98" si="226">AX57/AX56</f>
        <v>1.0070209582691025</v>
      </c>
      <c r="AZ57" s="11"/>
      <c r="BA57" s="11"/>
      <c r="BB57" s="149">
        <f>BB14/BC14^(5.50989446627246/12)</f>
        <v>398.34102424955034</v>
      </c>
      <c r="BC57" s="148">
        <f t="shared" ref="BC57:BC98" si="227">BB57/BB56</f>
        <v>0.99089807027251331</v>
      </c>
      <c r="BD57" s="394">
        <f t="shared" ref="BD57:BD109" si="228">SUMIFS(BD$13:BD$19,BA$13:BA$19,$A57)/12+BD56</f>
        <v>0.53749999999999998</v>
      </c>
      <c r="BE57" s="395">
        <f t="shared" ref="BE57:BE109" si="229">BD57+BB57</f>
        <v>398.87852424955037</v>
      </c>
      <c r="BF57" s="11"/>
      <c r="BG57" s="11"/>
      <c r="BH57" s="149">
        <f>BH14/BI14^(5.50989446627246/12)</f>
        <v>3</v>
      </c>
      <c r="BI57" s="148">
        <f t="shared" ref="BI57:BI98" si="230">BH57/BH56</f>
        <v>1</v>
      </c>
      <c r="BJ57" s="394">
        <f t="shared" ref="BJ57:BJ109" si="231">SUMIFS(BJ$13:BJ$19,BG$13:BG$19,$A57)/12+BJ56</f>
        <v>0.17708333333333334</v>
      </c>
      <c r="BK57" s="395">
        <f t="shared" ref="BK57:BK109" si="232">BJ57+BH57</f>
        <v>3.1770833333333335</v>
      </c>
      <c r="BL57" s="11"/>
      <c r="BM57" s="11"/>
      <c r="BN57" s="149">
        <f>BN14/BO14^(5.50989446627246/12)</f>
        <v>13984.749941524939</v>
      </c>
      <c r="BO57" s="148">
        <f t="shared" ref="BO57:BO98" si="233">BN57/BN56</f>
        <v>1.0037862432906215</v>
      </c>
      <c r="BP57" s="11"/>
      <c r="BQ57" s="11"/>
      <c r="BR57" s="149">
        <f>BR14/BS14^(5.50989446627246/12)</f>
        <v>44.80967716393944</v>
      </c>
      <c r="BS57" s="148">
        <f t="shared" ref="BS57:BS98" si="234">BR57/BR56</f>
        <v>1.0184017537258965</v>
      </c>
      <c r="BT57" s="148"/>
      <c r="BU57" s="148"/>
      <c r="BV57" s="149">
        <f>BV14/BW14^(5.50989446627246/12)</f>
        <v>391.27303800047036</v>
      </c>
      <c r="BW57" s="148">
        <f t="shared" ref="BW57:BW98" si="235">BV57/BV56</f>
        <v>0.99814550510324074</v>
      </c>
    </row>
    <row r="58" spans="1:75">
      <c r="A58" s="9">
        <f t="shared" si="184"/>
        <v>2026</v>
      </c>
      <c r="B58" s="9" t="s">
        <v>148</v>
      </c>
      <c r="C58" s="149">
        <f t="shared" ref="C58:C68" ca="1" si="236">C57*D$14^(1/12)</f>
        <v>119930.47402555057</v>
      </c>
      <c r="D58" s="148">
        <f t="shared" ca="1" si="213"/>
        <v>1.0011428392132675</v>
      </c>
      <c r="E58" s="11"/>
      <c r="F58" s="11"/>
      <c r="G58" s="149">
        <f t="shared" ref="G58:G68" si="237">G57*H$14^(1/12)</f>
        <v>1551.2878471445772</v>
      </c>
      <c r="H58" s="148">
        <f t="shared" si="214"/>
        <v>0.99980976780309772</v>
      </c>
      <c r="I58" s="11"/>
      <c r="J58" s="11"/>
      <c r="K58" s="149">
        <f t="shared" ref="K58:K68" si="238">K57*L$14^(1/12)</f>
        <v>9544.9826845761563</v>
      </c>
      <c r="L58" s="148">
        <f t="shared" ref="L58:L98" si="239">K58/K57</f>
        <v>1.0005541440839929</v>
      </c>
      <c r="M58" s="11"/>
      <c r="N58" s="11"/>
      <c r="O58" s="149">
        <f t="shared" ref="O58:O68" si="240">O57*P$14^(1/12)</f>
        <v>1090.2519316373864</v>
      </c>
      <c r="P58" s="148">
        <f t="shared" si="215"/>
        <v>1.0002760890950009</v>
      </c>
      <c r="Q58" s="394">
        <f>SUMIFS(Q$14:Q$19,N$14:N$19,$A58)/12+Q57</f>
        <v>1.25</v>
      </c>
      <c r="R58" s="395">
        <f t="shared" si="216"/>
        <v>1091.5019316373864</v>
      </c>
      <c r="S58" s="11"/>
      <c r="T58" s="11"/>
      <c r="U58" s="149">
        <f t="shared" ref="U58:U68" si="241">U57*V$14^(1/12)</f>
        <v>5</v>
      </c>
      <c r="V58" s="148">
        <f t="shared" si="217"/>
        <v>1</v>
      </c>
      <c r="W58" s="394">
        <f t="shared" si="218"/>
        <v>0.41666666666666669</v>
      </c>
      <c r="X58" s="395">
        <f t="shared" si="219"/>
        <v>5.416666666666667</v>
      </c>
      <c r="Y58" s="11"/>
      <c r="Z58" s="11"/>
      <c r="AA58" s="149">
        <f t="shared" ref="AA58:AA68" si="242">AA57*AB$14^(1/12)</f>
        <v>5</v>
      </c>
      <c r="AB58" s="148">
        <f t="shared" si="220"/>
        <v>1</v>
      </c>
      <c r="AC58" s="394">
        <f t="shared" si="221"/>
        <v>6.25E-2</v>
      </c>
      <c r="AD58" s="395">
        <f t="shared" si="222"/>
        <v>5.0625</v>
      </c>
      <c r="AE58" s="148"/>
      <c r="AF58" s="148"/>
      <c r="AG58" s="149">
        <f t="shared" ref="AG58:AG68" si="243">AG57*AH$14^(1/12)</f>
        <v>33376.134678162336</v>
      </c>
      <c r="AH58" s="148">
        <f t="shared" si="223"/>
        <v>1.0009149490993259</v>
      </c>
      <c r="AI58" s="11"/>
      <c r="AJ58" s="11"/>
      <c r="AK58" s="149">
        <f t="shared" ref="AK58:AK68" si="244">AK57*AL$14^(1/12)</f>
        <v>228.2920237472849</v>
      </c>
      <c r="AL58" s="148">
        <f t="shared" si="224"/>
        <v>0.99835477268233774</v>
      </c>
      <c r="AN58" s="11"/>
      <c r="AO58" s="149">
        <f>AO57*AP58</f>
        <v>797.85789643242617</v>
      </c>
      <c r="AP58" s="148">
        <f>AP57</f>
        <v>0.99928503629857557</v>
      </c>
      <c r="AQ58" s="404"/>
      <c r="AT58" s="149">
        <f t="shared" ref="AT58:AT68" ca="1" si="245">AT57*AU$14^(1/12)</f>
        <v>46260.285654700419</v>
      </c>
      <c r="AU58" s="148">
        <f t="shared" ca="1" si="225"/>
        <v>1.0011347159943575</v>
      </c>
      <c r="AV58" s="11"/>
      <c r="AW58" s="11"/>
      <c r="AX58" s="149">
        <f t="shared" ref="AX58:AX68" si="246">AX57*AY$14^(1/12)</f>
        <v>2493.0489239244221</v>
      </c>
      <c r="AY58" s="148">
        <f t="shared" si="226"/>
        <v>1.0010785954933112</v>
      </c>
      <c r="AZ58" s="11"/>
      <c r="BA58" s="11"/>
      <c r="BB58" s="149">
        <f t="shared" ref="BB58:BB68" si="247">BB57*BC$14^(1/12)</f>
        <v>398.6254495897914</v>
      </c>
      <c r="BC58" s="148">
        <f t="shared" si="227"/>
        <v>1.000714024724862</v>
      </c>
      <c r="BD58" s="394">
        <f t="shared" si="228"/>
        <v>1.075</v>
      </c>
      <c r="BE58" s="395">
        <f t="shared" si="229"/>
        <v>399.70044958979139</v>
      </c>
      <c r="BF58" s="11"/>
      <c r="BG58" s="11"/>
      <c r="BH58" s="149">
        <f t="shared" ref="BH58:BH68" si="248">BH57*BI$14^(1/12)</f>
        <v>3</v>
      </c>
      <c r="BI58" s="148">
        <f t="shared" si="230"/>
        <v>1</v>
      </c>
      <c r="BJ58" s="394">
        <f t="shared" si="231"/>
        <v>0.35416666666666669</v>
      </c>
      <c r="BK58" s="395">
        <f t="shared" si="232"/>
        <v>3.3541666666666665</v>
      </c>
      <c r="BL58" s="11"/>
      <c r="BM58" s="11"/>
      <c r="BN58" s="149">
        <f t="shared" ref="BN58:BN68" si="249">BN57*BO$14^(1/12)</f>
        <v>14004.921039137138</v>
      </c>
      <c r="BO58" s="148">
        <f t="shared" si="233"/>
        <v>1.0014423638389347</v>
      </c>
      <c r="BP58" s="11"/>
      <c r="BQ58" s="11"/>
      <c r="BR58" s="149">
        <f t="shared" ref="BR58:BR68" si="250">BR57*BS$14^(1/12)</f>
        <v>44.864058787613899</v>
      </c>
      <c r="BS58" s="148">
        <f t="shared" si="234"/>
        <v>1.0012136133780991</v>
      </c>
      <c r="BT58" s="148"/>
      <c r="BU58" s="148"/>
      <c r="BV58" s="149">
        <f t="shared" ref="BV58:BV68" si="251">BV57*BW$14^(1/12)</f>
        <v>391.44378718364777</v>
      </c>
      <c r="BW58" s="148">
        <f t="shared" si="235"/>
        <v>1.0004363939412999</v>
      </c>
    </row>
    <row r="59" spans="1:75">
      <c r="A59" s="9">
        <f t="shared" si="184"/>
        <v>2026</v>
      </c>
      <c r="B59" s="9" t="s">
        <v>149</v>
      </c>
      <c r="C59" s="149">
        <f t="shared" ca="1" si="236"/>
        <v>120067.53527413274</v>
      </c>
      <c r="D59" s="148">
        <f t="shared" ca="1" si="213"/>
        <v>1.0011428392132675</v>
      </c>
      <c r="E59" s="11"/>
      <c r="F59" s="11"/>
      <c r="G59" s="149">
        <f t="shared" si="237"/>
        <v>1550.992742249387</v>
      </c>
      <c r="H59" s="148">
        <f t="shared" si="214"/>
        <v>0.99980976780309772</v>
      </c>
      <c r="I59" s="11"/>
      <c r="J59" s="11"/>
      <c r="K59" s="149">
        <f t="shared" si="238"/>
        <v>9550.2719802626289</v>
      </c>
      <c r="L59" s="148">
        <f t="shared" si="239"/>
        <v>1.0005541440839929</v>
      </c>
      <c r="M59" s="11"/>
      <c r="N59" s="11"/>
      <c r="O59" s="149">
        <f t="shared" si="240"/>
        <v>1090.5529383065152</v>
      </c>
      <c r="P59" s="148">
        <f t="shared" si="215"/>
        <v>1.0002760890950009</v>
      </c>
      <c r="Q59" s="394">
        <f>SUMIFS(Q$14:Q$19,N$14:N$19,$A59)/12+Q58</f>
        <v>1.875</v>
      </c>
      <c r="R59" s="395">
        <f t="shared" si="216"/>
        <v>1092.4279383065152</v>
      </c>
      <c r="S59" s="11"/>
      <c r="T59" s="11"/>
      <c r="U59" s="149">
        <f t="shared" si="241"/>
        <v>5</v>
      </c>
      <c r="V59" s="148">
        <f t="shared" si="217"/>
        <v>1</v>
      </c>
      <c r="W59" s="394">
        <f t="shared" si="218"/>
        <v>0.625</v>
      </c>
      <c r="X59" s="395">
        <f t="shared" si="219"/>
        <v>5.625</v>
      </c>
      <c r="Y59" s="11"/>
      <c r="Z59" s="11"/>
      <c r="AA59" s="149">
        <f t="shared" si="242"/>
        <v>5</v>
      </c>
      <c r="AB59" s="148">
        <f t="shared" si="220"/>
        <v>1</v>
      </c>
      <c r="AC59" s="394">
        <f t="shared" si="221"/>
        <v>9.375E-2</v>
      </c>
      <c r="AD59" s="395">
        <f t="shared" si="222"/>
        <v>5.09375</v>
      </c>
      <c r="AE59" s="148"/>
      <c r="AF59" s="148"/>
      <c r="AG59" s="149">
        <f t="shared" si="243"/>
        <v>33406.672142525102</v>
      </c>
      <c r="AH59" s="148">
        <f t="shared" si="223"/>
        <v>1.0009149490993259</v>
      </c>
      <c r="AI59" s="11"/>
      <c r="AJ59" s="11"/>
      <c r="AK59" s="149">
        <f t="shared" si="244"/>
        <v>227.91643147341148</v>
      </c>
      <c r="AL59" s="148">
        <f t="shared" si="224"/>
        <v>0.99835477268233774</v>
      </c>
      <c r="AN59" s="11"/>
      <c r="AO59" s="149">
        <f t="shared" ref="AO59:AO68" si="252">AO58*AP59</f>
        <v>797.28745699758213</v>
      </c>
      <c r="AP59" s="148">
        <f t="shared" ref="AP59:AP68" si="253">AP58</f>
        <v>0.99928503629857557</v>
      </c>
      <c r="AQ59" s="404"/>
      <c r="AT59" s="149">
        <f t="shared" ca="1" si="245"/>
        <v>46312.777940736356</v>
      </c>
      <c r="AU59" s="148">
        <f t="shared" ca="1" si="225"/>
        <v>1.0011347159943575</v>
      </c>
      <c r="AV59" s="11"/>
      <c r="AW59" s="11"/>
      <c r="AX59" s="149">
        <f t="shared" si="246"/>
        <v>2495.7379152583712</v>
      </c>
      <c r="AY59" s="148">
        <f t="shared" si="226"/>
        <v>1.0010785954933112</v>
      </c>
      <c r="AZ59" s="11"/>
      <c r="BA59" s="11"/>
      <c r="BB59" s="149">
        <f t="shared" si="247"/>
        <v>398.91007801675778</v>
      </c>
      <c r="BC59" s="148">
        <f t="shared" si="227"/>
        <v>1.000714024724862</v>
      </c>
      <c r="BD59" s="394">
        <f t="shared" si="228"/>
        <v>1.6124999999999998</v>
      </c>
      <c r="BE59" s="395">
        <f t="shared" si="229"/>
        <v>400.52257801675779</v>
      </c>
      <c r="BF59" s="11"/>
      <c r="BG59" s="11"/>
      <c r="BH59" s="149">
        <f t="shared" si="248"/>
        <v>3</v>
      </c>
      <c r="BI59" s="148">
        <f t="shared" si="230"/>
        <v>1</v>
      </c>
      <c r="BJ59" s="394">
        <f t="shared" si="231"/>
        <v>0.53125</v>
      </c>
      <c r="BK59" s="395">
        <f t="shared" si="232"/>
        <v>3.53125</v>
      </c>
      <c r="BL59" s="11"/>
      <c r="BM59" s="11"/>
      <c r="BN59" s="149">
        <f t="shared" si="249"/>
        <v>14025.121230811124</v>
      </c>
      <c r="BO59" s="148">
        <f t="shared" si="233"/>
        <v>1.0014423638389347</v>
      </c>
      <c r="BP59" s="11"/>
      <c r="BQ59" s="11"/>
      <c r="BR59" s="149">
        <f t="shared" si="250"/>
        <v>44.918506409554375</v>
      </c>
      <c r="BS59" s="148">
        <f t="shared" si="234"/>
        <v>1.0012136133780991</v>
      </c>
      <c r="BT59" s="148"/>
      <c r="BU59" s="148"/>
      <c r="BV59" s="149">
        <f t="shared" si="251"/>
        <v>391.61461088073423</v>
      </c>
      <c r="BW59" s="148">
        <f t="shared" si="235"/>
        <v>1.0004363939412999</v>
      </c>
    </row>
    <row r="60" spans="1:75">
      <c r="A60" s="9">
        <f t="shared" si="184"/>
        <v>2026</v>
      </c>
      <c r="B60" s="9" t="s">
        <v>150</v>
      </c>
      <c r="C60" s="149">
        <f t="shared" ca="1" si="236"/>
        <v>120204.75316168439</v>
      </c>
      <c r="D60" s="148">
        <f t="shared" ca="1" si="213"/>
        <v>1.0011428392132675</v>
      </c>
      <c r="E60" s="11"/>
      <c r="F60" s="11"/>
      <c r="G60" s="149">
        <f t="shared" si="237"/>
        <v>1550.6976934926495</v>
      </c>
      <c r="H60" s="148">
        <f t="shared" si="214"/>
        <v>0.99980976780309772</v>
      </c>
      <c r="I60" s="11"/>
      <c r="J60" s="11"/>
      <c r="K60" s="149">
        <f t="shared" si="238"/>
        <v>9555.5642069810146</v>
      </c>
      <c r="L60" s="148">
        <f t="shared" si="239"/>
        <v>1.0005541440839929</v>
      </c>
      <c r="M60" s="11"/>
      <c r="N60" s="11"/>
      <c r="O60" s="149">
        <f t="shared" si="240"/>
        <v>1090.8540280803029</v>
      </c>
      <c r="P60" s="148">
        <f t="shared" si="215"/>
        <v>1.0002760890950009</v>
      </c>
      <c r="Q60" s="394">
        <f t="shared" ref="Q60:Q121" si="254">SUMIFS(Q$14:Q$19,N$14:N$19,$A60)/12+Q59</f>
        <v>2.5</v>
      </c>
      <c r="R60" s="395">
        <f t="shared" si="216"/>
        <v>1093.3540280803029</v>
      </c>
      <c r="S60" s="11"/>
      <c r="T60" s="11"/>
      <c r="U60" s="149">
        <f t="shared" si="241"/>
        <v>5</v>
      </c>
      <c r="V60" s="148">
        <f t="shared" si="217"/>
        <v>1</v>
      </c>
      <c r="W60" s="394">
        <f t="shared" si="218"/>
        <v>0.83333333333333337</v>
      </c>
      <c r="X60" s="395">
        <f t="shared" si="219"/>
        <v>5.833333333333333</v>
      </c>
      <c r="Y60" s="11"/>
      <c r="Z60" s="11"/>
      <c r="AA60" s="149">
        <f t="shared" si="242"/>
        <v>5</v>
      </c>
      <c r="AB60" s="148">
        <f t="shared" si="220"/>
        <v>1</v>
      </c>
      <c r="AC60" s="394">
        <f t="shared" si="221"/>
        <v>0.125</v>
      </c>
      <c r="AD60" s="395">
        <f t="shared" si="222"/>
        <v>5.125</v>
      </c>
      <c r="AE60" s="148"/>
      <c r="AF60" s="148"/>
      <c r="AG60" s="149">
        <f t="shared" si="243"/>
        <v>33437.237547113378</v>
      </c>
      <c r="AH60" s="148">
        <f t="shared" si="223"/>
        <v>1.0009149490993259</v>
      </c>
      <c r="AI60" s="11"/>
      <c r="AJ60" s="11"/>
      <c r="AK60" s="149">
        <f t="shared" si="244"/>
        <v>227.54145713420732</v>
      </c>
      <c r="AL60" s="148">
        <f t="shared" si="224"/>
        <v>0.99835477268233774</v>
      </c>
      <c r="AN60" s="11"/>
      <c r="AO60" s="149">
        <f t="shared" si="252"/>
        <v>796.7174254062279</v>
      </c>
      <c r="AP60" s="148">
        <f t="shared" si="253"/>
        <v>0.99928503629857557</v>
      </c>
      <c r="AQ60" s="404"/>
      <c r="AT60" s="149">
        <f t="shared" ca="1" si="245"/>
        <v>46365.329790608841</v>
      </c>
      <c r="AU60" s="148">
        <f t="shared" ca="1" si="225"/>
        <v>1.0011347159943575</v>
      </c>
      <c r="AV60" s="11"/>
      <c r="AW60" s="11"/>
      <c r="AX60" s="149">
        <f t="shared" si="246"/>
        <v>2498.429806926255</v>
      </c>
      <c r="AY60" s="148">
        <f t="shared" si="226"/>
        <v>1.0010785954933112</v>
      </c>
      <c r="AZ60" s="11"/>
      <c r="BA60" s="11"/>
      <c r="BB60" s="149">
        <f t="shared" si="247"/>
        <v>399.1949096754584</v>
      </c>
      <c r="BC60" s="148">
        <f t="shared" si="227"/>
        <v>1.000714024724862</v>
      </c>
      <c r="BD60" s="394">
        <f t="shared" si="228"/>
        <v>2.15</v>
      </c>
      <c r="BE60" s="395">
        <f t="shared" si="229"/>
        <v>401.34490967545838</v>
      </c>
      <c r="BF60" s="11"/>
      <c r="BG60" s="11"/>
      <c r="BH60" s="149">
        <f t="shared" si="248"/>
        <v>3</v>
      </c>
      <c r="BI60" s="148">
        <f t="shared" si="230"/>
        <v>1</v>
      </c>
      <c r="BJ60" s="394">
        <f t="shared" si="231"/>
        <v>0.70833333333333337</v>
      </c>
      <c r="BK60" s="395">
        <f t="shared" si="232"/>
        <v>3.7083333333333335</v>
      </c>
      <c r="BL60" s="11"/>
      <c r="BM60" s="11"/>
      <c r="BN60" s="149">
        <f t="shared" si="249"/>
        <v>14045.350558511122</v>
      </c>
      <c r="BO60" s="148">
        <f t="shared" si="233"/>
        <v>1.0014423638389347</v>
      </c>
      <c r="BP60" s="11"/>
      <c r="BQ60" s="11"/>
      <c r="BR60" s="149">
        <f t="shared" si="250"/>
        <v>44.973020109857238</v>
      </c>
      <c r="BS60" s="148">
        <f t="shared" si="234"/>
        <v>1.0012136133780991</v>
      </c>
      <c r="BT60" s="148"/>
      <c r="BU60" s="148"/>
      <c r="BV60" s="149">
        <f t="shared" si="251"/>
        <v>391.78550912424708</v>
      </c>
      <c r="BW60" s="148">
        <f t="shared" si="235"/>
        <v>1.0004363939412999</v>
      </c>
    </row>
    <row r="61" spans="1:75">
      <c r="A61" s="9">
        <f t="shared" si="184"/>
        <v>2026</v>
      </c>
      <c r="B61" s="9" t="s">
        <v>151</v>
      </c>
      <c r="C61" s="149">
        <f t="shared" ca="1" si="236"/>
        <v>120342.1278672187</v>
      </c>
      <c r="D61" s="148">
        <f t="shared" ca="1" si="213"/>
        <v>1.0011428392132675</v>
      </c>
      <c r="E61" s="11"/>
      <c r="F61" s="11"/>
      <c r="G61" s="149">
        <f t="shared" si="237"/>
        <v>1550.4027008636851</v>
      </c>
      <c r="H61" s="148">
        <f t="shared" si="214"/>
        <v>0.99980976780309772</v>
      </c>
      <c r="I61" s="11"/>
      <c r="J61" s="11"/>
      <c r="K61" s="149">
        <f t="shared" si="238"/>
        <v>9560.8593663555275</v>
      </c>
      <c r="L61" s="148">
        <f t="shared" si="239"/>
        <v>1.0005541440839929</v>
      </c>
      <c r="M61" s="11"/>
      <c r="N61" s="11"/>
      <c r="O61" s="149">
        <f t="shared" si="240"/>
        <v>1091.1552009816937</v>
      </c>
      <c r="P61" s="148">
        <f t="shared" si="215"/>
        <v>1.0002760890950009</v>
      </c>
      <c r="Q61" s="394">
        <f t="shared" si="254"/>
        <v>3.125</v>
      </c>
      <c r="R61" s="395">
        <f t="shared" si="216"/>
        <v>1094.2802009816937</v>
      </c>
      <c r="S61" s="11"/>
      <c r="T61" s="11"/>
      <c r="U61" s="149">
        <f t="shared" si="241"/>
        <v>5</v>
      </c>
      <c r="V61" s="148">
        <f t="shared" si="217"/>
        <v>1</v>
      </c>
      <c r="W61" s="394">
        <f t="shared" si="218"/>
        <v>1.0416666666666667</v>
      </c>
      <c r="X61" s="395">
        <f t="shared" si="219"/>
        <v>6.041666666666667</v>
      </c>
      <c r="Y61" s="11"/>
      <c r="Z61" s="11"/>
      <c r="AA61" s="149">
        <f t="shared" si="242"/>
        <v>5</v>
      </c>
      <c r="AB61" s="148">
        <f t="shared" si="220"/>
        <v>1</v>
      </c>
      <c r="AC61" s="394">
        <f t="shared" si="221"/>
        <v>0.15625</v>
      </c>
      <c r="AD61" s="395">
        <f t="shared" si="222"/>
        <v>5.15625</v>
      </c>
      <c r="AE61" s="148"/>
      <c r="AF61" s="148"/>
      <c r="AG61" s="149">
        <f t="shared" si="243"/>
        <v>33467.830917491054</v>
      </c>
      <c r="AH61" s="148">
        <f t="shared" si="223"/>
        <v>1.0009149490993259</v>
      </c>
      <c r="AI61" s="11"/>
      <c r="AJ61" s="11"/>
      <c r="AK61" s="149">
        <f t="shared" si="244"/>
        <v>227.16709971302944</v>
      </c>
      <c r="AL61" s="148">
        <f t="shared" si="224"/>
        <v>0.99835477268233774</v>
      </c>
      <c r="AN61" s="11"/>
      <c r="AO61" s="149">
        <f t="shared" si="252"/>
        <v>796.14780136677007</v>
      </c>
      <c r="AP61" s="148">
        <f t="shared" si="253"/>
        <v>0.99928503629857557</v>
      </c>
      <c r="AQ61" s="404"/>
      <c r="AT61" s="149">
        <f t="shared" ca="1" si="245"/>
        <v>46417.941271905911</v>
      </c>
      <c r="AU61" s="148">
        <f t="shared" ca="1" si="225"/>
        <v>1.0011347159943575</v>
      </c>
      <c r="AV61" s="11"/>
      <c r="AW61" s="11"/>
      <c r="AX61" s="149">
        <f t="shared" si="246"/>
        <v>2501.1246020563599</v>
      </c>
      <c r="AY61" s="148">
        <f t="shared" si="226"/>
        <v>1.0010785954933112</v>
      </c>
      <c r="AZ61" s="11"/>
      <c r="BA61" s="11"/>
      <c r="BB61" s="149">
        <f t="shared" si="247"/>
        <v>399.47994471100577</v>
      </c>
      <c r="BC61" s="148">
        <f t="shared" si="227"/>
        <v>1.000714024724862</v>
      </c>
      <c r="BD61" s="394">
        <f t="shared" si="228"/>
        <v>2.6875</v>
      </c>
      <c r="BE61" s="395">
        <f t="shared" si="229"/>
        <v>402.16744471100577</v>
      </c>
      <c r="BF61" s="11"/>
      <c r="BG61" s="11"/>
      <c r="BH61" s="149">
        <f t="shared" si="248"/>
        <v>3</v>
      </c>
      <c r="BI61" s="148">
        <f t="shared" si="230"/>
        <v>1</v>
      </c>
      <c r="BJ61" s="394">
        <f t="shared" si="231"/>
        <v>0.88541666666666674</v>
      </c>
      <c r="BK61" s="395">
        <f t="shared" si="232"/>
        <v>3.885416666666667</v>
      </c>
      <c r="BL61" s="11"/>
      <c r="BM61" s="11"/>
      <c r="BN61" s="149">
        <f t="shared" si="249"/>
        <v>14065.60906426188</v>
      </c>
      <c r="BO61" s="148">
        <f t="shared" si="233"/>
        <v>1.0014423638389347</v>
      </c>
      <c r="BP61" s="11"/>
      <c r="BQ61" s="11"/>
      <c r="BR61" s="149">
        <f t="shared" si="250"/>
        <v>45.027599968716082</v>
      </c>
      <c r="BS61" s="148">
        <f t="shared" si="234"/>
        <v>1.0012136133780991</v>
      </c>
      <c r="BT61" s="148"/>
      <c r="BU61" s="148"/>
      <c r="BV61" s="149">
        <f t="shared" si="251"/>
        <v>391.95648194671799</v>
      </c>
      <c r="BW61" s="148">
        <f t="shared" si="235"/>
        <v>1.0004363939412999</v>
      </c>
    </row>
    <row r="62" spans="1:75">
      <c r="A62" s="9">
        <f t="shared" si="184"/>
        <v>2026</v>
      </c>
      <c r="B62" s="9" t="s">
        <v>152</v>
      </c>
      <c r="C62" s="149">
        <f t="shared" ca="1" si="236"/>
        <v>120479.65956995341</v>
      </c>
      <c r="D62" s="148">
        <f t="shared" ca="1" si="213"/>
        <v>1.0011428392132675</v>
      </c>
      <c r="E62" s="11"/>
      <c r="F62" s="11"/>
      <c r="G62" s="149">
        <f t="shared" si="237"/>
        <v>1550.1077643518165</v>
      </c>
      <c r="H62" s="148">
        <f t="shared" si="214"/>
        <v>0.9998097678030976</v>
      </c>
      <c r="I62" s="11"/>
      <c r="J62" s="11"/>
      <c r="K62" s="149">
        <f t="shared" si="238"/>
        <v>9566.1574600112817</v>
      </c>
      <c r="L62" s="148">
        <f t="shared" si="239"/>
        <v>1.0005541440839929</v>
      </c>
      <c r="M62" s="11"/>
      <c r="N62" s="11"/>
      <c r="O62" s="149">
        <f t="shared" si="240"/>
        <v>1091.4564570336383</v>
      </c>
      <c r="P62" s="148">
        <f t="shared" si="215"/>
        <v>1.0002760890950009</v>
      </c>
      <c r="Q62" s="394">
        <f t="shared" si="254"/>
        <v>3.75</v>
      </c>
      <c r="R62" s="395">
        <f t="shared" si="216"/>
        <v>1095.2064570336383</v>
      </c>
      <c r="S62" s="11"/>
      <c r="T62" s="11"/>
      <c r="U62" s="149">
        <f t="shared" si="241"/>
        <v>5</v>
      </c>
      <c r="V62" s="148">
        <f t="shared" si="217"/>
        <v>1</v>
      </c>
      <c r="W62" s="394">
        <f t="shared" si="218"/>
        <v>1.25</v>
      </c>
      <c r="X62" s="395">
        <f t="shared" si="219"/>
        <v>6.25</v>
      </c>
      <c r="Y62" s="11"/>
      <c r="Z62" s="11"/>
      <c r="AA62" s="149">
        <f t="shared" si="242"/>
        <v>5</v>
      </c>
      <c r="AB62" s="148">
        <f t="shared" si="220"/>
        <v>1</v>
      </c>
      <c r="AC62" s="394">
        <f t="shared" si="221"/>
        <v>0.1875</v>
      </c>
      <c r="AD62" s="395">
        <f t="shared" si="222"/>
        <v>5.1875</v>
      </c>
      <c r="AE62" s="148"/>
      <c r="AF62" s="148"/>
      <c r="AG62" s="149">
        <f t="shared" si="243"/>
        <v>33498.452279245401</v>
      </c>
      <c r="AH62" s="148">
        <f t="shared" si="223"/>
        <v>1.0009149490993259</v>
      </c>
      <c r="AI62" s="11"/>
      <c r="AJ62" s="11"/>
      <c r="AK62" s="149">
        <f t="shared" si="244"/>
        <v>226.79335819490746</v>
      </c>
      <c r="AL62" s="148">
        <f t="shared" si="224"/>
        <v>0.99835477268233774</v>
      </c>
      <c r="AN62" s="11"/>
      <c r="AO62" s="149">
        <f t="shared" si="252"/>
        <v>795.57858458782391</v>
      </c>
      <c r="AP62" s="148">
        <f t="shared" si="253"/>
        <v>0.99928503629857557</v>
      </c>
      <c r="AQ62" s="404"/>
      <c r="AT62" s="149">
        <f t="shared" ca="1" si="245"/>
        <v>46470.612452292291</v>
      </c>
      <c r="AU62" s="148">
        <f t="shared" ca="1" si="225"/>
        <v>1.0011347159943575</v>
      </c>
      <c r="AV62" s="11"/>
      <c r="AW62" s="11"/>
      <c r="AX62" s="149">
        <f t="shared" si="246"/>
        <v>2503.8223037803477</v>
      </c>
      <c r="AY62" s="148">
        <f t="shared" si="226"/>
        <v>1.0010785954933112</v>
      </c>
      <c r="AZ62" s="11"/>
      <c r="BA62" s="11"/>
      <c r="BB62" s="149">
        <f t="shared" si="247"/>
        <v>399.76518326861594</v>
      </c>
      <c r="BC62" s="148">
        <f t="shared" si="227"/>
        <v>1.000714024724862</v>
      </c>
      <c r="BD62" s="394">
        <f t="shared" si="228"/>
        <v>3.2250000000000001</v>
      </c>
      <c r="BE62" s="395">
        <f t="shared" si="229"/>
        <v>402.99018326861597</v>
      </c>
      <c r="BF62" s="11"/>
      <c r="BG62" s="11"/>
      <c r="BH62" s="149">
        <f t="shared" si="248"/>
        <v>3</v>
      </c>
      <c r="BI62" s="148">
        <f t="shared" si="230"/>
        <v>1</v>
      </c>
      <c r="BJ62" s="394">
        <f t="shared" si="231"/>
        <v>1.0625</v>
      </c>
      <c r="BK62" s="395">
        <f t="shared" si="232"/>
        <v>4.0625</v>
      </c>
      <c r="BL62" s="11"/>
      <c r="BM62" s="11"/>
      <c r="BN62" s="149">
        <f t="shared" si="249"/>
        <v>14085.896790148763</v>
      </c>
      <c r="BO62" s="148">
        <f t="shared" si="233"/>
        <v>1.0014423638389347</v>
      </c>
      <c r="BP62" s="11"/>
      <c r="BQ62" s="11"/>
      <c r="BR62" s="149">
        <f t="shared" si="250"/>
        <v>45.08224606642181</v>
      </c>
      <c r="BS62" s="148">
        <f t="shared" si="234"/>
        <v>1.0012136133780991</v>
      </c>
      <c r="BT62" s="148"/>
      <c r="BU62" s="148"/>
      <c r="BV62" s="149">
        <f t="shared" si="251"/>
        <v>392.12752938069275</v>
      </c>
      <c r="BW62" s="148">
        <f t="shared" si="235"/>
        <v>1.0004363939412999</v>
      </c>
    </row>
    <row r="63" spans="1:75">
      <c r="A63" s="9">
        <f t="shared" si="184"/>
        <v>2026</v>
      </c>
      <c r="B63" s="9" t="s">
        <v>153</v>
      </c>
      <c r="C63" s="149">
        <f t="shared" ca="1" si="236"/>
        <v>120617.34844931107</v>
      </c>
      <c r="D63" s="148">
        <f t="shared" ca="1" si="213"/>
        <v>1.0011428392132675</v>
      </c>
      <c r="E63" s="11"/>
      <c r="F63" s="11"/>
      <c r="G63" s="149">
        <f t="shared" si="237"/>
        <v>1549.8128839463686</v>
      </c>
      <c r="H63" s="148">
        <f t="shared" si="214"/>
        <v>0.99980976780309772</v>
      </c>
      <c r="I63" s="11"/>
      <c r="J63" s="11"/>
      <c r="K63" s="149">
        <f t="shared" si="238"/>
        <v>9571.4584895742919</v>
      </c>
      <c r="L63" s="148">
        <f t="shared" si="239"/>
        <v>1.0005541440839929</v>
      </c>
      <c r="M63" s="11"/>
      <c r="N63" s="11"/>
      <c r="O63" s="149">
        <f t="shared" si="240"/>
        <v>1091.7577962590935</v>
      </c>
      <c r="P63" s="148">
        <f t="shared" si="215"/>
        <v>1.0002760890950009</v>
      </c>
      <c r="Q63" s="394">
        <f t="shared" si="254"/>
        <v>4.375</v>
      </c>
      <c r="R63" s="395">
        <f t="shared" si="216"/>
        <v>1096.1327962590935</v>
      </c>
      <c r="S63" s="11"/>
      <c r="T63" s="11"/>
      <c r="U63" s="149">
        <f t="shared" si="241"/>
        <v>5</v>
      </c>
      <c r="V63" s="148">
        <f t="shared" si="217"/>
        <v>1</v>
      </c>
      <c r="W63" s="394">
        <f t="shared" si="218"/>
        <v>1.4583333333333333</v>
      </c>
      <c r="X63" s="395">
        <f t="shared" si="219"/>
        <v>6.458333333333333</v>
      </c>
      <c r="Y63" s="11"/>
      <c r="Z63" s="11"/>
      <c r="AA63" s="149">
        <f t="shared" si="242"/>
        <v>5</v>
      </c>
      <c r="AB63" s="148">
        <f t="shared" si="220"/>
        <v>1</v>
      </c>
      <c r="AC63" s="394">
        <f t="shared" si="221"/>
        <v>0.21875</v>
      </c>
      <c r="AD63" s="395">
        <f t="shared" si="222"/>
        <v>5.21875</v>
      </c>
      <c r="AE63" s="148"/>
      <c r="AF63" s="148"/>
      <c r="AG63" s="149">
        <f t="shared" si="243"/>
        <v>33529.101657987107</v>
      </c>
      <c r="AH63" s="148">
        <f t="shared" si="223"/>
        <v>1.0009149490993259</v>
      </c>
      <c r="AI63" s="11"/>
      <c r="AJ63" s="11"/>
      <c r="AK63" s="149">
        <f t="shared" si="244"/>
        <v>226.42023156654082</v>
      </c>
      <c r="AL63" s="148">
        <f t="shared" si="224"/>
        <v>0.99835477268233774</v>
      </c>
      <c r="AN63" s="11"/>
      <c r="AO63" s="149">
        <f t="shared" si="252"/>
        <v>795.009774778213</v>
      </c>
      <c r="AP63" s="148">
        <f t="shared" si="253"/>
        <v>0.99928503629857557</v>
      </c>
      <c r="AQ63" s="404"/>
      <c r="AT63" s="149">
        <f t="shared" ca="1" si="245"/>
        <v>46523.343399509497</v>
      </c>
      <c r="AU63" s="148">
        <f t="shared" ca="1" si="225"/>
        <v>1.0011347159943575</v>
      </c>
      <c r="AV63" s="11"/>
      <c r="AW63" s="11"/>
      <c r="AX63" s="149">
        <f t="shared" si="246"/>
        <v>2506.5229152332572</v>
      </c>
      <c r="AY63" s="148">
        <f t="shared" si="226"/>
        <v>1.0010785954933112</v>
      </c>
      <c r="AZ63" s="11"/>
      <c r="BA63" s="11"/>
      <c r="BB63" s="149">
        <f t="shared" si="247"/>
        <v>400.05062549360872</v>
      </c>
      <c r="BC63" s="148">
        <f t="shared" si="227"/>
        <v>1.000714024724862</v>
      </c>
      <c r="BD63" s="394">
        <f t="shared" si="228"/>
        <v>3.7625000000000002</v>
      </c>
      <c r="BE63" s="395">
        <f t="shared" si="229"/>
        <v>403.81312549360871</v>
      </c>
      <c r="BF63" s="11"/>
      <c r="BG63" s="11"/>
      <c r="BH63" s="149">
        <f t="shared" si="248"/>
        <v>3</v>
      </c>
      <c r="BI63" s="148">
        <f t="shared" si="230"/>
        <v>1</v>
      </c>
      <c r="BJ63" s="394">
        <f t="shared" si="231"/>
        <v>1.2395833333333333</v>
      </c>
      <c r="BK63" s="395">
        <f t="shared" si="232"/>
        <v>4.239583333333333</v>
      </c>
      <c r="BL63" s="11"/>
      <c r="BM63" s="11"/>
      <c r="BN63" s="149">
        <f t="shared" si="249"/>
        <v>14106.21377831784</v>
      </c>
      <c r="BO63" s="148">
        <f t="shared" si="233"/>
        <v>1.0014423638389347</v>
      </c>
      <c r="BP63" s="11"/>
      <c r="BQ63" s="11"/>
      <c r="BR63" s="149">
        <f t="shared" si="250"/>
        <v>45.136958483362775</v>
      </c>
      <c r="BS63" s="148">
        <f t="shared" si="234"/>
        <v>1.0012136133780991</v>
      </c>
      <c r="BT63" s="148"/>
      <c r="BU63" s="148"/>
      <c r="BV63" s="149">
        <f t="shared" si="251"/>
        <v>392.2986514587314</v>
      </c>
      <c r="BW63" s="148">
        <f t="shared" si="235"/>
        <v>1.0004363939412999</v>
      </c>
    </row>
    <row r="64" spans="1:75">
      <c r="A64" s="9">
        <f t="shared" si="184"/>
        <v>2026</v>
      </c>
      <c r="B64" s="9" t="s">
        <v>154</v>
      </c>
      <c r="C64" s="149">
        <f t="shared" ca="1" si="236"/>
        <v>120755.1946849193</v>
      </c>
      <c r="D64" s="148">
        <f t="shared" ca="1" si="213"/>
        <v>1.0011428392132675</v>
      </c>
      <c r="E64" s="11"/>
      <c r="F64" s="11"/>
      <c r="G64" s="149">
        <f t="shared" si="237"/>
        <v>1549.5180596366681</v>
      </c>
      <c r="H64" s="148">
        <f t="shared" si="214"/>
        <v>0.99980976780309772</v>
      </c>
      <c r="I64" s="11"/>
      <c r="J64" s="11"/>
      <c r="K64" s="149">
        <f t="shared" si="238"/>
        <v>9576.762456671473</v>
      </c>
      <c r="L64" s="148">
        <f t="shared" si="239"/>
        <v>1.0005541440839929</v>
      </c>
      <c r="M64" s="11"/>
      <c r="N64" s="11"/>
      <c r="O64" s="149">
        <f t="shared" si="240"/>
        <v>1092.0592186810229</v>
      </c>
      <c r="P64" s="148">
        <f t="shared" si="215"/>
        <v>1.0002760890950009</v>
      </c>
      <c r="Q64" s="394">
        <f t="shared" si="254"/>
        <v>5</v>
      </c>
      <c r="R64" s="395">
        <f t="shared" si="216"/>
        <v>1097.0592186810229</v>
      </c>
      <c r="S64" s="11"/>
      <c r="T64" s="11"/>
      <c r="U64" s="149">
        <f t="shared" si="241"/>
        <v>5</v>
      </c>
      <c r="V64" s="148">
        <f t="shared" si="217"/>
        <v>1</v>
      </c>
      <c r="W64" s="394">
        <f t="shared" si="218"/>
        <v>1.6666666666666665</v>
      </c>
      <c r="X64" s="395">
        <f t="shared" si="219"/>
        <v>6.6666666666666661</v>
      </c>
      <c r="Y64" s="11"/>
      <c r="Z64" s="11"/>
      <c r="AA64" s="149">
        <f t="shared" si="242"/>
        <v>5</v>
      </c>
      <c r="AB64" s="148">
        <f t="shared" si="220"/>
        <v>1</v>
      </c>
      <c r="AC64" s="394">
        <f t="shared" si="221"/>
        <v>0.25</v>
      </c>
      <c r="AD64" s="395">
        <f t="shared" si="222"/>
        <v>5.25</v>
      </c>
      <c r="AE64" s="148"/>
      <c r="AF64" s="148"/>
      <c r="AG64" s="149">
        <f t="shared" si="243"/>
        <v>33559.779079350286</v>
      </c>
      <c r="AH64" s="148">
        <f t="shared" si="223"/>
        <v>1.0009149490993259</v>
      </c>
      <c r="AI64" s="11"/>
      <c r="AJ64" s="11"/>
      <c r="AK64" s="149">
        <f t="shared" si="244"/>
        <v>226.04771881629614</v>
      </c>
      <c r="AL64" s="148">
        <f t="shared" si="224"/>
        <v>0.99835477268233774</v>
      </c>
      <c r="AN64" s="11"/>
      <c r="AO64" s="149">
        <f t="shared" si="252"/>
        <v>794.44137164696895</v>
      </c>
      <c r="AP64" s="148">
        <f t="shared" si="253"/>
        <v>0.99928503629857557</v>
      </c>
      <c r="AQ64" s="404"/>
      <c r="AT64" s="149">
        <f t="shared" ca="1" si="245"/>
        <v>46576.134181375906</v>
      </c>
      <c r="AU64" s="148">
        <f t="shared" ca="1" si="225"/>
        <v>1.0011347159943575</v>
      </c>
      <c r="AV64" s="11"/>
      <c r="AW64" s="11"/>
      <c r="AX64" s="149">
        <f t="shared" si="246"/>
        <v>2509.226439553509</v>
      </c>
      <c r="AY64" s="148">
        <f t="shared" si="226"/>
        <v>1.0010785954933112</v>
      </c>
      <c r="AZ64" s="11"/>
      <c r="BA64" s="11"/>
      <c r="BB64" s="149">
        <f t="shared" si="247"/>
        <v>400.3362715314077</v>
      </c>
      <c r="BC64" s="148">
        <f t="shared" si="227"/>
        <v>1.000714024724862</v>
      </c>
      <c r="BD64" s="394">
        <f t="shared" si="228"/>
        <v>4.3</v>
      </c>
      <c r="BE64" s="395">
        <f t="shared" si="229"/>
        <v>404.63627153140771</v>
      </c>
      <c r="BF64" s="11"/>
      <c r="BG64" s="11"/>
      <c r="BH64" s="149">
        <f t="shared" si="248"/>
        <v>3</v>
      </c>
      <c r="BI64" s="148">
        <f t="shared" si="230"/>
        <v>1</v>
      </c>
      <c r="BJ64" s="394">
        <f t="shared" si="231"/>
        <v>1.4166666666666665</v>
      </c>
      <c r="BK64" s="395">
        <f t="shared" si="232"/>
        <v>4.4166666666666661</v>
      </c>
      <c r="BL64" s="11"/>
      <c r="BM64" s="11"/>
      <c r="BN64" s="149">
        <f t="shared" si="249"/>
        <v>14126.560070975969</v>
      </c>
      <c r="BO64" s="148">
        <f t="shared" si="233"/>
        <v>1.0014423638389347</v>
      </c>
      <c r="BP64" s="11"/>
      <c r="BQ64" s="11"/>
      <c r="BR64" s="149">
        <f t="shared" si="250"/>
        <v>45.19173730002489</v>
      </c>
      <c r="BS64" s="148">
        <f t="shared" si="234"/>
        <v>1.0012136133780991</v>
      </c>
      <c r="BT64" s="148"/>
      <c r="BU64" s="148"/>
      <c r="BV64" s="149">
        <f t="shared" si="251"/>
        <v>392.46984821340811</v>
      </c>
      <c r="BW64" s="148">
        <f t="shared" si="235"/>
        <v>1.0004363939412999</v>
      </c>
    </row>
    <row r="65" spans="1:75">
      <c r="A65" s="9">
        <f t="shared" si="184"/>
        <v>2026</v>
      </c>
      <c r="B65" s="9" t="s">
        <v>684</v>
      </c>
      <c r="C65" s="149">
        <f t="shared" ca="1" si="236"/>
        <v>120893.19845661099</v>
      </c>
      <c r="D65" s="148">
        <f t="shared" ca="1" si="213"/>
        <v>1.0011428392132675</v>
      </c>
      <c r="E65" s="11"/>
      <c r="F65" s="11"/>
      <c r="G65" s="149">
        <f t="shared" si="237"/>
        <v>1549.2232914120436</v>
      </c>
      <c r="H65" s="148">
        <f t="shared" si="214"/>
        <v>0.99980976780309772</v>
      </c>
      <c r="I65" s="11"/>
      <c r="J65" s="11"/>
      <c r="K65" s="149">
        <f t="shared" si="238"/>
        <v>9582.0693629306425</v>
      </c>
      <c r="L65" s="148">
        <f t="shared" si="239"/>
        <v>1.0005541440839929</v>
      </c>
      <c r="M65" s="11"/>
      <c r="N65" s="11"/>
      <c r="O65" s="149">
        <f t="shared" si="240"/>
        <v>1092.360724322396</v>
      </c>
      <c r="P65" s="148">
        <f t="shared" si="215"/>
        <v>1.0002760890950009</v>
      </c>
      <c r="Q65" s="394">
        <f t="shared" si="254"/>
        <v>5.625</v>
      </c>
      <c r="R65" s="395">
        <f t="shared" si="216"/>
        <v>1097.985724322396</v>
      </c>
      <c r="S65" s="11"/>
      <c r="T65" s="11"/>
      <c r="U65" s="149">
        <f t="shared" si="241"/>
        <v>5</v>
      </c>
      <c r="V65" s="148">
        <f t="shared" si="217"/>
        <v>1</v>
      </c>
      <c r="W65" s="394">
        <f t="shared" si="218"/>
        <v>1.8749999999999998</v>
      </c>
      <c r="X65" s="395">
        <f t="shared" si="219"/>
        <v>6.875</v>
      </c>
      <c r="Y65" s="11"/>
      <c r="Z65" s="11"/>
      <c r="AA65" s="149">
        <f t="shared" si="242"/>
        <v>5</v>
      </c>
      <c r="AB65" s="148">
        <f t="shared" si="220"/>
        <v>1</v>
      </c>
      <c r="AC65" s="394">
        <f t="shared" si="221"/>
        <v>0.28125</v>
      </c>
      <c r="AD65" s="395">
        <f t="shared" si="222"/>
        <v>5.28125</v>
      </c>
      <c r="AE65" s="148"/>
      <c r="AF65" s="148"/>
      <c r="AG65" s="149">
        <f t="shared" si="243"/>
        <v>33590.484568992513</v>
      </c>
      <c r="AH65" s="148">
        <f t="shared" si="223"/>
        <v>1.0009149490993259</v>
      </c>
      <c r="AI65" s="11"/>
      <c r="AJ65" s="11"/>
      <c r="AK65" s="149">
        <f t="shared" si="244"/>
        <v>225.67581893420433</v>
      </c>
      <c r="AL65" s="148">
        <f t="shared" si="224"/>
        <v>0.99835477268233774</v>
      </c>
      <c r="AN65" s="11"/>
      <c r="AO65" s="149">
        <f t="shared" si="252"/>
        <v>793.87337490333152</v>
      </c>
      <c r="AP65" s="148">
        <f t="shared" si="253"/>
        <v>0.99928503629857557</v>
      </c>
      <c r="AQ65" s="404"/>
      <c r="AT65" s="149">
        <f t="shared" ca="1" si="245"/>
        <v>46628.984865786857</v>
      </c>
      <c r="AU65" s="148">
        <f t="shared" ca="1" si="225"/>
        <v>1.0011347159943575</v>
      </c>
      <c r="AV65" s="11"/>
      <c r="AW65" s="11"/>
      <c r="AX65" s="149">
        <f t="shared" si="246"/>
        <v>2511.9328798829088</v>
      </c>
      <c r="AY65" s="148">
        <f t="shared" si="226"/>
        <v>1.0010785954933112</v>
      </c>
      <c r="AZ65" s="11"/>
      <c r="BA65" s="11"/>
      <c r="BB65" s="149">
        <f t="shared" si="247"/>
        <v>400.62212152754023</v>
      </c>
      <c r="BC65" s="148">
        <f t="shared" si="227"/>
        <v>1.000714024724862</v>
      </c>
      <c r="BD65" s="394">
        <f t="shared" si="228"/>
        <v>4.8374999999999995</v>
      </c>
      <c r="BE65" s="395">
        <f t="shared" si="229"/>
        <v>405.45962152754021</v>
      </c>
      <c r="BF65" s="11"/>
      <c r="BG65" s="11"/>
      <c r="BH65" s="149">
        <f t="shared" si="248"/>
        <v>3</v>
      </c>
      <c r="BI65" s="148">
        <f t="shared" si="230"/>
        <v>1</v>
      </c>
      <c r="BJ65" s="394">
        <f t="shared" si="231"/>
        <v>1.5937499999999998</v>
      </c>
      <c r="BK65" s="395">
        <f t="shared" si="232"/>
        <v>4.59375</v>
      </c>
      <c r="BL65" s="11"/>
      <c r="BM65" s="11"/>
      <c r="BN65" s="149">
        <f t="shared" si="249"/>
        <v>14146.935710390884</v>
      </c>
      <c r="BO65" s="148">
        <f t="shared" si="233"/>
        <v>1.0014423638389347</v>
      </c>
      <c r="BP65" s="11"/>
      <c r="BQ65" s="11"/>
      <c r="BR65" s="149">
        <f t="shared" si="250"/>
        <v>45.246582596991743</v>
      </c>
      <c r="BS65" s="148">
        <f t="shared" si="234"/>
        <v>1.0012136133780991</v>
      </c>
      <c r="BT65" s="148"/>
      <c r="BU65" s="148"/>
      <c r="BV65" s="149">
        <f t="shared" si="251"/>
        <v>392.64111967731134</v>
      </c>
      <c r="BW65" s="148">
        <f t="shared" si="235"/>
        <v>1.0004363939412999</v>
      </c>
    </row>
    <row r="66" spans="1:75">
      <c r="A66" s="9">
        <f t="shared" si="184"/>
        <v>2026</v>
      </c>
      <c r="B66" s="9" t="s">
        <v>156</v>
      </c>
      <c r="C66" s="149">
        <f t="shared" ca="1" si="236"/>
        <v>121031.35994442453</v>
      </c>
      <c r="D66" s="148">
        <f t="shared" ca="1" si="213"/>
        <v>1.0011428392132675</v>
      </c>
      <c r="E66" s="11"/>
      <c r="F66" s="11"/>
      <c r="G66" s="149">
        <f t="shared" si="237"/>
        <v>1548.9285792618261</v>
      </c>
      <c r="H66" s="148">
        <f t="shared" si="214"/>
        <v>0.99980976780309772</v>
      </c>
      <c r="I66" s="11"/>
      <c r="J66" s="11"/>
      <c r="K66" s="149">
        <f t="shared" si="238"/>
        <v>9587.3792099805196</v>
      </c>
      <c r="L66" s="148">
        <f t="shared" si="239"/>
        <v>1.0005541440839929</v>
      </c>
      <c r="M66" s="11"/>
      <c r="N66" s="11"/>
      <c r="O66" s="149">
        <f t="shared" si="240"/>
        <v>1092.6623132061886</v>
      </c>
      <c r="P66" s="148">
        <f t="shared" si="215"/>
        <v>1.0002760890950009</v>
      </c>
      <c r="Q66" s="394">
        <f t="shared" si="254"/>
        <v>6.25</v>
      </c>
      <c r="R66" s="395">
        <f t="shared" si="216"/>
        <v>1098.9123132061886</v>
      </c>
      <c r="S66" s="11"/>
      <c r="T66" s="11"/>
      <c r="U66" s="149">
        <f t="shared" si="241"/>
        <v>5</v>
      </c>
      <c r="V66" s="148">
        <f t="shared" si="217"/>
        <v>1</v>
      </c>
      <c r="W66" s="394">
        <f t="shared" si="218"/>
        <v>2.083333333333333</v>
      </c>
      <c r="X66" s="395">
        <f t="shared" si="219"/>
        <v>7.083333333333333</v>
      </c>
      <c r="Y66" s="11"/>
      <c r="Z66" s="11"/>
      <c r="AA66" s="149">
        <f t="shared" si="242"/>
        <v>5</v>
      </c>
      <c r="AB66" s="148">
        <f t="shared" si="220"/>
        <v>1</v>
      </c>
      <c r="AC66" s="394">
        <f t="shared" si="221"/>
        <v>0.3125</v>
      </c>
      <c r="AD66" s="395">
        <f t="shared" si="222"/>
        <v>5.3125</v>
      </c>
      <c r="AE66" s="148"/>
      <c r="AF66" s="148"/>
      <c r="AG66" s="149">
        <f t="shared" si="243"/>
        <v>33621.218152594833</v>
      </c>
      <c r="AH66" s="148">
        <f t="shared" si="223"/>
        <v>1.0009149490993259</v>
      </c>
      <c r="AI66" s="11"/>
      <c r="AJ66" s="11"/>
      <c r="AK66" s="149">
        <f t="shared" si="244"/>
        <v>225.30453091195798</v>
      </c>
      <c r="AL66" s="148">
        <f t="shared" si="224"/>
        <v>0.99835477268233774</v>
      </c>
      <c r="AN66" s="11"/>
      <c r="AO66" s="149">
        <f t="shared" si="252"/>
        <v>793.30578425674832</v>
      </c>
      <c r="AP66" s="148">
        <f t="shared" si="253"/>
        <v>0.99928503629857557</v>
      </c>
      <c r="AQ66" s="404"/>
      <c r="AT66" s="149">
        <f t="shared" ca="1" si="245"/>
        <v>46681.895520714723</v>
      </c>
      <c r="AU66" s="148">
        <f t="shared" ca="1" si="225"/>
        <v>1.0011347159943575</v>
      </c>
      <c r="AV66" s="11"/>
      <c r="AW66" s="11"/>
      <c r="AX66" s="149">
        <f t="shared" si="246"/>
        <v>2514.6422393666508</v>
      </c>
      <c r="AY66" s="148">
        <f t="shared" si="226"/>
        <v>1.0010785954933112</v>
      </c>
      <c r="AZ66" s="11"/>
      <c r="BA66" s="11"/>
      <c r="BB66" s="149">
        <f t="shared" si="247"/>
        <v>400.9081756276376</v>
      </c>
      <c r="BC66" s="148">
        <f t="shared" si="227"/>
        <v>1.000714024724862</v>
      </c>
      <c r="BD66" s="394">
        <f t="shared" si="228"/>
        <v>5.3749999999999991</v>
      </c>
      <c r="BE66" s="395">
        <f t="shared" si="229"/>
        <v>406.2831756276376</v>
      </c>
      <c r="BF66" s="11"/>
      <c r="BG66" s="11"/>
      <c r="BH66" s="149">
        <f t="shared" si="248"/>
        <v>3</v>
      </c>
      <c r="BI66" s="148">
        <f t="shared" si="230"/>
        <v>1</v>
      </c>
      <c r="BJ66" s="394">
        <f t="shared" si="231"/>
        <v>1.770833333333333</v>
      </c>
      <c r="BK66" s="395">
        <f t="shared" si="232"/>
        <v>4.770833333333333</v>
      </c>
      <c r="BL66" s="11"/>
      <c r="BM66" s="11"/>
      <c r="BN66" s="149">
        <f t="shared" si="249"/>
        <v>14167.340738891286</v>
      </c>
      <c r="BO66" s="148">
        <f t="shared" si="233"/>
        <v>1.0014423638389347</v>
      </c>
      <c r="BP66" s="11"/>
      <c r="BQ66" s="11"/>
      <c r="BR66" s="149">
        <f t="shared" si="250"/>
        <v>45.301494454944716</v>
      </c>
      <c r="BS66" s="148">
        <f t="shared" si="234"/>
        <v>1.0012136133780991</v>
      </c>
      <c r="BT66" s="148"/>
      <c r="BU66" s="148"/>
      <c r="BV66" s="149">
        <f t="shared" si="251"/>
        <v>392.81246588304373</v>
      </c>
      <c r="BW66" s="148">
        <f t="shared" si="235"/>
        <v>1.0004363939412999</v>
      </c>
    </row>
    <row r="67" spans="1:75">
      <c r="A67" s="9">
        <f t="shared" si="184"/>
        <v>2026</v>
      </c>
      <c r="B67" s="9" t="s">
        <v>157</v>
      </c>
      <c r="C67" s="149">
        <f t="shared" ca="1" si="236"/>
        <v>121169.67932860412</v>
      </c>
      <c r="D67" s="148">
        <f t="shared" ca="1" si="213"/>
        <v>1.0011428392132675</v>
      </c>
      <c r="E67" s="11"/>
      <c r="F67" s="11"/>
      <c r="G67" s="149">
        <f t="shared" si="237"/>
        <v>1548.6339231753484</v>
      </c>
      <c r="H67" s="148">
        <f t="shared" si="214"/>
        <v>0.99980976780309772</v>
      </c>
      <c r="I67" s="11"/>
      <c r="J67" s="11"/>
      <c r="K67" s="149">
        <f t="shared" si="238"/>
        <v>9592.6919994507261</v>
      </c>
      <c r="L67" s="148">
        <f t="shared" si="239"/>
        <v>1.0005541440839929</v>
      </c>
      <c r="M67" s="11"/>
      <c r="N67" s="11"/>
      <c r="O67" s="149">
        <f t="shared" si="240"/>
        <v>1092.9639853553833</v>
      </c>
      <c r="P67" s="148">
        <f t="shared" si="215"/>
        <v>1.0002760890950009</v>
      </c>
      <c r="Q67" s="394">
        <f t="shared" si="254"/>
        <v>6.875</v>
      </c>
      <c r="R67" s="395">
        <f t="shared" si="216"/>
        <v>1099.8389853553833</v>
      </c>
      <c r="S67" s="11"/>
      <c r="T67" s="11"/>
      <c r="U67" s="149">
        <f t="shared" si="241"/>
        <v>5</v>
      </c>
      <c r="V67" s="148">
        <f t="shared" si="217"/>
        <v>1</v>
      </c>
      <c r="W67" s="394">
        <f t="shared" si="218"/>
        <v>2.2916666666666665</v>
      </c>
      <c r="X67" s="395">
        <f t="shared" si="219"/>
        <v>7.2916666666666661</v>
      </c>
      <c r="Y67" s="11"/>
      <c r="Z67" s="11"/>
      <c r="AA67" s="149">
        <f t="shared" si="242"/>
        <v>5</v>
      </c>
      <c r="AB67" s="148">
        <f t="shared" si="220"/>
        <v>1</v>
      </c>
      <c r="AC67" s="394">
        <f t="shared" si="221"/>
        <v>0.34375</v>
      </c>
      <c r="AD67" s="395">
        <f t="shared" si="222"/>
        <v>5.34375</v>
      </c>
      <c r="AE67" s="148"/>
      <c r="AF67" s="148"/>
      <c r="AG67" s="149">
        <f t="shared" si="243"/>
        <v>33651.979855861791</v>
      </c>
      <c r="AH67" s="148">
        <f t="shared" si="223"/>
        <v>1.0009149490993259</v>
      </c>
      <c r="AI67" s="11"/>
      <c r="AJ67" s="11"/>
      <c r="AK67" s="149">
        <f t="shared" si="244"/>
        <v>224.93385374290855</v>
      </c>
      <c r="AL67" s="148">
        <f t="shared" si="224"/>
        <v>0.99835477268233774</v>
      </c>
      <c r="AN67" s="11"/>
      <c r="AO67" s="149">
        <f t="shared" si="252"/>
        <v>792.73859941687476</v>
      </c>
      <c r="AP67" s="148">
        <f t="shared" si="253"/>
        <v>0.99928503629857557</v>
      </c>
      <c r="AQ67" s="404"/>
      <c r="AT67" s="149">
        <f t="shared" ca="1" si="245"/>
        <v>46734.866214209003</v>
      </c>
      <c r="AU67" s="148">
        <f t="shared" ca="1" si="225"/>
        <v>1.0011347159943575</v>
      </c>
      <c r="AV67" s="11"/>
      <c r="AW67" s="11"/>
      <c r="AX67" s="149">
        <f t="shared" si="246"/>
        <v>2517.3545211533219</v>
      </c>
      <c r="AY67" s="148">
        <f t="shared" si="226"/>
        <v>1.0010785954933112</v>
      </c>
      <c r="AZ67" s="11"/>
      <c r="BA67" s="11"/>
      <c r="BB67" s="149">
        <f t="shared" si="247"/>
        <v>401.1944339774351</v>
      </c>
      <c r="BC67" s="148">
        <f t="shared" si="227"/>
        <v>1.000714024724862</v>
      </c>
      <c r="BD67" s="394">
        <f t="shared" si="228"/>
        <v>5.9124999999999988</v>
      </c>
      <c r="BE67" s="395">
        <f t="shared" si="229"/>
        <v>407.10693397743512</v>
      </c>
      <c r="BF67" s="11"/>
      <c r="BG67" s="11"/>
      <c r="BH67" s="149">
        <f t="shared" si="248"/>
        <v>3</v>
      </c>
      <c r="BI67" s="148">
        <f t="shared" si="230"/>
        <v>1</v>
      </c>
      <c r="BJ67" s="394">
        <f t="shared" si="231"/>
        <v>1.9479166666666663</v>
      </c>
      <c r="BK67" s="395">
        <f t="shared" si="232"/>
        <v>4.9479166666666661</v>
      </c>
      <c r="BL67" s="11"/>
      <c r="BM67" s="11"/>
      <c r="BN67" s="149">
        <f t="shared" si="249"/>
        <v>14187.77519886693</v>
      </c>
      <c r="BO67" s="148">
        <f t="shared" si="233"/>
        <v>1.0014423638389347</v>
      </c>
      <c r="BP67" s="11"/>
      <c r="BQ67" s="11"/>
      <c r="BR67" s="149">
        <f t="shared" si="250"/>
        <v>45.356472954663118</v>
      </c>
      <c r="BS67" s="148">
        <f t="shared" si="234"/>
        <v>1.0012136133780991</v>
      </c>
      <c r="BT67" s="148"/>
      <c r="BU67" s="148"/>
      <c r="BV67" s="149">
        <f t="shared" si="251"/>
        <v>392.98388686322215</v>
      </c>
      <c r="BW67" s="148">
        <f t="shared" si="235"/>
        <v>1.0004363939412999</v>
      </c>
    </row>
    <row r="68" spans="1:75">
      <c r="A68" s="9">
        <f t="shared" si="184"/>
        <v>2026</v>
      </c>
      <c r="B68" s="9" t="s">
        <v>158</v>
      </c>
      <c r="C68" s="149">
        <f t="shared" ca="1" si="236"/>
        <v>121308.1567895999</v>
      </c>
      <c r="D68" s="148">
        <f t="shared" ca="1" si="213"/>
        <v>1.0011428392132675</v>
      </c>
      <c r="E68" s="11"/>
      <c r="F68" s="11"/>
      <c r="G68" s="149">
        <f t="shared" si="237"/>
        <v>1548.3393231419454</v>
      </c>
      <c r="H68" s="148">
        <f t="shared" si="214"/>
        <v>0.99980976780309783</v>
      </c>
      <c r="I68" s="11"/>
      <c r="J68" s="11"/>
      <c r="K68" s="149">
        <f t="shared" si="238"/>
        <v>9598.0077329717878</v>
      </c>
      <c r="L68" s="148">
        <f t="shared" si="239"/>
        <v>1.0005541440839929</v>
      </c>
      <c r="M68" s="11"/>
      <c r="N68" s="11"/>
      <c r="O68" s="149">
        <f t="shared" si="240"/>
        <v>1093.2657407929687</v>
      </c>
      <c r="P68" s="148">
        <f t="shared" si="215"/>
        <v>1.0002760890950009</v>
      </c>
      <c r="Q68" s="394">
        <f t="shared" si="254"/>
        <v>7.5</v>
      </c>
      <c r="R68" s="395">
        <f t="shared" si="216"/>
        <v>1100.7657407929687</v>
      </c>
      <c r="S68" s="11"/>
      <c r="T68" s="11"/>
      <c r="U68" s="149">
        <f t="shared" si="241"/>
        <v>5</v>
      </c>
      <c r="V68" s="148">
        <f t="shared" si="217"/>
        <v>1</v>
      </c>
      <c r="W68" s="394">
        <f t="shared" si="218"/>
        <v>2.5</v>
      </c>
      <c r="X68" s="395">
        <f t="shared" si="219"/>
        <v>7.5</v>
      </c>
      <c r="Y68" s="11"/>
      <c r="Z68" s="11"/>
      <c r="AA68" s="149">
        <f t="shared" si="242"/>
        <v>5</v>
      </c>
      <c r="AB68" s="148">
        <f t="shared" si="220"/>
        <v>1</v>
      </c>
      <c r="AC68" s="394">
        <f t="shared" si="221"/>
        <v>0.375</v>
      </c>
      <c r="AD68" s="395">
        <f t="shared" si="222"/>
        <v>5.375</v>
      </c>
      <c r="AE68" s="148"/>
      <c r="AF68" s="148"/>
      <c r="AG68" s="149">
        <f t="shared" si="243"/>
        <v>33682.769704521445</v>
      </c>
      <c r="AH68" s="148">
        <f t="shared" si="223"/>
        <v>1.0009149490993259</v>
      </c>
      <c r="AI68" s="11"/>
      <c r="AJ68" s="11"/>
      <c r="AK68" s="149">
        <f t="shared" si="244"/>
        <v>224.56378642206369</v>
      </c>
      <c r="AL68" s="148">
        <f t="shared" si="224"/>
        <v>0.99835477268233774</v>
      </c>
      <c r="AN68" s="11"/>
      <c r="AO68" s="149">
        <f t="shared" si="252"/>
        <v>792.17182009357361</v>
      </c>
      <c r="AP68" s="148">
        <f t="shared" si="253"/>
        <v>0.99928503629857557</v>
      </c>
      <c r="AQ68" s="404"/>
      <c r="AT68" s="149">
        <f t="shared" ca="1" si="245"/>
        <v>46787.897014396425</v>
      </c>
      <c r="AU68" s="148">
        <f t="shared" ca="1" si="225"/>
        <v>1.0011347159943575</v>
      </c>
      <c r="AV68" s="11"/>
      <c r="AW68" s="11"/>
      <c r="AX68" s="149">
        <f t="shared" si="246"/>
        <v>2520.0697283949044</v>
      </c>
      <c r="AY68" s="148">
        <f t="shared" si="226"/>
        <v>1.0010785954933112</v>
      </c>
      <c r="AZ68" s="11"/>
      <c r="BA68" s="11"/>
      <c r="BB68" s="149">
        <f t="shared" si="247"/>
        <v>401.480896722772</v>
      </c>
      <c r="BC68" s="148">
        <f t="shared" si="227"/>
        <v>1.000714024724862</v>
      </c>
      <c r="BD68" s="394">
        <f t="shared" si="228"/>
        <v>6.4499999999999984</v>
      </c>
      <c r="BE68" s="395">
        <f t="shared" si="229"/>
        <v>407.93089672277199</v>
      </c>
      <c r="BF68" s="11"/>
      <c r="BG68" s="11"/>
      <c r="BH68" s="149">
        <f t="shared" si="248"/>
        <v>3</v>
      </c>
      <c r="BI68" s="148">
        <f t="shared" si="230"/>
        <v>1</v>
      </c>
      <c r="BJ68" s="394">
        <f t="shared" si="231"/>
        <v>2.1249999999999996</v>
      </c>
      <c r="BK68" s="395">
        <f t="shared" si="232"/>
        <v>5.125</v>
      </c>
      <c r="BL68" s="11"/>
      <c r="BM68" s="11"/>
      <c r="BN68" s="149">
        <f t="shared" si="249"/>
        <v>14208.239132768709</v>
      </c>
      <c r="BO68" s="148">
        <f t="shared" si="233"/>
        <v>1.0014423638389347</v>
      </c>
      <c r="BP68" s="11"/>
      <c r="BQ68" s="11"/>
      <c r="BR68" s="149">
        <f t="shared" si="250"/>
        <v>45.411518177024291</v>
      </c>
      <c r="BS68" s="148">
        <f t="shared" si="234"/>
        <v>1.0012136133780991</v>
      </c>
      <c r="BT68" s="148"/>
      <c r="BU68" s="148"/>
      <c r="BV68" s="149">
        <f t="shared" si="251"/>
        <v>393.15538265047775</v>
      </c>
      <c r="BW68" s="148">
        <f t="shared" si="235"/>
        <v>1.0004363939412999</v>
      </c>
    </row>
    <row r="69" spans="1:75">
      <c r="A69" s="9">
        <f t="shared" si="184"/>
        <v>2027</v>
      </c>
      <c r="B69" s="9" t="s">
        <v>147</v>
      </c>
      <c r="C69" s="149">
        <f ca="1">C15/D15^(5.50989446627246/12)</f>
        <v>121483.62601327863</v>
      </c>
      <c r="D69" s="148">
        <f t="shared" ref="D69:D92" ca="1" si="255">C69/C68</f>
        <v>1.0014464750625389</v>
      </c>
      <c r="G69" s="149">
        <f>G15/H15^(5.50989446627246/12)</f>
        <v>1548.0447791509537</v>
      </c>
      <c r="H69" s="148">
        <f t="shared" si="214"/>
        <v>0.99980976780309749</v>
      </c>
      <c r="K69" s="149">
        <f>K15/L15^(5.50989446627246/12)</f>
        <v>9603.3264121751454</v>
      </c>
      <c r="L69" s="148">
        <f t="shared" si="239"/>
        <v>1.0005541440839942</v>
      </c>
      <c r="O69" s="149">
        <f>O15/P15^(5.50989446627246/12)</f>
        <v>1093.5675795419393</v>
      </c>
      <c r="P69" s="148">
        <f t="shared" si="215"/>
        <v>1.0002760890950004</v>
      </c>
      <c r="Q69" s="394">
        <f t="shared" si="254"/>
        <v>7.7166666666666668</v>
      </c>
      <c r="R69" s="395">
        <f t="shared" si="216"/>
        <v>1101.284246208606</v>
      </c>
      <c r="U69" s="149">
        <f>U15/V15^(5.50989446627246/12)</f>
        <v>5</v>
      </c>
      <c r="V69" s="148">
        <f t="shared" si="217"/>
        <v>1</v>
      </c>
      <c r="W69" s="394">
        <f t="shared" si="218"/>
        <v>2.5916666666666668</v>
      </c>
      <c r="X69" s="395">
        <f t="shared" si="219"/>
        <v>7.5916666666666668</v>
      </c>
      <c r="AA69" s="149">
        <f>AA15/AB15^(5.50989446627246/12)</f>
        <v>5</v>
      </c>
      <c r="AB69" s="148">
        <f t="shared" si="220"/>
        <v>1</v>
      </c>
      <c r="AC69" s="394">
        <f t="shared" si="221"/>
        <v>0.41666666666666669</v>
      </c>
      <c r="AD69" s="395">
        <f t="shared" si="222"/>
        <v>5.416666666666667</v>
      </c>
      <c r="AG69" s="149">
        <f>AG15/AH15^(5.50989446627246/12)</f>
        <v>33713.587724325436</v>
      </c>
      <c r="AH69" s="148">
        <f t="shared" si="223"/>
        <v>1.000914949099327</v>
      </c>
      <c r="AK69" s="149">
        <f>AK15/AL15^(5.50989446627246/12)</f>
        <v>224.19432794608434</v>
      </c>
      <c r="AL69" s="148">
        <f t="shared" si="224"/>
        <v>0.9983547726823373</v>
      </c>
      <c r="AO69" s="149">
        <f>AO15/AP15^(5.50989446627246/12)</f>
        <v>791.61346075064819</v>
      </c>
      <c r="AP69" s="148">
        <f t="shared" ref="AP69:AP98" si="256">AO69/AO68</f>
        <v>0.99929515374220268</v>
      </c>
      <c r="AQ69" s="404"/>
      <c r="AT69" s="149">
        <f ca="1">AT15/AU15^(5.50989446627246/12)</f>
        <v>46863.648800467658</v>
      </c>
      <c r="AU69" s="148">
        <f t="shared" ca="1" si="225"/>
        <v>1.0016190466104498</v>
      </c>
      <c r="AX69" s="149">
        <f>AX15/AY15^(5.50989446627246/12)</f>
        <v>2522.7878642467831</v>
      </c>
      <c r="AY69" s="148">
        <f t="shared" si="226"/>
        <v>1.0010785954933119</v>
      </c>
      <c r="BB69" s="149">
        <f>BB15/BC15^(5.50989446627246/12)</f>
        <v>401.76756400959152</v>
      </c>
      <c r="BC69" s="148">
        <f t="shared" si="227"/>
        <v>1.0007140247248612</v>
      </c>
      <c r="BD69" s="394">
        <f t="shared" si="228"/>
        <v>6.7729166666666654</v>
      </c>
      <c r="BE69" s="395">
        <f t="shared" si="229"/>
        <v>408.5404806762582</v>
      </c>
      <c r="BH69" s="149">
        <f>BH15/BI15^(5.50989446627246/12)</f>
        <v>3</v>
      </c>
      <c r="BI69" s="148">
        <f t="shared" si="230"/>
        <v>1</v>
      </c>
      <c r="BJ69" s="394">
        <f t="shared" si="231"/>
        <v>2.1874999999999996</v>
      </c>
      <c r="BK69" s="395">
        <f t="shared" si="232"/>
        <v>5.1875</v>
      </c>
      <c r="BN69" s="149">
        <f>BN15/BO15^(5.50989446627246/12)</f>
        <v>14228.732583108756</v>
      </c>
      <c r="BO69" s="148">
        <f t="shared" si="233"/>
        <v>1.0014423638389351</v>
      </c>
      <c r="BR69" s="149">
        <f>BR15/BS15^(5.50989446627246/12)</f>
        <v>45.466630203003774</v>
      </c>
      <c r="BS69" s="148">
        <f t="shared" si="234"/>
        <v>1.0012136133781002</v>
      </c>
      <c r="BV69" s="149">
        <f>BV15/BW15^(5.50989446627246/12)</f>
        <v>393.32695327745574</v>
      </c>
      <c r="BW69" s="148">
        <f t="shared" si="235"/>
        <v>1.0004363939412997</v>
      </c>
    </row>
    <row r="70" spans="1:75">
      <c r="A70" s="9">
        <f t="shared" si="184"/>
        <v>2027</v>
      </c>
      <c r="B70" s="9" t="s">
        <v>148</v>
      </c>
      <c r="C70" s="149">
        <f t="shared" ref="C70:C80" ca="1" si="257">C69*D$15^(1/12)</f>
        <v>121628.1450773847</v>
      </c>
      <c r="D70" s="148">
        <f t="shared" ca="1" si="255"/>
        <v>1.0011896176369504</v>
      </c>
      <c r="G70" s="149">
        <f t="shared" ref="G70:G80" si="258">G69*H$15^(1/12)</f>
        <v>1547.7502911917127</v>
      </c>
      <c r="H70" s="148">
        <f t="shared" si="214"/>
        <v>0.99980976780309772</v>
      </c>
      <c r="K70" s="149">
        <f t="shared" ref="K70:K80" si="259">K69*L$15^(1/12)</f>
        <v>9608.6480386931053</v>
      </c>
      <c r="L70" s="148">
        <f t="shared" si="239"/>
        <v>1.0005541440839929</v>
      </c>
      <c r="O70" s="149">
        <f t="shared" ref="O70:O80" si="260">O69*P$15^(1/12)</f>
        <v>1093.8695016252973</v>
      </c>
      <c r="P70" s="148">
        <f t="shared" si="215"/>
        <v>1.0002760890950009</v>
      </c>
      <c r="Q70" s="394">
        <f t="shared" si="254"/>
        <v>7.9333333333333336</v>
      </c>
      <c r="R70" s="395">
        <f t="shared" si="216"/>
        <v>1101.8028349586307</v>
      </c>
      <c r="U70" s="149">
        <f t="shared" ref="U70:U80" si="261">U69*V$15^(1/12)</f>
        <v>5</v>
      </c>
      <c r="V70" s="148">
        <f t="shared" si="217"/>
        <v>1</v>
      </c>
      <c r="W70" s="394">
        <f t="shared" si="218"/>
        <v>2.6833333333333336</v>
      </c>
      <c r="X70" s="395">
        <f t="shared" si="219"/>
        <v>7.6833333333333336</v>
      </c>
      <c r="AA70" s="149">
        <f t="shared" ref="AA70:AA80" si="262">AA69*AB$15^(1/12)</f>
        <v>5</v>
      </c>
      <c r="AB70" s="148">
        <f t="shared" si="220"/>
        <v>1</v>
      </c>
      <c r="AC70" s="394">
        <f t="shared" si="221"/>
        <v>0.45833333333333337</v>
      </c>
      <c r="AD70" s="395">
        <f t="shared" si="222"/>
        <v>5.458333333333333</v>
      </c>
      <c r="AG70" s="149">
        <f t="shared" ref="AG70:AG80" si="263">AG69*AH$15^(1/12)</f>
        <v>33744.433941048854</v>
      </c>
      <c r="AH70" s="148">
        <f t="shared" si="223"/>
        <v>1.0009149490993259</v>
      </c>
      <c r="AK70" s="149">
        <f t="shared" ref="AK70:AK80" si="264">AK69*AL$15^(1/12)</f>
        <v>223.82547731328251</v>
      </c>
      <c r="AL70" s="148">
        <f t="shared" si="224"/>
        <v>0.99835477268233774</v>
      </c>
      <c r="AO70" s="149">
        <f t="shared" ref="AO70:AO80" si="265">AO69*AP$15^(1/12)</f>
        <v>791.0474858606525</v>
      </c>
      <c r="AP70" s="148">
        <f t="shared" si="256"/>
        <v>0.99928503629857557</v>
      </c>
      <c r="AQ70" s="404"/>
      <c r="AT70" s="149">
        <f t="shared" ref="AT70:AT80" ca="1" si="266">AT69*AU$15^(1/12)</f>
        <v>46920.322263580631</v>
      </c>
      <c r="AU70" s="148">
        <f t="shared" ca="1" si="225"/>
        <v>1.0012093267290021</v>
      </c>
      <c r="AX70" s="149">
        <f t="shared" ref="AX70:AX80" si="267">AX69*AY$15^(1/12)</f>
        <v>2525.5089318677401</v>
      </c>
      <c r="AY70" s="148">
        <f t="shared" si="226"/>
        <v>1.0010785954933112</v>
      </c>
      <c r="BB70" s="149">
        <f t="shared" ref="BB70:BB80" si="268">BB69*BC$15^(1/12)</f>
        <v>402.05443598394197</v>
      </c>
      <c r="BC70" s="148">
        <f t="shared" si="227"/>
        <v>1.000714024724862</v>
      </c>
      <c r="BD70" s="394">
        <f t="shared" si="228"/>
        <v>7.0958333333333323</v>
      </c>
      <c r="BE70" s="395">
        <f t="shared" si="229"/>
        <v>409.15026931727533</v>
      </c>
      <c r="BH70" s="149">
        <f t="shared" ref="BH70:BH80" si="269">BH69*BI$15^(1/12)</f>
        <v>3</v>
      </c>
      <c r="BI70" s="148">
        <f t="shared" si="230"/>
        <v>1</v>
      </c>
      <c r="BJ70" s="394">
        <f t="shared" si="231"/>
        <v>2.2499999999999996</v>
      </c>
      <c r="BK70" s="395">
        <f t="shared" si="232"/>
        <v>5.25</v>
      </c>
      <c r="BN70" s="149">
        <f t="shared" ref="BN70:BN80" si="270">BN69*BO$15^(1/12)</f>
        <v>14249.255592460504</v>
      </c>
      <c r="BO70" s="148">
        <f t="shared" si="233"/>
        <v>1.0014423638389347</v>
      </c>
      <c r="BR70" s="149">
        <f t="shared" ref="BR70:BR80" si="271">BR69*BS$15^(1/12)</f>
        <v>45.521809113675225</v>
      </c>
      <c r="BS70" s="148">
        <f t="shared" si="234"/>
        <v>1.0012136133780991</v>
      </c>
      <c r="BV70" s="149">
        <f t="shared" ref="BV70:BV80" si="272">BV69*BW$15^(1/12)</f>
        <v>393.49859877681598</v>
      </c>
      <c r="BW70" s="148">
        <f t="shared" si="235"/>
        <v>1.0004363939412999</v>
      </c>
    </row>
    <row r="71" spans="1:75">
      <c r="A71" s="9">
        <f t="shared" si="184"/>
        <v>2027</v>
      </c>
      <c r="B71" s="9" t="s">
        <v>149</v>
      </c>
      <c r="C71" s="149">
        <f t="shared" ca="1" si="257"/>
        <v>121772.83606391832</v>
      </c>
      <c r="D71" s="148">
        <f t="shared" ca="1" si="255"/>
        <v>1.0011896176369504</v>
      </c>
      <c r="G71" s="149">
        <f t="shared" si="258"/>
        <v>1547.4558592535632</v>
      </c>
      <c r="H71" s="148">
        <f t="shared" si="214"/>
        <v>0.99980976780309772</v>
      </c>
      <c r="K71" s="149">
        <f t="shared" si="259"/>
        <v>9613.9726141589163</v>
      </c>
      <c r="L71" s="148">
        <f t="shared" si="239"/>
        <v>1.0005541440839929</v>
      </c>
      <c r="O71" s="149">
        <f t="shared" si="260"/>
        <v>1094.17150706605</v>
      </c>
      <c r="P71" s="148">
        <f t="shared" si="215"/>
        <v>1.0002760890950009</v>
      </c>
      <c r="Q71" s="394">
        <f t="shared" si="254"/>
        <v>8.15</v>
      </c>
      <c r="R71" s="395">
        <f t="shared" si="216"/>
        <v>1102.3215070660501</v>
      </c>
      <c r="U71" s="149">
        <f t="shared" si="261"/>
        <v>5</v>
      </c>
      <c r="V71" s="148">
        <f t="shared" si="217"/>
        <v>1</v>
      </c>
      <c r="W71" s="394">
        <f t="shared" si="218"/>
        <v>2.7750000000000004</v>
      </c>
      <c r="X71" s="395">
        <f t="shared" si="219"/>
        <v>7.7750000000000004</v>
      </c>
      <c r="AA71" s="149">
        <f t="shared" si="262"/>
        <v>5</v>
      </c>
      <c r="AB71" s="148">
        <f t="shared" si="220"/>
        <v>1</v>
      </c>
      <c r="AC71" s="394">
        <f t="shared" si="221"/>
        <v>0.5</v>
      </c>
      <c r="AD71" s="395">
        <f t="shared" si="222"/>
        <v>5.5</v>
      </c>
      <c r="AG71" s="149">
        <f t="shared" si="263"/>
        <v>33775.308380490475</v>
      </c>
      <c r="AH71" s="148">
        <f t="shared" si="223"/>
        <v>1.0009149490993259</v>
      </c>
      <c r="AK71" s="149">
        <f t="shared" si="264"/>
        <v>223.4572335236179</v>
      </c>
      <c r="AL71" s="148">
        <f t="shared" si="224"/>
        <v>0.99835477268233774</v>
      </c>
      <c r="AO71" s="149">
        <f t="shared" si="265"/>
        <v>790.48191562215902</v>
      </c>
      <c r="AP71" s="148">
        <f t="shared" si="256"/>
        <v>0.99928503629857546</v>
      </c>
      <c r="AQ71" s="404"/>
      <c r="AT71" s="149">
        <f t="shared" ca="1" si="266"/>
        <v>46977.064263427368</v>
      </c>
      <c r="AU71" s="148">
        <f t="shared" ca="1" si="225"/>
        <v>1.0012093267290021</v>
      </c>
      <c r="AX71" s="149">
        <f t="shared" si="267"/>
        <v>2528.2329344199698</v>
      </c>
      <c r="AY71" s="148">
        <f t="shared" si="226"/>
        <v>1.0010785954933112</v>
      </c>
      <c r="BB71" s="149">
        <f t="shared" si="268"/>
        <v>402.34151279197499</v>
      </c>
      <c r="BC71" s="148">
        <f t="shared" si="227"/>
        <v>1.000714024724862</v>
      </c>
      <c r="BD71" s="394">
        <f t="shared" si="228"/>
        <v>7.4187499999999993</v>
      </c>
      <c r="BE71" s="395">
        <f t="shared" si="229"/>
        <v>409.76026279197498</v>
      </c>
      <c r="BH71" s="149">
        <f t="shared" si="269"/>
        <v>3</v>
      </c>
      <c r="BI71" s="148">
        <f t="shared" si="230"/>
        <v>1</v>
      </c>
      <c r="BJ71" s="394">
        <f t="shared" si="231"/>
        <v>2.3124999999999996</v>
      </c>
      <c r="BK71" s="395">
        <f t="shared" si="232"/>
        <v>5.3125</v>
      </c>
      <c r="BN71" s="149">
        <f t="shared" si="270"/>
        <v>14269.808203458808</v>
      </c>
      <c r="BO71" s="148">
        <f t="shared" si="233"/>
        <v>1.0014423638389347</v>
      </c>
      <c r="BR71" s="149">
        <f t="shared" si="271"/>
        <v>45.577054990210854</v>
      </c>
      <c r="BS71" s="148">
        <f t="shared" si="234"/>
        <v>1.0012136133780991</v>
      </c>
      <c r="BV71" s="149">
        <f t="shared" si="272"/>
        <v>393.67031918123217</v>
      </c>
      <c r="BW71" s="148">
        <f t="shared" si="235"/>
        <v>1.0004363939412999</v>
      </c>
    </row>
    <row r="72" spans="1:75">
      <c r="A72" s="9">
        <f t="shared" si="184"/>
        <v>2027</v>
      </c>
      <c r="B72" s="9" t="s">
        <v>150</v>
      </c>
      <c r="C72" s="149">
        <f t="shared" ca="1" si="257"/>
        <v>121917.69917740143</v>
      </c>
      <c r="D72" s="148">
        <f t="shared" ca="1" si="255"/>
        <v>1.0011896176369504</v>
      </c>
      <c r="G72" s="149">
        <f t="shared" si="258"/>
        <v>1547.1614833258482</v>
      </c>
      <c r="H72" s="148">
        <f t="shared" si="214"/>
        <v>0.99980976780309783</v>
      </c>
      <c r="K72" s="149">
        <f t="shared" si="259"/>
        <v>9619.3001402067221</v>
      </c>
      <c r="L72" s="148">
        <f t="shared" si="239"/>
        <v>1.0005541440839929</v>
      </c>
      <c r="O72" s="149">
        <f t="shared" si="260"/>
        <v>1094.4735958872116</v>
      </c>
      <c r="P72" s="148">
        <f t="shared" si="215"/>
        <v>1.0002760890950009</v>
      </c>
      <c r="Q72" s="394">
        <f t="shared" si="254"/>
        <v>8.3666666666666671</v>
      </c>
      <c r="R72" s="395">
        <f t="shared" si="216"/>
        <v>1102.8402625538781</v>
      </c>
      <c r="U72" s="149">
        <f t="shared" si="261"/>
        <v>5</v>
      </c>
      <c r="V72" s="148">
        <f t="shared" si="217"/>
        <v>1</v>
      </c>
      <c r="W72" s="394">
        <f t="shared" si="218"/>
        <v>2.8666666666666671</v>
      </c>
      <c r="X72" s="395">
        <f t="shared" si="219"/>
        <v>7.8666666666666671</v>
      </c>
      <c r="AA72" s="149">
        <f t="shared" si="262"/>
        <v>5</v>
      </c>
      <c r="AB72" s="148">
        <f t="shared" si="220"/>
        <v>1</v>
      </c>
      <c r="AC72" s="394">
        <f t="shared" si="221"/>
        <v>0.54166666666666663</v>
      </c>
      <c r="AD72" s="395">
        <f t="shared" si="222"/>
        <v>5.541666666666667</v>
      </c>
      <c r="AG72" s="149">
        <f t="shared" si="263"/>
        <v>33806.211068472658</v>
      </c>
      <c r="AH72" s="148">
        <f t="shared" si="223"/>
        <v>1.0009149490993259</v>
      </c>
      <c r="AK72" s="149">
        <f t="shared" si="264"/>
        <v>223.08959557869562</v>
      </c>
      <c r="AL72" s="148">
        <f t="shared" si="224"/>
        <v>0.99835477268233774</v>
      </c>
      <c r="AO72" s="149">
        <f t="shared" si="265"/>
        <v>789.91674974585669</v>
      </c>
      <c r="AP72" s="148">
        <f t="shared" si="256"/>
        <v>0.99928503629857557</v>
      </c>
      <c r="AQ72" s="404"/>
      <c r="AT72" s="149">
        <f t="shared" ca="1" si="266"/>
        <v>47033.874882891178</v>
      </c>
      <c r="AU72" s="148">
        <f t="shared" ca="1" si="225"/>
        <v>1.0012093267290021</v>
      </c>
      <c r="AX72" s="149">
        <f t="shared" si="267"/>
        <v>2530.9598750690761</v>
      </c>
      <c r="AY72" s="148">
        <f t="shared" si="226"/>
        <v>1.0010785954933112</v>
      </c>
      <c r="BB72" s="149">
        <f t="shared" si="268"/>
        <v>402.62879457994688</v>
      </c>
      <c r="BC72" s="148">
        <f t="shared" si="227"/>
        <v>1.000714024724862</v>
      </c>
      <c r="BD72" s="394">
        <f t="shared" si="228"/>
        <v>7.7416666666666663</v>
      </c>
      <c r="BE72" s="395">
        <f t="shared" si="229"/>
        <v>410.37046124661356</v>
      </c>
      <c r="BH72" s="149">
        <f t="shared" si="269"/>
        <v>3</v>
      </c>
      <c r="BI72" s="148">
        <f t="shared" si="230"/>
        <v>1</v>
      </c>
      <c r="BJ72" s="394">
        <f t="shared" si="231"/>
        <v>2.3749999999999996</v>
      </c>
      <c r="BK72" s="395">
        <f t="shared" si="232"/>
        <v>5.375</v>
      </c>
      <c r="BN72" s="149">
        <f t="shared" si="270"/>
        <v>14290.390458800011</v>
      </c>
      <c r="BO72" s="148">
        <f t="shared" si="233"/>
        <v>1.0014423638389347</v>
      </c>
      <c r="BR72" s="149">
        <f t="shared" si="271"/>
        <v>45.632367913881332</v>
      </c>
      <c r="BS72" s="148">
        <f t="shared" si="234"/>
        <v>1.0012136133780991</v>
      </c>
      <c r="BV72" s="149">
        <f t="shared" si="272"/>
        <v>393.84211452339247</v>
      </c>
      <c r="BW72" s="148">
        <f t="shared" si="235"/>
        <v>1.0004363939412999</v>
      </c>
    </row>
    <row r="73" spans="1:75">
      <c r="A73" s="9">
        <f t="shared" si="184"/>
        <v>2027</v>
      </c>
      <c r="B73" s="9" t="s">
        <v>151</v>
      </c>
      <c r="C73" s="149">
        <f t="shared" ca="1" si="257"/>
        <v>122062.73462259928</v>
      </c>
      <c r="D73" s="148">
        <f t="shared" ca="1" si="255"/>
        <v>1.0011896176369504</v>
      </c>
      <c r="G73" s="149">
        <f t="shared" si="258"/>
        <v>1546.8671633979125</v>
      </c>
      <c r="H73" s="148">
        <f t="shared" si="214"/>
        <v>0.99980976780309772</v>
      </c>
      <c r="K73" s="149">
        <f t="shared" si="259"/>
        <v>9624.6306184715704</v>
      </c>
      <c r="L73" s="148">
        <f t="shared" si="239"/>
        <v>1.0005541440839929</v>
      </c>
      <c r="O73" s="149">
        <f t="shared" si="260"/>
        <v>1094.7757681118023</v>
      </c>
      <c r="P73" s="148">
        <f t="shared" si="215"/>
        <v>1.0002760890950009</v>
      </c>
      <c r="Q73" s="394">
        <f t="shared" si="254"/>
        <v>8.5833333333333339</v>
      </c>
      <c r="R73" s="395">
        <f t="shared" si="216"/>
        <v>1103.3591014451356</v>
      </c>
      <c r="U73" s="149">
        <f t="shared" si="261"/>
        <v>5</v>
      </c>
      <c r="V73" s="148">
        <f t="shared" si="217"/>
        <v>1</v>
      </c>
      <c r="W73" s="394">
        <f t="shared" si="218"/>
        <v>2.9583333333333339</v>
      </c>
      <c r="X73" s="395">
        <f t="shared" si="219"/>
        <v>7.9583333333333339</v>
      </c>
      <c r="AA73" s="149">
        <f t="shared" si="262"/>
        <v>5</v>
      </c>
      <c r="AB73" s="148">
        <f t="shared" si="220"/>
        <v>1</v>
      </c>
      <c r="AC73" s="394">
        <f t="shared" si="221"/>
        <v>0.58333333333333326</v>
      </c>
      <c r="AD73" s="395">
        <f t="shared" si="222"/>
        <v>5.583333333333333</v>
      </c>
      <c r="AG73" s="149">
        <f t="shared" si="263"/>
        <v>33837.14203084138</v>
      </c>
      <c r="AH73" s="148">
        <f t="shared" si="223"/>
        <v>1.0009149490993259</v>
      </c>
      <c r="AK73" s="149">
        <f t="shared" si="264"/>
        <v>222.72256248176333</v>
      </c>
      <c r="AL73" s="148">
        <f t="shared" si="224"/>
        <v>0.99835477268233774</v>
      </c>
      <c r="AO73" s="149">
        <f t="shared" si="265"/>
        <v>789.35198794264124</v>
      </c>
      <c r="AP73" s="148">
        <f t="shared" si="256"/>
        <v>0.99928503629857557</v>
      </c>
      <c r="AQ73" s="404"/>
      <c r="AT73" s="149">
        <f t="shared" ca="1" si="266"/>
        <v>47090.7542049556</v>
      </c>
      <c r="AU73" s="148">
        <f t="shared" ca="1" si="225"/>
        <v>1.0012093267290021</v>
      </c>
      <c r="AX73" s="149">
        <f t="shared" si="267"/>
        <v>2533.6897569840771</v>
      </c>
      <c r="AY73" s="148">
        <f t="shared" si="226"/>
        <v>1.0010785954933112</v>
      </c>
      <c r="BB73" s="149">
        <f t="shared" si="268"/>
        <v>402.91628149421837</v>
      </c>
      <c r="BC73" s="148">
        <f t="shared" si="227"/>
        <v>1.000714024724862</v>
      </c>
      <c r="BD73" s="394">
        <f t="shared" si="228"/>
        <v>8.0645833333333332</v>
      </c>
      <c r="BE73" s="395">
        <f t="shared" si="229"/>
        <v>410.98086482755173</v>
      </c>
      <c r="BH73" s="149">
        <f t="shared" si="269"/>
        <v>3</v>
      </c>
      <c r="BI73" s="148">
        <f t="shared" si="230"/>
        <v>1</v>
      </c>
      <c r="BJ73" s="394">
        <f t="shared" si="231"/>
        <v>2.4374999999999996</v>
      </c>
      <c r="BK73" s="395">
        <f t="shared" si="232"/>
        <v>5.4375</v>
      </c>
      <c r="BN73" s="149">
        <f t="shared" si="270"/>
        <v>14311.002401242042</v>
      </c>
      <c r="BO73" s="148">
        <f t="shared" si="233"/>
        <v>1.0014423638389347</v>
      </c>
      <c r="BR73" s="149">
        <f t="shared" si="271"/>
        <v>45.687747966055959</v>
      </c>
      <c r="BS73" s="148">
        <f t="shared" si="234"/>
        <v>1.0012136133780991</v>
      </c>
      <c r="BV73" s="149">
        <f t="shared" si="272"/>
        <v>394.01398483599922</v>
      </c>
      <c r="BW73" s="148">
        <f t="shared" si="235"/>
        <v>1.0004363939412999</v>
      </c>
    </row>
    <row r="74" spans="1:75">
      <c r="A74" s="9">
        <f t="shared" si="184"/>
        <v>2027</v>
      </c>
      <c r="B74" s="9" t="s">
        <v>152</v>
      </c>
      <c r="C74" s="149">
        <f t="shared" ca="1" si="257"/>
        <v>122207.94260452072</v>
      </c>
      <c r="D74" s="148">
        <f t="shared" ca="1" si="255"/>
        <v>1.0011896176369504</v>
      </c>
      <c r="G74" s="149">
        <f t="shared" si="258"/>
        <v>1546.5728994591034</v>
      </c>
      <c r="H74" s="148">
        <f t="shared" si="214"/>
        <v>0.99980976780309783</v>
      </c>
      <c r="K74" s="149">
        <f t="shared" si="259"/>
        <v>9629.9640505894131</v>
      </c>
      <c r="L74" s="148">
        <f t="shared" si="239"/>
        <v>1.0005541440839929</v>
      </c>
      <c r="O74" s="149">
        <f t="shared" si="260"/>
        <v>1095.0780237628492</v>
      </c>
      <c r="P74" s="148">
        <f t="shared" si="215"/>
        <v>1.0002760890950009</v>
      </c>
      <c r="Q74" s="394">
        <f t="shared" si="254"/>
        <v>8.8000000000000007</v>
      </c>
      <c r="R74" s="395">
        <f t="shared" si="216"/>
        <v>1103.8780237628491</v>
      </c>
      <c r="U74" s="149">
        <f t="shared" si="261"/>
        <v>5</v>
      </c>
      <c r="V74" s="148">
        <f t="shared" si="217"/>
        <v>1</v>
      </c>
      <c r="W74" s="394">
        <f t="shared" si="218"/>
        <v>3.0500000000000007</v>
      </c>
      <c r="X74" s="395">
        <f t="shared" si="219"/>
        <v>8.0500000000000007</v>
      </c>
      <c r="AA74" s="149">
        <f t="shared" si="262"/>
        <v>5</v>
      </c>
      <c r="AB74" s="148">
        <f t="shared" si="220"/>
        <v>1</v>
      </c>
      <c r="AC74" s="394">
        <f t="shared" si="221"/>
        <v>0.62499999999999989</v>
      </c>
      <c r="AD74" s="395">
        <f t="shared" si="222"/>
        <v>5.625</v>
      </c>
      <c r="AG74" s="149">
        <f t="shared" si="263"/>
        <v>33868.101293466258</v>
      </c>
      <c r="AH74" s="148">
        <f t="shared" si="223"/>
        <v>1.0009149490993259</v>
      </c>
      <c r="AK74" s="149">
        <f t="shared" si="264"/>
        <v>222.3561332377086</v>
      </c>
      <c r="AL74" s="148">
        <f t="shared" si="224"/>
        <v>0.99835477268233774</v>
      </c>
      <c r="AO74" s="149">
        <f t="shared" si="265"/>
        <v>788.78762992361499</v>
      </c>
      <c r="AP74" s="148">
        <f t="shared" si="256"/>
        <v>0.99928503629857546</v>
      </c>
      <c r="AQ74" s="404"/>
      <c r="AT74" s="149">
        <f t="shared" ca="1" si="266"/>
        <v>47147.702312704518</v>
      </c>
      <c r="AU74" s="148">
        <f t="shared" ca="1" si="225"/>
        <v>1.0012093267290021</v>
      </c>
      <c r="AX74" s="149">
        <f t="shared" si="267"/>
        <v>2536.4225833374089</v>
      </c>
      <c r="AY74" s="148">
        <f t="shared" si="226"/>
        <v>1.0010785954933112</v>
      </c>
      <c r="BB74" s="149">
        <f t="shared" si="268"/>
        <v>403.20397368125469</v>
      </c>
      <c r="BC74" s="148">
        <f t="shared" si="227"/>
        <v>1.000714024724862</v>
      </c>
      <c r="BD74" s="394">
        <f t="shared" si="228"/>
        <v>8.3874999999999993</v>
      </c>
      <c r="BE74" s="395">
        <f t="shared" si="229"/>
        <v>411.59147368125468</v>
      </c>
      <c r="BH74" s="149">
        <f t="shared" si="269"/>
        <v>3</v>
      </c>
      <c r="BI74" s="148">
        <f t="shared" si="230"/>
        <v>1</v>
      </c>
      <c r="BJ74" s="394">
        <f t="shared" si="231"/>
        <v>2.4999999999999996</v>
      </c>
      <c r="BK74" s="395">
        <f t="shared" si="232"/>
        <v>5.5</v>
      </c>
      <c r="BN74" s="149">
        <f t="shared" si="270"/>
        <v>14331.644073604501</v>
      </c>
      <c r="BO74" s="148">
        <f t="shared" si="233"/>
        <v>1.0014423638389347</v>
      </c>
      <c r="BR74" s="149">
        <f t="shared" si="271"/>
        <v>45.743195228202786</v>
      </c>
      <c r="BS74" s="148">
        <f t="shared" si="234"/>
        <v>1.0012136133780991</v>
      </c>
      <c r="BV74" s="149">
        <f t="shared" si="272"/>
        <v>394.18593015176907</v>
      </c>
      <c r="BW74" s="148">
        <f t="shared" si="235"/>
        <v>1.0004363939412999</v>
      </c>
    </row>
    <row r="75" spans="1:75">
      <c r="A75" s="9">
        <f t="shared" si="184"/>
        <v>2027</v>
      </c>
      <c r="B75" s="9" t="s">
        <v>153</v>
      </c>
      <c r="C75" s="149">
        <f t="shared" ca="1" si="257"/>
        <v>122353.32332841848</v>
      </c>
      <c r="D75" s="148">
        <f t="shared" ca="1" si="255"/>
        <v>1.0011896176369504</v>
      </c>
      <c r="G75" s="149">
        <f t="shared" si="258"/>
        <v>1546.2786914987698</v>
      </c>
      <c r="H75" s="148">
        <f t="shared" si="214"/>
        <v>0.99980976780309783</v>
      </c>
      <c r="K75" s="149">
        <f t="shared" si="259"/>
        <v>9635.3004381971114</v>
      </c>
      <c r="L75" s="148">
        <f t="shared" si="239"/>
        <v>1.0005541440839929</v>
      </c>
      <c r="O75" s="149">
        <f t="shared" si="260"/>
        <v>1095.3803628633852</v>
      </c>
      <c r="P75" s="148">
        <f t="shared" si="215"/>
        <v>1.0002760890950009</v>
      </c>
      <c r="Q75" s="394">
        <f t="shared" si="254"/>
        <v>9.0166666666666675</v>
      </c>
      <c r="R75" s="395">
        <f t="shared" si="216"/>
        <v>1104.3970295300519</v>
      </c>
      <c r="U75" s="149">
        <f t="shared" si="261"/>
        <v>5</v>
      </c>
      <c r="V75" s="148">
        <f t="shared" si="217"/>
        <v>1</v>
      </c>
      <c r="W75" s="394">
        <f t="shared" si="218"/>
        <v>3.1416666666666675</v>
      </c>
      <c r="X75" s="395">
        <f t="shared" si="219"/>
        <v>8.1416666666666675</v>
      </c>
      <c r="AA75" s="149">
        <f t="shared" si="262"/>
        <v>5</v>
      </c>
      <c r="AB75" s="148">
        <f t="shared" si="220"/>
        <v>1</v>
      </c>
      <c r="AC75" s="394">
        <f t="shared" si="221"/>
        <v>0.66666666666666652</v>
      </c>
      <c r="AD75" s="395">
        <f t="shared" si="222"/>
        <v>5.6666666666666661</v>
      </c>
      <c r="AG75" s="149">
        <f t="shared" si="263"/>
        <v>33899.08888224059</v>
      </c>
      <c r="AH75" s="148">
        <f t="shared" si="223"/>
        <v>1.0009149490993259</v>
      </c>
      <c r="AK75" s="149">
        <f t="shared" si="264"/>
        <v>221.99030685305618</v>
      </c>
      <c r="AL75" s="148">
        <f t="shared" si="224"/>
        <v>0.99835477268233774</v>
      </c>
      <c r="AO75" s="149">
        <f t="shared" si="265"/>
        <v>788.22367540008702</v>
      </c>
      <c r="AP75" s="148">
        <f t="shared" si="256"/>
        <v>0.99928503629857557</v>
      </c>
      <c r="AQ75" s="404"/>
      <c r="AT75" s="149">
        <f t="shared" ca="1" si="266"/>
        <v>47204.719289322304</v>
      </c>
      <c r="AU75" s="148">
        <f t="shared" ca="1" si="225"/>
        <v>1.0012093267290021</v>
      </c>
      <c r="AX75" s="149">
        <f t="shared" si="267"/>
        <v>2539.1583573049297</v>
      </c>
      <c r="AY75" s="148">
        <f t="shared" si="226"/>
        <v>1.0010785954933112</v>
      </c>
      <c r="BB75" s="149">
        <f t="shared" si="268"/>
        <v>403.49187128762571</v>
      </c>
      <c r="BC75" s="148">
        <f t="shared" si="227"/>
        <v>1.000714024724862</v>
      </c>
      <c r="BD75" s="394">
        <f t="shared" si="228"/>
        <v>8.7104166666666654</v>
      </c>
      <c r="BE75" s="395">
        <f t="shared" si="229"/>
        <v>412.20228795429239</v>
      </c>
      <c r="BH75" s="149">
        <f t="shared" si="269"/>
        <v>3</v>
      </c>
      <c r="BI75" s="148">
        <f t="shared" si="230"/>
        <v>1</v>
      </c>
      <c r="BJ75" s="394">
        <f t="shared" si="231"/>
        <v>2.5624999999999996</v>
      </c>
      <c r="BK75" s="395">
        <f t="shared" si="232"/>
        <v>5.5625</v>
      </c>
      <c r="BN75" s="149">
        <f t="shared" si="270"/>
        <v>14352.31551876875</v>
      </c>
      <c r="BO75" s="148">
        <f t="shared" si="233"/>
        <v>1.0014423638389347</v>
      </c>
      <c r="BR75" s="149">
        <f t="shared" si="271"/>
        <v>45.798709781888732</v>
      </c>
      <c r="BS75" s="148">
        <f t="shared" si="234"/>
        <v>1.0012136133780991</v>
      </c>
      <c r="BV75" s="149">
        <f t="shared" si="272"/>
        <v>394.35795050343296</v>
      </c>
      <c r="BW75" s="148">
        <f t="shared" si="235"/>
        <v>1.0004363939412999</v>
      </c>
    </row>
    <row r="76" spans="1:75">
      <c r="A76" s="9">
        <f t="shared" si="184"/>
        <v>2027</v>
      </c>
      <c r="B76" s="9" t="s">
        <v>154</v>
      </c>
      <c r="C76" s="149">
        <f t="shared" ca="1" si="257"/>
        <v>122498.87699978946</v>
      </c>
      <c r="D76" s="148">
        <f t="shared" ca="1" si="255"/>
        <v>1.0011896176369504</v>
      </c>
      <c r="G76" s="149">
        <f t="shared" si="258"/>
        <v>1545.9845395062628</v>
      </c>
      <c r="H76" s="148">
        <f t="shared" si="214"/>
        <v>0.99980976780309772</v>
      </c>
      <c r="K76" s="149">
        <f t="shared" si="259"/>
        <v>9640.6397829324324</v>
      </c>
      <c r="L76" s="148">
        <f t="shared" si="239"/>
        <v>1.0005541440839929</v>
      </c>
      <c r="O76" s="149">
        <f t="shared" si="260"/>
        <v>1095.6827854364499</v>
      </c>
      <c r="P76" s="148">
        <f t="shared" si="215"/>
        <v>1.0002760890950009</v>
      </c>
      <c r="Q76" s="394">
        <f t="shared" si="254"/>
        <v>9.2333333333333343</v>
      </c>
      <c r="R76" s="395">
        <f t="shared" si="216"/>
        <v>1104.9161187697832</v>
      </c>
      <c r="U76" s="149">
        <f t="shared" si="261"/>
        <v>5</v>
      </c>
      <c r="V76" s="148">
        <f t="shared" si="217"/>
        <v>1</v>
      </c>
      <c r="W76" s="394">
        <f t="shared" si="218"/>
        <v>3.2333333333333343</v>
      </c>
      <c r="X76" s="395">
        <f t="shared" si="219"/>
        <v>8.2333333333333343</v>
      </c>
      <c r="AA76" s="149">
        <f t="shared" si="262"/>
        <v>5</v>
      </c>
      <c r="AB76" s="148">
        <f t="shared" si="220"/>
        <v>1</v>
      </c>
      <c r="AC76" s="394">
        <f t="shared" si="221"/>
        <v>0.70833333333333315</v>
      </c>
      <c r="AD76" s="395">
        <f t="shared" si="222"/>
        <v>5.708333333333333</v>
      </c>
      <c r="AG76" s="149">
        <f t="shared" si="263"/>
        <v>33930.104823081361</v>
      </c>
      <c r="AH76" s="148">
        <f t="shared" si="223"/>
        <v>1.0009149490993259</v>
      </c>
      <c r="AK76" s="149">
        <f t="shared" si="264"/>
        <v>221.62508233596532</v>
      </c>
      <c r="AL76" s="148">
        <f t="shared" si="224"/>
        <v>0.99835477268233774</v>
      </c>
      <c r="AO76" s="149">
        <f t="shared" si="265"/>
        <v>787.66012408357255</v>
      </c>
      <c r="AP76" s="148">
        <f t="shared" si="256"/>
        <v>0.99928503629857546</v>
      </c>
      <c r="AQ76" s="404"/>
      <c r="AT76" s="149">
        <f t="shared" ca="1" si="266"/>
        <v>47261.805218093919</v>
      </c>
      <c r="AU76" s="148">
        <f t="shared" ca="1" si="225"/>
        <v>1.0012093267290021</v>
      </c>
      <c r="AX76" s="149">
        <f t="shared" si="267"/>
        <v>2541.8970820659224</v>
      </c>
      <c r="AY76" s="148">
        <f t="shared" si="226"/>
        <v>1.0010785954933112</v>
      </c>
      <c r="BB76" s="149">
        <f t="shared" si="268"/>
        <v>403.77997446000592</v>
      </c>
      <c r="BC76" s="148">
        <f t="shared" si="227"/>
        <v>1.000714024724862</v>
      </c>
      <c r="BD76" s="394">
        <f t="shared" si="228"/>
        <v>9.0333333333333314</v>
      </c>
      <c r="BE76" s="395">
        <f t="shared" si="229"/>
        <v>412.81330779333928</v>
      </c>
      <c r="BH76" s="149">
        <f t="shared" si="269"/>
        <v>3</v>
      </c>
      <c r="BI76" s="148">
        <f t="shared" si="230"/>
        <v>1</v>
      </c>
      <c r="BJ76" s="394">
        <f t="shared" si="231"/>
        <v>2.6249999999999996</v>
      </c>
      <c r="BK76" s="395">
        <f t="shared" si="232"/>
        <v>5.625</v>
      </c>
      <c r="BN76" s="149">
        <f t="shared" si="270"/>
        <v>14373.016779678002</v>
      </c>
      <c r="BO76" s="148">
        <f t="shared" si="233"/>
        <v>1.0014423638389347</v>
      </c>
      <c r="BR76" s="149">
        <f t="shared" si="271"/>
        <v>45.854291708779712</v>
      </c>
      <c r="BS76" s="148">
        <f t="shared" si="234"/>
        <v>1.0012136133780991</v>
      </c>
      <c r="BV76" s="149">
        <f t="shared" si="272"/>
        <v>394.53004592373611</v>
      </c>
      <c r="BW76" s="148">
        <f t="shared" si="235"/>
        <v>1.0004363939412999</v>
      </c>
    </row>
    <row r="77" spans="1:75">
      <c r="A77" s="9">
        <f t="shared" si="184"/>
        <v>2027</v>
      </c>
      <c r="B77" s="9" t="s">
        <v>684</v>
      </c>
      <c r="C77" s="149">
        <f t="shared" ca="1" si="257"/>
        <v>122644.60382437502</v>
      </c>
      <c r="D77" s="148">
        <f t="shared" ca="1" si="255"/>
        <v>1.0011896176369504</v>
      </c>
      <c r="G77" s="149">
        <f t="shared" si="258"/>
        <v>1545.6904434709354</v>
      </c>
      <c r="H77" s="148">
        <f t="shared" si="214"/>
        <v>0.9998097678030976</v>
      </c>
      <c r="K77" s="149">
        <f t="shared" si="259"/>
        <v>9645.9820864340509</v>
      </c>
      <c r="L77" s="148">
        <f t="shared" si="239"/>
        <v>1.0005541440839929</v>
      </c>
      <c r="O77" s="149">
        <f t="shared" si="260"/>
        <v>1095.985291505089</v>
      </c>
      <c r="P77" s="148">
        <f t="shared" si="215"/>
        <v>1.0002760890950009</v>
      </c>
      <c r="Q77" s="394">
        <f t="shared" si="254"/>
        <v>9.4500000000000011</v>
      </c>
      <c r="R77" s="395">
        <f t="shared" si="216"/>
        <v>1105.435291505089</v>
      </c>
      <c r="U77" s="149">
        <f t="shared" si="261"/>
        <v>5</v>
      </c>
      <c r="V77" s="148">
        <f t="shared" si="217"/>
        <v>1</v>
      </c>
      <c r="W77" s="394">
        <f t="shared" si="218"/>
        <v>3.3250000000000011</v>
      </c>
      <c r="X77" s="395">
        <f t="shared" si="219"/>
        <v>8.3250000000000011</v>
      </c>
      <c r="AA77" s="149">
        <f t="shared" si="262"/>
        <v>5</v>
      </c>
      <c r="AB77" s="148">
        <f t="shared" si="220"/>
        <v>1</v>
      </c>
      <c r="AC77" s="394">
        <f t="shared" si="221"/>
        <v>0.74999999999999978</v>
      </c>
      <c r="AD77" s="395">
        <f t="shared" si="222"/>
        <v>5.75</v>
      </c>
      <c r="AG77" s="149">
        <f t="shared" si="263"/>
        <v>33961.149141929272</v>
      </c>
      <c r="AH77" s="148">
        <f t="shared" si="223"/>
        <v>1.0009149490993259</v>
      </c>
      <c r="AK77" s="149">
        <f t="shared" si="264"/>
        <v>221.26045869622703</v>
      </c>
      <c r="AL77" s="148">
        <f t="shared" si="224"/>
        <v>0.99835477268233774</v>
      </c>
      <c r="AO77" s="149">
        <f t="shared" si="265"/>
        <v>787.09697568579338</v>
      </c>
      <c r="AP77" s="148">
        <f t="shared" si="256"/>
        <v>0.99928503629857568</v>
      </c>
      <c r="AQ77" s="404"/>
      <c r="AT77" s="149">
        <f t="shared" ca="1" si="266"/>
        <v>47318.960182405048</v>
      </c>
      <c r="AU77" s="148">
        <f t="shared" ca="1" si="225"/>
        <v>1.0012093267290021</v>
      </c>
      <c r="AX77" s="149">
        <f t="shared" si="267"/>
        <v>2544.6387608030996</v>
      </c>
      <c r="AY77" s="148">
        <f t="shared" si="226"/>
        <v>1.0010785954933112</v>
      </c>
      <c r="BB77" s="149">
        <f t="shared" si="268"/>
        <v>404.06828334517451</v>
      </c>
      <c r="BC77" s="148">
        <f t="shared" si="227"/>
        <v>1.000714024724862</v>
      </c>
      <c r="BD77" s="394">
        <f t="shared" si="228"/>
        <v>9.3562499999999975</v>
      </c>
      <c r="BE77" s="395">
        <f t="shared" si="229"/>
        <v>413.4245333451745</v>
      </c>
      <c r="BH77" s="149">
        <f t="shared" si="269"/>
        <v>3</v>
      </c>
      <c r="BI77" s="148">
        <f t="shared" si="230"/>
        <v>1</v>
      </c>
      <c r="BJ77" s="394">
        <f t="shared" si="231"/>
        <v>2.6874999999999996</v>
      </c>
      <c r="BK77" s="395">
        <f t="shared" si="232"/>
        <v>5.6875</v>
      </c>
      <c r="BN77" s="149">
        <f t="shared" si="270"/>
        <v>14393.747899337412</v>
      </c>
      <c r="BO77" s="148">
        <f t="shared" si="233"/>
        <v>1.0014423638389347</v>
      </c>
      <c r="BR77" s="149">
        <f t="shared" si="271"/>
        <v>45.909941090640743</v>
      </c>
      <c r="BS77" s="148">
        <f t="shared" si="234"/>
        <v>1.0012136133780991</v>
      </c>
      <c r="BV77" s="149">
        <f t="shared" si="272"/>
        <v>394.70221644543801</v>
      </c>
      <c r="BW77" s="148">
        <f t="shared" si="235"/>
        <v>1.0004363939412999</v>
      </c>
    </row>
    <row r="78" spans="1:75">
      <c r="A78" s="9">
        <f t="shared" si="184"/>
        <v>2027</v>
      </c>
      <c r="B78" s="9" t="s">
        <v>156</v>
      </c>
      <c r="C78" s="149">
        <f t="shared" ca="1" si="257"/>
        <v>122790.50400816128</v>
      </c>
      <c r="D78" s="148">
        <f t="shared" ca="1" si="255"/>
        <v>1.0011896176369504</v>
      </c>
      <c r="G78" s="149">
        <f t="shared" si="258"/>
        <v>1545.396403382143</v>
      </c>
      <c r="H78" s="148">
        <f t="shared" si="214"/>
        <v>0.99980976780309772</v>
      </c>
      <c r="K78" s="149">
        <f t="shared" si="259"/>
        <v>9651.3273503415494</v>
      </c>
      <c r="L78" s="148">
        <f t="shared" si="239"/>
        <v>1.0005541440839929</v>
      </c>
      <c r="O78" s="149">
        <f t="shared" si="260"/>
        <v>1096.2878810923548</v>
      </c>
      <c r="P78" s="148">
        <f t="shared" si="215"/>
        <v>1.0002760890950009</v>
      </c>
      <c r="Q78" s="394">
        <f t="shared" si="254"/>
        <v>9.6666666666666679</v>
      </c>
      <c r="R78" s="395">
        <f t="shared" si="216"/>
        <v>1105.9545477590216</v>
      </c>
      <c r="U78" s="149">
        <f t="shared" si="261"/>
        <v>5</v>
      </c>
      <c r="V78" s="148">
        <f t="shared" si="217"/>
        <v>1</v>
      </c>
      <c r="W78" s="394">
        <f t="shared" si="218"/>
        <v>3.4166666666666679</v>
      </c>
      <c r="X78" s="395">
        <f t="shared" si="219"/>
        <v>8.4166666666666679</v>
      </c>
      <c r="AA78" s="149">
        <f t="shared" si="262"/>
        <v>5</v>
      </c>
      <c r="AB78" s="148">
        <f t="shared" si="220"/>
        <v>1</v>
      </c>
      <c r="AC78" s="394">
        <f t="shared" si="221"/>
        <v>0.79166666666666641</v>
      </c>
      <c r="AD78" s="395">
        <f t="shared" si="222"/>
        <v>5.7916666666666661</v>
      </c>
      <c r="AG78" s="149">
        <f t="shared" si="263"/>
        <v>33992.221864748753</v>
      </c>
      <c r="AH78" s="148">
        <f t="shared" si="223"/>
        <v>1.0009149490993259</v>
      </c>
      <c r="AK78" s="149">
        <f t="shared" si="264"/>
        <v>220.89643494526152</v>
      </c>
      <c r="AL78" s="148">
        <f t="shared" si="224"/>
        <v>0.99835477268233774</v>
      </c>
      <c r="AO78" s="149">
        <f t="shared" si="265"/>
        <v>786.53422991867706</v>
      </c>
      <c r="AP78" s="148">
        <f t="shared" si="256"/>
        <v>0.99928503629857557</v>
      </c>
      <c r="AQ78" s="404"/>
      <c r="AT78" s="149">
        <f t="shared" ca="1" si="266"/>
        <v>47376.184265742217</v>
      </c>
      <c r="AU78" s="148">
        <f t="shared" ca="1" si="225"/>
        <v>1.0012093267290021</v>
      </c>
      <c r="AX78" s="149">
        <f t="shared" si="267"/>
        <v>2547.3833967026067</v>
      </c>
      <c r="AY78" s="148">
        <f t="shared" si="226"/>
        <v>1.0010785954933112</v>
      </c>
      <c r="BB78" s="149">
        <f t="shared" si="268"/>
        <v>404.3567980900155</v>
      </c>
      <c r="BC78" s="148">
        <f t="shared" si="227"/>
        <v>1.000714024724862</v>
      </c>
      <c r="BD78" s="394">
        <f t="shared" si="228"/>
        <v>9.6791666666666636</v>
      </c>
      <c r="BE78" s="395">
        <f t="shared" si="229"/>
        <v>414.03596475668218</v>
      </c>
      <c r="BH78" s="149">
        <f t="shared" si="269"/>
        <v>3</v>
      </c>
      <c r="BI78" s="148">
        <f t="shared" si="230"/>
        <v>1</v>
      </c>
      <c r="BJ78" s="394">
        <f t="shared" si="231"/>
        <v>2.7499999999999996</v>
      </c>
      <c r="BK78" s="395">
        <f t="shared" si="232"/>
        <v>5.75</v>
      </c>
      <c r="BN78" s="149">
        <f t="shared" si="270"/>
        <v>14414.508920814158</v>
      </c>
      <c r="BO78" s="148">
        <f t="shared" si="233"/>
        <v>1.0014423638389347</v>
      </c>
      <c r="BR78" s="149">
        <f t="shared" si="271"/>
        <v>45.965658009336089</v>
      </c>
      <c r="BS78" s="148">
        <f t="shared" si="234"/>
        <v>1.0012136133780991</v>
      </c>
      <c r="BV78" s="149">
        <f t="shared" si="272"/>
        <v>394.87446210131242</v>
      </c>
      <c r="BW78" s="148">
        <f t="shared" si="235"/>
        <v>1.0004363939412999</v>
      </c>
    </row>
    <row r="79" spans="1:75">
      <c r="A79" s="9">
        <f t="shared" si="184"/>
        <v>2027</v>
      </c>
      <c r="B79" s="9" t="s">
        <v>157</v>
      </c>
      <c r="C79" s="149">
        <f t="shared" ca="1" si="257"/>
        <v>122936.57775737942</v>
      </c>
      <c r="D79" s="148">
        <f t="shared" ca="1" si="255"/>
        <v>1.0011896176369504</v>
      </c>
      <c r="G79" s="149">
        <f t="shared" si="258"/>
        <v>1545.1024192292427</v>
      </c>
      <c r="H79" s="148">
        <f t="shared" si="214"/>
        <v>0.99980976780309772</v>
      </c>
      <c r="K79" s="149">
        <f t="shared" si="259"/>
        <v>9656.6755762954199</v>
      </c>
      <c r="L79" s="148">
        <f t="shared" si="239"/>
        <v>1.0005541440839929</v>
      </c>
      <c r="O79" s="149">
        <f t="shared" si="260"/>
        <v>1096.5905542213061</v>
      </c>
      <c r="P79" s="148">
        <f t="shared" si="215"/>
        <v>1.0002760890950009</v>
      </c>
      <c r="Q79" s="394">
        <f t="shared" si="254"/>
        <v>9.8833333333333346</v>
      </c>
      <c r="R79" s="395">
        <f t="shared" si="216"/>
        <v>1106.4738875546395</v>
      </c>
      <c r="U79" s="149">
        <f t="shared" si="261"/>
        <v>5</v>
      </c>
      <c r="V79" s="148">
        <f t="shared" si="217"/>
        <v>1</v>
      </c>
      <c r="W79" s="394">
        <f t="shared" si="218"/>
        <v>3.5083333333333346</v>
      </c>
      <c r="X79" s="395">
        <f t="shared" si="219"/>
        <v>8.5083333333333346</v>
      </c>
      <c r="AA79" s="149">
        <f t="shared" si="262"/>
        <v>5</v>
      </c>
      <c r="AB79" s="148">
        <f t="shared" si="220"/>
        <v>1</v>
      </c>
      <c r="AC79" s="394">
        <f t="shared" si="221"/>
        <v>0.83333333333333304</v>
      </c>
      <c r="AD79" s="395">
        <f t="shared" si="222"/>
        <v>5.833333333333333</v>
      </c>
      <c r="AG79" s="149">
        <f t="shared" si="263"/>
        <v>34023.32301752799</v>
      </c>
      <c r="AH79" s="148">
        <f t="shared" si="223"/>
        <v>1.0009149490993259</v>
      </c>
      <c r="AK79" s="149">
        <f t="shared" si="264"/>
        <v>220.53301009611536</v>
      </c>
      <c r="AL79" s="148">
        <f t="shared" si="224"/>
        <v>0.99835477268233774</v>
      </c>
      <c r="AO79" s="149">
        <f t="shared" si="265"/>
        <v>785.97188649435736</v>
      </c>
      <c r="AP79" s="148">
        <f t="shared" si="256"/>
        <v>0.99928503629857557</v>
      </c>
      <c r="AQ79" s="404"/>
      <c r="AT79" s="149">
        <f t="shared" ca="1" si="266"/>
        <v>47433.477551692908</v>
      </c>
      <c r="AU79" s="148">
        <f t="shared" ca="1" si="225"/>
        <v>1.0012093267290021</v>
      </c>
      <c r="AX79" s="149">
        <f t="shared" si="267"/>
        <v>2550.1309929540262</v>
      </c>
      <c r="AY79" s="148">
        <f t="shared" si="226"/>
        <v>1.0010785954933112</v>
      </c>
      <c r="BB79" s="149">
        <f t="shared" si="268"/>
        <v>404.6455188415178</v>
      </c>
      <c r="BC79" s="148">
        <f t="shared" si="227"/>
        <v>1.000714024724862</v>
      </c>
      <c r="BD79" s="394">
        <f t="shared" si="228"/>
        <v>10.00208333333333</v>
      </c>
      <c r="BE79" s="395">
        <f t="shared" si="229"/>
        <v>414.6476021748511</v>
      </c>
      <c r="BH79" s="149">
        <f t="shared" si="269"/>
        <v>3</v>
      </c>
      <c r="BI79" s="148">
        <f t="shared" si="230"/>
        <v>1</v>
      </c>
      <c r="BJ79" s="394">
        <f t="shared" si="231"/>
        <v>2.8124999999999996</v>
      </c>
      <c r="BK79" s="395">
        <f t="shared" si="232"/>
        <v>5.8125</v>
      </c>
      <c r="BN79" s="149">
        <f t="shared" si="270"/>
        <v>14435.299887237543</v>
      </c>
      <c r="BO79" s="148">
        <f t="shared" si="233"/>
        <v>1.0014423638389347</v>
      </c>
      <c r="BR79" s="149">
        <f t="shared" si="271"/>
        <v>46.021442546829348</v>
      </c>
      <c r="BS79" s="148">
        <f t="shared" si="234"/>
        <v>1.0012136133780991</v>
      </c>
      <c r="BV79" s="149">
        <f t="shared" si="272"/>
        <v>395.04678292414746</v>
      </c>
      <c r="BW79" s="148">
        <f t="shared" si="235"/>
        <v>1.0004363939412999</v>
      </c>
    </row>
    <row r="80" spans="1:75">
      <c r="A80" s="9">
        <f t="shared" si="184"/>
        <v>2027</v>
      </c>
      <c r="B80" s="9" t="s">
        <v>158</v>
      </c>
      <c r="C80" s="149">
        <f t="shared" ca="1" si="257"/>
        <v>123082.82527850592</v>
      </c>
      <c r="D80" s="148">
        <f t="shared" ca="1" si="255"/>
        <v>1.0011896176369504</v>
      </c>
      <c r="G80" s="149">
        <f t="shared" si="258"/>
        <v>1544.8084910015937</v>
      </c>
      <c r="H80" s="148">
        <f t="shared" si="214"/>
        <v>0.99980976780309772</v>
      </c>
      <c r="K80" s="149">
        <f t="shared" si="259"/>
        <v>9662.026765937062</v>
      </c>
      <c r="L80" s="148">
        <f t="shared" si="239"/>
        <v>1.0005541440839929</v>
      </c>
      <c r="O80" s="149">
        <f t="shared" si="260"/>
        <v>1096.8933109150075</v>
      </c>
      <c r="P80" s="148">
        <f t="shared" si="215"/>
        <v>1.0002760890950009</v>
      </c>
      <c r="Q80" s="394">
        <f t="shared" si="254"/>
        <v>10.100000000000001</v>
      </c>
      <c r="R80" s="395">
        <f t="shared" si="216"/>
        <v>1106.9933109150074</v>
      </c>
      <c r="U80" s="149">
        <f t="shared" si="261"/>
        <v>5</v>
      </c>
      <c r="V80" s="148">
        <f t="shared" si="217"/>
        <v>1</v>
      </c>
      <c r="W80" s="394">
        <f t="shared" si="218"/>
        <v>3.6000000000000014</v>
      </c>
      <c r="X80" s="395">
        <f t="shared" si="219"/>
        <v>8.6000000000000014</v>
      </c>
      <c r="AA80" s="149">
        <f t="shared" si="262"/>
        <v>5</v>
      </c>
      <c r="AB80" s="148">
        <f t="shared" si="220"/>
        <v>1</v>
      </c>
      <c r="AC80" s="394">
        <f t="shared" si="221"/>
        <v>0.87499999999999967</v>
      </c>
      <c r="AD80" s="395">
        <f t="shared" si="222"/>
        <v>5.875</v>
      </c>
      <c r="AG80" s="149">
        <f t="shared" si="263"/>
        <v>34054.452626278951</v>
      </c>
      <c r="AH80" s="148">
        <f t="shared" si="223"/>
        <v>1.0009149490993259</v>
      </c>
      <c r="AK80" s="149">
        <f t="shared" si="264"/>
        <v>220.17018316345894</v>
      </c>
      <c r="AL80" s="148">
        <f t="shared" si="224"/>
        <v>0.99835477268233774</v>
      </c>
      <c r="AO80" s="149">
        <f t="shared" si="265"/>
        <v>785.40994512517386</v>
      </c>
      <c r="AP80" s="148">
        <f t="shared" si="256"/>
        <v>0.99928503629857568</v>
      </c>
      <c r="AQ80" s="404"/>
      <c r="AT80" s="149">
        <f t="shared" ca="1" si="266"/>
        <v>47490.840123945687</v>
      </c>
      <c r="AU80" s="148">
        <f t="shared" ca="1" si="225"/>
        <v>1.0012093267290021</v>
      </c>
      <c r="AX80" s="149">
        <f t="shared" si="267"/>
        <v>2552.8815527503798</v>
      </c>
      <c r="AY80" s="148">
        <f t="shared" si="226"/>
        <v>1.0010785954933112</v>
      </c>
      <c r="BB80" s="149">
        <f t="shared" si="268"/>
        <v>404.93444574677528</v>
      </c>
      <c r="BC80" s="148">
        <f t="shared" si="227"/>
        <v>1.000714024724862</v>
      </c>
      <c r="BD80" s="394">
        <f t="shared" si="228"/>
        <v>10.324999999999996</v>
      </c>
      <c r="BE80" s="395">
        <f t="shared" si="229"/>
        <v>415.25944574677527</v>
      </c>
      <c r="BH80" s="149">
        <f t="shared" si="269"/>
        <v>3</v>
      </c>
      <c r="BI80" s="148">
        <f t="shared" si="230"/>
        <v>1</v>
      </c>
      <c r="BJ80" s="394">
        <f t="shared" si="231"/>
        <v>2.8749999999999996</v>
      </c>
      <c r="BK80" s="395">
        <f t="shared" si="232"/>
        <v>5.875</v>
      </c>
      <c r="BN80" s="149">
        <f t="shared" si="270"/>
        <v>14456.120841799073</v>
      </c>
      <c r="BO80" s="148">
        <f t="shared" si="233"/>
        <v>1.0014423638389347</v>
      </c>
      <c r="BR80" s="149">
        <f t="shared" si="271"/>
        <v>46.077294785183597</v>
      </c>
      <c r="BS80" s="148">
        <f t="shared" si="234"/>
        <v>1.0012136133780991</v>
      </c>
      <c r="BV80" s="149">
        <f t="shared" si="272"/>
        <v>395.21917894674556</v>
      </c>
      <c r="BW80" s="148">
        <f t="shared" si="235"/>
        <v>1.0004363939412999</v>
      </c>
    </row>
    <row r="81" spans="1:75">
      <c r="A81" s="9">
        <f t="shared" si="184"/>
        <v>2028</v>
      </c>
      <c r="B81" s="9" t="s">
        <v>147</v>
      </c>
      <c r="C81" s="149">
        <f ca="1">C16/D16^(5.50989446627246/12)</f>
        <v>123266.29921737309</v>
      </c>
      <c r="D81" s="148">
        <f t="shared" ca="1" si="255"/>
        <v>1.0014906542683921</v>
      </c>
      <c r="G81" s="149">
        <f>G16/H16^(5.50989446627246/12)</f>
        <v>1544.514618688557</v>
      </c>
      <c r="H81" s="148">
        <f t="shared" si="214"/>
        <v>0.9998097678030976</v>
      </c>
      <c r="K81" s="149">
        <f>K16/L16^(5.50989446627246/12)</f>
        <v>9667.3809209088013</v>
      </c>
      <c r="L81" s="148">
        <f t="shared" si="239"/>
        <v>1.0005541440839945</v>
      </c>
      <c r="O81" s="149">
        <f>O16/P16^(5.50989446627246/12)</f>
        <v>1097.1961511965312</v>
      </c>
      <c r="P81" s="148">
        <f t="shared" si="215"/>
        <v>1.0002760890950015</v>
      </c>
      <c r="Q81" s="394">
        <f t="shared" si="254"/>
        <v>10.175000000000001</v>
      </c>
      <c r="R81" s="395">
        <f t="shared" si="216"/>
        <v>1107.3711511965312</v>
      </c>
      <c r="U81" s="149">
        <f>U16/V16^(5.50989446627246/12)</f>
        <v>5</v>
      </c>
      <c r="V81" s="148">
        <f t="shared" si="217"/>
        <v>1</v>
      </c>
      <c r="W81" s="394">
        <f t="shared" si="218"/>
        <v>3.6500000000000012</v>
      </c>
      <c r="X81" s="395">
        <f t="shared" si="219"/>
        <v>8.6500000000000021</v>
      </c>
      <c r="AA81" s="149">
        <f>AA16/AB16^(5.50989446627246/12)</f>
        <v>5</v>
      </c>
      <c r="AB81" s="148">
        <f t="shared" si="220"/>
        <v>1</v>
      </c>
      <c r="AC81" s="394">
        <f t="shared" si="221"/>
        <v>0.8854166666666663</v>
      </c>
      <c r="AD81" s="395">
        <f t="shared" si="222"/>
        <v>5.8854166666666661</v>
      </c>
      <c r="AG81" s="149">
        <f>AG16/AH16^(5.50989446627246/12)</f>
        <v>34085.610717037431</v>
      </c>
      <c r="AH81" s="148">
        <f t="shared" si="223"/>
        <v>1.0009149490993268</v>
      </c>
      <c r="AK81" s="149">
        <f>AK16/AL16^(5.50989446627246/12)</f>
        <v>219.80795316358362</v>
      </c>
      <c r="AL81" s="148">
        <f t="shared" si="224"/>
        <v>0.9983547726823373</v>
      </c>
      <c r="AO81" s="149">
        <f>AO16/AP16^(5.50989446627246/12)</f>
        <v>784.84840552367211</v>
      </c>
      <c r="AP81" s="148">
        <f t="shared" si="256"/>
        <v>0.99928503629857623</v>
      </c>
      <c r="AQ81" s="404"/>
      <c r="AT81" s="149">
        <f ca="1">AT16/AU16^(5.50989446627246/12)</f>
        <v>47582.922580643557</v>
      </c>
      <c r="AU81" s="148">
        <f t="shared" ca="1" si="225"/>
        <v>1.0019389519422597</v>
      </c>
      <c r="AX81" s="149">
        <f>AX16/AY16^(5.50989446627246/12)</f>
        <v>2555.6350792881353</v>
      </c>
      <c r="AY81" s="148">
        <f t="shared" si="226"/>
        <v>1.0010785954933119</v>
      </c>
      <c r="BB81" s="149">
        <f>BB16/BC16^(5.50989446627246/12)</f>
        <v>405.22357895298654</v>
      </c>
      <c r="BC81" s="148">
        <f t="shared" si="227"/>
        <v>1.0007140247248614</v>
      </c>
      <c r="BD81" s="394">
        <f t="shared" si="228"/>
        <v>10.454166666666662</v>
      </c>
      <c r="BE81" s="395">
        <f t="shared" si="229"/>
        <v>415.67774561965319</v>
      </c>
      <c r="BH81" s="149">
        <f>BH16/BI16^(5.50989446627246/12)</f>
        <v>3</v>
      </c>
      <c r="BI81" s="148">
        <f t="shared" si="230"/>
        <v>1</v>
      </c>
      <c r="BJ81" s="394">
        <f t="shared" si="231"/>
        <v>2.8854166666666661</v>
      </c>
      <c r="BK81" s="395">
        <f t="shared" si="232"/>
        <v>5.8854166666666661</v>
      </c>
      <c r="BN81" s="149">
        <f>BN16/BO16^(5.50989446627246/12)</f>
        <v>14476.971827752559</v>
      </c>
      <c r="BO81" s="148">
        <f t="shared" si="233"/>
        <v>1.0014423638389351</v>
      </c>
      <c r="BR81" s="149">
        <f>BR16/BS16^(5.50989446627246/12)</f>
        <v>46.133214806561575</v>
      </c>
      <c r="BS81" s="148">
        <f t="shared" si="234"/>
        <v>1.0012136133781004</v>
      </c>
      <c r="BV81" s="149">
        <f>BV16/BW16^(5.50989446627246/12)</f>
        <v>395.39165020192337</v>
      </c>
      <c r="BW81" s="148">
        <f t="shared" si="235"/>
        <v>1.0004363939412997</v>
      </c>
    </row>
    <row r="82" spans="1:75">
      <c r="A82" s="9">
        <f t="shared" si="184"/>
        <v>2028</v>
      </c>
      <c r="B82" s="9" t="s">
        <v>148</v>
      </c>
      <c r="C82" s="149">
        <f t="shared" ref="C82:C92" ca="1" si="273">C81*D$16^(1/12)</f>
        <v>123418.65582994196</v>
      </c>
      <c r="D82" s="148">
        <f t="shared" ca="1" si="255"/>
        <v>1.0012359956738881</v>
      </c>
      <c r="G82" s="149">
        <f t="shared" ref="G82:G92" si="274">G81*H$16^(1/12)</f>
        <v>1544.2208022794962</v>
      </c>
      <c r="H82" s="148">
        <f t="shared" si="214"/>
        <v>0.99980976780309772</v>
      </c>
      <c r="K82" s="149">
        <f t="shared" ref="K82:K92" si="275">K81*L$16^(1/12)</f>
        <v>9672.738042853829</v>
      </c>
      <c r="L82" s="148">
        <f t="shared" si="239"/>
        <v>1.0005541440839929</v>
      </c>
      <c r="O82" s="149">
        <f t="shared" ref="O82:O92" si="276">O81*P$16^(1/12)</f>
        <v>1097.4990750889535</v>
      </c>
      <c r="P82" s="148">
        <f t="shared" si="215"/>
        <v>1.0002760890950009</v>
      </c>
      <c r="Q82" s="394">
        <f t="shared" si="254"/>
        <v>10.25</v>
      </c>
      <c r="R82" s="395">
        <f t="shared" si="216"/>
        <v>1107.7490750889535</v>
      </c>
      <c r="U82" s="149">
        <f t="shared" ref="U82:U92" si="277">U81*V$16^(1/12)</f>
        <v>5</v>
      </c>
      <c r="V82" s="148">
        <f t="shared" si="217"/>
        <v>1</v>
      </c>
      <c r="W82" s="394">
        <f t="shared" si="218"/>
        <v>3.7000000000000011</v>
      </c>
      <c r="X82" s="395">
        <f t="shared" si="219"/>
        <v>8.7000000000000011</v>
      </c>
      <c r="AA82" s="149">
        <f t="shared" ref="AA82:AA92" si="278">AA81*AB$16^(1/12)</f>
        <v>5</v>
      </c>
      <c r="AB82" s="148">
        <f t="shared" si="220"/>
        <v>1</v>
      </c>
      <c r="AC82" s="394">
        <f t="shared" si="221"/>
        <v>0.89583333333333293</v>
      </c>
      <c r="AD82" s="395">
        <f t="shared" si="222"/>
        <v>5.895833333333333</v>
      </c>
      <c r="AG82" s="149">
        <f t="shared" ref="AG82:AG92" si="279">AG81*AH$16^(1/12)</f>
        <v>34116.797315862954</v>
      </c>
      <c r="AH82" s="148">
        <f t="shared" si="223"/>
        <v>1.0009149490993259</v>
      </c>
      <c r="AK82" s="149">
        <f t="shared" ref="AK82:AK92" si="280">AK81*AL$16^(1/12)</f>
        <v>219.44631911439947</v>
      </c>
      <c r="AL82" s="148">
        <f t="shared" si="224"/>
        <v>0.99835477268233774</v>
      </c>
      <c r="AO82" s="149">
        <f t="shared" ref="AO82:AO92" si="281">AO81*AP$16^(1/12)</f>
        <v>784.28726740260186</v>
      </c>
      <c r="AP82" s="148">
        <f t="shared" si="256"/>
        <v>0.99928503629857557</v>
      </c>
      <c r="AQ82" s="404"/>
      <c r="AT82" s="149">
        <f t="shared" ref="AT82:AT92" ca="1" si="282">AT81*AU$16^(1/12)</f>
        <v>47645.813560187955</v>
      </c>
      <c r="AU82" s="148">
        <f t="shared" ca="1" si="225"/>
        <v>1.0013217132562173</v>
      </c>
      <c r="AX82" s="149">
        <f t="shared" ref="AX82:AX92" si="283">AX81*AY$16^(1/12)</f>
        <v>2558.3915757672034</v>
      </c>
      <c r="AY82" s="148">
        <f t="shared" si="226"/>
        <v>1.0010785954933112</v>
      </c>
      <c r="BB82" s="149">
        <f t="shared" ref="BB82:BB92" si="284">BB81*BC$16^(1/12)</f>
        <v>405.51291860745607</v>
      </c>
      <c r="BC82" s="148">
        <f t="shared" si="227"/>
        <v>1.000714024724862</v>
      </c>
      <c r="BD82" s="394">
        <f t="shared" si="228"/>
        <v>10.583333333333329</v>
      </c>
      <c r="BE82" s="395">
        <f t="shared" si="229"/>
        <v>416.09625194078939</v>
      </c>
      <c r="BH82" s="149">
        <f t="shared" ref="BH82:BH92" si="285">BH81*BI$16^(1/12)</f>
        <v>3</v>
      </c>
      <c r="BI82" s="148">
        <f t="shared" si="230"/>
        <v>1</v>
      </c>
      <c r="BJ82" s="394">
        <f t="shared" si="231"/>
        <v>2.8958333333333326</v>
      </c>
      <c r="BK82" s="395">
        <f t="shared" si="232"/>
        <v>5.8958333333333321</v>
      </c>
      <c r="BN82" s="149">
        <f t="shared" ref="BN82:BN92" si="286">BN81*BO$16^(1/12)</f>
        <v>14497.852888414185</v>
      </c>
      <c r="BO82" s="148">
        <f t="shared" si="233"/>
        <v>1.0014423638389347</v>
      </c>
      <c r="BR82" s="149">
        <f t="shared" ref="BR82:BR92" si="287">BR81*BS$16^(1/12)</f>
        <v>46.189202693225539</v>
      </c>
      <c r="BS82" s="148">
        <f t="shared" si="234"/>
        <v>1.0012136133780991</v>
      </c>
      <c r="BV82" s="149">
        <f t="shared" ref="BV82:BV92" si="288">BV81*BW$16^(1/12)</f>
        <v>395.56419672251207</v>
      </c>
      <c r="BW82" s="148">
        <f t="shared" si="235"/>
        <v>1.0004363939412999</v>
      </c>
    </row>
    <row r="83" spans="1:75">
      <c r="A83" s="9">
        <f t="shared" si="184"/>
        <v>2028</v>
      </c>
      <c r="B83" s="9" t="s">
        <v>149</v>
      </c>
      <c r="C83" s="149">
        <f t="shared" ca="1" si="273"/>
        <v>123571.20075462485</v>
      </c>
      <c r="D83" s="148">
        <f t="shared" ca="1" si="255"/>
        <v>1.0012359956738881</v>
      </c>
      <c r="G83" s="149">
        <f t="shared" si="274"/>
        <v>1543.9270417637763</v>
      </c>
      <c r="H83" s="148">
        <f t="shared" si="214"/>
        <v>0.99980976780309772</v>
      </c>
      <c r="K83" s="149">
        <f t="shared" si="275"/>
        <v>9678.0981334162898</v>
      </c>
      <c r="L83" s="148">
        <f t="shared" si="239"/>
        <v>1.0005541440839929</v>
      </c>
      <c r="O83" s="149">
        <f t="shared" si="276"/>
        <v>1097.802082615359</v>
      </c>
      <c r="P83" s="148">
        <f t="shared" si="215"/>
        <v>1.0002760890950009</v>
      </c>
      <c r="Q83" s="394">
        <f t="shared" si="254"/>
        <v>10.324999999999999</v>
      </c>
      <c r="R83" s="395">
        <f t="shared" si="216"/>
        <v>1108.1270826153591</v>
      </c>
      <c r="U83" s="149">
        <f t="shared" si="277"/>
        <v>5</v>
      </c>
      <c r="V83" s="148">
        <f t="shared" si="217"/>
        <v>1</v>
      </c>
      <c r="W83" s="394">
        <f t="shared" si="218"/>
        <v>3.7500000000000009</v>
      </c>
      <c r="X83" s="395">
        <f t="shared" si="219"/>
        <v>8.75</v>
      </c>
      <c r="AA83" s="149">
        <f t="shared" si="278"/>
        <v>5</v>
      </c>
      <c r="AB83" s="148">
        <f t="shared" si="220"/>
        <v>1</v>
      </c>
      <c r="AC83" s="394">
        <f t="shared" si="221"/>
        <v>0.90624999999999956</v>
      </c>
      <c r="AD83" s="395">
        <f t="shared" si="222"/>
        <v>5.90625</v>
      </c>
      <c r="AG83" s="149">
        <f t="shared" si="279"/>
        <v>34148.012448838985</v>
      </c>
      <c r="AH83" s="148">
        <f t="shared" si="223"/>
        <v>1.0009149490993259</v>
      </c>
      <c r="AK83" s="149">
        <f t="shared" si="280"/>
        <v>219.08528003543202</v>
      </c>
      <c r="AL83" s="148">
        <f t="shared" si="224"/>
        <v>0.99835477268233774</v>
      </c>
      <c r="AO83" s="149">
        <f t="shared" si="281"/>
        <v>783.72653047491963</v>
      </c>
      <c r="AP83" s="148">
        <f t="shared" si="256"/>
        <v>0.99928503629857557</v>
      </c>
      <c r="AQ83" s="404"/>
      <c r="AT83" s="149">
        <f t="shared" ca="1" si="282"/>
        <v>47708.787663573712</v>
      </c>
      <c r="AU83" s="148">
        <f t="shared" ca="1" si="225"/>
        <v>1.0013217132562173</v>
      </c>
      <c r="AX83" s="149">
        <f t="shared" si="283"/>
        <v>2561.1510453909514</v>
      </c>
      <c r="AY83" s="148">
        <f t="shared" si="226"/>
        <v>1.0010785954933112</v>
      </c>
      <c r="BB83" s="149">
        <f t="shared" si="284"/>
        <v>405.80246485759278</v>
      </c>
      <c r="BC83" s="148">
        <f t="shared" si="227"/>
        <v>1.000714024724862</v>
      </c>
      <c r="BD83" s="394">
        <f t="shared" si="228"/>
        <v>10.712499999999995</v>
      </c>
      <c r="BE83" s="395">
        <f t="shared" si="229"/>
        <v>416.51496485759276</v>
      </c>
      <c r="BH83" s="149">
        <f t="shared" si="285"/>
        <v>3</v>
      </c>
      <c r="BI83" s="148">
        <f t="shared" si="230"/>
        <v>1</v>
      </c>
      <c r="BJ83" s="394">
        <f t="shared" si="231"/>
        <v>2.9062499999999991</v>
      </c>
      <c r="BK83" s="395">
        <f t="shared" si="232"/>
        <v>5.9062499999999991</v>
      </c>
      <c r="BN83" s="149">
        <f t="shared" si="286"/>
        <v>14518.764067162629</v>
      </c>
      <c r="BO83" s="148">
        <f t="shared" si="233"/>
        <v>1.0014423638389347</v>
      </c>
      <c r="BR83" s="149">
        <f t="shared" si="287"/>
        <v>46.245258527537771</v>
      </c>
      <c r="BS83" s="148">
        <f t="shared" si="234"/>
        <v>1.0012136133780991</v>
      </c>
      <c r="BV83" s="149">
        <f t="shared" si="288"/>
        <v>395.73681854135691</v>
      </c>
      <c r="BW83" s="148">
        <f t="shared" si="235"/>
        <v>1.0004363939412999</v>
      </c>
    </row>
    <row r="84" spans="1:75">
      <c r="A84" s="9">
        <f t="shared" si="184"/>
        <v>2028</v>
      </c>
      <c r="B84" s="9" t="s">
        <v>150</v>
      </c>
      <c r="C84" s="149">
        <f t="shared" ca="1" si="273"/>
        <v>123723.93422417472</v>
      </c>
      <c r="D84" s="148">
        <f t="shared" ca="1" si="255"/>
        <v>1.0012359956738881</v>
      </c>
      <c r="G84" s="149">
        <f t="shared" si="274"/>
        <v>1543.6333371307646</v>
      </c>
      <c r="H84" s="148">
        <f t="shared" si="214"/>
        <v>0.9998097678030976</v>
      </c>
      <c r="K84" s="149">
        <f t="shared" si="275"/>
        <v>9683.4611942412248</v>
      </c>
      <c r="L84" s="148">
        <f t="shared" si="239"/>
        <v>1.0005541440839929</v>
      </c>
      <c r="O84" s="149">
        <f t="shared" si="276"/>
        <v>1098.1051737988385</v>
      </c>
      <c r="P84" s="148">
        <f t="shared" si="215"/>
        <v>1.0002760890950009</v>
      </c>
      <c r="Q84" s="394">
        <f t="shared" si="254"/>
        <v>10.399999999999999</v>
      </c>
      <c r="R84" s="395">
        <f t="shared" si="216"/>
        <v>1108.5051737988385</v>
      </c>
      <c r="U84" s="149">
        <f t="shared" si="277"/>
        <v>5</v>
      </c>
      <c r="V84" s="148">
        <f t="shared" si="217"/>
        <v>1</v>
      </c>
      <c r="W84" s="394">
        <f t="shared" si="218"/>
        <v>3.8000000000000007</v>
      </c>
      <c r="X84" s="395">
        <f t="shared" si="219"/>
        <v>8.8000000000000007</v>
      </c>
      <c r="AA84" s="149">
        <f t="shared" si="278"/>
        <v>5</v>
      </c>
      <c r="AB84" s="148">
        <f t="shared" si="220"/>
        <v>1</v>
      </c>
      <c r="AC84" s="394">
        <f t="shared" si="221"/>
        <v>0.91666666666666619</v>
      </c>
      <c r="AD84" s="395">
        <f t="shared" si="222"/>
        <v>5.9166666666666661</v>
      </c>
      <c r="AG84" s="149">
        <f t="shared" si="279"/>
        <v>34179.256142072816</v>
      </c>
      <c r="AH84" s="148">
        <f t="shared" si="223"/>
        <v>1.0009149490993259</v>
      </c>
      <c r="AK84" s="149">
        <f t="shared" si="280"/>
        <v>218.72483494782006</v>
      </c>
      <c r="AL84" s="148">
        <f t="shared" si="224"/>
        <v>0.99835477268233785</v>
      </c>
      <c r="AO84" s="149">
        <f t="shared" si="281"/>
        <v>783.16619445378672</v>
      </c>
      <c r="AP84" s="148">
        <f t="shared" si="256"/>
        <v>0.99928503629857557</v>
      </c>
      <c r="AQ84" s="404"/>
      <c r="AT84" s="149">
        <f t="shared" ca="1" si="282"/>
        <v>47771.845000666712</v>
      </c>
      <c r="AU84" s="148">
        <f t="shared" ca="1" si="225"/>
        <v>1.0013217132562173</v>
      </c>
      <c r="AX84" s="149">
        <f t="shared" si="283"/>
        <v>2563.9134913661992</v>
      </c>
      <c r="AY84" s="148">
        <f t="shared" si="226"/>
        <v>1.0010785954933112</v>
      </c>
      <c r="BB84" s="149">
        <f t="shared" si="284"/>
        <v>406.09221785091108</v>
      </c>
      <c r="BC84" s="148">
        <f t="shared" si="227"/>
        <v>1.000714024724862</v>
      </c>
      <c r="BD84" s="394">
        <f t="shared" si="228"/>
        <v>10.841666666666661</v>
      </c>
      <c r="BE84" s="395">
        <f t="shared" si="229"/>
        <v>416.93388451757772</v>
      </c>
      <c r="BH84" s="149">
        <f t="shared" si="285"/>
        <v>3</v>
      </c>
      <c r="BI84" s="148">
        <f t="shared" si="230"/>
        <v>1</v>
      </c>
      <c r="BJ84" s="394">
        <f t="shared" si="231"/>
        <v>2.9166666666666656</v>
      </c>
      <c r="BK84" s="395">
        <f t="shared" si="232"/>
        <v>5.9166666666666661</v>
      </c>
      <c r="BN84" s="149">
        <f t="shared" si="286"/>
        <v>14539.705407439129</v>
      </c>
      <c r="BO84" s="148">
        <f t="shared" si="233"/>
        <v>1.0014423638389347</v>
      </c>
      <c r="BR84" s="149">
        <f t="shared" si="287"/>
        <v>46.301382391960445</v>
      </c>
      <c r="BS84" s="148">
        <f t="shared" si="234"/>
        <v>1.0012136133780991</v>
      </c>
      <c r="BV84" s="149">
        <f t="shared" si="288"/>
        <v>395.90951569131767</v>
      </c>
      <c r="BW84" s="148">
        <f t="shared" si="235"/>
        <v>1.0004363939412999</v>
      </c>
    </row>
    <row r="85" spans="1:75">
      <c r="A85" s="9">
        <f t="shared" si="184"/>
        <v>2028</v>
      </c>
      <c r="B85" s="9" t="s">
        <v>151</v>
      </c>
      <c r="C85" s="149">
        <f t="shared" ca="1" si="273"/>
        <v>123876.85647163221</v>
      </c>
      <c r="D85" s="148">
        <f t="shared" ca="1" si="255"/>
        <v>1.0012359956738881</v>
      </c>
      <c r="G85" s="149">
        <f t="shared" si="274"/>
        <v>1543.3396883698306</v>
      </c>
      <c r="H85" s="148">
        <f t="shared" si="214"/>
        <v>0.99980976780309772</v>
      </c>
      <c r="K85" s="149">
        <f t="shared" si="275"/>
        <v>9688.8272269745885</v>
      </c>
      <c r="L85" s="148">
        <f t="shared" si="239"/>
        <v>1.0005541440839929</v>
      </c>
      <c r="O85" s="149">
        <f t="shared" si="276"/>
        <v>1098.4083486624884</v>
      </c>
      <c r="P85" s="148">
        <f t="shared" si="215"/>
        <v>1.0002760890950009</v>
      </c>
      <c r="Q85" s="394">
        <f t="shared" si="254"/>
        <v>10.474999999999998</v>
      </c>
      <c r="R85" s="395">
        <f t="shared" si="216"/>
        <v>1108.8833486624883</v>
      </c>
      <c r="U85" s="149">
        <f t="shared" si="277"/>
        <v>5</v>
      </c>
      <c r="V85" s="148">
        <f t="shared" si="217"/>
        <v>1</v>
      </c>
      <c r="W85" s="394">
        <f t="shared" si="218"/>
        <v>3.8500000000000005</v>
      </c>
      <c r="X85" s="395">
        <f t="shared" si="219"/>
        <v>8.8500000000000014</v>
      </c>
      <c r="AA85" s="149">
        <f t="shared" si="278"/>
        <v>5</v>
      </c>
      <c r="AB85" s="148">
        <f t="shared" si="220"/>
        <v>1</v>
      </c>
      <c r="AC85" s="394">
        <f t="shared" si="221"/>
        <v>0.92708333333333282</v>
      </c>
      <c r="AD85" s="395">
        <f t="shared" si="222"/>
        <v>5.927083333333333</v>
      </c>
      <c r="AG85" s="149">
        <f t="shared" si="279"/>
        <v>34210.528421695635</v>
      </c>
      <c r="AH85" s="148">
        <f t="shared" si="223"/>
        <v>1.0009149490993259</v>
      </c>
      <c r="AK85" s="149">
        <f t="shared" si="280"/>
        <v>218.36498287431274</v>
      </c>
      <c r="AL85" s="148">
        <f t="shared" si="224"/>
        <v>0.99835477268233774</v>
      </c>
      <c r="AO85" s="149">
        <f t="shared" si="281"/>
        <v>782.6062590525695</v>
      </c>
      <c r="AP85" s="148">
        <f t="shared" si="256"/>
        <v>0.99928503629857546</v>
      </c>
      <c r="AQ85" s="404"/>
      <c r="AT85" s="149">
        <f t="shared" ca="1" si="282"/>
        <v>47834.985681478051</v>
      </c>
      <c r="AU85" s="148">
        <f t="shared" ca="1" si="225"/>
        <v>1.0013217132562173</v>
      </c>
      <c r="AX85" s="149">
        <f t="shared" si="283"/>
        <v>2566.6789169032268</v>
      </c>
      <c r="AY85" s="148">
        <f t="shared" si="226"/>
        <v>1.0010785954933112</v>
      </c>
      <c r="BB85" s="149">
        <f t="shared" si="284"/>
        <v>406.38217773503072</v>
      </c>
      <c r="BC85" s="148">
        <f t="shared" si="227"/>
        <v>1.000714024724862</v>
      </c>
      <c r="BD85" s="394">
        <f t="shared" si="228"/>
        <v>10.970833333333328</v>
      </c>
      <c r="BE85" s="395">
        <f t="shared" si="229"/>
        <v>417.35301106836403</v>
      </c>
      <c r="BH85" s="149">
        <f t="shared" si="285"/>
        <v>3</v>
      </c>
      <c r="BI85" s="148">
        <f t="shared" si="230"/>
        <v>1</v>
      </c>
      <c r="BJ85" s="394">
        <f t="shared" si="231"/>
        <v>2.9270833333333321</v>
      </c>
      <c r="BK85" s="395">
        <f t="shared" si="232"/>
        <v>5.9270833333333321</v>
      </c>
      <c r="BN85" s="149">
        <f t="shared" si="286"/>
        <v>14560.676952747583</v>
      </c>
      <c r="BO85" s="148">
        <f t="shared" si="233"/>
        <v>1.0014423638389347</v>
      </c>
      <c r="BR85" s="149">
        <f t="shared" si="287"/>
        <v>46.357574369055811</v>
      </c>
      <c r="BS85" s="148">
        <f t="shared" si="234"/>
        <v>1.0012136133780991</v>
      </c>
      <c r="BV85" s="149">
        <f t="shared" si="288"/>
        <v>396.08228820526836</v>
      </c>
      <c r="BW85" s="148">
        <f t="shared" si="235"/>
        <v>1.0004363939412999</v>
      </c>
    </row>
    <row r="86" spans="1:75">
      <c r="A86" s="9">
        <f t="shared" si="184"/>
        <v>2028</v>
      </c>
      <c r="B86" s="9" t="s">
        <v>152</v>
      </c>
      <c r="C86" s="149">
        <f t="shared" ca="1" si="273"/>
        <v>124029.96773032601</v>
      </c>
      <c r="D86" s="148">
        <f t="shared" ca="1" si="255"/>
        <v>1.0012359956738881</v>
      </c>
      <c r="G86" s="149">
        <f t="shared" si="274"/>
        <v>1543.0460954703456</v>
      </c>
      <c r="H86" s="148">
        <f t="shared" si="214"/>
        <v>0.99980976780309772</v>
      </c>
      <c r="K86" s="149">
        <f t="shared" si="275"/>
        <v>9694.1962332632465</v>
      </c>
      <c r="L86" s="148">
        <f t="shared" si="239"/>
        <v>1.0005541440839929</v>
      </c>
      <c r="O86" s="149">
        <f t="shared" si="276"/>
        <v>1098.711607229412</v>
      </c>
      <c r="P86" s="148">
        <f t="shared" si="215"/>
        <v>1.0002760890950009</v>
      </c>
      <c r="Q86" s="394">
        <f t="shared" si="254"/>
        <v>10.549999999999997</v>
      </c>
      <c r="R86" s="395">
        <f t="shared" si="216"/>
        <v>1109.261607229412</v>
      </c>
      <c r="U86" s="149">
        <f t="shared" si="277"/>
        <v>5</v>
      </c>
      <c r="V86" s="148">
        <f t="shared" si="217"/>
        <v>1</v>
      </c>
      <c r="W86" s="394">
        <f t="shared" si="218"/>
        <v>3.9000000000000004</v>
      </c>
      <c r="X86" s="395">
        <f t="shared" si="219"/>
        <v>8.9</v>
      </c>
      <c r="AA86" s="149">
        <f t="shared" si="278"/>
        <v>5</v>
      </c>
      <c r="AB86" s="148">
        <f t="shared" si="220"/>
        <v>1</v>
      </c>
      <c r="AC86" s="394">
        <f t="shared" si="221"/>
        <v>0.93749999999999944</v>
      </c>
      <c r="AD86" s="395">
        <f t="shared" si="222"/>
        <v>5.9374999999999991</v>
      </c>
      <c r="AG86" s="149">
        <f t="shared" si="279"/>
        <v>34241.82931386253</v>
      </c>
      <c r="AH86" s="148">
        <f t="shared" si="223"/>
        <v>1.0009149490993259</v>
      </c>
      <c r="AK86" s="149">
        <f t="shared" si="280"/>
        <v>218.00572283926707</v>
      </c>
      <c r="AL86" s="148">
        <f t="shared" si="224"/>
        <v>0.99835477268233774</v>
      </c>
      <c r="AO86" s="149">
        <f t="shared" si="281"/>
        <v>782.04672398483933</v>
      </c>
      <c r="AP86" s="148">
        <f t="shared" si="256"/>
        <v>0.99928503629857557</v>
      </c>
      <c r="AQ86" s="404"/>
      <c r="AT86" s="149">
        <f t="shared" ca="1" si="282"/>
        <v>47898.209816164228</v>
      </c>
      <c r="AU86" s="148">
        <f t="shared" ca="1" si="225"/>
        <v>1.0013217132562173</v>
      </c>
      <c r="AX86" s="149">
        <f t="shared" si="283"/>
        <v>2569.4473252157754</v>
      </c>
      <c r="AY86" s="148">
        <f t="shared" si="226"/>
        <v>1.0010785954933112</v>
      </c>
      <c r="BB86" s="149">
        <f t="shared" si="284"/>
        <v>406.67234465767683</v>
      </c>
      <c r="BC86" s="148">
        <f t="shared" si="227"/>
        <v>1.000714024724862</v>
      </c>
      <c r="BD86" s="394">
        <f t="shared" si="228"/>
        <v>11.099999999999994</v>
      </c>
      <c r="BE86" s="395">
        <f t="shared" si="229"/>
        <v>417.77234465767685</v>
      </c>
      <c r="BH86" s="149">
        <f t="shared" si="285"/>
        <v>3</v>
      </c>
      <c r="BI86" s="148">
        <f t="shared" si="230"/>
        <v>1</v>
      </c>
      <c r="BJ86" s="394">
        <f t="shared" si="231"/>
        <v>2.9374999999999987</v>
      </c>
      <c r="BK86" s="395">
        <f t="shared" si="232"/>
        <v>5.9374999999999982</v>
      </c>
      <c r="BN86" s="149">
        <f t="shared" si="286"/>
        <v>14581.678746654636</v>
      </c>
      <c r="BO86" s="148">
        <f t="shared" si="233"/>
        <v>1.0014423638389347</v>
      </c>
      <c r="BR86" s="149">
        <f t="shared" si="287"/>
        <v>46.413834541486324</v>
      </c>
      <c r="BS86" s="148">
        <f t="shared" si="234"/>
        <v>1.0012136133780991</v>
      </c>
      <c r="BV86" s="149">
        <f t="shared" si="288"/>
        <v>396.25513611609733</v>
      </c>
      <c r="BW86" s="148">
        <f t="shared" si="235"/>
        <v>1.0004363939412999</v>
      </c>
    </row>
    <row r="87" spans="1:75">
      <c r="A87" s="9">
        <f t="shared" si="184"/>
        <v>2028</v>
      </c>
      <c r="B87" s="9" t="s">
        <v>153</v>
      </c>
      <c r="C87" s="149">
        <f t="shared" ca="1" si="273"/>
        <v>124183.26823387317</v>
      </c>
      <c r="D87" s="148">
        <f t="shared" ca="1" si="255"/>
        <v>1.0012359956738881</v>
      </c>
      <c r="G87" s="149">
        <f t="shared" si="274"/>
        <v>1542.7525584216828</v>
      </c>
      <c r="H87" s="148">
        <f t="shared" si="214"/>
        <v>0.99980976780309772</v>
      </c>
      <c r="K87" s="149">
        <f t="shared" si="275"/>
        <v>9699.568214754976</v>
      </c>
      <c r="L87" s="148">
        <f t="shared" si="239"/>
        <v>1.0005541440839929</v>
      </c>
      <c r="O87" s="149">
        <f t="shared" si="276"/>
        <v>1099.014949522719</v>
      </c>
      <c r="P87" s="148">
        <f t="shared" si="215"/>
        <v>1.0002760890950009</v>
      </c>
      <c r="Q87" s="394">
        <f t="shared" si="254"/>
        <v>10.624999999999996</v>
      </c>
      <c r="R87" s="395">
        <f t="shared" si="216"/>
        <v>1109.639949522719</v>
      </c>
      <c r="U87" s="149">
        <f t="shared" si="277"/>
        <v>5</v>
      </c>
      <c r="V87" s="148">
        <f t="shared" si="217"/>
        <v>1</v>
      </c>
      <c r="W87" s="394">
        <f t="shared" si="218"/>
        <v>3.95</v>
      </c>
      <c r="X87" s="395">
        <f t="shared" si="219"/>
        <v>8.9499999999999993</v>
      </c>
      <c r="AA87" s="149">
        <f t="shared" si="278"/>
        <v>5</v>
      </c>
      <c r="AB87" s="148">
        <f t="shared" si="220"/>
        <v>1</v>
      </c>
      <c r="AC87" s="394">
        <f t="shared" si="221"/>
        <v>0.94791666666666607</v>
      </c>
      <c r="AD87" s="395">
        <f t="shared" si="222"/>
        <v>5.9479166666666661</v>
      </c>
      <c r="AG87" s="149">
        <f t="shared" si="279"/>
        <v>34273.158844752521</v>
      </c>
      <c r="AH87" s="148">
        <f t="shared" si="223"/>
        <v>1.0009149490993259</v>
      </c>
      <c r="AK87" s="149">
        <f t="shared" si="280"/>
        <v>217.6470538686452</v>
      </c>
      <c r="AL87" s="148">
        <f t="shared" si="224"/>
        <v>0.99835477268233774</v>
      </c>
      <c r="AO87" s="149">
        <f t="shared" si="281"/>
        <v>781.48758896437232</v>
      </c>
      <c r="AP87" s="148">
        <f t="shared" si="256"/>
        <v>0.99928503629857557</v>
      </c>
      <c r="AQ87" s="404"/>
      <c r="AT87" s="149">
        <f t="shared" ca="1" si="282"/>
        <v>47961.517515027328</v>
      </c>
      <c r="AU87" s="148">
        <f t="shared" ca="1" si="225"/>
        <v>1.0013217132562173</v>
      </c>
      <c r="AX87" s="149">
        <f t="shared" si="283"/>
        <v>2572.2187195210536</v>
      </c>
      <c r="AY87" s="148">
        <f t="shared" si="226"/>
        <v>1.0010785954933112</v>
      </c>
      <c r="BB87" s="149">
        <f t="shared" si="284"/>
        <v>406.96271876668004</v>
      </c>
      <c r="BC87" s="148">
        <f t="shared" si="227"/>
        <v>1.000714024724862</v>
      </c>
      <c r="BD87" s="394">
        <f t="shared" si="228"/>
        <v>11.229166666666661</v>
      </c>
      <c r="BE87" s="395">
        <f t="shared" si="229"/>
        <v>418.19188543334673</v>
      </c>
      <c r="BH87" s="149">
        <f t="shared" si="285"/>
        <v>3</v>
      </c>
      <c r="BI87" s="148">
        <f t="shared" si="230"/>
        <v>1</v>
      </c>
      <c r="BJ87" s="394">
        <f t="shared" si="231"/>
        <v>2.9479166666666652</v>
      </c>
      <c r="BK87" s="395">
        <f t="shared" si="232"/>
        <v>5.9479166666666652</v>
      </c>
      <c r="BN87" s="149">
        <f t="shared" si="286"/>
        <v>14602.710832789773</v>
      </c>
      <c r="BO87" s="148">
        <f t="shared" si="233"/>
        <v>1.0014423638389347</v>
      </c>
      <c r="BR87" s="149">
        <f t="shared" si="287"/>
        <v>46.47016299201475</v>
      </c>
      <c r="BS87" s="148">
        <f t="shared" si="234"/>
        <v>1.0012136133780991</v>
      </c>
      <c r="BV87" s="149">
        <f t="shared" si="288"/>
        <v>396.42805945670739</v>
      </c>
      <c r="BW87" s="148">
        <f t="shared" si="235"/>
        <v>1.0004363939412999</v>
      </c>
    </row>
    <row r="88" spans="1:75">
      <c r="A88" s="9">
        <f t="shared" si="184"/>
        <v>2028</v>
      </c>
      <c r="B88" s="9" t="s">
        <v>154</v>
      </c>
      <c r="C88" s="149">
        <f t="shared" ca="1" si="273"/>
        <v>124336.75821617951</v>
      </c>
      <c r="D88" s="148">
        <f t="shared" ca="1" si="255"/>
        <v>1.0012359956738881</v>
      </c>
      <c r="G88" s="149">
        <f t="shared" si="274"/>
        <v>1542.4590772132176</v>
      </c>
      <c r="H88" s="148">
        <f t="shared" si="214"/>
        <v>0.99980976780309772</v>
      </c>
      <c r="K88" s="149">
        <f t="shared" si="275"/>
        <v>9704.9431730984688</v>
      </c>
      <c r="L88" s="148">
        <f t="shared" si="239"/>
        <v>1.0005541440839929</v>
      </c>
      <c r="O88" s="149">
        <f t="shared" si="276"/>
        <v>1099.3183755655252</v>
      </c>
      <c r="P88" s="148">
        <f t="shared" si="215"/>
        <v>1.0002760890950009</v>
      </c>
      <c r="Q88" s="394">
        <f t="shared" si="254"/>
        <v>10.699999999999996</v>
      </c>
      <c r="R88" s="395">
        <f t="shared" si="216"/>
        <v>1110.0183755655253</v>
      </c>
      <c r="U88" s="149">
        <f t="shared" si="277"/>
        <v>5</v>
      </c>
      <c r="V88" s="148">
        <f t="shared" si="217"/>
        <v>1</v>
      </c>
      <c r="W88" s="394">
        <f t="shared" si="218"/>
        <v>4</v>
      </c>
      <c r="X88" s="395">
        <f t="shared" si="219"/>
        <v>9</v>
      </c>
      <c r="AA88" s="149">
        <f t="shared" si="278"/>
        <v>5</v>
      </c>
      <c r="AB88" s="148">
        <f t="shared" si="220"/>
        <v>1</v>
      </c>
      <c r="AC88" s="394">
        <f t="shared" si="221"/>
        <v>0.9583333333333327</v>
      </c>
      <c r="AD88" s="395">
        <f t="shared" si="222"/>
        <v>5.958333333333333</v>
      </c>
      <c r="AG88" s="149">
        <f t="shared" si="279"/>
        <v>34304.517040568579</v>
      </c>
      <c r="AH88" s="148">
        <f t="shared" si="223"/>
        <v>1.0009149490993259</v>
      </c>
      <c r="AK88" s="149">
        <f t="shared" si="280"/>
        <v>217.28897499001181</v>
      </c>
      <c r="AL88" s="148">
        <f t="shared" si="224"/>
        <v>0.99835477268233774</v>
      </c>
      <c r="AO88" s="149">
        <f t="shared" si="281"/>
        <v>780.92885370514909</v>
      </c>
      <c r="AP88" s="148">
        <f t="shared" si="256"/>
        <v>0.99928503629857557</v>
      </c>
      <c r="AQ88" s="404"/>
      <c r="AT88" s="149">
        <f t="shared" ca="1" si="282"/>
        <v>48024.908888515238</v>
      </c>
      <c r="AU88" s="148">
        <f t="shared" ca="1" si="225"/>
        <v>1.0013217132562173</v>
      </c>
      <c r="AX88" s="149">
        <f t="shared" si="283"/>
        <v>2574.9931030397397</v>
      </c>
      <c r="AY88" s="148">
        <f t="shared" si="226"/>
        <v>1.0010785954933112</v>
      </c>
      <c r="BB88" s="149">
        <f t="shared" si="284"/>
        <v>407.25330020997654</v>
      </c>
      <c r="BC88" s="148">
        <f t="shared" si="227"/>
        <v>1.000714024724862</v>
      </c>
      <c r="BD88" s="394">
        <f t="shared" si="228"/>
        <v>11.358333333333327</v>
      </c>
      <c r="BE88" s="395">
        <f t="shared" si="229"/>
        <v>418.61163354330989</v>
      </c>
      <c r="BH88" s="149">
        <f t="shared" si="285"/>
        <v>3</v>
      </c>
      <c r="BI88" s="148">
        <f t="shared" si="230"/>
        <v>1</v>
      </c>
      <c r="BJ88" s="394">
        <f t="shared" si="231"/>
        <v>2.9583333333333317</v>
      </c>
      <c r="BK88" s="395">
        <f t="shared" si="232"/>
        <v>5.9583333333333321</v>
      </c>
      <c r="BN88" s="149">
        <f t="shared" si="286"/>
        <v>14623.77325484541</v>
      </c>
      <c r="BO88" s="148">
        <f t="shared" si="233"/>
        <v>1.0014423638389347</v>
      </c>
      <c r="BR88" s="149">
        <f t="shared" si="287"/>
        <v>46.526559803504306</v>
      </c>
      <c r="BS88" s="148">
        <f t="shared" si="234"/>
        <v>1.0012136133780991</v>
      </c>
      <c r="BV88" s="149">
        <f t="shared" si="288"/>
        <v>396.60105826001558</v>
      </c>
      <c r="BW88" s="148">
        <f t="shared" si="235"/>
        <v>1.0004363939412999</v>
      </c>
    </row>
    <row r="89" spans="1:75">
      <c r="A89" s="9">
        <f t="shared" si="184"/>
        <v>2028</v>
      </c>
      <c r="B89" s="9" t="s">
        <v>684</v>
      </c>
      <c r="C89" s="149">
        <f t="shared" ca="1" si="273"/>
        <v>124490.43791143998</v>
      </c>
      <c r="D89" s="148">
        <f t="shared" ca="1" si="255"/>
        <v>1.0012359956738881</v>
      </c>
      <c r="G89" s="149">
        <f t="shared" si="274"/>
        <v>1542.1656518343275</v>
      </c>
      <c r="H89" s="148">
        <f t="shared" si="214"/>
        <v>0.99980976780309772</v>
      </c>
      <c r="K89" s="149">
        <f t="shared" si="275"/>
        <v>9710.3211099433283</v>
      </c>
      <c r="L89" s="148">
        <f t="shared" si="239"/>
        <v>1.0005541440839929</v>
      </c>
      <c r="O89" s="149">
        <f t="shared" si="276"/>
        <v>1099.621885380953</v>
      </c>
      <c r="P89" s="148">
        <f t="shared" si="215"/>
        <v>1.0002760890950009</v>
      </c>
      <c r="Q89" s="394">
        <f t="shared" si="254"/>
        <v>10.774999999999995</v>
      </c>
      <c r="R89" s="395">
        <f t="shared" si="216"/>
        <v>1110.3968853809531</v>
      </c>
      <c r="U89" s="149">
        <f t="shared" si="277"/>
        <v>5</v>
      </c>
      <c r="V89" s="148">
        <f t="shared" si="217"/>
        <v>1</v>
      </c>
      <c r="W89" s="394">
        <f t="shared" si="218"/>
        <v>4.05</v>
      </c>
      <c r="X89" s="395">
        <f t="shared" si="219"/>
        <v>9.0500000000000007</v>
      </c>
      <c r="AA89" s="149">
        <f t="shared" si="278"/>
        <v>5</v>
      </c>
      <c r="AB89" s="148">
        <f t="shared" si="220"/>
        <v>1</v>
      </c>
      <c r="AC89" s="394">
        <f t="shared" si="221"/>
        <v>0.96874999999999933</v>
      </c>
      <c r="AD89" s="395">
        <f t="shared" si="222"/>
        <v>5.9687499999999991</v>
      </c>
      <c r="AG89" s="149">
        <f t="shared" si="279"/>
        <v>34335.903927537656</v>
      </c>
      <c r="AH89" s="148">
        <f t="shared" si="223"/>
        <v>1.0009149490993259</v>
      </c>
      <c r="AK89" s="149">
        <f t="shared" si="280"/>
        <v>216.9314852325314</v>
      </c>
      <c r="AL89" s="148">
        <f t="shared" si="224"/>
        <v>0.99835477268233774</v>
      </c>
      <c r="AO89" s="149">
        <f t="shared" si="281"/>
        <v>780.37051792135492</v>
      </c>
      <c r="AP89" s="148">
        <f t="shared" si="256"/>
        <v>0.99928503629857557</v>
      </c>
      <c r="AQ89" s="404"/>
      <c r="AT89" s="149">
        <f t="shared" ca="1" si="282"/>
        <v>48088.384047221814</v>
      </c>
      <c r="AU89" s="148">
        <f t="shared" ca="1" si="225"/>
        <v>1.0013217132562173</v>
      </c>
      <c r="AX89" s="149">
        <f t="shared" si="283"/>
        <v>2577.7704789959857</v>
      </c>
      <c r="AY89" s="148">
        <f t="shared" si="226"/>
        <v>1.0010785954933112</v>
      </c>
      <c r="BB89" s="149">
        <f t="shared" si="284"/>
        <v>407.54408913560815</v>
      </c>
      <c r="BC89" s="148">
        <f t="shared" si="227"/>
        <v>1.000714024724862</v>
      </c>
      <c r="BD89" s="394">
        <f t="shared" si="228"/>
        <v>11.487499999999994</v>
      </c>
      <c r="BE89" s="395">
        <f t="shared" si="229"/>
        <v>419.03158913560816</v>
      </c>
      <c r="BH89" s="149">
        <f t="shared" si="285"/>
        <v>3</v>
      </c>
      <c r="BI89" s="148">
        <f t="shared" si="230"/>
        <v>1</v>
      </c>
      <c r="BJ89" s="394">
        <f t="shared" si="231"/>
        <v>2.9687499999999982</v>
      </c>
      <c r="BK89" s="395">
        <f t="shared" si="232"/>
        <v>5.9687499999999982</v>
      </c>
      <c r="BN89" s="149">
        <f t="shared" si="286"/>
        <v>14644.866056576979</v>
      </c>
      <c r="BO89" s="148">
        <f t="shared" si="233"/>
        <v>1.0014423638389347</v>
      </c>
      <c r="BR89" s="149">
        <f t="shared" si="287"/>
        <v>46.583025058918764</v>
      </c>
      <c r="BS89" s="148">
        <f t="shared" si="234"/>
        <v>1.0012136133780991</v>
      </c>
      <c r="BV89" s="149">
        <f t="shared" si="288"/>
        <v>396.7741325589534</v>
      </c>
      <c r="BW89" s="148">
        <f t="shared" si="235"/>
        <v>1.0004363939412999</v>
      </c>
    </row>
    <row r="90" spans="1:75">
      <c r="A90" s="9">
        <f t="shared" si="184"/>
        <v>2028</v>
      </c>
      <c r="B90" s="9" t="s">
        <v>156</v>
      </c>
      <c r="C90" s="149">
        <f t="shared" ca="1" si="273"/>
        <v>124644.30755413896</v>
      </c>
      <c r="D90" s="148">
        <f t="shared" ca="1" si="255"/>
        <v>1.0012359956738881</v>
      </c>
      <c r="G90" s="149">
        <f t="shared" si="274"/>
        <v>1541.8722822743919</v>
      </c>
      <c r="H90" s="148">
        <f t="shared" si="214"/>
        <v>0.99980976780309772</v>
      </c>
      <c r="K90" s="149">
        <f t="shared" si="275"/>
        <v>9715.7020269400746</v>
      </c>
      <c r="L90" s="148">
        <f t="shared" si="239"/>
        <v>1.0005541440839929</v>
      </c>
      <c r="O90" s="149">
        <f t="shared" si="276"/>
        <v>1099.925478992131</v>
      </c>
      <c r="P90" s="148">
        <f t="shared" si="215"/>
        <v>1.0002760890950009</v>
      </c>
      <c r="Q90" s="394">
        <f t="shared" si="254"/>
        <v>10.849999999999994</v>
      </c>
      <c r="R90" s="395">
        <f t="shared" si="216"/>
        <v>1110.775478992131</v>
      </c>
      <c r="U90" s="149">
        <f t="shared" si="277"/>
        <v>5</v>
      </c>
      <c r="V90" s="148">
        <f t="shared" si="217"/>
        <v>1</v>
      </c>
      <c r="W90" s="394">
        <f t="shared" si="218"/>
        <v>4.0999999999999996</v>
      </c>
      <c r="X90" s="395">
        <f t="shared" si="219"/>
        <v>9.1</v>
      </c>
      <c r="AA90" s="149">
        <f t="shared" si="278"/>
        <v>5</v>
      </c>
      <c r="AB90" s="148">
        <f t="shared" si="220"/>
        <v>1</v>
      </c>
      <c r="AC90" s="394">
        <f t="shared" si="221"/>
        <v>0.97916666666666596</v>
      </c>
      <c r="AD90" s="395">
        <f t="shared" si="222"/>
        <v>5.9791666666666661</v>
      </c>
      <c r="AG90" s="149">
        <f t="shared" si="279"/>
        <v>34367.319531910696</v>
      </c>
      <c r="AH90" s="148">
        <f t="shared" si="223"/>
        <v>1.0009149490993259</v>
      </c>
      <c r="AK90" s="149">
        <f t="shared" si="280"/>
        <v>216.57458362696579</v>
      </c>
      <c r="AL90" s="148">
        <f t="shared" si="224"/>
        <v>0.99835477268233774</v>
      </c>
      <c r="AO90" s="149">
        <f t="shared" si="281"/>
        <v>779.81258132737935</v>
      </c>
      <c r="AP90" s="148">
        <f t="shared" si="256"/>
        <v>0.99928503629857557</v>
      </c>
      <c r="AQ90" s="404"/>
      <c r="AT90" s="149">
        <f t="shared" ca="1" si="282"/>
        <v>48151.943101887096</v>
      </c>
      <c r="AU90" s="148">
        <f t="shared" ca="1" si="225"/>
        <v>1.0013217132562173</v>
      </c>
      <c r="AX90" s="149">
        <f t="shared" si="283"/>
        <v>2580.5508506174215</v>
      </c>
      <c r="AY90" s="148">
        <f t="shared" si="226"/>
        <v>1.0010785954933112</v>
      </c>
      <c r="BB90" s="149">
        <f t="shared" si="284"/>
        <v>407.83508569172233</v>
      </c>
      <c r="BC90" s="148">
        <f t="shared" si="227"/>
        <v>1.000714024724862</v>
      </c>
      <c r="BD90" s="394">
        <f t="shared" si="228"/>
        <v>11.61666666666666</v>
      </c>
      <c r="BE90" s="395">
        <f t="shared" si="229"/>
        <v>419.451752358389</v>
      </c>
      <c r="BH90" s="149">
        <f t="shared" si="285"/>
        <v>3</v>
      </c>
      <c r="BI90" s="148">
        <f t="shared" si="230"/>
        <v>1</v>
      </c>
      <c r="BJ90" s="394">
        <f t="shared" si="231"/>
        <v>2.9791666666666647</v>
      </c>
      <c r="BK90" s="395">
        <f t="shared" si="232"/>
        <v>5.9791666666666643</v>
      </c>
      <c r="BN90" s="149">
        <f t="shared" si="286"/>
        <v>14665.989281803028</v>
      </c>
      <c r="BO90" s="148">
        <f t="shared" si="233"/>
        <v>1.0014423638389347</v>
      </c>
      <c r="BR90" s="149">
        <f t="shared" si="287"/>
        <v>46.639558841322597</v>
      </c>
      <c r="BS90" s="148">
        <f t="shared" si="234"/>
        <v>1.0012136133780991</v>
      </c>
      <c r="BV90" s="149">
        <f t="shared" si="288"/>
        <v>396.94728238646667</v>
      </c>
      <c r="BW90" s="148">
        <f t="shared" si="235"/>
        <v>1.0004363939412999</v>
      </c>
    </row>
    <row r="91" spans="1:75">
      <c r="A91" s="9">
        <f t="shared" si="184"/>
        <v>2028</v>
      </c>
      <c r="B91" s="9" t="s">
        <v>157</v>
      </c>
      <c r="C91" s="149">
        <f t="shared" ca="1" si="273"/>
        <v>124798.36737905064</v>
      </c>
      <c r="D91" s="148">
        <f t="shared" ca="1" si="255"/>
        <v>1.0012359956738881</v>
      </c>
      <c r="G91" s="149">
        <f t="shared" si="274"/>
        <v>1541.5789685227921</v>
      </c>
      <c r="H91" s="148">
        <f t="shared" si="214"/>
        <v>0.99980976780309772</v>
      </c>
      <c r="K91" s="149">
        <f t="shared" si="275"/>
        <v>9721.0859257401407</v>
      </c>
      <c r="L91" s="148">
        <f t="shared" si="239"/>
        <v>1.0005541440839929</v>
      </c>
      <c r="O91" s="149">
        <f t="shared" si="276"/>
        <v>1100.2291564221944</v>
      </c>
      <c r="P91" s="148">
        <f t="shared" si="215"/>
        <v>1.0002760890950009</v>
      </c>
      <c r="Q91" s="394">
        <f t="shared" si="254"/>
        <v>10.924999999999994</v>
      </c>
      <c r="R91" s="395">
        <f t="shared" si="216"/>
        <v>1111.1541564221943</v>
      </c>
      <c r="U91" s="149">
        <f t="shared" si="277"/>
        <v>5</v>
      </c>
      <c r="V91" s="148">
        <f t="shared" si="217"/>
        <v>1</v>
      </c>
      <c r="W91" s="394">
        <f t="shared" si="218"/>
        <v>4.1499999999999995</v>
      </c>
      <c r="X91" s="395">
        <f t="shared" si="219"/>
        <v>9.1499999999999986</v>
      </c>
      <c r="AA91" s="149">
        <f t="shared" si="278"/>
        <v>5</v>
      </c>
      <c r="AB91" s="148">
        <f t="shared" si="220"/>
        <v>1</v>
      </c>
      <c r="AC91" s="394">
        <f t="shared" si="221"/>
        <v>0.98958333333333259</v>
      </c>
      <c r="AD91" s="395">
        <f t="shared" si="222"/>
        <v>5.9895833333333321</v>
      </c>
      <c r="AG91" s="149">
        <f t="shared" si="279"/>
        <v>34398.763879962666</v>
      </c>
      <c r="AH91" s="148">
        <f t="shared" si="223"/>
        <v>1.0009149490993259</v>
      </c>
      <c r="AK91" s="149">
        <f t="shared" si="280"/>
        <v>216.21826920567139</v>
      </c>
      <c r="AL91" s="148">
        <f t="shared" si="224"/>
        <v>0.99835477268233785</v>
      </c>
      <c r="AO91" s="149">
        <f t="shared" si="281"/>
        <v>779.25504363781613</v>
      </c>
      <c r="AP91" s="148">
        <f t="shared" si="256"/>
        <v>0.99928503629857546</v>
      </c>
      <c r="AQ91" s="404"/>
      <c r="AT91" s="149">
        <f t="shared" ca="1" si="282"/>
        <v>48215.586163397486</v>
      </c>
      <c r="AU91" s="148">
        <f t="shared" ca="1" si="225"/>
        <v>1.0013217132562173</v>
      </c>
      <c r="AX91" s="149">
        <f t="shared" si="283"/>
        <v>2583.3342211351578</v>
      </c>
      <c r="AY91" s="148">
        <f t="shared" si="226"/>
        <v>1.0010785954933112</v>
      </c>
      <c r="BB91" s="149">
        <f t="shared" si="284"/>
        <v>408.12629002657246</v>
      </c>
      <c r="BC91" s="148">
        <f t="shared" si="227"/>
        <v>1.000714024724862</v>
      </c>
      <c r="BD91" s="394">
        <f t="shared" si="228"/>
        <v>11.745833333333326</v>
      </c>
      <c r="BE91" s="395">
        <f t="shared" si="229"/>
        <v>419.8721233599058</v>
      </c>
      <c r="BH91" s="149">
        <f t="shared" si="285"/>
        <v>3</v>
      </c>
      <c r="BI91" s="148">
        <f t="shared" si="230"/>
        <v>1</v>
      </c>
      <c r="BJ91" s="394">
        <f t="shared" si="231"/>
        <v>2.9895833333333313</v>
      </c>
      <c r="BK91" s="395">
        <f t="shared" si="232"/>
        <v>5.9895833333333313</v>
      </c>
      <c r="BN91" s="149">
        <f t="shared" si="286"/>
        <v>14687.142974405304</v>
      </c>
      <c r="BO91" s="148">
        <f t="shared" si="233"/>
        <v>1.0014423638389347</v>
      </c>
      <c r="BR91" s="149">
        <f t="shared" si="287"/>
        <v>46.696161233881064</v>
      </c>
      <c r="BS91" s="148">
        <f t="shared" si="234"/>
        <v>1.0012136133780991</v>
      </c>
      <c r="BV91" s="149">
        <f t="shared" si="288"/>
        <v>397.12050777551559</v>
      </c>
      <c r="BW91" s="148">
        <f t="shared" si="235"/>
        <v>1.0004363939412999</v>
      </c>
    </row>
    <row r="92" spans="1:75">
      <c r="A92" s="9">
        <f t="shared" si="184"/>
        <v>2028</v>
      </c>
      <c r="B92" s="9" t="s">
        <v>158</v>
      </c>
      <c r="C92" s="149">
        <f t="shared" ca="1" si="273"/>
        <v>124952.61762123945</v>
      </c>
      <c r="D92" s="148">
        <f t="shared" ca="1" si="255"/>
        <v>1.0012359956738881</v>
      </c>
      <c r="G92" s="149">
        <f t="shared" si="274"/>
        <v>1541.2857105689118</v>
      </c>
      <c r="H92" s="148">
        <f t="shared" si="214"/>
        <v>0.99980976780309783</v>
      </c>
      <c r="K92" s="149">
        <f t="shared" si="275"/>
        <v>9726.4728079958768</v>
      </c>
      <c r="L92" s="148">
        <f t="shared" si="239"/>
        <v>1.0005541440839929</v>
      </c>
      <c r="O92" s="149">
        <f t="shared" si="276"/>
        <v>1100.5329176942846</v>
      </c>
      <c r="P92" s="148">
        <f t="shared" si="215"/>
        <v>1.0002760890950009</v>
      </c>
      <c r="Q92" s="394">
        <f t="shared" si="254"/>
        <v>10.999999999999993</v>
      </c>
      <c r="R92" s="395">
        <f t="shared" si="216"/>
        <v>1111.5329176942846</v>
      </c>
      <c r="U92" s="149">
        <f t="shared" si="277"/>
        <v>5</v>
      </c>
      <c r="V92" s="148">
        <f t="shared" si="217"/>
        <v>1</v>
      </c>
      <c r="W92" s="394">
        <f t="shared" si="218"/>
        <v>4.1999999999999993</v>
      </c>
      <c r="X92" s="395">
        <f t="shared" si="219"/>
        <v>9.1999999999999993</v>
      </c>
      <c r="AA92" s="149">
        <f t="shared" si="278"/>
        <v>5</v>
      </c>
      <c r="AB92" s="148">
        <f t="shared" si="220"/>
        <v>1</v>
      </c>
      <c r="AC92" s="394">
        <f t="shared" si="221"/>
        <v>0.99999999999999922</v>
      </c>
      <c r="AD92" s="395">
        <f t="shared" si="222"/>
        <v>5.9999999999999991</v>
      </c>
      <c r="AG92" s="149">
        <f t="shared" si="279"/>
        <v>34430.236997992564</v>
      </c>
      <c r="AH92" s="148">
        <f t="shared" si="223"/>
        <v>1.0009149490993259</v>
      </c>
      <c r="AK92" s="149">
        <f t="shared" si="280"/>
        <v>215.86254100259657</v>
      </c>
      <c r="AL92" s="148">
        <f t="shared" si="224"/>
        <v>0.99835477268233774</v>
      </c>
      <c r="AO92" s="149">
        <f t="shared" si="281"/>
        <v>778.69790456746318</v>
      </c>
      <c r="AP92" s="148">
        <f t="shared" si="256"/>
        <v>0.99928503629857557</v>
      </c>
      <c r="AQ92" s="404"/>
      <c r="AT92" s="149">
        <f t="shared" ca="1" si="282"/>
        <v>48279.313342785936</v>
      </c>
      <c r="AU92" s="148">
        <f t="shared" ca="1" si="225"/>
        <v>1.0013217132562173</v>
      </c>
      <c r="AX92" s="149">
        <f t="shared" si="283"/>
        <v>2586.1205937837908</v>
      </c>
      <c r="AY92" s="148">
        <f t="shared" si="226"/>
        <v>1.0010785954933112</v>
      </c>
      <c r="BB92" s="149">
        <f t="shared" si="284"/>
        <v>408.41770228851766</v>
      </c>
      <c r="BC92" s="148">
        <f t="shared" si="227"/>
        <v>1.000714024724862</v>
      </c>
      <c r="BD92" s="394">
        <f t="shared" si="228"/>
        <v>11.874999999999993</v>
      </c>
      <c r="BE92" s="395">
        <f t="shared" si="229"/>
        <v>420.29270228851766</v>
      </c>
      <c r="BH92" s="149">
        <f t="shared" si="285"/>
        <v>3</v>
      </c>
      <c r="BI92" s="148">
        <f t="shared" si="230"/>
        <v>1</v>
      </c>
      <c r="BJ92" s="394">
        <f t="shared" si="231"/>
        <v>2.9999999999999978</v>
      </c>
      <c r="BK92" s="395">
        <f t="shared" si="232"/>
        <v>5.9999999999999982</v>
      </c>
      <c r="BN92" s="149">
        <f t="shared" si="286"/>
        <v>14708.327178328849</v>
      </c>
      <c r="BO92" s="148">
        <f t="shared" si="233"/>
        <v>1.0014423638389347</v>
      </c>
      <c r="BR92" s="149">
        <f t="shared" si="287"/>
        <v>46.752832319860374</v>
      </c>
      <c r="BS92" s="148">
        <f t="shared" si="234"/>
        <v>1.0012136133780991</v>
      </c>
      <c r="BV92" s="149">
        <f t="shared" si="288"/>
        <v>397.29380875907475</v>
      </c>
      <c r="BW92" s="148">
        <f t="shared" si="235"/>
        <v>1.0004363939412999</v>
      </c>
    </row>
    <row r="93" spans="1:75">
      <c r="A93" s="9">
        <f t="shared" si="184"/>
        <v>2029</v>
      </c>
      <c r="B93" s="9" t="s">
        <v>147</v>
      </c>
      <c r="C93" s="149">
        <f ca="1">C17/D17^(5.50989446627246/12)</f>
        <v>125140.96162232992</v>
      </c>
      <c r="D93" s="148">
        <f t="shared" ref="D93:D128" ca="1" si="289">C93/C92</f>
        <v>1.0015073233732597</v>
      </c>
      <c r="G93" s="149">
        <f>G17/H17^(5.50989446627246/12)</f>
        <v>1540.9925084021361</v>
      </c>
      <c r="H93" s="148">
        <f t="shared" si="214"/>
        <v>0.99980976780309772</v>
      </c>
      <c r="K93" s="149">
        <f>K17/L17^(5.50989446627246/12)</f>
        <v>9731.8626753605549</v>
      </c>
      <c r="L93" s="148">
        <f t="shared" si="239"/>
        <v>1.0005541440839938</v>
      </c>
      <c r="O93" s="149">
        <f>O17/P17^(5.50989446627246/12)</f>
        <v>1100.8367628315491</v>
      </c>
      <c r="P93" s="148">
        <f t="shared" si="215"/>
        <v>1.0002760890950004</v>
      </c>
      <c r="Q93" s="394">
        <f t="shared" si="254"/>
        <v>11.01666666666666</v>
      </c>
      <c r="R93" s="395">
        <f t="shared" si="216"/>
        <v>1111.8534294982157</v>
      </c>
      <c r="U93" s="149">
        <f>U17/V17^(5.50989446627246/12)</f>
        <v>5</v>
      </c>
      <c r="V93" s="148">
        <f t="shared" si="217"/>
        <v>1</v>
      </c>
      <c r="W93" s="394">
        <f t="shared" si="218"/>
        <v>4.208333333333333</v>
      </c>
      <c r="X93" s="395">
        <f t="shared" si="219"/>
        <v>9.2083333333333321</v>
      </c>
      <c r="AA93" s="149">
        <f>AA17/AB17^(5.50989446627246/12)</f>
        <v>5</v>
      </c>
      <c r="AB93" s="148">
        <f t="shared" si="220"/>
        <v>1</v>
      </c>
      <c r="AC93" s="394">
        <f t="shared" si="221"/>
        <v>0.99999999999999922</v>
      </c>
      <c r="AD93" s="395">
        <f t="shared" si="222"/>
        <v>5.9999999999999991</v>
      </c>
      <c r="AG93" s="149">
        <f>AG17/AH17^(5.50989446627246/12)</f>
        <v>34461.73891232349</v>
      </c>
      <c r="AH93" s="148">
        <f t="shared" si="223"/>
        <v>1.000914949099327</v>
      </c>
      <c r="AK93" s="149">
        <f>AK17/AL17^(5.50989446627246/12)</f>
        <v>215.50739805327896</v>
      </c>
      <c r="AL93" s="148">
        <f t="shared" si="224"/>
        <v>0.99835477268233708</v>
      </c>
      <c r="AO93" s="149">
        <f>AO17/AP17^(5.50989446627246/12)</f>
        <v>778.14116383132261</v>
      </c>
      <c r="AP93" s="148">
        <f t="shared" si="256"/>
        <v>0.99928503629857612</v>
      </c>
      <c r="AQ93" s="404"/>
      <c r="AT93" s="149">
        <f ca="1">AT17/AU17^(5.50989446627246/12)</f>
        <v>48375.862069826129</v>
      </c>
      <c r="AU93" s="148">
        <f t="shared" ca="1" si="225"/>
        <v>1.0019997949505763</v>
      </c>
      <c r="AX93" s="149">
        <f>AX17/AY17^(5.50989446627246/12)</f>
        <v>2588.9099718014077</v>
      </c>
      <c r="AY93" s="148">
        <f t="shared" si="226"/>
        <v>1.0010785954933121</v>
      </c>
      <c r="BB93" s="149">
        <f>BB17/BC17^(5.50989446627246/12)</f>
        <v>408.70932262602258</v>
      </c>
      <c r="BC93" s="148">
        <f t="shared" si="227"/>
        <v>1.0007140247248609</v>
      </c>
      <c r="BD93" s="394">
        <f t="shared" si="228"/>
        <v>11.964583333333326</v>
      </c>
      <c r="BE93" s="395">
        <f t="shared" si="229"/>
        <v>420.67390595935592</v>
      </c>
      <c r="BH93" s="149">
        <f>BH17/BI17^(5.50989446627246/12)</f>
        <v>3</v>
      </c>
      <c r="BI93" s="148">
        <f t="shared" si="230"/>
        <v>1</v>
      </c>
      <c r="BJ93" s="394">
        <f t="shared" si="231"/>
        <v>2.9999999999999978</v>
      </c>
      <c r="BK93" s="395">
        <f t="shared" si="232"/>
        <v>5.9999999999999982</v>
      </c>
      <c r="BN93" s="149">
        <f>BN17/BO17^(5.50989446627246/12)</f>
        <v>14729.541937582097</v>
      </c>
      <c r="BO93" s="148">
        <f t="shared" si="233"/>
        <v>1.0014423638389351</v>
      </c>
      <c r="BR93" s="149">
        <f>BR17/BS17^(5.50989446627246/12)</f>
        <v>46.809572182627839</v>
      </c>
      <c r="BS93" s="148">
        <f t="shared" si="234"/>
        <v>1.0012136133781004</v>
      </c>
      <c r="BV93" s="149">
        <f>BV17/BW17^(5.50989446627246/12)</f>
        <v>397.467185370133</v>
      </c>
      <c r="BW93" s="148">
        <f t="shared" si="235"/>
        <v>1.0004363939412995</v>
      </c>
    </row>
    <row r="94" spans="1:75">
      <c r="A94" s="9">
        <f t="shared" si="184"/>
        <v>2029</v>
      </c>
      <c r="B94" s="9" t="s">
        <v>148</v>
      </c>
      <c r="C94" s="149">
        <f t="shared" ref="C94:C104" ca="1" si="290">C93*D$17^(1/12)</f>
        <v>125300.86639827465</v>
      </c>
      <c r="D94" s="148">
        <f t="shared" ca="1" si="289"/>
        <v>1.001277797244577</v>
      </c>
      <c r="G94" s="149">
        <f t="shared" ref="G94:G104" si="291">G93*H$17^(1/12)</f>
        <v>1540.6993620118528</v>
      </c>
      <c r="H94" s="148">
        <f t="shared" si="214"/>
        <v>0.99980976780309772</v>
      </c>
      <c r="K94" s="149">
        <f t="shared" ref="K94:K104" si="292">K93*L$17^(1/12)</f>
        <v>9737.2555294883368</v>
      </c>
      <c r="L94" s="148">
        <f t="shared" si="239"/>
        <v>1.0005541440839929</v>
      </c>
      <c r="O94" s="149">
        <f t="shared" ref="O94:O104" si="293">O93*P$17^(1/12)</f>
        <v>1101.1406918571429</v>
      </c>
      <c r="P94" s="148">
        <f t="shared" si="215"/>
        <v>1.0002760890950009</v>
      </c>
      <c r="Q94" s="394">
        <f t="shared" si="254"/>
        <v>11.033333333333328</v>
      </c>
      <c r="R94" s="395">
        <f t="shared" si="216"/>
        <v>1112.1740251904762</v>
      </c>
      <c r="U94" s="149">
        <f t="shared" ref="U94:U104" si="294">U93*V$17^(1/12)</f>
        <v>5</v>
      </c>
      <c r="V94" s="148">
        <f t="shared" si="217"/>
        <v>1</v>
      </c>
      <c r="W94" s="394">
        <f t="shared" si="218"/>
        <v>4.2166666666666668</v>
      </c>
      <c r="X94" s="395">
        <f t="shared" si="219"/>
        <v>9.2166666666666668</v>
      </c>
      <c r="AA94" s="149">
        <f t="shared" ref="AA94:AA104" si="295">AA93*AB$17^(1/12)</f>
        <v>5</v>
      </c>
      <c r="AB94" s="148">
        <f t="shared" si="220"/>
        <v>1</v>
      </c>
      <c r="AC94" s="394">
        <f t="shared" si="221"/>
        <v>0.99999999999999922</v>
      </c>
      <c r="AD94" s="395">
        <f t="shared" si="222"/>
        <v>5.9999999999999991</v>
      </c>
      <c r="AG94" s="149">
        <f t="shared" ref="AG94:AG104" si="296">AG93*AH$17^(1/12)</f>
        <v>34493.269649302521</v>
      </c>
      <c r="AH94" s="148">
        <f t="shared" si="223"/>
        <v>1.0009149490993259</v>
      </c>
      <c r="AK94" s="149">
        <f t="shared" ref="AK94:AK104" si="297">AK93*AL$17^(1/12)</f>
        <v>215.1528393948434</v>
      </c>
      <c r="AL94" s="148">
        <f t="shared" si="224"/>
        <v>0.99835477268233774</v>
      </c>
      <c r="AO94" s="149">
        <f t="shared" ref="AO94:AO104" si="298">AO93*AP$17^(1/12)</f>
        <v>777.584821144599</v>
      </c>
      <c r="AP94" s="148">
        <f t="shared" si="256"/>
        <v>0.99928503629857546</v>
      </c>
      <c r="AQ94" s="404"/>
      <c r="AT94" s="149">
        <f t="shared" ref="AT94:AT104" ca="1" si="299">AT93*AU$17^(1/12)</f>
        <v>48444.853917238521</v>
      </c>
      <c r="AU94" s="148">
        <f t="shared" ca="1" si="225"/>
        <v>1.0014261626451806</v>
      </c>
      <c r="AX94" s="149">
        <f t="shared" ref="AX94:AX104" si="300">AX93*AY$17^(1/12)</f>
        <v>2591.7023584295812</v>
      </c>
      <c r="AY94" s="148">
        <f t="shared" si="226"/>
        <v>1.0010785954933112</v>
      </c>
      <c r="BB94" s="149">
        <f t="shared" ref="BB94:BB104" si="301">BB93*BC$17^(1/12)</f>
        <v>409.00115118765916</v>
      </c>
      <c r="BC94" s="148">
        <f t="shared" si="227"/>
        <v>1.000714024724862</v>
      </c>
      <c r="BD94" s="394">
        <f t="shared" si="228"/>
        <v>12.05416666666666</v>
      </c>
      <c r="BE94" s="395">
        <f t="shared" si="229"/>
        <v>421.05531785432584</v>
      </c>
      <c r="BH94" s="149">
        <f t="shared" ref="BH94:BH104" si="302">BH93*BI$17^(1/12)</f>
        <v>3</v>
      </c>
      <c r="BI94" s="148">
        <f t="shared" si="230"/>
        <v>1</v>
      </c>
      <c r="BJ94" s="394">
        <f t="shared" si="231"/>
        <v>2.9999999999999978</v>
      </c>
      <c r="BK94" s="395">
        <f t="shared" si="232"/>
        <v>5.9999999999999982</v>
      </c>
      <c r="BN94" s="149">
        <f t="shared" ref="BN94:BN104" si="303">BN93*BO$17^(1/12)</f>
        <v>14750.787296236937</v>
      </c>
      <c r="BO94" s="148">
        <f t="shared" si="233"/>
        <v>1.0014423638389347</v>
      </c>
      <c r="BR94" s="149">
        <f t="shared" ref="BR94:BR104" si="304">BR93*BS$17^(1/12)</f>
        <v>46.866380905651774</v>
      </c>
      <c r="BS94" s="148">
        <f t="shared" si="234"/>
        <v>1.0012136133780991</v>
      </c>
      <c r="BV94" s="149">
        <f t="shared" ref="BV94:BV104" si="305">BV93*BW$17^(1/12)</f>
        <v>397.64063764169407</v>
      </c>
      <c r="BW94" s="148">
        <f t="shared" si="235"/>
        <v>1.0004363939412999</v>
      </c>
    </row>
    <row r="95" spans="1:75">
      <c r="A95" s="9">
        <f t="shared" si="184"/>
        <v>2029</v>
      </c>
      <c r="B95" s="9" t="s">
        <v>149</v>
      </c>
      <c r="C95" s="149">
        <f t="shared" ca="1" si="290"/>
        <v>125460.97550010147</v>
      </c>
      <c r="D95" s="148">
        <f t="shared" ca="1" si="289"/>
        <v>1.001277797244577</v>
      </c>
      <c r="G95" s="149">
        <f t="shared" si="291"/>
        <v>1540.4062713874514</v>
      </c>
      <c r="H95" s="148">
        <f t="shared" si="214"/>
        <v>0.99980976780309772</v>
      </c>
      <c r="K95" s="149">
        <f t="shared" si="292"/>
        <v>9742.6513720343301</v>
      </c>
      <c r="L95" s="148">
        <f t="shared" si="239"/>
        <v>1.0005541440839929</v>
      </c>
      <c r="O95" s="149">
        <f t="shared" si="293"/>
        <v>1101.4447047942263</v>
      </c>
      <c r="P95" s="148">
        <f t="shared" si="215"/>
        <v>1.0002760890950009</v>
      </c>
      <c r="Q95" s="394">
        <f t="shared" si="254"/>
        <v>11.049999999999995</v>
      </c>
      <c r="R95" s="395">
        <f t="shared" si="216"/>
        <v>1112.4947047942262</v>
      </c>
      <c r="U95" s="149">
        <f t="shared" si="294"/>
        <v>5</v>
      </c>
      <c r="V95" s="148">
        <f t="shared" si="217"/>
        <v>1</v>
      </c>
      <c r="W95" s="394">
        <f t="shared" si="218"/>
        <v>4.2250000000000005</v>
      </c>
      <c r="X95" s="395">
        <f t="shared" si="219"/>
        <v>9.2250000000000014</v>
      </c>
      <c r="AA95" s="149">
        <f t="shared" si="295"/>
        <v>5</v>
      </c>
      <c r="AB95" s="148">
        <f t="shared" si="220"/>
        <v>1</v>
      </c>
      <c r="AC95" s="394">
        <f t="shared" si="221"/>
        <v>0.99999999999999922</v>
      </c>
      <c r="AD95" s="395">
        <f t="shared" si="222"/>
        <v>5.9999999999999991</v>
      </c>
      <c r="AG95" s="149">
        <f t="shared" si="296"/>
        <v>34524.829235300953</v>
      </c>
      <c r="AH95" s="148">
        <f t="shared" si="223"/>
        <v>1.0009149490993259</v>
      </c>
      <c r="AK95" s="149">
        <f t="shared" si="297"/>
        <v>214.7988640659984</v>
      </c>
      <c r="AL95" s="148">
        <f t="shared" si="224"/>
        <v>0.99835477268233774</v>
      </c>
      <c r="AO95" s="149">
        <f t="shared" si="298"/>
        <v>777.02887622270202</v>
      </c>
      <c r="AP95" s="148">
        <f t="shared" si="256"/>
        <v>0.99928503629857557</v>
      </c>
      <c r="AQ95" s="404"/>
      <c r="AT95" s="149">
        <f t="shared" ca="1" si="299"/>
        <v>48513.944158246515</v>
      </c>
      <c r="AU95" s="148">
        <f t="shared" ca="1" si="225"/>
        <v>1.0014261626451806</v>
      </c>
      <c r="AX95" s="149">
        <f t="shared" si="300"/>
        <v>2594.4977569133875</v>
      </c>
      <c r="AY95" s="148">
        <f t="shared" si="226"/>
        <v>1.0010785954933112</v>
      </c>
      <c r="BB95" s="149">
        <f t="shared" si="301"/>
        <v>409.2931881221042</v>
      </c>
      <c r="BC95" s="148">
        <f t="shared" si="227"/>
        <v>1.000714024724862</v>
      </c>
      <c r="BD95" s="394">
        <f t="shared" si="228"/>
        <v>12.143749999999994</v>
      </c>
      <c r="BE95" s="395">
        <f t="shared" si="229"/>
        <v>421.43693812210421</v>
      </c>
      <c r="BH95" s="149">
        <f t="shared" si="302"/>
        <v>3</v>
      </c>
      <c r="BI95" s="148">
        <f t="shared" si="230"/>
        <v>1</v>
      </c>
      <c r="BJ95" s="394">
        <f t="shared" si="231"/>
        <v>2.9999999999999978</v>
      </c>
      <c r="BK95" s="395">
        <f t="shared" si="232"/>
        <v>5.9999999999999982</v>
      </c>
      <c r="BN95" s="149">
        <f t="shared" si="303"/>
        <v>14772.063298428846</v>
      </c>
      <c r="BO95" s="148">
        <f t="shared" si="233"/>
        <v>1.0014423638389347</v>
      </c>
      <c r="BR95" s="149">
        <f t="shared" si="304"/>
        <v>46.923258572501965</v>
      </c>
      <c r="BS95" s="148">
        <f t="shared" si="234"/>
        <v>1.0012136133780991</v>
      </c>
      <c r="BV95" s="149">
        <f t="shared" si="305"/>
        <v>397.81416560677553</v>
      </c>
      <c r="BW95" s="148">
        <f t="shared" si="235"/>
        <v>1.0004363939412999</v>
      </c>
    </row>
    <row r="96" spans="1:75">
      <c r="A96" s="9">
        <f t="shared" si="184"/>
        <v>2029</v>
      </c>
      <c r="B96" s="9" t="s">
        <v>150</v>
      </c>
      <c r="C96" s="149">
        <f t="shared" ca="1" si="290"/>
        <v>125621.28918889744</v>
      </c>
      <c r="D96" s="148">
        <f t="shared" ca="1" si="289"/>
        <v>1.001277797244577</v>
      </c>
      <c r="G96" s="149">
        <f t="shared" si="291"/>
        <v>1540.1132365183232</v>
      </c>
      <c r="H96" s="148">
        <f t="shared" si="214"/>
        <v>0.9998097678030976</v>
      </c>
      <c r="K96" s="149">
        <f t="shared" si="292"/>
        <v>9748.050204654548</v>
      </c>
      <c r="L96" s="148">
        <f t="shared" si="239"/>
        <v>1.0005541440839929</v>
      </c>
      <c r="O96" s="149">
        <f t="shared" si="293"/>
        <v>1101.7488016659663</v>
      </c>
      <c r="P96" s="148">
        <f t="shared" si="215"/>
        <v>1.0002760890950009</v>
      </c>
      <c r="Q96" s="394">
        <f t="shared" si="254"/>
        <v>11.066666666666663</v>
      </c>
      <c r="R96" s="395">
        <f t="shared" si="216"/>
        <v>1112.8154683326329</v>
      </c>
      <c r="U96" s="149">
        <f t="shared" si="294"/>
        <v>5</v>
      </c>
      <c r="V96" s="148">
        <f t="shared" si="217"/>
        <v>1</v>
      </c>
      <c r="W96" s="394">
        <f t="shared" si="218"/>
        <v>4.2333333333333343</v>
      </c>
      <c r="X96" s="395">
        <f t="shared" si="219"/>
        <v>9.2333333333333343</v>
      </c>
      <c r="AA96" s="149">
        <f t="shared" si="295"/>
        <v>5</v>
      </c>
      <c r="AB96" s="148">
        <f t="shared" si="220"/>
        <v>1</v>
      </c>
      <c r="AC96" s="394">
        <f t="shared" si="221"/>
        <v>0.99999999999999922</v>
      </c>
      <c r="AD96" s="395">
        <f t="shared" si="222"/>
        <v>5.9999999999999991</v>
      </c>
      <c r="AG96" s="149">
        <f t="shared" si="296"/>
        <v>34556.417696714168</v>
      </c>
      <c r="AH96" s="148">
        <f t="shared" si="223"/>
        <v>1.0009149490993259</v>
      </c>
      <c r="AK96" s="149">
        <f t="shared" si="297"/>
        <v>214.44547110703419</v>
      </c>
      <c r="AL96" s="148">
        <f t="shared" si="224"/>
        <v>0.99835477268233774</v>
      </c>
      <c r="AO96" s="149">
        <f t="shared" si="298"/>
        <v>776.47332878124416</v>
      </c>
      <c r="AP96" s="148">
        <f t="shared" si="256"/>
        <v>0.99928503629857557</v>
      </c>
      <c r="AQ96" s="404"/>
      <c r="AT96" s="149">
        <f t="shared" ca="1" si="299"/>
        <v>48583.13293317538</v>
      </c>
      <c r="AU96" s="148">
        <f t="shared" ca="1" si="225"/>
        <v>1.0014261626451806</v>
      </c>
      <c r="AX96" s="149">
        <f t="shared" si="300"/>
        <v>2597.2961705014004</v>
      </c>
      <c r="AY96" s="148">
        <f t="shared" si="226"/>
        <v>1.0010785954933112</v>
      </c>
      <c r="BB96" s="149">
        <f t="shared" si="301"/>
        <v>409.58543357814096</v>
      </c>
      <c r="BC96" s="148">
        <f t="shared" si="227"/>
        <v>1.000714024724862</v>
      </c>
      <c r="BD96" s="394">
        <f t="shared" si="228"/>
        <v>12.233333333333327</v>
      </c>
      <c r="BE96" s="395">
        <f t="shared" si="229"/>
        <v>421.81876691147431</v>
      </c>
      <c r="BH96" s="149">
        <f t="shared" si="302"/>
        <v>3</v>
      </c>
      <c r="BI96" s="148">
        <f t="shared" si="230"/>
        <v>1</v>
      </c>
      <c r="BJ96" s="394">
        <f t="shared" si="231"/>
        <v>2.9999999999999978</v>
      </c>
      <c r="BK96" s="395">
        <f t="shared" si="232"/>
        <v>5.9999999999999982</v>
      </c>
      <c r="BN96" s="149">
        <f t="shared" si="303"/>
        <v>14793.369988356953</v>
      </c>
      <c r="BO96" s="148">
        <f t="shared" si="233"/>
        <v>1.0014423638389347</v>
      </c>
      <c r="BR96" s="149">
        <f t="shared" si="304"/>
        <v>46.980205266849559</v>
      </c>
      <c r="BS96" s="148">
        <f t="shared" si="234"/>
        <v>1.0012136133780991</v>
      </c>
      <c r="BV96" s="149">
        <f t="shared" si="305"/>
        <v>397.9877692984096</v>
      </c>
      <c r="BW96" s="148">
        <f t="shared" si="235"/>
        <v>1.0004363939412999</v>
      </c>
    </row>
    <row r="97" spans="1:75">
      <c r="A97" s="9">
        <f t="shared" si="184"/>
        <v>2029</v>
      </c>
      <c r="B97" s="9" t="s">
        <v>151</v>
      </c>
      <c r="C97" s="149">
        <f t="shared" ca="1" si="290"/>
        <v>125781.80772608322</v>
      </c>
      <c r="D97" s="148">
        <f t="shared" ca="1" si="289"/>
        <v>1.001277797244577</v>
      </c>
      <c r="G97" s="149">
        <f t="shared" si="291"/>
        <v>1539.820257393862</v>
      </c>
      <c r="H97" s="148">
        <f t="shared" si="214"/>
        <v>0.99980976780309772</v>
      </c>
      <c r="K97" s="149">
        <f t="shared" si="292"/>
        <v>9753.4520290059227</v>
      </c>
      <c r="L97" s="148">
        <f t="shared" si="239"/>
        <v>1.0005541440839929</v>
      </c>
      <c r="O97" s="149">
        <f t="shared" si="293"/>
        <v>1102.0529824955365</v>
      </c>
      <c r="P97" s="148">
        <f t="shared" si="215"/>
        <v>1.0002760890950009</v>
      </c>
      <c r="Q97" s="394">
        <f t="shared" si="254"/>
        <v>11.08333333333333</v>
      </c>
      <c r="R97" s="395">
        <f t="shared" si="216"/>
        <v>1113.1363158288698</v>
      </c>
      <c r="U97" s="149">
        <f t="shared" si="294"/>
        <v>5</v>
      </c>
      <c r="V97" s="148">
        <f t="shared" si="217"/>
        <v>1</v>
      </c>
      <c r="W97" s="394">
        <f t="shared" si="218"/>
        <v>4.241666666666668</v>
      </c>
      <c r="X97" s="395">
        <f t="shared" si="219"/>
        <v>9.2416666666666671</v>
      </c>
      <c r="AA97" s="149">
        <f t="shared" si="295"/>
        <v>5</v>
      </c>
      <c r="AB97" s="148">
        <f t="shared" si="220"/>
        <v>1</v>
      </c>
      <c r="AC97" s="394">
        <f t="shared" si="221"/>
        <v>0.99999999999999922</v>
      </c>
      <c r="AD97" s="395">
        <f t="shared" si="222"/>
        <v>5.9999999999999991</v>
      </c>
      <c r="AG97" s="149">
        <f t="shared" si="296"/>
        <v>34588.035059961709</v>
      </c>
      <c r="AH97" s="148">
        <f t="shared" si="223"/>
        <v>1.0009149490993259</v>
      </c>
      <c r="AK97" s="149">
        <f t="shared" si="297"/>
        <v>214.09265955981994</v>
      </c>
      <c r="AL97" s="148">
        <f t="shared" si="224"/>
        <v>0.99835477268233763</v>
      </c>
      <c r="AO97" s="149">
        <f t="shared" si="298"/>
        <v>775.91817853604141</v>
      </c>
      <c r="AP97" s="148">
        <f t="shared" si="256"/>
        <v>0.99928503629857557</v>
      </c>
      <c r="AQ97" s="404"/>
      <c r="AT97" s="149">
        <f t="shared" ca="1" si="299"/>
        <v>48652.420382550517</v>
      </c>
      <c r="AU97" s="148">
        <f t="shared" ca="1" si="225"/>
        <v>1.0014261626451806</v>
      </c>
      <c r="AX97" s="149">
        <f t="shared" si="300"/>
        <v>2600.0976024456977</v>
      </c>
      <c r="AY97" s="148">
        <f t="shared" si="226"/>
        <v>1.0010785954933112</v>
      </c>
      <c r="BB97" s="149">
        <f t="shared" si="301"/>
        <v>409.87788770465909</v>
      </c>
      <c r="BC97" s="148">
        <f t="shared" si="227"/>
        <v>1.000714024724862</v>
      </c>
      <c r="BD97" s="394">
        <f t="shared" si="228"/>
        <v>12.322916666666661</v>
      </c>
      <c r="BE97" s="395">
        <f t="shared" si="229"/>
        <v>422.20080437132577</v>
      </c>
      <c r="BH97" s="149">
        <f t="shared" si="302"/>
        <v>3</v>
      </c>
      <c r="BI97" s="148">
        <f t="shared" si="230"/>
        <v>1</v>
      </c>
      <c r="BJ97" s="394">
        <f t="shared" si="231"/>
        <v>2.9999999999999978</v>
      </c>
      <c r="BK97" s="395">
        <f t="shared" si="232"/>
        <v>5.9999999999999982</v>
      </c>
      <c r="BN97" s="149">
        <f t="shared" si="303"/>
        <v>14814.707410284142</v>
      </c>
      <c r="BO97" s="148">
        <f t="shared" si="233"/>
        <v>1.0014423638389347</v>
      </c>
      <c r="BR97" s="149">
        <f t="shared" si="304"/>
        <v>47.037221072467247</v>
      </c>
      <c r="BS97" s="148">
        <f t="shared" si="234"/>
        <v>1.0012136133780991</v>
      </c>
      <c r="BV97" s="149">
        <f t="shared" si="305"/>
        <v>398.16144874964289</v>
      </c>
      <c r="BW97" s="148">
        <f t="shared" si="235"/>
        <v>1.0004363939412999</v>
      </c>
    </row>
    <row r="98" spans="1:75">
      <c r="A98" s="9">
        <f t="shared" ref="A98:A128" si="306">A86+1</f>
        <v>2029</v>
      </c>
      <c r="B98" s="9" t="s">
        <v>152</v>
      </c>
      <c r="C98" s="149">
        <f t="shared" ca="1" si="290"/>
        <v>125942.53137341353</v>
      </c>
      <c r="D98" s="148">
        <f t="shared" ca="1" si="289"/>
        <v>1.001277797244577</v>
      </c>
      <c r="G98" s="149">
        <f t="shared" si="291"/>
        <v>1539.5273340034632</v>
      </c>
      <c r="H98" s="148">
        <f t="shared" si="214"/>
        <v>0.99980976780309772</v>
      </c>
      <c r="K98" s="149">
        <f t="shared" si="292"/>
        <v>9758.8568467463047</v>
      </c>
      <c r="L98" s="148">
        <f t="shared" si="239"/>
        <v>1.0005541440839929</v>
      </c>
      <c r="O98" s="149">
        <f t="shared" si="293"/>
        <v>1102.3572473061167</v>
      </c>
      <c r="P98" s="148">
        <f t="shared" si="215"/>
        <v>1.0002760890950009</v>
      </c>
      <c r="Q98" s="394">
        <f t="shared" si="254"/>
        <v>11.099999999999998</v>
      </c>
      <c r="R98" s="395">
        <f t="shared" si="216"/>
        <v>1113.4572473061166</v>
      </c>
      <c r="U98" s="149">
        <f t="shared" si="294"/>
        <v>5</v>
      </c>
      <c r="V98" s="148">
        <f t="shared" si="217"/>
        <v>1</v>
      </c>
      <c r="W98" s="394">
        <f t="shared" si="218"/>
        <v>4.2500000000000018</v>
      </c>
      <c r="X98" s="395">
        <f t="shared" si="219"/>
        <v>9.2500000000000018</v>
      </c>
      <c r="AA98" s="149">
        <f t="shared" si="295"/>
        <v>5</v>
      </c>
      <c r="AB98" s="148">
        <f t="shared" si="220"/>
        <v>1</v>
      </c>
      <c r="AC98" s="394">
        <f t="shared" si="221"/>
        <v>0.99999999999999922</v>
      </c>
      <c r="AD98" s="395">
        <f t="shared" si="222"/>
        <v>5.9999999999999991</v>
      </c>
      <c r="AG98" s="149">
        <f t="shared" si="296"/>
        <v>34619.68135148727</v>
      </c>
      <c r="AH98" s="148">
        <f t="shared" si="223"/>
        <v>1.0009149490993259</v>
      </c>
      <c r="AK98" s="149">
        <f t="shared" si="297"/>
        <v>213.74042846780117</v>
      </c>
      <c r="AL98" s="148">
        <f t="shared" si="224"/>
        <v>0.99835477268233785</v>
      </c>
      <c r="AO98" s="149">
        <f t="shared" si="298"/>
        <v>775.3634252031128</v>
      </c>
      <c r="AP98" s="148">
        <f t="shared" si="256"/>
        <v>0.99928503629857557</v>
      </c>
      <c r="AQ98" s="404"/>
      <c r="AT98" s="149">
        <f t="shared" ca="1" si="299"/>
        <v>48721.806647097736</v>
      </c>
      <c r="AU98" s="148">
        <f t="shared" ca="1" si="225"/>
        <v>1.0014261626451806</v>
      </c>
      <c r="AX98" s="149">
        <f t="shared" si="300"/>
        <v>2602.9020560018648</v>
      </c>
      <c r="AY98" s="148">
        <f t="shared" si="226"/>
        <v>1.0010785954933112</v>
      </c>
      <c r="BB98" s="149">
        <f t="shared" si="301"/>
        <v>410.17055065065443</v>
      </c>
      <c r="BC98" s="148">
        <f t="shared" si="227"/>
        <v>1.000714024724862</v>
      </c>
      <c r="BD98" s="394">
        <f t="shared" si="228"/>
        <v>12.412499999999994</v>
      </c>
      <c r="BE98" s="395">
        <f t="shared" si="229"/>
        <v>422.5830506506544</v>
      </c>
      <c r="BH98" s="149">
        <f t="shared" si="302"/>
        <v>3</v>
      </c>
      <c r="BI98" s="148">
        <f t="shared" si="230"/>
        <v>1</v>
      </c>
      <c r="BJ98" s="394">
        <f t="shared" si="231"/>
        <v>2.9999999999999978</v>
      </c>
      <c r="BK98" s="395">
        <f t="shared" si="232"/>
        <v>5.9999999999999982</v>
      </c>
      <c r="BN98" s="149">
        <f t="shared" si="303"/>
        <v>14836.075608537134</v>
      </c>
      <c r="BO98" s="148">
        <f t="shared" si="233"/>
        <v>1.0014423638389347</v>
      </c>
      <c r="BR98" s="149">
        <f t="shared" si="304"/>
        <v>47.094306073229397</v>
      </c>
      <c r="BS98" s="148">
        <f t="shared" si="234"/>
        <v>1.0012136133780991</v>
      </c>
      <c r="BV98" s="149">
        <f t="shared" si="305"/>
        <v>398.33520399353642</v>
      </c>
      <c r="BW98" s="148">
        <f t="shared" si="235"/>
        <v>1.0004363939412999</v>
      </c>
    </row>
    <row r="99" spans="1:75">
      <c r="A99" s="9">
        <f t="shared" si="306"/>
        <v>2029</v>
      </c>
      <c r="B99" s="9" t="s">
        <v>153</v>
      </c>
      <c r="C99" s="149">
        <f t="shared" ca="1" si="290"/>
        <v>126103.46039297753</v>
      </c>
      <c r="D99" s="148">
        <f t="shared" ca="1" si="289"/>
        <v>1.001277797244577</v>
      </c>
      <c r="G99" s="149">
        <f t="shared" si="291"/>
        <v>1539.2344663365247</v>
      </c>
      <c r="H99" s="148">
        <f t="shared" ref="H99:H128" si="307">G99/G98</f>
        <v>0.99980976780309783</v>
      </c>
      <c r="K99" s="149">
        <f t="shared" si="292"/>
        <v>9764.2646595344631</v>
      </c>
      <c r="L99" s="148">
        <f t="shared" ref="L99:L128" si="308">K99/K98</f>
        <v>1.0005541440839929</v>
      </c>
      <c r="O99" s="149">
        <f t="shared" si="293"/>
        <v>1102.6615961208931</v>
      </c>
      <c r="P99" s="148">
        <f t="shared" ref="P99:P128" si="309">O99/O98</f>
        <v>1.0002760890950009</v>
      </c>
      <c r="Q99" s="394">
        <f t="shared" si="254"/>
        <v>11.116666666666665</v>
      </c>
      <c r="R99" s="395">
        <f t="shared" si="216"/>
        <v>1113.7782627875597</v>
      </c>
      <c r="U99" s="149">
        <f t="shared" si="294"/>
        <v>5</v>
      </c>
      <c r="V99" s="148">
        <f t="shared" ref="V99:V128" si="310">U99/U98</f>
        <v>1</v>
      </c>
      <c r="W99" s="394">
        <f t="shared" si="218"/>
        <v>4.2583333333333355</v>
      </c>
      <c r="X99" s="395">
        <f t="shared" si="219"/>
        <v>9.2583333333333364</v>
      </c>
      <c r="AA99" s="149">
        <f t="shared" si="295"/>
        <v>5</v>
      </c>
      <c r="AB99" s="148">
        <f t="shared" ref="AB99:AB128" si="311">AA99/AA98</f>
        <v>1</v>
      </c>
      <c r="AC99" s="394">
        <f t="shared" si="221"/>
        <v>0.99999999999999922</v>
      </c>
      <c r="AD99" s="395">
        <f t="shared" si="222"/>
        <v>5.9999999999999991</v>
      </c>
      <c r="AG99" s="149">
        <f t="shared" si="296"/>
        <v>34651.356597758764</v>
      </c>
      <c r="AH99" s="148">
        <f t="shared" ref="AH99:AH128" si="312">AG99/AG98</f>
        <v>1.0009149490993259</v>
      </c>
      <c r="AK99" s="149">
        <f t="shared" si="297"/>
        <v>213.38877687599711</v>
      </c>
      <c r="AL99" s="148">
        <f t="shared" ref="AL99:AL128" si="313">AK99/AK98</f>
        <v>0.99835477268233774</v>
      </c>
      <c r="AO99" s="149">
        <f t="shared" si="298"/>
        <v>774.8090684986804</v>
      </c>
      <c r="AP99" s="148">
        <f t="shared" ref="AP99:AP128" si="314">AO99/AO98</f>
        <v>0.99928503629857546</v>
      </c>
      <c r="AQ99" s="404"/>
      <c r="AT99" s="149">
        <f t="shared" ca="1" si="299"/>
        <v>48791.291867743537</v>
      </c>
      <c r="AU99" s="148">
        <f t="shared" ref="AU99:AU128" ca="1" si="315">AT99/AT98</f>
        <v>1.0014261626451806</v>
      </c>
      <c r="AX99" s="149">
        <f t="shared" si="300"/>
        <v>2605.7095344289992</v>
      </c>
      <c r="AY99" s="148">
        <f t="shared" ref="AY99:AY128" si="316">AX99/AX98</f>
        <v>1.0010785954933112</v>
      </c>
      <c r="BB99" s="149">
        <f t="shared" si="301"/>
        <v>410.46342256522928</v>
      </c>
      <c r="BC99" s="148">
        <f t="shared" ref="BC99:BC128" si="317">BB99/BB98</f>
        <v>1.000714024724862</v>
      </c>
      <c r="BD99" s="394">
        <f t="shared" si="228"/>
        <v>12.502083333333328</v>
      </c>
      <c r="BE99" s="395">
        <f t="shared" si="229"/>
        <v>422.96550589856258</v>
      </c>
      <c r="BH99" s="149">
        <f t="shared" si="302"/>
        <v>3</v>
      </c>
      <c r="BI99" s="148">
        <f t="shared" ref="BI99:BI128" si="318">BH99/BH98</f>
        <v>1</v>
      </c>
      <c r="BJ99" s="394">
        <f t="shared" si="231"/>
        <v>2.9999999999999978</v>
      </c>
      <c r="BK99" s="395">
        <f t="shared" si="232"/>
        <v>5.9999999999999982</v>
      </c>
      <c r="BN99" s="149">
        <f t="shared" si="303"/>
        <v>14857.47462750659</v>
      </c>
      <c r="BO99" s="148">
        <f t="shared" ref="BO99:BO128" si="319">BN99/BN98</f>
        <v>1.0014423638389347</v>
      </c>
      <c r="BR99" s="149">
        <f t="shared" si="304"/>
        <v>47.151460353112164</v>
      </c>
      <c r="BS99" s="148">
        <f t="shared" ref="BS99:BS128" si="320">BR99/BR98</f>
        <v>1.0012136133780991</v>
      </c>
      <c r="BV99" s="149">
        <f t="shared" si="305"/>
        <v>398.50903506316564</v>
      </c>
      <c r="BW99" s="148">
        <f t="shared" ref="BW99:BW128" si="321">BV99/BV98</f>
        <v>1.0004363939412999</v>
      </c>
    </row>
    <row r="100" spans="1:75">
      <c r="A100" s="9">
        <f t="shared" si="306"/>
        <v>2029</v>
      </c>
      <c r="B100" s="9" t="s">
        <v>154</v>
      </c>
      <c r="C100" s="149">
        <f t="shared" ca="1" si="290"/>
        <v>126264.5950471993</v>
      </c>
      <c r="D100" s="148">
        <f t="shared" ca="1" si="289"/>
        <v>1.001277797244577</v>
      </c>
      <c r="G100" s="149">
        <f t="shared" si="291"/>
        <v>1538.9416543824459</v>
      </c>
      <c r="H100" s="148">
        <f t="shared" si="307"/>
        <v>0.99980976780309772</v>
      </c>
      <c r="K100" s="149">
        <f t="shared" si="292"/>
        <v>9769.6754690300859</v>
      </c>
      <c r="L100" s="148">
        <f t="shared" si="308"/>
        <v>1.0005541440839929</v>
      </c>
      <c r="O100" s="149">
        <f t="shared" si="293"/>
        <v>1102.9660289630583</v>
      </c>
      <c r="P100" s="148">
        <f t="shared" si="309"/>
        <v>1.0002760890950009</v>
      </c>
      <c r="Q100" s="394">
        <f t="shared" si="254"/>
        <v>11.133333333333333</v>
      </c>
      <c r="R100" s="395">
        <f t="shared" si="216"/>
        <v>1114.0993622963917</v>
      </c>
      <c r="U100" s="149">
        <f t="shared" si="294"/>
        <v>5</v>
      </c>
      <c r="V100" s="148">
        <f t="shared" si="310"/>
        <v>1</v>
      </c>
      <c r="W100" s="394">
        <f t="shared" si="218"/>
        <v>4.2666666666666693</v>
      </c>
      <c r="X100" s="395">
        <f t="shared" si="219"/>
        <v>9.2666666666666693</v>
      </c>
      <c r="AA100" s="149">
        <f t="shared" si="295"/>
        <v>5</v>
      </c>
      <c r="AB100" s="148">
        <f t="shared" si="311"/>
        <v>1</v>
      </c>
      <c r="AC100" s="394">
        <f t="shared" si="221"/>
        <v>0.99999999999999922</v>
      </c>
      <c r="AD100" s="395">
        <f t="shared" si="222"/>
        <v>5.9999999999999991</v>
      </c>
      <c r="AG100" s="149">
        <f t="shared" si="296"/>
        <v>34683.060825268301</v>
      </c>
      <c r="AH100" s="148">
        <f t="shared" si="312"/>
        <v>1.0009149490993259</v>
      </c>
      <c r="AK100" s="149">
        <f t="shared" si="297"/>
        <v>213.0377038309982</v>
      </c>
      <c r="AL100" s="148">
        <f t="shared" si="313"/>
        <v>0.99835477268233785</v>
      </c>
      <c r="AO100" s="149">
        <f t="shared" si="298"/>
        <v>774.25510813916935</v>
      </c>
      <c r="AP100" s="148">
        <f t="shared" si="314"/>
        <v>0.99928503629857557</v>
      </c>
      <c r="AQ100" s="404"/>
      <c r="AT100" s="149">
        <f t="shared" ca="1" si="299"/>
        <v>48860.876185615416</v>
      </c>
      <c r="AU100" s="148">
        <f t="shared" ca="1" si="315"/>
        <v>1.0014261626451806</v>
      </c>
      <c r="AX100" s="149">
        <f t="shared" si="300"/>
        <v>2608.5200409897125</v>
      </c>
      <c r="AY100" s="148">
        <f t="shared" si="316"/>
        <v>1.0010785954933112</v>
      </c>
      <c r="BB100" s="149">
        <f t="shared" si="301"/>
        <v>410.75650359759237</v>
      </c>
      <c r="BC100" s="148">
        <f t="shared" si="317"/>
        <v>1.000714024724862</v>
      </c>
      <c r="BD100" s="394">
        <f t="shared" si="228"/>
        <v>12.591666666666661</v>
      </c>
      <c r="BE100" s="395">
        <f t="shared" si="229"/>
        <v>423.34817026425901</v>
      </c>
      <c r="BH100" s="149">
        <f t="shared" si="302"/>
        <v>3</v>
      </c>
      <c r="BI100" s="148">
        <f t="shared" si="318"/>
        <v>1</v>
      </c>
      <c r="BJ100" s="394">
        <f t="shared" si="231"/>
        <v>2.9999999999999978</v>
      </c>
      <c r="BK100" s="395">
        <f t="shared" si="232"/>
        <v>5.9999999999999982</v>
      </c>
      <c r="BN100" s="149">
        <f t="shared" si="303"/>
        <v>14878.904511647195</v>
      </c>
      <c r="BO100" s="148">
        <f t="shared" si="319"/>
        <v>1.0014423638389347</v>
      </c>
      <c r="BR100" s="149">
        <f t="shared" si="304"/>
        <v>47.208683996193614</v>
      </c>
      <c r="BS100" s="148">
        <f t="shared" si="320"/>
        <v>1.0012136133780991</v>
      </c>
      <c r="BV100" s="149">
        <f t="shared" si="305"/>
        <v>398.68294199162045</v>
      </c>
      <c r="BW100" s="148">
        <f t="shared" si="321"/>
        <v>1.0004363939412999</v>
      </c>
    </row>
    <row r="101" spans="1:75">
      <c r="A101" s="9">
        <f t="shared" si="306"/>
        <v>2029</v>
      </c>
      <c r="B101" s="9" t="s">
        <v>684</v>
      </c>
      <c r="C101" s="149">
        <f t="shared" ca="1" si="290"/>
        <v>126425.93559883824</v>
      </c>
      <c r="D101" s="148">
        <f t="shared" ca="1" si="289"/>
        <v>1.001277797244577</v>
      </c>
      <c r="G101" s="149">
        <f t="shared" si="291"/>
        <v>1538.6488981306284</v>
      </c>
      <c r="H101" s="148">
        <f t="shared" si="307"/>
        <v>0.99980976780309772</v>
      </c>
      <c r="K101" s="149">
        <f t="shared" si="292"/>
        <v>9775.0892768937792</v>
      </c>
      <c r="L101" s="148">
        <f t="shared" si="308"/>
        <v>1.0005541440839929</v>
      </c>
      <c r="O101" s="149">
        <f t="shared" si="293"/>
        <v>1103.2705458558114</v>
      </c>
      <c r="P101" s="148">
        <f t="shared" si="309"/>
        <v>1.0002760890950009</v>
      </c>
      <c r="Q101" s="394">
        <f t="shared" si="254"/>
        <v>11.15</v>
      </c>
      <c r="R101" s="395">
        <f t="shared" si="216"/>
        <v>1114.4205458558115</v>
      </c>
      <c r="U101" s="149">
        <f t="shared" si="294"/>
        <v>5</v>
      </c>
      <c r="V101" s="148">
        <f t="shared" si="310"/>
        <v>1</v>
      </c>
      <c r="W101" s="394">
        <f t="shared" si="218"/>
        <v>4.275000000000003</v>
      </c>
      <c r="X101" s="395">
        <f t="shared" si="219"/>
        <v>9.2750000000000021</v>
      </c>
      <c r="AA101" s="149">
        <f t="shared" si="295"/>
        <v>5</v>
      </c>
      <c r="AB101" s="148">
        <f t="shared" si="311"/>
        <v>1</v>
      </c>
      <c r="AC101" s="394">
        <f t="shared" si="221"/>
        <v>0.99999999999999922</v>
      </c>
      <c r="AD101" s="395">
        <f t="shared" si="222"/>
        <v>5.9999999999999991</v>
      </c>
      <c r="AG101" s="149">
        <f t="shared" si="296"/>
        <v>34714.794060532244</v>
      </c>
      <c r="AH101" s="148">
        <f t="shared" si="312"/>
        <v>1.0009149490993259</v>
      </c>
      <c r="AK101" s="149">
        <f t="shared" si="297"/>
        <v>212.6872083809634</v>
      </c>
      <c r="AL101" s="148">
        <f t="shared" si="313"/>
        <v>0.99835477268233774</v>
      </c>
      <c r="AO101" s="149">
        <f t="shared" si="298"/>
        <v>773.70154384120735</v>
      </c>
      <c r="AP101" s="148">
        <f t="shared" si="314"/>
        <v>0.99928503629857546</v>
      </c>
      <c r="AQ101" s="404"/>
      <c r="AT101" s="149">
        <f t="shared" ca="1" si="299"/>
        <v>48930.559742042133</v>
      </c>
      <c r="AU101" s="148">
        <f t="shared" ca="1" si="315"/>
        <v>1.0014261626451806</v>
      </c>
      <c r="AX101" s="149">
        <f t="shared" si="300"/>
        <v>2611.3335789501361</v>
      </c>
      <c r="AY101" s="148">
        <f t="shared" si="316"/>
        <v>1.0010785954933112</v>
      </c>
      <c r="BB101" s="149">
        <f t="shared" si="301"/>
        <v>411.04979389705892</v>
      </c>
      <c r="BC101" s="148">
        <f t="shared" si="317"/>
        <v>1.000714024724862</v>
      </c>
      <c r="BD101" s="394">
        <f t="shared" si="228"/>
        <v>12.681249999999995</v>
      </c>
      <c r="BE101" s="395">
        <f t="shared" si="229"/>
        <v>423.7310438970589</v>
      </c>
      <c r="BH101" s="149">
        <f t="shared" si="302"/>
        <v>3</v>
      </c>
      <c r="BI101" s="148">
        <f t="shared" si="318"/>
        <v>1</v>
      </c>
      <c r="BJ101" s="394">
        <f t="shared" si="231"/>
        <v>2.9999999999999978</v>
      </c>
      <c r="BK101" s="395">
        <f t="shared" si="232"/>
        <v>5.9999999999999982</v>
      </c>
      <c r="BN101" s="149">
        <f t="shared" si="303"/>
        <v>14900.365305477757</v>
      </c>
      <c r="BO101" s="148">
        <f t="shared" si="319"/>
        <v>1.0014423638389347</v>
      </c>
      <c r="BR101" s="149">
        <f t="shared" si="304"/>
        <v>47.265977086653848</v>
      </c>
      <c r="BS101" s="148">
        <f t="shared" si="320"/>
        <v>1.0012136133780991</v>
      </c>
      <c r="BV101" s="149">
        <f t="shared" si="305"/>
        <v>398.85692481200522</v>
      </c>
      <c r="BW101" s="148">
        <f t="shared" si="321"/>
        <v>1.0004363939412999</v>
      </c>
    </row>
    <row r="102" spans="1:75">
      <c r="A102" s="9">
        <f t="shared" si="306"/>
        <v>2029</v>
      </c>
      <c r="B102" s="9" t="s">
        <v>156</v>
      </c>
      <c r="C102" s="149">
        <f t="shared" ca="1" si="290"/>
        <v>126587.48231098951</v>
      </c>
      <c r="D102" s="148">
        <f t="shared" ca="1" si="289"/>
        <v>1.001277797244577</v>
      </c>
      <c r="G102" s="149">
        <f t="shared" si="291"/>
        <v>1538.3561975704756</v>
      </c>
      <c r="H102" s="148">
        <f t="shared" si="307"/>
        <v>0.99980976780309772</v>
      </c>
      <c r="K102" s="149">
        <f t="shared" si="292"/>
        <v>9780.5060847870718</v>
      </c>
      <c r="L102" s="148">
        <f t="shared" si="308"/>
        <v>1.0005541440839929</v>
      </c>
      <c r="O102" s="149">
        <f t="shared" si="293"/>
        <v>1103.575146822358</v>
      </c>
      <c r="P102" s="148">
        <f t="shared" si="309"/>
        <v>1.0002760890950009</v>
      </c>
      <c r="Q102" s="394">
        <f t="shared" si="254"/>
        <v>11.166666666666668</v>
      </c>
      <c r="R102" s="395">
        <f t="shared" si="216"/>
        <v>1114.7418134890247</v>
      </c>
      <c r="U102" s="149">
        <f t="shared" si="294"/>
        <v>5</v>
      </c>
      <c r="V102" s="148">
        <f t="shared" si="310"/>
        <v>1</v>
      </c>
      <c r="W102" s="394">
        <f t="shared" si="218"/>
        <v>4.2833333333333368</v>
      </c>
      <c r="X102" s="395">
        <f t="shared" si="219"/>
        <v>9.2833333333333368</v>
      </c>
      <c r="AA102" s="149">
        <f t="shared" si="295"/>
        <v>5</v>
      </c>
      <c r="AB102" s="148">
        <f t="shared" si="311"/>
        <v>1</v>
      </c>
      <c r="AC102" s="394">
        <f t="shared" si="221"/>
        <v>0.99999999999999922</v>
      </c>
      <c r="AD102" s="395">
        <f t="shared" si="222"/>
        <v>5.9999999999999991</v>
      </c>
      <c r="AG102" s="149">
        <f t="shared" si="296"/>
        <v>34746.556330091211</v>
      </c>
      <c r="AH102" s="148">
        <f t="shared" si="312"/>
        <v>1.0009149490993259</v>
      </c>
      <c r="AK102" s="149">
        <f t="shared" si="297"/>
        <v>212.33728957561772</v>
      </c>
      <c r="AL102" s="148">
        <f t="shared" si="313"/>
        <v>0.99835477268233774</v>
      </c>
      <c r="AO102" s="149">
        <f t="shared" si="298"/>
        <v>773.14837532162483</v>
      </c>
      <c r="AP102" s="148">
        <f t="shared" si="314"/>
        <v>0.99928503629857557</v>
      </c>
      <c r="AQ102" s="404"/>
      <c r="AT102" s="149">
        <f t="shared" ca="1" si="299"/>
        <v>49000.342678554007</v>
      </c>
      <c r="AU102" s="148">
        <f t="shared" ca="1" si="315"/>
        <v>1.0014261626451806</v>
      </c>
      <c r="AX102" s="149">
        <f t="shared" si="300"/>
        <v>2614.1501515799241</v>
      </c>
      <c r="AY102" s="148">
        <f t="shared" si="316"/>
        <v>1.0010785954933112</v>
      </c>
      <c r="BB102" s="149">
        <f t="shared" si="301"/>
        <v>411.34329361305089</v>
      </c>
      <c r="BC102" s="148">
        <f t="shared" si="317"/>
        <v>1.000714024724862</v>
      </c>
      <c r="BD102" s="394">
        <f t="shared" si="228"/>
        <v>12.770833333333329</v>
      </c>
      <c r="BE102" s="395">
        <f t="shared" si="229"/>
        <v>424.1141269463842</v>
      </c>
      <c r="BH102" s="149">
        <f t="shared" si="302"/>
        <v>3</v>
      </c>
      <c r="BI102" s="148">
        <f t="shared" si="318"/>
        <v>1</v>
      </c>
      <c r="BJ102" s="394">
        <f t="shared" si="231"/>
        <v>2.9999999999999978</v>
      </c>
      <c r="BK102" s="395">
        <f t="shared" si="232"/>
        <v>5.9999999999999982</v>
      </c>
      <c r="BN102" s="149">
        <f t="shared" si="303"/>
        <v>14921.857053581296</v>
      </c>
      <c r="BO102" s="148">
        <f t="shared" si="319"/>
        <v>1.0014423638389347</v>
      </c>
      <c r="BR102" s="149">
        <f t="shared" si="304"/>
        <v>47.323339708775137</v>
      </c>
      <c r="BS102" s="148">
        <f t="shared" si="320"/>
        <v>1.0012136133780991</v>
      </c>
      <c r="BV102" s="149">
        <f t="shared" si="305"/>
        <v>399.03098355743867</v>
      </c>
      <c r="BW102" s="148">
        <f t="shared" si="321"/>
        <v>1.0004363939412999</v>
      </c>
    </row>
    <row r="103" spans="1:75">
      <c r="A103" s="9">
        <f t="shared" si="306"/>
        <v>2029</v>
      </c>
      <c r="B103" s="9" t="s">
        <v>157</v>
      </c>
      <c r="C103" s="149">
        <f t="shared" ca="1" si="290"/>
        <v>126749.23544708443</v>
      </c>
      <c r="D103" s="148">
        <f t="shared" ca="1" si="289"/>
        <v>1.001277797244577</v>
      </c>
      <c r="G103" s="149">
        <f t="shared" si="291"/>
        <v>1538.0635526913936</v>
      </c>
      <c r="H103" s="148">
        <f t="shared" si="307"/>
        <v>0.99980976780309783</v>
      </c>
      <c r="K103" s="149">
        <f t="shared" si="292"/>
        <v>9785.9258943724126</v>
      </c>
      <c r="L103" s="148">
        <f t="shared" si="308"/>
        <v>1.0005541440839929</v>
      </c>
      <c r="O103" s="149">
        <f t="shared" si="293"/>
        <v>1103.8798318859097</v>
      </c>
      <c r="P103" s="148">
        <f t="shared" si="309"/>
        <v>1.0002760890950009</v>
      </c>
      <c r="Q103" s="394">
        <f t="shared" si="254"/>
        <v>11.183333333333335</v>
      </c>
      <c r="R103" s="395">
        <f t="shared" si="216"/>
        <v>1115.063165219243</v>
      </c>
      <c r="U103" s="149">
        <f t="shared" si="294"/>
        <v>5</v>
      </c>
      <c r="V103" s="148">
        <f t="shared" si="310"/>
        <v>1</v>
      </c>
      <c r="W103" s="394">
        <f t="shared" si="218"/>
        <v>4.2916666666666705</v>
      </c>
      <c r="X103" s="395">
        <f t="shared" si="219"/>
        <v>9.2916666666666714</v>
      </c>
      <c r="AA103" s="149">
        <f t="shared" si="295"/>
        <v>5</v>
      </c>
      <c r="AB103" s="148">
        <f t="shared" si="311"/>
        <v>1</v>
      </c>
      <c r="AC103" s="394">
        <f t="shared" si="221"/>
        <v>0.99999999999999922</v>
      </c>
      <c r="AD103" s="395">
        <f t="shared" si="222"/>
        <v>5.9999999999999991</v>
      </c>
      <c r="AG103" s="149">
        <f t="shared" si="296"/>
        <v>34778.347660510102</v>
      </c>
      <c r="AH103" s="148">
        <f t="shared" si="312"/>
        <v>1.0009149490993259</v>
      </c>
      <c r="AK103" s="149">
        <f t="shared" si="297"/>
        <v>211.98794646624955</v>
      </c>
      <c r="AL103" s="148">
        <f t="shared" si="313"/>
        <v>0.99835477268233774</v>
      </c>
      <c r="AO103" s="149">
        <f t="shared" si="298"/>
        <v>772.59560229745455</v>
      </c>
      <c r="AP103" s="148">
        <f t="shared" si="314"/>
        <v>0.99928503629857546</v>
      </c>
      <c r="AQ103" s="404"/>
      <c r="AT103" s="149">
        <f t="shared" ca="1" si="299"/>
        <v>49070.225136883208</v>
      </c>
      <c r="AU103" s="148">
        <f t="shared" ca="1" si="315"/>
        <v>1.0014261626451806</v>
      </c>
      <c r="AX103" s="149">
        <f t="shared" si="300"/>
        <v>2616.9697621522573</v>
      </c>
      <c r="AY103" s="148">
        <f t="shared" si="316"/>
        <v>1.0010785954933112</v>
      </c>
      <c r="BB103" s="149">
        <f t="shared" si="301"/>
        <v>411.63700289509677</v>
      </c>
      <c r="BC103" s="148">
        <f t="shared" si="317"/>
        <v>1.000714024724862</v>
      </c>
      <c r="BD103" s="394">
        <f t="shared" si="228"/>
        <v>12.860416666666662</v>
      </c>
      <c r="BE103" s="395">
        <f t="shared" si="229"/>
        <v>424.49741956176342</v>
      </c>
      <c r="BH103" s="149">
        <f t="shared" si="302"/>
        <v>3</v>
      </c>
      <c r="BI103" s="148">
        <f t="shared" si="318"/>
        <v>1</v>
      </c>
      <c r="BJ103" s="394">
        <f t="shared" si="231"/>
        <v>2.9999999999999978</v>
      </c>
      <c r="BK103" s="395">
        <f t="shared" si="232"/>
        <v>5.9999999999999982</v>
      </c>
      <c r="BN103" s="149">
        <f t="shared" si="303"/>
        <v>14943.379800605135</v>
      </c>
      <c r="BO103" s="148">
        <f t="shared" si="319"/>
        <v>1.0014423638389347</v>
      </c>
      <c r="BR103" s="149">
        <f t="shared" si="304"/>
        <v>47.380771946942033</v>
      </c>
      <c r="BS103" s="148">
        <f t="shared" si="320"/>
        <v>1.0012136133780991</v>
      </c>
      <c r="BV103" s="149">
        <f t="shared" si="305"/>
        <v>399.20511826105411</v>
      </c>
      <c r="BW103" s="148">
        <f t="shared" si="321"/>
        <v>1.0004363939412999</v>
      </c>
    </row>
    <row r="104" spans="1:75">
      <c r="A104" s="9">
        <f t="shared" si="306"/>
        <v>2029</v>
      </c>
      <c r="B104" s="9" t="s">
        <v>158</v>
      </c>
      <c r="C104" s="149">
        <f t="shared" ca="1" si="290"/>
        <v>126911.19527089095</v>
      </c>
      <c r="D104" s="148">
        <f t="shared" ca="1" si="289"/>
        <v>1.001277797244577</v>
      </c>
      <c r="G104" s="149">
        <f t="shared" si="291"/>
        <v>1537.7709634827897</v>
      </c>
      <c r="H104" s="148">
        <f t="shared" si="307"/>
        <v>0.99980976780309772</v>
      </c>
      <c r="K104" s="149">
        <f t="shared" si="292"/>
        <v>9791.3487073131728</v>
      </c>
      <c r="L104" s="148">
        <f t="shared" si="308"/>
        <v>1.0005541440839929</v>
      </c>
      <c r="O104" s="149">
        <f t="shared" si="293"/>
        <v>1104.1846010696847</v>
      </c>
      <c r="P104" s="148">
        <f t="shared" si="309"/>
        <v>1.0002760890950009</v>
      </c>
      <c r="Q104" s="394">
        <f t="shared" si="254"/>
        <v>11.200000000000003</v>
      </c>
      <c r="R104" s="395">
        <f t="shared" si="216"/>
        <v>1115.3846010696848</v>
      </c>
      <c r="U104" s="149">
        <f t="shared" si="294"/>
        <v>5</v>
      </c>
      <c r="V104" s="148">
        <f t="shared" si="310"/>
        <v>1</v>
      </c>
      <c r="W104" s="394">
        <f t="shared" si="218"/>
        <v>4.3000000000000043</v>
      </c>
      <c r="X104" s="395">
        <f t="shared" si="219"/>
        <v>9.3000000000000043</v>
      </c>
      <c r="AA104" s="149">
        <f t="shared" si="295"/>
        <v>5</v>
      </c>
      <c r="AB104" s="148">
        <f t="shared" si="311"/>
        <v>1</v>
      </c>
      <c r="AC104" s="394">
        <f t="shared" si="221"/>
        <v>0.99999999999999922</v>
      </c>
      <c r="AD104" s="395">
        <f t="shared" si="222"/>
        <v>5.9999999999999991</v>
      </c>
      <c r="AG104" s="149">
        <f t="shared" si="296"/>
        <v>34810.168078378127</v>
      </c>
      <c r="AH104" s="148">
        <f t="shared" si="312"/>
        <v>1.0009149490993259</v>
      </c>
      <c r="AK104" s="149">
        <f t="shared" si="297"/>
        <v>211.63917810570817</v>
      </c>
      <c r="AL104" s="148">
        <f t="shared" si="313"/>
        <v>0.99835477268233785</v>
      </c>
      <c r="AO104" s="149">
        <f t="shared" si="298"/>
        <v>772.04322448593177</v>
      </c>
      <c r="AP104" s="148">
        <f t="shared" si="314"/>
        <v>0.99928503629857568</v>
      </c>
      <c r="AQ104" s="404"/>
      <c r="AT104" s="149">
        <f t="shared" ca="1" si="299"/>
        <v>49140.20725896403</v>
      </c>
      <c r="AU104" s="148">
        <f t="shared" ca="1" si="315"/>
        <v>1.0014261626451806</v>
      </c>
      <c r="AX104" s="149">
        <f t="shared" si="300"/>
        <v>2619.7924139438464</v>
      </c>
      <c r="AY104" s="148">
        <f t="shared" si="316"/>
        <v>1.0010785954933112</v>
      </c>
      <c r="BB104" s="149">
        <f t="shared" si="301"/>
        <v>411.93092189283198</v>
      </c>
      <c r="BC104" s="148">
        <f t="shared" si="317"/>
        <v>1.000714024724862</v>
      </c>
      <c r="BD104" s="394">
        <f t="shared" si="228"/>
        <v>12.949999999999996</v>
      </c>
      <c r="BE104" s="395">
        <f t="shared" si="229"/>
        <v>424.88092189283196</v>
      </c>
      <c r="BH104" s="149">
        <f t="shared" si="302"/>
        <v>3</v>
      </c>
      <c r="BI104" s="148">
        <f t="shared" si="318"/>
        <v>1</v>
      </c>
      <c r="BJ104" s="394">
        <f t="shared" si="231"/>
        <v>2.9999999999999978</v>
      </c>
      <c r="BK104" s="395">
        <f t="shared" si="232"/>
        <v>5.9999999999999982</v>
      </c>
      <c r="BN104" s="149">
        <f t="shared" si="303"/>
        <v>14964.933591260995</v>
      </c>
      <c r="BO104" s="148">
        <f t="shared" si="319"/>
        <v>1.0014423638389347</v>
      </c>
      <c r="BR104" s="149">
        <f t="shared" si="304"/>
        <v>47.438273885641507</v>
      </c>
      <c r="BS104" s="148">
        <f t="shared" si="320"/>
        <v>1.0012136133780991</v>
      </c>
      <c r="BV104" s="149">
        <f t="shared" si="305"/>
        <v>399.37932895599914</v>
      </c>
      <c r="BW104" s="148">
        <f t="shared" si="321"/>
        <v>1.0004363939412999</v>
      </c>
    </row>
    <row r="105" spans="1:75">
      <c r="A105" s="9">
        <f t="shared" si="306"/>
        <v>2030</v>
      </c>
      <c r="B105" s="9" t="s">
        <v>147</v>
      </c>
      <c r="C105" s="149">
        <f ca="1">C18/D18^(5.50989446627246/12)</f>
        <v>127098.80518333241</v>
      </c>
      <c r="D105" s="148">
        <f t="shared" ca="1" si="289"/>
        <v>1.001478277090063</v>
      </c>
      <c r="G105" s="149">
        <f>G18/H18^(5.50989446627246/12)</f>
        <v>1537.4784299340738</v>
      </c>
      <c r="H105" s="148">
        <f t="shared" si="307"/>
        <v>0.99980976780309772</v>
      </c>
      <c r="K105" s="149">
        <f>K18/L18^(5.50989446627246/12)</f>
        <v>9796.7745252736549</v>
      </c>
      <c r="L105" s="148">
        <f t="shared" si="308"/>
        <v>1.0005541440839942</v>
      </c>
      <c r="O105" s="149">
        <f>O18/P18^(5.50989446627246/12)</f>
        <v>1104.4894543969083</v>
      </c>
      <c r="P105" s="148">
        <f t="shared" si="309"/>
        <v>1.0002760890950011</v>
      </c>
      <c r="Q105" s="394">
        <f t="shared" si="254"/>
        <v>11.200000000000003</v>
      </c>
      <c r="R105" s="395">
        <f t="shared" si="216"/>
        <v>1115.6894543969083</v>
      </c>
      <c r="U105" s="149">
        <f>U18/V18^(5.50989446627246/12)</f>
        <v>5</v>
      </c>
      <c r="V105" s="148">
        <f t="shared" si="310"/>
        <v>1</v>
      </c>
      <c r="W105" s="394">
        <f t="shared" si="218"/>
        <v>4.3000000000000043</v>
      </c>
      <c r="X105" s="395">
        <f t="shared" si="219"/>
        <v>9.3000000000000043</v>
      </c>
      <c r="AA105" s="149">
        <f>AA18/AB18^(5.50989446627246/12)</f>
        <v>5</v>
      </c>
      <c r="AB105" s="148">
        <f t="shared" si="311"/>
        <v>1</v>
      </c>
      <c r="AC105" s="394">
        <f t="shared" si="221"/>
        <v>0.99999999999999922</v>
      </c>
      <c r="AD105" s="395">
        <f t="shared" si="222"/>
        <v>5.9999999999999991</v>
      </c>
      <c r="AG105" s="149">
        <f>AG18/AH18^(5.50989446627246/12)</f>
        <v>34842.017610308867</v>
      </c>
      <c r="AH105" s="148">
        <f t="shared" si="312"/>
        <v>1.0009149490993272</v>
      </c>
      <c r="AK105" s="149">
        <f>AK18/AL18^(5.50989446627246/12)</f>
        <v>211.29098354840096</v>
      </c>
      <c r="AL105" s="148">
        <f t="shared" si="313"/>
        <v>0.99835477268233719</v>
      </c>
      <c r="AO105" s="149">
        <f>AO18/AP18^(5.50989446627246/12)</f>
        <v>771.49124160449412</v>
      </c>
      <c r="AP105" s="148">
        <f t="shared" si="314"/>
        <v>0.99928503629857612</v>
      </c>
      <c r="AQ105" s="404"/>
      <c r="AT105" s="149">
        <f ca="1">AT18/AU18^(5.50989446627246/12)</f>
        <v>49218.583952581706</v>
      </c>
      <c r="AU105" s="148">
        <f t="shared" ca="1" si="315"/>
        <v>1.0015949605829833</v>
      </c>
      <c r="AX105" s="149">
        <f>AX18/AY18^(5.50989446627246/12)</f>
        <v>2622.6181102349383</v>
      </c>
      <c r="AY105" s="148">
        <f t="shared" si="316"/>
        <v>1.0010785954933117</v>
      </c>
      <c r="BB105" s="149">
        <f>BB18/BC18^(5.50989446627246/12)</f>
        <v>412.2250507559985</v>
      </c>
      <c r="BC105" s="148">
        <f t="shared" si="317"/>
        <v>1.0007140247248616</v>
      </c>
      <c r="BD105" s="394">
        <f t="shared" si="228"/>
        <v>13.052083333333329</v>
      </c>
      <c r="BE105" s="395">
        <f t="shared" si="229"/>
        <v>425.27713408933181</v>
      </c>
      <c r="BH105" s="149">
        <f>BH18/BI18^(5.50989446627246/12)</f>
        <v>3</v>
      </c>
      <c r="BI105" s="148">
        <f t="shared" si="318"/>
        <v>1</v>
      </c>
      <c r="BJ105" s="394">
        <f t="shared" si="231"/>
        <v>2.9999999999999978</v>
      </c>
      <c r="BK105" s="395">
        <f t="shared" si="232"/>
        <v>5.9999999999999982</v>
      </c>
      <c r="BN105" s="149">
        <f>BN18/BO18^(5.50989446627246/12)</f>
        <v>14986.518470325092</v>
      </c>
      <c r="BO105" s="148">
        <f t="shared" si="319"/>
        <v>1.0014423638389349</v>
      </c>
      <c r="BR105" s="149">
        <f>BR18/BS18^(5.50989446627246/12)</f>
        <v>47.495845609463103</v>
      </c>
      <c r="BS105" s="148">
        <f t="shared" si="320"/>
        <v>1.0012136133781002</v>
      </c>
      <c r="BV105" s="149">
        <f>BV18/BW18^(5.50989446627246/12)</f>
        <v>399.55361567543588</v>
      </c>
      <c r="BW105" s="148">
        <f t="shared" si="321"/>
        <v>1.0004363939412997</v>
      </c>
    </row>
    <row r="106" spans="1:75">
      <c r="A106" s="9">
        <f t="shared" si="306"/>
        <v>2030</v>
      </c>
      <c r="B106" s="9" t="s">
        <v>148</v>
      </c>
      <c r="C106" s="149">
        <f t="shared" ref="C106:C116" ca="1" si="322">C105*D$18^(1/12)</f>
        <v>127265.13744553889</v>
      </c>
      <c r="D106" s="148">
        <f t="shared" ca="1" si="289"/>
        <v>1.0013086847037354</v>
      </c>
      <c r="G106" s="149">
        <f t="shared" ref="G106:G116" si="323">G105*H$18^(1/12)</f>
        <v>1537.1859520346575</v>
      </c>
      <c r="H106" s="148">
        <f t="shared" si="307"/>
        <v>0.9998097678030976</v>
      </c>
      <c r="K106" s="149">
        <f t="shared" ref="K106:K116" si="324">K105*L$18^(1/12)</f>
        <v>9802.2033499190475</v>
      </c>
      <c r="L106" s="148">
        <f t="shared" si="308"/>
        <v>1.0005541440839929</v>
      </c>
      <c r="O106" s="149">
        <f t="shared" ref="O106:O116" si="325">O105*P$18^(1/12)</f>
        <v>1104.7943918908106</v>
      </c>
      <c r="P106" s="148">
        <f t="shared" si="309"/>
        <v>1.0002760890950009</v>
      </c>
      <c r="Q106" s="394">
        <f t="shared" si="254"/>
        <v>11.200000000000003</v>
      </c>
      <c r="R106" s="395">
        <f t="shared" si="216"/>
        <v>1115.9943918908107</v>
      </c>
      <c r="U106" s="149">
        <f t="shared" ref="U106:U116" si="326">U105*V$18^(1/12)</f>
        <v>5</v>
      </c>
      <c r="V106" s="148">
        <f t="shared" si="310"/>
        <v>1</v>
      </c>
      <c r="W106" s="394">
        <f t="shared" si="218"/>
        <v>4.3000000000000043</v>
      </c>
      <c r="X106" s="395">
        <f t="shared" si="219"/>
        <v>9.3000000000000043</v>
      </c>
      <c r="AA106" s="149">
        <f t="shared" ref="AA106:AA116" si="327">AA105*AB$18^(1/12)</f>
        <v>5</v>
      </c>
      <c r="AB106" s="148">
        <f t="shared" si="311"/>
        <v>1</v>
      </c>
      <c r="AC106" s="394">
        <f t="shared" si="221"/>
        <v>0.99999999999999922</v>
      </c>
      <c r="AD106" s="395">
        <f t="shared" si="222"/>
        <v>5.9999999999999991</v>
      </c>
      <c r="AG106" s="149">
        <f t="shared" ref="AG106:AG116" si="328">AG105*AH$18^(1/12)</f>
        <v>34873.896282940113</v>
      </c>
      <c r="AH106" s="148">
        <f t="shared" si="312"/>
        <v>1.0009149490993259</v>
      </c>
      <c r="AK106" s="149">
        <f t="shared" ref="AK106:AK116" si="329">AK105*AL$18^(1/12)</f>
        <v>210.94336185029141</v>
      </c>
      <c r="AL106" s="148">
        <f t="shared" si="313"/>
        <v>0.99835477268233774</v>
      </c>
      <c r="AO106" s="149">
        <f t="shared" ref="AO106:AO116" si="330">AO105*AP$18^(1/12)</f>
        <v>770.93965337078009</v>
      </c>
      <c r="AP106" s="148">
        <f t="shared" si="314"/>
        <v>0.99928503629857568</v>
      </c>
      <c r="AQ106" s="404"/>
      <c r="AT106" s="149">
        <f t="shared" ref="AT106:AT116" ca="1" si="331">AT105*AU$18^(1/12)</f>
        <v>49290.057668963964</v>
      </c>
      <c r="AU106" s="148">
        <f t="shared" ca="1" si="315"/>
        <v>1.0014521692954661</v>
      </c>
      <c r="AX106" s="149">
        <f t="shared" ref="AX106:AX116" si="332">AX105*AY$18^(1/12)</f>
        <v>2625.4468543093139</v>
      </c>
      <c r="AY106" s="148">
        <f t="shared" si="316"/>
        <v>1.0010785954933112</v>
      </c>
      <c r="BB106" s="149">
        <f t="shared" ref="BB106:BB116" si="333">BB105*BC$18^(1/12)</f>
        <v>412.51938963444582</v>
      </c>
      <c r="BC106" s="148">
        <f t="shared" si="317"/>
        <v>1.000714024724862</v>
      </c>
      <c r="BD106" s="394">
        <f t="shared" si="228"/>
        <v>13.154166666666661</v>
      </c>
      <c r="BE106" s="395">
        <f t="shared" si="229"/>
        <v>425.67355630111246</v>
      </c>
      <c r="BH106" s="149">
        <f t="shared" ref="BH106:BH116" si="334">BH105*BI$18^(1/12)</f>
        <v>3</v>
      </c>
      <c r="BI106" s="148">
        <f t="shared" si="318"/>
        <v>1</v>
      </c>
      <c r="BJ106" s="394">
        <f t="shared" si="231"/>
        <v>2.9999999999999978</v>
      </c>
      <c r="BK106" s="395">
        <f t="shared" si="232"/>
        <v>5.9999999999999982</v>
      </c>
      <c r="BN106" s="149">
        <f t="shared" ref="BN106:BN116" si="335">BN105*BO$18^(1/12)</f>
        <v>15008.134482638216</v>
      </c>
      <c r="BO106" s="148">
        <f t="shared" si="319"/>
        <v>1.0014423638389347</v>
      </c>
      <c r="BR106" s="149">
        <f t="shared" ref="BR106:BR116" si="336">BR105*BS$18^(1/12)</f>
        <v>47.553487203098875</v>
      </c>
      <c r="BS106" s="148">
        <f t="shared" si="320"/>
        <v>1.0012136133780991</v>
      </c>
      <c r="BV106" s="149">
        <f t="shared" ref="BV106:BV116" si="337">BV105*BW$18^(1/12)</f>
        <v>399.72797845254109</v>
      </c>
      <c r="BW106" s="148">
        <f t="shared" si="321"/>
        <v>1.0004363939412999</v>
      </c>
    </row>
    <row r="107" spans="1:75">
      <c r="A107" s="9">
        <f t="shared" si="306"/>
        <v>2030</v>
      </c>
      <c r="B107" s="9" t="s">
        <v>149</v>
      </c>
      <c r="C107" s="149">
        <f t="shared" ca="1" si="322"/>
        <v>127431.68738423265</v>
      </c>
      <c r="D107" s="148">
        <f t="shared" ca="1" si="289"/>
        <v>1.0013086847037354</v>
      </c>
      <c r="G107" s="149">
        <f t="shared" si="323"/>
        <v>1536.8935297739547</v>
      </c>
      <c r="H107" s="148">
        <f t="shared" si="307"/>
        <v>0.99980976780309783</v>
      </c>
      <c r="K107" s="149">
        <f t="shared" si="324"/>
        <v>9807.635182915501</v>
      </c>
      <c r="L107" s="148">
        <f t="shared" si="308"/>
        <v>1.0005541440839929</v>
      </c>
      <c r="O107" s="149">
        <f t="shared" si="325"/>
        <v>1105.0994135746298</v>
      </c>
      <c r="P107" s="148">
        <f t="shared" si="309"/>
        <v>1.0002760890950009</v>
      </c>
      <c r="Q107" s="394">
        <f t="shared" si="254"/>
        <v>11.200000000000003</v>
      </c>
      <c r="R107" s="395">
        <f t="shared" si="216"/>
        <v>1116.2994135746299</v>
      </c>
      <c r="U107" s="149">
        <f t="shared" si="326"/>
        <v>5</v>
      </c>
      <c r="V107" s="148">
        <f t="shared" si="310"/>
        <v>1</v>
      </c>
      <c r="W107" s="394">
        <f t="shared" si="218"/>
        <v>4.3000000000000043</v>
      </c>
      <c r="X107" s="395">
        <f t="shared" si="219"/>
        <v>9.3000000000000043</v>
      </c>
      <c r="AA107" s="149">
        <f t="shared" si="327"/>
        <v>5</v>
      </c>
      <c r="AB107" s="148">
        <f t="shared" si="311"/>
        <v>1</v>
      </c>
      <c r="AC107" s="394">
        <f t="shared" si="221"/>
        <v>0.99999999999999922</v>
      </c>
      <c r="AD107" s="395">
        <f t="shared" si="222"/>
        <v>5.9999999999999991</v>
      </c>
      <c r="AG107" s="149">
        <f t="shared" si="328"/>
        <v>34905.804122934176</v>
      </c>
      <c r="AH107" s="148">
        <f t="shared" si="312"/>
        <v>1.0009149490993259</v>
      </c>
      <c r="AK107" s="149">
        <f t="shared" si="329"/>
        <v>210.5963120688958</v>
      </c>
      <c r="AL107" s="148">
        <f t="shared" si="313"/>
        <v>0.99835477268233774</v>
      </c>
      <c r="AO107" s="149">
        <f t="shared" si="330"/>
        <v>770.38845950263124</v>
      </c>
      <c r="AP107" s="148">
        <f t="shared" si="314"/>
        <v>0.99928503629857557</v>
      </c>
      <c r="AQ107" s="404"/>
      <c r="AT107" s="149">
        <f t="shared" ca="1" si="331"/>
        <v>49361.635177282587</v>
      </c>
      <c r="AU107" s="148">
        <f t="shared" ca="1" si="315"/>
        <v>1.0014521692954661</v>
      </c>
      <c r="AX107" s="149">
        <f t="shared" si="332"/>
        <v>2628.2786494543002</v>
      </c>
      <c r="AY107" s="148">
        <f t="shared" si="316"/>
        <v>1.0010785954933112</v>
      </c>
      <c r="BB107" s="149">
        <f t="shared" si="333"/>
        <v>412.81393867812983</v>
      </c>
      <c r="BC107" s="148">
        <f t="shared" si="317"/>
        <v>1.000714024724862</v>
      </c>
      <c r="BD107" s="394">
        <f t="shared" si="228"/>
        <v>13.256249999999994</v>
      </c>
      <c r="BE107" s="395">
        <f t="shared" si="229"/>
        <v>426.07018867812985</v>
      </c>
      <c r="BH107" s="149">
        <f t="shared" si="334"/>
        <v>3</v>
      </c>
      <c r="BI107" s="148">
        <f t="shared" si="318"/>
        <v>1</v>
      </c>
      <c r="BJ107" s="394">
        <f t="shared" si="231"/>
        <v>2.9999999999999978</v>
      </c>
      <c r="BK107" s="395">
        <f t="shared" si="232"/>
        <v>5.9999999999999982</v>
      </c>
      <c r="BN107" s="149">
        <f t="shared" si="335"/>
        <v>15029.781673105841</v>
      </c>
      <c r="BO107" s="148">
        <f t="shared" si="319"/>
        <v>1.0014423638389347</v>
      </c>
      <c r="BR107" s="149">
        <f t="shared" si="336"/>
        <v>47.611198751343821</v>
      </c>
      <c r="BS107" s="148">
        <f t="shared" si="320"/>
        <v>1.0012136133780991</v>
      </c>
      <c r="BV107" s="149">
        <f t="shared" si="337"/>
        <v>399.90241732050583</v>
      </c>
      <c r="BW107" s="148">
        <f t="shared" si="321"/>
        <v>1.0004363939412999</v>
      </c>
    </row>
    <row r="108" spans="1:75">
      <c r="A108" s="9">
        <f t="shared" si="306"/>
        <v>2030</v>
      </c>
      <c r="B108" s="9" t="s">
        <v>150</v>
      </c>
      <c r="C108" s="149">
        <f t="shared" ca="1" si="322"/>
        <v>127598.45528428357</v>
      </c>
      <c r="D108" s="148">
        <f t="shared" ca="1" si="289"/>
        <v>1.0013086847037354</v>
      </c>
      <c r="G108" s="149">
        <f t="shared" si="323"/>
        <v>1536.601163141381</v>
      </c>
      <c r="H108" s="148">
        <f t="shared" si="307"/>
        <v>0.99980976780309783</v>
      </c>
      <c r="K108" s="149">
        <f t="shared" si="324"/>
        <v>9813.0700259300738</v>
      </c>
      <c r="L108" s="148">
        <f t="shared" si="308"/>
        <v>1.0005541440839929</v>
      </c>
      <c r="O108" s="149">
        <f t="shared" si="325"/>
        <v>1105.4045194716095</v>
      </c>
      <c r="P108" s="148">
        <f t="shared" si="309"/>
        <v>1.0002760890950009</v>
      </c>
      <c r="Q108" s="394">
        <f t="shared" si="254"/>
        <v>11.200000000000003</v>
      </c>
      <c r="R108" s="395">
        <f t="shared" si="216"/>
        <v>1116.6045194716096</v>
      </c>
      <c r="U108" s="149">
        <f t="shared" si="326"/>
        <v>5</v>
      </c>
      <c r="V108" s="148">
        <f t="shared" si="310"/>
        <v>1</v>
      </c>
      <c r="W108" s="394">
        <f t="shared" si="218"/>
        <v>4.3000000000000043</v>
      </c>
      <c r="X108" s="395">
        <f t="shared" si="219"/>
        <v>9.3000000000000043</v>
      </c>
      <c r="AA108" s="149">
        <f t="shared" si="327"/>
        <v>5</v>
      </c>
      <c r="AB108" s="148">
        <f t="shared" si="311"/>
        <v>1</v>
      </c>
      <c r="AC108" s="394">
        <f t="shared" si="221"/>
        <v>0.99999999999999922</v>
      </c>
      <c r="AD108" s="395">
        <f t="shared" si="222"/>
        <v>5.9999999999999991</v>
      </c>
      <c r="AG108" s="149">
        <f t="shared" si="328"/>
        <v>34937.741156977703</v>
      </c>
      <c r="AH108" s="148">
        <f t="shared" si="312"/>
        <v>1.0009149490993259</v>
      </c>
      <c r="AK108" s="149">
        <f t="shared" si="329"/>
        <v>210.24983326328112</v>
      </c>
      <c r="AL108" s="148">
        <f t="shared" si="313"/>
        <v>0.99835477268233774</v>
      </c>
      <c r="AO108" s="149">
        <f t="shared" si="330"/>
        <v>769.83765971809055</v>
      </c>
      <c r="AP108" s="148">
        <f t="shared" si="314"/>
        <v>0.99928503629857557</v>
      </c>
      <c r="AQ108" s="404"/>
      <c r="AT108" s="149">
        <f t="shared" ca="1" si="331"/>
        <v>49433.31662826104</v>
      </c>
      <c r="AU108" s="148">
        <f t="shared" ca="1" si="315"/>
        <v>1.0014521692954661</v>
      </c>
      <c r="AX108" s="149">
        <f t="shared" si="332"/>
        <v>2631.1134989607676</v>
      </c>
      <c r="AY108" s="148">
        <f t="shared" si="316"/>
        <v>1.0010785954933112</v>
      </c>
      <c r="BB108" s="149">
        <f t="shared" si="333"/>
        <v>413.1086980371137</v>
      </c>
      <c r="BC108" s="148">
        <f t="shared" si="317"/>
        <v>1.000714024724862</v>
      </c>
      <c r="BD108" s="394">
        <f t="shared" si="228"/>
        <v>13.358333333333327</v>
      </c>
      <c r="BE108" s="395">
        <f t="shared" si="229"/>
        <v>426.46703137044705</v>
      </c>
      <c r="BH108" s="149">
        <f t="shared" si="334"/>
        <v>3</v>
      </c>
      <c r="BI108" s="148">
        <f t="shared" si="318"/>
        <v>1</v>
      </c>
      <c r="BJ108" s="394">
        <f t="shared" si="231"/>
        <v>2.9999999999999978</v>
      </c>
      <c r="BK108" s="395">
        <f t="shared" si="232"/>
        <v>5.9999999999999982</v>
      </c>
      <c r="BN108" s="149">
        <f t="shared" si="335"/>
        <v>15051.460086698213</v>
      </c>
      <c r="BO108" s="148">
        <f t="shared" si="319"/>
        <v>1.0014423638389347</v>
      </c>
      <c r="BR108" s="149">
        <f t="shared" si="336"/>
        <v>47.668980339095789</v>
      </c>
      <c r="BS108" s="148">
        <f t="shared" si="320"/>
        <v>1.0012136133780991</v>
      </c>
      <c r="BV108" s="149">
        <f t="shared" si="337"/>
        <v>400.07693231253569</v>
      </c>
      <c r="BW108" s="148">
        <f t="shared" si="321"/>
        <v>1.0004363939412999</v>
      </c>
    </row>
    <row r="109" spans="1:75">
      <c r="A109" s="9">
        <f t="shared" si="306"/>
        <v>2030</v>
      </c>
      <c r="B109" s="9" t="s">
        <v>151</v>
      </c>
      <c r="C109" s="149">
        <f t="shared" ca="1" si="322"/>
        <v>127765.44143093437</v>
      </c>
      <c r="D109" s="148">
        <f t="shared" ca="1" si="289"/>
        <v>1.0013086847037354</v>
      </c>
      <c r="G109" s="149">
        <f t="shared" si="323"/>
        <v>1536.3088521263539</v>
      </c>
      <c r="H109" s="148">
        <f t="shared" si="307"/>
        <v>0.99980976780309772</v>
      </c>
      <c r="K109" s="149">
        <f t="shared" si="324"/>
        <v>9818.5078806307502</v>
      </c>
      <c r="L109" s="148">
        <f t="shared" si="308"/>
        <v>1.0005541440839929</v>
      </c>
      <c r="O109" s="149">
        <f t="shared" si="325"/>
        <v>1105.7097096050004</v>
      </c>
      <c r="P109" s="148">
        <f t="shared" si="309"/>
        <v>1.0002760890950009</v>
      </c>
      <c r="Q109" s="394">
        <f t="shared" si="254"/>
        <v>11.200000000000003</v>
      </c>
      <c r="R109" s="395">
        <f t="shared" si="216"/>
        <v>1116.9097096050004</v>
      </c>
      <c r="U109" s="149">
        <f t="shared" si="326"/>
        <v>5</v>
      </c>
      <c r="V109" s="148">
        <f t="shared" si="310"/>
        <v>1</v>
      </c>
      <c r="W109" s="394">
        <f t="shared" si="218"/>
        <v>4.3000000000000043</v>
      </c>
      <c r="X109" s="395">
        <f t="shared" si="219"/>
        <v>9.3000000000000043</v>
      </c>
      <c r="AA109" s="149">
        <f t="shared" si="327"/>
        <v>5</v>
      </c>
      <c r="AB109" s="148">
        <f t="shared" si="311"/>
        <v>1</v>
      </c>
      <c r="AC109" s="394">
        <f t="shared" si="221"/>
        <v>0.99999999999999922</v>
      </c>
      <c r="AD109" s="395">
        <f t="shared" si="222"/>
        <v>5.9999999999999991</v>
      </c>
      <c r="AG109" s="149">
        <f t="shared" si="328"/>
        <v>34969.707411781761</v>
      </c>
      <c r="AH109" s="148">
        <f t="shared" si="312"/>
        <v>1.0009149490993259</v>
      </c>
      <c r="AK109" s="149">
        <f t="shared" si="329"/>
        <v>209.90392449406244</v>
      </c>
      <c r="AL109" s="148">
        <f t="shared" si="313"/>
        <v>0.99835477268233774</v>
      </c>
      <c r="AO109" s="149">
        <f t="shared" si="330"/>
        <v>769.2872537354026</v>
      </c>
      <c r="AP109" s="148">
        <f t="shared" si="314"/>
        <v>0.99928503629857557</v>
      </c>
      <c r="AQ109" s="404"/>
      <c r="AT109" s="149">
        <f t="shared" ca="1" si="331"/>
        <v>49505.102172841653</v>
      </c>
      <c r="AU109" s="148">
        <f t="shared" ca="1" si="315"/>
        <v>1.0014521692954661</v>
      </c>
      <c r="AX109" s="149">
        <f t="shared" si="332"/>
        <v>2633.9514061231371</v>
      </c>
      <c r="AY109" s="148">
        <f t="shared" si="316"/>
        <v>1.0010785954933112</v>
      </c>
      <c r="BB109" s="149">
        <f t="shared" si="333"/>
        <v>413.40366786156778</v>
      </c>
      <c r="BC109" s="148">
        <f t="shared" si="317"/>
        <v>1.000714024724862</v>
      </c>
      <c r="BD109" s="394">
        <f t="shared" si="228"/>
        <v>13.46041666666666</v>
      </c>
      <c r="BE109" s="395">
        <f t="shared" si="229"/>
        <v>426.86408452823446</v>
      </c>
      <c r="BH109" s="149">
        <f t="shared" si="334"/>
        <v>3</v>
      </c>
      <c r="BI109" s="148">
        <f t="shared" si="318"/>
        <v>1</v>
      </c>
      <c r="BJ109" s="394">
        <f t="shared" si="231"/>
        <v>2.9999999999999978</v>
      </c>
      <c r="BK109" s="395">
        <f t="shared" si="232"/>
        <v>5.9999999999999982</v>
      </c>
      <c r="BN109" s="149">
        <f t="shared" si="335"/>
        <v>15073.169768450436</v>
      </c>
      <c r="BO109" s="148">
        <f t="shared" si="319"/>
        <v>1.0014423638389347</v>
      </c>
      <c r="BR109" s="149">
        <f t="shared" si="336"/>
        <v>47.726832051355657</v>
      </c>
      <c r="BS109" s="148">
        <f t="shared" si="320"/>
        <v>1.0012136133780991</v>
      </c>
      <c r="BV109" s="149">
        <f t="shared" si="337"/>
        <v>400.25152346185075</v>
      </c>
      <c r="BW109" s="148">
        <f t="shared" si="321"/>
        <v>1.0004363939412999</v>
      </c>
    </row>
    <row r="110" spans="1:75">
      <c r="A110" s="9">
        <f t="shared" si="306"/>
        <v>2030</v>
      </c>
      <c r="B110" s="9" t="s">
        <v>152</v>
      </c>
      <c r="C110" s="149">
        <f t="shared" ca="1" si="322"/>
        <v>127932.64610980103</v>
      </c>
      <c r="D110" s="148">
        <f t="shared" ca="1" si="289"/>
        <v>1.0013086847037354</v>
      </c>
      <c r="G110" s="149">
        <f t="shared" si="323"/>
        <v>1536.0165967182936</v>
      </c>
      <c r="H110" s="148">
        <f t="shared" si="307"/>
        <v>0.99980976780309783</v>
      </c>
      <c r="K110" s="149">
        <f t="shared" si="324"/>
        <v>9823.94874868644</v>
      </c>
      <c r="L110" s="148">
        <f t="shared" si="308"/>
        <v>1.0005541440839929</v>
      </c>
      <c r="O110" s="149">
        <f t="shared" si="325"/>
        <v>1106.0149839980588</v>
      </c>
      <c r="P110" s="148">
        <f t="shared" si="309"/>
        <v>1.0002760890950009</v>
      </c>
      <c r="Q110" s="394">
        <f t="shared" si="254"/>
        <v>11.200000000000003</v>
      </c>
      <c r="R110" s="395">
        <f t="shared" ref="R110:R128" si="338">Q110+O110</f>
        <v>1117.2149839980589</v>
      </c>
      <c r="U110" s="149">
        <f t="shared" si="326"/>
        <v>5</v>
      </c>
      <c r="V110" s="148">
        <f t="shared" si="310"/>
        <v>1</v>
      </c>
      <c r="W110" s="394">
        <f t="shared" ref="W110:W128" si="339">SUMIFS(W$13:W$19,T$13:T$19,$A110)/12+W109</f>
        <v>4.3000000000000043</v>
      </c>
      <c r="X110" s="395">
        <f t="shared" ref="X110:X128" si="340">W110+U110</f>
        <v>9.3000000000000043</v>
      </c>
      <c r="AA110" s="149">
        <f t="shared" si="327"/>
        <v>5</v>
      </c>
      <c r="AB110" s="148">
        <f t="shared" si="311"/>
        <v>1</v>
      </c>
      <c r="AC110" s="394">
        <f t="shared" ref="AC110:AC128" si="341">SUMIFS(AC$13:AC$19,Z$13:Z$19,$A110)/12+AC109</f>
        <v>0.99999999999999922</v>
      </c>
      <c r="AD110" s="395">
        <f t="shared" ref="AD110:AD128" si="342">AC110+AA110</f>
        <v>5.9999999999999991</v>
      </c>
      <c r="AG110" s="149">
        <f t="shared" si="328"/>
        <v>35001.702914081863</v>
      </c>
      <c r="AH110" s="148">
        <f t="shared" si="312"/>
        <v>1.0009149490993259</v>
      </c>
      <c r="AK110" s="149">
        <f t="shared" si="329"/>
        <v>209.55858482340028</v>
      </c>
      <c r="AL110" s="148">
        <f t="shared" si="313"/>
        <v>0.99835477268233774</v>
      </c>
      <c r="AO110" s="149">
        <f t="shared" si="330"/>
        <v>768.7372412730133</v>
      </c>
      <c r="AP110" s="148">
        <f t="shared" si="314"/>
        <v>0.99928503629857557</v>
      </c>
      <c r="AQ110" s="404"/>
      <c r="AT110" s="149">
        <f t="shared" ca="1" si="331"/>
        <v>49576.991962185966</v>
      </c>
      <c r="AU110" s="148">
        <f t="shared" ca="1" si="315"/>
        <v>1.0014521692954661</v>
      </c>
      <c r="AX110" s="149">
        <f t="shared" si="332"/>
        <v>2636.7923742393823</v>
      </c>
      <c r="AY110" s="148">
        <f t="shared" si="316"/>
        <v>1.0010785954933112</v>
      </c>
      <c r="BB110" s="149">
        <f t="shared" si="333"/>
        <v>413.6988483017696</v>
      </c>
      <c r="BC110" s="148">
        <f t="shared" si="317"/>
        <v>1.000714024724862</v>
      </c>
      <c r="BD110" s="394">
        <f t="shared" ref="BD110:BD128" si="343">SUMIFS(BD$13:BD$19,BA$13:BA$19,$A110)/12+BD109</f>
        <v>13.562499999999993</v>
      </c>
      <c r="BE110" s="395">
        <f t="shared" ref="BE110:BE128" si="344">BD110+BB110</f>
        <v>427.2613483017696</v>
      </c>
      <c r="BH110" s="149">
        <f t="shared" si="334"/>
        <v>3</v>
      </c>
      <c r="BI110" s="148">
        <f t="shared" si="318"/>
        <v>1</v>
      </c>
      <c r="BJ110" s="394">
        <f t="shared" ref="BJ110:BJ128" si="345">SUMIFS(BJ$13:BJ$19,BG$13:BG$19,$A110)/12+BJ109</f>
        <v>2.9999999999999978</v>
      </c>
      <c r="BK110" s="395">
        <f t="shared" ref="BK110:BK128" si="346">BJ110+BH110</f>
        <v>5.9999999999999982</v>
      </c>
      <c r="BN110" s="149">
        <f t="shared" si="335"/>
        <v>15094.910763462573</v>
      </c>
      <c r="BO110" s="148">
        <f t="shared" si="319"/>
        <v>1.0014423638389347</v>
      </c>
      <c r="BR110" s="149">
        <f t="shared" si="336"/>
        <v>47.784753973227474</v>
      </c>
      <c r="BS110" s="148">
        <f t="shared" si="320"/>
        <v>1.0012136133780991</v>
      </c>
      <c r="BV110" s="149">
        <f t="shared" si="337"/>
        <v>400.42619080168555</v>
      </c>
      <c r="BW110" s="148">
        <f t="shared" si="321"/>
        <v>1.0004363939412999</v>
      </c>
    </row>
    <row r="111" spans="1:75">
      <c r="A111" s="9">
        <f t="shared" si="306"/>
        <v>2030</v>
      </c>
      <c r="B111" s="9" t="s">
        <v>153</v>
      </c>
      <c r="C111" s="149">
        <f t="shared" ca="1" si="322"/>
        <v>128100.06960687332</v>
      </c>
      <c r="D111" s="148">
        <f t="shared" ca="1" si="289"/>
        <v>1.0013086847037354</v>
      </c>
      <c r="G111" s="149">
        <f t="shared" si="323"/>
        <v>1535.7243969066215</v>
      </c>
      <c r="H111" s="148">
        <f t="shared" si="307"/>
        <v>0.99980976780309772</v>
      </c>
      <c r="K111" s="149">
        <f t="shared" si="324"/>
        <v>9829.3926317669739</v>
      </c>
      <c r="L111" s="148">
        <f t="shared" si="308"/>
        <v>1.0005541440839929</v>
      </c>
      <c r="O111" s="149">
        <f t="shared" si="325"/>
        <v>1106.3203426740483</v>
      </c>
      <c r="P111" s="148">
        <f t="shared" si="309"/>
        <v>1.0002760890950009</v>
      </c>
      <c r="Q111" s="394">
        <f t="shared" si="254"/>
        <v>11.200000000000003</v>
      </c>
      <c r="R111" s="395">
        <f t="shared" si="338"/>
        <v>1117.5203426740484</v>
      </c>
      <c r="U111" s="149">
        <f t="shared" si="326"/>
        <v>5</v>
      </c>
      <c r="V111" s="148">
        <f t="shared" si="310"/>
        <v>1</v>
      </c>
      <c r="W111" s="394">
        <f t="shared" si="339"/>
        <v>4.3000000000000043</v>
      </c>
      <c r="X111" s="395">
        <f t="shared" si="340"/>
        <v>9.3000000000000043</v>
      </c>
      <c r="AA111" s="149">
        <f t="shared" si="327"/>
        <v>5</v>
      </c>
      <c r="AB111" s="148">
        <f t="shared" si="311"/>
        <v>1</v>
      </c>
      <c r="AC111" s="394">
        <f t="shared" si="341"/>
        <v>0.99999999999999922</v>
      </c>
      <c r="AD111" s="395">
        <f t="shared" si="342"/>
        <v>5.9999999999999991</v>
      </c>
      <c r="AG111" s="149">
        <f t="shared" si="328"/>
        <v>35033.727690637978</v>
      </c>
      <c r="AH111" s="148">
        <f t="shared" si="312"/>
        <v>1.0009149490993259</v>
      </c>
      <c r="AK111" s="149">
        <f t="shared" si="329"/>
        <v>209.21381331499819</v>
      </c>
      <c r="AL111" s="148">
        <f t="shared" si="313"/>
        <v>0.99835477268233774</v>
      </c>
      <c r="AO111" s="149">
        <f t="shared" si="330"/>
        <v>768.18762204956988</v>
      </c>
      <c r="AP111" s="148">
        <f t="shared" si="314"/>
        <v>0.99928503629857546</v>
      </c>
      <c r="AQ111" s="404"/>
      <c r="AT111" s="149">
        <f t="shared" ca="1" si="331"/>
        <v>49648.986147675023</v>
      </c>
      <c r="AU111" s="148">
        <f t="shared" ca="1" si="315"/>
        <v>1.0014521692954661</v>
      </c>
      <c r="AX111" s="149">
        <f t="shared" si="332"/>
        <v>2639.6364066110345</v>
      </c>
      <c r="AY111" s="148">
        <f t="shared" si="316"/>
        <v>1.0010785954933112</v>
      </c>
      <c r="BB111" s="149">
        <f t="shared" si="333"/>
        <v>413.99423950810399</v>
      </c>
      <c r="BC111" s="148">
        <f t="shared" si="317"/>
        <v>1.000714024724862</v>
      </c>
      <c r="BD111" s="394">
        <f t="shared" si="343"/>
        <v>13.664583333333326</v>
      </c>
      <c r="BE111" s="395">
        <f t="shared" si="344"/>
        <v>427.65882284143731</v>
      </c>
      <c r="BH111" s="149">
        <f t="shared" si="334"/>
        <v>3</v>
      </c>
      <c r="BI111" s="148">
        <f t="shared" si="318"/>
        <v>1</v>
      </c>
      <c r="BJ111" s="394">
        <f t="shared" si="345"/>
        <v>2.9999999999999978</v>
      </c>
      <c r="BK111" s="395">
        <f t="shared" si="346"/>
        <v>5.9999999999999982</v>
      </c>
      <c r="BN111" s="149">
        <f t="shared" si="335"/>
        <v>15116.683116899738</v>
      </c>
      <c r="BO111" s="148">
        <f t="shared" si="319"/>
        <v>1.0014423638389347</v>
      </c>
      <c r="BR111" s="149">
        <f t="shared" si="336"/>
        <v>47.842746189918557</v>
      </c>
      <c r="BS111" s="148">
        <f t="shared" si="320"/>
        <v>1.0012136133780991</v>
      </c>
      <c r="BV111" s="149">
        <f t="shared" si="337"/>
        <v>400.60093436528922</v>
      </c>
      <c r="BW111" s="148">
        <f t="shared" si="321"/>
        <v>1.0004363939412999</v>
      </c>
    </row>
    <row r="112" spans="1:75">
      <c r="A112" s="9">
        <f t="shared" si="306"/>
        <v>2030</v>
      </c>
      <c r="B112" s="9" t="s">
        <v>154</v>
      </c>
      <c r="C112" s="149">
        <f t="shared" ca="1" si="322"/>
        <v>128267.71220851527</v>
      </c>
      <c r="D112" s="148">
        <f t="shared" ca="1" si="289"/>
        <v>1.0013086847037354</v>
      </c>
      <c r="G112" s="149">
        <f t="shared" si="323"/>
        <v>1535.4322526807614</v>
      </c>
      <c r="H112" s="148">
        <f t="shared" si="307"/>
        <v>0.99980976780309772</v>
      </c>
      <c r="K112" s="149">
        <f t="shared" si="324"/>
        <v>9834.8395315431117</v>
      </c>
      <c r="L112" s="148">
        <f t="shared" si="308"/>
        <v>1.0005541440839929</v>
      </c>
      <c r="O112" s="149">
        <f t="shared" si="325"/>
        <v>1106.6257856562383</v>
      </c>
      <c r="P112" s="148">
        <f t="shared" si="309"/>
        <v>1.0002760890950009</v>
      </c>
      <c r="Q112" s="394">
        <f t="shared" si="254"/>
        <v>11.200000000000003</v>
      </c>
      <c r="R112" s="395">
        <f t="shared" si="338"/>
        <v>1117.8257856562384</v>
      </c>
      <c r="U112" s="149">
        <f t="shared" si="326"/>
        <v>5</v>
      </c>
      <c r="V112" s="148">
        <f t="shared" si="310"/>
        <v>1</v>
      </c>
      <c r="W112" s="394">
        <f t="shared" si="339"/>
        <v>4.3000000000000043</v>
      </c>
      <c r="X112" s="395">
        <f t="shared" si="340"/>
        <v>9.3000000000000043</v>
      </c>
      <c r="AA112" s="149">
        <f t="shared" si="327"/>
        <v>5</v>
      </c>
      <c r="AB112" s="148">
        <f t="shared" si="311"/>
        <v>1</v>
      </c>
      <c r="AC112" s="394">
        <f t="shared" si="341"/>
        <v>0.99999999999999922</v>
      </c>
      <c r="AD112" s="395">
        <f t="shared" si="342"/>
        <v>5.9999999999999991</v>
      </c>
      <c r="AG112" s="149">
        <f t="shared" si="328"/>
        <v>35065.781768234556</v>
      </c>
      <c r="AH112" s="148">
        <f t="shared" si="312"/>
        <v>1.0009149490993259</v>
      </c>
      <c r="AK112" s="149">
        <f t="shared" si="329"/>
        <v>208.86960903410005</v>
      </c>
      <c r="AL112" s="148">
        <f t="shared" si="313"/>
        <v>0.99835477268233763</v>
      </c>
      <c r="AO112" s="149">
        <f t="shared" si="330"/>
        <v>767.63839578392094</v>
      </c>
      <c r="AP112" s="148">
        <f t="shared" si="314"/>
        <v>0.99928503629857568</v>
      </c>
      <c r="AQ112" s="404"/>
      <c r="AT112" s="149">
        <f t="shared" ca="1" si="331"/>
        <v>49721.084880909701</v>
      </c>
      <c r="AU112" s="148">
        <f t="shared" ca="1" si="315"/>
        <v>1.0014521692954661</v>
      </c>
      <c r="AX112" s="149">
        <f t="shared" si="332"/>
        <v>2642.4835065431853</v>
      </c>
      <c r="AY112" s="148">
        <f t="shared" si="316"/>
        <v>1.0010785954933112</v>
      </c>
      <c r="BB112" s="149">
        <f t="shared" si="333"/>
        <v>414.28984163106321</v>
      </c>
      <c r="BC112" s="148">
        <f t="shared" si="317"/>
        <v>1.000714024724862</v>
      </c>
      <c r="BD112" s="394">
        <f t="shared" si="343"/>
        <v>13.766666666666659</v>
      </c>
      <c r="BE112" s="395">
        <f t="shared" si="344"/>
        <v>428.05650829772986</v>
      </c>
      <c r="BH112" s="149">
        <f t="shared" si="334"/>
        <v>3</v>
      </c>
      <c r="BI112" s="148">
        <f t="shared" si="318"/>
        <v>1</v>
      </c>
      <c r="BJ112" s="394">
        <f t="shared" si="345"/>
        <v>2.9999999999999978</v>
      </c>
      <c r="BK112" s="395">
        <f t="shared" si="346"/>
        <v>5.9999999999999982</v>
      </c>
      <c r="BN112" s="149">
        <f t="shared" si="335"/>
        <v>15138.486873992189</v>
      </c>
      <c r="BO112" s="148">
        <f t="shared" si="319"/>
        <v>1.0014423638389347</v>
      </c>
      <c r="BR112" s="149">
        <f t="shared" si="336"/>
        <v>47.900808786739645</v>
      </c>
      <c r="BS112" s="148">
        <f t="shared" si="320"/>
        <v>1.0012136133780991</v>
      </c>
      <c r="BV112" s="149">
        <f t="shared" si="337"/>
        <v>400.77575418592534</v>
      </c>
      <c r="BW112" s="148">
        <f t="shared" si="321"/>
        <v>1.0004363939412999</v>
      </c>
    </row>
    <row r="113" spans="1:75">
      <c r="A113" s="9">
        <f t="shared" si="306"/>
        <v>2030</v>
      </c>
      <c r="B113" s="9" t="s">
        <v>684</v>
      </c>
      <c r="C113" s="149">
        <f t="shared" ca="1" si="322"/>
        <v>128435.57420146567</v>
      </c>
      <c r="D113" s="148">
        <f t="shared" ca="1" si="289"/>
        <v>1.0013086847037354</v>
      </c>
      <c r="G113" s="149">
        <f t="shared" si="323"/>
        <v>1535.1401640301392</v>
      </c>
      <c r="H113" s="148">
        <f t="shared" si="307"/>
        <v>0.9998097678030976</v>
      </c>
      <c r="K113" s="149">
        <f t="shared" si="324"/>
        <v>9840.2894496865356</v>
      </c>
      <c r="L113" s="148">
        <f t="shared" si="308"/>
        <v>1.0005541440839929</v>
      </c>
      <c r="O113" s="149">
        <f t="shared" si="325"/>
        <v>1106.9313129679049</v>
      </c>
      <c r="P113" s="148">
        <f t="shared" si="309"/>
        <v>1.0002760890950009</v>
      </c>
      <c r="Q113" s="394">
        <f t="shared" si="254"/>
        <v>11.200000000000003</v>
      </c>
      <c r="R113" s="395">
        <f t="shared" si="338"/>
        <v>1118.1313129679049</v>
      </c>
      <c r="U113" s="149">
        <f t="shared" si="326"/>
        <v>5</v>
      </c>
      <c r="V113" s="148">
        <f t="shared" si="310"/>
        <v>1</v>
      </c>
      <c r="W113" s="394">
        <f t="shared" si="339"/>
        <v>4.3000000000000043</v>
      </c>
      <c r="X113" s="395">
        <f t="shared" si="340"/>
        <v>9.3000000000000043</v>
      </c>
      <c r="AA113" s="149">
        <f t="shared" si="327"/>
        <v>5</v>
      </c>
      <c r="AB113" s="148">
        <f t="shared" si="311"/>
        <v>1</v>
      </c>
      <c r="AC113" s="394">
        <f t="shared" si="341"/>
        <v>0.99999999999999922</v>
      </c>
      <c r="AD113" s="395">
        <f t="shared" si="342"/>
        <v>5.9999999999999991</v>
      </c>
      <c r="AG113" s="149">
        <f t="shared" si="328"/>
        <v>35097.865173680562</v>
      </c>
      <c r="AH113" s="148">
        <f t="shared" si="312"/>
        <v>1.0009149490993259</v>
      </c>
      <c r="AK113" s="149">
        <f t="shared" si="329"/>
        <v>208.5259710474877</v>
      </c>
      <c r="AL113" s="148">
        <f t="shared" si="313"/>
        <v>0.99835477268233763</v>
      </c>
      <c r="AO113" s="149">
        <f t="shared" si="330"/>
        <v>767.08956219511572</v>
      </c>
      <c r="AP113" s="148">
        <f t="shared" si="314"/>
        <v>0.99928503629857557</v>
      </c>
      <c r="AQ113" s="404"/>
      <c r="AT113" s="149">
        <f t="shared" ca="1" si="331"/>
        <v>49793.288313711018</v>
      </c>
      <c r="AU113" s="148">
        <f t="shared" ca="1" si="315"/>
        <v>1.0014521692954661</v>
      </c>
      <c r="AX113" s="149">
        <f t="shared" si="332"/>
        <v>2645.3336773444921</v>
      </c>
      <c r="AY113" s="148">
        <f t="shared" si="316"/>
        <v>1.0010785954933112</v>
      </c>
      <c r="BB113" s="149">
        <f t="shared" si="333"/>
        <v>414.58565482124698</v>
      </c>
      <c r="BC113" s="148">
        <f t="shared" si="317"/>
        <v>1.000714024724862</v>
      </c>
      <c r="BD113" s="394">
        <f t="shared" si="343"/>
        <v>13.868749999999991</v>
      </c>
      <c r="BE113" s="395">
        <f t="shared" si="344"/>
        <v>428.45440482124695</v>
      </c>
      <c r="BH113" s="149">
        <f t="shared" si="334"/>
        <v>3</v>
      </c>
      <c r="BI113" s="148">
        <f t="shared" si="318"/>
        <v>1</v>
      </c>
      <c r="BJ113" s="394">
        <f t="shared" si="345"/>
        <v>2.9999999999999978</v>
      </c>
      <c r="BK113" s="395">
        <f t="shared" si="346"/>
        <v>5.9999999999999982</v>
      </c>
      <c r="BN113" s="149">
        <f t="shared" si="335"/>
        <v>15160.322080035423</v>
      </c>
      <c r="BO113" s="148">
        <f t="shared" si="319"/>
        <v>1.0014423638389347</v>
      </c>
      <c r="BR113" s="149">
        <f t="shared" si="336"/>
        <v>47.958941849105003</v>
      </c>
      <c r="BS113" s="148">
        <f t="shared" si="320"/>
        <v>1.0012136133780991</v>
      </c>
      <c r="BV113" s="149">
        <f t="shared" si="337"/>
        <v>400.95065029687197</v>
      </c>
      <c r="BW113" s="148">
        <f t="shared" si="321"/>
        <v>1.0004363939412999</v>
      </c>
    </row>
    <row r="114" spans="1:75">
      <c r="A114" s="9">
        <f t="shared" si="306"/>
        <v>2030</v>
      </c>
      <c r="B114" s="9" t="s">
        <v>156</v>
      </c>
      <c r="C114" s="149">
        <f t="shared" ca="1" si="322"/>
        <v>128603.6558728386</v>
      </c>
      <c r="D114" s="148">
        <f t="shared" ca="1" si="289"/>
        <v>1.0013086847037354</v>
      </c>
      <c r="G114" s="149">
        <f t="shared" si="323"/>
        <v>1534.8481309441829</v>
      </c>
      <c r="H114" s="148">
        <f t="shared" si="307"/>
        <v>0.99980976780309783</v>
      </c>
      <c r="K114" s="149">
        <f t="shared" si="324"/>
        <v>9845.7423878698573</v>
      </c>
      <c r="L114" s="148">
        <f t="shared" si="308"/>
        <v>1.0005541440839929</v>
      </c>
      <c r="O114" s="149">
        <f t="shared" si="325"/>
        <v>1107.2369246323303</v>
      </c>
      <c r="P114" s="148">
        <f t="shared" si="309"/>
        <v>1.0002760890950009</v>
      </c>
      <c r="Q114" s="394">
        <f t="shared" si="254"/>
        <v>11.200000000000003</v>
      </c>
      <c r="R114" s="395">
        <f t="shared" si="338"/>
        <v>1118.4369246323304</v>
      </c>
      <c r="U114" s="149">
        <f t="shared" si="326"/>
        <v>5</v>
      </c>
      <c r="V114" s="148">
        <f t="shared" si="310"/>
        <v>1</v>
      </c>
      <c r="W114" s="394">
        <f t="shared" si="339"/>
        <v>4.3000000000000043</v>
      </c>
      <c r="X114" s="395">
        <f t="shared" si="340"/>
        <v>9.3000000000000043</v>
      </c>
      <c r="AA114" s="149">
        <f t="shared" si="327"/>
        <v>5</v>
      </c>
      <c r="AB114" s="148">
        <f t="shared" si="311"/>
        <v>1</v>
      </c>
      <c r="AC114" s="394">
        <f t="shared" si="341"/>
        <v>0.99999999999999922</v>
      </c>
      <c r="AD114" s="395">
        <f t="shared" si="342"/>
        <v>5.9999999999999991</v>
      </c>
      <c r="AG114" s="149">
        <f t="shared" si="328"/>
        <v>35129.977933809481</v>
      </c>
      <c r="AH114" s="148">
        <f t="shared" si="312"/>
        <v>1.0009149490993259</v>
      </c>
      <c r="AK114" s="149">
        <f t="shared" si="329"/>
        <v>208.18289842347832</v>
      </c>
      <c r="AL114" s="148">
        <f t="shared" si="313"/>
        <v>0.99835477268233774</v>
      </c>
      <c r="AO114" s="149">
        <f t="shared" si="330"/>
        <v>766.54112100240468</v>
      </c>
      <c r="AP114" s="148">
        <f t="shared" si="314"/>
        <v>0.99928503629857557</v>
      </c>
      <c r="AQ114" s="404"/>
      <c r="AT114" s="149">
        <f t="shared" ca="1" si="331"/>
        <v>49865.596598120479</v>
      </c>
      <c r="AU114" s="148">
        <f t="shared" ca="1" si="315"/>
        <v>1.0014521692954661</v>
      </c>
      <c r="AX114" s="149">
        <f t="shared" si="332"/>
        <v>2648.1869223271801</v>
      </c>
      <c r="AY114" s="148">
        <f t="shared" si="316"/>
        <v>1.0010785954933112</v>
      </c>
      <c r="BB114" s="149">
        <f t="shared" si="333"/>
        <v>414.88167922936248</v>
      </c>
      <c r="BC114" s="148">
        <f t="shared" si="317"/>
        <v>1.000714024724862</v>
      </c>
      <c r="BD114" s="394">
        <f t="shared" si="343"/>
        <v>13.970833333333324</v>
      </c>
      <c r="BE114" s="395">
        <f t="shared" si="344"/>
        <v>428.85251256269578</v>
      </c>
      <c r="BH114" s="149">
        <f t="shared" si="334"/>
        <v>3</v>
      </c>
      <c r="BI114" s="148">
        <f t="shared" si="318"/>
        <v>1</v>
      </c>
      <c r="BJ114" s="394">
        <f t="shared" si="345"/>
        <v>2.9999999999999978</v>
      </c>
      <c r="BK114" s="395">
        <f t="shared" si="346"/>
        <v>5.9999999999999982</v>
      </c>
      <c r="BN114" s="149">
        <f t="shared" si="335"/>
        <v>15182.18878039027</v>
      </c>
      <c r="BO114" s="148">
        <f t="shared" si="319"/>
        <v>1.0014423638389347</v>
      </c>
      <c r="BR114" s="149">
        <f t="shared" si="336"/>
        <v>48.017145462532554</v>
      </c>
      <c r="BS114" s="148">
        <f t="shared" si="320"/>
        <v>1.0012136133780991</v>
      </c>
      <c r="BV114" s="149">
        <f t="shared" si="337"/>
        <v>401.1256227314218</v>
      </c>
      <c r="BW114" s="148">
        <f t="shared" si="321"/>
        <v>1.0004363939412999</v>
      </c>
    </row>
    <row r="115" spans="1:75">
      <c r="A115" s="9">
        <f t="shared" si="306"/>
        <v>2030</v>
      </c>
      <c r="B115" s="9" t="s">
        <v>157</v>
      </c>
      <c r="C115" s="149">
        <f t="shared" ca="1" si="322"/>
        <v>128771.95751012383</v>
      </c>
      <c r="D115" s="148">
        <f t="shared" ca="1" si="289"/>
        <v>1.0013086847037354</v>
      </c>
      <c r="G115" s="149">
        <f t="shared" si="323"/>
        <v>1534.5561534123221</v>
      </c>
      <c r="H115" s="148">
        <f t="shared" si="307"/>
        <v>0.99980976780309783</v>
      </c>
      <c r="K115" s="149">
        <f t="shared" si="324"/>
        <v>9851.1983477666145</v>
      </c>
      <c r="L115" s="148">
        <f t="shared" si="308"/>
        <v>1.0005541440839929</v>
      </c>
      <c r="O115" s="149">
        <f t="shared" si="325"/>
        <v>1107.5426206728037</v>
      </c>
      <c r="P115" s="148">
        <f t="shared" si="309"/>
        <v>1.0002760890950009</v>
      </c>
      <c r="Q115" s="394">
        <f t="shared" si="254"/>
        <v>11.200000000000003</v>
      </c>
      <c r="R115" s="395">
        <f t="shared" si="338"/>
        <v>1118.7426206728037</v>
      </c>
      <c r="U115" s="149">
        <f t="shared" si="326"/>
        <v>5</v>
      </c>
      <c r="V115" s="148">
        <f t="shared" si="310"/>
        <v>1</v>
      </c>
      <c r="W115" s="394">
        <f t="shared" si="339"/>
        <v>4.3000000000000043</v>
      </c>
      <c r="X115" s="395">
        <f t="shared" si="340"/>
        <v>9.3000000000000043</v>
      </c>
      <c r="AA115" s="149">
        <f t="shared" si="327"/>
        <v>5</v>
      </c>
      <c r="AB115" s="148">
        <f t="shared" si="311"/>
        <v>1</v>
      </c>
      <c r="AC115" s="394">
        <f t="shared" si="341"/>
        <v>0.99999999999999922</v>
      </c>
      <c r="AD115" s="395">
        <f t="shared" si="342"/>
        <v>5.9999999999999991</v>
      </c>
      <c r="AG115" s="149">
        <f t="shared" si="328"/>
        <v>35162.120075479361</v>
      </c>
      <c r="AH115" s="148">
        <f t="shared" si="312"/>
        <v>1.0009149490993259</v>
      </c>
      <c r="AK115" s="149">
        <f t="shared" si="329"/>
        <v>207.8403902319219</v>
      </c>
      <c r="AL115" s="148">
        <f t="shared" si="313"/>
        <v>0.99835477268233774</v>
      </c>
      <c r="AO115" s="149">
        <f t="shared" si="330"/>
        <v>765.99307192523872</v>
      </c>
      <c r="AP115" s="148">
        <f t="shared" si="314"/>
        <v>0.99928503629857546</v>
      </c>
      <c r="AQ115" s="404"/>
      <c r="AT115" s="149">
        <f t="shared" ca="1" si="331"/>
        <v>49938.009886400367</v>
      </c>
      <c r="AU115" s="148">
        <f t="shared" ca="1" si="315"/>
        <v>1.0014521692954661</v>
      </c>
      <c r="AX115" s="149">
        <f t="shared" si="332"/>
        <v>2651.0432448070478</v>
      </c>
      <c r="AY115" s="148">
        <f t="shared" si="316"/>
        <v>1.0010785954933112</v>
      </c>
      <c r="BB115" s="149">
        <f t="shared" si="333"/>
        <v>415.17791500622451</v>
      </c>
      <c r="BC115" s="148">
        <f t="shared" si="317"/>
        <v>1.000714024724862</v>
      </c>
      <c r="BD115" s="394">
        <f t="shared" si="343"/>
        <v>14.072916666666657</v>
      </c>
      <c r="BE115" s="395">
        <f t="shared" si="344"/>
        <v>429.2508316728912</v>
      </c>
      <c r="BH115" s="149">
        <f t="shared" si="334"/>
        <v>3</v>
      </c>
      <c r="BI115" s="148">
        <f t="shared" si="318"/>
        <v>1</v>
      </c>
      <c r="BJ115" s="394">
        <f t="shared" si="345"/>
        <v>2.9999999999999978</v>
      </c>
      <c r="BK115" s="395">
        <f t="shared" si="346"/>
        <v>5.9999999999999982</v>
      </c>
      <c r="BN115" s="149">
        <f t="shared" si="335"/>
        <v>15204.087020482984</v>
      </c>
      <c r="BO115" s="148">
        <f t="shared" si="319"/>
        <v>1.0014423638389347</v>
      </c>
      <c r="BR115" s="149">
        <f t="shared" si="336"/>
        <v>48.075419712644013</v>
      </c>
      <c r="BS115" s="148">
        <f t="shared" si="320"/>
        <v>1.0012136133780991</v>
      </c>
      <c r="BV115" s="149">
        <f t="shared" si="337"/>
        <v>401.30067152288194</v>
      </c>
      <c r="BW115" s="148">
        <f t="shared" si="321"/>
        <v>1.0004363939412999</v>
      </c>
    </row>
    <row r="116" spans="1:75">
      <c r="A116" s="9">
        <f t="shared" si="306"/>
        <v>2030</v>
      </c>
      <c r="B116" s="9" t="s">
        <v>158</v>
      </c>
      <c r="C116" s="149">
        <f t="shared" ca="1" si="322"/>
        <v>128940.47940118739</v>
      </c>
      <c r="D116" s="148">
        <f t="shared" ca="1" si="289"/>
        <v>1.0013086847037354</v>
      </c>
      <c r="G116" s="149">
        <f t="shared" si="323"/>
        <v>1534.2642314239886</v>
      </c>
      <c r="H116" s="148">
        <f t="shared" si="307"/>
        <v>0.99980976780309772</v>
      </c>
      <c r="K116" s="149">
        <f t="shared" si="324"/>
        <v>9856.6573310512704</v>
      </c>
      <c r="L116" s="148">
        <f t="shared" si="308"/>
        <v>1.0005541440839929</v>
      </c>
      <c r="O116" s="149">
        <f t="shared" si="325"/>
        <v>1107.8484011126202</v>
      </c>
      <c r="P116" s="148">
        <f t="shared" si="309"/>
        <v>1.0002760890950009</v>
      </c>
      <c r="Q116" s="394">
        <f t="shared" si="254"/>
        <v>11.200000000000003</v>
      </c>
      <c r="R116" s="395">
        <f t="shared" si="338"/>
        <v>1119.0484011126202</v>
      </c>
      <c r="U116" s="149">
        <f t="shared" si="326"/>
        <v>5</v>
      </c>
      <c r="V116" s="148">
        <f t="shared" si="310"/>
        <v>1</v>
      </c>
      <c r="W116" s="394">
        <f t="shared" si="339"/>
        <v>4.3000000000000043</v>
      </c>
      <c r="X116" s="395">
        <f t="shared" si="340"/>
        <v>9.3000000000000043</v>
      </c>
      <c r="AA116" s="149">
        <f t="shared" si="327"/>
        <v>5</v>
      </c>
      <c r="AB116" s="148">
        <f t="shared" si="311"/>
        <v>1</v>
      </c>
      <c r="AC116" s="394">
        <f t="shared" si="341"/>
        <v>0.99999999999999922</v>
      </c>
      <c r="AD116" s="395">
        <f t="shared" si="342"/>
        <v>5.9999999999999991</v>
      </c>
      <c r="AG116" s="149">
        <f t="shared" si="328"/>
        <v>35194.291625572812</v>
      </c>
      <c r="AH116" s="148">
        <f t="shared" si="312"/>
        <v>1.0009149490993259</v>
      </c>
      <c r="AK116" s="149">
        <f t="shared" si="329"/>
        <v>207.49844554419877</v>
      </c>
      <c r="AL116" s="148">
        <f t="shared" si="313"/>
        <v>0.99835477268233785</v>
      </c>
      <c r="AO116" s="149">
        <f t="shared" si="330"/>
        <v>765.44541468326963</v>
      </c>
      <c r="AP116" s="148">
        <f t="shared" si="314"/>
        <v>0.99928503629857568</v>
      </c>
      <c r="AQ116" s="404"/>
      <c r="AT116" s="149">
        <f t="shared" ca="1" si="331"/>
        <v>50010.528331034082</v>
      </c>
      <c r="AU116" s="148">
        <f t="shared" ca="1" si="315"/>
        <v>1.0014521692954661</v>
      </c>
      <c r="AX116" s="149">
        <f t="shared" si="332"/>
        <v>2653.9026481034698</v>
      </c>
      <c r="AY116" s="148">
        <f t="shared" si="316"/>
        <v>1.0010785954933112</v>
      </c>
      <c r="BB116" s="149">
        <f t="shared" si="333"/>
        <v>415.47436230275565</v>
      </c>
      <c r="BC116" s="148">
        <f t="shared" si="317"/>
        <v>1.000714024724862</v>
      </c>
      <c r="BD116" s="394">
        <f t="shared" si="343"/>
        <v>14.17499999999999</v>
      </c>
      <c r="BE116" s="395">
        <f t="shared" si="344"/>
        <v>429.64936230275566</v>
      </c>
      <c r="BH116" s="149">
        <f t="shared" si="334"/>
        <v>3</v>
      </c>
      <c r="BI116" s="148">
        <f t="shared" si="318"/>
        <v>1</v>
      </c>
      <c r="BJ116" s="394">
        <f t="shared" si="345"/>
        <v>2.9999999999999978</v>
      </c>
      <c r="BK116" s="395">
        <f t="shared" si="346"/>
        <v>5.9999999999999982</v>
      </c>
      <c r="BN116" s="149">
        <f t="shared" si="335"/>
        <v>15226.016845805345</v>
      </c>
      <c r="BO116" s="148">
        <f t="shared" si="319"/>
        <v>1.0014423638389347</v>
      </c>
      <c r="BR116" s="149">
        <f t="shared" si="336"/>
        <v>48.133764685165005</v>
      </c>
      <c r="BS116" s="148">
        <f t="shared" si="320"/>
        <v>1.0012136133780991</v>
      </c>
      <c r="BV116" s="149">
        <f t="shared" si="337"/>
        <v>401.47579670457412</v>
      </c>
      <c r="BW116" s="148">
        <f t="shared" si="321"/>
        <v>1.0004363939412999</v>
      </c>
    </row>
    <row r="117" spans="1:75">
      <c r="A117" s="9">
        <f t="shared" si="306"/>
        <v>2031</v>
      </c>
      <c r="B117" s="9" t="s">
        <v>147</v>
      </c>
      <c r="C117" s="149">
        <f ca="1">C19/D19^(5.50989446627246/12)</f>
        <v>129037.38813369386</v>
      </c>
      <c r="D117" s="148">
        <f t="shared" ca="1" si="289"/>
        <v>1.0007515772622881</v>
      </c>
      <c r="G117" s="149">
        <f>G19/H19^(5.50989446627246/12)</f>
        <v>1533.9723649686161</v>
      </c>
      <c r="H117" s="148">
        <f t="shared" si="307"/>
        <v>0.99980976780309772</v>
      </c>
      <c r="K117" s="149">
        <f>K19/L19^(5.50989446627246/12)</f>
        <v>9862.1193393992271</v>
      </c>
      <c r="L117" s="148">
        <f t="shared" si="308"/>
        <v>1.0005541440839938</v>
      </c>
      <c r="O117" s="149">
        <f>O19/P19^(5.50989446627246/12)</f>
        <v>1108.1542659750814</v>
      </c>
      <c r="P117" s="148">
        <f t="shared" si="309"/>
        <v>1.0002760890950009</v>
      </c>
      <c r="Q117" s="394">
        <f>SUMIFS(Q$14:Q$19,N$14:N$19,$A117)/12+Q116</f>
        <v>11.200000000000003</v>
      </c>
      <c r="R117" s="395">
        <f t="shared" si="338"/>
        <v>1119.3542659750815</v>
      </c>
      <c r="U117" s="149">
        <f>U19/V19^(5.50989446627246/12)</f>
        <v>5</v>
      </c>
      <c r="V117" s="148">
        <f t="shared" si="310"/>
        <v>1</v>
      </c>
      <c r="W117" s="394">
        <f t="shared" si="339"/>
        <v>4.3000000000000043</v>
      </c>
      <c r="X117" s="395">
        <f t="shared" si="340"/>
        <v>9.3000000000000043</v>
      </c>
      <c r="AA117" s="149">
        <f>AA19/AB19^(5.50989446627246/12)</f>
        <v>5</v>
      </c>
      <c r="AB117" s="148">
        <f t="shared" si="311"/>
        <v>1</v>
      </c>
      <c r="AC117" s="394">
        <f t="shared" si="341"/>
        <v>0.99999999999999922</v>
      </c>
      <c r="AD117" s="395">
        <f t="shared" si="342"/>
        <v>5.9999999999999991</v>
      </c>
      <c r="AG117" s="149">
        <f>AG19/AH19^(5.50989446627246/12)</f>
        <v>35226.492610997055</v>
      </c>
      <c r="AH117" s="148">
        <f t="shared" si="312"/>
        <v>1.0009149490993263</v>
      </c>
      <c r="AK117" s="149">
        <f>AK19/AL19^(5.50989446627246/12)</f>
        <v>207.15706343321693</v>
      </c>
      <c r="AL117" s="148">
        <f t="shared" si="313"/>
        <v>0.99835477268233741</v>
      </c>
      <c r="AO117" s="149">
        <f>AO19/AP19^(5.50989446627246/12)</f>
        <v>764.89814899634962</v>
      </c>
      <c r="AP117" s="148">
        <f t="shared" si="314"/>
        <v>0.9992850362985759</v>
      </c>
      <c r="AQ117" s="404"/>
      <c r="AT117" s="149">
        <f ca="1">AT19/AU19^(5.50989446627246/12)</f>
        <v>50034.253429617071</v>
      </c>
      <c r="AU117" s="148">
        <f t="shared" ca="1" si="315"/>
        <v>1.0004744020784173</v>
      </c>
      <c r="AX117" s="149">
        <f>AX19/AY19^(5.50989446627246/12)</f>
        <v>2656.7651355394032</v>
      </c>
      <c r="AY117" s="148">
        <f t="shared" si="316"/>
        <v>1.0010785954933121</v>
      </c>
      <c r="BB117" s="149">
        <f>BB19/BC19^(5.50989446627246/12)</f>
        <v>415.77102126998579</v>
      </c>
      <c r="BC117" s="148">
        <f t="shared" si="317"/>
        <v>1.0007140247248614</v>
      </c>
      <c r="BD117" s="394">
        <f t="shared" si="343"/>
        <v>14.264583333333324</v>
      </c>
      <c r="BE117" s="395">
        <f t="shared" si="344"/>
        <v>430.03560460331914</v>
      </c>
      <c r="BH117" s="149">
        <f>BH19/BI19^(5.50989446627246/12)</f>
        <v>3</v>
      </c>
      <c r="BI117" s="148">
        <f t="shared" si="318"/>
        <v>1</v>
      </c>
      <c r="BJ117" s="394">
        <f t="shared" si="345"/>
        <v>2.9999999999999978</v>
      </c>
      <c r="BK117" s="395">
        <f t="shared" si="346"/>
        <v>5.9999999999999982</v>
      </c>
      <c r="BN117" s="149">
        <f>BN19/BO19^(5.50989446627246/12)</f>
        <v>15247.978301914751</v>
      </c>
      <c r="BO117" s="148">
        <f t="shared" si="319"/>
        <v>1.0014423638389351</v>
      </c>
      <c r="BR117" s="149">
        <f>BR19/BS19^(5.50989446627246/12)</f>
        <v>48.192180465925254</v>
      </c>
      <c r="BS117" s="148">
        <f t="shared" si="320"/>
        <v>1.0012136133781002</v>
      </c>
      <c r="BV117" s="149">
        <f>BV19/BW19^(5.50989446627246/12)</f>
        <v>401.65099830983439</v>
      </c>
      <c r="BW117" s="148">
        <f t="shared" si="321"/>
        <v>1.0004363939412995</v>
      </c>
    </row>
    <row r="118" spans="1:75">
      <c r="A118" s="9">
        <f t="shared" si="306"/>
        <v>2031</v>
      </c>
      <c r="B118" s="9" t="s">
        <v>148</v>
      </c>
      <c r="C118" s="149">
        <f t="shared" ref="C118:C128" ca="1" si="347">C117*D$19^(1/12)</f>
        <v>129195.17827684683</v>
      </c>
      <c r="D118" s="148">
        <f t="shared" ca="1" si="289"/>
        <v>1.0012228249923152</v>
      </c>
      <c r="G118" s="149">
        <f t="shared" ref="G118:G128" si="348">G117*H$19^(1/12)</f>
        <v>1533.6805540356409</v>
      </c>
      <c r="H118" s="148">
        <f t="shared" si="307"/>
        <v>0.99980976780309772</v>
      </c>
      <c r="K118" s="149">
        <f t="shared" ref="K118:K128" si="349">K117*L$19^(1/12)</f>
        <v>9867.5843744867871</v>
      </c>
      <c r="L118" s="148">
        <f t="shared" si="308"/>
        <v>1.0005541440839929</v>
      </c>
      <c r="O118" s="149">
        <f t="shared" ref="O118:O128" si="350">O117*P$19^(1/12)</f>
        <v>1108.4602152834959</v>
      </c>
      <c r="P118" s="148">
        <f t="shared" si="309"/>
        <v>1.0002760890950009</v>
      </c>
      <c r="Q118" s="394">
        <f t="shared" si="254"/>
        <v>11.200000000000003</v>
      </c>
      <c r="R118" s="395">
        <f t="shared" si="338"/>
        <v>1119.660215283496</v>
      </c>
      <c r="U118" s="149">
        <f t="shared" ref="U118:U128" si="351">U117*V$19^(1/12)</f>
        <v>5</v>
      </c>
      <c r="V118" s="148">
        <f t="shared" si="310"/>
        <v>1</v>
      </c>
      <c r="W118" s="394">
        <f t="shared" si="339"/>
        <v>4.3000000000000043</v>
      </c>
      <c r="X118" s="395">
        <f t="shared" si="340"/>
        <v>9.3000000000000043</v>
      </c>
      <c r="AA118" s="149">
        <f t="shared" ref="AA118:AA128" si="352">AA117*AB$19^(1/12)</f>
        <v>5</v>
      </c>
      <c r="AB118" s="148">
        <f t="shared" si="311"/>
        <v>1</v>
      </c>
      <c r="AC118" s="394">
        <f t="shared" si="341"/>
        <v>0.99999999999999922</v>
      </c>
      <c r="AD118" s="395">
        <f t="shared" si="342"/>
        <v>5.9999999999999991</v>
      </c>
      <c r="AG118" s="149">
        <f t="shared" ref="AG118:AG128" si="353">AG117*AH$19^(1/12)</f>
        <v>35258.7230586839</v>
      </c>
      <c r="AH118" s="148">
        <f t="shared" si="312"/>
        <v>1.0009149490993259</v>
      </c>
      <c r="AK118" s="149">
        <f t="shared" ref="AK118:AK128" si="354">AK117*AL$19^(1/12)</f>
        <v>206.81624297340991</v>
      </c>
      <c r="AL118" s="148">
        <f t="shared" si="313"/>
        <v>0.99835477268233774</v>
      </c>
      <c r="AO118" s="149">
        <f t="shared" ref="AO118:AO128" si="355">AO117*AP$19^(1/12)</f>
        <v>764.35127458453053</v>
      </c>
      <c r="AP118" s="148">
        <f t="shared" si="314"/>
        <v>0.99928503629857557</v>
      </c>
      <c r="AQ118" s="404"/>
      <c r="AT118" s="149">
        <f t="shared" ref="AT118:AT128" ca="1" si="356">AT117*AU$19^(1/12)</f>
        <v>50099.370608181838</v>
      </c>
      <c r="AU118" s="148">
        <f t="shared" ca="1" si="315"/>
        <v>1.0013014519874144</v>
      </c>
      <c r="AX118" s="149">
        <f t="shared" ref="AX118:AX128" si="357">AX117*AY$19^(1/12)</f>
        <v>2659.6307104413822</v>
      </c>
      <c r="AY118" s="148">
        <f t="shared" si="316"/>
        <v>1.0010785954933112</v>
      </c>
      <c r="BB118" s="149">
        <f t="shared" ref="BB118:BB128" si="358">BB117*BC$19^(1/12)</f>
        <v>416.06789205905369</v>
      </c>
      <c r="BC118" s="148">
        <f t="shared" si="317"/>
        <v>1.000714024724862</v>
      </c>
      <c r="BD118" s="394">
        <f t="shared" si="343"/>
        <v>14.354166666666657</v>
      </c>
      <c r="BE118" s="395">
        <f t="shared" si="344"/>
        <v>430.42205872572038</v>
      </c>
      <c r="BH118" s="149">
        <f t="shared" ref="BH118:BH128" si="359">BH117*BI$19^(1/12)</f>
        <v>3</v>
      </c>
      <c r="BI118" s="148">
        <f t="shared" si="318"/>
        <v>1</v>
      </c>
      <c r="BJ118" s="394">
        <f t="shared" si="345"/>
        <v>2.9999999999999978</v>
      </c>
      <c r="BK118" s="395">
        <f t="shared" si="346"/>
        <v>5.9999999999999982</v>
      </c>
      <c r="BN118" s="149">
        <f t="shared" ref="BN118:BN128" si="360">BN117*BO$19^(1/12)</f>
        <v>15269.971434434294</v>
      </c>
      <c r="BO118" s="148">
        <f t="shared" si="319"/>
        <v>1.0014423638389347</v>
      </c>
      <c r="BR118" s="149">
        <f t="shared" ref="BR118:BR128" si="361">BR117*BS$19^(1/12)</f>
        <v>48.250667140858468</v>
      </c>
      <c r="BS118" s="148">
        <f t="shared" si="320"/>
        <v>1.0012136133780991</v>
      </c>
      <c r="BV118" s="149">
        <f t="shared" ref="BV118:BV128" si="362">BV117*BW$19^(1/12)</f>
        <v>401.82627637201387</v>
      </c>
      <c r="BW118" s="148">
        <f t="shared" si="321"/>
        <v>1.0004363939412999</v>
      </c>
    </row>
    <row r="119" spans="1:75">
      <c r="A119" s="9">
        <f t="shared" si="306"/>
        <v>2031</v>
      </c>
      <c r="B119" s="9" t="s">
        <v>149</v>
      </c>
      <c r="C119" s="149">
        <f t="shared" ca="1" si="347"/>
        <v>129353.16136973037</v>
      </c>
      <c r="D119" s="148">
        <f t="shared" ca="1" si="289"/>
        <v>1.0012228249923152</v>
      </c>
      <c r="G119" s="149">
        <f t="shared" si="348"/>
        <v>1533.3887986145003</v>
      </c>
      <c r="H119" s="148">
        <f t="shared" si="307"/>
        <v>0.99980976780309772</v>
      </c>
      <c r="K119" s="149">
        <f t="shared" si="349"/>
        <v>9873.0524379912094</v>
      </c>
      <c r="L119" s="148">
        <f t="shared" si="308"/>
        <v>1.0005541440839929</v>
      </c>
      <c r="O119" s="149">
        <f t="shared" si="350"/>
        <v>1108.7662490611781</v>
      </c>
      <c r="P119" s="148">
        <f t="shared" si="309"/>
        <v>1.0002760890950009</v>
      </c>
      <c r="Q119" s="394">
        <f t="shared" si="254"/>
        <v>11.200000000000003</v>
      </c>
      <c r="R119" s="395">
        <f t="shared" si="338"/>
        <v>1119.9662490611781</v>
      </c>
      <c r="U119" s="149">
        <f t="shared" si="351"/>
        <v>5</v>
      </c>
      <c r="V119" s="148">
        <f t="shared" si="310"/>
        <v>1</v>
      </c>
      <c r="W119" s="394">
        <f t="shared" si="339"/>
        <v>4.3000000000000043</v>
      </c>
      <c r="X119" s="395">
        <f t="shared" si="340"/>
        <v>9.3000000000000043</v>
      </c>
      <c r="AA119" s="149">
        <f t="shared" si="352"/>
        <v>5</v>
      </c>
      <c r="AB119" s="148">
        <f t="shared" si="311"/>
        <v>1</v>
      </c>
      <c r="AC119" s="394">
        <f t="shared" si="341"/>
        <v>0.99999999999999922</v>
      </c>
      <c r="AD119" s="395">
        <f t="shared" si="342"/>
        <v>5.9999999999999991</v>
      </c>
      <c r="AG119" s="149">
        <f t="shared" si="353"/>
        <v>35290.982995589824</v>
      </c>
      <c r="AH119" s="148">
        <f t="shared" si="312"/>
        <v>1.0009149490993259</v>
      </c>
      <c r="AK119" s="149">
        <f t="shared" si="354"/>
        <v>206.4759832407338</v>
      </c>
      <c r="AL119" s="148">
        <f t="shared" si="313"/>
        <v>0.99835477268233785</v>
      </c>
      <c r="AO119" s="149">
        <f t="shared" si="355"/>
        <v>763.80479116806509</v>
      </c>
      <c r="AP119" s="148">
        <f t="shared" si="314"/>
        <v>0.99928503629857557</v>
      </c>
      <c r="AQ119" s="404"/>
      <c r="AT119" s="149">
        <f t="shared" ca="1" si="356"/>
        <v>50164.572533628067</v>
      </c>
      <c r="AU119" s="148">
        <f t="shared" ca="1" si="315"/>
        <v>1.0013014519874144</v>
      </c>
      <c r="AX119" s="149">
        <f t="shared" si="357"/>
        <v>2662.4993761395367</v>
      </c>
      <c r="AY119" s="148">
        <f t="shared" si="316"/>
        <v>1.0010785954933112</v>
      </c>
      <c r="BB119" s="149">
        <f t="shared" si="358"/>
        <v>416.36497482120507</v>
      </c>
      <c r="BC119" s="148">
        <f t="shared" si="317"/>
        <v>1.000714024724862</v>
      </c>
      <c r="BD119" s="394">
        <f t="shared" si="343"/>
        <v>14.443749999999991</v>
      </c>
      <c r="BE119" s="395">
        <f t="shared" si="344"/>
        <v>430.80872482120503</v>
      </c>
      <c r="BH119" s="149">
        <f t="shared" si="359"/>
        <v>3</v>
      </c>
      <c r="BI119" s="148">
        <f t="shared" si="318"/>
        <v>1</v>
      </c>
      <c r="BJ119" s="394">
        <f t="shared" si="345"/>
        <v>2.9999999999999978</v>
      </c>
      <c r="BK119" s="395">
        <f t="shared" si="346"/>
        <v>5.9999999999999982</v>
      </c>
      <c r="BN119" s="149">
        <f t="shared" si="360"/>
        <v>15291.996289052888</v>
      </c>
      <c r="BO119" s="148">
        <f t="shared" si="319"/>
        <v>1.0014423638389347</v>
      </c>
      <c r="BR119" s="149">
        <f t="shared" si="361"/>
        <v>48.309224796002823</v>
      </c>
      <c r="BS119" s="148">
        <f t="shared" si="320"/>
        <v>1.0012136133780991</v>
      </c>
      <c r="BV119" s="149">
        <f t="shared" si="362"/>
        <v>402.00163092447769</v>
      </c>
      <c r="BW119" s="148">
        <f t="shared" si="321"/>
        <v>1.0004363939412999</v>
      </c>
    </row>
    <row r="120" spans="1:75">
      <c r="A120" s="9">
        <f t="shared" si="306"/>
        <v>2031</v>
      </c>
      <c r="B120" s="9" t="s">
        <v>150</v>
      </c>
      <c r="C120" s="149">
        <f t="shared" ca="1" si="347"/>
        <v>129511.33764828826</v>
      </c>
      <c r="D120" s="148">
        <f t="shared" ca="1" si="289"/>
        <v>1.0012228249923152</v>
      </c>
      <c r="G120" s="149">
        <f t="shared" si="348"/>
        <v>1533.0970986946345</v>
      </c>
      <c r="H120" s="148">
        <f t="shared" si="307"/>
        <v>0.99980976780309772</v>
      </c>
      <c r="K120" s="149">
        <f t="shared" si="349"/>
        <v>9878.5235315906739</v>
      </c>
      <c r="L120" s="148">
        <f t="shared" si="308"/>
        <v>1.0005541440839929</v>
      </c>
      <c r="O120" s="149">
        <f t="shared" si="350"/>
        <v>1109.072367331449</v>
      </c>
      <c r="P120" s="148">
        <f t="shared" si="309"/>
        <v>1.0002760890950009</v>
      </c>
      <c r="Q120" s="394">
        <f t="shared" si="254"/>
        <v>11.200000000000003</v>
      </c>
      <c r="R120" s="395">
        <f t="shared" si="338"/>
        <v>1120.272367331449</v>
      </c>
      <c r="U120" s="149">
        <f t="shared" si="351"/>
        <v>5</v>
      </c>
      <c r="V120" s="148">
        <f t="shared" si="310"/>
        <v>1</v>
      </c>
      <c r="W120" s="394">
        <f t="shared" si="339"/>
        <v>4.3000000000000043</v>
      </c>
      <c r="X120" s="395">
        <f t="shared" si="340"/>
        <v>9.3000000000000043</v>
      </c>
      <c r="AA120" s="149">
        <f t="shared" si="352"/>
        <v>5</v>
      </c>
      <c r="AB120" s="148">
        <f t="shared" si="311"/>
        <v>1</v>
      </c>
      <c r="AC120" s="394">
        <f t="shared" si="341"/>
        <v>0.99999999999999922</v>
      </c>
      <c r="AD120" s="395">
        <f t="shared" si="342"/>
        <v>5.9999999999999991</v>
      </c>
      <c r="AG120" s="149">
        <f t="shared" si="353"/>
        <v>35323.272448695963</v>
      </c>
      <c r="AH120" s="148">
        <f t="shared" si="312"/>
        <v>1.0009149490993259</v>
      </c>
      <c r="AK120" s="149">
        <f t="shared" si="354"/>
        <v>206.13628331266497</v>
      </c>
      <c r="AL120" s="148">
        <f t="shared" si="313"/>
        <v>0.99835477268233774</v>
      </c>
      <c r="AO120" s="149">
        <f t="shared" si="355"/>
        <v>763.25869846740591</v>
      </c>
      <c r="AP120" s="148">
        <f t="shared" si="314"/>
        <v>0.99928503629857568</v>
      </c>
      <c r="AQ120" s="404"/>
      <c r="AT120" s="149">
        <f t="shared" ca="1" si="356"/>
        <v>50229.859316249749</v>
      </c>
      <c r="AU120" s="148">
        <f t="shared" ca="1" si="315"/>
        <v>1.0013014519874144</v>
      </c>
      <c r="AX120" s="149">
        <f t="shared" si="357"/>
        <v>2665.3711359675849</v>
      </c>
      <c r="AY120" s="148">
        <f t="shared" si="316"/>
        <v>1.0010785954933112</v>
      </c>
      <c r="BB120" s="149">
        <f t="shared" si="358"/>
        <v>416.66226970779394</v>
      </c>
      <c r="BC120" s="148">
        <f t="shared" si="317"/>
        <v>1.000714024724862</v>
      </c>
      <c r="BD120" s="394">
        <f t="shared" si="343"/>
        <v>14.533333333333324</v>
      </c>
      <c r="BE120" s="395">
        <f t="shared" si="344"/>
        <v>431.19560304112724</v>
      </c>
      <c r="BH120" s="149">
        <f t="shared" si="359"/>
        <v>3</v>
      </c>
      <c r="BI120" s="148">
        <f t="shared" si="318"/>
        <v>1</v>
      </c>
      <c r="BJ120" s="394">
        <f t="shared" si="345"/>
        <v>2.9999999999999978</v>
      </c>
      <c r="BK120" s="395">
        <f t="shared" si="346"/>
        <v>5.9999999999999982</v>
      </c>
      <c r="BN120" s="149">
        <f t="shared" si="360"/>
        <v>15314.052911525341</v>
      </c>
      <c r="BO120" s="148">
        <f t="shared" si="319"/>
        <v>1.0014423638389347</v>
      </c>
      <c r="BR120" s="149">
        <f t="shared" si="361"/>
        <v>48.367853517500848</v>
      </c>
      <c r="BS120" s="148">
        <f t="shared" si="320"/>
        <v>1.0012136133780991</v>
      </c>
      <c r="BV120" s="149">
        <f t="shared" si="362"/>
        <v>402.17706200060582</v>
      </c>
      <c r="BW120" s="148">
        <f t="shared" si="321"/>
        <v>1.0004363939412999</v>
      </c>
    </row>
    <row r="121" spans="1:75">
      <c r="A121" s="9">
        <f t="shared" si="306"/>
        <v>2031</v>
      </c>
      <c r="B121" s="9" t="s">
        <v>151</v>
      </c>
      <c r="C121" s="149">
        <f t="shared" ca="1" si="347"/>
        <v>129669.70734875275</v>
      </c>
      <c r="D121" s="148">
        <f t="shared" ca="1" si="289"/>
        <v>1.0012228249923152</v>
      </c>
      <c r="G121" s="149">
        <f t="shared" si="348"/>
        <v>1532.8054542654852</v>
      </c>
      <c r="H121" s="148">
        <f t="shared" si="307"/>
        <v>0.9998097678030976</v>
      </c>
      <c r="K121" s="149">
        <f t="shared" si="349"/>
        <v>9883.9976569642895</v>
      </c>
      <c r="L121" s="148">
        <f t="shared" si="308"/>
        <v>1.0005541440839929</v>
      </c>
      <c r="O121" s="149">
        <f t="shared" si="350"/>
        <v>1109.3785701176359</v>
      </c>
      <c r="P121" s="148">
        <f t="shared" si="309"/>
        <v>1.0002760890950009</v>
      </c>
      <c r="Q121" s="394">
        <f t="shared" si="254"/>
        <v>11.200000000000003</v>
      </c>
      <c r="R121" s="395">
        <f t="shared" si="338"/>
        <v>1120.578570117636</v>
      </c>
      <c r="U121" s="149">
        <f t="shared" si="351"/>
        <v>5</v>
      </c>
      <c r="V121" s="148">
        <f t="shared" si="310"/>
        <v>1</v>
      </c>
      <c r="W121" s="394">
        <f t="shared" si="339"/>
        <v>4.3000000000000043</v>
      </c>
      <c r="X121" s="395">
        <f t="shared" si="340"/>
        <v>9.3000000000000043</v>
      </c>
      <c r="AA121" s="149">
        <f t="shared" si="352"/>
        <v>5</v>
      </c>
      <c r="AB121" s="148">
        <f t="shared" si="311"/>
        <v>1</v>
      </c>
      <c r="AC121" s="394">
        <f t="shared" si="341"/>
        <v>0.99999999999999922</v>
      </c>
      <c r="AD121" s="395">
        <f t="shared" si="342"/>
        <v>5.9999999999999991</v>
      </c>
      <c r="AG121" s="149">
        <f t="shared" si="353"/>
        <v>35355.59144500814</v>
      </c>
      <c r="AH121" s="148">
        <f t="shared" si="312"/>
        <v>1.0009149490993259</v>
      </c>
      <c r="AK121" s="149">
        <f t="shared" si="354"/>
        <v>205.7971422681976</v>
      </c>
      <c r="AL121" s="148">
        <f t="shared" si="313"/>
        <v>0.99835477268233774</v>
      </c>
      <c r="AO121" s="149">
        <f t="shared" si="355"/>
        <v>762.71299620320531</v>
      </c>
      <c r="AP121" s="148">
        <f t="shared" si="314"/>
        <v>0.99928503629857568</v>
      </c>
      <c r="AQ121" s="404"/>
      <c r="AT121" s="149">
        <f t="shared" ca="1" si="356"/>
        <v>50295.231066484426</v>
      </c>
      <c r="AU121" s="148">
        <f t="shared" ca="1" si="315"/>
        <v>1.0013014519874144</v>
      </c>
      <c r="AX121" s="149">
        <f t="shared" si="357"/>
        <v>2668.2459932628412</v>
      </c>
      <c r="AY121" s="148">
        <f t="shared" si="316"/>
        <v>1.0010785954933112</v>
      </c>
      <c r="BB121" s="149">
        <f t="shared" si="358"/>
        <v>416.95977687028244</v>
      </c>
      <c r="BC121" s="148">
        <f t="shared" si="317"/>
        <v>1.000714024724862</v>
      </c>
      <c r="BD121" s="394">
        <f t="shared" si="343"/>
        <v>14.622916666666658</v>
      </c>
      <c r="BE121" s="395">
        <f t="shared" si="344"/>
        <v>431.58269353694908</v>
      </c>
      <c r="BH121" s="149">
        <f t="shared" si="359"/>
        <v>3</v>
      </c>
      <c r="BI121" s="148">
        <f t="shared" si="318"/>
        <v>1</v>
      </c>
      <c r="BJ121" s="394">
        <f t="shared" si="345"/>
        <v>2.9999999999999978</v>
      </c>
      <c r="BK121" s="395">
        <f t="shared" si="346"/>
        <v>5.9999999999999982</v>
      </c>
      <c r="BN121" s="149">
        <f t="shared" si="360"/>
        <v>15336.141347672457</v>
      </c>
      <c r="BO121" s="148">
        <f t="shared" si="319"/>
        <v>1.0014423638389347</v>
      </c>
      <c r="BR121" s="149">
        <f t="shared" si="361"/>
        <v>48.426553391599626</v>
      </c>
      <c r="BS121" s="148">
        <f t="shared" si="320"/>
        <v>1.0012136133780991</v>
      </c>
      <c r="BV121" s="149">
        <f t="shared" si="362"/>
        <v>402.35256963379265</v>
      </c>
      <c r="BW121" s="148">
        <f t="shared" si="321"/>
        <v>1.0004363939412999</v>
      </c>
    </row>
    <row r="122" spans="1:75">
      <c r="A122" s="9">
        <f t="shared" si="306"/>
        <v>2031</v>
      </c>
      <c r="B122" s="9" t="s">
        <v>152</v>
      </c>
      <c r="C122" s="149">
        <f t="shared" ca="1" si="347"/>
        <v>129828.270707645</v>
      </c>
      <c r="D122" s="148">
        <f t="shared" ca="1" si="289"/>
        <v>1.0012228249923152</v>
      </c>
      <c r="G122" s="149">
        <f t="shared" si="348"/>
        <v>1532.5138653164965</v>
      </c>
      <c r="H122" s="148">
        <f t="shared" si="307"/>
        <v>0.99980976780309772</v>
      </c>
      <c r="K122" s="149">
        <f t="shared" si="349"/>
        <v>9889.4748157920967</v>
      </c>
      <c r="L122" s="148">
        <f t="shared" si="308"/>
        <v>1.0005541440839929</v>
      </c>
      <c r="O122" s="149">
        <f t="shared" si="350"/>
        <v>1109.684857443073</v>
      </c>
      <c r="P122" s="148">
        <f t="shared" si="309"/>
        <v>1.0002760890950009</v>
      </c>
      <c r="Q122" s="394">
        <f t="shared" ref="Q122:Q128" si="363">SUMIFS(Q$14:Q$19,N$14:N$19,$A122)/12+Q121</f>
        <v>11.200000000000003</v>
      </c>
      <c r="R122" s="395">
        <f t="shared" si="338"/>
        <v>1120.8848574430731</v>
      </c>
      <c r="U122" s="149">
        <f t="shared" si="351"/>
        <v>5</v>
      </c>
      <c r="V122" s="148">
        <f t="shared" si="310"/>
        <v>1</v>
      </c>
      <c r="W122" s="394">
        <f t="shared" si="339"/>
        <v>4.3000000000000043</v>
      </c>
      <c r="X122" s="395">
        <f t="shared" si="340"/>
        <v>9.3000000000000043</v>
      </c>
      <c r="AA122" s="149">
        <f t="shared" si="352"/>
        <v>5</v>
      </c>
      <c r="AB122" s="148">
        <f t="shared" si="311"/>
        <v>1</v>
      </c>
      <c r="AC122" s="394">
        <f t="shared" si="341"/>
        <v>0.99999999999999922</v>
      </c>
      <c r="AD122" s="395">
        <f t="shared" si="342"/>
        <v>5.9999999999999991</v>
      </c>
      <c r="AG122" s="149">
        <f t="shared" si="353"/>
        <v>35387.940011556886</v>
      </c>
      <c r="AH122" s="148">
        <f t="shared" si="312"/>
        <v>1.0009149490993259</v>
      </c>
      <c r="AK122" s="149">
        <f t="shared" si="354"/>
        <v>205.45855918784113</v>
      </c>
      <c r="AL122" s="148">
        <f t="shared" si="313"/>
        <v>0.99835477268233774</v>
      </c>
      <c r="AO122" s="149">
        <f t="shared" si="355"/>
        <v>762.16768409631538</v>
      </c>
      <c r="AP122" s="148">
        <f t="shared" si="314"/>
        <v>0.99928503629857557</v>
      </c>
      <c r="AQ122" s="404"/>
      <c r="AT122" s="149">
        <f t="shared" ca="1" si="356"/>
        <v>50360.687894913368</v>
      </c>
      <c r="AU122" s="148">
        <f t="shared" ca="1" si="315"/>
        <v>1.0013014519874144</v>
      </c>
      <c r="AX122" s="149">
        <f t="shared" si="357"/>
        <v>2671.1239513662204</v>
      </c>
      <c r="AY122" s="148">
        <f t="shared" si="316"/>
        <v>1.0010785954933112</v>
      </c>
      <c r="BB122" s="149">
        <f t="shared" si="358"/>
        <v>417.25749646024076</v>
      </c>
      <c r="BC122" s="148">
        <f t="shared" si="317"/>
        <v>1.000714024724862</v>
      </c>
      <c r="BD122" s="394">
        <f t="shared" si="343"/>
        <v>14.712499999999991</v>
      </c>
      <c r="BE122" s="395">
        <f t="shared" si="344"/>
        <v>431.96999646024074</v>
      </c>
      <c r="BH122" s="149">
        <f t="shared" si="359"/>
        <v>3</v>
      </c>
      <c r="BI122" s="148">
        <f t="shared" si="318"/>
        <v>1</v>
      </c>
      <c r="BJ122" s="394">
        <f t="shared" si="345"/>
        <v>2.9999999999999978</v>
      </c>
      <c r="BK122" s="395">
        <f t="shared" si="346"/>
        <v>5.9999999999999982</v>
      </c>
      <c r="BN122" s="149">
        <f t="shared" si="360"/>
        <v>15358.261643381131</v>
      </c>
      <c r="BO122" s="148">
        <f t="shared" si="319"/>
        <v>1.0014423638389347</v>
      </c>
      <c r="BR122" s="149">
        <f t="shared" si="361"/>
        <v>48.485324504650904</v>
      </c>
      <c r="BS122" s="148">
        <f t="shared" si="320"/>
        <v>1.0012136133780991</v>
      </c>
      <c r="BV122" s="149">
        <f t="shared" si="362"/>
        <v>402.52815385744731</v>
      </c>
      <c r="BW122" s="148">
        <f t="shared" si="321"/>
        <v>1.0004363939412999</v>
      </c>
    </row>
    <row r="123" spans="1:75">
      <c r="A123" s="9">
        <f t="shared" si="306"/>
        <v>2031</v>
      </c>
      <c r="B123" s="9" t="s">
        <v>153</v>
      </c>
      <c r="C123" s="149">
        <f t="shared" ca="1" si="347"/>
        <v>129987.02796177537</v>
      </c>
      <c r="D123" s="148">
        <f t="shared" ca="1" si="289"/>
        <v>1.0012228249923152</v>
      </c>
      <c r="G123" s="149">
        <f t="shared" si="348"/>
        <v>1532.2223318371141</v>
      </c>
      <c r="H123" s="148">
        <f t="shared" si="307"/>
        <v>0.99980976780309772</v>
      </c>
      <c r="K123" s="149">
        <f t="shared" si="349"/>
        <v>9894.9550097550655</v>
      </c>
      <c r="L123" s="148">
        <f t="shared" si="308"/>
        <v>1.0005541440839929</v>
      </c>
      <c r="O123" s="149">
        <f t="shared" si="350"/>
        <v>1109.9912293311006</v>
      </c>
      <c r="P123" s="148">
        <f t="shared" si="309"/>
        <v>1.0002760890950009</v>
      </c>
      <c r="Q123" s="394">
        <f t="shared" si="363"/>
        <v>11.200000000000003</v>
      </c>
      <c r="R123" s="395">
        <f t="shared" si="338"/>
        <v>1121.1912293311007</v>
      </c>
      <c r="U123" s="149">
        <f t="shared" si="351"/>
        <v>5</v>
      </c>
      <c r="V123" s="148">
        <f t="shared" si="310"/>
        <v>1</v>
      </c>
      <c r="W123" s="394">
        <f t="shared" si="339"/>
        <v>4.3000000000000043</v>
      </c>
      <c r="X123" s="395">
        <f t="shared" si="340"/>
        <v>9.3000000000000043</v>
      </c>
      <c r="AA123" s="149">
        <f t="shared" si="352"/>
        <v>5</v>
      </c>
      <c r="AB123" s="148">
        <f t="shared" si="311"/>
        <v>1</v>
      </c>
      <c r="AC123" s="394">
        <f t="shared" si="341"/>
        <v>0.99999999999999922</v>
      </c>
      <c r="AD123" s="395">
        <f t="shared" si="342"/>
        <v>5.9999999999999991</v>
      </c>
      <c r="AG123" s="149">
        <f t="shared" si="353"/>
        <v>35420.318175397457</v>
      </c>
      <c r="AH123" s="148">
        <f t="shared" si="312"/>
        <v>1.0009149490993259</v>
      </c>
      <c r="AK123" s="149">
        <f t="shared" si="354"/>
        <v>205.12053315361777</v>
      </c>
      <c r="AL123" s="148">
        <f t="shared" si="313"/>
        <v>0.99835477268233774</v>
      </c>
      <c r="AO123" s="149">
        <f t="shared" si="355"/>
        <v>761.62276186778774</v>
      </c>
      <c r="AP123" s="148">
        <f t="shared" si="314"/>
        <v>0.99928503629857546</v>
      </c>
      <c r="AQ123" s="404"/>
      <c r="AT123" s="149">
        <f t="shared" ca="1" si="356"/>
        <v>50426.229912261755</v>
      </c>
      <c r="AU123" s="148">
        <f t="shared" ca="1" si="315"/>
        <v>1.0013014519874144</v>
      </c>
      <c r="AX123" s="149">
        <f t="shared" si="357"/>
        <v>2674.0050136222399</v>
      </c>
      <c r="AY123" s="148">
        <f t="shared" si="316"/>
        <v>1.0010785954933112</v>
      </c>
      <c r="BB123" s="149">
        <f t="shared" si="358"/>
        <v>417.55542862934743</v>
      </c>
      <c r="BC123" s="148">
        <f t="shared" si="317"/>
        <v>1.000714024724862</v>
      </c>
      <c r="BD123" s="394">
        <f t="shared" si="343"/>
        <v>14.802083333333325</v>
      </c>
      <c r="BE123" s="395">
        <f t="shared" si="344"/>
        <v>432.35751196268075</v>
      </c>
      <c r="BH123" s="149">
        <f t="shared" si="359"/>
        <v>3</v>
      </c>
      <c r="BI123" s="148">
        <f t="shared" si="318"/>
        <v>1</v>
      </c>
      <c r="BJ123" s="394">
        <f t="shared" si="345"/>
        <v>2.9999999999999978</v>
      </c>
      <c r="BK123" s="395">
        <f t="shared" si="346"/>
        <v>5.9999999999999982</v>
      </c>
      <c r="BN123" s="149">
        <f t="shared" si="360"/>
        <v>15380.413844604442</v>
      </c>
      <c r="BO123" s="148">
        <f t="shared" si="319"/>
        <v>1.0014423638389347</v>
      </c>
      <c r="BR123" s="149">
        <f t="shared" si="361"/>
        <v>48.544166943111229</v>
      </c>
      <c r="BS123" s="148">
        <f t="shared" si="320"/>
        <v>1.0012136133780991</v>
      </c>
      <c r="BV123" s="149">
        <f t="shared" si="362"/>
        <v>402.70381470499331</v>
      </c>
      <c r="BW123" s="148">
        <f t="shared" si="321"/>
        <v>1.0004363939412999</v>
      </c>
    </row>
    <row r="124" spans="1:75">
      <c r="A124" s="9">
        <f t="shared" si="306"/>
        <v>2031</v>
      </c>
      <c r="B124" s="9" t="s">
        <v>154</v>
      </c>
      <c r="C124" s="149">
        <f t="shared" ca="1" si="347"/>
        <v>130145.9793482438</v>
      </c>
      <c r="D124" s="148">
        <f t="shared" ca="1" si="289"/>
        <v>1.0012228249923152</v>
      </c>
      <c r="G124" s="149">
        <f t="shared" si="348"/>
        <v>1531.9308538167859</v>
      </c>
      <c r="H124" s="148">
        <f t="shared" si="307"/>
        <v>0.9998097678030976</v>
      </c>
      <c r="K124" s="149">
        <f t="shared" si="349"/>
        <v>9900.4382405350971</v>
      </c>
      <c r="L124" s="148">
        <f t="shared" si="308"/>
        <v>1.0005541440839929</v>
      </c>
      <c r="O124" s="149">
        <f t="shared" si="350"/>
        <v>1110.2976858050656</v>
      </c>
      <c r="P124" s="148">
        <f t="shared" si="309"/>
        <v>1.0002760890950009</v>
      </c>
      <c r="Q124" s="394">
        <f t="shared" si="363"/>
        <v>11.200000000000003</v>
      </c>
      <c r="R124" s="395">
        <f t="shared" si="338"/>
        <v>1121.4976858050657</v>
      </c>
      <c r="U124" s="149">
        <f t="shared" si="351"/>
        <v>5</v>
      </c>
      <c r="V124" s="148">
        <f t="shared" si="310"/>
        <v>1</v>
      </c>
      <c r="W124" s="394">
        <f t="shared" si="339"/>
        <v>4.3000000000000043</v>
      </c>
      <c r="X124" s="395">
        <f t="shared" si="340"/>
        <v>9.3000000000000043</v>
      </c>
      <c r="AA124" s="149">
        <f t="shared" si="352"/>
        <v>5</v>
      </c>
      <c r="AB124" s="148">
        <f t="shared" si="311"/>
        <v>1</v>
      </c>
      <c r="AC124" s="394">
        <f t="shared" si="341"/>
        <v>0.99999999999999922</v>
      </c>
      <c r="AD124" s="395">
        <f t="shared" si="342"/>
        <v>5.9999999999999991</v>
      </c>
      <c r="AG124" s="149">
        <f t="shared" si="353"/>
        <v>35452.725963609875</v>
      </c>
      <c r="AH124" s="148">
        <f t="shared" si="312"/>
        <v>1.0009149490993259</v>
      </c>
      <c r="AK124" s="149">
        <f t="shared" si="354"/>
        <v>204.78306324905998</v>
      </c>
      <c r="AL124" s="148">
        <f t="shared" si="313"/>
        <v>0.99835477268233763</v>
      </c>
      <c r="AO124" s="149">
        <f t="shared" si="355"/>
        <v>761.07822923887363</v>
      </c>
      <c r="AP124" s="148">
        <f t="shared" si="314"/>
        <v>0.99928503629857557</v>
      </c>
      <c r="AQ124" s="404"/>
      <c r="AT124" s="149">
        <f t="shared" ca="1" si="356"/>
        <v>50491.857229398884</v>
      </c>
      <c r="AU124" s="148">
        <f t="shared" ca="1" si="315"/>
        <v>1.0013014519874144</v>
      </c>
      <c r="AX124" s="149">
        <f t="shared" si="357"/>
        <v>2676.8891833790244</v>
      </c>
      <c r="AY124" s="148">
        <f t="shared" si="316"/>
        <v>1.0010785954933112</v>
      </c>
      <c r="BB124" s="149">
        <f t="shared" si="358"/>
        <v>417.85357352938917</v>
      </c>
      <c r="BC124" s="148">
        <f t="shared" si="317"/>
        <v>1.000714024724862</v>
      </c>
      <c r="BD124" s="394">
        <f t="shared" si="343"/>
        <v>14.891666666666659</v>
      </c>
      <c r="BE124" s="395">
        <f t="shared" si="344"/>
        <v>432.74524019605582</v>
      </c>
      <c r="BH124" s="149">
        <f t="shared" si="359"/>
        <v>3</v>
      </c>
      <c r="BI124" s="148">
        <f t="shared" si="318"/>
        <v>1</v>
      </c>
      <c r="BJ124" s="394">
        <f t="shared" si="345"/>
        <v>2.9999999999999978</v>
      </c>
      <c r="BK124" s="395">
        <f t="shared" si="346"/>
        <v>5.9999999999999982</v>
      </c>
      <c r="BN124" s="149">
        <f t="shared" si="360"/>
        <v>15402.59799736175</v>
      </c>
      <c r="BO124" s="148">
        <f t="shared" si="319"/>
        <v>1.0014423638389347</v>
      </c>
      <c r="BR124" s="149">
        <f t="shared" si="361"/>
        <v>48.603080793542063</v>
      </c>
      <c r="BS124" s="148">
        <f t="shared" si="320"/>
        <v>1.0012136133780991</v>
      </c>
      <c r="BV124" s="149">
        <f t="shared" si="362"/>
        <v>402.8795522098689</v>
      </c>
      <c r="BW124" s="148">
        <f t="shared" si="321"/>
        <v>1.0004363939412999</v>
      </c>
    </row>
    <row r="125" spans="1:75">
      <c r="A125" s="9">
        <f t="shared" si="306"/>
        <v>2031</v>
      </c>
      <c r="B125" s="9" t="s">
        <v>684</v>
      </c>
      <c r="C125" s="149">
        <f t="shared" ca="1" si="347"/>
        <v>130305.12510444016</v>
      </c>
      <c r="D125" s="148">
        <f t="shared" ca="1" si="289"/>
        <v>1.0012228249923152</v>
      </c>
      <c r="G125" s="149">
        <f t="shared" si="348"/>
        <v>1531.639431244962</v>
      </c>
      <c r="H125" s="148">
        <f t="shared" si="307"/>
        <v>0.99980976780309772</v>
      </c>
      <c r="K125" s="149">
        <f t="shared" si="349"/>
        <v>9905.9245098150259</v>
      </c>
      <c r="L125" s="148">
        <f t="shared" si="308"/>
        <v>1.0005541440839929</v>
      </c>
      <c r="O125" s="149">
        <f t="shared" si="350"/>
        <v>1110.6042268883211</v>
      </c>
      <c r="P125" s="148">
        <f t="shared" si="309"/>
        <v>1.0002760890950009</v>
      </c>
      <c r="Q125" s="394">
        <f t="shared" si="363"/>
        <v>11.200000000000003</v>
      </c>
      <c r="R125" s="395">
        <f t="shared" si="338"/>
        <v>1121.8042268883212</v>
      </c>
      <c r="U125" s="149">
        <f t="shared" si="351"/>
        <v>5</v>
      </c>
      <c r="V125" s="148">
        <f t="shared" si="310"/>
        <v>1</v>
      </c>
      <c r="W125" s="394">
        <f t="shared" si="339"/>
        <v>4.3000000000000043</v>
      </c>
      <c r="X125" s="395">
        <f t="shared" si="340"/>
        <v>9.3000000000000043</v>
      </c>
      <c r="AA125" s="149">
        <f t="shared" si="352"/>
        <v>5</v>
      </c>
      <c r="AB125" s="148">
        <f t="shared" si="311"/>
        <v>1</v>
      </c>
      <c r="AC125" s="394">
        <f t="shared" si="341"/>
        <v>0.99999999999999922</v>
      </c>
      <c r="AD125" s="395">
        <f t="shared" si="342"/>
        <v>5.9999999999999991</v>
      </c>
      <c r="AG125" s="149">
        <f t="shared" si="353"/>
        <v>35485.163403298924</v>
      </c>
      <c r="AH125" s="148">
        <f t="shared" si="312"/>
        <v>1.0009149490993259</v>
      </c>
      <c r="AK125" s="149">
        <f t="shared" si="354"/>
        <v>204.44614855920807</v>
      </c>
      <c r="AL125" s="148">
        <f t="shared" si="313"/>
        <v>0.99835477268233774</v>
      </c>
      <c r="AO125" s="149">
        <f t="shared" si="355"/>
        <v>760.53408593102347</v>
      </c>
      <c r="AP125" s="148">
        <f t="shared" si="314"/>
        <v>0.99928503629857557</v>
      </c>
      <c r="AQ125" s="404"/>
      <c r="AT125" s="149">
        <f t="shared" ca="1" si="356"/>
        <v>50557.569957338324</v>
      </c>
      <c r="AU125" s="148">
        <f t="shared" ca="1" si="315"/>
        <v>1.0013014519874144</v>
      </c>
      <c r="AX125" s="149">
        <f t="shared" si="357"/>
        <v>2679.7764639883108</v>
      </c>
      <c r="AY125" s="148">
        <f t="shared" si="316"/>
        <v>1.0010785954933112</v>
      </c>
      <c r="BB125" s="149">
        <f t="shared" si="358"/>
        <v>418.15193131226113</v>
      </c>
      <c r="BC125" s="148">
        <f t="shared" si="317"/>
        <v>1.000714024724862</v>
      </c>
      <c r="BD125" s="394">
        <f t="shared" si="343"/>
        <v>14.981249999999992</v>
      </c>
      <c r="BE125" s="395">
        <f t="shared" si="344"/>
        <v>433.13318131226112</v>
      </c>
      <c r="BH125" s="149">
        <f t="shared" si="359"/>
        <v>3</v>
      </c>
      <c r="BI125" s="148">
        <f t="shared" si="318"/>
        <v>1</v>
      </c>
      <c r="BJ125" s="394">
        <f t="shared" si="345"/>
        <v>2.9999999999999978</v>
      </c>
      <c r="BK125" s="395">
        <f t="shared" si="346"/>
        <v>5.9999999999999982</v>
      </c>
      <c r="BN125" s="149">
        <f t="shared" si="360"/>
        <v>15424.814147738793</v>
      </c>
      <c r="BO125" s="148">
        <f t="shared" si="319"/>
        <v>1.0014423638389347</v>
      </c>
      <c r="BR125" s="149">
        <f t="shared" si="361"/>
        <v>48.662066142609937</v>
      </c>
      <c r="BS125" s="148">
        <f t="shared" si="320"/>
        <v>1.0012136133780991</v>
      </c>
      <c r="BV125" s="149">
        <f t="shared" si="362"/>
        <v>403.05536640552691</v>
      </c>
      <c r="BW125" s="148">
        <f t="shared" si="321"/>
        <v>1.0004363939412999</v>
      </c>
    </row>
    <row r="126" spans="1:75">
      <c r="A126" s="9">
        <f t="shared" si="306"/>
        <v>2031</v>
      </c>
      <c r="B126" s="9" t="s">
        <v>156</v>
      </c>
      <c r="C126" s="149">
        <f t="shared" ca="1" si="347"/>
        <v>130464.46546804463</v>
      </c>
      <c r="D126" s="148">
        <f t="shared" ca="1" si="289"/>
        <v>1.0012228249923152</v>
      </c>
      <c r="G126" s="149">
        <f t="shared" si="348"/>
        <v>1531.3480641110941</v>
      </c>
      <c r="H126" s="148">
        <f t="shared" si="307"/>
        <v>0.99980976780309772</v>
      </c>
      <c r="K126" s="149">
        <f t="shared" si="349"/>
        <v>9911.4138192786195</v>
      </c>
      <c r="L126" s="148">
        <f t="shared" si="308"/>
        <v>1.0005541440839929</v>
      </c>
      <c r="O126" s="149">
        <f t="shared" si="350"/>
        <v>1110.9108526042269</v>
      </c>
      <c r="P126" s="148">
        <f t="shared" si="309"/>
        <v>1.0002760890950009</v>
      </c>
      <c r="Q126" s="394">
        <f t="shared" si="363"/>
        <v>11.200000000000003</v>
      </c>
      <c r="R126" s="395">
        <f t="shared" si="338"/>
        <v>1122.1108526042269</v>
      </c>
      <c r="U126" s="149">
        <f t="shared" si="351"/>
        <v>5</v>
      </c>
      <c r="V126" s="148">
        <f t="shared" si="310"/>
        <v>1</v>
      </c>
      <c r="W126" s="394">
        <f t="shared" si="339"/>
        <v>4.3000000000000043</v>
      </c>
      <c r="X126" s="395">
        <f t="shared" si="340"/>
        <v>9.3000000000000043</v>
      </c>
      <c r="AA126" s="149">
        <f t="shared" si="352"/>
        <v>5</v>
      </c>
      <c r="AB126" s="148">
        <f t="shared" si="311"/>
        <v>1</v>
      </c>
      <c r="AC126" s="394">
        <f t="shared" si="341"/>
        <v>0.99999999999999922</v>
      </c>
      <c r="AD126" s="395">
        <f t="shared" si="342"/>
        <v>5.9999999999999991</v>
      </c>
      <c r="AG126" s="149">
        <f t="shared" si="353"/>
        <v>35517.630521594205</v>
      </c>
      <c r="AH126" s="148">
        <f t="shared" si="312"/>
        <v>1.0009149490993259</v>
      </c>
      <c r="AK126" s="149">
        <f t="shared" si="354"/>
        <v>204.10978817060763</v>
      </c>
      <c r="AL126" s="148">
        <f t="shared" si="313"/>
        <v>0.99835477268233774</v>
      </c>
      <c r="AO126" s="149">
        <f t="shared" si="355"/>
        <v>759.99033166588674</v>
      </c>
      <c r="AP126" s="148">
        <f t="shared" si="314"/>
        <v>0.99928503629857557</v>
      </c>
      <c r="AQ126" s="404"/>
      <c r="AT126" s="149">
        <f t="shared" ca="1" si="356"/>
        <v>50623.368207238142</v>
      </c>
      <c r="AU126" s="148">
        <f t="shared" ca="1" si="315"/>
        <v>1.0013014519874144</v>
      </c>
      <c r="AX126" s="149">
        <f t="shared" si="357"/>
        <v>2682.6668588054499</v>
      </c>
      <c r="AY126" s="148">
        <f t="shared" si="316"/>
        <v>1.0010785954933112</v>
      </c>
      <c r="BB126" s="149">
        <f t="shared" si="358"/>
        <v>418.45050212996688</v>
      </c>
      <c r="BC126" s="148">
        <f t="shared" si="317"/>
        <v>1.000714024724862</v>
      </c>
      <c r="BD126" s="394">
        <f t="shared" si="343"/>
        <v>15.070833333333326</v>
      </c>
      <c r="BE126" s="395">
        <f t="shared" si="344"/>
        <v>433.5213354633002</v>
      </c>
      <c r="BH126" s="149">
        <f t="shared" si="359"/>
        <v>3</v>
      </c>
      <c r="BI126" s="148">
        <f t="shared" si="318"/>
        <v>1</v>
      </c>
      <c r="BJ126" s="394">
        <f t="shared" si="345"/>
        <v>2.9999999999999978</v>
      </c>
      <c r="BK126" s="395">
        <f t="shared" si="346"/>
        <v>5.9999999999999982</v>
      </c>
      <c r="BN126" s="149">
        <f t="shared" si="360"/>
        <v>15447.062341887779</v>
      </c>
      <c r="BO126" s="148">
        <f t="shared" si="319"/>
        <v>1.0014423638389347</v>
      </c>
      <c r="BR126" s="149">
        <f t="shared" si="361"/>
        <v>48.721123077086553</v>
      </c>
      <c r="BS126" s="148">
        <f t="shared" si="320"/>
        <v>1.0012136133780991</v>
      </c>
      <c r="BV126" s="149">
        <f t="shared" si="362"/>
        <v>403.23125732543468</v>
      </c>
      <c r="BW126" s="148">
        <f t="shared" si="321"/>
        <v>1.0004363939412999</v>
      </c>
    </row>
    <row r="127" spans="1:75">
      <c r="A127" s="9">
        <f t="shared" si="306"/>
        <v>2031</v>
      </c>
      <c r="B127" s="9" t="s">
        <v>157</v>
      </c>
      <c r="C127" s="149">
        <f t="shared" ca="1" si="347"/>
        <v>130624.00067702799</v>
      </c>
      <c r="D127" s="148">
        <f t="shared" ca="1" si="289"/>
        <v>1.0012228249923152</v>
      </c>
      <c r="G127" s="149">
        <f t="shared" si="348"/>
        <v>1531.0567524046362</v>
      </c>
      <c r="H127" s="148">
        <f t="shared" si="307"/>
        <v>0.99980976780309772</v>
      </c>
      <c r="K127" s="149">
        <f t="shared" si="349"/>
        <v>9916.9061706105786</v>
      </c>
      <c r="L127" s="148">
        <f t="shared" si="308"/>
        <v>1.0005541440839929</v>
      </c>
      <c r="O127" s="149">
        <f t="shared" si="350"/>
        <v>1111.2175629761491</v>
      </c>
      <c r="P127" s="148">
        <f t="shared" si="309"/>
        <v>1.0002760890950009</v>
      </c>
      <c r="Q127" s="394">
        <f t="shared" si="363"/>
        <v>11.200000000000003</v>
      </c>
      <c r="R127" s="395">
        <f t="shared" si="338"/>
        <v>1122.4175629761492</v>
      </c>
      <c r="U127" s="149">
        <f t="shared" si="351"/>
        <v>5</v>
      </c>
      <c r="V127" s="148">
        <f t="shared" si="310"/>
        <v>1</v>
      </c>
      <c r="W127" s="394">
        <f t="shared" si="339"/>
        <v>4.3000000000000043</v>
      </c>
      <c r="X127" s="395">
        <f t="shared" si="340"/>
        <v>9.3000000000000043</v>
      </c>
      <c r="AA127" s="149">
        <f t="shared" si="352"/>
        <v>5</v>
      </c>
      <c r="AB127" s="148">
        <f t="shared" si="311"/>
        <v>1</v>
      </c>
      <c r="AC127" s="394">
        <f t="shared" si="341"/>
        <v>0.99999999999999922</v>
      </c>
      <c r="AD127" s="395">
        <f t="shared" si="342"/>
        <v>5.9999999999999991</v>
      </c>
      <c r="AG127" s="149">
        <f t="shared" si="353"/>
        <v>35550.127345650129</v>
      </c>
      <c r="AH127" s="148">
        <f t="shared" si="312"/>
        <v>1.0009149490993259</v>
      </c>
      <c r="AK127" s="149">
        <f t="shared" si="354"/>
        <v>203.7739811713071</v>
      </c>
      <c r="AL127" s="148">
        <f t="shared" si="313"/>
        <v>0.99835477268233774</v>
      </c>
      <c r="AO127" s="149">
        <f t="shared" si="355"/>
        <v>759.44696616531212</v>
      </c>
      <c r="AP127" s="148">
        <f t="shared" si="314"/>
        <v>0.99928503629857557</v>
      </c>
      <c r="AQ127" s="404"/>
      <c r="AT127" s="149">
        <f t="shared" ca="1" si="356"/>
        <v>50689.25209040106</v>
      </c>
      <c r="AU127" s="148">
        <f t="shared" ca="1" si="315"/>
        <v>1.0013014519874144</v>
      </c>
      <c r="AX127" s="149">
        <f t="shared" si="357"/>
        <v>2685.5603711894128</v>
      </c>
      <c r="AY127" s="148">
        <f t="shared" si="316"/>
        <v>1.0010785954933112</v>
      </c>
      <c r="BB127" s="149">
        <f t="shared" si="358"/>
        <v>418.74928613461861</v>
      </c>
      <c r="BC127" s="148">
        <f t="shared" si="317"/>
        <v>1.000714024724862</v>
      </c>
      <c r="BD127" s="394">
        <f t="shared" si="343"/>
        <v>15.160416666666659</v>
      </c>
      <c r="BE127" s="395">
        <f t="shared" si="344"/>
        <v>433.90970280128528</v>
      </c>
      <c r="BH127" s="149">
        <f t="shared" si="359"/>
        <v>3</v>
      </c>
      <c r="BI127" s="148">
        <f t="shared" si="318"/>
        <v>1</v>
      </c>
      <c r="BJ127" s="394">
        <f t="shared" si="345"/>
        <v>2.9999999999999978</v>
      </c>
      <c r="BK127" s="395">
        <f t="shared" si="346"/>
        <v>5.9999999999999982</v>
      </c>
      <c r="BN127" s="149">
        <f t="shared" si="360"/>
        <v>15469.342626027488</v>
      </c>
      <c r="BO127" s="148">
        <f t="shared" si="319"/>
        <v>1.0014423638389347</v>
      </c>
      <c r="BR127" s="149">
        <f t="shared" si="361"/>
        <v>48.780251683848917</v>
      </c>
      <c r="BS127" s="148">
        <f t="shared" si="320"/>
        <v>1.0012136133780991</v>
      </c>
      <c r="BV127" s="149">
        <f t="shared" si="362"/>
        <v>403.40722500307425</v>
      </c>
      <c r="BW127" s="148">
        <f t="shared" si="321"/>
        <v>1.0004363939412999</v>
      </c>
    </row>
    <row r="128" spans="1:75">
      <c r="A128" s="9">
        <f t="shared" si="306"/>
        <v>2031</v>
      </c>
      <c r="B128" s="9" t="s">
        <v>158</v>
      </c>
      <c r="C128" s="149">
        <f t="shared" ca="1" si="347"/>
        <v>130783.73096965205</v>
      </c>
      <c r="D128" s="148">
        <f t="shared" ca="1" si="289"/>
        <v>1.0012228249923152</v>
      </c>
      <c r="G128" s="149">
        <f t="shared" si="348"/>
        <v>1530.7654961150442</v>
      </c>
      <c r="H128" s="148">
        <f t="shared" si="307"/>
        <v>0.99980976780309772</v>
      </c>
      <c r="K128" s="149">
        <f t="shared" si="349"/>
        <v>9922.4015654965351</v>
      </c>
      <c r="L128" s="148">
        <f t="shared" si="308"/>
        <v>1.0005541440839929</v>
      </c>
      <c r="O128" s="149">
        <f t="shared" si="350"/>
        <v>1111.5243580274603</v>
      </c>
      <c r="P128" s="148">
        <f t="shared" si="309"/>
        <v>1.0002760890950009</v>
      </c>
      <c r="Q128" s="394">
        <f t="shared" si="363"/>
        <v>11.200000000000003</v>
      </c>
      <c r="R128" s="395">
        <f t="shared" si="338"/>
        <v>1122.7243580274603</v>
      </c>
      <c r="U128" s="149">
        <f t="shared" si="351"/>
        <v>5</v>
      </c>
      <c r="V128" s="148">
        <f t="shared" si="310"/>
        <v>1</v>
      </c>
      <c r="W128" s="394">
        <f t="shared" si="339"/>
        <v>4.3000000000000043</v>
      </c>
      <c r="X128" s="395">
        <f t="shared" si="340"/>
        <v>9.3000000000000043</v>
      </c>
      <c r="AA128" s="149">
        <f t="shared" si="352"/>
        <v>5</v>
      </c>
      <c r="AB128" s="148">
        <f t="shared" si="311"/>
        <v>1</v>
      </c>
      <c r="AC128" s="394">
        <f t="shared" si="341"/>
        <v>0.99999999999999922</v>
      </c>
      <c r="AD128" s="395">
        <f t="shared" si="342"/>
        <v>5.9999999999999991</v>
      </c>
      <c r="AG128" s="149">
        <f t="shared" si="353"/>
        <v>35582.65390264595</v>
      </c>
      <c r="AH128" s="148">
        <f t="shared" si="312"/>
        <v>1.0009149490993259</v>
      </c>
      <c r="AK128" s="149">
        <f t="shared" si="354"/>
        <v>203.43872665085527</v>
      </c>
      <c r="AL128" s="148">
        <f t="shared" si="313"/>
        <v>0.99835477268233774</v>
      </c>
      <c r="AO128" s="149">
        <f t="shared" si="355"/>
        <v>758.90398915134699</v>
      </c>
      <c r="AP128" s="148">
        <f t="shared" si="314"/>
        <v>0.99928503629857557</v>
      </c>
      <c r="AQ128" s="404"/>
      <c r="AT128" s="149">
        <f t="shared" ca="1" si="356"/>
        <v>50755.221718274661</v>
      </c>
      <c r="AU128" s="148">
        <f t="shared" ca="1" si="315"/>
        <v>1.0013014519874144</v>
      </c>
      <c r="AX128" s="149">
        <f t="shared" si="357"/>
        <v>2688.4570045027931</v>
      </c>
      <c r="AY128" s="148">
        <f t="shared" si="316"/>
        <v>1.0010785954933112</v>
      </c>
      <c r="BB128" s="149">
        <f t="shared" si="358"/>
        <v>419.04828347843704</v>
      </c>
      <c r="BC128" s="148">
        <f t="shared" si="317"/>
        <v>1.000714024724862</v>
      </c>
      <c r="BD128" s="394">
        <f t="shared" si="343"/>
        <v>15.249999999999993</v>
      </c>
      <c r="BE128" s="395">
        <f t="shared" si="344"/>
        <v>434.29828347843704</v>
      </c>
      <c r="BH128" s="149">
        <f t="shared" si="359"/>
        <v>3</v>
      </c>
      <c r="BI128" s="148">
        <f t="shared" si="318"/>
        <v>1</v>
      </c>
      <c r="BJ128" s="394">
        <f t="shared" si="345"/>
        <v>2.9999999999999978</v>
      </c>
      <c r="BK128" s="395">
        <f t="shared" si="346"/>
        <v>5.9999999999999982</v>
      </c>
      <c r="BN128" s="149">
        <f t="shared" si="360"/>
        <v>15491.655046443362</v>
      </c>
      <c r="BO128" s="148">
        <f t="shared" si="319"/>
        <v>1.0014423638389347</v>
      </c>
      <c r="BR128" s="149">
        <f t="shared" si="361"/>
        <v>48.839452049879476</v>
      </c>
      <c r="BS128" s="148">
        <f t="shared" si="320"/>
        <v>1.0012136133780991</v>
      </c>
      <c r="BV128" s="149">
        <f t="shared" si="362"/>
        <v>403.58326947194217</v>
      </c>
      <c r="BW128" s="148">
        <f t="shared" si="321"/>
        <v>1.0004363939412999</v>
      </c>
    </row>
    <row r="129" spans="43:43">
      <c r="AQ129" s="404"/>
    </row>
  </sheetData>
  <mergeCells count="34">
    <mergeCell ref="AS1:BW1"/>
    <mergeCell ref="B1:AP1"/>
    <mergeCell ref="BQ2:BR2"/>
    <mergeCell ref="BS2:BS3"/>
    <mergeCell ref="BU2:BV2"/>
    <mergeCell ref="BW2:BW3"/>
    <mergeCell ref="BA2:BB2"/>
    <mergeCell ref="BC2:BC3"/>
    <mergeCell ref="BG2:BH2"/>
    <mergeCell ref="BI2:BI3"/>
    <mergeCell ref="BM2:BN2"/>
    <mergeCell ref="BO2:BO3"/>
    <mergeCell ref="AN2:AO2"/>
    <mergeCell ref="AP2:AP3"/>
    <mergeCell ref="AS2:AT2"/>
    <mergeCell ref="AU2:AU3"/>
    <mergeCell ref="AW2:AX2"/>
    <mergeCell ref="AY2:AY3"/>
    <mergeCell ref="Z2:AA2"/>
    <mergeCell ref="AB2:AB3"/>
    <mergeCell ref="AJ2:AK2"/>
    <mergeCell ref="AL2:AL3"/>
    <mergeCell ref="AH2:AH3"/>
    <mergeCell ref="N2:O2"/>
    <mergeCell ref="P2:P3"/>
    <mergeCell ref="T2:U2"/>
    <mergeCell ref="V2:V3"/>
    <mergeCell ref="AF2:AG2"/>
    <mergeCell ref="L2:L3"/>
    <mergeCell ref="B2:C2"/>
    <mergeCell ref="D2:D3"/>
    <mergeCell ref="F2:G2"/>
    <mergeCell ref="H2:H3"/>
    <mergeCell ref="J2:K2"/>
  </mergeCells>
  <phoneticPr fontId="191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2882C-FD02-4C07-BC36-9F7BCA9FB74C}">
  <sheetPr codeName="Sheet38"/>
  <dimension ref="B1:BM144"/>
  <sheetViews>
    <sheetView topLeftCell="AC63" workbookViewId="0">
      <selection activeCell="AO73" sqref="AO73"/>
    </sheetView>
  </sheetViews>
  <sheetFormatPr defaultColWidth="8.81640625" defaultRowHeight="14"/>
  <cols>
    <col min="1" max="1" width="8.81640625" style="217"/>
    <col min="2" max="2" width="26.1796875" style="217" bestFit="1" customWidth="1"/>
    <col min="3" max="3" width="17.54296875" style="217" customWidth="1"/>
    <col min="4" max="4" width="19.1796875" style="217" bestFit="1" customWidth="1"/>
    <col min="5" max="6" width="18.81640625" style="217" bestFit="1" customWidth="1"/>
    <col min="7" max="7" width="19" style="217" bestFit="1" customWidth="1"/>
    <col min="8" max="9" width="17.453125" style="217" customWidth="1"/>
    <col min="10" max="13" width="13.81640625" style="217" customWidth="1"/>
    <col min="14" max="16" width="9.1796875" style="217" customWidth="1"/>
    <col min="17" max="17" width="17.81640625" style="217" bestFit="1" customWidth="1"/>
    <col min="18" max="18" width="15.1796875" style="217" bestFit="1" customWidth="1"/>
    <col min="19" max="19" width="26.1796875" style="217" bestFit="1" customWidth="1"/>
    <col min="20" max="20" width="12.81640625" style="217" customWidth="1"/>
    <col min="21" max="21" width="16.1796875" style="217" customWidth="1"/>
    <col min="22" max="22" width="13.1796875" style="217" bestFit="1" customWidth="1"/>
    <col min="23" max="23" width="13.1796875" style="217" customWidth="1"/>
    <col min="24" max="24" width="12.453125" style="217" bestFit="1" customWidth="1"/>
    <col min="25" max="26" width="13.81640625" style="217" customWidth="1"/>
    <col min="27" max="27" width="14.1796875" style="217" customWidth="1"/>
    <col min="28" max="28" width="13.1796875" style="217" customWidth="1"/>
    <col min="29" max="30" width="13.54296875" style="217" bestFit="1" customWidth="1"/>
    <col min="31" max="31" width="13" style="217" customWidth="1"/>
    <col min="32" max="32" width="15.1796875" style="217" bestFit="1" customWidth="1"/>
    <col min="33" max="33" width="26.1796875" style="217" bestFit="1" customWidth="1"/>
    <col min="34" max="34" width="12.81640625" style="217" customWidth="1"/>
    <col min="35" max="35" width="16.1796875" style="217" customWidth="1"/>
    <col min="36" max="36" width="13.1796875" style="217" bestFit="1" customWidth="1"/>
    <col min="37" max="37" width="13.54296875" style="217" bestFit="1" customWidth="1"/>
    <col min="38" max="38" width="13.1796875" style="217" bestFit="1" customWidth="1"/>
    <col min="39" max="39" width="13.81640625" style="217" customWidth="1"/>
    <col min="40" max="40" width="16.1796875" style="217" customWidth="1"/>
    <col min="41" max="41" width="14.81640625" style="217" customWidth="1"/>
    <col min="42" max="42" width="14.54296875" style="217" customWidth="1"/>
    <col min="43" max="44" width="13.1796875" style="217" bestFit="1" customWidth="1"/>
    <col min="45" max="58" width="8.81640625" style="217"/>
    <col min="59" max="59" width="10.453125" style="217" customWidth="1"/>
    <col min="60" max="60" width="9" style="217" bestFit="1" customWidth="1"/>
    <col min="61" max="16384" width="8.81640625" style="217"/>
  </cols>
  <sheetData>
    <row r="1" spans="2:65">
      <c r="C1" s="224" t="s">
        <v>685</v>
      </c>
      <c r="V1" s="224"/>
      <c r="AJ1" s="224"/>
      <c r="AX1" s="376"/>
      <c r="AY1" s="578"/>
      <c r="AZ1" s="578"/>
      <c r="BA1" s="578"/>
      <c r="BB1" s="578"/>
      <c r="BC1" s="578"/>
      <c r="BD1" s="377" t="s">
        <v>686</v>
      </c>
      <c r="BE1" s="578"/>
      <c r="BF1" s="578"/>
      <c r="BG1" s="578"/>
      <c r="BH1" s="578"/>
      <c r="BI1" s="578"/>
      <c r="BJ1" s="578"/>
      <c r="BK1" s="578"/>
      <c r="BL1" s="578"/>
      <c r="BM1" s="292"/>
    </row>
    <row r="2" spans="2:65">
      <c r="B2" s="116"/>
      <c r="C2" s="844" t="s">
        <v>687</v>
      </c>
      <c r="D2" s="845"/>
      <c r="E2" s="845"/>
      <c r="F2" s="846"/>
      <c r="G2" s="838" t="s">
        <v>688</v>
      </c>
      <c r="H2" s="839"/>
      <c r="I2" s="840"/>
      <c r="J2" s="841"/>
      <c r="K2" s="842"/>
      <c r="L2" s="842"/>
      <c r="M2" s="843"/>
      <c r="T2" s="224" t="s">
        <v>689</v>
      </c>
      <c r="U2" s="224"/>
      <c r="V2" s="224"/>
      <c r="W2" s="224"/>
      <c r="AH2" s="224" t="s">
        <v>689</v>
      </c>
      <c r="AI2" s="224"/>
      <c r="AJ2" s="224"/>
      <c r="AK2" s="224"/>
      <c r="AX2" s="112"/>
      <c r="AY2" s="837" t="s">
        <v>690</v>
      </c>
      <c r="AZ2" s="837"/>
      <c r="BA2" s="837"/>
      <c r="BB2" s="837"/>
      <c r="BC2" s="837"/>
      <c r="BM2" s="111"/>
    </row>
    <row r="3" spans="2:65">
      <c r="B3" s="116"/>
      <c r="C3" s="698">
        <v>2021</v>
      </c>
      <c r="D3" s="699">
        <v>2022</v>
      </c>
      <c r="E3" s="699">
        <v>2023</v>
      </c>
      <c r="F3" s="700">
        <v>2024</v>
      </c>
      <c r="G3" s="614">
        <v>2025</v>
      </c>
      <c r="H3" s="142">
        <v>2026</v>
      </c>
      <c r="I3" s="371">
        <v>2027</v>
      </c>
      <c r="J3" s="614">
        <v>2028</v>
      </c>
      <c r="K3" s="142">
        <v>2029</v>
      </c>
      <c r="L3" s="142">
        <v>2030</v>
      </c>
      <c r="M3" s="371">
        <v>2031</v>
      </c>
      <c r="N3" s="116" t="s">
        <v>691</v>
      </c>
      <c r="O3" s="116" t="s">
        <v>692</v>
      </c>
      <c r="P3" s="116"/>
      <c r="T3" s="224">
        <v>2021</v>
      </c>
      <c r="U3" s="224">
        <v>2022</v>
      </c>
      <c r="V3" s="224">
        <v>2023</v>
      </c>
      <c r="W3" s="224">
        <v>2024</v>
      </c>
      <c r="X3" s="224">
        <v>2025</v>
      </c>
      <c r="Y3" s="224">
        <v>2026</v>
      </c>
      <c r="Z3" s="224">
        <v>2027</v>
      </c>
      <c r="AA3" s="224">
        <v>2028</v>
      </c>
      <c r="AB3" s="224">
        <v>2029</v>
      </c>
      <c r="AC3" s="224">
        <v>2030</v>
      </c>
      <c r="AD3" s="224">
        <v>2031</v>
      </c>
      <c r="AE3" s="224"/>
      <c r="AH3" s="224">
        <v>2021</v>
      </c>
      <c r="AI3" s="224">
        <v>2022</v>
      </c>
      <c r="AJ3" s="224">
        <v>2023</v>
      </c>
      <c r="AK3" s="224">
        <v>2024</v>
      </c>
      <c r="AL3" s="224">
        <v>2025</v>
      </c>
      <c r="AM3" s="224">
        <v>2026</v>
      </c>
      <c r="AN3" s="224">
        <v>2027</v>
      </c>
      <c r="AO3" s="224">
        <v>2028</v>
      </c>
      <c r="AP3" s="224">
        <v>2029</v>
      </c>
      <c r="AQ3" s="224">
        <v>2030</v>
      </c>
      <c r="AR3" s="224">
        <v>2031</v>
      </c>
      <c r="AX3" s="112"/>
      <c r="AZ3" s="379">
        <v>2021</v>
      </c>
      <c r="BA3" s="379">
        <v>2022</v>
      </c>
      <c r="BB3" s="379">
        <v>2023</v>
      </c>
      <c r="BC3" s="379">
        <v>2024</v>
      </c>
      <c r="BE3" s="224" t="s">
        <v>693</v>
      </c>
      <c r="BF3" s="142" t="s">
        <v>694</v>
      </c>
      <c r="BG3" s="142" t="s">
        <v>695</v>
      </c>
      <c r="BH3" s="142" t="s">
        <v>696</v>
      </c>
      <c r="BI3" s="142"/>
      <c r="BJ3" s="224" t="s">
        <v>697</v>
      </c>
      <c r="BK3" s="224" t="s">
        <v>698</v>
      </c>
      <c r="BM3" s="111"/>
    </row>
    <row r="4" spans="2:65">
      <c r="B4" s="116" t="s">
        <v>699</v>
      </c>
      <c r="C4" s="615">
        <f>BE4</f>
        <v>416.5</v>
      </c>
      <c r="D4" s="104">
        <f>BF4-BE4</f>
        <v>624.29999999999995</v>
      </c>
      <c r="E4" s="104">
        <f>BG4-BF4</f>
        <v>162.20000000000005</v>
      </c>
      <c r="F4" s="304">
        <f>BH4-BG4</f>
        <v>686.5</v>
      </c>
      <c r="G4" s="616">
        <v>446</v>
      </c>
      <c r="H4" s="372">
        <v>519</v>
      </c>
      <c r="I4" s="373">
        <v>476</v>
      </c>
      <c r="J4" s="617">
        <f>AVERAGE(G4:I4)</f>
        <v>480.33333333333331</v>
      </c>
      <c r="K4" s="372">
        <f>J4</f>
        <v>480.33333333333331</v>
      </c>
      <c r="L4" s="372">
        <f t="shared" ref="L4:L9" si="0">K4</f>
        <v>480.33333333333331</v>
      </c>
      <c r="M4" s="373">
        <f t="shared" ref="M4:M9" si="1">L4</f>
        <v>480.33333333333331</v>
      </c>
      <c r="N4" s="141">
        <f>U59*$H$110+(V59+W59)*$H$116+X59*$H$122</f>
        <v>2.2531816416068703E-2</v>
      </c>
      <c r="O4" s="141">
        <f>AH59*$H$111+(AI59+AJ59)*$H$117</f>
        <v>7.8842210688717645E-3</v>
      </c>
      <c r="P4" s="234" t="s">
        <v>700</v>
      </c>
      <c r="R4" s="140"/>
      <c r="S4" s="116" t="s">
        <v>699</v>
      </c>
      <c r="T4" s="233">
        <f t="shared" ref="T4:Z8" si="2">C4*$N4*1000000</f>
        <v>9384501.5372926146</v>
      </c>
      <c r="U4" s="233">
        <f t="shared" si="2"/>
        <v>14066612.988551691</v>
      </c>
      <c r="V4" s="233">
        <f t="shared" si="2"/>
        <v>3654660.6226863447</v>
      </c>
      <c r="W4" s="233">
        <f t="shared" si="2"/>
        <v>15468091.969631163</v>
      </c>
      <c r="X4" s="233">
        <f t="shared" si="2"/>
        <v>10049190.121566642</v>
      </c>
      <c r="Y4" s="233">
        <f t="shared" si="2"/>
        <v>11694012.719939657</v>
      </c>
      <c r="Z4" s="233">
        <f t="shared" si="2"/>
        <v>10725144.614048705</v>
      </c>
      <c r="AA4" s="233">
        <f t="shared" ref="AA4:AD17" si="3">J4*$N4*1000000</f>
        <v>10822782.485184999</v>
      </c>
      <c r="AB4" s="233">
        <f t="shared" si="3"/>
        <v>10822782.485184999</v>
      </c>
      <c r="AC4" s="233">
        <f t="shared" si="3"/>
        <v>10822782.485184999</v>
      </c>
      <c r="AD4" s="233">
        <f t="shared" si="3"/>
        <v>10822782.485184999</v>
      </c>
      <c r="AE4" s="233"/>
      <c r="AF4" s="140"/>
      <c r="AG4" s="116" t="str">
        <f>S4</f>
        <v>Retrofit</v>
      </c>
      <c r="AH4" s="233">
        <f t="shared" ref="AH4:AO4" si="4">C4*$O4*1000000</f>
        <v>3283778.0751850898</v>
      </c>
      <c r="AI4" s="233">
        <f t="shared" si="4"/>
        <v>4922119.2132966416</v>
      </c>
      <c r="AJ4" s="233">
        <f t="shared" si="4"/>
        <v>1278820.6573710006</v>
      </c>
      <c r="AK4" s="233">
        <f t="shared" si="4"/>
        <v>5412517.7637804663</v>
      </c>
      <c r="AL4" s="233">
        <f t="shared" si="4"/>
        <v>3516362.5967168072</v>
      </c>
      <c r="AM4" s="233">
        <f t="shared" si="4"/>
        <v>4091910.7347444459</v>
      </c>
      <c r="AN4" s="233">
        <f t="shared" si="4"/>
        <v>3752889.2287829597</v>
      </c>
      <c r="AO4" s="233">
        <f t="shared" si="4"/>
        <v>3787054.1867480706</v>
      </c>
      <c r="AP4" s="233">
        <f>AO4</f>
        <v>3787054.1867480706</v>
      </c>
      <c r="AQ4" s="233">
        <f t="shared" ref="AQ4:AR4" si="5">AP4</f>
        <v>3787054.1867480706</v>
      </c>
      <c r="AR4" s="233">
        <f t="shared" si="5"/>
        <v>3787054.1867480706</v>
      </c>
      <c r="AX4" s="112"/>
      <c r="AY4" s="380" t="s">
        <v>699</v>
      </c>
      <c r="AZ4" s="381">
        <v>322</v>
      </c>
      <c r="BA4" s="381">
        <v>570</v>
      </c>
      <c r="BB4" s="381">
        <v>359</v>
      </c>
      <c r="BC4" s="381">
        <v>560</v>
      </c>
      <c r="BE4" s="217">
        <v>416.5</v>
      </c>
      <c r="BF4" s="217">
        <f>1040.8</f>
        <v>1040.8</v>
      </c>
      <c r="BG4" s="382">
        <f>1014.8+188.2</f>
        <v>1203</v>
      </c>
      <c r="BH4" s="382">
        <v>1889.5</v>
      </c>
      <c r="BI4" s="382"/>
      <c r="BJ4" s="383">
        <f>SUM(AZ4:BC4)</f>
        <v>1811</v>
      </c>
      <c r="BK4" s="384">
        <f>BH4/BJ4</f>
        <v>1.0433462175593595</v>
      </c>
      <c r="BM4" s="111"/>
    </row>
    <row r="5" spans="2:65">
      <c r="B5" s="139" t="s">
        <v>507</v>
      </c>
      <c r="C5" s="618">
        <f t="shared" ref="C5:C17" si="6">BE5</f>
        <v>11.6</v>
      </c>
      <c r="D5" s="305">
        <f t="shared" ref="D5:D17" si="7">BF5-BE5</f>
        <v>5.0999999999999996</v>
      </c>
      <c r="E5" s="305">
        <f t="shared" ref="E5:F17" si="8">BG5-BF5</f>
        <v>7.1999999999999993</v>
      </c>
      <c r="F5" s="306">
        <f t="shared" si="8"/>
        <v>12.300000000000004</v>
      </c>
      <c r="G5" s="616">
        <v>14</v>
      </c>
      <c r="H5" s="372">
        <v>15</v>
      </c>
      <c r="I5" s="373">
        <v>16</v>
      </c>
      <c r="J5" s="617" cm="1">
        <f t="array" ref="J5">TREND($G5:$I5,$G$3:$I$3,J$3)</f>
        <v>17</v>
      </c>
      <c r="K5" s="372" cm="1">
        <f t="array" ref="K5">TREND($G5:$I5,$G$3:$I$3,K$3)</f>
        <v>18</v>
      </c>
      <c r="L5" s="372" cm="1">
        <f t="array" ref="L5">TREND($G5:$I5,$G$3:$I$3,L$3)</f>
        <v>19</v>
      </c>
      <c r="M5" s="373" cm="1">
        <f t="array" ref="M5">TREND($G5:$I5,$G$3:$I$3,M$3)</f>
        <v>20</v>
      </c>
      <c r="N5" s="141">
        <f>U60*$H$110+(V60+W60)*$H$116+X60*$H$122</f>
        <v>1.9197090391551087E-2</v>
      </c>
      <c r="O5" s="141">
        <f>AH60*$H$111+(AI60+AJ60)*$H$117</f>
        <v>6.1393932620381975E-3</v>
      </c>
      <c r="P5" s="234" t="str">
        <f>P4</f>
        <v>% of provincial kWh</v>
      </c>
      <c r="R5" s="234"/>
      <c r="S5" s="139" t="s">
        <v>507</v>
      </c>
      <c r="T5" s="233">
        <f t="shared" si="2"/>
        <v>222686.24854199259</v>
      </c>
      <c r="U5" s="233">
        <f t="shared" si="2"/>
        <v>97905.160996910534</v>
      </c>
      <c r="V5" s="233">
        <f t="shared" si="2"/>
        <v>138219.05081916781</v>
      </c>
      <c r="W5" s="233">
        <f t="shared" si="2"/>
        <v>236124.21181607846</v>
      </c>
      <c r="X5" s="233">
        <f t="shared" si="2"/>
        <v>268759.26548171521</v>
      </c>
      <c r="Y5" s="233">
        <f t="shared" si="2"/>
        <v>287956.35587326629</v>
      </c>
      <c r="Z5" s="233">
        <f t="shared" si="2"/>
        <v>307153.44626481738</v>
      </c>
      <c r="AA5" s="233">
        <f t="shared" si="3"/>
        <v>326350.53665636847</v>
      </c>
      <c r="AB5" s="233">
        <f t="shared" si="3"/>
        <v>345547.62704791961</v>
      </c>
      <c r="AC5" s="233">
        <f t="shared" si="3"/>
        <v>364744.71743947064</v>
      </c>
      <c r="AD5" s="233">
        <f t="shared" si="3"/>
        <v>383941.80783102172</v>
      </c>
      <c r="AE5" s="233"/>
      <c r="AF5" s="234"/>
      <c r="AG5" s="116" t="str">
        <f t="shared" ref="AG5:AG17" si="9">S5</f>
        <v>Small Business</v>
      </c>
      <c r="AH5" s="233">
        <f t="shared" ref="AH5:AH17" si="10">C5*$O5*1000000</f>
        <v>71216.961839643089</v>
      </c>
      <c r="AI5" s="233">
        <f t="shared" ref="AI5:AI17" si="11">D5*$O5*1000000</f>
        <v>31310.905636394804</v>
      </c>
      <c r="AJ5" s="233">
        <f t="shared" ref="AJ5:AJ17" si="12">E5*$O5*1000000</f>
        <v>44203.631486675018</v>
      </c>
      <c r="AK5" s="233">
        <f t="shared" ref="AK5:AK17" si="13">F5*$O5*1000000</f>
        <v>75514.537123069851</v>
      </c>
      <c r="AL5" s="233">
        <f t="shared" ref="AL5:AL17" si="14">G5*$O5*1000000</f>
        <v>85951.505668534766</v>
      </c>
      <c r="AM5" s="233">
        <f t="shared" ref="AM5:AM17" si="15">H5*$O5*1000000</f>
        <v>92090.898930572963</v>
      </c>
      <c r="AN5" s="233">
        <f t="shared" ref="AN5:AN17" si="16">I5*$O5*1000000</f>
        <v>98230.292192611159</v>
      </c>
      <c r="AO5" s="233">
        <f t="shared" ref="AO5:AO17" si="17">J5*$O5*1000000</f>
        <v>104369.68545464937</v>
      </c>
      <c r="AP5" s="233">
        <f t="shared" ref="AP5:AP17" si="18">AO5</f>
        <v>104369.68545464937</v>
      </c>
      <c r="AQ5" s="233">
        <f t="shared" ref="AQ5:AQ17" si="19">AP5</f>
        <v>104369.68545464937</v>
      </c>
      <c r="AR5" s="233">
        <f t="shared" ref="AR5:AR17" si="20">AQ5</f>
        <v>104369.68545464937</v>
      </c>
      <c r="AX5" s="112"/>
      <c r="AY5" s="380" t="s">
        <v>507</v>
      </c>
      <c r="AZ5" s="381">
        <v>10</v>
      </c>
      <c r="BA5" s="381">
        <v>4</v>
      </c>
      <c r="BB5" s="381">
        <v>20</v>
      </c>
      <c r="BC5" s="381">
        <v>65</v>
      </c>
      <c r="BE5" s="217">
        <v>11.6</v>
      </c>
      <c r="BF5" s="217">
        <v>16.7</v>
      </c>
      <c r="BG5" s="382">
        <v>23.9</v>
      </c>
      <c r="BH5" s="382">
        <v>36.200000000000003</v>
      </c>
      <c r="BI5" s="382"/>
      <c r="BJ5" s="383">
        <f t="shared" ref="BJ5:BJ8" si="21">SUM(AZ5:BC5)</f>
        <v>99</v>
      </c>
      <c r="BK5" s="384">
        <f t="shared" ref="BK5:BK8" si="22">BH5/BJ5</f>
        <v>0.36565656565656568</v>
      </c>
      <c r="BM5" s="111"/>
    </row>
    <row r="6" spans="2:65">
      <c r="B6" s="116" t="s">
        <v>701</v>
      </c>
      <c r="C6" s="615">
        <f t="shared" si="6"/>
        <v>12.6</v>
      </c>
      <c r="D6" s="104">
        <f t="shared" si="7"/>
        <v>19.600000000000001</v>
      </c>
      <c r="E6" s="104">
        <f t="shared" si="8"/>
        <v>5.6999999999999957</v>
      </c>
      <c r="F6" s="304">
        <f t="shared" si="8"/>
        <v>22.4</v>
      </c>
      <c r="G6" s="616"/>
      <c r="H6" s="372"/>
      <c r="I6" s="373"/>
      <c r="J6" s="617"/>
      <c r="K6" s="372"/>
      <c r="L6" s="372"/>
      <c r="M6" s="373"/>
      <c r="N6" s="141">
        <f>U61*$H$110+(V61+W61)*$H$116+X61*$H$122</f>
        <v>2.8954959718792368E-2</v>
      </c>
      <c r="O6" s="141">
        <f>AH61*$H$111+(AI61+AJ61)*$H$117</f>
        <v>7.8283646743981042E-3</v>
      </c>
      <c r="P6" s="234" t="str">
        <f>P5</f>
        <v>% of provincial kWh</v>
      </c>
      <c r="R6" s="234"/>
      <c r="S6" s="116" t="s">
        <v>701</v>
      </c>
      <c r="T6" s="233">
        <f t="shared" si="2"/>
        <v>364832.49245678383</v>
      </c>
      <c r="U6" s="233">
        <f t="shared" si="2"/>
        <v>567517.21048833046</v>
      </c>
      <c r="V6" s="233">
        <f t="shared" si="2"/>
        <v>165043.2703971164</v>
      </c>
      <c r="W6" s="233">
        <f t="shared" si="2"/>
        <v>648591.09770094906</v>
      </c>
      <c r="X6" s="233">
        <f t="shared" si="2"/>
        <v>0</v>
      </c>
      <c r="Y6" s="233">
        <f t="shared" si="2"/>
        <v>0</v>
      </c>
      <c r="Z6" s="233">
        <f t="shared" si="2"/>
        <v>0</v>
      </c>
      <c r="AA6" s="233">
        <f>J6*$N6*1000000</f>
        <v>0</v>
      </c>
      <c r="AB6" s="233">
        <f t="shared" si="3"/>
        <v>0</v>
      </c>
      <c r="AC6" s="233">
        <f t="shared" si="3"/>
        <v>0</v>
      </c>
      <c r="AD6" s="233">
        <f t="shared" si="3"/>
        <v>0</v>
      </c>
      <c r="AE6" s="233"/>
      <c r="AF6" s="234"/>
      <c r="AG6" s="116" t="str">
        <f t="shared" si="9"/>
        <v xml:space="preserve">Energy Performance </v>
      </c>
      <c r="AH6" s="233">
        <f t="shared" si="10"/>
        <v>98637.394897416103</v>
      </c>
      <c r="AI6" s="233">
        <f t="shared" si="11"/>
        <v>153435.94761820286</v>
      </c>
      <c r="AJ6" s="233">
        <f t="shared" si="12"/>
        <v>44621.678644069158</v>
      </c>
      <c r="AK6" s="233">
        <f t="shared" si="13"/>
        <v>175355.36870651753</v>
      </c>
      <c r="AL6" s="233">
        <f t="shared" si="14"/>
        <v>0</v>
      </c>
      <c r="AM6" s="233">
        <f t="shared" si="15"/>
        <v>0</v>
      </c>
      <c r="AN6" s="233">
        <f t="shared" si="16"/>
        <v>0</v>
      </c>
      <c r="AO6" s="233">
        <f t="shared" si="17"/>
        <v>0</v>
      </c>
      <c r="AP6" s="233">
        <f t="shared" si="18"/>
        <v>0</v>
      </c>
      <c r="AQ6" s="233">
        <f t="shared" si="19"/>
        <v>0</v>
      </c>
      <c r="AR6" s="233">
        <f t="shared" si="20"/>
        <v>0</v>
      </c>
      <c r="AX6" s="112"/>
      <c r="AY6" s="380" t="s">
        <v>701</v>
      </c>
      <c r="AZ6" s="381">
        <v>16</v>
      </c>
      <c r="BA6" s="381">
        <v>20</v>
      </c>
      <c r="BB6" s="381">
        <v>50</v>
      </c>
      <c r="BC6" s="381">
        <v>54</v>
      </c>
      <c r="BE6" s="217">
        <v>12.6</v>
      </c>
      <c r="BF6" s="217">
        <v>32.200000000000003</v>
      </c>
      <c r="BG6" s="382">
        <v>37.9</v>
      </c>
      <c r="BH6" s="382">
        <v>60.3</v>
      </c>
      <c r="BI6" s="382"/>
      <c r="BJ6" s="383">
        <f t="shared" si="21"/>
        <v>140</v>
      </c>
      <c r="BK6" s="384">
        <f t="shared" si="22"/>
        <v>0.43071428571428572</v>
      </c>
      <c r="BM6" s="111"/>
    </row>
    <row r="7" spans="2:65">
      <c r="B7" s="139" t="s">
        <v>702</v>
      </c>
      <c r="C7" s="618">
        <f t="shared" si="6"/>
        <v>0.8</v>
      </c>
      <c r="D7" s="305">
        <f t="shared" si="7"/>
        <v>14.899999999999999</v>
      </c>
      <c r="E7" s="305">
        <f t="shared" si="8"/>
        <v>-5.7999999999999989</v>
      </c>
      <c r="F7" s="306">
        <f t="shared" si="8"/>
        <v>117.89999999999999</v>
      </c>
      <c r="G7" s="616">
        <v>52</v>
      </c>
      <c r="H7" s="372">
        <v>59</v>
      </c>
      <c r="I7" s="373">
        <v>64</v>
      </c>
      <c r="J7" s="617" cm="1">
        <f t="array" ref="J7">TREND($G7:$I7,$G$3:$I$3,J$3)</f>
        <v>70.33333333333394</v>
      </c>
      <c r="K7" s="372" cm="1">
        <f t="array" ref="K7">TREND($G7:$I7,$G$3:$I$3,K$3)</f>
        <v>76.33333333333394</v>
      </c>
      <c r="L7" s="372" cm="1">
        <f t="array" ref="L7">TREND($G7:$I7,$G$3:$I$3,L$3)</f>
        <v>82.33333333333394</v>
      </c>
      <c r="M7" s="373" cm="1">
        <f t="array" ref="M7">TREND($G7:$I7,$G$3:$I$3,M$3)</f>
        <v>88.33333333333394</v>
      </c>
      <c r="N7" s="141">
        <f>U62*$H$110+(V62+W62)*$H$116+X62*$H$122</f>
        <v>2.8954959718792368E-2</v>
      </c>
      <c r="O7" s="141">
        <f>AH62*$H$111+(AI62+AJ62)*$H$117</f>
        <v>7.8283646743981042E-3</v>
      </c>
      <c r="P7" s="234" t="str">
        <f>P6</f>
        <v>% of provincial kWh</v>
      </c>
      <c r="R7" s="217" t="s">
        <v>703</v>
      </c>
      <c r="S7" s="139" t="s">
        <v>702</v>
      </c>
      <c r="T7" s="233">
        <f t="shared" si="2"/>
        <v>23163.967775033896</v>
      </c>
      <c r="U7" s="233">
        <f t="shared" si="2"/>
        <v>431428.89981000626</v>
      </c>
      <c r="V7" s="233">
        <f t="shared" si="2"/>
        <v>-167938.76636899571</v>
      </c>
      <c r="W7" s="233">
        <f t="shared" si="2"/>
        <v>3413789.7508456199</v>
      </c>
      <c r="X7" s="233">
        <f t="shared" si="2"/>
        <v>1505657.9053772031</v>
      </c>
      <c r="Y7" s="233">
        <f t="shared" si="2"/>
        <v>1708342.6234087497</v>
      </c>
      <c r="Z7" s="233">
        <f t="shared" si="2"/>
        <v>1853117.4220027116</v>
      </c>
      <c r="AA7" s="233">
        <f t="shared" si="3"/>
        <v>2036498.8335550809</v>
      </c>
      <c r="AB7" s="233">
        <f t="shared" si="3"/>
        <v>2210228.5918678353</v>
      </c>
      <c r="AC7" s="233">
        <f t="shared" si="3"/>
        <v>2383958.3501805891</v>
      </c>
      <c r="AD7" s="233">
        <f t="shared" si="3"/>
        <v>2557688.1084933435</v>
      </c>
      <c r="AE7" s="233"/>
      <c r="AF7" s="217" t="s">
        <v>703</v>
      </c>
      <c r="AG7" s="116" t="str">
        <f t="shared" si="9"/>
        <v>Energy Management</v>
      </c>
      <c r="AH7" s="233">
        <f t="shared" si="10"/>
        <v>6262.6917395184837</v>
      </c>
      <c r="AI7" s="233">
        <f t="shared" si="11"/>
        <v>116642.63364853174</v>
      </c>
      <c r="AJ7" s="233">
        <f t="shared" si="12"/>
        <v>-45404.515111508998</v>
      </c>
      <c r="AK7" s="233">
        <f t="shared" si="13"/>
        <v>922964.19511153642</v>
      </c>
      <c r="AL7" s="233">
        <f t="shared" si="14"/>
        <v>407074.96306870139</v>
      </c>
      <c r="AM7" s="233">
        <f t="shared" si="15"/>
        <v>461873.51578948816</v>
      </c>
      <c r="AN7" s="233">
        <f t="shared" si="16"/>
        <v>501015.33916147868</v>
      </c>
      <c r="AO7" s="233">
        <f t="shared" si="17"/>
        <v>550594.98209933809</v>
      </c>
      <c r="AP7" s="233">
        <f t="shared" si="18"/>
        <v>550594.98209933809</v>
      </c>
      <c r="AQ7" s="233">
        <f t="shared" si="19"/>
        <v>550594.98209933809</v>
      </c>
      <c r="AR7" s="233">
        <f t="shared" si="20"/>
        <v>550594.98209933809</v>
      </c>
      <c r="AX7" s="112"/>
      <c r="AY7" s="380" t="s">
        <v>702</v>
      </c>
      <c r="AZ7" s="381">
        <v>1</v>
      </c>
      <c r="BA7" s="381">
        <v>15</v>
      </c>
      <c r="BB7" s="381">
        <v>29</v>
      </c>
      <c r="BC7" s="381">
        <v>96</v>
      </c>
      <c r="BE7" s="217">
        <v>0.8</v>
      </c>
      <c r="BF7" s="217">
        <v>15.7</v>
      </c>
      <c r="BG7" s="382">
        <v>9.9</v>
      </c>
      <c r="BH7" s="382">
        <v>127.8</v>
      </c>
      <c r="BI7" s="382"/>
      <c r="BJ7" s="383">
        <f t="shared" si="21"/>
        <v>141</v>
      </c>
      <c r="BK7" s="384">
        <f t="shared" si="22"/>
        <v>0.90638297872340423</v>
      </c>
      <c r="BM7" s="111"/>
    </row>
    <row r="8" spans="2:65">
      <c r="B8" s="116" t="s">
        <v>704</v>
      </c>
      <c r="C8" s="615">
        <f t="shared" si="6"/>
        <v>0</v>
      </c>
      <c r="D8" s="104">
        <f t="shared" si="7"/>
        <v>0</v>
      </c>
      <c r="E8" s="104">
        <f t="shared" si="8"/>
        <v>87.3</v>
      </c>
      <c r="F8" s="304">
        <f t="shared" si="8"/>
        <v>88.2</v>
      </c>
      <c r="G8" s="616">
        <v>133</v>
      </c>
      <c r="H8" s="372">
        <v>160</v>
      </c>
      <c r="I8" s="373">
        <v>195</v>
      </c>
      <c r="J8" s="617" cm="1">
        <f t="array" ref="J8">TREND($G8:$I8,$G$3:$I$3,J$3)</f>
        <v>224.66666666666424</v>
      </c>
      <c r="K8" s="372" cm="1">
        <f t="array" ref="K8">TREND($G8:$I8,$G$3:$I$3,K$3)</f>
        <v>255.66666666666424</v>
      </c>
      <c r="L8" s="372" cm="1">
        <f t="array" ref="L8">TREND($G8:$I8,$G$3:$I$3,L$3)</f>
        <v>286.66666666666424</v>
      </c>
      <c r="M8" s="373" cm="1">
        <f t="array" ref="M8">TREND($G8:$I8,$G$3:$I$3,M$3)</f>
        <v>317.66666666666424</v>
      </c>
      <c r="N8" s="141">
        <f>U63*$H$110+(V63+W63)*$H$116+X63*$H$122</f>
        <v>3.0246442423868418E-2</v>
      </c>
      <c r="O8" s="141">
        <f>AH63*$H$111+(AI63+AJ63)*$H$117</f>
        <v>8.051905008386916E-3</v>
      </c>
      <c r="P8" s="234" t="str">
        <f>P7</f>
        <v>% of provincial kWh</v>
      </c>
      <c r="R8" s="234"/>
      <c r="S8" s="116" t="s">
        <v>704</v>
      </c>
      <c r="T8" s="233">
        <f t="shared" si="2"/>
        <v>0</v>
      </c>
      <c r="U8" s="233">
        <f t="shared" si="2"/>
        <v>0</v>
      </c>
      <c r="V8" s="233">
        <f t="shared" si="2"/>
        <v>2640514.4236037126</v>
      </c>
      <c r="W8" s="233">
        <f t="shared" si="2"/>
        <v>2667736.2217851947</v>
      </c>
      <c r="X8" s="233">
        <f t="shared" si="2"/>
        <v>4022776.8423744994</v>
      </c>
      <c r="Y8" s="233">
        <f t="shared" si="2"/>
        <v>4839430.7878189469</v>
      </c>
      <c r="Z8" s="233">
        <f t="shared" si="2"/>
        <v>5898056.2726543415</v>
      </c>
      <c r="AA8" s="233">
        <f t="shared" si="3"/>
        <v>6795367.3978956975</v>
      </c>
      <c r="AB8" s="233">
        <f t="shared" si="3"/>
        <v>7733007.1130356193</v>
      </c>
      <c r="AC8" s="233">
        <f t="shared" si="3"/>
        <v>8670646.828175541</v>
      </c>
      <c r="AD8" s="233">
        <f t="shared" si="3"/>
        <v>9608286.5433154609</v>
      </c>
      <c r="AE8" s="233"/>
      <c r="AF8" s="234"/>
      <c r="AG8" s="116" t="str">
        <f t="shared" si="9"/>
        <v>Industrial Energy Efficiency</v>
      </c>
      <c r="AH8" s="233">
        <f t="shared" si="10"/>
        <v>0</v>
      </c>
      <c r="AI8" s="233">
        <f t="shared" si="11"/>
        <v>0</v>
      </c>
      <c r="AJ8" s="233">
        <f t="shared" si="12"/>
        <v>702931.30723217782</v>
      </c>
      <c r="AK8" s="233">
        <f t="shared" si="13"/>
        <v>710178.02173972595</v>
      </c>
      <c r="AL8" s="233">
        <f t="shared" si="14"/>
        <v>1070903.3661154599</v>
      </c>
      <c r="AM8" s="233">
        <f t="shared" si="15"/>
        <v>1288304.8013419064</v>
      </c>
      <c r="AN8" s="233">
        <f t="shared" si="16"/>
        <v>1570121.4766354486</v>
      </c>
      <c r="AO8" s="233">
        <f t="shared" si="17"/>
        <v>1808994.6585509076</v>
      </c>
      <c r="AP8" s="233">
        <f t="shared" si="18"/>
        <v>1808994.6585509076</v>
      </c>
      <c r="AQ8" s="233">
        <f t="shared" si="19"/>
        <v>1808994.6585509076</v>
      </c>
      <c r="AR8" s="233">
        <f t="shared" si="20"/>
        <v>1808994.6585509076</v>
      </c>
      <c r="AX8" s="112"/>
      <c r="AY8" s="380" t="s">
        <v>704</v>
      </c>
      <c r="AZ8" s="381">
        <v>0</v>
      </c>
      <c r="BA8" s="381">
        <v>0</v>
      </c>
      <c r="BB8" s="381">
        <v>165</v>
      </c>
      <c r="BC8" s="381">
        <v>165</v>
      </c>
      <c r="BE8" s="217">
        <v>0</v>
      </c>
      <c r="BF8" s="217">
        <v>0</v>
      </c>
      <c r="BG8" s="382">
        <v>87.3</v>
      </c>
      <c r="BH8" s="382">
        <v>175.5</v>
      </c>
      <c r="BI8" s="382"/>
      <c r="BJ8" s="383">
        <f t="shared" si="21"/>
        <v>330</v>
      </c>
      <c r="BK8" s="384">
        <f t="shared" si="22"/>
        <v>0.53181818181818186</v>
      </c>
      <c r="BM8" s="111"/>
    </row>
    <row r="9" spans="2:65">
      <c r="B9" s="139" t="s">
        <v>705</v>
      </c>
      <c r="C9" s="615">
        <f t="shared" si="6"/>
        <v>0</v>
      </c>
      <c r="D9" s="104">
        <f t="shared" si="7"/>
        <v>0</v>
      </c>
      <c r="E9" s="104">
        <f t="shared" si="8"/>
        <v>0</v>
      </c>
      <c r="F9" s="304">
        <f t="shared" si="8"/>
        <v>0</v>
      </c>
      <c r="G9" s="616"/>
      <c r="H9" s="372"/>
      <c r="I9" s="373">
        <v>106</v>
      </c>
      <c r="J9" s="617">
        <f t="shared" ref="J9:J17" si="23">I9</f>
        <v>106</v>
      </c>
      <c r="K9" s="372">
        <f t="shared" ref="K9" si="24">J9</f>
        <v>106</v>
      </c>
      <c r="L9" s="372">
        <f t="shared" si="0"/>
        <v>106</v>
      </c>
      <c r="M9" s="373">
        <f t="shared" si="1"/>
        <v>106</v>
      </c>
      <c r="N9" s="141">
        <f>N7</f>
        <v>2.8954959718792368E-2</v>
      </c>
      <c r="O9" s="141">
        <f>O7</f>
        <v>7.8283646743981042E-3</v>
      </c>
      <c r="P9" s="234" t="str">
        <f t="shared" ref="P9:P10" si="25">P8</f>
        <v>% of provincial kWh</v>
      </c>
      <c r="R9" s="234"/>
      <c r="S9" s="116" t="str">
        <f>B9</f>
        <v>New Construction</v>
      </c>
      <c r="T9" s="233">
        <f t="shared" ref="T9:T12" si="26">C9*$N9*1000000</f>
        <v>0</v>
      </c>
      <c r="U9" s="233">
        <f t="shared" ref="U9:U12" si="27">D9*$N9*1000000</f>
        <v>0</v>
      </c>
      <c r="V9" s="233">
        <f t="shared" ref="V9:V12" si="28">E9*$N9*1000000</f>
        <v>0</v>
      </c>
      <c r="W9" s="233">
        <f t="shared" ref="W9:W12" si="29">F9*$N9*1000000</f>
        <v>0</v>
      </c>
      <c r="X9" s="233">
        <f t="shared" ref="X9:X12" si="30">G9*$N9*1000000</f>
        <v>0</v>
      </c>
      <c r="Y9" s="233">
        <f t="shared" ref="Y9:Y12" si="31">H9*$N9*1000000</f>
        <v>0</v>
      </c>
      <c r="Z9" s="233">
        <f>I9*$N9*1000000</f>
        <v>3069225.7301919912</v>
      </c>
      <c r="AA9" s="233">
        <f t="shared" si="3"/>
        <v>3069225.7301919912</v>
      </c>
      <c r="AB9" s="233">
        <f t="shared" si="3"/>
        <v>3069225.7301919912</v>
      </c>
      <c r="AC9" s="233">
        <f t="shared" si="3"/>
        <v>3069225.7301919912</v>
      </c>
      <c r="AD9" s="233">
        <f t="shared" si="3"/>
        <v>3069225.7301919912</v>
      </c>
      <c r="AE9" s="233"/>
      <c r="AF9" s="234"/>
      <c r="AG9" s="116" t="str">
        <f t="shared" si="9"/>
        <v>New Construction</v>
      </c>
      <c r="AH9" s="233">
        <f t="shared" si="10"/>
        <v>0</v>
      </c>
      <c r="AI9" s="233">
        <f t="shared" si="11"/>
        <v>0</v>
      </c>
      <c r="AJ9" s="233">
        <f t="shared" si="12"/>
        <v>0</v>
      </c>
      <c r="AK9" s="233">
        <f t="shared" si="13"/>
        <v>0</v>
      </c>
      <c r="AL9" s="233">
        <f t="shared" si="14"/>
        <v>0</v>
      </c>
      <c r="AM9" s="233">
        <f t="shared" si="15"/>
        <v>0</v>
      </c>
      <c r="AN9" s="233">
        <f t="shared" si="16"/>
        <v>829806.65548619907</v>
      </c>
      <c r="AO9" s="233">
        <f t="shared" si="17"/>
        <v>829806.65548619907</v>
      </c>
      <c r="AP9" s="233">
        <f t="shared" si="18"/>
        <v>829806.65548619907</v>
      </c>
      <c r="AQ9" s="233">
        <f t="shared" si="19"/>
        <v>829806.65548619907</v>
      </c>
      <c r="AR9" s="233">
        <f t="shared" si="20"/>
        <v>829806.65548619907</v>
      </c>
      <c r="AX9" s="112"/>
      <c r="AY9" s="380"/>
      <c r="AZ9" s="381"/>
      <c r="BA9" s="381"/>
      <c r="BB9" s="381"/>
      <c r="BC9" s="381"/>
      <c r="BG9" s="382"/>
      <c r="BH9" s="382"/>
      <c r="BI9" s="382"/>
      <c r="BJ9" s="383"/>
      <c r="BK9" s="384"/>
      <c r="BM9" s="111"/>
    </row>
    <row r="10" spans="2:65">
      <c r="B10" s="116" t="s">
        <v>706</v>
      </c>
      <c r="C10" s="615">
        <f t="shared" si="6"/>
        <v>0</v>
      </c>
      <c r="D10" s="104">
        <f t="shared" si="7"/>
        <v>0</v>
      </c>
      <c r="E10" s="104">
        <f t="shared" si="8"/>
        <v>0</v>
      </c>
      <c r="F10" s="304">
        <f t="shared" si="8"/>
        <v>0</v>
      </c>
      <c r="G10" s="616">
        <v>61</v>
      </c>
      <c r="H10" s="372">
        <v>66</v>
      </c>
      <c r="I10" s="373">
        <v>66</v>
      </c>
      <c r="J10" s="617" cm="1">
        <f t="array" ref="J10">TREND($G10:$I10,$G$3:$I$3,J$3)</f>
        <v>69.33333333333303</v>
      </c>
      <c r="K10" s="372" cm="1">
        <f t="array" ref="K10">TREND($G10:$I10,$G$3:$I$3,K$3)</f>
        <v>71.83333333333303</v>
      </c>
      <c r="L10" s="372" cm="1">
        <f t="array" ref="L10">TREND($G10:$I10,$G$3:$I$3,L$3)</f>
        <v>74.33333333333303</v>
      </c>
      <c r="M10" s="373" cm="1">
        <f t="array" ref="M10">TREND($G10:$I10,$G$3:$I$3,M$3)</f>
        <v>76.83333333333303</v>
      </c>
      <c r="N10" s="141">
        <f>H104</f>
        <v>2.2880826608016554E-2</v>
      </c>
      <c r="O10" s="141">
        <f>H105</f>
        <v>8.7583647171001269E-3</v>
      </c>
      <c r="P10" s="234" t="str">
        <f t="shared" si="25"/>
        <v>% of provincial kWh</v>
      </c>
      <c r="R10" s="234"/>
      <c r="S10" s="116" t="str">
        <f t="shared" ref="S10:S12" si="32">B10</f>
        <v>Home Renovation Savings</v>
      </c>
      <c r="T10" s="233">
        <f t="shared" si="26"/>
        <v>0</v>
      </c>
      <c r="U10" s="233">
        <f t="shared" si="27"/>
        <v>0</v>
      </c>
      <c r="V10" s="233">
        <f t="shared" si="28"/>
        <v>0</v>
      </c>
      <c r="W10" s="233">
        <f t="shared" si="29"/>
        <v>0</v>
      </c>
      <c r="X10" s="233">
        <f t="shared" si="30"/>
        <v>1395730.4230890097</v>
      </c>
      <c r="Y10" s="233">
        <f t="shared" si="31"/>
        <v>1510134.5561290926</v>
      </c>
      <c r="Z10" s="233">
        <f>I10*$N10*1000000</f>
        <v>1510134.5561290926</v>
      </c>
      <c r="AA10" s="233">
        <f t="shared" si="3"/>
        <v>1586403.9781558074</v>
      </c>
      <c r="AB10" s="233">
        <f t="shared" si="3"/>
        <v>1643606.0446758489</v>
      </c>
      <c r="AC10" s="233">
        <f t="shared" si="3"/>
        <v>1700808.1111958902</v>
      </c>
      <c r="AD10" s="233">
        <f t="shared" si="3"/>
        <v>1758010.1777159316</v>
      </c>
      <c r="AE10" s="233"/>
      <c r="AF10" s="234"/>
      <c r="AG10" s="116" t="str">
        <f t="shared" si="9"/>
        <v>Home Renovation Savings</v>
      </c>
      <c r="AH10" s="233">
        <f t="shared" si="10"/>
        <v>0</v>
      </c>
      <c r="AI10" s="233">
        <f t="shared" si="11"/>
        <v>0</v>
      </c>
      <c r="AJ10" s="233">
        <f t="shared" si="12"/>
        <v>0</v>
      </c>
      <c r="AK10" s="233">
        <f t="shared" si="13"/>
        <v>0</v>
      </c>
      <c r="AL10" s="233">
        <f t="shared" si="14"/>
        <v>534260.24774310773</v>
      </c>
      <c r="AM10" s="233">
        <f t="shared" si="15"/>
        <v>578052.07132860832</v>
      </c>
      <c r="AN10" s="233">
        <f t="shared" si="16"/>
        <v>578052.07132860832</v>
      </c>
      <c r="AO10" s="233">
        <f t="shared" si="17"/>
        <v>607246.62038560619</v>
      </c>
      <c r="AP10" s="233">
        <f t="shared" si="18"/>
        <v>607246.62038560619</v>
      </c>
      <c r="AQ10" s="233">
        <f t="shared" si="19"/>
        <v>607246.62038560619</v>
      </c>
      <c r="AR10" s="233">
        <f t="shared" si="20"/>
        <v>607246.62038560619</v>
      </c>
      <c r="AX10" s="112"/>
      <c r="AY10" s="380"/>
      <c r="AZ10" s="381"/>
      <c r="BA10" s="381"/>
      <c r="BB10" s="381"/>
      <c r="BC10" s="381"/>
      <c r="BG10" s="382"/>
      <c r="BH10" s="382"/>
      <c r="BI10" s="382"/>
      <c r="BJ10" s="383"/>
      <c r="BK10" s="384"/>
      <c r="BM10" s="111"/>
    </row>
    <row r="11" spans="2:65">
      <c r="B11" s="139" t="s">
        <v>707</v>
      </c>
      <c r="C11" s="615">
        <f t="shared" si="6"/>
        <v>0</v>
      </c>
      <c r="D11" s="104">
        <f t="shared" si="7"/>
        <v>0</v>
      </c>
      <c r="E11" s="104">
        <f t="shared" si="8"/>
        <v>0</v>
      </c>
      <c r="F11" s="304">
        <f t="shared" si="8"/>
        <v>0</v>
      </c>
      <c r="G11" s="616"/>
      <c r="H11" s="372"/>
      <c r="I11" s="373"/>
      <c r="J11" s="617"/>
      <c r="K11" s="372"/>
      <c r="L11" s="372"/>
      <c r="M11" s="373"/>
      <c r="N11" s="141"/>
      <c r="O11" s="141"/>
      <c r="P11" s="234"/>
      <c r="R11" s="234"/>
      <c r="S11" s="116" t="str">
        <f t="shared" si="32"/>
        <v>Commercial HVAC DR</v>
      </c>
      <c r="T11" s="233">
        <f t="shared" si="26"/>
        <v>0</v>
      </c>
      <c r="U11" s="233">
        <f t="shared" si="27"/>
        <v>0</v>
      </c>
      <c r="V11" s="233">
        <f t="shared" si="28"/>
        <v>0</v>
      </c>
      <c r="W11" s="233">
        <f t="shared" si="29"/>
        <v>0</v>
      </c>
      <c r="X11" s="233">
        <f t="shared" si="30"/>
        <v>0</v>
      </c>
      <c r="Y11" s="233">
        <f t="shared" si="31"/>
        <v>0</v>
      </c>
      <c r="Z11" s="233">
        <f t="shared" ref="Z11:Z13" si="33">I11*$N11*1000000</f>
        <v>0</v>
      </c>
      <c r="AA11" s="233">
        <f t="shared" si="3"/>
        <v>0</v>
      </c>
      <c r="AB11" s="233">
        <f t="shared" si="3"/>
        <v>0</v>
      </c>
      <c r="AC11" s="233">
        <f t="shared" si="3"/>
        <v>0</v>
      </c>
      <c r="AD11" s="233">
        <f t="shared" si="3"/>
        <v>0</v>
      </c>
      <c r="AE11" s="233"/>
      <c r="AF11" s="234"/>
      <c r="AG11" s="116" t="str">
        <f t="shared" si="9"/>
        <v>Commercial HVAC DR</v>
      </c>
      <c r="AH11" s="233">
        <f t="shared" si="10"/>
        <v>0</v>
      </c>
      <c r="AI11" s="233">
        <f t="shared" si="11"/>
        <v>0</v>
      </c>
      <c r="AJ11" s="233">
        <f t="shared" si="12"/>
        <v>0</v>
      </c>
      <c r="AK11" s="233">
        <f t="shared" si="13"/>
        <v>0</v>
      </c>
      <c r="AL11" s="233">
        <f t="shared" si="14"/>
        <v>0</v>
      </c>
      <c r="AM11" s="233">
        <f t="shared" si="15"/>
        <v>0</v>
      </c>
      <c r="AN11" s="233">
        <f t="shared" si="16"/>
        <v>0</v>
      </c>
      <c r="AO11" s="233">
        <f t="shared" si="17"/>
        <v>0</v>
      </c>
      <c r="AP11" s="233">
        <f t="shared" si="18"/>
        <v>0</v>
      </c>
      <c r="AQ11" s="233">
        <f t="shared" si="19"/>
        <v>0</v>
      </c>
      <c r="AR11" s="233">
        <f t="shared" si="20"/>
        <v>0</v>
      </c>
      <c r="AX11" s="112"/>
      <c r="AY11" s="380"/>
      <c r="AZ11" s="381"/>
      <c r="BA11" s="381"/>
      <c r="BB11" s="381"/>
      <c r="BC11" s="381"/>
      <c r="BG11" s="382"/>
      <c r="BH11" s="382"/>
      <c r="BI11" s="382"/>
      <c r="BJ11" s="383"/>
      <c r="BK11" s="384"/>
      <c r="BM11" s="111"/>
    </row>
    <row r="12" spans="2:65">
      <c r="B12" s="116" t="s">
        <v>708</v>
      </c>
      <c r="C12" s="615">
        <f t="shared" si="6"/>
        <v>0</v>
      </c>
      <c r="D12" s="104">
        <f t="shared" si="7"/>
        <v>0</v>
      </c>
      <c r="E12" s="104">
        <f t="shared" si="8"/>
        <v>23.7</v>
      </c>
      <c r="F12" s="304">
        <f t="shared" si="8"/>
        <v>-23.7</v>
      </c>
      <c r="G12" s="616"/>
      <c r="H12" s="372"/>
      <c r="I12" s="373"/>
      <c r="J12" s="617"/>
      <c r="K12" s="372"/>
      <c r="L12" s="372"/>
      <c r="M12" s="373"/>
      <c r="N12" s="141"/>
      <c r="O12" s="141"/>
      <c r="P12" s="234"/>
      <c r="R12" s="234"/>
      <c r="S12" s="116" t="str">
        <f t="shared" si="32"/>
        <v>Peak Perks</v>
      </c>
      <c r="T12" s="233">
        <f t="shared" si="26"/>
        <v>0</v>
      </c>
      <c r="U12" s="233">
        <f t="shared" si="27"/>
        <v>0</v>
      </c>
      <c r="V12" s="233">
        <f t="shared" si="28"/>
        <v>0</v>
      </c>
      <c r="W12" s="233">
        <f t="shared" si="29"/>
        <v>0</v>
      </c>
      <c r="X12" s="233">
        <f t="shared" si="30"/>
        <v>0</v>
      </c>
      <c r="Y12" s="233">
        <f t="shared" si="31"/>
        <v>0</v>
      </c>
      <c r="Z12" s="233">
        <f t="shared" si="33"/>
        <v>0</v>
      </c>
      <c r="AA12" s="233">
        <f t="shared" si="3"/>
        <v>0</v>
      </c>
      <c r="AB12" s="233">
        <f t="shared" si="3"/>
        <v>0</v>
      </c>
      <c r="AC12" s="233">
        <f t="shared" si="3"/>
        <v>0</v>
      </c>
      <c r="AD12" s="233">
        <f t="shared" si="3"/>
        <v>0</v>
      </c>
      <c r="AE12" s="233"/>
      <c r="AF12" s="234"/>
      <c r="AG12" s="116" t="str">
        <f t="shared" si="9"/>
        <v>Peak Perks</v>
      </c>
      <c r="AH12" s="233">
        <f t="shared" si="10"/>
        <v>0</v>
      </c>
      <c r="AI12" s="233">
        <f t="shared" si="11"/>
        <v>0</v>
      </c>
      <c r="AJ12" s="233">
        <f t="shared" si="12"/>
        <v>0</v>
      </c>
      <c r="AK12" s="233">
        <f t="shared" si="13"/>
        <v>0</v>
      </c>
      <c r="AL12" s="233">
        <f t="shared" si="14"/>
        <v>0</v>
      </c>
      <c r="AM12" s="233">
        <f t="shared" si="15"/>
        <v>0</v>
      </c>
      <c r="AN12" s="233">
        <f t="shared" si="16"/>
        <v>0</v>
      </c>
      <c r="AO12" s="233">
        <f t="shared" si="17"/>
        <v>0</v>
      </c>
      <c r="AP12" s="233">
        <f t="shared" si="18"/>
        <v>0</v>
      </c>
      <c r="AQ12" s="233">
        <f t="shared" si="19"/>
        <v>0</v>
      </c>
      <c r="AR12" s="233">
        <f t="shared" si="20"/>
        <v>0</v>
      </c>
      <c r="AX12" s="112"/>
      <c r="AY12" s="380" t="s">
        <v>709</v>
      </c>
      <c r="AZ12" s="381"/>
      <c r="BA12" s="381"/>
      <c r="BB12" s="381"/>
      <c r="BC12" s="381"/>
      <c r="BF12" s="217">
        <v>0</v>
      </c>
      <c r="BG12" s="382">
        <v>23.7</v>
      </c>
      <c r="BH12" s="382"/>
      <c r="BI12" s="382"/>
      <c r="BJ12" s="383">
        <f t="shared" ref="BJ12" si="34">SUM(AZ12:BB12)</f>
        <v>0</v>
      </c>
      <c r="BK12" s="384"/>
      <c r="BM12" s="111"/>
    </row>
    <row r="13" spans="2:65">
      <c r="B13" s="139" t="s">
        <v>710</v>
      </c>
      <c r="C13" s="618">
        <f t="shared" si="6"/>
        <v>0</v>
      </c>
      <c r="D13" s="305">
        <f t="shared" si="7"/>
        <v>0</v>
      </c>
      <c r="E13" s="305">
        <f t="shared" si="8"/>
        <v>242</v>
      </c>
      <c r="F13" s="306">
        <f t="shared" si="8"/>
        <v>487.20000000000005</v>
      </c>
      <c r="G13" s="616"/>
      <c r="H13" s="372"/>
      <c r="I13" s="373"/>
      <c r="J13" s="617"/>
      <c r="K13" s="372"/>
      <c r="L13" s="372"/>
      <c r="M13" s="373"/>
      <c r="N13" s="141"/>
      <c r="O13" s="141"/>
      <c r="P13" s="234"/>
      <c r="R13" s="234"/>
      <c r="S13" s="139" t="s">
        <v>710</v>
      </c>
      <c r="T13" s="233">
        <f t="shared" ref="T13:Y17" si="35">C13*$N13*1000000</f>
        <v>0</v>
      </c>
      <c r="U13" s="233">
        <f t="shared" si="35"/>
        <v>0</v>
      </c>
      <c r="V13" s="233">
        <f t="shared" si="35"/>
        <v>0</v>
      </c>
      <c r="W13" s="233">
        <f t="shared" si="35"/>
        <v>0</v>
      </c>
      <c r="X13" s="233">
        <f t="shared" si="35"/>
        <v>0</v>
      </c>
      <c r="Y13" s="233">
        <f t="shared" si="35"/>
        <v>0</v>
      </c>
      <c r="Z13" s="233">
        <f t="shared" si="33"/>
        <v>0</v>
      </c>
      <c r="AA13" s="233">
        <f t="shared" si="3"/>
        <v>0</v>
      </c>
      <c r="AB13" s="233">
        <f t="shared" si="3"/>
        <v>0</v>
      </c>
      <c r="AC13" s="233">
        <f t="shared" si="3"/>
        <v>0</v>
      </c>
      <c r="AD13" s="233">
        <f t="shared" si="3"/>
        <v>0</v>
      </c>
      <c r="AE13" s="233"/>
      <c r="AF13" s="234"/>
      <c r="AG13" s="116" t="str">
        <f t="shared" si="9"/>
        <v>Targeted Greenhouse</v>
      </c>
      <c r="AH13" s="233">
        <f t="shared" si="10"/>
        <v>0</v>
      </c>
      <c r="AI13" s="233">
        <f t="shared" si="11"/>
        <v>0</v>
      </c>
      <c r="AJ13" s="233">
        <f t="shared" si="12"/>
        <v>0</v>
      </c>
      <c r="AK13" s="233">
        <f t="shared" si="13"/>
        <v>0</v>
      </c>
      <c r="AL13" s="233">
        <f t="shared" si="14"/>
        <v>0</v>
      </c>
      <c r="AM13" s="233">
        <f t="shared" si="15"/>
        <v>0</v>
      </c>
      <c r="AN13" s="233">
        <f t="shared" si="16"/>
        <v>0</v>
      </c>
      <c r="AO13" s="233">
        <f t="shared" si="17"/>
        <v>0</v>
      </c>
      <c r="AP13" s="233">
        <f t="shared" si="18"/>
        <v>0</v>
      </c>
      <c r="AQ13" s="233">
        <f t="shared" si="19"/>
        <v>0</v>
      </c>
      <c r="AR13" s="233">
        <f t="shared" si="20"/>
        <v>0</v>
      </c>
      <c r="AX13" s="112"/>
      <c r="AY13" s="380" t="s">
        <v>710</v>
      </c>
      <c r="AZ13" s="381">
        <v>0</v>
      </c>
      <c r="BA13" s="381">
        <v>0</v>
      </c>
      <c r="BB13" s="381">
        <v>333</v>
      </c>
      <c r="BC13" s="381">
        <v>333</v>
      </c>
      <c r="BE13" s="217">
        <v>0</v>
      </c>
      <c r="BF13" s="217">
        <v>0</v>
      </c>
      <c r="BG13" s="382">
        <v>242</v>
      </c>
      <c r="BH13" s="382">
        <v>729.2</v>
      </c>
      <c r="BI13" s="382"/>
      <c r="BJ13" s="383">
        <f>SUM(AZ13:BC13)</f>
        <v>666</v>
      </c>
      <c r="BK13" s="384">
        <f>BH13/BJ13</f>
        <v>1.0948948948948949</v>
      </c>
      <c r="BM13" s="111"/>
    </row>
    <row r="14" spans="2:65">
      <c r="B14" s="116" t="s">
        <v>711</v>
      </c>
      <c r="C14" s="615">
        <f t="shared" si="6"/>
        <v>0</v>
      </c>
      <c r="D14" s="104">
        <f t="shared" si="7"/>
        <v>0</v>
      </c>
      <c r="E14" s="104">
        <f t="shared" si="8"/>
        <v>39.799999999999997</v>
      </c>
      <c r="F14" s="304">
        <f t="shared" si="8"/>
        <v>423.2</v>
      </c>
      <c r="G14" s="616">
        <v>641</v>
      </c>
      <c r="H14" s="372">
        <v>693</v>
      </c>
      <c r="I14" s="373">
        <v>750</v>
      </c>
      <c r="J14" s="617" cm="1">
        <f t="array" ref="J14">TREND($G14:$I14,$G$3:$I$3,J$3)</f>
        <v>803.66666666667152</v>
      </c>
      <c r="K14" s="372" cm="1">
        <f t="array" ref="K14">TREND($G14:$I14,$G$3:$I$3,K$3)</f>
        <v>858.16666666667152</v>
      </c>
      <c r="L14" s="372" cm="1">
        <f t="array" ref="L14">TREND($G14:$I14,$G$3:$I$3,L$3)</f>
        <v>912.66666666667152</v>
      </c>
      <c r="M14" s="373" cm="1">
        <f t="array" ref="M14">TREND($G14:$I14,$G$3:$I$3,M$3)</f>
        <v>967.16666666667152</v>
      </c>
      <c r="N14" s="141">
        <f>H128</f>
        <v>2.2291645558833274E-2</v>
      </c>
      <c r="O14" s="141">
        <f>H129</f>
        <v>7.5777888908583951E-3</v>
      </c>
      <c r="P14" s="234" t="str">
        <f>P10</f>
        <v>% of provincial kWh</v>
      </c>
      <c r="R14" s="140"/>
      <c r="S14" s="116" t="s">
        <v>711</v>
      </c>
      <c r="T14" s="233">
        <f t="shared" si="35"/>
        <v>0</v>
      </c>
      <c r="U14" s="233">
        <f t="shared" si="35"/>
        <v>0</v>
      </c>
      <c r="V14" s="233">
        <f t="shared" si="35"/>
        <v>887207.49324156425</v>
      </c>
      <c r="W14" s="233">
        <f t="shared" si="35"/>
        <v>9433824.4004982412</v>
      </c>
      <c r="X14" s="233">
        <f t="shared" si="35"/>
        <v>14288944.803212129</v>
      </c>
      <c r="Y14" s="233">
        <f t="shared" si="35"/>
        <v>15448110.372271458</v>
      </c>
      <c r="Z14" s="233">
        <f t="shared" ref="Z14:Z17" si="36">I14*$N14*1000000</f>
        <v>16718734.169124953</v>
      </c>
      <c r="AA14" s="233">
        <f t="shared" si="3"/>
        <v>17915052.480782449</v>
      </c>
      <c r="AB14" s="233">
        <f t="shared" si="3"/>
        <v>19129947.163738862</v>
      </c>
      <c r="AC14" s="233">
        <f t="shared" si="3"/>
        <v>20344841.846695274</v>
      </c>
      <c r="AD14" s="233">
        <f t="shared" si="3"/>
        <v>21559736.52965169</v>
      </c>
      <c r="AE14" s="233"/>
      <c r="AF14" s="140"/>
      <c r="AG14" s="116" t="str">
        <f t="shared" si="9"/>
        <v>Local Initiatives</v>
      </c>
      <c r="AH14" s="233">
        <f t="shared" si="10"/>
        <v>0</v>
      </c>
      <c r="AI14" s="233">
        <f t="shared" si="11"/>
        <v>0</v>
      </c>
      <c r="AJ14" s="233">
        <f t="shared" si="12"/>
        <v>301595.99785616406</v>
      </c>
      <c r="AK14" s="233">
        <f t="shared" si="13"/>
        <v>3206920.2586112726</v>
      </c>
      <c r="AL14" s="233">
        <f t="shared" si="14"/>
        <v>4857362.6790402317</v>
      </c>
      <c r="AM14" s="233">
        <f t="shared" si="15"/>
        <v>5251407.7013648683</v>
      </c>
      <c r="AN14" s="233">
        <f t="shared" si="16"/>
        <v>5683341.6681437967</v>
      </c>
      <c r="AO14" s="233">
        <f t="shared" si="17"/>
        <v>6090016.3386199009</v>
      </c>
      <c r="AP14" s="233">
        <f t="shared" si="18"/>
        <v>6090016.3386199009</v>
      </c>
      <c r="AQ14" s="233">
        <f t="shared" si="19"/>
        <v>6090016.3386199009</v>
      </c>
      <c r="AR14" s="233">
        <f t="shared" si="20"/>
        <v>6090016.3386199009</v>
      </c>
      <c r="AX14" s="112"/>
      <c r="AY14" s="380" t="s">
        <v>711</v>
      </c>
      <c r="AZ14" s="381">
        <v>0</v>
      </c>
      <c r="BA14" s="381">
        <v>61</v>
      </c>
      <c r="BB14" s="381">
        <v>161</v>
      </c>
      <c r="BC14" s="381">
        <v>181</v>
      </c>
      <c r="BE14" s="217">
        <v>0</v>
      </c>
      <c r="BF14" s="217">
        <v>0</v>
      </c>
      <c r="BG14" s="382">
        <f>6.8+33</f>
        <v>39.799999999999997</v>
      </c>
      <c r="BH14" s="382">
        <v>463</v>
      </c>
      <c r="BI14" s="382"/>
      <c r="BJ14" s="383">
        <f t="shared" ref="BJ14:BJ17" si="37">SUM(AZ14:BC14)</f>
        <v>403</v>
      </c>
      <c r="BK14" s="384">
        <f t="shared" ref="BK14:BK17" si="38">BH14/BJ14</f>
        <v>1.1488833746898264</v>
      </c>
      <c r="BM14" s="111"/>
    </row>
    <row r="15" spans="2:65">
      <c r="B15" s="139" t="s">
        <v>712</v>
      </c>
      <c r="C15" s="618">
        <f t="shared" si="6"/>
        <v>0</v>
      </c>
      <c r="D15" s="305">
        <f t="shared" si="7"/>
        <v>0</v>
      </c>
      <c r="E15" s="305">
        <f t="shared" si="8"/>
        <v>0</v>
      </c>
      <c r="F15" s="306">
        <f t="shared" si="8"/>
        <v>0</v>
      </c>
      <c r="G15" s="616"/>
      <c r="H15" s="372"/>
      <c r="I15" s="373"/>
      <c r="J15" s="617">
        <f t="shared" si="23"/>
        <v>0</v>
      </c>
      <c r="K15" s="372">
        <f t="shared" ref="K15:K17" si="39">J15</f>
        <v>0</v>
      </c>
      <c r="L15" s="372">
        <f t="shared" ref="L15:L17" si="40">K15</f>
        <v>0</v>
      </c>
      <c r="M15" s="373">
        <f t="shared" ref="M15:M17" si="41">L15</f>
        <v>0</v>
      </c>
      <c r="N15" s="141"/>
      <c r="O15" s="141"/>
      <c r="P15" s="234"/>
      <c r="R15" s="234"/>
      <c r="S15" s="139" t="s">
        <v>712</v>
      </c>
      <c r="T15" s="233">
        <f t="shared" si="35"/>
        <v>0</v>
      </c>
      <c r="U15" s="233">
        <f t="shared" si="35"/>
        <v>0</v>
      </c>
      <c r="V15" s="233">
        <f t="shared" si="35"/>
        <v>0</v>
      </c>
      <c r="W15" s="233">
        <f t="shared" si="35"/>
        <v>0</v>
      </c>
      <c r="X15" s="233">
        <f t="shared" si="35"/>
        <v>0</v>
      </c>
      <c r="Y15" s="233">
        <f t="shared" si="35"/>
        <v>0</v>
      </c>
      <c r="Z15" s="233">
        <f t="shared" si="36"/>
        <v>0</v>
      </c>
      <c r="AA15" s="233">
        <f t="shared" si="3"/>
        <v>0</v>
      </c>
      <c r="AB15" s="233">
        <f t="shared" si="3"/>
        <v>0</v>
      </c>
      <c r="AC15" s="233">
        <f t="shared" si="3"/>
        <v>0</v>
      </c>
      <c r="AD15" s="233">
        <f t="shared" si="3"/>
        <v>0</v>
      </c>
      <c r="AE15" s="233"/>
      <c r="AF15" s="234"/>
      <c r="AG15" s="116" t="str">
        <f t="shared" si="9"/>
        <v>Residential Demand Response</v>
      </c>
      <c r="AH15" s="233">
        <f t="shared" si="10"/>
        <v>0</v>
      </c>
      <c r="AI15" s="233">
        <f t="shared" si="11"/>
        <v>0</v>
      </c>
      <c r="AJ15" s="233">
        <f t="shared" si="12"/>
        <v>0</v>
      </c>
      <c r="AK15" s="233">
        <f t="shared" si="13"/>
        <v>0</v>
      </c>
      <c r="AL15" s="233">
        <f t="shared" si="14"/>
        <v>0</v>
      </c>
      <c r="AM15" s="233">
        <f t="shared" si="15"/>
        <v>0</v>
      </c>
      <c r="AN15" s="233">
        <f t="shared" si="16"/>
        <v>0</v>
      </c>
      <c r="AO15" s="233">
        <f t="shared" si="17"/>
        <v>0</v>
      </c>
      <c r="AP15" s="233">
        <f t="shared" si="18"/>
        <v>0</v>
      </c>
      <c r="AQ15" s="233">
        <f t="shared" si="19"/>
        <v>0</v>
      </c>
      <c r="AR15" s="233">
        <f t="shared" si="20"/>
        <v>0</v>
      </c>
      <c r="AX15" s="112"/>
      <c r="AY15" s="380" t="s">
        <v>712</v>
      </c>
      <c r="AZ15" s="381">
        <v>0</v>
      </c>
      <c r="BA15" s="381">
        <v>0</v>
      </c>
      <c r="BB15" s="381">
        <v>3</v>
      </c>
      <c r="BC15" s="381">
        <v>7</v>
      </c>
      <c r="BE15" s="217">
        <v>0</v>
      </c>
      <c r="BF15" s="217">
        <v>0</v>
      </c>
      <c r="BG15" s="382">
        <v>0</v>
      </c>
      <c r="BH15" s="382">
        <v>0</v>
      </c>
      <c r="BI15" s="382"/>
      <c r="BJ15" s="383">
        <f t="shared" si="37"/>
        <v>10</v>
      </c>
      <c r="BK15" s="384">
        <f t="shared" si="38"/>
        <v>0</v>
      </c>
      <c r="BM15" s="111"/>
    </row>
    <row r="16" spans="2:65">
      <c r="B16" s="116" t="s">
        <v>713</v>
      </c>
      <c r="C16" s="615">
        <f t="shared" si="6"/>
        <v>8.8000000000000007</v>
      </c>
      <c r="D16" s="104">
        <f t="shared" si="7"/>
        <v>9.3000000000000007</v>
      </c>
      <c r="E16" s="104">
        <f t="shared" si="8"/>
        <v>10.599999999999998</v>
      </c>
      <c r="F16" s="304">
        <f t="shared" si="8"/>
        <v>53.7</v>
      </c>
      <c r="G16" s="616">
        <v>27</v>
      </c>
      <c r="H16" s="372">
        <v>30</v>
      </c>
      <c r="I16" s="373">
        <v>44</v>
      </c>
      <c r="J16" s="617" cm="1">
        <f t="array" ref="J16">TREND($G16:$I16,$G$3:$I$3,J$3)</f>
        <v>50.666666666667879</v>
      </c>
      <c r="K16" s="372" cm="1">
        <f t="array" ref="K16">TREND($G16:$I16,$G$3:$I$3,K$3)</f>
        <v>59.166666666667879</v>
      </c>
      <c r="L16" s="372" cm="1">
        <f t="array" ref="L16">TREND($G16:$I16,$G$3:$I$3,L$3)</f>
        <v>67.666666666667879</v>
      </c>
      <c r="M16" s="373" cm="1">
        <f t="array" ref="M16">TREND($G16:$I16,$G$3:$I$3,M$3)</f>
        <v>76.166666666667879</v>
      </c>
      <c r="N16" s="141">
        <f>I44</f>
        <v>2.3406310290072892E-2</v>
      </c>
      <c r="O16" s="141">
        <f>I47</f>
        <v>9.7371741251475862E-3</v>
      </c>
      <c r="P16" s="140" t="s">
        <v>714</v>
      </c>
      <c r="R16" s="234"/>
      <c r="S16" s="116" t="s">
        <v>713</v>
      </c>
      <c r="T16" s="233">
        <f t="shared" si="35"/>
        <v>205975.53055264149</v>
      </c>
      <c r="U16" s="233">
        <f t="shared" si="35"/>
        <v>217678.68569767792</v>
      </c>
      <c r="V16" s="233">
        <f t="shared" si="35"/>
        <v>248106.8890747726</v>
      </c>
      <c r="W16" s="233">
        <f t="shared" si="35"/>
        <v>1256918.8625769143</v>
      </c>
      <c r="X16" s="233">
        <f t="shared" si="35"/>
        <v>631970.37783196813</v>
      </c>
      <c r="Y16" s="233">
        <f t="shared" si="35"/>
        <v>702189.3087021868</v>
      </c>
      <c r="Z16" s="233">
        <f t="shared" si="36"/>
        <v>1029877.6527632072</v>
      </c>
      <c r="AA16" s="233">
        <f t="shared" si="3"/>
        <v>1185919.7213637216</v>
      </c>
      <c r="AB16" s="233">
        <f t="shared" si="3"/>
        <v>1384873.3588293411</v>
      </c>
      <c r="AC16" s="233">
        <f t="shared" si="3"/>
        <v>1583826.9962949606</v>
      </c>
      <c r="AD16" s="233">
        <f t="shared" si="3"/>
        <v>1782780.6337605803</v>
      </c>
      <c r="AE16" s="233"/>
      <c r="AF16" s="234"/>
      <c r="AG16" s="116" t="str">
        <f t="shared" si="9"/>
        <v>Energy Affordability Program</v>
      </c>
      <c r="AH16" s="233">
        <f t="shared" si="10"/>
        <v>85687.132301298756</v>
      </c>
      <c r="AI16" s="233">
        <f t="shared" si="11"/>
        <v>90555.719363872558</v>
      </c>
      <c r="AJ16" s="233">
        <f t="shared" si="12"/>
        <v>103214.04572656439</v>
      </c>
      <c r="AK16" s="233">
        <f t="shared" si="13"/>
        <v>522886.25052042538</v>
      </c>
      <c r="AL16" s="233">
        <f t="shared" si="14"/>
        <v>262903.70137898484</v>
      </c>
      <c r="AM16" s="233">
        <f t="shared" si="15"/>
        <v>292115.22375442763</v>
      </c>
      <c r="AN16" s="233">
        <f t="shared" si="16"/>
        <v>428435.66150649381</v>
      </c>
      <c r="AO16" s="233">
        <f t="shared" si="17"/>
        <v>493350.15567415621</v>
      </c>
      <c r="AP16" s="233">
        <f t="shared" si="18"/>
        <v>493350.15567415621</v>
      </c>
      <c r="AQ16" s="233">
        <f t="shared" si="19"/>
        <v>493350.15567415621</v>
      </c>
      <c r="AR16" s="233">
        <f t="shared" si="20"/>
        <v>493350.15567415621</v>
      </c>
      <c r="AX16" s="112"/>
      <c r="AY16" s="380" t="s">
        <v>713</v>
      </c>
      <c r="AZ16" s="381">
        <v>7</v>
      </c>
      <c r="BA16" s="381">
        <v>14</v>
      </c>
      <c r="BB16" s="381">
        <v>49</v>
      </c>
      <c r="BC16" s="381">
        <v>97</v>
      </c>
      <c r="BE16" s="217">
        <v>8.8000000000000007</v>
      </c>
      <c r="BF16" s="217">
        <v>18.100000000000001</v>
      </c>
      <c r="BG16" s="382">
        <v>28.7</v>
      </c>
      <c r="BH16" s="382">
        <v>82.4</v>
      </c>
      <c r="BI16" s="382"/>
      <c r="BJ16" s="383">
        <f t="shared" si="37"/>
        <v>167</v>
      </c>
      <c r="BK16" s="384">
        <f t="shared" si="38"/>
        <v>0.49341317365269466</v>
      </c>
      <c r="BM16" s="111"/>
    </row>
    <row r="17" spans="2:65">
      <c r="B17" s="139" t="s">
        <v>715</v>
      </c>
      <c r="C17" s="618">
        <f t="shared" si="6"/>
        <v>0.8</v>
      </c>
      <c r="D17" s="305">
        <f t="shared" si="7"/>
        <v>9.9999999999999978E-2</v>
      </c>
      <c r="E17" s="305">
        <f t="shared" si="8"/>
        <v>1.2000000000000002</v>
      </c>
      <c r="F17" s="306">
        <f t="shared" si="8"/>
        <v>3.9</v>
      </c>
      <c r="G17" s="616">
        <v>1</v>
      </c>
      <c r="H17" s="372">
        <v>1</v>
      </c>
      <c r="I17" s="373">
        <v>1</v>
      </c>
      <c r="J17" s="617">
        <f t="shared" si="23"/>
        <v>1</v>
      </c>
      <c r="K17" s="372">
        <f t="shared" si="39"/>
        <v>1</v>
      </c>
      <c r="L17" s="372">
        <f t="shared" si="40"/>
        <v>1</v>
      </c>
      <c r="M17" s="373">
        <f t="shared" si="41"/>
        <v>1</v>
      </c>
      <c r="N17" s="234"/>
      <c r="O17" s="234"/>
      <c r="R17" s="234"/>
      <c r="S17" s="139" t="s">
        <v>715</v>
      </c>
      <c r="T17" s="233">
        <f t="shared" si="35"/>
        <v>0</v>
      </c>
      <c r="U17" s="233">
        <f t="shared" si="35"/>
        <v>0</v>
      </c>
      <c r="V17" s="233">
        <f t="shared" si="35"/>
        <v>0</v>
      </c>
      <c r="W17" s="233">
        <f t="shared" si="35"/>
        <v>0</v>
      </c>
      <c r="X17" s="233">
        <f t="shared" si="35"/>
        <v>0</v>
      </c>
      <c r="Y17" s="233">
        <f t="shared" si="35"/>
        <v>0</v>
      </c>
      <c r="Z17" s="233">
        <f t="shared" si="36"/>
        <v>0</v>
      </c>
      <c r="AA17" s="233">
        <f t="shared" si="3"/>
        <v>0</v>
      </c>
      <c r="AB17" s="233">
        <f t="shared" si="3"/>
        <v>0</v>
      </c>
      <c r="AC17" s="233">
        <f t="shared" si="3"/>
        <v>0</v>
      </c>
      <c r="AD17" s="233">
        <f t="shared" si="3"/>
        <v>0</v>
      </c>
      <c r="AE17" s="233"/>
      <c r="AF17" s="234"/>
      <c r="AG17" s="116" t="str">
        <f t="shared" si="9"/>
        <v>First Nations Program</v>
      </c>
      <c r="AH17" s="233">
        <f t="shared" si="10"/>
        <v>0</v>
      </c>
      <c r="AI17" s="233">
        <f t="shared" si="11"/>
        <v>0</v>
      </c>
      <c r="AJ17" s="233">
        <f t="shared" si="12"/>
        <v>0</v>
      </c>
      <c r="AK17" s="233">
        <f t="shared" si="13"/>
        <v>0</v>
      </c>
      <c r="AL17" s="233">
        <f t="shared" si="14"/>
        <v>0</v>
      </c>
      <c r="AM17" s="233">
        <f t="shared" si="15"/>
        <v>0</v>
      </c>
      <c r="AN17" s="233">
        <f t="shared" si="16"/>
        <v>0</v>
      </c>
      <c r="AO17" s="233">
        <f t="shared" si="17"/>
        <v>0</v>
      </c>
      <c r="AP17" s="233">
        <f t="shared" si="18"/>
        <v>0</v>
      </c>
      <c r="AQ17" s="233">
        <f t="shared" si="19"/>
        <v>0</v>
      </c>
      <c r="AR17" s="233">
        <f t="shared" si="20"/>
        <v>0</v>
      </c>
      <c r="AX17" s="112"/>
      <c r="AY17" s="380" t="s">
        <v>715</v>
      </c>
      <c r="AZ17" s="381">
        <v>1</v>
      </c>
      <c r="BA17" s="381">
        <v>0</v>
      </c>
      <c r="BB17" s="381">
        <v>15</v>
      </c>
      <c r="BC17" s="381">
        <v>16</v>
      </c>
      <c r="BE17" s="217">
        <v>0.8</v>
      </c>
      <c r="BF17" s="217">
        <v>0.9</v>
      </c>
      <c r="BG17" s="382">
        <v>2.1</v>
      </c>
      <c r="BH17" s="382">
        <v>6</v>
      </c>
      <c r="BI17" s="382"/>
      <c r="BJ17" s="383">
        <f t="shared" si="37"/>
        <v>32</v>
      </c>
      <c r="BK17" s="384">
        <f t="shared" si="38"/>
        <v>0.1875</v>
      </c>
      <c r="BM17" s="111"/>
    </row>
    <row r="18" spans="2:65">
      <c r="B18" s="116"/>
      <c r="C18" s="619">
        <f>SUM(C4:C17)</f>
        <v>451.10000000000008</v>
      </c>
      <c r="D18" s="307">
        <f>SUM(D4:D17)</f>
        <v>673.3</v>
      </c>
      <c r="E18" s="307">
        <f>SUM(E4:E17)</f>
        <v>573.9</v>
      </c>
      <c r="F18" s="308">
        <f>SUM(F4:F17)</f>
        <v>1871.6000000000001</v>
      </c>
      <c r="G18" s="620">
        <f>SUM(G4:G17)</f>
        <v>1375</v>
      </c>
      <c r="H18" s="374">
        <f t="shared" ref="H18:J18" si="42">SUM(H4:H17)</f>
        <v>1543</v>
      </c>
      <c r="I18" s="375">
        <f t="shared" si="42"/>
        <v>1718</v>
      </c>
      <c r="J18" s="621">
        <f t="shared" si="42"/>
        <v>1823.0000000000039</v>
      </c>
      <c r="K18" s="519">
        <f t="shared" ref="K18:M18" si="43">SUM(K4:K17)</f>
        <v>1926.5000000000039</v>
      </c>
      <c r="L18" s="519">
        <f t="shared" si="43"/>
        <v>2030.0000000000039</v>
      </c>
      <c r="M18" s="520">
        <f t="shared" si="43"/>
        <v>2133.5000000000036</v>
      </c>
      <c r="N18" s="234"/>
      <c r="O18" s="234"/>
      <c r="P18" s="234"/>
      <c r="S18" s="126"/>
      <c r="T18" s="125">
        <f>SUM(T4:T17)</f>
        <v>10201159.776619066</v>
      </c>
      <c r="U18" s="125">
        <f t="shared" ref="U18:AD18" si="44">SUM(U4:U17)</f>
        <v>15381142.945544617</v>
      </c>
      <c r="V18" s="125">
        <f t="shared" si="44"/>
        <v>7565812.9834536826</v>
      </c>
      <c r="W18" s="125">
        <f t="shared" si="44"/>
        <v>33125076.514854159</v>
      </c>
      <c r="X18" s="125">
        <f t="shared" si="44"/>
        <v>32163029.738933168</v>
      </c>
      <c r="Y18" s="125">
        <f t="shared" si="44"/>
        <v>36190176.724143356</v>
      </c>
      <c r="Z18" s="125">
        <f t="shared" si="44"/>
        <v>41111443.863179825</v>
      </c>
      <c r="AA18" s="125">
        <f t="shared" si="44"/>
        <v>43737601.163786113</v>
      </c>
      <c r="AB18" s="125">
        <f t="shared" si="44"/>
        <v>46339218.114572413</v>
      </c>
      <c r="AC18" s="125">
        <f t="shared" si="44"/>
        <v>48940835.065358713</v>
      </c>
      <c r="AD18" s="125">
        <f t="shared" si="44"/>
        <v>51542452.016145013</v>
      </c>
      <c r="AE18" s="125"/>
      <c r="AG18" s="126"/>
      <c r="AH18" s="125">
        <f t="shared" ref="AH18:AQ18" si="45">SUM(AH4:AH17)</f>
        <v>3545582.2559629669</v>
      </c>
      <c r="AI18" s="125">
        <f t="shared" si="45"/>
        <v>5314064.4195636436</v>
      </c>
      <c r="AJ18" s="125">
        <f t="shared" si="45"/>
        <v>2429982.8032051418</v>
      </c>
      <c r="AK18" s="125">
        <f t="shared" si="45"/>
        <v>11026336.395593014</v>
      </c>
      <c r="AL18" s="125">
        <f t="shared" si="45"/>
        <v>10734819.059731828</v>
      </c>
      <c r="AM18" s="125">
        <f t="shared" si="45"/>
        <v>12055754.947254319</v>
      </c>
      <c r="AN18" s="125">
        <f t="shared" si="45"/>
        <v>13441892.393237596</v>
      </c>
      <c r="AO18" s="125">
        <f t="shared" si="45"/>
        <v>14271433.283018827</v>
      </c>
      <c r="AP18" s="125">
        <f t="shared" si="45"/>
        <v>14271433.283018827</v>
      </c>
      <c r="AQ18" s="125">
        <f t="shared" si="45"/>
        <v>14271433.283018827</v>
      </c>
      <c r="AR18" s="125">
        <f>SUM(AR4:AR17)</f>
        <v>14271433.283018827</v>
      </c>
      <c r="AX18" s="112"/>
      <c r="AZ18" s="385">
        <f>SUM(AZ4:AZ17)</f>
        <v>357</v>
      </c>
      <c r="BA18" s="385">
        <f>SUM(BA4:BA17)</f>
        <v>684</v>
      </c>
      <c r="BB18" s="385">
        <f>SUM(BB4:BB17)</f>
        <v>1184</v>
      </c>
      <c r="BC18" s="385">
        <f>SUM(BC4:BC17)</f>
        <v>1574</v>
      </c>
      <c r="BE18" s="386">
        <f>SUM(BE4:BE17)</f>
        <v>451.10000000000008</v>
      </c>
      <c r="BF18" s="386">
        <f>SUM(BF4:BF17)</f>
        <v>1124.4000000000001</v>
      </c>
      <c r="BG18" s="386">
        <f>SUM(BG4:BG17)</f>
        <v>1698.3000000000002</v>
      </c>
      <c r="BH18" s="386">
        <f>SUM(BH4:BH17)</f>
        <v>3569.9</v>
      </c>
      <c r="BI18" s="386"/>
      <c r="BJ18" s="387">
        <f>SUM(AZ18:BC18)</f>
        <v>3799</v>
      </c>
      <c r="BK18" s="388">
        <f>BH18/BJ18</f>
        <v>0.93969465648854966</v>
      </c>
      <c r="BM18" s="111"/>
    </row>
    <row r="19" spans="2:65">
      <c r="B19" s="116"/>
      <c r="C19" s="126"/>
      <c r="D19" s="138"/>
      <c r="E19" s="138"/>
      <c r="F19" s="138"/>
      <c r="G19" s="116"/>
      <c r="H19" s="234"/>
      <c r="S19" s="126"/>
      <c r="T19" s="125"/>
      <c r="U19" s="125"/>
      <c r="V19" s="125"/>
      <c r="W19" s="125"/>
      <c r="X19" s="125"/>
      <c r="Y19" s="125"/>
      <c r="Z19" s="125"/>
      <c r="AG19" s="126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X19" s="112"/>
      <c r="BD19" s="389" t="s">
        <v>716</v>
      </c>
      <c r="BH19" s="217" t="s">
        <v>717</v>
      </c>
      <c r="BM19" s="111"/>
    </row>
    <row r="20" spans="2:65" ht="14.5">
      <c r="B20" s="116" t="s">
        <v>718</v>
      </c>
      <c r="C20" s="217" t="s">
        <v>686</v>
      </c>
      <c r="D20" s="116"/>
      <c r="E20" s="116"/>
      <c r="F20" s="217" t="s">
        <v>719</v>
      </c>
      <c r="G20" s="37" t="s">
        <v>720</v>
      </c>
      <c r="H20" s="234"/>
      <c r="AX20" s="112"/>
      <c r="BD20" s="377" t="s">
        <v>686</v>
      </c>
      <c r="BH20" s="217" t="s">
        <v>719</v>
      </c>
      <c r="BM20" s="111"/>
    </row>
    <row r="21" spans="2:65">
      <c r="B21" s="116"/>
      <c r="C21" s="116"/>
      <c r="D21" s="116"/>
      <c r="E21" s="116"/>
      <c r="F21" s="116"/>
      <c r="G21" s="116"/>
      <c r="H21" s="116"/>
      <c r="I21" s="116"/>
      <c r="AX21" s="112"/>
      <c r="BD21" s="390" t="s">
        <v>721</v>
      </c>
      <c r="BE21" s="378" t="s">
        <v>722</v>
      </c>
      <c r="BF21" s="378" t="s">
        <v>723</v>
      </c>
      <c r="BG21" s="378" t="s">
        <v>724</v>
      </c>
      <c r="BH21" s="378" t="s">
        <v>723</v>
      </c>
      <c r="BM21" s="111"/>
    </row>
    <row r="22" spans="2:65" ht="14.5" thickBot="1">
      <c r="B22" s="701"/>
      <c r="C22" s="702"/>
      <c r="D22" s="702"/>
      <c r="E22" s="702"/>
      <c r="F22" s="702"/>
      <c r="G22" s="702"/>
      <c r="H22" s="702"/>
      <c r="I22" s="703"/>
      <c r="R22" s="664"/>
      <c r="S22" s="704" t="str">
        <f>S4</f>
        <v>Retrofit</v>
      </c>
      <c r="T22" s="705">
        <f>T4/2</f>
        <v>4692250.7686463073</v>
      </c>
      <c r="U22" s="705">
        <f>U4/2+T4/2</f>
        <v>11725557.262922153</v>
      </c>
      <c r="V22" s="705">
        <f>V4/2+U4+$T4/2</f>
        <v>20586194.068541169</v>
      </c>
      <c r="W22" s="705">
        <f>W4/2+SUM($U4:V4)+$T4/2</f>
        <v>30147570.364699926</v>
      </c>
      <c r="X22" s="705">
        <f>X4/2+SUM($U4:W4)+$T4/2</f>
        <v>42906211.410298824</v>
      </c>
      <c r="Y22" s="705">
        <f>Y4/2+SUM($U4:X4)+$T4/2</f>
        <v>53777812.831051968</v>
      </c>
      <c r="Z22" s="705">
        <f>Z4/2+SUM($U4:Y4)+$T4/2</f>
        <v>64987391.498046152</v>
      </c>
      <c r="AA22" s="705">
        <f>AA4/2+SUM($U4:Z4)+$T4/2</f>
        <v>75761355.047663003</v>
      </c>
      <c r="AB22" s="705">
        <f>AB4/2+SUM($U4:AA4)+$T4/2</f>
        <v>86584137.532848001</v>
      </c>
      <c r="AC22" s="705">
        <f>AC4/2+SUM($U4:AB4)+$T4/2</f>
        <v>97406920.018032998</v>
      </c>
      <c r="AD22" s="705">
        <f>AD4/2+SUM($U4:AC4)+$T4/2</f>
        <v>108229702.503218</v>
      </c>
      <c r="AE22" s="705"/>
      <c r="AF22" s="664"/>
      <c r="AG22" s="704" t="str">
        <f>AG4</f>
        <v>Retrofit</v>
      </c>
      <c r="AH22" s="705">
        <f>AH4/2</f>
        <v>1641889.0375925449</v>
      </c>
      <c r="AI22" s="705">
        <f>AI4/2+AH4/2</f>
        <v>4102948.6442408655</v>
      </c>
      <c r="AJ22" s="705">
        <f>AJ4/2+AI4+$AH4/2</f>
        <v>7203418.5795746874</v>
      </c>
      <c r="AK22" s="705">
        <f>AK4/2+SUM($AI4:AJ4)+$AH4/2</f>
        <v>10549087.790150421</v>
      </c>
      <c r="AL22" s="705">
        <f>AL4/2+SUM($AI4:AK4)+$AH4/2</f>
        <v>15013527.970399056</v>
      </c>
      <c r="AM22" s="705">
        <f>AM4/2+SUM($AI4:AL4)+$AH4/2</f>
        <v>18817664.636129681</v>
      </c>
      <c r="AN22" s="705">
        <f>AN4/2+SUM($AI4:AM4)+$AH4/2</f>
        <v>22740064.617893383</v>
      </c>
      <c r="AO22" s="705">
        <f>AO4/2+SUM($AI4:AN4)+$AH4/2</f>
        <v>26510036.325658899</v>
      </c>
      <c r="AP22" s="705">
        <f>AP4/2+SUM($AI4:AO4)+$AH4/2</f>
        <v>30297090.512406968</v>
      </c>
      <c r="AQ22" s="705">
        <f>AQ4/2+SUM($AI4:AP4)+$AH4/2</f>
        <v>34084144.69915504</v>
      </c>
      <c r="AR22" s="706">
        <f>AR4/2+SUM($AI4:AQ4)+$AH4/2</f>
        <v>37871198.885903113</v>
      </c>
      <c r="AX22" s="108"/>
      <c r="AY22" s="642"/>
      <c r="AZ22" s="642"/>
      <c r="BA22" s="642"/>
      <c r="BB22" s="642"/>
      <c r="BC22" s="642"/>
      <c r="BD22" s="642"/>
      <c r="BE22" s="642"/>
      <c r="BF22" s="642"/>
      <c r="BG22" s="642"/>
      <c r="BH22" s="642"/>
      <c r="BI22" s="642"/>
      <c r="BJ22" s="642"/>
      <c r="BK22" s="642"/>
      <c r="BL22" s="642"/>
      <c r="BM22" s="391"/>
    </row>
    <row r="23" spans="2:65">
      <c r="B23" s="701"/>
      <c r="C23" s="702"/>
      <c r="D23" s="702"/>
      <c r="E23" s="702"/>
      <c r="F23" s="702"/>
      <c r="G23" s="702"/>
      <c r="H23" s="702"/>
      <c r="I23" s="703"/>
      <c r="R23" s="528"/>
      <c r="S23" s="217" t="str">
        <f>S5</f>
        <v>Small Business</v>
      </c>
      <c r="T23" s="232">
        <f>T5/2</f>
        <v>111343.1242709963</v>
      </c>
      <c r="U23" s="232">
        <f>U5/2+T5/2</f>
        <v>160295.70476945158</v>
      </c>
      <c r="V23" s="232">
        <f>V5/2+U5+$T5/2</f>
        <v>278357.81067749072</v>
      </c>
      <c r="W23" s="232">
        <f>W5/2+SUM($U5:V5)+$T5/2</f>
        <v>465529.44199511386</v>
      </c>
      <c r="X23" s="232">
        <f>X5/2+SUM($U5:W5)+$T5/2</f>
        <v>717971.18064401066</v>
      </c>
      <c r="Y23" s="232">
        <f>Y5/2+SUM($U5:X5)+$T5/2</f>
        <v>996328.99132150144</v>
      </c>
      <c r="Z23" s="232">
        <f>Z5/2+SUM($U5:Y5)+$T5/2</f>
        <v>1293883.8923905434</v>
      </c>
      <c r="AA23" s="232">
        <f>AA5/2+SUM($U5:Z5)+$T5/2</f>
        <v>1610635.8838511363</v>
      </c>
      <c r="AB23" s="232">
        <f>AB5/2+SUM($U5:AA5)+$T5/2</f>
        <v>1946584.9657032804</v>
      </c>
      <c r="AC23" s="232">
        <f>AC5/2+SUM($U5:AB5)+$T5/2</f>
        <v>2301731.1379469754</v>
      </c>
      <c r="AD23" s="232">
        <f>AD5/2+SUM($U5:AC5)+$T5/2</f>
        <v>2676074.4005822218</v>
      </c>
      <c r="AE23" s="232"/>
      <c r="AF23" s="528"/>
      <c r="AG23" s="217" t="str">
        <f>AG5</f>
        <v>Small Business</v>
      </c>
      <c r="AH23" s="232">
        <f>AH5/2</f>
        <v>35608.480919821544</v>
      </c>
      <c r="AI23" s="232">
        <f>AI5/2+AH5/2</f>
        <v>51263.933738018946</v>
      </c>
      <c r="AJ23" s="232">
        <f t="shared" ref="AJ23:AJ35" si="46">AJ5/2+AI5+$AH5/2</f>
        <v>89021.202299553857</v>
      </c>
      <c r="AK23" s="232">
        <f>AK5/2+SUM($AI5:AJ5)+$AH5/2</f>
        <v>148880.28660442628</v>
      </c>
      <c r="AL23" s="232">
        <f>AL5/2+SUM($AI5:AK5)+$AH5/2</f>
        <v>229613.3080002286</v>
      </c>
      <c r="AM23" s="232">
        <f>AM5/2+SUM($AI5:AL5)+$AH5/2</f>
        <v>318634.5102997825</v>
      </c>
      <c r="AN23" s="232">
        <f>AN5/2+SUM($AI5:AM5)+$AH5/2</f>
        <v>413795.10586137453</v>
      </c>
      <c r="AO23" s="232">
        <f>AO5/2+SUM($AI5:AN5)+$AH5/2</f>
        <v>515095.09468500479</v>
      </c>
      <c r="AP23" s="232">
        <f>AP5/2+SUM($AI5:AO5)+$AH5/2</f>
        <v>619464.78013965418</v>
      </c>
      <c r="AQ23" s="232">
        <f>AQ5/2+SUM($AI5:AP5)+$AH5/2</f>
        <v>723834.46559430356</v>
      </c>
      <c r="AR23" s="231">
        <f>AR5/2+SUM($AI5:AQ5)+$AH5/2</f>
        <v>828204.15104895295</v>
      </c>
    </row>
    <row r="24" spans="2:65">
      <c r="B24" s="622" t="s">
        <v>21</v>
      </c>
      <c r="C24" s="137">
        <v>2019</v>
      </c>
      <c r="D24" s="137">
        <f>C24+1</f>
        <v>2020</v>
      </c>
      <c r="E24" s="137">
        <f t="shared" ref="E24:G24" si="47">D24+1</f>
        <v>2021</v>
      </c>
      <c r="F24" s="137">
        <f t="shared" si="47"/>
        <v>2022</v>
      </c>
      <c r="G24" s="137">
        <f t="shared" si="47"/>
        <v>2023</v>
      </c>
      <c r="H24" s="137"/>
      <c r="I24" s="136" t="s">
        <v>725</v>
      </c>
      <c r="J24" s="135"/>
      <c r="K24" s="135"/>
      <c r="L24" s="135"/>
      <c r="M24" s="135"/>
      <c r="N24" s="135"/>
      <c r="O24" s="135"/>
      <c r="P24" s="135"/>
      <c r="Q24" s="135"/>
      <c r="R24" s="528"/>
      <c r="S24" s="217" t="str">
        <f>S6</f>
        <v xml:space="preserve">Energy Performance </v>
      </c>
      <c r="T24" s="232">
        <f t="shared" ref="T24:T35" si="48">T6/2</f>
        <v>182416.24622839192</v>
      </c>
      <c r="U24" s="232">
        <f>U6/2+T6/2</f>
        <v>466174.85147255717</v>
      </c>
      <c r="V24" s="232">
        <f>V6/2+U6+$T6/2</f>
        <v>832455.09191528056</v>
      </c>
      <c r="W24" s="232">
        <f>W6/2+SUM($U6:V6)+$T6/2</f>
        <v>1239272.2759643134</v>
      </c>
      <c r="X24" s="232">
        <f>X6/2+SUM($U6:W6)+$T6/2</f>
        <v>1563567.8248147878</v>
      </c>
      <c r="Y24" s="232">
        <f>Y6/2+SUM($U6:X6)+$T6/2</f>
        <v>1563567.8248147878</v>
      </c>
      <c r="Z24" s="232">
        <f>Z6/2+SUM($U6:Y6)+$T6/2</f>
        <v>1563567.8248147878</v>
      </c>
      <c r="AA24" s="232">
        <f>AA6/2+SUM($U6:Z6)+$T6/2</f>
        <v>1563567.8248147878</v>
      </c>
      <c r="AB24" s="232">
        <f>AB6/2+SUM($U6:AA6)+$T6/2</f>
        <v>1563567.8248147878</v>
      </c>
      <c r="AC24" s="232">
        <f>AC6/2+SUM($U6:AB6)+$T6/2</f>
        <v>1563567.8248147878</v>
      </c>
      <c r="AD24" s="232">
        <f>AD6/2+SUM($U6:AC6)+$T6/2</f>
        <v>1563567.8248147878</v>
      </c>
      <c r="AE24" s="232"/>
      <c r="AF24" s="528"/>
      <c r="AG24" s="217" t="str">
        <f>AG6</f>
        <v xml:space="preserve">Energy Performance </v>
      </c>
      <c r="AH24" s="232">
        <f>AH6/2</f>
        <v>49318.697448708052</v>
      </c>
      <c r="AI24" s="232">
        <f>AI6/2+AH6/2</f>
        <v>126036.67125780947</v>
      </c>
      <c r="AJ24" s="232">
        <f t="shared" si="46"/>
        <v>225065.48438894551</v>
      </c>
      <c r="AK24" s="232">
        <f>AK6/2+SUM($AI6:AJ6)+$AH6/2</f>
        <v>335054.00806423882</v>
      </c>
      <c r="AL24" s="232">
        <f>AL6/2+SUM($AI6:AK6)+$AH6/2</f>
        <v>422731.69241749757</v>
      </c>
      <c r="AM24" s="232">
        <f>AM6/2+SUM($AI6:AL6)+$AH6/2</f>
        <v>422731.69241749757</v>
      </c>
      <c r="AN24" s="232">
        <f>AN6/2+SUM($AI6:AM6)+$AH6/2</f>
        <v>422731.69241749757</v>
      </c>
      <c r="AO24" s="232">
        <f>AO6/2+SUM($AI6:AN6)+$AH6/2</f>
        <v>422731.69241749757</v>
      </c>
      <c r="AP24" s="232">
        <f>AP6/2+SUM($AI6:AO6)+$AH6/2</f>
        <v>422731.69241749757</v>
      </c>
      <c r="AQ24" s="232">
        <f>AQ6/2+SUM($AI6:AP6)+$AH6/2</f>
        <v>422731.69241749757</v>
      </c>
      <c r="AR24" s="231">
        <f>AR6/2+SUM($AI6:AQ6)+$AH6/2</f>
        <v>422731.69241749757</v>
      </c>
    </row>
    <row r="25" spans="2:65">
      <c r="B25" s="623" t="s">
        <v>726</v>
      </c>
      <c r="C25" s="134">
        <v>128998218668.8248</v>
      </c>
      <c r="D25" s="134">
        <v>127404529765.21001</v>
      </c>
      <c r="E25" s="134">
        <v>128402542286.69998</v>
      </c>
      <c r="F25" s="134">
        <v>130335939993.45</v>
      </c>
      <c r="G25" s="134">
        <v>129496424296.92206</v>
      </c>
      <c r="H25" s="134"/>
      <c r="I25" s="133">
        <f>AVERAGE(C25:G25)</f>
        <v>128927531002.22136</v>
      </c>
      <c r="J25" s="125"/>
      <c r="K25" s="125"/>
      <c r="L25" s="125"/>
      <c r="M25" s="125"/>
      <c r="N25" s="125"/>
      <c r="O25" s="125"/>
      <c r="P25" s="125"/>
      <c r="Q25" s="125"/>
      <c r="R25" s="624" t="s">
        <v>727</v>
      </c>
      <c r="S25" s="217" t="str">
        <f>S7</f>
        <v>Energy Management</v>
      </c>
      <c r="T25" s="232">
        <f t="shared" si="48"/>
        <v>11581.983887516948</v>
      </c>
      <c r="U25" s="232">
        <f>U7/2+T7/2</f>
        <v>227296.43379252008</v>
      </c>
      <c r="V25" s="232">
        <f>V7/2+U7+$T7/2</f>
        <v>359041.50051302538</v>
      </c>
      <c r="W25" s="232">
        <f>W7/2+SUM($U7:V7)+$T7/2</f>
        <v>1981966.9927513374</v>
      </c>
      <c r="X25" s="232">
        <f>X7/2+SUM($U7:W7)+$T7/2</f>
        <v>4441690.8208627487</v>
      </c>
      <c r="Y25" s="232">
        <f>Y7/2+SUM($U7:X7)+$T7/2</f>
        <v>6048691.0852557253</v>
      </c>
      <c r="Z25" s="232">
        <f>Z7/2+SUM($U7:Y7)+$T7/2</f>
        <v>7829421.1079614563</v>
      </c>
      <c r="AA25" s="232">
        <f>AA7/2+SUM($U7:Z7)+$T7/2</f>
        <v>9774229.2357403524</v>
      </c>
      <c r="AB25" s="232">
        <f>AB7/2+SUM($U7:AA7)+$T7/2</f>
        <v>11897592.948451811</v>
      </c>
      <c r="AC25" s="232">
        <f>AC7/2+SUM($U7:AB7)+$T7/2</f>
        <v>14194686.419476023</v>
      </c>
      <c r="AD25" s="232">
        <f>AD7/2+SUM($U7:AC7)+$T7/2</f>
        <v>16665509.648812989</v>
      </c>
      <c r="AE25" s="232"/>
      <c r="AF25" s="624" t="s">
        <v>727</v>
      </c>
      <c r="AG25" s="217" t="str">
        <f>AG7</f>
        <v>Energy Management</v>
      </c>
      <c r="AH25" s="232">
        <f>AH7/2</f>
        <v>3131.3458697592419</v>
      </c>
      <c r="AI25" s="232">
        <f>AI7/2+AH7/2</f>
        <v>61452.662694025115</v>
      </c>
      <c r="AJ25" s="232">
        <f t="shared" si="46"/>
        <v>97071.721962536481</v>
      </c>
      <c r="AK25" s="232">
        <f>AK7/2+SUM($AI7:AJ7)+$AH7/2</f>
        <v>535851.56196255016</v>
      </c>
      <c r="AL25" s="232">
        <f>AL7/2+SUM($AI7:AK7)+$AH7/2</f>
        <v>1200871.1410526691</v>
      </c>
      <c r="AM25" s="232">
        <f>AM7/2+SUM($AI7:AL7)+$AH7/2</f>
        <v>1635345.380481764</v>
      </c>
      <c r="AN25" s="232">
        <f>AN7/2+SUM($AI7:AM7)+$AH7/2</f>
        <v>2116789.8079572469</v>
      </c>
      <c r="AO25" s="232">
        <f>AO7/2+SUM($AI7:AN7)+$AH7/2</f>
        <v>2642594.9685876556</v>
      </c>
      <c r="AP25" s="232">
        <f>AP7/2+SUM($AI7:AO7)+$AH7/2</f>
        <v>3193189.9506869935</v>
      </c>
      <c r="AQ25" s="232">
        <f>AQ7/2+SUM($AI7:AP7)+$AH7/2</f>
        <v>3743784.9327863315</v>
      </c>
      <c r="AR25" s="231">
        <f>AR7/2+SUM($AI7:AQ7)+$AH7/2</f>
        <v>4294379.914885669</v>
      </c>
    </row>
    <row r="26" spans="2:65">
      <c r="B26" s="623" t="s">
        <v>728</v>
      </c>
      <c r="C26" s="232">
        <v>3443454454</v>
      </c>
      <c r="D26" s="232">
        <v>3475068653</v>
      </c>
      <c r="E26" s="232">
        <v>3515660342</v>
      </c>
      <c r="F26" s="232">
        <v>3578237129</v>
      </c>
      <c r="G26" s="232">
        <v>3558423907</v>
      </c>
      <c r="H26" s="232"/>
      <c r="I26" s="133">
        <f>AVERAGE(C26:G26)</f>
        <v>3514168897</v>
      </c>
      <c r="J26" s="125"/>
      <c r="K26" s="523"/>
      <c r="L26" s="125"/>
      <c r="M26" s="125"/>
      <c r="N26" s="125"/>
      <c r="O26" s="125"/>
      <c r="P26" s="125"/>
      <c r="Q26" s="125"/>
      <c r="R26" s="625" t="s">
        <v>729</v>
      </c>
      <c r="S26" s="217" t="str">
        <f>S8</f>
        <v>Industrial Energy Efficiency</v>
      </c>
      <c r="T26" s="232">
        <f t="shared" si="48"/>
        <v>0</v>
      </c>
      <c r="U26" s="232">
        <f>U8/2+T8/2</f>
        <v>0</v>
      </c>
      <c r="V26" s="232">
        <f>V8/2+U8+$T8/2</f>
        <v>1320257.2118018563</v>
      </c>
      <c r="W26" s="232">
        <f>W8/2+SUM($U8:V8)+$T8/2</f>
        <v>3974382.5344963102</v>
      </c>
      <c r="X26" s="232">
        <f>X8/2+SUM($U8:W8)+$T8/2</f>
        <v>7319639.0665761568</v>
      </c>
      <c r="Y26" s="232">
        <f>Y8/2+SUM($U8:X8)+$T8/2</f>
        <v>11750742.88167288</v>
      </c>
      <c r="Z26" s="232">
        <f>Z8/2+SUM($U8:Y8)+$T8/2</f>
        <v>17119486.411909524</v>
      </c>
      <c r="AA26" s="232">
        <f>AA8/2+SUM($U8:Z8)+$T8/2</f>
        <v>23466198.247184545</v>
      </c>
      <c r="AB26" s="232">
        <f>AB8/2+SUM($U8:AA8)+$T8/2</f>
        <v>30730385.502650205</v>
      </c>
      <c r="AC26" s="232">
        <f>AC8/2+SUM($U8:AB8)+$T8/2</f>
        <v>38932212.473255783</v>
      </c>
      <c r="AD26" s="232">
        <f>AD8/2+SUM($U8:AC8)+$T8/2</f>
        <v>48071679.159001283</v>
      </c>
      <c r="AE26" s="232"/>
      <c r="AF26" s="625" t="s">
        <v>729</v>
      </c>
      <c r="AG26" s="217" t="str">
        <f>AG8</f>
        <v>Industrial Energy Efficiency</v>
      </c>
      <c r="AH26" s="232">
        <f>AH8/2</f>
        <v>0</v>
      </c>
      <c r="AI26" s="232">
        <f>AI8/2+AH8/2</f>
        <v>0</v>
      </c>
      <c r="AJ26" s="232">
        <f t="shared" si="46"/>
        <v>351465.65361608891</v>
      </c>
      <c r="AK26" s="232">
        <f>AK8/2+SUM($AI8:AJ8)+$AH8/2</f>
        <v>1058020.3181020408</v>
      </c>
      <c r="AL26" s="232">
        <f>AL8/2+SUM($AI8:AK8)+$AH8/2</f>
        <v>1948561.0120296339</v>
      </c>
      <c r="AM26" s="232">
        <f>AM8/2+SUM($AI8:AL8)+$AH8/2</f>
        <v>3128165.095758317</v>
      </c>
      <c r="AN26" s="232">
        <f>AN8/2+SUM($AI8:AM8)+$AH8/2</f>
        <v>4557378.2347469945</v>
      </c>
      <c r="AO26" s="232">
        <f>AO8/2+SUM($AI8:AN8)+$AH8/2</f>
        <v>6246936.3023401722</v>
      </c>
      <c r="AP26" s="232">
        <f>AP8/2+SUM($AI8:AO8)+$AH8/2</f>
        <v>8055930.9608910801</v>
      </c>
      <c r="AQ26" s="232">
        <f>AQ8/2+SUM($AI8:AP8)+$AH8/2</f>
        <v>9864925.6194419879</v>
      </c>
      <c r="AR26" s="231">
        <f>AR8/2+SUM($AI8:AQ8)+$AH8/2</f>
        <v>11673920.277992895</v>
      </c>
    </row>
    <row r="27" spans="2:65">
      <c r="B27" s="623" t="s">
        <v>730</v>
      </c>
      <c r="C27" s="132">
        <f t="shared" ref="C27:G27" si="49">C26/C25</f>
        <v>2.6693813988550721E-2</v>
      </c>
      <c r="D27" s="132">
        <f t="shared" si="49"/>
        <v>2.7275864205174652E-2</v>
      </c>
      <c r="E27" s="132">
        <f t="shared" si="49"/>
        <v>2.7379990141863059E-2</v>
      </c>
      <c r="F27" s="132">
        <f t="shared" si="49"/>
        <v>2.7453955748351709E-2</v>
      </c>
      <c r="G27" s="132">
        <f t="shared" si="49"/>
        <v>2.7478935625596102E-2</v>
      </c>
      <c r="H27" s="132"/>
      <c r="I27" s="131">
        <f>I26/I25</f>
        <v>2.7256931624165304E-2</v>
      </c>
      <c r="J27" s="130"/>
      <c r="K27" s="523"/>
      <c r="L27" s="130"/>
      <c r="M27" s="130"/>
      <c r="N27" s="130"/>
      <c r="O27" s="130"/>
      <c r="P27" s="130"/>
      <c r="R27" s="528"/>
      <c r="S27" s="217" t="str">
        <f t="shared" ref="S27:S30" si="50">S9</f>
        <v>New Construction</v>
      </c>
      <c r="T27" s="232">
        <f t="shared" si="48"/>
        <v>0</v>
      </c>
      <c r="U27" s="232">
        <f t="shared" ref="U27:U30" si="51">U9/2+T9/2</f>
        <v>0</v>
      </c>
      <c r="V27" s="232">
        <f t="shared" ref="V27:V29" si="52">V9/2+U9+$T9/2</f>
        <v>0</v>
      </c>
      <c r="W27" s="232">
        <f>W9/2+SUM($U9:V9)+$T9/2</f>
        <v>0</v>
      </c>
      <c r="X27" s="232">
        <f>X9/2+SUM($U9:W9)+$T9/2</f>
        <v>0</v>
      </c>
      <c r="Y27" s="232">
        <f>Y9/2+SUM($U9:X9)+$T9/2</f>
        <v>0</v>
      </c>
      <c r="Z27" s="232">
        <f>Z9/2+SUM($U9:Y9)+$T9/2</f>
        <v>1534612.8650959956</v>
      </c>
      <c r="AA27" s="232">
        <f>AA9/2+SUM($U9:Z9)+$T9/2</f>
        <v>4603838.595287987</v>
      </c>
      <c r="AB27" s="232">
        <f>AB9/2+SUM($U9:AA9)+$T9/2</f>
        <v>7673064.3254799778</v>
      </c>
      <c r="AC27" s="232">
        <f>AC9/2+SUM($U9:AB9)+$T9/2</f>
        <v>10742290.055671969</v>
      </c>
      <c r="AD27" s="232">
        <f>AD9/2+SUM($U9:AC9)+$T9/2</f>
        <v>13811515.78586396</v>
      </c>
      <c r="AE27" s="232"/>
      <c r="AF27" s="528"/>
      <c r="AG27" s="217" t="str">
        <f t="shared" ref="AG27:AG30" si="53">AG9</f>
        <v>New Construction</v>
      </c>
      <c r="AH27" s="232">
        <f t="shared" ref="AH27:AH30" si="54">AH9/2</f>
        <v>0</v>
      </c>
      <c r="AI27" s="232">
        <f t="shared" ref="AI27:AI30" si="55">AI9/2+AH9/2</f>
        <v>0</v>
      </c>
      <c r="AJ27" s="232">
        <f t="shared" si="46"/>
        <v>0</v>
      </c>
      <c r="AK27" s="232">
        <f>AK9/2+SUM($AI9:AJ9)+$AH9/2</f>
        <v>0</v>
      </c>
      <c r="AL27" s="232">
        <f>AL9/2+SUM($AI9:AK9)+$AH9/2</f>
        <v>0</v>
      </c>
      <c r="AM27" s="232">
        <f>AM9/2+SUM($AI9:AL9)+$AH9/2</f>
        <v>0</v>
      </c>
      <c r="AN27" s="232">
        <f>AN9/2+SUM($AI9:AM9)+$AH9/2</f>
        <v>414903.32774309954</v>
      </c>
      <c r="AO27" s="232">
        <f>AO9/2+SUM($AI9:AN9)+$AH9/2</f>
        <v>1244709.9832292986</v>
      </c>
      <c r="AP27" s="232">
        <f>AP9/2+SUM($AI9:AO9)+$AH9/2</f>
        <v>2074516.6387154977</v>
      </c>
      <c r="AQ27" s="232">
        <f>AQ9/2+SUM($AI9:AP9)+$AH9/2</f>
        <v>2904323.2942016968</v>
      </c>
      <c r="AR27" s="231">
        <f>AR9/2+SUM($AI9:AQ9)+$AH9/2</f>
        <v>3734129.9496878958</v>
      </c>
    </row>
    <row r="28" spans="2:65">
      <c r="B28" s="623"/>
      <c r="C28" s="116"/>
      <c r="D28" s="116"/>
      <c r="E28" s="116"/>
      <c r="F28" s="116"/>
      <c r="G28" s="116"/>
      <c r="H28" s="116"/>
      <c r="I28" s="129"/>
      <c r="J28" s="126"/>
      <c r="K28" s="523"/>
      <c r="L28" s="126"/>
      <c r="M28" s="126"/>
      <c r="N28" s="126"/>
      <c r="O28" s="126"/>
      <c r="P28" s="126"/>
      <c r="R28" s="528"/>
      <c r="S28" s="217" t="str">
        <f t="shared" si="50"/>
        <v>Home Renovation Savings</v>
      </c>
      <c r="T28" s="232">
        <f t="shared" si="48"/>
        <v>0</v>
      </c>
      <c r="U28" s="232">
        <f t="shared" si="51"/>
        <v>0</v>
      </c>
      <c r="V28" s="232">
        <f t="shared" si="52"/>
        <v>0</v>
      </c>
      <c r="W28" s="232">
        <f>W10/2+SUM($U10:V10)+$T10/2</f>
        <v>0</v>
      </c>
      <c r="X28" s="232">
        <f>X10/2+SUM($U10:W10)+$T10/2</f>
        <v>697865.21154450485</v>
      </c>
      <c r="Y28" s="232">
        <f>Y10/2+SUM($U10:X10)+$T10/2</f>
        <v>2150797.7011535559</v>
      </c>
      <c r="Z28" s="232">
        <f>Z10/2+SUM($U10:Y10)+$T10/2</f>
        <v>3660932.2572826482</v>
      </c>
      <c r="AA28" s="232">
        <f>AA10/2+SUM($U10:Z10)+$T10/2</f>
        <v>5209201.5244250977</v>
      </c>
      <c r="AB28" s="232">
        <f>AB10/2+SUM($U10:AA10)+$T10/2</f>
        <v>6824206.5358409267</v>
      </c>
      <c r="AC28" s="232">
        <f>AC10/2+SUM($U10:AB10)+$T10/2</f>
        <v>8496413.6137767956</v>
      </c>
      <c r="AD28" s="232">
        <f>AD10/2+SUM($U10:AC10)+$T10/2</f>
        <v>10225822.758232707</v>
      </c>
      <c r="AE28" s="232"/>
      <c r="AF28" s="528"/>
      <c r="AG28" s="217" t="str">
        <f t="shared" si="53"/>
        <v>Home Renovation Savings</v>
      </c>
      <c r="AH28" s="232">
        <f t="shared" si="54"/>
        <v>0</v>
      </c>
      <c r="AI28" s="232">
        <f t="shared" si="55"/>
        <v>0</v>
      </c>
      <c r="AJ28" s="232">
        <f t="shared" si="46"/>
        <v>0</v>
      </c>
      <c r="AK28" s="232">
        <f>AK10/2+SUM($AI10:AJ10)+$AH10/2</f>
        <v>0</v>
      </c>
      <c r="AL28" s="232">
        <f>AL10/2+SUM($AI10:AK10)+$AH10/2</f>
        <v>267130.12387155386</v>
      </c>
      <c r="AM28" s="232">
        <f>AM10/2+SUM($AI10:AL10)+$AH10/2</f>
        <v>823286.28340741189</v>
      </c>
      <c r="AN28" s="232">
        <f>AN10/2+SUM($AI10:AM10)+$AH10/2</f>
        <v>1401338.3547360203</v>
      </c>
      <c r="AO28" s="232">
        <f>AO10/2+SUM($AI10:AN10)+$AH10/2</f>
        <v>1993987.7005931276</v>
      </c>
      <c r="AP28" s="232">
        <f>AP10/2+SUM($AI10:AO10)+$AH10/2</f>
        <v>2601234.3209787337</v>
      </c>
      <c r="AQ28" s="232">
        <f>AQ10/2+SUM($AI10:AP10)+$AH10/2</f>
        <v>3208480.94136434</v>
      </c>
      <c r="AR28" s="231">
        <f>AR10/2+SUM($AI10:AQ10)+$AH10/2</f>
        <v>3815727.5617499463</v>
      </c>
    </row>
    <row r="29" spans="2:65">
      <c r="B29" s="623" t="s">
        <v>718</v>
      </c>
      <c r="C29" s="116" t="s">
        <v>731</v>
      </c>
      <c r="D29" s="116"/>
      <c r="E29" s="116"/>
      <c r="F29" s="116"/>
      <c r="G29" s="116"/>
      <c r="H29" s="116"/>
      <c r="I29" s="128"/>
      <c r="K29" s="522"/>
      <c r="R29" s="528"/>
      <c r="S29" s="217" t="str">
        <f t="shared" si="50"/>
        <v>Commercial HVAC DR</v>
      </c>
      <c r="T29" s="232">
        <f t="shared" si="48"/>
        <v>0</v>
      </c>
      <c r="U29" s="232">
        <f t="shared" si="51"/>
        <v>0</v>
      </c>
      <c r="V29" s="232">
        <f t="shared" si="52"/>
        <v>0</v>
      </c>
      <c r="W29" s="232">
        <f>W11/2+SUM($U11:V11)+$T11/2</f>
        <v>0</v>
      </c>
      <c r="X29" s="232">
        <f>X11/2+SUM($U11:W11)+$T11/2</f>
        <v>0</v>
      </c>
      <c r="Y29" s="232">
        <f>Y11/2+SUM($U11:X11)+$T11/2</f>
        <v>0</v>
      </c>
      <c r="Z29" s="232">
        <f>Z11/2+SUM($U11:Y11)+$T11/2</f>
        <v>0</v>
      </c>
      <c r="AA29" s="232">
        <f>AA11/2+SUM($U11:Z11)+$T11/2</f>
        <v>0</v>
      </c>
      <c r="AB29" s="232">
        <f>AB11/2+SUM($U11:AA11)+$T11/2</f>
        <v>0</v>
      </c>
      <c r="AC29" s="232">
        <f>AC11/2+SUM($U11:AB11)+$T11/2</f>
        <v>0</v>
      </c>
      <c r="AD29" s="232">
        <f>AD11/2+SUM($U11:AC11)+$T11/2</f>
        <v>0</v>
      </c>
      <c r="AE29" s="232"/>
      <c r="AF29" s="528"/>
      <c r="AG29" s="217" t="str">
        <f t="shared" si="53"/>
        <v>Commercial HVAC DR</v>
      </c>
      <c r="AH29" s="232">
        <f t="shared" si="54"/>
        <v>0</v>
      </c>
      <c r="AI29" s="232">
        <f t="shared" si="55"/>
        <v>0</v>
      </c>
      <c r="AJ29" s="232">
        <f t="shared" si="46"/>
        <v>0</v>
      </c>
      <c r="AK29" s="232">
        <f>AK11/2+SUM($AI11:AJ11)+$AH11/2</f>
        <v>0</v>
      </c>
      <c r="AL29" s="232">
        <f>AL11/2+SUM($AI11:AK11)+$AH11/2</f>
        <v>0</v>
      </c>
      <c r="AM29" s="232">
        <f>AM11/2+SUM($AI11:AL11)+$AH11/2</f>
        <v>0</v>
      </c>
      <c r="AN29" s="232">
        <f>AN11/2+SUM($AI11:AM11)+$AH11/2</f>
        <v>0</v>
      </c>
      <c r="AO29" s="232">
        <f>AO11/2+SUM($AI11:AN11)+$AH11/2</f>
        <v>0</v>
      </c>
      <c r="AP29" s="232">
        <f>AP11/2+SUM($AI11:AO11)+$AH11/2</f>
        <v>0</v>
      </c>
      <c r="AQ29" s="232">
        <f>AQ11/2+SUM($AI11:AP11)+$AH11/2</f>
        <v>0</v>
      </c>
      <c r="AR29" s="231">
        <f>AR11/2+SUM($AI11:AQ11)+$AH11/2</f>
        <v>0</v>
      </c>
    </row>
    <row r="30" spans="2:65">
      <c r="B30" s="528"/>
      <c r="I30" s="230"/>
      <c r="K30" s="522"/>
      <c r="R30" s="528"/>
      <c r="S30" s="217" t="str">
        <f t="shared" si="50"/>
        <v>Peak Perks</v>
      </c>
      <c r="T30" s="232">
        <f t="shared" si="48"/>
        <v>0</v>
      </c>
      <c r="U30" s="232">
        <f t="shared" si="51"/>
        <v>0</v>
      </c>
      <c r="V30" s="232">
        <f t="shared" ref="V30:V35" si="56">V12/2+U12+$T12/2</f>
        <v>0</v>
      </c>
      <c r="W30" s="232">
        <f>W12/2+SUM($U12:V12)+$T12/2</f>
        <v>0</v>
      </c>
      <c r="X30" s="232">
        <f>X12/2+SUM($U12:W12)+$T12/2</f>
        <v>0</v>
      </c>
      <c r="Y30" s="232">
        <f>Y12/2+SUM($U12:X12)+$T12/2</f>
        <v>0</v>
      </c>
      <c r="Z30" s="232">
        <f>Z12/2+SUM($U12:Y12)+$T12/2</f>
        <v>0</v>
      </c>
      <c r="AA30" s="232">
        <f>AA12/2+SUM($U12:Z12)+$T12/2</f>
        <v>0</v>
      </c>
      <c r="AB30" s="232">
        <f>AB12/2+SUM($U12:AA12)+$T12/2</f>
        <v>0</v>
      </c>
      <c r="AC30" s="232">
        <f>AC12/2+SUM($U12:AB12)+$T12/2</f>
        <v>0</v>
      </c>
      <c r="AD30" s="232">
        <f>AD12/2+SUM($U12:AC12)+$T12/2</f>
        <v>0</v>
      </c>
      <c r="AE30" s="232"/>
      <c r="AF30" s="528"/>
      <c r="AG30" s="217" t="str">
        <f t="shared" si="53"/>
        <v>Peak Perks</v>
      </c>
      <c r="AH30" s="232">
        <f t="shared" si="54"/>
        <v>0</v>
      </c>
      <c r="AI30" s="232">
        <f t="shared" si="55"/>
        <v>0</v>
      </c>
      <c r="AJ30" s="232">
        <f t="shared" si="46"/>
        <v>0</v>
      </c>
      <c r="AK30" s="232">
        <f>AK12/2+SUM($AI12:AJ12)+$AH12/2</f>
        <v>0</v>
      </c>
      <c r="AL30" s="232">
        <f>AL12/2+SUM($AI12:AK12)+$AH12/2</f>
        <v>0</v>
      </c>
      <c r="AM30" s="232">
        <f>AM12/2+SUM($AI12:AL12)+$AH12/2</f>
        <v>0</v>
      </c>
      <c r="AN30" s="232">
        <f>AN12/2+SUM($AI12:AM12)+$AH12/2</f>
        <v>0</v>
      </c>
      <c r="AO30" s="232">
        <f>AO12/2+SUM($AI12:AN12)+$AH12/2</f>
        <v>0</v>
      </c>
      <c r="AP30" s="232">
        <f>AP12/2+SUM($AI12:AO12)+$AH12/2</f>
        <v>0</v>
      </c>
      <c r="AQ30" s="232">
        <f>AQ12/2+SUM($AI12:AP12)+$AH12/2</f>
        <v>0</v>
      </c>
      <c r="AR30" s="231">
        <f>AR12/2+SUM($AI12:AQ12)+$AH12/2</f>
        <v>0</v>
      </c>
    </row>
    <row r="31" spans="2:65">
      <c r="B31" s="623"/>
      <c r="C31" s="229"/>
      <c r="D31" s="229"/>
      <c r="E31" s="229"/>
      <c r="F31" s="229"/>
      <c r="G31" s="229"/>
      <c r="H31" s="229"/>
      <c r="I31" s="228"/>
      <c r="J31" s="227"/>
      <c r="K31" s="227"/>
      <c r="L31" s="227"/>
      <c r="M31" s="227"/>
      <c r="N31" s="226"/>
      <c r="O31" s="226"/>
      <c r="R31" s="528"/>
      <c r="S31" s="217" t="str">
        <f>S13</f>
        <v>Targeted Greenhouse</v>
      </c>
      <c r="T31" s="232">
        <f t="shared" si="48"/>
        <v>0</v>
      </c>
      <c r="U31" s="232">
        <f>U13/2+T13/2</f>
        <v>0</v>
      </c>
      <c r="V31" s="232">
        <f t="shared" si="56"/>
        <v>0</v>
      </c>
      <c r="W31" s="232">
        <f>W13/2+SUM($U13:V13)+$T13/2</f>
        <v>0</v>
      </c>
      <c r="X31" s="232">
        <f>X13/2+SUM($U13:W13)+$T13/2</f>
        <v>0</v>
      </c>
      <c r="Y31" s="232">
        <f>Y13/2+SUM($U13:X13)+$T13/2</f>
        <v>0</v>
      </c>
      <c r="Z31" s="232">
        <f>Z13/2+SUM($U13:Y13)+$T13/2</f>
        <v>0</v>
      </c>
      <c r="AA31" s="232">
        <f>AA13/2+SUM($U13:Z13)+$T13/2</f>
        <v>0</v>
      </c>
      <c r="AB31" s="232">
        <f>AB13/2+SUM($U13:AA13)+$T13/2</f>
        <v>0</v>
      </c>
      <c r="AC31" s="232">
        <f>AC13/2+SUM($U13:AB13)+$T13/2</f>
        <v>0</v>
      </c>
      <c r="AD31" s="232">
        <f>AD13/2+SUM($U13:AC13)+$T13/2</f>
        <v>0</v>
      </c>
      <c r="AE31" s="232"/>
      <c r="AF31" s="528"/>
      <c r="AG31" s="217" t="str">
        <f>AG13</f>
        <v>Targeted Greenhouse</v>
      </c>
      <c r="AH31" s="232">
        <f>AH13/2</f>
        <v>0</v>
      </c>
      <c r="AI31" s="232">
        <f>AI13/2+AH13/2</f>
        <v>0</v>
      </c>
      <c r="AJ31" s="232">
        <f t="shared" si="46"/>
        <v>0</v>
      </c>
      <c r="AK31" s="232">
        <f>AK13/2+SUM($AI13:AJ13)+$AH13/2</f>
        <v>0</v>
      </c>
      <c r="AL31" s="232">
        <f>AL13/2+SUM($AI13:AK13)+$AH13/2</f>
        <v>0</v>
      </c>
      <c r="AM31" s="232">
        <f>AM13/2+SUM($AI13:AL13)+$AH13/2</f>
        <v>0</v>
      </c>
      <c r="AN31" s="232">
        <f>AN13/2+SUM($AI13:AM13)+$AH13/2</f>
        <v>0</v>
      </c>
      <c r="AO31" s="232">
        <f>AO13/2+SUM($AI13:AN13)+$AH13/2</f>
        <v>0</v>
      </c>
      <c r="AP31" s="232">
        <f>AP13/2+SUM($AI13:AO13)+$AH13/2</f>
        <v>0</v>
      </c>
      <c r="AQ31" s="232">
        <f>AQ13/2+SUM($AI13:AP13)+$AH13/2</f>
        <v>0</v>
      </c>
      <c r="AR31" s="231">
        <f>AR13/2+SUM($AI13:AQ13)+$AH13/2</f>
        <v>0</v>
      </c>
    </row>
    <row r="32" spans="2:65">
      <c r="B32" s="623"/>
      <c r="C32" s="229"/>
      <c r="D32" s="229"/>
      <c r="E32" s="229"/>
      <c r="F32" s="229"/>
      <c r="G32" s="229"/>
      <c r="I32" s="228"/>
      <c r="J32" s="227"/>
      <c r="K32" s="522"/>
      <c r="L32" s="227"/>
      <c r="M32" s="227"/>
      <c r="N32" s="127"/>
      <c r="O32" s="127"/>
      <c r="P32" s="126"/>
      <c r="Q32" s="126"/>
      <c r="R32" s="528"/>
      <c r="S32" s="217" t="str">
        <f>S14</f>
        <v>Local Initiatives</v>
      </c>
      <c r="T32" s="232">
        <f t="shared" si="48"/>
        <v>0</v>
      </c>
      <c r="U32" s="232">
        <f>U14/2+T14/2</f>
        <v>0</v>
      </c>
      <c r="V32" s="232">
        <f t="shared" si="56"/>
        <v>443603.74662078213</v>
      </c>
      <c r="W32" s="232">
        <f>W14/2+SUM($U14:V14)+$T14/2</f>
        <v>5604119.693490685</v>
      </c>
      <c r="X32" s="232">
        <f>X14/2+SUM($U14:W14)+$T14/2</f>
        <v>17465504.295345869</v>
      </c>
      <c r="Y32" s="232">
        <f>Y14/2+SUM($U14:X14)+$T14/2</f>
        <v>32334031.883087661</v>
      </c>
      <c r="Z32" s="232">
        <f>Z14/2+SUM($U14:Y14)+$T14/2</f>
        <v>48417454.153785869</v>
      </c>
      <c r="AA32" s="232">
        <f>AA14/2+SUM($U14:Z14)+$T14/2</f>
        <v>65734347.478739567</v>
      </c>
      <c r="AB32" s="232">
        <f>AB14/2+SUM($U14:AA14)+$T14/2</f>
        <v>84256847.301000208</v>
      </c>
      <c r="AC32" s="232">
        <f>AC14/2+SUM($U14:AB14)+$T14/2</f>
        <v>103994241.80621728</v>
      </c>
      <c r="AD32" s="232">
        <f>AD14/2+SUM($U14:AC14)+$T14/2</f>
        <v>124946530.99439077</v>
      </c>
      <c r="AE32" s="232"/>
      <c r="AF32" s="528"/>
      <c r="AG32" s="217" t="str">
        <f>AG14</f>
        <v>Local Initiatives</v>
      </c>
      <c r="AH32" s="232">
        <f>AH14/2</f>
        <v>0</v>
      </c>
      <c r="AI32" s="232">
        <f>AI14/2+AH14/2</f>
        <v>0</v>
      </c>
      <c r="AJ32" s="232">
        <f t="shared" si="46"/>
        <v>150797.99892808203</v>
      </c>
      <c r="AK32" s="232">
        <f>AK14/2+SUM($AI14:AJ14)+$AH14/2</f>
        <v>1905056.1271618004</v>
      </c>
      <c r="AL32" s="232">
        <f>AL14/2+SUM($AI14:AK14)+$AH14/2</f>
        <v>5937197.5959875528</v>
      </c>
      <c r="AM32" s="232">
        <f>AM14/2+SUM($AI14:AL14)+$AH14/2</f>
        <v>10991582.786190102</v>
      </c>
      <c r="AN32" s="232">
        <f>AN14/2+SUM($AI14:AM14)+$AH14/2</f>
        <v>16458957.470944436</v>
      </c>
      <c r="AO32" s="232">
        <f>AO14/2+SUM($AI14:AN14)+$AH14/2</f>
        <v>22345636.474326286</v>
      </c>
      <c r="AP32" s="232">
        <f>AP14/2+SUM($AI14:AO14)+$AH14/2</f>
        <v>28435652.812946185</v>
      </c>
      <c r="AQ32" s="232">
        <f>AQ14/2+SUM($AI14:AP14)+$AH14/2</f>
        <v>34525669.151566088</v>
      </c>
      <c r="AR32" s="231">
        <f>AR14/2+SUM($AI14:AQ14)+$AH14/2</f>
        <v>40615685.490185991</v>
      </c>
    </row>
    <row r="33" spans="2:44">
      <c r="B33" s="623"/>
      <c r="C33" s="116"/>
      <c r="D33" s="116"/>
      <c r="E33" s="116"/>
      <c r="F33" s="116"/>
      <c r="G33" s="116"/>
      <c r="H33" s="116"/>
      <c r="I33" s="128"/>
      <c r="N33" s="126"/>
      <c r="O33" s="126"/>
      <c r="P33" s="126"/>
      <c r="Q33" s="126"/>
      <c r="R33" s="626"/>
      <c r="S33" s="217" t="str">
        <f>S15</f>
        <v>Residential Demand Response</v>
      </c>
      <c r="T33" s="232">
        <f t="shared" si="48"/>
        <v>0</v>
      </c>
      <c r="U33" s="232">
        <f>U15/2+T15/2</f>
        <v>0</v>
      </c>
      <c r="V33" s="232">
        <f t="shared" si="56"/>
        <v>0</v>
      </c>
      <c r="W33" s="232">
        <f>W15/2+SUM($U15:V15)+$T15/2</f>
        <v>0</v>
      </c>
      <c r="X33" s="232">
        <f>X15/2+SUM($U15:W15)+$T15/2</f>
        <v>0</v>
      </c>
      <c r="Y33" s="232">
        <f>Y15/2+SUM($U15:X15)+$T15/2</f>
        <v>0</v>
      </c>
      <c r="Z33" s="232">
        <f>Z15/2+SUM($U15:Y15)+$T15/2</f>
        <v>0</v>
      </c>
      <c r="AA33" s="232">
        <f>AA15/2+SUM($U15:Z15)+$T15/2</f>
        <v>0</v>
      </c>
      <c r="AB33" s="232">
        <f>AB15/2+SUM($U15:AA15)+$T15/2</f>
        <v>0</v>
      </c>
      <c r="AC33" s="232">
        <f>AC15/2+SUM($U15:AB15)+$T15/2</f>
        <v>0</v>
      </c>
      <c r="AD33" s="232">
        <f>AD15/2+SUM($U15:AC15)+$T15/2</f>
        <v>0</v>
      </c>
      <c r="AE33" s="232"/>
      <c r="AF33" s="626"/>
      <c r="AG33" s="217" t="str">
        <f>AG15</f>
        <v>Residential Demand Response</v>
      </c>
      <c r="AH33" s="232">
        <f>AH15/2</f>
        <v>0</v>
      </c>
      <c r="AI33" s="232">
        <f>AI15/2+AH15/2</f>
        <v>0</v>
      </c>
      <c r="AJ33" s="232">
        <f t="shared" si="46"/>
        <v>0</v>
      </c>
      <c r="AK33" s="232">
        <f>AK15/2+SUM($AI15:AJ15)+$AH15/2</f>
        <v>0</v>
      </c>
      <c r="AL33" s="232">
        <f>AL15/2+SUM($AI15:AK15)+$AH15/2</f>
        <v>0</v>
      </c>
      <c r="AM33" s="232">
        <f>AM15/2+SUM($AI15:AL15)+$AH15/2</f>
        <v>0</v>
      </c>
      <c r="AN33" s="232">
        <f>AN15/2+SUM($AI15:AM15)+$AH15/2</f>
        <v>0</v>
      </c>
      <c r="AO33" s="232">
        <f>AO15/2+SUM($AI15:AN15)+$AH15/2</f>
        <v>0</v>
      </c>
      <c r="AP33" s="232">
        <f>AP15/2+SUM($AI15:AO15)+$AH15/2</f>
        <v>0</v>
      </c>
      <c r="AQ33" s="232">
        <f>AQ15/2+SUM($AI15:AP15)+$AH15/2</f>
        <v>0</v>
      </c>
      <c r="AR33" s="231">
        <f>AR15/2+SUM($AI15:AQ15)+$AH15/2</f>
        <v>0</v>
      </c>
    </row>
    <row r="34" spans="2:44">
      <c r="B34" s="701"/>
      <c r="C34" s="702"/>
      <c r="D34" s="702"/>
      <c r="E34" s="702"/>
      <c r="F34" s="702"/>
      <c r="G34" s="702"/>
      <c r="H34" s="702"/>
      <c r="I34" s="703"/>
      <c r="N34" s="126"/>
      <c r="O34" s="126"/>
      <c r="P34" s="126"/>
      <c r="Q34" s="126"/>
      <c r="R34" s="528"/>
      <c r="S34" s="217" t="str">
        <f>S16</f>
        <v>Energy Affordability Program</v>
      </c>
      <c r="T34" s="232">
        <f t="shared" si="48"/>
        <v>102987.76527632074</v>
      </c>
      <c r="U34" s="232">
        <f>U16/2+T16/2</f>
        <v>211827.10812515969</v>
      </c>
      <c r="V34" s="232">
        <f t="shared" si="56"/>
        <v>444719.89551138494</v>
      </c>
      <c r="W34" s="232">
        <f>W16/2+SUM($U16:V16)+$T16/2</f>
        <v>1197232.7713372284</v>
      </c>
      <c r="X34" s="232">
        <f>X16/2+SUM($U16:W16)+$T16/2</f>
        <v>2141677.3915416691</v>
      </c>
      <c r="Y34" s="232">
        <f>Y16/2+SUM($U16:X16)+$T16/2</f>
        <v>2808757.2348087467</v>
      </c>
      <c r="Z34" s="232">
        <f>Z16/2+SUM($U16:Y16)+$T16/2</f>
        <v>3674790.7155414438</v>
      </c>
      <c r="AA34" s="232">
        <f>AA16/2+SUM($U16:Z16)+$T16/2</f>
        <v>4782689.4026049078</v>
      </c>
      <c r="AB34" s="232">
        <f>AB16/2+SUM($U16:AA16)+$T16/2</f>
        <v>6068085.9427014403</v>
      </c>
      <c r="AC34" s="232">
        <f>AC16/2+SUM($U16:AB16)+$T16/2</f>
        <v>7552436.1202635895</v>
      </c>
      <c r="AD34" s="232">
        <f>AD16/2+SUM($U16:AC16)+$T16/2</f>
        <v>9235739.9352913592</v>
      </c>
      <c r="AE34" s="232"/>
      <c r="AF34" s="528"/>
      <c r="AG34" s="217" t="str">
        <f>AG16</f>
        <v>Energy Affordability Program</v>
      </c>
      <c r="AH34" s="232">
        <f>AH16/2</f>
        <v>42843.566150649378</v>
      </c>
      <c r="AI34" s="232">
        <f>AI16/2+AH16/2</f>
        <v>88121.425832585664</v>
      </c>
      <c r="AJ34" s="232">
        <f t="shared" si="46"/>
        <v>185006.30837780412</v>
      </c>
      <c r="AK34" s="232">
        <f>AK16/2+SUM($AI16:AJ16)+$AH16/2</f>
        <v>498056.45650129905</v>
      </c>
      <c r="AL34" s="232">
        <f>AL16/2+SUM($AI16:AK16)+$AH16/2</f>
        <v>890951.43245100405</v>
      </c>
      <c r="AM34" s="232">
        <f>AM16/2+SUM($AI16:AL16)+$AH16/2</f>
        <v>1168460.8950177105</v>
      </c>
      <c r="AN34" s="232">
        <f>AN16/2+SUM($AI16:AM16)+$AH16/2</f>
        <v>1528736.337648171</v>
      </c>
      <c r="AO34" s="232">
        <f>AO16/2+SUM($AI16:AN16)+$AH16/2</f>
        <v>1989629.2462384962</v>
      </c>
      <c r="AP34" s="232">
        <f>AP16/2+SUM($AI16:AO16)+$AH16/2</f>
        <v>2482979.401912652</v>
      </c>
      <c r="AQ34" s="232">
        <f>AQ16/2+SUM($AI16:AP16)+$AH16/2</f>
        <v>2976329.5575868082</v>
      </c>
      <c r="AR34" s="231">
        <f>AR16/2+SUM($AI16:AQ16)+$AH16/2</f>
        <v>3469679.7132609645</v>
      </c>
    </row>
    <row r="35" spans="2:44">
      <c r="B35" s="622" t="s">
        <v>732</v>
      </c>
      <c r="C35" s="126">
        <v>2016</v>
      </c>
      <c r="D35" s="126"/>
      <c r="E35" s="126">
        <v>2021</v>
      </c>
      <c r="G35" s="116"/>
      <c r="H35" s="116"/>
      <c r="I35" s="129" t="s">
        <v>733</v>
      </c>
      <c r="J35" s="126"/>
      <c r="K35" s="126"/>
      <c r="L35" s="126"/>
      <c r="M35" s="126"/>
      <c r="N35" s="126"/>
      <c r="O35" s="126"/>
      <c r="P35" s="126"/>
      <c r="Q35" s="126"/>
      <c r="R35" s="528"/>
      <c r="S35" s="217" t="str">
        <f>S17</f>
        <v>First Nations Program</v>
      </c>
      <c r="T35" s="232">
        <f t="shared" si="48"/>
        <v>0</v>
      </c>
      <c r="U35" s="232">
        <f>U17/2+T17/2</f>
        <v>0</v>
      </c>
      <c r="V35" s="232">
        <f t="shared" si="56"/>
        <v>0</v>
      </c>
      <c r="W35" s="232">
        <f>W17/2+SUM($U17:V17)+$T17/2</f>
        <v>0</v>
      </c>
      <c r="X35" s="232">
        <f>X17/2+SUM($U17:W17)+$T17/2</f>
        <v>0</v>
      </c>
      <c r="Y35" s="232">
        <f>Y17/2+SUM($U17:X17)+$T17/2</f>
        <v>0</v>
      </c>
      <c r="Z35" s="232">
        <f>Z17/2+SUM($U17:Y17)+$T17/2</f>
        <v>0</v>
      </c>
      <c r="AA35" s="232">
        <f>AA17/2+SUM($U17:Z17)+$T17/2</f>
        <v>0</v>
      </c>
      <c r="AB35" s="232">
        <f>AB17/2+SUM($U17:AA17)+$T17/2</f>
        <v>0</v>
      </c>
      <c r="AC35" s="232">
        <f>AC17/2+SUM($U17:AB17)+$T17/2</f>
        <v>0</v>
      </c>
      <c r="AD35" s="232">
        <f>AD17/2+SUM($U17:AC17)+$T17/2</f>
        <v>0</v>
      </c>
      <c r="AE35" s="232"/>
      <c r="AF35" s="528"/>
      <c r="AG35" s="217" t="str">
        <f>AG17</f>
        <v>First Nations Program</v>
      </c>
      <c r="AH35" s="232">
        <f>AH17/2</f>
        <v>0</v>
      </c>
      <c r="AI35" s="232">
        <f>AI17/2+AH17/2</f>
        <v>0</v>
      </c>
      <c r="AJ35" s="232">
        <f t="shared" si="46"/>
        <v>0</v>
      </c>
      <c r="AK35" s="232">
        <f>AK17/2+SUM($AI17:AJ17)+$AH17/2</f>
        <v>0</v>
      </c>
      <c r="AL35" s="232">
        <f>AL17/2+SUM($AI17:AK17)+$AH17/2</f>
        <v>0</v>
      </c>
      <c r="AM35" s="232">
        <f>AM17/2+SUM($AI17:AL17)+$AH17/2</f>
        <v>0</v>
      </c>
      <c r="AN35" s="232">
        <f>AN17/2+SUM($AI17:AM17)+$AH17/2</f>
        <v>0</v>
      </c>
      <c r="AO35" s="232">
        <f>AO17/2+SUM($AI17:AN17)+$AH17/2</f>
        <v>0</v>
      </c>
      <c r="AP35" s="232">
        <f>AP17/2+SUM($AI17:AO17)+$AH17/2</f>
        <v>0</v>
      </c>
      <c r="AQ35" s="232">
        <f>AQ17/2+SUM($AI17:AP17)+$AH17/2</f>
        <v>0</v>
      </c>
      <c r="AR35" s="231">
        <f>AR17/2+SUM($AI17:AQ17)+$AH17/2</f>
        <v>0</v>
      </c>
    </row>
    <row r="36" spans="2:44">
      <c r="B36" s="623" t="s">
        <v>726</v>
      </c>
      <c r="C36" s="105">
        <v>13448494</v>
      </c>
      <c r="D36" s="105"/>
      <c r="E36" s="105">
        <v>14223942</v>
      </c>
      <c r="G36" s="116"/>
      <c r="H36" s="116"/>
      <c r="I36" s="129"/>
      <c r="J36" s="126"/>
      <c r="K36" s="126"/>
      <c r="L36" s="126"/>
      <c r="M36" s="126"/>
      <c r="N36" s="126"/>
      <c r="O36" s="126"/>
      <c r="P36" s="126"/>
      <c r="Q36" s="126"/>
      <c r="R36" s="627"/>
      <c r="S36" s="126" t="s">
        <v>290</v>
      </c>
      <c r="T36" s="125">
        <f t="shared" ref="T36:AD36" si="57">SUM(T22:T35)</f>
        <v>5100579.8883095328</v>
      </c>
      <c r="U36" s="125">
        <f t="shared" si="57"/>
        <v>12791151.36108184</v>
      </c>
      <c r="V36" s="125">
        <f t="shared" si="57"/>
        <v>24264629.325580988</v>
      </c>
      <c r="W36" s="125">
        <f t="shared" si="57"/>
        <v>44610074.074734904</v>
      </c>
      <c r="X36" s="125">
        <f t="shared" si="57"/>
        <v>77254127.201628581</v>
      </c>
      <c r="Y36" s="125">
        <f t="shared" si="57"/>
        <v>111430730.43316683</v>
      </c>
      <c r="Z36" s="125">
        <f t="shared" si="57"/>
        <v>150081540.72682843</v>
      </c>
      <c r="AA36" s="125">
        <f t="shared" si="57"/>
        <v>192506063.24031138</v>
      </c>
      <c r="AB36" s="125">
        <f t="shared" si="57"/>
        <v>237544472.87949061</v>
      </c>
      <c r="AC36" s="125">
        <f t="shared" si="57"/>
        <v>285184499.4694562</v>
      </c>
      <c r="AD36" s="125">
        <f t="shared" si="57"/>
        <v>335426143.01020807</v>
      </c>
      <c r="AE36" s="125"/>
      <c r="AF36" s="627"/>
      <c r="AG36" s="126" t="s">
        <v>290</v>
      </c>
      <c r="AH36" s="125">
        <f t="shared" ref="AH36:AR36" si="58">SUM(AH22:AH35)</f>
        <v>1772791.1279814835</v>
      </c>
      <c r="AI36" s="125">
        <f t="shared" si="58"/>
        <v>4429823.3377633039</v>
      </c>
      <c r="AJ36" s="125">
        <f t="shared" si="58"/>
        <v>8301846.9491476985</v>
      </c>
      <c r="AK36" s="125">
        <f t="shared" si="58"/>
        <v>15030006.548546778</v>
      </c>
      <c r="AL36" s="125">
        <f t="shared" si="58"/>
        <v>25910584.27620919</v>
      </c>
      <c r="AM36" s="125">
        <f t="shared" si="58"/>
        <v>37305871.279702269</v>
      </c>
      <c r="AN36" s="125">
        <f t="shared" si="58"/>
        <v>50054694.949948221</v>
      </c>
      <c r="AO36" s="125">
        <f t="shared" si="58"/>
        <v>63911357.788076445</v>
      </c>
      <c r="AP36" s="125">
        <f t="shared" si="58"/>
        <v>78182791.071095258</v>
      </c>
      <c r="AQ36" s="125">
        <f t="shared" si="58"/>
        <v>92454224.354114085</v>
      </c>
      <c r="AR36" s="133">
        <f t="shared" si="58"/>
        <v>106725657.63713293</v>
      </c>
    </row>
    <row r="37" spans="2:44">
      <c r="B37" s="623" t="s">
        <v>385</v>
      </c>
      <c r="C37" s="105">
        <v>119677</v>
      </c>
      <c r="D37" s="104"/>
      <c r="E37" s="105">
        <v>126666</v>
      </c>
      <c r="G37" s="116"/>
      <c r="H37" s="116"/>
      <c r="I37" s="124"/>
      <c r="J37" s="126"/>
      <c r="K37" s="126"/>
      <c r="L37" s="126"/>
      <c r="M37" s="126"/>
      <c r="N37" s="126"/>
      <c r="O37" s="126"/>
      <c r="P37" s="126"/>
      <c r="Q37" s="126"/>
      <c r="R37" s="627"/>
      <c r="AF37" s="627"/>
      <c r="AR37" s="230"/>
    </row>
    <row r="38" spans="2:44">
      <c r="B38" s="528" t="s">
        <v>384</v>
      </c>
      <c r="C38" s="113">
        <v>91771</v>
      </c>
      <c r="D38" s="113"/>
      <c r="E38" s="113">
        <v>99186</v>
      </c>
      <c r="I38" s="230"/>
      <c r="R38" s="628"/>
      <c r="S38" s="217" t="s">
        <v>12</v>
      </c>
      <c r="T38" s="218">
        <f>SUMPRODUCT(T$22:T$35,$S$59:$S$72)</f>
        <v>101821.52156822581</v>
      </c>
      <c r="U38" s="218">
        <f t="shared" ref="U38:V38" si="59">SUMPRODUCT(U$22:U$35,$S$59:$S$72)</f>
        <v>209428.35686191899</v>
      </c>
      <c r="V38" s="218">
        <f t="shared" si="59"/>
        <v>609421.03648186731</v>
      </c>
      <c r="W38" s="218">
        <f t="shared" ref="W38:AD38" si="60">SUMPRODUCT(W$22:W$35,$S$59:$S$72)</f>
        <v>3327993.2991487947</v>
      </c>
      <c r="X38" s="218">
        <f t="shared" si="60"/>
        <v>9490256.2337384056</v>
      </c>
      <c r="Y38" s="218">
        <f t="shared" si="60"/>
        <v>17275442.640499145</v>
      </c>
      <c r="Z38" s="218">
        <f t="shared" si="60"/>
        <v>25778742.161130853</v>
      </c>
      <c r="AA38" s="218">
        <f t="shared" si="60"/>
        <v>35030836.917415306</v>
      </c>
      <c r="AB38" s="218">
        <f t="shared" si="60"/>
        <v>44985703.726679876</v>
      </c>
      <c r="AC38" s="218">
        <f t="shared" si="60"/>
        <v>55658683.649815433</v>
      </c>
      <c r="AD38" s="218">
        <f t="shared" si="60"/>
        <v>67049776.686821938</v>
      </c>
      <c r="AE38" s="218"/>
      <c r="AF38" s="628"/>
      <c r="AG38" s="217" t="s">
        <v>12</v>
      </c>
      <c r="AH38" s="218">
        <f>SUMPRODUCT(AH$22:AH$35,$AG$59:$AG$72)</f>
        <v>42843.566150649378</v>
      </c>
      <c r="AI38" s="218">
        <f t="shared" ref="AI38:AR38" si="61">SUMPRODUCT(AI$22:AI$35,$AG$59:$AG$72)</f>
        <v>88121.425832585664</v>
      </c>
      <c r="AJ38" s="218">
        <f t="shared" si="61"/>
        <v>249645.59065971622</v>
      </c>
      <c r="AK38" s="218">
        <f t="shared" si="61"/>
        <v>1314655.2286456563</v>
      </c>
      <c r="AL38" s="218">
        <f t="shared" si="61"/>
        <v>3703050.2833516109</v>
      </c>
      <c r="AM38" s="218">
        <f t="shared" si="61"/>
        <v>6703268.7336971592</v>
      </c>
      <c r="AN38" s="218">
        <f t="shared" si="61"/>
        <v>9985176.2560180202</v>
      </c>
      <c r="AO38" s="218">
        <f t="shared" si="61"/>
        <v>13562032.536562549</v>
      </c>
      <c r="AP38" s="218">
        <f t="shared" si="61"/>
        <v>17273103.509970568</v>
      </c>
      <c r="AQ38" s="218">
        <f t="shared" si="61"/>
        <v>20984174.483378593</v>
      </c>
      <c r="AR38" s="225">
        <f t="shared" si="61"/>
        <v>24695245.456786614</v>
      </c>
    </row>
    <row r="39" spans="2:44">
      <c r="B39" s="528" t="s">
        <v>386</v>
      </c>
      <c r="C39" s="113">
        <v>21176</v>
      </c>
      <c r="D39" s="113"/>
      <c r="E39" s="113">
        <v>21556</v>
      </c>
      <c r="I39" s="230"/>
      <c r="R39" s="528"/>
      <c r="S39" s="217" t="s">
        <v>13</v>
      </c>
      <c r="T39" s="218">
        <f>SUMPRODUCT(T$22:T$35,$T$59:$T$72)</f>
        <v>1166.2437080948475</v>
      </c>
      <c r="U39" s="218">
        <f t="shared" ref="U39:AC39" si="62">SUMPRODUCT(U$22:U$35,$T$59:$T$72)</f>
        <v>2398.7512632405383</v>
      </c>
      <c r="V39" s="218">
        <f t="shared" si="62"/>
        <v>6979.1851673997171</v>
      </c>
      <c r="W39" s="218">
        <f t="shared" si="62"/>
        <v>38105.501890122738</v>
      </c>
      <c r="X39" s="218">
        <f t="shared" si="62"/>
        <v>108660.01402268311</v>
      </c>
      <c r="Y39" s="218">
        <f t="shared" si="62"/>
        <v>197796.36898066101</v>
      </c>
      <c r="Z39" s="218">
        <f t="shared" si="62"/>
        <v>295155.10171738215</v>
      </c>
      <c r="AA39" s="218">
        <f t="shared" si="62"/>
        <v>401087.59719891055</v>
      </c>
      <c r="AB39" s="218">
        <f t="shared" si="62"/>
        <v>515066.77797615062</v>
      </c>
      <c r="AC39" s="218">
        <f t="shared" si="62"/>
        <v>637268.33653213421</v>
      </c>
      <c r="AD39" s="218">
        <f>SUMPRODUCT(AD$22:AD$35,$T$59:$T$72)</f>
        <v>767692.27286686085</v>
      </c>
      <c r="AE39" s="218"/>
      <c r="AF39" s="624" t="s">
        <v>727</v>
      </c>
      <c r="AG39" s="217" t="s">
        <v>545</v>
      </c>
      <c r="AH39" s="218">
        <f>SUMPRODUCT(AH$22:AH$35,$AH$59:$AH$72)</f>
        <v>185695.46617332692</v>
      </c>
      <c r="AI39" s="218">
        <f t="shared" ref="AI39:AR39" si="63">SUMPRODUCT(AI$22:AI$35,$AH$59:$AH$72)</f>
        <v>432913.88805547671</v>
      </c>
      <c r="AJ39" s="218">
        <f t="shared" si="63"/>
        <v>773113.30528146611</v>
      </c>
      <c r="AK39" s="218">
        <f t="shared" si="63"/>
        <v>1363358.8208498536</v>
      </c>
      <c r="AL39" s="218">
        <f t="shared" si="63"/>
        <v>2320920.4618348917</v>
      </c>
      <c r="AM39" s="218">
        <f t="shared" si="63"/>
        <v>3292437.3473332115</v>
      </c>
      <c r="AN39" s="218">
        <f>SUMPRODUCT(AN$22:AN$35,$AH$59:$AH$72)</f>
        <v>4326658.2289494425</v>
      </c>
      <c r="AO39" s="218">
        <f t="shared" si="63"/>
        <v>5400166.9966284502</v>
      </c>
      <c r="AP39" s="218">
        <f t="shared" si="63"/>
        <v>6501182.2982296627</v>
      </c>
      <c r="AQ39" s="218">
        <f t="shared" si="63"/>
        <v>7602197.5998308733</v>
      </c>
      <c r="AR39" s="225">
        <f t="shared" si="63"/>
        <v>8703212.9014320839</v>
      </c>
    </row>
    <row r="40" spans="2:44">
      <c r="B40" s="528" t="s">
        <v>228</v>
      </c>
      <c r="C40" s="113">
        <v>50716</v>
      </c>
      <c r="D40" s="113"/>
      <c r="E40" s="113">
        <v>55071</v>
      </c>
      <c r="I40" s="230"/>
      <c r="R40" s="624" t="s">
        <v>727</v>
      </c>
      <c r="S40" s="217" t="s">
        <v>545</v>
      </c>
      <c r="T40" s="218">
        <f>SUMPRODUCT(T$22:T$35,$U$59:$U$72)</f>
        <v>768853.93895616988</v>
      </c>
      <c r="U40" s="218">
        <f t="shared" ref="U40:AC40" si="64">SUMPRODUCT(U$22:U$35,$U$59:$U$72)</f>
        <v>1827754.1353473256</v>
      </c>
      <c r="V40" s="218">
        <f t="shared" si="64"/>
        <v>3250271.9290293725</v>
      </c>
      <c r="W40" s="218">
        <f t="shared" si="64"/>
        <v>5520276.3624999076</v>
      </c>
      <c r="X40" s="218">
        <f t="shared" si="64"/>
        <v>9093036.0437144674</v>
      </c>
      <c r="Y40" s="218">
        <f t="shared" si="64"/>
        <v>12620487.608348921</v>
      </c>
      <c r="Z40" s="218">
        <f t="shared" si="64"/>
        <v>16363118.594316913</v>
      </c>
      <c r="AA40" s="218">
        <f t="shared" si="64"/>
        <v>20217125.098260257</v>
      </c>
      <c r="AB40" s="218">
        <f t="shared" si="64"/>
        <v>24246760.053696997</v>
      </c>
      <c r="AC40" s="218">
        <f t="shared" si="64"/>
        <v>28445847.969707653</v>
      </c>
      <c r="AD40" s="218">
        <f>SUMPRODUCT(AD$22:AD$35,$U$59:$U$72)</f>
        <v>32814388.84629222</v>
      </c>
      <c r="AE40" s="218"/>
      <c r="AF40" s="625" t="s">
        <v>729</v>
      </c>
      <c r="AG40" s="217" t="s">
        <v>601</v>
      </c>
      <c r="AH40" s="218">
        <f>SUMPRODUCT(AH$22:AH$35,$AI$59:$AI$72)</f>
        <v>1260371.9808593078</v>
      </c>
      <c r="AI40" s="218">
        <f t="shared" ref="AI40:AR40" si="65">SUMPRODUCT(AI$22:AI$35,$AI$59:$AI$72)</f>
        <v>3189979.7042333088</v>
      </c>
      <c r="AJ40" s="218">
        <f t="shared" si="65"/>
        <v>5938680.9538970804</v>
      </c>
      <c r="AK40" s="218">
        <f t="shared" si="65"/>
        <v>10072543.431867033</v>
      </c>
      <c r="AL40" s="218">
        <f t="shared" si="65"/>
        <v>16212749.499917848</v>
      </c>
      <c r="AM40" s="218">
        <f t="shared" si="65"/>
        <v>22261659.41572148</v>
      </c>
      <c r="AN40" s="218">
        <f t="shared" si="65"/>
        <v>29130398.038967699</v>
      </c>
      <c r="AO40" s="218">
        <f t="shared" si="65"/>
        <v>36626638.419896863</v>
      </c>
      <c r="AP40" s="218">
        <f t="shared" si="65"/>
        <v>44328587.53412874</v>
      </c>
      <c r="AQ40" s="218">
        <f t="shared" si="65"/>
        <v>52030536.648360617</v>
      </c>
      <c r="AR40" s="225">
        <f t="shared" si="65"/>
        <v>59732485.762592494</v>
      </c>
    </row>
    <row r="41" spans="2:44">
      <c r="B41" s="528" t="s">
        <v>388</v>
      </c>
      <c r="C41" s="113">
        <v>12311</v>
      </c>
      <c r="D41" s="113"/>
      <c r="E41" s="113">
        <v>13157</v>
      </c>
      <c r="I41" s="230"/>
      <c r="R41" s="625" t="s">
        <v>729</v>
      </c>
      <c r="S41" s="217" t="s">
        <v>601</v>
      </c>
      <c r="T41" s="218">
        <f>SUMPRODUCT(T$22:T$35,$V$59:$V$72)</f>
        <v>3350158.2453952194</v>
      </c>
      <c r="U41" s="218">
        <f t="shared" ref="U41:AC41" si="66">SUMPRODUCT(U$22:U$35,$V$59:$V$72)</f>
        <v>8453332.2672001664</v>
      </c>
      <c r="V41" s="218">
        <f t="shared" si="66"/>
        <v>15578193.933063079</v>
      </c>
      <c r="W41" s="218">
        <f t="shared" si="66"/>
        <v>26112527.90211704</v>
      </c>
      <c r="X41" s="218">
        <f t="shared" si="66"/>
        <v>41938507.369372144</v>
      </c>
      <c r="Y41" s="218">
        <f t="shared" si="66"/>
        <v>57572138.572151341</v>
      </c>
      <c r="Z41" s="218">
        <f t="shared" si="66"/>
        <v>75049560.269383654</v>
      </c>
      <c r="AA41" s="218">
        <f t="shared" si="66"/>
        <v>93851839.265541211</v>
      </c>
      <c r="AB41" s="218">
        <f t="shared" si="66"/>
        <v>113606562.0598658</v>
      </c>
      <c r="AC41" s="218">
        <f t="shared" si="66"/>
        <v>134290109.0050582</v>
      </c>
      <c r="AD41" s="218">
        <f>SUMPRODUCT(AD$22:AD$35,$V$59:$V$72)</f>
        <v>155902480.10111839</v>
      </c>
      <c r="AE41" s="218"/>
      <c r="AF41" s="528"/>
      <c r="AG41" s="217" t="s">
        <v>604</v>
      </c>
      <c r="AH41" s="218">
        <f>SUMPRODUCT(AH$22:AH$35,$AJ$59:$AJ$72)</f>
        <v>283880.11479819904</v>
      </c>
      <c r="AI41" s="218">
        <f t="shared" ref="AI41:AR41" si="67">SUMPRODUCT(AI$22:AI$35,$AJ$59:$AJ$72)</f>
        <v>718808.31964193354</v>
      </c>
      <c r="AJ41" s="218">
        <f t="shared" si="67"/>
        <v>1340407.0993094353</v>
      </c>
      <c r="AK41" s="218">
        <f t="shared" si="67"/>
        <v>2279449.0671842364</v>
      </c>
      <c r="AL41" s="218">
        <f t="shared" si="67"/>
        <v>3673864.0311048436</v>
      </c>
      <c r="AM41" s="218">
        <f t="shared" si="67"/>
        <v>5048505.7829504143</v>
      </c>
      <c r="AN41" s="218">
        <f t="shared" si="67"/>
        <v>6612462.4260130636</v>
      </c>
      <c r="AO41" s="218">
        <f t="shared" si="67"/>
        <v>8322519.8349885773</v>
      </c>
      <c r="AP41" s="218">
        <f t="shared" si="67"/>
        <v>10079917.728766298</v>
      </c>
      <c r="AQ41" s="218">
        <f t="shared" si="67"/>
        <v>11837315.62254402</v>
      </c>
      <c r="AR41" s="225">
        <f t="shared" si="67"/>
        <v>13594713.516321739</v>
      </c>
    </row>
    <row r="42" spans="2:44">
      <c r="B42" s="528" t="s">
        <v>734</v>
      </c>
      <c r="C42" s="113">
        <v>16753</v>
      </c>
      <c r="D42" s="113"/>
      <c r="E42" s="113">
        <v>17294</v>
      </c>
      <c r="I42" s="230"/>
      <c r="J42" s="126"/>
      <c r="K42" s="126"/>
      <c r="L42" s="126"/>
      <c r="M42" s="126"/>
      <c r="R42" s="528"/>
      <c r="S42" s="217" t="s">
        <v>604</v>
      </c>
      <c r="T42" s="218">
        <f>SUMPRODUCT(T$22:T$35,$W$59:$W$72)</f>
        <v>167341.05381730202</v>
      </c>
      <c r="U42" s="218">
        <f t="shared" ref="U42:AC42" si="68">SUMPRODUCT(U$22:U$35,$W$59:$W$72)</f>
        <v>425624.8807386047</v>
      </c>
      <c r="V42" s="218">
        <f t="shared" si="68"/>
        <v>815929.31006399717</v>
      </c>
      <c r="W42" s="218">
        <f t="shared" si="68"/>
        <v>1511191.8748222105</v>
      </c>
      <c r="X42" s="218">
        <f t="shared" si="68"/>
        <v>2615495.0157532697</v>
      </c>
      <c r="Y42" s="218">
        <f t="shared" si="68"/>
        <v>3767043.2988399453</v>
      </c>
      <c r="Z42" s="218">
        <f t="shared" si="68"/>
        <v>5080723.2890087217</v>
      </c>
      <c r="AA42" s="218">
        <f t="shared" si="68"/>
        <v>6532053.4297548439</v>
      </c>
      <c r="AB42" s="218">
        <f t="shared" si="68"/>
        <v>8072585.8561178129</v>
      </c>
      <c r="AC42" s="218">
        <f t="shared" si="68"/>
        <v>9701634.1148583759</v>
      </c>
      <c r="AD42" s="218">
        <f>SUMPRODUCT(AD$22:AD$35,$W$59:$W$72)</f>
        <v>11419198.205976535</v>
      </c>
      <c r="AE42" s="218"/>
      <c r="AF42" s="528"/>
      <c r="AG42" s="217" t="s">
        <v>17</v>
      </c>
      <c r="AH42" s="218"/>
      <c r="AI42" s="218"/>
      <c r="AJ42" s="218"/>
      <c r="AK42" s="218"/>
      <c r="AL42" s="218"/>
      <c r="AM42" s="218"/>
      <c r="AN42" s="218"/>
      <c r="AO42" s="218"/>
      <c r="AP42" s="218"/>
      <c r="AQ42" s="218"/>
      <c r="AR42" s="225"/>
    </row>
    <row r="43" spans="2:44">
      <c r="B43" s="622" t="s">
        <v>735</v>
      </c>
      <c r="C43" s="103">
        <f>SUM(C37:C42)</f>
        <v>312404</v>
      </c>
      <c r="D43" s="102"/>
      <c r="E43" s="103">
        <f>SUM(E37:E42)</f>
        <v>332930</v>
      </c>
      <c r="G43" s="116"/>
      <c r="H43" s="116"/>
      <c r="I43" s="129"/>
      <c r="R43" s="528"/>
      <c r="S43" s="217" t="s">
        <v>17</v>
      </c>
      <c r="T43" s="218">
        <f>SUMPRODUCT(T$22:T$35,$X$59:$X$72)</f>
        <v>711238.88486452051</v>
      </c>
      <c r="U43" s="218">
        <f t="shared" ref="U43:AD43" si="69">SUMPRODUCT(U$22:U$35,$X$59:$X$72)</f>
        <v>1872612.9696705842</v>
      </c>
      <c r="V43" s="218">
        <f t="shared" si="69"/>
        <v>4003833.9317752719</v>
      </c>
      <c r="W43" s="218">
        <f t="shared" si="69"/>
        <v>8099979.1342568314</v>
      </c>
      <c r="X43" s="218">
        <f t="shared" si="69"/>
        <v>14008172.525027597</v>
      </c>
      <c r="Y43" s="218">
        <f t="shared" si="69"/>
        <v>19997821.944346815</v>
      </c>
      <c r="Z43" s="218">
        <f t="shared" si="69"/>
        <v>27514241.311270904</v>
      </c>
      <c r="AA43" s="218">
        <f t="shared" si="69"/>
        <v>36473120.932140857</v>
      </c>
      <c r="AB43" s="218">
        <f t="shared" si="69"/>
        <v>46117794.405154005</v>
      </c>
      <c r="AC43" s="218">
        <f t="shared" si="69"/>
        <v>56450956.393484443</v>
      </c>
      <c r="AD43" s="218">
        <f t="shared" si="69"/>
        <v>67472606.897132173</v>
      </c>
      <c r="AE43" s="218"/>
      <c r="AF43" s="528"/>
      <c r="AG43" s="126" t="s">
        <v>290</v>
      </c>
      <c r="AH43" s="125">
        <f t="shared" ref="AH43:AM43" si="70">SUM(AH38:AH42)</f>
        <v>1772791.127981483</v>
      </c>
      <c r="AI43" s="125">
        <f t="shared" si="70"/>
        <v>4429823.3377633048</v>
      </c>
      <c r="AJ43" s="125">
        <f t="shared" si="70"/>
        <v>8301846.9491476975</v>
      </c>
      <c r="AK43" s="125">
        <f t="shared" si="70"/>
        <v>15030006.54854678</v>
      </c>
      <c r="AL43" s="125">
        <f t="shared" si="70"/>
        <v>25910584.276209194</v>
      </c>
      <c r="AM43" s="125">
        <f t="shared" si="70"/>
        <v>37305871.279702269</v>
      </c>
      <c r="AN43" s="125">
        <f t="shared" ref="AN43:AR43" si="71">SUM(AN38:AN42)</f>
        <v>50054694.949948221</v>
      </c>
      <c r="AO43" s="125">
        <f t="shared" si="71"/>
        <v>63911357.788076445</v>
      </c>
      <c r="AP43" s="125">
        <f t="shared" si="71"/>
        <v>78182791.071095258</v>
      </c>
      <c r="AQ43" s="125">
        <f t="shared" si="71"/>
        <v>92454224.3541141</v>
      </c>
      <c r="AR43" s="133">
        <f t="shared" si="71"/>
        <v>106725657.63713293</v>
      </c>
    </row>
    <row r="44" spans="2:44">
      <c r="B44" s="623" t="s">
        <v>736</v>
      </c>
      <c r="C44" s="123">
        <f>C43/C36</f>
        <v>2.322966422857459E-2</v>
      </c>
      <c r="D44" s="114"/>
      <c r="E44" s="123">
        <f>E43/E36</f>
        <v>2.3406310290072892E-2</v>
      </c>
      <c r="G44" s="116"/>
      <c r="H44" s="116"/>
      <c r="I44" s="131">
        <f>E44</f>
        <v>2.3406310290072892E-2</v>
      </c>
      <c r="R44" s="528"/>
      <c r="S44" s="126" t="s">
        <v>290</v>
      </c>
      <c r="T44" s="125">
        <f>SUM(T38:T43)</f>
        <v>5100579.8883095318</v>
      </c>
      <c r="U44" s="125">
        <f t="shared" ref="U44:Y44" si="72">SUM(U38:U43)</f>
        <v>12791151.36108184</v>
      </c>
      <c r="V44" s="125">
        <f t="shared" si="72"/>
        <v>24264629.325580984</v>
      </c>
      <c r="W44" s="125">
        <f t="shared" si="72"/>
        <v>44610074.074734904</v>
      </c>
      <c r="X44" s="125">
        <f t="shared" si="72"/>
        <v>77254127.201628566</v>
      </c>
      <c r="Y44" s="125">
        <f t="shared" si="72"/>
        <v>111430730.43316682</v>
      </c>
      <c r="Z44" s="125">
        <f t="shared" ref="Z44:AD44" si="73">SUM(Z38:Z43)</f>
        <v>150081540.72682843</v>
      </c>
      <c r="AA44" s="125">
        <f t="shared" si="73"/>
        <v>192506063.24031141</v>
      </c>
      <c r="AB44" s="125">
        <f t="shared" si="73"/>
        <v>237544472.87949067</v>
      </c>
      <c r="AC44" s="125">
        <f t="shared" si="73"/>
        <v>285184499.46945626</v>
      </c>
      <c r="AD44" s="125">
        <f t="shared" si="73"/>
        <v>335426143.01020813</v>
      </c>
      <c r="AE44" s="125"/>
      <c r="AF44" s="528"/>
      <c r="AR44" s="230"/>
    </row>
    <row r="45" spans="2:44">
      <c r="B45" s="623"/>
      <c r="C45" s="116"/>
      <c r="D45" s="116"/>
      <c r="E45" s="116"/>
      <c r="G45" s="116"/>
      <c r="H45" s="116"/>
      <c r="I45" s="128"/>
      <c r="R45" s="528"/>
      <c r="AF45" s="528"/>
      <c r="AR45" s="230"/>
    </row>
    <row r="46" spans="2:44">
      <c r="B46" s="528" t="s">
        <v>2</v>
      </c>
      <c r="C46" s="115">
        <v>128377</v>
      </c>
      <c r="D46" s="123"/>
      <c r="E46" s="115">
        <v>138501</v>
      </c>
      <c r="I46" s="230"/>
      <c r="R46" s="528"/>
      <c r="S46" s="217" t="str">
        <f>S38</f>
        <v>Residential</v>
      </c>
      <c r="T46" s="218">
        <f>SUMPRODUCT(T$4:T$17,$S$59:$S$72)</f>
        <v>203643.04313645163</v>
      </c>
      <c r="U46" s="218">
        <f t="shared" ref="U46:AD46" si="74">SUMPRODUCT(U$4:U$17,$S$59:$S$72)</f>
        <v>215213.67058738638</v>
      </c>
      <c r="V46" s="218">
        <f t="shared" si="74"/>
        <v>584771.68865251017</v>
      </c>
      <c r="W46" s="218">
        <f t="shared" si="74"/>
        <v>4852372.8366813445</v>
      </c>
      <c r="X46" s="218">
        <f t="shared" si="74"/>
        <v>7472153.0324978782</v>
      </c>
      <c r="Y46" s="218">
        <f t="shared" si="74"/>
        <v>8098219.7810236001</v>
      </c>
      <c r="Z46" s="218">
        <f t="shared" si="74"/>
        <v>8908379.2602398135</v>
      </c>
      <c r="AA46" s="218">
        <f t="shared" si="74"/>
        <v>9595810.2523290943</v>
      </c>
      <c r="AB46" s="218">
        <f t="shared" si="74"/>
        <v>10313923.366200062</v>
      </c>
      <c r="AC46" s="218">
        <f t="shared" si="74"/>
        <v>11032036.480071029</v>
      </c>
      <c r="AD46" s="218">
        <f t="shared" si="74"/>
        <v>11750149.593941996</v>
      </c>
      <c r="AE46" s="218"/>
      <c r="AF46" s="528"/>
      <c r="AG46" s="217" t="str">
        <f>AG38</f>
        <v>Residential</v>
      </c>
      <c r="AH46" s="218">
        <f>SUMPRODUCT(AH$4:AH$17,$AG$59:$AG$72)</f>
        <v>85687.132301298756</v>
      </c>
      <c r="AI46" s="218">
        <f t="shared" ref="AI46:AR46" si="75">SUMPRODUCT(AI$4:AI$17,$AG$59:$AG$72)</f>
        <v>90555.719363872558</v>
      </c>
      <c r="AJ46" s="218">
        <f t="shared" si="75"/>
        <v>232492.61029038863</v>
      </c>
      <c r="AK46" s="218">
        <f t="shared" si="75"/>
        <v>1897526.6656814914</v>
      </c>
      <c r="AL46" s="218">
        <f t="shared" si="75"/>
        <v>2879263.4437304181</v>
      </c>
      <c r="AM46" s="218">
        <f t="shared" si="75"/>
        <v>3121173.45696068</v>
      </c>
      <c r="AN46" s="218">
        <f t="shared" si="75"/>
        <v>3442641.5876810364</v>
      </c>
      <c r="AO46" s="218">
        <f t="shared" si="75"/>
        <v>3711070.9734080224</v>
      </c>
      <c r="AP46" s="218">
        <f t="shared" si="75"/>
        <v>3711070.9734080224</v>
      </c>
      <c r="AQ46" s="218">
        <f t="shared" si="75"/>
        <v>3711070.9734080224</v>
      </c>
      <c r="AR46" s="225">
        <f t="shared" si="75"/>
        <v>3711070.9734080224</v>
      </c>
    </row>
    <row r="47" spans="2:44">
      <c r="B47" s="528" t="s">
        <v>737</v>
      </c>
      <c r="C47" s="123">
        <f>C46/C36</f>
        <v>9.5458272130693588E-3</v>
      </c>
      <c r="D47" s="114"/>
      <c r="E47" s="123">
        <f>E46/E36</f>
        <v>9.7371741251475862E-3</v>
      </c>
      <c r="I47" s="131">
        <f>E47</f>
        <v>9.7371741251475862E-3</v>
      </c>
      <c r="R47" s="528"/>
      <c r="S47" s="217" t="s">
        <v>13</v>
      </c>
      <c r="T47" s="218">
        <f>SUMPRODUCT(T$4:T$17,$T$59:$T$72)</f>
        <v>2332.4874161896951</v>
      </c>
      <c r="U47" s="218">
        <f t="shared" ref="U47:AD47" si="76">SUMPRODUCT(U$4:U$17,$T$59:$T$72)</f>
        <v>2465.0151102913819</v>
      </c>
      <c r="V47" s="218">
        <f t="shared" si="76"/>
        <v>6695.8526980269753</v>
      </c>
      <c r="W47" s="218">
        <f t="shared" si="76"/>
        <v>55556.780747419063</v>
      </c>
      <c r="X47" s="218">
        <f t="shared" si="76"/>
        <v>85552.243517701703</v>
      </c>
      <c r="Y47" s="218">
        <f t="shared" si="76"/>
        <v>92720.466398254066</v>
      </c>
      <c r="Z47" s="218">
        <f t="shared" si="76"/>
        <v>101996.99907518821</v>
      </c>
      <c r="AA47" s="218">
        <f t="shared" si="76"/>
        <v>109867.99188786857</v>
      </c>
      <c r="AB47" s="218">
        <f t="shared" si="76"/>
        <v>118090.36966661182</v>
      </c>
      <c r="AC47" s="218">
        <f t="shared" si="76"/>
        <v>126312.74744535505</v>
      </c>
      <c r="AD47" s="218">
        <f t="shared" si="76"/>
        <v>134535.12522409833</v>
      </c>
      <c r="AE47" s="218"/>
      <c r="AF47" s="528"/>
      <c r="AG47" s="217" t="str">
        <f>AG39</f>
        <v>GS &lt; 50</v>
      </c>
      <c r="AH47" s="218">
        <f>SUMPRODUCT(AH$4:AH$17,$AH$59:$AH$72)</f>
        <v>371390.93234665383</v>
      </c>
      <c r="AI47" s="218">
        <f t="shared" ref="AI47:AR47" si="77">SUMPRODUCT(AI$4:AI$17,$AH$59:$AH$72)</f>
        <v>494436.84376429959</v>
      </c>
      <c r="AJ47" s="218">
        <f t="shared" si="77"/>
        <v>185961.99068767892</v>
      </c>
      <c r="AK47" s="218">
        <f t="shared" si="77"/>
        <v>994529.04044909589</v>
      </c>
      <c r="AL47" s="218">
        <f t="shared" si="77"/>
        <v>920594.24152098002</v>
      </c>
      <c r="AM47" s="218">
        <f t="shared" si="77"/>
        <v>1022439.5294756602</v>
      </c>
      <c r="AN47" s="218">
        <f t="shared" si="77"/>
        <v>1046002.2337568032</v>
      </c>
      <c r="AO47" s="218">
        <f t="shared" si="77"/>
        <v>1101015.3016012113</v>
      </c>
      <c r="AP47" s="218">
        <f t="shared" si="77"/>
        <v>1101015.3016012113</v>
      </c>
      <c r="AQ47" s="218">
        <f t="shared" si="77"/>
        <v>1101015.3016012113</v>
      </c>
      <c r="AR47" s="225">
        <f t="shared" si="77"/>
        <v>1101015.3016012113</v>
      </c>
    </row>
    <row r="48" spans="2:44">
      <c r="B48" s="623" t="s">
        <v>718</v>
      </c>
      <c r="C48" s="116" t="s">
        <v>738</v>
      </c>
      <c r="D48" s="116"/>
      <c r="E48" s="116"/>
      <c r="F48" s="116"/>
      <c r="G48" s="116"/>
      <c r="H48" s="116"/>
      <c r="I48" s="128"/>
      <c r="R48" s="528"/>
      <c r="S48" s="217" t="str">
        <f>S40</f>
        <v>GS &lt; 50</v>
      </c>
      <c r="T48" s="218">
        <f>SUMPRODUCT(T$4:T$17,$U$59:$U$72)</f>
        <v>1537707.8779123398</v>
      </c>
      <c r="U48" s="218">
        <f t="shared" ref="U48:AD48" si="78">SUMPRODUCT(U$4:U$17,$U$59:$U$72)</f>
        <v>2117800.3927823114</v>
      </c>
      <c r="V48" s="218">
        <f t="shared" si="78"/>
        <v>727235.19458178245</v>
      </c>
      <c r="W48" s="218">
        <f t="shared" si="78"/>
        <v>3812773.6723592877</v>
      </c>
      <c r="X48" s="218">
        <f t="shared" si="78"/>
        <v>3332745.6900698356</v>
      </c>
      <c r="Y48" s="218">
        <f t="shared" si="78"/>
        <v>3722157.4391990704</v>
      </c>
      <c r="Z48" s="218">
        <f t="shared" si="78"/>
        <v>3763104.5327369096</v>
      </c>
      <c r="AA48" s="218">
        <f t="shared" si="78"/>
        <v>3944908.4751497824</v>
      </c>
      <c r="AB48" s="218">
        <f t="shared" si="78"/>
        <v>4114361.4357236978</v>
      </c>
      <c r="AC48" s="218">
        <f t="shared" si="78"/>
        <v>4283814.3962976122</v>
      </c>
      <c r="AD48" s="218">
        <f t="shared" si="78"/>
        <v>4453267.3568715286</v>
      </c>
      <c r="AE48" s="218"/>
      <c r="AF48" s="528" t="s">
        <v>703</v>
      </c>
      <c r="AG48" s="217" t="str">
        <f>AG40</f>
        <v>GS 50-2,999</v>
      </c>
      <c r="AH48" s="218">
        <f>SUMPRODUCT(AH$4:AH$17,$AI$59:$AI$72)</f>
        <v>2520743.9617186156</v>
      </c>
      <c r="AI48" s="218">
        <f t="shared" ref="AI48:AR48" si="79">SUMPRODUCT(AI$4:AI$17,$AI$59:$AI$72)</f>
        <v>3859215.446748002</v>
      </c>
      <c r="AJ48" s="218">
        <f t="shared" si="79"/>
        <v>1638187.0525795403</v>
      </c>
      <c r="AK48" s="218">
        <f t="shared" si="79"/>
        <v>6629537.9033603594</v>
      </c>
      <c r="AL48" s="218">
        <f t="shared" si="79"/>
        <v>5650874.2327412823</v>
      </c>
      <c r="AM48" s="218">
        <f t="shared" si="79"/>
        <v>6446945.598865984</v>
      </c>
      <c r="AN48" s="218">
        <f t="shared" si="79"/>
        <v>7290531.6476264531</v>
      </c>
      <c r="AO48" s="218">
        <f t="shared" si="79"/>
        <v>7701949.1142318752</v>
      </c>
      <c r="AP48" s="218">
        <f t="shared" si="79"/>
        <v>7701949.1142318752</v>
      </c>
      <c r="AQ48" s="218">
        <f t="shared" si="79"/>
        <v>7701949.1142318752</v>
      </c>
      <c r="AR48" s="225">
        <f t="shared" si="79"/>
        <v>7701949.1142318752</v>
      </c>
    </row>
    <row r="49" spans="2:44">
      <c r="B49" s="623"/>
      <c r="C49" s="116" t="s">
        <v>739</v>
      </c>
      <c r="D49" s="116"/>
      <c r="E49" s="116"/>
      <c r="F49" s="116"/>
      <c r="G49" s="116"/>
      <c r="H49" s="116"/>
      <c r="I49" s="128"/>
      <c r="R49" s="528" t="s">
        <v>703</v>
      </c>
      <c r="S49" s="217" t="str">
        <f>S41</f>
        <v>GS 50-2,999</v>
      </c>
      <c r="T49" s="218">
        <f>SUMPRODUCT(T$4:T$17,$V$59:$V$72)</f>
        <v>6700316.4907904388</v>
      </c>
      <c r="U49" s="218">
        <f t="shared" ref="U49:AD49" si="80">SUMPRODUCT(U$4:U$17,$V$59:$V$72)</f>
        <v>10206348.043609893</v>
      </c>
      <c r="V49" s="218">
        <f t="shared" si="80"/>
        <v>4043375.2881159363</v>
      </c>
      <c r="W49" s="218">
        <f t="shared" si="80"/>
        <v>17025292.649991989</v>
      </c>
      <c r="X49" s="218">
        <f t="shared" si="80"/>
        <v>14626666.284518229</v>
      </c>
      <c r="Y49" s="218">
        <f t="shared" si="80"/>
        <v>16640596.121040165</v>
      </c>
      <c r="Z49" s="218">
        <f t="shared" si="80"/>
        <v>18314247.27342445</v>
      </c>
      <c r="AA49" s="218">
        <f t="shared" si="80"/>
        <v>19290310.718890689</v>
      </c>
      <c r="AB49" s="218">
        <f t="shared" si="80"/>
        <v>20219134.869758487</v>
      </c>
      <c r="AC49" s="218">
        <f t="shared" si="80"/>
        <v>21147959.02062628</v>
      </c>
      <c r="AD49" s="218">
        <f t="shared" si="80"/>
        <v>22076783.171494082</v>
      </c>
      <c r="AE49" s="218"/>
      <c r="AF49" s="528"/>
      <c r="AG49" s="217" t="str">
        <f>AG41</f>
        <v>GS 3,000-4,999</v>
      </c>
      <c r="AH49" s="218">
        <f>SUMPRODUCT(AH$4:AH$17,$AJ$59:$AJ$72)</f>
        <v>567760.22959639807</v>
      </c>
      <c r="AI49" s="218">
        <f t="shared" ref="AI49:AR49" si="81">SUMPRODUCT(AI$4:AI$17,$AJ$59:$AJ$72)</f>
        <v>869856.40968746925</v>
      </c>
      <c r="AJ49" s="218">
        <f t="shared" si="81"/>
        <v>373341.1496475343</v>
      </c>
      <c r="AK49" s="218">
        <f t="shared" si="81"/>
        <v>1504742.7861020677</v>
      </c>
      <c r="AL49" s="218">
        <f t="shared" si="81"/>
        <v>1284087.1417391479</v>
      </c>
      <c r="AM49" s="218">
        <f t="shared" si="81"/>
        <v>1465196.3619519942</v>
      </c>
      <c r="AN49" s="218">
        <f t="shared" si="81"/>
        <v>1662716.9241733048</v>
      </c>
      <c r="AO49" s="218">
        <f t="shared" si="81"/>
        <v>1757397.8937777206</v>
      </c>
      <c r="AP49" s="218">
        <f t="shared" si="81"/>
        <v>1757397.8937777206</v>
      </c>
      <c r="AQ49" s="218">
        <f t="shared" si="81"/>
        <v>1757397.8937777206</v>
      </c>
      <c r="AR49" s="225">
        <f t="shared" si="81"/>
        <v>1757397.8937777206</v>
      </c>
    </row>
    <row r="50" spans="2:44">
      <c r="B50" s="629"/>
      <c r="C50" s="120"/>
      <c r="D50" s="120"/>
      <c r="E50" s="120"/>
      <c r="F50" s="120"/>
      <c r="G50" s="120"/>
      <c r="H50" s="120"/>
      <c r="I50" s="630"/>
      <c r="R50" s="528"/>
      <c r="S50" s="217" t="str">
        <f>S42</f>
        <v>GS 3,000-4,999</v>
      </c>
      <c r="T50" s="218">
        <f>SUMPRODUCT(T$4:T$17,$W$59:$W$72)</f>
        <v>334682.10763460404</v>
      </c>
      <c r="U50" s="218">
        <f t="shared" ref="U50:AD50" si="82">SUMPRODUCT(U$4:U$17,$W$59:$W$72)</f>
        <v>516567.65384260548</v>
      </c>
      <c r="V50" s="218">
        <f t="shared" si="82"/>
        <v>264041.20480817929</v>
      </c>
      <c r="W50" s="218">
        <f t="shared" si="82"/>
        <v>1126483.9247082477</v>
      </c>
      <c r="X50" s="218">
        <f t="shared" si="82"/>
        <v>1082122.3571538716</v>
      </c>
      <c r="Y50" s="218">
        <f t="shared" si="82"/>
        <v>1220974.2090194793</v>
      </c>
      <c r="Z50" s="218">
        <f t="shared" si="82"/>
        <v>1406385.7713180725</v>
      </c>
      <c r="AA50" s="218">
        <f t="shared" si="82"/>
        <v>1496274.5101741732</v>
      </c>
      <c r="AB50" s="218">
        <f t="shared" si="82"/>
        <v>1584790.3425517669</v>
      </c>
      <c r="AC50" s="218">
        <f t="shared" si="82"/>
        <v>1673306.1749293609</v>
      </c>
      <c r="AD50" s="218">
        <f t="shared" si="82"/>
        <v>1761822.0073069546</v>
      </c>
      <c r="AE50" s="218"/>
      <c r="AF50" s="528"/>
      <c r="AG50" s="217" t="str">
        <f>AG42</f>
        <v>Large Use</v>
      </c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25"/>
    </row>
    <row r="51" spans="2:44">
      <c r="R51" s="528"/>
      <c r="S51" s="217" t="str">
        <f>S43</f>
        <v>Large Use</v>
      </c>
      <c r="T51" s="218">
        <f>SUMPRODUCT(T$4:T$17,$X$59:$X$72)</f>
        <v>1422477.769729041</v>
      </c>
      <c r="U51" s="218">
        <f t="shared" ref="U51:AD51" si="83">SUMPRODUCT(U$4:U$17,$X$59:$X$72)</f>
        <v>2322748.1696121274</v>
      </c>
      <c r="V51" s="218">
        <f t="shared" si="83"/>
        <v>1939693.7545972471</v>
      </c>
      <c r="W51" s="218">
        <f t="shared" si="83"/>
        <v>6252596.6503658751</v>
      </c>
      <c r="X51" s="218">
        <f t="shared" si="83"/>
        <v>5563790.131175654</v>
      </c>
      <c r="Y51" s="218">
        <f t="shared" si="83"/>
        <v>6415508.7074627876</v>
      </c>
      <c r="Z51" s="218">
        <f t="shared" si="83"/>
        <v>8617330.0263853911</v>
      </c>
      <c r="AA51" s="218">
        <f t="shared" si="83"/>
        <v>9300429.2153545115</v>
      </c>
      <c r="AB51" s="218">
        <f t="shared" si="83"/>
        <v>9988917.7306717951</v>
      </c>
      <c r="AC51" s="218">
        <f t="shared" si="83"/>
        <v>10677406.245989081</v>
      </c>
      <c r="AD51" s="218">
        <f t="shared" si="83"/>
        <v>11365894.761306366</v>
      </c>
      <c r="AE51" s="218"/>
      <c r="AF51" s="464"/>
      <c r="AG51" s="122" t="s">
        <v>290</v>
      </c>
      <c r="AH51" s="121">
        <f t="shared" ref="AH51:AM51" si="84">SUM(AH46:AH50)</f>
        <v>3545582.255962966</v>
      </c>
      <c r="AI51" s="121">
        <f t="shared" si="84"/>
        <v>5314064.4195636436</v>
      </c>
      <c r="AJ51" s="121">
        <f t="shared" si="84"/>
        <v>2429982.8032051423</v>
      </c>
      <c r="AK51" s="121">
        <f t="shared" si="84"/>
        <v>11026336.395593014</v>
      </c>
      <c r="AL51" s="121">
        <f t="shared" si="84"/>
        <v>10734819.05973183</v>
      </c>
      <c r="AM51" s="121">
        <f t="shared" si="84"/>
        <v>12055754.947254317</v>
      </c>
      <c r="AN51" s="121">
        <f t="shared" ref="AN51:AR51" si="85">SUM(AN46:AN50)</f>
        <v>13441892.393237596</v>
      </c>
      <c r="AO51" s="121">
        <f t="shared" si="85"/>
        <v>14271433.283018829</v>
      </c>
      <c r="AP51" s="121">
        <f t="shared" si="85"/>
        <v>14271433.283018829</v>
      </c>
      <c r="AQ51" s="121">
        <f t="shared" si="85"/>
        <v>14271433.283018829</v>
      </c>
      <c r="AR51" s="631">
        <f t="shared" si="85"/>
        <v>14271433.283018829</v>
      </c>
    </row>
    <row r="52" spans="2:44">
      <c r="R52" s="464"/>
      <c r="S52" s="122" t="s">
        <v>290</v>
      </c>
      <c r="T52" s="121">
        <f t="shared" ref="T52:Y52" si="86">SUM(T46:T51)</f>
        <v>10201159.776619064</v>
      </c>
      <c r="U52" s="121">
        <f t="shared" si="86"/>
        <v>15381142.945544615</v>
      </c>
      <c r="V52" s="121">
        <f t="shared" si="86"/>
        <v>7565812.9834536817</v>
      </c>
      <c r="W52" s="121">
        <f t="shared" si="86"/>
        <v>33125076.514854163</v>
      </c>
      <c r="X52" s="121">
        <f t="shared" si="86"/>
        <v>32163029.738933168</v>
      </c>
      <c r="Y52" s="121">
        <f t="shared" si="86"/>
        <v>36190176.724143356</v>
      </c>
      <c r="Z52" s="121">
        <f t="shared" ref="Z52:AD52" si="87">SUM(Z46:Z51)</f>
        <v>41111443.863179825</v>
      </c>
      <c r="AA52" s="121">
        <f t="shared" si="87"/>
        <v>43737601.163786113</v>
      </c>
      <c r="AB52" s="121">
        <f t="shared" si="87"/>
        <v>46339218.114572421</v>
      </c>
      <c r="AC52" s="121">
        <f t="shared" si="87"/>
        <v>48940835.065358713</v>
      </c>
      <c r="AD52" s="121">
        <f t="shared" si="87"/>
        <v>51542452.016145028</v>
      </c>
      <c r="AE52" s="125"/>
    </row>
    <row r="54" spans="2:44">
      <c r="B54" s="701"/>
      <c r="C54" s="707" t="s">
        <v>685</v>
      </c>
      <c r="D54" s="707"/>
      <c r="E54" s="707"/>
      <c r="F54" s="707"/>
      <c r="G54" s="704"/>
      <c r="H54" s="704"/>
      <c r="I54" s="704"/>
      <c r="J54" s="708"/>
    </row>
    <row r="55" spans="2:44">
      <c r="B55" s="623"/>
      <c r="C55" s="142">
        <v>2021</v>
      </c>
      <c r="D55" s="142">
        <v>2023</v>
      </c>
      <c r="E55" s="142">
        <v>2024</v>
      </c>
      <c r="F55" s="142">
        <v>2025</v>
      </c>
      <c r="G55" s="142">
        <v>2026</v>
      </c>
      <c r="H55" s="142">
        <v>2027</v>
      </c>
      <c r="I55" s="142"/>
      <c r="J55" s="128" t="s">
        <v>740</v>
      </c>
      <c r="K55" s="116"/>
      <c r="L55" s="116"/>
      <c r="M55" s="116"/>
    </row>
    <row r="56" spans="2:44">
      <c r="B56" s="623" t="s">
        <v>741</v>
      </c>
      <c r="C56" s="119">
        <v>0</v>
      </c>
      <c r="D56" s="119">
        <v>0</v>
      </c>
      <c r="E56" s="119">
        <v>0</v>
      </c>
      <c r="F56" s="119">
        <v>0.5</v>
      </c>
      <c r="G56" s="119">
        <v>1</v>
      </c>
      <c r="H56" s="119">
        <v>0.5</v>
      </c>
      <c r="I56" s="119"/>
      <c r="J56" s="230"/>
      <c r="R56" s="664"/>
      <c r="S56" s="709" t="s">
        <v>12</v>
      </c>
      <c r="T56" s="704" t="str">
        <f>S39</f>
        <v>Residential Seasonal</v>
      </c>
      <c r="U56" s="709" t="s">
        <v>742</v>
      </c>
      <c r="V56" s="709" t="str">
        <f>S41</f>
        <v>GS 50-2,999</v>
      </c>
      <c r="W56" s="709" t="str">
        <f>S42</f>
        <v>GS 3,000-4,999</v>
      </c>
      <c r="X56" s="709" t="str">
        <f>S43</f>
        <v>Large Use</v>
      </c>
      <c r="Y56" s="704"/>
      <c r="Z56" s="708"/>
      <c r="AF56" s="664"/>
      <c r="AG56" s="709" t="s">
        <v>12</v>
      </c>
      <c r="AH56" s="709" t="s">
        <v>742</v>
      </c>
      <c r="AI56" s="709" t="str">
        <f>AG40</f>
        <v>GS 50-2,999</v>
      </c>
      <c r="AJ56" s="709" t="str">
        <f>AG41</f>
        <v>GS 3,000-4,999</v>
      </c>
      <c r="AK56" s="709" t="str">
        <f>AG42</f>
        <v>Large Use</v>
      </c>
      <c r="AL56" s="704"/>
      <c r="AM56" s="708"/>
    </row>
    <row r="57" spans="2:44">
      <c r="B57" s="623"/>
      <c r="C57" s="224"/>
      <c r="D57" s="224"/>
      <c r="E57" s="224"/>
      <c r="F57" s="224"/>
      <c r="G57" s="224"/>
      <c r="H57" s="224"/>
      <c r="I57" s="224"/>
      <c r="J57" s="230"/>
      <c r="R57" s="528"/>
      <c r="Z57" s="230"/>
      <c r="AF57" s="528"/>
      <c r="AM57" s="230"/>
    </row>
    <row r="58" spans="2:44">
      <c r="B58" s="623" t="str">
        <f>B4</f>
        <v>Retrofit</v>
      </c>
      <c r="C58" s="118">
        <f>C$56*T4</f>
        <v>0</v>
      </c>
      <c r="D58" s="118">
        <f t="shared" ref="D58:H62" si="88">D$56*V4</f>
        <v>0</v>
      </c>
      <c r="E58" s="118">
        <f t="shared" si="88"/>
        <v>0</v>
      </c>
      <c r="F58" s="118">
        <f t="shared" si="88"/>
        <v>5024595.060783321</v>
      </c>
      <c r="G58" s="118">
        <f t="shared" si="88"/>
        <v>11694012.719939657</v>
      </c>
      <c r="H58" s="118">
        <f t="shared" si="88"/>
        <v>5362572.3070243523</v>
      </c>
      <c r="I58" s="118"/>
      <c r="J58" s="225">
        <f>SUM(C58:I58)</f>
        <v>22081180.087747328</v>
      </c>
      <c r="K58" s="218"/>
      <c r="L58" s="218"/>
      <c r="M58" s="218"/>
      <c r="R58" s="528"/>
      <c r="Z58" s="230"/>
      <c r="AF58" s="528"/>
      <c r="AM58" s="230"/>
    </row>
    <row r="59" spans="2:44">
      <c r="B59" s="632" t="s">
        <v>507</v>
      </c>
      <c r="C59" s="117">
        <f>C$56*T5</f>
        <v>0</v>
      </c>
      <c r="D59" s="117">
        <f t="shared" si="88"/>
        <v>0</v>
      </c>
      <c r="E59" s="117">
        <f t="shared" si="88"/>
        <v>0</v>
      </c>
      <c r="F59" s="117">
        <f t="shared" si="88"/>
        <v>134379.6327408576</v>
      </c>
      <c r="G59" s="117">
        <f t="shared" si="88"/>
        <v>287956.35587326629</v>
      </c>
      <c r="H59" s="117">
        <f t="shared" si="88"/>
        <v>153576.72313240869</v>
      </c>
      <c r="I59" s="117"/>
      <c r="J59" s="225">
        <f t="shared" ref="J59:J71" si="89">SUM(C59:I59)</f>
        <v>575912.71174653259</v>
      </c>
      <c r="K59" s="218"/>
      <c r="L59" s="218"/>
      <c r="M59" s="218"/>
      <c r="P59" s="217" t="str">
        <f>P77</f>
        <v>Retrofit</v>
      </c>
      <c r="R59" s="528"/>
      <c r="U59" s="223">
        <v>0.13529449472764754</v>
      </c>
      <c r="V59" s="223">
        <v>0.69781901914342814</v>
      </c>
      <c r="W59" s="223">
        <v>3.4186694937695106E-2</v>
      </c>
      <c r="X59" s="223">
        <v>0.13269979119122907</v>
      </c>
      <c r="Z59" s="295">
        <f>SUM(S59:X59)</f>
        <v>0.99999999999999989</v>
      </c>
      <c r="AF59" s="528"/>
      <c r="AH59" s="223">
        <v>8.7677338366828769E-2</v>
      </c>
      <c r="AI59" s="223">
        <f>1-AH59-AJ59</f>
        <v>0.744754717719877</v>
      </c>
      <c r="AJ59" s="223">
        <v>0.16756794391329424</v>
      </c>
      <c r="AK59" s="223"/>
      <c r="AM59" s="295">
        <f>SUM(AG59:AK59)</f>
        <v>1</v>
      </c>
    </row>
    <row r="60" spans="2:44">
      <c r="B60" s="623" t="s">
        <v>701</v>
      </c>
      <c r="C60" s="118">
        <f>C$56*T6</f>
        <v>0</v>
      </c>
      <c r="D60" s="118">
        <f t="shared" si="88"/>
        <v>0</v>
      </c>
      <c r="E60" s="118">
        <f t="shared" si="88"/>
        <v>0</v>
      </c>
      <c r="F60" s="118">
        <f t="shared" si="88"/>
        <v>0</v>
      </c>
      <c r="G60" s="118">
        <f t="shared" si="88"/>
        <v>0</v>
      </c>
      <c r="H60" s="118">
        <f t="shared" si="88"/>
        <v>0</v>
      </c>
      <c r="I60" s="118"/>
      <c r="J60" s="225">
        <f t="shared" si="89"/>
        <v>0</v>
      </c>
      <c r="K60" s="218"/>
      <c r="L60" s="218"/>
      <c r="M60" s="218"/>
      <c r="P60" s="217" t="str">
        <f>P78</f>
        <v>Small Business</v>
      </c>
      <c r="R60" s="528"/>
      <c r="U60" s="223">
        <v>1</v>
      </c>
      <c r="V60" s="223"/>
      <c r="W60" s="223"/>
      <c r="X60" s="223"/>
      <c r="Z60" s="295">
        <f t="shared" ref="Z60:Z71" si="90">SUM(S60:X60)</f>
        <v>1</v>
      </c>
      <c r="AF60" s="528"/>
      <c r="AH60" s="223">
        <v>1</v>
      </c>
      <c r="AI60" s="223"/>
      <c r="AJ60" s="223"/>
      <c r="AK60" s="223"/>
      <c r="AM60" s="295">
        <f t="shared" ref="AM60:AM71" si="91">SUM(AG60:AK60)</f>
        <v>1</v>
      </c>
    </row>
    <row r="61" spans="2:44">
      <c r="B61" s="632" t="s">
        <v>702</v>
      </c>
      <c r="C61" s="117">
        <f>C$56*T7</f>
        <v>0</v>
      </c>
      <c r="D61" s="117">
        <f t="shared" si="88"/>
        <v>0</v>
      </c>
      <c r="E61" s="117">
        <f t="shared" si="88"/>
        <v>0</v>
      </c>
      <c r="F61" s="117">
        <f t="shared" si="88"/>
        <v>752828.95268860157</v>
      </c>
      <c r="G61" s="117">
        <f t="shared" si="88"/>
        <v>1708342.6234087497</v>
      </c>
      <c r="H61" s="117">
        <f t="shared" si="88"/>
        <v>926558.71100135578</v>
      </c>
      <c r="I61" s="117"/>
      <c r="J61" s="225">
        <f t="shared" si="89"/>
        <v>3387730.2870987072</v>
      </c>
      <c r="K61" s="218"/>
      <c r="L61" s="218"/>
      <c r="M61" s="218"/>
      <c r="P61" s="217" t="str">
        <f>P79</f>
        <v xml:space="preserve">Energy Performance </v>
      </c>
      <c r="R61" s="528"/>
      <c r="U61" s="223">
        <v>0.11688311688311691</v>
      </c>
      <c r="V61" s="223">
        <v>0.39080983572972922</v>
      </c>
      <c r="W61" s="223">
        <v>3.5714285714285726E-2</v>
      </c>
      <c r="X61" s="223">
        <v>0.45659276167286822</v>
      </c>
      <c r="Z61" s="295">
        <f t="shared" si="90"/>
        <v>1</v>
      </c>
      <c r="AF61" s="528"/>
      <c r="AH61" s="223">
        <f>U61</f>
        <v>0.11688311688311691</v>
      </c>
      <c r="AI61" s="223">
        <f>1-AH61-AJ61</f>
        <v>0.7162505836574653</v>
      </c>
      <c r="AJ61" s="223">
        <f>(1-AH61)*SUM('Monthly Data'!BU2:BU97)/SUM('Monthly Data'!BO2:BO97,'Monthly Data'!BU2:BU97)</f>
        <v>0.16686629945941781</v>
      </c>
      <c r="AK61" s="223"/>
      <c r="AM61" s="295">
        <f t="shared" si="91"/>
        <v>1</v>
      </c>
    </row>
    <row r="62" spans="2:44">
      <c r="B62" s="623" t="s">
        <v>704</v>
      </c>
      <c r="C62" s="118">
        <f>C$56*T8</f>
        <v>0</v>
      </c>
      <c r="D62" s="118">
        <f t="shared" si="88"/>
        <v>0</v>
      </c>
      <c r="E62" s="118">
        <f t="shared" si="88"/>
        <v>0</v>
      </c>
      <c r="F62" s="118">
        <f t="shared" si="88"/>
        <v>2011388.4211872497</v>
      </c>
      <c r="G62" s="118">
        <f t="shared" si="88"/>
        <v>4839430.7878189469</v>
      </c>
      <c r="H62" s="118">
        <f t="shared" si="88"/>
        <v>2949028.1363271708</v>
      </c>
      <c r="I62" s="118"/>
      <c r="J62" s="225">
        <f t="shared" si="89"/>
        <v>9799847.3453333676</v>
      </c>
      <c r="K62" s="218"/>
      <c r="L62" s="218"/>
      <c r="M62" s="218"/>
      <c r="P62" s="217" t="str">
        <f t="shared" ref="P62:P72" si="92">P80</f>
        <v>Energy Management</v>
      </c>
      <c r="R62" s="528"/>
      <c r="U62" s="223">
        <f>U61</f>
        <v>0.11688311688311691</v>
      </c>
      <c r="V62" s="223">
        <f t="shared" ref="V62:X62" si="93">V61</f>
        <v>0.39080983572972922</v>
      </c>
      <c r="W62" s="223">
        <f t="shared" si="93"/>
        <v>3.5714285714285726E-2</v>
      </c>
      <c r="X62" s="223">
        <f t="shared" si="93"/>
        <v>0.45659276167286822</v>
      </c>
      <c r="Z62" s="295">
        <f t="shared" si="90"/>
        <v>1</v>
      </c>
      <c r="AF62" s="528"/>
      <c r="AH62" s="223">
        <f>AH61</f>
        <v>0.11688311688311691</v>
      </c>
      <c r="AI62" s="223">
        <f>1-AH62-AJ62</f>
        <v>0.7162505836574653</v>
      </c>
      <c r="AJ62" s="223">
        <f>AJ61</f>
        <v>0.16686629945941781</v>
      </c>
      <c r="AK62" s="223"/>
      <c r="AM62" s="295">
        <f t="shared" si="91"/>
        <v>1</v>
      </c>
      <c r="AN62" s="217" t="s">
        <v>743</v>
      </c>
    </row>
    <row r="63" spans="2:44">
      <c r="B63" s="623" t="str">
        <f>B9</f>
        <v>New Construction</v>
      </c>
      <c r="C63" s="118">
        <f t="shared" ref="C63:C66" si="94">C$56*T9</f>
        <v>0</v>
      </c>
      <c r="D63" s="118">
        <f t="shared" ref="D63:H63" si="95">D$56*V9</f>
        <v>0</v>
      </c>
      <c r="E63" s="118">
        <f t="shared" si="95"/>
        <v>0</v>
      </c>
      <c r="F63" s="118">
        <f t="shared" si="95"/>
        <v>0</v>
      </c>
      <c r="G63" s="118">
        <f t="shared" si="95"/>
        <v>0</v>
      </c>
      <c r="H63" s="118">
        <f t="shared" si="95"/>
        <v>1534612.8650959956</v>
      </c>
      <c r="I63" s="118"/>
      <c r="J63" s="225">
        <f t="shared" ref="J63:J66" si="96">SUM(C63:I63)</f>
        <v>1534612.8650959956</v>
      </c>
      <c r="K63" s="218"/>
      <c r="L63" s="218"/>
      <c r="M63" s="218"/>
      <c r="P63" s="217" t="str">
        <f t="shared" si="92"/>
        <v>Industrial Energy Efficiency</v>
      </c>
      <c r="R63" s="528"/>
      <c r="U63" s="223"/>
      <c r="V63" s="223">
        <f>V62/SUM($V$62:$X$62)</f>
        <v>0.44253466692925214</v>
      </c>
      <c r="W63" s="223">
        <f>W62/SUM($V$62:$X$62)</f>
        <v>4.0441176470588244E-2</v>
      </c>
      <c r="X63" s="223">
        <f>X62/SUM($V$62:$X$62)</f>
        <v>0.51702415660015955</v>
      </c>
      <c r="Z63" s="295">
        <f t="shared" si="90"/>
        <v>1</v>
      </c>
      <c r="AF63" s="528"/>
      <c r="AH63" s="223"/>
      <c r="AI63" s="223">
        <f>1-AH63-AJ63</f>
        <v>0.81104845502389455</v>
      </c>
      <c r="AJ63" s="223">
        <f>AJ62/SUM($AI$62:$AJ$62)</f>
        <v>0.18895154497610547</v>
      </c>
      <c r="AK63" s="223"/>
      <c r="AM63" s="295">
        <f t="shared" si="91"/>
        <v>1</v>
      </c>
    </row>
    <row r="64" spans="2:44">
      <c r="B64" s="623" t="str">
        <f t="shared" ref="B64:B66" si="97">B10</f>
        <v>Home Renovation Savings</v>
      </c>
      <c r="C64" s="118">
        <f t="shared" si="94"/>
        <v>0</v>
      </c>
      <c r="D64" s="118">
        <f t="shared" ref="D64:H64" si="98">D$56*V10</f>
        <v>0</v>
      </c>
      <c r="E64" s="118">
        <f t="shared" si="98"/>
        <v>0</v>
      </c>
      <c r="F64" s="118">
        <f t="shared" si="98"/>
        <v>697865.21154450485</v>
      </c>
      <c r="G64" s="118">
        <f t="shared" si="98"/>
        <v>1510134.5561290926</v>
      </c>
      <c r="H64" s="118">
        <f t="shared" si="98"/>
        <v>755067.27806454629</v>
      </c>
      <c r="I64" s="118"/>
      <c r="J64" s="225">
        <f t="shared" si="96"/>
        <v>2963067.0457381438</v>
      </c>
      <c r="K64" s="218"/>
      <c r="L64" s="218"/>
      <c r="M64" s="218"/>
      <c r="P64" s="217" t="str">
        <f t="shared" si="92"/>
        <v>New Construction</v>
      </c>
      <c r="R64" s="528"/>
      <c r="U64" s="223"/>
      <c r="V64" s="223">
        <f>V63</f>
        <v>0.44253466692925214</v>
      </c>
      <c r="W64" s="223">
        <f t="shared" ref="W64:X64" si="99">W63</f>
        <v>4.0441176470588244E-2</v>
      </c>
      <c r="X64" s="223">
        <f t="shared" si="99"/>
        <v>0.51702415660015955</v>
      </c>
      <c r="Z64" s="295">
        <f t="shared" si="90"/>
        <v>1</v>
      </c>
      <c r="AF64" s="528"/>
      <c r="AH64" s="223"/>
      <c r="AI64" s="223">
        <f>AI63</f>
        <v>0.81104845502389455</v>
      </c>
      <c r="AJ64" s="202">
        <f>AJ63</f>
        <v>0.18895154497610547</v>
      </c>
      <c r="AM64" s="295">
        <f t="shared" si="91"/>
        <v>1</v>
      </c>
    </row>
    <row r="65" spans="2:39">
      <c r="B65" s="623" t="str">
        <f t="shared" si="97"/>
        <v>Commercial HVAC DR</v>
      </c>
      <c r="C65" s="118">
        <f t="shared" si="94"/>
        <v>0</v>
      </c>
      <c r="D65" s="118">
        <f t="shared" ref="D65:H65" si="100">D$56*V11</f>
        <v>0</v>
      </c>
      <c r="E65" s="118">
        <f t="shared" si="100"/>
        <v>0</v>
      </c>
      <c r="F65" s="118">
        <f t="shared" si="100"/>
        <v>0</v>
      </c>
      <c r="G65" s="118">
        <f t="shared" si="100"/>
        <v>0</v>
      </c>
      <c r="H65" s="118">
        <f t="shared" si="100"/>
        <v>0</v>
      </c>
      <c r="I65" s="118"/>
      <c r="J65" s="225">
        <f t="shared" si="96"/>
        <v>0</v>
      </c>
      <c r="K65" s="218"/>
      <c r="L65" s="218"/>
      <c r="M65" s="218"/>
      <c r="P65" s="217" t="str">
        <f t="shared" si="92"/>
        <v>Home Renovation Savings</v>
      </c>
      <c r="R65" s="528"/>
      <c r="S65" s="202">
        <f>S71</f>
        <v>0.9886759004337472</v>
      </c>
      <c r="T65" s="202">
        <f>T71</f>
        <v>1.1324099566252009E-2</v>
      </c>
      <c r="Z65" s="295">
        <f t="shared" si="90"/>
        <v>0.99999999999999922</v>
      </c>
      <c r="AF65" s="528"/>
      <c r="AG65" s="222">
        <v>1</v>
      </c>
      <c r="AM65" s="295">
        <f t="shared" si="91"/>
        <v>1</v>
      </c>
    </row>
    <row r="66" spans="2:39">
      <c r="B66" s="623" t="str">
        <f t="shared" si="97"/>
        <v>Peak Perks</v>
      </c>
      <c r="C66" s="118">
        <f t="shared" si="94"/>
        <v>0</v>
      </c>
      <c r="D66" s="118">
        <f t="shared" ref="D66:H66" si="101">D$56*V12</f>
        <v>0</v>
      </c>
      <c r="E66" s="118">
        <f t="shared" si="101"/>
        <v>0</v>
      </c>
      <c r="F66" s="118">
        <f t="shared" si="101"/>
        <v>0</v>
      </c>
      <c r="G66" s="118">
        <f t="shared" si="101"/>
        <v>0</v>
      </c>
      <c r="H66" s="118">
        <f t="shared" si="101"/>
        <v>0</v>
      </c>
      <c r="I66" s="118"/>
      <c r="J66" s="225">
        <f t="shared" si="96"/>
        <v>0</v>
      </c>
      <c r="K66" s="218"/>
      <c r="L66" s="218"/>
      <c r="M66" s="218"/>
      <c r="P66" s="217" t="str">
        <f t="shared" si="92"/>
        <v>Commercial HVAC DR</v>
      </c>
      <c r="R66" s="528"/>
      <c r="Z66" s="295">
        <f t="shared" si="90"/>
        <v>0</v>
      </c>
      <c r="AF66" s="528"/>
      <c r="AM66" s="295">
        <f t="shared" si="91"/>
        <v>0</v>
      </c>
    </row>
    <row r="67" spans="2:39">
      <c r="B67" s="632" t="s">
        <v>710</v>
      </c>
      <c r="C67" s="117">
        <f>C$56*T13</f>
        <v>0</v>
      </c>
      <c r="D67" s="117">
        <f t="shared" ref="D67:H71" si="102">D$56*V13</f>
        <v>0</v>
      </c>
      <c r="E67" s="117">
        <f t="shared" si="102"/>
        <v>0</v>
      </c>
      <c r="F67" s="117">
        <f t="shared" si="102"/>
        <v>0</v>
      </c>
      <c r="G67" s="117">
        <f t="shared" si="102"/>
        <v>0</v>
      </c>
      <c r="H67" s="117">
        <f t="shared" si="102"/>
        <v>0</v>
      </c>
      <c r="I67" s="117"/>
      <c r="J67" s="225">
        <f t="shared" si="89"/>
        <v>0</v>
      </c>
      <c r="K67" s="218"/>
      <c r="L67" s="218"/>
      <c r="M67" s="218"/>
      <c r="P67" s="217" t="str">
        <f t="shared" si="92"/>
        <v>Peak Perks</v>
      </c>
      <c r="R67" s="528"/>
      <c r="Z67" s="295">
        <f t="shared" si="90"/>
        <v>0</v>
      </c>
      <c r="AF67" s="528"/>
      <c r="AM67" s="295">
        <f t="shared" si="91"/>
        <v>0</v>
      </c>
    </row>
    <row r="68" spans="2:39">
      <c r="B68" s="623" t="s">
        <v>711</v>
      </c>
      <c r="C68" s="118">
        <f>C$56*T14</f>
        <v>0</v>
      </c>
      <c r="D68" s="118">
        <f t="shared" si="102"/>
        <v>0</v>
      </c>
      <c r="E68" s="118">
        <f t="shared" si="102"/>
        <v>0</v>
      </c>
      <c r="F68" s="118">
        <f t="shared" si="102"/>
        <v>7144472.4016060643</v>
      </c>
      <c r="G68" s="118">
        <f t="shared" si="102"/>
        <v>15448110.372271458</v>
      </c>
      <c r="H68" s="118">
        <f t="shared" si="102"/>
        <v>8359367.0845624767</v>
      </c>
      <c r="I68" s="118"/>
      <c r="J68" s="225">
        <f t="shared" si="89"/>
        <v>30951949.858440001</v>
      </c>
      <c r="K68" s="218"/>
      <c r="L68" s="218"/>
      <c r="M68" s="218"/>
      <c r="P68" s="217" t="str">
        <f t="shared" si="92"/>
        <v>Targeted Greenhouse</v>
      </c>
      <c r="R68" s="528"/>
      <c r="Z68" s="295">
        <f t="shared" si="90"/>
        <v>0</v>
      </c>
      <c r="AF68" s="528"/>
      <c r="AM68" s="295">
        <f t="shared" si="91"/>
        <v>0</v>
      </c>
    </row>
    <row r="69" spans="2:39">
      <c r="B69" s="632" t="s">
        <v>712</v>
      </c>
      <c r="C69" s="117">
        <f>C$56*T15</f>
        <v>0</v>
      </c>
      <c r="D69" s="117">
        <f t="shared" si="102"/>
        <v>0</v>
      </c>
      <c r="E69" s="117">
        <f t="shared" si="102"/>
        <v>0</v>
      </c>
      <c r="F69" s="117">
        <f t="shared" si="102"/>
        <v>0</v>
      </c>
      <c r="G69" s="117">
        <f t="shared" si="102"/>
        <v>0</v>
      </c>
      <c r="H69" s="117">
        <f t="shared" si="102"/>
        <v>0</v>
      </c>
      <c r="I69" s="117"/>
      <c r="J69" s="225">
        <f t="shared" si="89"/>
        <v>0</v>
      </c>
      <c r="K69" s="218"/>
      <c r="L69" s="218"/>
      <c r="M69" s="218"/>
      <c r="P69" s="217" t="str">
        <f t="shared" si="92"/>
        <v>Local Initiatives</v>
      </c>
      <c r="R69" s="528"/>
      <c r="S69" s="294">
        <v>0.38263246115332711</v>
      </c>
      <c r="T69" s="294">
        <v>4.3803344907199461E-3</v>
      </c>
      <c r="U69" s="294">
        <v>0.10696383510312957</v>
      </c>
      <c r="V69" s="294">
        <v>0.36710241618296729</v>
      </c>
      <c r="W69" s="294">
        <v>3.6539747509887914E-2</v>
      </c>
      <c r="X69" s="294">
        <v>0.10238120555996864</v>
      </c>
      <c r="Z69" s="295">
        <f t="shared" si="90"/>
        <v>1.0000000000000004</v>
      </c>
      <c r="AF69" s="528"/>
      <c r="AG69" s="294">
        <v>0.42864814348590674</v>
      </c>
      <c r="AH69" s="294">
        <v>9.8563204723616266E-2</v>
      </c>
      <c r="AI69" s="294">
        <v>0.38537875856831566</v>
      </c>
      <c r="AJ69" s="294">
        <v>8.7409893222161472E-2</v>
      </c>
      <c r="AM69" s="295">
        <f t="shared" si="91"/>
        <v>1</v>
      </c>
    </row>
    <row r="70" spans="2:39">
      <c r="B70" s="623" t="s">
        <v>713</v>
      </c>
      <c r="C70" s="118"/>
      <c r="D70" s="118">
        <f t="shared" si="102"/>
        <v>0</v>
      </c>
      <c r="E70" s="118">
        <f t="shared" si="102"/>
        <v>0</v>
      </c>
      <c r="F70" s="118">
        <f t="shared" si="102"/>
        <v>315985.18891598406</v>
      </c>
      <c r="G70" s="118">
        <f t="shared" si="102"/>
        <v>702189.3087021868</v>
      </c>
      <c r="H70" s="118">
        <f t="shared" si="102"/>
        <v>514938.82638160361</v>
      </c>
      <c r="I70" s="118"/>
      <c r="J70" s="225">
        <f t="shared" si="89"/>
        <v>1533113.3239997746</v>
      </c>
      <c r="K70" s="218"/>
      <c r="L70" s="218"/>
      <c r="M70" s="218"/>
      <c r="P70" s="217" t="str">
        <f t="shared" si="92"/>
        <v>Residential Demand Response</v>
      </c>
      <c r="R70" s="528"/>
      <c r="Z70" s="295">
        <f t="shared" si="90"/>
        <v>0</v>
      </c>
      <c r="AF70" s="528"/>
      <c r="AM70" s="295">
        <f t="shared" si="91"/>
        <v>0</v>
      </c>
    </row>
    <row r="71" spans="2:39">
      <c r="B71" s="632" t="s">
        <v>715</v>
      </c>
      <c r="C71" s="117"/>
      <c r="D71" s="117">
        <f t="shared" si="102"/>
        <v>0</v>
      </c>
      <c r="E71" s="117">
        <f t="shared" si="102"/>
        <v>0</v>
      </c>
      <c r="F71" s="117">
        <f t="shared" si="102"/>
        <v>0</v>
      </c>
      <c r="G71" s="117">
        <f t="shared" si="102"/>
        <v>0</v>
      </c>
      <c r="H71" s="117">
        <f t="shared" si="102"/>
        <v>0</v>
      </c>
      <c r="I71" s="117"/>
      <c r="J71" s="225">
        <f t="shared" si="89"/>
        <v>0</v>
      </c>
      <c r="K71" s="218"/>
      <c r="L71" s="218"/>
      <c r="M71" s="218"/>
      <c r="P71" s="217" t="str">
        <f t="shared" si="92"/>
        <v>Energy Affordability Program</v>
      </c>
      <c r="R71" s="528"/>
      <c r="S71" s="202">
        <f>CDM!C1</f>
        <v>0.9886759004337472</v>
      </c>
      <c r="T71" s="202">
        <f>CDM!D1</f>
        <v>1.1324099566252009E-2</v>
      </c>
      <c r="Z71" s="295">
        <f t="shared" si="90"/>
        <v>0.99999999999999922</v>
      </c>
      <c r="AF71" s="528"/>
      <c r="AG71" s="222">
        <v>1</v>
      </c>
      <c r="AM71" s="295">
        <f t="shared" si="91"/>
        <v>1</v>
      </c>
    </row>
    <row r="72" spans="2:39">
      <c r="B72" s="528"/>
      <c r="J72" s="230"/>
      <c r="P72" s="217" t="str">
        <f t="shared" si="92"/>
        <v>First Nations Program</v>
      </c>
      <c r="R72" s="528"/>
      <c r="Z72" s="296"/>
      <c r="AF72" s="528"/>
      <c r="AM72" s="296"/>
    </row>
    <row r="73" spans="2:39">
      <c r="B73" s="528"/>
      <c r="C73" s="218">
        <f>SUM(C58:C69)</f>
        <v>0</v>
      </c>
      <c r="D73" s="218">
        <f>SUM(D58:D71)</f>
        <v>0</v>
      </c>
      <c r="E73" s="218">
        <f t="shared" ref="E73" si="103">SUM(E58:E71)</f>
        <v>0</v>
      </c>
      <c r="F73" s="218">
        <f>SUM(F58:F71)</f>
        <v>16081514.869466584</v>
      </c>
      <c r="G73" s="218">
        <f t="shared" ref="G73:H73" si="104">SUM(G58:G71)</f>
        <v>36190176.724143356</v>
      </c>
      <c r="H73" s="218">
        <f t="shared" si="104"/>
        <v>20555721.931589913</v>
      </c>
      <c r="I73" s="218"/>
      <c r="J73" s="225">
        <f>SUM(J58:J72)</f>
        <v>72827413.52519986</v>
      </c>
      <c r="K73" s="218"/>
      <c r="L73" s="218"/>
      <c r="M73" s="218"/>
      <c r="R73" s="464"/>
      <c r="S73" s="221"/>
      <c r="T73" s="221"/>
      <c r="U73" s="221"/>
      <c r="V73" s="221"/>
      <c r="W73" s="221"/>
      <c r="X73" s="221"/>
      <c r="Y73" s="221"/>
      <c r="Z73" s="633"/>
      <c r="AF73" s="464"/>
      <c r="AG73" s="221"/>
      <c r="AH73" s="221"/>
      <c r="AI73" s="221"/>
      <c r="AJ73" s="221"/>
      <c r="AK73" s="221"/>
      <c r="AL73" s="221"/>
      <c r="AM73" s="633"/>
    </row>
    <row r="74" spans="2:39">
      <c r="B74" s="464"/>
      <c r="C74" s="221"/>
      <c r="D74" s="221"/>
      <c r="E74" s="221"/>
      <c r="F74" s="221"/>
      <c r="G74" s="221"/>
      <c r="H74" s="221"/>
      <c r="I74" s="221"/>
      <c r="J74" s="633"/>
      <c r="R74" s="664"/>
      <c r="S74" s="704"/>
      <c r="T74" s="704"/>
      <c r="U74" s="704"/>
      <c r="V74" s="704"/>
      <c r="W74" s="704"/>
      <c r="X74" s="704"/>
      <c r="Y74" s="704"/>
      <c r="Z74" s="708"/>
      <c r="AF74" s="664"/>
      <c r="AG74" s="704"/>
      <c r="AH74" s="704"/>
      <c r="AI74" s="704"/>
      <c r="AJ74" s="704"/>
      <c r="AK74" s="704"/>
      <c r="AL74" s="704"/>
      <c r="AM74" s="708"/>
    </row>
    <row r="75" spans="2:39">
      <c r="R75" s="528"/>
      <c r="Z75" s="230"/>
      <c r="AF75" s="528"/>
      <c r="AM75" s="230"/>
    </row>
    <row r="76" spans="2:39">
      <c r="B76" s="701"/>
      <c r="C76" s="707" t="s">
        <v>685</v>
      </c>
      <c r="D76" s="707"/>
      <c r="E76" s="707"/>
      <c r="F76" s="707"/>
      <c r="G76" s="704"/>
      <c r="H76" s="704"/>
      <c r="I76" s="704"/>
      <c r="J76" s="708"/>
      <c r="R76" s="528"/>
      <c r="S76" s="217" t="str">
        <f>S56</f>
        <v>Residential</v>
      </c>
      <c r="T76" s="217" t="str">
        <f>T56</f>
        <v>Residential Seasonal</v>
      </c>
      <c r="U76" s="217" t="str">
        <f>U56</f>
        <v>GS&lt; 50</v>
      </c>
      <c r="V76" s="217" t="str">
        <f>V56</f>
        <v>GS 50-2,999</v>
      </c>
      <c r="W76" s="217" t="str">
        <f t="shared" ref="W76:X76" si="105">W56</f>
        <v>GS 3,000-4,999</v>
      </c>
      <c r="X76" s="217" t="str">
        <f t="shared" si="105"/>
        <v>Large Use</v>
      </c>
      <c r="Z76" s="230"/>
      <c r="AF76" s="528"/>
      <c r="AG76" s="217" t="str">
        <f>AG56</f>
        <v>Residential</v>
      </c>
      <c r="AH76" s="217" t="str">
        <f>AH56</f>
        <v>GS&lt; 50</v>
      </c>
      <c r="AI76" s="217" t="str">
        <f>AI56</f>
        <v>GS 50-2,999</v>
      </c>
      <c r="AJ76" s="217" t="str">
        <f t="shared" ref="AJ76:AK76" si="106">AJ56</f>
        <v>GS 3,000-4,999</v>
      </c>
      <c r="AK76" s="217" t="str">
        <f t="shared" si="106"/>
        <v>Large Use</v>
      </c>
      <c r="AM76" s="230"/>
    </row>
    <row r="77" spans="2:39">
      <c r="B77" s="623"/>
      <c r="C77" s="142">
        <v>2021</v>
      </c>
      <c r="D77" s="142">
        <v>2023</v>
      </c>
      <c r="E77" s="142">
        <v>2024</v>
      </c>
      <c r="F77" s="142">
        <v>2025</v>
      </c>
      <c r="G77" s="142">
        <v>2026</v>
      </c>
      <c r="H77" s="142">
        <v>2027</v>
      </c>
      <c r="I77" s="142"/>
      <c r="J77" s="128" t="s">
        <v>740</v>
      </c>
      <c r="K77" s="116"/>
      <c r="L77" s="116"/>
      <c r="M77" s="116"/>
      <c r="P77" s="217" t="str">
        <f t="shared" ref="P77:P90" si="107">B58</f>
        <v>Retrofit</v>
      </c>
      <c r="R77" s="528"/>
      <c r="S77" s="218">
        <f t="shared" ref="S77:X90" si="108">S59*$J58</f>
        <v>0</v>
      </c>
      <c r="T77" s="218">
        <f t="shared" si="108"/>
        <v>0</v>
      </c>
      <c r="U77" s="218">
        <f t="shared" si="108"/>
        <v>2987462.1029619668</v>
      </c>
      <c r="V77" s="218">
        <f t="shared" si="108"/>
        <v>15408667.430361237</v>
      </c>
      <c r="W77" s="218">
        <f t="shared" si="108"/>
        <v>754882.56752412557</v>
      </c>
      <c r="X77" s="218">
        <f t="shared" si="108"/>
        <v>2930167.9868999957</v>
      </c>
      <c r="Z77" s="225">
        <f t="shared" ref="Z77:Z85" si="109">SUM(S77:X77)</f>
        <v>22081180.087747324</v>
      </c>
      <c r="AF77" s="528"/>
      <c r="AG77" s="218">
        <f>AG59*$J80</f>
        <v>0</v>
      </c>
      <c r="AH77" s="218">
        <f t="shared" ref="AH77:AJ77" si="110">AH59*$J80</f>
        <v>677442.16804606305</v>
      </c>
      <c r="AI77" s="218">
        <f t="shared" si="110"/>
        <v>5754374.6198569238</v>
      </c>
      <c r="AJ77" s="218">
        <f t="shared" si="110"/>
        <v>1294719.8595913423</v>
      </c>
      <c r="AK77" s="218"/>
      <c r="AM77" s="225">
        <f>SUM(AG77:AK77)</f>
        <v>7726536.6474943291</v>
      </c>
    </row>
    <row r="78" spans="2:39">
      <c r="B78" s="623" t="s">
        <v>741</v>
      </c>
      <c r="C78" s="119">
        <v>0</v>
      </c>
      <c r="D78" s="119">
        <v>0</v>
      </c>
      <c r="E78" s="119">
        <v>0</v>
      </c>
      <c r="F78" s="119">
        <v>0.5</v>
      </c>
      <c r="G78" s="119">
        <v>1</v>
      </c>
      <c r="H78" s="119">
        <v>0.5</v>
      </c>
      <c r="I78" s="119"/>
      <c r="J78" s="230"/>
      <c r="P78" s="217" t="str">
        <f t="shared" si="107"/>
        <v>Small Business</v>
      </c>
      <c r="R78" s="528"/>
      <c r="S78" s="218">
        <f t="shared" si="108"/>
        <v>0</v>
      </c>
      <c r="T78" s="218">
        <f t="shared" si="108"/>
        <v>0</v>
      </c>
      <c r="U78" s="218">
        <f t="shared" si="108"/>
        <v>575912.71174653259</v>
      </c>
      <c r="V78" s="218">
        <f t="shared" si="108"/>
        <v>0</v>
      </c>
      <c r="W78" s="218">
        <f t="shared" si="108"/>
        <v>0</v>
      </c>
      <c r="X78" s="218">
        <f t="shared" si="108"/>
        <v>0</v>
      </c>
      <c r="Z78" s="225">
        <f t="shared" si="109"/>
        <v>575912.71174653259</v>
      </c>
      <c r="AF78" s="528"/>
      <c r="AG78" s="218">
        <f t="shared" ref="AG78:AJ91" si="111">AG60*$J81</f>
        <v>0</v>
      </c>
      <c r="AH78" s="218">
        <f t="shared" si="111"/>
        <v>184181.79786114593</v>
      </c>
      <c r="AI78" s="218">
        <f t="shared" si="111"/>
        <v>0</v>
      </c>
      <c r="AJ78" s="218">
        <f t="shared" si="111"/>
        <v>0</v>
      </c>
      <c r="AK78" s="218"/>
      <c r="AM78" s="225">
        <f t="shared" ref="AM78:AM91" si="112">SUM(AG78:AK78)</f>
        <v>184181.79786114593</v>
      </c>
    </row>
    <row r="79" spans="2:39">
      <c r="B79" s="623"/>
      <c r="C79" s="224"/>
      <c r="D79" s="224"/>
      <c r="E79" s="224"/>
      <c r="F79" s="224"/>
      <c r="G79" s="224"/>
      <c r="H79" s="224"/>
      <c r="I79" s="224"/>
      <c r="J79" s="230"/>
      <c r="P79" s="217" t="str">
        <f t="shared" si="107"/>
        <v xml:space="preserve">Energy Performance </v>
      </c>
      <c r="R79" s="528"/>
      <c r="S79" s="218">
        <f t="shared" si="108"/>
        <v>0</v>
      </c>
      <c r="T79" s="218">
        <f t="shared" si="108"/>
        <v>0</v>
      </c>
      <c r="U79" s="218">
        <f t="shared" si="108"/>
        <v>0</v>
      </c>
      <c r="V79" s="218">
        <f t="shared" si="108"/>
        <v>0</v>
      </c>
      <c r="W79" s="218">
        <f t="shared" si="108"/>
        <v>0</v>
      </c>
      <c r="X79" s="218">
        <f t="shared" si="108"/>
        <v>0</v>
      </c>
      <c r="Z79" s="225">
        <f t="shared" si="109"/>
        <v>0</v>
      </c>
      <c r="AF79" s="528"/>
      <c r="AG79" s="218">
        <f t="shared" si="111"/>
        <v>0</v>
      </c>
      <c r="AH79" s="218">
        <f t="shared" si="111"/>
        <v>0</v>
      </c>
      <c r="AI79" s="218">
        <f t="shared" si="111"/>
        <v>0</v>
      </c>
      <c r="AJ79" s="218">
        <f t="shared" si="111"/>
        <v>0</v>
      </c>
      <c r="AK79" s="218"/>
      <c r="AM79" s="225">
        <f t="shared" si="112"/>
        <v>0</v>
      </c>
    </row>
    <row r="80" spans="2:39">
      <c r="B80" s="623" t="s">
        <v>699</v>
      </c>
      <c r="C80" s="118">
        <f t="shared" ref="C80:D82" si="113">C$78*AH4</f>
        <v>0</v>
      </c>
      <c r="D80" s="118">
        <f t="shared" si="113"/>
        <v>0</v>
      </c>
      <c r="E80" s="118">
        <f>E$78*AK4</f>
        <v>0</v>
      </c>
      <c r="F80" s="118">
        <f t="shared" ref="F80:H93" si="114">F$78*AL4</f>
        <v>1758181.2983584036</v>
      </c>
      <c r="G80" s="118">
        <f t="shared" si="114"/>
        <v>4091910.7347444459</v>
      </c>
      <c r="H80" s="118">
        <f t="shared" si="114"/>
        <v>1876444.6143914799</v>
      </c>
      <c r="I80" s="118"/>
      <c r="J80" s="225">
        <f>SUM(C80:I80)</f>
        <v>7726536.6474943291</v>
      </c>
      <c r="K80" s="218"/>
      <c r="L80" s="218"/>
      <c r="M80" s="218"/>
      <c r="P80" s="217" t="str">
        <f t="shared" si="107"/>
        <v>Energy Management</v>
      </c>
      <c r="R80" s="528"/>
      <c r="S80" s="218">
        <f t="shared" si="108"/>
        <v>0</v>
      </c>
      <c r="T80" s="218">
        <f t="shared" si="108"/>
        <v>0</v>
      </c>
      <c r="U80" s="218">
        <f t="shared" si="108"/>
        <v>395968.47511543339</v>
      </c>
      <c r="V80" s="218">
        <f t="shared" si="108"/>
        <v>1323958.3169976741</v>
      </c>
      <c r="W80" s="218">
        <f t="shared" si="108"/>
        <v>120990.36739638244</v>
      </c>
      <c r="X80" s="218">
        <f t="shared" si="108"/>
        <v>1546813.1275892174</v>
      </c>
      <c r="Z80" s="225">
        <f t="shared" si="109"/>
        <v>3387730.2870987072</v>
      </c>
      <c r="AF80" s="528"/>
      <c r="AG80" s="218">
        <f t="shared" si="111"/>
        <v>0</v>
      </c>
      <c r="AH80" s="218">
        <f t="shared" si="111"/>
        <v>107055.42859923643</v>
      </c>
      <c r="AI80" s="218">
        <f t="shared" si="111"/>
        <v>656027.27975317172</v>
      </c>
      <c r="AJ80" s="218">
        <f t="shared" si="111"/>
        <v>152835.95855217011</v>
      </c>
      <c r="AK80" s="218"/>
      <c r="AM80" s="225">
        <f t="shared" si="112"/>
        <v>915918.66690457822</v>
      </c>
    </row>
    <row r="81" spans="2:39">
      <c r="B81" s="632" t="s">
        <v>507</v>
      </c>
      <c r="C81" s="117">
        <f t="shared" si="113"/>
        <v>0</v>
      </c>
      <c r="D81" s="117">
        <f t="shared" si="113"/>
        <v>0</v>
      </c>
      <c r="E81" s="118">
        <f t="shared" ref="E81:E93" si="115">E$78*AK5</f>
        <v>0</v>
      </c>
      <c r="F81" s="118">
        <f t="shared" si="114"/>
        <v>42975.752834267383</v>
      </c>
      <c r="G81" s="118">
        <f t="shared" si="114"/>
        <v>92090.898930572963</v>
      </c>
      <c r="H81" s="118">
        <f t="shared" si="114"/>
        <v>49115.14609630558</v>
      </c>
      <c r="I81" s="117"/>
      <c r="J81" s="225">
        <f t="shared" ref="J81:J82" si="116">SUM(C81:I81)</f>
        <v>184181.79786114593</v>
      </c>
      <c r="K81" s="218"/>
      <c r="L81" s="218"/>
      <c r="M81" s="218"/>
      <c r="P81" s="217" t="str">
        <f t="shared" si="107"/>
        <v>Industrial Energy Efficiency</v>
      </c>
      <c r="R81" s="528"/>
      <c r="S81" s="218">
        <f t="shared" si="108"/>
        <v>0</v>
      </c>
      <c r="T81" s="218">
        <f t="shared" si="108"/>
        <v>0</v>
      </c>
      <c r="U81" s="218">
        <f t="shared" si="108"/>
        <v>0</v>
      </c>
      <c r="V81" s="218">
        <f t="shared" si="108"/>
        <v>4336772.1809246177</v>
      </c>
      <c r="W81" s="218">
        <f t="shared" si="108"/>
        <v>396317.35587745247</v>
      </c>
      <c r="X81" s="218">
        <f t="shared" si="108"/>
        <v>5066757.8085312964</v>
      </c>
      <c r="Z81" s="225">
        <f t="shared" si="109"/>
        <v>9799847.3453333676</v>
      </c>
      <c r="AF81" s="528"/>
      <c r="AG81" s="218">
        <f t="shared" si="111"/>
        <v>0</v>
      </c>
      <c r="AH81" s="218">
        <f t="shared" si="111"/>
        <v>0</v>
      </c>
      <c r="AI81" s="218">
        <f t="shared" si="111"/>
        <v>2115877.1779246428</v>
      </c>
      <c r="AJ81" s="218">
        <f t="shared" si="111"/>
        <v>492940.0447927179</v>
      </c>
      <c r="AK81" s="218"/>
      <c r="AM81" s="225">
        <f t="shared" si="112"/>
        <v>2608817.2227173606</v>
      </c>
    </row>
    <row r="82" spans="2:39">
      <c r="B82" s="623" t="s">
        <v>701</v>
      </c>
      <c r="C82" s="118">
        <f t="shared" si="113"/>
        <v>0</v>
      </c>
      <c r="D82" s="118">
        <f t="shared" si="113"/>
        <v>0</v>
      </c>
      <c r="E82" s="118">
        <f t="shared" si="115"/>
        <v>0</v>
      </c>
      <c r="F82" s="118">
        <f t="shared" si="114"/>
        <v>0</v>
      </c>
      <c r="G82" s="118">
        <f t="shared" si="114"/>
        <v>0</v>
      </c>
      <c r="H82" s="118">
        <f t="shared" si="114"/>
        <v>0</v>
      </c>
      <c r="I82" s="118"/>
      <c r="J82" s="225">
        <f t="shared" si="116"/>
        <v>0</v>
      </c>
      <c r="K82" s="218"/>
      <c r="L82" s="218"/>
      <c r="M82" s="218"/>
      <c r="P82" s="217" t="str">
        <f t="shared" si="107"/>
        <v>New Construction</v>
      </c>
      <c r="R82" s="528"/>
      <c r="S82" s="218">
        <f t="shared" si="108"/>
        <v>0</v>
      </c>
      <c r="T82" s="218">
        <f t="shared" si="108"/>
        <v>0</v>
      </c>
      <c r="U82" s="218">
        <f t="shared" si="108"/>
        <v>0</v>
      </c>
      <c r="V82" s="218">
        <f t="shared" si="108"/>
        <v>679119.39312060177</v>
      </c>
      <c r="W82" s="218">
        <f t="shared" si="108"/>
        <v>62061.549691382192</v>
      </c>
      <c r="X82" s="218">
        <f t="shared" si="108"/>
        <v>793431.9222840115</v>
      </c>
      <c r="Z82" s="225">
        <f t="shared" si="109"/>
        <v>1534612.8650959954</v>
      </c>
      <c r="AF82" s="528"/>
      <c r="AG82" s="218">
        <f t="shared" si="111"/>
        <v>0</v>
      </c>
      <c r="AH82" s="218">
        <f t="shared" si="111"/>
        <v>0</v>
      </c>
      <c r="AI82" s="218">
        <f t="shared" si="111"/>
        <v>336506.70295031345</v>
      </c>
      <c r="AJ82" s="218">
        <f>AJ64*$J85</f>
        <v>78396.624792786097</v>
      </c>
      <c r="AK82" s="218"/>
      <c r="AM82" s="225">
        <f t="shared" si="112"/>
        <v>414903.32774309954</v>
      </c>
    </row>
    <row r="83" spans="2:39">
      <c r="B83" s="632" t="s">
        <v>702</v>
      </c>
      <c r="C83" s="118">
        <f t="shared" ref="C83:D83" si="117">C$78*AH7</f>
        <v>0</v>
      </c>
      <c r="D83" s="118">
        <f t="shared" si="117"/>
        <v>0</v>
      </c>
      <c r="E83" s="118">
        <f t="shared" si="115"/>
        <v>0</v>
      </c>
      <c r="F83" s="118">
        <f t="shared" si="114"/>
        <v>203537.48153435069</v>
      </c>
      <c r="G83" s="118">
        <f t="shared" si="114"/>
        <v>461873.51578948816</v>
      </c>
      <c r="H83" s="118">
        <f t="shared" si="114"/>
        <v>250507.66958073934</v>
      </c>
      <c r="I83" s="118"/>
      <c r="J83" s="225">
        <f t="shared" ref="J83:J93" si="118">SUM(C83:I83)</f>
        <v>915918.66690457822</v>
      </c>
      <c r="K83" s="218"/>
      <c r="L83" s="218"/>
      <c r="M83" s="218"/>
      <c r="P83" s="217" t="str">
        <f t="shared" si="107"/>
        <v>Home Renovation Savings</v>
      </c>
      <c r="R83" s="528"/>
      <c r="S83" s="218">
        <f t="shared" si="108"/>
        <v>2929512.9794907225</v>
      </c>
      <c r="T83" s="218">
        <f t="shared" si="108"/>
        <v>33554.066247418938</v>
      </c>
      <c r="U83" s="218">
        <f t="shared" si="108"/>
        <v>0</v>
      </c>
      <c r="V83" s="218">
        <f t="shared" si="108"/>
        <v>0</v>
      </c>
      <c r="W83" s="218">
        <f t="shared" si="108"/>
        <v>0</v>
      </c>
      <c r="X83" s="218">
        <f t="shared" si="108"/>
        <v>0</v>
      </c>
      <c r="Z83" s="225">
        <f t="shared" si="109"/>
        <v>2963067.0457381415</v>
      </c>
      <c r="AF83" s="528"/>
      <c r="AG83" s="218">
        <f t="shared" si="111"/>
        <v>1134208.2308644664</v>
      </c>
      <c r="AH83" s="218">
        <f t="shared" si="111"/>
        <v>0</v>
      </c>
      <c r="AI83" s="218">
        <f t="shared" si="111"/>
        <v>0</v>
      </c>
      <c r="AJ83" s="218">
        <f t="shared" si="111"/>
        <v>0</v>
      </c>
      <c r="AK83" s="218"/>
      <c r="AM83" s="225">
        <f t="shared" si="112"/>
        <v>1134208.2308644664</v>
      </c>
    </row>
    <row r="84" spans="2:39">
      <c r="B84" s="623" t="s">
        <v>704</v>
      </c>
      <c r="C84" s="118">
        <f t="shared" ref="C84:D84" si="119">C$78*AH8</f>
        <v>0</v>
      </c>
      <c r="D84" s="118">
        <f t="shared" si="119"/>
        <v>0</v>
      </c>
      <c r="E84" s="118">
        <f t="shared" si="115"/>
        <v>0</v>
      </c>
      <c r="F84" s="118">
        <f t="shared" si="114"/>
        <v>535451.68305772997</v>
      </c>
      <c r="G84" s="118">
        <f t="shared" si="114"/>
        <v>1288304.8013419064</v>
      </c>
      <c r="H84" s="118">
        <f t="shared" si="114"/>
        <v>785060.73831772432</v>
      </c>
      <c r="I84" s="118"/>
      <c r="J84" s="225">
        <f t="shared" si="118"/>
        <v>2608817.2227173606</v>
      </c>
      <c r="K84" s="218"/>
      <c r="L84" s="218"/>
      <c r="M84" s="218"/>
      <c r="P84" s="217" t="str">
        <f t="shared" si="107"/>
        <v>Commercial HVAC DR</v>
      </c>
      <c r="R84" s="528"/>
      <c r="S84" s="218">
        <f t="shared" si="108"/>
        <v>0</v>
      </c>
      <c r="T84" s="218">
        <f t="shared" si="108"/>
        <v>0</v>
      </c>
      <c r="U84" s="218">
        <f t="shared" si="108"/>
        <v>0</v>
      </c>
      <c r="V84" s="218">
        <f t="shared" si="108"/>
        <v>0</v>
      </c>
      <c r="W84" s="218">
        <f t="shared" si="108"/>
        <v>0</v>
      </c>
      <c r="X84" s="218">
        <f t="shared" si="108"/>
        <v>0</v>
      </c>
      <c r="Z84" s="225">
        <f t="shared" si="109"/>
        <v>0</v>
      </c>
      <c r="AF84" s="528"/>
      <c r="AG84" s="218">
        <f t="shared" si="111"/>
        <v>0</v>
      </c>
      <c r="AH84" s="218">
        <f t="shared" si="111"/>
        <v>0</v>
      </c>
      <c r="AI84" s="218">
        <f t="shared" si="111"/>
        <v>0</v>
      </c>
      <c r="AJ84" s="218">
        <f t="shared" si="111"/>
        <v>0</v>
      </c>
      <c r="AK84" s="218"/>
      <c r="AM84" s="225">
        <f t="shared" si="112"/>
        <v>0</v>
      </c>
    </row>
    <row r="85" spans="2:39">
      <c r="B85" s="528" t="str">
        <f>B63</f>
        <v>New Construction</v>
      </c>
      <c r="C85" s="118">
        <f t="shared" ref="C85:D85" si="120">C$78*AH9</f>
        <v>0</v>
      </c>
      <c r="D85" s="118">
        <f t="shared" si="120"/>
        <v>0</v>
      </c>
      <c r="E85" s="118">
        <f t="shared" si="115"/>
        <v>0</v>
      </c>
      <c r="F85" s="118">
        <f t="shared" si="114"/>
        <v>0</v>
      </c>
      <c r="G85" s="118">
        <f t="shared" si="114"/>
        <v>0</v>
      </c>
      <c r="H85" s="118">
        <f t="shared" si="114"/>
        <v>414903.32774309954</v>
      </c>
      <c r="I85" s="118"/>
      <c r="J85" s="225">
        <f t="shared" si="118"/>
        <v>414903.32774309954</v>
      </c>
      <c r="L85" s="218"/>
      <c r="M85" s="218"/>
      <c r="P85" s="217" t="str">
        <f t="shared" si="107"/>
        <v>Peak Perks</v>
      </c>
      <c r="R85" s="528"/>
      <c r="S85" s="218">
        <f t="shared" si="108"/>
        <v>0</v>
      </c>
      <c r="T85" s="218">
        <f t="shared" si="108"/>
        <v>0</v>
      </c>
      <c r="U85" s="218">
        <f t="shared" si="108"/>
        <v>0</v>
      </c>
      <c r="V85" s="218">
        <f t="shared" si="108"/>
        <v>0</v>
      </c>
      <c r="W85" s="218">
        <f t="shared" si="108"/>
        <v>0</v>
      </c>
      <c r="X85" s="218">
        <f t="shared" si="108"/>
        <v>0</v>
      </c>
      <c r="Z85" s="225">
        <f t="shared" si="109"/>
        <v>0</v>
      </c>
      <c r="AF85" s="528"/>
      <c r="AG85" s="218">
        <f t="shared" si="111"/>
        <v>0</v>
      </c>
      <c r="AH85" s="218">
        <f t="shared" si="111"/>
        <v>0</v>
      </c>
      <c r="AI85" s="218">
        <f t="shared" si="111"/>
        <v>0</v>
      </c>
      <c r="AJ85" s="218">
        <f t="shared" si="111"/>
        <v>0</v>
      </c>
      <c r="AK85" s="218"/>
      <c r="AM85" s="225">
        <f t="shared" si="112"/>
        <v>0</v>
      </c>
    </row>
    <row r="86" spans="2:39">
      <c r="B86" s="528" t="str">
        <f t="shared" ref="B86:B88" si="121">B64</f>
        <v>Home Renovation Savings</v>
      </c>
      <c r="C86" s="118">
        <f t="shared" ref="C86:D86" si="122">C$78*AH10</f>
        <v>0</v>
      </c>
      <c r="D86" s="118">
        <f t="shared" si="122"/>
        <v>0</v>
      </c>
      <c r="E86" s="118">
        <f t="shared" si="115"/>
        <v>0</v>
      </c>
      <c r="F86" s="118">
        <f t="shared" si="114"/>
        <v>267130.12387155386</v>
      </c>
      <c r="G86" s="118">
        <f t="shared" si="114"/>
        <v>578052.07132860832</v>
      </c>
      <c r="H86" s="118">
        <f t="shared" si="114"/>
        <v>289026.03566430416</v>
      </c>
      <c r="I86" s="118"/>
      <c r="J86" s="225">
        <f t="shared" si="118"/>
        <v>1134208.2308644664</v>
      </c>
      <c r="L86" s="218"/>
      <c r="M86" s="218"/>
      <c r="P86" s="217" t="str">
        <f t="shared" si="107"/>
        <v>Targeted Greenhouse</v>
      </c>
      <c r="R86" s="528"/>
      <c r="S86" s="218">
        <f t="shared" si="108"/>
        <v>0</v>
      </c>
      <c r="T86" s="218">
        <f t="shared" si="108"/>
        <v>0</v>
      </c>
      <c r="U86" s="218">
        <f t="shared" si="108"/>
        <v>0</v>
      </c>
      <c r="V86" s="218">
        <f t="shared" si="108"/>
        <v>0</v>
      </c>
      <c r="W86" s="218">
        <f t="shared" si="108"/>
        <v>0</v>
      </c>
      <c r="X86" s="218">
        <f t="shared" si="108"/>
        <v>0</v>
      </c>
      <c r="Z86" s="225">
        <f>SUM(S86:X86)</f>
        <v>0</v>
      </c>
      <c r="AF86" s="528"/>
      <c r="AG86" s="218">
        <f t="shared" si="111"/>
        <v>0</v>
      </c>
      <c r="AH86" s="218">
        <f t="shared" si="111"/>
        <v>0</v>
      </c>
      <c r="AI86" s="218">
        <f t="shared" si="111"/>
        <v>0</v>
      </c>
      <c r="AJ86" s="218">
        <f t="shared" si="111"/>
        <v>0</v>
      </c>
      <c r="AK86" s="218"/>
      <c r="AM86" s="225">
        <f t="shared" si="112"/>
        <v>0</v>
      </c>
    </row>
    <row r="87" spans="2:39">
      <c r="B87" s="528" t="str">
        <f t="shared" si="121"/>
        <v>Commercial HVAC DR</v>
      </c>
      <c r="C87" s="118">
        <f t="shared" ref="C87:D87" si="123">C$78*AH11</f>
        <v>0</v>
      </c>
      <c r="D87" s="118">
        <f t="shared" si="123"/>
        <v>0</v>
      </c>
      <c r="E87" s="118">
        <f t="shared" si="115"/>
        <v>0</v>
      </c>
      <c r="F87" s="118">
        <f t="shared" si="114"/>
        <v>0</v>
      </c>
      <c r="G87" s="118">
        <f t="shared" si="114"/>
        <v>0</v>
      </c>
      <c r="H87" s="118">
        <f t="shared" si="114"/>
        <v>0</v>
      </c>
      <c r="I87" s="118"/>
      <c r="J87" s="225">
        <f t="shared" si="118"/>
        <v>0</v>
      </c>
      <c r="L87" s="218"/>
      <c r="M87" s="218"/>
      <c r="P87" s="217" t="str">
        <f t="shared" si="107"/>
        <v>Local Initiatives</v>
      </c>
      <c r="R87" s="528"/>
      <c r="S87" s="218">
        <f t="shared" si="108"/>
        <v>11843220.751829272</v>
      </c>
      <c r="T87" s="218">
        <f t="shared" si="108"/>
        <v>135579.89351995909</v>
      </c>
      <c r="U87" s="218">
        <f t="shared" si="108"/>
        <v>3310739.2607785109</v>
      </c>
      <c r="V87" s="218">
        <f t="shared" si="108"/>
        <v>11362535.578607377</v>
      </c>
      <c r="W87" s="218">
        <f t="shared" si="108"/>
        <v>1130976.4327661085</v>
      </c>
      <c r="X87" s="218">
        <f t="shared" si="108"/>
        <v>3168897.940938788</v>
      </c>
      <c r="Z87" s="225">
        <f>SUM(S87:X87)</f>
        <v>30951949.858440015</v>
      </c>
      <c r="AF87" s="528"/>
      <c r="AG87" s="218">
        <f>AG69*$J90</f>
        <v>4510132.836604774</v>
      </c>
      <c r="AH87" s="218">
        <f t="shared" si="111"/>
        <v>1037058.3726081064</v>
      </c>
      <c r="AI87" s="218">
        <f t="shared" si="111"/>
        <v>4054862.7585648</v>
      </c>
      <c r="AJ87" s="218">
        <f t="shared" si="111"/>
        <v>919705.90717920428</v>
      </c>
      <c r="AK87" s="218"/>
      <c r="AM87" s="225">
        <f t="shared" si="112"/>
        <v>10521759.874956885</v>
      </c>
    </row>
    <row r="88" spans="2:39">
      <c r="B88" s="528" t="str">
        <f t="shared" si="121"/>
        <v>Peak Perks</v>
      </c>
      <c r="C88" s="118">
        <f t="shared" ref="C88:D88" si="124">C$78*AH12</f>
        <v>0</v>
      </c>
      <c r="D88" s="118">
        <f t="shared" si="124"/>
        <v>0</v>
      </c>
      <c r="E88" s="118">
        <f t="shared" si="115"/>
        <v>0</v>
      </c>
      <c r="F88" s="118">
        <f t="shared" si="114"/>
        <v>0</v>
      </c>
      <c r="G88" s="118">
        <f t="shared" si="114"/>
        <v>0</v>
      </c>
      <c r="H88" s="118">
        <f t="shared" si="114"/>
        <v>0</v>
      </c>
      <c r="I88" s="118"/>
      <c r="J88" s="225">
        <f t="shared" si="118"/>
        <v>0</v>
      </c>
      <c r="L88" s="218"/>
      <c r="M88" s="218"/>
      <c r="P88" s="217" t="str">
        <f t="shared" si="107"/>
        <v>Residential Demand Response</v>
      </c>
      <c r="R88" s="528"/>
      <c r="S88" s="218">
        <f t="shared" si="108"/>
        <v>0</v>
      </c>
      <c r="T88" s="218">
        <f t="shared" si="108"/>
        <v>0</v>
      </c>
      <c r="U88" s="218">
        <f t="shared" si="108"/>
        <v>0</v>
      </c>
      <c r="V88" s="218">
        <f t="shared" si="108"/>
        <v>0</v>
      </c>
      <c r="W88" s="218">
        <f t="shared" si="108"/>
        <v>0</v>
      </c>
      <c r="X88" s="218">
        <f t="shared" si="108"/>
        <v>0</v>
      </c>
      <c r="Z88" s="225">
        <f>SUM(S88:X88)</f>
        <v>0</v>
      </c>
      <c r="AF88" s="528"/>
      <c r="AG88" s="218">
        <f t="shared" si="111"/>
        <v>0</v>
      </c>
      <c r="AH88" s="218">
        <f t="shared" si="111"/>
        <v>0</v>
      </c>
      <c r="AI88" s="218">
        <f t="shared" si="111"/>
        <v>0</v>
      </c>
      <c r="AJ88" s="218">
        <f t="shared" si="111"/>
        <v>0</v>
      </c>
      <c r="AK88" s="218"/>
      <c r="AM88" s="225">
        <f t="shared" si="112"/>
        <v>0</v>
      </c>
    </row>
    <row r="89" spans="2:39">
      <c r="B89" s="632" t="s">
        <v>710</v>
      </c>
      <c r="C89" s="118">
        <f t="shared" ref="C89:D89" si="125">C$78*AH13</f>
        <v>0</v>
      </c>
      <c r="D89" s="118">
        <f t="shared" si="125"/>
        <v>0</v>
      </c>
      <c r="E89" s="118">
        <f t="shared" si="115"/>
        <v>0</v>
      </c>
      <c r="F89" s="118">
        <f t="shared" si="114"/>
        <v>0</v>
      </c>
      <c r="G89" s="118">
        <f t="shared" si="114"/>
        <v>0</v>
      </c>
      <c r="H89" s="118">
        <f t="shared" si="114"/>
        <v>0</v>
      </c>
      <c r="I89" s="118"/>
      <c r="J89" s="225">
        <f t="shared" si="118"/>
        <v>0</v>
      </c>
      <c r="K89" s="218"/>
      <c r="L89" s="218"/>
      <c r="M89" s="218"/>
      <c r="P89" s="217" t="str">
        <f t="shared" si="107"/>
        <v>Energy Affordability Program</v>
      </c>
      <c r="R89" s="528"/>
      <c r="S89" s="218">
        <f t="shared" si="108"/>
        <v>1515752.1960724525</v>
      </c>
      <c r="T89" s="218">
        <f t="shared" si="108"/>
        <v>17361.127927321024</v>
      </c>
      <c r="U89" s="218">
        <f t="shared" si="108"/>
        <v>0</v>
      </c>
      <c r="V89" s="218">
        <f t="shared" si="108"/>
        <v>0</v>
      </c>
      <c r="W89" s="218">
        <f t="shared" si="108"/>
        <v>0</v>
      </c>
      <c r="X89" s="218">
        <f t="shared" si="108"/>
        <v>0</v>
      </c>
      <c r="Z89" s="225">
        <f>SUM(S89:X89)</f>
        <v>1533113.3239997735</v>
      </c>
      <c r="AF89" s="528"/>
      <c r="AG89" s="218">
        <f t="shared" si="111"/>
        <v>637784.90519716695</v>
      </c>
      <c r="AH89" s="218">
        <f t="shared" si="111"/>
        <v>0</v>
      </c>
      <c r="AI89" s="218">
        <f t="shared" si="111"/>
        <v>0</v>
      </c>
      <c r="AJ89" s="218">
        <f t="shared" si="111"/>
        <v>0</v>
      </c>
      <c r="AK89" s="218"/>
      <c r="AM89" s="225">
        <f t="shared" si="112"/>
        <v>637784.90519716695</v>
      </c>
    </row>
    <row r="90" spans="2:39">
      <c r="B90" s="623" t="s">
        <v>711</v>
      </c>
      <c r="C90" s="118">
        <f t="shared" ref="C90:D90" si="126">C$78*AH14</f>
        <v>0</v>
      </c>
      <c r="D90" s="118">
        <f t="shared" si="126"/>
        <v>0</v>
      </c>
      <c r="E90" s="118">
        <f t="shared" si="115"/>
        <v>0</v>
      </c>
      <c r="F90" s="118">
        <f t="shared" si="114"/>
        <v>2428681.3395201159</v>
      </c>
      <c r="G90" s="118">
        <f t="shared" si="114"/>
        <v>5251407.7013648683</v>
      </c>
      <c r="H90" s="118">
        <f t="shared" si="114"/>
        <v>2841670.8340718984</v>
      </c>
      <c r="I90" s="118"/>
      <c r="J90" s="225">
        <f t="shared" si="118"/>
        <v>10521759.874956883</v>
      </c>
      <c r="K90" s="218"/>
      <c r="P90" s="217" t="str">
        <f t="shared" si="107"/>
        <v>First Nations Program</v>
      </c>
      <c r="R90" s="528"/>
      <c r="S90" s="218">
        <f t="shared" si="108"/>
        <v>0</v>
      </c>
      <c r="T90" s="218">
        <f t="shared" si="108"/>
        <v>0</v>
      </c>
      <c r="U90" s="218">
        <f t="shared" si="108"/>
        <v>0</v>
      </c>
      <c r="V90" s="218">
        <f t="shared" si="108"/>
        <v>0</v>
      </c>
      <c r="W90" s="218">
        <f t="shared" si="108"/>
        <v>0</v>
      </c>
      <c r="X90" s="218">
        <f t="shared" si="108"/>
        <v>0</v>
      </c>
      <c r="Z90" s="225">
        <f>SUM(S90:X90)</f>
        <v>0</v>
      </c>
      <c r="AF90" s="528"/>
      <c r="AG90" s="218">
        <f t="shared" si="111"/>
        <v>0</v>
      </c>
      <c r="AH90" s="218">
        <f t="shared" si="111"/>
        <v>0</v>
      </c>
      <c r="AI90" s="218">
        <f t="shared" si="111"/>
        <v>0</v>
      </c>
      <c r="AJ90" s="218">
        <f t="shared" si="111"/>
        <v>0</v>
      </c>
      <c r="AK90" s="218"/>
      <c r="AM90" s="225">
        <f t="shared" si="112"/>
        <v>0</v>
      </c>
    </row>
    <row r="91" spans="2:39">
      <c r="B91" s="632" t="s">
        <v>712</v>
      </c>
      <c r="C91" s="118">
        <f t="shared" ref="C91:D91" si="127">C$78*AH15</f>
        <v>0</v>
      </c>
      <c r="D91" s="118">
        <f t="shared" si="127"/>
        <v>0</v>
      </c>
      <c r="E91" s="118">
        <f t="shared" si="115"/>
        <v>0</v>
      </c>
      <c r="F91" s="118">
        <f t="shared" si="114"/>
        <v>0</v>
      </c>
      <c r="G91" s="118">
        <f t="shared" si="114"/>
        <v>0</v>
      </c>
      <c r="H91" s="118">
        <f t="shared" si="114"/>
        <v>0</v>
      </c>
      <c r="I91" s="118"/>
      <c r="J91" s="225">
        <f t="shared" si="118"/>
        <v>0</v>
      </c>
      <c r="K91" s="218"/>
      <c r="L91" s="218"/>
      <c r="M91" s="218"/>
      <c r="R91" s="528"/>
      <c r="S91" s="218"/>
      <c r="T91" s="218"/>
      <c r="U91" s="218"/>
      <c r="V91" s="218"/>
      <c r="W91" s="218"/>
      <c r="X91" s="218"/>
      <c r="Z91" s="230"/>
      <c r="AF91" s="528"/>
      <c r="AG91" s="218">
        <f t="shared" si="111"/>
        <v>0</v>
      </c>
      <c r="AH91" s="218">
        <f t="shared" si="111"/>
        <v>0</v>
      </c>
      <c r="AI91" s="218">
        <f t="shared" si="111"/>
        <v>0</v>
      </c>
      <c r="AJ91" s="218">
        <f t="shared" si="111"/>
        <v>0</v>
      </c>
      <c r="AK91" s="218"/>
      <c r="AM91" s="225">
        <f t="shared" si="112"/>
        <v>0</v>
      </c>
    </row>
    <row r="92" spans="2:39">
      <c r="B92" s="623" t="s">
        <v>713</v>
      </c>
      <c r="C92" s="118">
        <f t="shared" ref="C92:D92" si="128">C$78*AH16</f>
        <v>0</v>
      </c>
      <c r="D92" s="118">
        <f t="shared" si="128"/>
        <v>0</v>
      </c>
      <c r="E92" s="118">
        <f t="shared" si="115"/>
        <v>0</v>
      </c>
      <c r="F92" s="118">
        <f t="shared" si="114"/>
        <v>131451.85068949242</v>
      </c>
      <c r="G92" s="118">
        <f t="shared" si="114"/>
        <v>292115.22375442763</v>
      </c>
      <c r="H92" s="118">
        <f t="shared" si="114"/>
        <v>214217.8307532469</v>
      </c>
      <c r="I92" s="118"/>
      <c r="J92" s="225">
        <f t="shared" si="118"/>
        <v>637784.90519716695</v>
      </c>
      <c r="K92" s="218"/>
      <c r="R92" s="528"/>
      <c r="S92" s="218">
        <f t="shared" ref="S92:X92" si="129">SUM(S77:S90)</f>
        <v>16288485.927392446</v>
      </c>
      <c r="T92" s="218">
        <f t="shared" si="129"/>
        <v>186495.08769469906</v>
      </c>
      <c r="U92" s="218">
        <f t="shared" si="129"/>
        <v>7270082.5506024435</v>
      </c>
      <c r="V92" s="218">
        <f t="shared" si="129"/>
        <v>33111052.900011506</v>
      </c>
      <c r="W92" s="218">
        <f t="shared" si="129"/>
        <v>2465228.2732554511</v>
      </c>
      <c r="X92" s="218">
        <f t="shared" si="129"/>
        <v>13506068.786243306</v>
      </c>
      <c r="Z92" s="225">
        <f>SUM(S92:X92)</f>
        <v>72827413.525199845</v>
      </c>
      <c r="AF92" s="528"/>
      <c r="AG92" s="218">
        <f>SUM(AG77:AG90)</f>
        <v>6282125.972666407</v>
      </c>
      <c r="AH92" s="218">
        <f>SUM(AH77:AH90)</f>
        <v>2005737.7671145517</v>
      </c>
      <c r="AI92" s="218">
        <f>SUM(AI77:AI90)</f>
        <v>12917648.539049853</v>
      </c>
      <c r="AJ92" s="218">
        <f>SUM(AJ77:AJ90)</f>
        <v>2938598.3949082205</v>
      </c>
      <c r="AK92" s="218"/>
      <c r="AL92" s="218"/>
      <c r="AM92" s="225">
        <f>SUM(AG92:AK92)</f>
        <v>24144110.673739031</v>
      </c>
    </row>
    <row r="93" spans="2:39">
      <c r="B93" s="632" t="s">
        <v>715</v>
      </c>
      <c r="C93" s="118">
        <f t="shared" ref="C93:D93" si="130">C$78*AH17</f>
        <v>0</v>
      </c>
      <c r="D93" s="118">
        <f t="shared" si="130"/>
        <v>0</v>
      </c>
      <c r="E93" s="118">
        <f t="shared" si="115"/>
        <v>0</v>
      </c>
      <c r="F93" s="118">
        <f t="shared" si="114"/>
        <v>0</v>
      </c>
      <c r="G93" s="118">
        <f t="shared" si="114"/>
        <v>0</v>
      </c>
      <c r="H93" s="118">
        <f t="shared" si="114"/>
        <v>0</v>
      </c>
      <c r="I93" s="118"/>
      <c r="J93" s="225">
        <f t="shared" si="118"/>
        <v>0</v>
      </c>
      <c r="K93" s="218"/>
      <c r="R93" s="464"/>
      <c r="S93" s="220"/>
      <c r="T93" s="221"/>
      <c r="U93" s="220"/>
      <c r="V93" s="220"/>
      <c r="W93" s="221"/>
      <c r="X93" s="221"/>
      <c r="Y93" s="221"/>
      <c r="Z93" s="633"/>
      <c r="AF93" s="464"/>
      <c r="AG93" s="220"/>
      <c r="AH93" s="220"/>
      <c r="AI93" s="220"/>
      <c r="AJ93" s="221"/>
      <c r="AK93" s="221"/>
      <c r="AL93" s="221"/>
      <c r="AM93" s="633"/>
    </row>
    <row r="94" spans="2:39">
      <c r="B94" s="528"/>
      <c r="J94" s="230"/>
      <c r="S94" s="218"/>
      <c r="T94" s="218"/>
      <c r="U94" s="218"/>
      <c r="AG94" s="218"/>
      <c r="AH94" s="218"/>
      <c r="AI94" s="218"/>
    </row>
    <row r="95" spans="2:39">
      <c r="B95" s="528"/>
      <c r="C95" s="218">
        <f>SUM(C80:C91)</f>
        <v>0</v>
      </c>
      <c r="D95" s="218">
        <f>SUM(D80:D93)</f>
        <v>0</v>
      </c>
      <c r="E95" s="218">
        <f>SUM(E80:E93)</f>
        <v>0</v>
      </c>
      <c r="F95" s="218">
        <f>SUM(F80:F93)</f>
        <v>5367409.529865914</v>
      </c>
      <c r="G95" s="218">
        <f>SUM(G80:G93)</f>
        <v>12055754.947254319</v>
      </c>
      <c r="H95" s="218">
        <f>SUM(H80:H93)</f>
        <v>6720946.1966187982</v>
      </c>
      <c r="I95" s="218"/>
      <c r="J95" s="225">
        <f>SUM(J80:J94)</f>
        <v>24144110.673739031</v>
      </c>
      <c r="K95" s="218"/>
      <c r="AG95" s="218"/>
      <c r="AH95" s="218"/>
      <c r="AI95" s="218"/>
    </row>
    <row r="96" spans="2:39">
      <c r="B96" s="464"/>
      <c r="C96" s="221"/>
      <c r="D96" s="221"/>
      <c r="E96" s="221"/>
      <c r="F96" s="221"/>
      <c r="G96" s="221"/>
      <c r="H96" s="221"/>
      <c r="I96" s="221"/>
      <c r="J96" s="633"/>
    </row>
    <row r="98" spans="2:8" ht="14.5" thickBot="1"/>
    <row r="99" spans="2:8">
      <c r="B99" s="376"/>
      <c r="C99" s="634">
        <v>2020</v>
      </c>
      <c r="D99" s="634">
        <f>C99+1</f>
        <v>2021</v>
      </c>
      <c r="E99" s="634">
        <f t="shared" ref="E99:G99" si="131">D99+1</f>
        <v>2022</v>
      </c>
      <c r="F99" s="634">
        <f t="shared" si="131"/>
        <v>2023</v>
      </c>
      <c r="G99" s="634">
        <f t="shared" si="131"/>
        <v>2024</v>
      </c>
      <c r="H99" s="292" t="s">
        <v>744</v>
      </c>
    </row>
    <row r="100" spans="2:8">
      <c r="B100" s="106" t="s">
        <v>12</v>
      </c>
      <c r="H100" s="111"/>
    </row>
    <row r="101" spans="2:8">
      <c r="B101" s="112" t="s">
        <v>726</v>
      </c>
      <c r="C101" s="113">
        <v>43245011031.389999</v>
      </c>
      <c r="D101" s="113">
        <v>43371552787.290001</v>
      </c>
      <c r="E101" s="113">
        <v>43540648596.360001</v>
      </c>
      <c r="F101" s="113">
        <v>42707468723.251633</v>
      </c>
      <c r="G101" s="113">
        <v>44018957267.16188</v>
      </c>
      <c r="H101" s="110">
        <f>AVERAGE(C101:G101)</f>
        <v>43376727681.090698</v>
      </c>
    </row>
    <row r="102" spans="2:8">
      <c r="B102" s="112" t="s">
        <v>745</v>
      </c>
      <c r="C102" s="113">
        <f>SUMIFS('Monthly Data'!$D:$D,'Monthly Data'!$B:$B,'CDM-eDSM Framework'!C99)+SUMIFS('Monthly Data'!$J:$J,'Monthly Data'!$B:$B,'CDM-eDSM Framework'!C99)</f>
        <v>998404506.91255856</v>
      </c>
      <c r="D102" s="113">
        <f>SUMIFS('Monthly Data'!$D:$D,'Monthly Data'!$B:$B,'CDM-eDSM Framework'!D99)+SUMIFS('Monthly Data'!$J:$J,'Monthly Data'!$B:$B,'CDM-eDSM Framework'!D99)</f>
        <v>991064675.56226265</v>
      </c>
      <c r="E102" s="113">
        <f>SUMIFS('Monthly Data'!$D:$D,'Monthly Data'!$B:$B,'CDM-eDSM Framework'!E99)+SUMIFS('Monthly Data'!$J:$J,'Monthly Data'!$B:$B,'CDM-eDSM Framework'!E99)</f>
        <v>982932294.80007052</v>
      </c>
      <c r="F102" s="113">
        <f>SUMIFS('Monthly Data'!$D:$D,'Monthly Data'!$B:$B,'CDM-eDSM Framework'!F99)+SUMIFS('Monthly Data'!$J:$J,'Monthly Data'!$B:$B,'CDM-eDSM Framework'!F99)</f>
        <v>973857654.91850603</v>
      </c>
      <c r="G102" s="113">
        <f>SUMIFS('Monthly Data'!$D:$D,'Monthly Data'!$B:$B,'CDM-eDSM Framework'!G99)+SUMIFS('Monthly Data'!$J:$J,'Monthly Data'!$B:$B,'CDM-eDSM Framework'!G99)</f>
        <v>1016217792.2775432</v>
      </c>
      <c r="H102" s="110">
        <f t="shared" ref="H102:H103" si="132">AVERAGE(C102:G102)</f>
        <v>992495384.89418828</v>
      </c>
    </row>
    <row r="103" spans="2:8">
      <c r="B103" s="112" t="s">
        <v>746</v>
      </c>
      <c r="C103" s="113">
        <f>SUMIFS('Monthly Data'!$BC:$BC,'Monthly Data'!$B:$B,'CDM-eDSM Framework'!C99)</f>
        <v>376808883.61974311</v>
      </c>
      <c r="D103" s="113">
        <f>SUMIFS('Monthly Data'!$BC:$BC,'Monthly Data'!$B:$B,'CDM-eDSM Framework'!D99)</f>
        <v>377870468.70321423</v>
      </c>
      <c r="E103" s="113">
        <f>SUMIFS('Monthly Data'!$BC:$BC,'Monthly Data'!$B:$B,'CDM-eDSM Framework'!E99)</f>
        <v>376493215.67660195</v>
      </c>
      <c r="F103" s="113">
        <f>SUMIFS('Monthly Data'!$BC:$BC,'Monthly Data'!$B:$B,'CDM-eDSM Framework'!F99)</f>
        <v>375458413.71048301</v>
      </c>
      <c r="G103" s="113">
        <f>SUMIFS('Monthly Data'!$BC:$BC,'Monthly Data'!$B:$B,'CDM-eDSM Framework'!G99)</f>
        <v>392915024.61658382</v>
      </c>
      <c r="H103" s="110">
        <f t="shared" si="132"/>
        <v>379909201.26532519</v>
      </c>
    </row>
    <row r="104" spans="2:8">
      <c r="B104" s="112" t="s">
        <v>736</v>
      </c>
      <c r="C104" s="201">
        <f>C102/C101</f>
        <v>2.3087160416905724E-2</v>
      </c>
      <c r="D104" s="201">
        <f t="shared" ref="D104:G104" si="133">D102/D101</f>
        <v>2.2850569367963543E-2</v>
      </c>
      <c r="E104" s="201">
        <f t="shared" si="133"/>
        <v>2.2575049442011382E-2</v>
      </c>
      <c r="F104" s="201">
        <f t="shared" si="133"/>
        <v>2.2802982336162188E-2</v>
      </c>
      <c r="G104" s="201">
        <f t="shared" si="133"/>
        <v>2.308591241973015E-2</v>
      </c>
      <c r="H104" s="109">
        <f t="shared" ref="H104" si="134">H102/H101</f>
        <v>2.2880826608016554E-2</v>
      </c>
    </row>
    <row r="105" spans="2:8" ht="14.5" thickBot="1">
      <c r="B105" s="108" t="s">
        <v>737</v>
      </c>
      <c r="C105" s="649">
        <f>C103/C101</f>
        <v>8.7133492311108687E-3</v>
      </c>
      <c r="D105" s="649">
        <f t="shared" ref="D105:G105" si="135">D103/D101</f>
        <v>8.7124035091948309E-3</v>
      </c>
      <c r="E105" s="649">
        <f t="shared" si="135"/>
        <v>8.6469363184469607E-3</v>
      </c>
      <c r="F105" s="649">
        <f t="shared" si="135"/>
        <v>8.7913993719339455E-3</v>
      </c>
      <c r="G105" s="649">
        <f t="shared" si="135"/>
        <v>8.9260411652162929E-3</v>
      </c>
      <c r="H105" s="107">
        <f t="shared" ref="H105" si="136">H103/H101</f>
        <v>8.7583647171001269E-3</v>
      </c>
    </row>
    <row r="106" spans="2:8">
      <c r="B106" s="106" t="s">
        <v>545</v>
      </c>
      <c r="C106" s="113"/>
      <c r="D106" s="113"/>
      <c r="E106" s="113"/>
      <c r="F106" s="113"/>
      <c r="G106" s="113"/>
      <c r="H106" s="111"/>
    </row>
    <row r="107" spans="2:8">
      <c r="B107" s="112" t="s">
        <v>726</v>
      </c>
      <c r="C107" s="113">
        <v>12530281718.650002</v>
      </c>
      <c r="D107" s="113">
        <v>12853976851.250002</v>
      </c>
      <c r="E107" s="113">
        <v>13791653390.570002</v>
      </c>
      <c r="F107" s="113">
        <v>13739844025.43289</v>
      </c>
      <c r="G107" s="113">
        <v>13910618872.302979</v>
      </c>
      <c r="H107" s="110">
        <f>AVERAGE(C107:G107)</f>
        <v>13365274971.641174</v>
      </c>
    </row>
    <row r="108" spans="2:8">
      <c r="B108" s="112" t="s">
        <v>745</v>
      </c>
      <c r="C108" s="113">
        <f>SUMIFS('Monthly Data'!$P:$P,'Monthly Data'!$B:$B,'CDM-eDSM Framework'!C99)</f>
        <v>254394430.02200004</v>
      </c>
      <c r="D108" s="113">
        <f>SUMIFS('Monthly Data'!$P:$P,'Monthly Data'!$B:$B,'CDM-eDSM Framework'!D99)</f>
        <v>253491506.57862046</v>
      </c>
      <c r="E108" s="113">
        <f>SUMIFS('Monthly Data'!$P:$P,'Monthly Data'!$B:$B,'CDM-eDSM Framework'!E99)</f>
        <v>265787178.57022482</v>
      </c>
      <c r="F108" s="113">
        <f>SUMIFS('Monthly Data'!$P:$P,'Monthly Data'!$B:$B,'CDM-eDSM Framework'!F99)</f>
        <v>263510329.38142473</v>
      </c>
      <c r="G108" s="113">
        <f>SUMIFS('Monthly Data'!$P:$P,'Monthly Data'!$B:$B,'CDM-eDSM Framework'!G99)</f>
        <v>245688514.14038527</v>
      </c>
      <c r="H108" s="110">
        <f t="shared" ref="H108:H109" si="137">AVERAGE(C108:G108)</f>
        <v>256574391.73853102</v>
      </c>
    </row>
    <row r="109" spans="2:8">
      <c r="B109" s="112" t="s">
        <v>746</v>
      </c>
      <c r="C109" s="113">
        <f>SUMIFS('Monthly Data'!$BI:$BI,'Monthly Data'!$B:$B,'CDM-eDSM Framework'!C99)</f>
        <v>78127840.869743645</v>
      </c>
      <c r="D109" s="113">
        <f>SUMIFS('Monthly Data'!$BI:$BI,'Monthly Data'!$B:$B,'CDM-eDSM Framework'!D99)</f>
        <v>78970544.989649892</v>
      </c>
      <c r="E109" s="113">
        <f>SUMIFS('Monthly Data'!$BI:$BI,'Monthly Data'!$B:$B,'CDM-eDSM Framework'!E99)</f>
        <v>83688802.82709007</v>
      </c>
      <c r="F109" s="113">
        <f>SUMIFS('Monthly Data'!$BI:$BI,'Monthly Data'!$B:$B,'CDM-eDSM Framework'!F99)</f>
        <v>84916933.924258634</v>
      </c>
      <c r="G109" s="113">
        <f>SUMIFS('Monthly Data'!$BI:$BI,'Monthly Data'!$B:$B,'CDM-eDSM Framework'!G99)</f>
        <v>84569272.920165718</v>
      </c>
      <c r="H109" s="110">
        <f t="shared" si="137"/>
        <v>82054679.106181592</v>
      </c>
    </row>
    <row r="110" spans="2:8">
      <c r="B110" s="112" t="s">
        <v>736</v>
      </c>
      <c r="C110" s="201">
        <f>C108/C107</f>
        <v>2.0302371146481153E-2</v>
      </c>
      <c r="D110" s="201">
        <f t="shared" ref="D110:G110" si="138">D108/D107</f>
        <v>1.9720862229028316E-2</v>
      </c>
      <c r="E110" s="201">
        <f t="shared" si="138"/>
        <v>1.9271596453544572E-2</v>
      </c>
      <c r="F110" s="201">
        <f t="shared" si="138"/>
        <v>1.9178553183985109E-2</v>
      </c>
      <c r="G110" s="201">
        <f t="shared" si="138"/>
        <v>1.7661939874549247E-2</v>
      </c>
      <c r="H110" s="109">
        <f t="shared" ref="H110" si="139">H108/H107</f>
        <v>1.9197090391551087E-2</v>
      </c>
    </row>
    <row r="111" spans="2:8" ht="14.5" thickBot="1">
      <c r="B111" s="112" t="s">
        <v>737</v>
      </c>
      <c r="C111" s="201">
        <f>C109/C107</f>
        <v>6.2351224516731018E-3</v>
      </c>
      <c r="D111" s="201">
        <f t="shared" ref="D111:G111" si="140">D109/D107</f>
        <v>6.1436663457169905E-3</v>
      </c>
      <c r="E111" s="201">
        <f t="shared" si="140"/>
        <v>6.0680761368547744E-3</v>
      </c>
      <c r="F111" s="201">
        <f t="shared" si="140"/>
        <v>6.1803419141494382E-3</v>
      </c>
      <c r="G111" s="201">
        <f t="shared" si="140"/>
        <v>6.0794759526155298E-3</v>
      </c>
      <c r="H111" s="109">
        <f t="shared" ref="H111" si="141">H109/H107</f>
        <v>6.1393932620381975E-3</v>
      </c>
    </row>
    <row r="112" spans="2:8">
      <c r="B112" s="291" t="s">
        <v>747</v>
      </c>
      <c r="C112" s="580"/>
      <c r="D112" s="580"/>
      <c r="E112" s="580"/>
      <c r="F112" s="580"/>
      <c r="G112" s="580"/>
      <c r="H112" s="292"/>
    </row>
    <row r="113" spans="2:8">
      <c r="B113" s="112" t="s">
        <v>726</v>
      </c>
      <c r="C113" s="113">
        <v>48237791431.169998</v>
      </c>
      <c r="D113" s="113">
        <v>48842596890.82</v>
      </c>
      <c r="E113" s="113">
        <v>49862673590.640007</v>
      </c>
      <c r="F113" s="113">
        <v>49451770721.2575</v>
      </c>
      <c r="G113" s="113">
        <v>50091001093.409103</v>
      </c>
      <c r="H113" s="110">
        <f>AVERAGE(C113:G113)</f>
        <v>49297166745.459328</v>
      </c>
    </row>
    <row r="114" spans="2:8">
      <c r="B114" s="112" t="s">
        <v>745</v>
      </c>
      <c r="C114" s="113">
        <f>SUMIFS('Monthly Data'!$V:$V,'Monthly Data'!$B:$B,'CDM-eDSM Framework'!C99)+SUMIFS('Monthly Data'!$AB:$AB,'Monthly Data'!$B:$B,'CDM-eDSM Framework'!C99)</f>
        <v>944004327.1833055</v>
      </c>
      <c r="D114" s="113">
        <f>SUMIFS('Monthly Data'!$V:$V,'Monthly Data'!$B:$B,'CDM-eDSM Framework'!D99)+SUMIFS('Monthly Data'!$AB:$AB,'Monthly Data'!$B:$B,'CDM-eDSM Framework'!D99)</f>
        <v>973811959.41719067</v>
      </c>
      <c r="E114" s="113">
        <f>SUMIFS('Monthly Data'!$V:$V,'Monthly Data'!$B:$B,'CDM-eDSM Framework'!E99)+SUMIFS('Monthly Data'!$AB:$AB,'Monthly Data'!$B:$B,'CDM-eDSM Framework'!E99)</f>
        <v>998955028.77857447</v>
      </c>
      <c r="F114" s="113">
        <f>SUMIFS('Monthly Data'!$V:$V,'Monthly Data'!$B:$B,'CDM-eDSM Framework'!F99)+SUMIFS('Monthly Data'!$AB:$AB,'Monthly Data'!$B:$B,'CDM-eDSM Framework'!F99)</f>
        <v>995857363.19050455</v>
      </c>
      <c r="G114" s="113">
        <f>SUMIFS('Monthly Data'!$V:$V,'Monthly Data'!$B:$B,'CDM-eDSM Framework'!G99)+SUMIFS('Monthly Data'!$AB:$AB,'Monthly Data'!$B:$B,'CDM-eDSM Framework'!G99)</f>
        <v>1021379451.3345454</v>
      </c>
      <c r="H114" s="110">
        <f t="shared" ref="H114:H115" si="142">AVERAGE(C114:G114)</f>
        <v>986801625.98082411</v>
      </c>
    </row>
    <row r="115" spans="2:8">
      <c r="B115" s="112" t="s">
        <v>746</v>
      </c>
      <c r="C115" s="113">
        <f>SUMIFS('Monthly Data'!$BO:$BO,'Monthly Data'!$B:$B,'CDM-eDSM Framework'!C99)+SUMIFS('Monthly Data'!$BU:$BU,'Monthly Data'!$B:$B,'CDM-eDSM Framework'!C99)</f>
        <v>392585077.20213401</v>
      </c>
      <c r="D115" s="113">
        <f>SUMIFS('Monthly Data'!$BO:$BO,'Monthly Data'!$B:$B,'CDM-eDSM Framework'!D99)+SUMIFS('Monthly Data'!$BU:$BU,'Monthly Data'!$B:$B,'CDM-eDSM Framework'!D99)</f>
        <v>390353223.36948287</v>
      </c>
      <c r="E115" s="113">
        <f>SUMIFS('Monthly Data'!$BO:$BO,'Monthly Data'!$B:$B,'CDM-eDSM Framework'!E99)+SUMIFS('Monthly Data'!$BU:$BU,'Monthly Data'!$B:$B,'CDM-eDSM Framework'!E99)</f>
        <v>400360908.16746336</v>
      </c>
      <c r="F115" s="113">
        <f>SUMIFS('Monthly Data'!$BO:$BO,'Monthly Data'!$B:$B,'CDM-eDSM Framework'!F99)+SUMIFS('Monthly Data'!$BU:$BU,'Monthly Data'!$B:$B,'CDM-eDSM Framework'!F99)</f>
        <v>398432302.53453672</v>
      </c>
      <c r="G115" s="113">
        <f>SUMIFS('Monthly Data'!$BO:$BO,'Monthly Data'!$B:$B,'CDM-eDSM Framework'!G99)+SUMIFS('Monthly Data'!$BU:$BU,'Monthly Data'!$B:$B,'CDM-eDSM Framework'!G99)</f>
        <v>402949007.81162786</v>
      </c>
      <c r="H115" s="110">
        <f t="shared" si="142"/>
        <v>396936103.81704891</v>
      </c>
    </row>
    <row r="116" spans="2:8">
      <c r="B116" s="112" t="s">
        <v>736</v>
      </c>
      <c r="C116" s="201">
        <f>C114/C113</f>
        <v>1.9569808218319766E-2</v>
      </c>
      <c r="D116" s="201">
        <f t="shared" ref="D116:G116" si="143">D114/D113</f>
        <v>1.9937759689436566E-2</v>
      </c>
      <c r="E116" s="201">
        <f t="shared" si="143"/>
        <v>2.0034124864216941E-2</v>
      </c>
      <c r="F116" s="201">
        <f t="shared" si="143"/>
        <v>2.0137951556958546E-2</v>
      </c>
      <c r="G116" s="201">
        <f t="shared" si="143"/>
        <v>2.0390477910990221E-2</v>
      </c>
      <c r="H116" s="109">
        <f t="shared" ref="H116" si="144">H114/H113</f>
        <v>2.0017410555784459E-2</v>
      </c>
    </row>
    <row r="117" spans="2:8" ht="14.5" thickBot="1">
      <c r="B117" s="108" t="s">
        <v>737</v>
      </c>
      <c r="C117" s="649">
        <f>C115/C113</f>
        <v>8.1385375564366289E-3</v>
      </c>
      <c r="D117" s="649">
        <f t="shared" ref="D117:G117" si="145">D115/D113</f>
        <v>7.9920652917382044E-3</v>
      </c>
      <c r="E117" s="649">
        <f t="shared" si="145"/>
        <v>8.0292707818743446E-3</v>
      </c>
      <c r="F117" s="649">
        <f t="shared" si="145"/>
        <v>8.056987580492548E-3</v>
      </c>
      <c r="G117" s="649">
        <f t="shared" si="145"/>
        <v>8.0443392828227437E-3</v>
      </c>
      <c r="H117" s="107">
        <f t="shared" ref="H117" si="146">H115/H113</f>
        <v>8.051905008386916E-3</v>
      </c>
    </row>
    <row r="118" spans="2:8">
      <c r="B118" s="106" t="s">
        <v>17</v>
      </c>
      <c r="C118" s="113"/>
      <c r="D118" s="113"/>
      <c r="E118" s="113"/>
      <c r="F118" s="113"/>
      <c r="G118" s="113"/>
      <c r="H118" s="111"/>
    </row>
    <row r="119" spans="2:8">
      <c r="B119" s="112" t="s">
        <v>726</v>
      </c>
      <c r="C119" s="113">
        <v>7351887928.1700001</v>
      </c>
      <c r="D119" s="113">
        <v>7081964943.3099995</v>
      </c>
      <c r="E119" s="113">
        <v>7194218675.2500019</v>
      </c>
      <c r="F119" s="113">
        <v>7330642336.4099989</v>
      </c>
      <c r="G119" s="113">
        <v>7567471475.4099998</v>
      </c>
      <c r="H119" s="110">
        <f>AVERAGE(C119:G119)</f>
        <v>7305237071.710001</v>
      </c>
    </row>
    <row r="120" spans="2:8">
      <c r="B120" s="112" t="s">
        <v>745</v>
      </c>
      <c r="C120" s="113">
        <f>SUMIFS('Monthly Data'!$AG:$AG,'Monthly Data'!$B:$B,'CDM-eDSM Framework'!C99)</f>
        <v>262392771.64005709</v>
      </c>
      <c r="D120" s="113">
        <f>SUMIFS('Monthly Data'!$AG:$AG,'Monthly Data'!$B:$B,'CDM-eDSM Framework'!D99)</f>
        <v>282815639.36618131</v>
      </c>
      <c r="E120" s="113">
        <f>SUMIFS('Monthly Data'!$AG:$AG,'Monthly Data'!$B:$B,'CDM-eDSM Framework'!E99)</f>
        <v>287178352.97389549</v>
      </c>
      <c r="F120" s="113">
        <f>SUMIFS('Monthly Data'!$AG:$AG,'Monthly Data'!$B:$B,'CDM-eDSM Framework'!F99)</f>
        <v>301783249.88881892</v>
      </c>
      <c r="G120" s="113">
        <f>SUMIFS('Monthly Data'!$AG:$AG,'Monthly Data'!$B:$B,'CDM-eDSM Framework'!G99)</f>
        <v>319639648.58016247</v>
      </c>
      <c r="H120" s="110">
        <f t="shared" ref="H120" si="147">AVERAGE(C120:G120)</f>
        <v>290761932.4898231</v>
      </c>
    </row>
    <row r="121" spans="2:8">
      <c r="B121" s="112" t="s">
        <v>746</v>
      </c>
      <c r="H121" s="110"/>
    </row>
    <row r="122" spans="2:8">
      <c r="B122" s="112" t="s">
        <v>736</v>
      </c>
      <c r="C122" s="201">
        <f>C120/C119</f>
        <v>3.569052931759948E-2</v>
      </c>
      <c r="D122" s="201">
        <f t="shared" ref="D122:G122" si="148">D120/D119</f>
        <v>3.9934628543077444E-2</v>
      </c>
      <c r="E122" s="201">
        <f t="shared" si="148"/>
        <v>3.9917934933207451E-2</v>
      </c>
      <c r="F122" s="201">
        <f t="shared" si="148"/>
        <v>4.1167367883973155E-2</v>
      </c>
      <c r="G122" s="201">
        <f t="shared" si="148"/>
        <v>4.2238632761129061E-2</v>
      </c>
      <c r="H122" s="109">
        <f t="shared" ref="H122" si="149">H120/H119</f>
        <v>3.9801847583539392E-2</v>
      </c>
    </row>
    <row r="123" spans="2:8" ht="14.5" thickBot="1">
      <c r="B123" s="108" t="s">
        <v>737</v>
      </c>
      <c r="C123" s="649"/>
      <c r="D123" s="649"/>
      <c r="E123" s="649"/>
      <c r="F123" s="649"/>
      <c r="G123" s="649"/>
      <c r="H123" s="107"/>
    </row>
    <row r="124" spans="2:8">
      <c r="B124" s="291" t="s">
        <v>290</v>
      </c>
      <c r="C124" s="578"/>
      <c r="D124" s="635"/>
      <c r="E124" s="635"/>
      <c r="F124" s="636"/>
      <c r="G124" s="578"/>
      <c r="H124" s="292"/>
    </row>
    <row r="125" spans="2:8">
      <c r="B125" s="112" t="str">
        <f>B119</f>
        <v>Province</v>
      </c>
      <c r="C125" s="293">
        <f>C101+C107+C113+C119</f>
        <v>111364972109.37999</v>
      </c>
      <c r="D125" s="293">
        <f t="shared" ref="D125:G125" si="150">D101+D107+D113+D119</f>
        <v>112150091472.67</v>
      </c>
      <c r="E125" s="293">
        <f t="shared" si="150"/>
        <v>114389194252.82001</v>
      </c>
      <c r="F125" s="293">
        <f t="shared" si="150"/>
        <v>113229725806.35202</v>
      </c>
      <c r="G125" s="293">
        <f t="shared" si="150"/>
        <v>115588048708.28397</v>
      </c>
      <c r="H125" s="110">
        <f>AVERAGE(C125:G125)</f>
        <v>113344406469.9012</v>
      </c>
    </row>
    <row r="126" spans="2:8">
      <c r="B126" s="112" t="str">
        <f t="shared" ref="B126:B129" si="151">B120</f>
        <v>Veridian RZ</v>
      </c>
      <c r="C126" s="293">
        <f t="shared" ref="C126:G127" si="152">C102+C108+C114+C120</f>
        <v>2459196035.7579212</v>
      </c>
      <c r="D126" s="293">
        <f t="shared" si="152"/>
        <v>2501183780.9242554</v>
      </c>
      <c r="E126" s="293">
        <f t="shared" si="152"/>
        <v>2534852855.1227651</v>
      </c>
      <c r="F126" s="293">
        <f t="shared" si="152"/>
        <v>2535008597.3792543</v>
      </c>
      <c r="G126" s="293">
        <f t="shared" si="152"/>
        <v>2602925406.3326364</v>
      </c>
      <c r="H126" s="110">
        <f t="shared" ref="H126:H127" si="153">AVERAGE(C126:G126)</f>
        <v>2526633335.1033664</v>
      </c>
    </row>
    <row r="127" spans="2:8">
      <c r="B127" s="112" t="str">
        <f t="shared" si="151"/>
        <v>Whitby RZ</v>
      </c>
      <c r="C127" s="293">
        <f t="shared" si="152"/>
        <v>847521801.69162083</v>
      </c>
      <c r="D127" s="293">
        <f t="shared" si="152"/>
        <v>847194237.06234694</v>
      </c>
      <c r="E127" s="293">
        <f t="shared" si="152"/>
        <v>860542926.67115545</v>
      </c>
      <c r="F127" s="293">
        <f t="shared" si="152"/>
        <v>858807650.16927838</v>
      </c>
      <c r="G127" s="293">
        <f t="shared" si="152"/>
        <v>880433305.34837747</v>
      </c>
      <c r="H127" s="110">
        <f t="shared" si="153"/>
        <v>858899984.18855572</v>
      </c>
    </row>
    <row r="128" spans="2:8">
      <c r="B128" s="112" t="str">
        <f t="shared" si="151"/>
        <v>VRZ %</v>
      </c>
      <c r="C128" s="201">
        <f>C126/C125</f>
        <v>2.2082311782402803E-2</v>
      </c>
      <c r="D128" s="201">
        <f t="shared" ref="D128:H128" si="154">D126/D125</f>
        <v>2.23021109308125E-2</v>
      </c>
      <c r="E128" s="201">
        <f t="shared" si="154"/>
        <v>2.2159897809230996E-2</v>
      </c>
      <c r="F128" s="201">
        <f t="shared" si="154"/>
        <v>2.2388189844376044E-2</v>
      </c>
      <c r="G128" s="201">
        <f t="shared" si="154"/>
        <v>2.2518983886489728E-2</v>
      </c>
      <c r="H128" s="109">
        <f t="shared" si="154"/>
        <v>2.2291645558833274E-2</v>
      </c>
    </row>
    <row r="129" spans="2:36" ht="14.5" thickBot="1">
      <c r="B129" s="108" t="str">
        <f t="shared" si="151"/>
        <v>WRZ %</v>
      </c>
      <c r="C129" s="649">
        <f>C127/C125</f>
        <v>7.6103085704471362E-3</v>
      </c>
      <c r="D129" s="649">
        <f t="shared" ref="D129:H129" si="155">D127/D125</f>
        <v>7.5541109769741094E-3</v>
      </c>
      <c r="E129" s="649">
        <f t="shared" si="155"/>
        <v>7.5229389654516317E-3</v>
      </c>
      <c r="F129" s="649">
        <f t="shared" si="155"/>
        <v>7.584648324928652E-3</v>
      </c>
      <c r="G129" s="649">
        <f t="shared" si="155"/>
        <v>7.6169925454004014E-3</v>
      </c>
      <c r="H129" s="107">
        <f t="shared" si="155"/>
        <v>7.5777888908583951E-3</v>
      </c>
    </row>
    <row r="134" spans="2:36">
      <c r="S134" s="218"/>
      <c r="T134" s="218"/>
      <c r="U134" s="218"/>
      <c r="V134" s="218"/>
      <c r="AG134" s="218"/>
      <c r="AH134" s="218"/>
      <c r="AI134" s="218"/>
      <c r="AJ134" s="218"/>
    </row>
    <row r="135" spans="2:36">
      <c r="S135" s="218"/>
      <c r="T135" s="218"/>
      <c r="U135" s="218"/>
      <c r="V135" s="218"/>
      <c r="AG135" s="218"/>
      <c r="AH135" s="218"/>
      <c r="AI135" s="218"/>
      <c r="AJ135" s="218"/>
    </row>
    <row r="136" spans="2:36">
      <c r="S136" s="218"/>
      <c r="T136" s="218"/>
      <c r="U136" s="218"/>
      <c r="V136" s="218"/>
      <c r="AG136" s="218"/>
      <c r="AH136" s="218"/>
      <c r="AI136" s="218"/>
      <c r="AJ136" s="218"/>
    </row>
    <row r="137" spans="2:36">
      <c r="S137" s="218"/>
      <c r="T137" s="218"/>
      <c r="U137" s="218"/>
      <c r="V137" s="218"/>
      <c r="AG137" s="218"/>
      <c r="AH137" s="218"/>
      <c r="AI137" s="218"/>
      <c r="AJ137" s="218"/>
    </row>
    <row r="138" spans="2:36">
      <c r="S138" s="218"/>
      <c r="T138" s="218"/>
      <c r="U138" s="218"/>
      <c r="V138" s="218"/>
      <c r="AG138" s="218"/>
      <c r="AH138" s="218"/>
      <c r="AI138" s="218"/>
      <c r="AJ138" s="218"/>
    </row>
    <row r="139" spans="2:36">
      <c r="S139" s="218"/>
      <c r="T139" s="218"/>
      <c r="U139" s="218"/>
      <c r="V139" s="218"/>
      <c r="AG139" s="218"/>
      <c r="AH139" s="218"/>
      <c r="AI139" s="218"/>
      <c r="AJ139" s="218"/>
    </row>
    <row r="140" spans="2:36">
      <c r="S140" s="218"/>
      <c r="T140" s="218"/>
      <c r="U140" s="218"/>
      <c r="V140" s="218"/>
      <c r="AG140" s="218"/>
      <c r="AH140" s="218"/>
      <c r="AI140" s="218"/>
      <c r="AJ140" s="218"/>
    </row>
    <row r="141" spans="2:36">
      <c r="S141" s="218"/>
      <c r="T141" s="218"/>
      <c r="U141" s="218"/>
      <c r="AG141" s="218"/>
      <c r="AH141" s="218"/>
      <c r="AI141" s="218"/>
    </row>
    <row r="142" spans="2:36">
      <c r="S142" s="218"/>
      <c r="T142" s="218"/>
      <c r="U142" s="218"/>
      <c r="V142" s="218"/>
      <c r="AG142" s="218"/>
      <c r="AH142" s="218"/>
      <c r="AI142" s="218"/>
      <c r="AJ142" s="218"/>
    </row>
    <row r="143" spans="2:36">
      <c r="S143" s="218"/>
      <c r="T143" s="218"/>
      <c r="U143" s="218"/>
      <c r="AG143" s="218"/>
      <c r="AH143" s="218"/>
      <c r="AI143" s="218"/>
    </row>
    <row r="144" spans="2:36">
      <c r="S144" s="218"/>
      <c r="T144" s="218"/>
      <c r="U144" s="218"/>
      <c r="AG144" s="218"/>
      <c r="AH144" s="218"/>
      <c r="AI144" s="218"/>
    </row>
  </sheetData>
  <mergeCells count="4">
    <mergeCell ref="AY2:BC2"/>
    <mergeCell ref="G2:I2"/>
    <mergeCell ref="J2:M2"/>
    <mergeCell ref="C2:F2"/>
  </mergeCells>
  <hyperlinks>
    <hyperlink ref="G20" r:id="rId1" xr:uid="{FD67BB45-1D2E-4A5B-8608-FCE39E2A5F74}"/>
  </hyperlinks>
  <pageMargins left="0.7" right="0.7" top="0.75" bottom="0.75" header="0.3" footer="0.3"/>
  <ignoredErrors>
    <ignoredError sqref="F18:I18 AZ18:BC18 C43 E43 AJ61" formulaRange="1"/>
    <ignoredError sqref="J9:M9 J15:M16 AI62" formula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FB83C-3096-4A9F-AA1A-5FCE20759FFB}">
  <sheetPr codeName="Sheet41"/>
  <dimension ref="A2:BS63"/>
  <sheetViews>
    <sheetView topLeftCell="Z9" workbookViewId="0">
      <selection activeCell="G33" sqref="G33"/>
    </sheetView>
  </sheetViews>
  <sheetFormatPr defaultColWidth="8.81640625" defaultRowHeight="12.5"/>
  <cols>
    <col min="1" max="1" width="8.81640625" style="98"/>
    <col min="2" max="2" width="8.81640625" style="98" bestFit="1" customWidth="1"/>
    <col min="3" max="3" width="16" style="98" bestFit="1" customWidth="1"/>
    <col min="4" max="4" width="13.81640625" style="98" customWidth="1"/>
    <col min="5" max="6" width="11.81640625" style="98" customWidth="1"/>
    <col min="7" max="7" width="11.453125" style="98" customWidth="1"/>
    <col min="8" max="8" width="12.54296875" style="98" customWidth="1"/>
    <col min="9" max="9" width="8.81640625" style="98"/>
    <col min="10" max="10" width="8.81640625" style="98" bestFit="1" customWidth="1"/>
    <col min="11" max="11" width="11.1796875" style="98" customWidth="1"/>
    <col min="12" max="12" width="8.81640625" style="98" bestFit="1" customWidth="1"/>
    <col min="13" max="13" width="11.1796875" style="98" customWidth="1"/>
    <col min="14" max="14" width="10.81640625" style="98" customWidth="1"/>
    <col min="15" max="16" width="8.81640625" style="98" bestFit="1" customWidth="1"/>
    <col min="17" max="17" width="8.81640625" style="98"/>
    <col min="18" max="18" width="8.81640625" style="98" bestFit="1" customWidth="1"/>
    <col min="19" max="19" width="13" style="98" customWidth="1"/>
    <col min="20" max="21" width="12.54296875" style="98" customWidth="1"/>
    <col min="22" max="22" width="9.81640625" style="98" customWidth="1"/>
    <col min="23" max="23" width="8.81640625" style="98" bestFit="1" customWidth="1"/>
    <col min="24" max="24" width="10.1796875" style="98" customWidth="1"/>
    <col min="25" max="25" width="8.81640625" style="98"/>
    <col min="26" max="26" width="8.81640625" style="98" bestFit="1" customWidth="1"/>
    <col min="27" max="27" width="13.1796875" style="98" customWidth="1"/>
    <col min="28" max="28" width="14.81640625" style="98" customWidth="1"/>
    <col min="29" max="29" width="14.1796875" style="98" customWidth="1"/>
    <col min="30" max="30" width="10" style="98" customWidth="1"/>
    <col min="31" max="31" width="8.81640625" style="98" bestFit="1" customWidth="1"/>
    <col min="32" max="32" width="8.453125" style="98" customWidth="1"/>
    <col min="33" max="33" width="9.81640625" style="98" bestFit="1" customWidth="1"/>
    <col min="34" max="35" width="8.81640625" style="98" bestFit="1" customWidth="1"/>
    <col min="36" max="36" width="10" style="98" bestFit="1" customWidth="1"/>
    <col min="37" max="37" width="10.1796875" style="98" customWidth="1"/>
    <col min="38" max="38" width="8.81640625" style="98" bestFit="1" customWidth="1"/>
    <col min="39" max="41" width="8.81640625" style="98"/>
    <col min="42" max="42" width="8.81640625" style="98" bestFit="1" customWidth="1"/>
    <col min="43" max="43" width="16" style="98" bestFit="1" customWidth="1"/>
    <col min="44" max="44" width="13.81640625" style="98" customWidth="1"/>
    <col min="45" max="45" width="11.81640625" style="98" customWidth="1"/>
    <col min="46" max="46" width="10.1796875" style="98" bestFit="1" customWidth="1"/>
    <col min="47" max="47" width="10.1796875" style="98" customWidth="1"/>
    <col min="48" max="48" width="11.1796875" style="98" customWidth="1"/>
    <col min="49" max="49" width="8.81640625" style="98"/>
    <col min="50" max="50" width="8.81640625" style="98" bestFit="1" customWidth="1"/>
    <col min="51" max="51" width="11.1796875" style="98" customWidth="1"/>
    <col min="52" max="52" width="8.81640625" style="98" bestFit="1" customWidth="1"/>
    <col min="53" max="53" width="11.1796875" style="98" customWidth="1"/>
    <col min="54" max="54" width="10.81640625" style="98" customWidth="1"/>
    <col min="55" max="56" width="8.81640625" style="98" bestFit="1" customWidth="1"/>
    <col min="57" max="57" width="8.81640625" style="98"/>
    <col min="58" max="58" width="8.81640625" style="98" bestFit="1" customWidth="1"/>
    <col min="59" max="59" width="13.1796875" style="98" customWidth="1"/>
    <col min="60" max="60" width="14.81640625" style="98" customWidth="1"/>
    <col min="61" max="61" width="14.1796875" style="98" customWidth="1"/>
    <col min="62" max="62" width="10" style="98" customWidth="1"/>
    <col min="63" max="63" width="8.81640625" style="98" bestFit="1" customWidth="1"/>
    <col min="64" max="64" width="8.453125" style="98" customWidth="1"/>
    <col min="65" max="65" width="9.81640625" style="98" bestFit="1" customWidth="1"/>
    <col min="66" max="67" width="8.81640625" style="98" bestFit="1" customWidth="1"/>
    <col min="68" max="68" width="9.81640625" style="98" bestFit="1" customWidth="1"/>
    <col min="69" max="69" width="10.1796875" style="98" customWidth="1"/>
    <col min="70" max="70" width="8.81640625" style="98" bestFit="1" customWidth="1"/>
    <col min="71" max="16384" width="8.81640625" style="98"/>
  </cols>
  <sheetData>
    <row r="2" spans="1:71" ht="13">
      <c r="C2" s="833" t="s">
        <v>601</v>
      </c>
      <c r="D2" s="833"/>
      <c r="E2" s="833"/>
      <c r="F2" s="511"/>
      <c r="K2" s="833" t="s">
        <v>604</v>
      </c>
      <c r="L2" s="833"/>
      <c r="M2" s="833"/>
      <c r="N2" s="511"/>
      <c r="S2" s="833" t="s">
        <v>17</v>
      </c>
      <c r="T2" s="833"/>
      <c r="U2" s="833"/>
      <c r="V2" s="511"/>
      <c r="AA2" s="833" t="s">
        <v>748</v>
      </c>
      <c r="AB2" s="833"/>
      <c r="AC2" s="833"/>
      <c r="AD2" s="511"/>
      <c r="AH2" s="833" t="s">
        <v>749</v>
      </c>
      <c r="AI2" s="833"/>
      <c r="AJ2" s="833"/>
      <c r="AK2" s="511"/>
      <c r="AQ2" s="833" t="s">
        <v>601</v>
      </c>
      <c r="AR2" s="833"/>
      <c r="AS2" s="833"/>
      <c r="AT2" s="511"/>
      <c r="AY2" s="833" t="s">
        <v>604</v>
      </c>
      <c r="AZ2" s="833"/>
      <c r="BA2" s="833"/>
      <c r="BB2" s="511"/>
      <c r="BG2" s="833" t="s">
        <v>748</v>
      </c>
      <c r="BH2" s="833"/>
      <c r="BI2" s="833"/>
      <c r="BJ2" s="511"/>
      <c r="BN2" s="833" t="s">
        <v>749</v>
      </c>
      <c r="BO2" s="833"/>
      <c r="BP2" s="833"/>
      <c r="BQ2" s="511"/>
    </row>
    <row r="3" spans="1:71" ht="13">
      <c r="A3" s="76"/>
      <c r="B3" s="76"/>
      <c r="C3" s="147" t="s">
        <v>3</v>
      </c>
      <c r="D3" s="147" t="s">
        <v>602</v>
      </c>
      <c r="E3" s="147" t="s">
        <v>750</v>
      </c>
      <c r="F3" s="147" t="s">
        <v>751</v>
      </c>
      <c r="G3" s="512"/>
      <c r="H3" s="512"/>
      <c r="J3" s="76"/>
      <c r="K3" s="147" t="s">
        <v>3</v>
      </c>
      <c r="L3" s="147" t="s">
        <v>602</v>
      </c>
      <c r="M3" s="147" t="s">
        <v>750</v>
      </c>
      <c r="N3" s="147" t="s">
        <v>751</v>
      </c>
      <c r="O3" s="512"/>
      <c r="P3" s="512"/>
      <c r="R3" s="76"/>
      <c r="S3" s="147" t="s">
        <v>3</v>
      </c>
      <c r="T3" s="147" t="s">
        <v>602</v>
      </c>
      <c r="U3" s="147" t="s">
        <v>750</v>
      </c>
      <c r="V3" s="147" t="s">
        <v>751</v>
      </c>
      <c r="W3" s="512"/>
      <c r="X3" s="512"/>
      <c r="Z3" s="76"/>
      <c r="AA3" s="147" t="s">
        <v>3</v>
      </c>
      <c r="AB3" s="147" t="s">
        <v>602</v>
      </c>
      <c r="AC3" s="147" t="s">
        <v>750</v>
      </c>
      <c r="AD3" s="147" t="s">
        <v>751</v>
      </c>
      <c r="AF3" s="76"/>
      <c r="AG3" s="76"/>
      <c r="AH3" s="147" t="s">
        <v>3</v>
      </c>
      <c r="AI3" s="147" t="s">
        <v>602</v>
      </c>
      <c r="AJ3" s="147" t="s">
        <v>750</v>
      </c>
      <c r="AK3" s="147" t="s">
        <v>751</v>
      </c>
      <c r="AM3" s="76"/>
      <c r="AO3" s="76"/>
      <c r="AP3" s="76"/>
      <c r="AQ3" s="147" t="s">
        <v>3</v>
      </c>
      <c r="AR3" s="147" t="s">
        <v>602</v>
      </c>
      <c r="AS3" s="147" t="s">
        <v>750</v>
      </c>
      <c r="AT3" s="147" t="s">
        <v>751</v>
      </c>
      <c r="AU3" s="512"/>
      <c r="AV3" s="512"/>
      <c r="AX3" s="76"/>
      <c r="AY3" s="147" t="s">
        <v>3</v>
      </c>
      <c r="AZ3" s="147" t="s">
        <v>602</v>
      </c>
      <c r="BA3" s="147" t="s">
        <v>750</v>
      </c>
      <c r="BB3" s="147" t="s">
        <v>751</v>
      </c>
      <c r="BC3" s="512"/>
      <c r="BD3" s="512"/>
      <c r="BF3" s="76"/>
      <c r="BG3" s="147" t="s">
        <v>3</v>
      </c>
      <c r="BH3" s="147" t="s">
        <v>602</v>
      </c>
      <c r="BI3" s="147" t="s">
        <v>750</v>
      </c>
      <c r="BJ3" s="147" t="s">
        <v>751</v>
      </c>
      <c r="BL3" s="76"/>
      <c r="BM3" s="76"/>
      <c r="BN3" s="147" t="s">
        <v>3</v>
      </c>
      <c r="BO3" s="147" t="s">
        <v>602</v>
      </c>
      <c r="BP3" s="147" t="s">
        <v>750</v>
      </c>
      <c r="BQ3" s="147" t="s">
        <v>751</v>
      </c>
      <c r="BS3" s="76"/>
    </row>
    <row r="4" spans="1:71" ht="13">
      <c r="A4" s="76"/>
      <c r="B4" s="76"/>
      <c r="C4" s="147" t="s">
        <v>474</v>
      </c>
      <c r="D4" s="147" t="s">
        <v>476</v>
      </c>
      <c r="E4" s="147" t="s">
        <v>752</v>
      </c>
      <c r="F4" s="147"/>
      <c r="G4" s="512"/>
      <c r="H4" s="512"/>
      <c r="J4" s="76"/>
      <c r="K4" s="147" t="s">
        <v>474</v>
      </c>
      <c r="L4" s="147" t="s">
        <v>476</v>
      </c>
      <c r="M4" s="147" t="s">
        <v>752</v>
      </c>
      <c r="N4" s="147"/>
      <c r="O4" s="512"/>
      <c r="P4" s="512"/>
      <c r="R4" s="76"/>
      <c r="S4" s="147" t="s">
        <v>474</v>
      </c>
      <c r="T4" s="147" t="s">
        <v>476</v>
      </c>
      <c r="U4" s="147" t="s">
        <v>752</v>
      </c>
      <c r="V4" s="147"/>
      <c r="W4" s="512"/>
      <c r="X4" s="512"/>
      <c r="Z4" s="76"/>
      <c r="AA4" s="147" t="s">
        <v>474</v>
      </c>
      <c r="AB4" s="147" t="s">
        <v>476</v>
      </c>
      <c r="AC4" s="147" t="s">
        <v>752</v>
      </c>
      <c r="AD4" s="147"/>
      <c r="AF4" s="76"/>
      <c r="AG4" s="76"/>
      <c r="AH4" s="147" t="s">
        <v>474</v>
      </c>
      <c r="AI4" s="147" t="s">
        <v>476</v>
      </c>
      <c r="AJ4" s="147" t="s">
        <v>752</v>
      </c>
      <c r="AK4" s="147"/>
      <c r="AM4" s="76"/>
      <c r="AO4" s="76"/>
      <c r="AP4" s="76"/>
      <c r="AQ4" s="147" t="s">
        <v>474</v>
      </c>
      <c r="AR4" s="147" t="s">
        <v>476</v>
      </c>
      <c r="AS4" s="147" t="s">
        <v>752</v>
      </c>
      <c r="AT4" s="147"/>
      <c r="AU4" s="512"/>
      <c r="AV4" s="512"/>
      <c r="AX4" s="76"/>
      <c r="AY4" s="147" t="s">
        <v>474</v>
      </c>
      <c r="AZ4" s="147" t="s">
        <v>476</v>
      </c>
      <c r="BA4" s="147" t="s">
        <v>752</v>
      </c>
      <c r="BB4" s="147"/>
      <c r="BC4" s="512"/>
      <c r="BD4" s="512"/>
      <c r="BF4" s="76"/>
      <c r="BG4" s="147" t="s">
        <v>474</v>
      </c>
      <c r="BH4" s="147" t="s">
        <v>476</v>
      </c>
      <c r="BI4" s="147" t="s">
        <v>752</v>
      </c>
      <c r="BJ4" s="147"/>
      <c r="BL4" s="76"/>
      <c r="BM4" s="76"/>
      <c r="BN4" s="147" t="s">
        <v>474</v>
      </c>
      <c r="BO4" s="147" t="s">
        <v>476</v>
      </c>
      <c r="BP4" s="147" t="s">
        <v>752</v>
      </c>
      <c r="BQ4" s="147"/>
      <c r="BS4" s="76"/>
    </row>
    <row r="5" spans="1:71" ht="13">
      <c r="A5" s="508"/>
      <c r="B5" s="508">
        <v>2016</v>
      </c>
      <c r="C5" s="509">
        <f>'Normalized Annual Summary'!AG6</f>
        <v>927454086.06637979</v>
      </c>
      <c r="D5" s="509">
        <f>SUMIFS('Monthly Data'!AO:AO,'Monthly Data'!$B:$B,'kW Forecast'!B5)</f>
        <v>2342969.96</v>
      </c>
      <c r="E5" s="513">
        <f t="shared" ref="E5:E12" si="0">D5/C5</f>
        <v>2.5262382205217962E-3</v>
      </c>
      <c r="F5" s="514">
        <f>AVERAGE(E5:E5)</f>
        <v>2.5262382205217962E-3</v>
      </c>
      <c r="G5" s="485">
        <f t="shared" ref="G5:G14" si="1">C5/(D5/12*8760)</f>
        <v>0.54225409249634582</v>
      </c>
      <c r="H5" s="514"/>
      <c r="J5" s="508">
        <v>2016</v>
      </c>
      <c r="K5" s="509">
        <f>'Normalized Annual Summary'!AR6</f>
        <v>78366220.038373992</v>
      </c>
      <c r="L5" s="509">
        <f>SUMIFS('Monthly Data'!AP:AP,'Monthly Data'!$B:$B,'kW Forecast'!J5)</f>
        <v>223616.35</v>
      </c>
      <c r="M5" s="513">
        <f t="shared" ref="M5:M12" si="2">L5/K5</f>
        <v>2.8534788317019838E-3</v>
      </c>
      <c r="N5" s="514">
        <f>AVERAGE(M5:M5)</f>
        <v>2.8534788317019838E-3</v>
      </c>
      <c r="O5" s="485">
        <f t="shared" ref="O5:O13" si="3">K5/(L5/12*8760)</f>
        <v>0.48006769788495779</v>
      </c>
      <c r="P5" s="514"/>
      <c r="R5" s="508">
        <v>2016</v>
      </c>
      <c r="S5" s="509">
        <f>'Normalized Annual Summary'!BC6</f>
        <v>214289820.48699546</v>
      </c>
      <c r="T5" s="509">
        <f>SUMIFS('Monthly Data'!AQ:AQ,'Monthly Data'!$B:$B,'kW Forecast'!R5)</f>
        <v>421758</v>
      </c>
      <c r="U5" s="513">
        <f t="shared" ref="U5:U12" si="4">T5/S5</f>
        <v>1.9681662854610263E-3</v>
      </c>
      <c r="V5" s="514">
        <f>AVERAGE(U5:U5)</f>
        <v>1.9681662854610263E-3</v>
      </c>
      <c r="W5" s="485">
        <f t="shared" ref="W5:W13" si="5">S5/(T5/12*8760)</f>
        <v>0.69600979542119901</v>
      </c>
      <c r="X5" s="514"/>
      <c r="Z5" s="508">
        <v>2016</v>
      </c>
      <c r="AA5" s="509">
        <f>'Normalized Annual Summary'!BN6</f>
        <v>20696694.0755581</v>
      </c>
      <c r="AB5" s="509">
        <f>SUMIFS('Monthly Data'!AR:AR,'Monthly Data'!$B:$B,'kW Forecast'!Z5)</f>
        <v>57564.81</v>
      </c>
      <c r="AC5" s="513">
        <f t="shared" ref="AC5:AC12" si="6">AB5/AA5</f>
        <v>2.7813528957738977E-3</v>
      </c>
      <c r="AD5" s="514">
        <f>AVERAGE(AC5:AC5)</f>
        <v>2.7813528957738977E-3</v>
      </c>
      <c r="AE5" s="485">
        <f t="shared" ref="AE5:AE13" si="7">AA5/(AB5/12*8760)</f>
        <v>0.49251679489505135</v>
      </c>
      <c r="AF5" s="508"/>
      <c r="AG5" s="508">
        <v>2016</v>
      </c>
      <c r="AH5" s="509">
        <f>'Normalized Annual Summary'!BU6</f>
        <v>149076.16867010115</v>
      </c>
      <c r="AI5" s="509">
        <f>SUMIFS('Monthly Data'!AS:AS,'Monthly Data'!$B:$B,'kW Forecast'!AG5)</f>
        <v>1014</v>
      </c>
      <c r="AJ5" s="513">
        <f t="shared" ref="AJ5:AJ12" si="8">AI5/AH5</f>
        <v>6.8018920062531008E-3</v>
      </c>
      <c r="AK5" s="514">
        <f>AVERAGE(AJ5:AJ5)</f>
        <v>6.8018920062531008E-3</v>
      </c>
      <c r="AL5" s="485">
        <f t="shared" ref="AL5:AL14" si="9">AH5/(AI5/12*8760)</f>
        <v>0.20139440797344188</v>
      </c>
      <c r="AM5" s="508"/>
      <c r="AO5" s="508"/>
      <c r="AP5" s="508">
        <v>2016</v>
      </c>
      <c r="AQ5" s="509">
        <f>'Normalized Annual Summary'!DE6</f>
        <v>344664289.79645747</v>
      </c>
      <c r="AR5" s="509">
        <f>SUMIFS('Monthly Data'!CC:CC,'Monthly Data'!B:B,'kW Forecast'!AP5)</f>
        <v>847805.77999999991</v>
      </c>
      <c r="AS5" s="513">
        <f t="shared" ref="AS5:AS12" si="10">AR5/AQ5</f>
        <v>2.4598016246495224E-3</v>
      </c>
      <c r="AT5" s="514">
        <f>AVERAGE(AS5:AS5)</f>
        <v>2.4598016246495224E-3</v>
      </c>
      <c r="AU5" s="485">
        <f t="shared" ref="AU5:AU13" si="11">AQ5/(AR5/12*8760)</f>
        <v>0.5568997922317459</v>
      </c>
      <c r="AV5" s="514"/>
      <c r="AX5" s="508">
        <v>2016</v>
      </c>
      <c r="AY5" s="509">
        <f>'Normalized Annual Summary'!DP6</f>
        <v>60391954.021215044</v>
      </c>
      <c r="AZ5" s="509">
        <f>SUMIFS('Monthly Data'!CD:CD,'Monthly Data'!B:B,'kW Forecast'!AP5)</f>
        <v>93876.75</v>
      </c>
      <c r="BA5" s="513">
        <f t="shared" ref="BA5:BA12" si="12">AZ5/AY5</f>
        <v>1.5544578995907651E-3</v>
      </c>
      <c r="BB5" s="514">
        <f>AVERAGE(BA5:BA5)</f>
        <v>1.5544578995907651E-3</v>
      </c>
      <c r="BC5" s="485">
        <f t="shared" ref="BC5:BC13" si="13">AY5/(AZ5/12*8760)</f>
        <v>0.88124806343051654</v>
      </c>
      <c r="BD5" s="514"/>
      <c r="BF5" s="508">
        <v>2016</v>
      </c>
      <c r="BG5" s="509">
        <f>'Normalized Annual Summary'!EA6</f>
        <v>6040411.8327912744</v>
      </c>
      <c r="BH5" s="509">
        <f>SUMIFS('Monthly Data'!CE:CE,'Monthly Data'!B:B,'kW Forecast'!BF5)</f>
        <v>16142.07</v>
      </c>
      <c r="BI5" s="513">
        <f t="shared" ref="BI5:BI12" si="14">BH5/BG5</f>
        <v>2.6723459338269572E-3</v>
      </c>
      <c r="BJ5" s="514"/>
      <c r="BK5" s="485">
        <f t="shared" ref="BK5:BK13" si="15">BG5/(BH5/12*8760)</f>
        <v>0.51260691827307903</v>
      </c>
      <c r="BL5" s="508"/>
      <c r="BM5" s="508">
        <v>2016</v>
      </c>
      <c r="BN5" s="534">
        <f>'Normalized Annual Summary'!EH6</f>
        <v>30332.130602026107</v>
      </c>
      <c r="BO5" s="509">
        <f>SUMIFS('Monthly Data'!CF:CF,'Monthly Data'!B:B,'kW Forecast'!BF5)</f>
        <v>92.000000000000014</v>
      </c>
      <c r="BP5" s="513">
        <f t="shared" ref="BP5:BP12" si="16">BO5/BN5</f>
        <v>3.0330872963422705E-3</v>
      </c>
      <c r="BQ5" s="514">
        <f>AVERAGE(BP5:BP5)</f>
        <v>3.0330872963422705E-3</v>
      </c>
      <c r="BR5" s="485">
        <f t="shared" ref="BR5:BR14" si="17">BN5/(BO5/12*8760)</f>
        <v>0.45163982433034694</v>
      </c>
      <c r="BS5" s="508"/>
    </row>
    <row r="6" spans="1:71" ht="13">
      <c r="A6" s="508"/>
      <c r="B6" s="508">
        <f t="shared" ref="B6:B14" si="18">B5+1</f>
        <v>2017</v>
      </c>
      <c r="C6" s="509">
        <f>'Normalized Annual Summary'!AG7</f>
        <v>906283743.08643579</v>
      </c>
      <c r="D6" s="509">
        <f>SUMIFS('Monthly Data'!AO:AO,'Monthly Data'!$B:$B,'kW Forecast'!B6)</f>
        <v>2295183.8399999994</v>
      </c>
      <c r="E6" s="513">
        <f t="shared" si="0"/>
        <v>2.5325223557288268E-3</v>
      </c>
      <c r="F6" s="514">
        <f>AVERAGE(E5:E6)</f>
        <v>2.5293802881253113E-3</v>
      </c>
      <c r="G6" s="485">
        <f t="shared" si="1"/>
        <v>0.54090855727289378</v>
      </c>
      <c r="H6" s="514"/>
      <c r="J6" s="508">
        <f t="shared" ref="J6:J14" si="19">J5+1</f>
        <v>2017</v>
      </c>
      <c r="K6" s="509">
        <f>'Normalized Annual Summary'!AR7</f>
        <v>87507089.957190782</v>
      </c>
      <c r="L6" s="509">
        <f>SUMIFS('Monthly Data'!AP:AP,'Monthly Data'!$B:$B,'kW Forecast'!J6)</f>
        <v>200189.70000000004</v>
      </c>
      <c r="M6" s="513">
        <f t="shared" si="2"/>
        <v>2.2876969180204089E-3</v>
      </c>
      <c r="N6" s="514">
        <f>AVERAGE(M5:M6)</f>
        <v>2.5705878748611966E-3</v>
      </c>
      <c r="O6" s="485">
        <f t="shared" si="3"/>
        <v>0.5987956721487393</v>
      </c>
      <c r="P6" s="514"/>
      <c r="R6" s="508">
        <f t="shared" ref="R6:R14" si="20">R5+1</f>
        <v>2017</v>
      </c>
      <c r="S6" s="509">
        <f>'Normalized Annual Summary'!BC7</f>
        <v>222292495.33607462</v>
      </c>
      <c r="T6" s="509">
        <f>SUMIFS('Monthly Data'!AQ:AQ,'Monthly Data'!$B:$B,'kW Forecast'!R6)</f>
        <v>382866</v>
      </c>
      <c r="U6" s="513">
        <f t="shared" si="4"/>
        <v>1.7223523422199255E-3</v>
      </c>
      <c r="V6" s="514">
        <f>AVERAGE(U5:U6)</f>
        <v>1.8452593138404759E-3</v>
      </c>
      <c r="W6" s="485">
        <f t="shared" si="5"/>
        <v>0.79534423945626898</v>
      </c>
      <c r="X6" s="514"/>
      <c r="Z6" s="508">
        <f t="shared" ref="Z6:Z14" si="21">Z5+1</f>
        <v>2017</v>
      </c>
      <c r="AA6" s="509">
        <f>'Normalized Annual Summary'!BN7</f>
        <v>19519835.661133371</v>
      </c>
      <c r="AB6" s="509">
        <f>SUMIFS('Monthly Data'!AR:AR,'Monthly Data'!$B:$B,'kW Forecast'!Z6)</f>
        <v>54832.51</v>
      </c>
      <c r="AC6" s="513">
        <f t="shared" si="6"/>
        <v>2.8090661700179644E-3</v>
      </c>
      <c r="AD6" s="514">
        <f>AVERAGE(AC5:AC6)</f>
        <v>2.7952095328959313E-3</v>
      </c>
      <c r="AE6" s="485">
        <f t="shared" si="7"/>
        <v>0.48765779472182014</v>
      </c>
      <c r="AF6" s="508"/>
      <c r="AG6" s="508">
        <f t="shared" ref="AG6:AG14" si="22">AG5+1</f>
        <v>2017</v>
      </c>
      <c r="AH6" s="509">
        <f>'Normalized Annual Summary'!BU7</f>
        <v>297128.43922915473</v>
      </c>
      <c r="AI6" s="509">
        <f>SUMIFS('Monthly Data'!AS:AS,'Monthly Data'!$B:$B,'kW Forecast'!AG6)</f>
        <v>967.00000000000011</v>
      </c>
      <c r="AJ6" s="513">
        <f t="shared" si="8"/>
        <v>3.2544848366205009E-3</v>
      </c>
      <c r="AK6" s="514">
        <f>AVERAGE(AJ5:AJ6)</f>
        <v>5.0281884214368007E-3</v>
      </c>
      <c r="AL6" s="485">
        <f t="shared" si="9"/>
        <v>0.4209154697187385</v>
      </c>
      <c r="AM6" s="508"/>
      <c r="AO6" s="508"/>
      <c r="AP6" s="508">
        <f t="shared" ref="AP6:AP14" si="23">AP5+1</f>
        <v>2017</v>
      </c>
      <c r="AQ6" s="509">
        <f>'Normalized Annual Summary'!DE7</f>
        <v>329917316.99549681</v>
      </c>
      <c r="AR6" s="509">
        <f>SUMIFS('Monthly Data'!CC:CC,'Monthly Data'!B:B,'kW Forecast'!AP6)</f>
        <v>816193.45000000007</v>
      </c>
      <c r="AS6" s="513">
        <f t="shared" si="10"/>
        <v>2.4739333401257646E-3</v>
      </c>
      <c r="AT6" s="514">
        <f>AVERAGE(AS5:AS6)</f>
        <v>2.4668674823876435E-3</v>
      </c>
      <c r="AU6" s="485">
        <f t="shared" si="11"/>
        <v>0.55371864369999235</v>
      </c>
      <c r="AV6" s="514"/>
      <c r="AX6" s="508">
        <f t="shared" ref="AX6:AX14" si="24">AX5+1</f>
        <v>2017</v>
      </c>
      <c r="AY6" s="509">
        <f>'Normalized Annual Summary'!DP7</f>
        <v>58961813.114754111</v>
      </c>
      <c r="AZ6" s="509">
        <f>SUMIFS('Monthly Data'!CD:CD,'Monthly Data'!B:B,'kW Forecast'!AP6)</f>
        <v>90337.329999999987</v>
      </c>
      <c r="BA6" s="513">
        <f t="shared" si="12"/>
        <v>1.532132836963162E-3</v>
      </c>
      <c r="BB6" s="514">
        <f>AVERAGE(BA5:BA6)</f>
        <v>1.5432953682769637E-3</v>
      </c>
      <c r="BC6" s="485">
        <f t="shared" si="13"/>
        <v>0.89408893318534532</v>
      </c>
      <c r="BD6" s="514"/>
      <c r="BF6" s="508">
        <f t="shared" ref="BF6:BF14" si="25">BF5+1</f>
        <v>2017</v>
      </c>
      <c r="BG6" s="509">
        <f>'Normalized Annual Summary'!EA7</f>
        <v>4772411.8997512907</v>
      </c>
      <c r="BH6" s="509">
        <f>SUMIFS('Monthly Data'!CE:CE,'Monthly Data'!B:B,'kW Forecast'!BF6)</f>
        <v>12797.349999999999</v>
      </c>
      <c r="BI6" s="513">
        <f t="shared" si="14"/>
        <v>2.6815267141268588E-3</v>
      </c>
      <c r="BJ6" s="514">
        <f>AVERAGE(BI5:BI6)</f>
        <v>2.6769363239769082E-3</v>
      </c>
      <c r="BK6" s="485">
        <f t="shared" si="15"/>
        <v>0.51085189883878379</v>
      </c>
      <c r="BL6" s="508"/>
      <c r="BM6" s="508">
        <f t="shared" ref="BM6:BM14" si="26">BM5+1</f>
        <v>2017</v>
      </c>
      <c r="BN6" s="534">
        <f>'Normalized Annual Summary'!EH7</f>
        <v>29013.342314981488</v>
      </c>
      <c r="BO6" s="509">
        <f>SUMIFS('Monthly Data'!CF:CF,'Monthly Data'!B:B,'kW Forecast'!BF6)</f>
        <v>87.999999999999986</v>
      </c>
      <c r="BP6" s="513">
        <f t="shared" si="16"/>
        <v>3.0330872963422705E-3</v>
      </c>
      <c r="BQ6" s="514">
        <f>AVERAGE(BP5:BP6)</f>
        <v>3.0330872963422705E-3</v>
      </c>
      <c r="BR6" s="485">
        <f t="shared" si="17"/>
        <v>0.451639824330347</v>
      </c>
      <c r="BS6" s="508"/>
    </row>
    <row r="7" spans="1:71" ht="13">
      <c r="A7" s="508"/>
      <c r="B7" s="508">
        <f t="shared" si="18"/>
        <v>2018</v>
      </c>
      <c r="C7" s="509">
        <f>'Normalized Annual Summary'!AG8</f>
        <v>927588344.49577141</v>
      </c>
      <c r="D7" s="509">
        <f>SUMIFS('Monthly Data'!AO:AO,'Monthly Data'!$B:$B,'kW Forecast'!B7)</f>
        <v>2313760.27</v>
      </c>
      <c r="E7" s="513">
        <f t="shared" si="0"/>
        <v>2.4943826469248482E-3</v>
      </c>
      <c r="F7" s="514">
        <f t="shared" ref="F7:F13" si="27">AVERAGE(E5:E7)</f>
        <v>2.5177144077251569E-3</v>
      </c>
      <c r="G7" s="485">
        <f t="shared" si="1"/>
        <v>0.54917917881903155</v>
      </c>
      <c r="H7" s="514"/>
      <c r="J7" s="508">
        <f t="shared" si="19"/>
        <v>2018</v>
      </c>
      <c r="K7" s="509">
        <f>'Normalized Annual Summary'!AR8</f>
        <v>80858592.396544397</v>
      </c>
      <c r="L7" s="509">
        <f>SUMIFS('Monthly Data'!AP:AP,'Monthly Data'!$B:$B,'kW Forecast'!J7)</f>
        <v>189119.25000000003</v>
      </c>
      <c r="M7" s="513">
        <f t="shared" si="2"/>
        <v>2.3388887240644359E-3</v>
      </c>
      <c r="N7" s="514">
        <f t="shared" ref="N7:N12" si="28">AVERAGE(M5:M7)</f>
        <v>2.4933548245956098E-3</v>
      </c>
      <c r="O7" s="485">
        <f t="shared" si="3"/>
        <v>0.58568969083665157</v>
      </c>
      <c r="P7" s="514"/>
      <c r="R7" s="508">
        <f t="shared" si="20"/>
        <v>2018</v>
      </c>
      <c r="S7" s="509">
        <f>'Normalized Annual Summary'!BC8</f>
        <v>248469427.75455135</v>
      </c>
      <c r="T7" s="509">
        <f>SUMIFS('Monthly Data'!AQ:AQ,'Monthly Data'!$B:$B,'kW Forecast'!R7)</f>
        <v>423038</v>
      </c>
      <c r="U7" s="513">
        <f t="shared" si="4"/>
        <v>1.7025756602051456E-3</v>
      </c>
      <c r="V7" s="514">
        <f t="shared" ref="V7:V12" si="29">AVERAGE(U5:U7)</f>
        <v>1.7976980959620323E-3</v>
      </c>
      <c r="W7" s="485">
        <f t="shared" si="5"/>
        <v>0.80458275406895785</v>
      </c>
      <c r="X7" s="514"/>
      <c r="Z7" s="508">
        <f t="shared" si="21"/>
        <v>2018</v>
      </c>
      <c r="AA7" s="509">
        <f>'Normalized Annual Summary'!BN8</f>
        <v>15418262.659797747</v>
      </c>
      <c r="AB7" s="509">
        <f>SUMIFS('Monthly Data'!AR:AR,'Monthly Data'!$B:$B,'kW Forecast'!Z7)</f>
        <v>43114.93</v>
      </c>
      <c r="AC7" s="513">
        <f t="shared" si="6"/>
        <v>2.7963546186315631E-3</v>
      </c>
      <c r="AD7" s="514">
        <f t="shared" ref="AD7:AD13" si="30">AVERAGE(AC5:AC7)</f>
        <v>2.7955912281411419E-3</v>
      </c>
      <c r="AE7" s="485">
        <f t="shared" si="7"/>
        <v>0.48987456904482041</v>
      </c>
      <c r="AF7" s="508"/>
      <c r="AG7" s="508">
        <f t="shared" si="22"/>
        <v>2018</v>
      </c>
      <c r="AH7" s="509">
        <f>'Normalized Annual Summary'!BU8</f>
        <v>236464.57737073075</v>
      </c>
      <c r="AI7" s="509">
        <f>SUMIFS('Monthly Data'!AS:AS,'Monthly Data'!$B:$B,'kW Forecast'!AG7)</f>
        <v>720</v>
      </c>
      <c r="AJ7" s="513">
        <f t="shared" si="8"/>
        <v>3.0448535167750695E-3</v>
      </c>
      <c r="AK7" s="514">
        <f>AVERAGE(AJ5:AJ7)</f>
        <v>4.3670767865495565E-3</v>
      </c>
      <c r="AL7" s="485">
        <f t="shared" si="9"/>
        <v>0.44989455359728076</v>
      </c>
      <c r="AM7" s="508"/>
      <c r="AO7" s="508"/>
      <c r="AP7" s="508">
        <f t="shared" si="23"/>
        <v>2018</v>
      </c>
      <c r="AQ7" s="509">
        <f>'Normalized Annual Summary'!DE8</f>
        <v>336878004.7024917</v>
      </c>
      <c r="AR7" s="509">
        <f>SUMIFS('Monthly Data'!CC:CC,'Monthly Data'!B:B,'kW Forecast'!AP7)</f>
        <v>835852.88</v>
      </c>
      <c r="AS7" s="513">
        <f t="shared" si="10"/>
        <v>2.4811738027781596E-3</v>
      </c>
      <c r="AT7" s="514">
        <f t="shared" ref="AT7:AT12" si="31">AVERAGE(AS5:AS7)</f>
        <v>2.471636255851149E-3</v>
      </c>
      <c r="AU7" s="485">
        <f t="shared" si="11"/>
        <v>0.55210280398930567</v>
      </c>
      <c r="AV7" s="514"/>
      <c r="AX7" s="508">
        <f t="shared" si="24"/>
        <v>2018</v>
      </c>
      <c r="AY7" s="509">
        <f>'Normalized Annual Summary'!DP8</f>
        <v>69618715.207328841</v>
      </c>
      <c r="AZ7" s="509">
        <f>SUMIFS('Monthly Data'!CD:CD,'Monthly Data'!B:B,'kW Forecast'!AP7)</f>
        <v>114913.62000000001</v>
      </c>
      <c r="BA7" s="513">
        <f t="shared" si="12"/>
        <v>1.6506139140571633E-3</v>
      </c>
      <c r="BB7" s="514">
        <f t="shared" ref="BB7:BB13" si="32">AVERAGE(BA5:BA7)</f>
        <v>1.5790682168703638E-3</v>
      </c>
      <c r="BC7" s="485">
        <f t="shared" si="13"/>
        <v>0.82991122395881467</v>
      </c>
      <c r="BD7" s="514"/>
      <c r="BF7" s="508">
        <f t="shared" si="25"/>
        <v>2018</v>
      </c>
      <c r="BG7" s="509">
        <f>'Normalized Annual Summary'!EA8</f>
        <v>3647423.9429883291</v>
      </c>
      <c r="BH7" s="509">
        <f>SUMIFS('Monthly Data'!CE:CE,'Monthly Data'!B:B,'kW Forecast'!BF7)</f>
        <v>9791.36</v>
      </c>
      <c r="BI7" s="513">
        <f t="shared" si="14"/>
        <v>2.6844589916186034E-3</v>
      </c>
      <c r="BJ7" s="514">
        <f>AVERAGE(BI5:BI7)</f>
        <v>2.6794438798574734E-3</v>
      </c>
      <c r="BK7" s="485">
        <f t="shared" si="15"/>
        <v>0.51029388713912394</v>
      </c>
      <c r="BL7" s="508"/>
      <c r="BM7" s="508">
        <f t="shared" si="26"/>
        <v>2018</v>
      </c>
      <c r="BN7" s="534">
        <f>'Normalized Annual Summary'!EH8</f>
        <v>28683.645243220333</v>
      </c>
      <c r="BO7" s="509">
        <f>SUMIFS('Monthly Data'!CF:CF,'Monthly Data'!B:B,'kW Forecast'!BF7)</f>
        <v>87</v>
      </c>
      <c r="BP7" s="513">
        <f t="shared" si="16"/>
        <v>3.0330872963422709E-3</v>
      </c>
      <c r="BQ7" s="514">
        <f t="shared" ref="BQ7" si="33">AVERAGE(BP5:BP7)</f>
        <v>3.0330872963422705E-3</v>
      </c>
      <c r="BR7" s="485">
        <f t="shared" si="17"/>
        <v>0.45163982433034694</v>
      </c>
      <c r="BS7" s="508"/>
    </row>
    <row r="8" spans="1:71" ht="13">
      <c r="A8" s="508"/>
      <c r="B8" s="508">
        <f t="shared" si="18"/>
        <v>2019</v>
      </c>
      <c r="C8" s="509">
        <f>'Normalized Annual Summary'!AG9</f>
        <v>905509752.26774502</v>
      </c>
      <c r="D8" s="509">
        <f>SUMIFS('Monthly Data'!AO:AO,'Monthly Data'!$B:$B,'kW Forecast'!B8)</f>
        <v>2245850.48</v>
      </c>
      <c r="E8" s="513">
        <f t="shared" si="0"/>
        <v>2.4802057342568932E-3</v>
      </c>
      <c r="F8" s="514">
        <f t="shared" si="27"/>
        <v>2.5023702456368562E-3</v>
      </c>
      <c r="G8" s="485">
        <f t="shared" si="1"/>
        <v>0.55231829955794431</v>
      </c>
      <c r="H8" s="514"/>
      <c r="J8" s="508">
        <f t="shared" si="19"/>
        <v>2019</v>
      </c>
      <c r="K8" s="509">
        <f>'Normalized Annual Summary'!AR9</f>
        <v>89925973.080334738</v>
      </c>
      <c r="L8" s="509">
        <f>SUMIFS('Monthly Data'!AP:AP,'Monthly Data'!$B:$B,'kW Forecast'!J8)</f>
        <v>195386.42</v>
      </c>
      <c r="M8" s="513">
        <f t="shared" si="2"/>
        <v>2.1727473532641445E-3</v>
      </c>
      <c r="N8" s="514">
        <f t="shared" si="28"/>
        <v>2.2664443317829963E-3</v>
      </c>
      <c r="O8" s="485">
        <f t="shared" si="3"/>
        <v>0.63047505805986526</v>
      </c>
      <c r="P8" s="514"/>
      <c r="R8" s="508">
        <f t="shared" si="20"/>
        <v>2019</v>
      </c>
      <c r="S8" s="509">
        <f>'Normalized Annual Summary'!BC9</f>
        <v>257775123.13030541</v>
      </c>
      <c r="T8" s="509">
        <f>SUMIFS('Monthly Data'!AQ:AQ,'Monthly Data'!$B:$B,'kW Forecast'!R8)</f>
        <v>433414</v>
      </c>
      <c r="U8" s="513">
        <f t="shared" si="4"/>
        <v>1.6813647288257101E-3</v>
      </c>
      <c r="V8" s="514">
        <f t="shared" si="29"/>
        <v>1.7020975770835939E-3</v>
      </c>
      <c r="W8" s="485">
        <f t="shared" si="5"/>
        <v>0.81473281210993564</v>
      </c>
      <c r="X8" s="514"/>
      <c r="Z8" s="508">
        <f t="shared" si="21"/>
        <v>2019</v>
      </c>
      <c r="AA8" s="509">
        <f>'Normalized Annual Summary'!BN9</f>
        <v>13154878.992558671</v>
      </c>
      <c r="AB8" s="509">
        <f>SUMIFS('Monthly Data'!AR:AR,'Monthly Data'!$B:$B,'kW Forecast'!Z8)</f>
        <v>36690.920000000006</v>
      </c>
      <c r="AC8" s="513">
        <f t="shared" si="6"/>
        <v>2.7891491834136201E-3</v>
      </c>
      <c r="AD8" s="514">
        <f t="shared" si="30"/>
        <v>2.7981899906877159E-3</v>
      </c>
      <c r="AE8" s="485">
        <f t="shared" si="7"/>
        <v>0.49114010173599398</v>
      </c>
      <c r="AF8" s="508"/>
      <c r="AG8" s="508">
        <f t="shared" si="22"/>
        <v>2019</v>
      </c>
      <c r="AH8" s="509">
        <f>'Normalized Annual Summary'!BU9</f>
        <v>219210.48464033578</v>
      </c>
      <c r="AI8" s="509">
        <f>SUMIFS('Monthly Data'!AS:AS,'Monthly Data'!$B:$B,'kW Forecast'!AG8)</f>
        <v>629</v>
      </c>
      <c r="AJ8" s="513">
        <f t="shared" si="8"/>
        <v>2.8693883006189976E-3</v>
      </c>
      <c r="AK8" s="514">
        <f t="shared" ref="AK8:AK13" si="34">AVERAGE(AJ6:AJ8)</f>
        <v>3.0562422180048562E-3</v>
      </c>
      <c r="AL8" s="485">
        <f t="shared" si="9"/>
        <v>0.47740593819355748</v>
      </c>
      <c r="AM8" s="508"/>
      <c r="AO8" s="508"/>
      <c r="AP8" s="508">
        <f t="shared" si="23"/>
        <v>2019</v>
      </c>
      <c r="AQ8" s="509">
        <f>'Normalized Annual Summary'!DE9</f>
        <v>326553718.48934257</v>
      </c>
      <c r="AR8" s="509">
        <f>SUMIFS('Monthly Data'!CC:CC,'Monthly Data'!B:B,'kW Forecast'!AP8)</f>
        <v>811487.09999999986</v>
      </c>
      <c r="AS8" s="513">
        <f t="shared" si="10"/>
        <v>2.4850033977686387E-3</v>
      </c>
      <c r="AT8" s="514">
        <f t="shared" si="31"/>
        <v>2.4800368468908545E-3</v>
      </c>
      <c r="AU8" s="485">
        <f t="shared" si="11"/>
        <v>0.55125196807725596</v>
      </c>
      <c r="AV8" s="514"/>
      <c r="AX8" s="508">
        <f t="shared" si="24"/>
        <v>2019</v>
      </c>
      <c r="AY8" s="509">
        <f>'Normalized Annual Summary'!DP9</f>
        <v>76973824.001928642</v>
      </c>
      <c r="AZ8" s="509">
        <f>SUMIFS('Monthly Data'!CD:CD,'Monthly Data'!B:B,'kW Forecast'!AP8)</f>
        <v>147600.45000000001</v>
      </c>
      <c r="BA8" s="513">
        <f t="shared" si="12"/>
        <v>1.9175408252590097E-3</v>
      </c>
      <c r="BB8" s="514">
        <f t="shared" si="32"/>
        <v>1.7000958587597783E-3</v>
      </c>
      <c r="BC8" s="485">
        <f t="shared" si="13"/>
        <v>0.71438531876555877</v>
      </c>
      <c r="BD8" s="514"/>
      <c r="BF8" s="508">
        <f t="shared" si="25"/>
        <v>2019</v>
      </c>
      <c r="BG8" s="509">
        <f>'Normalized Annual Summary'!EA9</f>
        <v>3343338.8655060264</v>
      </c>
      <c r="BH8" s="509">
        <f>SUMIFS('Monthly Data'!CE:CE,'Monthly Data'!B:B,'kW Forecast'!BF8)</f>
        <v>8980.67</v>
      </c>
      <c r="BI8" s="513">
        <f t="shared" si="14"/>
        <v>2.6861381275633104E-3</v>
      </c>
      <c r="BJ8" s="514">
        <f t="shared" ref="BJ8:BJ13" si="35">AVERAGE(BI6:BI8)</f>
        <v>2.6840412777695906E-3</v>
      </c>
      <c r="BK8" s="485">
        <f t="shared" si="15"/>
        <v>0.50997489654088657</v>
      </c>
      <c r="BL8" s="508"/>
      <c r="BM8" s="508">
        <f t="shared" si="26"/>
        <v>2019</v>
      </c>
      <c r="BN8" s="534">
        <f>'Normalized Annual Summary'!EH9</f>
        <v>28353.948171459182</v>
      </c>
      <c r="BO8" s="509">
        <f>SUMIFS('Monthly Data'!CF:CF,'Monthly Data'!B:B,'kW Forecast'!BF8)</f>
        <v>86.000000000000014</v>
      </c>
      <c r="BP8" s="513">
        <f t="shared" si="16"/>
        <v>3.0330872963422713E-3</v>
      </c>
      <c r="BQ8" s="514">
        <f>AVERAGE(BP6:BP8)</f>
        <v>3.0330872963422705E-3</v>
      </c>
      <c r="BR8" s="485">
        <f t="shared" si="17"/>
        <v>0.45163982433034688</v>
      </c>
      <c r="BS8" s="508"/>
    </row>
    <row r="9" spans="1:71" ht="13">
      <c r="A9" s="508"/>
      <c r="B9" s="508">
        <f t="shared" si="18"/>
        <v>2020</v>
      </c>
      <c r="C9" s="509">
        <f>'Normalized Annual Summary'!AG10</f>
        <v>857792305.03628862</v>
      </c>
      <c r="D9" s="509">
        <f>SUMIFS('Monthly Data'!AO:AO,'Monthly Data'!$B:$B,'kW Forecast'!B9)</f>
        <v>2160161.04</v>
      </c>
      <c r="E9" s="513">
        <f t="shared" si="0"/>
        <v>2.5182798065653145E-3</v>
      </c>
      <c r="F9" s="514">
        <f t="shared" si="27"/>
        <v>2.4976227292490185E-3</v>
      </c>
      <c r="G9" s="485">
        <f t="shared" si="1"/>
        <v>0.54396775534128927</v>
      </c>
      <c r="H9" s="514"/>
      <c r="J9" s="508">
        <f t="shared" si="19"/>
        <v>2020</v>
      </c>
      <c r="K9" s="509">
        <f>'Normalized Annual Summary'!AR10</f>
        <v>86212022.147016823</v>
      </c>
      <c r="L9" s="509">
        <f>SUMIFS('Monthly Data'!AP:AP,'Monthly Data'!$B:$B,'kW Forecast'!J9)</f>
        <v>192683.53999999998</v>
      </c>
      <c r="M9" s="513">
        <f t="shared" si="2"/>
        <v>2.2349961780436835E-3</v>
      </c>
      <c r="N9" s="514">
        <f t="shared" si="28"/>
        <v>2.2488774184574213E-3</v>
      </c>
      <c r="O9" s="485">
        <f t="shared" si="3"/>
        <v>0.61291514820293169</v>
      </c>
      <c r="P9" s="514"/>
      <c r="R9" s="508">
        <f t="shared" si="20"/>
        <v>2020</v>
      </c>
      <c r="S9" s="509">
        <f>'Normalized Annual Summary'!BC10</f>
        <v>262392771.64005709</v>
      </c>
      <c r="T9" s="509">
        <f>SUMIFS('Monthly Data'!AQ:AQ,'Monthly Data'!$B:$B,'kW Forecast'!R9)</f>
        <v>453257</v>
      </c>
      <c r="U9" s="513">
        <f t="shared" si="4"/>
        <v>1.727398956788966E-3</v>
      </c>
      <c r="V9" s="514">
        <f t="shared" si="29"/>
        <v>1.7037797819399406E-3</v>
      </c>
      <c r="W9" s="485">
        <f t="shared" si="5"/>
        <v>0.79302063273503787</v>
      </c>
      <c r="X9" s="514"/>
      <c r="Z9" s="508">
        <f t="shared" si="21"/>
        <v>2020</v>
      </c>
      <c r="AA9" s="509">
        <f>'Normalized Annual Summary'!BN10</f>
        <v>11375771.341347072</v>
      </c>
      <c r="AB9" s="509">
        <f>SUMIFS('Monthly Data'!AR:AR,'Monthly Data'!$B:$B,'kW Forecast'!Z9)</f>
        <v>31667.35</v>
      </c>
      <c r="AC9" s="513">
        <f t="shared" si="6"/>
        <v>2.7837540901424341E-3</v>
      </c>
      <c r="AD9" s="514">
        <f t="shared" si="30"/>
        <v>2.7897526307292058E-3</v>
      </c>
      <c r="AE9" s="485">
        <f t="shared" si="7"/>
        <v>0.49209196263041299</v>
      </c>
      <c r="AF9" s="508"/>
      <c r="AG9" s="508">
        <f t="shared" si="22"/>
        <v>2020</v>
      </c>
      <c r="AH9" s="509">
        <f>'Normalized Annual Summary'!BU10</f>
        <v>219089.71570311007</v>
      </c>
      <c r="AI9" s="509">
        <f>SUMIFS('Monthly Data'!AS:AS,'Monthly Data'!$B:$B,'kW Forecast'!AG9)</f>
        <v>642</v>
      </c>
      <c r="AJ9" s="513">
        <f t="shared" si="8"/>
        <v>2.9303064178054731E-3</v>
      </c>
      <c r="AK9" s="514">
        <f t="shared" si="34"/>
        <v>2.9481827450665138E-3</v>
      </c>
      <c r="AL9" s="485">
        <f t="shared" si="9"/>
        <v>0.46748114988074524</v>
      </c>
      <c r="AM9" s="508"/>
      <c r="AO9" s="508"/>
      <c r="AP9" s="508">
        <f t="shared" si="23"/>
        <v>2020</v>
      </c>
      <c r="AQ9" s="509">
        <f>'Normalized Annual Summary'!DE10</f>
        <v>310262827.01891321</v>
      </c>
      <c r="AR9" s="509">
        <f>SUMIFS('Monthly Data'!CC:CC,'Monthly Data'!B:B,'kW Forecast'!AP9)</f>
        <v>783041.75999999989</v>
      </c>
      <c r="AS9" s="513">
        <f t="shared" si="10"/>
        <v>2.5238014090301145E-3</v>
      </c>
      <c r="AT9" s="514">
        <f t="shared" si="31"/>
        <v>2.4966595365256378E-3</v>
      </c>
      <c r="AU9" s="485">
        <f t="shared" si="11"/>
        <v>0.5427776562756822</v>
      </c>
      <c r="AV9" s="514"/>
      <c r="AX9" s="508">
        <f t="shared" si="24"/>
        <v>2020</v>
      </c>
      <c r="AY9" s="509">
        <f>'Normalized Annual Summary'!DP10</f>
        <v>82322250.183220834</v>
      </c>
      <c r="AZ9" s="509">
        <f>SUMIFS('Monthly Data'!CD:CD,'Monthly Data'!B:B,'kW Forecast'!AP9)</f>
        <v>146756.25999999998</v>
      </c>
      <c r="BA9" s="513">
        <f t="shared" si="12"/>
        <v>1.7827046718641843E-3</v>
      </c>
      <c r="BB9" s="514">
        <f t="shared" si="32"/>
        <v>1.7836198037267858E-3</v>
      </c>
      <c r="BC9" s="485">
        <f t="shared" si="13"/>
        <v>0.76841836750568271</v>
      </c>
      <c r="BD9" s="514"/>
      <c r="BF9" s="508">
        <f t="shared" si="25"/>
        <v>2020</v>
      </c>
      <c r="BG9" s="509">
        <f>'Normalized Annual Summary'!EA10</f>
        <v>3228914.1476946622</v>
      </c>
      <c r="BH9" s="509">
        <f>SUMIFS('Monthly Data'!CE:CE,'Monthly Data'!B:B,'kW Forecast'!BF9)</f>
        <v>9314.0300000000025</v>
      </c>
      <c r="BI9" s="513">
        <f t="shared" si="14"/>
        <v>2.8845703459319015E-3</v>
      </c>
      <c r="BJ9" s="514">
        <f t="shared" si="35"/>
        <v>2.7517224883712721E-3</v>
      </c>
      <c r="BK9" s="485">
        <f t="shared" si="15"/>
        <v>0.47489325945215466</v>
      </c>
      <c r="BL9" s="508"/>
      <c r="BM9" s="508">
        <f t="shared" si="26"/>
        <v>2020</v>
      </c>
      <c r="BN9" s="534">
        <f>'Normalized Annual Summary'!EH10</f>
        <v>23738.189166803026</v>
      </c>
      <c r="BO9" s="509">
        <f>SUMIFS('Monthly Data'!CF:CF,'Monthly Data'!B:B,'kW Forecast'!BF9)</f>
        <v>72</v>
      </c>
      <c r="BP9" s="513">
        <f t="shared" si="16"/>
        <v>3.0330872963422722E-3</v>
      </c>
      <c r="BQ9" s="514">
        <f>AVERAGE(BP7:BP9)</f>
        <v>3.0330872963422718E-3</v>
      </c>
      <c r="BR9" s="485">
        <f t="shared" si="17"/>
        <v>0.45163982433034677</v>
      </c>
      <c r="BS9" s="508"/>
    </row>
    <row r="10" spans="1:71">
      <c r="A10" s="508"/>
      <c r="B10" s="508">
        <f t="shared" si="18"/>
        <v>2021</v>
      </c>
      <c r="C10" s="509">
        <f>'Normalized Annual Summary'!AG11</f>
        <v>879197905.48144305</v>
      </c>
      <c r="D10" s="509">
        <f>SUMIFS('Monthly Data'!AO:AO,'Monthly Data'!$B:$B,'kW Forecast'!B10)</f>
        <v>2190090.0699999994</v>
      </c>
      <c r="E10" s="513">
        <f t="shared" si="0"/>
        <v>2.491009198663548E-3</v>
      </c>
      <c r="F10" s="514">
        <f t="shared" si="27"/>
        <v>2.4964982464952519E-3</v>
      </c>
      <c r="G10" s="485">
        <f t="shared" si="1"/>
        <v>0.54992290451338988</v>
      </c>
      <c r="H10" s="514"/>
      <c r="J10" s="508">
        <f t="shared" si="19"/>
        <v>2021</v>
      </c>
      <c r="K10" s="509">
        <f>'Normalized Annual Summary'!AR11</f>
        <v>94614053.935747579</v>
      </c>
      <c r="L10" s="509">
        <f>SUMIFS('Monthly Data'!AP:AP,'Monthly Data'!$B:$B,'kW Forecast'!J10)</f>
        <v>216388.10000000003</v>
      </c>
      <c r="M10" s="513">
        <f t="shared" si="2"/>
        <v>2.2870608646253466E-3</v>
      </c>
      <c r="N10" s="514">
        <f t="shared" si="28"/>
        <v>2.2316014653110581E-3</v>
      </c>
      <c r="O10" s="485">
        <f t="shared" si="3"/>
        <v>0.59896220292459657</v>
      </c>
      <c r="P10" s="514"/>
      <c r="R10" s="508">
        <f t="shared" si="20"/>
        <v>2021</v>
      </c>
      <c r="S10" s="509">
        <f>'Normalized Annual Summary'!BC11</f>
        <v>282815639.36618131</v>
      </c>
      <c r="T10" s="509">
        <f>SUMIFS('Monthly Data'!AQ:AQ,'Monthly Data'!$B:$B,'kW Forecast'!R10)</f>
        <v>481567</v>
      </c>
      <c r="U10" s="513">
        <f t="shared" si="4"/>
        <v>1.7027594410239856E-3</v>
      </c>
      <c r="V10" s="514">
        <f t="shared" si="29"/>
        <v>1.7038410422128873E-3</v>
      </c>
      <c r="W10" s="485">
        <f t="shared" si="5"/>
        <v>0.80449591451088232</v>
      </c>
      <c r="X10" s="514"/>
      <c r="Z10" s="508">
        <f t="shared" si="21"/>
        <v>2021</v>
      </c>
      <c r="AA10" s="509">
        <f>'Normalized Annual Summary'!BN11</f>
        <v>11145146.346117154</v>
      </c>
      <c r="AB10" s="509">
        <f>SUMIFS('Monthly Data'!AR:AR,'Monthly Data'!$B:$B,'kW Forecast'!Z10)</f>
        <v>31122.25</v>
      </c>
      <c r="AC10" s="513">
        <f t="shared" si="6"/>
        <v>2.7924487515448957E-3</v>
      </c>
      <c r="AD10" s="514">
        <f t="shared" si="30"/>
        <v>2.7884506750336501E-3</v>
      </c>
      <c r="AE10" s="485">
        <f t="shared" si="7"/>
        <v>0.49055976871223383</v>
      </c>
      <c r="AF10" s="508"/>
      <c r="AG10" s="508">
        <f t="shared" si="22"/>
        <v>2021</v>
      </c>
      <c r="AH10" s="509">
        <f>'Normalized Annual Summary'!BU11</f>
        <v>216801.46918526999</v>
      </c>
      <c r="AI10" s="509">
        <f>SUMIFS('Monthly Data'!AS:AS,'Monthly Data'!$B:$B,'kW Forecast'!AG10)</f>
        <v>632</v>
      </c>
      <c r="AJ10" s="513">
        <f t="shared" si="8"/>
        <v>2.9151093965139032E-3</v>
      </c>
      <c r="AK10" s="514">
        <f t="shared" si="34"/>
        <v>2.9049347049794581E-3</v>
      </c>
      <c r="AL10" s="485">
        <f t="shared" si="9"/>
        <v>0.46991821827915292</v>
      </c>
      <c r="AM10" s="508"/>
      <c r="AO10" s="508"/>
      <c r="AP10" s="508">
        <f t="shared" si="23"/>
        <v>2021</v>
      </c>
      <c r="AQ10" s="509">
        <f>'Normalized Annual Summary'!DE11</f>
        <v>304899663.70699489</v>
      </c>
      <c r="AR10" s="509">
        <f>SUMIFS('Monthly Data'!CC:CC,'Monthly Data'!B:B,'kW Forecast'!AP10)</f>
        <v>760128.48</v>
      </c>
      <c r="AS10" s="513">
        <f t="shared" si="10"/>
        <v>2.4930446651147335E-3</v>
      </c>
      <c r="AT10" s="514">
        <f t="shared" si="31"/>
        <v>2.5006164906378292E-3</v>
      </c>
      <c r="AU10" s="485">
        <f t="shared" si="11"/>
        <v>0.54947391551670699</v>
      </c>
      <c r="AV10" s="514"/>
      <c r="AX10" s="508">
        <f t="shared" si="24"/>
        <v>2021</v>
      </c>
      <c r="AY10" s="509">
        <f>'Normalized Annual Summary'!DP11</f>
        <v>85453559.662487954</v>
      </c>
      <c r="AZ10" s="509">
        <f>SUMIFS('Monthly Data'!CD:CD,'Monthly Data'!B:B,'kW Forecast'!AP10)</f>
        <v>151779.59</v>
      </c>
      <c r="BA10" s="513">
        <f t="shared" si="12"/>
        <v>1.776164627892354E-3</v>
      </c>
      <c r="BB10" s="514">
        <f t="shared" si="32"/>
        <v>1.8254700416718492E-3</v>
      </c>
      <c r="BC10" s="485">
        <f t="shared" si="13"/>
        <v>0.77124777297482128</v>
      </c>
      <c r="BD10" s="514"/>
      <c r="BF10" s="508">
        <f t="shared" si="25"/>
        <v>2021</v>
      </c>
      <c r="BG10" s="509">
        <f>'Normalized Annual Summary'!EA11</f>
        <v>3113190.396020662</v>
      </c>
      <c r="BH10" s="509">
        <f>SUMIFS('Monthly Data'!CE:CE,'Monthly Data'!B:B,'kW Forecast'!BF10)</f>
        <v>9362</v>
      </c>
      <c r="BI10" s="513">
        <f t="shared" si="14"/>
        <v>3.0072044459493012E-3</v>
      </c>
      <c r="BJ10" s="514">
        <f t="shared" si="35"/>
        <v>2.8593043064815047E-3</v>
      </c>
      <c r="BK10" s="485">
        <f t="shared" si="15"/>
        <v>0.45552706452793162</v>
      </c>
      <c r="BL10" s="508"/>
      <c r="BM10" s="508">
        <f t="shared" si="26"/>
        <v>2021</v>
      </c>
      <c r="BN10" s="509">
        <f>'Normalized Annual Summary'!EH11</f>
        <v>24367.361775396963</v>
      </c>
      <c r="BO10" s="509">
        <f>SUMIFS('Monthly Data'!CF:CF,'Monthly Data'!B:B,'kW Forecast'!BF10)</f>
        <v>71</v>
      </c>
      <c r="BP10" s="513">
        <f t="shared" si="16"/>
        <v>2.9137335692896674E-3</v>
      </c>
      <c r="BQ10" s="514">
        <f>AVERAGE(BP8:BP9)</f>
        <v>3.0330872963422718E-3</v>
      </c>
      <c r="BR10" s="485">
        <f t="shared" si="17"/>
        <v>0.47014010757084629</v>
      </c>
      <c r="BS10" s="508"/>
    </row>
    <row r="11" spans="1:71">
      <c r="A11" s="508"/>
      <c r="B11" s="508">
        <f t="shared" si="18"/>
        <v>2022</v>
      </c>
      <c r="C11" s="509">
        <f>'Normalized Annual Summary'!AG12</f>
        <v>894031405.22001076</v>
      </c>
      <c r="D11" s="509">
        <f>SUMIFS('Monthly Data'!AO:AO,'Monthly Data'!$B:$B,'kW Forecast'!B11)</f>
        <v>2248196.86</v>
      </c>
      <c r="E11" s="513">
        <f t="shared" si="0"/>
        <v>2.5146732507083961E-3</v>
      </c>
      <c r="F11" s="514">
        <f t="shared" si="27"/>
        <v>2.5079874186457528E-3</v>
      </c>
      <c r="G11" s="485">
        <f t="shared" si="1"/>
        <v>0.54474791637948705</v>
      </c>
      <c r="H11" s="514"/>
      <c r="J11" s="508">
        <f t="shared" si="19"/>
        <v>2022</v>
      </c>
      <c r="K11" s="509">
        <f>'Normalized Annual Summary'!AR12</f>
        <v>104923623.55856374</v>
      </c>
      <c r="L11" s="509">
        <f>SUMIFS('Monthly Data'!AP:AP,'Monthly Data'!$B:$B,'kW Forecast'!J11)</f>
        <v>228646.87000000002</v>
      </c>
      <c r="M11" s="513">
        <f t="shared" si="2"/>
        <v>2.1791743579307422E-3</v>
      </c>
      <c r="N11" s="514">
        <f t="shared" si="28"/>
        <v>2.233743800199924E-3</v>
      </c>
      <c r="O11" s="485">
        <f t="shared" si="3"/>
        <v>0.62861560788527182</v>
      </c>
      <c r="P11" s="514"/>
      <c r="R11" s="508">
        <f t="shared" si="20"/>
        <v>2022</v>
      </c>
      <c r="S11" s="509">
        <f>'Normalized Annual Summary'!BC12</f>
        <v>287178352.97389549</v>
      </c>
      <c r="T11" s="509">
        <f>SUMIFS('Monthly Data'!AQ:AQ,'Monthly Data'!$B:$B,'kW Forecast'!R11)</f>
        <v>490452</v>
      </c>
      <c r="U11" s="513">
        <f t="shared" si="4"/>
        <v>1.7078306735904363E-3</v>
      </c>
      <c r="V11" s="514">
        <f t="shared" si="29"/>
        <v>1.7126630238011294E-3</v>
      </c>
      <c r="W11" s="485">
        <f t="shared" si="5"/>
        <v>0.80210704426494217</v>
      </c>
      <c r="X11" s="514"/>
      <c r="Z11" s="508">
        <f t="shared" si="21"/>
        <v>2022</v>
      </c>
      <c r="AA11" s="509">
        <f>'Normalized Annual Summary'!BN12</f>
        <v>11108255.523755008</v>
      </c>
      <c r="AB11" s="509">
        <f>SUMIFS('Monthly Data'!AR:AR,'Monthly Data'!$B:$B,'kW Forecast'!Z11)</f>
        <v>31016.899999999998</v>
      </c>
      <c r="AC11" s="513">
        <f t="shared" si="6"/>
        <v>2.7922386133151463E-3</v>
      </c>
      <c r="AD11" s="514">
        <f t="shared" si="30"/>
        <v>2.7894804850008251E-3</v>
      </c>
      <c r="AE11" s="485">
        <f t="shared" si="7"/>
        <v>0.4905966872480968</v>
      </c>
      <c r="AF11" s="508"/>
      <c r="AG11" s="508">
        <f t="shared" si="22"/>
        <v>2022</v>
      </c>
      <c r="AH11" s="509">
        <f>'Normalized Annual Summary'!BU12</f>
        <v>206492.3201679069</v>
      </c>
      <c r="AI11" s="509">
        <f>SUMIFS('Monthly Data'!AS:AS,'Monthly Data'!$B:$B,'kW Forecast'!AG11)</f>
        <v>601</v>
      </c>
      <c r="AJ11" s="513">
        <f t="shared" si="8"/>
        <v>2.9105198658783225E-3</v>
      </c>
      <c r="AK11" s="514">
        <f t="shared" si="34"/>
        <v>2.9186452267325664E-3</v>
      </c>
      <c r="AL11" s="485">
        <f t="shared" si="9"/>
        <v>0.47065922131585919</v>
      </c>
      <c r="AM11" s="508"/>
      <c r="AO11" s="508"/>
      <c r="AP11" s="508">
        <f t="shared" si="23"/>
        <v>2022</v>
      </c>
      <c r="AQ11" s="509">
        <f>'Normalized Annual Summary'!DE12</f>
        <v>314844960.08646047</v>
      </c>
      <c r="AR11" s="509">
        <f>SUMIFS('Monthly Data'!CC:CC,'Monthly Data'!B:B,'kW Forecast'!AP11)</f>
        <v>795164.42999999993</v>
      </c>
      <c r="AS11" s="513">
        <f t="shared" si="10"/>
        <v>2.5255745868748782E-3</v>
      </c>
      <c r="AT11" s="514">
        <f t="shared" si="31"/>
        <v>2.5141402203399089E-3</v>
      </c>
      <c r="AU11" s="485">
        <f t="shared" si="11"/>
        <v>0.54239657811638242</v>
      </c>
      <c r="AV11" s="514"/>
      <c r="AX11" s="508">
        <f t="shared" si="24"/>
        <v>2022</v>
      </c>
      <c r="AY11" s="509">
        <f>'Normalized Annual Summary'!DP12</f>
        <v>85515948.081002906</v>
      </c>
      <c r="AZ11" s="509">
        <f>SUMIFS('Monthly Data'!CD:CD,'Monthly Data'!B:B,'kW Forecast'!AP11)</f>
        <v>164454.65</v>
      </c>
      <c r="BA11" s="513">
        <f t="shared" si="12"/>
        <v>1.9230874905839122E-3</v>
      </c>
      <c r="BB11" s="514">
        <f t="shared" si="32"/>
        <v>1.8273189301134835E-3</v>
      </c>
      <c r="BC11" s="485">
        <f t="shared" si="13"/>
        <v>0.71232485282440006</v>
      </c>
      <c r="BD11" s="514"/>
      <c r="BF11" s="508">
        <f t="shared" si="25"/>
        <v>2022</v>
      </c>
      <c r="BG11" s="509">
        <f>'Normalized Annual Summary'!EA12</f>
        <v>3428741.8882724312</v>
      </c>
      <c r="BH11" s="509">
        <f>SUMIFS('Monthly Data'!CE:CE,'Monthly Data'!B:B,'kW Forecast'!BF11)</f>
        <v>9581</v>
      </c>
      <c r="BI11" s="513">
        <f t="shared" si="14"/>
        <v>2.7943194070019013E-3</v>
      </c>
      <c r="BJ11" s="514">
        <f t="shared" si="35"/>
        <v>2.8953647329610348E-3</v>
      </c>
      <c r="BK11" s="485">
        <f t="shared" si="15"/>
        <v>0.49023136376825011</v>
      </c>
      <c r="BL11" s="508"/>
      <c r="BM11" s="508">
        <f t="shared" si="26"/>
        <v>2022</v>
      </c>
      <c r="BN11" s="509">
        <f>'Normalized Annual Summary'!EH12</f>
        <v>29649.448744324083</v>
      </c>
      <c r="BO11" s="509">
        <f>SUMIFS('Monthly Data'!CF:CF,'Monthly Data'!B:B,'kW Forecast'!BF11)</f>
        <v>95.000000000000014</v>
      </c>
      <c r="BP11" s="513">
        <f t="shared" si="16"/>
        <v>3.2041067886021406E-3</v>
      </c>
      <c r="BQ11" s="514">
        <f>AVERAGE(BP9,BP11)</f>
        <v>3.1185970424722062E-3</v>
      </c>
      <c r="BR11" s="485">
        <f t="shared" si="17"/>
        <v>0.42753350748845098</v>
      </c>
      <c r="BS11" s="508"/>
    </row>
    <row r="12" spans="1:71">
      <c r="A12" s="508"/>
      <c r="B12" s="508">
        <f t="shared" si="18"/>
        <v>2023</v>
      </c>
      <c r="C12" s="509">
        <f>'Normalized Annual Summary'!AG13</f>
        <v>890084578.42248416</v>
      </c>
      <c r="D12" s="509">
        <f>SUMIFS('Monthly Data'!AO:AO,'Monthly Data'!$B:$B,'kW Forecast'!B12)</f>
        <v>2217562.73</v>
      </c>
      <c r="E12" s="513">
        <f t="shared" si="0"/>
        <v>2.4914067536483259E-3</v>
      </c>
      <c r="F12" s="514">
        <f t="shared" si="27"/>
        <v>2.4990297343400899E-3</v>
      </c>
      <c r="G12" s="485">
        <f t="shared" si="1"/>
        <v>0.54983515304863495</v>
      </c>
      <c r="H12" s="198"/>
      <c r="J12" s="508">
        <f t="shared" si="19"/>
        <v>2023</v>
      </c>
      <c r="K12" s="509">
        <f>'Normalized Annual Summary'!AR13</f>
        <v>105772784.76802033</v>
      </c>
      <c r="L12" s="509">
        <f>SUMIFS('Monthly Data'!AP:AP,'Monthly Data'!$B:$B,'kW Forecast'!J12)</f>
        <v>234048.35</v>
      </c>
      <c r="M12" s="513">
        <f t="shared" si="2"/>
        <v>2.2127464121636975E-3</v>
      </c>
      <c r="N12" s="514">
        <f t="shared" si="28"/>
        <v>2.2263272115732621E-3</v>
      </c>
      <c r="O12" s="485">
        <f t="shared" si="3"/>
        <v>0.61907817640934826</v>
      </c>
      <c r="P12" s="514"/>
      <c r="R12" s="508">
        <f t="shared" si="20"/>
        <v>2023</v>
      </c>
      <c r="S12" s="509">
        <f>'Normalized Annual Summary'!BC13</f>
        <v>301783249.88881892</v>
      </c>
      <c r="T12" s="509">
        <f>SUMIFS('Monthly Data'!AQ:AQ,'Monthly Data'!$B:$B,'kW Forecast'!R12)</f>
        <v>518389.27999999997</v>
      </c>
      <c r="U12" s="513">
        <f t="shared" si="4"/>
        <v>1.7177536532958064E-3</v>
      </c>
      <c r="V12" s="514">
        <f t="shared" si="29"/>
        <v>1.7094479226367426E-3</v>
      </c>
      <c r="W12" s="485">
        <f t="shared" si="5"/>
        <v>0.79747349747754104</v>
      </c>
      <c r="X12" s="514"/>
      <c r="Z12" s="508">
        <f t="shared" si="21"/>
        <v>2023</v>
      </c>
      <c r="AA12" s="509">
        <f>'Normalized Annual Summary'!BN13</f>
        <v>11322769.347452775</v>
      </c>
      <c r="AB12" s="509">
        <f>SUMIFS('Monthly Data'!AR:AR,'Monthly Data'!$B:$B,'kW Forecast'!Z12)</f>
        <v>31561.47</v>
      </c>
      <c r="AC12" s="513">
        <f t="shared" si="6"/>
        <v>2.7874338009985359E-3</v>
      </c>
      <c r="AD12" s="514">
        <f t="shared" si="30"/>
        <v>2.7907070552861926E-3</v>
      </c>
      <c r="AE12" s="485">
        <f t="shared" si="7"/>
        <v>0.49144234858883729</v>
      </c>
      <c r="AF12" s="508"/>
      <c r="AG12" s="508">
        <f t="shared" si="22"/>
        <v>2023</v>
      </c>
      <c r="AH12" s="509">
        <f>'Normalized Annual Summary'!BU13</f>
        <v>208749.31310818545</v>
      </c>
      <c r="AI12" s="509">
        <f>SUMIFS('Monthly Data'!AS:AS,'Monthly Data'!$B:$B,'kW Forecast'!AG12)</f>
        <v>608</v>
      </c>
      <c r="AJ12" s="513">
        <f t="shared" si="8"/>
        <v>2.9125844341576384E-3</v>
      </c>
      <c r="AK12" s="514">
        <f t="shared" si="34"/>
        <v>2.9127378988499548E-3</v>
      </c>
      <c r="AL12" s="485">
        <f t="shared" si="9"/>
        <v>0.47032559730575307</v>
      </c>
      <c r="AM12" s="508"/>
      <c r="AO12" s="508"/>
      <c r="AP12" s="508">
        <f t="shared" si="23"/>
        <v>2023</v>
      </c>
      <c r="AQ12" s="509">
        <f>'Normalized Annual Summary'!DE13</f>
        <v>315729102.65025514</v>
      </c>
      <c r="AR12" s="509">
        <f>SUMIFS('Monthly Data'!CC:CC,'Monthly Data'!B:B,'kW Forecast'!AP12)</f>
        <v>773424.36</v>
      </c>
      <c r="AS12" s="513">
        <f t="shared" si="10"/>
        <v>2.449645450824186E-3</v>
      </c>
      <c r="AT12" s="514">
        <f t="shared" si="31"/>
        <v>2.4894215676045991E-3</v>
      </c>
      <c r="AU12" s="485">
        <f t="shared" si="11"/>
        <v>0.55920868599075768</v>
      </c>
      <c r="AV12" s="514"/>
      <c r="AX12" s="508">
        <f t="shared" si="24"/>
        <v>2023</v>
      </c>
      <c r="AY12" s="509">
        <f>'Normalized Annual Summary'!DP13</f>
        <v>82703199.884281576</v>
      </c>
      <c r="AZ12" s="509">
        <f>SUMIFS('Monthly Data'!CD:CD,'Monthly Data'!B:B,'kW Forecast'!AP12)</f>
        <v>160651.39000000001</v>
      </c>
      <c r="BA12" s="513">
        <f t="shared" si="12"/>
        <v>1.9425051294845138E-3</v>
      </c>
      <c r="BB12" s="514">
        <f t="shared" si="32"/>
        <v>1.8805857493202601E-3</v>
      </c>
      <c r="BC12" s="485">
        <f t="shared" si="13"/>
        <v>0.70520432245249876</v>
      </c>
      <c r="BD12" s="514"/>
      <c r="BF12" s="508">
        <f t="shared" si="25"/>
        <v>2023</v>
      </c>
      <c r="BG12" s="509">
        <f>'Normalized Annual Summary'!EA13</f>
        <v>3509109.9961737129</v>
      </c>
      <c r="BH12" s="509">
        <f>SUMIFS('Monthly Data'!CE:CE,'Monthly Data'!B:B,'kW Forecast'!BF12)</f>
        <v>9810</v>
      </c>
      <c r="BI12" s="513">
        <f t="shared" si="14"/>
        <v>2.7955806488530409E-3</v>
      </c>
      <c r="BJ12" s="514">
        <f t="shared" si="35"/>
        <v>2.8657015006014145E-3</v>
      </c>
      <c r="BK12" s="485">
        <f t="shared" si="15"/>
        <v>0.49001019314561783</v>
      </c>
      <c r="BL12" s="508"/>
      <c r="BM12" s="508">
        <f t="shared" si="26"/>
        <v>2023</v>
      </c>
      <c r="BN12" s="509">
        <f>'Normalized Annual Summary'!EH13</f>
        <v>29841.878706715124</v>
      </c>
      <c r="BO12" s="509">
        <f>SUMIFS('Monthly Data'!CF:CF,'Monthly Data'!B:B,'kW Forecast'!BF12)</f>
        <v>92.000000000000014</v>
      </c>
      <c r="BP12" s="513">
        <f t="shared" si="16"/>
        <v>3.0829158212246823E-3</v>
      </c>
      <c r="BQ12" s="514">
        <f>AVERAGE(BP11:BP12)</f>
        <v>3.1435113049134112E-3</v>
      </c>
      <c r="BR12" s="485">
        <f t="shared" si="17"/>
        <v>0.44434006412619292</v>
      </c>
      <c r="BS12" s="508"/>
    </row>
    <row r="13" spans="1:71">
      <c r="A13" s="508"/>
      <c r="B13" s="508">
        <f t="shared" si="18"/>
        <v>2024</v>
      </c>
      <c r="C13" s="509">
        <f>'Normalized Annual Summary'!AG14</f>
        <v>926699529.78917146</v>
      </c>
      <c r="D13" s="509">
        <f>SUMIFS('Monthly Data'!AO:AO,'Monthly Data'!$B:$B,'kW Forecast'!B13)</f>
        <v>2202593.3899999997</v>
      </c>
      <c r="E13" s="513">
        <f t="shared" ref="E13" si="36">D13/C13</f>
        <v>2.3768150508300142E-3</v>
      </c>
      <c r="F13" s="514">
        <f t="shared" si="27"/>
        <v>2.4609650183955788E-3</v>
      </c>
      <c r="G13" s="485">
        <f t="shared" si="1"/>
        <v>0.5763439663596277</v>
      </c>
      <c r="H13" s="198"/>
      <c r="J13" s="508">
        <f t="shared" si="19"/>
        <v>2024</v>
      </c>
      <c r="K13" s="509">
        <f>'Normalized Annual Summary'!AR14</f>
        <v>94679921.545373872</v>
      </c>
      <c r="L13" s="509">
        <f>SUMIFS('Monthly Data'!AP:AP,'Monthly Data'!$B:$B,'kW Forecast'!J13)</f>
        <v>215659.85000000003</v>
      </c>
      <c r="M13" s="513">
        <f t="shared" ref="M13" si="37">L13/K13</f>
        <v>2.2777780809276277E-3</v>
      </c>
      <c r="N13" s="514">
        <f t="shared" ref="N13" si="38">AVERAGE(M11:M13)</f>
        <v>2.2232329503406893E-3</v>
      </c>
      <c r="O13" s="485">
        <f t="shared" si="3"/>
        <v>0.60140319426585753</v>
      </c>
      <c r="P13" s="514"/>
      <c r="R13" s="508">
        <f t="shared" si="20"/>
        <v>2024</v>
      </c>
      <c r="S13" s="509">
        <f>'Normalized Annual Summary'!BC14</f>
        <v>319639648.58016247</v>
      </c>
      <c r="T13" s="509">
        <f>SUMIFS('Monthly Data'!AQ:AQ,'Monthly Data'!$B:$B,'kW Forecast'!R13)</f>
        <v>532510.09</v>
      </c>
      <c r="U13" s="513">
        <f>T13/S13</f>
        <v>1.6659700771334432E-3</v>
      </c>
      <c r="V13" s="514">
        <f t="shared" ref="V13" si="39">AVERAGE(U11:U13)</f>
        <v>1.6971848013398953E-3</v>
      </c>
      <c r="W13" s="485">
        <f t="shared" si="5"/>
        <v>0.82226147546160577</v>
      </c>
      <c r="X13" s="514"/>
      <c r="Z13" s="508">
        <f t="shared" si="21"/>
        <v>2024</v>
      </c>
      <c r="AA13" s="509">
        <f>'Normalized Annual Summary'!BN14</f>
        <v>11585951.65998855</v>
      </c>
      <c r="AB13" s="509">
        <f>SUMIFS('Monthly Data'!AR:AR,'Monthly Data'!$B:$B,'kW Forecast'!Z13)</f>
        <v>32173.850000000002</v>
      </c>
      <c r="AC13" s="513">
        <f t="shared" ref="AC13" si="40">AB13/AA13</f>
        <v>2.7769708474713072E-3</v>
      </c>
      <c r="AD13" s="514">
        <f t="shared" si="30"/>
        <v>2.7855477539283301E-3</v>
      </c>
      <c r="AE13" s="485">
        <f t="shared" si="7"/>
        <v>0.49329398432324895</v>
      </c>
      <c r="AF13" s="508"/>
      <c r="AG13" s="508">
        <f t="shared" si="22"/>
        <v>2024</v>
      </c>
      <c r="AH13" s="509">
        <f>'Normalized Annual Summary'!BU14</f>
        <v>85942.730394962797</v>
      </c>
      <c r="AI13" s="509">
        <f>SUMIFS('Monthly Data'!AS:AS,'Monthly Data'!$B:$B,'kW Forecast'!AG13)</f>
        <v>602</v>
      </c>
      <c r="AJ13" s="513">
        <f t="shared" ref="AJ13" si="41">AI13/AH13</f>
        <v>7.0046645857470211E-3</v>
      </c>
      <c r="AK13" s="514">
        <f t="shared" si="34"/>
        <v>4.2759229619276605E-3</v>
      </c>
      <c r="AL13" s="485">
        <f t="shared" si="9"/>
        <v>0.19556439811350929</v>
      </c>
      <c r="AM13" s="508"/>
      <c r="AO13" s="508"/>
      <c r="AP13" s="508">
        <f t="shared" si="23"/>
        <v>2024</v>
      </c>
      <c r="AQ13" s="509">
        <f>'Normalized Annual Summary'!DE14</f>
        <v>323457018.24557191</v>
      </c>
      <c r="AR13" s="509">
        <f>SUMIFS('Monthly Data'!CC:CC,'Monthly Data'!B:B,'kW Forecast'!AP13)</f>
        <v>765937.02</v>
      </c>
      <c r="AS13" s="513">
        <f t="shared" ref="AS13" si="42">AR13/AQ13</f>
        <v>2.3679715597282008E-3</v>
      </c>
      <c r="AT13" s="514">
        <f t="shared" ref="AT13" si="43">AVERAGE(AS11:AS13)</f>
        <v>2.4477305324757549E-3</v>
      </c>
      <c r="AU13" s="485">
        <f t="shared" si="11"/>
        <v>0.57849639623875593</v>
      </c>
      <c r="AV13" s="514"/>
      <c r="AX13" s="508">
        <f t="shared" si="24"/>
        <v>2024</v>
      </c>
      <c r="AY13" s="509">
        <f>'Normalized Annual Summary'!DP14</f>
        <v>79491989.566055939</v>
      </c>
      <c r="AZ13" s="509">
        <f>SUMIFS('Monthly Data'!CD:CD,'Monthly Data'!B:B,'kW Forecast'!AP13)</f>
        <v>160377.93</v>
      </c>
      <c r="BA13" s="513">
        <f t="shared" ref="BA13" si="44">AZ13/AY13</f>
        <v>2.0175357400852292E-3</v>
      </c>
      <c r="BB13" s="514">
        <f t="shared" si="32"/>
        <v>1.9610427867178849E-3</v>
      </c>
      <c r="BC13" s="485">
        <f t="shared" si="13"/>
        <v>0.67897831323709856</v>
      </c>
      <c r="BD13" s="514"/>
      <c r="BF13" s="508">
        <f t="shared" si="25"/>
        <v>2024</v>
      </c>
      <c r="BG13" s="509">
        <f>'Normalized Annual Summary'!EA14</f>
        <v>3547066.0034436584</v>
      </c>
      <c r="BH13" s="509">
        <f>SUMIFS('Monthly Data'!CE:CE,'Monthly Data'!B:B,'kW Forecast'!BF13)</f>
        <v>9886</v>
      </c>
      <c r="BI13" s="513">
        <f t="shared" ref="BI13" si="45">BH13/BG13</f>
        <v>2.7870922025139107E-3</v>
      </c>
      <c r="BJ13" s="514">
        <f t="shared" si="35"/>
        <v>2.792330752789618E-3</v>
      </c>
      <c r="BK13" s="485">
        <f t="shared" si="15"/>
        <v>0.49150258196088259</v>
      </c>
      <c r="BL13" s="508"/>
      <c r="BM13" s="508">
        <f t="shared" si="26"/>
        <v>2024</v>
      </c>
      <c r="BN13" s="509">
        <f>'Normalized Annual Summary'!EH14</f>
        <v>6038.9707289075932</v>
      </c>
      <c r="BO13" s="509">
        <f>SUMIFS('Monthly Data'!CF:CF,'Monthly Data'!B:B,'kW Forecast'!BF13)</f>
        <v>83</v>
      </c>
      <c r="BP13" s="513">
        <f t="shared" ref="BP13" si="46">BO13/BN13</f>
        <v>1.3744063968167984E-2</v>
      </c>
      <c r="BQ13" s="514">
        <f>AVERAGE(BP11,BP13)</f>
        <v>8.4740853783850621E-3</v>
      </c>
      <c r="BR13" s="485">
        <f t="shared" si="17"/>
        <v>9.9669429425773115E-2</v>
      </c>
      <c r="BS13" s="508"/>
    </row>
    <row r="14" spans="1:71">
      <c r="A14" s="508"/>
      <c r="B14" s="508">
        <f t="shared" si="18"/>
        <v>2025</v>
      </c>
      <c r="C14" s="509">
        <f>'Normalized Annual Summary'!AG15</f>
        <v>928770254.56307244</v>
      </c>
      <c r="D14" s="509">
        <f>SUMIFS('Monthly Data'!AO:AO,'Monthly Data'!$B:$B,'kW Forecast'!B14)</f>
        <v>2223580.19</v>
      </c>
      <c r="E14" s="513">
        <f t="shared" ref="E14" si="47">D14/C14</f>
        <v>2.394112191982347E-3</v>
      </c>
      <c r="F14" s="514">
        <f>AVERAGE(E12:E14)</f>
        <v>2.420777998820229E-3</v>
      </c>
      <c r="G14" s="485">
        <f t="shared" si="1"/>
        <v>0.57217995810145006</v>
      </c>
      <c r="H14" s="198"/>
      <c r="J14" s="508">
        <f t="shared" si="19"/>
        <v>2025</v>
      </c>
      <c r="K14" s="509">
        <f>'Normalized Annual Summary'!AR15</f>
        <v>95012917.659763187</v>
      </c>
      <c r="L14" s="509">
        <f>SUMIFS('Monthly Data'!AP:AP,'Monthly Data'!$B:$B,'kW Forecast'!J14)</f>
        <v>219427.96000000002</v>
      </c>
      <c r="M14" s="513">
        <f t="shared" ref="M14" si="48">L14/K14</f>
        <v>2.3094539711511785E-3</v>
      </c>
      <c r="N14" s="514">
        <f t="shared" ref="N14" si="49">AVERAGE(M12:M14)</f>
        <v>2.2666594880808347E-3</v>
      </c>
      <c r="O14" s="485">
        <f t="shared" ref="O14" si="50">K14/(L14/12*8760)</f>
        <v>0.59315449920649577</v>
      </c>
      <c r="P14" s="514"/>
      <c r="R14" s="508">
        <f t="shared" si="20"/>
        <v>2025</v>
      </c>
      <c r="S14" s="509">
        <f>'Normalized Annual Summary'!BC15</f>
        <v>320243428.7364316</v>
      </c>
      <c r="T14" s="509">
        <f>SUMIFS('Monthly Data'!AQ:AQ,'Monthly Data'!$B:$B,'kW Forecast'!R14)</f>
        <v>539128.64</v>
      </c>
      <c r="U14" s="513">
        <f>T14/S14</f>
        <v>1.6834963394165895E-3</v>
      </c>
      <c r="V14" s="514">
        <f t="shared" ref="V14" si="51">AVERAGE(U12:U14)</f>
        <v>1.6890733566152798E-3</v>
      </c>
      <c r="W14" s="485">
        <f t="shared" ref="W14" si="52">S14/(T14/12*8760)</f>
        <v>0.81370121313916965</v>
      </c>
      <c r="X14" s="514"/>
      <c r="Z14" s="508">
        <f t="shared" si="21"/>
        <v>2025</v>
      </c>
      <c r="AA14" s="509">
        <f>'Normalized Annual Summary'!BN15</f>
        <v>11654612.020606756</v>
      </c>
      <c r="AB14" s="509">
        <f>SUMIFS('Monthly Data'!AR:AR,'Monthly Data'!$B:$B,'kW Forecast'!Z14)</f>
        <v>32450.92</v>
      </c>
      <c r="AC14" s="513">
        <f t="shared" ref="AC14" si="53">AB14/AA14</f>
        <v>2.7843844087321714E-3</v>
      </c>
      <c r="AD14" s="514">
        <f t="shared" ref="AD14" si="54">AVERAGE(AC12:AC14)</f>
        <v>2.7829296857340047E-3</v>
      </c>
      <c r="AE14" s="485">
        <f t="shared" ref="AE14" si="55">AA14/(AB14/12*8760)</f>
        <v>0.49198056468157608</v>
      </c>
      <c r="AF14" s="508"/>
      <c r="AG14" s="508">
        <f t="shared" si="22"/>
        <v>2025</v>
      </c>
      <c r="AH14" s="509">
        <f>'Normalized Annual Summary'!BU15</f>
        <v>84532.818164472439</v>
      </c>
      <c r="AI14" s="509">
        <f>SUMIFS('Monthly Data'!AS:AS,'Monthly Data'!$B:$B,'kW Forecast'!AG14)</f>
        <v>592.1240377300727</v>
      </c>
      <c r="AJ14" s="513">
        <f t="shared" ref="AJ14" si="56">AI14/AH14</f>
        <v>7.0046645857470219E-3</v>
      </c>
      <c r="AK14" s="514">
        <f t="shared" ref="AK14" si="57">AVERAGE(AJ12:AJ14)</f>
        <v>5.6406378685505609E-3</v>
      </c>
      <c r="AL14" s="485">
        <f t="shared" si="9"/>
        <v>0.19556439811350926</v>
      </c>
      <c r="AM14" s="508"/>
      <c r="AO14" s="508"/>
      <c r="AP14" s="508">
        <f t="shared" si="23"/>
        <v>2025</v>
      </c>
      <c r="AQ14" s="509">
        <f>'Normalized Annual Summary'!DE15</f>
        <v>341652807.60852599</v>
      </c>
      <c r="AR14" s="509">
        <f>SUMIFS('Monthly Data'!CC:CC,'Monthly Data'!B:B,'kW Forecast'!AP14)</f>
        <v>796927.05999999994</v>
      </c>
      <c r="AS14" s="513">
        <f t="shared" ref="AS14" si="58">AR14/AQ14</f>
        <v>2.3325640599246534E-3</v>
      </c>
      <c r="AT14" s="514">
        <f t="shared" ref="AT14" si="59">AVERAGE(AS12:AS14)</f>
        <v>2.3833936901590134E-3</v>
      </c>
      <c r="AU14" s="485">
        <f t="shared" ref="AU14" si="60">AQ14/(AR14/12*8760)</f>
        <v>0.58727776751515215</v>
      </c>
      <c r="AV14" s="514"/>
      <c r="AX14" s="508">
        <f t="shared" si="24"/>
        <v>2025</v>
      </c>
      <c r="AY14" s="509">
        <f>'Normalized Annual Summary'!DP15</f>
        <v>79867037.608023137</v>
      </c>
      <c r="AZ14" s="509">
        <f>SUMIFS('Monthly Data'!CD:CD,'Monthly Data'!B:B,'kW Forecast'!AP14)</f>
        <v>150248.58000000002</v>
      </c>
      <c r="BA14" s="513">
        <f t="shared" ref="BA14" si="61">AZ14/AY14</f>
        <v>1.8812339170184349E-3</v>
      </c>
      <c r="BB14" s="514">
        <f t="shared" ref="BB14" si="62">AVERAGE(BA12:BA14)</f>
        <v>1.9470915955293927E-3</v>
      </c>
      <c r="BC14" s="485">
        <f t="shared" ref="BC14" si="63">AY14/(AZ14/12*8760)</f>
        <v>0.72817261123471777</v>
      </c>
      <c r="BD14" s="514"/>
      <c r="BF14" s="508">
        <f t="shared" si="25"/>
        <v>2025</v>
      </c>
      <c r="BG14" s="509">
        <f>'Normalized Annual Summary'!EA15</f>
        <v>3585601.999234742</v>
      </c>
      <c r="BH14" s="509">
        <f>SUMIFS('Monthly Data'!CE:CE,'Monthly Data'!B:B,'kW Forecast'!BF14)</f>
        <v>10022</v>
      </c>
      <c r="BI14" s="513">
        <f t="shared" ref="BI14" si="64">BH14/BG14</f>
        <v>2.7950676070960883E-3</v>
      </c>
      <c r="BJ14" s="514">
        <f t="shared" ref="BJ14" si="65">AVERAGE(BI12:BI14)</f>
        <v>2.7925801528210135E-3</v>
      </c>
      <c r="BK14" s="485">
        <f t="shared" ref="BK14" si="66">BG14/(BH14/12*8760)</f>
        <v>0.49010013576087974</v>
      </c>
      <c r="BL14" s="508"/>
      <c r="BM14" s="508">
        <f t="shared" si="26"/>
        <v>2025</v>
      </c>
      <c r="BN14" s="509">
        <f>'Normalized Annual Summary'!EH15</f>
        <v>6022.4698679931107</v>
      </c>
      <c r="BO14" s="509">
        <f>SUMIFS('Monthly Data'!CF:CF,'Monthly Data'!B:B,'kW Forecast'!BF14)</f>
        <v>82.773211112061517</v>
      </c>
      <c r="BP14" s="513">
        <f t="shared" ref="BP14" si="67">BO14/BN14</f>
        <v>1.3744063968167986E-2</v>
      </c>
      <c r="BQ14" s="514">
        <f>AVERAGE(BP12,BP14)</f>
        <v>8.4134898946963341E-3</v>
      </c>
      <c r="BR14" s="485">
        <f t="shared" si="17"/>
        <v>9.9669429425773115E-2</v>
      </c>
      <c r="BS14" s="508"/>
    </row>
    <row r="15" spans="1:71">
      <c r="A15" s="508"/>
      <c r="B15" s="508"/>
      <c r="C15" s="509"/>
      <c r="D15" s="509"/>
      <c r="E15" s="513"/>
      <c r="F15" s="513"/>
      <c r="G15" s="514"/>
      <c r="H15" s="514"/>
      <c r="J15" s="508"/>
      <c r="K15" s="509"/>
      <c r="L15" s="509"/>
      <c r="M15" s="513"/>
      <c r="N15" s="514"/>
      <c r="O15" s="514"/>
      <c r="P15" s="514"/>
      <c r="R15" s="508"/>
      <c r="S15" s="509"/>
      <c r="T15" s="509"/>
      <c r="U15" s="513"/>
      <c r="V15" s="514"/>
      <c r="W15" s="514"/>
      <c r="X15" s="514"/>
      <c r="Z15" s="508"/>
      <c r="AA15" s="509"/>
      <c r="AB15" s="509"/>
      <c r="AC15" s="513"/>
      <c r="AD15" s="514"/>
      <c r="AE15" s="514"/>
      <c r="AF15" s="508"/>
      <c r="AG15" s="508"/>
      <c r="AH15" s="509"/>
      <c r="AI15" s="509"/>
      <c r="AJ15" s="513"/>
      <c r="AK15" s="514"/>
      <c r="AL15" s="514"/>
      <c r="AM15" s="508"/>
      <c r="AO15" s="508"/>
      <c r="AP15" s="508"/>
      <c r="AQ15" s="509"/>
      <c r="AR15" s="509"/>
      <c r="AS15" s="513"/>
      <c r="AT15" s="514"/>
      <c r="AU15" s="514"/>
      <c r="AV15" s="514"/>
      <c r="AX15" s="508"/>
      <c r="AY15" s="509"/>
      <c r="AZ15" s="509"/>
      <c r="BA15" s="513"/>
      <c r="BB15" s="514"/>
      <c r="BC15" s="514"/>
      <c r="BD15" s="514"/>
      <c r="BF15" s="508"/>
      <c r="BG15" s="509"/>
      <c r="BH15" s="509"/>
      <c r="BI15" s="513"/>
      <c r="BJ15" s="514"/>
      <c r="BK15" s="514"/>
      <c r="BL15" s="508"/>
      <c r="BM15" s="508"/>
      <c r="BN15" s="509"/>
      <c r="BO15" s="509"/>
      <c r="BP15" s="513"/>
      <c r="BQ15" s="514"/>
      <c r="BR15" s="514"/>
      <c r="BS15" s="508"/>
    </row>
    <row r="16" spans="1:71">
      <c r="B16" s="508"/>
      <c r="C16" s="508" t="s">
        <v>753</v>
      </c>
      <c r="D16" s="593" t="s">
        <v>754</v>
      </c>
      <c r="E16" s="98" t="s">
        <v>755</v>
      </c>
      <c r="F16" s="98" t="s">
        <v>756</v>
      </c>
      <c r="G16" s="98" t="s">
        <v>652</v>
      </c>
      <c r="H16" s="98" t="s">
        <v>757</v>
      </c>
      <c r="J16" s="508"/>
      <c r="K16" s="508" t="s">
        <v>753</v>
      </c>
      <c r="L16" s="593" t="s">
        <v>754</v>
      </c>
      <c r="M16" s="98" t="s">
        <v>755</v>
      </c>
      <c r="N16" s="98" t="s">
        <v>756</v>
      </c>
      <c r="O16" s="98" t="s">
        <v>652</v>
      </c>
      <c r="P16" s="98" t="s">
        <v>757</v>
      </c>
      <c r="R16" s="508"/>
      <c r="S16" s="508" t="s">
        <v>753</v>
      </c>
      <c r="T16" s="593" t="s">
        <v>754</v>
      </c>
      <c r="U16" s="98" t="s">
        <v>755</v>
      </c>
      <c r="V16" s="98" t="s">
        <v>756</v>
      </c>
      <c r="W16" s="98" t="s">
        <v>652</v>
      </c>
      <c r="X16" s="98" t="s">
        <v>757</v>
      </c>
      <c r="Z16" s="508"/>
      <c r="AA16" s="508" t="s">
        <v>753</v>
      </c>
      <c r="AB16" s="593" t="s">
        <v>754</v>
      </c>
      <c r="AC16" s="98" t="s">
        <v>755</v>
      </c>
      <c r="AD16" s="98" t="s">
        <v>758</v>
      </c>
      <c r="AF16" s="508"/>
      <c r="AG16" s="508"/>
      <c r="AH16" s="508" t="s">
        <v>753</v>
      </c>
      <c r="AI16" s="593" t="s">
        <v>754</v>
      </c>
      <c r="AJ16" s="98" t="s">
        <v>755</v>
      </c>
      <c r="AK16" s="98" t="s">
        <v>758</v>
      </c>
      <c r="AM16" s="508"/>
      <c r="AP16" s="508"/>
      <c r="AQ16" s="508" t="s">
        <v>753</v>
      </c>
      <c r="AR16" s="593" t="s">
        <v>754</v>
      </c>
      <c r="AS16" s="98" t="s">
        <v>755</v>
      </c>
      <c r="AT16" s="98" t="s">
        <v>756</v>
      </c>
      <c r="AU16" s="98" t="s">
        <v>652</v>
      </c>
      <c r="AV16" s="98" t="s">
        <v>757</v>
      </c>
      <c r="AX16" s="508"/>
      <c r="AY16" s="508" t="s">
        <v>753</v>
      </c>
      <c r="AZ16" s="593" t="s">
        <v>754</v>
      </c>
      <c r="BA16" s="98" t="s">
        <v>755</v>
      </c>
      <c r="BB16" s="98" t="s">
        <v>756</v>
      </c>
      <c r="BC16" s="98" t="s">
        <v>652</v>
      </c>
      <c r="BD16" s="98" t="s">
        <v>757</v>
      </c>
      <c r="BF16" s="508"/>
      <c r="BG16" s="508" t="s">
        <v>753</v>
      </c>
      <c r="BH16" s="593" t="s">
        <v>754</v>
      </c>
      <c r="BI16" s="98" t="s">
        <v>755</v>
      </c>
      <c r="BJ16" s="98" t="s">
        <v>758</v>
      </c>
      <c r="BL16" s="508"/>
      <c r="BM16" s="508"/>
      <c r="BN16" s="508" t="s">
        <v>753</v>
      </c>
      <c r="BO16" s="508" t="s">
        <v>754</v>
      </c>
      <c r="BP16" s="98" t="s">
        <v>755</v>
      </c>
      <c r="BQ16" s="98" t="s">
        <v>758</v>
      </c>
      <c r="BS16" s="508"/>
    </row>
    <row r="17" spans="2:71" ht="13">
      <c r="B17" s="76"/>
      <c r="C17" s="76" t="s">
        <v>660</v>
      </c>
      <c r="D17" s="75" t="s">
        <v>759</v>
      </c>
      <c r="E17" s="74" t="s">
        <v>482</v>
      </c>
      <c r="F17" s="515" t="s">
        <v>663</v>
      </c>
      <c r="G17" s="515" t="s">
        <v>760</v>
      </c>
      <c r="H17" s="515" t="s">
        <v>761</v>
      </c>
      <c r="J17" s="76"/>
      <c r="K17" s="76" t="s">
        <v>660</v>
      </c>
      <c r="L17" s="75" t="s">
        <v>759</v>
      </c>
      <c r="M17" s="74" t="s">
        <v>482</v>
      </c>
      <c r="N17" s="515" t="s">
        <v>663</v>
      </c>
      <c r="O17" s="515" t="s">
        <v>760</v>
      </c>
      <c r="P17" s="515" t="s">
        <v>761</v>
      </c>
      <c r="R17" s="76"/>
      <c r="S17" s="76" t="s">
        <v>660</v>
      </c>
      <c r="T17" s="75" t="s">
        <v>759</v>
      </c>
      <c r="U17" s="74" t="s">
        <v>482</v>
      </c>
      <c r="V17" s="515" t="s">
        <v>663</v>
      </c>
      <c r="W17" s="515" t="s">
        <v>760</v>
      </c>
      <c r="X17" s="515" t="s">
        <v>761</v>
      </c>
      <c r="Z17" s="76"/>
      <c r="AA17" s="76" t="s">
        <v>660</v>
      </c>
      <c r="AB17" s="75" t="s">
        <v>762</v>
      </c>
      <c r="AC17" s="74" t="s">
        <v>482</v>
      </c>
      <c r="AD17" s="515" t="s">
        <v>663</v>
      </c>
      <c r="AF17" s="76"/>
      <c r="AG17" s="76"/>
      <c r="AH17" s="76" t="s">
        <v>660</v>
      </c>
      <c r="AI17" s="75" t="s">
        <v>762</v>
      </c>
      <c r="AJ17" s="74" t="s">
        <v>482</v>
      </c>
      <c r="AK17" s="515" t="s">
        <v>663</v>
      </c>
      <c r="AM17" s="76"/>
      <c r="AP17" s="76"/>
      <c r="AQ17" s="76" t="s">
        <v>660</v>
      </c>
      <c r="AR17" s="75" t="s">
        <v>759</v>
      </c>
      <c r="AS17" s="74" t="s">
        <v>482</v>
      </c>
      <c r="AT17" s="515" t="s">
        <v>663</v>
      </c>
      <c r="AU17" s="515" t="s">
        <v>760</v>
      </c>
      <c r="AV17" s="515" t="s">
        <v>761</v>
      </c>
      <c r="AX17" s="76"/>
      <c r="AY17" s="76" t="s">
        <v>660</v>
      </c>
      <c r="AZ17" s="75" t="s">
        <v>759</v>
      </c>
      <c r="BA17" s="74" t="s">
        <v>482</v>
      </c>
      <c r="BB17" s="515" t="s">
        <v>663</v>
      </c>
      <c r="BC17" s="515" t="s">
        <v>760</v>
      </c>
      <c r="BD17" s="515" t="s">
        <v>761</v>
      </c>
      <c r="BF17" s="76"/>
      <c r="BG17" s="76" t="s">
        <v>660</v>
      </c>
      <c r="BH17" s="75" t="s">
        <v>762</v>
      </c>
      <c r="BI17" s="74" t="s">
        <v>482</v>
      </c>
      <c r="BJ17" s="515" t="s">
        <v>663</v>
      </c>
      <c r="BL17" s="76"/>
      <c r="BM17" s="76"/>
      <c r="BN17" s="76" t="s">
        <v>660</v>
      </c>
      <c r="BO17" s="75" t="s">
        <v>762</v>
      </c>
      <c r="BP17" s="74" t="s">
        <v>482</v>
      </c>
      <c r="BQ17" s="515" t="s">
        <v>663</v>
      </c>
      <c r="BS17" s="76"/>
    </row>
    <row r="18" spans="2:71" ht="13">
      <c r="B18" s="77">
        <v>2016</v>
      </c>
      <c r="C18" s="78">
        <f ca="1">'Normalized Annual Summary'!AL6</f>
        <v>916355560.30450845</v>
      </c>
      <c r="D18" s="73">
        <f t="shared" ref="D18:D24" ca="1" si="68">C18*E18</f>
        <v>2218293.3794817375</v>
      </c>
      <c r="E18" s="72">
        <f t="shared" ref="E18:E23" si="69">E19</f>
        <v>2.420777998820229E-3</v>
      </c>
      <c r="F18" s="515"/>
      <c r="G18" s="515"/>
      <c r="H18" s="69">
        <f t="shared" ref="H18:H24" ca="1" si="70">D18+G18</f>
        <v>2218293.3794817375</v>
      </c>
      <c r="J18" s="77">
        <v>2016</v>
      </c>
      <c r="K18" s="78">
        <f>'Normalized Annual Summary'!AW6</f>
        <v>84720805.328868002</v>
      </c>
      <c r="L18" s="73">
        <f t="shared" ref="L18:L24" si="71">K18*M18</f>
        <v>190896.53931053836</v>
      </c>
      <c r="M18" s="72">
        <f t="shared" ref="M18:M23" si="72">M19</f>
        <v>2.2532427373597183E-3</v>
      </c>
      <c r="N18" s="515"/>
      <c r="O18" s="515"/>
      <c r="P18" s="69">
        <f t="shared" ref="P18:P24" si="73">L18+O18</f>
        <v>190896.53931053836</v>
      </c>
      <c r="R18" s="77">
        <v>2016</v>
      </c>
      <c r="S18" s="78">
        <f>'Normalized Annual Summary'!BH6</f>
        <v>219875795.70871356</v>
      </c>
      <c r="T18" s="73">
        <f>T5</f>
        <v>421758</v>
      </c>
      <c r="U18" s="72">
        <f t="shared" ref="U18:U23" si="74">U19</f>
        <v>1.695562036892052E-3</v>
      </c>
      <c r="V18" s="515"/>
      <c r="W18" s="515"/>
      <c r="X18" s="69">
        <f t="shared" ref="X18:X24" si="75">T18+W18</f>
        <v>421758</v>
      </c>
      <c r="Z18" s="77">
        <v>2016</v>
      </c>
      <c r="AA18" s="78">
        <f>'Normalized Annual Summary'!BQ6</f>
        <v>20696694.0755581</v>
      </c>
      <c r="AB18" s="73">
        <f>AB5</f>
        <v>57564.81</v>
      </c>
      <c r="AC18" s="72">
        <f t="shared" ref="AC18:AC23" si="76">AC19</f>
        <v>2.7893153380041539E-3</v>
      </c>
      <c r="AD18" s="515"/>
      <c r="AF18" s="76"/>
      <c r="AG18" s="77">
        <v>2016</v>
      </c>
      <c r="AH18" s="78">
        <f>'Normalized Annual Summary'!BX6</f>
        <v>149076.16867010115</v>
      </c>
      <c r="AI18" s="73">
        <f>AI5</f>
        <v>1014</v>
      </c>
      <c r="AJ18" s="72">
        <f t="shared" ref="AJ18:AJ23" si="77">AJ19</f>
        <v>7.0046645857470211E-3</v>
      </c>
      <c r="AK18" s="515"/>
      <c r="AM18" s="76"/>
      <c r="AP18" s="77">
        <v>2016</v>
      </c>
      <c r="AQ18" s="78">
        <f ca="1">'Normalized Annual Summary'!DJ6</f>
        <v>348936461.28843987</v>
      </c>
      <c r="AR18" s="73">
        <f t="shared" ref="AR18:AR24" ca="1" si="78">AQ18*AS18</f>
        <v>858122.47733427526</v>
      </c>
      <c r="AS18" s="72">
        <f t="shared" ref="AS18:AS23" si="79">AS19</f>
        <v>2.4592513896818857E-3</v>
      </c>
      <c r="AT18" s="515"/>
      <c r="AU18" s="515"/>
      <c r="AV18" s="69">
        <f t="shared" ref="AV18:AV24" ca="1" si="80">AR18+AU18</f>
        <v>858122.47733427526</v>
      </c>
      <c r="AX18" s="77">
        <v>2016</v>
      </c>
      <c r="AY18" s="78">
        <f>'Normalized Annual Summary'!DU6</f>
        <v>59672856.836529151</v>
      </c>
      <c r="AZ18" s="73">
        <f t="shared" ref="AZ18:AZ24" si="81">AY18*BA18</f>
        <v>113862.09923019302</v>
      </c>
      <c r="BA18" s="72">
        <f t="shared" ref="BA18:BA23" si="82">BA19</f>
        <v>1.9081053810128888E-3</v>
      </c>
      <c r="BB18" s="515"/>
      <c r="BC18" s="515"/>
      <c r="BD18" s="69">
        <f t="shared" ref="BD18:BD24" si="83">AZ18+BC18</f>
        <v>113862.09923019302</v>
      </c>
      <c r="BF18" s="77">
        <v>2016</v>
      </c>
      <c r="BG18" s="78">
        <f>'Normalized Annual Summary'!ED6</f>
        <v>6040411.8327912744</v>
      </c>
      <c r="BH18" s="73">
        <f>BH5</f>
        <v>16142.07</v>
      </c>
      <c r="BI18" s="72">
        <f t="shared" ref="BI18:BI23" si="84">BI19</f>
        <v>2.778830442448187E-3</v>
      </c>
      <c r="BJ18" s="71">
        <f t="shared" ref="BJ18:BJ24" si="85">TREND(BJ$6:BJ$14,BF$6:BF$14,BF18)</f>
        <v>2.6684751608122351E-3</v>
      </c>
      <c r="BL18" s="76"/>
      <c r="BM18" s="77">
        <v>2016</v>
      </c>
      <c r="BN18" s="78">
        <f>'Normalized Annual Summary'!EK6</f>
        <v>30332.130602026107</v>
      </c>
      <c r="BO18" s="73">
        <f>BO5</f>
        <v>92.000000000000014</v>
      </c>
      <c r="BP18" s="72">
        <f t="shared" ref="BP18:BP23" si="86">BP19</f>
        <v>1.3744063968167984E-2</v>
      </c>
      <c r="BQ18" s="515"/>
      <c r="BS18" s="76"/>
    </row>
    <row r="19" spans="2:71" ht="13">
      <c r="B19" s="77">
        <v>2017</v>
      </c>
      <c r="C19" s="78">
        <f ca="1">'Normalized Annual Summary'!AL7</f>
        <v>915408229.05770314</v>
      </c>
      <c r="D19" s="73">
        <f t="shared" ca="1" si="68"/>
        <v>2216000.1008418766</v>
      </c>
      <c r="E19" s="72">
        <f t="shared" si="69"/>
        <v>2.420777998820229E-3</v>
      </c>
      <c r="F19" s="515"/>
      <c r="G19" s="515"/>
      <c r="H19" s="69">
        <f t="shared" ca="1" si="70"/>
        <v>2216000.1008418766</v>
      </c>
      <c r="J19" s="77">
        <v>2017</v>
      </c>
      <c r="K19" s="78">
        <f>'Normalized Annual Summary'!AW7</f>
        <v>86601920.90598695</v>
      </c>
      <c r="L19" s="73">
        <f t="shared" si="71"/>
        <v>195135.14932281585</v>
      </c>
      <c r="M19" s="72">
        <f t="shared" si="72"/>
        <v>2.2532427373597183E-3</v>
      </c>
      <c r="N19" s="515"/>
      <c r="O19" s="515"/>
      <c r="P19" s="69">
        <f t="shared" si="73"/>
        <v>195135.14932281585</v>
      </c>
      <c r="R19" s="77">
        <v>2017</v>
      </c>
      <c r="S19" s="78">
        <f>'Normalized Annual Summary'!BH7</f>
        <v>232685605.50669837</v>
      </c>
      <c r="T19" s="73">
        <f t="shared" ref="T19:T27" si="87">T6</f>
        <v>382866</v>
      </c>
      <c r="U19" s="72">
        <f t="shared" si="74"/>
        <v>1.695562036892052E-3</v>
      </c>
      <c r="V19" s="515"/>
      <c r="W19" s="515"/>
      <c r="X19" s="69">
        <f t="shared" si="75"/>
        <v>382866</v>
      </c>
      <c r="Z19" s="77">
        <v>2017</v>
      </c>
      <c r="AA19" s="78">
        <f>'Normalized Annual Summary'!BQ7</f>
        <v>19519835.661133371</v>
      </c>
      <c r="AB19" s="73">
        <f t="shared" ref="AB19:AB27" si="88">AB6</f>
        <v>54832.51</v>
      </c>
      <c r="AC19" s="72">
        <f t="shared" si="76"/>
        <v>2.7893153380041539E-3</v>
      </c>
      <c r="AD19" s="515"/>
      <c r="AF19" s="76"/>
      <c r="AG19" s="77">
        <v>2017</v>
      </c>
      <c r="AH19" s="78">
        <f>'Normalized Annual Summary'!BX7</f>
        <v>297128.43922915473</v>
      </c>
      <c r="AI19" s="73">
        <f t="shared" ref="AI19:AI27" si="89">AI6</f>
        <v>967.00000000000011</v>
      </c>
      <c r="AJ19" s="72">
        <f t="shared" si="77"/>
        <v>7.0046645857470211E-3</v>
      </c>
      <c r="AK19" s="515"/>
      <c r="AM19" s="76"/>
      <c r="AP19" s="77">
        <v>2017</v>
      </c>
      <c r="AQ19" s="78">
        <f ca="1">'Normalized Annual Summary'!DJ7</f>
        <v>345013134.37792295</v>
      </c>
      <c r="AR19" s="73">
        <f t="shared" ca="1" si="78"/>
        <v>848474.03017741023</v>
      </c>
      <c r="AS19" s="72">
        <f t="shared" si="79"/>
        <v>2.4592513896818857E-3</v>
      </c>
      <c r="AT19" s="515"/>
      <c r="AU19" s="515"/>
      <c r="AV19" s="69">
        <f t="shared" ca="1" si="80"/>
        <v>848474.03017741023</v>
      </c>
      <c r="AX19" s="77">
        <v>2017</v>
      </c>
      <c r="AY19" s="78">
        <f>'Normalized Annual Summary'!DU7</f>
        <v>58698261.008984432</v>
      </c>
      <c r="AZ19" s="73">
        <f t="shared" si="81"/>
        <v>112002.46768734223</v>
      </c>
      <c r="BA19" s="72">
        <f t="shared" si="82"/>
        <v>1.9081053810128888E-3</v>
      </c>
      <c r="BB19" s="515"/>
      <c r="BC19" s="515"/>
      <c r="BD19" s="69">
        <f t="shared" si="83"/>
        <v>112002.46768734223</v>
      </c>
      <c r="BF19" s="77">
        <v>2017</v>
      </c>
      <c r="BG19" s="78">
        <f>'Normalized Annual Summary'!ED7</f>
        <v>4772411.8997512907</v>
      </c>
      <c r="BH19" s="73">
        <f t="shared" ref="BH19:BH27" si="90">BH6</f>
        <v>12797.349999999999</v>
      </c>
      <c r="BI19" s="72">
        <f t="shared" si="84"/>
        <v>2.778830442448187E-3</v>
      </c>
      <c r="BJ19" s="71">
        <f t="shared" si="85"/>
        <v>2.6902784712193387E-3</v>
      </c>
      <c r="BL19" s="76"/>
      <c r="BM19" s="77">
        <v>2017</v>
      </c>
      <c r="BN19" s="78">
        <f>'Normalized Annual Summary'!EK7</f>
        <v>29013.342314981488</v>
      </c>
      <c r="BO19" s="73">
        <f t="shared" ref="BO19:BO27" si="91">BO6</f>
        <v>87.999999999999986</v>
      </c>
      <c r="BP19" s="72">
        <f t="shared" si="86"/>
        <v>1.3744063968167984E-2</v>
      </c>
      <c r="BQ19" s="515"/>
      <c r="BS19" s="76"/>
    </row>
    <row r="20" spans="2:71" ht="13">
      <c r="B20" s="77">
        <v>2018</v>
      </c>
      <c r="C20" s="78">
        <f ca="1">'Normalized Annual Summary'!AL8</f>
        <v>915761749.7669872</v>
      </c>
      <c r="D20" s="73">
        <f t="shared" ca="1" si="68"/>
        <v>2216855.8959970386</v>
      </c>
      <c r="E20" s="72">
        <f t="shared" si="69"/>
        <v>2.420777998820229E-3</v>
      </c>
      <c r="F20" s="515"/>
      <c r="G20" s="515"/>
      <c r="H20" s="69">
        <f t="shared" ca="1" si="70"/>
        <v>2216855.8959970386</v>
      </c>
      <c r="J20" s="77">
        <v>2018</v>
      </c>
      <c r="K20" s="78">
        <f>'Normalized Annual Summary'!AW8</f>
        <v>88750573.739808425</v>
      </c>
      <c r="L20" s="73">
        <f t="shared" si="71"/>
        <v>199976.58571573146</v>
      </c>
      <c r="M20" s="72">
        <f t="shared" si="72"/>
        <v>2.2532427373597183E-3</v>
      </c>
      <c r="N20" s="515"/>
      <c r="O20" s="515"/>
      <c r="P20" s="69">
        <f t="shared" si="73"/>
        <v>199976.58571573146</v>
      </c>
      <c r="R20" s="77">
        <v>2018</v>
      </c>
      <c r="S20" s="78">
        <f>'Normalized Annual Summary'!BH8</f>
        <v>245208596.81053722</v>
      </c>
      <c r="T20" s="73">
        <f t="shared" si="87"/>
        <v>423038</v>
      </c>
      <c r="U20" s="72">
        <f t="shared" si="74"/>
        <v>1.695562036892052E-3</v>
      </c>
      <c r="V20" s="515"/>
      <c r="W20" s="515"/>
      <c r="X20" s="69">
        <f t="shared" si="75"/>
        <v>423038</v>
      </c>
      <c r="Z20" s="77">
        <v>2018</v>
      </c>
      <c r="AA20" s="78">
        <f>'Normalized Annual Summary'!BQ8</f>
        <v>15418262.659797747</v>
      </c>
      <c r="AB20" s="73">
        <f t="shared" si="88"/>
        <v>43114.93</v>
      </c>
      <c r="AC20" s="72">
        <f t="shared" si="76"/>
        <v>2.7893153380041539E-3</v>
      </c>
      <c r="AD20" s="515"/>
      <c r="AF20" s="76"/>
      <c r="AG20" s="77">
        <v>2018</v>
      </c>
      <c r="AH20" s="78">
        <f>'Normalized Annual Summary'!BX8</f>
        <v>236464.57737073078</v>
      </c>
      <c r="AI20" s="73">
        <f t="shared" si="89"/>
        <v>720</v>
      </c>
      <c r="AJ20" s="72">
        <f t="shared" si="77"/>
        <v>7.0046645857470211E-3</v>
      </c>
      <c r="AK20" s="515"/>
      <c r="AM20" s="76"/>
      <c r="AP20" s="77">
        <v>2018</v>
      </c>
      <c r="AQ20" s="78">
        <f ca="1">'Normalized Annual Summary'!DJ8</f>
        <v>341068209.32924014</v>
      </c>
      <c r="AR20" s="73">
        <f t="shared" ca="1" si="78"/>
        <v>838772.46776924608</v>
      </c>
      <c r="AS20" s="72">
        <f t="shared" si="79"/>
        <v>2.4592513896818857E-3</v>
      </c>
      <c r="AT20" s="515"/>
      <c r="AU20" s="515"/>
      <c r="AV20" s="69">
        <f t="shared" ca="1" si="80"/>
        <v>838772.46776924608</v>
      </c>
      <c r="AX20" s="77">
        <v>2018</v>
      </c>
      <c r="AY20" s="78">
        <f>'Normalized Annual Summary'!DU8</f>
        <v>72789018.587176383</v>
      </c>
      <c r="AZ20" s="73">
        <f t="shared" si="81"/>
        <v>138889.11804483843</v>
      </c>
      <c r="BA20" s="72">
        <f t="shared" si="82"/>
        <v>1.9081053810128888E-3</v>
      </c>
      <c r="BB20" s="515"/>
      <c r="BC20" s="515"/>
      <c r="BD20" s="69">
        <f t="shared" si="83"/>
        <v>138889.11804483843</v>
      </c>
      <c r="BF20" s="77">
        <v>2018</v>
      </c>
      <c r="BG20" s="78">
        <f>'Normalized Annual Summary'!ED8</f>
        <v>3647423.9429883296</v>
      </c>
      <c r="BH20" s="73">
        <f t="shared" si="90"/>
        <v>9791.36</v>
      </c>
      <c r="BI20" s="72">
        <f t="shared" si="84"/>
        <v>2.778830442448187E-3</v>
      </c>
      <c r="BJ20" s="71">
        <f t="shared" si="85"/>
        <v>2.7120817816264423E-3</v>
      </c>
      <c r="BL20" s="76"/>
      <c r="BM20" s="77">
        <v>2018</v>
      </c>
      <c r="BN20" s="78">
        <f>'Normalized Annual Summary'!EK8</f>
        <v>28683.645243220333</v>
      </c>
      <c r="BO20" s="73">
        <f t="shared" si="91"/>
        <v>87</v>
      </c>
      <c r="BP20" s="72">
        <f t="shared" si="86"/>
        <v>1.3744063968167984E-2</v>
      </c>
      <c r="BQ20" s="515"/>
      <c r="BS20" s="76"/>
    </row>
    <row r="21" spans="2:71" ht="13">
      <c r="B21" s="77">
        <v>2019</v>
      </c>
      <c r="C21" s="78">
        <f ca="1">'Normalized Annual Summary'!AL9</f>
        <v>913040639.60836124</v>
      </c>
      <c r="D21" s="73">
        <f t="shared" ca="1" si="68"/>
        <v>2210268.6923926705</v>
      </c>
      <c r="E21" s="72">
        <f t="shared" si="69"/>
        <v>2.420777998820229E-3</v>
      </c>
      <c r="F21" s="515"/>
      <c r="G21" s="515"/>
      <c r="H21" s="69">
        <f t="shared" ca="1" si="70"/>
        <v>2210268.6923926705</v>
      </c>
      <c r="J21" s="77">
        <v>2019</v>
      </c>
      <c r="K21" s="78">
        <f>'Normalized Annual Summary'!AW9</f>
        <v>90469600.915843606</v>
      </c>
      <c r="L21" s="73">
        <f t="shared" si="71"/>
        <v>203849.97121545672</v>
      </c>
      <c r="M21" s="72">
        <f t="shared" si="72"/>
        <v>2.2532427373597183E-3</v>
      </c>
      <c r="N21" s="515"/>
      <c r="O21" s="515"/>
      <c r="P21" s="69">
        <f t="shared" si="73"/>
        <v>203849.97121545672</v>
      </c>
      <c r="R21" s="77">
        <v>2019</v>
      </c>
      <c r="S21" s="78">
        <f>'Normalized Annual Summary'!BH9</f>
        <v>256336645.4040629</v>
      </c>
      <c r="T21" s="73">
        <f t="shared" si="87"/>
        <v>433414</v>
      </c>
      <c r="U21" s="72">
        <f t="shared" si="74"/>
        <v>1.695562036892052E-3</v>
      </c>
      <c r="V21" s="515"/>
      <c r="W21" s="515"/>
      <c r="X21" s="69">
        <f t="shared" si="75"/>
        <v>433414</v>
      </c>
      <c r="Z21" s="77">
        <v>2019</v>
      </c>
      <c r="AA21" s="78">
        <f>'Normalized Annual Summary'!BQ9</f>
        <v>13154878.992558671</v>
      </c>
      <c r="AB21" s="73">
        <f t="shared" si="88"/>
        <v>36690.920000000006</v>
      </c>
      <c r="AC21" s="72">
        <f t="shared" si="76"/>
        <v>2.7893153380041539E-3</v>
      </c>
      <c r="AD21" s="515"/>
      <c r="AF21" s="76"/>
      <c r="AG21" s="77">
        <v>2019</v>
      </c>
      <c r="AH21" s="78">
        <f>'Normalized Annual Summary'!BX9</f>
        <v>219210.48464033578</v>
      </c>
      <c r="AI21" s="73">
        <f t="shared" si="89"/>
        <v>629</v>
      </c>
      <c r="AJ21" s="72">
        <f t="shared" si="77"/>
        <v>7.0046645857470211E-3</v>
      </c>
      <c r="AK21" s="515"/>
      <c r="AM21" s="76"/>
      <c r="AP21" s="77">
        <v>2019</v>
      </c>
      <c r="AQ21" s="78">
        <f ca="1">'Normalized Annual Summary'!DJ9</f>
        <v>335477702.91796672</v>
      </c>
      <c r="AR21" s="73">
        <f t="shared" ca="1" si="78"/>
        <v>825024.0071082965</v>
      </c>
      <c r="AS21" s="72">
        <f t="shared" si="79"/>
        <v>2.4592513896818857E-3</v>
      </c>
      <c r="AT21" s="515"/>
      <c r="AU21" s="515"/>
      <c r="AV21" s="69">
        <f t="shared" ca="1" si="80"/>
        <v>825024.0071082965</v>
      </c>
      <c r="AX21" s="77">
        <v>2019</v>
      </c>
      <c r="AY21" s="78">
        <f>'Normalized Annual Summary'!DU9</f>
        <v>84197167.628192171</v>
      </c>
      <c r="AZ21" s="73">
        <f t="shared" si="81"/>
        <v>160657.06861739769</v>
      </c>
      <c r="BA21" s="72">
        <f t="shared" si="82"/>
        <v>1.9081053810128888E-3</v>
      </c>
      <c r="BB21" s="515"/>
      <c r="BC21" s="515"/>
      <c r="BD21" s="69">
        <f t="shared" si="83"/>
        <v>160657.06861739769</v>
      </c>
      <c r="BF21" s="77">
        <v>2019</v>
      </c>
      <c r="BG21" s="78">
        <f>'Normalized Annual Summary'!ED9</f>
        <v>3343338.8655060264</v>
      </c>
      <c r="BH21" s="73">
        <f t="shared" si="90"/>
        <v>8980.67</v>
      </c>
      <c r="BI21" s="72">
        <f t="shared" si="84"/>
        <v>2.778830442448187E-3</v>
      </c>
      <c r="BJ21" s="71">
        <f t="shared" si="85"/>
        <v>2.7338850920335528E-3</v>
      </c>
      <c r="BL21" s="76"/>
      <c r="BM21" s="77">
        <v>2019</v>
      </c>
      <c r="BN21" s="78">
        <f>'Normalized Annual Summary'!EK9</f>
        <v>28353.948171459182</v>
      </c>
      <c r="BO21" s="73">
        <f t="shared" si="91"/>
        <v>86.000000000000014</v>
      </c>
      <c r="BP21" s="72">
        <f t="shared" si="86"/>
        <v>1.3744063968167984E-2</v>
      </c>
      <c r="BQ21" s="515"/>
      <c r="BS21" s="76"/>
    </row>
    <row r="22" spans="2:71" ht="13">
      <c r="B22" s="77">
        <v>2020</v>
      </c>
      <c r="C22" s="78">
        <f ca="1">'Normalized Annual Summary'!AL10</f>
        <v>856539086.38815343</v>
      </c>
      <c r="D22" s="73">
        <f t="shared" ca="1" si="68"/>
        <v>2073490.9754580213</v>
      </c>
      <c r="E22" s="72">
        <f t="shared" si="69"/>
        <v>2.420777998820229E-3</v>
      </c>
      <c r="F22" s="515"/>
      <c r="G22" s="515"/>
      <c r="H22" s="69">
        <f t="shared" ca="1" si="70"/>
        <v>2073490.9754580213</v>
      </c>
      <c r="J22" s="77">
        <v>2020</v>
      </c>
      <c r="K22" s="78">
        <f>'Normalized Annual Summary'!AW10</f>
        <v>85953279.733822912</v>
      </c>
      <c r="L22" s="73">
        <f t="shared" si="71"/>
        <v>193673.60331248475</v>
      </c>
      <c r="M22" s="72">
        <f t="shared" si="72"/>
        <v>2.2532427373597183E-3</v>
      </c>
      <c r="N22" s="515"/>
      <c r="O22" s="515"/>
      <c r="P22" s="69">
        <f t="shared" si="73"/>
        <v>193673.60331248475</v>
      </c>
      <c r="R22" s="77">
        <v>2020</v>
      </c>
      <c r="S22" s="78">
        <f>'Normalized Annual Summary'!BH10</f>
        <v>250800201.85193878</v>
      </c>
      <c r="T22" s="73">
        <f t="shared" si="87"/>
        <v>453257</v>
      </c>
      <c r="U22" s="72">
        <f t="shared" si="74"/>
        <v>1.695562036892052E-3</v>
      </c>
      <c r="V22" s="515"/>
      <c r="W22" s="515"/>
      <c r="X22" s="69">
        <f t="shared" si="75"/>
        <v>453257</v>
      </c>
      <c r="Z22" s="77">
        <v>2020</v>
      </c>
      <c r="AA22" s="78">
        <f>'Normalized Annual Summary'!BQ10</f>
        <v>11375771.341347072</v>
      </c>
      <c r="AB22" s="73">
        <f t="shared" si="88"/>
        <v>31667.35</v>
      </c>
      <c r="AC22" s="72">
        <f t="shared" si="76"/>
        <v>2.7893153380041539E-3</v>
      </c>
      <c r="AD22" s="515"/>
      <c r="AF22" s="76"/>
      <c r="AG22" s="77">
        <v>2020</v>
      </c>
      <c r="AH22" s="78">
        <f>'Normalized Annual Summary'!BX10</f>
        <v>219089.71570311007</v>
      </c>
      <c r="AI22" s="73">
        <f t="shared" si="89"/>
        <v>642</v>
      </c>
      <c r="AJ22" s="72">
        <f t="shared" si="77"/>
        <v>7.0046645857470211E-3</v>
      </c>
      <c r="AK22" s="515"/>
      <c r="AM22" s="76"/>
      <c r="AP22" s="77">
        <v>2020</v>
      </c>
      <c r="AQ22" s="78">
        <f ca="1">'Normalized Annual Summary'!DJ10</f>
        <v>311029266.22041261</v>
      </c>
      <c r="AR22" s="73">
        <f t="shared" ca="1" si="78"/>
        <v>764899.15518428688</v>
      </c>
      <c r="AS22" s="72">
        <f t="shared" si="79"/>
        <v>2.4592513896818857E-3</v>
      </c>
      <c r="AT22" s="515"/>
      <c r="AU22" s="515"/>
      <c r="AV22" s="69">
        <f t="shared" ca="1" si="80"/>
        <v>764899.15518428688</v>
      </c>
      <c r="AX22" s="77">
        <v>2020</v>
      </c>
      <c r="AY22" s="78">
        <f>'Normalized Annual Summary'!DU10</f>
        <v>83499355.963948876</v>
      </c>
      <c r="AZ22" s="73">
        <f t="shared" si="81"/>
        <v>159325.5704259215</v>
      </c>
      <c r="BA22" s="72">
        <f t="shared" si="82"/>
        <v>1.9081053810128888E-3</v>
      </c>
      <c r="BB22" s="515"/>
      <c r="BC22" s="515"/>
      <c r="BD22" s="69">
        <f t="shared" si="83"/>
        <v>159325.5704259215</v>
      </c>
      <c r="BF22" s="77">
        <v>2020</v>
      </c>
      <c r="BG22" s="78">
        <f>'Normalized Annual Summary'!ED10</f>
        <v>3228914.1476946622</v>
      </c>
      <c r="BH22" s="73">
        <f t="shared" si="90"/>
        <v>9314.0300000000025</v>
      </c>
      <c r="BI22" s="72">
        <f t="shared" si="84"/>
        <v>2.778830442448187E-3</v>
      </c>
      <c r="BJ22" s="71">
        <f t="shared" si="85"/>
        <v>2.7556884024406564E-3</v>
      </c>
      <c r="BL22" s="76"/>
      <c r="BM22" s="77">
        <v>2020</v>
      </c>
      <c r="BN22" s="78">
        <f>'Normalized Annual Summary'!EK10</f>
        <v>23738.189166803026</v>
      </c>
      <c r="BO22" s="73">
        <f t="shared" si="91"/>
        <v>72</v>
      </c>
      <c r="BP22" s="72">
        <f t="shared" si="86"/>
        <v>1.3744063968167984E-2</v>
      </c>
      <c r="BQ22" s="515"/>
      <c r="BS22" s="76"/>
    </row>
    <row r="23" spans="2:71" ht="13">
      <c r="B23" s="77">
        <v>2021</v>
      </c>
      <c r="C23" s="78">
        <f ca="1">'Normalized Annual Summary'!AL11</f>
        <v>871726891.22298741</v>
      </c>
      <c r="D23" s="73">
        <f t="shared" ca="1" si="68"/>
        <v>2110257.2792525631</v>
      </c>
      <c r="E23" s="72">
        <f t="shared" si="69"/>
        <v>2.420777998820229E-3</v>
      </c>
      <c r="F23" s="515"/>
      <c r="G23" s="515"/>
      <c r="H23" s="69">
        <f t="shared" ca="1" si="70"/>
        <v>2110257.2792525631</v>
      </c>
      <c r="J23" s="77">
        <v>2021</v>
      </c>
      <c r="K23" s="78">
        <f ca="1">'Normalized Annual Summary'!AW11</f>
        <v>90879680.390881911</v>
      </c>
      <c r="L23" s="73">
        <f t="shared" ca="1" si="71"/>
        <v>204773.97981432709</v>
      </c>
      <c r="M23" s="72">
        <f t="shared" si="72"/>
        <v>2.2532427373597183E-3</v>
      </c>
      <c r="N23" s="515"/>
      <c r="O23" s="515"/>
      <c r="P23" s="69">
        <f t="shared" ca="1" si="73"/>
        <v>204773.97981432709</v>
      </c>
      <c r="R23" s="77">
        <v>2021</v>
      </c>
      <c r="S23" s="78">
        <f ca="1">'Normalized Annual Summary'!BH11</f>
        <v>284375676.46243805</v>
      </c>
      <c r="T23" s="73">
        <f t="shared" si="87"/>
        <v>481567</v>
      </c>
      <c r="U23" s="72">
        <f t="shared" si="74"/>
        <v>1.695562036892052E-3</v>
      </c>
      <c r="V23" s="515"/>
      <c r="W23" s="515"/>
      <c r="X23" s="69">
        <f t="shared" si="75"/>
        <v>481567</v>
      </c>
      <c r="Z23" s="77">
        <v>2021</v>
      </c>
      <c r="AA23" s="78">
        <f>'Normalized Annual Summary'!BQ11</f>
        <v>11145146.346117154</v>
      </c>
      <c r="AB23" s="73">
        <f t="shared" si="88"/>
        <v>31122.25</v>
      </c>
      <c r="AC23" s="72">
        <f t="shared" si="76"/>
        <v>2.7893153380041539E-3</v>
      </c>
      <c r="AD23" s="515"/>
      <c r="AF23" s="76"/>
      <c r="AG23" s="77">
        <v>2021</v>
      </c>
      <c r="AH23" s="78">
        <f>'Normalized Annual Summary'!BX11</f>
        <v>216801.46918526999</v>
      </c>
      <c r="AI23" s="73">
        <f t="shared" si="89"/>
        <v>632</v>
      </c>
      <c r="AJ23" s="72">
        <f t="shared" si="77"/>
        <v>7.0046645857470211E-3</v>
      </c>
      <c r="AK23" s="515"/>
      <c r="AM23" s="76"/>
      <c r="AP23" s="77">
        <v>2021</v>
      </c>
      <c r="AQ23" s="78">
        <f ca="1">'Normalized Annual Summary'!DJ11</f>
        <v>307221996.79972172</v>
      </c>
      <c r="AR23" s="73">
        <f t="shared" ca="1" si="78"/>
        <v>755536.1225705595</v>
      </c>
      <c r="AS23" s="72">
        <f t="shared" si="79"/>
        <v>2.4592513896818857E-3</v>
      </c>
      <c r="AT23" s="515"/>
      <c r="AU23" s="515"/>
      <c r="AV23" s="69">
        <f t="shared" ca="1" si="80"/>
        <v>755536.1225705595</v>
      </c>
      <c r="AX23" s="77">
        <v>2021</v>
      </c>
      <c r="AY23" s="78">
        <f ca="1">'Normalized Annual Summary'!DU11</f>
        <v>82529518.873307154</v>
      </c>
      <c r="AZ23" s="73">
        <f t="shared" ca="1" si="81"/>
        <v>157475.01905456214</v>
      </c>
      <c r="BA23" s="72">
        <f t="shared" si="82"/>
        <v>1.9081053810128888E-3</v>
      </c>
      <c r="BB23" s="515"/>
      <c r="BC23" s="515"/>
      <c r="BD23" s="69">
        <f t="shared" ca="1" si="83"/>
        <v>157475.01905456214</v>
      </c>
      <c r="BF23" s="77">
        <v>2021</v>
      </c>
      <c r="BG23" s="78">
        <f>'Normalized Annual Summary'!ED11</f>
        <v>3113190.396020662</v>
      </c>
      <c r="BH23" s="73">
        <f t="shared" si="90"/>
        <v>9362</v>
      </c>
      <c r="BI23" s="72">
        <f t="shared" si="84"/>
        <v>2.778830442448187E-3</v>
      </c>
      <c r="BJ23" s="71">
        <f t="shared" si="85"/>
        <v>2.77749171284776E-3</v>
      </c>
      <c r="BL23" s="76"/>
      <c r="BM23" s="77">
        <v>2021</v>
      </c>
      <c r="BN23" s="78">
        <f>'Normalized Annual Summary'!EK11</f>
        <v>24367.361775396959</v>
      </c>
      <c r="BO23" s="73">
        <f t="shared" si="91"/>
        <v>71</v>
      </c>
      <c r="BP23" s="72">
        <f t="shared" si="86"/>
        <v>1.3744063968167984E-2</v>
      </c>
      <c r="BQ23" s="515"/>
      <c r="BS23" s="76"/>
    </row>
    <row r="24" spans="2:71" ht="13">
      <c r="B24" s="77">
        <v>2022</v>
      </c>
      <c r="C24" s="78">
        <f ca="1">'Normalized Annual Summary'!AL12</f>
        <v>897257351.74191403</v>
      </c>
      <c r="D24" s="73">
        <f t="shared" ca="1" si="68"/>
        <v>2172060.8563765292</v>
      </c>
      <c r="E24" s="72">
        <f>E25</f>
        <v>2.420777998820229E-3</v>
      </c>
      <c r="F24" s="515"/>
      <c r="G24" s="515"/>
      <c r="H24" s="69">
        <f t="shared" ca="1" si="70"/>
        <v>2172060.8563765292</v>
      </c>
      <c r="J24" s="77">
        <v>2022</v>
      </c>
      <c r="K24" s="78">
        <f ca="1">'Normalized Annual Summary'!AW12</f>
        <v>94656112.264837459</v>
      </c>
      <c r="L24" s="73">
        <f t="shared" ca="1" si="71"/>
        <v>213283.19750745117</v>
      </c>
      <c r="M24" s="72">
        <f>M25</f>
        <v>2.2532427373597183E-3</v>
      </c>
      <c r="N24" s="515"/>
      <c r="O24" s="515"/>
      <c r="P24" s="69">
        <f t="shared" ca="1" si="73"/>
        <v>213283.19750745117</v>
      </c>
      <c r="R24" s="77">
        <v>2022</v>
      </c>
      <c r="S24" s="78">
        <f ca="1">'Normalized Annual Summary'!BH12</f>
        <v>299045621.27204865</v>
      </c>
      <c r="T24" s="73">
        <f t="shared" si="87"/>
        <v>490452</v>
      </c>
      <c r="U24" s="72">
        <f>U25</f>
        <v>1.695562036892052E-3</v>
      </c>
      <c r="V24" s="515"/>
      <c r="W24" s="515"/>
      <c r="X24" s="69">
        <f t="shared" si="75"/>
        <v>490452</v>
      </c>
      <c r="Z24" s="77">
        <v>2022</v>
      </c>
      <c r="AA24" s="78">
        <f>'Normalized Annual Summary'!BQ12</f>
        <v>11108255.523755008</v>
      </c>
      <c r="AB24" s="73">
        <f t="shared" si="88"/>
        <v>31016.899999999998</v>
      </c>
      <c r="AC24" s="72">
        <f>AC25</f>
        <v>2.7893153380041539E-3</v>
      </c>
      <c r="AD24" s="515"/>
      <c r="AF24" s="76"/>
      <c r="AG24" s="77">
        <v>2022</v>
      </c>
      <c r="AH24" s="78">
        <f>'Normalized Annual Summary'!BX12</f>
        <v>206492.3201679069</v>
      </c>
      <c r="AI24" s="73">
        <f t="shared" si="89"/>
        <v>601</v>
      </c>
      <c r="AJ24" s="72">
        <f>AJ25</f>
        <v>7.0046645857470211E-3</v>
      </c>
      <c r="AK24" s="71"/>
      <c r="AM24" s="76"/>
      <c r="AP24" s="77">
        <v>2022</v>
      </c>
      <c r="AQ24" s="78">
        <f ca="1">'Normalized Annual Summary'!DJ12</f>
        <v>312989342.13239974</v>
      </c>
      <c r="AR24" s="73">
        <f t="shared" ca="1" si="78"/>
        <v>769719.4745947232</v>
      </c>
      <c r="AS24" s="72">
        <f>AS25</f>
        <v>2.4592513896818857E-3</v>
      </c>
      <c r="AT24" s="515"/>
      <c r="AU24" s="515"/>
      <c r="AV24" s="69">
        <f t="shared" ca="1" si="80"/>
        <v>769719.4745947232</v>
      </c>
      <c r="AX24" s="77">
        <v>2022</v>
      </c>
      <c r="AY24" s="78">
        <f ca="1">'Normalized Annual Summary'!DU12</f>
        <v>81430757.586178482</v>
      </c>
      <c r="AZ24" s="73">
        <f t="shared" ca="1" si="81"/>
        <v>155378.46673014326</v>
      </c>
      <c r="BA24" s="72">
        <f>BA25</f>
        <v>1.9081053810128888E-3</v>
      </c>
      <c r="BB24" s="515"/>
      <c r="BC24" s="515"/>
      <c r="BD24" s="69">
        <f t="shared" ca="1" si="83"/>
        <v>155378.46673014326</v>
      </c>
      <c r="BF24" s="77">
        <v>2022</v>
      </c>
      <c r="BG24" s="78">
        <f>'Normalized Annual Summary'!ED12</f>
        <v>3428741.8882724312</v>
      </c>
      <c r="BH24" s="73">
        <f t="shared" si="90"/>
        <v>9581</v>
      </c>
      <c r="BI24" s="72">
        <f>BI25</f>
        <v>2.778830442448187E-3</v>
      </c>
      <c r="BJ24" s="71">
        <f t="shared" si="85"/>
        <v>2.7992950232548636E-3</v>
      </c>
      <c r="BL24" s="76"/>
      <c r="BM24" s="77">
        <v>2022</v>
      </c>
      <c r="BN24" s="78">
        <f>'Normalized Annual Summary'!EK12</f>
        <v>29649.448744324083</v>
      </c>
      <c r="BO24" s="73">
        <f t="shared" si="91"/>
        <v>95.000000000000014</v>
      </c>
      <c r="BP24" s="72">
        <f>BP25</f>
        <v>1.3744063968167984E-2</v>
      </c>
      <c r="BQ24" s="515"/>
      <c r="BS24" s="76"/>
    </row>
    <row r="25" spans="2:71" ht="13">
      <c r="B25" s="77">
        <v>2023</v>
      </c>
      <c r="C25" s="78">
        <f ca="1">'Normalized Annual Summary'!AL13</f>
        <v>920755184.65060556</v>
      </c>
      <c r="D25" s="73">
        <f ca="1">C25*E25</f>
        <v>2228943.8933018432</v>
      </c>
      <c r="E25" s="72">
        <f>AVERAGE(E12:E14)</f>
        <v>2.420777998820229E-3</v>
      </c>
      <c r="F25" s="71">
        <f>TREND(F$5:F$14,B$5:B$14,B25)</f>
        <v>2.4730441093701282E-3</v>
      </c>
      <c r="G25" s="70"/>
      <c r="H25" s="69">
        <f t="shared" ref="H25:H33" ca="1" si="92">D25+G25</f>
        <v>2228943.8933018432</v>
      </c>
      <c r="J25" s="77">
        <v>2023</v>
      </c>
      <c r="K25" s="78">
        <f ca="1">'Normalized Annual Summary'!AW13</f>
        <v>96905294.010318771</v>
      </c>
      <c r="L25" s="73">
        <f ca="1">K25*M25</f>
        <v>218351.149940459</v>
      </c>
      <c r="M25" s="72">
        <f>AVERAGE(M10:M14)</f>
        <v>2.2532427373597183E-3</v>
      </c>
      <c r="N25" s="71">
        <f>TREND(N$5:N$14,J$5:J$14,J25)</f>
        <v>2.2225918170050152E-3</v>
      </c>
      <c r="O25" s="70"/>
      <c r="P25" s="69">
        <f ca="1">L25+O25</f>
        <v>218351.149940459</v>
      </c>
      <c r="R25" s="77">
        <v>2023</v>
      </c>
      <c r="S25" s="78">
        <f ca="1">'Normalized Annual Summary'!BH13</f>
        <v>301923874.26091003</v>
      </c>
      <c r="T25" s="73">
        <f t="shared" si="87"/>
        <v>518389.27999999997</v>
      </c>
      <c r="U25" s="72">
        <f>AVERAGE(U10:U14)</f>
        <v>1.695562036892052E-3</v>
      </c>
      <c r="V25" s="71">
        <f>TREND(V$5:V$14,R$5:R$14,R25)</f>
        <v>1.6929536774632908E-3</v>
      </c>
      <c r="W25" s="70"/>
      <c r="X25" s="69">
        <f>T25+W25</f>
        <v>518389.27999999997</v>
      </c>
      <c r="Z25" s="77">
        <v>2023</v>
      </c>
      <c r="AA25" s="78">
        <f>'Normalized Annual Summary'!BQ13</f>
        <v>11322769.347452775</v>
      </c>
      <c r="AB25" s="73">
        <f t="shared" si="88"/>
        <v>31561.47</v>
      </c>
      <c r="AC25" s="72">
        <f>AVERAGE(AC5:AC14)</f>
        <v>2.7893153380041539E-3</v>
      </c>
      <c r="AD25" s="71">
        <f>TREND(AD$5:AD$14,Z$5:Z$14,Z25)</f>
        <v>2.7881258496822527E-3</v>
      </c>
      <c r="AF25" s="76"/>
      <c r="AG25" s="77">
        <v>2023</v>
      </c>
      <c r="AH25" s="78">
        <f>'Normalized Annual Summary'!BX13</f>
        <v>208749.31310818545</v>
      </c>
      <c r="AI25" s="73">
        <f t="shared" si="89"/>
        <v>608</v>
      </c>
      <c r="AJ25" s="72">
        <f>AVERAGE(AJ13:AJ14)</f>
        <v>7.0046645857470211E-3</v>
      </c>
      <c r="AK25" s="71">
        <f>TREND(AK$5:AK$14,AG$5:AG$14,AG25)</f>
        <v>3.7302206458307285E-3</v>
      </c>
      <c r="AM25" s="76"/>
      <c r="AP25" s="77">
        <v>2023</v>
      </c>
      <c r="AQ25" s="78">
        <f ca="1">'Normalized Annual Summary'!DJ13</f>
        <v>321315787.74600208</v>
      </c>
      <c r="AR25" s="73">
        <f ca="1">AQ25*AS25</f>
        <v>790196.2975410854</v>
      </c>
      <c r="AS25" s="72">
        <f>AVERAGE(AS5:AS14)</f>
        <v>2.4592513896818857E-3</v>
      </c>
      <c r="AT25" s="71">
        <f>TREND(AT$5:AT$14,AP$5:AP$14,AP25)</f>
        <v>2.4615389637435373E-3</v>
      </c>
      <c r="AU25" s="70"/>
      <c r="AV25" s="69">
        <f ca="1">AR25+AU25</f>
        <v>790196.2975410854</v>
      </c>
      <c r="AX25" s="77">
        <v>2023</v>
      </c>
      <c r="AY25" s="78">
        <f ca="1">'Normalized Annual Summary'!DU13</f>
        <v>80917609.883367822</v>
      </c>
      <c r="AZ25" s="73">
        <f ca="1">AY25*BA25</f>
        <v>154399.32683715585</v>
      </c>
      <c r="BA25" s="72">
        <f>AVERAGE(BA10:BA14)</f>
        <v>1.9081053810128888E-3</v>
      </c>
      <c r="BB25" s="71">
        <f>TREND(BB$5:BB$14,AX$5:AX$14,AX25)</f>
        <v>1.8873113266757863E-3</v>
      </c>
      <c r="BC25" s="70"/>
      <c r="BD25" s="69">
        <f ca="1">AZ25+BC25</f>
        <v>154399.32683715585</v>
      </c>
      <c r="BF25" s="77">
        <v>2023</v>
      </c>
      <c r="BG25" s="78">
        <f>'Normalized Annual Summary'!ED13</f>
        <v>3509109.9961737129</v>
      </c>
      <c r="BH25" s="73">
        <f t="shared" si="90"/>
        <v>9810</v>
      </c>
      <c r="BI25" s="72">
        <f>AVERAGE(BI5:BI14)</f>
        <v>2.778830442448187E-3</v>
      </c>
      <c r="BJ25" s="71">
        <f>TREND(BJ$6:BJ$14,BF$6:BF$14,BF25)</f>
        <v>2.8210983336619672E-3</v>
      </c>
      <c r="BL25" s="76"/>
      <c r="BM25" s="77">
        <v>2023</v>
      </c>
      <c r="BN25" s="78">
        <f>'Normalized Annual Summary'!EK13</f>
        <v>29841.878706715124</v>
      </c>
      <c r="BO25" s="73">
        <f t="shared" si="91"/>
        <v>92.000000000000014</v>
      </c>
      <c r="BP25" s="72">
        <f>BP26</f>
        <v>1.3744063968167984E-2</v>
      </c>
      <c r="BQ25" s="71">
        <f>TREND($BQ$5:$BQ$14,$BM$5:$BM$14,BM25)</f>
        <v>5.457839819257293E-3</v>
      </c>
      <c r="BS25" s="76"/>
    </row>
    <row r="26" spans="2:71" ht="13">
      <c r="B26" s="77">
        <v>2024</v>
      </c>
      <c r="C26" s="78">
        <f ca="1">'Normalized Annual Summary'!AL14</f>
        <v>922792100.8436743</v>
      </c>
      <c r="D26" s="73">
        <f t="shared" ref="D26:D28" ca="1" si="93">C26*E26</f>
        <v>2233874.8152074651</v>
      </c>
      <c r="E26" s="72">
        <f>E25</f>
        <v>2.420777998820229E-3</v>
      </c>
      <c r="F26" s="71">
        <f t="shared" ref="F26:F33" si="94">TREND(F$5:F$14,B$5:B$14,B26)</f>
        <v>2.4639183807999808E-3</v>
      </c>
      <c r="G26" s="67">
        <f>'Total Additional'!N21</f>
        <v>0</v>
      </c>
      <c r="H26" s="69">
        <f t="shared" ca="1" si="92"/>
        <v>2233874.8152074651</v>
      </c>
      <c r="J26" s="77">
        <v>2024</v>
      </c>
      <c r="K26" s="78">
        <f ca="1">'Normalized Annual Summary'!AW14</f>
        <v>98395683.245458305</v>
      </c>
      <c r="L26" s="73">
        <f t="shared" ref="L26:L33" ca="1" si="95">K26*M26</f>
        <v>221709.35866037625</v>
      </c>
      <c r="M26" s="72">
        <f>M25</f>
        <v>2.2532427373597183E-3</v>
      </c>
      <c r="N26" s="71">
        <f t="shared" ref="N26:N33" si="96">TREND(N$5:N$14,J$5:J$14,J26)</f>
        <v>2.1670562159308293E-3</v>
      </c>
      <c r="O26" s="67">
        <f>'Total Additional'!N22</f>
        <v>0</v>
      </c>
      <c r="P26" s="69">
        <f ca="1">L26+O26</f>
        <v>221709.35866037625</v>
      </c>
      <c r="R26" s="77">
        <v>2024</v>
      </c>
      <c r="S26" s="78">
        <f ca="1">'Normalized Annual Summary'!BH14</f>
        <v>311872037.44441807</v>
      </c>
      <c r="T26" s="73">
        <f t="shared" si="87"/>
        <v>532510.09</v>
      </c>
      <c r="U26" s="72">
        <f>U25</f>
        <v>1.695562036892052E-3</v>
      </c>
      <c r="V26" s="71">
        <f t="shared" ref="V26:V33" si="97">TREND(V$5:V$14,R$5:R$14,R26)</f>
        <v>1.6689667004128814E-3</v>
      </c>
      <c r="W26" s="67">
        <f>'Total Additional'!N23</f>
        <v>0</v>
      </c>
      <c r="X26" s="69">
        <f>T26+W26</f>
        <v>532510.09</v>
      </c>
      <c r="Z26" s="77">
        <v>2024</v>
      </c>
      <c r="AA26" s="78">
        <f>'Normalized Annual Summary'!BQ14</f>
        <v>11585951.65998855</v>
      </c>
      <c r="AB26" s="73">
        <f t="shared" si="88"/>
        <v>32173.850000000002</v>
      </c>
      <c r="AC26" s="72">
        <f>AC25</f>
        <v>2.7893153380041539E-3</v>
      </c>
      <c r="AD26" s="71">
        <f t="shared" ref="AD26:AD33" si="98">TREND(AD$5:AD$14,Z$5:Z$14,Z26)</f>
        <v>2.7874877122267181E-3</v>
      </c>
      <c r="AF26" s="77"/>
      <c r="AG26" s="77">
        <v>2024</v>
      </c>
      <c r="AH26" s="78">
        <f>'Normalized Annual Summary'!BX14</f>
        <v>85942.730394962797</v>
      </c>
      <c r="AI26" s="73">
        <f t="shared" si="89"/>
        <v>602</v>
      </c>
      <c r="AJ26" s="72">
        <f>AJ25</f>
        <v>7.0046645857470211E-3</v>
      </c>
      <c r="AK26" s="71">
        <f t="shared" ref="AK26:AK33" si="99">TREND(AK$5:AK$14,AG$5:AG$14,AG26)</f>
        <v>3.5881304706290029E-3</v>
      </c>
      <c r="AM26" s="77"/>
      <c r="AP26" s="77">
        <v>2024</v>
      </c>
      <c r="AQ26" s="78">
        <f ca="1">'Normalized Annual Summary'!DJ14</f>
        <v>318395730.48694098</v>
      </c>
      <c r="AR26" s="73">
        <f t="shared" ref="AR26:AR33" ca="1" si="100">AQ26*AS26</f>
        <v>783015.14266878879</v>
      </c>
      <c r="AS26" s="72">
        <f>AS25</f>
        <v>2.4592513896818857E-3</v>
      </c>
      <c r="AT26" s="71">
        <f t="shared" ref="AT26:AT33" si="101">TREND(AT$5:AT$14,AP$5:AP$14,AP26)</f>
        <v>2.4577423793400747E-3</v>
      </c>
      <c r="AU26" s="67">
        <f>'Total Additional'!N47</f>
        <v>0</v>
      </c>
      <c r="AV26" s="69">
        <f ca="1">AR26+AU26</f>
        <v>783015.14266878879</v>
      </c>
      <c r="AX26" s="77">
        <v>2024</v>
      </c>
      <c r="AY26" s="78">
        <f ca="1">'Normalized Annual Summary'!DU14</f>
        <v>80323259.839825079</v>
      </c>
      <c r="AZ26" s="73">
        <f t="shared" ref="AZ26:AZ33" ca="1" si="102">AY26*BA26</f>
        <v>153265.24432086671</v>
      </c>
      <c r="BA26" s="72">
        <f>BA25</f>
        <v>1.9081053810128888E-3</v>
      </c>
      <c r="BB26" s="71">
        <f t="shared" ref="BB26:BB33" si="103">TREND(BB$5:BB$14,AX$5:AX$14,AX26)</f>
        <v>1.9381540073230008E-3</v>
      </c>
      <c r="BC26" s="67">
        <f>'Total Additional'!N48</f>
        <v>0</v>
      </c>
      <c r="BD26" s="69">
        <f ca="1">AZ26+BC26</f>
        <v>153265.24432086671</v>
      </c>
      <c r="BF26" s="77">
        <v>2024</v>
      </c>
      <c r="BG26" s="78">
        <f>'Normalized Annual Summary'!ED14</f>
        <v>3547066.0034436588</v>
      </c>
      <c r="BH26" s="73">
        <f t="shared" si="90"/>
        <v>9886</v>
      </c>
      <c r="BI26" s="72">
        <f>BI25</f>
        <v>2.778830442448187E-3</v>
      </c>
      <c r="BJ26" s="71">
        <f t="shared" ref="BJ26:BJ33" si="104">TREND(BJ$6:BJ$14,BF$6:BF$14,BF26)</f>
        <v>2.8429016440690708E-3</v>
      </c>
      <c r="BL26" s="77"/>
      <c r="BM26" s="77">
        <v>2024</v>
      </c>
      <c r="BN26" s="78">
        <f>'Normalized Annual Summary'!EK14</f>
        <v>6038.9707289075932</v>
      </c>
      <c r="BO26" s="73">
        <f t="shared" si="91"/>
        <v>83</v>
      </c>
      <c r="BP26" s="72">
        <f>AVERAGE(BP13:BP14)</f>
        <v>1.3744063968167984E-2</v>
      </c>
      <c r="BQ26" s="71">
        <f t="shared" ref="BQ26:BQ33" si="105">TREND($BQ$5:$BQ$14,$BM$5:$BM$14,BM26)</f>
        <v>5.9870474510193006E-3</v>
      </c>
      <c r="BS26" s="77"/>
    </row>
    <row r="27" spans="2:71" ht="13">
      <c r="B27" s="77">
        <v>2025</v>
      </c>
      <c r="C27" s="78">
        <f ca="1">'Normalized Annual Summary'!AL15</f>
        <v>914316654.93777549</v>
      </c>
      <c r="D27" s="73">
        <f t="shared" ca="1" si="93"/>
        <v>2213357.6422282741</v>
      </c>
      <c r="E27" s="72">
        <f>E26</f>
        <v>2.420777998820229E-3</v>
      </c>
      <c r="F27" s="71">
        <f t="shared" si="94"/>
        <v>2.45479265222983E-3</v>
      </c>
      <c r="G27" s="67">
        <f>'Total Additional'!O21+'EV Forecast VRZ'!N150</f>
        <v>3774.978157676238</v>
      </c>
      <c r="H27" s="69">
        <f t="shared" ca="1" si="92"/>
        <v>2217132.6203859504</v>
      </c>
      <c r="J27" s="77">
        <v>2025</v>
      </c>
      <c r="K27" s="78">
        <f ca="1">'Normalized Annual Summary'!AW15</f>
        <v>98580288.417070583</v>
      </c>
      <c r="L27" s="73">
        <f t="shared" ca="1" si="95"/>
        <v>222125.31892259067</v>
      </c>
      <c r="M27" s="72">
        <f>M26</f>
        <v>2.2532427373597183E-3</v>
      </c>
      <c r="N27" s="71">
        <f t="shared" si="96"/>
        <v>2.1115206148566296E-3</v>
      </c>
      <c r="O27" s="67">
        <f>'Total Additional'!O22+'EV Forecast VRZ'!N151</f>
        <v>565.00556182144965</v>
      </c>
      <c r="P27" s="69">
        <f t="shared" ref="P27" ca="1" si="106">L27+O27</f>
        <v>222690.32448441212</v>
      </c>
      <c r="R27" s="77">
        <v>2025</v>
      </c>
      <c r="S27" s="78">
        <f ca="1">'Normalized Annual Summary'!BH15</f>
        <v>314537210.33669537</v>
      </c>
      <c r="T27" s="73">
        <f t="shared" si="87"/>
        <v>539128.64</v>
      </c>
      <c r="U27" s="72">
        <f>U26</f>
        <v>1.695562036892052E-3</v>
      </c>
      <c r="V27" s="71">
        <f t="shared" si="97"/>
        <v>1.6449797233624788E-3</v>
      </c>
      <c r="W27" s="67">
        <f>'Total Additional'!O23+'EV Forecast VRZ'!N152</f>
        <v>188.56983407983302</v>
      </c>
      <c r="X27" s="69">
        <f t="shared" ref="X27" si="107">T27+W27</f>
        <v>539317.20983407984</v>
      </c>
      <c r="Z27" s="77">
        <v>2025</v>
      </c>
      <c r="AA27" s="78">
        <f>'Normalized Annual Summary'!BQ15</f>
        <v>11654612.020606756</v>
      </c>
      <c r="AB27" s="73">
        <f t="shared" si="88"/>
        <v>32450.92</v>
      </c>
      <c r="AC27" s="72">
        <f>AC26</f>
        <v>2.7893153380041539E-3</v>
      </c>
      <c r="AD27" s="71">
        <f t="shared" si="98"/>
        <v>2.7868495747711834E-3</v>
      </c>
      <c r="AF27" s="77"/>
      <c r="AG27" s="77">
        <v>2025</v>
      </c>
      <c r="AH27" s="78">
        <f>'Normalized Annual Summary'!BX15</f>
        <v>84532.818164472439</v>
      </c>
      <c r="AI27" s="73">
        <f t="shared" si="89"/>
        <v>592.1240377300727</v>
      </c>
      <c r="AJ27" s="72">
        <f>AJ26</f>
        <v>7.0046645857470211E-3</v>
      </c>
      <c r="AK27" s="71">
        <f t="shared" si="99"/>
        <v>3.4460402954272218E-3</v>
      </c>
      <c r="AM27" s="77"/>
      <c r="AP27" s="77">
        <v>2025</v>
      </c>
      <c r="AQ27" s="78">
        <f ca="1">'Normalized Annual Summary'!DJ15</f>
        <v>312805967.45400143</v>
      </c>
      <c r="AR27" s="73">
        <f t="shared" ca="1" si="100"/>
        <v>769268.51016203966</v>
      </c>
      <c r="AS27" s="72">
        <f>AS26</f>
        <v>2.4592513896818857E-3</v>
      </c>
      <c r="AT27" s="71">
        <f t="shared" si="101"/>
        <v>2.453945794936613E-3</v>
      </c>
      <c r="AU27" s="67">
        <f>'Total Additional'!O47+'EV Forecast WRZ'!N150</f>
        <v>1399.1320758590796</v>
      </c>
      <c r="AV27" s="69">
        <f t="shared" ref="AV27" ca="1" si="108">AR27+AU27</f>
        <v>770667.64223789878</v>
      </c>
      <c r="AX27" s="77">
        <v>2025</v>
      </c>
      <c r="AY27" s="78">
        <f ca="1">'Normalized Annual Summary'!DU15</f>
        <v>78915166.445620447</v>
      </c>
      <c r="AZ27" s="73">
        <f t="shared" ca="1" si="102"/>
        <v>150578.45373841614</v>
      </c>
      <c r="BA27" s="72">
        <f>BA26</f>
        <v>1.9081053810128888E-3</v>
      </c>
      <c r="BB27" s="71">
        <f t="shared" si="103"/>
        <v>1.9889966879702015E-3</v>
      </c>
      <c r="BC27" s="67">
        <f>'Total Additional'!O48+'EV Forecast WRZ'!N151</f>
        <v>315.54693150684932</v>
      </c>
      <c r="BD27" s="69">
        <f t="shared" ref="BD27" ca="1" si="109">AZ27+BC27</f>
        <v>150894.000669923</v>
      </c>
      <c r="BF27" s="77">
        <v>2025</v>
      </c>
      <c r="BG27" s="78">
        <f>'Normalized Annual Summary'!ED15</f>
        <v>3585601.999234742</v>
      </c>
      <c r="BH27" s="73">
        <f t="shared" si="90"/>
        <v>10022</v>
      </c>
      <c r="BI27" s="72">
        <f>BI26</f>
        <v>2.778830442448187E-3</v>
      </c>
      <c r="BJ27" s="71">
        <f t="shared" si="104"/>
        <v>2.8647049544761743E-3</v>
      </c>
      <c r="BL27" s="77"/>
      <c r="BM27" s="77">
        <v>2025</v>
      </c>
      <c r="BN27" s="78">
        <f>'Normalized Annual Summary'!EK15</f>
        <v>6022.4698679931098</v>
      </c>
      <c r="BO27" s="73">
        <f t="shared" si="91"/>
        <v>82.773211112061517</v>
      </c>
      <c r="BP27" s="72">
        <f>BP26</f>
        <v>1.3744063968167984E-2</v>
      </c>
      <c r="BQ27" s="71">
        <f t="shared" si="105"/>
        <v>6.5162550827813082E-3</v>
      </c>
      <c r="BS27" s="77"/>
    </row>
    <row r="28" spans="2:71" ht="13">
      <c r="B28" s="77">
        <v>2026</v>
      </c>
      <c r="C28" s="78">
        <f ca="1">'Normalized Annual Summary'!AL16</f>
        <v>936600994.58611023</v>
      </c>
      <c r="D28" s="73">
        <f t="shared" ca="1" si="93"/>
        <v>2267303.0813672002</v>
      </c>
      <c r="E28" s="72">
        <f>E27</f>
        <v>2.420777998820229E-3</v>
      </c>
      <c r="F28" s="71">
        <f t="shared" si="94"/>
        <v>2.4456669236596826E-3</v>
      </c>
      <c r="G28" s="67">
        <f>'Total Additional'!P21+'EV Forecast VRZ'!O150</f>
        <v>111234.44675634001</v>
      </c>
      <c r="H28" s="69">
        <f t="shared" ca="1" si="92"/>
        <v>2378537.5281235403</v>
      </c>
      <c r="J28" s="77">
        <v>2026</v>
      </c>
      <c r="K28" s="78">
        <f ca="1">'Normalized Annual Summary'!AW16</f>
        <v>100440354.01943842</v>
      </c>
      <c r="L28" s="73">
        <f t="shared" ca="1" si="95"/>
        <v>226316.49823213861</v>
      </c>
      <c r="M28" s="72">
        <f>M27</f>
        <v>2.2532427373597183E-3</v>
      </c>
      <c r="N28" s="71">
        <f t="shared" si="96"/>
        <v>2.0559850137824437E-3</v>
      </c>
      <c r="O28" s="67">
        <f>'Total Additional'!P22+'EV Forecast VRZ'!O151</f>
        <v>49072.359015345515</v>
      </c>
      <c r="P28" s="69">
        <f ca="1">L28+O28</f>
        <v>275388.85724748415</v>
      </c>
      <c r="R28" s="77">
        <v>2026</v>
      </c>
      <c r="S28" s="78">
        <f ca="1">'Normalized Annual Summary'!BH16</f>
        <v>325416580.88871175</v>
      </c>
      <c r="T28" s="73">
        <f t="shared" ref="T28:T33" ca="1" si="110">S28*U28</f>
        <v>551764.00073011126</v>
      </c>
      <c r="U28" s="72">
        <f>U27</f>
        <v>1.695562036892052E-3</v>
      </c>
      <c r="V28" s="71">
        <f t="shared" si="97"/>
        <v>1.6209927463120763E-3</v>
      </c>
      <c r="W28" s="67">
        <f>'Total Additional'!P23+'EV Forecast VRZ'!O152</f>
        <v>40457.817503238548</v>
      </c>
      <c r="X28" s="69">
        <f ca="1">T28+W28</f>
        <v>592221.81823334983</v>
      </c>
      <c r="Z28" s="77">
        <v>2026</v>
      </c>
      <c r="AA28" s="78">
        <f>'Normalized Annual Summary'!BQ16</f>
        <v>11783218.435274247</v>
      </c>
      <c r="AB28" s="73">
        <f t="shared" ref="AB28" si="111">AA28*AC28</f>
        <v>32867.111912563763</v>
      </c>
      <c r="AC28" s="72">
        <f>AC27</f>
        <v>2.7893153380041539E-3</v>
      </c>
      <c r="AD28" s="71">
        <f t="shared" si="98"/>
        <v>2.7862114373156488E-3</v>
      </c>
      <c r="AF28" s="77"/>
      <c r="AG28" s="77">
        <v>2026</v>
      </c>
      <c r="AH28" s="78">
        <f>'Normalized Annual Summary'!BX16</f>
        <v>82878.928767326172</v>
      </c>
      <c r="AI28" s="73">
        <f t="shared" ref="AI28:AI33" si="112">AH28*AJ28</f>
        <v>580.53909724113964</v>
      </c>
      <c r="AJ28" s="72">
        <f>AJ27</f>
        <v>7.0046645857470211E-3</v>
      </c>
      <c r="AK28" s="71">
        <f t="shared" si="99"/>
        <v>3.3039501202254962E-3</v>
      </c>
      <c r="AM28" s="77"/>
      <c r="AP28" s="77">
        <v>2026</v>
      </c>
      <c r="AQ28" s="78">
        <f ca="1">'Normalized Annual Summary'!DJ16</f>
        <v>320682968.18088204</v>
      </c>
      <c r="AR28" s="73">
        <f t="shared" ca="1" si="100"/>
        <v>788640.03514614608</v>
      </c>
      <c r="AS28" s="72">
        <f>AS27</f>
        <v>2.4592513896818857E-3</v>
      </c>
      <c r="AT28" s="71">
        <f t="shared" si="101"/>
        <v>2.4501492105331512E-3</v>
      </c>
      <c r="AU28" s="67">
        <f>'Total Additional'!P47+'EV Forecast WRZ'!O150</f>
        <v>55202.725009530259</v>
      </c>
      <c r="AV28" s="69">
        <f ca="1">AR28+AU28</f>
        <v>843842.7601556764</v>
      </c>
      <c r="AX28" s="77">
        <v>2026</v>
      </c>
      <c r="AY28" s="78">
        <f ca="1">'Normalized Annual Summary'!DU16</f>
        <v>80813648.287405074</v>
      </c>
      <c r="AZ28" s="73">
        <f t="shared" ca="1" si="102"/>
        <v>154200.95715648064</v>
      </c>
      <c r="BA28" s="72">
        <f>BA27</f>
        <v>1.9081053810128888E-3</v>
      </c>
      <c r="BB28" s="71">
        <f t="shared" si="103"/>
        <v>2.039839368617416E-3</v>
      </c>
      <c r="BC28" s="67">
        <f>'Total Additional'!P48+'EV Forecast WRZ'!O151</f>
        <v>22051.207273830423</v>
      </c>
      <c r="BD28" s="69">
        <f ca="1">AZ28+BC28</f>
        <v>176252.16443031107</v>
      </c>
      <c r="BF28" s="77">
        <v>2026</v>
      </c>
      <c r="BG28" s="78">
        <f>'Normalized Annual Summary'!ED16</f>
        <v>3648157.6152521502</v>
      </c>
      <c r="BH28" s="73">
        <f t="shared" ref="BH28:BH33" si="113">BG28*BI28</f>
        <v>10137.611440111856</v>
      </c>
      <c r="BI28" s="72">
        <f>BI27</f>
        <v>2.778830442448187E-3</v>
      </c>
      <c r="BJ28" s="71">
        <f t="shared" si="104"/>
        <v>2.8865082648832779E-3</v>
      </c>
      <c r="BL28" s="77"/>
      <c r="BM28" s="77">
        <v>2026</v>
      </c>
      <c r="BN28" s="78">
        <f>'Normalized Annual Summary'!EK16</f>
        <v>6110.7650786007734</v>
      </c>
      <c r="BO28" s="73">
        <f t="shared" ref="BO28:BO33" si="114">BN28*BP28</f>
        <v>83.986746134736094</v>
      </c>
      <c r="BP28" s="72">
        <f>BP27</f>
        <v>1.3744063968167984E-2</v>
      </c>
      <c r="BQ28" s="71">
        <f t="shared" si="105"/>
        <v>7.0454627145433157E-3</v>
      </c>
      <c r="BS28" s="77"/>
    </row>
    <row r="29" spans="2:71" ht="13">
      <c r="B29" s="77">
        <v>2027</v>
      </c>
      <c r="C29" s="78">
        <f ca="1">'Normalized Annual Summary'!AL17</f>
        <v>943341337.663324</v>
      </c>
      <c r="D29" s="73">
        <f t="shared" ref="D29:D33" ca="1" si="115">C29*E29</f>
        <v>2283619.9555930193</v>
      </c>
      <c r="E29" s="72">
        <f t="shared" ref="E29:E33" si="116">E28</f>
        <v>2.420777998820229E-3</v>
      </c>
      <c r="F29" s="71">
        <f t="shared" si="94"/>
        <v>2.4365411950895317E-3</v>
      </c>
      <c r="G29" s="67">
        <f>'Total Additional'!Q21+'EV Forecast VRZ'!P150</f>
        <v>260652.87643045062</v>
      </c>
      <c r="H29" s="69">
        <f t="shared" ca="1" si="92"/>
        <v>2544272.8320234697</v>
      </c>
      <c r="J29" s="77">
        <v>2027</v>
      </c>
      <c r="K29" s="78">
        <f ca="1">'Normalized Annual Summary'!AW17</f>
        <v>100331831.78620264</v>
      </c>
      <c r="L29" s="73">
        <f t="shared" ca="1" si="95"/>
        <v>226071.97129825802</v>
      </c>
      <c r="M29" s="72">
        <f t="shared" ref="M29:M33" si="117">M28</f>
        <v>2.2532427373597183E-3</v>
      </c>
      <c r="N29" s="71">
        <f t="shared" si="96"/>
        <v>2.0004494127082578E-3</v>
      </c>
      <c r="O29" s="67">
        <f>'Total Additional'!Q22+'EV Forecast VRZ'!P151</f>
        <v>128880.01672990201</v>
      </c>
      <c r="P29" s="69">
        <f t="shared" ref="P29:P33" ca="1" si="118">L29+O29</f>
        <v>354951.98802816006</v>
      </c>
      <c r="R29" s="77">
        <v>2027</v>
      </c>
      <c r="S29" s="78">
        <f ca="1">'Normalized Annual Summary'!BH17</f>
        <v>327848470.33684319</v>
      </c>
      <c r="T29" s="73">
        <f t="shared" ca="1" si="110"/>
        <v>555887.42015628133</v>
      </c>
      <c r="U29" s="72">
        <f t="shared" ref="U29:U33" si="119">U28</f>
        <v>1.695562036892052E-3</v>
      </c>
      <c r="V29" s="71">
        <f t="shared" si="97"/>
        <v>1.5970057692616738E-3</v>
      </c>
      <c r="W29" s="67">
        <f>'Total Additional'!Q23+'EV Forecast VRZ'!P152</f>
        <v>161814.48945701972</v>
      </c>
      <c r="X29" s="69">
        <f t="shared" ref="X29:X33" ca="1" si="120">T29+W29</f>
        <v>717701.90961330105</v>
      </c>
      <c r="Z29" s="77">
        <v>2027</v>
      </c>
      <c r="AA29" s="78">
        <f>'Normalized Annual Summary'!BQ17</f>
        <v>11913243.997131227</v>
      </c>
      <c r="AB29" s="73">
        <f t="shared" ref="AB29:AB33" si="121">AA29*AC29</f>
        <v>33229.794206584047</v>
      </c>
      <c r="AC29" s="72">
        <f t="shared" ref="AC29:AC33" si="122">AC28</f>
        <v>2.7893153380041539E-3</v>
      </c>
      <c r="AD29" s="71">
        <f t="shared" si="98"/>
        <v>2.7855732998601141E-3</v>
      </c>
      <c r="AF29" s="77"/>
      <c r="AG29" s="77">
        <v>2027</v>
      </c>
      <c r="AH29" s="78">
        <f>'Normalized Annual Summary'!BX17</f>
        <v>81257.397810338269</v>
      </c>
      <c r="AI29" s="73">
        <f t="shared" si="112"/>
        <v>569.18081677203395</v>
      </c>
      <c r="AJ29" s="72">
        <f t="shared" ref="AJ29:AJ33" si="123">AJ28</f>
        <v>7.0046645857470211E-3</v>
      </c>
      <c r="AK29" s="71">
        <f t="shared" si="99"/>
        <v>3.161859945023715E-3</v>
      </c>
      <c r="AM29" s="77"/>
      <c r="AP29" s="77">
        <v>2027</v>
      </c>
      <c r="AQ29" s="78">
        <f ca="1">'Normalized Annual Summary'!DJ17</f>
        <v>323220104.87422854</v>
      </c>
      <c r="AR29" s="73">
        <f t="shared" ca="1" si="100"/>
        <v>794879.4920850714</v>
      </c>
      <c r="AS29" s="72">
        <f t="shared" ref="AS29:AS33" si="124">AS28</f>
        <v>2.4592513896818857E-3</v>
      </c>
      <c r="AT29" s="71">
        <f t="shared" si="101"/>
        <v>2.4463526261296895E-3</v>
      </c>
      <c r="AU29" s="67">
        <f>'Total Additional'!Q47+'EV Forecast WRZ'!P150</f>
        <v>133916.98295295986</v>
      </c>
      <c r="AV29" s="69">
        <f t="shared" ref="AV29:AV33" ca="1" si="125">AR29+AU29</f>
        <v>928796.47503803123</v>
      </c>
      <c r="AX29" s="77">
        <v>2027</v>
      </c>
      <c r="AY29" s="78">
        <f ca="1">'Normalized Annual Summary'!DU17</f>
        <v>81441726.292232856</v>
      </c>
      <c r="AZ29" s="73">
        <f t="shared" ca="1" si="102"/>
        <v>155399.39617718838</v>
      </c>
      <c r="BA29" s="72">
        <f t="shared" ref="BA29:BA33" si="126">BA28</f>
        <v>1.9081053810128888E-3</v>
      </c>
      <c r="BB29" s="71">
        <f t="shared" si="103"/>
        <v>2.0906820492646305E-3</v>
      </c>
      <c r="BC29" s="67">
        <f>'Total Additional'!Q48+'EV Forecast WRZ'!P151</f>
        <v>53167.473261312371</v>
      </c>
      <c r="BD29" s="69">
        <f t="shared" ref="BD29:BD33" ca="1" si="127">AZ29+BC29</f>
        <v>208566.86943850075</v>
      </c>
      <c r="BF29" s="77">
        <v>2027</v>
      </c>
      <c r="BG29" s="78">
        <f>'Normalized Annual Summary'!ED17</f>
        <v>3711804.5975439399</v>
      </c>
      <c r="BH29" s="73">
        <f t="shared" si="113"/>
        <v>10314.47561207424</v>
      </c>
      <c r="BI29" s="72">
        <f t="shared" ref="BI29:BI33" si="128">BI28</f>
        <v>2.778830442448187E-3</v>
      </c>
      <c r="BJ29" s="71">
        <f t="shared" si="104"/>
        <v>2.9083115752903885E-3</v>
      </c>
      <c r="BL29" s="77"/>
      <c r="BM29" s="77">
        <v>2027</v>
      </c>
      <c r="BN29" s="78">
        <f>'Normalized Annual Summary'!EK17</f>
        <v>6200.3547820638823</v>
      </c>
      <c r="BO29" s="73">
        <f t="shared" si="114"/>
        <v>85.218072750022259</v>
      </c>
      <c r="BP29" s="72">
        <f t="shared" ref="BP29:BP33" si="129">BP28</f>
        <v>1.3744063968167984E-2</v>
      </c>
      <c r="BQ29" s="71">
        <f t="shared" si="105"/>
        <v>7.5746703463053233E-3</v>
      </c>
      <c r="BS29" s="77"/>
    </row>
    <row r="30" spans="2:71" ht="13">
      <c r="B30" s="77">
        <v>2028</v>
      </c>
      <c r="C30" s="78">
        <f ca="1">'Normalized Annual Summary'!AL18</f>
        <v>947086741.34800649</v>
      </c>
      <c r="D30" s="73">
        <f t="shared" ca="1" si="115"/>
        <v>2292686.7464295989</v>
      </c>
      <c r="E30" s="72">
        <f t="shared" si="116"/>
        <v>2.420777998820229E-3</v>
      </c>
      <c r="F30" s="71">
        <f t="shared" si="94"/>
        <v>2.4274154665193809E-3</v>
      </c>
      <c r="G30" s="67">
        <f>'Total Additional'!R21+'EV Forecast VRZ'!Q150</f>
        <v>324313.91927389445</v>
      </c>
      <c r="H30" s="69">
        <f t="shared" ca="1" si="92"/>
        <v>2617000.6657034932</v>
      </c>
      <c r="J30" s="77">
        <v>2028</v>
      </c>
      <c r="K30" s="78">
        <f ca="1">'Normalized Annual Summary'!AW18</f>
        <v>100809869.36049615</v>
      </c>
      <c r="L30" s="73">
        <f t="shared" ca="1" si="95"/>
        <v>227149.10599071995</v>
      </c>
      <c r="M30" s="72">
        <f t="shared" si="117"/>
        <v>2.2532427373597183E-3</v>
      </c>
      <c r="N30" s="71">
        <f t="shared" si="96"/>
        <v>1.944913811634072E-3</v>
      </c>
      <c r="O30" s="67">
        <f>'Total Additional'!R22+'EV Forecast VRZ'!Q151</f>
        <v>189014.44640574639</v>
      </c>
      <c r="P30" s="69">
        <f t="shared" ca="1" si="118"/>
        <v>416163.55239646637</v>
      </c>
      <c r="R30" s="77">
        <v>2028</v>
      </c>
      <c r="S30" s="78">
        <f ca="1">'Normalized Annual Summary'!BH18</f>
        <v>331402554.16519541</v>
      </c>
      <c r="T30" s="73">
        <f t="shared" ca="1" si="110"/>
        <v>561913.58977156726</v>
      </c>
      <c r="U30" s="72">
        <f t="shared" si="119"/>
        <v>1.695562036892052E-3</v>
      </c>
      <c r="V30" s="71">
        <f t="shared" si="97"/>
        <v>1.5730187922112712E-3</v>
      </c>
      <c r="W30" s="67">
        <f>'Total Additional'!R23+'EV Forecast VRZ'!Q152</f>
        <v>301726.12125013163</v>
      </c>
      <c r="X30" s="69">
        <f t="shared" ca="1" si="120"/>
        <v>863639.71102169889</v>
      </c>
      <c r="Z30" s="77">
        <v>2028</v>
      </c>
      <c r="AA30" s="78">
        <f>'Normalized Annual Summary'!BQ18</f>
        <v>12044704.366195513</v>
      </c>
      <c r="AB30" s="73">
        <f t="shared" si="121"/>
        <v>33596.478630354744</v>
      </c>
      <c r="AC30" s="72">
        <f t="shared" si="122"/>
        <v>2.7893153380041539E-3</v>
      </c>
      <c r="AD30" s="71">
        <f t="shared" si="98"/>
        <v>2.7849351624045795E-3</v>
      </c>
      <c r="AF30" s="77"/>
      <c r="AG30" s="77">
        <v>2028</v>
      </c>
      <c r="AH30" s="78">
        <f>'Normalized Annual Summary'!BX18</f>
        <v>79667.592198785904</v>
      </c>
      <c r="AI30" s="73">
        <f t="shared" si="112"/>
        <v>558.04476170657131</v>
      </c>
      <c r="AJ30" s="72">
        <f t="shared" si="123"/>
        <v>7.0046645857470211E-3</v>
      </c>
      <c r="AK30" s="71">
        <f t="shared" si="99"/>
        <v>3.0197697698219894E-3</v>
      </c>
      <c r="AM30" s="77"/>
      <c r="AP30" s="77">
        <v>2028</v>
      </c>
      <c r="AQ30" s="78">
        <f ca="1">'Normalized Annual Summary'!DJ18</f>
        <v>324484525.58036828</v>
      </c>
      <c r="AR30" s="73">
        <f t="shared" ca="1" si="100"/>
        <v>797989.02046378807</v>
      </c>
      <c r="AS30" s="72">
        <f t="shared" si="124"/>
        <v>2.4592513896818857E-3</v>
      </c>
      <c r="AT30" s="71">
        <f t="shared" si="101"/>
        <v>2.4425560417262277E-3</v>
      </c>
      <c r="AU30" s="67">
        <f>'Total Additional'!R47+'EV Forecast WRZ'!Q150</f>
        <v>175690.05611680209</v>
      </c>
      <c r="AV30" s="69">
        <f t="shared" ca="1" si="125"/>
        <v>973679.0765805901</v>
      </c>
      <c r="AX30" s="77">
        <v>2028</v>
      </c>
      <c r="AY30" s="78">
        <f ca="1">'Normalized Annual Summary'!DU18</f>
        <v>81597690.716075018</v>
      </c>
      <c r="AZ30" s="73">
        <f t="shared" ca="1" si="102"/>
        <v>155696.99273356819</v>
      </c>
      <c r="BA30" s="72">
        <f t="shared" si="126"/>
        <v>1.9081053810128888E-3</v>
      </c>
      <c r="BB30" s="71">
        <f t="shared" si="103"/>
        <v>2.1415247299118451E-3</v>
      </c>
      <c r="BC30" s="67">
        <f>'Total Additional'!R48+'EV Forecast WRZ'!Q151</f>
        <v>67169.634980763658</v>
      </c>
      <c r="BD30" s="69">
        <f t="shared" ca="1" si="127"/>
        <v>222866.62771433184</v>
      </c>
      <c r="BF30" s="77">
        <v>2028</v>
      </c>
      <c r="BG30" s="78">
        <f>'Normalized Annual Summary'!ED18</f>
        <v>3776561.9864524594</v>
      </c>
      <c r="BH30" s="73">
        <f t="shared" si="113"/>
        <v>10494.425415746691</v>
      </c>
      <c r="BI30" s="72">
        <f t="shared" si="128"/>
        <v>2.778830442448187E-3</v>
      </c>
      <c r="BJ30" s="71">
        <f t="shared" si="104"/>
        <v>2.9301148856974921E-3</v>
      </c>
      <c r="BL30" s="77"/>
      <c r="BM30" s="77">
        <v>2028</v>
      </c>
      <c r="BN30" s="78">
        <f>'Normalized Annual Summary'!EK18</f>
        <v>6291.2579568948759</v>
      </c>
      <c r="BO30" s="73">
        <f t="shared" si="114"/>
        <v>86.467451799808998</v>
      </c>
      <c r="BP30" s="72">
        <f t="shared" si="129"/>
        <v>1.3744063968167984E-2</v>
      </c>
      <c r="BQ30" s="71">
        <f t="shared" si="105"/>
        <v>8.1038779780673309E-3</v>
      </c>
      <c r="BS30" s="77"/>
    </row>
    <row r="31" spans="2:71" ht="13">
      <c r="B31" s="77">
        <v>2029</v>
      </c>
      <c r="C31" s="78">
        <f ca="1">'Normalized Annual Summary'!AL19</f>
        <v>963117011.96561944</v>
      </c>
      <c r="D31" s="73">
        <f ca="1">C31*E31</f>
        <v>2331492.4728558511</v>
      </c>
      <c r="E31" s="72">
        <f t="shared" si="116"/>
        <v>2.420777998820229E-3</v>
      </c>
      <c r="F31" s="71">
        <f t="shared" si="94"/>
        <v>2.4182897379492335E-3</v>
      </c>
      <c r="G31" s="67">
        <f>'Total Additional'!S21+'EV Forecast VRZ'!R150</f>
        <v>353987.30899018858</v>
      </c>
      <c r="H31" s="69">
        <f t="shared" ca="1" si="92"/>
        <v>2685479.7818460395</v>
      </c>
      <c r="J31" s="77">
        <v>2029</v>
      </c>
      <c r="K31" s="78">
        <f ca="1">'Normalized Annual Summary'!AW19</f>
        <v>103272960.01239792</v>
      </c>
      <c r="L31" s="73">
        <f t="shared" ca="1" si="95"/>
        <v>232699.04711357621</v>
      </c>
      <c r="M31" s="72">
        <f t="shared" si="117"/>
        <v>2.2532427373597183E-3</v>
      </c>
      <c r="N31" s="71">
        <f t="shared" si="96"/>
        <v>1.8893782105598861E-3</v>
      </c>
      <c r="O31" s="67">
        <f>'Total Additional'!S22+'EV Forecast VRZ'!R151</f>
        <v>223266.12784467844</v>
      </c>
      <c r="P31" s="69">
        <f t="shared" ca="1" si="118"/>
        <v>455965.17495825468</v>
      </c>
      <c r="R31" s="77">
        <v>2029</v>
      </c>
      <c r="S31" s="78">
        <f ca="1">'Normalized Annual Summary'!BH19</f>
        <v>346177193.12240952</v>
      </c>
      <c r="T31" s="73">
        <f t="shared" ca="1" si="110"/>
        <v>586964.90669620596</v>
      </c>
      <c r="U31" s="72">
        <f t="shared" si="119"/>
        <v>1.695562036892052E-3</v>
      </c>
      <c r="V31" s="71">
        <f t="shared" si="97"/>
        <v>1.5490318151608617E-3</v>
      </c>
      <c r="W31" s="67">
        <f>'Total Additional'!S23+'EV Forecast VRZ'!R152</f>
        <v>368417.83513736603</v>
      </c>
      <c r="X31" s="69">
        <f t="shared" ca="1" si="120"/>
        <v>955382.74183357204</v>
      </c>
      <c r="Z31" s="77">
        <v>2029</v>
      </c>
      <c r="AA31" s="78">
        <f>'Normalized Annual Summary'!BQ19</f>
        <v>12177615.375290232</v>
      </c>
      <c r="AB31" s="73">
        <f t="shared" si="121"/>
        <v>33967.209346612253</v>
      </c>
      <c r="AC31" s="72">
        <f t="shared" si="122"/>
        <v>2.7893153380041539E-3</v>
      </c>
      <c r="AD31" s="71">
        <f t="shared" si="98"/>
        <v>2.7842970249490448E-3</v>
      </c>
      <c r="AF31" s="77"/>
      <c r="AG31" s="77">
        <v>2029</v>
      </c>
      <c r="AH31" s="78">
        <f>'Normalized Annual Summary'!BX19</f>
        <v>78108.891224480496</v>
      </c>
      <c r="AI31" s="73">
        <f t="shared" si="112"/>
        <v>547.12658419208481</v>
      </c>
      <c r="AJ31" s="72">
        <f t="shared" si="123"/>
        <v>7.0046645857470211E-3</v>
      </c>
      <c r="AK31" s="71">
        <f t="shared" si="99"/>
        <v>2.8776795946202083E-3</v>
      </c>
      <c r="AM31" s="77"/>
      <c r="AP31" s="77">
        <v>2029</v>
      </c>
      <c r="AQ31" s="78">
        <f ca="1">'Normalized Annual Summary'!DJ19</f>
        <v>328117025.04760456</v>
      </c>
      <c r="AR31" s="73">
        <f ca="1">AQ31*AS31</f>
        <v>806922.24982660764</v>
      </c>
      <c r="AS31" s="72">
        <f t="shared" si="124"/>
        <v>2.4592513896818857E-3</v>
      </c>
      <c r="AT31" s="71">
        <f t="shared" si="101"/>
        <v>2.438759457322766E-3</v>
      </c>
      <c r="AU31" s="67">
        <f>'Total Additional'!S47+'EV Forecast WRZ'!R150</f>
        <v>203189.64902784768</v>
      </c>
      <c r="AV31" s="69">
        <f t="shared" ca="1" si="125"/>
        <v>1010111.8988544553</v>
      </c>
      <c r="AX31" s="77">
        <v>2029</v>
      </c>
      <c r="AY31" s="78">
        <f ca="1">'Normalized Annual Summary'!DU19</f>
        <v>82375522.857887432</v>
      </c>
      <c r="AZ31" s="73">
        <f t="shared" ca="1" si="102"/>
        <v>157181.17842888524</v>
      </c>
      <c r="BA31" s="72">
        <f t="shared" si="126"/>
        <v>1.9081053810128888E-3</v>
      </c>
      <c r="BB31" s="71">
        <f t="shared" si="103"/>
        <v>2.1923674105590457E-3</v>
      </c>
      <c r="BC31" s="67">
        <f>'Total Additional'!S48+'EV Forecast WRZ'!R151</f>
        <v>77322.919657161212</v>
      </c>
      <c r="BD31" s="69">
        <f t="shared" ca="1" si="127"/>
        <v>234504.09808604646</v>
      </c>
      <c r="BF31" s="77">
        <v>2029</v>
      </c>
      <c r="BG31" s="78">
        <f>'Normalized Annual Summary'!ED19</f>
        <v>3842449.1545042628</v>
      </c>
      <c r="BH31" s="73">
        <f t="shared" si="113"/>
        <v>10677.514684095742</v>
      </c>
      <c r="BI31" s="72">
        <f t="shared" si="128"/>
        <v>2.778830442448187E-3</v>
      </c>
      <c r="BJ31" s="71">
        <f t="shared" si="104"/>
        <v>2.9519181961045957E-3</v>
      </c>
      <c r="BL31" s="77"/>
      <c r="BM31" s="77">
        <v>2029</v>
      </c>
      <c r="BN31" s="78">
        <f>'Normalized Annual Summary'!EK19</f>
        <v>6383.4938598494691</v>
      </c>
      <c r="BO31" s="73">
        <f t="shared" si="114"/>
        <v>87.735147950178657</v>
      </c>
      <c r="BP31" s="72">
        <f t="shared" si="129"/>
        <v>1.3744063968167984E-2</v>
      </c>
      <c r="BQ31" s="71">
        <f t="shared" si="105"/>
        <v>8.6330856098293385E-3</v>
      </c>
      <c r="BS31" s="77"/>
    </row>
    <row r="32" spans="2:71" ht="13">
      <c r="B32" s="77">
        <v>2030</v>
      </c>
      <c r="C32" s="78">
        <f ca="1">'Normalized Annual Summary'!AL20</f>
        <v>978544325.7875849</v>
      </c>
      <c r="D32" s="73">
        <f t="shared" ca="1" si="115"/>
        <v>2368838.5747369602</v>
      </c>
      <c r="E32" s="72">
        <f t="shared" si="116"/>
        <v>2.420777998820229E-3</v>
      </c>
      <c r="F32" s="71">
        <f t="shared" si="94"/>
        <v>2.4091640093790827E-3</v>
      </c>
      <c r="G32" s="67">
        <f>'Total Additional'!T21+'EV Forecast VRZ'!S150</f>
        <v>368125.421580147</v>
      </c>
      <c r="H32" s="69">
        <f t="shared" ca="1" si="92"/>
        <v>2736963.9963171072</v>
      </c>
      <c r="J32" s="77">
        <v>2030</v>
      </c>
      <c r="K32" s="78">
        <f ca="1">'Normalized Annual Summary'!AW20</f>
        <v>105501082.93547501</v>
      </c>
      <c r="L32" s="73">
        <f t="shared" ca="1" si="95"/>
        <v>237719.54890794438</v>
      </c>
      <c r="M32" s="72">
        <f t="shared" si="117"/>
        <v>2.2532427373597183E-3</v>
      </c>
      <c r="N32" s="71">
        <f t="shared" si="96"/>
        <v>1.8338426094856863E-3</v>
      </c>
      <c r="O32" s="67">
        <f>'Total Additional'!T22+'EV Forecast VRZ'!S151</f>
        <v>233831.87772527459</v>
      </c>
      <c r="P32" s="69">
        <f t="shared" ca="1" si="118"/>
        <v>471551.426633219</v>
      </c>
      <c r="R32" s="77">
        <v>2030</v>
      </c>
      <c r="S32" s="78">
        <f ca="1">'Normalized Annual Summary'!BH20</f>
        <v>359591513.58814353</v>
      </c>
      <c r="T32" s="73">
        <f t="shared" ca="1" si="110"/>
        <v>609709.71922860865</v>
      </c>
      <c r="U32" s="72">
        <f t="shared" si="119"/>
        <v>1.695562036892052E-3</v>
      </c>
      <c r="V32" s="71">
        <f t="shared" si="97"/>
        <v>1.5250448381104592E-3</v>
      </c>
      <c r="W32" s="67">
        <f>'Total Additional'!T23+'EV Forecast VRZ'!S152</f>
        <v>376526.36601977056</v>
      </c>
      <c r="X32" s="69">
        <f t="shared" ca="1" si="120"/>
        <v>986236.08524837927</v>
      </c>
      <c r="Z32" s="77">
        <v>2030</v>
      </c>
      <c r="AA32" s="78">
        <f>'Normalized Annual Summary'!BQ20</f>
        <v>12311993.031950675</v>
      </c>
      <c r="AB32" s="73">
        <f t="shared" si="121"/>
        <v>34342.031005420286</v>
      </c>
      <c r="AC32" s="72">
        <f t="shared" si="122"/>
        <v>2.7893153380041539E-3</v>
      </c>
      <c r="AD32" s="71">
        <f t="shared" si="98"/>
        <v>2.7836588874935102E-3</v>
      </c>
      <c r="AF32" s="77"/>
      <c r="AG32" s="77">
        <v>2030</v>
      </c>
      <c r="AH32" s="78">
        <f>'Normalized Annual Summary'!BX20</f>
        <v>76580.686323424539</v>
      </c>
      <c r="AI32" s="73">
        <f t="shared" si="112"/>
        <v>536.42202144189309</v>
      </c>
      <c r="AJ32" s="72">
        <f t="shared" si="123"/>
        <v>7.0046645857470211E-3</v>
      </c>
      <c r="AK32" s="71">
        <f t="shared" si="99"/>
        <v>2.7355894194184827E-3</v>
      </c>
      <c r="AM32" s="77"/>
      <c r="AP32" s="77">
        <v>2030</v>
      </c>
      <c r="AQ32" s="78">
        <f ca="1">'Normalized Annual Summary'!DJ20</f>
        <v>330405753.16071147</v>
      </c>
      <c r="AR32" s="73">
        <f t="shared" ca="1" si="100"/>
        <v>812550.80761936982</v>
      </c>
      <c r="AS32" s="72">
        <f t="shared" si="124"/>
        <v>2.4592513896818857E-3</v>
      </c>
      <c r="AT32" s="71">
        <f t="shared" si="101"/>
        <v>2.4349628729193043E-3</v>
      </c>
      <c r="AU32" s="67">
        <f>'Total Additional'!T47+'EV Forecast WRZ'!S150</f>
        <v>227903.27425859435</v>
      </c>
      <c r="AV32" s="69">
        <f t="shared" ca="1" si="125"/>
        <v>1040454.0818779642</v>
      </c>
      <c r="AX32" s="77">
        <v>2030</v>
      </c>
      <c r="AY32" s="78">
        <f ca="1">'Normalized Annual Summary'!DU20</f>
        <v>82940599.588697672</v>
      </c>
      <c r="AZ32" s="73">
        <f t="shared" ca="1" si="102"/>
        <v>158259.40437962941</v>
      </c>
      <c r="BA32" s="72">
        <f t="shared" si="126"/>
        <v>1.9081053810128888E-3</v>
      </c>
      <c r="BB32" s="71">
        <f t="shared" si="103"/>
        <v>2.2432100912062602E-3</v>
      </c>
      <c r="BC32" s="67">
        <f>'Total Additional'!T48+'EV Forecast WRZ'!S151</f>
        <v>91342.310930275926</v>
      </c>
      <c r="BD32" s="69">
        <f t="shared" ca="1" si="127"/>
        <v>249601.71530990535</v>
      </c>
      <c r="BF32" s="77">
        <v>2030</v>
      </c>
      <c r="BG32" s="78">
        <f>'Normalized Annual Summary'!ED20</f>
        <v>3909485.8122055032</v>
      </c>
      <c r="BH32" s="73">
        <f t="shared" si="113"/>
        <v>10863.798189275929</v>
      </c>
      <c r="BI32" s="72">
        <f t="shared" si="128"/>
        <v>2.778830442448187E-3</v>
      </c>
      <c r="BJ32" s="71">
        <f t="shared" si="104"/>
        <v>2.9737215065116993E-3</v>
      </c>
      <c r="BL32" s="77"/>
      <c r="BM32" s="77">
        <v>2030</v>
      </c>
      <c r="BN32" s="78">
        <f>'Normalized Annual Summary'!EK20</f>
        <v>6477.0820300059695</v>
      </c>
      <c r="BO32" s="73">
        <f t="shared" si="114"/>
        <v>89.021429747473391</v>
      </c>
      <c r="BP32" s="72">
        <f t="shared" si="129"/>
        <v>1.3744063968167984E-2</v>
      </c>
      <c r="BQ32" s="71">
        <f t="shared" si="105"/>
        <v>9.1622932415913461E-3</v>
      </c>
      <c r="BS32" s="77"/>
    </row>
    <row r="33" spans="1:71" ht="13">
      <c r="B33" s="77">
        <v>2031</v>
      </c>
      <c r="C33" s="78">
        <f ca="1">'Normalized Annual Summary'!AL21</f>
        <v>1004643385.0437484</v>
      </c>
      <c r="D33" s="73">
        <f t="shared" ca="1" si="115"/>
        <v>2432018.6031741858</v>
      </c>
      <c r="E33" s="72">
        <f t="shared" si="116"/>
        <v>2.420777998820229E-3</v>
      </c>
      <c r="F33" s="71">
        <f t="shared" si="94"/>
        <v>2.4000382808089353E-3</v>
      </c>
      <c r="G33" s="67">
        <f>'Total Additional'!U21+'EV Forecast VRZ'!T150</f>
        <v>377078.93538045674</v>
      </c>
      <c r="H33" s="69">
        <f t="shared" ca="1" si="92"/>
        <v>2809097.5385546423</v>
      </c>
      <c r="J33" s="77">
        <v>2031</v>
      </c>
      <c r="K33" s="78">
        <f ca="1">'Normalized Annual Summary'!AW21</f>
        <v>108675274.12372847</v>
      </c>
      <c r="L33" s="73">
        <f t="shared" ca="1" si="95"/>
        <v>244871.7721498677</v>
      </c>
      <c r="M33" s="72">
        <f t="shared" si="117"/>
        <v>2.2532427373597183E-3</v>
      </c>
      <c r="N33" s="71">
        <f t="shared" si="96"/>
        <v>1.7783070084115005E-3</v>
      </c>
      <c r="O33" s="67">
        <f>'Total Additional'!U22+'EV Forecast VRZ'!T151</f>
        <v>248091.62498858079</v>
      </c>
      <c r="P33" s="69">
        <f t="shared" ca="1" si="118"/>
        <v>492963.39713844849</v>
      </c>
      <c r="R33" s="77">
        <v>2031</v>
      </c>
      <c r="S33" s="78">
        <f ca="1">'Normalized Annual Summary'!BH21</f>
        <v>375623622.80768001</v>
      </c>
      <c r="T33" s="73">
        <f t="shared" ca="1" si="110"/>
        <v>636893.15499256179</v>
      </c>
      <c r="U33" s="72">
        <f t="shared" si="119"/>
        <v>1.695562036892052E-3</v>
      </c>
      <c r="V33" s="71">
        <f t="shared" si="97"/>
        <v>1.5010578610600567E-3</v>
      </c>
      <c r="W33" s="67">
        <f>'Total Additional'!U23+'EV Forecast VRZ'!T152</f>
        <v>376796.93744159717</v>
      </c>
      <c r="X33" s="69">
        <f t="shared" ca="1" si="120"/>
        <v>1013690.092434159</v>
      </c>
      <c r="Z33" s="77">
        <v>2031</v>
      </c>
      <c r="AA33" s="78">
        <f>'Normalized Annual Summary'!BQ21</f>
        <v>12447853.520352231</v>
      </c>
      <c r="AB33" s="73">
        <f t="shared" si="121"/>
        <v>34720.988749547483</v>
      </c>
      <c r="AC33" s="72">
        <f t="shared" si="122"/>
        <v>2.7893153380041539E-3</v>
      </c>
      <c r="AD33" s="71">
        <f t="shared" si="98"/>
        <v>2.7830207500379755E-3</v>
      </c>
      <c r="AF33" s="77"/>
      <c r="AG33" s="77">
        <v>2031</v>
      </c>
      <c r="AH33" s="78">
        <f>'Normalized Annual Summary'!BX21</f>
        <v>75082.38083820972</v>
      </c>
      <c r="AI33" s="73">
        <f t="shared" si="112"/>
        <v>525.92689407097839</v>
      </c>
      <c r="AJ33" s="72">
        <f t="shared" si="123"/>
        <v>7.0046645857470211E-3</v>
      </c>
      <c r="AK33" s="71">
        <f t="shared" si="99"/>
        <v>2.593499244216757E-3</v>
      </c>
      <c r="AM33" s="77"/>
      <c r="AP33" s="77">
        <v>2031</v>
      </c>
      <c r="AQ33" s="78">
        <f ca="1">'Normalized Annual Summary'!DJ21</f>
        <v>335383619.69177598</v>
      </c>
      <c r="AR33" s="73">
        <f t="shared" ca="1" si="100"/>
        <v>824792.63280354114</v>
      </c>
      <c r="AS33" s="72">
        <f t="shared" si="124"/>
        <v>2.4592513896818857E-3</v>
      </c>
      <c r="AT33" s="71">
        <f t="shared" si="101"/>
        <v>2.4311662885158425E-3</v>
      </c>
      <c r="AU33" s="67">
        <f>'Total Additional'!U47+'EV Forecast WRZ'!T150</f>
        <v>243324.63905615962</v>
      </c>
      <c r="AV33" s="69">
        <f t="shared" ca="1" si="125"/>
        <v>1068117.2718597008</v>
      </c>
      <c r="AX33" s="77">
        <v>2031</v>
      </c>
      <c r="AY33" s="78">
        <f ca="1">'Normalized Annual Summary'!DU21</f>
        <v>83924420.236770019</v>
      </c>
      <c r="AZ33" s="73">
        <f t="shared" ca="1" si="102"/>
        <v>160136.63785216786</v>
      </c>
      <c r="BA33" s="72">
        <f t="shared" si="126"/>
        <v>1.9081053810128888E-3</v>
      </c>
      <c r="BB33" s="71">
        <f t="shared" si="103"/>
        <v>2.2940527718534748E-3</v>
      </c>
      <c r="BC33" s="67">
        <f>'Total Additional'!U48+'EV Forecast WRZ'!T151</f>
        <v>102768.49738857169</v>
      </c>
      <c r="BD33" s="69">
        <f t="shared" ca="1" si="127"/>
        <v>262905.13524073956</v>
      </c>
      <c r="BF33" s="77">
        <v>2031</v>
      </c>
      <c r="BG33" s="78">
        <f>'Normalized Annual Summary'!ED21</f>
        <v>3977692.0139384423</v>
      </c>
      <c r="BH33" s="73">
        <f t="shared" si="113"/>
        <v>11053.331659015181</v>
      </c>
      <c r="BI33" s="72">
        <f t="shared" si="128"/>
        <v>2.778830442448187E-3</v>
      </c>
      <c r="BJ33" s="71">
        <f t="shared" si="104"/>
        <v>2.9955248169188028E-3</v>
      </c>
      <c r="BL33" s="77"/>
      <c r="BM33" s="77">
        <v>2031</v>
      </c>
      <c r="BN33" s="78">
        <f>'Normalized Annual Summary'!EK21</f>
        <v>6572.042292904398</v>
      </c>
      <c r="BO33" s="73">
        <f t="shared" si="114"/>
        <v>90.326569675183435</v>
      </c>
      <c r="BP33" s="72">
        <f t="shared" si="129"/>
        <v>1.3744063968167984E-2</v>
      </c>
      <c r="BQ33" s="71">
        <f t="shared" si="105"/>
        <v>9.6915008733533536E-3</v>
      </c>
      <c r="BS33" s="77"/>
    </row>
    <row r="34" spans="1:71" ht="13">
      <c r="B34" s="77"/>
      <c r="C34" s="78"/>
      <c r="D34" s="73"/>
      <c r="E34" s="72"/>
      <c r="F34" s="72"/>
      <c r="G34" s="67"/>
      <c r="H34" s="69"/>
      <c r="J34" s="77"/>
      <c r="K34" s="78"/>
      <c r="L34" s="73"/>
      <c r="M34" s="72"/>
      <c r="N34" s="71"/>
      <c r="O34" s="67"/>
      <c r="P34" s="69"/>
      <c r="R34" s="77"/>
      <c r="S34" s="78"/>
      <c r="T34" s="73"/>
      <c r="U34" s="72"/>
      <c r="V34" s="71"/>
      <c r="W34" s="67"/>
      <c r="X34" s="69"/>
      <c r="Z34" s="77"/>
      <c r="AA34" s="78"/>
      <c r="AB34" s="73"/>
      <c r="AC34" s="72"/>
      <c r="AD34" s="68"/>
      <c r="AF34" s="77"/>
      <c r="AG34" s="77"/>
      <c r="AH34" s="78"/>
      <c r="AI34" s="73"/>
      <c r="AJ34" s="72"/>
      <c r="AK34" s="68"/>
      <c r="AM34" s="77"/>
      <c r="AP34" s="77"/>
      <c r="AQ34" s="78"/>
      <c r="AR34" s="73"/>
      <c r="AS34" s="72"/>
      <c r="AT34" s="71"/>
      <c r="AU34" s="67"/>
      <c r="AV34" s="69"/>
      <c r="AX34" s="77"/>
      <c r="AY34" s="78"/>
      <c r="AZ34" s="73"/>
      <c r="BA34" s="72"/>
      <c r="BB34" s="71"/>
      <c r="BC34" s="67"/>
      <c r="BD34" s="69"/>
      <c r="BF34" s="77"/>
      <c r="BG34" s="78"/>
      <c r="BH34" s="73"/>
      <c r="BI34" s="72"/>
      <c r="BJ34" s="68"/>
      <c r="BL34" s="77"/>
      <c r="BM34" s="77"/>
      <c r="BN34" s="78"/>
      <c r="BO34" s="73"/>
      <c r="BP34" s="72"/>
      <c r="BQ34" s="68"/>
      <c r="BS34" s="77"/>
    </row>
    <row r="35" spans="1:71">
      <c r="H35" s="516"/>
    </row>
    <row r="36" spans="1:71">
      <c r="A36" s="508"/>
      <c r="B36" s="508"/>
      <c r="C36" s="502" t="s">
        <v>3</v>
      </c>
      <c r="D36" s="66" t="s">
        <v>602</v>
      </c>
      <c r="E36" s="513" t="s">
        <v>763</v>
      </c>
      <c r="F36" s="513"/>
      <c r="G36" s="508"/>
      <c r="H36" s="485"/>
      <c r="I36" s="508"/>
      <c r="J36" s="508"/>
      <c r="K36" s="502" t="s">
        <v>3</v>
      </c>
      <c r="L36" s="66" t="s">
        <v>602</v>
      </c>
      <c r="M36" s="513" t="s">
        <v>763</v>
      </c>
      <c r="N36" s="508"/>
      <c r="O36" s="508"/>
      <c r="P36" s="508"/>
      <c r="Q36" s="508"/>
      <c r="R36" s="508"/>
      <c r="S36" s="502" t="s">
        <v>3</v>
      </c>
      <c r="T36" s="66" t="s">
        <v>602</v>
      </c>
      <c r="U36" s="513" t="s">
        <v>763</v>
      </c>
      <c r="V36" s="508"/>
      <c r="W36" s="508"/>
      <c r="X36" s="508"/>
      <c r="Y36" s="508"/>
      <c r="Z36" s="508"/>
      <c r="AA36" s="502" t="s">
        <v>3</v>
      </c>
      <c r="AB36" s="66" t="s">
        <v>602</v>
      </c>
      <c r="AC36" s="513" t="s">
        <v>763</v>
      </c>
      <c r="AG36" s="508"/>
      <c r="AH36" s="502" t="s">
        <v>3</v>
      </c>
      <c r="AI36" s="66" t="s">
        <v>602</v>
      </c>
      <c r="AJ36" s="513" t="s">
        <v>763</v>
      </c>
      <c r="AO36" s="508"/>
      <c r="AP36" s="508"/>
      <c r="AQ36" s="502" t="s">
        <v>3</v>
      </c>
      <c r="AR36" s="66" t="s">
        <v>602</v>
      </c>
      <c r="AS36" s="513" t="s">
        <v>763</v>
      </c>
      <c r="AT36" s="508"/>
      <c r="AU36" s="508"/>
      <c r="AV36" s="508"/>
      <c r="AW36" s="508"/>
      <c r="AX36" s="508"/>
      <c r="AY36" s="502" t="s">
        <v>3</v>
      </c>
      <c r="AZ36" s="66" t="s">
        <v>602</v>
      </c>
      <c r="BA36" s="513" t="s">
        <v>763</v>
      </c>
      <c r="BB36" s="508"/>
      <c r="BC36" s="508"/>
      <c r="BD36" s="508"/>
      <c r="BE36" s="508"/>
      <c r="BF36" s="508"/>
      <c r="BG36" s="502" t="s">
        <v>3</v>
      </c>
      <c r="BH36" s="66" t="s">
        <v>602</v>
      </c>
      <c r="BI36" s="513" t="s">
        <v>763</v>
      </c>
      <c r="BM36" s="508"/>
      <c r="BN36" s="502" t="s">
        <v>3</v>
      </c>
      <c r="BO36" s="66" t="s">
        <v>602</v>
      </c>
      <c r="BP36" s="513" t="s">
        <v>763</v>
      </c>
    </row>
    <row r="37" spans="1:71">
      <c r="A37" s="508" t="s">
        <v>764</v>
      </c>
      <c r="B37" s="508"/>
      <c r="C37" s="65">
        <f>C14/C10-1</f>
        <v>5.6383606890514582E-2</v>
      </c>
      <c r="D37" s="65">
        <f>D14/D10-1</f>
        <v>1.5291663324148441E-2</v>
      </c>
      <c r="E37" s="517">
        <f>D37-C37</f>
        <v>-4.109194356636614E-2</v>
      </c>
      <c r="F37" s="517"/>
      <c r="G37" s="508"/>
      <c r="H37" s="484"/>
      <c r="I37" s="508"/>
      <c r="J37" s="508"/>
      <c r="K37" s="65">
        <f>K14/K10-1</f>
        <v>4.2156921453389007E-3</v>
      </c>
      <c r="L37" s="65">
        <f>L14/L10-1</f>
        <v>1.4048184719954504E-2</v>
      </c>
      <c r="M37" s="517">
        <f>L37-K37</f>
        <v>9.8324925746156033E-3</v>
      </c>
      <c r="N37" s="508"/>
      <c r="O37" s="508"/>
      <c r="P37" s="508"/>
      <c r="Q37" s="508"/>
      <c r="R37" s="508"/>
      <c r="S37" s="65">
        <f>S14/S10-1</f>
        <v>0.13233988563761812</v>
      </c>
      <c r="T37" s="65">
        <f>T14/T10-1</f>
        <v>0.11952986811803967</v>
      </c>
      <c r="U37" s="517">
        <f>T37-S37</f>
        <v>-1.2810017519578443E-2</v>
      </c>
      <c r="V37" s="508"/>
      <c r="W37" s="508"/>
      <c r="X37" s="508"/>
      <c r="Y37" s="508"/>
      <c r="Z37" s="508"/>
      <c r="AA37" s="65">
        <f>AA14/AA10-1</f>
        <v>4.5711887369437321E-2</v>
      </c>
      <c r="AB37" s="65">
        <f>AB14/AB10-1</f>
        <v>4.2691964751905731E-2</v>
      </c>
      <c r="AC37" s="517">
        <f>AB37-AA37</f>
        <v>-3.0199226175315896E-3</v>
      </c>
      <c r="AG37" s="508"/>
      <c r="AH37" s="65">
        <f>AH14/AH10-1</f>
        <v>-0.61009111939073613</v>
      </c>
      <c r="AI37" s="65">
        <f>AI14/AI10-1</f>
        <v>-6.3094877009378658E-2</v>
      </c>
      <c r="AJ37" s="517">
        <f>AI37-AH37</f>
        <v>0.54699624238135747</v>
      </c>
      <c r="AO37" s="508" t="s">
        <v>764</v>
      </c>
      <c r="AP37" s="508"/>
      <c r="AQ37" s="65">
        <f>AQ14/AQ10-1</f>
        <v>0.12054176595239041</v>
      </c>
      <c r="AR37" s="65">
        <f>AR14/AR10-1</f>
        <v>4.8411000203544496E-2</v>
      </c>
      <c r="AS37" s="517">
        <f>AR37-AQ37</f>
        <v>-7.2130765748845915E-2</v>
      </c>
      <c r="AT37" s="508"/>
      <c r="AU37" s="508"/>
      <c r="AV37" s="508"/>
      <c r="AW37" s="508"/>
      <c r="AX37" s="508"/>
      <c r="AY37" s="65">
        <f>AY14/AY10-1</f>
        <v>-6.5374948410922284E-2</v>
      </c>
      <c r="AZ37" s="65">
        <f>AZ14/AZ10-1</f>
        <v>-1.0087061112762141E-2</v>
      </c>
      <c r="BA37" s="517">
        <f>AZ37-AY37</f>
        <v>5.5287887298160143E-2</v>
      </c>
      <c r="BB37" s="508"/>
      <c r="BC37" s="508"/>
      <c r="BD37" s="508"/>
      <c r="BE37" s="508"/>
      <c r="BF37" s="508"/>
      <c r="BG37" s="65">
        <f>BG14/BG10-1</f>
        <v>0.15174516914157432</v>
      </c>
      <c r="BH37" s="65">
        <f>BH14/BH10-1</f>
        <v>7.0497756889553509E-2</v>
      </c>
      <c r="BI37" s="517">
        <f>BH37-BG37</f>
        <v>-8.1247412252020812E-2</v>
      </c>
      <c r="BM37" s="508"/>
      <c r="BN37" s="65">
        <f>BN14/BN10-1</f>
        <v>-0.75284686444497129</v>
      </c>
      <c r="BO37" s="65">
        <f>BO14/BO10-1</f>
        <v>0.16581987481776794</v>
      </c>
      <c r="BP37" s="517">
        <f>BO37-BN37</f>
        <v>0.91866673926273923</v>
      </c>
    </row>
    <row r="38" spans="1:71">
      <c r="A38" s="508" t="s">
        <v>765</v>
      </c>
      <c r="B38" s="508"/>
      <c r="C38" s="65">
        <f>C14/C5-1</f>
        <v>1.419119842659633E-3</v>
      </c>
      <c r="D38" s="65">
        <f>D14/D5-1</f>
        <v>-5.0956594424283574E-2</v>
      </c>
      <c r="E38" s="517">
        <f>D38-C38</f>
        <v>-5.2375714266943207E-2</v>
      </c>
      <c r="F38" s="517"/>
      <c r="G38" s="508"/>
      <c r="H38" s="485"/>
      <c r="I38" s="508"/>
      <c r="J38" s="508"/>
      <c r="K38" s="65">
        <f>K14/K5-1</f>
        <v>0.21242185233941013</v>
      </c>
      <c r="L38" s="65">
        <f>L14/L5-1</f>
        <v>-1.8730249375772279E-2</v>
      </c>
      <c r="M38" s="517">
        <f>L38-K38</f>
        <v>-0.23115210171518241</v>
      </c>
      <c r="N38" s="508"/>
      <c r="O38" s="508"/>
      <c r="P38" s="508"/>
      <c r="Q38" s="508"/>
      <c r="R38" s="508"/>
      <c r="S38" s="65">
        <f>S14/S5-1</f>
        <v>0.49444069722325468</v>
      </c>
      <c r="T38" s="65">
        <f>T14/T5-1</f>
        <v>0.27828906624177852</v>
      </c>
      <c r="U38" s="517">
        <f>T38-S38</f>
        <v>-0.21615163098147616</v>
      </c>
      <c r="V38" s="508"/>
      <c r="W38" s="508"/>
      <c r="X38" s="508"/>
      <c r="Y38" s="508"/>
      <c r="Z38" s="508"/>
      <c r="AA38" s="65">
        <f>AA14/AA5-1</f>
        <v>-0.43688533163514509</v>
      </c>
      <c r="AB38" s="65">
        <f>AB14/AB5-1</f>
        <v>-0.43627156938414291</v>
      </c>
      <c r="AC38" s="517">
        <f>AB38-AA38</f>
        <v>6.1376225100218118E-4</v>
      </c>
      <c r="AG38" s="508"/>
      <c r="AH38" s="65">
        <f>AH14/AH5-1</f>
        <v>-0.43295552254539249</v>
      </c>
      <c r="AI38" s="65">
        <f>AI14/AI5-1</f>
        <v>-0.4160512448421374</v>
      </c>
      <c r="AJ38" s="517">
        <f>AI38-AH38</f>
        <v>1.6904277703255088E-2</v>
      </c>
      <c r="AO38" s="508" t="s">
        <v>765</v>
      </c>
      <c r="AP38" s="508"/>
      <c r="AQ38" s="65">
        <f>AQ14/AQ5-1</f>
        <v>-8.7374360416332397E-3</v>
      </c>
      <c r="AR38" s="65">
        <f>AR14/AR5-1</f>
        <v>-6.0012235349468757E-2</v>
      </c>
      <c r="AS38" s="517">
        <f>AR38-AQ38</f>
        <v>-5.1274799307835517E-2</v>
      </c>
      <c r="AT38" s="508"/>
      <c r="AU38" s="508"/>
      <c r="AV38" s="508"/>
      <c r="AW38" s="508"/>
      <c r="AX38" s="508"/>
      <c r="AY38" s="65">
        <f>AY14/AY5-1</f>
        <v>0.32247811653795311</v>
      </c>
      <c r="AZ38" s="65">
        <f>AZ14/AZ5-1</f>
        <v>0.60048766068275716</v>
      </c>
      <c r="BA38" s="517">
        <f>AZ38-AY38</f>
        <v>0.27800954414480405</v>
      </c>
      <c r="BB38" s="508"/>
      <c r="BC38" s="508"/>
      <c r="BD38" s="508"/>
      <c r="BE38" s="508"/>
      <c r="BF38" s="508"/>
      <c r="BG38" s="65">
        <f>BG14/BG5-1</f>
        <v>-0.40639775921075971</v>
      </c>
      <c r="BH38" s="65">
        <f>BH14/BH5-1</f>
        <v>-0.37913786769602653</v>
      </c>
      <c r="BI38" s="517">
        <f>BH38-BG38</f>
        <v>2.7259891514733181E-2</v>
      </c>
      <c r="BM38" s="508"/>
      <c r="BN38" s="65">
        <f>BN14/BN5-1</f>
        <v>-0.80144916468245642</v>
      </c>
      <c r="BO38" s="65">
        <f>BO14/BO5-1</f>
        <v>-0.10029118356454891</v>
      </c>
      <c r="BP38" s="517">
        <f>BO38-BN38</f>
        <v>0.7011579811179075</v>
      </c>
    </row>
    <row r="39" spans="1:71">
      <c r="A39" s="508"/>
      <c r="B39" s="508"/>
      <c r="C39" s="508"/>
      <c r="D39" s="508"/>
      <c r="E39" s="508"/>
      <c r="F39" s="508"/>
      <c r="G39" s="508"/>
      <c r="H39" s="508"/>
      <c r="I39" s="508"/>
      <c r="J39" s="508"/>
      <c r="K39" s="508"/>
      <c r="L39" s="508"/>
      <c r="M39" s="508"/>
      <c r="N39" s="508"/>
      <c r="O39" s="508"/>
      <c r="P39" s="508"/>
      <c r="Q39" s="508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G39" s="508"/>
      <c r="AH39" s="508"/>
      <c r="AI39" s="508"/>
      <c r="AJ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508"/>
      <c r="BC39" s="508"/>
      <c r="BD39" s="508"/>
      <c r="BE39" s="508"/>
      <c r="BF39" s="508"/>
      <c r="BG39" s="508"/>
      <c r="BH39" s="508"/>
      <c r="BI39" s="508"/>
      <c r="BM39" s="508"/>
      <c r="BN39" s="508"/>
      <c r="BO39" s="508"/>
      <c r="BP39" s="508"/>
    </row>
    <row r="40" spans="1:71">
      <c r="A40" s="508"/>
      <c r="B40" s="508"/>
      <c r="C40" s="508"/>
      <c r="D40" s="508" t="s">
        <v>766</v>
      </c>
      <c r="E40" s="508"/>
      <c r="F40" s="508"/>
      <c r="G40" s="508"/>
      <c r="H40" s="508"/>
      <c r="I40" s="508"/>
      <c r="J40" s="508"/>
      <c r="K40" s="508"/>
      <c r="L40" s="508" t="s">
        <v>767</v>
      </c>
      <c r="M40" s="508"/>
      <c r="N40" s="508"/>
      <c r="O40" s="508"/>
      <c r="P40" s="508"/>
      <c r="Q40" s="508"/>
      <c r="R40" s="508"/>
      <c r="S40" s="508"/>
      <c r="T40" s="508" t="s">
        <v>767</v>
      </c>
      <c r="U40" s="508"/>
      <c r="V40" s="508"/>
      <c r="W40" s="508"/>
      <c r="X40" s="508"/>
      <c r="Y40" s="508"/>
      <c r="Z40" s="508"/>
      <c r="AA40" s="508"/>
      <c r="AB40" s="508" t="s">
        <v>255</v>
      </c>
      <c r="AC40" s="508"/>
      <c r="AG40" s="508"/>
      <c r="AH40" s="508"/>
      <c r="AI40" s="508" t="s">
        <v>768</v>
      </c>
      <c r="AJ40" s="508"/>
      <c r="AO40" s="508"/>
      <c r="AP40" s="508"/>
      <c r="AQ40" s="508"/>
      <c r="AR40" s="508" t="s">
        <v>766</v>
      </c>
      <c r="AS40" s="508"/>
      <c r="AT40" s="508"/>
      <c r="AU40" s="508"/>
      <c r="AV40" s="508"/>
      <c r="AW40" s="508"/>
      <c r="AX40" s="508"/>
      <c r="AY40" s="508"/>
      <c r="AZ40" s="508" t="s">
        <v>767</v>
      </c>
      <c r="BA40" s="508"/>
      <c r="BB40" s="508"/>
      <c r="BC40" s="508"/>
      <c r="BD40" s="508"/>
      <c r="BE40" s="508"/>
      <c r="BF40" s="508"/>
      <c r="BG40" s="508"/>
      <c r="BH40" s="508" t="s">
        <v>255</v>
      </c>
      <c r="BI40" s="508"/>
      <c r="BM40" s="508"/>
      <c r="BN40" s="508"/>
      <c r="BO40" s="508" t="s">
        <v>768</v>
      </c>
      <c r="BP40" s="508"/>
    </row>
    <row r="63" spans="5:45">
      <c r="E63" s="518"/>
      <c r="F63" s="518"/>
      <c r="AS63" s="518"/>
    </row>
  </sheetData>
  <mergeCells count="9">
    <mergeCell ref="AQ2:AS2"/>
    <mergeCell ref="AY2:BA2"/>
    <mergeCell ref="BG2:BI2"/>
    <mergeCell ref="BN2:BP2"/>
    <mergeCell ref="C2:E2"/>
    <mergeCell ref="AA2:AC2"/>
    <mergeCell ref="K2:M2"/>
    <mergeCell ref="S2:U2"/>
    <mergeCell ref="AH2:AJ2"/>
  </mergeCells>
  <pageMargins left="0.7" right="0.7" top="0.75" bottom="0.75" header="0.3" footer="0.3"/>
  <ignoredErrors>
    <ignoredError sqref="BQ12" formula="1"/>
  </ignoredErrors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A3708-41A5-49AF-83BB-7A2D22DB604D}">
  <sheetPr codeName="Sheet39"/>
  <dimension ref="B1:AS57"/>
  <sheetViews>
    <sheetView topLeftCell="A3" workbookViewId="0">
      <selection activeCell="AA38" sqref="AA38"/>
    </sheetView>
  </sheetViews>
  <sheetFormatPr defaultColWidth="8.81640625" defaultRowHeight="14"/>
  <cols>
    <col min="1" max="1" width="8.81640625" style="217"/>
    <col min="2" max="2" width="17.81640625" style="217" customWidth="1"/>
    <col min="3" max="3" width="16.1796875" style="217" customWidth="1"/>
    <col min="4" max="4" width="12.1796875" style="217" bestFit="1" customWidth="1"/>
    <col min="5" max="6" width="14.81640625" style="217" bestFit="1" customWidth="1"/>
    <col min="7" max="7" width="14.81640625" style="217" customWidth="1"/>
    <col min="8" max="8" width="17" style="217" customWidth="1"/>
    <col min="9" max="9" width="14.81640625" style="217" bestFit="1" customWidth="1"/>
    <col min="10" max="10" width="12.1796875" style="217" customWidth="1"/>
    <col min="11" max="11" width="14.81640625" style="217" bestFit="1" customWidth="1"/>
    <col min="12" max="12" width="14.81640625" style="217" customWidth="1"/>
    <col min="13" max="13" width="15.81640625" style="217" customWidth="1"/>
    <col min="14" max="14" width="13.81640625" style="217" customWidth="1"/>
    <col min="15" max="15" width="13.54296875" style="217" customWidth="1"/>
    <col min="16" max="16" width="11" style="217" bestFit="1" customWidth="1"/>
    <col min="17" max="17" width="12.54296875" style="217" customWidth="1"/>
    <col min="18" max="18" width="15.1796875" style="217" customWidth="1"/>
    <col min="19" max="19" width="12.1796875" style="217" bestFit="1" customWidth="1"/>
    <col min="20" max="20" width="12.54296875" style="217" customWidth="1"/>
    <col min="21" max="21" width="12.1796875" style="217" bestFit="1" customWidth="1"/>
    <col min="22" max="22" width="12.54296875" style="217" customWidth="1"/>
    <col min="23" max="23" width="13.81640625" style="217" customWidth="1"/>
    <col min="24" max="24" width="12.81640625" style="217" bestFit="1" customWidth="1"/>
    <col min="25" max="27" width="12.81640625" style="217" customWidth="1"/>
    <col min="28" max="28" width="15.81640625" style="217" customWidth="1"/>
    <col min="29" max="29" width="12.81640625" style="217" customWidth="1"/>
    <col min="30" max="30" width="14.1796875" style="217" customWidth="1"/>
    <col min="31" max="31" width="14.81640625" style="217" customWidth="1"/>
    <col min="32" max="32" width="14" style="217" bestFit="1" customWidth="1"/>
    <col min="33" max="33" width="16.1796875" style="217" customWidth="1"/>
    <col min="34" max="34" width="15.81640625" style="217" customWidth="1"/>
    <col min="35" max="35" width="13.453125" style="217" customWidth="1"/>
    <col min="36" max="37" width="13.1796875" style="217" bestFit="1" customWidth="1"/>
    <col min="38" max="38" width="15.54296875" style="217" customWidth="1"/>
    <col min="39" max="39" width="13.1796875" style="217" bestFit="1" customWidth="1"/>
    <col min="40" max="40" width="13.81640625" style="217" bestFit="1" customWidth="1"/>
    <col min="41" max="41" width="11" style="217" bestFit="1" customWidth="1"/>
    <col min="42" max="42" width="10.81640625" style="217" customWidth="1"/>
    <col min="43" max="43" width="10.453125" style="217" customWidth="1"/>
    <col min="44" max="51" width="11.453125" style="217" customWidth="1"/>
    <col min="52" max="16384" width="8.81640625" style="217"/>
  </cols>
  <sheetData>
    <row r="1" spans="2:41" ht="14.5" thickBot="1"/>
    <row r="2" spans="2:41" ht="14.5" customHeight="1">
      <c r="B2" s="849"/>
      <c r="C2" s="850"/>
      <c r="D2" s="850"/>
      <c r="E2" s="850"/>
      <c r="F2" s="850"/>
      <c r="G2" s="850"/>
      <c r="H2" s="850"/>
      <c r="I2" s="850"/>
      <c r="J2" s="850"/>
      <c r="K2" s="850"/>
      <c r="L2" s="850"/>
      <c r="M2" s="850"/>
      <c r="N2" s="850"/>
      <c r="O2" s="850"/>
      <c r="P2" s="850"/>
      <c r="Q2" s="850"/>
      <c r="R2" s="850"/>
      <c r="S2" s="850"/>
      <c r="T2" s="850"/>
      <c r="U2" s="850"/>
      <c r="V2" s="850"/>
      <c r="W2" s="850"/>
      <c r="X2" s="850"/>
      <c r="Y2" s="850"/>
      <c r="Z2" s="850"/>
    </row>
    <row r="3" spans="2:41" ht="14.5" thickBot="1">
      <c r="B3" s="851" t="s">
        <v>769</v>
      </c>
      <c r="C3" s="852"/>
      <c r="D3" s="852"/>
      <c r="E3" s="852"/>
      <c r="F3" s="852"/>
      <c r="G3" s="852"/>
      <c r="H3" s="852"/>
      <c r="I3" s="852"/>
      <c r="J3" s="852"/>
      <c r="K3" s="852"/>
      <c r="L3" s="852"/>
      <c r="M3" s="852"/>
      <c r="N3" s="852"/>
      <c r="O3" s="852"/>
      <c r="P3" s="852"/>
      <c r="Q3" s="852"/>
      <c r="R3" s="852"/>
      <c r="S3" s="852"/>
      <c r="T3" s="852"/>
      <c r="U3" s="852"/>
      <c r="V3" s="852"/>
      <c r="W3" s="852"/>
      <c r="X3" s="852"/>
      <c r="Y3" s="852"/>
      <c r="Z3" s="852"/>
      <c r="AD3" s="217" t="s">
        <v>436</v>
      </c>
    </row>
    <row r="4" spans="2:41" ht="14.5" thickBot="1">
      <c r="B4" s="858" t="s">
        <v>770</v>
      </c>
      <c r="C4" s="860">
        <v>2024</v>
      </c>
      <c r="D4" s="861"/>
      <c r="E4" s="862"/>
      <c r="F4" s="863">
        <v>2025</v>
      </c>
      <c r="G4" s="863"/>
      <c r="H4" s="863"/>
      <c r="I4" s="854">
        <v>2026</v>
      </c>
      <c r="J4" s="853"/>
      <c r="K4" s="855"/>
      <c r="L4" s="853">
        <v>2027</v>
      </c>
      <c r="M4" s="853"/>
      <c r="N4" s="853"/>
      <c r="O4" s="854">
        <v>2027</v>
      </c>
      <c r="P4" s="853"/>
      <c r="Q4" s="853"/>
      <c r="R4" s="854">
        <v>2028</v>
      </c>
      <c r="S4" s="853"/>
      <c r="T4" s="855"/>
      <c r="U4" s="853">
        <v>2030</v>
      </c>
      <c r="V4" s="853"/>
      <c r="W4" s="855"/>
      <c r="X4" s="853">
        <v>2031</v>
      </c>
      <c r="Y4" s="853"/>
      <c r="Z4" s="853"/>
    </row>
    <row r="5" spans="2:41" ht="28.5" thickBot="1">
      <c r="B5" s="859"/>
      <c r="C5" s="710" t="s">
        <v>3</v>
      </c>
      <c r="D5" s="711" t="s">
        <v>771</v>
      </c>
      <c r="E5" s="712" t="s">
        <v>772</v>
      </c>
      <c r="F5" s="710" t="s">
        <v>3</v>
      </c>
      <c r="G5" s="711" t="s">
        <v>771</v>
      </c>
      <c r="H5" s="712" t="s">
        <v>772</v>
      </c>
      <c r="I5" s="713" t="s">
        <v>3</v>
      </c>
      <c r="J5" s="711" t="s">
        <v>771</v>
      </c>
      <c r="K5" s="714" t="s">
        <v>772</v>
      </c>
      <c r="L5" s="710" t="s">
        <v>3</v>
      </c>
      <c r="M5" s="711" t="s">
        <v>771</v>
      </c>
      <c r="N5" s="714" t="s">
        <v>772</v>
      </c>
      <c r="O5" s="710" t="s">
        <v>3</v>
      </c>
      <c r="P5" s="711" t="s">
        <v>771</v>
      </c>
      <c r="Q5" s="712" t="s">
        <v>772</v>
      </c>
      <c r="R5" s="713" t="s">
        <v>3</v>
      </c>
      <c r="S5" s="711" t="s">
        <v>771</v>
      </c>
      <c r="T5" s="712" t="s">
        <v>772</v>
      </c>
      <c r="U5" s="713" t="s">
        <v>3</v>
      </c>
      <c r="V5" s="711" t="s">
        <v>771</v>
      </c>
      <c r="W5" s="714" t="s">
        <v>772</v>
      </c>
      <c r="X5" s="710" t="s">
        <v>3</v>
      </c>
      <c r="Y5" s="711" t="s">
        <v>771</v>
      </c>
      <c r="Z5" s="712" t="s">
        <v>772</v>
      </c>
      <c r="AB5" s="524">
        <v>2025</v>
      </c>
      <c r="AC5" s="525">
        <v>2026</v>
      </c>
      <c r="AD5" s="525">
        <v>2027</v>
      </c>
      <c r="AE5" s="525">
        <v>2028</v>
      </c>
      <c r="AF5" s="525">
        <v>2029</v>
      </c>
      <c r="AG5" s="525">
        <v>2030</v>
      </c>
      <c r="AH5" s="526">
        <v>2031</v>
      </c>
    </row>
    <row r="6" spans="2:41" ht="35" customHeight="1">
      <c r="B6" s="715"/>
      <c r="C6" s="716" t="s">
        <v>474</v>
      </c>
      <c r="D6" s="717" t="s">
        <v>476</v>
      </c>
      <c r="E6" s="718" t="s">
        <v>773</v>
      </c>
      <c r="F6" s="716" t="s">
        <v>660</v>
      </c>
      <c r="G6" s="717" t="s">
        <v>481</v>
      </c>
      <c r="H6" s="718" t="s">
        <v>774</v>
      </c>
      <c r="I6" s="716" t="s">
        <v>663</v>
      </c>
      <c r="J6" s="717" t="s">
        <v>760</v>
      </c>
      <c r="K6" s="718" t="s">
        <v>775</v>
      </c>
      <c r="L6" s="719" t="s">
        <v>487</v>
      </c>
      <c r="M6" s="717" t="s">
        <v>776</v>
      </c>
      <c r="N6" s="720" t="s">
        <v>777</v>
      </c>
      <c r="O6" s="716" t="s">
        <v>778</v>
      </c>
      <c r="P6" s="717" t="s">
        <v>779</v>
      </c>
      <c r="Q6" s="718" t="s">
        <v>780</v>
      </c>
      <c r="R6" s="719" t="s">
        <v>781</v>
      </c>
      <c r="S6" s="717" t="s">
        <v>782</v>
      </c>
      <c r="T6" s="718" t="s">
        <v>783</v>
      </c>
      <c r="U6" s="719" t="s">
        <v>784</v>
      </c>
      <c r="V6" s="717" t="s">
        <v>785</v>
      </c>
      <c r="W6" s="720" t="s">
        <v>786</v>
      </c>
      <c r="X6" s="716" t="s">
        <v>787</v>
      </c>
      <c r="Y6" s="717" t="s">
        <v>788</v>
      </c>
      <c r="Z6" s="718" t="s">
        <v>789</v>
      </c>
      <c r="AB6" s="572"/>
      <c r="AC6" s="573" t="s">
        <v>790</v>
      </c>
      <c r="AD6" s="573" t="s">
        <v>791</v>
      </c>
      <c r="AE6" s="573" t="s">
        <v>792</v>
      </c>
      <c r="AF6" s="573" t="s">
        <v>793</v>
      </c>
      <c r="AG6" s="573" t="s">
        <v>794</v>
      </c>
      <c r="AH6" s="574" t="s">
        <v>795</v>
      </c>
      <c r="AI6" s="575" t="s">
        <v>796</v>
      </c>
    </row>
    <row r="7" spans="2:41">
      <c r="B7" s="721" t="s">
        <v>12</v>
      </c>
      <c r="C7" s="722"/>
      <c r="D7" s="723"/>
      <c r="E7" s="724"/>
      <c r="F7" s="722">
        <f>'CDM-eDSM Framework'!X46</f>
        <v>7472153.0324978782</v>
      </c>
      <c r="G7" s="723">
        <f>G16</f>
        <v>0.5</v>
      </c>
      <c r="H7" s="724">
        <f>F7*G7</f>
        <v>3736076.5162489391</v>
      </c>
      <c r="I7" s="725">
        <f>'CDM-eDSM Framework'!Y46</f>
        <v>8098219.7810236001</v>
      </c>
      <c r="J7" s="723">
        <f>J16</f>
        <v>0.5</v>
      </c>
      <c r="K7" s="726">
        <f>I7*J7</f>
        <v>4049109.8905118001</v>
      </c>
      <c r="L7" s="722">
        <f>'CDM-eDSM Framework'!Z46</f>
        <v>8908379.2602398135</v>
      </c>
      <c r="M7" s="723">
        <f>M16</f>
        <v>0.5</v>
      </c>
      <c r="N7" s="726">
        <f>L7*M7</f>
        <v>4454189.6301199067</v>
      </c>
      <c r="O7" s="722">
        <f>'CDM-eDSM Framework'!AA46</f>
        <v>9595810.2523290943</v>
      </c>
      <c r="P7" s="723">
        <f>P16</f>
        <v>0.5</v>
      </c>
      <c r="Q7" s="724">
        <f>O7*P7</f>
        <v>4797905.1261645472</v>
      </c>
      <c r="R7" s="725">
        <f>'CDM-eDSM Framework'!AB46</f>
        <v>10313923.366200062</v>
      </c>
      <c r="S7" s="723">
        <f>S16</f>
        <v>0.5</v>
      </c>
      <c r="T7" s="724">
        <f>R7*S7</f>
        <v>5156961.6831000308</v>
      </c>
      <c r="U7" s="725">
        <f>'CDM-eDSM Framework'!AC46</f>
        <v>11032036.480071029</v>
      </c>
      <c r="V7" s="723">
        <f>V16</f>
        <v>0.5</v>
      </c>
      <c r="W7" s="726">
        <f>U7*V7</f>
        <v>5516018.2400355143</v>
      </c>
      <c r="X7" s="722">
        <f>'CDM-eDSM Framework'!AD46</f>
        <v>11750149.593941996</v>
      </c>
      <c r="Y7" s="723">
        <f>Y16</f>
        <v>0.5</v>
      </c>
      <c r="Z7" s="724">
        <f>X7*Y7</f>
        <v>5875074.7969709979</v>
      </c>
      <c r="AB7" s="727"/>
      <c r="AC7" s="728">
        <f>H7+K7</f>
        <v>7785186.4067607392</v>
      </c>
      <c r="AD7" s="729">
        <f>H7+I7+N7</f>
        <v>16288485.927392446</v>
      </c>
      <c r="AE7" s="729">
        <f>H7+I7+L7+Q7</f>
        <v>25540580.683676898</v>
      </c>
      <c r="AF7" s="729">
        <f>H7+I7+L7+O7+T7</f>
        <v>35495447.492941476</v>
      </c>
      <c r="AG7" s="729">
        <f>H7+I7+L7+O7+R7+W7</f>
        <v>46168427.416077018</v>
      </c>
      <c r="AH7" s="730">
        <f>H7+I7+L7+O7+R7+U7+Z7</f>
        <v>57559520.453083538</v>
      </c>
      <c r="AN7" s="219"/>
      <c r="AO7" s="294"/>
    </row>
    <row r="8" spans="2:41">
      <c r="B8" s="731" t="s">
        <v>669</v>
      </c>
      <c r="C8" s="722"/>
      <c r="D8" s="732"/>
      <c r="E8" s="724"/>
      <c r="F8" s="722">
        <f>'CDM-eDSM Framework'!X47</f>
        <v>85552.243517701703</v>
      </c>
      <c r="G8" s="732">
        <f>G16</f>
        <v>0.5</v>
      </c>
      <c r="H8" s="724">
        <f t="shared" ref="H8:H12" si="0">F8*G8</f>
        <v>42776.121758850852</v>
      </c>
      <c r="I8" s="725">
        <f>'CDM-eDSM Framework'!Y47</f>
        <v>92720.466398254066</v>
      </c>
      <c r="J8" s="732">
        <f>J16</f>
        <v>0.5</v>
      </c>
      <c r="K8" s="726">
        <f t="shared" ref="K8:K12" si="1">I8*J8</f>
        <v>46360.233199127033</v>
      </c>
      <c r="L8" s="722">
        <f>'CDM-eDSM Framework'!Z47</f>
        <v>101996.99907518821</v>
      </c>
      <c r="M8" s="732">
        <f>M16</f>
        <v>0.5</v>
      </c>
      <c r="N8" s="726">
        <f t="shared" ref="N8:N12" si="2">L8*M8</f>
        <v>50998.499537594107</v>
      </c>
      <c r="O8" s="722">
        <f>'CDM-eDSM Framework'!AA47</f>
        <v>109867.99188786857</v>
      </c>
      <c r="P8" s="732">
        <f>P16</f>
        <v>0.5</v>
      </c>
      <c r="Q8" s="724">
        <f t="shared" ref="Q8:Q12" si="3">O8*P8</f>
        <v>54933.995943934286</v>
      </c>
      <c r="R8" s="725">
        <f>'CDM-eDSM Framework'!AB47</f>
        <v>118090.36966661182</v>
      </c>
      <c r="S8" s="732">
        <f>S16</f>
        <v>0.5</v>
      </c>
      <c r="T8" s="724">
        <f t="shared" ref="T8:T12" si="4">R8*S8</f>
        <v>59045.18483330591</v>
      </c>
      <c r="U8" s="725">
        <f>'CDM-eDSM Framework'!AC47</f>
        <v>126312.74744535505</v>
      </c>
      <c r="V8" s="732">
        <f>V16</f>
        <v>0.5</v>
      </c>
      <c r="W8" s="726">
        <f t="shared" ref="W8:W12" si="5">U8*V8</f>
        <v>63156.373722677527</v>
      </c>
      <c r="X8" s="722">
        <f>'CDM-eDSM Framework'!AD47</f>
        <v>134535.12522409833</v>
      </c>
      <c r="Y8" s="732">
        <f>Y16</f>
        <v>0.5</v>
      </c>
      <c r="Z8" s="724">
        <f t="shared" ref="Z8:Z12" si="6">X8*Y8</f>
        <v>67267.562612049165</v>
      </c>
      <c r="AB8" s="727"/>
      <c r="AC8" s="728">
        <f t="shared" ref="AC8:AC15" si="7">H8+K8</f>
        <v>89136.354957977892</v>
      </c>
      <c r="AD8" s="729">
        <f t="shared" ref="AD8:AD15" si="8">H8+I8+N8</f>
        <v>186495.087694699</v>
      </c>
      <c r="AE8" s="729">
        <f t="shared" ref="AE8:AE15" si="9">H8+I8+L8+Q8</f>
        <v>292427.5831762274</v>
      </c>
      <c r="AF8" s="729">
        <f t="shared" ref="AF8:AF15" si="10">H8+I8+L8+O8+T8</f>
        <v>406406.7639534676</v>
      </c>
      <c r="AG8" s="729">
        <f t="shared" ref="AG8:AG15" si="11">H8+I8+L8+O8+R8+W8</f>
        <v>528608.32250945107</v>
      </c>
      <c r="AH8" s="730">
        <f t="shared" ref="AH8:AH15" si="12">H8+I8+L8+O8+R8+U8+Z8</f>
        <v>659032.25884417782</v>
      </c>
      <c r="AN8" s="219"/>
      <c r="AO8" s="294"/>
    </row>
    <row r="9" spans="2:41">
      <c r="B9" s="721" t="s">
        <v>545</v>
      </c>
      <c r="C9" s="722"/>
      <c r="D9" s="732"/>
      <c r="E9" s="724"/>
      <c r="F9" s="722">
        <f>'CDM-eDSM Framework'!X48</f>
        <v>3332745.6900698356</v>
      </c>
      <c r="G9" s="732">
        <f>G16</f>
        <v>0.5</v>
      </c>
      <c r="H9" s="724">
        <f t="shared" si="0"/>
        <v>1666372.8450349178</v>
      </c>
      <c r="I9" s="725">
        <f>'CDM-eDSM Framework'!Y48</f>
        <v>3722157.4391990704</v>
      </c>
      <c r="J9" s="732">
        <f>J16</f>
        <v>0.5</v>
      </c>
      <c r="K9" s="726">
        <f t="shared" si="1"/>
        <v>1861078.7195995352</v>
      </c>
      <c r="L9" s="722">
        <f>'CDM-eDSM Framework'!Z48</f>
        <v>3763104.5327369096</v>
      </c>
      <c r="M9" s="732">
        <f>M16</f>
        <v>0.5</v>
      </c>
      <c r="N9" s="726">
        <f t="shared" si="2"/>
        <v>1881552.2663684548</v>
      </c>
      <c r="O9" s="722">
        <f>'CDM-eDSM Framework'!AA48</f>
        <v>3944908.4751497824</v>
      </c>
      <c r="P9" s="732">
        <f>P16</f>
        <v>0.5</v>
      </c>
      <c r="Q9" s="724">
        <f t="shared" si="3"/>
        <v>1972454.2375748912</v>
      </c>
      <c r="R9" s="725">
        <f>'CDM-eDSM Framework'!AB48</f>
        <v>4114361.4357236978</v>
      </c>
      <c r="S9" s="732">
        <f>S16</f>
        <v>0.5</v>
      </c>
      <c r="T9" s="724">
        <f t="shared" si="4"/>
        <v>2057180.7178618489</v>
      </c>
      <c r="U9" s="725">
        <f>'CDM-eDSM Framework'!AC48</f>
        <v>4283814.3962976122</v>
      </c>
      <c r="V9" s="732">
        <f>V16</f>
        <v>0.5</v>
      </c>
      <c r="W9" s="726">
        <f t="shared" si="5"/>
        <v>2141907.1981488061</v>
      </c>
      <c r="X9" s="722">
        <f>'CDM-eDSM Framework'!AD48</f>
        <v>4453267.3568715286</v>
      </c>
      <c r="Y9" s="732">
        <f>Y16</f>
        <v>0.5</v>
      </c>
      <c r="Z9" s="724">
        <f t="shared" si="6"/>
        <v>2226633.6784357643</v>
      </c>
      <c r="AB9" s="727"/>
      <c r="AC9" s="728">
        <f t="shared" si="7"/>
        <v>3527451.564634453</v>
      </c>
      <c r="AD9" s="729">
        <f t="shared" si="8"/>
        <v>7270082.5506024435</v>
      </c>
      <c r="AE9" s="729">
        <f t="shared" si="9"/>
        <v>11124089.05454579</v>
      </c>
      <c r="AF9" s="729">
        <f t="shared" si="10"/>
        <v>15153724.00998253</v>
      </c>
      <c r="AG9" s="729">
        <f t="shared" si="11"/>
        <v>19352811.925993185</v>
      </c>
      <c r="AH9" s="730">
        <f t="shared" si="12"/>
        <v>23721352.802577756</v>
      </c>
      <c r="AN9" s="219"/>
      <c r="AO9" s="294"/>
    </row>
    <row r="10" spans="2:41">
      <c r="B10" s="731" t="str">
        <f>'CDM-eDSM Framework'!AG40</f>
        <v>GS 50-2,999</v>
      </c>
      <c r="C10" s="722"/>
      <c r="D10" s="732"/>
      <c r="E10" s="724"/>
      <c r="F10" s="722">
        <f>'CDM-eDSM Framework'!X49</f>
        <v>14626666.284518229</v>
      </c>
      <c r="G10" s="732">
        <f>G16</f>
        <v>0.5</v>
      </c>
      <c r="H10" s="724">
        <f t="shared" si="0"/>
        <v>7313333.1422591144</v>
      </c>
      <c r="I10" s="725">
        <f>'CDM-eDSM Framework'!Y49</f>
        <v>16640596.121040165</v>
      </c>
      <c r="J10" s="732">
        <f>J16</f>
        <v>0.5</v>
      </c>
      <c r="K10" s="726">
        <f t="shared" si="1"/>
        <v>8320298.0605200827</v>
      </c>
      <c r="L10" s="722">
        <f>'CDM-eDSM Framework'!Z49</f>
        <v>18314247.27342445</v>
      </c>
      <c r="M10" s="732">
        <f>M16</f>
        <v>0.5</v>
      </c>
      <c r="N10" s="726">
        <f t="shared" si="2"/>
        <v>9157123.6367122252</v>
      </c>
      <c r="O10" s="722">
        <f>'CDM-eDSM Framework'!AA49</f>
        <v>19290310.718890689</v>
      </c>
      <c r="P10" s="732">
        <f>P16</f>
        <v>0.5</v>
      </c>
      <c r="Q10" s="724">
        <f t="shared" si="3"/>
        <v>9645155.3594453447</v>
      </c>
      <c r="R10" s="725">
        <f>'CDM-eDSM Framework'!AB49</f>
        <v>20219134.869758487</v>
      </c>
      <c r="S10" s="732">
        <f>S16</f>
        <v>0.5</v>
      </c>
      <c r="T10" s="724">
        <f t="shared" si="4"/>
        <v>10109567.434879243</v>
      </c>
      <c r="U10" s="725">
        <f>'CDM-eDSM Framework'!AC49</f>
        <v>21147959.02062628</v>
      </c>
      <c r="V10" s="732">
        <f>V16</f>
        <v>0.5</v>
      </c>
      <c r="W10" s="726">
        <f t="shared" si="5"/>
        <v>10573979.51031314</v>
      </c>
      <c r="X10" s="722">
        <f>'CDM-eDSM Framework'!AD49</f>
        <v>22076783.171494082</v>
      </c>
      <c r="Y10" s="732">
        <f>Y16</f>
        <v>0.5</v>
      </c>
      <c r="Z10" s="724">
        <f t="shared" si="6"/>
        <v>11038391.585747041</v>
      </c>
      <c r="AB10" s="727"/>
      <c r="AC10" s="728">
        <f t="shared" si="7"/>
        <v>15633631.202779196</v>
      </c>
      <c r="AD10" s="729">
        <f t="shared" si="8"/>
        <v>33111052.900011502</v>
      </c>
      <c r="AE10" s="729">
        <f t="shared" si="9"/>
        <v>51913331.896169081</v>
      </c>
      <c r="AF10" s="729">
        <f t="shared" si="10"/>
        <v>71668054.690493673</v>
      </c>
      <c r="AG10" s="729">
        <f t="shared" si="11"/>
        <v>92351601.635686055</v>
      </c>
      <c r="AH10" s="730">
        <f t="shared" si="12"/>
        <v>113963972.73174623</v>
      </c>
      <c r="AN10" s="219"/>
      <c r="AO10" s="294"/>
    </row>
    <row r="11" spans="2:41">
      <c r="B11" s="721" t="str">
        <f>'CDM-eDSM Framework'!AG41</f>
        <v>GS 3,000-4,999</v>
      </c>
      <c r="C11" s="722"/>
      <c r="D11" s="732"/>
      <c r="E11" s="724"/>
      <c r="F11" s="722">
        <f>'CDM-eDSM Framework'!X50</f>
        <v>1082122.3571538716</v>
      </c>
      <c r="G11" s="732">
        <f>G16</f>
        <v>0.5</v>
      </c>
      <c r="H11" s="724">
        <f t="shared" si="0"/>
        <v>541061.17857693578</v>
      </c>
      <c r="I11" s="725">
        <f>'CDM-eDSM Framework'!Y50</f>
        <v>1220974.2090194793</v>
      </c>
      <c r="J11" s="732">
        <f>J16</f>
        <v>0.5</v>
      </c>
      <c r="K11" s="726">
        <f t="shared" si="1"/>
        <v>610487.10450973967</v>
      </c>
      <c r="L11" s="722">
        <f>'CDM-eDSM Framework'!Z50</f>
        <v>1406385.7713180725</v>
      </c>
      <c r="M11" s="732">
        <f>M16</f>
        <v>0.5</v>
      </c>
      <c r="N11" s="726">
        <f t="shared" si="2"/>
        <v>703192.88565903623</v>
      </c>
      <c r="O11" s="722">
        <f>'CDM-eDSM Framework'!AA50</f>
        <v>1496274.5101741732</v>
      </c>
      <c r="P11" s="732">
        <f>P16</f>
        <v>0.5</v>
      </c>
      <c r="Q11" s="724">
        <f t="shared" si="3"/>
        <v>748137.25508708658</v>
      </c>
      <c r="R11" s="725">
        <f>'CDM-eDSM Framework'!AB50</f>
        <v>1584790.3425517669</v>
      </c>
      <c r="S11" s="732">
        <f>S16</f>
        <v>0.5</v>
      </c>
      <c r="T11" s="724">
        <f t="shared" si="4"/>
        <v>792395.17127588345</v>
      </c>
      <c r="U11" s="725">
        <f>'CDM-eDSM Framework'!AC50</f>
        <v>1673306.1749293609</v>
      </c>
      <c r="V11" s="732">
        <f>V16</f>
        <v>0.5</v>
      </c>
      <c r="W11" s="726">
        <f t="shared" si="5"/>
        <v>836653.08746468043</v>
      </c>
      <c r="X11" s="722">
        <f>'CDM-eDSM Framework'!AD50</f>
        <v>1761822.0073069546</v>
      </c>
      <c r="Y11" s="732">
        <f>Y16</f>
        <v>0.5</v>
      </c>
      <c r="Z11" s="724">
        <f t="shared" si="6"/>
        <v>880911.0036534773</v>
      </c>
      <c r="AB11" s="727"/>
      <c r="AC11" s="728">
        <f t="shared" si="7"/>
        <v>1151548.2830866755</v>
      </c>
      <c r="AD11" s="729">
        <f t="shared" si="8"/>
        <v>2465228.2732554516</v>
      </c>
      <c r="AE11" s="729">
        <f t="shared" si="9"/>
        <v>3916558.4140015743</v>
      </c>
      <c r="AF11" s="729">
        <f t="shared" si="10"/>
        <v>5457090.8403645437</v>
      </c>
      <c r="AG11" s="729">
        <f t="shared" si="11"/>
        <v>7086139.0991051085</v>
      </c>
      <c r="AH11" s="730">
        <f t="shared" si="12"/>
        <v>8803703.1902232654</v>
      </c>
      <c r="AN11" s="219"/>
      <c r="AO11" s="294"/>
    </row>
    <row r="12" spans="2:41">
      <c r="B12" s="721" t="str">
        <f>'CDM-eDSM Framework'!AG42</f>
        <v>Large Use</v>
      </c>
      <c r="C12" s="722"/>
      <c r="D12" s="732"/>
      <c r="E12" s="724"/>
      <c r="F12" s="722">
        <f>'CDM-eDSM Framework'!X51</f>
        <v>5563790.131175654</v>
      </c>
      <c r="G12" s="732">
        <f>G16</f>
        <v>0.5</v>
      </c>
      <c r="H12" s="724">
        <f t="shared" si="0"/>
        <v>2781895.065587827</v>
      </c>
      <c r="I12" s="725">
        <f>'CDM-eDSM Framework'!Y51</f>
        <v>6415508.7074627876</v>
      </c>
      <c r="J12" s="732">
        <f>J16</f>
        <v>0.5</v>
      </c>
      <c r="K12" s="726">
        <f t="shared" si="1"/>
        <v>3207754.3537313938</v>
      </c>
      <c r="L12" s="722">
        <f>'CDM-eDSM Framework'!Z51</f>
        <v>8617330.0263853911</v>
      </c>
      <c r="M12" s="732">
        <f>M16</f>
        <v>0.5</v>
      </c>
      <c r="N12" s="726">
        <f t="shared" si="2"/>
        <v>4308665.0131926956</v>
      </c>
      <c r="O12" s="722">
        <f>'CDM-eDSM Framework'!AA51</f>
        <v>9300429.2153545115</v>
      </c>
      <c r="P12" s="732">
        <f>P16</f>
        <v>0.5</v>
      </c>
      <c r="Q12" s="724">
        <f t="shared" si="3"/>
        <v>4650214.6076772558</v>
      </c>
      <c r="R12" s="725">
        <f>'CDM-eDSM Framework'!AB51</f>
        <v>9988917.7306717951</v>
      </c>
      <c r="S12" s="732">
        <f>S16</f>
        <v>0.5</v>
      </c>
      <c r="T12" s="724">
        <f t="shared" si="4"/>
        <v>4994458.8653358975</v>
      </c>
      <c r="U12" s="725">
        <f>'CDM-eDSM Framework'!AC51</f>
        <v>10677406.245989081</v>
      </c>
      <c r="V12" s="732">
        <f>V16</f>
        <v>0.5</v>
      </c>
      <c r="W12" s="726">
        <f t="shared" si="5"/>
        <v>5338703.1229945403</v>
      </c>
      <c r="X12" s="722">
        <f>'CDM-eDSM Framework'!AD51</f>
        <v>11365894.761306366</v>
      </c>
      <c r="Y12" s="732">
        <f>Y16</f>
        <v>0.5</v>
      </c>
      <c r="Z12" s="724">
        <f t="shared" si="6"/>
        <v>5682947.380653183</v>
      </c>
      <c r="AB12" s="727"/>
      <c r="AC12" s="728">
        <f t="shared" si="7"/>
        <v>5989649.4193192208</v>
      </c>
      <c r="AD12" s="729">
        <f t="shared" si="8"/>
        <v>13506068.786243308</v>
      </c>
      <c r="AE12" s="729">
        <f t="shared" si="9"/>
        <v>22464948.407113258</v>
      </c>
      <c r="AF12" s="729">
        <f t="shared" si="10"/>
        <v>32109621.880126409</v>
      </c>
      <c r="AG12" s="729">
        <f t="shared" si="11"/>
        <v>42442783.868456848</v>
      </c>
      <c r="AH12" s="730">
        <f t="shared" si="12"/>
        <v>53464434.372104563</v>
      </c>
      <c r="AN12" s="219"/>
      <c r="AO12" s="294"/>
    </row>
    <row r="13" spans="2:41">
      <c r="B13" s="731" t="s">
        <v>18</v>
      </c>
      <c r="C13" s="722"/>
      <c r="D13" s="723"/>
      <c r="E13" s="724"/>
      <c r="F13" s="722"/>
      <c r="G13" s="723">
        <f>G16</f>
        <v>0.5</v>
      </c>
      <c r="H13" s="724"/>
      <c r="I13" s="725"/>
      <c r="J13" s="723">
        <f>J16</f>
        <v>0.5</v>
      </c>
      <c r="K13" s="726"/>
      <c r="L13" s="722"/>
      <c r="M13" s="723">
        <f>M16</f>
        <v>0.5</v>
      </c>
      <c r="N13" s="726"/>
      <c r="O13" s="722"/>
      <c r="P13" s="723">
        <f>P16</f>
        <v>0.5</v>
      </c>
      <c r="Q13" s="724"/>
      <c r="R13" s="725"/>
      <c r="S13" s="723">
        <f>S16</f>
        <v>0.5</v>
      </c>
      <c r="T13" s="724"/>
      <c r="U13" s="725"/>
      <c r="V13" s="723">
        <f>V16</f>
        <v>0.5</v>
      </c>
      <c r="W13" s="726"/>
      <c r="X13" s="722"/>
      <c r="Y13" s="723">
        <f>Y16</f>
        <v>0.5</v>
      </c>
      <c r="Z13" s="724"/>
      <c r="AB13" s="727"/>
      <c r="AC13" s="728">
        <f t="shared" si="7"/>
        <v>0</v>
      </c>
      <c r="AD13" s="729">
        <f t="shared" si="8"/>
        <v>0</v>
      </c>
      <c r="AE13" s="729">
        <f t="shared" si="9"/>
        <v>0</v>
      </c>
      <c r="AF13" s="729">
        <f t="shared" si="10"/>
        <v>0</v>
      </c>
      <c r="AG13" s="729">
        <f t="shared" si="11"/>
        <v>0</v>
      </c>
      <c r="AH13" s="730">
        <f t="shared" si="12"/>
        <v>0</v>
      </c>
      <c r="AN13" s="219"/>
      <c r="AO13" s="294"/>
    </row>
    <row r="14" spans="2:41">
      <c r="B14" s="721" t="s">
        <v>19</v>
      </c>
      <c r="C14" s="722"/>
      <c r="D14" s="723"/>
      <c r="E14" s="724"/>
      <c r="F14" s="722"/>
      <c r="G14" s="723">
        <f>G16</f>
        <v>0.5</v>
      </c>
      <c r="H14" s="724"/>
      <c r="I14" s="725"/>
      <c r="J14" s="723">
        <f>J16</f>
        <v>0.5</v>
      </c>
      <c r="K14" s="726"/>
      <c r="L14" s="722"/>
      <c r="M14" s="723">
        <f>M16</f>
        <v>0.5</v>
      </c>
      <c r="N14" s="726"/>
      <c r="O14" s="722"/>
      <c r="P14" s="723">
        <f>P16</f>
        <v>0.5</v>
      </c>
      <c r="Q14" s="724"/>
      <c r="R14" s="725"/>
      <c r="S14" s="723">
        <f>S16</f>
        <v>0.5</v>
      </c>
      <c r="T14" s="724"/>
      <c r="U14" s="725"/>
      <c r="V14" s="723">
        <f>V16</f>
        <v>0.5</v>
      </c>
      <c r="W14" s="726"/>
      <c r="X14" s="722"/>
      <c r="Y14" s="723">
        <f>Y16</f>
        <v>0.5</v>
      </c>
      <c r="Z14" s="724"/>
      <c r="AB14" s="727"/>
      <c r="AC14" s="728">
        <f t="shared" si="7"/>
        <v>0</v>
      </c>
      <c r="AD14" s="729">
        <f t="shared" si="8"/>
        <v>0</v>
      </c>
      <c r="AE14" s="729">
        <f t="shared" si="9"/>
        <v>0</v>
      </c>
      <c r="AF14" s="729">
        <f t="shared" si="10"/>
        <v>0</v>
      </c>
      <c r="AG14" s="729">
        <f t="shared" si="11"/>
        <v>0</v>
      </c>
      <c r="AH14" s="730">
        <f t="shared" si="12"/>
        <v>0</v>
      </c>
      <c r="AN14" s="219"/>
      <c r="AO14" s="294"/>
    </row>
    <row r="15" spans="2:41">
      <c r="B15" s="731" t="s">
        <v>20</v>
      </c>
      <c r="C15" s="722"/>
      <c r="D15" s="723"/>
      <c r="E15" s="724"/>
      <c r="F15" s="722"/>
      <c r="G15" s="723">
        <f>G16</f>
        <v>0.5</v>
      </c>
      <c r="H15" s="724"/>
      <c r="I15" s="725"/>
      <c r="J15" s="723">
        <f>J16</f>
        <v>0.5</v>
      </c>
      <c r="K15" s="726"/>
      <c r="L15" s="722"/>
      <c r="M15" s="723">
        <f>M16</f>
        <v>0.5</v>
      </c>
      <c r="N15" s="726"/>
      <c r="O15" s="722"/>
      <c r="P15" s="723">
        <f>P16</f>
        <v>0.5</v>
      </c>
      <c r="Q15" s="724"/>
      <c r="R15" s="725"/>
      <c r="S15" s="723">
        <f>S16</f>
        <v>0.5</v>
      </c>
      <c r="T15" s="724"/>
      <c r="U15" s="725"/>
      <c r="V15" s="723">
        <f>V16</f>
        <v>0.5</v>
      </c>
      <c r="W15" s="726"/>
      <c r="X15" s="722"/>
      <c r="Y15" s="723">
        <f>Y16</f>
        <v>0.5</v>
      </c>
      <c r="Z15" s="724"/>
      <c r="AB15" s="727"/>
      <c r="AC15" s="728">
        <f t="shared" si="7"/>
        <v>0</v>
      </c>
      <c r="AD15" s="729">
        <f t="shared" si="8"/>
        <v>0</v>
      </c>
      <c r="AE15" s="729">
        <f t="shared" si="9"/>
        <v>0</v>
      </c>
      <c r="AF15" s="729">
        <f t="shared" si="10"/>
        <v>0</v>
      </c>
      <c r="AG15" s="729">
        <f t="shared" si="11"/>
        <v>0</v>
      </c>
      <c r="AH15" s="730">
        <f t="shared" si="12"/>
        <v>0</v>
      </c>
      <c r="AN15" s="219"/>
      <c r="AO15" s="294"/>
    </row>
    <row r="16" spans="2:41" ht="14.5" thickBot="1">
      <c r="B16" s="733" t="s">
        <v>797</v>
      </c>
      <c r="C16" s="734">
        <f>SUM(C7:C15)</f>
        <v>0</v>
      </c>
      <c r="D16" s="735">
        <v>0.5</v>
      </c>
      <c r="E16" s="736">
        <f>C16*D16</f>
        <v>0</v>
      </c>
      <c r="F16" s="734">
        <f>SUM(F7:F15)</f>
        <v>32163029.738933168</v>
      </c>
      <c r="G16" s="735">
        <v>0.5</v>
      </c>
      <c r="H16" s="736">
        <f>F16*G16</f>
        <v>16081514.869466584</v>
      </c>
      <c r="I16" s="737">
        <f>SUM(I7:I15)</f>
        <v>36190176.724143356</v>
      </c>
      <c r="J16" s="735">
        <v>0.5</v>
      </c>
      <c r="K16" s="738">
        <f>I16*J16</f>
        <v>18095088.362071678</v>
      </c>
      <c r="L16" s="734">
        <f>SUM(L7:L15)</f>
        <v>41111443.863179825</v>
      </c>
      <c r="M16" s="735">
        <v>0.5</v>
      </c>
      <c r="N16" s="738">
        <f>L16*M16</f>
        <v>20555721.931589913</v>
      </c>
      <c r="O16" s="734">
        <f>SUM(O7:O15)</f>
        <v>43737601.163786113</v>
      </c>
      <c r="P16" s="735">
        <v>0.5</v>
      </c>
      <c r="Q16" s="736">
        <f>O16*P16</f>
        <v>21868800.581893057</v>
      </c>
      <c r="R16" s="737">
        <f>SUM(R7:R15)</f>
        <v>46339218.114572421</v>
      </c>
      <c r="S16" s="735">
        <v>0.5</v>
      </c>
      <c r="T16" s="736">
        <f>R16*S16</f>
        <v>23169609.05728621</v>
      </c>
      <c r="U16" s="737">
        <f>SUM(U7:U15)</f>
        <v>48940835.065358713</v>
      </c>
      <c r="V16" s="735">
        <v>0.5</v>
      </c>
      <c r="W16" s="738">
        <f>U16*V16</f>
        <v>24470417.532679357</v>
      </c>
      <c r="X16" s="734">
        <f>SUM(X7:X15)</f>
        <v>51542452.016145028</v>
      </c>
      <c r="Y16" s="735">
        <v>0.5</v>
      </c>
      <c r="Z16" s="736">
        <f>X16*Y16</f>
        <v>25771226.008072514</v>
      </c>
      <c r="AB16" s="739">
        <f t="shared" ref="AB16:AH16" si="13">SUM(AB7:AB15)</f>
        <v>0</v>
      </c>
      <c r="AC16" s="740">
        <f t="shared" si="13"/>
        <v>34176603.231538266</v>
      </c>
      <c r="AD16" s="740">
        <f t="shared" si="13"/>
        <v>72827413.525199845</v>
      </c>
      <c r="AE16" s="740">
        <f t="shared" si="13"/>
        <v>115251936.03868282</v>
      </c>
      <c r="AF16" s="740">
        <f t="shared" si="13"/>
        <v>160290345.67786211</v>
      </c>
      <c r="AG16" s="740">
        <f t="shared" si="13"/>
        <v>207930372.26782769</v>
      </c>
      <c r="AH16" s="741">
        <f t="shared" si="13"/>
        <v>258172015.80857953</v>
      </c>
      <c r="AN16" s="219"/>
      <c r="AO16" s="294"/>
    </row>
    <row r="17" spans="2:45"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AN17" s="219"/>
      <c r="AO17" s="294"/>
    </row>
    <row r="18" spans="2:45">
      <c r="AN18" s="219"/>
      <c r="AO18" s="294"/>
    </row>
    <row r="19" spans="2:45" ht="14.5" thickBot="1">
      <c r="AN19" s="219"/>
      <c r="AO19" s="294"/>
    </row>
    <row r="20" spans="2:45" ht="15" customHeight="1" thickBot="1">
      <c r="B20" s="847" t="s">
        <v>798</v>
      </c>
      <c r="C20" s="848"/>
      <c r="D20" s="848"/>
      <c r="E20" s="848"/>
      <c r="F20" s="848"/>
      <c r="G20" s="848"/>
      <c r="H20" s="848"/>
      <c r="I20" s="848"/>
      <c r="J20" s="848"/>
      <c r="K20" s="848"/>
      <c r="L20" s="848"/>
      <c r="M20" s="848"/>
      <c r="N20" s="848"/>
      <c r="O20" s="848"/>
      <c r="P20" s="848"/>
      <c r="Q20" s="848"/>
      <c r="R20" s="848"/>
      <c r="S20" s="848"/>
      <c r="T20" s="848"/>
      <c r="U20" s="848"/>
      <c r="V20" s="848"/>
      <c r="W20" s="848"/>
      <c r="X20" s="848"/>
      <c r="Y20" s="848"/>
      <c r="Z20" s="848"/>
      <c r="AA20" s="848"/>
      <c r="AB20" s="848"/>
      <c r="AC20" s="848"/>
      <c r="AD20" s="848"/>
      <c r="AE20" s="848"/>
      <c r="AF20" s="848"/>
      <c r="AG20" s="848"/>
      <c r="AH20" s="848"/>
      <c r="AI20" s="848"/>
      <c r="AJ20" s="848"/>
      <c r="AK20" s="848"/>
      <c r="AN20" s="219"/>
      <c r="AO20" s="217" t="s">
        <v>436</v>
      </c>
    </row>
    <row r="21" spans="2:45" ht="14.5" thickBot="1">
      <c r="B21" s="637" t="s">
        <v>770</v>
      </c>
      <c r="C21" s="864" t="s">
        <v>799</v>
      </c>
      <c r="D21" s="856"/>
      <c r="E21" s="856"/>
      <c r="F21" s="856"/>
      <c r="G21" s="857"/>
      <c r="H21" s="864" t="s">
        <v>6</v>
      </c>
      <c r="I21" s="856"/>
      <c r="J21" s="856"/>
      <c r="K21" s="856"/>
      <c r="L21" s="857"/>
      <c r="M21" s="856" t="s">
        <v>7</v>
      </c>
      <c r="N21" s="856"/>
      <c r="O21" s="856"/>
      <c r="P21" s="856"/>
      <c r="Q21" s="857"/>
      <c r="R21" s="856" t="s">
        <v>8</v>
      </c>
      <c r="S21" s="856"/>
      <c r="T21" s="856"/>
      <c r="U21" s="856"/>
      <c r="V21" s="857"/>
      <c r="W21" s="856" t="s">
        <v>9</v>
      </c>
      <c r="X21" s="856"/>
      <c r="Y21" s="856"/>
      <c r="Z21" s="856"/>
      <c r="AA21" s="857"/>
      <c r="AB21" s="856" t="s">
        <v>10</v>
      </c>
      <c r="AC21" s="856"/>
      <c r="AD21" s="856"/>
      <c r="AE21" s="856"/>
      <c r="AF21" s="857"/>
      <c r="AG21" s="856" t="s">
        <v>11</v>
      </c>
      <c r="AH21" s="856"/>
      <c r="AI21" s="856"/>
      <c r="AJ21" s="856"/>
      <c r="AK21" s="857"/>
      <c r="AN21" s="219"/>
      <c r="AO21" s="294"/>
    </row>
    <row r="22" spans="2:45" ht="42.5" thickBot="1">
      <c r="B22" s="742"/>
      <c r="C22" s="743" t="s">
        <v>800</v>
      </c>
      <c r="D22" s="711" t="s">
        <v>741</v>
      </c>
      <c r="E22" s="711" t="s">
        <v>801</v>
      </c>
      <c r="F22" s="711" t="s">
        <v>602</v>
      </c>
      <c r="G22" s="744" t="s">
        <v>741</v>
      </c>
      <c r="H22" s="745" t="s">
        <v>800</v>
      </c>
      <c r="I22" s="711" t="s">
        <v>741</v>
      </c>
      <c r="J22" s="711" t="s">
        <v>801</v>
      </c>
      <c r="K22" s="711" t="s">
        <v>602</v>
      </c>
      <c r="L22" s="744" t="s">
        <v>741</v>
      </c>
      <c r="M22" s="745" t="s">
        <v>800</v>
      </c>
      <c r="N22" s="711" t="s">
        <v>741</v>
      </c>
      <c r="O22" s="711" t="s">
        <v>801</v>
      </c>
      <c r="P22" s="711" t="s">
        <v>602</v>
      </c>
      <c r="Q22" s="744" t="s">
        <v>741</v>
      </c>
      <c r="R22" s="745" t="s">
        <v>800</v>
      </c>
      <c r="S22" s="711" t="s">
        <v>741</v>
      </c>
      <c r="T22" s="711" t="s">
        <v>801</v>
      </c>
      <c r="U22" s="711" t="s">
        <v>602</v>
      </c>
      <c r="V22" s="744" t="s">
        <v>741</v>
      </c>
      <c r="W22" s="745" t="s">
        <v>800</v>
      </c>
      <c r="X22" s="711" t="s">
        <v>741</v>
      </c>
      <c r="Y22" s="711" t="s">
        <v>801</v>
      </c>
      <c r="Z22" s="711" t="s">
        <v>602</v>
      </c>
      <c r="AA22" s="744" t="s">
        <v>741</v>
      </c>
      <c r="AB22" s="745" t="s">
        <v>800</v>
      </c>
      <c r="AC22" s="711" t="s">
        <v>741</v>
      </c>
      <c r="AD22" s="711" t="s">
        <v>801</v>
      </c>
      <c r="AE22" s="711" t="s">
        <v>602</v>
      </c>
      <c r="AF22" s="744" t="s">
        <v>741</v>
      </c>
      <c r="AG22" s="745" t="s">
        <v>800</v>
      </c>
      <c r="AH22" s="711" t="s">
        <v>741</v>
      </c>
      <c r="AI22" s="711" t="s">
        <v>801</v>
      </c>
      <c r="AJ22" s="711" t="s">
        <v>602</v>
      </c>
      <c r="AK22" s="744" t="s">
        <v>741</v>
      </c>
      <c r="AM22" s="524">
        <v>2025</v>
      </c>
      <c r="AN22" s="525">
        <v>2026</v>
      </c>
      <c r="AO22" s="525">
        <v>2027</v>
      </c>
      <c r="AP22" s="525">
        <v>2028</v>
      </c>
      <c r="AQ22" s="525">
        <v>2029</v>
      </c>
      <c r="AR22" s="525">
        <v>2030</v>
      </c>
      <c r="AS22" s="526">
        <v>2031</v>
      </c>
    </row>
    <row r="23" spans="2:45">
      <c r="B23" s="742"/>
      <c r="C23" s="743" t="s">
        <v>474</v>
      </c>
      <c r="D23" s="711" t="s">
        <v>476</v>
      </c>
      <c r="E23" s="711" t="s">
        <v>752</v>
      </c>
      <c r="F23" s="711" t="s">
        <v>660</v>
      </c>
      <c r="G23" s="744" t="s">
        <v>802</v>
      </c>
      <c r="H23" s="745" t="s">
        <v>482</v>
      </c>
      <c r="I23" s="711" t="s">
        <v>663</v>
      </c>
      <c r="J23" s="711" t="s">
        <v>803</v>
      </c>
      <c r="K23" s="711" t="s">
        <v>486</v>
      </c>
      <c r="L23" s="744" t="s">
        <v>804</v>
      </c>
      <c r="M23" s="745" t="s">
        <v>776</v>
      </c>
      <c r="N23" s="711" t="s">
        <v>805</v>
      </c>
      <c r="O23" s="711" t="s">
        <v>806</v>
      </c>
      <c r="P23" s="711" t="s">
        <v>779</v>
      </c>
      <c r="Q23" s="744" t="s">
        <v>780</v>
      </c>
      <c r="R23" s="745" t="s">
        <v>781</v>
      </c>
      <c r="S23" s="711" t="s">
        <v>782</v>
      </c>
      <c r="T23" s="711" t="s">
        <v>807</v>
      </c>
      <c r="U23" s="711" t="s">
        <v>784</v>
      </c>
      <c r="V23" s="744" t="s">
        <v>808</v>
      </c>
      <c r="W23" s="745" t="s">
        <v>809</v>
      </c>
      <c r="X23" s="711" t="s">
        <v>787</v>
      </c>
      <c r="Y23" s="711" t="s">
        <v>810</v>
      </c>
      <c r="Z23" s="711" t="s">
        <v>811</v>
      </c>
      <c r="AA23" s="744" t="s">
        <v>812</v>
      </c>
      <c r="AB23" s="745" t="s">
        <v>813</v>
      </c>
      <c r="AC23" s="711" t="s">
        <v>814</v>
      </c>
      <c r="AD23" s="711" t="s">
        <v>815</v>
      </c>
      <c r="AE23" s="711" t="s">
        <v>816</v>
      </c>
      <c r="AF23" s="744" t="s">
        <v>817</v>
      </c>
      <c r="AG23" s="745" t="s">
        <v>818</v>
      </c>
      <c r="AH23" s="711" t="s">
        <v>819</v>
      </c>
      <c r="AI23" s="711" t="s">
        <v>820</v>
      </c>
      <c r="AJ23" s="711" t="s">
        <v>821</v>
      </c>
      <c r="AK23" s="744" t="s">
        <v>822</v>
      </c>
      <c r="AM23" s="572" t="s">
        <v>481</v>
      </c>
      <c r="AN23" s="573" t="s">
        <v>487</v>
      </c>
      <c r="AO23" s="573" t="s">
        <v>823</v>
      </c>
      <c r="AP23" s="573" t="s">
        <v>785</v>
      </c>
      <c r="AQ23" s="573" t="s">
        <v>824</v>
      </c>
      <c r="AR23" s="573" t="s">
        <v>825</v>
      </c>
      <c r="AS23" s="574" t="s">
        <v>826</v>
      </c>
    </row>
    <row r="24" spans="2:45">
      <c r="B24" s="721" t="str">
        <f>B10</f>
        <v>GS 50-2,999</v>
      </c>
      <c r="C24" s="746">
        <f ca="1">'Normalized Annual Summary'!AN15</f>
        <v>914316654.93777549</v>
      </c>
      <c r="D24" s="747">
        <f>AB10</f>
        <v>0</v>
      </c>
      <c r="E24" s="748">
        <f ca="1">D24/C24</f>
        <v>0</v>
      </c>
      <c r="F24" s="749">
        <f ca="1">'kW Forecast'!D27</f>
        <v>2213357.6422282741</v>
      </c>
      <c r="G24" s="750">
        <f ca="1">E24*F24</f>
        <v>0</v>
      </c>
      <c r="H24" s="751">
        <f ca="1">'Normalized Annual Summary'!AN16</f>
        <v>979431966.7159102</v>
      </c>
      <c r="I24" s="747">
        <f>AC10</f>
        <v>15633631.202779196</v>
      </c>
      <c r="J24" s="748">
        <f ca="1">I24/H24</f>
        <v>1.5961936851213495E-2</v>
      </c>
      <c r="K24" s="749">
        <f ca="1">'kW Forecast'!D28</f>
        <v>2267303.0813672002</v>
      </c>
      <c r="L24" s="750">
        <f ca="1">J24*K24</f>
        <v>36190.548607345023</v>
      </c>
      <c r="M24" s="751">
        <f ca="1">'Normalized Annual Summary'!AN17</f>
        <v>1046253531.644524</v>
      </c>
      <c r="N24" s="747">
        <f>AD10</f>
        <v>33111052.900011502</v>
      </c>
      <c r="O24" s="748">
        <f ca="1">N24/M24</f>
        <v>3.1647255563349769E-2</v>
      </c>
      <c r="P24" s="749">
        <f ca="1">'kW Forecast'!D29</f>
        <v>2283619.9555930193</v>
      </c>
      <c r="Q24" s="750">
        <f ca="1">O24*P24</f>
        <v>72270.30434421773</v>
      </c>
      <c r="R24" s="751">
        <f ca="1">'Normalized Annual Summary'!AN18</f>
        <v>1074400336.4609065</v>
      </c>
      <c r="S24" s="747">
        <f>AE10</f>
        <v>51913331.896169081</v>
      </c>
      <c r="T24" s="748">
        <f ca="1">S24/R24</f>
        <v>4.8318424831448305E-2</v>
      </c>
      <c r="U24" s="749">
        <f ca="1">'kW Forecast'!D30</f>
        <v>2292686.7464295989</v>
      </c>
      <c r="V24" s="750">
        <f ca="1">T24*U24</f>
        <v>110779.01221941636</v>
      </c>
      <c r="W24" s="751">
        <f ca="1">'Normalized Annual Summary'!AN19</f>
        <v>1100149614.7741194</v>
      </c>
      <c r="X24" s="747">
        <f>AF10</f>
        <v>71668054.690493673</v>
      </c>
      <c r="Y24" s="748">
        <f ca="1">X24/W24</f>
        <v>6.514391654375884E-2</v>
      </c>
      <c r="Z24" s="749">
        <f ca="1">'kW Forecast'!D31</f>
        <v>2331492.4728558511</v>
      </c>
      <c r="AA24" s="750">
        <f ca="1">Y24*Z24</f>
        <v>151882.55107412348</v>
      </c>
      <c r="AB24" s="751">
        <f ca="1">'Normalized Annual Summary'!AN20</f>
        <v>1118414747.6787848</v>
      </c>
      <c r="AC24" s="747">
        <f>AG10</f>
        <v>92351601.635686055</v>
      </c>
      <c r="AD24" s="748">
        <f ca="1">AC24/AB24</f>
        <v>8.257366225486322E-2</v>
      </c>
      <c r="AE24" s="749">
        <f ca="1">'kW Forecast'!D32</f>
        <v>2368838.5747369602</v>
      </c>
      <c r="AF24" s="750">
        <f ca="1">AD24*AE24</f>
        <v>195603.67640662132</v>
      </c>
      <c r="AG24" s="751">
        <f ca="1">'Normalized Annual Summary'!AN21</f>
        <v>1144887868.4971483</v>
      </c>
      <c r="AH24" s="747">
        <f>AH10</f>
        <v>113963972.73174623</v>
      </c>
      <c r="AI24" s="748">
        <f ca="1">AH24/AG24</f>
        <v>9.95416021669812E-2</v>
      </c>
      <c r="AJ24" s="749">
        <f ca="1">'kW Forecast'!D33</f>
        <v>2432018.6031741858</v>
      </c>
      <c r="AK24" s="750">
        <f ca="1">AI24*AJ24</f>
        <v>242087.02825986213</v>
      </c>
      <c r="AM24" s="728">
        <f ca="1">G24</f>
        <v>0</v>
      </c>
      <c r="AN24" s="728">
        <f ca="1">L24</f>
        <v>36190.548607345023</v>
      </c>
      <c r="AO24" s="729">
        <f ca="1">Q24</f>
        <v>72270.30434421773</v>
      </c>
      <c r="AP24" s="729">
        <f ca="1">V24</f>
        <v>110779.01221941636</v>
      </c>
      <c r="AQ24" s="729">
        <f ca="1">AA24</f>
        <v>151882.55107412348</v>
      </c>
      <c r="AR24" s="729">
        <f ca="1">AF24</f>
        <v>195603.67640662132</v>
      </c>
      <c r="AS24" s="730">
        <f ca="1">AK24</f>
        <v>242087.02825986213</v>
      </c>
    </row>
    <row r="25" spans="2:45">
      <c r="B25" s="731" t="str">
        <f>B11</f>
        <v>GS 3,000-4,999</v>
      </c>
      <c r="C25" s="752">
        <f ca="1">'Normalized Annual Summary'!AY15</f>
        <v>98580288.417070583</v>
      </c>
      <c r="D25" s="747">
        <f>AB11</f>
        <v>0</v>
      </c>
      <c r="E25" s="748">
        <f t="shared" ref="E25:E28" ca="1" si="14">D25/C25</f>
        <v>0</v>
      </c>
      <c r="F25" s="753">
        <f ca="1">'kW Forecast'!L27</f>
        <v>222125.31892259067</v>
      </c>
      <c r="G25" s="750">
        <f t="shared" ref="G25:G28" ca="1" si="15">E25*F25</f>
        <v>0</v>
      </c>
      <c r="H25" s="754">
        <f ca="1">'Normalized Annual Summary'!AY16</f>
        <v>121696053.28603841</v>
      </c>
      <c r="I25" s="747">
        <f>AC11</f>
        <v>1151548.2830866755</v>
      </c>
      <c r="J25" s="748">
        <f t="shared" ref="J25:J28" ca="1" si="16">I25/H25</f>
        <v>9.4624948960344533E-3</v>
      </c>
      <c r="K25" s="753">
        <f ca="1">'kW Forecast'!L28</f>
        <v>226316.49823213861</v>
      </c>
      <c r="L25" s="750">
        <f t="shared" ref="L25:L28" ca="1" si="17">J25*K25</f>
        <v>2141.518709410002</v>
      </c>
      <c r="M25" s="754">
        <f ca="1">'Normalized Annual Summary'!AY17</f>
        <v>156755047.04480264</v>
      </c>
      <c r="N25" s="747">
        <f>AD11</f>
        <v>2465228.2732554516</v>
      </c>
      <c r="O25" s="748">
        <f t="shared" ref="O25:O28" ca="1" si="18">N25/M25</f>
        <v>1.5726627752858619E-2</v>
      </c>
      <c r="P25" s="753">
        <f ca="1">'kW Forecast'!L29</f>
        <v>226071.97129825802</v>
      </c>
      <c r="Q25" s="750">
        <f t="shared" ref="Q25:Q28" ca="1" si="19">O25*P25</f>
        <v>3555.3497379626419</v>
      </c>
      <c r="R25" s="754">
        <f ca="1">'Normalized Annual Summary'!AY18</f>
        <v>183633802.13339615</v>
      </c>
      <c r="S25" s="747">
        <f>AE11</f>
        <v>3916558.4140015743</v>
      </c>
      <c r="T25" s="748">
        <f t="shared" ref="T25:T28" ca="1" si="20">S25/R25</f>
        <v>2.1328090844388709E-2</v>
      </c>
      <c r="U25" s="753">
        <f ca="1">'kW Forecast'!L30</f>
        <v>227149.10599071995</v>
      </c>
      <c r="V25" s="750">
        <f t="shared" ref="V25:V28" ca="1" si="21">T25*U25</f>
        <v>4844.6567677917546</v>
      </c>
      <c r="W25" s="754">
        <f ca="1">'Normalized Annual Summary'!AY19</f>
        <v>200901323.06119794</v>
      </c>
      <c r="X25" s="747">
        <f>AF11</f>
        <v>5457090.8403645437</v>
      </c>
      <c r="Y25" s="748">
        <f t="shared" ref="Y25:Y28" ca="1" si="22">X25/W25</f>
        <v>2.7163040826277792E-2</v>
      </c>
      <c r="Z25" s="753">
        <f ca="1">'kW Forecast'!L31</f>
        <v>232699.04711357621</v>
      </c>
      <c r="AA25" s="750">
        <f t="shared" ref="AA25:AA28" ca="1" si="23">Y25*Z25</f>
        <v>6320.8137169820102</v>
      </c>
      <c r="AB25" s="754">
        <f ca="1">'Normalized Annual Summary'!AY20</f>
        <v>207350196.30217499</v>
      </c>
      <c r="AC25" s="747">
        <f>AG11</f>
        <v>7086139.0991051085</v>
      </c>
      <c r="AD25" s="748">
        <f t="shared" ref="AD25:AD28" ca="1" si="24">AC25/AB25</f>
        <v>3.4174740248513469E-2</v>
      </c>
      <c r="AE25" s="753">
        <f ca="1">'kW Forecast'!L32</f>
        <v>237719.54890794438</v>
      </c>
      <c r="AF25" s="750">
        <f t="shared" ref="AF25:AF28" ca="1" si="25">AD25*AE25</f>
        <v>8124.0038359227929</v>
      </c>
      <c r="AG25" s="754">
        <f ca="1">'Normalized Annual Summary'!AY21</f>
        <v>216332317.00592846</v>
      </c>
      <c r="AH25" s="747">
        <f>AH11</f>
        <v>8803703.1902232654</v>
      </c>
      <c r="AI25" s="748">
        <f t="shared" ref="AI25:AI28" ca="1" si="26">AH25/AG25</f>
        <v>4.0695275269399554E-2</v>
      </c>
      <c r="AJ25" s="753">
        <f ca="1">'kW Forecast'!L33</f>
        <v>244871.7721498677</v>
      </c>
      <c r="AK25" s="750">
        <f t="shared" ref="AK25:AK28" ca="1" si="27">AI25*AJ25</f>
        <v>9965.1241733445531</v>
      </c>
      <c r="AM25" s="728">
        <f ca="1">G25</f>
        <v>0</v>
      </c>
      <c r="AN25" s="728">
        <f ca="1">L25</f>
        <v>2141.518709410002</v>
      </c>
      <c r="AO25" s="729">
        <f ca="1">Q25</f>
        <v>3555.3497379626419</v>
      </c>
      <c r="AP25" s="729">
        <f ca="1">V25</f>
        <v>4844.6567677917546</v>
      </c>
      <c r="AQ25" s="729">
        <f ca="1">AA25</f>
        <v>6320.8137169820102</v>
      </c>
      <c r="AR25" s="729">
        <f ca="1">AF25</f>
        <v>8124.0038359227929</v>
      </c>
      <c r="AS25" s="730">
        <f ca="1">AK25</f>
        <v>9965.1241733445531</v>
      </c>
    </row>
    <row r="26" spans="2:45">
      <c r="B26" s="731" t="str">
        <f>B12</f>
        <v>Large Use</v>
      </c>
      <c r="C26" s="752">
        <f ca="1">'Normalized Annual Summary'!BJ15</f>
        <v>314537210.33669537</v>
      </c>
      <c r="D26" s="747">
        <f>AB12</f>
        <v>0</v>
      </c>
      <c r="E26" s="748">
        <f t="shared" ca="1" si="14"/>
        <v>0</v>
      </c>
      <c r="F26" s="753">
        <f>'kW Forecast'!T27</f>
        <v>539128.64</v>
      </c>
      <c r="G26" s="750">
        <f t="shared" ca="1" si="15"/>
        <v>0</v>
      </c>
      <c r="H26" s="754">
        <f ca="1">'Normalized Annual Summary'!BJ16</f>
        <v>349064801.43601173</v>
      </c>
      <c r="I26" s="747">
        <f>AC12</f>
        <v>5989649.4193192208</v>
      </c>
      <c r="J26" s="748">
        <f t="shared" ca="1" si="16"/>
        <v>1.715913318867587E-2</v>
      </c>
      <c r="K26" s="753">
        <f ca="1">'kW Forecast'!T28</f>
        <v>551764.00073011126</v>
      </c>
      <c r="L26" s="750">
        <f t="shared" ca="1" si="17"/>
        <v>9467.7919772446294</v>
      </c>
      <c r="M26" s="754">
        <f ca="1">'Normalized Annual Summary'!BJ17</f>
        <v>422992939.53934318</v>
      </c>
      <c r="N26" s="747">
        <f>AD12</f>
        <v>13506068.786243308</v>
      </c>
      <c r="O26" s="748">
        <f t="shared" ca="1" si="18"/>
        <v>3.1929773581923088E-2</v>
      </c>
      <c r="P26" s="753">
        <f ca="1">'kW Forecast'!T29</f>
        <v>555887.42015628133</v>
      </c>
      <c r="Q26" s="750">
        <f t="shared" ca="1" si="19"/>
        <v>17749.359462629411</v>
      </c>
      <c r="R26" s="754">
        <f ca="1">'Normalized Annual Summary'!BJ18</f>
        <v>508966995.01089537</v>
      </c>
      <c r="S26" s="747">
        <f>AE12</f>
        <v>22464948.407113258</v>
      </c>
      <c r="T26" s="748">
        <f t="shared" ca="1" si="20"/>
        <v>4.4138320612778351E-2</v>
      </c>
      <c r="U26" s="753">
        <f ca="1">'kW Forecast'!T30</f>
        <v>561913.58977156726</v>
      </c>
      <c r="V26" s="750">
        <f t="shared" ca="1" si="21"/>
        <v>24801.922182014645</v>
      </c>
      <c r="W26" s="754">
        <f ca="1">'Normalized Annual Summary'!BJ19</f>
        <v>562958055.16250956</v>
      </c>
      <c r="X26" s="747">
        <f>AF12</f>
        <v>32109621.880126409</v>
      </c>
      <c r="Y26" s="748">
        <f t="shared" ca="1" si="22"/>
        <v>5.7037325579891204E-2</v>
      </c>
      <c r="Z26" s="753">
        <f ca="1">'kW Forecast'!T31</f>
        <v>586964.90669620596</v>
      </c>
      <c r="AA26" s="750">
        <f t="shared" ca="1" si="23"/>
        <v>33478.908487201959</v>
      </c>
      <c r="AB26" s="754">
        <f ca="1">'Normalized Annual Summary'!BJ20</f>
        <v>581016853.28744352</v>
      </c>
      <c r="AC26" s="747">
        <f>AG12</f>
        <v>42442783.868456848</v>
      </c>
      <c r="AD26" s="748">
        <f t="shared" ca="1" si="24"/>
        <v>7.3049144148421702E-2</v>
      </c>
      <c r="AE26" s="753">
        <f ca="1">'kW Forecast'!T32</f>
        <v>609709.71922860865</v>
      </c>
      <c r="AF26" s="750">
        <f t="shared" ca="1" si="25"/>
        <v>44538.773168624357</v>
      </c>
      <c r="AG26" s="754">
        <f ca="1">'Normalized Annual Summary'!BJ21</f>
        <v>597048962.50697994</v>
      </c>
      <c r="AH26" s="747">
        <f>AH12</f>
        <v>53464434.372104563</v>
      </c>
      <c r="AI26" s="748">
        <f t="shared" ca="1" si="26"/>
        <v>8.9547822254995579E-2</v>
      </c>
      <c r="AJ26" s="753">
        <f ca="1">'kW Forecast'!T33</f>
        <v>636893.15499256179</v>
      </c>
      <c r="AK26" s="750">
        <f t="shared" ca="1" si="27"/>
        <v>57032.395038697272</v>
      </c>
      <c r="AM26" s="728">
        <f ca="1">G26</f>
        <v>0</v>
      </c>
      <c r="AN26" s="728">
        <f ca="1">L26</f>
        <v>9467.7919772446294</v>
      </c>
      <c r="AO26" s="729">
        <f ca="1">Q26</f>
        <v>17749.359462629411</v>
      </c>
      <c r="AP26" s="729">
        <f ca="1">V26</f>
        <v>24801.922182014645</v>
      </c>
      <c r="AQ26" s="729">
        <f ca="1">AA26</f>
        <v>33478.908487201959</v>
      </c>
      <c r="AR26" s="729">
        <f ca="1">AF26</f>
        <v>44538.773168624357</v>
      </c>
      <c r="AS26" s="730">
        <f ca="1">AK26</f>
        <v>57032.395038697272</v>
      </c>
    </row>
    <row r="27" spans="2:45">
      <c r="B27" s="731" t="str">
        <f>B13</f>
        <v>Street Light</v>
      </c>
      <c r="C27" s="752">
        <f>'Normalized Annual Summary'!BQ15</f>
        <v>11654612.020606756</v>
      </c>
      <c r="D27" s="747">
        <f>AB13</f>
        <v>0</v>
      </c>
      <c r="E27" s="748">
        <f t="shared" si="14"/>
        <v>0</v>
      </c>
      <c r="F27" s="753">
        <f>'kW Forecast'!AB27</f>
        <v>32450.92</v>
      </c>
      <c r="G27" s="750">
        <f t="shared" si="15"/>
        <v>0</v>
      </c>
      <c r="H27" s="754">
        <f>'Normalized Annual Summary'!BQ16</f>
        <v>11783218.435274247</v>
      </c>
      <c r="I27" s="747">
        <f>AC13</f>
        <v>0</v>
      </c>
      <c r="J27" s="748">
        <f t="shared" si="16"/>
        <v>0</v>
      </c>
      <c r="K27" s="753">
        <f>'kW Forecast'!AB28</f>
        <v>32867.111912563763</v>
      </c>
      <c r="L27" s="750">
        <f t="shared" si="17"/>
        <v>0</v>
      </c>
      <c r="M27" s="754">
        <f>'Normalized Annual Summary'!BQ17</f>
        <v>11913243.997131227</v>
      </c>
      <c r="N27" s="747">
        <f>AD13</f>
        <v>0</v>
      </c>
      <c r="O27" s="748">
        <f t="shared" si="18"/>
        <v>0</v>
      </c>
      <c r="P27" s="753">
        <f>'kW Forecast'!AB29</f>
        <v>33229.794206584047</v>
      </c>
      <c r="Q27" s="750">
        <f t="shared" si="19"/>
        <v>0</v>
      </c>
      <c r="R27" s="754">
        <f>'Normalized Annual Summary'!BQ18</f>
        <v>12044704.366195513</v>
      </c>
      <c r="S27" s="747">
        <f>AE13</f>
        <v>0</v>
      </c>
      <c r="T27" s="748">
        <f t="shared" si="20"/>
        <v>0</v>
      </c>
      <c r="U27" s="753">
        <f>'kW Forecast'!AB30</f>
        <v>33596.478630354744</v>
      </c>
      <c r="V27" s="750">
        <f t="shared" si="21"/>
        <v>0</v>
      </c>
      <c r="W27" s="754">
        <f>'Normalized Annual Summary'!BQ19</f>
        <v>12177615.375290232</v>
      </c>
      <c r="X27" s="747">
        <f>AF13</f>
        <v>0</v>
      </c>
      <c r="Y27" s="748">
        <f t="shared" si="22"/>
        <v>0</v>
      </c>
      <c r="Z27" s="753">
        <f>'kW Forecast'!AB31</f>
        <v>33967.209346612253</v>
      </c>
      <c r="AA27" s="750">
        <f t="shared" si="23"/>
        <v>0</v>
      </c>
      <c r="AB27" s="754">
        <f>'Normalized Annual Summary'!BQ20</f>
        <v>12311993.031950675</v>
      </c>
      <c r="AC27" s="747">
        <f>AG13</f>
        <v>0</v>
      </c>
      <c r="AD27" s="748">
        <f t="shared" si="24"/>
        <v>0</v>
      </c>
      <c r="AE27" s="753">
        <f>'kW Forecast'!AB32</f>
        <v>34342.031005420286</v>
      </c>
      <c r="AF27" s="750">
        <f t="shared" si="25"/>
        <v>0</v>
      </c>
      <c r="AG27" s="754">
        <f>'Normalized Annual Summary'!BQ21</f>
        <v>12447853.520352231</v>
      </c>
      <c r="AH27" s="747">
        <f>AH13</f>
        <v>0</v>
      </c>
      <c r="AI27" s="748">
        <f t="shared" si="26"/>
        <v>0</v>
      </c>
      <c r="AJ27" s="753">
        <f>'kW Forecast'!AB33</f>
        <v>34720.988749547483</v>
      </c>
      <c r="AK27" s="750">
        <f t="shared" si="27"/>
        <v>0</v>
      </c>
      <c r="AM27" s="728">
        <f>G27</f>
        <v>0</v>
      </c>
      <c r="AN27" s="728">
        <f>L27</f>
        <v>0</v>
      </c>
      <c r="AO27" s="729">
        <f>Q27</f>
        <v>0</v>
      </c>
      <c r="AP27" s="729">
        <f>V27</f>
        <v>0</v>
      </c>
      <c r="AQ27" s="729">
        <f>AA27</f>
        <v>0</v>
      </c>
      <c r="AR27" s="729">
        <f>AF27</f>
        <v>0</v>
      </c>
      <c r="AS27" s="730">
        <f>AK27</f>
        <v>0</v>
      </c>
    </row>
    <row r="28" spans="2:45">
      <c r="B28" s="731" t="str">
        <f>B14</f>
        <v>Sentinel Light</v>
      </c>
      <c r="C28" s="752">
        <f>'Normalized Annual Summary'!BX15</f>
        <v>84532.818164472439</v>
      </c>
      <c r="D28" s="747">
        <f>AB14</f>
        <v>0</v>
      </c>
      <c r="E28" s="748">
        <f t="shared" si="14"/>
        <v>0</v>
      </c>
      <c r="F28" s="753">
        <f>'kW Forecast'!AI27</f>
        <v>592.1240377300727</v>
      </c>
      <c r="G28" s="750">
        <f t="shared" si="15"/>
        <v>0</v>
      </c>
      <c r="H28" s="752">
        <f>'Normalized Annual Summary'!BX16</f>
        <v>82878.928767326172</v>
      </c>
      <c r="I28" s="747">
        <f>AC14</f>
        <v>0</v>
      </c>
      <c r="J28" s="748">
        <f t="shared" si="16"/>
        <v>0</v>
      </c>
      <c r="K28" s="753">
        <f>'kW Forecast'!AI28</f>
        <v>580.53909724113964</v>
      </c>
      <c r="L28" s="750">
        <f t="shared" si="17"/>
        <v>0</v>
      </c>
      <c r="M28" s="752">
        <f>'Normalized Annual Summary'!BX17</f>
        <v>81257.397810338269</v>
      </c>
      <c r="N28" s="747">
        <f>AD14</f>
        <v>0</v>
      </c>
      <c r="O28" s="748">
        <f t="shared" si="18"/>
        <v>0</v>
      </c>
      <c r="P28" s="753">
        <f>'kW Forecast'!AI29</f>
        <v>569.18081677203395</v>
      </c>
      <c r="Q28" s="750">
        <f t="shared" si="19"/>
        <v>0</v>
      </c>
      <c r="R28" s="752">
        <f>'Normalized Annual Summary'!BX18</f>
        <v>79667.592198785904</v>
      </c>
      <c r="S28" s="747">
        <f>AE14</f>
        <v>0</v>
      </c>
      <c r="T28" s="748">
        <f t="shared" si="20"/>
        <v>0</v>
      </c>
      <c r="U28" s="753">
        <f>'kW Forecast'!AI30</f>
        <v>558.04476170657131</v>
      </c>
      <c r="V28" s="750">
        <f t="shared" si="21"/>
        <v>0</v>
      </c>
      <c r="W28" s="752">
        <f>'Normalized Annual Summary'!BX19</f>
        <v>78108.891224480496</v>
      </c>
      <c r="X28" s="747">
        <f>AF14</f>
        <v>0</v>
      </c>
      <c r="Y28" s="748">
        <f t="shared" si="22"/>
        <v>0</v>
      </c>
      <c r="Z28" s="753">
        <f>'kW Forecast'!AI31</f>
        <v>547.12658419208481</v>
      </c>
      <c r="AA28" s="750">
        <f t="shared" si="23"/>
        <v>0</v>
      </c>
      <c r="AB28" s="752">
        <f>'Normalized Annual Summary'!BX20</f>
        <v>76580.686323424539</v>
      </c>
      <c r="AC28" s="747">
        <f>AG14</f>
        <v>0</v>
      </c>
      <c r="AD28" s="748">
        <f t="shared" si="24"/>
        <v>0</v>
      </c>
      <c r="AE28" s="753">
        <f>'kW Forecast'!AI32</f>
        <v>536.42202144189309</v>
      </c>
      <c r="AF28" s="750">
        <f t="shared" si="25"/>
        <v>0</v>
      </c>
      <c r="AG28" s="752">
        <f>'Normalized Annual Summary'!BX21</f>
        <v>75082.38083820972</v>
      </c>
      <c r="AH28" s="747">
        <f>AH14</f>
        <v>0</v>
      </c>
      <c r="AI28" s="748">
        <f t="shared" si="26"/>
        <v>0</v>
      </c>
      <c r="AJ28" s="753">
        <f>'kW Forecast'!AI33</f>
        <v>525.92689407097839</v>
      </c>
      <c r="AK28" s="750">
        <f t="shared" si="27"/>
        <v>0</v>
      </c>
      <c r="AM28" s="728">
        <f>G28</f>
        <v>0</v>
      </c>
      <c r="AN28" s="728">
        <f>L28</f>
        <v>0</v>
      </c>
      <c r="AO28" s="729">
        <f>Q28</f>
        <v>0</v>
      </c>
      <c r="AP28" s="729">
        <f>V28</f>
        <v>0</v>
      </c>
      <c r="AQ28" s="729">
        <f>AA28</f>
        <v>0</v>
      </c>
      <c r="AR28" s="729">
        <f>AF28</f>
        <v>0</v>
      </c>
      <c r="AS28" s="730">
        <f>AK28</f>
        <v>0</v>
      </c>
    </row>
    <row r="29" spans="2:45" ht="14.5" thickBot="1">
      <c r="B29" s="733" t="s">
        <v>797</v>
      </c>
      <c r="C29" s="755">
        <f t="shared" ref="C29:L29" ca="1" si="28">SUM(C24:C28)</f>
        <v>1339173298.5303128</v>
      </c>
      <c r="D29" s="756">
        <f t="shared" si="28"/>
        <v>0</v>
      </c>
      <c r="E29" s="757">
        <f t="shared" ca="1" si="28"/>
        <v>0</v>
      </c>
      <c r="F29" s="758">
        <f t="shared" ca="1" si="28"/>
        <v>3007654.6451885947</v>
      </c>
      <c r="G29" s="758">
        <f t="shared" ca="1" si="28"/>
        <v>0</v>
      </c>
      <c r="H29" s="759">
        <f t="shared" ca="1" si="28"/>
        <v>1462058918.8020022</v>
      </c>
      <c r="I29" s="756">
        <f t="shared" si="28"/>
        <v>22774828.905185092</v>
      </c>
      <c r="J29" s="757">
        <f t="shared" ca="1" si="28"/>
        <v>4.2583564935923815E-2</v>
      </c>
      <c r="K29" s="758">
        <f t="shared" ca="1" si="28"/>
        <v>3078831.2313392553</v>
      </c>
      <c r="L29" s="758">
        <f t="shared" ca="1" si="28"/>
        <v>47799.85929399966</v>
      </c>
      <c r="M29" s="759">
        <f t="shared" ref="M29:AK29" ca="1" si="29">SUM(M24:M28)</f>
        <v>1637996019.623611</v>
      </c>
      <c r="N29" s="756">
        <f t="shared" si="29"/>
        <v>49082349.959510267</v>
      </c>
      <c r="O29" s="757">
        <f t="shared" ca="1" si="29"/>
        <v>7.9303656898131472E-2</v>
      </c>
      <c r="P29" s="758">
        <f t="shared" ca="1" si="29"/>
        <v>3099378.3220709143</v>
      </c>
      <c r="Q29" s="758">
        <f t="shared" ca="1" si="29"/>
        <v>93575.013544809772</v>
      </c>
      <c r="R29" s="759">
        <f t="shared" ca="1" si="29"/>
        <v>1779125505.5635922</v>
      </c>
      <c r="S29" s="756">
        <f t="shared" si="29"/>
        <v>78294838.717283919</v>
      </c>
      <c r="T29" s="757">
        <f t="shared" ca="1" si="29"/>
        <v>0.11378483628861537</v>
      </c>
      <c r="U29" s="758">
        <f t="shared" ca="1" si="29"/>
        <v>3115903.9655839475</v>
      </c>
      <c r="V29" s="758">
        <f t="shared" ca="1" si="29"/>
        <v>140425.59116922275</v>
      </c>
      <c r="W29" s="759">
        <f t="shared" ca="1" si="29"/>
        <v>1876264717.2643416</v>
      </c>
      <c r="X29" s="756">
        <f t="shared" si="29"/>
        <v>109234767.41098464</v>
      </c>
      <c r="Y29" s="757">
        <f t="shared" ca="1" si="29"/>
        <v>0.14934428294992785</v>
      </c>
      <c r="Z29" s="758">
        <f t="shared" ca="1" si="29"/>
        <v>3185670.7625964377</v>
      </c>
      <c r="AA29" s="758">
        <f t="shared" ca="1" si="29"/>
        <v>191682.27327830743</v>
      </c>
      <c r="AB29" s="759">
        <f t="shared" ca="1" si="29"/>
        <v>1919170370.9866776</v>
      </c>
      <c r="AC29" s="756">
        <f t="shared" si="29"/>
        <v>141880524.603248</v>
      </c>
      <c r="AD29" s="757">
        <f t="shared" ca="1" si="29"/>
        <v>0.18979754665179838</v>
      </c>
      <c r="AE29" s="758">
        <f t="shared" ca="1" si="29"/>
        <v>3251146.2959003756</v>
      </c>
      <c r="AF29" s="758">
        <f t="shared" ca="1" si="29"/>
        <v>248266.45341116848</v>
      </c>
      <c r="AG29" s="759">
        <f t="shared" ca="1" si="29"/>
        <v>1970792083.911247</v>
      </c>
      <c r="AH29" s="756">
        <f t="shared" si="29"/>
        <v>176232110.29407406</v>
      </c>
      <c r="AI29" s="757">
        <f t="shared" ca="1" si="29"/>
        <v>0.22978469969137633</v>
      </c>
      <c r="AJ29" s="758">
        <f t="shared" ca="1" si="29"/>
        <v>3349030.4459602339</v>
      </c>
      <c r="AK29" s="758">
        <f t="shared" ca="1" si="29"/>
        <v>309084.54747190396</v>
      </c>
      <c r="AM29" s="740">
        <f t="shared" ref="AM29:AS29" ca="1" si="30">SUM(AM24:AM28)</f>
        <v>0</v>
      </c>
      <c r="AN29" s="740">
        <f t="shared" ca="1" si="30"/>
        <v>47799.85929399966</v>
      </c>
      <c r="AO29" s="740">
        <f t="shared" ca="1" si="30"/>
        <v>93575.013544809772</v>
      </c>
      <c r="AP29" s="740">
        <f t="shared" ca="1" si="30"/>
        <v>140425.59116922275</v>
      </c>
      <c r="AQ29" s="740">
        <f t="shared" ca="1" si="30"/>
        <v>191682.27327830743</v>
      </c>
      <c r="AR29" s="740">
        <f t="shared" ca="1" si="30"/>
        <v>248266.45341116848</v>
      </c>
      <c r="AS29" s="740">
        <f t="shared" ca="1" si="30"/>
        <v>309084.54747190396</v>
      </c>
    </row>
    <row r="32" spans="2:45" ht="14.5" thickBot="1"/>
    <row r="33" spans="2:40">
      <c r="B33" s="849"/>
      <c r="C33" s="850"/>
      <c r="D33" s="850"/>
      <c r="E33" s="850"/>
      <c r="F33" s="850"/>
      <c r="G33" s="850"/>
      <c r="H33" s="850"/>
      <c r="I33" s="850"/>
      <c r="J33" s="850"/>
      <c r="K33" s="850"/>
      <c r="L33" s="850"/>
      <c r="M33" s="850"/>
      <c r="N33" s="850"/>
      <c r="O33" s="850"/>
      <c r="P33" s="850"/>
      <c r="Q33" s="850"/>
      <c r="R33" s="850"/>
      <c r="S33" s="850"/>
      <c r="T33" s="850"/>
      <c r="U33" s="850"/>
      <c r="V33" s="850"/>
      <c r="W33" s="850"/>
      <c r="X33" s="850"/>
      <c r="Y33" s="850"/>
      <c r="Z33" s="850"/>
    </row>
    <row r="34" spans="2:40" ht="14.5" thickBot="1">
      <c r="B34" s="851" t="s">
        <v>769</v>
      </c>
      <c r="C34" s="852"/>
      <c r="D34" s="852"/>
      <c r="E34" s="852"/>
      <c r="F34" s="852"/>
      <c r="G34" s="852"/>
      <c r="H34" s="852"/>
      <c r="I34" s="852"/>
      <c r="J34" s="852"/>
      <c r="K34" s="852"/>
      <c r="L34" s="852"/>
      <c r="M34" s="852"/>
      <c r="N34" s="852"/>
      <c r="O34" s="852"/>
      <c r="P34" s="852"/>
      <c r="Q34" s="852"/>
      <c r="R34" s="852"/>
      <c r="S34" s="852"/>
      <c r="T34" s="852"/>
      <c r="U34" s="852"/>
      <c r="V34" s="852"/>
      <c r="W34" s="852"/>
      <c r="X34" s="852"/>
      <c r="Y34" s="852"/>
      <c r="Z34" s="852"/>
      <c r="AD34" s="217" t="s">
        <v>436</v>
      </c>
    </row>
    <row r="35" spans="2:40" ht="14.5" thickBot="1">
      <c r="B35" s="858" t="s">
        <v>770</v>
      </c>
      <c r="C35" s="860">
        <v>2024</v>
      </c>
      <c r="D35" s="861"/>
      <c r="E35" s="862"/>
      <c r="F35" s="863">
        <v>2025</v>
      </c>
      <c r="G35" s="863"/>
      <c r="H35" s="863"/>
      <c r="I35" s="854">
        <v>2026</v>
      </c>
      <c r="J35" s="853"/>
      <c r="K35" s="855"/>
      <c r="L35" s="853">
        <v>2027</v>
      </c>
      <c r="M35" s="853"/>
      <c r="N35" s="853"/>
      <c r="O35" s="854">
        <v>2027</v>
      </c>
      <c r="P35" s="853"/>
      <c r="Q35" s="853"/>
      <c r="R35" s="854">
        <v>2028</v>
      </c>
      <c r="S35" s="853"/>
      <c r="T35" s="855"/>
      <c r="U35" s="853">
        <v>2030</v>
      </c>
      <c r="V35" s="853"/>
      <c r="W35" s="855"/>
      <c r="X35" s="853">
        <v>2031</v>
      </c>
      <c r="Y35" s="853"/>
      <c r="Z35" s="853"/>
    </row>
    <row r="36" spans="2:40" ht="28.5" thickBot="1">
      <c r="B36" s="859"/>
      <c r="C36" s="710" t="s">
        <v>3</v>
      </c>
      <c r="D36" s="711" t="s">
        <v>771</v>
      </c>
      <c r="E36" s="712" t="s">
        <v>772</v>
      </c>
      <c r="F36" s="710" t="s">
        <v>3</v>
      </c>
      <c r="G36" s="711" t="s">
        <v>771</v>
      </c>
      <c r="H36" s="712" t="s">
        <v>772</v>
      </c>
      <c r="I36" s="713" t="s">
        <v>3</v>
      </c>
      <c r="J36" s="711" t="s">
        <v>771</v>
      </c>
      <c r="K36" s="714" t="s">
        <v>772</v>
      </c>
      <c r="L36" s="710" t="s">
        <v>3</v>
      </c>
      <c r="M36" s="711" t="s">
        <v>771</v>
      </c>
      <c r="N36" s="714" t="s">
        <v>772</v>
      </c>
      <c r="O36" s="710" t="s">
        <v>3</v>
      </c>
      <c r="P36" s="711" t="s">
        <v>771</v>
      </c>
      <c r="Q36" s="712" t="s">
        <v>772</v>
      </c>
      <c r="R36" s="713" t="s">
        <v>3</v>
      </c>
      <c r="S36" s="711" t="s">
        <v>771</v>
      </c>
      <c r="T36" s="712" t="s">
        <v>772</v>
      </c>
      <c r="U36" s="713" t="s">
        <v>3</v>
      </c>
      <c r="V36" s="711" t="s">
        <v>771</v>
      </c>
      <c r="W36" s="714" t="s">
        <v>772</v>
      </c>
      <c r="X36" s="710" t="s">
        <v>3</v>
      </c>
      <c r="Y36" s="711" t="s">
        <v>771</v>
      </c>
      <c r="Z36" s="712" t="s">
        <v>772</v>
      </c>
      <c r="AB36" s="524">
        <v>2025</v>
      </c>
      <c r="AC36" s="525">
        <v>2026</v>
      </c>
      <c r="AD36" s="525">
        <v>2027</v>
      </c>
      <c r="AE36" s="525">
        <v>2028</v>
      </c>
      <c r="AF36" s="525">
        <v>2029</v>
      </c>
      <c r="AG36" s="525">
        <v>2030</v>
      </c>
      <c r="AH36" s="526">
        <v>2031</v>
      </c>
    </row>
    <row r="37" spans="2:40" ht="28">
      <c r="B37" s="715"/>
      <c r="C37" s="716" t="s">
        <v>474</v>
      </c>
      <c r="D37" s="717" t="s">
        <v>476</v>
      </c>
      <c r="E37" s="718" t="s">
        <v>773</v>
      </c>
      <c r="F37" s="716" t="s">
        <v>660</v>
      </c>
      <c r="G37" s="717" t="s">
        <v>481</v>
      </c>
      <c r="H37" s="718" t="s">
        <v>774</v>
      </c>
      <c r="I37" s="716" t="s">
        <v>663</v>
      </c>
      <c r="J37" s="717" t="s">
        <v>760</v>
      </c>
      <c r="K37" s="718" t="s">
        <v>775</v>
      </c>
      <c r="L37" s="719" t="s">
        <v>487</v>
      </c>
      <c r="M37" s="717" t="s">
        <v>776</v>
      </c>
      <c r="N37" s="720" t="s">
        <v>777</v>
      </c>
      <c r="O37" s="716" t="s">
        <v>778</v>
      </c>
      <c r="P37" s="717" t="s">
        <v>779</v>
      </c>
      <c r="Q37" s="718" t="s">
        <v>780</v>
      </c>
      <c r="R37" s="719" t="s">
        <v>781</v>
      </c>
      <c r="S37" s="717" t="s">
        <v>782</v>
      </c>
      <c r="T37" s="718" t="s">
        <v>783</v>
      </c>
      <c r="U37" s="719" t="s">
        <v>784</v>
      </c>
      <c r="V37" s="717" t="s">
        <v>785</v>
      </c>
      <c r="W37" s="720" t="s">
        <v>786</v>
      </c>
      <c r="X37" s="716" t="s">
        <v>787</v>
      </c>
      <c r="Y37" s="717" t="s">
        <v>788</v>
      </c>
      <c r="Z37" s="718" t="s">
        <v>789</v>
      </c>
      <c r="AB37" s="572"/>
      <c r="AC37" s="573" t="s">
        <v>790</v>
      </c>
      <c r="AD37" s="573" t="s">
        <v>791</v>
      </c>
      <c r="AE37" s="573" t="s">
        <v>792</v>
      </c>
      <c r="AF37" s="573" t="s">
        <v>793</v>
      </c>
      <c r="AG37" s="573" t="s">
        <v>794</v>
      </c>
      <c r="AH37" s="574" t="s">
        <v>795</v>
      </c>
      <c r="AI37" s="575" t="s">
        <v>827</v>
      </c>
    </row>
    <row r="38" spans="2:40">
      <c r="B38" s="721" t="s">
        <v>12</v>
      </c>
      <c r="C38" s="722"/>
      <c r="D38" s="723"/>
      <c r="E38" s="724"/>
      <c r="F38" s="722">
        <f>'CDM-eDSM Framework'!AL46</f>
        <v>2879263.4437304181</v>
      </c>
      <c r="G38" s="723">
        <f>G45</f>
        <v>0.5</v>
      </c>
      <c r="H38" s="724">
        <f>F38*G38</f>
        <v>1439631.7218652091</v>
      </c>
      <c r="I38" s="725">
        <f>'CDM-eDSM Framework'!AM46</f>
        <v>3121173.45696068</v>
      </c>
      <c r="J38" s="723">
        <f>J45</f>
        <v>0.5</v>
      </c>
      <c r="K38" s="726">
        <f>I38*J38</f>
        <v>1560586.72848034</v>
      </c>
      <c r="L38" s="722">
        <f>'CDM-eDSM Framework'!AN46</f>
        <v>3442641.5876810364</v>
      </c>
      <c r="M38" s="723">
        <f>M45</f>
        <v>0.5</v>
      </c>
      <c r="N38" s="726">
        <f>L38*M38</f>
        <v>1721320.7938405182</v>
      </c>
      <c r="O38" s="722">
        <f>'CDM-eDSM Framework'!AO46</f>
        <v>3711070.9734080224</v>
      </c>
      <c r="P38" s="723">
        <f>P45</f>
        <v>0.5</v>
      </c>
      <c r="Q38" s="724">
        <f>O38*P38</f>
        <v>1855535.4867040112</v>
      </c>
      <c r="R38" s="725">
        <f>'CDM-eDSM Framework'!AP46</f>
        <v>3711070.9734080224</v>
      </c>
      <c r="S38" s="723">
        <f>S45</f>
        <v>0.5</v>
      </c>
      <c r="T38" s="724">
        <f>R38*S38</f>
        <v>1855535.4867040112</v>
      </c>
      <c r="U38" s="725">
        <f>'CDM-eDSM Framework'!AQ46</f>
        <v>3711070.9734080224</v>
      </c>
      <c r="V38" s="723">
        <f>V45</f>
        <v>0.5</v>
      </c>
      <c r="W38" s="726">
        <f>U38*V38</f>
        <v>1855535.4867040112</v>
      </c>
      <c r="X38" s="722">
        <f>'CDM-eDSM Framework'!AR46</f>
        <v>3711070.9734080224</v>
      </c>
      <c r="Y38" s="723">
        <f>Y45</f>
        <v>0.5</v>
      </c>
      <c r="Z38" s="724">
        <f>X38*Y38</f>
        <v>1855535.4867040112</v>
      </c>
      <c r="AB38" s="728"/>
      <c r="AC38" s="728">
        <f>H38+K38</f>
        <v>3000218.4503455488</v>
      </c>
      <c r="AD38" s="729">
        <f>H38+I38+N38</f>
        <v>6282125.972666407</v>
      </c>
      <c r="AE38" s="729">
        <f>H38+I38+L38+Q38</f>
        <v>9858982.2532109357</v>
      </c>
      <c r="AF38" s="729">
        <f>H38+I38+L38+O38+T38</f>
        <v>13570053.226618959</v>
      </c>
      <c r="AG38" s="729">
        <f>H38+I38+L38+O38+R38+W38</f>
        <v>17281124.200026982</v>
      </c>
      <c r="AH38" s="730">
        <f>H38+I38+L38+O38+R38+U38+Z38</f>
        <v>20992195.173435003</v>
      </c>
      <c r="AN38" s="301"/>
    </row>
    <row r="39" spans="2:40">
      <c r="B39" s="731" t="s">
        <v>545</v>
      </c>
      <c r="C39" s="722"/>
      <c r="D39" s="732"/>
      <c r="E39" s="724"/>
      <c r="F39" s="722">
        <f>'CDM-eDSM Framework'!AL47</f>
        <v>920594.24152098002</v>
      </c>
      <c r="G39" s="732">
        <f>G45</f>
        <v>0.5</v>
      </c>
      <c r="H39" s="724">
        <f t="shared" ref="H39:H41" si="31">F39*G39</f>
        <v>460297.12076049001</v>
      </c>
      <c r="I39" s="725">
        <f>'CDM-eDSM Framework'!AM47</f>
        <v>1022439.5294756602</v>
      </c>
      <c r="J39" s="732">
        <f>J45</f>
        <v>0.5</v>
      </c>
      <c r="K39" s="726">
        <f t="shared" ref="K39:K41" si="32">I39*J39</f>
        <v>511219.76473783009</v>
      </c>
      <c r="L39" s="722">
        <f>'CDM-eDSM Framework'!AN47</f>
        <v>1046002.2337568032</v>
      </c>
      <c r="M39" s="732">
        <f>M45</f>
        <v>0.5</v>
      </c>
      <c r="N39" s="726">
        <f t="shared" ref="N39:N41" si="33">L39*M39</f>
        <v>523001.1168784016</v>
      </c>
      <c r="O39" s="722">
        <f>'CDM-eDSM Framework'!AO47</f>
        <v>1101015.3016012113</v>
      </c>
      <c r="P39" s="732">
        <f>P45</f>
        <v>0.5</v>
      </c>
      <c r="Q39" s="724">
        <f t="shared" ref="Q39:Q41" si="34">O39*P39</f>
        <v>550507.65080060565</v>
      </c>
      <c r="R39" s="725">
        <f>'CDM-eDSM Framework'!AP47</f>
        <v>1101015.3016012113</v>
      </c>
      <c r="S39" s="732">
        <f>S45</f>
        <v>0.5</v>
      </c>
      <c r="T39" s="724">
        <f t="shared" ref="T39:T41" si="35">R39*S39</f>
        <v>550507.65080060565</v>
      </c>
      <c r="U39" s="725">
        <f>'CDM-eDSM Framework'!AQ47</f>
        <v>1101015.3016012113</v>
      </c>
      <c r="V39" s="732">
        <f>V45</f>
        <v>0.5</v>
      </c>
      <c r="W39" s="726">
        <f t="shared" ref="W39:W41" si="36">U39*V39</f>
        <v>550507.65080060565</v>
      </c>
      <c r="X39" s="722">
        <f>'CDM-eDSM Framework'!AR47</f>
        <v>1101015.3016012113</v>
      </c>
      <c r="Y39" s="732">
        <f>Y45</f>
        <v>0.5</v>
      </c>
      <c r="Z39" s="724">
        <f t="shared" ref="Z39:Z41" si="37">X39*Y39</f>
        <v>550507.65080060565</v>
      </c>
      <c r="AB39" s="728"/>
      <c r="AC39" s="728">
        <f t="shared" ref="AC39" si="38">H39+K39</f>
        <v>971516.8854983201</v>
      </c>
      <c r="AD39" s="729">
        <f t="shared" ref="AD39" si="39">H39+I39+N39</f>
        <v>2005737.7671145517</v>
      </c>
      <c r="AE39" s="729">
        <f t="shared" ref="AE39" si="40">H39+I39+L39+Q39</f>
        <v>3079246.534793559</v>
      </c>
      <c r="AF39" s="729">
        <f t="shared" ref="AF39" si="41">H39+I39+L39+O39+T39</f>
        <v>4180261.8363947705</v>
      </c>
      <c r="AG39" s="729">
        <f t="shared" ref="AG39" si="42">H39+I39+L39+O39+R39+W39</f>
        <v>5281277.1379959816</v>
      </c>
      <c r="AH39" s="730">
        <f t="shared" ref="AH39" si="43">H39+I39+L39+O39+R39+U39+Z39</f>
        <v>6382292.4395971932</v>
      </c>
      <c r="AN39" s="301"/>
    </row>
    <row r="40" spans="2:40">
      <c r="B40" s="721" t="str">
        <f>B10</f>
        <v>GS 50-2,999</v>
      </c>
      <c r="C40" s="722"/>
      <c r="D40" s="732"/>
      <c r="E40" s="724"/>
      <c r="F40" s="722">
        <f>'CDM-eDSM Framework'!AL48</f>
        <v>5650874.2327412823</v>
      </c>
      <c r="G40" s="732">
        <f>G45</f>
        <v>0.5</v>
      </c>
      <c r="H40" s="724">
        <f t="shared" si="31"/>
        <v>2825437.1163706412</v>
      </c>
      <c r="I40" s="725">
        <f>'CDM-eDSM Framework'!AM48</f>
        <v>6446945.598865984</v>
      </c>
      <c r="J40" s="732">
        <f>J45</f>
        <v>0.5</v>
      </c>
      <c r="K40" s="726">
        <f t="shared" si="32"/>
        <v>3223472.799432992</v>
      </c>
      <c r="L40" s="722">
        <f>'CDM-eDSM Framework'!AN48</f>
        <v>7290531.6476264531</v>
      </c>
      <c r="M40" s="732">
        <f>M45</f>
        <v>0.5</v>
      </c>
      <c r="N40" s="726">
        <f t="shared" si="33"/>
        <v>3645265.8238132265</v>
      </c>
      <c r="O40" s="722">
        <f>'CDM-eDSM Framework'!AO48</f>
        <v>7701949.1142318752</v>
      </c>
      <c r="P40" s="732">
        <f>P45</f>
        <v>0.5</v>
      </c>
      <c r="Q40" s="724">
        <f t="shared" si="34"/>
        <v>3850974.5571159376</v>
      </c>
      <c r="R40" s="725">
        <f>'CDM-eDSM Framework'!AP48</f>
        <v>7701949.1142318752</v>
      </c>
      <c r="S40" s="732">
        <f>S45</f>
        <v>0.5</v>
      </c>
      <c r="T40" s="724">
        <f t="shared" si="35"/>
        <v>3850974.5571159376</v>
      </c>
      <c r="U40" s="725">
        <f>'CDM-eDSM Framework'!AQ48</f>
        <v>7701949.1142318752</v>
      </c>
      <c r="V40" s="732">
        <f>V45</f>
        <v>0.5</v>
      </c>
      <c r="W40" s="726">
        <f t="shared" si="36"/>
        <v>3850974.5571159376</v>
      </c>
      <c r="X40" s="722">
        <f>'CDM-eDSM Framework'!AR48</f>
        <v>7701949.1142318752</v>
      </c>
      <c r="Y40" s="732">
        <f>Y45</f>
        <v>0.5</v>
      </c>
      <c r="Z40" s="724">
        <f t="shared" si="37"/>
        <v>3850974.5571159376</v>
      </c>
      <c r="AB40" s="728"/>
      <c r="AC40" s="728">
        <f t="shared" ref="AC40:AC44" si="44">H40+K40</f>
        <v>6048909.9158036336</v>
      </c>
      <c r="AD40" s="729">
        <f t="shared" ref="AD40:AD44" si="45">H40+I40+N40</f>
        <v>12917648.539049851</v>
      </c>
      <c r="AE40" s="729">
        <f t="shared" ref="AE40:AE44" si="46">H40+I40+L40+Q40</f>
        <v>20413888.919979017</v>
      </c>
      <c r="AF40" s="729">
        <f t="shared" ref="AF40:AF44" si="47">H40+I40+L40+O40+T40</f>
        <v>28115838.034210894</v>
      </c>
      <c r="AG40" s="729">
        <f t="shared" ref="AG40:AG44" si="48">H40+I40+L40+O40+R40+W40</f>
        <v>35817787.148442768</v>
      </c>
      <c r="AH40" s="730">
        <f t="shared" ref="AH40:AH44" si="49">H40+I40+L40+O40+R40+U40+Z40</f>
        <v>43519736.262674645</v>
      </c>
      <c r="AN40" s="301"/>
    </row>
    <row r="41" spans="2:40">
      <c r="B41" s="721" t="str">
        <f t="shared" ref="B41" si="50">B11</f>
        <v>GS 3,000-4,999</v>
      </c>
      <c r="C41" s="722"/>
      <c r="D41" s="732"/>
      <c r="E41" s="724"/>
      <c r="F41" s="722">
        <f>'CDM-eDSM Framework'!AL49</f>
        <v>1284087.1417391479</v>
      </c>
      <c r="G41" s="732">
        <f>G45</f>
        <v>0.5</v>
      </c>
      <c r="H41" s="724">
        <f t="shared" si="31"/>
        <v>642043.57086957397</v>
      </c>
      <c r="I41" s="725">
        <f>'CDM-eDSM Framework'!AM49</f>
        <v>1465196.3619519942</v>
      </c>
      <c r="J41" s="732">
        <f>J45</f>
        <v>0.5</v>
      </c>
      <c r="K41" s="726">
        <f t="shared" si="32"/>
        <v>732598.18097599712</v>
      </c>
      <c r="L41" s="722">
        <f>'CDM-eDSM Framework'!AN49</f>
        <v>1662716.9241733048</v>
      </c>
      <c r="M41" s="732">
        <f>M45</f>
        <v>0.5</v>
      </c>
      <c r="N41" s="726">
        <f t="shared" si="33"/>
        <v>831358.46208665241</v>
      </c>
      <c r="O41" s="722">
        <f>'CDM-eDSM Framework'!AO49</f>
        <v>1757397.8937777206</v>
      </c>
      <c r="P41" s="732">
        <f>P45</f>
        <v>0.5</v>
      </c>
      <c r="Q41" s="724">
        <f t="shared" si="34"/>
        <v>878698.94688886032</v>
      </c>
      <c r="R41" s="725">
        <f>'CDM-eDSM Framework'!AP49</f>
        <v>1757397.8937777206</v>
      </c>
      <c r="S41" s="732">
        <f>S45</f>
        <v>0.5</v>
      </c>
      <c r="T41" s="724">
        <f t="shared" si="35"/>
        <v>878698.94688886032</v>
      </c>
      <c r="U41" s="725">
        <f>'CDM-eDSM Framework'!AQ49</f>
        <v>1757397.8937777206</v>
      </c>
      <c r="V41" s="732">
        <f>V45</f>
        <v>0.5</v>
      </c>
      <c r="W41" s="726">
        <f t="shared" si="36"/>
        <v>878698.94688886032</v>
      </c>
      <c r="X41" s="722">
        <f>'CDM-eDSM Framework'!AR49</f>
        <v>1757397.8937777206</v>
      </c>
      <c r="Y41" s="732">
        <f>Y45</f>
        <v>0.5</v>
      </c>
      <c r="Z41" s="724">
        <f t="shared" si="37"/>
        <v>878698.94688886032</v>
      </c>
      <c r="AB41" s="728"/>
      <c r="AC41" s="728">
        <f t="shared" si="44"/>
        <v>1374641.7518455712</v>
      </c>
      <c r="AD41" s="729">
        <f t="shared" si="45"/>
        <v>2938598.3949082205</v>
      </c>
      <c r="AE41" s="729">
        <f t="shared" si="46"/>
        <v>4648655.8038837332</v>
      </c>
      <c r="AF41" s="729">
        <f t="shared" si="47"/>
        <v>6406053.6976614539</v>
      </c>
      <c r="AG41" s="729">
        <f t="shared" si="48"/>
        <v>8163451.5914391745</v>
      </c>
      <c r="AH41" s="730">
        <f t="shared" si="49"/>
        <v>9920849.4852168951</v>
      </c>
      <c r="AN41" s="301"/>
    </row>
    <row r="42" spans="2:40">
      <c r="B42" s="731" t="s">
        <v>18</v>
      </c>
      <c r="C42" s="722"/>
      <c r="D42" s="723"/>
      <c r="E42" s="724"/>
      <c r="F42" s="722"/>
      <c r="G42" s="723">
        <f>G45</f>
        <v>0.5</v>
      </c>
      <c r="H42" s="724"/>
      <c r="I42" s="725"/>
      <c r="J42" s="723">
        <f>J45</f>
        <v>0.5</v>
      </c>
      <c r="K42" s="726"/>
      <c r="L42" s="722"/>
      <c r="M42" s="723">
        <f>M45</f>
        <v>0.5</v>
      </c>
      <c r="N42" s="726"/>
      <c r="O42" s="722"/>
      <c r="P42" s="723">
        <f>P45</f>
        <v>0.5</v>
      </c>
      <c r="Q42" s="724"/>
      <c r="R42" s="725"/>
      <c r="S42" s="723">
        <f>S45</f>
        <v>0.5</v>
      </c>
      <c r="T42" s="724"/>
      <c r="U42" s="725"/>
      <c r="V42" s="723">
        <f>V45</f>
        <v>0.5</v>
      </c>
      <c r="W42" s="726"/>
      <c r="X42" s="722"/>
      <c r="Y42" s="723">
        <f>Y45</f>
        <v>0.5</v>
      </c>
      <c r="Z42" s="724"/>
      <c r="AB42" s="728"/>
      <c r="AC42" s="728">
        <f t="shared" si="44"/>
        <v>0</v>
      </c>
      <c r="AD42" s="729">
        <f t="shared" si="45"/>
        <v>0</v>
      </c>
      <c r="AE42" s="729">
        <f t="shared" si="46"/>
        <v>0</v>
      </c>
      <c r="AF42" s="729">
        <f t="shared" si="47"/>
        <v>0</v>
      </c>
      <c r="AG42" s="729">
        <f t="shared" si="48"/>
        <v>0</v>
      </c>
      <c r="AH42" s="730">
        <f t="shared" si="49"/>
        <v>0</v>
      </c>
      <c r="AN42" s="301"/>
    </row>
    <row r="43" spans="2:40">
      <c r="B43" s="721" t="s">
        <v>19</v>
      </c>
      <c r="C43" s="722"/>
      <c r="D43" s="723"/>
      <c r="E43" s="724"/>
      <c r="F43" s="722"/>
      <c r="G43" s="723">
        <f>G45</f>
        <v>0.5</v>
      </c>
      <c r="H43" s="724"/>
      <c r="I43" s="725"/>
      <c r="J43" s="723">
        <f>J45</f>
        <v>0.5</v>
      </c>
      <c r="K43" s="726"/>
      <c r="L43" s="722"/>
      <c r="M43" s="723">
        <f>M45</f>
        <v>0.5</v>
      </c>
      <c r="N43" s="726"/>
      <c r="O43" s="722"/>
      <c r="P43" s="723">
        <f>P45</f>
        <v>0.5</v>
      </c>
      <c r="Q43" s="724"/>
      <c r="R43" s="725"/>
      <c r="S43" s="723">
        <f>S45</f>
        <v>0.5</v>
      </c>
      <c r="T43" s="724"/>
      <c r="U43" s="725"/>
      <c r="V43" s="723">
        <f>V45</f>
        <v>0.5</v>
      </c>
      <c r="W43" s="726"/>
      <c r="X43" s="722"/>
      <c r="Y43" s="723">
        <f>Y45</f>
        <v>0.5</v>
      </c>
      <c r="Z43" s="724"/>
      <c r="AB43" s="728">
        <f t="shared" ref="AB43:AB44" si="51">E43+H43</f>
        <v>0</v>
      </c>
      <c r="AC43" s="728">
        <f t="shared" si="44"/>
        <v>0</v>
      </c>
      <c r="AD43" s="729">
        <f t="shared" si="45"/>
        <v>0</v>
      </c>
      <c r="AE43" s="729">
        <f t="shared" si="46"/>
        <v>0</v>
      </c>
      <c r="AF43" s="729">
        <f t="shared" si="47"/>
        <v>0</v>
      </c>
      <c r="AG43" s="729">
        <f t="shared" si="48"/>
        <v>0</v>
      </c>
      <c r="AH43" s="730">
        <f t="shared" si="49"/>
        <v>0</v>
      </c>
      <c r="AN43" s="301"/>
    </row>
    <row r="44" spans="2:40">
      <c r="B44" s="731" t="s">
        <v>20</v>
      </c>
      <c r="C44" s="722"/>
      <c r="D44" s="723"/>
      <c r="E44" s="724"/>
      <c r="F44" s="722"/>
      <c r="G44" s="723">
        <f>G45</f>
        <v>0.5</v>
      </c>
      <c r="H44" s="724"/>
      <c r="I44" s="725"/>
      <c r="J44" s="723">
        <f>J45</f>
        <v>0.5</v>
      </c>
      <c r="K44" s="726"/>
      <c r="L44" s="722"/>
      <c r="M44" s="723">
        <f>M45</f>
        <v>0.5</v>
      </c>
      <c r="N44" s="726"/>
      <c r="O44" s="722"/>
      <c r="P44" s="723">
        <f>P45</f>
        <v>0.5</v>
      </c>
      <c r="Q44" s="724"/>
      <c r="R44" s="725"/>
      <c r="S44" s="723">
        <f>S45</f>
        <v>0.5</v>
      </c>
      <c r="T44" s="724"/>
      <c r="U44" s="725"/>
      <c r="V44" s="723">
        <f>V45</f>
        <v>0.5</v>
      </c>
      <c r="W44" s="726"/>
      <c r="X44" s="722"/>
      <c r="Y44" s="723">
        <f>Y45</f>
        <v>0.5</v>
      </c>
      <c r="Z44" s="724"/>
      <c r="AB44" s="728">
        <f t="shared" si="51"/>
        <v>0</v>
      </c>
      <c r="AC44" s="728">
        <f t="shared" si="44"/>
        <v>0</v>
      </c>
      <c r="AD44" s="729">
        <f t="shared" si="45"/>
        <v>0</v>
      </c>
      <c r="AE44" s="729">
        <f t="shared" si="46"/>
        <v>0</v>
      </c>
      <c r="AF44" s="729">
        <f t="shared" si="47"/>
        <v>0</v>
      </c>
      <c r="AG44" s="729">
        <f t="shared" si="48"/>
        <v>0</v>
      </c>
      <c r="AH44" s="730">
        <f t="shared" si="49"/>
        <v>0</v>
      </c>
      <c r="AN44" s="301"/>
    </row>
    <row r="45" spans="2:40" ht="14.5" thickBot="1">
      <c r="B45" s="733" t="s">
        <v>797</v>
      </c>
      <c r="C45" s="734">
        <f>SUM(C38:C44)</f>
        <v>0</v>
      </c>
      <c r="D45" s="735">
        <v>0.5</v>
      </c>
      <c r="E45" s="736">
        <f>C45*D45</f>
        <v>0</v>
      </c>
      <c r="F45" s="734">
        <f>SUM(F38:F44)</f>
        <v>10734819.05973183</v>
      </c>
      <c r="G45" s="735">
        <v>0.5</v>
      </c>
      <c r="H45" s="736">
        <f>F45*G45</f>
        <v>5367409.529865915</v>
      </c>
      <c r="I45" s="737">
        <f>SUM(I38:I44)</f>
        <v>12055754.947254317</v>
      </c>
      <c r="J45" s="735">
        <v>0.5</v>
      </c>
      <c r="K45" s="738">
        <f>I45*J45</f>
        <v>6027877.4736271584</v>
      </c>
      <c r="L45" s="734">
        <f>SUM(L38:L44)</f>
        <v>13441892.393237596</v>
      </c>
      <c r="M45" s="735">
        <v>0.5</v>
      </c>
      <c r="N45" s="738">
        <f>L45*M45</f>
        <v>6720946.1966187982</v>
      </c>
      <c r="O45" s="734">
        <f>SUM(O38:O44)</f>
        <v>14271433.283018829</v>
      </c>
      <c r="P45" s="735">
        <v>0.5</v>
      </c>
      <c r="Q45" s="736">
        <f>O45*P45</f>
        <v>7135716.6415094147</v>
      </c>
      <c r="R45" s="737">
        <f>SUM(R38:R44)</f>
        <v>14271433.283018829</v>
      </c>
      <c r="S45" s="735">
        <v>0.5</v>
      </c>
      <c r="T45" s="736">
        <f>R45*S45</f>
        <v>7135716.6415094147</v>
      </c>
      <c r="U45" s="737">
        <f>SUM(U38:U44)</f>
        <v>14271433.283018829</v>
      </c>
      <c r="V45" s="735">
        <v>0.5</v>
      </c>
      <c r="W45" s="738">
        <f>U45*V45</f>
        <v>7135716.6415094147</v>
      </c>
      <c r="X45" s="734">
        <f>SUM(X38:X44)</f>
        <v>14271433.283018829</v>
      </c>
      <c r="Y45" s="735">
        <v>0.5</v>
      </c>
      <c r="Z45" s="736">
        <f>X45*Y45</f>
        <v>7135716.6415094147</v>
      </c>
      <c r="AB45" s="740">
        <f t="shared" ref="AB45:AH45" si="52">SUM(AB38:AB44)</f>
        <v>0</v>
      </c>
      <c r="AC45" s="740">
        <f t="shared" si="52"/>
        <v>11395287.003493074</v>
      </c>
      <c r="AD45" s="740">
        <f t="shared" si="52"/>
        <v>24144110.673739031</v>
      </c>
      <c r="AE45" s="740">
        <f t="shared" si="52"/>
        <v>38000773.511867248</v>
      </c>
      <c r="AF45" s="740">
        <f t="shared" si="52"/>
        <v>52272206.794886075</v>
      </c>
      <c r="AG45" s="740">
        <f t="shared" si="52"/>
        <v>66543640.077904902</v>
      </c>
      <c r="AH45" s="741">
        <f t="shared" si="52"/>
        <v>80815073.360923737</v>
      </c>
      <c r="AN45" s="301"/>
    </row>
    <row r="48" spans="2:40" ht="14.5" thickBot="1"/>
    <row r="49" spans="2:45" ht="14.5" thickBot="1">
      <c r="B49" s="847" t="s">
        <v>798</v>
      </c>
      <c r="C49" s="848"/>
      <c r="D49" s="848"/>
      <c r="E49" s="848"/>
      <c r="F49" s="848"/>
      <c r="G49" s="848"/>
      <c r="H49" s="848"/>
      <c r="I49" s="848"/>
      <c r="J49" s="848"/>
      <c r="K49" s="848"/>
      <c r="L49" s="848"/>
      <c r="M49" s="848"/>
      <c r="N49" s="848"/>
      <c r="O49" s="848"/>
      <c r="P49" s="848"/>
      <c r="Q49" s="848"/>
      <c r="R49" s="848"/>
      <c r="S49" s="848"/>
      <c r="T49" s="848"/>
      <c r="U49" s="848"/>
      <c r="V49" s="848"/>
      <c r="W49" s="848"/>
      <c r="X49" s="848"/>
      <c r="Y49" s="848"/>
      <c r="Z49" s="848"/>
      <c r="AA49" s="848"/>
      <c r="AB49" s="848"/>
      <c r="AC49" s="848"/>
      <c r="AD49" s="848"/>
      <c r="AE49" s="848"/>
      <c r="AF49" s="848"/>
      <c r="AG49" s="848"/>
      <c r="AH49" s="848"/>
      <c r="AI49" s="848"/>
      <c r="AJ49" s="848"/>
      <c r="AK49" s="848"/>
      <c r="AN49" s="219"/>
      <c r="AO49" s="217" t="s">
        <v>436</v>
      </c>
    </row>
    <row r="50" spans="2:45" ht="14.5" thickBot="1">
      <c r="B50" s="637" t="s">
        <v>770</v>
      </c>
      <c r="C50" s="864" t="s">
        <v>799</v>
      </c>
      <c r="D50" s="856"/>
      <c r="E50" s="856"/>
      <c r="F50" s="856"/>
      <c r="G50" s="857"/>
      <c r="H50" s="864" t="s">
        <v>6</v>
      </c>
      <c r="I50" s="856"/>
      <c r="J50" s="856"/>
      <c r="K50" s="856"/>
      <c r="L50" s="857"/>
      <c r="M50" s="856" t="s">
        <v>7</v>
      </c>
      <c r="N50" s="856"/>
      <c r="O50" s="856"/>
      <c r="P50" s="856"/>
      <c r="Q50" s="857"/>
      <c r="R50" s="856" t="s">
        <v>8</v>
      </c>
      <c r="S50" s="856"/>
      <c r="T50" s="856"/>
      <c r="U50" s="856"/>
      <c r="V50" s="857"/>
      <c r="W50" s="856" t="s">
        <v>9</v>
      </c>
      <c r="X50" s="856"/>
      <c r="Y50" s="856"/>
      <c r="Z50" s="856"/>
      <c r="AA50" s="857"/>
      <c r="AB50" s="856" t="s">
        <v>10</v>
      </c>
      <c r="AC50" s="856"/>
      <c r="AD50" s="856"/>
      <c r="AE50" s="856"/>
      <c r="AF50" s="857"/>
      <c r="AG50" s="856" t="s">
        <v>11</v>
      </c>
      <c r="AH50" s="856"/>
      <c r="AI50" s="856"/>
      <c r="AJ50" s="856"/>
      <c r="AK50" s="857"/>
      <c r="AN50" s="219"/>
      <c r="AO50" s="294"/>
    </row>
    <row r="51" spans="2:45" ht="42.5" thickBot="1">
      <c r="B51" s="742"/>
      <c r="C51" s="743" t="s">
        <v>800</v>
      </c>
      <c r="D51" s="711" t="s">
        <v>741</v>
      </c>
      <c r="E51" s="711" t="s">
        <v>801</v>
      </c>
      <c r="F51" s="711" t="s">
        <v>602</v>
      </c>
      <c r="G51" s="744" t="s">
        <v>741</v>
      </c>
      <c r="H51" s="745" t="s">
        <v>800</v>
      </c>
      <c r="I51" s="711" t="s">
        <v>741</v>
      </c>
      <c r="J51" s="711" t="s">
        <v>801</v>
      </c>
      <c r="K51" s="711" t="s">
        <v>602</v>
      </c>
      <c r="L51" s="744" t="s">
        <v>741</v>
      </c>
      <c r="M51" s="745" t="s">
        <v>800</v>
      </c>
      <c r="N51" s="711" t="s">
        <v>741</v>
      </c>
      <c r="O51" s="711" t="s">
        <v>801</v>
      </c>
      <c r="P51" s="711" t="s">
        <v>602</v>
      </c>
      <c r="Q51" s="744" t="s">
        <v>741</v>
      </c>
      <c r="R51" s="745" t="s">
        <v>800</v>
      </c>
      <c r="S51" s="711" t="s">
        <v>741</v>
      </c>
      <c r="T51" s="711" t="s">
        <v>801</v>
      </c>
      <c r="U51" s="711" t="s">
        <v>602</v>
      </c>
      <c r="V51" s="744" t="s">
        <v>741</v>
      </c>
      <c r="W51" s="745" t="s">
        <v>800</v>
      </c>
      <c r="X51" s="711" t="s">
        <v>741</v>
      </c>
      <c r="Y51" s="711" t="s">
        <v>801</v>
      </c>
      <c r="Z51" s="711" t="s">
        <v>602</v>
      </c>
      <c r="AA51" s="744" t="s">
        <v>741</v>
      </c>
      <c r="AB51" s="745" t="s">
        <v>800</v>
      </c>
      <c r="AC51" s="711" t="s">
        <v>741</v>
      </c>
      <c r="AD51" s="711" t="s">
        <v>801</v>
      </c>
      <c r="AE51" s="711" t="s">
        <v>602</v>
      </c>
      <c r="AF51" s="744" t="s">
        <v>741</v>
      </c>
      <c r="AG51" s="745" t="s">
        <v>800</v>
      </c>
      <c r="AH51" s="711" t="s">
        <v>741</v>
      </c>
      <c r="AI51" s="711" t="s">
        <v>801</v>
      </c>
      <c r="AJ51" s="711" t="s">
        <v>602</v>
      </c>
      <c r="AK51" s="744" t="s">
        <v>741</v>
      </c>
      <c r="AM51" s="524">
        <v>2025</v>
      </c>
      <c r="AN51" s="525">
        <v>2026</v>
      </c>
      <c r="AO51" s="525">
        <v>2027</v>
      </c>
      <c r="AP51" s="525">
        <v>2028</v>
      </c>
      <c r="AQ51" s="525">
        <v>2029</v>
      </c>
      <c r="AR51" s="525">
        <v>2030</v>
      </c>
      <c r="AS51" s="526">
        <v>2031</v>
      </c>
    </row>
    <row r="52" spans="2:45">
      <c r="B52" s="742"/>
      <c r="C52" s="743" t="s">
        <v>474</v>
      </c>
      <c r="D52" s="711" t="s">
        <v>476</v>
      </c>
      <c r="E52" s="711" t="s">
        <v>752</v>
      </c>
      <c r="F52" s="711" t="s">
        <v>660</v>
      </c>
      <c r="G52" s="744" t="s">
        <v>802</v>
      </c>
      <c r="H52" s="745" t="s">
        <v>482</v>
      </c>
      <c r="I52" s="711" t="s">
        <v>663</v>
      </c>
      <c r="J52" s="711" t="s">
        <v>803</v>
      </c>
      <c r="K52" s="711" t="s">
        <v>486</v>
      </c>
      <c r="L52" s="744" t="s">
        <v>804</v>
      </c>
      <c r="M52" s="745" t="s">
        <v>776</v>
      </c>
      <c r="N52" s="711" t="s">
        <v>805</v>
      </c>
      <c r="O52" s="711" t="s">
        <v>806</v>
      </c>
      <c r="P52" s="711" t="s">
        <v>779</v>
      </c>
      <c r="Q52" s="744" t="s">
        <v>780</v>
      </c>
      <c r="R52" s="745" t="s">
        <v>781</v>
      </c>
      <c r="S52" s="711" t="s">
        <v>782</v>
      </c>
      <c r="T52" s="711" t="s">
        <v>807</v>
      </c>
      <c r="U52" s="711" t="s">
        <v>784</v>
      </c>
      <c r="V52" s="744" t="s">
        <v>808</v>
      </c>
      <c r="W52" s="745" t="s">
        <v>809</v>
      </c>
      <c r="X52" s="711" t="s">
        <v>787</v>
      </c>
      <c r="Y52" s="711" t="s">
        <v>810</v>
      </c>
      <c r="Z52" s="711" t="s">
        <v>811</v>
      </c>
      <c r="AA52" s="744" t="s">
        <v>812</v>
      </c>
      <c r="AB52" s="745" t="s">
        <v>813</v>
      </c>
      <c r="AC52" s="711" t="s">
        <v>814</v>
      </c>
      <c r="AD52" s="711" t="s">
        <v>815</v>
      </c>
      <c r="AE52" s="711" t="s">
        <v>816</v>
      </c>
      <c r="AF52" s="744" t="s">
        <v>817</v>
      </c>
      <c r="AG52" s="745" t="s">
        <v>818</v>
      </c>
      <c r="AH52" s="711" t="s">
        <v>819</v>
      </c>
      <c r="AI52" s="711" t="s">
        <v>820</v>
      </c>
      <c r="AJ52" s="711" t="s">
        <v>821</v>
      </c>
      <c r="AK52" s="744" t="s">
        <v>822</v>
      </c>
      <c r="AM52" s="572" t="s">
        <v>481</v>
      </c>
      <c r="AN52" s="573" t="s">
        <v>487</v>
      </c>
      <c r="AO52" s="573" t="s">
        <v>823</v>
      </c>
      <c r="AP52" s="573" t="s">
        <v>785</v>
      </c>
      <c r="AQ52" s="573" t="s">
        <v>824</v>
      </c>
      <c r="AR52" s="573" t="s">
        <v>825</v>
      </c>
      <c r="AS52" s="574" t="s">
        <v>826</v>
      </c>
    </row>
    <row r="53" spans="2:45">
      <c r="B53" s="731" t="str">
        <f>B40</f>
        <v>GS 50-2,999</v>
      </c>
      <c r="C53" s="752">
        <f ca="1">'Normalized Annual Summary'!DL15</f>
        <v>312805967.45400143</v>
      </c>
      <c r="D53" s="747">
        <f>AB40</f>
        <v>0</v>
      </c>
      <c r="E53" s="748">
        <f t="shared" ref="E53:E56" ca="1" si="53">D53/C53</f>
        <v>0</v>
      </c>
      <c r="F53" s="753">
        <f ca="1">'kW Forecast'!AR27</f>
        <v>769268.51016203966</v>
      </c>
      <c r="G53" s="750">
        <f t="shared" ref="G53:G56" ca="1" si="54">E53*F53</f>
        <v>0</v>
      </c>
      <c r="H53" s="754">
        <f ca="1">'Normalized Annual Summary'!DL16</f>
        <v>340497565.09618205</v>
      </c>
      <c r="I53" s="747">
        <f>AC40</f>
        <v>6048909.9158036336</v>
      </c>
      <c r="J53" s="748">
        <f t="shared" ref="J53:J56" ca="1" si="55">I53/H53</f>
        <v>1.7764913866843562E-2</v>
      </c>
      <c r="K53" s="753">
        <f ca="1">'kW Forecast'!AR28</f>
        <v>788640.03514614608</v>
      </c>
      <c r="L53" s="750">
        <f t="shared" ref="L53:L56" ca="1" si="56">J53*K53</f>
        <v>14010.122296315765</v>
      </c>
      <c r="M53" s="754">
        <f ca="1">'Normalized Annual Summary'!DL17</f>
        <v>374352433.40622854</v>
      </c>
      <c r="N53" s="747">
        <f>AD40</f>
        <v>12917648.539049851</v>
      </c>
      <c r="O53" s="748">
        <f t="shared" ref="O53:O56" ca="1" si="57">N53/M53</f>
        <v>3.45066503815998E-2</v>
      </c>
      <c r="P53" s="753">
        <f ca="1">'kW Forecast'!AR29</f>
        <v>794879.4920850714</v>
      </c>
      <c r="Q53" s="750">
        <f t="shared" ref="Q53:Q56" ca="1" si="58">O53*P53</f>
        <v>27428.628728883185</v>
      </c>
      <c r="R53" s="754">
        <f ca="1">'Normalized Annual Summary'!DL18</f>
        <v>391768934.0366683</v>
      </c>
      <c r="S53" s="747">
        <f>AE40</f>
        <v>20413888.919979017</v>
      </c>
      <c r="T53" s="748">
        <f t="shared" ref="T53:T56" ca="1" si="59">S53/R53</f>
        <v>5.2106961901344485E-2</v>
      </c>
      <c r="U53" s="753">
        <f ca="1">'kW Forecast'!AR30</f>
        <v>797989.02046378807</v>
      </c>
      <c r="V53" s="750">
        <f t="shared" ref="V53:V56" ca="1" si="60">T53*U53</f>
        <v>41580.783486997811</v>
      </c>
      <c r="W53" s="754">
        <f ca="1">'Normalized Annual Summary'!DL19</f>
        <v>405526343.91540456</v>
      </c>
      <c r="X53" s="747">
        <f>AF40</f>
        <v>28115838.034210894</v>
      </c>
      <c r="Y53" s="748">
        <f t="shared" ref="Y53:Y56" ca="1" si="61">X53/W53</f>
        <v>6.9331717793594302E-2</v>
      </c>
      <c r="Z53" s="753">
        <f ca="1">'kW Forecast'!AR31</f>
        <v>806922.24982660764</v>
      </c>
      <c r="AA53" s="750">
        <f t="shared" ref="AA53:AA56" ca="1" si="62">Y53*Z53</f>
        <v>55945.305706350562</v>
      </c>
      <c r="AB53" s="754">
        <f ca="1">'Normalized Annual Summary'!DL20</f>
        <v>416615555.00911146</v>
      </c>
      <c r="AC53" s="747">
        <f>AG40</f>
        <v>35817787.148442768</v>
      </c>
      <c r="AD53" s="748">
        <f t="shared" ref="AD53:AD56" ca="1" si="63">AC53/AB53</f>
        <v>8.5973235319212762E-2</v>
      </c>
      <c r="AE53" s="753">
        <f ca="1">'kW Forecast'!AR32</f>
        <v>812550.80761936982</v>
      </c>
      <c r="AF53" s="750">
        <f t="shared" ref="AF53:AF56" ca="1" si="64">AD53*AE53</f>
        <v>69857.621792276463</v>
      </c>
      <c r="AG53" s="754">
        <f ca="1">'Normalized Annual Summary'!DL21</f>
        <v>426478048.24017596</v>
      </c>
      <c r="AH53" s="747">
        <f>AH40</f>
        <v>43519736.262674645</v>
      </c>
      <c r="AI53" s="748">
        <f t="shared" ref="AI53:AI56" ca="1" si="65">AH53/AG53</f>
        <v>0.10204449312750093</v>
      </c>
      <c r="AJ53" s="753">
        <f ca="1">'kW Forecast'!AR33</f>
        <v>824792.63280354114</v>
      </c>
      <c r="AK53" s="750">
        <f t="shared" ref="AK53:AK56" ca="1" si="66">AI53*AJ53</f>
        <v>84165.546149734349</v>
      </c>
      <c r="AM53" s="728">
        <f ca="1">G53</f>
        <v>0</v>
      </c>
      <c r="AN53" s="728">
        <f ca="1">L53</f>
        <v>14010.122296315765</v>
      </c>
      <c r="AO53" s="729">
        <f ca="1">Q53</f>
        <v>27428.628728883185</v>
      </c>
      <c r="AP53" s="729">
        <f ca="1">V53</f>
        <v>41580.783486997811</v>
      </c>
      <c r="AQ53" s="729">
        <f ca="1">AA53</f>
        <v>55945.305706350562</v>
      </c>
      <c r="AR53" s="729">
        <f ca="1">AF53</f>
        <v>69857.621792276463</v>
      </c>
      <c r="AS53" s="730">
        <f ca="1">AK53</f>
        <v>84165.546149734349</v>
      </c>
    </row>
    <row r="54" spans="2:45">
      <c r="B54" s="731" t="str">
        <f>B41</f>
        <v>GS 3,000-4,999</v>
      </c>
      <c r="C54" s="752">
        <f ca="1">'Normalized Annual Summary'!DW15</f>
        <v>78915166.445620447</v>
      </c>
      <c r="D54" s="747">
        <f>AB41</f>
        <v>0</v>
      </c>
      <c r="E54" s="748">
        <f t="shared" ca="1" si="53"/>
        <v>0</v>
      </c>
      <c r="F54" s="753">
        <f ca="1">'kW Forecast'!AZ27</f>
        <v>150578.45373841614</v>
      </c>
      <c r="G54" s="750">
        <f t="shared" ca="1" si="54"/>
        <v>0</v>
      </c>
      <c r="H54" s="754">
        <f ca="1">'Normalized Annual Summary'!DW16</f>
        <v>92072460.412605077</v>
      </c>
      <c r="I54" s="747">
        <f>AC41</f>
        <v>1374641.7518455712</v>
      </c>
      <c r="J54" s="748">
        <f t="shared" ca="1" si="55"/>
        <v>1.4929999108152186E-2</v>
      </c>
      <c r="K54" s="753">
        <f ca="1">'kW Forecast'!AZ28</f>
        <v>154200.95715648064</v>
      </c>
      <c r="L54" s="750">
        <f t="shared" ca="1" si="56"/>
        <v>2302.2201528224696</v>
      </c>
      <c r="M54" s="754">
        <f ca="1">'Normalized Annual Summary'!DW17</f>
        <v>108841470.83473286</v>
      </c>
      <c r="N54" s="747">
        <f>AD41</f>
        <v>2938598.3949082205</v>
      </c>
      <c r="O54" s="748">
        <f t="shared" ca="1" si="57"/>
        <v>2.6998885373115265E-2</v>
      </c>
      <c r="P54" s="753">
        <f ca="1">'kW Forecast'!AZ29</f>
        <v>155399.39617718838</v>
      </c>
      <c r="Q54" s="750">
        <f t="shared" ca="1" si="58"/>
        <v>4195.6104844392357</v>
      </c>
      <c r="R54" s="754">
        <f ca="1">'Normalized Annual Summary'!DW18</f>
        <v>116124714.56687501</v>
      </c>
      <c r="S54" s="747">
        <f>AE41</f>
        <v>4648655.8038837332</v>
      </c>
      <c r="T54" s="748">
        <f t="shared" ca="1" si="59"/>
        <v>4.0031580023446436E-2</v>
      </c>
      <c r="U54" s="753">
        <f ca="1">'kW Forecast'!AZ30</f>
        <v>155696.99273356819</v>
      </c>
      <c r="V54" s="750">
        <f t="shared" ca="1" si="60"/>
        <v>6232.7966240237929</v>
      </c>
      <c r="W54" s="754">
        <f ca="1">'Normalized Annual Summary'!DW19</f>
        <v>121958556.76758742</v>
      </c>
      <c r="X54" s="747">
        <f>AF41</f>
        <v>6406053.6976614539</v>
      </c>
      <c r="Y54" s="748">
        <f t="shared" ca="1" si="61"/>
        <v>5.2526480039192892E-2</v>
      </c>
      <c r="Z54" s="753">
        <f ca="1">'kW Forecast'!AZ31</f>
        <v>157181.17842888524</v>
      </c>
      <c r="AA54" s="750">
        <f t="shared" ca="1" si="62"/>
        <v>8256.1740312816564</v>
      </c>
      <c r="AB54" s="754">
        <f ca="1">'Normalized Annual Summary'!DW20</f>
        <v>129560666.21879767</v>
      </c>
      <c r="AC54" s="747">
        <f>AG41</f>
        <v>8163451.5914391745</v>
      </c>
      <c r="AD54" s="748">
        <f t="shared" ca="1" si="63"/>
        <v>6.300871884722338E-2</v>
      </c>
      <c r="AE54" s="753">
        <f ca="1">'kW Forecast'!AZ32</f>
        <v>158259.40437962941</v>
      </c>
      <c r="AF54" s="750">
        <f t="shared" ca="1" si="64"/>
        <v>9971.7223154851017</v>
      </c>
      <c r="AG54" s="754">
        <f ca="1">'Normalized Annual Summary'!DW21</f>
        <v>136179395.77017003</v>
      </c>
      <c r="AH54" s="747">
        <f>AH41</f>
        <v>9920849.4852168951</v>
      </c>
      <c r="AI54" s="748">
        <f t="shared" ca="1" si="65"/>
        <v>7.285132548216261E-2</v>
      </c>
      <c r="AJ54" s="753">
        <f ca="1">'kW Forecast'!AZ33</f>
        <v>160136.63785216786</v>
      </c>
      <c r="AK54" s="750">
        <f t="shared" ca="1" si="66"/>
        <v>11666.166325787482</v>
      </c>
      <c r="AM54" s="728">
        <f ca="1">G54</f>
        <v>0</v>
      </c>
      <c r="AN54" s="728">
        <f ca="1">L54</f>
        <v>2302.2201528224696</v>
      </c>
      <c r="AO54" s="729">
        <f ca="1">Q54</f>
        <v>4195.6104844392357</v>
      </c>
      <c r="AP54" s="729">
        <f ca="1">V54</f>
        <v>6232.7966240237929</v>
      </c>
      <c r="AQ54" s="729">
        <f ca="1">AA54</f>
        <v>8256.1740312816564</v>
      </c>
      <c r="AR54" s="729">
        <f ca="1">AF54</f>
        <v>9971.7223154851017</v>
      </c>
      <c r="AS54" s="730">
        <f ca="1">AK54</f>
        <v>11666.166325787482</v>
      </c>
    </row>
    <row r="55" spans="2:45">
      <c r="B55" s="731" t="str">
        <f>B42</f>
        <v>Street Light</v>
      </c>
      <c r="C55" s="752">
        <f>'Normalized Annual Summary'!ED15</f>
        <v>3585601.999234742</v>
      </c>
      <c r="D55" s="747">
        <f>AB42</f>
        <v>0</v>
      </c>
      <c r="E55" s="748">
        <f t="shared" si="53"/>
        <v>0</v>
      </c>
      <c r="F55" s="753">
        <f>'kW Forecast'!BH27</f>
        <v>10022</v>
      </c>
      <c r="G55" s="750">
        <f t="shared" si="54"/>
        <v>0</v>
      </c>
      <c r="H55" s="754">
        <f>'Normalized Annual Summary'!ED16</f>
        <v>3648157.6152521502</v>
      </c>
      <c r="I55" s="747">
        <f>AC42</f>
        <v>0</v>
      </c>
      <c r="J55" s="748">
        <f t="shared" si="55"/>
        <v>0</v>
      </c>
      <c r="K55" s="753">
        <f>'kW Forecast'!BH28</f>
        <v>10137.611440111856</v>
      </c>
      <c r="L55" s="750">
        <f t="shared" si="56"/>
        <v>0</v>
      </c>
      <c r="M55" s="754">
        <f>'Normalized Annual Summary'!ED17</f>
        <v>3711804.5975439399</v>
      </c>
      <c r="N55" s="747">
        <f>AD42</f>
        <v>0</v>
      </c>
      <c r="O55" s="748">
        <f t="shared" si="57"/>
        <v>0</v>
      </c>
      <c r="P55" s="753">
        <f>'kW Forecast'!BH29</f>
        <v>10314.47561207424</v>
      </c>
      <c r="Q55" s="750">
        <f t="shared" si="58"/>
        <v>0</v>
      </c>
      <c r="R55" s="754">
        <f>'Normalized Annual Summary'!ED18</f>
        <v>3776561.9864524594</v>
      </c>
      <c r="S55" s="747">
        <f>AE42</f>
        <v>0</v>
      </c>
      <c r="T55" s="748">
        <f t="shared" si="59"/>
        <v>0</v>
      </c>
      <c r="U55" s="753">
        <f>'kW Forecast'!BH30</f>
        <v>10494.425415746691</v>
      </c>
      <c r="V55" s="750">
        <f t="shared" si="60"/>
        <v>0</v>
      </c>
      <c r="W55" s="754">
        <f>'Normalized Annual Summary'!ED19</f>
        <v>3842449.1545042628</v>
      </c>
      <c r="X55" s="747">
        <f>AF42</f>
        <v>0</v>
      </c>
      <c r="Y55" s="748">
        <f t="shared" si="61"/>
        <v>0</v>
      </c>
      <c r="Z55" s="753">
        <f>'kW Forecast'!BH31</f>
        <v>10677.514684095742</v>
      </c>
      <c r="AA55" s="750">
        <f t="shared" si="62"/>
        <v>0</v>
      </c>
      <c r="AB55" s="754">
        <f>'Normalized Annual Summary'!ED20</f>
        <v>3909485.8122055032</v>
      </c>
      <c r="AC55" s="747">
        <f>AG42</f>
        <v>0</v>
      </c>
      <c r="AD55" s="748">
        <f t="shared" si="63"/>
        <v>0</v>
      </c>
      <c r="AE55" s="753">
        <f>'kW Forecast'!BH32</f>
        <v>10863.798189275929</v>
      </c>
      <c r="AF55" s="750">
        <f t="shared" si="64"/>
        <v>0</v>
      </c>
      <c r="AG55" s="754">
        <f>'Normalized Annual Summary'!ED21</f>
        <v>3977692.0139384423</v>
      </c>
      <c r="AH55" s="747">
        <f>AH42</f>
        <v>0</v>
      </c>
      <c r="AI55" s="748">
        <f t="shared" si="65"/>
        <v>0</v>
      </c>
      <c r="AJ55" s="753">
        <f>'kW Forecast'!BH33</f>
        <v>11053.331659015181</v>
      </c>
      <c r="AK55" s="750">
        <f t="shared" si="66"/>
        <v>0</v>
      </c>
      <c r="AM55" s="728">
        <f>G55</f>
        <v>0</v>
      </c>
      <c r="AN55" s="728">
        <f>L55</f>
        <v>0</v>
      </c>
      <c r="AO55" s="729">
        <f>Q55</f>
        <v>0</v>
      </c>
      <c r="AP55" s="729">
        <f>V55</f>
        <v>0</v>
      </c>
      <c r="AQ55" s="729">
        <f>AA55</f>
        <v>0</v>
      </c>
      <c r="AR55" s="729">
        <f>AF55</f>
        <v>0</v>
      </c>
      <c r="AS55" s="730">
        <f>AK55</f>
        <v>0</v>
      </c>
    </row>
    <row r="56" spans="2:45">
      <c r="B56" s="731" t="str">
        <f>B43</f>
        <v>Sentinel Light</v>
      </c>
      <c r="C56" s="752">
        <f>'Normalized Annual Summary'!EK15</f>
        <v>6022.4698679931098</v>
      </c>
      <c r="D56" s="747">
        <f>AB43</f>
        <v>0</v>
      </c>
      <c r="E56" s="748">
        <f t="shared" si="53"/>
        <v>0</v>
      </c>
      <c r="F56" s="753">
        <f>'kW Forecast'!BO27</f>
        <v>82.773211112061517</v>
      </c>
      <c r="G56" s="750">
        <f t="shared" si="54"/>
        <v>0</v>
      </c>
      <c r="H56" s="752">
        <f>'Normalized Annual Summary'!EK16</f>
        <v>6110.7650786007734</v>
      </c>
      <c r="I56" s="747">
        <f>AC43</f>
        <v>0</v>
      </c>
      <c r="J56" s="748">
        <f t="shared" si="55"/>
        <v>0</v>
      </c>
      <c r="K56" s="753">
        <f>'kW Forecast'!BO28</f>
        <v>83.986746134736094</v>
      </c>
      <c r="L56" s="750">
        <f t="shared" si="56"/>
        <v>0</v>
      </c>
      <c r="M56" s="752">
        <f>'Normalized Annual Summary'!EK17</f>
        <v>6200.3547820638823</v>
      </c>
      <c r="N56" s="747">
        <f>AD43</f>
        <v>0</v>
      </c>
      <c r="O56" s="748">
        <f t="shared" si="57"/>
        <v>0</v>
      </c>
      <c r="P56" s="753">
        <f>'kW Forecast'!BO29</f>
        <v>85.218072750022259</v>
      </c>
      <c r="Q56" s="750">
        <f t="shared" si="58"/>
        <v>0</v>
      </c>
      <c r="R56" s="752">
        <f>'Normalized Annual Summary'!EK18</f>
        <v>6291.2579568948759</v>
      </c>
      <c r="S56" s="747">
        <f>AE43</f>
        <v>0</v>
      </c>
      <c r="T56" s="748">
        <f t="shared" si="59"/>
        <v>0</v>
      </c>
      <c r="U56" s="753">
        <f>'kW Forecast'!BO30</f>
        <v>86.467451799808998</v>
      </c>
      <c r="V56" s="750">
        <f t="shared" si="60"/>
        <v>0</v>
      </c>
      <c r="W56" s="752">
        <f>'Normalized Annual Summary'!EK19</f>
        <v>6383.4938598494691</v>
      </c>
      <c r="X56" s="747">
        <f>AF43</f>
        <v>0</v>
      </c>
      <c r="Y56" s="748">
        <f t="shared" si="61"/>
        <v>0</v>
      </c>
      <c r="Z56" s="753">
        <f>'kW Forecast'!BO31</f>
        <v>87.735147950178657</v>
      </c>
      <c r="AA56" s="750">
        <f t="shared" si="62"/>
        <v>0</v>
      </c>
      <c r="AB56" s="752">
        <f>'Normalized Annual Summary'!EK20</f>
        <v>6477.0820300059695</v>
      </c>
      <c r="AC56" s="747">
        <f>AG43</f>
        <v>0</v>
      </c>
      <c r="AD56" s="748">
        <f t="shared" si="63"/>
        <v>0</v>
      </c>
      <c r="AE56" s="753">
        <f>'kW Forecast'!BO32</f>
        <v>89.021429747473391</v>
      </c>
      <c r="AF56" s="750">
        <f t="shared" si="64"/>
        <v>0</v>
      </c>
      <c r="AG56" s="752">
        <f>'Normalized Annual Summary'!EK21</f>
        <v>6572.042292904398</v>
      </c>
      <c r="AH56" s="747">
        <f>AH43</f>
        <v>0</v>
      </c>
      <c r="AI56" s="748">
        <f t="shared" si="65"/>
        <v>0</v>
      </c>
      <c r="AJ56" s="753">
        <f>'kW Forecast'!BO33</f>
        <v>90.326569675183435</v>
      </c>
      <c r="AK56" s="750">
        <f t="shared" si="66"/>
        <v>0</v>
      </c>
      <c r="AM56" s="728">
        <f>G56</f>
        <v>0</v>
      </c>
      <c r="AN56" s="728">
        <f>L56</f>
        <v>0</v>
      </c>
      <c r="AO56" s="729">
        <f>Q56</f>
        <v>0</v>
      </c>
      <c r="AP56" s="729">
        <f>V56</f>
        <v>0</v>
      </c>
      <c r="AQ56" s="729">
        <f>AA56</f>
        <v>0</v>
      </c>
      <c r="AR56" s="729">
        <f>AF56</f>
        <v>0</v>
      </c>
      <c r="AS56" s="730">
        <f>AK56</f>
        <v>0</v>
      </c>
    </row>
    <row r="57" spans="2:45" ht="14.5" thickBot="1">
      <c r="B57" s="733" t="s">
        <v>797</v>
      </c>
      <c r="C57" s="755">
        <f t="shared" ref="C57:AK57" ca="1" si="67">SUM(C53:C56)</f>
        <v>395312758.36872458</v>
      </c>
      <c r="D57" s="756">
        <f t="shared" si="67"/>
        <v>0</v>
      </c>
      <c r="E57" s="757">
        <f t="shared" ca="1" si="67"/>
        <v>0</v>
      </c>
      <c r="F57" s="758">
        <f t="shared" ca="1" si="67"/>
        <v>929951.73711156775</v>
      </c>
      <c r="G57" s="758">
        <f t="shared" ca="1" si="67"/>
        <v>0</v>
      </c>
      <c r="H57" s="759">
        <f t="shared" ca="1" si="67"/>
        <v>436224293.8891179</v>
      </c>
      <c r="I57" s="756">
        <f t="shared" si="67"/>
        <v>7423551.6676492048</v>
      </c>
      <c r="J57" s="757">
        <f t="shared" ca="1" si="67"/>
        <v>3.269491297499575E-2</v>
      </c>
      <c r="K57" s="758">
        <f t="shared" ca="1" si="67"/>
        <v>953062.59048887331</v>
      </c>
      <c r="L57" s="758">
        <f t="shared" ca="1" si="67"/>
        <v>16312.342449138236</v>
      </c>
      <c r="M57" s="759">
        <f t="shared" ca="1" si="67"/>
        <v>486911909.19328743</v>
      </c>
      <c r="N57" s="756">
        <f t="shared" si="67"/>
        <v>15856246.933958072</v>
      </c>
      <c r="O57" s="757">
        <f t="shared" ca="1" si="67"/>
        <v>6.1505535754715068E-2</v>
      </c>
      <c r="P57" s="758">
        <f t="shared" ca="1" si="67"/>
        <v>960678.58194708405</v>
      </c>
      <c r="Q57" s="758">
        <f t="shared" ca="1" si="67"/>
        <v>31624.23921332242</v>
      </c>
      <c r="R57" s="759">
        <f t="shared" ca="1" si="67"/>
        <v>511676501.84795266</v>
      </c>
      <c r="S57" s="756">
        <f t="shared" si="67"/>
        <v>25062544.723862752</v>
      </c>
      <c r="T57" s="757">
        <f t="shared" ca="1" si="67"/>
        <v>9.2138541924790929E-2</v>
      </c>
      <c r="U57" s="758">
        <f t="shared" ca="1" si="67"/>
        <v>964266.90606490267</v>
      </c>
      <c r="V57" s="758">
        <f t="shared" ca="1" si="67"/>
        <v>47813.580111021605</v>
      </c>
      <c r="W57" s="759">
        <f t="shared" ca="1" si="67"/>
        <v>531333733.33135605</v>
      </c>
      <c r="X57" s="756">
        <f t="shared" si="67"/>
        <v>34521891.73187235</v>
      </c>
      <c r="Y57" s="757">
        <f t="shared" ca="1" si="67"/>
        <v>0.1218581978327872</v>
      </c>
      <c r="Z57" s="758">
        <f t="shared" ca="1" si="67"/>
        <v>974868.67808753869</v>
      </c>
      <c r="AA57" s="758">
        <f t="shared" ca="1" si="67"/>
        <v>64201.479737632217</v>
      </c>
      <c r="AB57" s="759">
        <f t="shared" ca="1" si="67"/>
        <v>550092184.1221447</v>
      </c>
      <c r="AC57" s="756">
        <f t="shared" si="67"/>
        <v>43981238.73988194</v>
      </c>
      <c r="AD57" s="757">
        <f t="shared" ca="1" si="67"/>
        <v>0.14898195416643614</v>
      </c>
      <c r="AE57" s="758">
        <f t="shared" ca="1" si="67"/>
        <v>981763.03161802259</v>
      </c>
      <c r="AF57" s="758">
        <f t="shared" ca="1" si="67"/>
        <v>79829.344107761572</v>
      </c>
      <c r="AG57" s="759">
        <f t="shared" ca="1" si="67"/>
        <v>566641708.06657732</v>
      </c>
      <c r="AH57" s="756">
        <f t="shared" si="67"/>
        <v>53440585.747891538</v>
      </c>
      <c r="AI57" s="757">
        <f t="shared" ca="1" si="67"/>
        <v>0.17489581860966352</v>
      </c>
      <c r="AJ57" s="758">
        <f t="shared" ca="1" si="67"/>
        <v>996072.92888439936</v>
      </c>
      <c r="AK57" s="758">
        <f t="shared" ca="1" si="67"/>
        <v>95831.712475521839</v>
      </c>
      <c r="AM57" s="740">
        <f t="shared" ref="AM57:AS57" ca="1" si="68">SUM(AM53:AM56)</f>
        <v>0</v>
      </c>
      <c r="AN57" s="740">
        <f t="shared" ca="1" si="68"/>
        <v>16312.342449138236</v>
      </c>
      <c r="AO57" s="740">
        <f t="shared" ca="1" si="68"/>
        <v>31624.23921332242</v>
      </c>
      <c r="AP57" s="740">
        <f t="shared" ca="1" si="68"/>
        <v>47813.580111021605</v>
      </c>
      <c r="AQ57" s="740">
        <f t="shared" ca="1" si="68"/>
        <v>64201.479737632217</v>
      </c>
      <c r="AR57" s="740">
        <f t="shared" ca="1" si="68"/>
        <v>79829.344107761572</v>
      </c>
      <c r="AS57" s="740">
        <f t="shared" ca="1" si="68"/>
        <v>95831.712475521839</v>
      </c>
    </row>
  </sheetData>
  <mergeCells count="38">
    <mergeCell ref="AG21:AK21"/>
    <mergeCell ref="AG50:AK50"/>
    <mergeCell ref="C50:G50"/>
    <mergeCell ref="H50:L50"/>
    <mergeCell ref="M50:Q50"/>
    <mergeCell ref="R50:V50"/>
    <mergeCell ref="W50:AA50"/>
    <mergeCell ref="AB50:AF50"/>
    <mergeCell ref="C21:G21"/>
    <mergeCell ref="H21:L21"/>
    <mergeCell ref="M21:Q21"/>
    <mergeCell ref="B34:Z34"/>
    <mergeCell ref="R35:T35"/>
    <mergeCell ref="U35:W35"/>
    <mergeCell ref="X35:Z35"/>
    <mergeCell ref="W21:AA21"/>
    <mergeCell ref="AB21:AF21"/>
    <mergeCell ref="C35:E35"/>
    <mergeCell ref="F35:H35"/>
    <mergeCell ref="I35:K35"/>
    <mergeCell ref="L35:N35"/>
    <mergeCell ref="O35:Q35"/>
    <mergeCell ref="B49:AK49"/>
    <mergeCell ref="B2:Z2"/>
    <mergeCell ref="B3:Z3"/>
    <mergeCell ref="B20:AK20"/>
    <mergeCell ref="B33:Z33"/>
    <mergeCell ref="X4:Z4"/>
    <mergeCell ref="O4:Q4"/>
    <mergeCell ref="R4:T4"/>
    <mergeCell ref="R21:V21"/>
    <mergeCell ref="U4:W4"/>
    <mergeCell ref="B4:B5"/>
    <mergeCell ref="C4:E4"/>
    <mergeCell ref="F4:H4"/>
    <mergeCell ref="I4:K4"/>
    <mergeCell ref="L4:N4"/>
    <mergeCell ref="B35:B3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BC8A0-8DDB-4B2C-BBA0-6F04A42910E9}">
  <sheetPr codeName="Sheet24">
    <tabColor theme="3" tint="0.499984740745262"/>
  </sheetPr>
  <dimension ref="A1:Y81"/>
  <sheetViews>
    <sheetView topLeftCell="A9" workbookViewId="0">
      <selection activeCell="Q25" sqref="Q25"/>
    </sheetView>
  </sheetViews>
  <sheetFormatPr defaultRowHeight="14.5"/>
  <cols>
    <col min="2" max="2" width="10.1796875" customWidth="1"/>
    <col min="4" max="4" width="9.1796875" bestFit="1" customWidth="1"/>
    <col min="5" max="5" width="11.1796875" bestFit="1" customWidth="1"/>
    <col min="6" max="6" width="12.453125" bestFit="1" customWidth="1"/>
    <col min="7" max="8" width="11.1796875" bestFit="1" customWidth="1"/>
    <col min="9" max="9" width="12.54296875" customWidth="1"/>
    <col min="10" max="11" width="11.1796875" bestFit="1" customWidth="1"/>
    <col min="12" max="12" width="11.453125" bestFit="1" customWidth="1"/>
    <col min="13" max="15" width="11.1796875" bestFit="1" customWidth="1"/>
    <col min="18" max="18" width="10.1796875" bestFit="1" customWidth="1"/>
  </cols>
  <sheetData>
    <row r="1" spans="1:25" ht="15" thickBot="1"/>
    <row r="2" spans="1:25">
      <c r="C2" s="263"/>
      <c r="D2" s="535"/>
      <c r="E2" s="535">
        <v>2021</v>
      </c>
      <c r="F2" s="535">
        <f>E2+1</f>
        <v>2022</v>
      </c>
      <c r="G2" s="535">
        <f t="shared" ref="G2:O2" si="0">F2+1</f>
        <v>2023</v>
      </c>
      <c r="H2" s="535">
        <f t="shared" si="0"/>
        <v>2024</v>
      </c>
      <c r="I2" s="535">
        <f t="shared" si="0"/>
        <v>2025</v>
      </c>
      <c r="J2" s="535">
        <f t="shared" si="0"/>
        <v>2026</v>
      </c>
      <c r="K2" s="535">
        <f t="shared" si="0"/>
        <v>2027</v>
      </c>
      <c r="L2" s="535">
        <f t="shared" si="0"/>
        <v>2028</v>
      </c>
      <c r="M2" s="535">
        <f t="shared" si="0"/>
        <v>2029</v>
      </c>
      <c r="N2" s="535">
        <f t="shared" si="0"/>
        <v>2030</v>
      </c>
      <c r="O2" s="535">
        <f t="shared" si="0"/>
        <v>2031</v>
      </c>
      <c r="P2" s="262"/>
      <c r="R2" t="s">
        <v>828</v>
      </c>
      <c r="X2" t="s">
        <v>829</v>
      </c>
    </row>
    <row r="3" spans="1:25">
      <c r="C3" s="248"/>
      <c r="D3" t="s">
        <v>385</v>
      </c>
      <c r="E3" s="48">
        <v>39490</v>
      </c>
      <c r="F3" s="48">
        <v>39715</v>
      </c>
      <c r="G3" s="48">
        <v>39990</v>
      </c>
      <c r="H3" s="48">
        <v>40315</v>
      </c>
      <c r="I3" s="48">
        <v>40470</v>
      </c>
      <c r="J3" s="48">
        <v>41310</v>
      </c>
      <c r="K3" s="48">
        <v>42140</v>
      </c>
      <c r="L3" s="48">
        <v>43090</v>
      </c>
      <c r="M3" s="48">
        <v>44130</v>
      </c>
      <c r="N3" s="48">
        <v>45250</v>
      </c>
      <c r="O3" s="540">
        <f>N3*(1+Q19)</f>
        <v>46271.721714609412</v>
      </c>
      <c r="P3" s="249"/>
      <c r="R3" t="s">
        <v>830</v>
      </c>
      <c r="X3" s="3">
        <v>37160</v>
      </c>
      <c r="Y3" s="18">
        <f t="shared" ref="Y3:Y10" si="1">X3/$X$11</f>
        <v>0.3253028923594089</v>
      </c>
    </row>
    <row r="4" spans="1:25">
      <c r="C4" s="248"/>
      <c r="D4" t="s">
        <v>384</v>
      </c>
      <c r="E4" s="48">
        <v>33430</v>
      </c>
      <c r="F4" s="48">
        <v>33875</v>
      </c>
      <c r="G4" s="48">
        <v>34480</v>
      </c>
      <c r="H4" s="48">
        <v>36820</v>
      </c>
      <c r="I4" s="48">
        <v>38495</v>
      </c>
      <c r="J4" s="48">
        <v>38910</v>
      </c>
      <c r="K4" s="48">
        <v>39940</v>
      </c>
      <c r="L4" s="48">
        <v>41140</v>
      </c>
      <c r="M4" s="48">
        <v>42440</v>
      </c>
      <c r="N4" s="48">
        <v>43800</v>
      </c>
      <c r="O4" s="540">
        <f t="shared" ref="O4:O8" si="2">N4*(1+Q20)</f>
        <v>44945.691631903879</v>
      </c>
      <c r="P4" s="249"/>
      <c r="R4" t="s">
        <v>830</v>
      </c>
      <c r="X4" s="3">
        <v>34366</v>
      </c>
      <c r="Y4" s="18">
        <f t="shared" si="1"/>
        <v>0.30084389663141675</v>
      </c>
    </row>
    <row r="5" spans="1:25">
      <c r="C5" s="248"/>
      <c r="D5" t="s">
        <v>386</v>
      </c>
      <c r="E5" s="48">
        <v>8020</v>
      </c>
      <c r="F5" s="48">
        <v>8035</v>
      </c>
      <c r="G5" s="48">
        <v>8100</v>
      </c>
      <c r="H5" s="48">
        <v>8160</v>
      </c>
      <c r="I5" s="48">
        <v>8235</v>
      </c>
      <c r="J5" s="48">
        <v>8260</v>
      </c>
      <c r="K5" s="48">
        <v>8290</v>
      </c>
      <c r="L5" s="48">
        <v>8320</v>
      </c>
      <c r="M5" s="48">
        <v>8360</v>
      </c>
      <c r="N5" s="48">
        <v>8390</v>
      </c>
      <c r="O5" s="540">
        <f t="shared" si="2"/>
        <v>8421.3483486163932</v>
      </c>
      <c r="P5" s="249"/>
      <c r="R5" t="s">
        <v>830</v>
      </c>
      <c r="X5" s="3">
        <v>1326</v>
      </c>
      <c r="Y5" s="18">
        <f t="shared" si="1"/>
        <v>1.1607955739197423E-2</v>
      </c>
    </row>
    <row r="6" spans="1:25">
      <c r="C6" s="248"/>
      <c r="D6" t="s">
        <v>383</v>
      </c>
      <c r="E6" s="48">
        <v>35970</v>
      </c>
      <c r="F6" s="48">
        <v>36685</v>
      </c>
      <c r="G6" s="48">
        <v>37230</v>
      </c>
      <c r="H6" s="48">
        <v>37570</v>
      </c>
      <c r="I6" s="48">
        <v>37860</v>
      </c>
      <c r="J6" s="48">
        <v>38990</v>
      </c>
      <c r="K6" s="48">
        <v>39990</v>
      </c>
      <c r="L6" s="48">
        <v>41040</v>
      </c>
      <c r="M6" s="48">
        <v>42200</v>
      </c>
      <c r="N6" s="48">
        <v>43410</v>
      </c>
      <c r="O6" s="540">
        <f t="shared" si="2"/>
        <v>44614.047063466242</v>
      </c>
      <c r="P6" s="249"/>
      <c r="R6" t="s">
        <v>830</v>
      </c>
      <c r="X6" s="3">
        <v>15240</v>
      </c>
      <c r="Y6" s="18">
        <f t="shared" si="1"/>
        <v>0.1334127039708663</v>
      </c>
    </row>
    <row r="7" spans="1:25">
      <c r="C7" s="248"/>
      <c r="D7" t="s">
        <v>831</v>
      </c>
      <c r="E7" s="48">
        <v>8250</v>
      </c>
      <c r="F7" s="48">
        <v>8280</v>
      </c>
      <c r="G7" s="48">
        <v>8275</v>
      </c>
      <c r="H7" s="48">
        <v>8280</v>
      </c>
      <c r="I7" s="48">
        <v>8285</v>
      </c>
      <c r="J7" s="48">
        <v>8390</v>
      </c>
      <c r="K7" s="48">
        <v>8500</v>
      </c>
      <c r="L7" s="48">
        <v>8610</v>
      </c>
      <c r="M7" s="48">
        <v>8740</v>
      </c>
      <c r="N7" s="48">
        <v>8870</v>
      </c>
      <c r="O7" s="540">
        <f>N7*(1+Q23)</f>
        <v>8991.8663102644714</v>
      </c>
      <c r="P7" s="249"/>
      <c r="R7" t="s">
        <v>830</v>
      </c>
      <c r="X7" s="3">
        <v>2059</v>
      </c>
      <c r="Y7" s="18">
        <f t="shared" si="1"/>
        <v>1.8024721619161004E-2</v>
      </c>
    </row>
    <row r="8" spans="1:25">
      <c r="A8" t="s">
        <v>832</v>
      </c>
      <c r="C8" s="248"/>
      <c r="D8" t="s">
        <v>833</v>
      </c>
      <c r="E8" s="48">
        <v>4790</v>
      </c>
      <c r="F8" s="48">
        <v>4800</v>
      </c>
      <c r="G8" s="48">
        <v>4815</v>
      </c>
      <c r="H8" s="48">
        <v>4825</v>
      </c>
      <c r="I8" s="48">
        <v>4835</v>
      </c>
      <c r="J8" s="48">
        <v>4870</v>
      </c>
      <c r="K8" s="48">
        <v>4910</v>
      </c>
      <c r="L8" s="48">
        <v>4960</v>
      </c>
      <c r="M8" s="48">
        <v>5010</v>
      </c>
      <c r="N8" s="48">
        <v>5060</v>
      </c>
      <c r="O8" s="540">
        <f t="shared" si="2"/>
        <v>5106.2411894388606</v>
      </c>
      <c r="P8" s="249"/>
      <c r="R8" t="s">
        <v>830</v>
      </c>
      <c r="X8" s="3">
        <v>2516</v>
      </c>
      <c r="Y8" s="18">
        <f t="shared" si="1"/>
        <v>2.2025351915400237E-2</v>
      </c>
    </row>
    <row r="9" spans="1:25">
      <c r="A9" t="s">
        <v>834</v>
      </c>
      <c r="C9" s="248"/>
      <c r="D9" t="s">
        <v>228</v>
      </c>
      <c r="E9" s="48">
        <v>55071</v>
      </c>
      <c r="F9" s="48">
        <f>E9*(1.0133+1.005)/2</f>
        <v>55574.899649999999</v>
      </c>
      <c r="G9" s="48">
        <f t="shared" ref="G9:O9" si="3">F9*(1.0133+1.005)/2</f>
        <v>56083.4099817975</v>
      </c>
      <c r="H9" s="48">
        <f t="shared" si="3"/>
        <v>56596.573183130946</v>
      </c>
      <c r="I9" s="48">
        <f t="shared" si="3"/>
        <v>57114.431827756591</v>
      </c>
      <c r="J9" s="48">
        <f t="shared" si="3"/>
        <v>57637.028878980564</v>
      </c>
      <c r="K9" s="48">
        <f t="shared" si="3"/>
        <v>58164.407693223235</v>
      </c>
      <c r="L9" s="48">
        <f t="shared" si="3"/>
        <v>58696.612023616224</v>
      </c>
      <c r="M9" s="48">
        <f t="shared" si="3"/>
        <v>59233.686023632312</v>
      </c>
      <c r="N9" s="48">
        <f t="shared" si="3"/>
        <v>59775.674250748547</v>
      </c>
      <c r="O9" s="258">
        <f t="shared" si="3"/>
        <v>60322.621670142893</v>
      </c>
      <c r="P9" s="249"/>
      <c r="R9" t="s">
        <v>835</v>
      </c>
      <c r="X9" s="3">
        <v>16155</v>
      </c>
      <c r="Y9" s="18">
        <f t="shared" si="1"/>
        <v>0.14142271867777856</v>
      </c>
    </row>
    <row r="10" spans="1:25">
      <c r="C10" s="248"/>
      <c r="D10" t="s">
        <v>734</v>
      </c>
      <c r="E10" s="48">
        <v>16753</v>
      </c>
      <c r="F10" s="48">
        <f>E10+(4531/17)</f>
        <v>17019.529411764706</v>
      </c>
      <c r="G10" s="48">
        <f t="shared" ref="G10:O10" si="4">F10+(4531/17)</f>
        <v>17286.058823529413</v>
      </c>
      <c r="H10" s="48">
        <f t="shared" si="4"/>
        <v>17552.588235294119</v>
      </c>
      <c r="I10" s="48">
        <f t="shared" si="4"/>
        <v>17819.117647058825</v>
      </c>
      <c r="J10" s="48">
        <f t="shared" si="4"/>
        <v>18085.647058823532</v>
      </c>
      <c r="K10" s="48">
        <f t="shared" si="4"/>
        <v>18352.176470588238</v>
      </c>
      <c r="L10" s="48">
        <f t="shared" si="4"/>
        <v>18618.705882352944</v>
      </c>
      <c r="M10" s="48">
        <f t="shared" si="4"/>
        <v>18885.23529411765</v>
      </c>
      <c r="N10" s="48">
        <f t="shared" si="4"/>
        <v>19151.764705882357</v>
      </c>
      <c r="O10" s="258">
        <f t="shared" si="4"/>
        <v>19418.294117647063</v>
      </c>
      <c r="P10" s="249"/>
      <c r="R10" t="s">
        <v>836</v>
      </c>
      <c r="X10" s="3">
        <v>5410</v>
      </c>
      <c r="Y10" s="18">
        <f t="shared" si="1"/>
        <v>4.7359759086770779E-2</v>
      </c>
    </row>
    <row r="11" spans="1:25">
      <c r="C11" s="248"/>
      <c r="E11" s="290">
        <f t="shared" ref="E11:K11" si="5">SUM(E3:E10)</f>
        <v>201774</v>
      </c>
      <c r="F11" s="290">
        <f t="shared" si="5"/>
        <v>203984.42906176471</v>
      </c>
      <c r="G11" s="290">
        <f t="shared" si="5"/>
        <v>206259.46880532691</v>
      </c>
      <c r="H11" s="290">
        <f t="shared" si="5"/>
        <v>210119.16141842506</v>
      </c>
      <c r="I11" s="290">
        <f t="shared" si="5"/>
        <v>213113.5494748154</v>
      </c>
      <c r="J11" s="290">
        <f t="shared" si="5"/>
        <v>216452.67593780407</v>
      </c>
      <c r="K11" s="290">
        <f t="shared" si="5"/>
        <v>220286.58416381147</v>
      </c>
      <c r="L11" s="290">
        <f t="shared" ref="L11:N11" si="6">SUM(L3:L10)</f>
        <v>224475.31790596916</v>
      </c>
      <c r="M11" s="290">
        <f t="shared" si="6"/>
        <v>228998.92131774995</v>
      </c>
      <c r="N11" s="290">
        <f t="shared" si="6"/>
        <v>233707.43895663088</v>
      </c>
      <c r="O11" s="290">
        <f>SUM(O3:O10)</f>
        <v>238091.83204608923</v>
      </c>
      <c r="P11" s="249"/>
      <c r="X11" s="290">
        <f t="shared" ref="X11" si="7">SUM(X3:X10)</f>
        <v>114232</v>
      </c>
    </row>
    <row r="12" spans="1:25">
      <c r="C12" s="248"/>
      <c r="F12" s="289">
        <f t="shared" ref="F12:O12" si="8">F3/E3*$Y$3+F4/E4*$Y$4+F5/E5*$Y$5+F6/E6*$Y$6+F7/E7*$Y$7+F8/E8*$Y$8+F9/E9*$Y$9+F10/E10*$Y$10-1</f>
        <v>1.0690765488441611E-2</v>
      </c>
      <c r="G12" s="289">
        <f t="shared" si="8"/>
        <v>1.1795049005375313E-2</v>
      </c>
      <c r="H12" s="289">
        <f t="shared" si="8"/>
        <v>2.6445893243034924E-2</v>
      </c>
      <c r="I12" s="289">
        <f t="shared" si="8"/>
        <v>1.8142748014092325E-2</v>
      </c>
      <c r="J12" s="289">
        <f t="shared" si="8"/>
        <v>1.6402767701276577E-2</v>
      </c>
      <c r="K12" s="289">
        <f t="shared" si="8"/>
        <v>2.0372787111052393E-2</v>
      </c>
      <c r="L12" s="289">
        <f t="shared" si="8"/>
        <v>2.2356815256204365E-2</v>
      </c>
      <c r="M12" s="289">
        <f t="shared" si="8"/>
        <v>2.3650740860920338E-2</v>
      </c>
      <c r="N12" s="289">
        <f t="shared" si="8"/>
        <v>2.421398282667897E-2</v>
      </c>
      <c r="O12" s="289">
        <f t="shared" si="8"/>
        <v>2.1360273871209312E-2</v>
      </c>
      <c r="P12" s="249"/>
    </row>
    <row r="13" spans="1:25">
      <c r="C13" s="248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49"/>
    </row>
    <row r="14" spans="1:25">
      <c r="C14" s="248"/>
      <c r="D14" t="s">
        <v>2</v>
      </c>
      <c r="E14" s="48">
        <v>46450</v>
      </c>
      <c r="F14" s="48">
        <v>47890</v>
      </c>
      <c r="G14" s="48">
        <v>48880</v>
      </c>
      <c r="H14" s="48">
        <v>49805</v>
      </c>
      <c r="I14" s="48">
        <v>50510</v>
      </c>
      <c r="J14" s="48">
        <v>51040</v>
      </c>
      <c r="K14" s="48">
        <v>51830</v>
      </c>
      <c r="L14" s="48">
        <v>52860</v>
      </c>
      <c r="M14" s="48">
        <v>54100</v>
      </c>
      <c r="N14" s="48">
        <v>55390</v>
      </c>
      <c r="O14" s="540">
        <f>N14*(1+Q29)</f>
        <v>56421.179956757536</v>
      </c>
      <c r="P14" s="249"/>
      <c r="R14" s="37" t="s">
        <v>830</v>
      </c>
      <c r="X14" s="3">
        <v>45722</v>
      </c>
    </row>
    <row r="15" spans="1:25">
      <c r="C15" s="2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249"/>
    </row>
    <row r="16" spans="1:25">
      <c r="C16" s="248"/>
      <c r="D16" t="str">
        <f>'CDM-eDSM Framework'!B41</f>
        <v>Gravenhurst</v>
      </c>
      <c r="E16" s="48">
        <f>'CDM-eDSM Framework'!C41</f>
        <v>12311</v>
      </c>
      <c r="F16" s="48">
        <f>E16*1.012</f>
        <v>12458.732</v>
      </c>
      <c r="G16" s="48">
        <f t="shared" ref="G16:H16" si="9">F16*1.012</f>
        <v>12608.236784000001</v>
      </c>
      <c r="H16" s="48">
        <f t="shared" si="9"/>
        <v>12759.535625408002</v>
      </c>
      <c r="I16" s="48">
        <f>H16+911/10</f>
        <v>12850.635625408002</v>
      </c>
      <c r="J16" s="48">
        <f t="shared" ref="J16:O16" si="10">I16+911/10</f>
        <v>12941.735625408002</v>
      </c>
      <c r="K16" s="48">
        <f t="shared" si="10"/>
        <v>13032.835625408003</v>
      </c>
      <c r="L16" s="48">
        <f t="shared" si="10"/>
        <v>13123.935625408003</v>
      </c>
      <c r="M16" s="48">
        <f t="shared" si="10"/>
        <v>13215.035625408003</v>
      </c>
      <c r="N16" s="48">
        <f t="shared" si="10"/>
        <v>13306.135625408004</v>
      </c>
      <c r="O16" s="48">
        <f t="shared" si="10"/>
        <v>13397.235625408004</v>
      </c>
      <c r="P16" s="249"/>
    </row>
    <row r="17" spans="3:22" ht="15" thickBot="1">
      <c r="C17" s="253"/>
      <c r="D17" s="647"/>
      <c r="E17" s="647"/>
      <c r="F17" s="650"/>
      <c r="G17" s="650"/>
      <c r="H17" s="650"/>
      <c r="I17" s="650"/>
      <c r="J17" s="650"/>
      <c r="K17" s="650"/>
      <c r="L17" s="650"/>
      <c r="M17" s="650"/>
      <c r="N17" s="650"/>
      <c r="O17" s="650"/>
      <c r="P17" s="254"/>
      <c r="U17" t="s">
        <v>837</v>
      </c>
    </row>
    <row r="18" spans="3:22">
      <c r="C18" s="263"/>
      <c r="D18" s="535"/>
      <c r="E18" s="638">
        <f>E2</f>
        <v>2021</v>
      </c>
      <c r="F18" s="638">
        <f>F2</f>
        <v>2022</v>
      </c>
      <c r="G18" s="638">
        <f t="shared" ref="G18:O18" si="11">G2</f>
        <v>2023</v>
      </c>
      <c r="H18" s="638">
        <f t="shared" si="11"/>
        <v>2024</v>
      </c>
      <c r="I18" s="638">
        <f t="shared" si="11"/>
        <v>2025</v>
      </c>
      <c r="J18" s="638">
        <f t="shared" si="11"/>
        <v>2026</v>
      </c>
      <c r="K18" s="638">
        <f t="shared" si="11"/>
        <v>2027</v>
      </c>
      <c r="L18" s="638">
        <f t="shared" si="11"/>
        <v>2028</v>
      </c>
      <c r="M18" s="638">
        <f t="shared" si="11"/>
        <v>2029</v>
      </c>
      <c r="N18" s="638">
        <f t="shared" si="11"/>
        <v>2030</v>
      </c>
      <c r="O18" s="638">
        <f t="shared" si="11"/>
        <v>2031</v>
      </c>
      <c r="P18" s="262"/>
      <c r="R18" t="s">
        <v>838</v>
      </c>
      <c r="U18" s="37" t="s">
        <v>839</v>
      </c>
    </row>
    <row r="19" spans="3:22">
      <c r="C19" s="248"/>
      <c r="D19" t="str">
        <f>D3</f>
        <v>Ajax</v>
      </c>
      <c r="F19" s="252">
        <f>F3/E3-1</f>
        <v>5.6976449734109647E-3</v>
      </c>
      <c r="G19" s="252">
        <f t="shared" ref="G19:O19" si="12">G3/F3-1</f>
        <v>6.924335893239375E-3</v>
      </c>
      <c r="H19" s="252">
        <f>H3/G3-1</f>
        <v>8.1270317579393847E-3</v>
      </c>
      <c r="I19" s="252">
        <f t="shared" si="12"/>
        <v>3.8447228078879458E-3</v>
      </c>
      <c r="J19" s="252">
        <f t="shared" si="12"/>
        <v>2.0756115641215711E-2</v>
      </c>
      <c r="K19" s="252">
        <f t="shared" si="12"/>
        <v>2.0091987412248935E-2</v>
      </c>
      <c r="L19" s="252">
        <f t="shared" si="12"/>
        <v>2.2543901281442791E-2</v>
      </c>
      <c r="M19" s="252">
        <f t="shared" si="12"/>
        <v>2.4135530285449125E-2</v>
      </c>
      <c r="N19" s="252">
        <f t="shared" si="12"/>
        <v>2.5379560389757527E-2</v>
      </c>
      <c r="O19" s="252">
        <f t="shared" si="12"/>
        <v>2.2579485405732846E-2</v>
      </c>
      <c r="P19" s="249"/>
      <c r="Q19" s="298" cm="1">
        <f t="array" ref="Q19">GEOMEAN(1+J19:N19)-1</f>
        <v>2.2579485405732846E-2</v>
      </c>
      <c r="R19" s="601">
        <v>5.1587201976956099E-2</v>
      </c>
      <c r="S19" s="298">
        <f>Q19-R19</f>
        <v>-2.9007716571223252E-2</v>
      </c>
      <c r="U19" s="49"/>
    </row>
    <row r="20" spans="3:22">
      <c r="C20" s="248"/>
      <c r="D20" t="str">
        <f>D4</f>
        <v>Pickering</v>
      </c>
      <c r="F20" s="252">
        <f t="shared" ref="F20:O20" si="13">F4/E4-1</f>
        <v>1.3311396948848309E-2</v>
      </c>
      <c r="G20" s="252">
        <f t="shared" si="13"/>
        <v>1.7859778597785869E-2</v>
      </c>
      <c r="H20" s="252">
        <f t="shared" si="13"/>
        <v>6.7865429234338803E-2</v>
      </c>
      <c r="I20" s="252">
        <f t="shared" si="13"/>
        <v>4.5491580662683218E-2</v>
      </c>
      <c r="J20" s="252">
        <f t="shared" si="13"/>
        <v>1.0780620859851986E-2</v>
      </c>
      <c r="K20" s="252">
        <f t="shared" si="13"/>
        <v>2.6471344127473762E-2</v>
      </c>
      <c r="L20" s="252">
        <f t="shared" si="13"/>
        <v>3.0045067601402131E-2</v>
      </c>
      <c r="M20" s="252">
        <f>M4/L4-1</f>
        <v>3.1599416626154619E-2</v>
      </c>
      <c r="N20" s="252">
        <f t="shared" si="13"/>
        <v>3.2045240339302561E-2</v>
      </c>
      <c r="O20" s="252">
        <f t="shared" si="13"/>
        <v>2.6157343194152416E-2</v>
      </c>
      <c r="P20" s="249"/>
      <c r="Q20" s="298" cm="1">
        <f t="array" ref="Q20">GEOMEAN(1+J20:N20)-1</f>
        <v>2.6157343194152416E-2</v>
      </c>
      <c r="R20" s="601">
        <v>4.4317830744353248E-2</v>
      </c>
      <c r="S20" s="298">
        <f>Q20-R20</f>
        <v>-1.8160487550200832E-2</v>
      </c>
      <c r="U20" s="37" t="s">
        <v>840</v>
      </c>
    </row>
    <row r="21" spans="3:22">
      <c r="C21" s="248"/>
      <c r="D21" t="str">
        <f>D5</f>
        <v>Uxbridge</v>
      </c>
      <c r="F21" s="252">
        <f t="shared" ref="F21:O21" si="14">F5/E5-1</f>
        <v>1.8703241895261513E-3</v>
      </c>
      <c r="G21" s="252">
        <f t="shared" si="14"/>
        <v>8.0896079651524566E-3</v>
      </c>
      <c r="H21" s="252">
        <f t="shared" si="14"/>
        <v>7.4074074074073071E-3</v>
      </c>
      <c r="I21" s="252">
        <f t="shared" si="14"/>
        <v>9.1911764705883137E-3</v>
      </c>
      <c r="J21" s="252">
        <f t="shared" si="14"/>
        <v>3.0358227079538835E-3</v>
      </c>
      <c r="K21" s="252">
        <f t="shared" si="14"/>
        <v>3.63196125907983E-3</v>
      </c>
      <c r="L21" s="252">
        <f t="shared" si="14"/>
        <v>3.6188178528346882E-3</v>
      </c>
      <c r="M21" s="252">
        <f t="shared" si="14"/>
        <v>4.8076923076922906E-3</v>
      </c>
      <c r="N21" s="252">
        <f t="shared" si="14"/>
        <v>3.5885167464115852E-3</v>
      </c>
      <c r="O21" s="252">
        <f t="shared" si="14"/>
        <v>3.736394352371164E-3</v>
      </c>
      <c r="P21" s="249"/>
      <c r="Q21" s="298" cm="1">
        <f t="array" ref="Q21">GEOMEAN(1+J21:N21)-1</f>
        <v>3.736394352371164E-3</v>
      </c>
      <c r="R21" s="601">
        <v>3.9400672133143022E-3</v>
      </c>
      <c r="S21" s="298">
        <f t="shared" ref="S21:S26" si="15">Q21-R21</f>
        <v>-2.0367286094313819E-4</v>
      </c>
    </row>
    <row r="22" spans="3:22">
      <c r="C22" s="248"/>
      <c r="D22" t="str">
        <f t="shared" ref="D22:D24" si="16">D6</f>
        <v>Clarington</v>
      </c>
      <c r="F22" s="252">
        <f t="shared" ref="F22:F24" si="17">F6/E6-1</f>
        <v>1.9877675840978659E-2</v>
      </c>
      <c r="G22" s="252">
        <f t="shared" ref="G22:G24" si="18">G6/F6-1</f>
        <v>1.4856208259506509E-2</v>
      </c>
      <c r="H22" s="252">
        <f t="shared" ref="H22:H24" si="19">H6/G6-1</f>
        <v>9.1324200913243114E-3</v>
      </c>
      <c r="I22" s="252">
        <f t="shared" ref="I22:I24" si="20">I6/H6-1</f>
        <v>7.7189246739419737E-3</v>
      </c>
      <c r="J22" s="252">
        <f t="shared" ref="J22:J24" si="21">J6/I6-1</f>
        <v>2.9846804014791228E-2</v>
      </c>
      <c r="K22" s="252">
        <f t="shared" ref="K22:K24" si="22">K6/J6-1</f>
        <v>2.564760194921778E-2</v>
      </c>
      <c r="L22" s="252">
        <f t="shared" ref="L22:L24" si="23">L6/K6-1</f>
        <v>2.6256564141035277E-2</v>
      </c>
      <c r="M22" s="252">
        <f t="shared" ref="M22:M24" si="24">M6/L6-1</f>
        <v>2.8265107212475549E-2</v>
      </c>
      <c r="N22" s="252">
        <f t="shared" ref="N22:N24" si="25">N6/M6-1</f>
        <v>2.8672985781990512E-2</v>
      </c>
      <c r="O22" s="252">
        <f t="shared" ref="O22:O24" si="26">O6/N6-1</f>
        <v>2.7736628967202082E-2</v>
      </c>
      <c r="P22" s="249"/>
      <c r="Q22" s="298" cm="1">
        <f t="array" ref="Q22">GEOMEAN(1+J22:N22)-1</f>
        <v>2.7736628967202082E-2</v>
      </c>
      <c r="R22" s="601">
        <v>3.245569730461928E-2</v>
      </c>
      <c r="S22" s="298">
        <f t="shared" si="15"/>
        <v>-4.7190683374171982E-3</v>
      </c>
      <c r="U22" t="s">
        <v>228</v>
      </c>
      <c r="V22" t="s">
        <v>841</v>
      </c>
    </row>
    <row r="23" spans="3:22">
      <c r="C23" s="248"/>
      <c r="D23" t="str">
        <f t="shared" si="16"/>
        <v>Scucog</v>
      </c>
      <c r="F23" s="252">
        <f t="shared" si="17"/>
        <v>3.6363636363636598E-3</v>
      </c>
      <c r="G23" s="252">
        <f t="shared" si="18"/>
        <v>-6.0386473429951959E-4</v>
      </c>
      <c r="H23" s="252">
        <f t="shared" si="19"/>
        <v>6.0422960725081687E-4</v>
      </c>
      <c r="I23" s="252">
        <f t="shared" si="20"/>
        <v>6.0386473429940857E-4</v>
      </c>
      <c r="J23" s="252">
        <f t="shared" si="21"/>
        <v>1.2673506336753126E-2</v>
      </c>
      <c r="K23" s="252">
        <f t="shared" si="22"/>
        <v>1.3110846245530494E-2</v>
      </c>
      <c r="L23" s="252">
        <f t="shared" si="23"/>
        <v>1.2941176470588234E-2</v>
      </c>
      <c r="M23" s="252">
        <f t="shared" si="24"/>
        <v>1.5098722415795685E-2</v>
      </c>
      <c r="N23" s="252">
        <f t="shared" si="25"/>
        <v>1.4874141876430214E-2</v>
      </c>
      <c r="O23" s="252">
        <f t="shared" si="26"/>
        <v>1.3739155610425158E-2</v>
      </c>
      <c r="P23" s="249"/>
      <c r="Q23" s="298" cm="1">
        <f t="array" ref="Q23">GEOMEAN(1+J23:N23)-1</f>
        <v>1.3739155610425158E-2</v>
      </c>
      <c r="R23" s="601">
        <v>1.6510572642064236E-2</v>
      </c>
      <c r="S23" s="298">
        <f t="shared" si="15"/>
        <v>-2.7714170316390785E-3</v>
      </c>
      <c r="V23" t="s">
        <v>842</v>
      </c>
    </row>
    <row r="24" spans="3:22">
      <c r="C24" s="248"/>
      <c r="D24" t="str">
        <f t="shared" si="16"/>
        <v>Brock</v>
      </c>
      <c r="F24" s="252">
        <f t="shared" si="17"/>
        <v>2.0876826722338038E-3</v>
      </c>
      <c r="G24" s="252">
        <f t="shared" si="18"/>
        <v>3.1250000000000444E-3</v>
      </c>
      <c r="H24" s="252">
        <f t="shared" si="19"/>
        <v>2.0768431983384517E-3</v>
      </c>
      <c r="I24" s="252">
        <f t="shared" si="20"/>
        <v>2.0725388601037231E-3</v>
      </c>
      <c r="J24" s="252">
        <f t="shared" si="21"/>
        <v>7.2388831437435464E-3</v>
      </c>
      <c r="K24" s="252">
        <f t="shared" si="22"/>
        <v>8.2135523613962036E-3</v>
      </c>
      <c r="L24" s="252">
        <f t="shared" si="23"/>
        <v>1.0183299389002087E-2</v>
      </c>
      <c r="M24" s="252">
        <f t="shared" si="24"/>
        <v>1.0080645161290258E-2</v>
      </c>
      <c r="N24" s="252">
        <f t="shared" si="25"/>
        <v>9.9800399201597223E-3</v>
      </c>
      <c r="O24" s="252">
        <f t="shared" si="26"/>
        <v>9.1385749879171474E-3</v>
      </c>
      <c r="P24" s="249"/>
      <c r="Q24" s="298" cm="1">
        <f t="array" ref="Q24">GEOMEAN(1+J24:N24)-1</f>
        <v>9.1385749879171474E-3</v>
      </c>
      <c r="R24" s="601">
        <v>1.0133006055469851E-2</v>
      </c>
      <c r="S24" s="298">
        <f t="shared" si="15"/>
        <v>-9.944310675527035E-4</v>
      </c>
      <c r="V24" t="s">
        <v>843</v>
      </c>
    </row>
    <row r="25" spans="3:22">
      <c r="C25" s="248"/>
      <c r="D25" t="str">
        <f>D9</f>
        <v>Belleville</v>
      </c>
      <c r="F25" s="252">
        <f t="shared" ref="F25:O25" si="27">F9/E9-1</f>
        <v>9.1499999999999915E-3</v>
      </c>
      <c r="G25" s="252">
        <f t="shared" si="27"/>
        <v>9.1499999999999915E-3</v>
      </c>
      <c r="H25" s="252">
        <f t="shared" si="27"/>
        <v>9.1499999999999915E-3</v>
      </c>
      <c r="I25" s="252">
        <f t="shared" si="27"/>
        <v>9.1499999999999915E-3</v>
      </c>
      <c r="J25" s="252">
        <f t="shared" si="27"/>
        <v>9.1499999999999915E-3</v>
      </c>
      <c r="K25" s="252">
        <f t="shared" si="27"/>
        <v>9.1499999999999915E-3</v>
      </c>
      <c r="L25" s="252">
        <f t="shared" si="27"/>
        <v>9.1499999999999915E-3</v>
      </c>
      <c r="M25" s="252">
        <f t="shared" si="27"/>
        <v>9.1499999999999915E-3</v>
      </c>
      <c r="N25" s="252">
        <f t="shared" si="27"/>
        <v>9.1499999999999915E-3</v>
      </c>
      <c r="O25" s="252">
        <f t="shared" si="27"/>
        <v>9.1499999999999915E-3</v>
      </c>
      <c r="P25" s="249"/>
      <c r="Q25" s="298" cm="1">
        <f t="array" ref="Q25">GEOMEAN(1+J25:N25)-1</f>
        <v>9.1499999999999915E-3</v>
      </c>
      <c r="R25" s="601">
        <v>9.1499999999999915E-3</v>
      </c>
      <c r="S25" s="298">
        <f t="shared" si="15"/>
        <v>0</v>
      </c>
    </row>
    <row r="26" spans="3:22">
      <c r="C26" s="248"/>
      <c r="D26" t="str">
        <f>D10</f>
        <v>Port Hope</v>
      </c>
      <c r="F26" s="252">
        <f t="shared" ref="F26:O26" si="28">F10/E10-1</f>
        <v>1.5909354250862817E-2</v>
      </c>
      <c r="G26" s="252">
        <f t="shared" si="28"/>
        <v>1.5660210415716191E-2</v>
      </c>
      <c r="H26" s="252">
        <f t="shared" si="28"/>
        <v>1.5418749553363309E-2</v>
      </c>
      <c r="I26" s="252">
        <f>I10/H10-1</f>
        <v>1.5184621674698473E-2</v>
      </c>
      <c r="J26" s="252">
        <f t="shared" si="28"/>
        <v>1.49574977304614E-2</v>
      </c>
      <c r="K26" s="252">
        <f t="shared" si="28"/>
        <v>1.4737068068276349E-2</v>
      </c>
      <c r="L26" s="252">
        <f t="shared" si="28"/>
        <v>1.4523041024145256E-2</v>
      </c>
      <c r="M26" s="252">
        <f t="shared" si="28"/>
        <v>1.4315141634914985E-2</v>
      </c>
      <c r="N26" s="252">
        <f t="shared" si="28"/>
        <v>1.4113110459774036E-2</v>
      </c>
      <c r="O26" s="252">
        <f t="shared" si="28"/>
        <v>1.3916702500153644E-2</v>
      </c>
      <c r="P26" s="249"/>
      <c r="Q26" s="298" cm="1">
        <f t="array" ref="Q26">GEOMEAN(1+J26:N26)-1</f>
        <v>1.4529127858335933E-2</v>
      </c>
      <c r="R26" s="601">
        <v>1.4633158871164786E-2</v>
      </c>
      <c r="S26" s="298">
        <f t="shared" si="15"/>
        <v>-1.0403101282885352E-4</v>
      </c>
    </row>
    <row r="27" spans="3:22">
      <c r="C27" s="248"/>
      <c r="D27" s="288" t="s">
        <v>844</v>
      </c>
      <c r="E27" s="288"/>
      <c r="F27" s="366">
        <f t="shared" ref="F27:O27" si="29">F19*$Y$3+F20*$Y$4+F21*$Y$5+F22*$Y$6+F23*$Y$7+F24*$Y$8+F25*$Y$9+F26*$Y$10</f>
        <v>1.0690765488441764E-2</v>
      </c>
      <c r="G27" s="366">
        <f t="shared" si="29"/>
        <v>1.179504900537553E-2</v>
      </c>
      <c r="H27" s="366">
        <f t="shared" si="29"/>
        <v>2.6445893243034906E-2</v>
      </c>
      <c r="I27" s="539">
        <f t="shared" si="29"/>
        <v>1.8142748014092595E-2</v>
      </c>
      <c r="J27" s="539">
        <f t="shared" si="29"/>
        <v>1.6402767701276733E-2</v>
      </c>
      <c r="K27" s="539">
        <f t="shared" si="29"/>
        <v>2.037278711105249E-2</v>
      </c>
      <c r="L27" s="539">
        <f t="shared" si="29"/>
        <v>2.235681525620432E-2</v>
      </c>
      <c r="M27" s="539">
        <f t="shared" si="29"/>
        <v>2.365074086092046E-2</v>
      </c>
      <c r="N27" s="539">
        <f t="shared" si="29"/>
        <v>2.4213982826679109E-2</v>
      </c>
      <c r="O27" s="539">
        <f t="shared" si="29"/>
        <v>2.1360273871209243E-2</v>
      </c>
      <c r="P27" s="249"/>
      <c r="Q27" s="298" cm="1">
        <f t="array" ref="Q27">GEOMEAN(1+J27:N27)-1</f>
        <v>2.139550381386246E-2</v>
      </c>
      <c r="R27" s="298"/>
      <c r="U27" t="s">
        <v>388</v>
      </c>
      <c r="V27" t="s">
        <v>845</v>
      </c>
    </row>
    <row r="28" spans="3:22">
      <c r="C28" s="248"/>
      <c r="F28" s="289"/>
      <c r="G28" s="289"/>
      <c r="H28" s="289"/>
      <c r="I28" s="289"/>
      <c r="J28" s="289"/>
      <c r="K28" s="289"/>
      <c r="L28" s="289"/>
      <c r="M28" s="289"/>
      <c r="N28" s="289"/>
      <c r="O28" s="289"/>
      <c r="P28" s="249"/>
      <c r="R28" s="298"/>
      <c r="V28" t="s">
        <v>846</v>
      </c>
    </row>
    <row r="29" spans="3:22">
      <c r="C29" s="248"/>
      <c r="D29" t="str">
        <f>D14</f>
        <v>Whitby</v>
      </c>
      <c r="F29" s="252">
        <f t="shared" ref="F29:O29" si="30">F14/E14-1</f>
        <v>3.1001076426264706E-2</v>
      </c>
      <c r="G29" s="252">
        <f t="shared" si="30"/>
        <v>2.0672374190854104E-2</v>
      </c>
      <c r="H29" s="252">
        <f t="shared" si="30"/>
        <v>1.8923895253682543E-2</v>
      </c>
      <c r="I29" s="252">
        <f t="shared" si="30"/>
        <v>1.4155205300672602E-2</v>
      </c>
      <c r="J29" s="252">
        <f t="shared" si="30"/>
        <v>1.0492971688774499E-2</v>
      </c>
      <c r="K29" s="252">
        <f t="shared" si="30"/>
        <v>1.5478056426332376E-2</v>
      </c>
      <c r="L29" s="252">
        <f t="shared" si="30"/>
        <v>1.9872660621261806E-2</v>
      </c>
      <c r="M29" s="252">
        <f t="shared" si="30"/>
        <v>2.3458191449110766E-2</v>
      </c>
      <c r="N29" s="252">
        <f t="shared" si="30"/>
        <v>2.3844731977818778E-2</v>
      </c>
      <c r="O29" s="252">
        <f t="shared" si="30"/>
        <v>1.8616717038410169E-2</v>
      </c>
      <c r="P29" s="249"/>
      <c r="Q29" s="298" cm="1">
        <f t="array" ref="Q29">GEOMEAN(1+J29:N29)-1</f>
        <v>1.8616717038410169E-2</v>
      </c>
      <c r="R29" s="26">
        <v>2.6927346284929321E-2</v>
      </c>
      <c r="S29" s="298">
        <f t="shared" ref="S29" si="31">Q29-R29</f>
        <v>-8.3106292465191522E-3</v>
      </c>
      <c r="V29" t="s">
        <v>847</v>
      </c>
    </row>
    <row r="30" spans="3:22">
      <c r="C30" s="248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249"/>
      <c r="Q30" s="298"/>
    </row>
    <row r="31" spans="3:22">
      <c r="C31" s="248"/>
      <c r="D31" t="str">
        <f>D16</f>
        <v>Gravenhurst</v>
      </c>
      <c r="F31" s="252">
        <f t="shared" ref="F31:O31" si="32">F16/E16-1</f>
        <v>1.2000000000000011E-2</v>
      </c>
      <c r="G31" s="252">
        <f t="shared" si="32"/>
        <v>1.2000000000000011E-2</v>
      </c>
      <c r="H31" s="252">
        <f t="shared" si="32"/>
        <v>1.2000000000000011E-2</v>
      </c>
      <c r="I31" s="252">
        <f t="shared" si="32"/>
        <v>7.1397582697754203E-3</v>
      </c>
      <c r="J31" s="252">
        <f t="shared" si="32"/>
        <v>7.0891434988538116E-3</v>
      </c>
      <c r="K31" s="252">
        <f t="shared" si="32"/>
        <v>7.0392413071047599E-3</v>
      </c>
      <c r="L31" s="252">
        <f t="shared" si="32"/>
        <v>6.9900367516642081E-3</v>
      </c>
      <c r="M31" s="252">
        <f t="shared" si="32"/>
        <v>6.9415153045730982E-3</v>
      </c>
      <c r="N31" s="252">
        <f t="shared" si="32"/>
        <v>6.8936628384752563E-3</v>
      </c>
      <c r="O31" s="252">
        <f t="shared" si="32"/>
        <v>6.8464656129045842E-3</v>
      </c>
      <c r="P31" s="249"/>
      <c r="Q31" s="298" cm="1">
        <f t="array" ref="Q31">GEOMEAN(1+J31:M31)-1</f>
        <v>7.0149827125851605E-3</v>
      </c>
      <c r="U31" t="s">
        <v>734</v>
      </c>
      <c r="V31" t="s">
        <v>848</v>
      </c>
    </row>
    <row r="32" spans="3:22" ht="15" thickBot="1">
      <c r="C32" s="253"/>
      <c r="D32" s="647"/>
      <c r="E32" s="647"/>
      <c r="F32" s="647"/>
      <c r="G32" s="647"/>
      <c r="H32" s="647"/>
      <c r="I32" s="647"/>
      <c r="J32" s="647"/>
      <c r="K32" s="647"/>
      <c r="L32" s="647"/>
      <c r="M32" s="647"/>
      <c r="N32" s="647"/>
      <c r="O32" s="647"/>
      <c r="P32" s="254"/>
      <c r="V32" t="s">
        <v>849</v>
      </c>
    </row>
    <row r="33" spans="2:13" ht="15" thickBot="1"/>
    <row r="34" spans="2:13">
      <c r="B34" s="263"/>
      <c r="C34" s="535" t="s">
        <v>850</v>
      </c>
      <c r="D34" s="535"/>
      <c r="E34" s="535"/>
      <c r="F34" s="535"/>
      <c r="G34" s="535"/>
      <c r="H34" s="262"/>
    </row>
    <row r="35" spans="2:13">
      <c r="B35" s="248"/>
      <c r="C35" s="48" t="s">
        <v>851</v>
      </c>
      <c r="H35" s="249"/>
    </row>
    <row r="36" spans="2:13">
      <c r="B36" s="248"/>
      <c r="C36" s="536" t="s">
        <v>852</v>
      </c>
      <c r="H36" s="249"/>
    </row>
    <row r="37" spans="2:13">
      <c r="B37" s="248"/>
      <c r="H37" s="249"/>
      <c r="J37" s="3"/>
      <c r="L37" s="3"/>
    </row>
    <row r="38" spans="2:13">
      <c r="B38" s="248"/>
      <c r="F38" s="47" t="s">
        <v>853</v>
      </c>
      <c r="G38" t="s">
        <v>854</v>
      </c>
      <c r="H38" s="249"/>
      <c r="J38" s="3"/>
      <c r="L38" s="3"/>
    </row>
    <row r="39" spans="2:13">
      <c r="B39" s="248"/>
      <c r="C39">
        <v>2024</v>
      </c>
      <c r="D39">
        <v>2</v>
      </c>
      <c r="E39" t="s">
        <v>855</v>
      </c>
      <c r="F39" s="537">
        <v>792615</v>
      </c>
      <c r="H39" s="249"/>
      <c r="J39" s="3"/>
      <c r="L39" s="3"/>
    </row>
    <row r="40" spans="2:13">
      <c r="B40" s="248"/>
      <c r="C40">
        <v>2025</v>
      </c>
      <c r="D40">
        <v>2</v>
      </c>
      <c r="E40" t="s">
        <v>855</v>
      </c>
      <c r="F40" s="537">
        <v>806355</v>
      </c>
      <c r="H40" s="249"/>
      <c r="J40" s="3"/>
      <c r="L40" s="3"/>
    </row>
    <row r="41" spans="2:13">
      <c r="B41" s="248"/>
      <c r="C41">
        <v>2026</v>
      </c>
      <c r="D41">
        <v>2</v>
      </c>
      <c r="E41" t="s">
        <v>855</v>
      </c>
      <c r="F41" s="537">
        <v>817381</v>
      </c>
      <c r="G41" s="538">
        <f>F41/F40</f>
        <v>1.0136738781306001</v>
      </c>
      <c r="H41" s="249"/>
      <c r="J41" s="3"/>
      <c r="L41" s="3"/>
    </row>
    <row r="42" spans="2:13">
      <c r="B42" s="248"/>
      <c r="C42">
        <v>2027</v>
      </c>
      <c r="D42">
        <v>2</v>
      </c>
      <c r="E42" t="s">
        <v>855</v>
      </c>
      <c r="F42" s="537">
        <v>826707</v>
      </c>
      <c r="G42" s="538">
        <f>F42/F41</f>
        <v>1.0114096119190439</v>
      </c>
      <c r="H42" s="249"/>
      <c r="J42" s="3"/>
      <c r="K42" s="245"/>
    </row>
    <row r="43" spans="2:13">
      <c r="B43" s="248"/>
      <c r="C43">
        <v>2028</v>
      </c>
      <c r="D43">
        <v>2</v>
      </c>
      <c r="E43" t="s">
        <v>855</v>
      </c>
      <c r="F43" s="537">
        <v>835898</v>
      </c>
      <c r="G43" s="538">
        <f>F43/F42</f>
        <v>1.0111176027298667</v>
      </c>
      <c r="H43" s="249"/>
      <c r="J43" s="3"/>
      <c r="K43" s="245"/>
    </row>
    <row r="44" spans="2:13">
      <c r="B44" s="248"/>
      <c r="C44">
        <v>2029</v>
      </c>
      <c r="D44">
        <v>2</v>
      </c>
      <c r="E44" t="s">
        <v>855</v>
      </c>
      <c r="F44" s="537">
        <v>845385</v>
      </c>
      <c r="G44" s="538">
        <f>F44/F43</f>
        <v>1.0113494708684552</v>
      </c>
      <c r="H44" s="249"/>
      <c r="J44" s="3"/>
      <c r="K44" s="245"/>
      <c r="L44" s="3"/>
      <c r="M44" s="245"/>
    </row>
    <row r="45" spans="2:13">
      <c r="B45" s="248"/>
      <c r="C45">
        <v>2030</v>
      </c>
      <c r="D45">
        <v>2</v>
      </c>
      <c r="E45" t="s">
        <v>855</v>
      </c>
      <c r="F45" s="537">
        <v>855457</v>
      </c>
      <c r="G45" s="538">
        <f t="shared" ref="G45:G66" si="33">F45/F44</f>
        <v>1.0119140983102373</v>
      </c>
      <c r="H45" s="249"/>
      <c r="K45" s="245"/>
    </row>
    <row r="46" spans="2:13">
      <c r="B46" s="248"/>
      <c r="C46">
        <v>2031</v>
      </c>
      <c r="D46">
        <v>2</v>
      </c>
      <c r="E46" t="s">
        <v>855</v>
      </c>
      <c r="F46" s="537">
        <v>865409</v>
      </c>
      <c r="G46" s="538">
        <f t="shared" si="33"/>
        <v>1.0116335479164937</v>
      </c>
      <c r="H46" s="249"/>
      <c r="J46" s="3"/>
      <c r="K46" s="245"/>
    </row>
    <row r="47" spans="2:13">
      <c r="B47" s="248"/>
      <c r="C47">
        <v>2032</v>
      </c>
      <c r="D47">
        <v>2</v>
      </c>
      <c r="E47" t="s">
        <v>855</v>
      </c>
      <c r="F47" s="537">
        <v>875243</v>
      </c>
      <c r="G47" s="256">
        <f t="shared" si="33"/>
        <v>1.0113634131376033</v>
      </c>
      <c r="H47" s="249"/>
      <c r="J47" s="3"/>
    </row>
    <row r="48" spans="2:13">
      <c r="B48" s="248"/>
      <c r="C48">
        <v>2033</v>
      </c>
      <c r="D48">
        <v>2</v>
      </c>
      <c r="E48" t="s">
        <v>855</v>
      </c>
      <c r="F48" s="537">
        <v>884969</v>
      </c>
      <c r="G48" s="256">
        <f t="shared" si="33"/>
        <v>1.0111123425151645</v>
      </c>
      <c r="H48" s="249"/>
      <c r="J48" s="3"/>
    </row>
    <row r="49" spans="2:11">
      <c r="B49" s="248"/>
      <c r="C49">
        <v>2034</v>
      </c>
      <c r="D49">
        <v>2</v>
      </c>
      <c r="E49" t="s">
        <v>855</v>
      </c>
      <c r="F49" s="537">
        <v>894602</v>
      </c>
      <c r="G49" s="256">
        <f t="shared" si="33"/>
        <v>1.0108851270496482</v>
      </c>
      <c r="H49" s="249"/>
      <c r="J49" s="3"/>
    </row>
    <row r="50" spans="2:11">
      <c r="B50" s="248"/>
      <c r="C50">
        <v>2035</v>
      </c>
      <c r="D50">
        <v>2</v>
      </c>
      <c r="E50" t="s">
        <v>855</v>
      </c>
      <c r="F50" s="537">
        <v>904154</v>
      </c>
      <c r="G50" s="256">
        <f t="shared" si="33"/>
        <v>1.0106773738489294</v>
      </c>
      <c r="H50" s="249"/>
      <c r="J50" s="3"/>
    </row>
    <row r="51" spans="2:11">
      <c r="B51" s="248"/>
      <c r="C51">
        <v>2036</v>
      </c>
      <c r="D51">
        <v>2</v>
      </c>
      <c r="E51" t="s">
        <v>855</v>
      </c>
      <c r="F51" s="537">
        <v>913642</v>
      </c>
      <c r="G51" s="256">
        <f t="shared" si="33"/>
        <v>1.0104937875627382</v>
      </c>
      <c r="H51" s="249"/>
      <c r="J51" s="3"/>
      <c r="K51" s="18"/>
    </row>
    <row r="52" spans="2:11">
      <c r="B52" s="248"/>
      <c r="C52">
        <v>2037</v>
      </c>
      <c r="D52">
        <v>2</v>
      </c>
      <c r="E52" t="s">
        <v>855</v>
      </c>
      <c r="F52" s="537">
        <v>923088</v>
      </c>
      <c r="G52" s="256">
        <f t="shared" si="33"/>
        <v>1.010338841690728</v>
      </c>
      <c r="H52" s="249"/>
      <c r="J52" s="3"/>
    </row>
    <row r="53" spans="2:11">
      <c r="B53" s="248"/>
      <c r="C53">
        <v>2038</v>
      </c>
      <c r="D53">
        <v>2</v>
      </c>
      <c r="E53" t="s">
        <v>855</v>
      </c>
      <c r="F53" s="537">
        <v>932513</v>
      </c>
      <c r="G53" s="256">
        <f t="shared" si="33"/>
        <v>1.010210294143137</v>
      </c>
      <c r="H53" s="249"/>
      <c r="J53" s="3"/>
    </row>
    <row r="54" spans="2:11">
      <c r="B54" s="248"/>
      <c r="C54">
        <v>2039</v>
      </c>
      <c r="D54">
        <v>2</v>
      </c>
      <c r="E54" t="s">
        <v>855</v>
      </c>
      <c r="F54" s="537">
        <v>941941</v>
      </c>
      <c r="G54" s="256">
        <f t="shared" si="33"/>
        <v>1.0101103148159865</v>
      </c>
      <c r="H54" s="249"/>
      <c r="J54" s="3"/>
    </row>
    <row r="55" spans="2:11">
      <c r="B55" s="248"/>
      <c r="C55">
        <v>2040</v>
      </c>
      <c r="D55">
        <v>2</v>
      </c>
      <c r="E55" t="s">
        <v>855</v>
      </c>
      <c r="F55" s="537">
        <v>951388</v>
      </c>
      <c r="G55" s="256">
        <f t="shared" si="33"/>
        <v>1.0100292905818942</v>
      </c>
      <c r="H55" s="249"/>
      <c r="J55" s="3"/>
    </row>
    <row r="56" spans="2:11">
      <c r="B56" s="248"/>
      <c r="C56">
        <v>2041</v>
      </c>
      <c r="D56">
        <v>2</v>
      </c>
      <c r="E56" t="s">
        <v>855</v>
      </c>
      <c r="F56" s="537">
        <v>960874</v>
      </c>
      <c r="G56" s="256">
        <f t="shared" si="33"/>
        <v>1.0099706954470731</v>
      </c>
      <c r="H56" s="249"/>
      <c r="J56" s="3"/>
    </row>
    <row r="57" spans="2:11">
      <c r="B57" s="248"/>
      <c r="C57">
        <v>2042</v>
      </c>
      <c r="D57">
        <v>2</v>
      </c>
      <c r="E57" t="s">
        <v>855</v>
      </c>
      <c r="F57" s="537">
        <v>970437</v>
      </c>
      <c r="G57" s="256">
        <f t="shared" si="33"/>
        <v>1.0099523975047717</v>
      </c>
      <c r="H57" s="249"/>
    </row>
    <row r="58" spans="2:11">
      <c r="B58" s="248"/>
      <c r="C58">
        <v>2043</v>
      </c>
      <c r="D58">
        <v>2</v>
      </c>
      <c r="E58" t="s">
        <v>855</v>
      </c>
      <c r="F58" s="537">
        <v>980017</v>
      </c>
      <c r="G58" s="256">
        <f t="shared" si="33"/>
        <v>1.0098718412426566</v>
      </c>
      <c r="H58" s="249"/>
    </row>
    <row r="59" spans="2:11">
      <c r="B59" s="248"/>
      <c r="C59">
        <v>2044</v>
      </c>
      <c r="D59">
        <v>2</v>
      </c>
      <c r="E59" t="s">
        <v>855</v>
      </c>
      <c r="F59" s="537">
        <v>989628</v>
      </c>
      <c r="G59" s="256">
        <f t="shared" si="33"/>
        <v>1.0098069727361871</v>
      </c>
      <c r="H59" s="249"/>
    </row>
    <row r="60" spans="2:11">
      <c r="B60" s="248"/>
      <c r="C60">
        <v>2045</v>
      </c>
      <c r="D60">
        <v>2</v>
      </c>
      <c r="E60" t="s">
        <v>855</v>
      </c>
      <c r="F60" s="537">
        <v>999280</v>
      </c>
      <c r="G60" s="256">
        <f t="shared" si="33"/>
        <v>1.0097531597731673</v>
      </c>
      <c r="H60" s="249"/>
    </row>
    <row r="61" spans="2:11">
      <c r="B61" s="248"/>
      <c r="C61">
        <v>2046</v>
      </c>
      <c r="D61">
        <v>2</v>
      </c>
      <c r="E61" t="s">
        <v>855</v>
      </c>
      <c r="F61" s="537">
        <v>1008983</v>
      </c>
      <c r="G61" s="256">
        <f t="shared" si="33"/>
        <v>1.0097099911936593</v>
      </c>
      <c r="H61" s="249"/>
    </row>
    <row r="62" spans="2:11">
      <c r="B62" s="248"/>
      <c r="C62">
        <v>2047</v>
      </c>
      <c r="D62">
        <v>2</v>
      </c>
      <c r="E62" t="s">
        <v>855</v>
      </c>
      <c r="F62" s="537">
        <v>1018744</v>
      </c>
      <c r="G62" s="256">
        <f t="shared" si="33"/>
        <v>1.009674097581426</v>
      </c>
      <c r="H62" s="249"/>
    </row>
    <row r="63" spans="2:11">
      <c r="B63" s="248"/>
      <c r="C63">
        <v>2048</v>
      </c>
      <c r="D63">
        <v>2</v>
      </c>
      <c r="E63" t="s">
        <v>855</v>
      </c>
      <c r="F63" s="537">
        <v>1028573</v>
      </c>
      <c r="G63" s="256">
        <f t="shared" si="33"/>
        <v>1.0096481549829988</v>
      </c>
      <c r="H63" s="249"/>
    </row>
    <row r="64" spans="2:11">
      <c r="B64" s="248"/>
      <c r="C64">
        <v>2049</v>
      </c>
      <c r="D64">
        <v>2</v>
      </c>
      <c r="E64" t="s">
        <v>855</v>
      </c>
      <c r="F64" s="537">
        <v>1038474</v>
      </c>
      <c r="G64" s="256">
        <f t="shared" si="33"/>
        <v>1.0096259575158983</v>
      </c>
      <c r="H64" s="249"/>
    </row>
    <row r="65" spans="2:13">
      <c r="B65" s="248"/>
      <c r="C65">
        <v>2050</v>
      </c>
      <c r="D65">
        <v>2</v>
      </c>
      <c r="E65" t="s">
        <v>855</v>
      </c>
      <c r="F65" s="537">
        <v>1048452</v>
      </c>
      <c r="G65" s="256">
        <f t="shared" si="33"/>
        <v>1.0096083291444946</v>
      </c>
      <c r="H65" s="249"/>
    </row>
    <row r="66" spans="2:13">
      <c r="B66" s="248"/>
      <c r="C66">
        <v>2051</v>
      </c>
      <c r="D66">
        <v>2</v>
      </c>
      <c r="E66" t="s">
        <v>855</v>
      </c>
      <c r="F66" s="537">
        <v>1058514</v>
      </c>
      <c r="G66" s="256">
        <f t="shared" si="33"/>
        <v>1.0095970058715134</v>
      </c>
      <c r="H66" s="249"/>
    </row>
    <row r="67" spans="2:13" ht="15" thickBot="1">
      <c r="B67" s="253"/>
      <c r="C67" s="647"/>
      <c r="D67" s="647"/>
      <c r="E67" s="647"/>
      <c r="F67" s="647"/>
      <c r="G67" s="647"/>
      <c r="H67" s="254"/>
    </row>
    <row r="70" spans="2:13">
      <c r="I70" s="37"/>
    </row>
    <row r="72" spans="2:13">
      <c r="G72" s="369"/>
      <c r="H72" s="251"/>
      <c r="I72" s="251"/>
    </row>
    <row r="73" spans="2:13">
      <c r="G73" s="3"/>
      <c r="H73" s="3"/>
      <c r="I73" s="3"/>
      <c r="J73" s="245"/>
      <c r="K73" s="47"/>
      <c r="L73" s="47"/>
      <c r="M73" s="331"/>
    </row>
    <row r="74" spans="2:13">
      <c r="G74" s="3"/>
      <c r="H74" s="3"/>
      <c r="I74" s="3"/>
      <c r="J74" s="245"/>
      <c r="K74" s="47"/>
      <c r="L74" s="47"/>
      <c r="M74" s="331"/>
    </row>
    <row r="75" spans="2:13">
      <c r="G75" s="3"/>
      <c r="H75" s="3"/>
      <c r="I75" s="3"/>
      <c r="J75" s="245"/>
      <c r="K75" s="47"/>
      <c r="L75" s="47"/>
      <c r="M75" s="331"/>
    </row>
    <row r="76" spans="2:13">
      <c r="G76" s="3"/>
      <c r="H76" s="3"/>
      <c r="I76" s="3"/>
      <c r="J76" s="245"/>
      <c r="K76" s="47"/>
      <c r="L76" s="47"/>
      <c r="M76" s="331"/>
    </row>
    <row r="77" spans="2:13">
      <c r="G77" s="3"/>
      <c r="H77" s="3"/>
      <c r="I77" s="3"/>
      <c r="J77" s="245"/>
      <c r="K77" s="47"/>
      <c r="L77" s="47"/>
      <c r="M77" s="331"/>
    </row>
    <row r="78" spans="2:13">
      <c r="G78" s="3"/>
      <c r="H78" s="3"/>
      <c r="I78" s="3"/>
      <c r="J78" s="245"/>
      <c r="K78" s="47"/>
      <c r="L78" s="47"/>
      <c r="M78" s="331"/>
    </row>
    <row r="79" spans="2:13">
      <c r="G79" s="3"/>
      <c r="H79" s="3"/>
      <c r="I79" s="3"/>
      <c r="J79" s="245"/>
      <c r="K79" s="47"/>
      <c r="L79" s="47"/>
      <c r="M79" s="331"/>
    </row>
    <row r="80" spans="2:13">
      <c r="G80" s="367"/>
      <c r="H80" s="367"/>
      <c r="I80" s="367"/>
      <c r="J80" s="368"/>
      <c r="K80" s="367"/>
      <c r="L80" s="367"/>
      <c r="M80" s="370"/>
    </row>
    <row r="81" spans="7:7">
      <c r="G81" s="3"/>
    </row>
  </sheetData>
  <hyperlinks>
    <hyperlink ref="U18" r:id="rId1" xr:uid="{89264AED-6285-4469-99AE-5C438AF760A8}"/>
    <hyperlink ref="U20" r:id="rId2" xr:uid="{BFF6EC01-DB78-4C4F-9629-EF81C4E160C1}"/>
    <hyperlink ref="C36" r:id="rId3" xr:uid="{5548C907-87A4-4B64-82CE-2B154583DC8D}"/>
    <hyperlink ref="R14" r:id="rId4" xr:uid="{8808CA10-123E-4C70-9630-562CC5FCC5C7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BC82A-8CFE-4C10-BED2-A84CAF483902}">
  <sheetPr codeName="Sheet6">
    <tabColor theme="2" tint="-9.9978637043366805E-2"/>
  </sheetPr>
  <dimension ref="A1:AD250"/>
  <sheetViews>
    <sheetView workbookViewId="0">
      <selection activeCell="H36" sqref="H36"/>
    </sheetView>
  </sheetViews>
  <sheetFormatPr defaultRowHeight="14.5"/>
  <cols>
    <col min="1" max="1" width="10.54296875" bestFit="1" customWidth="1"/>
    <col min="2" max="2" width="10.54296875" customWidth="1"/>
    <col min="3" max="3" width="3.453125" customWidth="1"/>
    <col min="4" max="4" width="19.54296875" bestFit="1" customWidth="1"/>
    <col min="5" max="5" width="16.1796875" bestFit="1" customWidth="1"/>
    <col min="6" max="9" width="13.81640625" customWidth="1"/>
    <col min="10" max="10" width="17" style="14" customWidth="1"/>
    <col min="11" max="12" width="11.81640625" style="14" bestFit="1" customWidth="1"/>
    <col min="13" max="13" width="10.81640625" style="14" bestFit="1" customWidth="1"/>
    <col min="14" max="14" width="12.81640625" style="14" bestFit="1" customWidth="1"/>
    <col min="15" max="19" width="10.54296875" style="14" customWidth="1"/>
    <col min="20" max="21" width="14.81640625" customWidth="1"/>
    <col min="22" max="22" width="4.81640625" bestFit="1" customWidth="1"/>
    <col min="23" max="24" width="14.81640625" customWidth="1"/>
    <col min="25" max="25" width="9.81640625" bestFit="1" customWidth="1"/>
    <col min="26" max="26" width="10" bestFit="1" customWidth="1"/>
    <col min="27" max="27" width="10.1796875" customWidth="1"/>
    <col min="28" max="28" width="3.81640625" customWidth="1"/>
  </cols>
  <sheetData>
    <row r="1" spans="1:30">
      <c r="D1" s="789" t="s">
        <v>227</v>
      </c>
      <c r="E1" s="789"/>
      <c r="F1" s="789" t="s">
        <v>216</v>
      </c>
      <c r="G1" s="789"/>
      <c r="H1" s="789" t="s">
        <v>228</v>
      </c>
      <c r="I1" s="789"/>
      <c r="J1" s="790" t="s">
        <v>229</v>
      </c>
      <c r="K1" s="790"/>
      <c r="L1" s="790"/>
      <c r="M1" s="790"/>
      <c r="N1" s="790" t="s">
        <v>230</v>
      </c>
      <c r="O1" s="790"/>
      <c r="P1" s="790"/>
      <c r="Q1" s="790"/>
      <c r="R1" s="13"/>
      <c r="S1" s="13"/>
    </row>
    <row r="2" spans="1:30">
      <c r="D2" t="s">
        <v>231</v>
      </c>
      <c r="E2" t="s">
        <v>232</v>
      </c>
      <c r="F2" t="s">
        <v>231</v>
      </c>
      <c r="G2" t="s">
        <v>232</v>
      </c>
      <c r="H2" t="s">
        <v>231</v>
      </c>
      <c r="I2" t="s">
        <v>232</v>
      </c>
      <c r="J2" s="14" t="s">
        <v>233</v>
      </c>
      <c r="K2" s="14" t="s">
        <v>234</v>
      </c>
      <c r="L2" s="14" t="s">
        <v>235</v>
      </c>
      <c r="M2" s="14" t="s">
        <v>236</v>
      </c>
      <c r="N2" s="14" t="s">
        <v>237</v>
      </c>
      <c r="O2" s="14" t="s">
        <v>238</v>
      </c>
      <c r="P2" s="14" t="s">
        <v>239</v>
      </c>
      <c r="Q2" s="14" t="s">
        <v>240</v>
      </c>
      <c r="R2" s="14" t="s">
        <v>241</v>
      </c>
    </row>
    <row r="3" spans="1:30" ht="16">
      <c r="D3" s="792" t="s">
        <v>242</v>
      </c>
      <c r="E3" s="792"/>
      <c r="F3" s="792"/>
      <c r="G3" s="792"/>
      <c r="H3" s="792"/>
      <c r="I3" s="792"/>
      <c r="J3" s="791" t="s">
        <v>243</v>
      </c>
      <c r="K3" s="791"/>
      <c r="L3" s="791"/>
      <c r="M3" s="791"/>
      <c r="N3" s="790" t="s">
        <v>244</v>
      </c>
      <c r="O3" s="790"/>
      <c r="P3" s="790"/>
      <c r="Q3" s="13"/>
      <c r="R3" s="13"/>
      <c r="S3" s="13"/>
    </row>
    <row r="4" spans="1:30" ht="16">
      <c r="A4" s="2">
        <v>41640</v>
      </c>
      <c r="B4">
        <f t="shared" ref="B4:B43" si="0">YEAR(A4)</f>
        <v>2014</v>
      </c>
      <c r="C4" s="2" t="s">
        <v>245</v>
      </c>
      <c r="D4" s="15">
        <v>6794.1</v>
      </c>
      <c r="E4" s="15">
        <v>6752.6</v>
      </c>
      <c r="F4" s="15">
        <v>187.7</v>
      </c>
      <c r="G4" s="15">
        <v>187.7</v>
      </c>
      <c r="H4">
        <v>30.9</v>
      </c>
      <c r="I4">
        <v>30.9</v>
      </c>
      <c r="J4" s="25">
        <v>708787.6</v>
      </c>
      <c r="K4" s="25">
        <v>544049.6</v>
      </c>
      <c r="L4" s="25">
        <v>88755.3</v>
      </c>
      <c r="M4" s="25">
        <v>28059</v>
      </c>
      <c r="N4" s="25">
        <v>699858</v>
      </c>
      <c r="O4" s="25">
        <v>85601</v>
      </c>
      <c r="P4" s="25">
        <v>19361</v>
      </c>
      <c r="Q4" s="25">
        <v>538865</v>
      </c>
      <c r="R4" s="25">
        <v>27419</v>
      </c>
      <c r="S4" s="25"/>
      <c r="T4" s="36"/>
      <c r="U4" s="36"/>
    </row>
    <row r="5" spans="1:30" ht="16">
      <c r="A5" s="2">
        <v>41671</v>
      </c>
      <c r="B5">
        <f t="shared" si="0"/>
        <v>2014</v>
      </c>
      <c r="C5" s="2" t="s">
        <v>245</v>
      </c>
      <c r="D5" s="15">
        <v>6790.1</v>
      </c>
      <c r="E5" s="15">
        <v>6713</v>
      </c>
      <c r="F5" s="15">
        <v>188</v>
      </c>
      <c r="G5" s="15">
        <v>188</v>
      </c>
      <c r="H5">
        <v>31.6</v>
      </c>
      <c r="I5">
        <v>31.6</v>
      </c>
      <c r="J5" s="25">
        <v>708787.6</v>
      </c>
      <c r="K5" s="25">
        <v>544049.6</v>
      </c>
      <c r="L5" s="25">
        <v>88755.3</v>
      </c>
      <c r="M5" s="25">
        <v>28059</v>
      </c>
      <c r="N5" s="25">
        <v>699858</v>
      </c>
      <c r="O5" s="25">
        <v>85601</v>
      </c>
      <c r="P5" s="25">
        <v>19361</v>
      </c>
      <c r="Q5" s="25">
        <v>538865</v>
      </c>
      <c r="R5" s="25">
        <v>27419</v>
      </c>
      <c r="S5" s="25"/>
      <c r="T5" s="36"/>
      <c r="U5" s="36"/>
    </row>
    <row r="6" spans="1:30" ht="16">
      <c r="A6" s="2">
        <v>41699</v>
      </c>
      <c r="B6">
        <f t="shared" si="0"/>
        <v>2014</v>
      </c>
      <c r="C6" s="2" t="s">
        <v>245</v>
      </c>
      <c r="D6" s="15">
        <v>6792.1</v>
      </c>
      <c r="E6" s="15">
        <v>6684.3</v>
      </c>
      <c r="F6" s="15">
        <v>189.9</v>
      </c>
      <c r="G6" s="15">
        <v>187.9</v>
      </c>
      <c r="H6">
        <v>31.6</v>
      </c>
      <c r="I6">
        <v>31.6</v>
      </c>
      <c r="J6" s="25">
        <v>708787.6</v>
      </c>
      <c r="K6" s="25">
        <v>544049.6</v>
      </c>
      <c r="L6" s="25">
        <v>88755.3</v>
      </c>
      <c r="M6" s="25">
        <v>28059</v>
      </c>
      <c r="N6" s="25">
        <v>699858</v>
      </c>
      <c r="O6" s="25">
        <v>85601</v>
      </c>
      <c r="P6" s="25">
        <v>19361</v>
      </c>
      <c r="Q6" s="25">
        <v>538865</v>
      </c>
      <c r="R6" s="25">
        <v>27419</v>
      </c>
      <c r="S6" s="25"/>
      <c r="T6" s="36"/>
      <c r="U6" s="36"/>
    </row>
    <row r="7" spans="1:30" ht="16">
      <c r="A7" s="2">
        <v>41730</v>
      </c>
      <c r="B7">
        <f t="shared" si="0"/>
        <v>2014</v>
      </c>
      <c r="C7" s="2" t="s">
        <v>246</v>
      </c>
      <c r="D7" s="15">
        <v>6801.5</v>
      </c>
      <c r="E7" s="15">
        <v>6712.1</v>
      </c>
      <c r="F7" s="15">
        <v>192.7</v>
      </c>
      <c r="G7" s="15">
        <v>190.2</v>
      </c>
      <c r="H7">
        <v>31.8</v>
      </c>
      <c r="I7">
        <v>31.8</v>
      </c>
      <c r="J7" s="25">
        <v>708787.6</v>
      </c>
      <c r="K7" s="25">
        <v>544049.6</v>
      </c>
      <c r="L7" s="25">
        <v>88755.3</v>
      </c>
      <c r="M7" s="25">
        <v>28059</v>
      </c>
      <c r="N7" s="25">
        <v>706843</v>
      </c>
      <c r="O7" s="25">
        <v>87547</v>
      </c>
      <c r="P7" s="25">
        <v>20292</v>
      </c>
      <c r="Q7" s="25">
        <v>543257</v>
      </c>
      <c r="R7" s="25">
        <v>28146</v>
      </c>
      <c r="S7" s="25"/>
      <c r="T7" s="36"/>
      <c r="U7" s="36"/>
    </row>
    <row r="8" spans="1:30" ht="16">
      <c r="A8" s="2">
        <v>41760</v>
      </c>
      <c r="B8">
        <f t="shared" si="0"/>
        <v>2014</v>
      </c>
      <c r="C8" s="2" t="s">
        <v>246</v>
      </c>
      <c r="D8" s="15">
        <v>6805.4</v>
      </c>
      <c r="E8" s="15">
        <v>6772</v>
      </c>
      <c r="F8" s="15">
        <v>194.6</v>
      </c>
      <c r="G8" s="15">
        <v>192.6</v>
      </c>
      <c r="H8">
        <v>32.6</v>
      </c>
      <c r="I8">
        <v>32.6</v>
      </c>
      <c r="J8" s="25">
        <v>708787.6</v>
      </c>
      <c r="K8" s="25">
        <v>544049.6</v>
      </c>
      <c r="L8" s="25">
        <v>88755.3</v>
      </c>
      <c r="M8" s="25">
        <v>28059</v>
      </c>
      <c r="N8" s="25">
        <v>706843</v>
      </c>
      <c r="O8" s="25">
        <v>87547</v>
      </c>
      <c r="P8" s="25">
        <v>20292</v>
      </c>
      <c r="Q8" s="25">
        <v>543257</v>
      </c>
      <c r="R8" s="25">
        <v>28146</v>
      </c>
      <c r="S8" s="25"/>
      <c r="T8" s="36"/>
      <c r="W8" t="s">
        <v>247</v>
      </c>
    </row>
    <row r="9" spans="1:30" ht="16">
      <c r="A9" s="2">
        <v>41791</v>
      </c>
      <c r="B9">
        <f t="shared" si="0"/>
        <v>2014</v>
      </c>
      <c r="C9" s="2" t="s">
        <v>246</v>
      </c>
      <c r="D9" s="15">
        <v>6810.4</v>
      </c>
      <c r="E9" s="15">
        <v>6856.7</v>
      </c>
      <c r="F9" s="15">
        <v>197.6</v>
      </c>
      <c r="G9" s="15">
        <v>197.8</v>
      </c>
      <c r="H9">
        <v>32.6</v>
      </c>
      <c r="I9">
        <v>32.6</v>
      </c>
      <c r="J9" s="25">
        <v>708787.6</v>
      </c>
      <c r="K9" s="25">
        <v>544049.6</v>
      </c>
      <c r="L9" s="25">
        <v>88755.3</v>
      </c>
      <c r="M9" s="25">
        <v>28059</v>
      </c>
      <c r="N9" s="25">
        <v>706843</v>
      </c>
      <c r="O9" s="25">
        <v>87547</v>
      </c>
      <c r="P9" s="25">
        <v>20292</v>
      </c>
      <c r="Q9" s="25">
        <v>543257</v>
      </c>
      <c r="R9" s="25">
        <v>28146</v>
      </c>
      <c r="S9" s="25"/>
      <c r="T9" s="36"/>
      <c r="AA9" t="s">
        <v>248</v>
      </c>
      <c r="AD9" s="37"/>
    </row>
    <row r="10" spans="1:30" ht="16">
      <c r="A10" s="2">
        <v>41821</v>
      </c>
      <c r="B10">
        <f t="shared" si="0"/>
        <v>2014</v>
      </c>
      <c r="C10" s="2" t="s">
        <v>249</v>
      </c>
      <c r="D10" s="15">
        <v>6820</v>
      </c>
      <c r="E10" s="15">
        <v>6912.1</v>
      </c>
      <c r="F10" s="15">
        <v>199.5</v>
      </c>
      <c r="G10" s="15">
        <v>202</v>
      </c>
      <c r="H10">
        <v>33.1</v>
      </c>
      <c r="I10">
        <v>33.1</v>
      </c>
      <c r="J10" s="25">
        <v>708787.6</v>
      </c>
      <c r="K10" s="25">
        <v>544049.6</v>
      </c>
      <c r="L10" s="25">
        <v>88755.3</v>
      </c>
      <c r="M10" s="25">
        <v>28059</v>
      </c>
      <c r="N10" s="25">
        <v>714112</v>
      </c>
      <c r="O10" s="25">
        <v>88578</v>
      </c>
      <c r="P10" s="25">
        <v>20684</v>
      </c>
      <c r="Q10" s="25">
        <v>548913</v>
      </c>
      <c r="R10" s="25">
        <v>28621</v>
      </c>
      <c r="S10" s="25"/>
      <c r="T10" s="36"/>
      <c r="V10" s="761"/>
      <c r="W10" s="762" t="s">
        <v>250</v>
      </c>
      <c r="X10" s="763" t="s">
        <v>251</v>
      </c>
      <c r="Y10" s="763" t="s">
        <v>252</v>
      </c>
      <c r="Z10" s="763" t="s">
        <v>253</v>
      </c>
      <c r="AA10" s="764" t="s">
        <v>254</v>
      </c>
      <c r="AB10" s="765"/>
      <c r="AC10" s="763" t="s">
        <v>255</v>
      </c>
      <c r="AD10" s="766"/>
    </row>
    <row r="11" spans="1:30" ht="16">
      <c r="A11" s="2">
        <v>41852</v>
      </c>
      <c r="B11">
        <f t="shared" si="0"/>
        <v>2014</v>
      </c>
      <c r="C11" s="2" t="s">
        <v>249</v>
      </c>
      <c r="D11" s="15">
        <v>6825.2</v>
      </c>
      <c r="E11" s="15">
        <v>6927.1</v>
      </c>
      <c r="F11" s="15">
        <v>200.7</v>
      </c>
      <c r="G11" s="15">
        <v>203.3</v>
      </c>
      <c r="H11">
        <v>35.200000000000003</v>
      </c>
      <c r="I11">
        <v>35.200000000000003</v>
      </c>
      <c r="J11" s="25">
        <v>708787.6</v>
      </c>
      <c r="K11" s="25">
        <v>544049.6</v>
      </c>
      <c r="L11" s="25">
        <v>88755.3</v>
      </c>
      <c r="M11" s="25">
        <v>28059</v>
      </c>
      <c r="N11" s="25">
        <v>714112</v>
      </c>
      <c r="O11" s="25">
        <v>88578</v>
      </c>
      <c r="P11" s="25">
        <v>20684</v>
      </c>
      <c r="Q11" s="25">
        <v>548913</v>
      </c>
      <c r="R11" s="25">
        <v>28621</v>
      </c>
      <c r="S11" s="25"/>
      <c r="T11" s="36"/>
      <c r="V11" s="602"/>
      <c r="W11" s="282">
        <v>46108</v>
      </c>
      <c r="X11" s="589">
        <v>45992</v>
      </c>
      <c r="Y11" s="282">
        <v>46105</v>
      </c>
      <c r="Z11" s="282">
        <v>46099</v>
      </c>
      <c r="AA11" s="283">
        <v>46107</v>
      </c>
      <c r="AB11" s="284"/>
      <c r="AD11" s="31"/>
    </row>
    <row r="12" spans="1:30" ht="16">
      <c r="A12" s="2">
        <v>41883</v>
      </c>
      <c r="B12">
        <f t="shared" si="0"/>
        <v>2014</v>
      </c>
      <c r="C12" s="2" t="s">
        <v>249</v>
      </c>
      <c r="D12" s="15">
        <v>6836.3</v>
      </c>
      <c r="E12" s="15">
        <v>6900.6</v>
      </c>
      <c r="F12" s="15">
        <v>201.2</v>
      </c>
      <c r="G12" s="15">
        <v>202.5</v>
      </c>
      <c r="H12">
        <v>38.5</v>
      </c>
      <c r="I12">
        <v>38.5</v>
      </c>
      <c r="J12" s="25">
        <v>708787.6</v>
      </c>
      <c r="K12" s="25">
        <v>544049.6</v>
      </c>
      <c r="L12" s="25">
        <v>88755.3</v>
      </c>
      <c r="M12" s="25">
        <v>28059</v>
      </c>
      <c r="N12" s="25">
        <v>714112</v>
      </c>
      <c r="O12" s="25">
        <v>88578</v>
      </c>
      <c r="P12" s="25">
        <v>20684</v>
      </c>
      <c r="Q12" s="25">
        <v>548913</v>
      </c>
      <c r="R12" s="25">
        <v>28621</v>
      </c>
      <c r="S12" s="25"/>
      <c r="T12" s="36"/>
      <c r="U12" s="32" t="s">
        <v>256</v>
      </c>
      <c r="V12" s="602">
        <v>2025</v>
      </c>
      <c r="W12" s="33">
        <v>1.4E-2</v>
      </c>
      <c r="X12" s="33">
        <v>1.2E-2</v>
      </c>
      <c r="Y12" s="33">
        <v>1.2E-2</v>
      </c>
      <c r="Z12" s="33">
        <v>1.4E-2</v>
      </c>
      <c r="AA12" s="33">
        <v>1.2E-2</v>
      </c>
      <c r="AC12" s="38">
        <f>AVERAGE(W12:Z12)</f>
        <v>1.3000000000000001E-2</v>
      </c>
      <c r="AD12" s="39"/>
    </row>
    <row r="13" spans="1:30" ht="16">
      <c r="A13" s="2">
        <v>41913</v>
      </c>
      <c r="B13">
        <f t="shared" si="0"/>
        <v>2014</v>
      </c>
      <c r="C13" s="2" t="s">
        <v>257</v>
      </c>
      <c r="D13" s="15">
        <v>6842.3</v>
      </c>
      <c r="E13" s="15">
        <v>6886.7</v>
      </c>
      <c r="F13" s="15">
        <v>201.8</v>
      </c>
      <c r="G13" s="15">
        <v>202.2</v>
      </c>
      <c r="H13">
        <v>38.799999999999997</v>
      </c>
      <c r="I13">
        <v>38.799999999999997</v>
      </c>
      <c r="J13" s="25">
        <v>708787.6</v>
      </c>
      <c r="K13" s="25">
        <v>544049.6</v>
      </c>
      <c r="L13" s="25">
        <v>88755.3</v>
      </c>
      <c r="M13" s="25">
        <v>28059</v>
      </c>
      <c r="N13" s="25">
        <v>717936</v>
      </c>
      <c r="O13" s="25">
        <v>88849</v>
      </c>
      <c r="P13" s="25">
        <v>21230</v>
      </c>
      <c r="Q13" s="25">
        <v>552941</v>
      </c>
      <c r="R13" s="25">
        <v>29015</v>
      </c>
      <c r="S13" s="25"/>
      <c r="T13" s="36"/>
      <c r="U13" s="16"/>
      <c r="V13" s="602">
        <v>2026</v>
      </c>
      <c r="W13" s="35">
        <v>8.0000000000000002E-3</v>
      </c>
      <c r="X13" s="35">
        <v>1.0999999999999999E-2</v>
      </c>
      <c r="Y13" s="35">
        <v>8.0000000000000002E-3</v>
      </c>
      <c r="Z13" s="35">
        <v>8.9999999999999993E-3</v>
      </c>
      <c r="AA13" s="17">
        <v>0.01</v>
      </c>
      <c r="AC13" s="38">
        <f>AVERAGE(W13:Z13)</f>
        <v>8.9999999999999993E-3</v>
      </c>
      <c r="AD13" s="31"/>
    </row>
    <row r="14" spans="1:30" ht="16">
      <c r="A14" s="2">
        <v>41944</v>
      </c>
      <c r="B14">
        <f t="shared" si="0"/>
        <v>2014</v>
      </c>
      <c r="C14" s="2" t="s">
        <v>257</v>
      </c>
      <c r="D14" s="15">
        <v>6846.2</v>
      </c>
      <c r="E14" s="15">
        <v>6861.5</v>
      </c>
      <c r="F14" s="15">
        <v>203.2</v>
      </c>
      <c r="G14" s="15">
        <v>203.1</v>
      </c>
      <c r="H14">
        <v>39.200000000000003</v>
      </c>
      <c r="I14">
        <v>39.200000000000003</v>
      </c>
      <c r="J14" s="25">
        <v>708787.6</v>
      </c>
      <c r="K14" s="25">
        <v>544049.6</v>
      </c>
      <c r="L14" s="25">
        <v>88755.3</v>
      </c>
      <c r="M14" s="25">
        <v>28059</v>
      </c>
      <c r="N14" s="25">
        <v>717936</v>
      </c>
      <c r="O14" s="25">
        <v>88849</v>
      </c>
      <c r="P14" s="25">
        <v>21230</v>
      </c>
      <c r="Q14" s="25">
        <v>552941</v>
      </c>
      <c r="R14" s="25">
        <v>29015</v>
      </c>
      <c r="S14" s="25"/>
      <c r="T14" s="36"/>
      <c r="V14" s="602">
        <v>2027</v>
      </c>
      <c r="W14" s="35">
        <v>2.2000000000000002E-2</v>
      </c>
      <c r="X14" s="35">
        <v>1.3999999999999999E-2</v>
      </c>
      <c r="Y14" s="35">
        <v>1.7000000000000001E-2</v>
      </c>
      <c r="Z14" s="35">
        <v>1.7999999999999999E-2</v>
      </c>
      <c r="AA14" s="17">
        <v>1.7000000000000001E-2</v>
      </c>
      <c r="AC14" s="38">
        <f>AVERAGE(W14:Z14)</f>
        <v>1.7750000000000002E-2</v>
      </c>
      <c r="AD14" s="31"/>
    </row>
    <row r="15" spans="1:30" ht="16">
      <c r="A15" s="2">
        <v>41974</v>
      </c>
      <c r="B15">
        <f t="shared" si="0"/>
        <v>2014</v>
      </c>
      <c r="C15" s="2" t="s">
        <v>257</v>
      </c>
      <c r="D15" s="15">
        <v>6847.4</v>
      </c>
      <c r="E15" s="15">
        <v>6852.1</v>
      </c>
      <c r="F15" s="15">
        <v>201.9</v>
      </c>
      <c r="G15" s="15">
        <v>202.8</v>
      </c>
      <c r="H15">
        <v>38.799999999999997</v>
      </c>
      <c r="I15">
        <v>38.799999999999997</v>
      </c>
      <c r="J15" s="25">
        <v>708787.6</v>
      </c>
      <c r="K15" s="25">
        <v>544049.6</v>
      </c>
      <c r="L15" s="25">
        <v>88755.3</v>
      </c>
      <c r="M15" s="25">
        <v>28059</v>
      </c>
      <c r="N15" s="25">
        <v>717936</v>
      </c>
      <c r="O15" s="25">
        <v>88849</v>
      </c>
      <c r="P15" s="25">
        <v>21230</v>
      </c>
      <c r="Q15" s="25">
        <v>552941</v>
      </c>
      <c r="R15" s="25">
        <v>29015</v>
      </c>
      <c r="S15" s="25"/>
      <c r="T15" s="36"/>
      <c r="V15" s="602">
        <v>2028</v>
      </c>
      <c r="AA15" s="17">
        <v>1.7999999999999999E-2</v>
      </c>
      <c r="AC15" s="38">
        <f>AA15</f>
        <v>1.7999999999999999E-2</v>
      </c>
      <c r="AD15" s="31"/>
    </row>
    <row r="16" spans="1:30" ht="16">
      <c r="A16" s="2">
        <v>42005</v>
      </c>
      <c r="B16">
        <f t="shared" si="0"/>
        <v>2015</v>
      </c>
      <c r="C16" s="2" t="s">
        <v>245</v>
      </c>
      <c r="D16" s="15">
        <v>6833</v>
      </c>
      <c r="E16" s="15">
        <v>6793.4</v>
      </c>
      <c r="F16" s="15">
        <v>201</v>
      </c>
      <c r="G16" s="15">
        <v>201.1</v>
      </c>
      <c r="H16">
        <v>39.4</v>
      </c>
      <c r="I16">
        <v>39.4</v>
      </c>
      <c r="J16" s="25">
        <v>727609.6</v>
      </c>
      <c r="K16" s="25">
        <v>557474</v>
      </c>
      <c r="L16" s="25">
        <v>90490.8</v>
      </c>
      <c r="M16" s="25">
        <v>29069.3</v>
      </c>
      <c r="N16" s="25">
        <v>719486</v>
      </c>
      <c r="O16" s="25">
        <v>88620</v>
      </c>
      <c r="P16" s="25">
        <v>19706</v>
      </c>
      <c r="Q16" s="25">
        <v>553638</v>
      </c>
      <c r="R16" s="25">
        <v>29150</v>
      </c>
      <c r="S16" s="25">
        <f>O16-O4</f>
        <v>3019</v>
      </c>
      <c r="T16" s="36"/>
      <c r="V16" s="602">
        <v>2029</v>
      </c>
      <c r="AA16" s="17">
        <v>0.02</v>
      </c>
      <c r="AC16" s="38">
        <f>AA16</f>
        <v>0.02</v>
      </c>
      <c r="AD16" s="31"/>
    </row>
    <row r="17" spans="1:30" ht="16">
      <c r="A17" s="2">
        <v>42036</v>
      </c>
      <c r="B17">
        <f t="shared" si="0"/>
        <v>2015</v>
      </c>
      <c r="C17" s="2" t="s">
        <v>245</v>
      </c>
      <c r="D17" s="15">
        <v>6837.7</v>
      </c>
      <c r="E17" s="15">
        <v>6762.6</v>
      </c>
      <c r="F17" s="15">
        <v>199.5</v>
      </c>
      <c r="G17" s="15">
        <v>198.2</v>
      </c>
      <c r="H17">
        <v>40.200000000000003</v>
      </c>
      <c r="I17">
        <v>40.200000000000003</v>
      </c>
      <c r="J17" s="25">
        <v>727609.6</v>
      </c>
      <c r="K17" s="25">
        <v>557474</v>
      </c>
      <c r="L17" s="25">
        <v>90490.8</v>
      </c>
      <c r="M17" s="25">
        <v>29069.3</v>
      </c>
      <c r="N17" s="25">
        <v>719486</v>
      </c>
      <c r="O17" s="25">
        <v>88620</v>
      </c>
      <c r="P17" s="25">
        <v>19706</v>
      </c>
      <c r="Q17" s="25">
        <v>553638</v>
      </c>
      <c r="R17" s="25">
        <v>29150</v>
      </c>
      <c r="S17" s="25">
        <f t="shared" ref="S17:S80" si="1">O17-O5</f>
        <v>3019</v>
      </c>
      <c r="T17" s="36"/>
      <c r="V17" s="602">
        <v>2030</v>
      </c>
      <c r="AC17" s="38">
        <f>AC16</f>
        <v>0.02</v>
      </c>
      <c r="AD17" s="31"/>
    </row>
    <row r="18" spans="1:30" ht="16">
      <c r="A18" s="2">
        <v>42064</v>
      </c>
      <c r="B18">
        <f t="shared" si="0"/>
        <v>2015</v>
      </c>
      <c r="C18" s="2" t="s">
        <v>245</v>
      </c>
      <c r="D18" s="15">
        <v>6840.5</v>
      </c>
      <c r="E18" s="15">
        <v>6737.8</v>
      </c>
      <c r="F18" s="15">
        <v>197.7</v>
      </c>
      <c r="G18" s="15">
        <v>195.4</v>
      </c>
      <c r="H18">
        <v>42.3</v>
      </c>
      <c r="I18">
        <v>42.3</v>
      </c>
      <c r="J18" s="25">
        <v>727609.6</v>
      </c>
      <c r="K18" s="25">
        <v>557474</v>
      </c>
      <c r="L18" s="25">
        <v>90490.8</v>
      </c>
      <c r="M18" s="25">
        <v>29069.3</v>
      </c>
      <c r="N18" s="25">
        <v>719486</v>
      </c>
      <c r="O18" s="25">
        <v>88620</v>
      </c>
      <c r="P18" s="25">
        <v>19706</v>
      </c>
      <c r="Q18" s="25">
        <v>553638</v>
      </c>
      <c r="R18" s="25">
        <v>29150</v>
      </c>
      <c r="S18" s="25">
        <f t="shared" si="1"/>
        <v>3019</v>
      </c>
      <c r="T18" s="36"/>
      <c r="V18" s="602">
        <v>2031</v>
      </c>
      <c r="AC18" s="38">
        <f>AC17</f>
        <v>0.02</v>
      </c>
      <c r="AD18" s="31"/>
    </row>
    <row r="19" spans="1:30" ht="16">
      <c r="A19" s="2">
        <v>42095</v>
      </c>
      <c r="B19">
        <f t="shared" si="0"/>
        <v>2015</v>
      </c>
      <c r="C19" s="2" t="s">
        <v>246</v>
      </c>
      <c r="D19" s="15">
        <v>6846.6</v>
      </c>
      <c r="E19" s="15">
        <v>6760.9</v>
      </c>
      <c r="F19" s="15">
        <v>194.9</v>
      </c>
      <c r="G19" s="15">
        <v>192.5</v>
      </c>
      <c r="H19">
        <v>44.3</v>
      </c>
      <c r="I19">
        <v>44.3</v>
      </c>
      <c r="J19" s="25">
        <v>727609.6</v>
      </c>
      <c r="K19" s="25">
        <v>557474</v>
      </c>
      <c r="L19" s="25">
        <v>90490.8</v>
      </c>
      <c r="M19" s="25">
        <v>29069.3</v>
      </c>
      <c r="N19" s="25">
        <v>724601</v>
      </c>
      <c r="O19" s="25">
        <v>89013</v>
      </c>
      <c r="P19" s="25">
        <v>19643</v>
      </c>
      <c r="Q19" s="25">
        <v>557610</v>
      </c>
      <c r="R19" s="25">
        <v>29224</v>
      </c>
      <c r="S19" s="25">
        <f t="shared" si="1"/>
        <v>1466</v>
      </c>
      <c r="T19" s="36"/>
      <c r="V19" s="761"/>
      <c r="W19" s="763"/>
      <c r="X19" s="763"/>
      <c r="Y19" s="763"/>
      <c r="Z19" s="763"/>
      <c r="AA19" s="763"/>
      <c r="AB19" s="763"/>
      <c r="AC19" s="763"/>
      <c r="AD19" s="767"/>
    </row>
    <row r="20" spans="1:30" ht="16">
      <c r="A20" s="2">
        <v>42125</v>
      </c>
      <c r="B20">
        <f t="shared" si="0"/>
        <v>2015</v>
      </c>
      <c r="C20" s="2" t="s">
        <v>246</v>
      </c>
      <c r="D20" s="15">
        <v>6853.6</v>
      </c>
      <c r="E20" s="15">
        <v>6823.2</v>
      </c>
      <c r="F20" s="15">
        <v>192.7</v>
      </c>
      <c r="G20" s="15">
        <v>191.9</v>
      </c>
      <c r="H20">
        <v>37.9</v>
      </c>
      <c r="I20">
        <v>37.9</v>
      </c>
      <c r="J20" s="25">
        <v>727609.6</v>
      </c>
      <c r="K20" s="25">
        <v>557474</v>
      </c>
      <c r="L20" s="25">
        <v>90490.8</v>
      </c>
      <c r="M20" s="25">
        <v>29069.3</v>
      </c>
      <c r="N20" s="25">
        <v>724601</v>
      </c>
      <c r="O20" s="25">
        <v>89013</v>
      </c>
      <c r="P20" s="25">
        <v>19643</v>
      </c>
      <c r="Q20" s="25">
        <v>557610</v>
      </c>
      <c r="R20" s="25">
        <v>29224</v>
      </c>
      <c r="S20" s="25">
        <f t="shared" si="1"/>
        <v>1466</v>
      </c>
      <c r="T20" s="36"/>
      <c r="V20" s="602"/>
      <c r="W20" s="282">
        <v>46108</v>
      </c>
      <c r="X20" s="589">
        <v>45992</v>
      </c>
      <c r="Y20" s="282">
        <v>46105</v>
      </c>
      <c r="Z20" s="282">
        <v>46099</v>
      </c>
      <c r="AA20" s="283">
        <v>46107</v>
      </c>
      <c r="AB20" s="284"/>
      <c r="AD20" s="39"/>
    </row>
    <row r="21" spans="1:30" ht="16">
      <c r="A21" s="2">
        <v>42156</v>
      </c>
      <c r="B21">
        <f t="shared" si="0"/>
        <v>2015</v>
      </c>
      <c r="C21" s="2" t="s">
        <v>246</v>
      </c>
      <c r="D21" s="15">
        <v>6861.1</v>
      </c>
      <c r="E21" s="15">
        <v>6905.4</v>
      </c>
      <c r="F21" s="15">
        <v>190.5</v>
      </c>
      <c r="G21" s="15">
        <v>191.1</v>
      </c>
      <c r="H21">
        <v>32.9</v>
      </c>
      <c r="I21">
        <v>32.9</v>
      </c>
      <c r="J21" s="25">
        <v>727609.6</v>
      </c>
      <c r="K21" s="25">
        <v>557474</v>
      </c>
      <c r="L21" s="25">
        <v>90490.8</v>
      </c>
      <c r="M21" s="25">
        <v>29069.3</v>
      </c>
      <c r="N21" s="25">
        <v>724601</v>
      </c>
      <c r="O21" s="25">
        <v>89013</v>
      </c>
      <c r="P21" s="25">
        <v>19643</v>
      </c>
      <c r="Q21" s="25">
        <v>557610</v>
      </c>
      <c r="R21" s="25">
        <v>29224</v>
      </c>
      <c r="S21" s="25">
        <f t="shared" si="1"/>
        <v>1466</v>
      </c>
      <c r="T21" s="36"/>
      <c r="U21" s="16"/>
      <c r="V21" s="602">
        <v>2025</v>
      </c>
      <c r="W21" s="17">
        <v>0.01</v>
      </c>
      <c r="X21" s="17">
        <v>0.01</v>
      </c>
      <c r="Y21" s="17">
        <v>0.01</v>
      </c>
      <c r="Z21" s="17">
        <v>0.01</v>
      </c>
      <c r="AA21" s="17">
        <v>0.01</v>
      </c>
      <c r="AB21" s="17"/>
      <c r="AC21" s="38">
        <f>AVERAGE(W21:Z21)</f>
        <v>0.01</v>
      </c>
      <c r="AD21" s="39"/>
    </row>
    <row r="22" spans="1:30" ht="16">
      <c r="A22" s="2">
        <v>42186</v>
      </c>
      <c r="B22">
        <f t="shared" si="0"/>
        <v>2015</v>
      </c>
      <c r="C22" s="2" t="s">
        <v>249</v>
      </c>
      <c r="D22" s="15">
        <v>6872.7</v>
      </c>
      <c r="E22" s="15">
        <v>6963</v>
      </c>
      <c r="F22" s="15">
        <v>185.8</v>
      </c>
      <c r="G22" s="15">
        <v>187.8</v>
      </c>
      <c r="H22">
        <v>28.8</v>
      </c>
      <c r="I22">
        <v>28.8</v>
      </c>
      <c r="J22" s="25">
        <v>727609.6</v>
      </c>
      <c r="K22" s="25">
        <v>557474</v>
      </c>
      <c r="L22" s="25">
        <v>90490.8</v>
      </c>
      <c r="M22" s="25">
        <v>29069.3</v>
      </c>
      <c r="N22" s="25">
        <v>731173</v>
      </c>
      <c r="O22" s="25">
        <v>91804</v>
      </c>
      <c r="P22" s="25">
        <v>20659</v>
      </c>
      <c r="Q22" s="25">
        <v>560253</v>
      </c>
      <c r="R22" s="25">
        <v>29445</v>
      </c>
      <c r="S22" s="25">
        <f t="shared" si="1"/>
        <v>3226</v>
      </c>
      <c r="T22" s="36"/>
      <c r="U22" s="32" t="s">
        <v>258</v>
      </c>
      <c r="V22" s="602">
        <v>2026</v>
      </c>
      <c r="W22" s="17">
        <v>2E-3</v>
      </c>
      <c r="X22" s="17">
        <v>4.0000000000000001E-3</v>
      </c>
      <c r="Y22" s="17">
        <v>2E-3</v>
      </c>
      <c r="Z22" s="17">
        <v>-2E-3</v>
      </c>
      <c r="AA22" s="17">
        <v>5.0000000000000001E-3</v>
      </c>
      <c r="AB22" s="17"/>
      <c r="AC22" s="38">
        <f>AVERAGE(W22:Z22)</f>
        <v>1.5E-3</v>
      </c>
      <c r="AD22" s="39"/>
    </row>
    <row r="23" spans="1:30" ht="16">
      <c r="A23" s="2">
        <v>42217</v>
      </c>
      <c r="B23">
        <f t="shared" si="0"/>
        <v>2015</v>
      </c>
      <c r="C23" s="2" t="s">
        <v>249</v>
      </c>
      <c r="D23" s="15">
        <v>6878.1</v>
      </c>
      <c r="E23" s="15">
        <v>6977.5</v>
      </c>
      <c r="F23" s="15">
        <v>183.2</v>
      </c>
      <c r="G23" s="15">
        <v>185.2</v>
      </c>
      <c r="H23">
        <v>29</v>
      </c>
      <c r="I23">
        <v>29</v>
      </c>
      <c r="J23" s="25">
        <v>727609.6</v>
      </c>
      <c r="K23" s="25">
        <v>557474</v>
      </c>
      <c r="L23" s="25">
        <v>90490.8</v>
      </c>
      <c r="M23" s="25">
        <v>29069.3</v>
      </c>
      <c r="N23" s="25">
        <v>731173</v>
      </c>
      <c r="O23" s="25">
        <v>91804</v>
      </c>
      <c r="P23" s="25">
        <v>20659</v>
      </c>
      <c r="Q23" s="25">
        <v>560253</v>
      </c>
      <c r="R23" s="25">
        <v>29445</v>
      </c>
      <c r="S23" s="25">
        <f t="shared" si="1"/>
        <v>3226</v>
      </c>
      <c r="T23" s="36"/>
      <c r="U23" s="16"/>
      <c r="V23" s="602">
        <v>2027</v>
      </c>
      <c r="W23" s="17">
        <v>6.0000000000000001E-3</v>
      </c>
      <c r="X23" s="17">
        <v>2E-3</v>
      </c>
      <c r="Y23" s="17">
        <v>8.9999999999999993E-3</v>
      </c>
      <c r="Z23" s="17">
        <v>5.0000000000000001E-3</v>
      </c>
      <c r="AA23" s="17">
        <v>7.0000000000000001E-3</v>
      </c>
      <c r="AB23" s="17"/>
      <c r="AC23" s="38">
        <f>AVERAGE(W23:Z23)</f>
        <v>5.5000000000000005E-3</v>
      </c>
      <c r="AD23" s="39"/>
    </row>
    <row r="24" spans="1:30" ht="16">
      <c r="A24" s="2">
        <v>42248</v>
      </c>
      <c r="B24">
        <f t="shared" si="0"/>
        <v>2015</v>
      </c>
      <c r="C24" s="2" t="s">
        <v>249</v>
      </c>
      <c r="D24" s="15">
        <v>6871</v>
      </c>
      <c r="E24" s="15">
        <v>6930.7</v>
      </c>
      <c r="F24" s="15">
        <v>181.9</v>
      </c>
      <c r="G24" s="15">
        <v>182.5</v>
      </c>
      <c r="H24">
        <v>26.5</v>
      </c>
      <c r="I24">
        <v>26.5</v>
      </c>
      <c r="J24" s="25">
        <v>727609.6</v>
      </c>
      <c r="K24" s="25">
        <v>557474</v>
      </c>
      <c r="L24" s="25">
        <v>90490.8</v>
      </c>
      <c r="M24" s="25">
        <v>29069.3</v>
      </c>
      <c r="N24" s="25">
        <v>731173</v>
      </c>
      <c r="O24" s="25">
        <v>91804</v>
      </c>
      <c r="P24" s="25">
        <v>20659</v>
      </c>
      <c r="Q24" s="25">
        <v>560253</v>
      </c>
      <c r="R24" s="25">
        <v>29445</v>
      </c>
      <c r="S24" s="25">
        <f t="shared" si="1"/>
        <v>3226</v>
      </c>
      <c r="T24" s="36"/>
      <c r="U24" s="16"/>
      <c r="V24" s="602">
        <v>2028</v>
      </c>
      <c r="W24" s="17"/>
      <c r="X24" s="17"/>
      <c r="Y24" s="17"/>
      <c r="Z24" s="17"/>
      <c r="AA24" s="17">
        <v>8.0000000000000002E-3</v>
      </c>
      <c r="AB24" s="17"/>
      <c r="AC24" s="38">
        <f>AA24</f>
        <v>8.0000000000000002E-3</v>
      </c>
      <c r="AD24" s="39"/>
    </row>
    <row r="25" spans="1:30" ht="16">
      <c r="A25" s="2">
        <v>42278</v>
      </c>
      <c r="B25">
        <f t="shared" si="0"/>
        <v>2015</v>
      </c>
      <c r="C25" s="2" t="s">
        <v>257</v>
      </c>
      <c r="D25" s="15">
        <v>6867.3</v>
      </c>
      <c r="E25" s="15">
        <v>6908.6</v>
      </c>
      <c r="F25" s="15">
        <v>187.1</v>
      </c>
      <c r="G25" s="15">
        <v>187</v>
      </c>
      <c r="H25">
        <v>25.6</v>
      </c>
      <c r="I25">
        <v>25.6</v>
      </c>
      <c r="J25" s="25">
        <v>727609.6</v>
      </c>
      <c r="K25" s="25">
        <v>557474</v>
      </c>
      <c r="L25" s="25">
        <v>90490.8</v>
      </c>
      <c r="M25" s="25">
        <v>29069.3</v>
      </c>
      <c r="N25" s="25">
        <v>738533</v>
      </c>
      <c r="O25" s="25">
        <v>92290</v>
      </c>
      <c r="P25" s="25">
        <v>20624</v>
      </c>
      <c r="Q25" s="25">
        <v>565454</v>
      </c>
      <c r="R25" s="25">
        <v>29609</v>
      </c>
      <c r="S25" s="25">
        <f t="shared" si="1"/>
        <v>3441</v>
      </c>
      <c r="T25" s="36"/>
      <c r="V25" s="602">
        <v>2029</v>
      </c>
      <c r="AA25" s="17">
        <v>1.1000000000000001E-2</v>
      </c>
      <c r="AC25" s="38">
        <f>AA25</f>
        <v>1.1000000000000001E-2</v>
      </c>
      <c r="AD25" s="31"/>
    </row>
    <row r="26" spans="1:30" ht="16">
      <c r="A26" s="2">
        <v>42309</v>
      </c>
      <c r="B26">
        <f t="shared" si="0"/>
        <v>2015</v>
      </c>
      <c r="C26" s="2" t="s">
        <v>257</v>
      </c>
      <c r="D26" s="15">
        <v>6858.8</v>
      </c>
      <c r="E26" s="15">
        <v>6872.9</v>
      </c>
      <c r="F26" s="15">
        <v>192</v>
      </c>
      <c r="G26" s="15">
        <v>191.5</v>
      </c>
      <c r="H26">
        <v>25.7</v>
      </c>
      <c r="I26">
        <v>25.7</v>
      </c>
      <c r="J26" s="25">
        <v>727609.6</v>
      </c>
      <c r="K26" s="25">
        <v>557474</v>
      </c>
      <c r="L26" s="25">
        <v>90490.8</v>
      </c>
      <c r="M26" s="25">
        <v>29069.3</v>
      </c>
      <c r="N26" s="25">
        <v>738533</v>
      </c>
      <c r="O26" s="25">
        <v>92290</v>
      </c>
      <c r="P26" s="25">
        <v>20624</v>
      </c>
      <c r="Q26" s="25">
        <v>565454</v>
      </c>
      <c r="R26" s="25">
        <v>29609</v>
      </c>
      <c r="S26" s="25">
        <f t="shared" si="1"/>
        <v>3441</v>
      </c>
      <c r="T26" s="36"/>
      <c r="V26" s="602">
        <v>2030</v>
      </c>
      <c r="W26" s="17"/>
      <c r="X26" s="17"/>
      <c r="Y26" s="17"/>
      <c r="Z26" s="17"/>
      <c r="AA26" s="17"/>
      <c r="AB26" s="17"/>
      <c r="AC26" s="38">
        <f>AC25</f>
        <v>1.1000000000000001E-2</v>
      </c>
      <c r="AD26" s="39"/>
    </row>
    <row r="27" spans="1:30" ht="16">
      <c r="A27" s="2">
        <v>42339</v>
      </c>
      <c r="B27">
        <f t="shared" si="0"/>
        <v>2015</v>
      </c>
      <c r="C27" s="2" t="s">
        <v>257</v>
      </c>
      <c r="D27" s="15">
        <v>6868.5</v>
      </c>
      <c r="E27" s="15">
        <v>6877</v>
      </c>
      <c r="F27" s="15">
        <v>198.5</v>
      </c>
      <c r="G27" s="15">
        <v>198.9</v>
      </c>
      <c r="H27">
        <v>28.1</v>
      </c>
      <c r="I27">
        <v>28.1</v>
      </c>
      <c r="J27" s="25">
        <v>727609.6</v>
      </c>
      <c r="K27" s="25">
        <v>557474</v>
      </c>
      <c r="L27" s="25">
        <v>90490.8</v>
      </c>
      <c r="M27" s="25">
        <v>29069.3</v>
      </c>
      <c r="N27" s="25">
        <v>738533</v>
      </c>
      <c r="O27" s="25">
        <v>92290</v>
      </c>
      <c r="P27" s="25">
        <v>20624</v>
      </c>
      <c r="Q27" s="25">
        <v>565454</v>
      </c>
      <c r="R27" s="25">
        <v>29609</v>
      </c>
      <c r="S27" s="25">
        <f t="shared" si="1"/>
        <v>3441</v>
      </c>
      <c r="T27" s="36"/>
      <c r="V27" s="603">
        <v>2031</v>
      </c>
      <c r="W27" s="285"/>
      <c r="X27" s="285"/>
      <c r="Y27" s="285"/>
      <c r="Z27" s="285"/>
      <c r="AA27" s="285"/>
      <c r="AB27" s="285"/>
      <c r="AC27" s="286">
        <f>AC26</f>
        <v>1.1000000000000001E-2</v>
      </c>
      <c r="AD27" s="287"/>
    </row>
    <row r="28" spans="1:30" ht="16">
      <c r="A28" s="2">
        <v>42370</v>
      </c>
      <c r="B28">
        <f t="shared" si="0"/>
        <v>2016</v>
      </c>
      <c r="C28" s="2" t="s">
        <v>245</v>
      </c>
      <c r="D28" s="15">
        <v>6882.9</v>
      </c>
      <c r="E28" s="15">
        <v>6848.3</v>
      </c>
      <c r="F28" s="15">
        <v>203.1</v>
      </c>
      <c r="G28" s="15">
        <v>203.1</v>
      </c>
      <c r="H28">
        <v>30.6</v>
      </c>
      <c r="I28">
        <v>30.6</v>
      </c>
      <c r="J28" s="25">
        <v>743976.2</v>
      </c>
      <c r="K28" s="25">
        <v>571846.40000000002</v>
      </c>
      <c r="L28" s="25">
        <v>91511.8</v>
      </c>
      <c r="M28" s="25">
        <v>29814.5</v>
      </c>
      <c r="N28" s="25">
        <v>743835</v>
      </c>
      <c r="O28" s="25">
        <v>92481</v>
      </c>
      <c r="P28" s="25">
        <v>21209</v>
      </c>
      <c r="Q28" s="25">
        <v>569491</v>
      </c>
      <c r="R28" s="25">
        <v>29721</v>
      </c>
      <c r="S28" s="25">
        <f t="shared" si="1"/>
        <v>3861</v>
      </c>
      <c r="T28" s="36"/>
    </row>
    <row r="29" spans="1:30" ht="16">
      <c r="A29" s="2">
        <v>42401</v>
      </c>
      <c r="B29">
        <f t="shared" si="0"/>
        <v>2016</v>
      </c>
      <c r="C29" s="2" t="s">
        <v>245</v>
      </c>
      <c r="D29" s="15">
        <v>6899.5</v>
      </c>
      <c r="E29" s="15">
        <v>6829.1</v>
      </c>
      <c r="F29" s="15">
        <v>204.7</v>
      </c>
      <c r="G29" s="15">
        <v>203.6</v>
      </c>
      <c r="H29">
        <v>33.4</v>
      </c>
      <c r="I29">
        <v>33.4</v>
      </c>
      <c r="J29" s="25">
        <v>743976.2</v>
      </c>
      <c r="K29" s="25">
        <v>571846.40000000002</v>
      </c>
      <c r="L29" s="25">
        <v>91511.8</v>
      </c>
      <c r="M29" s="25">
        <v>29814.5</v>
      </c>
      <c r="N29" s="25">
        <v>743835</v>
      </c>
      <c r="O29" s="25">
        <v>92481</v>
      </c>
      <c r="P29" s="25">
        <v>21209</v>
      </c>
      <c r="Q29" s="25">
        <v>569491</v>
      </c>
      <c r="R29" s="25">
        <v>29721</v>
      </c>
      <c r="S29" s="25">
        <f t="shared" si="1"/>
        <v>3861</v>
      </c>
      <c r="T29" s="36"/>
    </row>
    <row r="30" spans="1:30" ht="16">
      <c r="A30" s="2">
        <v>42430</v>
      </c>
      <c r="B30">
        <f t="shared" si="0"/>
        <v>2016</v>
      </c>
      <c r="C30" s="2" t="s">
        <v>245</v>
      </c>
      <c r="D30" s="15">
        <v>6908.6</v>
      </c>
      <c r="E30" s="15">
        <v>6808.7</v>
      </c>
      <c r="F30" s="15">
        <v>205.8</v>
      </c>
      <c r="G30" s="15">
        <v>203.7</v>
      </c>
      <c r="H30">
        <v>34.700000000000003</v>
      </c>
      <c r="I30">
        <v>34.700000000000003</v>
      </c>
      <c r="J30" s="25">
        <v>743976.2</v>
      </c>
      <c r="K30" s="25">
        <v>571846.40000000002</v>
      </c>
      <c r="L30" s="25">
        <v>91511.8</v>
      </c>
      <c r="M30" s="25">
        <v>29814.5</v>
      </c>
      <c r="N30" s="25">
        <v>743835</v>
      </c>
      <c r="O30" s="25">
        <v>92481</v>
      </c>
      <c r="P30" s="25">
        <v>21209</v>
      </c>
      <c r="Q30" s="25">
        <v>569491</v>
      </c>
      <c r="R30" s="25">
        <v>29721</v>
      </c>
      <c r="S30" s="25">
        <f t="shared" si="1"/>
        <v>3861</v>
      </c>
      <c r="T30" s="36"/>
      <c r="V30" s="41"/>
      <c r="W30" s="42" t="s">
        <v>259</v>
      </c>
      <c r="X30" s="42" t="s">
        <v>260</v>
      </c>
      <c r="Y30" s="42" t="s">
        <v>261</v>
      </c>
      <c r="Z30" s="42" t="s">
        <v>262</v>
      </c>
      <c r="AA30" s="42"/>
      <c r="AB30" s="42" t="s">
        <v>263</v>
      </c>
      <c r="AC30" s="42"/>
      <c r="AD30" s="42"/>
    </row>
    <row r="31" spans="1:30" ht="16">
      <c r="A31" s="2">
        <v>42461</v>
      </c>
      <c r="B31">
        <f t="shared" si="0"/>
        <v>2016</v>
      </c>
      <c r="C31" s="2" t="s">
        <v>246</v>
      </c>
      <c r="D31" s="15">
        <v>6909</v>
      </c>
      <c r="E31" s="15">
        <v>6823.1</v>
      </c>
      <c r="F31" s="15">
        <v>205.3</v>
      </c>
      <c r="G31" s="15">
        <v>203.4</v>
      </c>
      <c r="H31">
        <v>33</v>
      </c>
      <c r="I31">
        <v>33</v>
      </c>
      <c r="J31" s="25">
        <v>743976.2</v>
      </c>
      <c r="K31" s="25">
        <v>571846.40000000002</v>
      </c>
      <c r="L31" s="25">
        <v>91511.8</v>
      </c>
      <c r="M31" s="25">
        <v>29814.5</v>
      </c>
      <c r="N31" s="25">
        <v>740829</v>
      </c>
      <c r="O31" s="25">
        <v>90172</v>
      </c>
      <c r="P31" s="25">
        <v>20809</v>
      </c>
      <c r="Q31" s="25">
        <v>570144</v>
      </c>
      <c r="R31" s="25">
        <v>29588</v>
      </c>
      <c r="S31" s="25">
        <f t="shared" si="1"/>
        <v>1159</v>
      </c>
      <c r="T31" s="36"/>
      <c r="V31" s="43"/>
      <c r="W31" s="42"/>
      <c r="X31" s="42"/>
      <c r="Y31" s="42"/>
      <c r="Z31" s="42"/>
      <c r="AA31" s="42"/>
      <c r="AB31" s="42" t="s">
        <v>264</v>
      </c>
      <c r="AC31" s="42"/>
      <c r="AD31" s="42"/>
    </row>
    <row r="32" spans="1:30" ht="16">
      <c r="A32" s="2">
        <v>42491</v>
      </c>
      <c r="B32">
        <f t="shared" si="0"/>
        <v>2016</v>
      </c>
      <c r="C32" s="2" t="s">
        <v>246</v>
      </c>
      <c r="D32" s="15">
        <v>6919.1</v>
      </c>
      <c r="E32" s="15">
        <v>6889.6</v>
      </c>
      <c r="F32" s="15">
        <v>204.8</v>
      </c>
      <c r="G32" s="15">
        <v>205.4</v>
      </c>
      <c r="H32">
        <v>32</v>
      </c>
      <c r="I32">
        <v>32</v>
      </c>
      <c r="J32" s="25">
        <v>743976.2</v>
      </c>
      <c r="K32" s="25">
        <v>571846.40000000002</v>
      </c>
      <c r="L32" s="25">
        <v>91511.8</v>
      </c>
      <c r="M32" s="25">
        <v>29814.5</v>
      </c>
      <c r="N32" s="25">
        <v>740829</v>
      </c>
      <c r="O32" s="25">
        <v>90172</v>
      </c>
      <c r="P32" s="25">
        <v>20809</v>
      </c>
      <c r="Q32" s="25">
        <v>570144</v>
      </c>
      <c r="R32" s="25">
        <v>29588</v>
      </c>
      <c r="S32" s="25">
        <f t="shared" si="1"/>
        <v>1159</v>
      </c>
      <c r="T32" s="36"/>
      <c r="U32" s="40"/>
      <c r="V32" s="44"/>
      <c r="W32" s="42"/>
      <c r="X32" s="42"/>
      <c r="Y32" s="42"/>
      <c r="Z32" s="42"/>
      <c r="AA32" s="42"/>
      <c r="AB32" s="42"/>
      <c r="AC32" s="42"/>
      <c r="AD32" s="42"/>
    </row>
    <row r="33" spans="1:21" ht="16">
      <c r="A33" s="2">
        <v>42522</v>
      </c>
      <c r="B33">
        <f t="shared" si="0"/>
        <v>2016</v>
      </c>
      <c r="C33" s="2" t="s">
        <v>246</v>
      </c>
      <c r="D33" s="15">
        <v>6930</v>
      </c>
      <c r="E33" s="15">
        <v>6973</v>
      </c>
      <c r="F33" s="15">
        <v>203.4</v>
      </c>
      <c r="G33" s="15">
        <v>206</v>
      </c>
      <c r="H33">
        <v>29.3</v>
      </c>
      <c r="I33">
        <v>29.3</v>
      </c>
      <c r="J33" s="25">
        <v>743976.2</v>
      </c>
      <c r="K33" s="25">
        <v>571846.40000000002</v>
      </c>
      <c r="L33" s="25">
        <v>91511.8</v>
      </c>
      <c r="M33" s="25">
        <v>29814.5</v>
      </c>
      <c r="N33" s="25">
        <v>740829</v>
      </c>
      <c r="O33" s="25">
        <v>90172</v>
      </c>
      <c r="P33" s="25">
        <v>20809</v>
      </c>
      <c r="Q33" s="25">
        <v>570144</v>
      </c>
      <c r="R33" s="25">
        <v>29588</v>
      </c>
      <c r="S33" s="25">
        <f t="shared" si="1"/>
        <v>1159</v>
      </c>
      <c r="T33" s="36"/>
    </row>
    <row r="34" spans="1:21" ht="16">
      <c r="A34" s="2">
        <v>42552</v>
      </c>
      <c r="B34">
        <f t="shared" si="0"/>
        <v>2016</v>
      </c>
      <c r="C34" s="2" t="s">
        <v>249</v>
      </c>
      <c r="D34" s="15">
        <v>6933.8</v>
      </c>
      <c r="E34" s="15">
        <v>7021.7</v>
      </c>
      <c r="F34" s="15">
        <v>205.8</v>
      </c>
      <c r="G34" s="15">
        <v>208.5</v>
      </c>
      <c r="H34">
        <v>28.4</v>
      </c>
      <c r="I34">
        <v>28.4</v>
      </c>
      <c r="J34" s="25">
        <v>743976.2</v>
      </c>
      <c r="K34" s="25">
        <v>571846.40000000002</v>
      </c>
      <c r="L34" s="25">
        <v>91511.8</v>
      </c>
      <c r="M34" s="25">
        <v>29814.5</v>
      </c>
      <c r="N34" s="25">
        <v>746710</v>
      </c>
      <c r="O34" s="25">
        <v>91399</v>
      </c>
      <c r="P34" s="25">
        <v>20894</v>
      </c>
      <c r="Q34" s="25">
        <v>574188</v>
      </c>
      <c r="R34" s="25">
        <v>30105</v>
      </c>
      <c r="S34" s="25">
        <f t="shared" si="1"/>
        <v>-405</v>
      </c>
      <c r="T34" s="36"/>
      <c r="U34" s="34"/>
    </row>
    <row r="35" spans="1:21" ht="16">
      <c r="A35" s="2">
        <v>42583</v>
      </c>
      <c r="B35">
        <f t="shared" si="0"/>
        <v>2016</v>
      </c>
      <c r="C35" s="2" t="s">
        <v>249</v>
      </c>
      <c r="D35" s="15">
        <v>6931.2</v>
      </c>
      <c r="E35" s="15">
        <v>7018.7</v>
      </c>
      <c r="F35" s="15">
        <v>208.7</v>
      </c>
      <c r="G35" s="15">
        <v>210.5</v>
      </c>
      <c r="H35">
        <v>28.2</v>
      </c>
      <c r="I35">
        <v>28.2</v>
      </c>
      <c r="J35" s="25">
        <v>743976.2</v>
      </c>
      <c r="K35" s="25">
        <v>571846.40000000002</v>
      </c>
      <c r="L35" s="25">
        <v>91511.8</v>
      </c>
      <c r="M35" s="25">
        <v>29814.5</v>
      </c>
      <c r="N35" s="25">
        <v>746710</v>
      </c>
      <c r="O35" s="25">
        <v>91399</v>
      </c>
      <c r="P35" s="25">
        <v>20894</v>
      </c>
      <c r="Q35" s="25">
        <v>574188</v>
      </c>
      <c r="R35" s="25">
        <v>30105</v>
      </c>
      <c r="S35" s="25">
        <f t="shared" si="1"/>
        <v>-405</v>
      </c>
      <c r="T35" s="36"/>
    </row>
    <row r="36" spans="1:21" ht="16">
      <c r="A36" s="2">
        <v>42614</v>
      </c>
      <c r="B36">
        <f t="shared" si="0"/>
        <v>2016</v>
      </c>
      <c r="C36" s="2" t="s">
        <v>249</v>
      </c>
      <c r="D36" s="15">
        <v>6929.7</v>
      </c>
      <c r="E36" s="15">
        <v>6973.4</v>
      </c>
      <c r="F36" s="15">
        <v>213</v>
      </c>
      <c r="G36" s="15">
        <v>212.7</v>
      </c>
      <c r="H36">
        <v>31.1</v>
      </c>
      <c r="I36">
        <v>31.1</v>
      </c>
      <c r="J36" s="25">
        <v>743976.2</v>
      </c>
      <c r="K36" s="25">
        <v>571846.40000000002</v>
      </c>
      <c r="L36" s="25">
        <v>91511.8</v>
      </c>
      <c r="M36" s="25">
        <v>29814.5</v>
      </c>
      <c r="N36" s="25">
        <v>746710</v>
      </c>
      <c r="O36" s="25">
        <v>91399</v>
      </c>
      <c r="P36" s="25">
        <v>20894</v>
      </c>
      <c r="Q36" s="25">
        <v>574188</v>
      </c>
      <c r="R36" s="25">
        <v>30105</v>
      </c>
      <c r="S36" s="25">
        <f t="shared" si="1"/>
        <v>-405</v>
      </c>
      <c r="T36" s="36"/>
    </row>
    <row r="37" spans="1:21" ht="16">
      <c r="A37" s="2">
        <v>42644</v>
      </c>
      <c r="B37">
        <f t="shared" si="0"/>
        <v>2016</v>
      </c>
      <c r="C37" s="2" t="s">
        <v>257</v>
      </c>
      <c r="D37" s="15">
        <v>6942</v>
      </c>
      <c r="E37" s="15">
        <v>6966.9</v>
      </c>
      <c r="F37" s="15">
        <v>213.6</v>
      </c>
      <c r="G37" s="15">
        <v>212.8</v>
      </c>
      <c r="H37">
        <v>34.299999999999997</v>
      </c>
      <c r="I37">
        <v>34.299999999999997</v>
      </c>
      <c r="J37" s="25">
        <v>743976.2</v>
      </c>
      <c r="K37" s="25">
        <v>571846.40000000002</v>
      </c>
      <c r="L37" s="25">
        <v>91511.8</v>
      </c>
      <c r="M37" s="25">
        <v>29814.5</v>
      </c>
      <c r="N37" s="25">
        <v>745246</v>
      </c>
      <c r="O37" s="25">
        <v>91065</v>
      </c>
      <c r="P37" s="25">
        <v>20728</v>
      </c>
      <c r="Q37" s="25">
        <v>574592</v>
      </c>
      <c r="R37" s="25">
        <v>30237</v>
      </c>
      <c r="S37" s="25">
        <f t="shared" si="1"/>
        <v>-1225</v>
      </c>
      <c r="T37" s="36"/>
      <c r="U37" s="36"/>
    </row>
    <row r="38" spans="1:21" ht="16">
      <c r="A38" s="2">
        <v>42675</v>
      </c>
      <c r="B38">
        <f t="shared" si="0"/>
        <v>2016</v>
      </c>
      <c r="C38" s="2" t="s">
        <v>257</v>
      </c>
      <c r="D38" s="15">
        <v>6959</v>
      </c>
      <c r="E38" s="15">
        <v>6964.3</v>
      </c>
      <c r="F38" s="15">
        <v>214.7</v>
      </c>
      <c r="G38" s="15">
        <v>213.5</v>
      </c>
      <c r="H38">
        <v>37.1</v>
      </c>
      <c r="I38">
        <v>37.1</v>
      </c>
      <c r="J38" s="25">
        <v>743976.2</v>
      </c>
      <c r="K38" s="25">
        <v>571846.40000000002</v>
      </c>
      <c r="L38" s="25">
        <v>91511.8</v>
      </c>
      <c r="M38" s="25">
        <v>29814.5</v>
      </c>
      <c r="N38" s="25">
        <v>745246</v>
      </c>
      <c r="O38" s="25">
        <v>91065</v>
      </c>
      <c r="P38" s="25">
        <v>20728</v>
      </c>
      <c r="Q38" s="25">
        <v>574592</v>
      </c>
      <c r="R38" s="25">
        <v>30237</v>
      </c>
      <c r="S38" s="25">
        <f t="shared" si="1"/>
        <v>-1225</v>
      </c>
      <c r="T38" s="36"/>
      <c r="U38" s="36"/>
    </row>
    <row r="39" spans="1:21" ht="16">
      <c r="A39" s="2">
        <v>42705</v>
      </c>
      <c r="B39">
        <f t="shared" si="0"/>
        <v>2016</v>
      </c>
      <c r="C39" s="2" t="s">
        <v>257</v>
      </c>
      <c r="D39" s="15">
        <v>6974.4</v>
      </c>
      <c r="E39" s="15">
        <v>6983</v>
      </c>
      <c r="F39" s="15">
        <v>215.4</v>
      </c>
      <c r="G39" s="15">
        <v>214.8</v>
      </c>
      <c r="H39">
        <v>38</v>
      </c>
      <c r="I39">
        <v>38</v>
      </c>
      <c r="J39" s="25">
        <v>743976.2</v>
      </c>
      <c r="K39" s="25">
        <v>571846.40000000002</v>
      </c>
      <c r="L39" s="25">
        <v>91511.8</v>
      </c>
      <c r="M39" s="25">
        <v>29814.5</v>
      </c>
      <c r="N39" s="25">
        <v>745246</v>
      </c>
      <c r="O39" s="25">
        <v>91065</v>
      </c>
      <c r="P39" s="25">
        <v>20728</v>
      </c>
      <c r="Q39" s="25">
        <v>574592</v>
      </c>
      <c r="R39" s="25">
        <v>30237</v>
      </c>
      <c r="S39" s="25">
        <f t="shared" si="1"/>
        <v>-1225</v>
      </c>
      <c r="T39" s="36"/>
      <c r="U39" s="36"/>
    </row>
    <row r="40" spans="1:21" ht="16">
      <c r="A40" s="2">
        <v>42736</v>
      </c>
      <c r="B40">
        <f t="shared" si="0"/>
        <v>2017</v>
      </c>
      <c r="C40" s="2" t="s">
        <v>245</v>
      </c>
      <c r="D40" s="15">
        <v>6998.9</v>
      </c>
      <c r="E40" s="15">
        <v>6968.1</v>
      </c>
      <c r="F40" s="15">
        <v>215.3</v>
      </c>
      <c r="G40" s="15">
        <v>213.8</v>
      </c>
      <c r="H40">
        <v>39.5</v>
      </c>
      <c r="I40">
        <v>39.5</v>
      </c>
      <c r="J40" s="25">
        <v>764464.8</v>
      </c>
      <c r="K40" s="25">
        <v>590729.4</v>
      </c>
      <c r="L40" s="25">
        <v>91847.6</v>
      </c>
      <c r="M40" s="25">
        <v>31122.7</v>
      </c>
      <c r="N40" s="25">
        <v>756670</v>
      </c>
      <c r="O40" s="25">
        <v>92615</v>
      </c>
      <c r="P40" s="25">
        <v>20600</v>
      </c>
      <c r="Q40" s="25">
        <v>583062</v>
      </c>
      <c r="R40" s="25">
        <v>30675</v>
      </c>
      <c r="S40" s="25">
        <f t="shared" si="1"/>
        <v>134</v>
      </c>
      <c r="T40" s="36"/>
      <c r="U40" s="36"/>
    </row>
    <row r="41" spans="1:21" ht="16">
      <c r="A41" s="2">
        <v>42767</v>
      </c>
      <c r="B41">
        <f t="shared" si="0"/>
        <v>2017</v>
      </c>
      <c r="C41" s="2" t="s">
        <v>245</v>
      </c>
      <c r="D41" s="15">
        <v>7017.3</v>
      </c>
      <c r="E41" s="15">
        <v>6948.4</v>
      </c>
      <c r="F41" s="15">
        <v>209.7</v>
      </c>
      <c r="G41" s="15">
        <v>207.4</v>
      </c>
      <c r="H41">
        <v>35.799999999999997</v>
      </c>
      <c r="I41">
        <v>35.799999999999997</v>
      </c>
      <c r="J41" s="25">
        <v>764464.8</v>
      </c>
      <c r="K41" s="25">
        <v>590729.4</v>
      </c>
      <c r="L41" s="25">
        <v>91847.6</v>
      </c>
      <c r="M41" s="25">
        <v>31122.7</v>
      </c>
      <c r="N41" s="25">
        <v>756670</v>
      </c>
      <c r="O41" s="25">
        <v>92615</v>
      </c>
      <c r="P41" s="25">
        <v>20600</v>
      </c>
      <c r="Q41" s="25">
        <v>583062</v>
      </c>
      <c r="R41" s="25">
        <v>30675</v>
      </c>
      <c r="S41" s="25">
        <f t="shared" si="1"/>
        <v>134</v>
      </c>
      <c r="T41" s="36"/>
      <c r="U41" s="36"/>
    </row>
    <row r="42" spans="1:21" ht="16">
      <c r="A42" s="2">
        <v>42795</v>
      </c>
      <c r="B42">
        <f t="shared" si="0"/>
        <v>2017</v>
      </c>
      <c r="C42" s="2" t="s">
        <v>245</v>
      </c>
      <c r="D42" s="15">
        <v>7035.4</v>
      </c>
      <c r="E42" s="15">
        <v>6933.2</v>
      </c>
      <c r="F42" s="15">
        <v>202.9</v>
      </c>
      <c r="G42" s="15">
        <v>200.2</v>
      </c>
      <c r="H42">
        <v>35.1</v>
      </c>
      <c r="I42">
        <v>35.1</v>
      </c>
      <c r="J42" s="25">
        <v>764464.8</v>
      </c>
      <c r="K42" s="25">
        <v>590729.4</v>
      </c>
      <c r="L42" s="25">
        <v>91847.6</v>
      </c>
      <c r="M42" s="25">
        <v>31122.7</v>
      </c>
      <c r="N42" s="25">
        <v>756670</v>
      </c>
      <c r="O42" s="25">
        <v>92615</v>
      </c>
      <c r="P42" s="25">
        <v>20600</v>
      </c>
      <c r="Q42" s="25">
        <v>583062</v>
      </c>
      <c r="R42" s="25">
        <v>30675</v>
      </c>
      <c r="S42" s="25">
        <f t="shared" si="1"/>
        <v>134</v>
      </c>
      <c r="T42" s="36"/>
      <c r="U42" s="36"/>
    </row>
    <row r="43" spans="1:21" ht="16">
      <c r="A43" s="2">
        <v>42826</v>
      </c>
      <c r="B43">
        <f t="shared" si="0"/>
        <v>2017</v>
      </c>
      <c r="C43" s="2" t="s">
        <v>246</v>
      </c>
      <c r="D43" s="15">
        <v>7041.8</v>
      </c>
      <c r="E43" s="15">
        <v>6951.9</v>
      </c>
      <c r="F43" s="15">
        <v>199</v>
      </c>
      <c r="G43" s="15">
        <v>198.3</v>
      </c>
      <c r="H43">
        <v>33.9</v>
      </c>
      <c r="I43">
        <v>33.9</v>
      </c>
      <c r="J43" s="25">
        <v>764464.8</v>
      </c>
      <c r="K43" s="25">
        <v>590729.4</v>
      </c>
      <c r="L43" s="25">
        <v>91847.6</v>
      </c>
      <c r="M43" s="25">
        <v>31122.7</v>
      </c>
      <c r="N43" s="25">
        <v>764676</v>
      </c>
      <c r="O43" s="25">
        <v>92541</v>
      </c>
      <c r="P43" s="25">
        <v>20379</v>
      </c>
      <c r="Q43" s="25">
        <v>590485</v>
      </c>
      <c r="R43" s="25">
        <v>31145</v>
      </c>
      <c r="S43" s="25">
        <f t="shared" si="1"/>
        <v>2369</v>
      </c>
      <c r="T43" s="36"/>
      <c r="U43" s="36"/>
    </row>
    <row r="44" spans="1:21" ht="16">
      <c r="A44" s="2">
        <v>42856</v>
      </c>
      <c r="B44">
        <f t="shared" ref="B44:B107" si="2">YEAR(A44)</f>
        <v>2017</v>
      </c>
      <c r="C44" s="2" t="s">
        <v>246</v>
      </c>
      <c r="D44" s="15">
        <v>7055.9</v>
      </c>
      <c r="E44" s="15">
        <v>7023.7</v>
      </c>
      <c r="F44" s="15">
        <v>201.8</v>
      </c>
      <c r="G44" s="15">
        <v>203.3</v>
      </c>
      <c r="H44">
        <v>37.799999999999997</v>
      </c>
      <c r="I44">
        <v>37.799999999999997</v>
      </c>
      <c r="J44" s="25">
        <v>764464.8</v>
      </c>
      <c r="K44" s="25">
        <v>590729.4</v>
      </c>
      <c r="L44" s="25">
        <v>91847.6</v>
      </c>
      <c r="M44" s="25">
        <v>31122.7</v>
      </c>
      <c r="N44" s="25">
        <v>764676</v>
      </c>
      <c r="O44" s="25">
        <v>92541</v>
      </c>
      <c r="P44" s="25">
        <v>20379</v>
      </c>
      <c r="Q44" s="25">
        <v>590485</v>
      </c>
      <c r="R44" s="25">
        <v>31145</v>
      </c>
      <c r="S44" s="25">
        <f t="shared" si="1"/>
        <v>2369</v>
      </c>
      <c r="T44" s="36"/>
      <c r="U44" s="36"/>
    </row>
    <row r="45" spans="1:21" ht="16">
      <c r="A45" s="2">
        <v>42887</v>
      </c>
      <c r="B45">
        <f t="shared" si="2"/>
        <v>2017</v>
      </c>
      <c r="C45" s="2" t="s">
        <v>246</v>
      </c>
      <c r="D45" s="15">
        <v>7071</v>
      </c>
      <c r="E45" s="15">
        <v>7112.9</v>
      </c>
      <c r="F45" s="15">
        <v>205.5</v>
      </c>
      <c r="G45" s="15">
        <v>209</v>
      </c>
      <c r="H45">
        <v>42.4</v>
      </c>
      <c r="I45">
        <v>42.4</v>
      </c>
      <c r="J45" s="25">
        <v>764464.8</v>
      </c>
      <c r="K45" s="25">
        <v>590729.4</v>
      </c>
      <c r="L45" s="25">
        <v>91847.6</v>
      </c>
      <c r="M45" s="25">
        <v>31122.7</v>
      </c>
      <c r="N45" s="25">
        <v>764676</v>
      </c>
      <c r="O45" s="25">
        <v>92541</v>
      </c>
      <c r="P45" s="25">
        <v>20379</v>
      </c>
      <c r="Q45" s="25">
        <v>590485</v>
      </c>
      <c r="R45" s="25">
        <v>31145</v>
      </c>
      <c r="S45" s="25">
        <f t="shared" si="1"/>
        <v>2369</v>
      </c>
      <c r="T45" s="36"/>
      <c r="U45" s="36"/>
    </row>
    <row r="46" spans="1:21" ht="16">
      <c r="A46" s="2">
        <v>42917</v>
      </c>
      <c r="B46">
        <f t="shared" si="2"/>
        <v>2017</v>
      </c>
      <c r="C46" s="2" t="s">
        <v>249</v>
      </c>
      <c r="D46" s="15">
        <v>7099.1</v>
      </c>
      <c r="E46" s="15">
        <v>7186.7</v>
      </c>
      <c r="F46" s="15">
        <v>206.4</v>
      </c>
      <c r="G46" s="15">
        <v>209.1</v>
      </c>
      <c r="H46">
        <v>47.3</v>
      </c>
      <c r="I46">
        <v>47.3</v>
      </c>
      <c r="J46" s="25">
        <v>764464.8</v>
      </c>
      <c r="K46" s="25">
        <v>590729.4</v>
      </c>
      <c r="L46" s="25">
        <v>91847.6</v>
      </c>
      <c r="M46" s="25">
        <v>31122.7</v>
      </c>
      <c r="N46" s="25">
        <v>765009</v>
      </c>
      <c r="O46" s="25">
        <v>90558</v>
      </c>
      <c r="P46" s="25">
        <v>18652</v>
      </c>
      <c r="Q46" s="25">
        <v>592463</v>
      </c>
      <c r="R46" s="25">
        <v>31148</v>
      </c>
      <c r="S46" s="25">
        <f t="shared" si="1"/>
        <v>-841</v>
      </c>
      <c r="T46" s="36"/>
      <c r="U46" s="36"/>
    </row>
    <row r="47" spans="1:21" ht="16">
      <c r="A47" s="2">
        <v>42948</v>
      </c>
      <c r="B47">
        <f t="shared" si="2"/>
        <v>2017</v>
      </c>
      <c r="C47" s="2" t="s">
        <v>249</v>
      </c>
      <c r="D47" s="15">
        <v>7118</v>
      </c>
      <c r="E47" s="15">
        <v>7207.6</v>
      </c>
      <c r="F47" s="15">
        <v>207.5</v>
      </c>
      <c r="G47" s="15">
        <v>209</v>
      </c>
      <c r="H47">
        <v>49.6</v>
      </c>
      <c r="I47">
        <v>49.6</v>
      </c>
      <c r="J47" s="25">
        <v>764464.8</v>
      </c>
      <c r="K47" s="25">
        <v>590729.4</v>
      </c>
      <c r="L47" s="25">
        <v>91847.6</v>
      </c>
      <c r="M47" s="25">
        <v>31122.7</v>
      </c>
      <c r="N47" s="25">
        <v>765009</v>
      </c>
      <c r="O47" s="25">
        <v>90558</v>
      </c>
      <c r="P47" s="25">
        <v>18652</v>
      </c>
      <c r="Q47" s="25">
        <v>592463</v>
      </c>
      <c r="R47" s="25">
        <v>31148</v>
      </c>
      <c r="S47" s="25">
        <f t="shared" si="1"/>
        <v>-841</v>
      </c>
      <c r="T47" s="36"/>
      <c r="U47" s="36"/>
    </row>
    <row r="48" spans="1:21" ht="16">
      <c r="A48" s="2">
        <v>42979</v>
      </c>
      <c r="B48">
        <f t="shared" si="2"/>
        <v>2017</v>
      </c>
      <c r="C48" s="2" t="s">
        <v>249</v>
      </c>
      <c r="D48" s="15">
        <v>7143.3</v>
      </c>
      <c r="E48" s="15">
        <v>7185.7</v>
      </c>
      <c r="F48" s="15">
        <v>207.7</v>
      </c>
      <c r="G48" s="15">
        <v>206.8</v>
      </c>
      <c r="H48">
        <v>47.3</v>
      </c>
      <c r="I48">
        <v>47.3</v>
      </c>
      <c r="J48" s="25">
        <v>764464.8</v>
      </c>
      <c r="K48" s="25">
        <v>590729.4</v>
      </c>
      <c r="L48" s="25">
        <v>91847.6</v>
      </c>
      <c r="M48" s="25">
        <v>31122.7</v>
      </c>
      <c r="N48" s="25">
        <v>765009</v>
      </c>
      <c r="O48" s="25">
        <v>90558</v>
      </c>
      <c r="P48" s="25">
        <v>18652</v>
      </c>
      <c r="Q48" s="25">
        <v>592463</v>
      </c>
      <c r="R48" s="25">
        <v>31148</v>
      </c>
      <c r="S48" s="25">
        <f t="shared" si="1"/>
        <v>-841</v>
      </c>
      <c r="T48" s="36"/>
      <c r="U48" s="36"/>
    </row>
    <row r="49" spans="1:21" ht="16">
      <c r="A49" s="19">
        <v>43009</v>
      </c>
      <c r="B49">
        <f t="shared" si="2"/>
        <v>2017</v>
      </c>
      <c r="C49" s="2" t="s">
        <v>257</v>
      </c>
      <c r="D49" s="15">
        <v>7158.3</v>
      </c>
      <c r="E49" s="15">
        <v>7179.8</v>
      </c>
      <c r="F49" s="15">
        <v>209.3</v>
      </c>
      <c r="G49" s="15">
        <v>208</v>
      </c>
      <c r="H49">
        <v>43.8</v>
      </c>
      <c r="I49">
        <v>43.8</v>
      </c>
      <c r="J49" s="25">
        <v>764464.8</v>
      </c>
      <c r="K49" s="25">
        <v>590729.4</v>
      </c>
      <c r="L49" s="25">
        <v>91847.6</v>
      </c>
      <c r="M49" s="25">
        <v>31122.7</v>
      </c>
      <c r="N49" s="25">
        <v>771506</v>
      </c>
      <c r="O49" s="25">
        <v>91677</v>
      </c>
      <c r="P49" s="25">
        <v>19121</v>
      </c>
      <c r="Q49" s="25">
        <v>596909</v>
      </c>
      <c r="R49" s="25">
        <v>31523</v>
      </c>
      <c r="S49" s="25">
        <f t="shared" si="1"/>
        <v>612</v>
      </c>
      <c r="T49" s="36"/>
      <c r="U49" s="36"/>
    </row>
    <row r="50" spans="1:21" ht="16">
      <c r="A50" s="19">
        <v>43040</v>
      </c>
      <c r="B50">
        <f t="shared" si="2"/>
        <v>2017</v>
      </c>
      <c r="C50" s="2" t="s">
        <v>257</v>
      </c>
      <c r="D50" s="15">
        <v>7182.2</v>
      </c>
      <c r="E50" s="15">
        <v>7182.5</v>
      </c>
      <c r="F50" s="15">
        <v>208.6</v>
      </c>
      <c r="G50" s="15">
        <v>206.8</v>
      </c>
      <c r="H50">
        <v>41.1</v>
      </c>
      <c r="I50">
        <v>41.1</v>
      </c>
      <c r="J50" s="25">
        <v>764464.8</v>
      </c>
      <c r="K50" s="25">
        <v>590729.4</v>
      </c>
      <c r="L50" s="25">
        <v>91847.6</v>
      </c>
      <c r="M50" s="25">
        <v>31122.7</v>
      </c>
      <c r="N50" s="25">
        <v>771506</v>
      </c>
      <c r="O50" s="25">
        <v>91677</v>
      </c>
      <c r="P50" s="25">
        <v>19121</v>
      </c>
      <c r="Q50" s="25">
        <v>596909</v>
      </c>
      <c r="R50" s="25">
        <v>31523</v>
      </c>
      <c r="S50" s="25">
        <f t="shared" si="1"/>
        <v>612</v>
      </c>
      <c r="T50" s="36"/>
      <c r="U50" s="36"/>
    </row>
    <row r="51" spans="1:21" ht="16">
      <c r="A51" s="19">
        <v>43070</v>
      </c>
      <c r="B51">
        <f t="shared" si="2"/>
        <v>2017</v>
      </c>
      <c r="C51" s="2" t="s">
        <v>257</v>
      </c>
      <c r="D51" s="15">
        <v>7196.8</v>
      </c>
      <c r="E51" s="15">
        <v>7205</v>
      </c>
      <c r="F51" s="15">
        <v>207.8</v>
      </c>
      <c r="G51" s="15">
        <v>206.3</v>
      </c>
      <c r="H51">
        <v>39</v>
      </c>
      <c r="I51">
        <v>39</v>
      </c>
      <c r="J51" s="25">
        <v>764464.8</v>
      </c>
      <c r="K51" s="25">
        <v>590729.4</v>
      </c>
      <c r="L51" s="25">
        <v>91847.6</v>
      </c>
      <c r="M51" s="25">
        <v>31122.7</v>
      </c>
      <c r="N51" s="25">
        <v>771506</v>
      </c>
      <c r="O51" s="25">
        <v>91677</v>
      </c>
      <c r="P51" s="25">
        <v>19121</v>
      </c>
      <c r="Q51" s="25">
        <v>596909</v>
      </c>
      <c r="R51" s="25">
        <v>31523</v>
      </c>
      <c r="S51" s="25">
        <f t="shared" si="1"/>
        <v>612</v>
      </c>
      <c r="T51" s="36"/>
      <c r="U51" s="36"/>
    </row>
    <row r="52" spans="1:21" ht="16">
      <c r="A52" s="19">
        <v>43101</v>
      </c>
      <c r="B52">
        <f t="shared" si="2"/>
        <v>2018</v>
      </c>
      <c r="C52" s="2" t="s">
        <v>245</v>
      </c>
      <c r="D52" s="15">
        <v>7195</v>
      </c>
      <c r="E52" s="15">
        <v>7165</v>
      </c>
      <c r="F52" s="15">
        <v>206.5</v>
      </c>
      <c r="G52" s="15">
        <v>204.6</v>
      </c>
      <c r="H52">
        <v>39</v>
      </c>
      <c r="I52">
        <v>39</v>
      </c>
      <c r="J52" s="25">
        <v>789531.6</v>
      </c>
      <c r="K52" s="25">
        <v>608429.30000000005</v>
      </c>
      <c r="L52" s="25">
        <v>95137.5</v>
      </c>
      <c r="M52" s="25">
        <v>31658.2</v>
      </c>
      <c r="N52" s="25">
        <v>779694</v>
      </c>
      <c r="O52" s="25">
        <v>94103</v>
      </c>
      <c r="P52" s="25">
        <v>20113</v>
      </c>
      <c r="Q52" s="25">
        <v>600388</v>
      </c>
      <c r="R52" s="25">
        <v>31743</v>
      </c>
      <c r="S52" s="25">
        <f t="shared" si="1"/>
        <v>1488</v>
      </c>
      <c r="T52" s="36"/>
      <c r="U52" s="36"/>
    </row>
    <row r="53" spans="1:21" ht="16">
      <c r="A53" s="19">
        <v>43132</v>
      </c>
      <c r="B53">
        <f t="shared" si="2"/>
        <v>2018</v>
      </c>
      <c r="C53" s="2" t="s">
        <v>245</v>
      </c>
      <c r="D53" s="15">
        <v>7183.9</v>
      </c>
      <c r="E53" s="15">
        <v>7116</v>
      </c>
      <c r="F53" s="15">
        <v>206.7</v>
      </c>
      <c r="G53" s="15">
        <v>204.6</v>
      </c>
      <c r="H53">
        <v>39.5</v>
      </c>
      <c r="I53">
        <v>39.5</v>
      </c>
      <c r="J53" s="25">
        <v>789531.6</v>
      </c>
      <c r="K53" s="25">
        <v>608429.30000000005</v>
      </c>
      <c r="L53" s="25">
        <v>95137.5</v>
      </c>
      <c r="M53" s="25">
        <v>31658.2</v>
      </c>
      <c r="N53" s="25">
        <v>779694</v>
      </c>
      <c r="O53" s="25">
        <v>94103</v>
      </c>
      <c r="P53" s="25">
        <v>20113</v>
      </c>
      <c r="Q53" s="25">
        <v>600388</v>
      </c>
      <c r="R53" s="25">
        <v>31743</v>
      </c>
      <c r="S53" s="25">
        <f t="shared" si="1"/>
        <v>1488</v>
      </c>
      <c r="T53" s="36"/>
      <c r="U53" s="36"/>
    </row>
    <row r="54" spans="1:21" ht="16">
      <c r="A54" s="19">
        <v>43160</v>
      </c>
      <c r="B54">
        <f t="shared" si="2"/>
        <v>2018</v>
      </c>
      <c r="C54" s="2" t="s">
        <v>245</v>
      </c>
      <c r="D54" s="15">
        <v>7183.7</v>
      </c>
      <c r="E54" s="15">
        <v>7080.1</v>
      </c>
      <c r="F54" s="15">
        <v>209.4</v>
      </c>
      <c r="G54" s="15">
        <v>207.3</v>
      </c>
      <c r="H54">
        <v>40.9</v>
      </c>
      <c r="I54">
        <v>40.9</v>
      </c>
      <c r="J54" s="25">
        <v>789531.6</v>
      </c>
      <c r="K54" s="25">
        <v>608429.30000000005</v>
      </c>
      <c r="L54" s="25">
        <v>95137.5</v>
      </c>
      <c r="M54" s="25">
        <v>31658.2</v>
      </c>
      <c r="N54" s="25">
        <v>779694</v>
      </c>
      <c r="O54" s="25">
        <v>94103</v>
      </c>
      <c r="P54" s="25">
        <v>20113</v>
      </c>
      <c r="Q54" s="25">
        <v>600388</v>
      </c>
      <c r="R54" s="25">
        <v>31743</v>
      </c>
      <c r="S54" s="25">
        <f t="shared" si="1"/>
        <v>1488</v>
      </c>
      <c r="T54" s="36"/>
      <c r="U54" s="36"/>
    </row>
    <row r="55" spans="1:21" ht="16">
      <c r="A55" s="19">
        <v>43191</v>
      </c>
      <c r="B55">
        <f t="shared" si="2"/>
        <v>2018</v>
      </c>
      <c r="C55" s="2" t="s">
        <v>246</v>
      </c>
      <c r="D55" s="15">
        <v>7196</v>
      </c>
      <c r="E55" s="15">
        <v>7107.1</v>
      </c>
      <c r="F55" s="15">
        <v>213.7</v>
      </c>
      <c r="G55" s="15">
        <v>212.2</v>
      </c>
      <c r="H55">
        <v>41</v>
      </c>
      <c r="I55">
        <v>41</v>
      </c>
      <c r="J55" s="25">
        <v>789531.6</v>
      </c>
      <c r="K55" s="25">
        <v>608429.30000000005</v>
      </c>
      <c r="L55" s="25">
        <v>95137.5</v>
      </c>
      <c r="M55" s="25">
        <v>31658.2</v>
      </c>
      <c r="N55" s="25">
        <v>785185</v>
      </c>
      <c r="O55" s="25">
        <v>94344</v>
      </c>
      <c r="P55" s="25">
        <v>19822</v>
      </c>
      <c r="Q55" s="25">
        <v>604698</v>
      </c>
      <c r="R55" s="25">
        <v>31618</v>
      </c>
      <c r="S55" s="25">
        <f t="shared" si="1"/>
        <v>1803</v>
      </c>
      <c r="T55" s="36"/>
      <c r="U55" s="36"/>
    </row>
    <row r="56" spans="1:21" ht="16">
      <c r="A56" s="19">
        <v>43221</v>
      </c>
      <c r="B56">
        <f t="shared" si="2"/>
        <v>2018</v>
      </c>
      <c r="C56" s="2" t="s">
        <v>246</v>
      </c>
      <c r="D56" s="15">
        <v>7205</v>
      </c>
      <c r="E56" s="15">
        <v>7172.4</v>
      </c>
      <c r="F56" s="15">
        <v>217.6</v>
      </c>
      <c r="G56" s="15">
        <v>218.1</v>
      </c>
      <c r="H56">
        <v>39.299999999999997</v>
      </c>
      <c r="I56">
        <v>39.299999999999997</v>
      </c>
      <c r="J56" s="25">
        <v>789531.6</v>
      </c>
      <c r="K56" s="25">
        <v>608429.30000000005</v>
      </c>
      <c r="L56" s="25">
        <v>95137.5</v>
      </c>
      <c r="M56" s="25">
        <v>31658.2</v>
      </c>
      <c r="N56" s="25">
        <v>785185</v>
      </c>
      <c r="O56" s="25">
        <v>94344</v>
      </c>
      <c r="P56" s="25">
        <v>19822</v>
      </c>
      <c r="Q56" s="25">
        <v>604698</v>
      </c>
      <c r="R56" s="25">
        <v>31618</v>
      </c>
      <c r="S56" s="25">
        <f t="shared" si="1"/>
        <v>1803</v>
      </c>
      <c r="T56" s="36"/>
      <c r="U56" s="36"/>
    </row>
    <row r="57" spans="1:21" ht="16">
      <c r="A57" s="19">
        <v>43252</v>
      </c>
      <c r="B57">
        <f t="shared" si="2"/>
        <v>2018</v>
      </c>
      <c r="C57" s="2" t="s">
        <v>246</v>
      </c>
      <c r="D57" s="15">
        <v>7216.7</v>
      </c>
      <c r="E57" s="15">
        <v>7258</v>
      </c>
      <c r="F57" s="15">
        <v>219.5</v>
      </c>
      <c r="G57" s="15">
        <v>222.3</v>
      </c>
      <c r="H57">
        <v>38</v>
      </c>
      <c r="I57">
        <v>38</v>
      </c>
      <c r="J57" s="25">
        <v>789531.6</v>
      </c>
      <c r="K57" s="25">
        <v>608429.30000000005</v>
      </c>
      <c r="L57" s="25">
        <v>95137.5</v>
      </c>
      <c r="M57" s="25">
        <v>31658.2</v>
      </c>
      <c r="N57" s="25">
        <v>785185</v>
      </c>
      <c r="O57" s="25">
        <v>94344</v>
      </c>
      <c r="P57" s="25">
        <v>19822</v>
      </c>
      <c r="Q57" s="25">
        <v>604698</v>
      </c>
      <c r="R57" s="25">
        <v>31618</v>
      </c>
      <c r="S57" s="25">
        <f t="shared" si="1"/>
        <v>1803</v>
      </c>
      <c r="T57" s="36"/>
      <c r="U57" s="36"/>
    </row>
    <row r="58" spans="1:21" ht="16">
      <c r="A58" s="19">
        <v>43282</v>
      </c>
      <c r="B58">
        <f t="shared" si="2"/>
        <v>2018</v>
      </c>
      <c r="C58" s="2" t="s">
        <v>249</v>
      </c>
      <c r="D58" s="15">
        <v>7249.1</v>
      </c>
      <c r="E58" s="15">
        <v>7338.7</v>
      </c>
      <c r="F58" s="15">
        <v>218.7</v>
      </c>
      <c r="G58" s="15">
        <v>223.5</v>
      </c>
      <c r="H58">
        <v>35.1</v>
      </c>
      <c r="I58">
        <v>35.1</v>
      </c>
      <c r="J58" s="25">
        <v>789531.6</v>
      </c>
      <c r="K58" s="25">
        <v>608429.30000000005</v>
      </c>
      <c r="L58" s="25">
        <v>95137.5</v>
      </c>
      <c r="M58" s="25">
        <v>31658.2</v>
      </c>
      <c r="N58" s="25">
        <v>794512</v>
      </c>
      <c r="O58" s="25">
        <v>96068</v>
      </c>
      <c r="P58" s="25">
        <v>19709</v>
      </c>
      <c r="Q58" s="25">
        <v>611875</v>
      </c>
      <c r="R58" s="25">
        <v>31802</v>
      </c>
      <c r="S58" s="25">
        <f t="shared" si="1"/>
        <v>5510</v>
      </c>
      <c r="T58" s="36"/>
      <c r="U58" s="36"/>
    </row>
    <row r="59" spans="1:21" ht="16">
      <c r="A59" s="19">
        <v>43313</v>
      </c>
      <c r="B59">
        <f t="shared" si="2"/>
        <v>2018</v>
      </c>
      <c r="C59" s="2" t="s">
        <v>249</v>
      </c>
      <c r="D59" s="15">
        <v>7257.7</v>
      </c>
      <c r="E59" s="15">
        <v>7350.2</v>
      </c>
      <c r="F59" s="15">
        <v>217.1</v>
      </c>
      <c r="G59" s="15">
        <v>220.5</v>
      </c>
      <c r="H59">
        <v>35.5</v>
      </c>
      <c r="I59">
        <v>35.5</v>
      </c>
      <c r="J59" s="25">
        <v>789531.6</v>
      </c>
      <c r="K59" s="25">
        <v>608429.30000000005</v>
      </c>
      <c r="L59" s="25">
        <v>95137.5</v>
      </c>
      <c r="M59" s="25">
        <v>31658.2</v>
      </c>
      <c r="N59" s="25">
        <v>794512</v>
      </c>
      <c r="O59" s="25">
        <v>96068</v>
      </c>
      <c r="P59" s="25">
        <v>19709</v>
      </c>
      <c r="Q59" s="25">
        <v>611875</v>
      </c>
      <c r="R59" s="25">
        <v>31802</v>
      </c>
      <c r="S59" s="25">
        <f t="shared" si="1"/>
        <v>5510</v>
      </c>
      <c r="T59" s="36"/>
      <c r="U59" s="36"/>
    </row>
    <row r="60" spans="1:21" ht="16">
      <c r="A60" s="19">
        <v>43344</v>
      </c>
      <c r="B60">
        <f t="shared" si="2"/>
        <v>2018</v>
      </c>
      <c r="C60" s="2" t="s">
        <v>249</v>
      </c>
      <c r="D60" s="15">
        <v>7273.8</v>
      </c>
      <c r="E60" s="15">
        <v>7316.6</v>
      </c>
      <c r="F60" s="15">
        <v>215.6</v>
      </c>
      <c r="G60" s="15">
        <v>216.3</v>
      </c>
      <c r="H60">
        <v>36.6</v>
      </c>
      <c r="I60">
        <v>36.6</v>
      </c>
      <c r="J60" s="25">
        <v>789531.6</v>
      </c>
      <c r="K60" s="25">
        <v>608429.30000000005</v>
      </c>
      <c r="L60" s="25">
        <v>95137.5</v>
      </c>
      <c r="M60" s="25">
        <v>31658.2</v>
      </c>
      <c r="N60" s="25">
        <v>794512</v>
      </c>
      <c r="O60" s="25">
        <v>96068</v>
      </c>
      <c r="P60" s="25">
        <v>19709</v>
      </c>
      <c r="Q60" s="25">
        <v>611875</v>
      </c>
      <c r="R60" s="25">
        <v>31802</v>
      </c>
      <c r="S60" s="25">
        <f t="shared" si="1"/>
        <v>5510</v>
      </c>
      <c r="T60" s="36"/>
      <c r="U60" s="36"/>
    </row>
    <row r="61" spans="1:21" ht="16">
      <c r="A61" s="19">
        <v>43374</v>
      </c>
      <c r="B61">
        <f t="shared" si="2"/>
        <v>2018</v>
      </c>
      <c r="C61" s="2" t="s">
        <v>257</v>
      </c>
      <c r="D61" s="15">
        <v>7269.1</v>
      </c>
      <c r="E61" s="15">
        <v>7285.3</v>
      </c>
      <c r="F61" s="15">
        <v>214.7</v>
      </c>
      <c r="G61" s="15">
        <v>213</v>
      </c>
      <c r="H61">
        <v>39.5</v>
      </c>
      <c r="I61">
        <v>39.5</v>
      </c>
      <c r="J61" s="25">
        <v>789531.6</v>
      </c>
      <c r="K61" s="25">
        <v>608429.30000000005</v>
      </c>
      <c r="L61" s="25">
        <v>95137.5</v>
      </c>
      <c r="M61" s="25">
        <v>31658.2</v>
      </c>
      <c r="N61" s="25">
        <v>799922</v>
      </c>
      <c r="O61" s="25">
        <v>96123</v>
      </c>
      <c r="P61" s="25">
        <v>19934</v>
      </c>
      <c r="Q61" s="25">
        <v>617736</v>
      </c>
      <c r="R61" s="25">
        <v>31580</v>
      </c>
      <c r="S61" s="25">
        <f t="shared" si="1"/>
        <v>4446</v>
      </c>
      <c r="T61" s="36"/>
      <c r="U61" s="36"/>
    </row>
    <row r="62" spans="1:21" ht="16">
      <c r="A62" s="19">
        <v>43405</v>
      </c>
      <c r="B62">
        <f t="shared" si="2"/>
        <v>2018</v>
      </c>
      <c r="C62" s="2" t="s">
        <v>257</v>
      </c>
      <c r="D62" s="15">
        <v>7289.9</v>
      </c>
      <c r="E62" s="15">
        <v>7286.3</v>
      </c>
      <c r="F62" s="15">
        <v>214.8</v>
      </c>
      <c r="G62" s="15">
        <v>212.5</v>
      </c>
      <c r="H62">
        <v>45.9</v>
      </c>
      <c r="I62">
        <v>45.9</v>
      </c>
      <c r="J62" s="25">
        <v>789531.6</v>
      </c>
      <c r="K62" s="25">
        <v>608429.30000000005</v>
      </c>
      <c r="L62" s="25">
        <v>95137.5</v>
      </c>
      <c r="M62" s="25">
        <v>31658.2</v>
      </c>
      <c r="N62" s="25">
        <v>799922</v>
      </c>
      <c r="O62" s="25">
        <v>96123</v>
      </c>
      <c r="P62" s="25">
        <v>19934</v>
      </c>
      <c r="Q62" s="25">
        <v>617736</v>
      </c>
      <c r="R62" s="25">
        <v>31580</v>
      </c>
      <c r="S62" s="25">
        <f t="shared" si="1"/>
        <v>4446</v>
      </c>
      <c r="T62" s="36"/>
      <c r="U62" s="36"/>
    </row>
    <row r="63" spans="1:21" ht="16">
      <c r="A63" s="19">
        <v>43435</v>
      </c>
      <c r="B63">
        <f t="shared" si="2"/>
        <v>2018</v>
      </c>
      <c r="C63" s="2" t="s">
        <v>257</v>
      </c>
      <c r="D63" s="15">
        <v>7296.4</v>
      </c>
      <c r="E63" s="15">
        <v>7306.9</v>
      </c>
      <c r="F63" s="15">
        <v>214.1</v>
      </c>
      <c r="G63" s="15">
        <v>211.9</v>
      </c>
      <c r="H63">
        <v>51.7</v>
      </c>
      <c r="I63">
        <v>51.7</v>
      </c>
      <c r="J63" s="25">
        <v>789531.6</v>
      </c>
      <c r="K63" s="25">
        <v>608429.30000000005</v>
      </c>
      <c r="L63" s="25">
        <v>95137.5</v>
      </c>
      <c r="M63" s="25">
        <v>31658.2</v>
      </c>
      <c r="N63" s="25">
        <v>799922</v>
      </c>
      <c r="O63" s="25">
        <v>96123</v>
      </c>
      <c r="P63" s="25">
        <v>19934</v>
      </c>
      <c r="Q63" s="25">
        <v>617736</v>
      </c>
      <c r="R63" s="25">
        <v>31580</v>
      </c>
      <c r="S63" s="25">
        <f t="shared" si="1"/>
        <v>4446</v>
      </c>
      <c r="T63" s="36"/>
      <c r="U63" s="36"/>
    </row>
    <row r="64" spans="1:21" ht="16">
      <c r="A64" s="19">
        <v>43466</v>
      </c>
      <c r="B64">
        <f t="shared" si="2"/>
        <v>2019</v>
      </c>
      <c r="C64" s="2" t="s">
        <v>245</v>
      </c>
      <c r="D64" s="15">
        <v>7306.5</v>
      </c>
      <c r="E64" s="15">
        <v>7280.1</v>
      </c>
      <c r="F64" s="15">
        <v>216.3</v>
      </c>
      <c r="G64" s="15">
        <v>214</v>
      </c>
      <c r="H64">
        <v>59.6</v>
      </c>
      <c r="I64">
        <v>59.6</v>
      </c>
      <c r="J64" s="25">
        <v>807274.5</v>
      </c>
      <c r="K64" s="25">
        <v>626103.1</v>
      </c>
      <c r="L64" s="25">
        <v>94599.6</v>
      </c>
      <c r="M64" s="25">
        <v>32860.800000000003</v>
      </c>
      <c r="N64" s="25">
        <v>800743</v>
      </c>
      <c r="O64" s="25">
        <v>95928</v>
      </c>
      <c r="P64" s="25">
        <v>19895</v>
      </c>
      <c r="Q64" s="25">
        <v>619023</v>
      </c>
      <c r="R64" s="25">
        <v>31762</v>
      </c>
      <c r="S64" s="25">
        <f t="shared" si="1"/>
        <v>1825</v>
      </c>
      <c r="T64" s="36"/>
      <c r="U64" s="36"/>
    </row>
    <row r="65" spans="1:21" ht="16">
      <c r="A65" s="19">
        <v>43497</v>
      </c>
      <c r="B65">
        <f t="shared" si="2"/>
        <v>2019</v>
      </c>
      <c r="C65" s="2" t="s">
        <v>245</v>
      </c>
      <c r="D65" s="15">
        <v>7329.7</v>
      </c>
      <c r="E65" s="15">
        <v>7264.2</v>
      </c>
      <c r="F65" s="15">
        <v>218</v>
      </c>
      <c r="G65" s="15">
        <v>215.9</v>
      </c>
      <c r="H65">
        <v>58.2</v>
      </c>
      <c r="I65">
        <v>58.2</v>
      </c>
      <c r="J65" s="25">
        <v>807274.5</v>
      </c>
      <c r="K65" s="25">
        <v>626103.1</v>
      </c>
      <c r="L65" s="25">
        <v>94599.6</v>
      </c>
      <c r="M65" s="25">
        <v>32860.800000000003</v>
      </c>
      <c r="N65" s="25">
        <v>800743</v>
      </c>
      <c r="O65" s="25">
        <v>95928</v>
      </c>
      <c r="P65" s="25">
        <v>19895</v>
      </c>
      <c r="Q65" s="25">
        <v>619023</v>
      </c>
      <c r="R65" s="25">
        <v>31762</v>
      </c>
      <c r="S65" s="25">
        <f t="shared" si="1"/>
        <v>1825</v>
      </c>
      <c r="T65" s="36"/>
      <c r="U65" s="36"/>
    </row>
    <row r="66" spans="1:21" ht="16">
      <c r="A66" s="19">
        <v>43525</v>
      </c>
      <c r="B66">
        <f t="shared" si="2"/>
        <v>2019</v>
      </c>
      <c r="C66" s="2" t="s">
        <v>245</v>
      </c>
      <c r="D66" s="15">
        <v>7341.9</v>
      </c>
      <c r="E66" s="15">
        <v>7239.5</v>
      </c>
      <c r="F66" s="15">
        <v>220.1</v>
      </c>
      <c r="G66" s="15">
        <v>218.5</v>
      </c>
      <c r="H66">
        <v>60.6</v>
      </c>
      <c r="I66">
        <v>60.6</v>
      </c>
      <c r="J66" s="25">
        <v>807274.5</v>
      </c>
      <c r="K66" s="25">
        <v>626103.1</v>
      </c>
      <c r="L66" s="25">
        <v>94599.6</v>
      </c>
      <c r="M66" s="25">
        <v>32860.800000000003</v>
      </c>
      <c r="N66" s="25">
        <v>800743</v>
      </c>
      <c r="O66" s="25">
        <v>95928</v>
      </c>
      <c r="P66" s="25">
        <v>19895</v>
      </c>
      <c r="Q66" s="25">
        <v>619023</v>
      </c>
      <c r="R66" s="25">
        <v>31762</v>
      </c>
      <c r="S66" s="25">
        <f t="shared" si="1"/>
        <v>1825</v>
      </c>
      <c r="T66" s="36"/>
      <c r="U66" s="36"/>
    </row>
    <row r="67" spans="1:21" ht="16">
      <c r="A67" s="19">
        <v>43556</v>
      </c>
      <c r="B67">
        <f t="shared" si="2"/>
        <v>2019</v>
      </c>
      <c r="C67" s="2" t="s">
        <v>246</v>
      </c>
      <c r="D67" s="15">
        <v>7361.6</v>
      </c>
      <c r="E67" s="15">
        <v>7275.7</v>
      </c>
      <c r="F67" s="15">
        <v>219.6</v>
      </c>
      <c r="G67" s="15">
        <v>219</v>
      </c>
      <c r="H67">
        <v>58.5</v>
      </c>
      <c r="I67">
        <v>58.5</v>
      </c>
      <c r="J67" s="25">
        <v>807274.5</v>
      </c>
      <c r="K67" s="25">
        <v>626103.1</v>
      </c>
      <c r="L67" s="25">
        <v>94599.6</v>
      </c>
      <c r="M67" s="25">
        <v>32860.800000000003</v>
      </c>
      <c r="N67" s="25">
        <v>806729</v>
      </c>
      <c r="O67" s="25">
        <v>95147</v>
      </c>
      <c r="P67" s="25">
        <v>19872</v>
      </c>
      <c r="Q67" s="25">
        <v>624766</v>
      </c>
      <c r="R67" s="25">
        <v>32794</v>
      </c>
      <c r="S67" s="25">
        <f t="shared" si="1"/>
        <v>803</v>
      </c>
      <c r="T67" s="36"/>
      <c r="U67" s="36"/>
    </row>
    <row r="68" spans="1:21" ht="16">
      <c r="A68" s="19">
        <v>43586</v>
      </c>
      <c r="B68">
        <f t="shared" si="2"/>
        <v>2019</v>
      </c>
      <c r="C68" s="2" t="s">
        <v>246</v>
      </c>
      <c r="D68" s="15">
        <v>7376.4</v>
      </c>
      <c r="E68" s="15">
        <v>7345.7</v>
      </c>
      <c r="F68" s="15">
        <v>218.7</v>
      </c>
      <c r="G68" s="15">
        <v>219.7</v>
      </c>
      <c r="H68">
        <v>59</v>
      </c>
      <c r="I68">
        <v>59</v>
      </c>
      <c r="J68" s="25">
        <v>807274.5</v>
      </c>
      <c r="K68" s="25">
        <v>626103.1</v>
      </c>
      <c r="L68" s="25">
        <v>94599.6</v>
      </c>
      <c r="M68" s="25">
        <v>32860.800000000003</v>
      </c>
      <c r="N68" s="25">
        <v>806729</v>
      </c>
      <c r="O68" s="25">
        <v>95147</v>
      </c>
      <c r="P68" s="25">
        <v>19872</v>
      </c>
      <c r="Q68" s="25">
        <v>624766</v>
      </c>
      <c r="R68" s="25">
        <v>32794</v>
      </c>
      <c r="S68" s="25">
        <f t="shared" si="1"/>
        <v>803</v>
      </c>
      <c r="T68" s="36"/>
      <c r="U68" s="36"/>
    </row>
    <row r="69" spans="1:21" ht="16">
      <c r="A69" s="19">
        <v>43617</v>
      </c>
      <c r="B69">
        <f t="shared" si="2"/>
        <v>2019</v>
      </c>
      <c r="C69" s="2" t="s">
        <v>246</v>
      </c>
      <c r="D69" s="15">
        <v>7396.1</v>
      </c>
      <c r="E69" s="15">
        <v>7436.8</v>
      </c>
      <c r="F69" s="15">
        <v>217.8</v>
      </c>
      <c r="G69" s="15">
        <v>220.9</v>
      </c>
      <c r="H69">
        <v>52.8</v>
      </c>
      <c r="I69">
        <v>52.8</v>
      </c>
      <c r="J69" s="25">
        <v>807274.5</v>
      </c>
      <c r="K69" s="25">
        <v>626103.1</v>
      </c>
      <c r="L69" s="25">
        <v>94599.6</v>
      </c>
      <c r="M69" s="25">
        <v>32860.800000000003</v>
      </c>
      <c r="N69" s="25">
        <v>806729</v>
      </c>
      <c r="O69" s="25">
        <v>95147</v>
      </c>
      <c r="P69" s="25">
        <v>19872</v>
      </c>
      <c r="Q69" s="25">
        <v>624766</v>
      </c>
      <c r="R69" s="25">
        <v>32794</v>
      </c>
      <c r="S69" s="25">
        <f t="shared" si="1"/>
        <v>803</v>
      </c>
      <c r="T69" s="36"/>
      <c r="U69" s="36"/>
    </row>
    <row r="70" spans="1:21" ht="16">
      <c r="A70" s="19">
        <v>43647</v>
      </c>
      <c r="B70">
        <f t="shared" si="2"/>
        <v>2019</v>
      </c>
      <c r="C70" s="2" t="s">
        <v>249</v>
      </c>
      <c r="D70" s="15">
        <v>7399.6</v>
      </c>
      <c r="E70" s="15">
        <v>7484.5</v>
      </c>
      <c r="F70" s="15">
        <v>216.2</v>
      </c>
      <c r="G70" s="15">
        <v>220.4</v>
      </c>
      <c r="H70">
        <v>46.2</v>
      </c>
      <c r="I70">
        <v>46.2</v>
      </c>
      <c r="J70" s="25">
        <v>807274.5</v>
      </c>
      <c r="K70" s="25">
        <v>626103.1</v>
      </c>
      <c r="L70" s="25">
        <v>94599.6</v>
      </c>
      <c r="M70" s="25">
        <v>32860.800000000003</v>
      </c>
      <c r="N70" s="25">
        <v>810697</v>
      </c>
      <c r="O70" s="25">
        <v>94481</v>
      </c>
      <c r="P70" s="25">
        <v>19978</v>
      </c>
      <c r="Q70" s="25">
        <v>629169</v>
      </c>
      <c r="R70" s="25">
        <v>33199</v>
      </c>
      <c r="S70" s="25">
        <f t="shared" si="1"/>
        <v>-1587</v>
      </c>
      <c r="T70" s="36"/>
      <c r="U70" s="36"/>
    </row>
    <row r="71" spans="1:21" ht="16">
      <c r="A71" s="19">
        <v>43678</v>
      </c>
      <c r="B71">
        <f t="shared" si="2"/>
        <v>2019</v>
      </c>
      <c r="C71" s="2" t="s">
        <v>249</v>
      </c>
      <c r="D71" s="15">
        <v>7414</v>
      </c>
      <c r="E71" s="15">
        <v>7501.5</v>
      </c>
      <c r="F71" s="15">
        <v>213.3</v>
      </c>
      <c r="G71" s="15">
        <v>216.2</v>
      </c>
      <c r="H71">
        <v>41.4</v>
      </c>
      <c r="I71">
        <v>41.4</v>
      </c>
      <c r="J71" s="25">
        <v>807274.5</v>
      </c>
      <c r="K71" s="25">
        <v>626103.1</v>
      </c>
      <c r="L71" s="25">
        <v>94599.6</v>
      </c>
      <c r="M71" s="25">
        <v>32860.800000000003</v>
      </c>
      <c r="N71" s="25">
        <v>810697</v>
      </c>
      <c r="O71" s="25">
        <v>94481</v>
      </c>
      <c r="P71" s="25">
        <v>19978</v>
      </c>
      <c r="Q71" s="25">
        <v>629169</v>
      </c>
      <c r="R71" s="25">
        <v>33199</v>
      </c>
      <c r="S71" s="25">
        <f t="shared" si="1"/>
        <v>-1587</v>
      </c>
      <c r="T71" s="36"/>
      <c r="U71" s="36"/>
    </row>
    <row r="72" spans="1:21" ht="16">
      <c r="A72" s="19">
        <v>43709</v>
      </c>
      <c r="B72">
        <f t="shared" si="2"/>
        <v>2019</v>
      </c>
      <c r="C72" s="2" t="s">
        <v>249</v>
      </c>
      <c r="D72" s="15">
        <v>7432.4</v>
      </c>
      <c r="E72" s="15">
        <v>7489.3</v>
      </c>
      <c r="F72" s="15">
        <v>209.5</v>
      </c>
      <c r="G72" s="15">
        <v>209.9</v>
      </c>
      <c r="H72">
        <v>40.1</v>
      </c>
      <c r="I72">
        <v>40.1</v>
      </c>
      <c r="J72" s="25">
        <v>807274.5</v>
      </c>
      <c r="K72" s="25">
        <v>626103.1</v>
      </c>
      <c r="L72" s="25">
        <v>94599.6</v>
      </c>
      <c r="M72" s="25">
        <v>32860.800000000003</v>
      </c>
      <c r="N72" s="25">
        <v>810697</v>
      </c>
      <c r="O72" s="25">
        <v>94481</v>
      </c>
      <c r="P72" s="25">
        <v>19978</v>
      </c>
      <c r="Q72" s="25">
        <v>629169</v>
      </c>
      <c r="R72" s="25">
        <v>33199</v>
      </c>
      <c r="S72" s="25">
        <f t="shared" si="1"/>
        <v>-1587</v>
      </c>
      <c r="T72" s="36"/>
      <c r="U72" s="36"/>
    </row>
    <row r="73" spans="1:21" ht="16">
      <c r="A73" s="19">
        <v>43739</v>
      </c>
      <c r="B73">
        <f t="shared" si="2"/>
        <v>2019</v>
      </c>
      <c r="C73" s="2" t="s">
        <v>257</v>
      </c>
      <c r="D73" s="15">
        <v>7450</v>
      </c>
      <c r="E73" s="15">
        <v>7491.1</v>
      </c>
      <c r="F73" s="15">
        <v>206.9</v>
      </c>
      <c r="G73" s="15">
        <v>205.6</v>
      </c>
      <c r="H73">
        <v>44.6</v>
      </c>
      <c r="I73">
        <v>44.6</v>
      </c>
      <c r="J73" s="25">
        <v>807274.5</v>
      </c>
      <c r="K73" s="25">
        <v>626103.1</v>
      </c>
      <c r="L73" s="25">
        <v>94599.6</v>
      </c>
      <c r="M73" s="25">
        <v>32860.800000000003</v>
      </c>
      <c r="N73" s="25">
        <v>812164</v>
      </c>
      <c r="O73" s="25">
        <v>92913</v>
      </c>
      <c r="P73" s="25">
        <v>19331</v>
      </c>
      <c r="Q73" s="25">
        <v>632493</v>
      </c>
      <c r="R73" s="25">
        <v>33832</v>
      </c>
      <c r="S73" s="25">
        <f t="shared" si="1"/>
        <v>-3210</v>
      </c>
      <c r="T73" s="36"/>
      <c r="U73" s="36"/>
    </row>
    <row r="74" spans="1:21" ht="16">
      <c r="A74" s="19">
        <v>43770</v>
      </c>
      <c r="B74">
        <f t="shared" si="2"/>
        <v>2019</v>
      </c>
      <c r="C74" s="2" t="s">
        <v>257</v>
      </c>
      <c r="D74" s="15">
        <v>7458.2</v>
      </c>
      <c r="E74" s="15">
        <v>7479.5</v>
      </c>
      <c r="F74" s="15">
        <v>205.5</v>
      </c>
      <c r="G74" s="15">
        <v>203.3</v>
      </c>
      <c r="H74">
        <v>48.4</v>
      </c>
      <c r="I74">
        <v>48.4</v>
      </c>
      <c r="J74" s="25">
        <v>807274.5</v>
      </c>
      <c r="K74" s="25">
        <v>626103.1</v>
      </c>
      <c r="L74" s="25">
        <v>94599.6</v>
      </c>
      <c r="M74" s="25">
        <v>32860.800000000003</v>
      </c>
      <c r="N74" s="25">
        <v>812164</v>
      </c>
      <c r="O74" s="25">
        <v>92913</v>
      </c>
      <c r="P74" s="25">
        <v>19331</v>
      </c>
      <c r="Q74" s="25">
        <v>632493</v>
      </c>
      <c r="R74" s="25">
        <v>33832</v>
      </c>
      <c r="S74" s="25">
        <f t="shared" si="1"/>
        <v>-3210</v>
      </c>
      <c r="T74" s="36"/>
      <c r="U74" s="36"/>
    </row>
    <row r="75" spans="1:21" ht="16">
      <c r="A75" s="19">
        <v>43800</v>
      </c>
      <c r="B75">
        <f t="shared" si="2"/>
        <v>2019</v>
      </c>
      <c r="C75" s="2" t="s">
        <v>257</v>
      </c>
      <c r="D75" s="15">
        <v>7474</v>
      </c>
      <c r="E75" s="15">
        <v>7485.8</v>
      </c>
      <c r="F75" s="15">
        <v>206.4</v>
      </c>
      <c r="G75" s="15">
        <v>204.9</v>
      </c>
      <c r="H75">
        <v>53.6</v>
      </c>
      <c r="I75">
        <v>53.6</v>
      </c>
      <c r="J75" s="25">
        <v>807274.5</v>
      </c>
      <c r="K75" s="25">
        <v>626103.1</v>
      </c>
      <c r="L75" s="25">
        <v>94599.6</v>
      </c>
      <c r="M75" s="25">
        <v>32860.800000000003</v>
      </c>
      <c r="N75" s="25">
        <v>812164</v>
      </c>
      <c r="O75" s="25">
        <v>92913</v>
      </c>
      <c r="P75" s="25">
        <v>19331</v>
      </c>
      <c r="Q75" s="25">
        <v>632493</v>
      </c>
      <c r="R75" s="25">
        <v>33832</v>
      </c>
      <c r="S75" s="25">
        <f t="shared" si="1"/>
        <v>-3210</v>
      </c>
      <c r="T75" s="36"/>
      <c r="U75" s="36"/>
    </row>
    <row r="76" spans="1:21" ht="16">
      <c r="A76" s="19">
        <v>43831</v>
      </c>
      <c r="B76">
        <f t="shared" si="2"/>
        <v>2020</v>
      </c>
      <c r="C76" s="2" t="s">
        <v>245</v>
      </c>
      <c r="D76" s="15">
        <v>7498.1</v>
      </c>
      <c r="E76" s="15">
        <v>7464.7</v>
      </c>
      <c r="F76" s="15">
        <v>207.2</v>
      </c>
      <c r="G76" s="15">
        <v>205.8</v>
      </c>
      <c r="H76">
        <v>55.9</v>
      </c>
      <c r="I76">
        <v>55.9</v>
      </c>
      <c r="J76" s="25">
        <v>769942</v>
      </c>
      <c r="K76" s="25">
        <v>596521.6</v>
      </c>
      <c r="L76" s="25">
        <v>85928.9</v>
      </c>
      <c r="M76" s="25">
        <v>23899.8</v>
      </c>
      <c r="N76" s="25">
        <v>801246</v>
      </c>
      <c r="O76" s="25">
        <v>90581</v>
      </c>
      <c r="P76" s="25">
        <v>17121</v>
      </c>
      <c r="Q76" s="25">
        <v>622311</v>
      </c>
      <c r="R76" s="25">
        <v>30818</v>
      </c>
      <c r="S76" s="25">
        <f t="shared" si="1"/>
        <v>-5347</v>
      </c>
      <c r="T76" s="36"/>
      <c r="U76" s="36"/>
    </row>
    <row r="77" spans="1:21" ht="16">
      <c r="A77" s="19">
        <v>43862</v>
      </c>
      <c r="B77">
        <f t="shared" si="2"/>
        <v>2020</v>
      </c>
      <c r="C77" s="2" t="s">
        <v>245</v>
      </c>
      <c r="D77" s="15">
        <v>7508</v>
      </c>
      <c r="E77" s="15">
        <v>7439</v>
      </c>
      <c r="F77" s="15">
        <v>209.7</v>
      </c>
      <c r="G77" s="15">
        <v>209.4</v>
      </c>
      <c r="H77">
        <v>58</v>
      </c>
      <c r="I77">
        <v>58</v>
      </c>
      <c r="J77" s="25">
        <v>769942</v>
      </c>
      <c r="K77" s="25">
        <v>596521.6</v>
      </c>
      <c r="L77" s="25">
        <v>85928.9</v>
      </c>
      <c r="M77" s="25">
        <v>23899.8</v>
      </c>
      <c r="N77" s="25">
        <v>801246</v>
      </c>
      <c r="O77" s="25">
        <v>90581</v>
      </c>
      <c r="P77" s="25">
        <v>17121</v>
      </c>
      <c r="Q77" s="25">
        <v>622311</v>
      </c>
      <c r="R77" s="25">
        <v>30818</v>
      </c>
      <c r="S77" s="25">
        <f t="shared" si="1"/>
        <v>-5347</v>
      </c>
      <c r="T77" s="36"/>
      <c r="U77" s="36"/>
    </row>
    <row r="78" spans="1:21" ht="16">
      <c r="A78" s="19">
        <v>43891</v>
      </c>
      <c r="B78">
        <f t="shared" si="2"/>
        <v>2020</v>
      </c>
      <c r="C78" s="2" t="s">
        <v>245</v>
      </c>
      <c r="D78" s="15">
        <v>7351.6</v>
      </c>
      <c r="E78" s="15">
        <v>7258.8</v>
      </c>
      <c r="F78" s="15">
        <v>208.2</v>
      </c>
      <c r="G78" s="15">
        <v>208.2</v>
      </c>
      <c r="H78">
        <v>53.3</v>
      </c>
      <c r="I78">
        <v>53.3</v>
      </c>
      <c r="J78" s="25">
        <v>769942</v>
      </c>
      <c r="K78" s="25">
        <v>596521.6</v>
      </c>
      <c r="L78" s="25">
        <v>85928.9</v>
      </c>
      <c r="M78" s="25">
        <v>23899.8</v>
      </c>
      <c r="N78" s="25">
        <v>801246</v>
      </c>
      <c r="O78" s="25">
        <v>90581</v>
      </c>
      <c r="P78" s="25">
        <v>17121</v>
      </c>
      <c r="Q78" s="25">
        <v>622311</v>
      </c>
      <c r="R78" s="25">
        <v>30818</v>
      </c>
      <c r="S78" s="25">
        <f t="shared" si="1"/>
        <v>-5347</v>
      </c>
      <c r="T78" s="36"/>
      <c r="U78" s="36"/>
    </row>
    <row r="79" spans="1:21" ht="16">
      <c r="A79" s="19">
        <v>43922</v>
      </c>
      <c r="B79">
        <f t="shared" si="2"/>
        <v>2020</v>
      </c>
      <c r="C79" s="2" t="s">
        <v>246</v>
      </c>
      <c r="D79" s="15">
        <v>6961.6</v>
      </c>
      <c r="E79" s="15">
        <v>6893.7</v>
      </c>
      <c r="F79" s="15">
        <v>202.5</v>
      </c>
      <c r="G79" s="15">
        <v>203.5</v>
      </c>
      <c r="H79">
        <v>47.5</v>
      </c>
      <c r="I79">
        <v>47.5</v>
      </c>
      <c r="J79" s="25">
        <v>769942</v>
      </c>
      <c r="K79" s="25">
        <v>596521.6</v>
      </c>
      <c r="L79" s="25">
        <v>85928.9</v>
      </c>
      <c r="M79" s="25">
        <v>23899.8</v>
      </c>
      <c r="N79" s="25">
        <v>705711</v>
      </c>
      <c r="O79" s="25">
        <v>72955</v>
      </c>
      <c r="P79" s="25">
        <v>8883</v>
      </c>
      <c r="Q79" s="25">
        <v>552176</v>
      </c>
      <c r="R79" s="25">
        <v>21006</v>
      </c>
      <c r="S79" s="25">
        <f t="shared" si="1"/>
        <v>-22192</v>
      </c>
      <c r="T79" s="36"/>
      <c r="U79" s="36"/>
    </row>
    <row r="80" spans="1:21" ht="16">
      <c r="A80" s="19">
        <v>43952</v>
      </c>
      <c r="B80">
        <f t="shared" si="2"/>
        <v>2020</v>
      </c>
      <c r="C80" s="2" t="s">
        <v>246</v>
      </c>
      <c r="D80" s="15">
        <v>6572.6</v>
      </c>
      <c r="E80" s="15">
        <v>6550.9</v>
      </c>
      <c r="F80" s="15">
        <v>195.4</v>
      </c>
      <c r="G80" s="15">
        <v>197</v>
      </c>
      <c r="H80">
        <v>43.9</v>
      </c>
      <c r="I80">
        <v>43.9</v>
      </c>
      <c r="J80" s="25">
        <v>769942</v>
      </c>
      <c r="K80" s="25">
        <v>596521.6</v>
      </c>
      <c r="L80" s="25">
        <v>85928.9</v>
      </c>
      <c r="M80" s="25">
        <v>23899.8</v>
      </c>
      <c r="N80" s="25">
        <v>705711</v>
      </c>
      <c r="O80" s="25">
        <v>72955</v>
      </c>
      <c r="P80" s="25">
        <v>8883</v>
      </c>
      <c r="Q80" s="25">
        <v>552176</v>
      </c>
      <c r="R80" s="25">
        <v>21006</v>
      </c>
      <c r="S80" s="25">
        <f t="shared" si="1"/>
        <v>-22192</v>
      </c>
      <c r="T80" s="36"/>
      <c r="U80" s="36"/>
    </row>
    <row r="81" spans="1:21" ht="16">
      <c r="A81" s="19">
        <v>43983</v>
      </c>
      <c r="B81">
        <f t="shared" si="2"/>
        <v>2020</v>
      </c>
      <c r="C81" s="2" t="s">
        <v>246</v>
      </c>
      <c r="D81" s="15">
        <v>6477.4</v>
      </c>
      <c r="E81" s="15">
        <v>6515.6</v>
      </c>
      <c r="F81" s="15">
        <v>193</v>
      </c>
      <c r="G81" s="15">
        <v>195.5</v>
      </c>
      <c r="H81">
        <v>44.1</v>
      </c>
      <c r="I81">
        <v>44.1</v>
      </c>
      <c r="J81" s="25">
        <v>769942</v>
      </c>
      <c r="K81" s="25">
        <v>596521.6</v>
      </c>
      <c r="L81" s="25">
        <v>85928.9</v>
      </c>
      <c r="M81" s="25">
        <v>23899.8</v>
      </c>
      <c r="N81" s="25">
        <v>705711</v>
      </c>
      <c r="O81" s="25">
        <v>72955</v>
      </c>
      <c r="P81" s="25">
        <v>8883</v>
      </c>
      <c r="Q81" s="25">
        <v>552176</v>
      </c>
      <c r="R81" s="25">
        <v>21006</v>
      </c>
      <c r="S81" s="25">
        <f t="shared" ref="S81:S144" si="3">O81-O69</f>
        <v>-22192</v>
      </c>
      <c r="T81" s="36"/>
      <c r="U81" s="36"/>
    </row>
    <row r="82" spans="1:21" ht="16">
      <c r="A82" s="19">
        <v>44013</v>
      </c>
      <c r="B82">
        <f t="shared" si="2"/>
        <v>2020</v>
      </c>
      <c r="C82" s="2" t="s">
        <v>249</v>
      </c>
      <c r="D82" s="15">
        <v>6666.4</v>
      </c>
      <c r="E82" s="15">
        <v>6730.9</v>
      </c>
      <c r="F82" s="15">
        <v>198.5</v>
      </c>
      <c r="G82" s="15">
        <v>201.2</v>
      </c>
      <c r="H82">
        <v>44.4</v>
      </c>
      <c r="I82">
        <v>44.4</v>
      </c>
      <c r="J82" s="25">
        <v>769942</v>
      </c>
      <c r="K82" s="25">
        <v>596521.6</v>
      </c>
      <c r="L82" s="25">
        <v>85928.9</v>
      </c>
      <c r="M82" s="25">
        <v>23899.8</v>
      </c>
      <c r="N82" s="25">
        <v>778294</v>
      </c>
      <c r="O82" s="25">
        <v>89762</v>
      </c>
      <c r="P82" s="25">
        <v>17606</v>
      </c>
      <c r="Q82" s="25">
        <v>599599</v>
      </c>
      <c r="R82" s="25">
        <v>22182</v>
      </c>
      <c r="S82" s="25">
        <f t="shared" si="3"/>
        <v>-4719</v>
      </c>
      <c r="T82" s="36"/>
      <c r="U82" s="36"/>
    </row>
    <row r="83" spans="1:21" ht="16">
      <c r="A83" s="19">
        <v>44044</v>
      </c>
      <c r="B83">
        <f t="shared" si="2"/>
        <v>2020</v>
      </c>
      <c r="C83" s="2" t="s">
        <v>249</v>
      </c>
      <c r="D83" s="15">
        <v>6904.3</v>
      </c>
      <c r="E83" s="15">
        <v>6971.5</v>
      </c>
      <c r="F83" s="15">
        <v>205.7</v>
      </c>
      <c r="G83" s="15">
        <v>207.4</v>
      </c>
      <c r="H83">
        <v>45.9</v>
      </c>
      <c r="I83">
        <v>45.9</v>
      </c>
      <c r="J83" s="25">
        <v>769942</v>
      </c>
      <c r="K83" s="25">
        <v>596521.6</v>
      </c>
      <c r="L83" s="25">
        <v>85928.9</v>
      </c>
      <c r="M83" s="25">
        <v>23899.8</v>
      </c>
      <c r="N83" s="25">
        <v>778294</v>
      </c>
      <c r="O83" s="25">
        <v>89762</v>
      </c>
      <c r="P83" s="25">
        <v>17606</v>
      </c>
      <c r="Q83" s="25">
        <v>599599</v>
      </c>
      <c r="R83" s="25">
        <v>22182</v>
      </c>
      <c r="S83" s="25">
        <f t="shared" si="3"/>
        <v>-4719</v>
      </c>
      <c r="T83" s="36"/>
      <c r="U83" s="36"/>
    </row>
    <row r="84" spans="1:21" ht="16">
      <c r="A84" s="19">
        <v>44075</v>
      </c>
      <c r="B84">
        <f t="shared" si="2"/>
        <v>2020</v>
      </c>
      <c r="C84" s="2" t="s">
        <v>249</v>
      </c>
      <c r="D84" s="15">
        <v>7065.2</v>
      </c>
      <c r="E84" s="15">
        <v>7098.8</v>
      </c>
      <c r="F84" s="15">
        <v>211.9</v>
      </c>
      <c r="G84" s="15">
        <v>211.3</v>
      </c>
      <c r="H84">
        <v>49.4</v>
      </c>
      <c r="I84">
        <v>49.4</v>
      </c>
      <c r="J84" s="25">
        <v>769942</v>
      </c>
      <c r="K84" s="25">
        <v>596521.6</v>
      </c>
      <c r="L84" s="25">
        <v>85928.9</v>
      </c>
      <c r="M84" s="25">
        <v>23899.8</v>
      </c>
      <c r="N84" s="25">
        <v>778294</v>
      </c>
      <c r="O84" s="25">
        <v>89762</v>
      </c>
      <c r="P84" s="25">
        <v>17606</v>
      </c>
      <c r="Q84" s="25">
        <v>599599</v>
      </c>
      <c r="R84" s="25">
        <v>22182</v>
      </c>
      <c r="S84" s="25">
        <f t="shared" si="3"/>
        <v>-4719</v>
      </c>
      <c r="T84" s="36"/>
      <c r="U84" s="36"/>
    </row>
    <row r="85" spans="1:21" ht="16">
      <c r="A85" s="19">
        <v>44105</v>
      </c>
      <c r="B85">
        <f t="shared" si="2"/>
        <v>2020</v>
      </c>
      <c r="C85" s="2" t="s">
        <v>257</v>
      </c>
      <c r="D85" s="15">
        <v>7186.6</v>
      </c>
      <c r="E85" s="15">
        <v>7210.7</v>
      </c>
      <c r="F85" s="15">
        <v>216.7</v>
      </c>
      <c r="G85" s="15">
        <v>214.7</v>
      </c>
      <c r="H85">
        <v>52.7</v>
      </c>
      <c r="I85">
        <v>52.7</v>
      </c>
      <c r="J85" s="25">
        <v>769942</v>
      </c>
      <c r="K85" s="25">
        <v>596521.6</v>
      </c>
      <c r="L85" s="25">
        <v>85928.9</v>
      </c>
      <c r="M85" s="25">
        <v>23899.8</v>
      </c>
      <c r="N85" s="25">
        <v>797313</v>
      </c>
      <c r="O85" s="25">
        <v>90586</v>
      </c>
      <c r="P85" s="25">
        <v>16796</v>
      </c>
      <c r="Q85" s="25">
        <v>614230</v>
      </c>
      <c r="R85" s="25">
        <v>21756</v>
      </c>
      <c r="S85" s="25">
        <f t="shared" si="3"/>
        <v>-2327</v>
      </c>
      <c r="T85" s="36"/>
      <c r="U85" s="36"/>
    </row>
    <row r="86" spans="1:21" ht="16">
      <c r="A86" s="19">
        <v>44136</v>
      </c>
      <c r="B86">
        <f t="shared" si="2"/>
        <v>2020</v>
      </c>
      <c r="C86" s="2" t="s">
        <v>257</v>
      </c>
      <c r="D86" s="15">
        <v>7271.8</v>
      </c>
      <c r="E86" s="15">
        <v>7283</v>
      </c>
      <c r="F86" s="15">
        <v>217</v>
      </c>
      <c r="G86" s="15">
        <v>214.6</v>
      </c>
      <c r="H86">
        <v>53.6</v>
      </c>
      <c r="I86">
        <v>53.6</v>
      </c>
      <c r="J86" s="25">
        <v>769942</v>
      </c>
      <c r="K86" s="25">
        <v>596521.6</v>
      </c>
      <c r="L86" s="25">
        <v>85928.9</v>
      </c>
      <c r="M86" s="25">
        <v>23899.8</v>
      </c>
      <c r="N86" s="25">
        <v>797313</v>
      </c>
      <c r="O86" s="25">
        <v>90586</v>
      </c>
      <c r="P86" s="25">
        <v>16796</v>
      </c>
      <c r="Q86" s="25">
        <v>614230</v>
      </c>
      <c r="R86" s="25">
        <v>21756</v>
      </c>
      <c r="S86" s="25">
        <f t="shared" si="3"/>
        <v>-2327</v>
      </c>
      <c r="T86" s="36"/>
      <c r="U86" s="36"/>
    </row>
    <row r="87" spans="1:21" ht="16">
      <c r="A87" s="19">
        <v>44166</v>
      </c>
      <c r="B87">
        <f t="shared" si="2"/>
        <v>2020</v>
      </c>
      <c r="C87" s="2" t="s">
        <v>257</v>
      </c>
      <c r="D87" s="15">
        <v>7289.8</v>
      </c>
      <c r="E87" s="15">
        <v>7300.6</v>
      </c>
      <c r="F87" s="15">
        <v>216.1</v>
      </c>
      <c r="G87" s="15">
        <v>214.5</v>
      </c>
      <c r="H87">
        <v>55.5</v>
      </c>
      <c r="I87">
        <v>55.5</v>
      </c>
      <c r="J87" s="25">
        <v>769942</v>
      </c>
      <c r="K87" s="25">
        <v>596521.6</v>
      </c>
      <c r="L87" s="25">
        <v>85928.9</v>
      </c>
      <c r="M87" s="25">
        <v>23899.8</v>
      </c>
      <c r="N87" s="25">
        <v>797313</v>
      </c>
      <c r="O87" s="25">
        <v>90586</v>
      </c>
      <c r="P87" s="25">
        <v>16796</v>
      </c>
      <c r="Q87" s="25">
        <v>614230</v>
      </c>
      <c r="R87" s="25">
        <v>21756</v>
      </c>
      <c r="S87" s="25">
        <f t="shared" si="3"/>
        <v>-2327</v>
      </c>
      <c r="T87" s="36"/>
      <c r="U87" s="36"/>
    </row>
    <row r="88" spans="1:21" ht="16">
      <c r="A88" s="19">
        <v>44197</v>
      </c>
      <c r="B88">
        <f t="shared" si="2"/>
        <v>2021</v>
      </c>
      <c r="C88" s="2" t="s">
        <v>245</v>
      </c>
      <c r="D88" s="15">
        <v>7234.6</v>
      </c>
      <c r="E88" s="15">
        <v>7207.2</v>
      </c>
      <c r="F88" s="15">
        <v>209.4</v>
      </c>
      <c r="G88" s="15">
        <v>208.7</v>
      </c>
      <c r="H88">
        <v>56.1</v>
      </c>
      <c r="I88">
        <v>56.1</v>
      </c>
      <c r="J88" s="25">
        <v>817265.5</v>
      </c>
      <c r="K88" s="25">
        <v>634181.69999999995</v>
      </c>
      <c r="L88" s="25">
        <v>92312.5</v>
      </c>
      <c r="M88" s="25">
        <v>25225.4</v>
      </c>
      <c r="N88" s="25">
        <v>809994</v>
      </c>
      <c r="O88" s="25">
        <v>92073</v>
      </c>
      <c r="P88" s="25">
        <v>15760</v>
      </c>
      <c r="Q88" s="25">
        <v>622909</v>
      </c>
      <c r="R88" s="25">
        <v>23141</v>
      </c>
      <c r="S88" s="25">
        <f t="shared" si="3"/>
        <v>1492</v>
      </c>
      <c r="T88" s="36"/>
      <c r="U88" s="36"/>
    </row>
    <row r="89" spans="1:21" ht="16">
      <c r="A89" s="19">
        <v>44228</v>
      </c>
      <c r="B89">
        <f t="shared" si="2"/>
        <v>2021</v>
      </c>
      <c r="C89" s="2" t="s">
        <v>245</v>
      </c>
      <c r="D89" s="15">
        <v>7209.5</v>
      </c>
      <c r="E89" s="15">
        <v>7151.3</v>
      </c>
      <c r="F89" s="15">
        <v>208.2</v>
      </c>
      <c r="G89" s="15">
        <v>207.5</v>
      </c>
      <c r="H89">
        <v>56.2</v>
      </c>
      <c r="I89">
        <v>56.2</v>
      </c>
      <c r="J89" s="25">
        <v>817265.5</v>
      </c>
      <c r="K89" s="25">
        <v>634181.69999999995</v>
      </c>
      <c r="L89" s="25">
        <v>92312.5</v>
      </c>
      <c r="M89" s="25">
        <v>25225.4</v>
      </c>
      <c r="N89" s="25">
        <v>809994</v>
      </c>
      <c r="O89" s="25">
        <v>92073</v>
      </c>
      <c r="P89" s="25">
        <v>15760</v>
      </c>
      <c r="Q89" s="25">
        <v>622909</v>
      </c>
      <c r="R89" s="25">
        <v>23141</v>
      </c>
      <c r="S89" s="25">
        <f t="shared" si="3"/>
        <v>1492</v>
      </c>
      <c r="T89" s="36"/>
      <c r="U89" s="36"/>
    </row>
    <row r="90" spans="1:21" ht="16">
      <c r="A90" s="19">
        <v>44256</v>
      </c>
      <c r="B90">
        <f t="shared" si="2"/>
        <v>2021</v>
      </c>
      <c r="C90" s="2" t="s">
        <v>245</v>
      </c>
      <c r="D90" s="15">
        <v>7237.4</v>
      </c>
      <c r="E90" s="15">
        <v>7153.7</v>
      </c>
      <c r="F90" s="15">
        <v>207.5</v>
      </c>
      <c r="G90" s="15">
        <v>207.1</v>
      </c>
      <c r="H90">
        <v>53</v>
      </c>
      <c r="I90">
        <v>53</v>
      </c>
      <c r="J90" s="25">
        <v>817265.5</v>
      </c>
      <c r="K90" s="25">
        <v>634181.69999999995</v>
      </c>
      <c r="L90" s="25">
        <v>92312.5</v>
      </c>
      <c r="M90" s="25">
        <v>25225.4</v>
      </c>
      <c r="N90" s="25">
        <v>809994</v>
      </c>
      <c r="O90" s="25">
        <v>92073</v>
      </c>
      <c r="P90" s="25">
        <v>15760</v>
      </c>
      <c r="Q90" s="25">
        <v>622909</v>
      </c>
      <c r="R90" s="25">
        <v>23141</v>
      </c>
      <c r="S90" s="25">
        <f t="shared" si="3"/>
        <v>1492</v>
      </c>
      <c r="T90" s="36"/>
      <c r="U90" s="36"/>
    </row>
    <row r="91" spans="1:21" ht="16">
      <c r="A91" s="19">
        <v>44287</v>
      </c>
      <c r="B91">
        <f t="shared" si="2"/>
        <v>2021</v>
      </c>
      <c r="C91" s="2" t="s">
        <v>246</v>
      </c>
      <c r="D91" s="15">
        <v>7276.1</v>
      </c>
      <c r="E91" s="15">
        <v>7213.2</v>
      </c>
      <c r="F91" s="15">
        <v>209.2</v>
      </c>
      <c r="G91" s="15">
        <v>209.5</v>
      </c>
      <c r="H91">
        <v>51</v>
      </c>
      <c r="I91">
        <v>51</v>
      </c>
      <c r="J91" s="25">
        <v>817265.5</v>
      </c>
      <c r="K91" s="25">
        <v>634181.69999999995</v>
      </c>
      <c r="L91" s="25">
        <v>92312.5</v>
      </c>
      <c r="M91" s="25">
        <v>25225.4</v>
      </c>
      <c r="N91" s="25">
        <v>803585</v>
      </c>
      <c r="O91" s="25">
        <v>90340</v>
      </c>
      <c r="P91" s="25">
        <v>13987</v>
      </c>
      <c r="Q91" s="25">
        <v>620218</v>
      </c>
      <c r="R91" s="25">
        <v>24117</v>
      </c>
      <c r="S91" s="25">
        <f t="shared" si="3"/>
        <v>17385</v>
      </c>
      <c r="T91" s="36"/>
      <c r="U91" s="36"/>
    </row>
    <row r="92" spans="1:21" ht="16">
      <c r="A92" s="19">
        <v>44317</v>
      </c>
      <c r="B92">
        <f t="shared" si="2"/>
        <v>2021</v>
      </c>
      <c r="C92" s="2" t="s">
        <v>246</v>
      </c>
      <c r="D92" s="15">
        <v>7265.7</v>
      </c>
      <c r="E92" s="15">
        <v>7247.3</v>
      </c>
      <c r="F92" s="15">
        <v>207.8</v>
      </c>
      <c r="G92" s="15">
        <v>209.3</v>
      </c>
      <c r="H92">
        <v>49.5</v>
      </c>
      <c r="I92">
        <v>49.5</v>
      </c>
      <c r="J92" s="25">
        <v>817265.5</v>
      </c>
      <c r="K92" s="25">
        <v>634181.69999999995</v>
      </c>
      <c r="L92" s="25">
        <v>92312.5</v>
      </c>
      <c r="M92" s="25">
        <v>25225.4</v>
      </c>
      <c r="N92" s="25">
        <v>803585</v>
      </c>
      <c r="O92" s="25">
        <v>90340</v>
      </c>
      <c r="P92" s="25">
        <v>13987</v>
      </c>
      <c r="Q92" s="25">
        <v>620218</v>
      </c>
      <c r="R92" s="25">
        <v>24117</v>
      </c>
      <c r="S92" s="25">
        <f t="shared" si="3"/>
        <v>17385</v>
      </c>
      <c r="T92" s="36"/>
      <c r="U92" s="36"/>
    </row>
    <row r="93" spans="1:21">
      <c r="A93" s="19">
        <v>44348</v>
      </c>
      <c r="B93">
        <f t="shared" si="2"/>
        <v>2021</v>
      </c>
      <c r="C93" s="2" t="s">
        <v>246</v>
      </c>
      <c r="D93" s="15">
        <v>7250</v>
      </c>
      <c r="E93" s="15">
        <v>7295.8</v>
      </c>
      <c r="F93" s="15">
        <v>208</v>
      </c>
      <c r="G93" s="15">
        <v>210.4</v>
      </c>
      <c r="H93">
        <v>45.3</v>
      </c>
      <c r="I93">
        <v>45.3</v>
      </c>
      <c r="J93" s="25">
        <v>817265.5</v>
      </c>
      <c r="K93" s="25">
        <v>634181.69999999995</v>
      </c>
      <c r="L93" s="25">
        <v>92312.5</v>
      </c>
      <c r="M93" s="25">
        <v>25225.4</v>
      </c>
      <c r="N93" s="25">
        <v>803585</v>
      </c>
      <c r="O93" s="25">
        <v>90340</v>
      </c>
      <c r="P93" s="25">
        <v>13987</v>
      </c>
      <c r="Q93" s="25">
        <v>620218</v>
      </c>
      <c r="R93" s="25">
        <v>24117</v>
      </c>
      <c r="S93" s="25">
        <f t="shared" si="3"/>
        <v>17385</v>
      </c>
    </row>
    <row r="94" spans="1:21">
      <c r="A94" s="19">
        <v>44378</v>
      </c>
      <c r="B94">
        <f t="shared" si="2"/>
        <v>2021</v>
      </c>
      <c r="C94" s="2" t="s">
        <v>249</v>
      </c>
      <c r="D94" s="15">
        <v>7317</v>
      </c>
      <c r="E94" s="15">
        <v>7392.6</v>
      </c>
      <c r="F94" s="15">
        <v>210.4</v>
      </c>
      <c r="G94" s="15">
        <v>212.2</v>
      </c>
      <c r="H94">
        <v>46.8</v>
      </c>
      <c r="I94">
        <v>46.8</v>
      </c>
      <c r="J94" s="25">
        <v>817265.5</v>
      </c>
      <c r="K94" s="25">
        <v>634181.69999999995</v>
      </c>
      <c r="L94" s="25">
        <v>92312.5</v>
      </c>
      <c r="M94" s="25">
        <v>25225.4</v>
      </c>
      <c r="N94" s="25">
        <v>821006</v>
      </c>
      <c r="O94" s="25">
        <v>91760</v>
      </c>
      <c r="P94" s="25">
        <v>13816</v>
      </c>
      <c r="Q94" s="25">
        <v>640835</v>
      </c>
      <c r="R94" s="25">
        <v>26054</v>
      </c>
      <c r="S94" s="25">
        <f t="shared" si="3"/>
        <v>1998</v>
      </c>
    </row>
    <row r="95" spans="1:21">
      <c r="A95" s="19">
        <v>44409</v>
      </c>
      <c r="B95">
        <f t="shared" si="2"/>
        <v>2021</v>
      </c>
      <c r="C95" s="2" t="s">
        <v>249</v>
      </c>
      <c r="D95" s="15">
        <v>7405.9</v>
      </c>
      <c r="E95" s="15">
        <v>7474.7</v>
      </c>
      <c r="F95" s="15">
        <v>212.2</v>
      </c>
      <c r="G95" s="15">
        <v>213.1</v>
      </c>
      <c r="H95">
        <v>49.2</v>
      </c>
      <c r="I95">
        <v>49.2</v>
      </c>
      <c r="J95" s="25">
        <v>817265.5</v>
      </c>
      <c r="K95" s="25">
        <v>634181.69999999995</v>
      </c>
      <c r="L95" s="25">
        <v>92312.5</v>
      </c>
      <c r="M95" s="25">
        <v>25225.4</v>
      </c>
      <c r="N95" s="25">
        <v>821006</v>
      </c>
      <c r="O95" s="25">
        <v>91760</v>
      </c>
      <c r="P95" s="25">
        <v>13816</v>
      </c>
      <c r="Q95" s="25">
        <v>640835</v>
      </c>
      <c r="R95" s="25">
        <v>26054</v>
      </c>
      <c r="S95" s="25">
        <f t="shared" si="3"/>
        <v>1998</v>
      </c>
    </row>
    <row r="96" spans="1:21">
      <c r="A96" s="19">
        <v>44440</v>
      </c>
      <c r="B96">
        <f t="shared" si="2"/>
        <v>2021</v>
      </c>
      <c r="C96" s="2" t="s">
        <v>249</v>
      </c>
      <c r="D96" s="15">
        <v>7482</v>
      </c>
      <c r="E96" s="15">
        <v>7507</v>
      </c>
      <c r="F96" s="15">
        <v>216.7</v>
      </c>
      <c r="G96" s="15">
        <v>215.5</v>
      </c>
      <c r="H96">
        <v>52.6</v>
      </c>
      <c r="I96">
        <v>52.6</v>
      </c>
      <c r="J96" s="25">
        <v>817265.5</v>
      </c>
      <c r="K96" s="25">
        <v>634181.69999999995</v>
      </c>
      <c r="L96" s="25">
        <v>92312.5</v>
      </c>
      <c r="M96" s="25">
        <v>25225.4</v>
      </c>
      <c r="N96" s="25">
        <v>821006</v>
      </c>
      <c r="O96" s="25">
        <v>91760</v>
      </c>
      <c r="P96" s="25">
        <v>13816</v>
      </c>
      <c r="Q96" s="25">
        <v>640835</v>
      </c>
      <c r="R96" s="25">
        <v>26054</v>
      </c>
      <c r="S96" s="25">
        <f t="shared" si="3"/>
        <v>1998</v>
      </c>
    </row>
    <row r="97" spans="1:19">
      <c r="A97" s="19">
        <v>44470</v>
      </c>
      <c r="B97">
        <f t="shared" si="2"/>
        <v>2021</v>
      </c>
      <c r="C97" s="2" t="s">
        <v>257</v>
      </c>
      <c r="D97" s="15">
        <v>7537.7</v>
      </c>
      <c r="E97" s="15">
        <v>7547.1</v>
      </c>
      <c r="F97" s="15">
        <v>221.3</v>
      </c>
      <c r="G97" s="15">
        <v>218.9</v>
      </c>
      <c r="H97">
        <v>50.3</v>
      </c>
      <c r="I97">
        <v>50.3</v>
      </c>
      <c r="J97" s="25">
        <v>817265.5</v>
      </c>
      <c r="K97" s="25">
        <v>634181.69999999995</v>
      </c>
      <c r="L97" s="25">
        <v>92312.5</v>
      </c>
      <c r="M97" s="25">
        <v>25225.4</v>
      </c>
      <c r="N97" s="25">
        <v>840399</v>
      </c>
      <c r="O97" s="25">
        <v>95623</v>
      </c>
      <c r="P97" s="25">
        <v>15588</v>
      </c>
      <c r="Q97" s="25">
        <v>657342</v>
      </c>
      <c r="R97" s="25">
        <v>27868</v>
      </c>
      <c r="S97" s="25">
        <f t="shared" si="3"/>
        <v>5037</v>
      </c>
    </row>
    <row r="98" spans="1:19">
      <c r="A98" s="19">
        <v>44501</v>
      </c>
      <c r="B98">
        <f t="shared" si="2"/>
        <v>2021</v>
      </c>
      <c r="C98" s="2" t="s">
        <v>257</v>
      </c>
      <c r="D98" s="15">
        <v>7604</v>
      </c>
      <c r="E98" s="15">
        <v>7604.8</v>
      </c>
      <c r="F98" s="15">
        <v>227.6</v>
      </c>
      <c r="G98" s="15">
        <v>225.2</v>
      </c>
      <c r="H98">
        <v>50.4</v>
      </c>
      <c r="I98">
        <v>50.4</v>
      </c>
      <c r="J98" s="25">
        <v>817265.5</v>
      </c>
      <c r="K98" s="25">
        <v>634181.69999999995</v>
      </c>
      <c r="L98" s="25">
        <v>92312.5</v>
      </c>
      <c r="M98" s="25">
        <v>25225.4</v>
      </c>
      <c r="N98" s="25">
        <v>840399</v>
      </c>
      <c r="O98" s="25">
        <v>95623</v>
      </c>
      <c r="P98" s="25">
        <v>15588</v>
      </c>
      <c r="Q98" s="25">
        <v>657342</v>
      </c>
      <c r="R98" s="25">
        <v>27868</v>
      </c>
      <c r="S98" s="25">
        <f t="shared" si="3"/>
        <v>5037</v>
      </c>
    </row>
    <row r="99" spans="1:19">
      <c r="A99" s="19">
        <v>44531</v>
      </c>
      <c r="B99">
        <f t="shared" si="2"/>
        <v>2021</v>
      </c>
      <c r="C99" s="2" t="s">
        <v>257</v>
      </c>
      <c r="D99" s="15">
        <v>7658.5</v>
      </c>
      <c r="E99" s="15">
        <v>7662.8</v>
      </c>
      <c r="F99" s="15">
        <v>228.8</v>
      </c>
      <c r="G99" s="15">
        <v>227.5</v>
      </c>
      <c r="H99">
        <v>55.6</v>
      </c>
      <c r="I99">
        <v>55.6</v>
      </c>
      <c r="J99" s="25">
        <v>817265.5</v>
      </c>
      <c r="K99" s="25">
        <v>634181.69999999995</v>
      </c>
      <c r="L99" s="25">
        <v>92312.5</v>
      </c>
      <c r="M99" s="25">
        <v>25225.4</v>
      </c>
      <c r="N99" s="25">
        <v>840399</v>
      </c>
      <c r="O99" s="25">
        <v>95623</v>
      </c>
      <c r="P99" s="25">
        <v>15588</v>
      </c>
      <c r="Q99" s="25">
        <v>657342</v>
      </c>
      <c r="R99" s="25">
        <v>27868</v>
      </c>
      <c r="S99" s="25">
        <f t="shared" si="3"/>
        <v>5037</v>
      </c>
    </row>
    <row r="100" spans="1:19">
      <c r="A100" s="19">
        <v>44562</v>
      </c>
      <c r="B100">
        <f t="shared" si="2"/>
        <v>2022</v>
      </c>
      <c r="C100" s="2" t="s">
        <v>245</v>
      </c>
      <c r="D100" s="15">
        <v>7643.6</v>
      </c>
      <c r="E100" s="15">
        <v>7611.7</v>
      </c>
      <c r="F100" s="15">
        <v>226.2</v>
      </c>
      <c r="G100" s="15">
        <v>226.3</v>
      </c>
      <c r="H100">
        <v>57.8</v>
      </c>
      <c r="I100">
        <v>57.8</v>
      </c>
      <c r="J100" s="25">
        <v>850461.9</v>
      </c>
      <c r="K100" s="25">
        <v>662856.4</v>
      </c>
      <c r="L100" s="25">
        <v>96870.8</v>
      </c>
      <c r="M100" s="25">
        <v>30149.3</v>
      </c>
      <c r="N100" s="25">
        <v>847546</v>
      </c>
      <c r="O100" s="25">
        <v>95039</v>
      </c>
      <c r="P100" s="25">
        <v>16424</v>
      </c>
      <c r="Q100" s="25">
        <v>662402</v>
      </c>
      <c r="R100" s="25">
        <v>28698</v>
      </c>
      <c r="S100" s="25">
        <f t="shared" si="3"/>
        <v>2966</v>
      </c>
    </row>
    <row r="101" spans="1:19">
      <c r="A101" s="19">
        <v>44593</v>
      </c>
      <c r="B101">
        <f t="shared" si="2"/>
        <v>2022</v>
      </c>
      <c r="C101" s="2" t="s">
        <v>245</v>
      </c>
      <c r="D101" s="15">
        <v>7668.9</v>
      </c>
      <c r="E101" s="15">
        <v>7606.7</v>
      </c>
      <c r="F101" s="15">
        <v>226.3</v>
      </c>
      <c r="G101" s="15">
        <v>226.6</v>
      </c>
      <c r="H101">
        <v>58</v>
      </c>
      <c r="I101">
        <v>58</v>
      </c>
      <c r="J101" s="25">
        <v>850461.9</v>
      </c>
      <c r="K101" s="25">
        <v>662856.4</v>
      </c>
      <c r="L101" s="25">
        <v>96870.8</v>
      </c>
      <c r="M101" s="25">
        <v>30149.3</v>
      </c>
      <c r="N101" s="25">
        <v>847546</v>
      </c>
      <c r="O101" s="25">
        <v>95039</v>
      </c>
      <c r="P101" s="25">
        <v>16424</v>
      </c>
      <c r="Q101" s="25">
        <v>662402</v>
      </c>
      <c r="R101" s="25">
        <v>28698</v>
      </c>
      <c r="S101" s="25">
        <f t="shared" si="3"/>
        <v>2966</v>
      </c>
    </row>
    <row r="102" spans="1:19">
      <c r="A102" s="19">
        <v>44621</v>
      </c>
      <c r="B102">
        <f t="shared" si="2"/>
        <v>2022</v>
      </c>
      <c r="C102" s="2" t="s">
        <v>245</v>
      </c>
      <c r="D102" s="15">
        <v>7681.1</v>
      </c>
      <c r="E102" s="15">
        <v>7595.3</v>
      </c>
      <c r="F102" s="15">
        <v>227.8</v>
      </c>
      <c r="G102" s="15">
        <v>228</v>
      </c>
      <c r="H102">
        <v>56</v>
      </c>
      <c r="I102">
        <v>56</v>
      </c>
      <c r="J102" s="25">
        <v>850461.9</v>
      </c>
      <c r="K102" s="25">
        <v>662856.4</v>
      </c>
      <c r="L102" s="25">
        <v>96870.8</v>
      </c>
      <c r="M102" s="25">
        <v>30149.3</v>
      </c>
      <c r="N102" s="25">
        <v>847546</v>
      </c>
      <c r="O102" s="25">
        <v>95039</v>
      </c>
      <c r="P102" s="25">
        <v>16424</v>
      </c>
      <c r="Q102" s="25">
        <v>662402</v>
      </c>
      <c r="R102" s="25">
        <v>28698</v>
      </c>
      <c r="S102" s="25">
        <f t="shared" si="3"/>
        <v>2966</v>
      </c>
    </row>
    <row r="103" spans="1:19">
      <c r="A103" s="19">
        <v>44652</v>
      </c>
      <c r="B103">
        <f t="shared" si="2"/>
        <v>2022</v>
      </c>
      <c r="C103" s="2" t="s">
        <v>246</v>
      </c>
      <c r="D103" s="15">
        <v>7758.4</v>
      </c>
      <c r="E103" s="15">
        <v>7694.2</v>
      </c>
      <c r="F103" s="15">
        <v>232.8</v>
      </c>
      <c r="G103" s="15">
        <v>233.6</v>
      </c>
      <c r="H103">
        <v>56.8</v>
      </c>
      <c r="I103">
        <v>56.8</v>
      </c>
      <c r="J103" s="25">
        <v>850461.9</v>
      </c>
      <c r="K103" s="25">
        <v>662856.4</v>
      </c>
      <c r="L103" s="25">
        <v>96870.8</v>
      </c>
      <c r="M103" s="25">
        <v>30149.3</v>
      </c>
      <c r="N103" s="25">
        <v>854755</v>
      </c>
      <c r="O103" s="25">
        <v>94257</v>
      </c>
      <c r="P103" s="25">
        <v>17438</v>
      </c>
      <c r="Q103" s="25">
        <v>671300</v>
      </c>
      <c r="R103" s="25">
        <v>30799</v>
      </c>
      <c r="S103" s="25">
        <f t="shared" si="3"/>
        <v>3917</v>
      </c>
    </row>
    <row r="104" spans="1:19">
      <c r="A104" s="19">
        <v>44682</v>
      </c>
      <c r="B104">
        <f t="shared" si="2"/>
        <v>2022</v>
      </c>
      <c r="C104" s="2" t="s">
        <v>246</v>
      </c>
      <c r="D104" s="15">
        <v>7776.1</v>
      </c>
      <c r="E104" s="15">
        <v>7765</v>
      </c>
      <c r="F104" s="15">
        <v>235</v>
      </c>
      <c r="G104" s="15">
        <v>237.4</v>
      </c>
      <c r="H104">
        <v>60.5</v>
      </c>
      <c r="I104">
        <v>60.5</v>
      </c>
      <c r="J104" s="25">
        <v>850461.9</v>
      </c>
      <c r="K104" s="25">
        <v>662856.4</v>
      </c>
      <c r="L104" s="25">
        <v>96870.8</v>
      </c>
      <c r="M104" s="25">
        <v>30149.3</v>
      </c>
      <c r="N104" s="25">
        <v>854755</v>
      </c>
      <c r="O104" s="25">
        <v>94257</v>
      </c>
      <c r="P104" s="25">
        <v>17438</v>
      </c>
      <c r="Q104" s="25">
        <v>671300</v>
      </c>
      <c r="R104" s="25">
        <v>30799</v>
      </c>
      <c r="S104" s="25">
        <f t="shared" si="3"/>
        <v>3917</v>
      </c>
    </row>
    <row r="105" spans="1:19">
      <c r="A105" s="19">
        <v>44713</v>
      </c>
      <c r="B105">
        <f t="shared" si="2"/>
        <v>2022</v>
      </c>
      <c r="C105" s="2" t="s">
        <v>246</v>
      </c>
      <c r="D105" s="15">
        <v>7782.8</v>
      </c>
      <c r="E105" s="15">
        <v>7838.7</v>
      </c>
      <c r="F105" s="15">
        <v>236.3</v>
      </c>
      <c r="G105" s="15">
        <v>239.6</v>
      </c>
      <c r="H105">
        <v>62.5</v>
      </c>
      <c r="I105">
        <v>62.5</v>
      </c>
      <c r="J105" s="25">
        <v>850461.9</v>
      </c>
      <c r="K105" s="25">
        <v>662856.4</v>
      </c>
      <c r="L105" s="25">
        <v>96870.8</v>
      </c>
      <c r="M105" s="25">
        <v>30149.3</v>
      </c>
      <c r="N105" s="25">
        <v>854755</v>
      </c>
      <c r="O105" s="25">
        <v>94257</v>
      </c>
      <c r="P105" s="25">
        <v>17438</v>
      </c>
      <c r="Q105" s="25">
        <v>671300</v>
      </c>
      <c r="R105" s="25">
        <v>30799</v>
      </c>
      <c r="S105" s="25">
        <f t="shared" si="3"/>
        <v>3917</v>
      </c>
    </row>
    <row r="106" spans="1:19">
      <c r="A106" s="19">
        <v>44743</v>
      </c>
      <c r="B106">
        <f t="shared" si="2"/>
        <v>2022</v>
      </c>
      <c r="C106" s="2" t="s">
        <v>249</v>
      </c>
      <c r="D106" s="15">
        <v>7784.1</v>
      </c>
      <c r="E106" s="15">
        <v>7872.1</v>
      </c>
      <c r="F106" s="15">
        <v>236.4</v>
      </c>
      <c r="G106" s="15">
        <v>238.3</v>
      </c>
      <c r="H106">
        <v>64.7</v>
      </c>
      <c r="I106">
        <v>64.7</v>
      </c>
      <c r="J106" s="25">
        <v>850461.9</v>
      </c>
      <c r="K106" s="25">
        <v>662856.4</v>
      </c>
      <c r="L106" s="25">
        <v>96870.8</v>
      </c>
      <c r="M106" s="25">
        <v>30149.3</v>
      </c>
      <c r="N106" s="25">
        <v>856819</v>
      </c>
      <c r="O106" s="25">
        <v>93556</v>
      </c>
      <c r="P106" s="25">
        <v>17237</v>
      </c>
      <c r="Q106" s="25">
        <v>673371</v>
      </c>
      <c r="R106" s="25">
        <v>31375</v>
      </c>
      <c r="S106" s="25">
        <f t="shared" si="3"/>
        <v>1796</v>
      </c>
    </row>
    <row r="107" spans="1:19">
      <c r="A107" s="19">
        <v>44774</v>
      </c>
      <c r="B107">
        <f t="shared" si="2"/>
        <v>2022</v>
      </c>
      <c r="C107" s="2" t="s">
        <v>249</v>
      </c>
      <c r="D107" s="15">
        <v>7778</v>
      </c>
      <c r="E107" s="15">
        <v>7852.4</v>
      </c>
      <c r="F107" s="15">
        <v>235.2</v>
      </c>
      <c r="G107" s="15">
        <v>235.2</v>
      </c>
      <c r="H107">
        <v>64.5</v>
      </c>
      <c r="I107">
        <v>64.5</v>
      </c>
      <c r="J107" s="25">
        <v>850461.9</v>
      </c>
      <c r="K107" s="25">
        <v>662856.4</v>
      </c>
      <c r="L107" s="25">
        <v>96870.8</v>
      </c>
      <c r="M107" s="25">
        <v>30149.3</v>
      </c>
      <c r="N107" s="25">
        <v>856819</v>
      </c>
      <c r="O107" s="25">
        <v>93556</v>
      </c>
      <c r="P107" s="25">
        <v>17237</v>
      </c>
      <c r="Q107" s="25">
        <v>673371</v>
      </c>
      <c r="R107" s="25">
        <v>31375</v>
      </c>
      <c r="S107" s="25">
        <f t="shared" si="3"/>
        <v>1796</v>
      </c>
    </row>
    <row r="108" spans="1:19">
      <c r="A108" s="19">
        <v>44805</v>
      </c>
      <c r="B108">
        <f t="shared" ref="B108:B123" si="4">YEAR(A108)</f>
        <v>2022</v>
      </c>
      <c r="C108" s="2" t="s">
        <v>249</v>
      </c>
      <c r="D108" s="15">
        <v>7770.7</v>
      </c>
      <c r="E108" s="15">
        <v>7793.8</v>
      </c>
      <c r="F108" s="15">
        <v>233.8</v>
      </c>
      <c r="G108" s="15">
        <v>231.9</v>
      </c>
      <c r="H108">
        <v>64.8</v>
      </c>
      <c r="I108">
        <v>64.8</v>
      </c>
      <c r="J108" s="25">
        <v>850461.9</v>
      </c>
      <c r="K108" s="25">
        <v>662856.4</v>
      </c>
      <c r="L108" s="25">
        <v>96870.8</v>
      </c>
      <c r="M108" s="25">
        <v>30149.3</v>
      </c>
      <c r="N108" s="25">
        <v>856819</v>
      </c>
      <c r="O108" s="25">
        <v>93556</v>
      </c>
      <c r="P108" s="25">
        <v>17237</v>
      </c>
      <c r="Q108" s="25">
        <v>673371</v>
      </c>
      <c r="R108" s="25">
        <v>31375</v>
      </c>
      <c r="S108" s="25">
        <f t="shared" si="3"/>
        <v>1796</v>
      </c>
    </row>
    <row r="109" spans="1:19">
      <c r="A109" s="19">
        <v>44835</v>
      </c>
      <c r="B109">
        <f t="shared" si="4"/>
        <v>2022</v>
      </c>
      <c r="C109" s="2" t="s">
        <v>257</v>
      </c>
      <c r="D109" s="15">
        <v>7776.1</v>
      </c>
      <c r="E109" s="15">
        <v>7778.7</v>
      </c>
      <c r="F109" s="15">
        <v>234</v>
      </c>
      <c r="G109" s="15">
        <v>231.3</v>
      </c>
      <c r="H109">
        <v>64.7</v>
      </c>
      <c r="I109">
        <v>64.7</v>
      </c>
      <c r="J109" s="25">
        <v>850461.9</v>
      </c>
      <c r="K109" s="25">
        <v>662856.4</v>
      </c>
      <c r="L109" s="25">
        <v>96870.8</v>
      </c>
      <c r="M109" s="25">
        <v>30149.3</v>
      </c>
      <c r="N109" s="25">
        <v>856887</v>
      </c>
      <c r="O109" s="25">
        <v>91622</v>
      </c>
      <c r="P109" s="25">
        <v>17615</v>
      </c>
      <c r="Q109" s="25">
        <v>674341</v>
      </c>
      <c r="R109" s="25">
        <v>32380</v>
      </c>
      <c r="S109" s="25">
        <f t="shared" si="3"/>
        <v>-4001</v>
      </c>
    </row>
    <row r="110" spans="1:19">
      <c r="A110" s="19">
        <v>44866</v>
      </c>
      <c r="B110">
        <f t="shared" si="4"/>
        <v>2022</v>
      </c>
      <c r="C110" s="2" t="s">
        <v>257</v>
      </c>
      <c r="D110" s="15">
        <v>7791.7</v>
      </c>
      <c r="E110" s="15">
        <v>7783.8</v>
      </c>
      <c r="F110" s="15">
        <v>234.2</v>
      </c>
      <c r="G110" s="15">
        <v>232</v>
      </c>
      <c r="H110">
        <v>59.2</v>
      </c>
      <c r="I110">
        <v>59.2</v>
      </c>
      <c r="J110" s="25">
        <v>850461.9</v>
      </c>
      <c r="K110" s="25">
        <v>662856.4</v>
      </c>
      <c r="L110" s="25">
        <v>96870.8</v>
      </c>
      <c r="M110" s="25">
        <v>30149.3</v>
      </c>
      <c r="N110" s="25">
        <v>856887</v>
      </c>
      <c r="O110" s="25">
        <v>91622</v>
      </c>
      <c r="P110" s="25">
        <v>17615</v>
      </c>
      <c r="Q110" s="25">
        <v>674341</v>
      </c>
      <c r="R110" s="25">
        <v>32380</v>
      </c>
      <c r="S110" s="25">
        <f t="shared" si="3"/>
        <v>-4001</v>
      </c>
    </row>
    <row r="111" spans="1:19">
      <c r="A111" s="19">
        <v>44896</v>
      </c>
      <c r="B111">
        <f t="shared" si="4"/>
        <v>2022</v>
      </c>
      <c r="C111" s="2" t="s">
        <v>257</v>
      </c>
      <c r="D111" s="15">
        <v>7829.3</v>
      </c>
      <c r="E111" s="15">
        <v>7828.5</v>
      </c>
      <c r="F111" s="15">
        <v>236.7</v>
      </c>
      <c r="G111" s="15">
        <v>235.8</v>
      </c>
      <c r="H111">
        <v>58.9</v>
      </c>
      <c r="I111">
        <v>58.9</v>
      </c>
      <c r="J111" s="25">
        <v>850461.9</v>
      </c>
      <c r="K111" s="25">
        <v>662856.4</v>
      </c>
      <c r="L111" s="25">
        <v>96870.8</v>
      </c>
      <c r="M111" s="25">
        <v>30149.3</v>
      </c>
      <c r="N111" s="25">
        <v>856887</v>
      </c>
      <c r="O111" s="25">
        <v>91622</v>
      </c>
      <c r="P111" s="25">
        <v>17615</v>
      </c>
      <c r="Q111" s="25">
        <v>674341</v>
      </c>
      <c r="R111" s="25">
        <v>32380</v>
      </c>
      <c r="S111" s="25">
        <f t="shared" si="3"/>
        <v>-4001</v>
      </c>
    </row>
    <row r="112" spans="1:19">
      <c r="A112" s="2">
        <v>44927</v>
      </c>
      <c r="B112">
        <f t="shared" si="4"/>
        <v>2023</v>
      </c>
      <c r="C112" s="2" t="s">
        <v>245</v>
      </c>
      <c r="D112" s="15">
        <v>7861.3</v>
      </c>
      <c r="E112" s="15">
        <v>7829.1</v>
      </c>
      <c r="F112" s="15">
        <v>238.3</v>
      </c>
      <c r="G112" s="15">
        <v>238.2</v>
      </c>
      <c r="H112">
        <v>61.2</v>
      </c>
      <c r="I112">
        <v>61.2</v>
      </c>
      <c r="J112" s="25">
        <v>865859.6</v>
      </c>
      <c r="K112" s="25">
        <v>679067</v>
      </c>
      <c r="L112" s="25">
        <v>96987.199999999997</v>
      </c>
      <c r="M112" s="25">
        <v>32826.199999999997</v>
      </c>
      <c r="N112" s="25">
        <v>867096</v>
      </c>
      <c r="O112" s="25">
        <v>93889</v>
      </c>
      <c r="P112" s="25">
        <v>19232</v>
      </c>
      <c r="Q112" s="25">
        <v>682048</v>
      </c>
      <c r="R112" s="25">
        <v>32820</v>
      </c>
      <c r="S112" s="25">
        <f t="shared" si="3"/>
        <v>-1150</v>
      </c>
    </row>
    <row r="113" spans="1:19">
      <c r="A113" s="2">
        <v>44958</v>
      </c>
      <c r="B113">
        <f t="shared" si="4"/>
        <v>2023</v>
      </c>
      <c r="C113" s="2" t="s">
        <v>245</v>
      </c>
      <c r="D113" s="15">
        <v>7898.9</v>
      </c>
      <c r="E113" s="15">
        <v>7839</v>
      </c>
      <c r="F113" s="15">
        <v>238.8</v>
      </c>
      <c r="G113" s="15">
        <v>239</v>
      </c>
      <c r="H113">
        <v>66.400000000000006</v>
      </c>
      <c r="I113">
        <v>66.400000000000006</v>
      </c>
      <c r="J113" s="25">
        <v>865859.6</v>
      </c>
      <c r="K113" s="25">
        <v>679067</v>
      </c>
      <c r="L113" s="25">
        <v>96987.199999999997</v>
      </c>
      <c r="M113" s="25">
        <v>32826.199999999997</v>
      </c>
      <c r="N113" s="25">
        <v>867096</v>
      </c>
      <c r="O113" s="25">
        <v>93889</v>
      </c>
      <c r="P113" s="25">
        <v>19232</v>
      </c>
      <c r="Q113" s="25">
        <v>682048</v>
      </c>
      <c r="R113" s="25">
        <v>32820</v>
      </c>
      <c r="S113" s="25">
        <f t="shared" si="3"/>
        <v>-1150</v>
      </c>
    </row>
    <row r="114" spans="1:19">
      <c r="A114" s="2">
        <v>44986</v>
      </c>
      <c r="B114">
        <f t="shared" si="4"/>
        <v>2023</v>
      </c>
      <c r="C114" s="2" t="s">
        <v>245</v>
      </c>
      <c r="D114" s="15">
        <v>7931.4</v>
      </c>
      <c r="E114" s="15">
        <v>7848.5</v>
      </c>
      <c r="F114" s="15">
        <v>235.9</v>
      </c>
      <c r="G114" s="15">
        <v>235.6</v>
      </c>
      <c r="H114">
        <v>67.7</v>
      </c>
      <c r="I114">
        <v>67.7</v>
      </c>
      <c r="J114" s="25">
        <v>865859.6</v>
      </c>
      <c r="K114" s="25">
        <v>679067</v>
      </c>
      <c r="L114" s="25">
        <v>96987.199999999997</v>
      </c>
      <c r="M114" s="25">
        <v>32826.199999999997</v>
      </c>
      <c r="N114" s="25">
        <v>867096</v>
      </c>
      <c r="O114" s="25">
        <v>93889</v>
      </c>
      <c r="P114" s="25">
        <v>19232</v>
      </c>
      <c r="Q114" s="25">
        <v>682048</v>
      </c>
      <c r="R114" s="25">
        <v>32820</v>
      </c>
      <c r="S114" s="25">
        <f t="shared" si="3"/>
        <v>-1150</v>
      </c>
    </row>
    <row r="115" spans="1:19">
      <c r="A115" s="2">
        <v>45017</v>
      </c>
      <c r="B115">
        <f t="shared" si="4"/>
        <v>2023</v>
      </c>
      <c r="C115" s="2" t="s">
        <v>246</v>
      </c>
      <c r="D115" s="15">
        <v>7962</v>
      </c>
      <c r="E115" s="15">
        <v>7899.3</v>
      </c>
      <c r="F115" s="15">
        <v>233.2</v>
      </c>
      <c r="G115" s="15">
        <v>234.2</v>
      </c>
      <c r="H115">
        <v>67.400000000000006</v>
      </c>
      <c r="I115">
        <v>67.400000000000006</v>
      </c>
      <c r="J115" s="25">
        <v>865859.6</v>
      </c>
      <c r="K115" s="25">
        <v>679067</v>
      </c>
      <c r="L115" s="25">
        <v>96987.199999999997</v>
      </c>
      <c r="M115" s="25">
        <v>32826.199999999997</v>
      </c>
      <c r="N115" s="25">
        <v>873385</v>
      </c>
      <c r="O115" s="25">
        <v>96473</v>
      </c>
      <c r="P115" s="25">
        <v>20451</v>
      </c>
      <c r="Q115" s="25">
        <v>687199</v>
      </c>
      <c r="R115" s="25">
        <v>33081</v>
      </c>
      <c r="S115" s="25">
        <f t="shared" si="3"/>
        <v>2216</v>
      </c>
    </row>
    <row r="116" spans="1:19">
      <c r="A116" s="2">
        <v>45047</v>
      </c>
      <c r="B116">
        <f t="shared" si="4"/>
        <v>2023</v>
      </c>
      <c r="C116" s="2" t="s">
        <v>246</v>
      </c>
      <c r="D116" s="15">
        <v>7978.4</v>
      </c>
      <c r="E116" s="15">
        <v>7966.2</v>
      </c>
      <c r="F116" s="15">
        <v>230.7</v>
      </c>
      <c r="G116" s="15">
        <v>232</v>
      </c>
      <c r="H116">
        <v>68.2</v>
      </c>
      <c r="I116">
        <v>68.2</v>
      </c>
      <c r="J116" s="25">
        <v>865859.6</v>
      </c>
      <c r="K116" s="25">
        <v>679067</v>
      </c>
      <c r="L116" s="25">
        <v>96987.199999999997</v>
      </c>
      <c r="M116" s="25">
        <v>32826.199999999997</v>
      </c>
      <c r="N116" s="25">
        <v>873385</v>
      </c>
      <c r="O116" s="25">
        <v>96473</v>
      </c>
      <c r="P116" s="25">
        <v>20451</v>
      </c>
      <c r="Q116" s="25">
        <v>687199</v>
      </c>
      <c r="R116" s="25">
        <v>33081</v>
      </c>
      <c r="S116" s="25">
        <f t="shared" si="3"/>
        <v>2216</v>
      </c>
    </row>
    <row r="117" spans="1:19">
      <c r="A117" s="2">
        <v>45078</v>
      </c>
      <c r="B117">
        <f t="shared" si="4"/>
        <v>2023</v>
      </c>
      <c r="C117" s="2" t="s">
        <v>246</v>
      </c>
      <c r="D117" s="15">
        <v>8001.1</v>
      </c>
      <c r="E117" s="15">
        <v>8058.5</v>
      </c>
      <c r="F117" s="15">
        <v>232.3</v>
      </c>
      <c r="G117" s="15">
        <v>234</v>
      </c>
      <c r="H117">
        <v>70.5</v>
      </c>
      <c r="I117">
        <v>70.5</v>
      </c>
      <c r="J117" s="25">
        <v>865859.6</v>
      </c>
      <c r="K117" s="25">
        <v>679067</v>
      </c>
      <c r="L117" s="25">
        <v>96987.199999999997</v>
      </c>
      <c r="M117" s="25">
        <v>32826.199999999997</v>
      </c>
      <c r="N117" s="25">
        <v>873385</v>
      </c>
      <c r="O117" s="25">
        <v>96473</v>
      </c>
      <c r="P117" s="25">
        <v>20451</v>
      </c>
      <c r="Q117" s="25">
        <v>687199</v>
      </c>
      <c r="R117" s="25">
        <v>33081</v>
      </c>
      <c r="S117" s="25">
        <f t="shared" si="3"/>
        <v>2216</v>
      </c>
    </row>
    <row r="118" spans="1:19">
      <c r="A118" s="2">
        <v>45108</v>
      </c>
      <c r="B118">
        <f t="shared" si="4"/>
        <v>2023</v>
      </c>
      <c r="C118" s="2" t="s">
        <v>249</v>
      </c>
      <c r="D118" s="15">
        <v>8016.3</v>
      </c>
      <c r="E118" s="15">
        <v>8107</v>
      </c>
      <c r="F118" s="15">
        <v>234.3</v>
      </c>
      <c r="G118" s="15">
        <v>233.8</v>
      </c>
      <c r="H118">
        <v>68.8</v>
      </c>
      <c r="I118">
        <v>68.8</v>
      </c>
      <c r="J118" s="25">
        <v>865859.6</v>
      </c>
      <c r="K118" s="25">
        <v>679067</v>
      </c>
      <c r="L118" s="25">
        <v>96987.199999999997</v>
      </c>
      <c r="M118" s="25">
        <v>32826.199999999997</v>
      </c>
      <c r="N118" s="25">
        <v>876964</v>
      </c>
      <c r="O118" s="25">
        <v>93549</v>
      </c>
      <c r="P118" s="25">
        <v>20113</v>
      </c>
      <c r="Q118" s="25">
        <v>694489</v>
      </c>
      <c r="R118" s="25">
        <v>33235</v>
      </c>
      <c r="S118" s="25">
        <f t="shared" si="3"/>
        <v>-7</v>
      </c>
    </row>
    <row r="119" spans="1:19">
      <c r="A119" s="2">
        <v>45139</v>
      </c>
      <c r="B119">
        <f t="shared" si="4"/>
        <v>2023</v>
      </c>
      <c r="C119" s="2" t="s">
        <v>249</v>
      </c>
      <c r="D119" s="15">
        <v>8040</v>
      </c>
      <c r="E119" s="15">
        <v>8115.6</v>
      </c>
      <c r="F119" s="15">
        <v>237</v>
      </c>
      <c r="G119" s="15">
        <v>235.3</v>
      </c>
      <c r="H119">
        <v>68.5</v>
      </c>
      <c r="I119">
        <v>68.5</v>
      </c>
      <c r="J119" s="25">
        <v>865859.6</v>
      </c>
      <c r="K119" s="25">
        <v>679067</v>
      </c>
      <c r="L119" s="25">
        <v>96987.199999999997</v>
      </c>
      <c r="M119" s="25">
        <v>32826.199999999997</v>
      </c>
      <c r="N119" s="25">
        <v>876964</v>
      </c>
      <c r="O119" s="25">
        <v>93549</v>
      </c>
      <c r="P119" s="25">
        <v>20113</v>
      </c>
      <c r="Q119" s="25">
        <v>694489</v>
      </c>
      <c r="R119" s="25">
        <v>33235</v>
      </c>
      <c r="S119" s="25">
        <f t="shared" si="3"/>
        <v>-7</v>
      </c>
    </row>
    <row r="120" spans="1:19">
      <c r="A120" s="2">
        <v>45170</v>
      </c>
      <c r="B120">
        <f t="shared" si="4"/>
        <v>2023</v>
      </c>
      <c r="C120" s="2" t="s">
        <v>249</v>
      </c>
      <c r="D120" s="15">
        <v>8052.4</v>
      </c>
      <c r="E120" s="15">
        <v>8068.5</v>
      </c>
      <c r="F120" s="15">
        <v>236.7</v>
      </c>
      <c r="G120" s="15">
        <v>233.9</v>
      </c>
      <c r="H120">
        <v>64.2</v>
      </c>
      <c r="I120">
        <v>64.2</v>
      </c>
      <c r="J120" s="25">
        <v>865859.6</v>
      </c>
      <c r="K120" s="25">
        <v>679067</v>
      </c>
      <c r="L120" s="25">
        <v>96987.199999999997</v>
      </c>
      <c r="M120" s="25">
        <v>32826.199999999997</v>
      </c>
      <c r="N120" s="25">
        <v>876964</v>
      </c>
      <c r="O120" s="25">
        <v>93549</v>
      </c>
      <c r="P120" s="25">
        <v>20113</v>
      </c>
      <c r="Q120" s="25">
        <v>694489</v>
      </c>
      <c r="R120" s="25">
        <v>33235</v>
      </c>
      <c r="S120" s="25">
        <f t="shared" si="3"/>
        <v>-7</v>
      </c>
    </row>
    <row r="121" spans="1:19">
      <c r="A121" s="2">
        <v>45200</v>
      </c>
      <c r="B121">
        <f t="shared" si="4"/>
        <v>2023</v>
      </c>
      <c r="C121" s="2" t="s">
        <v>257</v>
      </c>
      <c r="D121" s="15">
        <v>8058.3</v>
      </c>
      <c r="E121" s="15">
        <v>8050.1</v>
      </c>
      <c r="F121" s="15">
        <v>235.3</v>
      </c>
      <c r="G121" s="15">
        <v>232.7</v>
      </c>
      <c r="H121">
        <v>61.6</v>
      </c>
      <c r="I121">
        <v>61.6</v>
      </c>
      <c r="J121" s="25">
        <v>865859.6</v>
      </c>
      <c r="K121" s="25">
        <v>679067</v>
      </c>
      <c r="L121" s="25">
        <v>96987.199999999997</v>
      </c>
      <c r="M121" s="25">
        <v>32826.199999999997</v>
      </c>
      <c r="N121" s="25">
        <v>880255</v>
      </c>
      <c r="O121" s="25">
        <v>91343</v>
      </c>
      <c r="P121" s="25">
        <v>18913</v>
      </c>
      <c r="Q121" s="25">
        <v>700195</v>
      </c>
      <c r="R121" s="25">
        <v>33925</v>
      </c>
      <c r="S121" s="25">
        <f t="shared" si="3"/>
        <v>-279</v>
      </c>
    </row>
    <row r="122" spans="1:19">
      <c r="A122" s="2">
        <v>45231</v>
      </c>
      <c r="B122">
        <f t="shared" si="4"/>
        <v>2023</v>
      </c>
      <c r="C122" s="2" t="s">
        <v>257</v>
      </c>
      <c r="D122" s="15">
        <v>8062.1</v>
      </c>
      <c r="E122" s="15">
        <v>8046.2</v>
      </c>
      <c r="F122" s="15">
        <v>236.9</v>
      </c>
      <c r="G122" s="15">
        <v>235.3</v>
      </c>
      <c r="H122">
        <v>56.9</v>
      </c>
      <c r="I122">
        <v>56.9</v>
      </c>
      <c r="J122" s="25">
        <v>865859.6</v>
      </c>
      <c r="K122" s="25">
        <v>679067</v>
      </c>
      <c r="L122" s="25">
        <v>96987.199999999997</v>
      </c>
      <c r="M122" s="25">
        <v>32826.199999999997</v>
      </c>
      <c r="N122" s="25">
        <v>880255</v>
      </c>
      <c r="O122" s="25">
        <v>91343</v>
      </c>
      <c r="P122" s="25">
        <v>18913</v>
      </c>
      <c r="Q122" s="25">
        <v>700195</v>
      </c>
      <c r="R122" s="25">
        <v>33925</v>
      </c>
      <c r="S122" s="25">
        <f t="shared" si="3"/>
        <v>-279</v>
      </c>
    </row>
    <row r="123" spans="1:19">
      <c r="A123" s="2">
        <v>45261</v>
      </c>
      <c r="B123">
        <f t="shared" si="4"/>
        <v>2023</v>
      </c>
      <c r="C123" s="2" t="s">
        <v>257</v>
      </c>
      <c r="D123" s="15">
        <v>8052.5</v>
      </c>
      <c r="E123" s="15">
        <v>8049</v>
      </c>
      <c r="F123" s="15">
        <v>239.3</v>
      </c>
      <c r="G123" s="15">
        <v>238.8</v>
      </c>
      <c r="H123">
        <v>50</v>
      </c>
      <c r="I123">
        <v>50</v>
      </c>
      <c r="J123" s="25">
        <v>865859.6</v>
      </c>
      <c r="K123" s="25">
        <v>679067</v>
      </c>
      <c r="L123" s="25">
        <v>96987.199999999997</v>
      </c>
      <c r="M123" s="25">
        <v>32826.199999999997</v>
      </c>
      <c r="N123" s="25">
        <v>880255</v>
      </c>
      <c r="O123" s="25">
        <v>91343</v>
      </c>
      <c r="P123" s="25">
        <v>18913</v>
      </c>
      <c r="Q123" s="25">
        <v>700195</v>
      </c>
      <c r="R123" s="25">
        <v>33925</v>
      </c>
      <c r="S123" s="25">
        <f t="shared" si="3"/>
        <v>-279</v>
      </c>
    </row>
    <row r="124" spans="1:19">
      <c r="A124" s="2">
        <v>45292</v>
      </c>
      <c r="B124">
        <f>YEAR(A124)</f>
        <v>2024</v>
      </c>
      <c r="C124" s="2" t="str">
        <f>C112</f>
        <v>Q1</v>
      </c>
      <c r="D124" s="15">
        <v>8051</v>
      </c>
      <c r="E124" s="15">
        <v>8019.7</v>
      </c>
      <c r="F124" s="15">
        <v>241.4</v>
      </c>
      <c r="G124" s="15">
        <v>242.1</v>
      </c>
      <c r="H124">
        <v>46.4</v>
      </c>
      <c r="I124">
        <v>46.4</v>
      </c>
      <c r="J124" s="25">
        <v>876619.7</v>
      </c>
      <c r="K124" s="25">
        <v>694601.3</v>
      </c>
      <c r="L124" s="397">
        <v>92436.4</v>
      </c>
      <c r="M124" s="397">
        <v>33851.4</v>
      </c>
      <c r="N124" s="25">
        <v>885802</v>
      </c>
      <c r="O124" s="25">
        <v>90917</v>
      </c>
      <c r="P124" s="25">
        <v>18172</v>
      </c>
      <c r="Q124" s="25">
        <v>705815</v>
      </c>
      <c r="R124" s="25">
        <v>34312</v>
      </c>
      <c r="S124" s="25">
        <f t="shared" si="3"/>
        <v>-2972</v>
      </c>
    </row>
    <row r="125" spans="1:19">
      <c r="A125" s="2">
        <v>45323</v>
      </c>
      <c r="B125">
        <f t="shared" ref="B125:B147" si="5">YEAR(A125)</f>
        <v>2024</v>
      </c>
      <c r="C125" s="2" t="str">
        <f t="shared" ref="C125:C188" si="6">C113</f>
        <v>Q1</v>
      </c>
      <c r="D125" s="15">
        <v>8047.9</v>
      </c>
      <c r="E125" s="15">
        <v>7991.4</v>
      </c>
      <c r="F125" s="15">
        <v>242.5</v>
      </c>
      <c r="G125" s="15">
        <v>243.5</v>
      </c>
      <c r="H125">
        <v>41.6</v>
      </c>
      <c r="I125">
        <v>41.6</v>
      </c>
      <c r="J125" s="25">
        <v>876619.7</v>
      </c>
      <c r="K125" s="25">
        <v>694601.3</v>
      </c>
      <c r="L125" s="397">
        <v>92436.4</v>
      </c>
      <c r="M125" s="397">
        <v>33851.4</v>
      </c>
      <c r="N125" s="25">
        <v>885802</v>
      </c>
      <c r="O125" s="25">
        <v>90917</v>
      </c>
      <c r="P125" s="25">
        <v>18172</v>
      </c>
      <c r="Q125" s="25">
        <v>705815</v>
      </c>
      <c r="R125" s="25">
        <v>34312</v>
      </c>
      <c r="S125" s="25">
        <f t="shared" si="3"/>
        <v>-2972</v>
      </c>
    </row>
    <row r="126" spans="1:19">
      <c r="A126" s="2">
        <v>45352</v>
      </c>
      <c r="B126">
        <f t="shared" si="5"/>
        <v>2024</v>
      </c>
      <c r="C126" s="2" t="str">
        <f t="shared" si="6"/>
        <v>Q1</v>
      </c>
      <c r="D126" s="15">
        <v>8066</v>
      </c>
      <c r="E126" s="15">
        <v>7988.6</v>
      </c>
      <c r="F126" s="15">
        <v>243.6</v>
      </c>
      <c r="G126" s="15">
        <v>244</v>
      </c>
      <c r="H126">
        <v>42.2</v>
      </c>
      <c r="I126">
        <v>42.2</v>
      </c>
      <c r="J126" s="25">
        <v>876619.7</v>
      </c>
      <c r="K126" s="25">
        <v>694601.3</v>
      </c>
      <c r="L126" s="397">
        <v>92436.4</v>
      </c>
      <c r="M126" s="397">
        <v>33851.4</v>
      </c>
      <c r="N126" s="25">
        <v>885802</v>
      </c>
      <c r="O126" s="25">
        <v>90917</v>
      </c>
      <c r="P126" s="25">
        <v>18172</v>
      </c>
      <c r="Q126" s="25">
        <v>705815</v>
      </c>
      <c r="R126" s="25">
        <v>34312</v>
      </c>
      <c r="S126" s="25">
        <f t="shared" si="3"/>
        <v>-2972</v>
      </c>
    </row>
    <row r="127" spans="1:19">
      <c r="A127" s="2">
        <v>45383</v>
      </c>
      <c r="B127">
        <f t="shared" si="5"/>
        <v>2024</v>
      </c>
      <c r="C127" s="2" t="str">
        <f t="shared" si="6"/>
        <v>Q2</v>
      </c>
      <c r="D127" s="15">
        <v>8087.1</v>
      </c>
      <c r="E127" s="15">
        <v>8033.3</v>
      </c>
      <c r="F127" s="15">
        <v>247</v>
      </c>
      <c r="G127" s="15">
        <v>246.5</v>
      </c>
      <c r="H127">
        <v>42.5</v>
      </c>
      <c r="I127">
        <v>42.5</v>
      </c>
      <c r="J127" s="25">
        <v>876619.7</v>
      </c>
      <c r="K127" s="25">
        <v>694601.3</v>
      </c>
      <c r="L127" s="397">
        <v>92436.4</v>
      </c>
      <c r="M127" s="397">
        <v>33851.4</v>
      </c>
      <c r="N127" s="25">
        <v>888733</v>
      </c>
      <c r="O127" s="25">
        <v>90108</v>
      </c>
      <c r="P127" s="25">
        <v>17537</v>
      </c>
      <c r="Q127" s="25">
        <v>709569</v>
      </c>
      <c r="R127" s="25">
        <v>34591</v>
      </c>
      <c r="S127" s="25">
        <f t="shared" si="3"/>
        <v>-6365</v>
      </c>
    </row>
    <row r="128" spans="1:19">
      <c r="A128" s="2">
        <v>45413</v>
      </c>
      <c r="B128">
        <f t="shared" si="5"/>
        <v>2024</v>
      </c>
      <c r="C128" s="2" t="str">
        <f t="shared" si="6"/>
        <v>Q2</v>
      </c>
      <c r="D128" s="15">
        <v>8119.7</v>
      </c>
      <c r="E128" s="15">
        <v>8113.6</v>
      </c>
      <c r="F128" s="15">
        <v>248.1</v>
      </c>
      <c r="G128" s="15">
        <v>247.1</v>
      </c>
      <c r="H128">
        <v>45.7</v>
      </c>
      <c r="I128">
        <v>45.7</v>
      </c>
      <c r="J128" s="25">
        <v>876619.7</v>
      </c>
      <c r="K128" s="25">
        <v>694601.3</v>
      </c>
      <c r="L128" s="397">
        <v>92436.4</v>
      </c>
      <c r="M128" s="397">
        <v>33851.4</v>
      </c>
      <c r="N128" s="25">
        <v>888733</v>
      </c>
      <c r="O128" s="25">
        <v>90108</v>
      </c>
      <c r="P128" s="25">
        <v>17537</v>
      </c>
      <c r="Q128" s="25">
        <v>709569</v>
      </c>
      <c r="R128" s="25">
        <v>34591</v>
      </c>
      <c r="S128" s="25">
        <f t="shared" si="3"/>
        <v>-6365</v>
      </c>
    </row>
    <row r="129" spans="1:19">
      <c r="A129" s="2">
        <v>45444</v>
      </c>
      <c r="B129">
        <f t="shared" si="5"/>
        <v>2024</v>
      </c>
      <c r="C129" s="2" t="str">
        <f t="shared" si="6"/>
        <v>Q2</v>
      </c>
      <c r="D129" s="15">
        <v>8140.7</v>
      </c>
      <c r="E129" s="15">
        <v>8202.2000000000007</v>
      </c>
      <c r="F129" s="15">
        <v>246.6</v>
      </c>
      <c r="G129" s="15">
        <v>245.9</v>
      </c>
      <c r="H129">
        <v>50.4</v>
      </c>
      <c r="I129">
        <v>50.4</v>
      </c>
      <c r="J129" s="25">
        <v>876619.7</v>
      </c>
      <c r="K129" s="25">
        <v>694601.3</v>
      </c>
      <c r="L129" s="397">
        <v>92436.4</v>
      </c>
      <c r="M129" s="397">
        <v>33851.4</v>
      </c>
      <c r="N129" s="25">
        <v>888733</v>
      </c>
      <c r="O129" s="25">
        <v>90108</v>
      </c>
      <c r="P129" s="25">
        <v>17537</v>
      </c>
      <c r="Q129" s="25">
        <v>709569</v>
      </c>
      <c r="R129" s="25">
        <v>34591</v>
      </c>
      <c r="S129" s="25">
        <f t="shared" si="3"/>
        <v>-6365</v>
      </c>
    </row>
    <row r="130" spans="1:19">
      <c r="A130" s="2">
        <v>45474</v>
      </c>
      <c r="B130">
        <f t="shared" si="5"/>
        <v>2024</v>
      </c>
      <c r="C130" s="2" t="str">
        <f t="shared" si="6"/>
        <v>Q3</v>
      </c>
      <c r="D130" s="15">
        <v>8161</v>
      </c>
      <c r="E130" s="15">
        <v>8253.1</v>
      </c>
      <c r="F130" s="15">
        <v>242.6</v>
      </c>
      <c r="G130" s="15">
        <v>243</v>
      </c>
      <c r="H130">
        <v>52.8</v>
      </c>
      <c r="I130">
        <v>52.8</v>
      </c>
      <c r="J130" s="25">
        <v>876619.7</v>
      </c>
      <c r="K130" s="25">
        <v>694601.3</v>
      </c>
      <c r="L130" s="397">
        <v>92436.4</v>
      </c>
      <c r="M130" s="397">
        <v>33851.4</v>
      </c>
      <c r="N130" s="25">
        <v>890079</v>
      </c>
      <c r="O130" s="25">
        <v>88612</v>
      </c>
      <c r="P130" s="25">
        <v>17071</v>
      </c>
      <c r="Q130" s="25">
        <v>712400</v>
      </c>
      <c r="R130" s="25">
        <v>34427</v>
      </c>
      <c r="S130" s="25">
        <f t="shared" si="3"/>
        <v>-4937</v>
      </c>
    </row>
    <row r="131" spans="1:19">
      <c r="A131" s="2">
        <v>45505</v>
      </c>
      <c r="B131">
        <f t="shared" si="5"/>
        <v>2024</v>
      </c>
      <c r="C131" s="2" t="str">
        <f t="shared" si="6"/>
        <v>Q3</v>
      </c>
      <c r="D131" s="15">
        <v>8167</v>
      </c>
      <c r="E131" s="15">
        <v>8245.1</v>
      </c>
      <c r="F131" s="15">
        <v>239.3</v>
      </c>
      <c r="G131" s="15">
        <v>239.1</v>
      </c>
      <c r="H131">
        <v>53.7</v>
      </c>
      <c r="I131">
        <v>53.7</v>
      </c>
      <c r="J131" s="25">
        <v>876619.7</v>
      </c>
      <c r="K131" s="25">
        <v>694601.3</v>
      </c>
      <c r="L131" s="397">
        <v>92436.4</v>
      </c>
      <c r="M131" s="397">
        <v>33851.4</v>
      </c>
      <c r="N131" s="25">
        <v>890079</v>
      </c>
      <c r="O131" s="25">
        <v>88612</v>
      </c>
      <c r="P131" s="25">
        <v>17071</v>
      </c>
      <c r="Q131" s="25">
        <v>712400</v>
      </c>
      <c r="R131" s="25">
        <v>34427</v>
      </c>
      <c r="S131" s="25">
        <f t="shared" si="3"/>
        <v>-4937</v>
      </c>
    </row>
    <row r="132" spans="1:19">
      <c r="A132" s="2">
        <v>45536</v>
      </c>
      <c r="B132">
        <f t="shared" si="5"/>
        <v>2024</v>
      </c>
      <c r="C132" s="2" t="str">
        <f t="shared" si="6"/>
        <v>Q3</v>
      </c>
      <c r="D132" s="15">
        <v>8182.9</v>
      </c>
      <c r="E132" s="15">
        <v>8217.2000000000007</v>
      </c>
      <c r="F132" s="15">
        <v>239.6</v>
      </c>
      <c r="G132" s="15">
        <v>239.6</v>
      </c>
      <c r="H132">
        <v>51.7</v>
      </c>
      <c r="I132">
        <v>51.7</v>
      </c>
      <c r="J132" s="397">
        <v>876619.7</v>
      </c>
      <c r="K132" s="397">
        <v>694601.3</v>
      </c>
      <c r="L132" s="397">
        <v>92436.4</v>
      </c>
      <c r="M132" s="397">
        <v>33851.4</v>
      </c>
      <c r="N132" s="25">
        <v>890079</v>
      </c>
      <c r="O132" s="25">
        <v>88612</v>
      </c>
      <c r="P132" s="25">
        <v>17071</v>
      </c>
      <c r="Q132" s="25">
        <v>712400</v>
      </c>
      <c r="R132" s="25">
        <v>34427</v>
      </c>
      <c r="S132" s="25">
        <f t="shared" si="3"/>
        <v>-4937</v>
      </c>
    </row>
    <row r="133" spans="1:19">
      <c r="A133" s="2">
        <v>45566</v>
      </c>
      <c r="B133">
        <f t="shared" si="5"/>
        <v>2024</v>
      </c>
      <c r="C133" s="2" t="str">
        <f t="shared" si="6"/>
        <v>Q4</v>
      </c>
      <c r="D133" s="15">
        <v>8184.5</v>
      </c>
      <c r="E133" s="15">
        <v>8197.6</v>
      </c>
      <c r="F133" s="15">
        <v>240.3</v>
      </c>
      <c r="G133" s="15">
        <v>239.7</v>
      </c>
      <c r="H133">
        <v>46.4</v>
      </c>
      <c r="I133">
        <v>46.4</v>
      </c>
      <c r="J133" s="397">
        <v>876619.7</v>
      </c>
      <c r="K133" s="397">
        <v>694601.3</v>
      </c>
      <c r="L133" s="397">
        <v>92436.4</v>
      </c>
      <c r="M133" s="397">
        <v>33851.4</v>
      </c>
      <c r="N133" s="25">
        <v>893201</v>
      </c>
      <c r="O133" s="25">
        <v>88445</v>
      </c>
      <c r="P133" s="25">
        <v>17031</v>
      </c>
      <c r="Q133" s="25">
        <v>714829</v>
      </c>
      <c r="R133" s="25">
        <v>34392</v>
      </c>
      <c r="S133" s="25">
        <f t="shared" si="3"/>
        <v>-2898</v>
      </c>
    </row>
    <row r="134" spans="1:19">
      <c r="A134" s="2">
        <v>45597</v>
      </c>
      <c r="B134">
        <f t="shared" si="5"/>
        <v>2024</v>
      </c>
      <c r="C134" s="2" t="str">
        <f t="shared" si="6"/>
        <v>Q4</v>
      </c>
      <c r="D134" s="15">
        <v>8185.4</v>
      </c>
      <c r="E134" s="15">
        <v>8185.1</v>
      </c>
      <c r="F134" s="15">
        <v>239.1</v>
      </c>
      <c r="G134" s="15">
        <v>239.7</v>
      </c>
      <c r="H134">
        <v>41.7</v>
      </c>
      <c r="I134">
        <v>41.7</v>
      </c>
      <c r="J134" s="397">
        <v>876619.7</v>
      </c>
      <c r="K134" s="397">
        <v>694601.3</v>
      </c>
      <c r="L134" s="397">
        <v>92436.4</v>
      </c>
      <c r="M134" s="397">
        <v>33851.4</v>
      </c>
      <c r="N134" s="25">
        <v>893201</v>
      </c>
      <c r="O134" s="25">
        <v>88445</v>
      </c>
      <c r="P134" s="25">
        <v>17031</v>
      </c>
      <c r="Q134" s="25">
        <v>714829</v>
      </c>
      <c r="R134" s="25">
        <v>34392</v>
      </c>
      <c r="S134" s="25">
        <f t="shared" si="3"/>
        <v>-2898</v>
      </c>
    </row>
    <row r="135" spans="1:19">
      <c r="A135" s="2">
        <v>45627</v>
      </c>
      <c r="B135" s="409">
        <f t="shared" si="5"/>
        <v>2024</v>
      </c>
      <c r="C135" s="19" t="str">
        <f t="shared" si="6"/>
        <v>Q4</v>
      </c>
      <c r="D135" s="15">
        <v>8187.7</v>
      </c>
      <c r="E135" s="15">
        <v>8176.6</v>
      </c>
      <c r="F135" s="15">
        <v>238.2</v>
      </c>
      <c r="G135" s="15">
        <v>239.7</v>
      </c>
      <c r="H135">
        <v>35.1</v>
      </c>
      <c r="I135">
        <v>35.1</v>
      </c>
      <c r="J135" s="397">
        <v>876619.7</v>
      </c>
      <c r="K135" s="397">
        <v>694601.3</v>
      </c>
      <c r="L135" s="397">
        <v>92436.4</v>
      </c>
      <c r="M135" s="397">
        <v>33851.4</v>
      </c>
      <c r="N135" s="25">
        <v>893201</v>
      </c>
      <c r="O135" s="25">
        <v>88445</v>
      </c>
      <c r="P135" s="25">
        <v>17031</v>
      </c>
      <c r="Q135" s="25">
        <v>714829</v>
      </c>
      <c r="R135" s="25">
        <v>34392</v>
      </c>
      <c r="S135" s="25">
        <f t="shared" si="3"/>
        <v>-2898</v>
      </c>
    </row>
    <row r="136" spans="1:19">
      <c r="A136" s="28">
        <v>45658</v>
      </c>
      <c r="B136" s="29">
        <f t="shared" si="5"/>
        <v>2025</v>
      </c>
      <c r="C136" s="28" t="str">
        <f t="shared" si="6"/>
        <v>Q1</v>
      </c>
      <c r="D136" s="15">
        <v>8205.7000000000007</v>
      </c>
      <c r="E136" s="15">
        <v>8161.4</v>
      </c>
      <c r="F136" s="15">
        <v>241</v>
      </c>
      <c r="G136" s="15">
        <v>243.4</v>
      </c>
      <c r="H136">
        <v>29.7</v>
      </c>
      <c r="I136">
        <v>29.7</v>
      </c>
      <c r="J136" s="30">
        <f t="shared" ref="J136:M147" si="7">J124*(1+$AC$12)</f>
        <v>888015.75609999988</v>
      </c>
      <c r="K136" s="30">
        <f t="shared" si="7"/>
        <v>703631.11690000002</v>
      </c>
      <c r="L136" s="30">
        <f t="shared" si="7"/>
        <v>93638.073199999984</v>
      </c>
      <c r="M136" s="30">
        <f t="shared" si="7"/>
        <v>34291.468199999996</v>
      </c>
      <c r="N136" s="25">
        <v>897872</v>
      </c>
      <c r="O136" s="25">
        <v>89295</v>
      </c>
      <c r="P136" s="25">
        <v>17234</v>
      </c>
      <c r="Q136" s="25">
        <v>719111</v>
      </c>
      <c r="R136" s="25">
        <v>34233</v>
      </c>
      <c r="S136" s="25">
        <f t="shared" si="3"/>
        <v>-1622</v>
      </c>
    </row>
    <row r="137" spans="1:19">
      <c r="A137" s="28">
        <v>45689</v>
      </c>
      <c r="B137" s="29">
        <f t="shared" si="5"/>
        <v>2025</v>
      </c>
      <c r="C137" s="28" t="str">
        <f t="shared" si="6"/>
        <v>Q1</v>
      </c>
      <c r="D137" s="15">
        <v>8230</v>
      </c>
      <c r="E137" s="15">
        <v>8165.5</v>
      </c>
      <c r="F137" s="15">
        <v>243.8</v>
      </c>
      <c r="G137" s="15">
        <v>246.7</v>
      </c>
      <c r="H137">
        <v>27.9</v>
      </c>
      <c r="I137">
        <v>27.9</v>
      </c>
      <c r="J137" s="30">
        <f t="shared" si="7"/>
        <v>888015.75609999988</v>
      </c>
      <c r="K137" s="30">
        <f t="shared" si="7"/>
        <v>703631.11690000002</v>
      </c>
      <c r="L137" s="30">
        <f t="shared" si="7"/>
        <v>93638.073199999984</v>
      </c>
      <c r="M137" s="30">
        <f t="shared" si="7"/>
        <v>34291.468199999996</v>
      </c>
      <c r="N137" s="25">
        <v>897872</v>
      </c>
      <c r="O137" s="25">
        <v>89295</v>
      </c>
      <c r="P137" s="25">
        <v>17234</v>
      </c>
      <c r="Q137" s="25">
        <v>719111</v>
      </c>
      <c r="R137" s="25">
        <v>34233</v>
      </c>
      <c r="S137" s="25">
        <f t="shared" si="3"/>
        <v>-1622</v>
      </c>
    </row>
    <row r="138" spans="1:19">
      <c r="A138" s="28">
        <v>45717</v>
      </c>
      <c r="B138" s="29">
        <f t="shared" si="5"/>
        <v>2025</v>
      </c>
      <c r="C138" s="28" t="str">
        <f t="shared" si="6"/>
        <v>Q1</v>
      </c>
      <c r="D138" s="15">
        <v>8233.7999999999993</v>
      </c>
      <c r="E138" s="15">
        <v>8155.5</v>
      </c>
      <c r="F138" s="15">
        <v>246.1</v>
      </c>
      <c r="G138" s="15">
        <v>247.3</v>
      </c>
      <c r="H138">
        <v>31.7</v>
      </c>
      <c r="I138">
        <v>31.7</v>
      </c>
      <c r="J138" s="30">
        <f t="shared" si="7"/>
        <v>888015.75609999988</v>
      </c>
      <c r="K138" s="30">
        <f t="shared" si="7"/>
        <v>703631.11690000002</v>
      </c>
      <c r="L138" s="30">
        <f t="shared" si="7"/>
        <v>93638.073199999984</v>
      </c>
      <c r="M138" s="30">
        <f t="shared" si="7"/>
        <v>34291.468199999996</v>
      </c>
      <c r="N138" s="25">
        <v>897872</v>
      </c>
      <c r="O138" s="25">
        <v>89295</v>
      </c>
      <c r="P138" s="25">
        <v>17234</v>
      </c>
      <c r="Q138" s="25">
        <v>719111</v>
      </c>
      <c r="R138" s="25">
        <v>34233</v>
      </c>
      <c r="S138" s="25">
        <f t="shared" si="3"/>
        <v>-1622</v>
      </c>
    </row>
    <row r="139" spans="1:19">
      <c r="A139" s="28">
        <v>45748</v>
      </c>
      <c r="B139" s="29">
        <f t="shared" si="5"/>
        <v>2025</v>
      </c>
      <c r="C139" s="28" t="str">
        <f t="shared" si="6"/>
        <v>Q2</v>
      </c>
      <c r="D139" s="15">
        <v>8220.2999999999993</v>
      </c>
      <c r="E139" s="15">
        <v>8165.3</v>
      </c>
      <c r="F139" s="15">
        <v>242.5</v>
      </c>
      <c r="G139" s="15">
        <v>242.7</v>
      </c>
      <c r="H139">
        <v>41.2</v>
      </c>
      <c r="I139">
        <v>41.2</v>
      </c>
      <c r="J139" s="30">
        <f t="shared" si="7"/>
        <v>888015.75609999988</v>
      </c>
      <c r="K139" s="30">
        <f t="shared" si="7"/>
        <v>703631.11690000002</v>
      </c>
      <c r="L139" s="30">
        <f t="shared" si="7"/>
        <v>93638.073199999984</v>
      </c>
      <c r="M139" s="30">
        <f t="shared" si="7"/>
        <v>34291.468199999996</v>
      </c>
      <c r="N139" s="25">
        <v>894654</v>
      </c>
      <c r="O139" s="25">
        <v>86682</v>
      </c>
      <c r="P139" s="25">
        <v>16755</v>
      </c>
      <c r="Q139" s="25">
        <v>719404</v>
      </c>
      <c r="R139" s="25">
        <v>34377</v>
      </c>
      <c r="S139" s="30">
        <f t="shared" si="3"/>
        <v>-3426</v>
      </c>
    </row>
    <row r="140" spans="1:19">
      <c r="A140" s="28">
        <v>45778</v>
      </c>
      <c r="B140" s="29">
        <f t="shared" si="5"/>
        <v>2025</v>
      </c>
      <c r="C140" s="28" t="str">
        <f t="shared" si="6"/>
        <v>Q2</v>
      </c>
      <c r="D140" s="15">
        <v>8204.4</v>
      </c>
      <c r="E140" s="15">
        <v>8198.1</v>
      </c>
      <c r="F140" s="15">
        <v>241.8</v>
      </c>
      <c r="G140" s="15">
        <v>240.7</v>
      </c>
      <c r="H140">
        <v>48.5</v>
      </c>
      <c r="I140">
        <v>48.5</v>
      </c>
      <c r="J140" s="30">
        <f t="shared" si="7"/>
        <v>888015.75609999988</v>
      </c>
      <c r="K140" s="30">
        <f t="shared" si="7"/>
        <v>703631.11690000002</v>
      </c>
      <c r="L140" s="30">
        <f t="shared" si="7"/>
        <v>93638.073199999984</v>
      </c>
      <c r="M140" s="30">
        <f t="shared" si="7"/>
        <v>34291.468199999996</v>
      </c>
      <c r="N140" s="25">
        <v>894654</v>
      </c>
      <c r="O140" s="25">
        <v>86682</v>
      </c>
      <c r="P140" s="25">
        <v>16755</v>
      </c>
      <c r="Q140" s="25">
        <v>719404</v>
      </c>
      <c r="R140" s="25">
        <v>34377</v>
      </c>
      <c r="S140" s="30">
        <f t="shared" si="3"/>
        <v>-3426</v>
      </c>
    </row>
    <row r="141" spans="1:19">
      <c r="A141" s="28">
        <v>45809</v>
      </c>
      <c r="B141" s="29">
        <f t="shared" si="5"/>
        <v>2025</v>
      </c>
      <c r="C141" s="28" t="str">
        <f t="shared" si="6"/>
        <v>Q2</v>
      </c>
      <c r="D141" s="15">
        <v>8200</v>
      </c>
      <c r="E141" s="15">
        <v>8270</v>
      </c>
      <c r="F141" s="15">
        <v>241</v>
      </c>
      <c r="G141" s="15">
        <v>240</v>
      </c>
      <c r="H141">
        <v>55.2</v>
      </c>
      <c r="I141">
        <v>55.2</v>
      </c>
      <c r="J141" s="30">
        <f t="shared" si="7"/>
        <v>888015.75609999988</v>
      </c>
      <c r="K141" s="30">
        <f t="shared" si="7"/>
        <v>703631.11690000002</v>
      </c>
      <c r="L141" s="30">
        <f t="shared" si="7"/>
        <v>93638.073199999984</v>
      </c>
      <c r="M141" s="30">
        <f t="shared" si="7"/>
        <v>34291.468199999996</v>
      </c>
      <c r="N141" s="25">
        <v>894654</v>
      </c>
      <c r="O141" s="25">
        <v>86682</v>
      </c>
      <c r="P141" s="25">
        <v>16755</v>
      </c>
      <c r="Q141" s="25">
        <v>719404</v>
      </c>
      <c r="R141" s="25">
        <v>34377</v>
      </c>
      <c r="S141" s="30">
        <f t="shared" si="3"/>
        <v>-3426</v>
      </c>
    </row>
    <row r="142" spans="1:19">
      <c r="A142" s="28">
        <v>45839</v>
      </c>
      <c r="B142" s="29">
        <f t="shared" si="5"/>
        <v>2025</v>
      </c>
      <c r="C142" s="28" t="str">
        <f t="shared" si="6"/>
        <v>Q3</v>
      </c>
      <c r="D142" s="15">
        <v>8207.5</v>
      </c>
      <c r="E142" s="15">
        <v>8308.4</v>
      </c>
      <c r="F142" s="15">
        <v>244.8</v>
      </c>
      <c r="G142" s="15">
        <v>244.1</v>
      </c>
      <c r="H142">
        <v>56.7</v>
      </c>
      <c r="I142">
        <v>56.7</v>
      </c>
      <c r="J142" s="30">
        <f t="shared" si="7"/>
        <v>888015.75609999988</v>
      </c>
      <c r="K142" s="30">
        <f t="shared" si="7"/>
        <v>703631.11690000002</v>
      </c>
      <c r="L142" s="30">
        <f t="shared" si="7"/>
        <v>93638.073199999984</v>
      </c>
      <c r="M142" s="30">
        <f t="shared" si="7"/>
        <v>34291.468199999996</v>
      </c>
      <c r="N142" s="25">
        <v>899254</v>
      </c>
      <c r="O142" s="25">
        <v>87517</v>
      </c>
      <c r="P142" s="25">
        <v>17050</v>
      </c>
      <c r="Q142" s="25">
        <v>722638</v>
      </c>
      <c r="R142" s="25">
        <v>34268</v>
      </c>
      <c r="S142" s="30">
        <f t="shared" si="3"/>
        <v>-1095</v>
      </c>
    </row>
    <row r="143" spans="1:19">
      <c r="A143" s="28">
        <v>45870</v>
      </c>
      <c r="B143" s="29">
        <f t="shared" si="5"/>
        <v>2025</v>
      </c>
      <c r="C143" s="28" t="str">
        <f t="shared" si="6"/>
        <v>Q3</v>
      </c>
      <c r="D143" s="15">
        <v>8204.9</v>
      </c>
      <c r="E143" s="15">
        <v>8291.7000000000007</v>
      </c>
      <c r="F143" s="15">
        <v>248.5</v>
      </c>
      <c r="G143" s="15">
        <v>247.4</v>
      </c>
      <c r="H143">
        <v>55.6</v>
      </c>
      <c r="I143">
        <v>55.6</v>
      </c>
      <c r="J143" s="30">
        <f t="shared" si="7"/>
        <v>888015.75609999988</v>
      </c>
      <c r="K143" s="30">
        <f t="shared" si="7"/>
        <v>703631.11690000002</v>
      </c>
      <c r="L143" s="30">
        <f t="shared" si="7"/>
        <v>93638.073199999984</v>
      </c>
      <c r="M143" s="30">
        <f t="shared" si="7"/>
        <v>34291.468199999996</v>
      </c>
      <c r="N143" s="25">
        <v>899254</v>
      </c>
      <c r="O143" s="25">
        <v>87517</v>
      </c>
      <c r="P143" s="25">
        <v>17050</v>
      </c>
      <c r="Q143" s="25">
        <v>722638</v>
      </c>
      <c r="R143" s="25">
        <v>34268</v>
      </c>
      <c r="S143" s="30">
        <f t="shared" si="3"/>
        <v>-1095</v>
      </c>
    </row>
    <row r="144" spans="1:19">
      <c r="A144" s="28">
        <v>45901</v>
      </c>
      <c r="B144" s="29">
        <f t="shared" si="5"/>
        <v>2025</v>
      </c>
      <c r="C144" s="28" t="str">
        <f t="shared" si="6"/>
        <v>Q3</v>
      </c>
      <c r="D144" s="15">
        <v>8202.2000000000007</v>
      </c>
      <c r="E144" s="15">
        <v>8234.2999999999993</v>
      </c>
      <c r="F144" s="15">
        <v>253.8</v>
      </c>
      <c r="G144" s="15">
        <v>253.3</v>
      </c>
      <c r="H144">
        <v>54.9</v>
      </c>
      <c r="I144">
        <v>54.9</v>
      </c>
      <c r="J144" s="30">
        <f t="shared" si="7"/>
        <v>888015.75609999988</v>
      </c>
      <c r="K144" s="30">
        <f t="shared" si="7"/>
        <v>703631.11690000002</v>
      </c>
      <c r="L144" s="30">
        <f t="shared" si="7"/>
        <v>93638.073199999984</v>
      </c>
      <c r="M144" s="30">
        <f t="shared" si="7"/>
        <v>34291.468199999996</v>
      </c>
      <c r="N144" s="25">
        <v>899254</v>
      </c>
      <c r="O144" s="25">
        <v>87517</v>
      </c>
      <c r="P144" s="25">
        <v>17050</v>
      </c>
      <c r="Q144" s="25">
        <v>722638</v>
      </c>
      <c r="R144" s="25">
        <v>34268</v>
      </c>
      <c r="S144" s="30">
        <f t="shared" si="3"/>
        <v>-1095</v>
      </c>
    </row>
    <row r="145" spans="1:19">
      <c r="A145" s="28">
        <v>45931</v>
      </c>
      <c r="B145" s="29">
        <f t="shared" si="5"/>
        <v>2025</v>
      </c>
      <c r="C145" s="28" t="str">
        <f t="shared" si="6"/>
        <v>Q4</v>
      </c>
      <c r="D145" s="15">
        <v>8214.2999999999993</v>
      </c>
      <c r="E145" s="15">
        <v>8223.9</v>
      </c>
      <c r="F145" s="15">
        <v>257.10000000000002</v>
      </c>
      <c r="G145" s="15">
        <v>256.39999999999998</v>
      </c>
      <c r="H145">
        <v>56.3</v>
      </c>
      <c r="I145">
        <v>56.3</v>
      </c>
      <c r="J145" s="30">
        <f t="shared" si="7"/>
        <v>888015.75609999988</v>
      </c>
      <c r="K145" s="30">
        <f t="shared" si="7"/>
        <v>703631.11690000002</v>
      </c>
      <c r="L145" s="30">
        <f t="shared" si="7"/>
        <v>93638.073199999984</v>
      </c>
      <c r="M145" s="30">
        <f t="shared" si="7"/>
        <v>34291.468199999996</v>
      </c>
      <c r="N145" s="30">
        <f t="shared" ref="N145:R147" si="8">N133*(1+$AC$12)</f>
        <v>904812.6129999999</v>
      </c>
      <c r="O145" s="30">
        <f t="shared" si="8"/>
        <v>89594.784999999989</v>
      </c>
      <c r="P145" s="30">
        <f t="shared" si="8"/>
        <v>17252.402999999998</v>
      </c>
      <c r="Q145" s="30">
        <f t="shared" si="8"/>
        <v>724121.77699999989</v>
      </c>
      <c r="R145" s="30">
        <f t="shared" si="8"/>
        <v>34839.095999999998</v>
      </c>
      <c r="S145" s="30">
        <f t="shared" ref="S145:S208" si="9">O145-O133</f>
        <v>1149.7849999999889</v>
      </c>
    </row>
    <row r="146" spans="1:19">
      <c r="A146" s="28">
        <v>45962</v>
      </c>
      <c r="B146" s="29">
        <f t="shared" si="5"/>
        <v>2025</v>
      </c>
      <c r="C146" s="28" t="str">
        <f t="shared" si="6"/>
        <v>Q4</v>
      </c>
      <c r="D146" s="15">
        <v>8236.4</v>
      </c>
      <c r="E146" s="15">
        <v>8231.2999999999993</v>
      </c>
      <c r="F146" s="15">
        <v>259.60000000000002</v>
      </c>
      <c r="G146" s="15">
        <v>260.2</v>
      </c>
      <c r="H146">
        <v>57.7</v>
      </c>
      <c r="I146">
        <v>57.7</v>
      </c>
      <c r="J146" s="30">
        <f t="shared" si="7"/>
        <v>888015.75609999988</v>
      </c>
      <c r="K146" s="30">
        <f t="shared" si="7"/>
        <v>703631.11690000002</v>
      </c>
      <c r="L146" s="30">
        <f t="shared" si="7"/>
        <v>93638.073199999984</v>
      </c>
      <c r="M146" s="30">
        <f t="shared" si="7"/>
        <v>34291.468199999996</v>
      </c>
      <c r="N146" s="30">
        <f t="shared" si="8"/>
        <v>904812.6129999999</v>
      </c>
      <c r="O146" s="30">
        <f t="shared" si="8"/>
        <v>89594.784999999989</v>
      </c>
      <c r="P146" s="30">
        <f t="shared" si="8"/>
        <v>17252.402999999998</v>
      </c>
      <c r="Q146" s="30">
        <f t="shared" si="8"/>
        <v>724121.77699999989</v>
      </c>
      <c r="R146" s="30">
        <f t="shared" si="8"/>
        <v>34839.095999999998</v>
      </c>
      <c r="S146" s="30">
        <f t="shared" si="9"/>
        <v>1149.7849999999889</v>
      </c>
    </row>
    <row r="147" spans="1:19">
      <c r="A147" s="28">
        <v>45992</v>
      </c>
      <c r="B147" s="29">
        <f t="shared" si="5"/>
        <v>2025</v>
      </c>
      <c r="C147" s="28" t="str">
        <f t="shared" si="6"/>
        <v>Q4</v>
      </c>
      <c r="D147" s="15">
        <v>8261.1</v>
      </c>
      <c r="E147" s="15">
        <v>8248.1</v>
      </c>
      <c r="F147" s="15">
        <v>256.8</v>
      </c>
      <c r="G147" s="15">
        <v>258.2</v>
      </c>
      <c r="H147">
        <v>55.4</v>
      </c>
      <c r="I147">
        <v>55.4</v>
      </c>
      <c r="J147" s="30">
        <f t="shared" si="7"/>
        <v>888015.75609999988</v>
      </c>
      <c r="K147" s="30">
        <f t="shared" si="7"/>
        <v>703631.11690000002</v>
      </c>
      <c r="L147" s="30">
        <f t="shared" si="7"/>
        <v>93638.073199999984</v>
      </c>
      <c r="M147" s="30">
        <f t="shared" si="7"/>
        <v>34291.468199999996</v>
      </c>
      <c r="N147" s="30">
        <f t="shared" si="8"/>
        <v>904812.6129999999</v>
      </c>
      <c r="O147" s="30">
        <f t="shared" si="8"/>
        <v>89594.784999999989</v>
      </c>
      <c r="P147" s="30">
        <f t="shared" si="8"/>
        <v>17252.402999999998</v>
      </c>
      <c r="Q147" s="30">
        <f t="shared" si="8"/>
        <v>724121.77699999989</v>
      </c>
      <c r="R147" s="30">
        <f t="shared" si="8"/>
        <v>34839.095999999998</v>
      </c>
      <c r="S147" s="30">
        <f t="shared" si="9"/>
        <v>1149.7849999999889</v>
      </c>
    </row>
    <row r="148" spans="1:19">
      <c r="A148" s="28">
        <v>46023</v>
      </c>
      <c r="B148" s="29">
        <f t="shared" ref="B148:B171" si="10">YEAR(A148)</f>
        <v>2026</v>
      </c>
      <c r="C148" s="28" t="str">
        <f t="shared" si="6"/>
        <v>Q1</v>
      </c>
      <c r="D148" s="15">
        <v>8246.2999999999993</v>
      </c>
      <c r="E148" s="15">
        <v>8199.4</v>
      </c>
      <c r="F148" s="15">
        <v>252.8</v>
      </c>
      <c r="G148" s="15">
        <v>255.8</v>
      </c>
      <c r="H148">
        <v>55.5</v>
      </c>
      <c r="I148">
        <v>55.5</v>
      </c>
      <c r="J148" s="30">
        <f t="shared" ref="J148:R148" si="11">J136*(1+$AC$13)</f>
        <v>896007.89790489979</v>
      </c>
      <c r="K148" s="30">
        <f t="shared" si="11"/>
        <v>709963.79695210001</v>
      </c>
      <c r="L148" s="30">
        <f t="shared" si="11"/>
        <v>94480.815858799979</v>
      </c>
      <c r="M148" s="30">
        <f t="shared" si="11"/>
        <v>34600.091413799993</v>
      </c>
      <c r="N148" s="30">
        <f t="shared" si="11"/>
        <v>905952.84799999988</v>
      </c>
      <c r="O148" s="30">
        <f t="shared" si="11"/>
        <v>90098.654999999984</v>
      </c>
      <c r="P148" s="30">
        <f t="shared" si="11"/>
        <v>17389.106</v>
      </c>
      <c r="Q148" s="30">
        <f t="shared" si="11"/>
        <v>725582.99899999995</v>
      </c>
      <c r="R148" s="30">
        <f t="shared" si="11"/>
        <v>34541.096999999994</v>
      </c>
      <c r="S148" s="30">
        <f t="shared" si="9"/>
        <v>803.65499999998428</v>
      </c>
    </row>
    <row r="149" spans="1:19">
      <c r="A149" s="28">
        <v>46054</v>
      </c>
      <c r="B149" s="29">
        <f t="shared" si="10"/>
        <v>2026</v>
      </c>
      <c r="C149" s="28" t="str">
        <f t="shared" si="6"/>
        <v>Q1</v>
      </c>
      <c r="D149" s="15">
        <v>8231.2999999999993</v>
      </c>
      <c r="E149" s="15">
        <v>8158.1</v>
      </c>
      <c r="F149" s="15">
        <v>251.3</v>
      </c>
      <c r="G149" s="15">
        <v>254.1</v>
      </c>
      <c r="H149">
        <v>56.3</v>
      </c>
      <c r="I149">
        <v>56.3</v>
      </c>
      <c r="J149" s="30">
        <f t="shared" ref="J149:R149" si="12">J137*(1+$AC$13)</f>
        <v>896007.89790489979</v>
      </c>
      <c r="K149" s="30">
        <f t="shared" si="12"/>
        <v>709963.79695210001</v>
      </c>
      <c r="L149" s="30">
        <f t="shared" si="12"/>
        <v>94480.815858799979</v>
      </c>
      <c r="M149" s="30">
        <f t="shared" si="12"/>
        <v>34600.091413799993</v>
      </c>
      <c r="N149" s="30">
        <f t="shared" si="12"/>
        <v>905952.84799999988</v>
      </c>
      <c r="O149" s="30">
        <f t="shared" si="12"/>
        <v>90098.654999999984</v>
      </c>
      <c r="P149" s="30">
        <f t="shared" si="12"/>
        <v>17389.106</v>
      </c>
      <c r="Q149" s="30">
        <f t="shared" si="12"/>
        <v>725582.99899999995</v>
      </c>
      <c r="R149" s="30">
        <f t="shared" si="12"/>
        <v>34541.096999999994</v>
      </c>
      <c r="S149" s="30">
        <f t="shared" si="9"/>
        <v>803.65499999998428</v>
      </c>
    </row>
    <row r="150" spans="1:19">
      <c r="A150" s="28">
        <v>46082</v>
      </c>
      <c r="B150" s="29">
        <f t="shared" si="10"/>
        <v>2026</v>
      </c>
      <c r="C150" s="28" t="str">
        <f t="shared" si="6"/>
        <v>Q1</v>
      </c>
      <c r="D150" s="23">
        <f t="shared" ref="D150:I159" si="13">D138*(1+$AC$22)</f>
        <v>8246.1507000000001</v>
      </c>
      <c r="E150" s="23">
        <f t="shared" si="13"/>
        <v>8167.7332500000002</v>
      </c>
      <c r="F150" s="23">
        <f t="shared" si="13"/>
        <v>246.46915000000001</v>
      </c>
      <c r="G150" s="23">
        <f t="shared" si="13"/>
        <v>247.67095000000003</v>
      </c>
      <c r="H150" s="23">
        <f t="shared" si="13"/>
        <v>31.74755</v>
      </c>
      <c r="I150" s="23">
        <f t="shared" si="13"/>
        <v>31.74755</v>
      </c>
      <c r="J150" s="30">
        <f t="shared" ref="J150:R150" si="14">J138*(1+$AC$13)</f>
        <v>896007.89790489979</v>
      </c>
      <c r="K150" s="30">
        <f t="shared" si="14"/>
        <v>709963.79695210001</v>
      </c>
      <c r="L150" s="30">
        <f t="shared" si="14"/>
        <v>94480.815858799979</v>
      </c>
      <c r="M150" s="30">
        <f t="shared" si="14"/>
        <v>34600.091413799993</v>
      </c>
      <c r="N150" s="30">
        <f t="shared" si="14"/>
        <v>905952.84799999988</v>
      </c>
      <c r="O150" s="30">
        <f t="shared" si="14"/>
        <v>90098.654999999984</v>
      </c>
      <c r="P150" s="30">
        <f t="shared" si="14"/>
        <v>17389.106</v>
      </c>
      <c r="Q150" s="30">
        <f t="shared" si="14"/>
        <v>725582.99899999995</v>
      </c>
      <c r="R150" s="30">
        <f t="shared" si="14"/>
        <v>34541.096999999994</v>
      </c>
      <c r="S150" s="30">
        <f t="shared" si="9"/>
        <v>803.65499999998428</v>
      </c>
    </row>
    <row r="151" spans="1:19">
      <c r="A151" s="28">
        <v>46113</v>
      </c>
      <c r="B151" s="29">
        <f t="shared" si="10"/>
        <v>2026</v>
      </c>
      <c r="C151" s="28" t="str">
        <f t="shared" si="6"/>
        <v>Q2</v>
      </c>
      <c r="D151" s="23">
        <f t="shared" si="13"/>
        <v>8232.6304500000006</v>
      </c>
      <c r="E151" s="23">
        <f t="shared" si="13"/>
        <v>8177.547950000001</v>
      </c>
      <c r="F151" s="23">
        <f t="shared" si="13"/>
        <v>242.86375000000001</v>
      </c>
      <c r="G151" s="23">
        <f t="shared" si="13"/>
        <v>243.06405000000001</v>
      </c>
      <c r="H151" s="23">
        <f t="shared" si="13"/>
        <v>41.261800000000008</v>
      </c>
      <c r="I151" s="23">
        <f t="shared" si="13"/>
        <v>41.261800000000008</v>
      </c>
      <c r="J151" s="30">
        <f t="shared" ref="J151:R151" si="15">J139*(1+$AC$13)</f>
        <v>896007.89790489979</v>
      </c>
      <c r="K151" s="30">
        <f t="shared" si="15"/>
        <v>709963.79695210001</v>
      </c>
      <c r="L151" s="30">
        <f t="shared" si="15"/>
        <v>94480.815858799979</v>
      </c>
      <c r="M151" s="30">
        <f t="shared" si="15"/>
        <v>34600.091413799993</v>
      </c>
      <c r="N151" s="30">
        <f t="shared" si="15"/>
        <v>902705.88599999994</v>
      </c>
      <c r="O151" s="30">
        <f t="shared" si="15"/>
        <v>87462.137999999992</v>
      </c>
      <c r="P151" s="30">
        <f t="shared" si="15"/>
        <v>16905.794999999998</v>
      </c>
      <c r="Q151" s="30">
        <f t="shared" si="15"/>
        <v>725878.63599999994</v>
      </c>
      <c r="R151" s="30">
        <f t="shared" si="15"/>
        <v>34686.392999999996</v>
      </c>
      <c r="S151" s="30">
        <f t="shared" si="9"/>
        <v>780.13799999999173</v>
      </c>
    </row>
    <row r="152" spans="1:19">
      <c r="A152" s="28">
        <v>46143</v>
      </c>
      <c r="B152" s="29">
        <f t="shared" si="10"/>
        <v>2026</v>
      </c>
      <c r="C152" s="28" t="str">
        <f t="shared" si="6"/>
        <v>Q2</v>
      </c>
      <c r="D152" s="23">
        <f t="shared" si="13"/>
        <v>8216.7065999999995</v>
      </c>
      <c r="E152" s="23">
        <f t="shared" si="13"/>
        <v>8210.3971500000007</v>
      </c>
      <c r="F152" s="23">
        <f t="shared" si="13"/>
        <v>242.16270000000003</v>
      </c>
      <c r="G152" s="23">
        <f t="shared" si="13"/>
        <v>241.06104999999999</v>
      </c>
      <c r="H152" s="23">
        <f t="shared" si="13"/>
        <v>48.572749999999999</v>
      </c>
      <c r="I152" s="23">
        <f t="shared" si="13"/>
        <v>48.572749999999999</v>
      </c>
      <c r="J152" s="30">
        <f t="shared" ref="J152:R152" si="16">J140*(1+$AC$13)</f>
        <v>896007.89790489979</v>
      </c>
      <c r="K152" s="30">
        <f t="shared" si="16"/>
        <v>709963.79695210001</v>
      </c>
      <c r="L152" s="30">
        <f t="shared" si="16"/>
        <v>94480.815858799979</v>
      </c>
      <c r="M152" s="30">
        <f t="shared" si="16"/>
        <v>34600.091413799993</v>
      </c>
      <c r="N152" s="30">
        <f t="shared" si="16"/>
        <v>902705.88599999994</v>
      </c>
      <c r="O152" s="30">
        <f t="shared" si="16"/>
        <v>87462.137999999992</v>
      </c>
      <c r="P152" s="30">
        <f t="shared" si="16"/>
        <v>16905.794999999998</v>
      </c>
      <c r="Q152" s="30">
        <f t="shared" si="16"/>
        <v>725878.63599999994</v>
      </c>
      <c r="R152" s="30">
        <f t="shared" si="16"/>
        <v>34686.392999999996</v>
      </c>
      <c r="S152" s="30">
        <f t="shared" si="9"/>
        <v>780.13799999999173</v>
      </c>
    </row>
    <row r="153" spans="1:19">
      <c r="A153" s="28">
        <v>46174</v>
      </c>
      <c r="B153" s="29">
        <f t="shared" si="10"/>
        <v>2026</v>
      </c>
      <c r="C153" s="28" t="str">
        <f t="shared" si="6"/>
        <v>Q2</v>
      </c>
      <c r="D153" s="23">
        <f t="shared" si="13"/>
        <v>8212.3000000000011</v>
      </c>
      <c r="E153" s="23">
        <f t="shared" si="13"/>
        <v>8282.4050000000007</v>
      </c>
      <c r="F153" s="23">
        <f t="shared" si="13"/>
        <v>241.36150000000001</v>
      </c>
      <c r="G153" s="23">
        <f t="shared" si="13"/>
        <v>240.36</v>
      </c>
      <c r="H153" s="23">
        <f t="shared" si="13"/>
        <v>55.282800000000009</v>
      </c>
      <c r="I153" s="23">
        <f t="shared" si="13"/>
        <v>55.282800000000009</v>
      </c>
      <c r="J153" s="30">
        <f t="shared" ref="J153:R153" si="17">J141*(1+$AC$13)</f>
        <v>896007.89790489979</v>
      </c>
      <c r="K153" s="30">
        <f t="shared" si="17"/>
        <v>709963.79695210001</v>
      </c>
      <c r="L153" s="30">
        <f t="shared" si="17"/>
        <v>94480.815858799979</v>
      </c>
      <c r="M153" s="30">
        <f t="shared" si="17"/>
        <v>34600.091413799993</v>
      </c>
      <c r="N153" s="30">
        <f t="shared" si="17"/>
        <v>902705.88599999994</v>
      </c>
      <c r="O153" s="30">
        <f t="shared" si="17"/>
        <v>87462.137999999992</v>
      </c>
      <c r="P153" s="30">
        <f t="shared" si="17"/>
        <v>16905.794999999998</v>
      </c>
      <c r="Q153" s="30">
        <f t="shared" si="17"/>
        <v>725878.63599999994</v>
      </c>
      <c r="R153" s="30">
        <f t="shared" si="17"/>
        <v>34686.392999999996</v>
      </c>
      <c r="S153" s="30">
        <f t="shared" si="9"/>
        <v>780.13799999999173</v>
      </c>
    </row>
    <row r="154" spans="1:19">
      <c r="A154" s="28">
        <v>46204</v>
      </c>
      <c r="B154" s="29">
        <f t="shared" si="10"/>
        <v>2026</v>
      </c>
      <c r="C154" s="28" t="str">
        <f t="shared" si="6"/>
        <v>Q3</v>
      </c>
      <c r="D154" s="23">
        <f t="shared" si="13"/>
        <v>8219.8112500000007</v>
      </c>
      <c r="E154" s="23">
        <f t="shared" si="13"/>
        <v>8320.8626000000004</v>
      </c>
      <c r="F154" s="23">
        <f t="shared" si="13"/>
        <v>245.16720000000004</v>
      </c>
      <c r="G154" s="23">
        <f t="shared" si="13"/>
        <v>244.46615</v>
      </c>
      <c r="H154" s="23">
        <f t="shared" si="13"/>
        <v>56.785050000000005</v>
      </c>
      <c r="I154" s="23">
        <f t="shared" si="13"/>
        <v>56.785050000000005</v>
      </c>
      <c r="J154" s="30">
        <f t="shared" ref="J154:R154" si="18">J142*(1+$AC$13)</f>
        <v>896007.89790489979</v>
      </c>
      <c r="K154" s="30">
        <f t="shared" si="18"/>
        <v>709963.79695210001</v>
      </c>
      <c r="L154" s="30">
        <f t="shared" si="18"/>
        <v>94480.815858799979</v>
      </c>
      <c r="M154" s="30">
        <f t="shared" si="18"/>
        <v>34600.091413799993</v>
      </c>
      <c r="N154" s="30">
        <f t="shared" si="18"/>
        <v>907347.28599999996</v>
      </c>
      <c r="O154" s="30">
        <f t="shared" si="18"/>
        <v>88304.652999999991</v>
      </c>
      <c r="P154" s="30">
        <f t="shared" si="18"/>
        <v>17203.449999999997</v>
      </c>
      <c r="Q154" s="30">
        <f t="shared" si="18"/>
        <v>729141.74199999997</v>
      </c>
      <c r="R154" s="30">
        <f t="shared" si="18"/>
        <v>34576.411999999997</v>
      </c>
      <c r="S154" s="30">
        <f t="shared" si="9"/>
        <v>787.65299999999115</v>
      </c>
    </row>
    <row r="155" spans="1:19">
      <c r="A155" s="28">
        <v>46235</v>
      </c>
      <c r="B155" s="29">
        <f t="shared" si="10"/>
        <v>2026</v>
      </c>
      <c r="C155" s="28" t="str">
        <f t="shared" si="6"/>
        <v>Q3</v>
      </c>
      <c r="D155" s="23">
        <f t="shared" si="13"/>
        <v>8217.2073500000006</v>
      </c>
      <c r="E155" s="23">
        <f t="shared" si="13"/>
        <v>8304.1375500000013</v>
      </c>
      <c r="F155" s="23">
        <f t="shared" si="13"/>
        <v>248.87275000000002</v>
      </c>
      <c r="G155" s="23">
        <f t="shared" si="13"/>
        <v>247.77110000000002</v>
      </c>
      <c r="H155" s="23">
        <f t="shared" si="13"/>
        <v>55.683400000000006</v>
      </c>
      <c r="I155" s="23">
        <f t="shared" si="13"/>
        <v>55.683400000000006</v>
      </c>
      <c r="J155" s="30">
        <f t="shared" ref="J155:R155" si="19">J143*(1+$AC$13)</f>
        <v>896007.89790489979</v>
      </c>
      <c r="K155" s="30">
        <f t="shared" si="19"/>
        <v>709963.79695210001</v>
      </c>
      <c r="L155" s="30">
        <f t="shared" si="19"/>
        <v>94480.815858799979</v>
      </c>
      <c r="M155" s="30">
        <f t="shared" si="19"/>
        <v>34600.091413799993</v>
      </c>
      <c r="N155" s="30">
        <f t="shared" si="19"/>
        <v>907347.28599999996</v>
      </c>
      <c r="O155" s="30">
        <f t="shared" si="19"/>
        <v>88304.652999999991</v>
      </c>
      <c r="P155" s="30">
        <f t="shared" si="19"/>
        <v>17203.449999999997</v>
      </c>
      <c r="Q155" s="30">
        <f t="shared" si="19"/>
        <v>729141.74199999997</v>
      </c>
      <c r="R155" s="30">
        <f t="shared" si="19"/>
        <v>34576.411999999997</v>
      </c>
      <c r="S155" s="30">
        <f t="shared" si="9"/>
        <v>787.65299999999115</v>
      </c>
    </row>
    <row r="156" spans="1:19">
      <c r="A156" s="28">
        <v>46266</v>
      </c>
      <c r="B156" s="29">
        <f t="shared" si="10"/>
        <v>2026</v>
      </c>
      <c r="C156" s="28" t="str">
        <f t="shared" si="6"/>
        <v>Q3</v>
      </c>
      <c r="D156" s="23">
        <f t="shared" si="13"/>
        <v>8214.5033000000003</v>
      </c>
      <c r="E156" s="23">
        <f t="shared" si="13"/>
        <v>8246.6514499999994</v>
      </c>
      <c r="F156" s="23">
        <f t="shared" si="13"/>
        <v>254.18070000000003</v>
      </c>
      <c r="G156" s="23">
        <f t="shared" si="13"/>
        <v>253.67995000000002</v>
      </c>
      <c r="H156" s="23">
        <f t="shared" si="13"/>
        <v>54.982350000000004</v>
      </c>
      <c r="I156" s="23">
        <f t="shared" si="13"/>
        <v>54.982350000000004</v>
      </c>
      <c r="J156" s="30">
        <f t="shared" ref="J156:R156" si="20">J144*(1+$AC$13)</f>
        <v>896007.89790489979</v>
      </c>
      <c r="K156" s="30">
        <f t="shared" si="20"/>
        <v>709963.79695210001</v>
      </c>
      <c r="L156" s="30">
        <f t="shared" si="20"/>
        <v>94480.815858799979</v>
      </c>
      <c r="M156" s="30">
        <f t="shared" si="20"/>
        <v>34600.091413799993</v>
      </c>
      <c r="N156" s="30">
        <f t="shared" si="20"/>
        <v>907347.28599999996</v>
      </c>
      <c r="O156" s="30">
        <f t="shared" si="20"/>
        <v>88304.652999999991</v>
      </c>
      <c r="P156" s="30">
        <f t="shared" si="20"/>
        <v>17203.449999999997</v>
      </c>
      <c r="Q156" s="30">
        <f t="shared" si="20"/>
        <v>729141.74199999997</v>
      </c>
      <c r="R156" s="30">
        <f t="shared" si="20"/>
        <v>34576.411999999997</v>
      </c>
      <c r="S156" s="30">
        <f t="shared" si="9"/>
        <v>787.65299999999115</v>
      </c>
    </row>
    <row r="157" spans="1:19">
      <c r="A157" s="28">
        <v>46296</v>
      </c>
      <c r="B157" s="29">
        <f t="shared" si="10"/>
        <v>2026</v>
      </c>
      <c r="C157" s="28" t="str">
        <f t="shared" si="6"/>
        <v>Q4</v>
      </c>
      <c r="D157" s="23">
        <f t="shared" si="13"/>
        <v>8226.6214500000006</v>
      </c>
      <c r="E157" s="23">
        <f t="shared" si="13"/>
        <v>8236.2358500000009</v>
      </c>
      <c r="F157" s="23">
        <f t="shared" si="13"/>
        <v>257.48565000000002</v>
      </c>
      <c r="G157" s="23">
        <f t="shared" si="13"/>
        <v>256.78460000000001</v>
      </c>
      <c r="H157" s="23">
        <f t="shared" si="13"/>
        <v>56.384450000000001</v>
      </c>
      <c r="I157" s="23">
        <f t="shared" si="13"/>
        <v>56.384450000000001</v>
      </c>
      <c r="J157" s="30">
        <f t="shared" ref="J157:R157" si="21">J145*(1+$AC$13)</f>
        <v>896007.89790489979</v>
      </c>
      <c r="K157" s="30">
        <f t="shared" si="21"/>
        <v>709963.79695210001</v>
      </c>
      <c r="L157" s="30">
        <f t="shared" si="21"/>
        <v>94480.815858799979</v>
      </c>
      <c r="M157" s="30">
        <f t="shared" si="21"/>
        <v>34600.091413799993</v>
      </c>
      <c r="N157" s="30">
        <f t="shared" si="21"/>
        <v>912955.92651699984</v>
      </c>
      <c r="O157" s="30">
        <f t="shared" si="21"/>
        <v>90401.138064999977</v>
      </c>
      <c r="P157" s="30">
        <f t="shared" si="21"/>
        <v>17407.674626999997</v>
      </c>
      <c r="Q157" s="30">
        <f t="shared" si="21"/>
        <v>730638.87299299985</v>
      </c>
      <c r="R157" s="30">
        <f t="shared" si="21"/>
        <v>35152.647863999991</v>
      </c>
      <c r="S157" s="30">
        <f t="shared" si="9"/>
        <v>806.35306499998842</v>
      </c>
    </row>
    <row r="158" spans="1:19">
      <c r="A158" s="28">
        <v>46327</v>
      </c>
      <c r="B158" s="29">
        <f t="shared" si="10"/>
        <v>2026</v>
      </c>
      <c r="C158" s="28" t="str">
        <f t="shared" si="6"/>
        <v>Q4</v>
      </c>
      <c r="D158" s="23">
        <f t="shared" si="13"/>
        <v>8248.7546000000002</v>
      </c>
      <c r="E158" s="23">
        <f t="shared" si="13"/>
        <v>8243.6469500000003</v>
      </c>
      <c r="F158" s="23">
        <f t="shared" si="13"/>
        <v>259.98940000000005</v>
      </c>
      <c r="G158" s="23">
        <f t="shared" si="13"/>
        <v>260.59030000000001</v>
      </c>
      <c r="H158" s="23">
        <f t="shared" si="13"/>
        <v>57.786550000000005</v>
      </c>
      <c r="I158" s="23">
        <f t="shared" si="13"/>
        <v>57.786550000000005</v>
      </c>
      <c r="J158" s="30">
        <f t="shared" ref="J158:R158" si="22">J146*(1+$AC$13)</f>
        <v>896007.89790489979</v>
      </c>
      <c r="K158" s="30">
        <f t="shared" si="22"/>
        <v>709963.79695210001</v>
      </c>
      <c r="L158" s="30">
        <f t="shared" si="22"/>
        <v>94480.815858799979</v>
      </c>
      <c r="M158" s="30">
        <f t="shared" si="22"/>
        <v>34600.091413799993</v>
      </c>
      <c r="N158" s="30">
        <f t="shared" si="22"/>
        <v>912955.92651699984</v>
      </c>
      <c r="O158" s="30">
        <f t="shared" si="22"/>
        <v>90401.138064999977</v>
      </c>
      <c r="P158" s="30">
        <f t="shared" si="22"/>
        <v>17407.674626999997</v>
      </c>
      <c r="Q158" s="30">
        <f t="shared" si="22"/>
        <v>730638.87299299985</v>
      </c>
      <c r="R158" s="30">
        <f t="shared" si="22"/>
        <v>35152.647863999991</v>
      </c>
      <c r="S158" s="30">
        <f t="shared" si="9"/>
        <v>806.35306499998842</v>
      </c>
    </row>
    <row r="159" spans="1:19">
      <c r="A159" s="28">
        <v>46357</v>
      </c>
      <c r="B159" s="29">
        <f t="shared" si="10"/>
        <v>2026</v>
      </c>
      <c r="C159" s="28" t="str">
        <f t="shared" si="6"/>
        <v>Q4</v>
      </c>
      <c r="D159" s="23">
        <f t="shared" si="13"/>
        <v>8273.4916499999999</v>
      </c>
      <c r="E159" s="23">
        <f t="shared" si="13"/>
        <v>8260.4721500000014</v>
      </c>
      <c r="F159" s="23">
        <f t="shared" si="13"/>
        <v>257.18520000000001</v>
      </c>
      <c r="G159" s="23">
        <f t="shared" si="13"/>
        <v>258.58730000000003</v>
      </c>
      <c r="H159" s="23">
        <f t="shared" si="13"/>
        <v>55.4831</v>
      </c>
      <c r="I159" s="23">
        <f t="shared" si="13"/>
        <v>55.4831</v>
      </c>
      <c r="J159" s="30">
        <f t="shared" ref="J159:R159" si="23">J147*(1+$AC$13)</f>
        <v>896007.89790489979</v>
      </c>
      <c r="K159" s="30">
        <f t="shared" si="23"/>
        <v>709963.79695210001</v>
      </c>
      <c r="L159" s="30">
        <f t="shared" si="23"/>
        <v>94480.815858799979</v>
      </c>
      <c r="M159" s="30">
        <f t="shared" si="23"/>
        <v>34600.091413799993</v>
      </c>
      <c r="N159" s="30">
        <f t="shared" si="23"/>
        <v>912955.92651699984</v>
      </c>
      <c r="O159" s="30">
        <f t="shared" si="23"/>
        <v>90401.138064999977</v>
      </c>
      <c r="P159" s="30">
        <f t="shared" si="23"/>
        <v>17407.674626999997</v>
      </c>
      <c r="Q159" s="30">
        <f t="shared" si="23"/>
        <v>730638.87299299985</v>
      </c>
      <c r="R159" s="30">
        <f t="shared" si="23"/>
        <v>35152.647863999991</v>
      </c>
      <c r="S159" s="30">
        <f t="shared" si="9"/>
        <v>806.35306499998842</v>
      </c>
    </row>
    <row r="160" spans="1:19">
      <c r="A160" s="28">
        <v>46388</v>
      </c>
      <c r="B160" s="29">
        <f t="shared" si="10"/>
        <v>2027</v>
      </c>
      <c r="C160" s="28" t="str">
        <f t="shared" si="6"/>
        <v>Q1</v>
      </c>
      <c r="D160" s="23">
        <f t="shared" ref="D160:I171" si="24">D148*(1+$AC$23)</f>
        <v>8291.6546500000004</v>
      </c>
      <c r="E160" s="23">
        <f t="shared" si="24"/>
        <v>8244.4966999999997</v>
      </c>
      <c r="F160" s="23">
        <f t="shared" si="24"/>
        <v>254.19040000000004</v>
      </c>
      <c r="G160" s="23">
        <f t="shared" si="24"/>
        <v>257.20690000000002</v>
      </c>
      <c r="H160" s="23">
        <f t="shared" si="24"/>
        <v>55.805250000000001</v>
      </c>
      <c r="I160" s="23">
        <f t="shared" si="24"/>
        <v>55.805250000000001</v>
      </c>
      <c r="J160" s="30">
        <f t="shared" ref="J160:R160" si="25">J148*(1+$AC$14)</f>
        <v>911912.03809271171</v>
      </c>
      <c r="K160" s="30">
        <f t="shared" si="25"/>
        <v>722565.65434799972</v>
      </c>
      <c r="L160" s="30">
        <f t="shared" si="25"/>
        <v>96157.850340293677</v>
      </c>
      <c r="M160" s="30">
        <f t="shared" si="25"/>
        <v>35214.243036394939</v>
      </c>
      <c r="N160" s="30">
        <f t="shared" si="25"/>
        <v>922033.51105199987</v>
      </c>
      <c r="O160" s="30">
        <f t="shared" si="25"/>
        <v>91697.906126249974</v>
      </c>
      <c r="P160" s="30">
        <f t="shared" si="25"/>
        <v>17697.762631499998</v>
      </c>
      <c r="Q160" s="30">
        <f t="shared" si="25"/>
        <v>738462.09723224991</v>
      </c>
      <c r="R160" s="30">
        <f t="shared" si="25"/>
        <v>35154.201471749991</v>
      </c>
      <c r="S160" s="30">
        <f t="shared" si="9"/>
        <v>1599.2511262499902</v>
      </c>
    </row>
    <row r="161" spans="1:19">
      <c r="A161" s="28">
        <v>46419</v>
      </c>
      <c r="B161" s="29">
        <f t="shared" si="10"/>
        <v>2027</v>
      </c>
      <c r="C161" s="28" t="str">
        <f t="shared" si="6"/>
        <v>Q1</v>
      </c>
      <c r="D161" s="23">
        <f t="shared" si="24"/>
        <v>8276.57215</v>
      </c>
      <c r="E161" s="23">
        <f t="shared" si="24"/>
        <v>8202.9695500000016</v>
      </c>
      <c r="F161" s="23">
        <f t="shared" si="24"/>
        <v>252.68215000000004</v>
      </c>
      <c r="G161" s="23">
        <f t="shared" si="24"/>
        <v>255.49755000000002</v>
      </c>
      <c r="H161" s="23">
        <f t="shared" si="24"/>
        <v>56.609650000000002</v>
      </c>
      <c r="I161" s="23">
        <f t="shared" si="24"/>
        <v>56.609650000000002</v>
      </c>
      <c r="J161" s="30">
        <f t="shared" ref="J161:R161" si="26">J149*(1+$AC$14)</f>
        <v>911912.03809271171</v>
      </c>
      <c r="K161" s="30">
        <f t="shared" si="26"/>
        <v>722565.65434799972</v>
      </c>
      <c r="L161" s="30">
        <f t="shared" si="26"/>
        <v>96157.850340293677</v>
      </c>
      <c r="M161" s="30">
        <f t="shared" si="26"/>
        <v>35214.243036394939</v>
      </c>
      <c r="N161" s="30">
        <f t="shared" si="26"/>
        <v>922033.51105199987</v>
      </c>
      <c r="O161" s="30">
        <f t="shared" si="26"/>
        <v>91697.906126249974</v>
      </c>
      <c r="P161" s="30">
        <f t="shared" si="26"/>
        <v>17697.762631499998</v>
      </c>
      <c r="Q161" s="30">
        <f t="shared" si="26"/>
        <v>738462.09723224991</v>
      </c>
      <c r="R161" s="30">
        <f t="shared" si="26"/>
        <v>35154.201471749991</v>
      </c>
      <c r="S161" s="30">
        <f t="shared" si="9"/>
        <v>1599.2511262499902</v>
      </c>
    </row>
    <row r="162" spans="1:19">
      <c r="A162" s="28">
        <v>46447</v>
      </c>
      <c r="B162" s="29">
        <f t="shared" si="10"/>
        <v>2027</v>
      </c>
      <c r="C162" s="28" t="str">
        <f t="shared" si="6"/>
        <v>Q1</v>
      </c>
      <c r="D162" s="23">
        <f t="shared" si="24"/>
        <v>8291.5045288500005</v>
      </c>
      <c r="E162" s="23">
        <f t="shared" si="24"/>
        <v>8212.655782875001</v>
      </c>
      <c r="F162" s="23">
        <f t="shared" si="24"/>
        <v>247.82473032500002</v>
      </c>
      <c r="G162" s="23">
        <f t="shared" si="24"/>
        <v>249.03314022500004</v>
      </c>
      <c r="H162" s="23">
        <f t="shared" si="24"/>
        <v>31.922161525000003</v>
      </c>
      <c r="I162" s="23">
        <f t="shared" si="24"/>
        <v>31.922161525000003</v>
      </c>
      <c r="J162" s="30">
        <f t="shared" ref="J162:R162" si="27">J150*(1+$AC$14)</f>
        <v>911912.03809271171</v>
      </c>
      <c r="K162" s="30">
        <f t="shared" si="27"/>
        <v>722565.65434799972</v>
      </c>
      <c r="L162" s="30">
        <f t="shared" si="27"/>
        <v>96157.850340293677</v>
      </c>
      <c r="M162" s="30">
        <f t="shared" si="27"/>
        <v>35214.243036394939</v>
      </c>
      <c r="N162" s="30">
        <f t="shared" si="27"/>
        <v>922033.51105199987</v>
      </c>
      <c r="O162" s="30">
        <f t="shared" si="27"/>
        <v>91697.906126249974</v>
      </c>
      <c r="P162" s="30">
        <f t="shared" si="27"/>
        <v>17697.762631499998</v>
      </c>
      <c r="Q162" s="30">
        <f t="shared" si="27"/>
        <v>738462.09723224991</v>
      </c>
      <c r="R162" s="30">
        <f t="shared" si="27"/>
        <v>35154.201471749991</v>
      </c>
      <c r="S162" s="30">
        <f t="shared" si="9"/>
        <v>1599.2511262499902</v>
      </c>
    </row>
    <row r="163" spans="1:19">
      <c r="A163" s="28">
        <v>46478</v>
      </c>
      <c r="B163" s="29">
        <f t="shared" si="10"/>
        <v>2027</v>
      </c>
      <c r="C163" s="28" t="str">
        <f t="shared" si="6"/>
        <v>Q2</v>
      </c>
      <c r="D163" s="23">
        <f t="shared" si="24"/>
        <v>8277.9099174750008</v>
      </c>
      <c r="E163" s="23">
        <f t="shared" si="24"/>
        <v>8222.5244637250016</v>
      </c>
      <c r="F163" s="23">
        <f t="shared" si="24"/>
        <v>244.19950062500001</v>
      </c>
      <c r="G163" s="23">
        <f t="shared" si="24"/>
        <v>244.40090227500002</v>
      </c>
      <c r="H163" s="23">
        <f t="shared" si="24"/>
        <v>41.488739900000013</v>
      </c>
      <c r="I163" s="23">
        <f t="shared" si="24"/>
        <v>41.488739900000013</v>
      </c>
      <c r="J163" s="30">
        <f t="shared" ref="J163:R163" si="28">J151*(1+$AC$14)</f>
        <v>911912.03809271171</v>
      </c>
      <c r="K163" s="30">
        <f t="shared" si="28"/>
        <v>722565.65434799972</v>
      </c>
      <c r="L163" s="30">
        <f t="shared" si="28"/>
        <v>96157.850340293677</v>
      </c>
      <c r="M163" s="30">
        <f t="shared" si="28"/>
        <v>35214.243036394939</v>
      </c>
      <c r="N163" s="30">
        <f t="shared" si="28"/>
        <v>918728.91547649982</v>
      </c>
      <c r="O163" s="30">
        <f t="shared" si="28"/>
        <v>89014.59094949998</v>
      </c>
      <c r="P163" s="30">
        <f t="shared" si="28"/>
        <v>17205.872861249998</v>
      </c>
      <c r="Q163" s="30">
        <f t="shared" si="28"/>
        <v>738762.98178899987</v>
      </c>
      <c r="R163" s="30">
        <f t="shared" si="28"/>
        <v>35302.076475749993</v>
      </c>
      <c r="S163" s="30">
        <f t="shared" si="9"/>
        <v>1552.4529494999879</v>
      </c>
    </row>
    <row r="164" spans="1:19">
      <c r="A164" s="28">
        <v>46508</v>
      </c>
      <c r="B164" s="29">
        <f t="shared" si="10"/>
        <v>2027</v>
      </c>
      <c r="C164" s="28" t="str">
        <f t="shared" si="6"/>
        <v>Q2</v>
      </c>
      <c r="D164" s="23">
        <f t="shared" si="24"/>
        <v>8261.8984863000005</v>
      </c>
      <c r="E164" s="23">
        <f t="shared" si="24"/>
        <v>8255.554334325001</v>
      </c>
      <c r="F164" s="23">
        <f t="shared" si="24"/>
        <v>243.49459485000006</v>
      </c>
      <c r="G164" s="23">
        <f t="shared" si="24"/>
        <v>242.386885775</v>
      </c>
      <c r="H164" s="23">
        <f t="shared" si="24"/>
        <v>48.839900125</v>
      </c>
      <c r="I164" s="23">
        <f t="shared" si="24"/>
        <v>48.839900125</v>
      </c>
      <c r="J164" s="30">
        <f t="shared" ref="J164:R164" si="29">J152*(1+$AC$14)</f>
        <v>911912.03809271171</v>
      </c>
      <c r="K164" s="30">
        <f t="shared" si="29"/>
        <v>722565.65434799972</v>
      </c>
      <c r="L164" s="30">
        <f t="shared" si="29"/>
        <v>96157.850340293677</v>
      </c>
      <c r="M164" s="30">
        <f t="shared" si="29"/>
        <v>35214.243036394939</v>
      </c>
      <c r="N164" s="30">
        <f t="shared" si="29"/>
        <v>918728.91547649982</v>
      </c>
      <c r="O164" s="30">
        <f t="shared" si="29"/>
        <v>89014.59094949998</v>
      </c>
      <c r="P164" s="30">
        <f t="shared" si="29"/>
        <v>17205.872861249998</v>
      </c>
      <c r="Q164" s="30">
        <f t="shared" si="29"/>
        <v>738762.98178899987</v>
      </c>
      <c r="R164" s="30">
        <f t="shared" si="29"/>
        <v>35302.076475749993</v>
      </c>
      <c r="S164" s="30">
        <f t="shared" si="9"/>
        <v>1552.4529494999879</v>
      </c>
    </row>
    <row r="165" spans="1:19">
      <c r="A165" s="28">
        <v>46539</v>
      </c>
      <c r="B165" s="29">
        <f t="shared" si="10"/>
        <v>2027</v>
      </c>
      <c r="C165" s="28" t="str">
        <f t="shared" si="6"/>
        <v>Q2</v>
      </c>
      <c r="D165" s="23">
        <f t="shared" si="24"/>
        <v>8257.4676500000023</v>
      </c>
      <c r="E165" s="23">
        <f t="shared" si="24"/>
        <v>8327.9582275000012</v>
      </c>
      <c r="F165" s="23">
        <f t="shared" si="24"/>
        <v>242.68898825000002</v>
      </c>
      <c r="G165" s="23">
        <f t="shared" si="24"/>
        <v>241.68198000000004</v>
      </c>
      <c r="H165" s="23">
        <f t="shared" si="24"/>
        <v>55.586855400000012</v>
      </c>
      <c r="I165" s="23">
        <f t="shared" si="24"/>
        <v>55.586855400000012</v>
      </c>
      <c r="J165" s="30">
        <f t="shared" ref="J165:R165" si="30">J153*(1+$AC$14)</f>
        <v>911912.03809271171</v>
      </c>
      <c r="K165" s="30">
        <f t="shared" si="30"/>
        <v>722565.65434799972</v>
      </c>
      <c r="L165" s="30">
        <f t="shared" si="30"/>
        <v>96157.850340293677</v>
      </c>
      <c r="M165" s="30">
        <f t="shared" si="30"/>
        <v>35214.243036394939</v>
      </c>
      <c r="N165" s="30">
        <f t="shared" si="30"/>
        <v>918728.91547649982</v>
      </c>
      <c r="O165" s="30">
        <f t="shared" si="30"/>
        <v>89014.59094949998</v>
      </c>
      <c r="P165" s="30">
        <f t="shared" si="30"/>
        <v>17205.872861249998</v>
      </c>
      <c r="Q165" s="30">
        <f t="shared" si="30"/>
        <v>738762.98178899987</v>
      </c>
      <c r="R165" s="30">
        <f t="shared" si="30"/>
        <v>35302.076475749993</v>
      </c>
      <c r="S165" s="30">
        <f t="shared" si="9"/>
        <v>1552.4529494999879</v>
      </c>
    </row>
    <row r="166" spans="1:19">
      <c r="A166" s="28">
        <v>46569</v>
      </c>
      <c r="B166" s="29">
        <f t="shared" si="10"/>
        <v>2027</v>
      </c>
      <c r="C166" s="28" t="str">
        <f t="shared" si="6"/>
        <v>Q3</v>
      </c>
      <c r="D166" s="23">
        <f t="shared" si="24"/>
        <v>8265.0202118750003</v>
      </c>
      <c r="E166" s="23">
        <f t="shared" si="24"/>
        <v>8366.6273443000009</v>
      </c>
      <c r="F166" s="23">
        <f t="shared" si="24"/>
        <v>246.51561960000006</v>
      </c>
      <c r="G166" s="23">
        <f t="shared" si="24"/>
        <v>245.81071382500002</v>
      </c>
      <c r="H166" s="23">
        <f t="shared" si="24"/>
        <v>57.097367775000009</v>
      </c>
      <c r="I166" s="23">
        <f t="shared" si="24"/>
        <v>57.097367775000009</v>
      </c>
      <c r="J166" s="30">
        <f t="shared" ref="J166:R166" si="31">J154*(1+$AC$14)</f>
        <v>911912.03809271171</v>
      </c>
      <c r="K166" s="30">
        <f t="shared" si="31"/>
        <v>722565.65434799972</v>
      </c>
      <c r="L166" s="30">
        <f t="shared" si="31"/>
        <v>96157.850340293677</v>
      </c>
      <c r="M166" s="30">
        <f t="shared" si="31"/>
        <v>35214.243036394939</v>
      </c>
      <c r="N166" s="30">
        <f t="shared" si="31"/>
        <v>923452.70032649988</v>
      </c>
      <c r="O166" s="30">
        <f t="shared" si="31"/>
        <v>89872.060590749985</v>
      </c>
      <c r="P166" s="30">
        <f t="shared" si="31"/>
        <v>17508.811237499995</v>
      </c>
      <c r="Q166" s="30">
        <f t="shared" si="31"/>
        <v>742084.00792049989</v>
      </c>
      <c r="R166" s="30">
        <f t="shared" si="31"/>
        <v>35190.143312999993</v>
      </c>
      <c r="S166" s="30">
        <f t="shared" si="9"/>
        <v>1567.4075907499937</v>
      </c>
    </row>
    <row r="167" spans="1:19">
      <c r="A167" s="28">
        <v>46600</v>
      </c>
      <c r="B167" s="29">
        <f t="shared" si="10"/>
        <v>2027</v>
      </c>
      <c r="C167" s="28" t="str">
        <f t="shared" si="6"/>
        <v>Q3</v>
      </c>
      <c r="D167" s="23">
        <f t="shared" si="24"/>
        <v>8262.4019904250017</v>
      </c>
      <c r="E167" s="23">
        <f t="shared" si="24"/>
        <v>8349.8103065250016</v>
      </c>
      <c r="F167" s="23">
        <f t="shared" si="24"/>
        <v>250.24155012500003</v>
      </c>
      <c r="G167" s="23">
        <f t="shared" si="24"/>
        <v>249.13384105000003</v>
      </c>
      <c r="H167" s="23">
        <f t="shared" si="24"/>
        <v>55.989658700000007</v>
      </c>
      <c r="I167" s="23">
        <f t="shared" si="24"/>
        <v>55.989658700000007</v>
      </c>
      <c r="J167" s="30">
        <f t="shared" ref="J167:R167" si="32">J155*(1+$AC$14)</f>
        <v>911912.03809271171</v>
      </c>
      <c r="K167" s="30">
        <f t="shared" si="32"/>
        <v>722565.65434799972</v>
      </c>
      <c r="L167" s="30">
        <f t="shared" si="32"/>
        <v>96157.850340293677</v>
      </c>
      <c r="M167" s="30">
        <f t="shared" si="32"/>
        <v>35214.243036394939</v>
      </c>
      <c r="N167" s="30">
        <f t="shared" si="32"/>
        <v>923452.70032649988</v>
      </c>
      <c r="O167" s="30">
        <f t="shared" si="32"/>
        <v>89872.060590749985</v>
      </c>
      <c r="P167" s="30">
        <f t="shared" si="32"/>
        <v>17508.811237499995</v>
      </c>
      <c r="Q167" s="30">
        <f t="shared" si="32"/>
        <v>742084.00792049989</v>
      </c>
      <c r="R167" s="30">
        <f t="shared" si="32"/>
        <v>35190.143312999993</v>
      </c>
      <c r="S167" s="30">
        <f t="shared" si="9"/>
        <v>1567.4075907499937</v>
      </c>
    </row>
    <row r="168" spans="1:19">
      <c r="A168" s="28">
        <v>46631</v>
      </c>
      <c r="B168" s="29">
        <f t="shared" si="10"/>
        <v>2027</v>
      </c>
      <c r="C168" s="28" t="str">
        <f t="shared" si="6"/>
        <v>Q3</v>
      </c>
      <c r="D168" s="23">
        <f t="shared" si="24"/>
        <v>8259.6830681500014</v>
      </c>
      <c r="E168" s="23">
        <f t="shared" si="24"/>
        <v>8292.0080329749999</v>
      </c>
      <c r="F168" s="23">
        <f t="shared" si="24"/>
        <v>255.57869385000004</v>
      </c>
      <c r="G168" s="23">
        <f t="shared" si="24"/>
        <v>255.07518972500003</v>
      </c>
      <c r="H168" s="23">
        <f t="shared" si="24"/>
        <v>55.284752925000006</v>
      </c>
      <c r="I168" s="23">
        <f t="shared" si="24"/>
        <v>55.284752925000006</v>
      </c>
      <c r="J168" s="30">
        <f t="shared" ref="J168:R168" si="33">J156*(1+$AC$14)</f>
        <v>911912.03809271171</v>
      </c>
      <c r="K168" s="30">
        <f t="shared" si="33"/>
        <v>722565.65434799972</v>
      </c>
      <c r="L168" s="30">
        <f t="shared" si="33"/>
        <v>96157.850340293677</v>
      </c>
      <c r="M168" s="30">
        <f t="shared" si="33"/>
        <v>35214.243036394939</v>
      </c>
      <c r="N168" s="30">
        <f t="shared" si="33"/>
        <v>923452.70032649988</v>
      </c>
      <c r="O168" s="30">
        <f t="shared" si="33"/>
        <v>89872.060590749985</v>
      </c>
      <c r="P168" s="30">
        <f t="shared" si="33"/>
        <v>17508.811237499995</v>
      </c>
      <c r="Q168" s="30">
        <f t="shared" si="33"/>
        <v>742084.00792049989</v>
      </c>
      <c r="R168" s="30">
        <f t="shared" si="33"/>
        <v>35190.143312999993</v>
      </c>
      <c r="S168" s="30">
        <f t="shared" si="9"/>
        <v>1567.4075907499937</v>
      </c>
    </row>
    <row r="169" spans="1:19">
      <c r="A169" s="28">
        <v>46661</v>
      </c>
      <c r="B169" s="29">
        <f t="shared" si="10"/>
        <v>2027</v>
      </c>
      <c r="C169" s="28" t="str">
        <f t="shared" si="6"/>
        <v>Q4</v>
      </c>
      <c r="D169" s="23">
        <f t="shared" si="24"/>
        <v>8271.867867975001</v>
      </c>
      <c r="E169" s="23">
        <f t="shared" si="24"/>
        <v>8281.5351471750018</v>
      </c>
      <c r="F169" s="23">
        <f t="shared" si="24"/>
        <v>258.90182107500004</v>
      </c>
      <c r="G169" s="23">
        <f t="shared" si="24"/>
        <v>258.1969153</v>
      </c>
      <c r="H169" s="23">
        <f t="shared" si="24"/>
        <v>56.694564475000007</v>
      </c>
      <c r="I169" s="23">
        <f t="shared" si="24"/>
        <v>56.694564475000007</v>
      </c>
      <c r="J169" s="30">
        <f t="shared" ref="J169:R169" si="34">J157*(1+$AC$14)</f>
        <v>911912.03809271171</v>
      </c>
      <c r="K169" s="30">
        <f t="shared" si="34"/>
        <v>722565.65434799972</v>
      </c>
      <c r="L169" s="30">
        <f t="shared" si="34"/>
        <v>96157.850340293677</v>
      </c>
      <c r="M169" s="30">
        <f t="shared" si="34"/>
        <v>35214.243036394939</v>
      </c>
      <c r="N169" s="30">
        <f t="shared" si="34"/>
        <v>929160.89421267656</v>
      </c>
      <c r="O169" s="30">
        <f t="shared" si="34"/>
        <v>92005.758265653727</v>
      </c>
      <c r="P169" s="30">
        <f t="shared" si="34"/>
        <v>17716.660851629247</v>
      </c>
      <c r="Q169" s="30">
        <f t="shared" si="34"/>
        <v>743607.71298862551</v>
      </c>
      <c r="R169" s="30">
        <f t="shared" si="34"/>
        <v>35776.607363585987</v>
      </c>
      <c r="S169" s="30">
        <f t="shared" si="9"/>
        <v>1604.6202006537496</v>
      </c>
    </row>
    <row r="170" spans="1:19">
      <c r="A170" s="28">
        <v>46692</v>
      </c>
      <c r="B170" s="29">
        <f t="shared" si="10"/>
        <v>2027</v>
      </c>
      <c r="C170" s="28" t="str">
        <f t="shared" si="6"/>
        <v>Q4</v>
      </c>
      <c r="D170" s="23">
        <f t="shared" si="24"/>
        <v>8294.1227503000009</v>
      </c>
      <c r="E170" s="23">
        <f t="shared" si="24"/>
        <v>8288.987008225</v>
      </c>
      <c r="F170" s="23">
        <f t="shared" si="24"/>
        <v>261.41934170000007</v>
      </c>
      <c r="G170" s="23">
        <f t="shared" si="24"/>
        <v>262.02354665000001</v>
      </c>
      <c r="H170" s="23">
        <f t="shared" si="24"/>
        <v>58.104376025000008</v>
      </c>
      <c r="I170" s="23">
        <f t="shared" si="24"/>
        <v>58.104376025000008</v>
      </c>
      <c r="J170" s="30">
        <f t="shared" ref="J170:R170" si="35">J158*(1+$AC$14)</f>
        <v>911912.03809271171</v>
      </c>
      <c r="K170" s="30">
        <f t="shared" si="35"/>
        <v>722565.65434799972</v>
      </c>
      <c r="L170" s="30">
        <f t="shared" si="35"/>
        <v>96157.850340293677</v>
      </c>
      <c r="M170" s="30">
        <f t="shared" si="35"/>
        <v>35214.243036394939</v>
      </c>
      <c r="N170" s="30">
        <f t="shared" si="35"/>
        <v>929160.89421267656</v>
      </c>
      <c r="O170" s="30">
        <f t="shared" si="35"/>
        <v>92005.758265653727</v>
      </c>
      <c r="P170" s="30">
        <f t="shared" si="35"/>
        <v>17716.660851629247</v>
      </c>
      <c r="Q170" s="30">
        <f t="shared" si="35"/>
        <v>743607.71298862551</v>
      </c>
      <c r="R170" s="30">
        <f t="shared" si="35"/>
        <v>35776.607363585987</v>
      </c>
      <c r="S170" s="30">
        <f t="shared" si="9"/>
        <v>1604.6202006537496</v>
      </c>
    </row>
    <row r="171" spans="1:19">
      <c r="A171" s="28">
        <v>46722</v>
      </c>
      <c r="B171" s="29">
        <f t="shared" si="10"/>
        <v>2027</v>
      </c>
      <c r="C171" s="28" t="str">
        <f t="shared" si="6"/>
        <v>Q4</v>
      </c>
      <c r="D171" s="23">
        <f t="shared" si="24"/>
        <v>8318.9958540750013</v>
      </c>
      <c r="E171" s="23">
        <f t="shared" si="24"/>
        <v>8305.9047468250028</v>
      </c>
      <c r="F171" s="23">
        <f t="shared" si="24"/>
        <v>258.59971860000002</v>
      </c>
      <c r="G171" s="23">
        <f t="shared" si="24"/>
        <v>260.00953015000005</v>
      </c>
      <c r="H171" s="23">
        <f t="shared" si="24"/>
        <v>55.788257050000006</v>
      </c>
      <c r="I171" s="23">
        <f t="shared" si="24"/>
        <v>55.788257050000006</v>
      </c>
      <c r="J171" s="30">
        <f t="shared" ref="J171:R171" si="36">J159*(1+$AC$14)</f>
        <v>911912.03809271171</v>
      </c>
      <c r="K171" s="30">
        <f t="shared" si="36"/>
        <v>722565.65434799972</v>
      </c>
      <c r="L171" s="30">
        <f t="shared" si="36"/>
        <v>96157.850340293677</v>
      </c>
      <c r="M171" s="30">
        <f t="shared" si="36"/>
        <v>35214.243036394939</v>
      </c>
      <c r="N171" s="30">
        <f t="shared" si="36"/>
        <v>929160.89421267656</v>
      </c>
      <c r="O171" s="30">
        <f t="shared" si="36"/>
        <v>92005.758265653727</v>
      </c>
      <c r="P171" s="30">
        <f t="shared" si="36"/>
        <v>17716.660851629247</v>
      </c>
      <c r="Q171" s="30">
        <f t="shared" si="36"/>
        <v>743607.71298862551</v>
      </c>
      <c r="R171" s="30">
        <f t="shared" si="36"/>
        <v>35776.607363585987</v>
      </c>
      <c r="S171" s="30">
        <f t="shared" si="9"/>
        <v>1604.6202006537496</v>
      </c>
    </row>
    <row r="172" spans="1:19">
      <c r="A172" s="28">
        <v>46753</v>
      </c>
      <c r="B172" s="29">
        <f t="shared" ref="B172:B187" si="37">YEAR(A172)</f>
        <v>2028</v>
      </c>
      <c r="C172" s="28" t="str">
        <f t="shared" si="6"/>
        <v>Q1</v>
      </c>
      <c r="D172" s="23">
        <f t="shared" ref="D172:I183" si="38">D160*(1+$AC$24)</f>
        <v>8357.9878872000008</v>
      </c>
      <c r="E172" s="23">
        <f t="shared" si="38"/>
        <v>8310.4526735999989</v>
      </c>
      <c r="F172" s="23">
        <f t="shared" si="38"/>
        <v>256.22392320000006</v>
      </c>
      <c r="G172" s="23">
        <f t="shared" si="38"/>
        <v>259.26455520000002</v>
      </c>
      <c r="H172" s="23">
        <f t="shared" si="38"/>
        <v>56.251691999999998</v>
      </c>
      <c r="I172" s="23">
        <f t="shared" si="38"/>
        <v>56.251691999999998</v>
      </c>
      <c r="J172" s="30">
        <f t="shared" ref="J172:R172" si="39">J160*(1+$AC$15)</f>
        <v>928326.45477838058</v>
      </c>
      <c r="K172" s="30">
        <f t="shared" si="39"/>
        <v>735571.83612626372</v>
      </c>
      <c r="L172" s="30">
        <f t="shared" si="39"/>
        <v>97888.691646418971</v>
      </c>
      <c r="M172" s="30">
        <f t="shared" si="39"/>
        <v>35848.099411050047</v>
      </c>
      <c r="N172" s="30">
        <f t="shared" si="39"/>
        <v>938630.11425093585</v>
      </c>
      <c r="O172" s="30">
        <f t="shared" si="39"/>
        <v>93348.468436522482</v>
      </c>
      <c r="P172" s="30">
        <f t="shared" si="39"/>
        <v>18016.322358866997</v>
      </c>
      <c r="Q172" s="30">
        <f t="shared" si="39"/>
        <v>751754.4149824304</v>
      </c>
      <c r="R172" s="30">
        <f t="shared" si="39"/>
        <v>35786.977098241492</v>
      </c>
      <c r="S172" s="30">
        <f t="shared" si="9"/>
        <v>1650.5623102725076</v>
      </c>
    </row>
    <row r="173" spans="1:19">
      <c r="A173" s="28">
        <v>46784</v>
      </c>
      <c r="B173" s="29">
        <f t="shared" si="37"/>
        <v>2028</v>
      </c>
      <c r="C173" s="28" t="str">
        <f t="shared" si="6"/>
        <v>Q1</v>
      </c>
      <c r="D173" s="23">
        <f t="shared" si="38"/>
        <v>8342.7847271999999</v>
      </c>
      <c r="E173" s="23">
        <f t="shared" si="38"/>
        <v>8268.5933064000019</v>
      </c>
      <c r="F173" s="23">
        <f t="shared" si="38"/>
        <v>254.70360720000005</v>
      </c>
      <c r="G173" s="23">
        <f t="shared" si="38"/>
        <v>257.5415304</v>
      </c>
      <c r="H173" s="23">
        <f t="shared" si="38"/>
        <v>57.062527200000005</v>
      </c>
      <c r="I173" s="23">
        <f t="shared" si="38"/>
        <v>57.062527200000005</v>
      </c>
      <c r="J173" s="30">
        <f t="shared" ref="J173:R173" si="40">J161*(1+$AC$15)</f>
        <v>928326.45477838058</v>
      </c>
      <c r="K173" s="30">
        <f t="shared" si="40"/>
        <v>735571.83612626372</v>
      </c>
      <c r="L173" s="30">
        <f t="shared" si="40"/>
        <v>97888.691646418971</v>
      </c>
      <c r="M173" s="30">
        <f t="shared" si="40"/>
        <v>35848.099411050047</v>
      </c>
      <c r="N173" s="30">
        <f t="shared" si="40"/>
        <v>938630.11425093585</v>
      </c>
      <c r="O173" s="30">
        <f t="shared" si="40"/>
        <v>93348.468436522482</v>
      </c>
      <c r="P173" s="30">
        <f t="shared" si="40"/>
        <v>18016.322358866997</v>
      </c>
      <c r="Q173" s="30">
        <f t="shared" si="40"/>
        <v>751754.4149824304</v>
      </c>
      <c r="R173" s="30">
        <f t="shared" si="40"/>
        <v>35786.977098241492</v>
      </c>
      <c r="S173" s="30">
        <f t="shared" si="9"/>
        <v>1650.5623102725076</v>
      </c>
    </row>
    <row r="174" spans="1:19">
      <c r="A174" s="28">
        <v>46813</v>
      </c>
      <c r="B174" s="29">
        <f t="shared" si="37"/>
        <v>2028</v>
      </c>
      <c r="C174" s="28" t="str">
        <f t="shared" si="6"/>
        <v>Q1</v>
      </c>
      <c r="D174" s="23">
        <f t="shared" si="38"/>
        <v>8357.8365650808009</v>
      </c>
      <c r="E174" s="23">
        <f t="shared" si="38"/>
        <v>8278.357029138002</v>
      </c>
      <c r="F174" s="23">
        <f t="shared" si="38"/>
        <v>249.80732816760002</v>
      </c>
      <c r="G174" s="23">
        <f t="shared" si="38"/>
        <v>251.02540534680003</v>
      </c>
      <c r="H174" s="23">
        <f t="shared" si="38"/>
        <v>32.177538817200002</v>
      </c>
      <c r="I174" s="23">
        <f t="shared" si="38"/>
        <v>32.177538817200002</v>
      </c>
      <c r="J174" s="30">
        <f t="shared" ref="J174:R174" si="41">J162*(1+$AC$15)</f>
        <v>928326.45477838058</v>
      </c>
      <c r="K174" s="30">
        <f t="shared" si="41"/>
        <v>735571.83612626372</v>
      </c>
      <c r="L174" s="30">
        <f t="shared" si="41"/>
        <v>97888.691646418971</v>
      </c>
      <c r="M174" s="30">
        <f t="shared" si="41"/>
        <v>35848.099411050047</v>
      </c>
      <c r="N174" s="30">
        <f t="shared" si="41"/>
        <v>938630.11425093585</v>
      </c>
      <c r="O174" s="30">
        <f t="shared" si="41"/>
        <v>93348.468436522482</v>
      </c>
      <c r="P174" s="30">
        <f t="shared" si="41"/>
        <v>18016.322358866997</v>
      </c>
      <c r="Q174" s="30">
        <f t="shared" si="41"/>
        <v>751754.4149824304</v>
      </c>
      <c r="R174" s="30">
        <f t="shared" si="41"/>
        <v>35786.977098241492</v>
      </c>
      <c r="S174" s="30">
        <f t="shared" si="9"/>
        <v>1650.5623102725076</v>
      </c>
    </row>
    <row r="175" spans="1:19">
      <c r="A175" s="28">
        <v>46844</v>
      </c>
      <c r="B175" s="29">
        <f t="shared" si="37"/>
        <v>2028</v>
      </c>
      <c r="C175" s="28" t="str">
        <f t="shared" si="6"/>
        <v>Q2</v>
      </c>
      <c r="D175" s="23">
        <f t="shared" si="38"/>
        <v>8344.1331968148006</v>
      </c>
      <c r="E175" s="23">
        <f t="shared" si="38"/>
        <v>8288.3046594348016</v>
      </c>
      <c r="F175" s="23">
        <f t="shared" si="38"/>
        <v>246.15309663000002</v>
      </c>
      <c r="G175" s="23">
        <f t="shared" si="38"/>
        <v>246.35610949320002</v>
      </c>
      <c r="H175" s="23">
        <f t="shared" si="38"/>
        <v>41.820649819200014</v>
      </c>
      <c r="I175" s="23">
        <f t="shared" si="38"/>
        <v>41.820649819200014</v>
      </c>
      <c r="J175" s="30">
        <f t="shared" ref="J175:R175" si="42">J163*(1+$AC$15)</f>
        <v>928326.45477838058</v>
      </c>
      <c r="K175" s="30">
        <f t="shared" si="42"/>
        <v>735571.83612626372</v>
      </c>
      <c r="L175" s="30">
        <f t="shared" si="42"/>
        <v>97888.691646418971</v>
      </c>
      <c r="M175" s="30">
        <f t="shared" si="42"/>
        <v>35848.099411050047</v>
      </c>
      <c r="N175" s="30">
        <f t="shared" si="42"/>
        <v>935266.0359550768</v>
      </c>
      <c r="O175" s="30">
        <f t="shared" si="42"/>
        <v>90616.85358659098</v>
      </c>
      <c r="P175" s="30">
        <f t="shared" si="42"/>
        <v>17515.5785727525</v>
      </c>
      <c r="Q175" s="30">
        <f t="shared" si="42"/>
        <v>752060.71546120185</v>
      </c>
      <c r="R175" s="30">
        <f t="shared" si="42"/>
        <v>35937.513852313496</v>
      </c>
      <c r="S175" s="30">
        <f t="shared" si="9"/>
        <v>1602.2626370910002</v>
      </c>
    </row>
    <row r="176" spans="1:19">
      <c r="A176" s="28">
        <v>46874</v>
      </c>
      <c r="B176" s="29">
        <f t="shared" si="37"/>
        <v>2028</v>
      </c>
      <c r="C176" s="28" t="str">
        <f t="shared" si="6"/>
        <v>Q2</v>
      </c>
      <c r="D176" s="23">
        <f t="shared" si="38"/>
        <v>8327.9936741904003</v>
      </c>
      <c r="E176" s="23">
        <f t="shared" si="38"/>
        <v>8321.5987689996018</v>
      </c>
      <c r="F176" s="23">
        <f t="shared" si="38"/>
        <v>245.44255160880004</v>
      </c>
      <c r="G176" s="23">
        <f t="shared" si="38"/>
        <v>244.32598086120001</v>
      </c>
      <c r="H176" s="23">
        <f t="shared" si="38"/>
        <v>49.230619326000003</v>
      </c>
      <c r="I176" s="23">
        <f t="shared" si="38"/>
        <v>49.230619326000003</v>
      </c>
      <c r="J176" s="30">
        <f t="shared" ref="J176:R176" si="43">J164*(1+$AC$15)</f>
        <v>928326.45477838058</v>
      </c>
      <c r="K176" s="30">
        <f t="shared" si="43"/>
        <v>735571.83612626372</v>
      </c>
      <c r="L176" s="30">
        <f t="shared" si="43"/>
        <v>97888.691646418971</v>
      </c>
      <c r="M176" s="30">
        <f t="shared" si="43"/>
        <v>35848.099411050047</v>
      </c>
      <c r="N176" s="30">
        <f t="shared" si="43"/>
        <v>935266.0359550768</v>
      </c>
      <c r="O176" s="30">
        <f t="shared" si="43"/>
        <v>90616.85358659098</v>
      </c>
      <c r="P176" s="30">
        <f t="shared" si="43"/>
        <v>17515.5785727525</v>
      </c>
      <c r="Q176" s="30">
        <f t="shared" si="43"/>
        <v>752060.71546120185</v>
      </c>
      <c r="R176" s="30">
        <f t="shared" si="43"/>
        <v>35937.513852313496</v>
      </c>
      <c r="S176" s="30">
        <f t="shared" si="9"/>
        <v>1602.2626370910002</v>
      </c>
    </row>
    <row r="177" spans="1:19">
      <c r="A177" s="28">
        <v>46905</v>
      </c>
      <c r="B177" s="29">
        <f t="shared" si="37"/>
        <v>2028</v>
      </c>
      <c r="C177" s="28" t="str">
        <f t="shared" si="6"/>
        <v>Q2</v>
      </c>
      <c r="D177" s="23">
        <f t="shared" si="38"/>
        <v>8323.527391200003</v>
      </c>
      <c r="E177" s="23">
        <f t="shared" si="38"/>
        <v>8394.5818933200007</v>
      </c>
      <c r="F177" s="23">
        <f t="shared" si="38"/>
        <v>244.63050015600001</v>
      </c>
      <c r="G177" s="23">
        <f t="shared" si="38"/>
        <v>243.61543584000003</v>
      </c>
      <c r="H177" s="23">
        <f t="shared" si="38"/>
        <v>56.031550243200009</v>
      </c>
      <c r="I177" s="23">
        <f t="shared" si="38"/>
        <v>56.031550243200009</v>
      </c>
      <c r="J177" s="30">
        <f t="shared" ref="J177:R177" si="44">J165*(1+$AC$15)</f>
        <v>928326.45477838058</v>
      </c>
      <c r="K177" s="30">
        <f t="shared" si="44"/>
        <v>735571.83612626372</v>
      </c>
      <c r="L177" s="30">
        <f t="shared" si="44"/>
        <v>97888.691646418971</v>
      </c>
      <c r="M177" s="30">
        <f t="shared" si="44"/>
        <v>35848.099411050047</v>
      </c>
      <c r="N177" s="30">
        <f t="shared" si="44"/>
        <v>935266.0359550768</v>
      </c>
      <c r="O177" s="30">
        <f t="shared" si="44"/>
        <v>90616.85358659098</v>
      </c>
      <c r="P177" s="30">
        <f t="shared" si="44"/>
        <v>17515.5785727525</v>
      </c>
      <c r="Q177" s="30">
        <f t="shared" si="44"/>
        <v>752060.71546120185</v>
      </c>
      <c r="R177" s="30">
        <f t="shared" si="44"/>
        <v>35937.513852313496</v>
      </c>
      <c r="S177" s="30">
        <f t="shared" si="9"/>
        <v>1602.2626370910002</v>
      </c>
    </row>
    <row r="178" spans="1:19">
      <c r="A178" s="28">
        <v>46935</v>
      </c>
      <c r="B178" s="29">
        <f t="shared" si="37"/>
        <v>2028</v>
      </c>
      <c r="C178" s="28" t="str">
        <f t="shared" si="6"/>
        <v>Q3</v>
      </c>
      <c r="D178" s="23">
        <f t="shared" si="38"/>
        <v>8331.1403735700005</v>
      </c>
      <c r="E178" s="23">
        <f t="shared" si="38"/>
        <v>8433.560363054401</v>
      </c>
      <c r="F178" s="23">
        <f t="shared" si="38"/>
        <v>248.48774455680007</v>
      </c>
      <c r="G178" s="23">
        <f t="shared" si="38"/>
        <v>247.77719953560003</v>
      </c>
      <c r="H178" s="23">
        <f t="shared" si="38"/>
        <v>57.554146717200013</v>
      </c>
      <c r="I178" s="23">
        <f t="shared" si="38"/>
        <v>57.554146717200013</v>
      </c>
      <c r="J178" s="30">
        <f t="shared" ref="J178:R178" si="45">J166*(1+$AC$15)</f>
        <v>928326.45477838058</v>
      </c>
      <c r="K178" s="30">
        <f t="shared" si="45"/>
        <v>735571.83612626372</v>
      </c>
      <c r="L178" s="30">
        <f t="shared" si="45"/>
        <v>97888.691646418971</v>
      </c>
      <c r="M178" s="30">
        <f t="shared" si="45"/>
        <v>35848.099411050047</v>
      </c>
      <c r="N178" s="30">
        <f t="shared" si="45"/>
        <v>940074.84893237695</v>
      </c>
      <c r="O178" s="30">
        <f t="shared" si="45"/>
        <v>91489.757681383489</v>
      </c>
      <c r="P178" s="30">
        <f t="shared" si="45"/>
        <v>17823.969839774996</v>
      </c>
      <c r="Q178" s="30">
        <f t="shared" si="45"/>
        <v>755441.52006306895</v>
      </c>
      <c r="R178" s="30">
        <f t="shared" si="45"/>
        <v>35823.565892633997</v>
      </c>
      <c r="S178" s="30">
        <f t="shared" si="9"/>
        <v>1617.6970906335046</v>
      </c>
    </row>
    <row r="179" spans="1:19">
      <c r="A179" s="28">
        <v>46966</v>
      </c>
      <c r="B179" s="29">
        <f t="shared" si="37"/>
        <v>2028</v>
      </c>
      <c r="C179" s="28" t="str">
        <f t="shared" si="6"/>
        <v>Q3</v>
      </c>
      <c r="D179" s="23">
        <f t="shared" si="38"/>
        <v>8328.501206348401</v>
      </c>
      <c r="E179" s="23">
        <f t="shared" si="38"/>
        <v>8416.6087889772025</v>
      </c>
      <c r="F179" s="23">
        <f t="shared" si="38"/>
        <v>252.24348252600004</v>
      </c>
      <c r="G179" s="23">
        <f t="shared" si="38"/>
        <v>251.12691177840003</v>
      </c>
      <c r="H179" s="23">
        <f t="shared" si="38"/>
        <v>56.437575969600005</v>
      </c>
      <c r="I179" s="23">
        <f t="shared" si="38"/>
        <v>56.437575969600005</v>
      </c>
      <c r="J179" s="30">
        <f t="shared" ref="J179:R179" si="46">J167*(1+$AC$15)</f>
        <v>928326.45477838058</v>
      </c>
      <c r="K179" s="30">
        <f t="shared" si="46"/>
        <v>735571.83612626372</v>
      </c>
      <c r="L179" s="30">
        <f t="shared" si="46"/>
        <v>97888.691646418971</v>
      </c>
      <c r="M179" s="30">
        <f t="shared" si="46"/>
        <v>35848.099411050047</v>
      </c>
      <c r="N179" s="30">
        <f t="shared" si="46"/>
        <v>940074.84893237695</v>
      </c>
      <c r="O179" s="30">
        <f t="shared" si="46"/>
        <v>91489.757681383489</v>
      </c>
      <c r="P179" s="30">
        <f t="shared" si="46"/>
        <v>17823.969839774996</v>
      </c>
      <c r="Q179" s="30">
        <f t="shared" si="46"/>
        <v>755441.52006306895</v>
      </c>
      <c r="R179" s="30">
        <f t="shared" si="46"/>
        <v>35823.565892633997</v>
      </c>
      <c r="S179" s="30">
        <f t="shared" si="9"/>
        <v>1617.6970906335046</v>
      </c>
    </row>
    <row r="180" spans="1:19">
      <c r="A180" s="28">
        <v>46997</v>
      </c>
      <c r="B180" s="29">
        <f t="shared" si="37"/>
        <v>2028</v>
      </c>
      <c r="C180" s="28" t="str">
        <f t="shared" si="6"/>
        <v>Q3</v>
      </c>
      <c r="D180" s="23">
        <f t="shared" si="38"/>
        <v>8325.7605326952016</v>
      </c>
      <c r="E180" s="23">
        <f t="shared" si="38"/>
        <v>8358.3440972387998</v>
      </c>
      <c r="F180" s="23">
        <f t="shared" si="38"/>
        <v>257.62332340080002</v>
      </c>
      <c r="G180" s="23">
        <f t="shared" si="38"/>
        <v>257.11579124280001</v>
      </c>
      <c r="H180" s="23">
        <f t="shared" si="38"/>
        <v>55.727030948400007</v>
      </c>
      <c r="I180" s="23">
        <f t="shared" si="38"/>
        <v>55.727030948400007</v>
      </c>
      <c r="J180" s="30">
        <f t="shared" ref="J180:R180" si="47">J168*(1+$AC$15)</f>
        <v>928326.45477838058</v>
      </c>
      <c r="K180" s="30">
        <f t="shared" si="47"/>
        <v>735571.83612626372</v>
      </c>
      <c r="L180" s="30">
        <f t="shared" si="47"/>
        <v>97888.691646418971</v>
      </c>
      <c r="M180" s="30">
        <f t="shared" si="47"/>
        <v>35848.099411050047</v>
      </c>
      <c r="N180" s="30">
        <f t="shared" si="47"/>
        <v>940074.84893237695</v>
      </c>
      <c r="O180" s="30">
        <f t="shared" si="47"/>
        <v>91489.757681383489</v>
      </c>
      <c r="P180" s="30">
        <f t="shared" si="47"/>
        <v>17823.969839774996</v>
      </c>
      <c r="Q180" s="30">
        <f t="shared" si="47"/>
        <v>755441.52006306895</v>
      </c>
      <c r="R180" s="30">
        <f t="shared" si="47"/>
        <v>35823.565892633997</v>
      </c>
      <c r="S180" s="30">
        <f t="shared" si="9"/>
        <v>1617.6970906335046</v>
      </c>
    </row>
    <row r="181" spans="1:19">
      <c r="A181" s="28">
        <v>47027</v>
      </c>
      <c r="B181" s="29">
        <f t="shared" si="37"/>
        <v>2028</v>
      </c>
      <c r="C181" s="28" t="str">
        <f t="shared" si="6"/>
        <v>Q4</v>
      </c>
      <c r="D181" s="23">
        <f t="shared" si="38"/>
        <v>8338.0428109188015</v>
      </c>
      <c r="E181" s="23">
        <f t="shared" si="38"/>
        <v>8347.7874283524015</v>
      </c>
      <c r="F181" s="23">
        <f t="shared" si="38"/>
        <v>260.97303564360004</v>
      </c>
      <c r="G181" s="23">
        <f t="shared" si="38"/>
        <v>260.26249062239998</v>
      </c>
      <c r="H181" s="23">
        <f t="shared" si="38"/>
        <v>57.14812099080001</v>
      </c>
      <c r="I181" s="23">
        <f t="shared" si="38"/>
        <v>57.14812099080001</v>
      </c>
      <c r="J181" s="30">
        <f t="shared" ref="J181:R181" si="48">J169*(1+$AC$15)</f>
        <v>928326.45477838058</v>
      </c>
      <c r="K181" s="30">
        <f t="shared" si="48"/>
        <v>735571.83612626372</v>
      </c>
      <c r="L181" s="30">
        <f t="shared" si="48"/>
        <v>97888.691646418971</v>
      </c>
      <c r="M181" s="30">
        <f t="shared" si="48"/>
        <v>35848.099411050047</v>
      </c>
      <c r="N181" s="30">
        <f t="shared" si="48"/>
        <v>945885.79030850471</v>
      </c>
      <c r="O181" s="30">
        <f t="shared" si="48"/>
        <v>93661.861914435489</v>
      </c>
      <c r="P181" s="30">
        <f t="shared" si="48"/>
        <v>18035.560746958574</v>
      </c>
      <c r="Q181" s="30">
        <f t="shared" si="48"/>
        <v>756992.65182242077</v>
      </c>
      <c r="R181" s="30">
        <f t="shared" si="48"/>
        <v>36420.586296130532</v>
      </c>
      <c r="S181" s="30">
        <f t="shared" si="9"/>
        <v>1656.1036487817619</v>
      </c>
    </row>
    <row r="182" spans="1:19">
      <c r="A182" s="28">
        <v>47058</v>
      </c>
      <c r="B182" s="29">
        <f t="shared" si="37"/>
        <v>2028</v>
      </c>
      <c r="C182" s="28" t="str">
        <f t="shared" si="6"/>
        <v>Q4</v>
      </c>
      <c r="D182" s="23">
        <f t="shared" si="38"/>
        <v>8360.4757323024005</v>
      </c>
      <c r="E182" s="23">
        <f t="shared" si="38"/>
        <v>8355.2989042907993</v>
      </c>
      <c r="F182" s="23">
        <f t="shared" si="38"/>
        <v>263.51069643360006</v>
      </c>
      <c r="G182" s="23">
        <f t="shared" si="38"/>
        <v>264.11973502320001</v>
      </c>
      <c r="H182" s="23">
        <f t="shared" si="38"/>
        <v>58.569211033200006</v>
      </c>
      <c r="I182" s="23">
        <f t="shared" si="38"/>
        <v>58.569211033200006</v>
      </c>
      <c r="J182" s="30">
        <f t="shared" ref="J182:R182" si="49">J170*(1+$AC$15)</f>
        <v>928326.45477838058</v>
      </c>
      <c r="K182" s="30">
        <f t="shared" si="49"/>
        <v>735571.83612626372</v>
      </c>
      <c r="L182" s="30">
        <f t="shared" si="49"/>
        <v>97888.691646418971</v>
      </c>
      <c r="M182" s="30">
        <f t="shared" si="49"/>
        <v>35848.099411050047</v>
      </c>
      <c r="N182" s="30">
        <f t="shared" si="49"/>
        <v>945885.79030850471</v>
      </c>
      <c r="O182" s="30">
        <f t="shared" si="49"/>
        <v>93661.861914435489</v>
      </c>
      <c r="P182" s="30">
        <f t="shared" si="49"/>
        <v>18035.560746958574</v>
      </c>
      <c r="Q182" s="30">
        <f t="shared" si="49"/>
        <v>756992.65182242077</v>
      </c>
      <c r="R182" s="30">
        <f t="shared" si="49"/>
        <v>36420.586296130532</v>
      </c>
      <c r="S182" s="30">
        <f t="shared" si="9"/>
        <v>1656.1036487817619</v>
      </c>
    </row>
    <row r="183" spans="1:19">
      <c r="A183" s="28">
        <v>47088</v>
      </c>
      <c r="B183" s="29">
        <f t="shared" si="37"/>
        <v>2028</v>
      </c>
      <c r="C183" s="28" t="str">
        <f t="shared" si="6"/>
        <v>Q4</v>
      </c>
      <c r="D183" s="23">
        <f t="shared" si="38"/>
        <v>8385.5478209076009</v>
      </c>
      <c r="E183" s="23">
        <f t="shared" si="38"/>
        <v>8372.3519847996031</v>
      </c>
      <c r="F183" s="23">
        <f t="shared" si="38"/>
        <v>260.66851634880004</v>
      </c>
      <c r="G183" s="23">
        <f t="shared" si="38"/>
        <v>262.08960639120005</v>
      </c>
      <c r="H183" s="23">
        <f t="shared" si="38"/>
        <v>56.234563106400003</v>
      </c>
      <c r="I183" s="23">
        <f t="shared" si="38"/>
        <v>56.234563106400003</v>
      </c>
      <c r="J183" s="30">
        <f t="shared" ref="J183:R183" si="50">J171*(1+$AC$15)</f>
        <v>928326.45477838058</v>
      </c>
      <c r="K183" s="30">
        <f t="shared" si="50"/>
        <v>735571.83612626372</v>
      </c>
      <c r="L183" s="30">
        <f t="shared" si="50"/>
        <v>97888.691646418971</v>
      </c>
      <c r="M183" s="30">
        <f t="shared" si="50"/>
        <v>35848.099411050047</v>
      </c>
      <c r="N183" s="30">
        <f t="shared" si="50"/>
        <v>945885.79030850471</v>
      </c>
      <c r="O183" s="30">
        <f t="shared" si="50"/>
        <v>93661.861914435489</v>
      </c>
      <c r="P183" s="30">
        <f t="shared" si="50"/>
        <v>18035.560746958574</v>
      </c>
      <c r="Q183" s="30">
        <f t="shared" si="50"/>
        <v>756992.65182242077</v>
      </c>
      <c r="R183" s="30">
        <f t="shared" si="50"/>
        <v>36420.586296130532</v>
      </c>
      <c r="S183" s="30">
        <f t="shared" si="9"/>
        <v>1656.1036487817619</v>
      </c>
    </row>
    <row r="184" spans="1:19">
      <c r="A184" s="28">
        <v>47119</v>
      </c>
      <c r="B184" s="29">
        <f t="shared" si="37"/>
        <v>2029</v>
      </c>
      <c r="C184" s="28" t="str">
        <f t="shared" si="6"/>
        <v>Q1</v>
      </c>
      <c r="D184" s="23">
        <f t="shared" ref="D184:I195" si="51">D172*(1+$AC$25)</f>
        <v>8449.9257539591999</v>
      </c>
      <c r="E184" s="23">
        <f t="shared" si="51"/>
        <v>8401.8676530095981</v>
      </c>
      <c r="F184" s="23">
        <f t="shared" si="51"/>
        <v>259.04238635520005</v>
      </c>
      <c r="G184" s="23">
        <f t="shared" si="51"/>
        <v>262.11646530719997</v>
      </c>
      <c r="H184" s="23">
        <f t="shared" si="51"/>
        <v>56.870460611999995</v>
      </c>
      <c r="I184" s="23">
        <f t="shared" si="51"/>
        <v>56.870460611999995</v>
      </c>
      <c r="J184" s="30">
        <f t="shared" ref="J184:R184" si="52">J172*(1+$AC$16)</f>
        <v>946892.98387394822</v>
      </c>
      <c r="K184" s="30">
        <f t="shared" si="52"/>
        <v>750283.272848789</v>
      </c>
      <c r="L184" s="30">
        <f t="shared" si="52"/>
        <v>99846.465479347346</v>
      </c>
      <c r="M184" s="30">
        <f t="shared" si="52"/>
        <v>36565.06139927105</v>
      </c>
      <c r="N184" s="30">
        <f t="shared" si="52"/>
        <v>957402.71653595462</v>
      </c>
      <c r="O184" s="30">
        <f t="shared" si="52"/>
        <v>95215.437805252936</v>
      </c>
      <c r="P184" s="30">
        <f t="shared" si="52"/>
        <v>18376.648806044337</v>
      </c>
      <c r="Q184" s="30">
        <f t="shared" si="52"/>
        <v>766789.50328207901</v>
      </c>
      <c r="R184" s="30">
        <f t="shared" si="52"/>
        <v>36502.716640206323</v>
      </c>
      <c r="S184" s="30">
        <f t="shared" si="9"/>
        <v>1866.9693687304534</v>
      </c>
    </row>
    <row r="185" spans="1:19">
      <c r="A185" s="28">
        <v>47150</v>
      </c>
      <c r="B185" s="29">
        <f t="shared" si="37"/>
        <v>2029</v>
      </c>
      <c r="C185" s="28" t="str">
        <f t="shared" si="6"/>
        <v>Q1</v>
      </c>
      <c r="D185" s="23">
        <f t="shared" si="51"/>
        <v>8434.5553591991993</v>
      </c>
      <c r="E185" s="23">
        <f t="shared" si="51"/>
        <v>8359.5478327704004</v>
      </c>
      <c r="F185" s="23">
        <f t="shared" si="51"/>
        <v>257.50534687920003</v>
      </c>
      <c r="G185" s="23">
        <f t="shared" si="51"/>
        <v>260.37448723439996</v>
      </c>
      <c r="H185" s="23">
        <f t="shared" si="51"/>
        <v>57.690214999200002</v>
      </c>
      <c r="I185" s="23">
        <f t="shared" si="51"/>
        <v>57.690214999200002</v>
      </c>
      <c r="J185" s="30">
        <f t="shared" ref="J185:R185" si="53">J173*(1+$AC$16)</f>
        <v>946892.98387394822</v>
      </c>
      <c r="K185" s="30">
        <f t="shared" si="53"/>
        <v>750283.272848789</v>
      </c>
      <c r="L185" s="30">
        <f t="shared" si="53"/>
        <v>99846.465479347346</v>
      </c>
      <c r="M185" s="30">
        <f t="shared" si="53"/>
        <v>36565.06139927105</v>
      </c>
      <c r="N185" s="30">
        <f t="shared" si="53"/>
        <v>957402.71653595462</v>
      </c>
      <c r="O185" s="30">
        <f t="shared" si="53"/>
        <v>95215.437805252936</v>
      </c>
      <c r="P185" s="30">
        <f t="shared" si="53"/>
        <v>18376.648806044337</v>
      </c>
      <c r="Q185" s="30">
        <f t="shared" si="53"/>
        <v>766789.50328207901</v>
      </c>
      <c r="R185" s="30">
        <f t="shared" si="53"/>
        <v>36502.716640206323</v>
      </c>
      <c r="S185" s="30">
        <f t="shared" si="9"/>
        <v>1866.9693687304534</v>
      </c>
    </row>
    <row r="186" spans="1:19">
      <c r="A186" s="28">
        <v>47178</v>
      </c>
      <c r="B186" s="29">
        <f t="shared" si="37"/>
        <v>2029</v>
      </c>
      <c r="C186" s="28" t="str">
        <f t="shared" si="6"/>
        <v>Q1</v>
      </c>
      <c r="D186" s="23">
        <f t="shared" si="51"/>
        <v>8449.7727672966885</v>
      </c>
      <c r="E186" s="23">
        <f t="shared" si="51"/>
        <v>8369.4189564585195</v>
      </c>
      <c r="F186" s="23">
        <f t="shared" si="51"/>
        <v>252.5552087774436</v>
      </c>
      <c r="G186" s="23">
        <f t="shared" si="51"/>
        <v>253.78668480561481</v>
      </c>
      <c r="H186" s="23">
        <f t="shared" si="51"/>
        <v>32.531491744189196</v>
      </c>
      <c r="I186" s="23">
        <f t="shared" si="51"/>
        <v>32.531491744189196</v>
      </c>
      <c r="J186" s="30">
        <f t="shared" ref="J186:R186" si="54">J174*(1+$AC$16)</f>
        <v>946892.98387394822</v>
      </c>
      <c r="K186" s="30">
        <f t="shared" si="54"/>
        <v>750283.272848789</v>
      </c>
      <c r="L186" s="30">
        <f t="shared" si="54"/>
        <v>99846.465479347346</v>
      </c>
      <c r="M186" s="30">
        <f t="shared" si="54"/>
        <v>36565.06139927105</v>
      </c>
      <c r="N186" s="30">
        <f t="shared" si="54"/>
        <v>957402.71653595462</v>
      </c>
      <c r="O186" s="30">
        <f t="shared" si="54"/>
        <v>95215.437805252936</v>
      </c>
      <c r="P186" s="30">
        <f t="shared" si="54"/>
        <v>18376.648806044337</v>
      </c>
      <c r="Q186" s="30">
        <f t="shared" si="54"/>
        <v>766789.50328207901</v>
      </c>
      <c r="R186" s="30">
        <f t="shared" si="54"/>
        <v>36502.716640206323</v>
      </c>
      <c r="S186" s="30">
        <f t="shared" si="9"/>
        <v>1866.9693687304534</v>
      </c>
    </row>
    <row r="187" spans="1:19">
      <c r="A187" s="28">
        <v>47209</v>
      </c>
      <c r="B187" s="29">
        <f t="shared" si="37"/>
        <v>2029</v>
      </c>
      <c r="C187" s="28" t="str">
        <f t="shared" si="6"/>
        <v>Q2</v>
      </c>
      <c r="D187" s="23">
        <f t="shared" si="51"/>
        <v>8435.918661979762</v>
      </c>
      <c r="E187" s="23">
        <f t="shared" si="51"/>
        <v>8379.4760106885842</v>
      </c>
      <c r="F187" s="23">
        <f t="shared" si="51"/>
        <v>248.86078069293001</v>
      </c>
      <c r="G187" s="23">
        <f t="shared" si="51"/>
        <v>249.0660266976252</v>
      </c>
      <c r="H187" s="23">
        <f t="shared" si="51"/>
        <v>42.280676967211207</v>
      </c>
      <c r="I187" s="23">
        <f t="shared" si="51"/>
        <v>42.280676967211207</v>
      </c>
      <c r="J187" s="30">
        <f t="shared" ref="J187:R187" si="55">J175*(1+$AC$16)</f>
        <v>946892.98387394822</v>
      </c>
      <c r="K187" s="30">
        <f t="shared" si="55"/>
        <v>750283.272848789</v>
      </c>
      <c r="L187" s="30">
        <f t="shared" si="55"/>
        <v>99846.465479347346</v>
      </c>
      <c r="M187" s="30">
        <f t="shared" si="55"/>
        <v>36565.06139927105</v>
      </c>
      <c r="N187" s="30">
        <f t="shared" si="55"/>
        <v>953971.35667417839</v>
      </c>
      <c r="O187" s="30">
        <f t="shared" si="55"/>
        <v>92429.190658322797</v>
      </c>
      <c r="P187" s="30">
        <f t="shared" si="55"/>
        <v>17865.890144207551</v>
      </c>
      <c r="Q187" s="30">
        <f t="shared" si="55"/>
        <v>767101.92977042589</v>
      </c>
      <c r="R187" s="30">
        <f t="shared" si="55"/>
        <v>36656.264129359763</v>
      </c>
      <c r="S187" s="30">
        <f t="shared" si="9"/>
        <v>1812.3370717318176</v>
      </c>
    </row>
    <row r="188" spans="1:19">
      <c r="A188" s="28">
        <v>47239</v>
      </c>
      <c r="B188" s="29">
        <f t="shared" ref="B188:B219" si="56">YEAR(A188)</f>
        <v>2029</v>
      </c>
      <c r="C188" s="28" t="str">
        <f t="shared" si="6"/>
        <v>Q2</v>
      </c>
      <c r="D188" s="23">
        <f t="shared" si="51"/>
        <v>8419.6016046064942</v>
      </c>
      <c r="E188" s="23">
        <f t="shared" si="51"/>
        <v>8413.1363554585969</v>
      </c>
      <c r="F188" s="23">
        <f t="shared" si="51"/>
        <v>248.14241967649681</v>
      </c>
      <c r="G188" s="23">
        <f t="shared" si="51"/>
        <v>247.0135666506732</v>
      </c>
      <c r="H188" s="23">
        <f t="shared" si="51"/>
        <v>49.772156138585999</v>
      </c>
      <c r="I188" s="23">
        <f t="shared" si="51"/>
        <v>49.772156138585999</v>
      </c>
      <c r="J188" s="30">
        <f t="shared" ref="J188:R188" si="57">J176*(1+$AC$16)</f>
        <v>946892.98387394822</v>
      </c>
      <c r="K188" s="30">
        <f t="shared" si="57"/>
        <v>750283.272848789</v>
      </c>
      <c r="L188" s="30">
        <f t="shared" si="57"/>
        <v>99846.465479347346</v>
      </c>
      <c r="M188" s="30">
        <f t="shared" si="57"/>
        <v>36565.06139927105</v>
      </c>
      <c r="N188" s="30">
        <f t="shared" si="57"/>
        <v>953971.35667417839</v>
      </c>
      <c r="O188" s="30">
        <f t="shared" si="57"/>
        <v>92429.190658322797</v>
      </c>
      <c r="P188" s="30">
        <f t="shared" si="57"/>
        <v>17865.890144207551</v>
      </c>
      <c r="Q188" s="30">
        <f t="shared" si="57"/>
        <v>767101.92977042589</v>
      </c>
      <c r="R188" s="30">
        <f t="shared" si="57"/>
        <v>36656.264129359763</v>
      </c>
      <c r="S188" s="30">
        <f t="shared" si="9"/>
        <v>1812.3370717318176</v>
      </c>
    </row>
    <row r="189" spans="1:19">
      <c r="A189" s="28">
        <v>47270</v>
      </c>
      <c r="B189" s="29">
        <f t="shared" si="56"/>
        <v>2029</v>
      </c>
      <c r="C189" s="28" t="str">
        <f t="shared" ref="C189:C219" si="58">C177</f>
        <v>Q2</v>
      </c>
      <c r="D189" s="23">
        <f t="shared" si="51"/>
        <v>8415.0861925032023</v>
      </c>
      <c r="E189" s="23">
        <f t="shared" si="51"/>
        <v>8486.9222941465196</v>
      </c>
      <c r="F189" s="23">
        <f t="shared" si="51"/>
        <v>247.32143565771599</v>
      </c>
      <c r="G189" s="23">
        <f t="shared" si="51"/>
        <v>246.29520563424001</v>
      </c>
      <c r="H189" s="23">
        <f t="shared" si="51"/>
        <v>56.647897295875204</v>
      </c>
      <c r="I189" s="23">
        <f t="shared" si="51"/>
        <v>56.647897295875204</v>
      </c>
      <c r="J189" s="30">
        <f t="shared" ref="J189:R189" si="59">J177*(1+$AC$16)</f>
        <v>946892.98387394822</v>
      </c>
      <c r="K189" s="30">
        <f t="shared" si="59"/>
        <v>750283.272848789</v>
      </c>
      <c r="L189" s="30">
        <f t="shared" si="59"/>
        <v>99846.465479347346</v>
      </c>
      <c r="M189" s="30">
        <f t="shared" si="59"/>
        <v>36565.06139927105</v>
      </c>
      <c r="N189" s="30">
        <f t="shared" si="59"/>
        <v>953971.35667417839</v>
      </c>
      <c r="O189" s="30">
        <f t="shared" si="59"/>
        <v>92429.190658322797</v>
      </c>
      <c r="P189" s="30">
        <f t="shared" si="59"/>
        <v>17865.890144207551</v>
      </c>
      <c r="Q189" s="30">
        <f t="shared" si="59"/>
        <v>767101.92977042589</v>
      </c>
      <c r="R189" s="30">
        <f t="shared" si="59"/>
        <v>36656.264129359763</v>
      </c>
      <c r="S189" s="30">
        <f t="shared" si="9"/>
        <v>1812.3370717318176</v>
      </c>
    </row>
    <row r="190" spans="1:19">
      <c r="A190" s="28">
        <v>47300</v>
      </c>
      <c r="B190" s="29">
        <f t="shared" si="56"/>
        <v>2029</v>
      </c>
      <c r="C190" s="28" t="str">
        <f t="shared" si="58"/>
        <v>Q3</v>
      </c>
      <c r="D190" s="23">
        <f t="shared" si="51"/>
        <v>8422.7829176792693</v>
      </c>
      <c r="E190" s="23">
        <f t="shared" si="51"/>
        <v>8526.3295270479994</v>
      </c>
      <c r="F190" s="23">
        <f t="shared" si="51"/>
        <v>251.22110974692484</v>
      </c>
      <c r="G190" s="23">
        <f t="shared" si="51"/>
        <v>250.50274873049162</v>
      </c>
      <c r="H190" s="23">
        <f t="shared" si="51"/>
        <v>58.187242331089209</v>
      </c>
      <c r="I190" s="23">
        <f t="shared" si="51"/>
        <v>58.187242331089209</v>
      </c>
      <c r="J190" s="30">
        <f t="shared" ref="J190:R190" si="60">J178*(1+$AC$16)</f>
        <v>946892.98387394822</v>
      </c>
      <c r="K190" s="30">
        <f t="shared" si="60"/>
        <v>750283.272848789</v>
      </c>
      <c r="L190" s="30">
        <f t="shared" si="60"/>
        <v>99846.465479347346</v>
      </c>
      <c r="M190" s="30">
        <f t="shared" si="60"/>
        <v>36565.06139927105</v>
      </c>
      <c r="N190" s="30">
        <f t="shared" si="60"/>
        <v>958876.34591102449</v>
      </c>
      <c r="O190" s="30">
        <f t="shared" si="60"/>
        <v>93319.552835011156</v>
      </c>
      <c r="P190" s="30">
        <f t="shared" si="60"/>
        <v>18180.449236570497</v>
      </c>
      <c r="Q190" s="30">
        <f t="shared" si="60"/>
        <v>770550.35046433029</v>
      </c>
      <c r="R190" s="30">
        <f t="shared" si="60"/>
        <v>36540.037210486676</v>
      </c>
      <c r="S190" s="30">
        <f t="shared" si="9"/>
        <v>1829.7951536276669</v>
      </c>
    </row>
    <row r="191" spans="1:19">
      <c r="A191" s="28">
        <v>47331</v>
      </c>
      <c r="B191" s="29">
        <f t="shared" si="56"/>
        <v>2029</v>
      </c>
      <c r="C191" s="28" t="str">
        <f t="shared" si="58"/>
        <v>Q3</v>
      </c>
      <c r="D191" s="23">
        <f t="shared" si="51"/>
        <v>8420.1147196182319</v>
      </c>
      <c r="E191" s="23">
        <f t="shared" si="51"/>
        <v>8509.1914856559506</v>
      </c>
      <c r="F191" s="23">
        <f t="shared" si="51"/>
        <v>255.018160833786</v>
      </c>
      <c r="G191" s="23">
        <f t="shared" si="51"/>
        <v>253.88930780796241</v>
      </c>
      <c r="H191" s="23">
        <f t="shared" si="51"/>
        <v>57.058389305265599</v>
      </c>
      <c r="I191" s="23">
        <f t="shared" si="51"/>
        <v>57.058389305265599</v>
      </c>
      <c r="J191" s="30">
        <f t="shared" ref="J191:R191" si="61">J179*(1+$AC$16)</f>
        <v>946892.98387394822</v>
      </c>
      <c r="K191" s="30">
        <f t="shared" si="61"/>
        <v>750283.272848789</v>
      </c>
      <c r="L191" s="30">
        <f t="shared" si="61"/>
        <v>99846.465479347346</v>
      </c>
      <c r="M191" s="30">
        <f t="shared" si="61"/>
        <v>36565.06139927105</v>
      </c>
      <c r="N191" s="30">
        <f t="shared" si="61"/>
        <v>958876.34591102449</v>
      </c>
      <c r="O191" s="30">
        <f t="shared" si="61"/>
        <v>93319.552835011156</v>
      </c>
      <c r="P191" s="30">
        <f t="shared" si="61"/>
        <v>18180.449236570497</v>
      </c>
      <c r="Q191" s="30">
        <f t="shared" si="61"/>
        <v>770550.35046433029</v>
      </c>
      <c r="R191" s="30">
        <f t="shared" si="61"/>
        <v>36540.037210486676</v>
      </c>
      <c r="S191" s="30">
        <f t="shared" si="9"/>
        <v>1829.7951536276669</v>
      </c>
    </row>
    <row r="192" spans="1:19">
      <c r="A192" s="28">
        <v>47362</v>
      </c>
      <c r="B192" s="29">
        <f t="shared" si="56"/>
        <v>2029</v>
      </c>
      <c r="C192" s="28" t="str">
        <f t="shared" si="58"/>
        <v>Q3</v>
      </c>
      <c r="D192" s="23">
        <f t="shared" si="51"/>
        <v>8417.3438985548473</v>
      </c>
      <c r="E192" s="23">
        <f t="shared" si="51"/>
        <v>8450.2858823084262</v>
      </c>
      <c r="F192" s="23">
        <f t="shared" si="51"/>
        <v>260.45717995820877</v>
      </c>
      <c r="G192" s="23">
        <f t="shared" si="51"/>
        <v>259.9440649464708</v>
      </c>
      <c r="H192" s="23">
        <f t="shared" si="51"/>
        <v>56.3400282888324</v>
      </c>
      <c r="I192" s="23">
        <f t="shared" si="51"/>
        <v>56.3400282888324</v>
      </c>
      <c r="J192" s="30">
        <f t="shared" ref="J192:R192" si="62">J180*(1+$AC$16)</f>
        <v>946892.98387394822</v>
      </c>
      <c r="K192" s="30">
        <f t="shared" si="62"/>
        <v>750283.272848789</v>
      </c>
      <c r="L192" s="30">
        <f t="shared" si="62"/>
        <v>99846.465479347346</v>
      </c>
      <c r="M192" s="30">
        <f t="shared" si="62"/>
        <v>36565.06139927105</v>
      </c>
      <c r="N192" s="30">
        <f t="shared" si="62"/>
        <v>958876.34591102449</v>
      </c>
      <c r="O192" s="30">
        <f t="shared" si="62"/>
        <v>93319.552835011156</v>
      </c>
      <c r="P192" s="30">
        <f t="shared" si="62"/>
        <v>18180.449236570497</v>
      </c>
      <c r="Q192" s="30">
        <f t="shared" si="62"/>
        <v>770550.35046433029</v>
      </c>
      <c r="R192" s="30">
        <f t="shared" si="62"/>
        <v>36540.037210486676</v>
      </c>
      <c r="S192" s="30">
        <f t="shared" si="9"/>
        <v>1829.7951536276669</v>
      </c>
    </row>
    <row r="193" spans="1:19">
      <c r="A193" s="28">
        <v>47392</v>
      </c>
      <c r="B193" s="29">
        <f t="shared" si="56"/>
        <v>2029</v>
      </c>
      <c r="C193" s="28" t="str">
        <f t="shared" si="58"/>
        <v>Q4</v>
      </c>
      <c r="D193" s="23">
        <f t="shared" si="51"/>
        <v>8429.761281838908</v>
      </c>
      <c r="E193" s="23">
        <f t="shared" si="51"/>
        <v>8439.6130900642765</v>
      </c>
      <c r="F193" s="23">
        <f t="shared" si="51"/>
        <v>263.84373903567962</v>
      </c>
      <c r="G193" s="23">
        <f t="shared" si="51"/>
        <v>263.12537801924634</v>
      </c>
      <c r="H193" s="23">
        <f t="shared" si="51"/>
        <v>57.776750321698806</v>
      </c>
      <c r="I193" s="23">
        <f t="shared" si="51"/>
        <v>57.776750321698806</v>
      </c>
      <c r="J193" s="30">
        <f t="shared" ref="J193:R193" si="63">J181*(1+$AC$16)</f>
        <v>946892.98387394822</v>
      </c>
      <c r="K193" s="30">
        <f t="shared" si="63"/>
        <v>750283.272848789</v>
      </c>
      <c r="L193" s="30">
        <f t="shared" si="63"/>
        <v>99846.465479347346</v>
      </c>
      <c r="M193" s="30">
        <f t="shared" si="63"/>
        <v>36565.06139927105</v>
      </c>
      <c r="N193" s="30">
        <f t="shared" si="63"/>
        <v>964803.50611467485</v>
      </c>
      <c r="O193" s="30">
        <f t="shared" si="63"/>
        <v>95535.0991527242</v>
      </c>
      <c r="P193" s="30">
        <f t="shared" si="63"/>
        <v>18396.271961897746</v>
      </c>
      <c r="Q193" s="30">
        <f t="shared" si="63"/>
        <v>772132.50485886924</v>
      </c>
      <c r="R193" s="30">
        <f t="shared" si="63"/>
        <v>37148.998022053143</v>
      </c>
      <c r="S193" s="30">
        <f t="shared" si="9"/>
        <v>1873.2372382887115</v>
      </c>
    </row>
    <row r="194" spans="1:19">
      <c r="A194" s="28">
        <v>47423</v>
      </c>
      <c r="B194" s="29">
        <f t="shared" si="56"/>
        <v>2029</v>
      </c>
      <c r="C194" s="28" t="str">
        <f t="shared" si="58"/>
        <v>Q4</v>
      </c>
      <c r="D194" s="23">
        <f t="shared" si="51"/>
        <v>8452.4409653577259</v>
      </c>
      <c r="E194" s="23">
        <f t="shared" si="51"/>
        <v>8447.2071922379964</v>
      </c>
      <c r="F194" s="23">
        <f t="shared" si="51"/>
        <v>266.40931409436962</v>
      </c>
      <c r="G194" s="23">
        <f t="shared" si="51"/>
        <v>267.02505210845516</v>
      </c>
      <c r="H194" s="23">
        <f t="shared" si="51"/>
        <v>59.213472354565198</v>
      </c>
      <c r="I194" s="23">
        <f t="shared" si="51"/>
        <v>59.213472354565198</v>
      </c>
      <c r="J194" s="30">
        <f t="shared" ref="J194:R194" si="64">J182*(1+$AC$16)</f>
        <v>946892.98387394822</v>
      </c>
      <c r="K194" s="30">
        <f t="shared" si="64"/>
        <v>750283.272848789</v>
      </c>
      <c r="L194" s="30">
        <f t="shared" si="64"/>
        <v>99846.465479347346</v>
      </c>
      <c r="M194" s="30">
        <f t="shared" si="64"/>
        <v>36565.06139927105</v>
      </c>
      <c r="N194" s="30">
        <f t="shared" si="64"/>
        <v>964803.50611467485</v>
      </c>
      <c r="O194" s="30">
        <f t="shared" si="64"/>
        <v>95535.0991527242</v>
      </c>
      <c r="P194" s="30">
        <f t="shared" si="64"/>
        <v>18396.271961897746</v>
      </c>
      <c r="Q194" s="30">
        <f t="shared" si="64"/>
        <v>772132.50485886924</v>
      </c>
      <c r="R194" s="30">
        <f t="shared" si="64"/>
        <v>37148.998022053143</v>
      </c>
      <c r="S194" s="30">
        <f t="shared" si="9"/>
        <v>1873.2372382887115</v>
      </c>
    </row>
    <row r="195" spans="1:19">
      <c r="A195" s="28">
        <v>47453</v>
      </c>
      <c r="B195" s="29">
        <f t="shared" si="56"/>
        <v>2029</v>
      </c>
      <c r="C195" s="28" t="str">
        <f t="shared" si="58"/>
        <v>Q4</v>
      </c>
      <c r="D195" s="23">
        <f t="shared" si="51"/>
        <v>8477.788846937583</v>
      </c>
      <c r="E195" s="23">
        <f t="shared" si="51"/>
        <v>8464.4478566323978</v>
      </c>
      <c r="F195" s="23">
        <f t="shared" si="51"/>
        <v>263.53587002863679</v>
      </c>
      <c r="G195" s="23">
        <f t="shared" si="51"/>
        <v>264.97259206150324</v>
      </c>
      <c r="H195" s="23">
        <f t="shared" si="51"/>
        <v>56.853143300570395</v>
      </c>
      <c r="I195" s="23">
        <f t="shared" si="51"/>
        <v>56.853143300570395</v>
      </c>
      <c r="J195" s="30">
        <f t="shared" ref="J195:R195" si="65">J183*(1+$AC$16)</f>
        <v>946892.98387394822</v>
      </c>
      <c r="K195" s="30">
        <f t="shared" si="65"/>
        <v>750283.272848789</v>
      </c>
      <c r="L195" s="30">
        <f t="shared" si="65"/>
        <v>99846.465479347346</v>
      </c>
      <c r="M195" s="30">
        <f t="shared" si="65"/>
        <v>36565.06139927105</v>
      </c>
      <c r="N195" s="30">
        <f t="shared" si="65"/>
        <v>964803.50611467485</v>
      </c>
      <c r="O195" s="30">
        <f t="shared" si="65"/>
        <v>95535.0991527242</v>
      </c>
      <c r="P195" s="30">
        <f t="shared" si="65"/>
        <v>18396.271961897746</v>
      </c>
      <c r="Q195" s="30">
        <f t="shared" si="65"/>
        <v>772132.50485886924</v>
      </c>
      <c r="R195" s="30">
        <f t="shared" si="65"/>
        <v>37148.998022053143</v>
      </c>
      <c r="S195" s="30">
        <f t="shared" si="9"/>
        <v>1873.2372382887115</v>
      </c>
    </row>
    <row r="196" spans="1:19">
      <c r="A196" s="28">
        <v>47484</v>
      </c>
      <c r="B196" s="29">
        <f t="shared" si="56"/>
        <v>2030</v>
      </c>
      <c r="C196" s="28" t="str">
        <f t="shared" si="58"/>
        <v>Q1</v>
      </c>
      <c r="D196" s="23">
        <f t="shared" ref="D196:I207" si="66">D184*(1+$AC$26)</f>
        <v>8542.8749372527509</v>
      </c>
      <c r="E196" s="23">
        <f t="shared" si="66"/>
        <v>8494.2881971927036</v>
      </c>
      <c r="F196" s="23">
        <f t="shared" si="66"/>
        <v>261.8918526051072</v>
      </c>
      <c r="G196" s="23">
        <f t="shared" si="66"/>
        <v>264.99974642557913</v>
      </c>
      <c r="H196" s="23">
        <f t="shared" si="66"/>
        <v>57.496035678731992</v>
      </c>
      <c r="I196" s="23">
        <f t="shared" si="66"/>
        <v>57.496035678731992</v>
      </c>
      <c r="J196" s="30">
        <f t="shared" ref="J196:R196" si="67">J184*(1+$AC$17)</f>
        <v>965830.84355142724</v>
      </c>
      <c r="K196" s="30">
        <f t="shared" si="67"/>
        <v>765288.93830576481</v>
      </c>
      <c r="L196" s="30">
        <f t="shared" si="67"/>
        <v>101843.3947889343</v>
      </c>
      <c r="M196" s="30">
        <f t="shared" si="67"/>
        <v>37296.362627256472</v>
      </c>
      <c r="N196" s="30">
        <f t="shared" si="67"/>
        <v>976550.77086667367</v>
      </c>
      <c r="O196" s="30">
        <f t="shared" si="67"/>
        <v>97119.746561357999</v>
      </c>
      <c r="P196" s="30">
        <f t="shared" si="67"/>
        <v>18744.181782165226</v>
      </c>
      <c r="Q196" s="30">
        <f t="shared" si="67"/>
        <v>782125.29334772064</v>
      </c>
      <c r="R196" s="30">
        <f t="shared" si="67"/>
        <v>37232.770973010447</v>
      </c>
      <c r="S196" s="30">
        <f t="shared" si="9"/>
        <v>1904.3087561050634</v>
      </c>
    </row>
    <row r="197" spans="1:19">
      <c r="A197" s="28">
        <v>47515</v>
      </c>
      <c r="B197" s="29">
        <f t="shared" si="56"/>
        <v>2030</v>
      </c>
      <c r="C197" s="28" t="str">
        <f t="shared" si="58"/>
        <v>Q1</v>
      </c>
      <c r="D197" s="23">
        <f t="shared" si="66"/>
        <v>8527.3354681503897</v>
      </c>
      <c r="E197" s="23">
        <f t="shared" si="66"/>
        <v>8451.5028589308731</v>
      </c>
      <c r="F197" s="23">
        <f t="shared" si="66"/>
        <v>260.33790569487121</v>
      </c>
      <c r="G197" s="23">
        <f t="shared" si="66"/>
        <v>263.23860659397832</v>
      </c>
      <c r="H197" s="23">
        <f t="shared" si="66"/>
        <v>58.324807364191194</v>
      </c>
      <c r="I197" s="23">
        <f t="shared" si="66"/>
        <v>58.324807364191194</v>
      </c>
      <c r="J197" s="30">
        <f t="shared" ref="J197:R197" si="68">J185*(1+$AC$17)</f>
        <v>965830.84355142724</v>
      </c>
      <c r="K197" s="30">
        <f t="shared" si="68"/>
        <v>765288.93830576481</v>
      </c>
      <c r="L197" s="30">
        <f t="shared" si="68"/>
        <v>101843.3947889343</v>
      </c>
      <c r="M197" s="30">
        <f t="shared" si="68"/>
        <v>37296.362627256472</v>
      </c>
      <c r="N197" s="30">
        <f t="shared" si="68"/>
        <v>976550.77086667367</v>
      </c>
      <c r="O197" s="30">
        <f t="shared" si="68"/>
        <v>97119.746561357999</v>
      </c>
      <c r="P197" s="30">
        <f t="shared" si="68"/>
        <v>18744.181782165226</v>
      </c>
      <c r="Q197" s="30">
        <f t="shared" si="68"/>
        <v>782125.29334772064</v>
      </c>
      <c r="R197" s="30">
        <f t="shared" si="68"/>
        <v>37232.770973010447</v>
      </c>
      <c r="S197" s="30">
        <f t="shared" si="9"/>
        <v>1904.3087561050634</v>
      </c>
    </row>
    <row r="198" spans="1:19">
      <c r="A198" s="28">
        <v>47543</v>
      </c>
      <c r="B198" s="29">
        <f t="shared" si="56"/>
        <v>2030</v>
      </c>
      <c r="C198" s="28" t="str">
        <f t="shared" si="58"/>
        <v>Q1</v>
      </c>
      <c r="D198" s="23">
        <f t="shared" si="66"/>
        <v>8542.7202677369514</v>
      </c>
      <c r="E198" s="23">
        <f t="shared" si="66"/>
        <v>8461.4825649795621</v>
      </c>
      <c r="F198" s="23">
        <f t="shared" si="66"/>
        <v>255.33331607399546</v>
      </c>
      <c r="G198" s="23">
        <f t="shared" si="66"/>
        <v>256.57833833847656</v>
      </c>
      <c r="H198" s="23">
        <f t="shared" si="66"/>
        <v>32.889338153375277</v>
      </c>
      <c r="I198" s="23">
        <f t="shared" si="66"/>
        <v>32.889338153375277</v>
      </c>
      <c r="J198" s="30">
        <f t="shared" ref="J198:R198" si="69">J186*(1+$AC$17)</f>
        <v>965830.84355142724</v>
      </c>
      <c r="K198" s="30">
        <f t="shared" si="69"/>
        <v>765288.93830576481</v>
      </c>
      <c r="L198" s="30">
        <f t="shared" si="69"/>
        <v>101843.3947889343</v>
      </c>
      <c r="M198" s="30">
        <f t="shared" si="69"/>
        <v>37296.362627256472</v>
      </c>
      <c r="N198" s="30">
        <f t="shared" si="69"/>
        <v>976550.77086667367</v>
      </c>
      <c r="O198" s="30">
        <f t="shared" si="69"/>
        <v>97119.746561357999</v>
      </c>
      <c r="P198" s="30">
        <f t="shared" si="69"/>
        <v>18744.181782165226</v>
      </c>
      <c r="Q198" s="30">
        <f t="shared" si="69"/>
        <v>782125.29334772064</v>
      </c>
      <c r="R198" s="30">
        <f t="shared" si="69"/>
        <v>37232.770973010447</v>
      </c>
      <c r="S198" s="30">
        <f t="shared" si="9"/>
        <v>1904.3087561050634</v>
      </c>
    </row>
    <row r="199" spans="1:19">
      <c r="A199" s="28">
        <v>47574</v>
      </c>
      <c r="B199" s="29">
        <f t="shared" si="56"/>
        <v>2030</v>
      </c>
      <c r="C199" s="28" t="str">
        <f t="shared" si="58"/>
        <v>Q2</v>
      </c>
      <c r="D199" s="23">
        <f t="shared" si="66"/>
        <v>8528.713767261539</v>
      </c>
      <c r="E199" s="23">
        <f t="shared" si="66"/>
        <v>8471.6502468061572</v>
      </c>
      <c r="F199" s="23">
        <f t="shared" si="66"/>
        <v>251.59824928055221</v>
      </c>
      <c r="G199" s="23">
        <f t="shared" si="66"/>
        <v>251.80575299129904</v>
      </c>
      <c r="H199" s="23">
        <f t="shared" si="66"/>
        <v>42.745764413850523</v>
      </c>
      <c r="I199" s="23">
        <f t="shared" si="66"/>
        <v>42.745764413850523</v>
      </c>
      <c r="J199" s="30">
        <f t="shared" ref="J199:R199" si="70">J187*(1+$AC$17)</f>
        <v>965830.84355142724</v>
      </c>
      <c r="K199" s="30">
        <f t="shared" si="70"/>
        <v>765288.93830576481</v>
      </c>
      <c r="L199" s="30">
        <f t="shared" si="70"/>
        <v>101843.3947889343</v>
      </c>
      <c r="M199" s="30">
        <f t="shared" si="70"/>
        <v>37296.362627256472</v>
      </c>
      <c r="N199" s="30">
        <f t="shared" si="70"/>
        <v>973050.78380766197</v>
      </c>
      <c r="O199" s="30">
        <f t="shared" si="70"/>
        <v>94277.774471489261</v>
      </c>
      <c r="P199" s="30">
        <f t="shared" si="70"/>
        <v>18223.207947091701</v>
      </c>
      <c r="Q199" s="30">
        <f t="shared" si="70"/>
        <v>782443.96836583444</v>
      </c>
      <c r="R199" s="30">
        <f t="shared" si="70"/>
        <v>37389.389411946955</v>
      </c>
      <c r="S199" s="30">
        <f t="shared" si="9"/>
        <v>1848.5838131664641</v>
      </c>
    </row>
    <row r="200" spans="1:19">
      <c r="A200" s="28">
        <v>47604</v>
      </c>
      <c r="B200" s="29">
        <f t="shared" si="56"/>
        <v>2030</v>
      </c>
      <c r="C200" s="28" t="str">
        <f t="shared" si="58"/>
        <v>Q2</v>
      </c>
      <c r="D200" s="23">
        <f t="shared" si="66"/>
        <v>8512.2172222571644</v>
      </c>
      <c r="E200" s="23">
        <f t="shared" si="66"/>
        <v>8505.6808553686406</v>
      </c>
      <c r="F200" s="23">
        <f t="shared" si="66"/>
        <v>250.87198629293826</v>
      </c>
      <c r="G200" s="23">
        <f t="shared" si="66"/>
        <v>249.73071588383058</v>
      </c>
      <c r="H200" s="23">
        <f t="shared" si="66"/>
        <v>50.319649856110438</v>
      </c>
      <c r="I200" s="23">
        <f t="shared" si="66"/>
        <v>50.319649856110438</v>
      </c>
      <c r="J200" s="30">
        <f t="shared" ref="J200:R200" si="71">J188*(1+$AC$17)</f>
        <v>965830.84355142724</v>
      </c>
      <c r="K200" s="30">
        <f t="shared" si="71"/>
        <v>765288.93830576481</v>
      </c>
      <c r="L200" s="30">
        <f t="shared" si="71"/>
        <v>101843.3947889343</v>
      </c>
      <c r="M200" s="30">
        <f t="shared" si="71"/>
        <v>37296.362627256472</v>
      </c>
      <c r="N200" s="30">
        <f t="shared" si="71"/>
        <v>973050.78380766197</v>
      </c>
      <c r="O200" s="30">
        <f t="shared" si="71"/>
        <v>94277.774471489261</v>
      </c>
      <c r="P200" s="30">
        <f t="shared" si="71"/>
        <v>18223.207947091701</v>
      </c>
      <c r="Q200" s="30">
        <f t="shared" si="71"/>
        <v>782443.96836583444</v>
      </c>
      <c r="R200" s="30">
        <f t="shared" si="71"/>
        <v>37389.389411946955</v>
      </c>
      <c r="S200" s="30">
        <f t="shared" si="9"/>
        <v>1848.5838131664641</v>
      </c>
    </row>
    <row r="201" spans="1:19">
      <c r="A201" s="28">
        <v>47635</v>
      </c>
      <c r="B201" s="29">
        <f t="shared" si="56"/>
        <v>2030</v>
      </c>
      <c r="C201" s="28" t="str">
        <f t="shared" si="58"/>
        <v>Q2</v>
      </c>
      <c r="D201" s="23">
        <f t="shared" si="66"/>
        <v>8507.6521406207357</v>
      </c>
      <c r="E201" s="23">
        <f t="shared" si="66"/>
        <v>8580.2784393821312</v>
      </c>
      <c r="F201" s="23">
        <f t="shared" si="66"/>
        <v>250.04197144995084</v>
      </c>
      <c r="G201" s="23">
        <f t="shared" si="66"/>
        <v>249.00445289621663</v>
      </c>
      <c r="H201" s="23">
        <f t="shared" si="66"/>
        <v>57.271024166129827</v>
      </c>
      <c r="I201" s="23">
        <f t="shared" si="66"/>
        <v>57.271024166129827</v>
      </c>
      <c r="J201" s="30">
        <f t="shared" ref="J201:R201" si="72">J189*(1+$AC$17)</f>
        <v>965830.84355142724</v>
      </c>
      <c r="K201" s="30">
        <f t="shared" si="72"/>
        <v>765288.93830576481</v>
      </c>
      <c r="L201" s="30">
        <f t="shared" si="72"/>
        <v>101843.3947889343</v>
      </c>
      <c r="M201" s="30">
        <f t="shared" si="72"/>
        <v>37296.362627256472</v>
      </c>
      <c r="N201" s="30">
        <f t="shared" si="72"/>
        <v>973050.78380766197</v>
      </c>
      <c r="O201" s="30">
        <f t="shared" si="72"/>
        <v>94277.774471489261</v>
      </c>
      <c r="P201" s="30">
        <f t="shared" si="72"/>
        <v>18223.207947091701</v>
      </c>
      <c r="Q201" s="30">
        <f t="shared" si="72"/>
        <v>782443.96836583444</v>
      </c>
      <c r="R201" s="30">
        <f t="shared" si="72"/>
        <v>37389.389411946955</v>
      </c>
      <c r="S201" s="30">
        <f t="shared" si="9"/>
        <v>1848.5838131664641</v>
      </c>
    </row>
    <row r="202" spans="1:19">
      <c r="A202" s="28">
        <v>47665</v>
      </c>
      <c r="B202" s="29">
        <f t="shared" si="56"/>
        <v>2030</v>
      </c>
      <c r="C202" s="28" t="str">
        <f t="shared" si="58"/>
        <v>Q3</v>
      </c>
      <c r="D202" s="23">
        <f t="shared" si="66"/>
        <v>8515.4335297737398</v>
      </c>
      <c r="E202" s="23">
        <f t="shared" si="66"/>
        <v>8620.1191518455271</v>
      </c>
      <c r="F202" s="23">
        <f t="shared" si="66"/>
        <v>253.98454195414098</v>
      </c>
      <c r="G202" s="23">
        <f t="shared" si="66"/>
        <v>253.258278966527</v>
      </c>
      <c r="H202" s="23">
        <f t="shared" si="66"/>
        <v>58.827301996731187</v>
      </c>
      <c r="I202" s="23">
        <f t="shared" si="66"/>
        <v>58.827301996731187</v>
      </c>
      <c r="J202" s="30">
        <f t="shared" ref="J202:R202" si="73">J190*(1+$AC$17)</f>
        <v>965830.84355142724</v>
      </c>
      <c r="K202" s="30">
        <f t="shared" si="73"/>
        <v>765288.93830576481</v>
      </c>
      <c r="L202" s="30">
        <f t="shared" si="73"/>
        <v>101843.3947889343</v>
      </c>
      <c r="M202" s="30">
        <f t="shared" si="73"/>
        <v>37296.362627256472</v>
      </c>
      <c r="N202" s="30">
        <f t="shared" si="73"/>
        <v>978053.87282924494</v>
      </c>
      <c r="O202" s="30">
        <f t="shared" si="73"/>
        <v>95185.943891711388</v>
      </c>
      <c r="P202" s="30">
        <f t="shared" si="73"/>
        <v>18544.058221301908</v>
      </c>
      <c r="Q202" s="30">
        <f t="shared" si="73"/>
        <v>785961.35747361695</v>
      </c>
      <c r="R202" s="30">
        <f t="shared" si="73"/>
        <v>37270.837954696413</v>
      </c>
      <c r="S202" s="30">
        <f t="shared" si="9"/>
        <v>1866.3910567002313</v>
      </c>
    </row>
    <row r="203" spans="1:19">
      <c r="A203" s="28">
        <v>47696</v>
      </c>
      <c r="B203" s="29">
        <f t="shared" si="56"/>
        <v>2030</v>
      </c>
      <c r="C203" s="28" t="str">
        <f t="shared" si="58"/>
        <v>Q3</v>
      </c>
      <c r="D203" s="23">
        <f t="shared" si="66"/>
        <v>8512.7359815340315</v>
      </c>
      <c r="E203" s="23">
        <f t="shared" si="66"/>
        <v>8602.7925919981644</v>
      </c>
      <c r="F203" s="23">
        <f t="shared" si="66"/>
        <v>257.82336060295762</v>
      </c>
      <c r="G203" s="23">
        <f t="shared" si="66"/>
        <v>256.68209019384994</v>
      </c>
      <c r="H203" s="23">
        <f t="shared" si="66"/>
        <v>57.686031587623518</v>
      </c>
      <c r="I203" s="23">
        <f t="shared" si="66"/>
        <v>57.686031587623518</v>
      </c>
      <c r="J203" s="30">
        <f t="shared" ref="J203:R203" si="74">J191*(1+$AC$17)</f>
        <v>965830.84355142724</v>
      </c>
      <c r="K203" s="30">
        <f t="shared" si="74"/>
        <v>765288.93830576481</v>
      </c>
      <c r="L203" s="30">
        <f t="shared" si="74"/>
        <v>101843.3947889343</v>
      </c>
      <c r="M203" s="30">
        <f t="shared" si="74"/>
        <v>37296.362627256472</v>
      </c>
      <c r="N203" s="30">
        <f t="shared" si="74"/>
        <v>978053.87282924494</v>
      </c>
      <c r="O203" s="30">
        <f t="shared" si="74"/>
        <v>95185.943891711388</v>
      </c>
      <c r="P203" s="30">
        <f t="shared" si="74"/>
        <v>18544.058221301908</v>
      </c>
      <c r="Q203" s="30">
        <f t="shared" si="74"/>
        <v>785961.35747361695</v>
      </c>
      <c r="R203" s="30">
        <f t="shared" si="74"/>
        <v>37270.837954696413</v>
      </c>
      <c r="S203" s="30">
        <f t="shared" si="9"/>
        <v>1866.3910567002313</v>
      </c>
    </row>
    <row r="204" spans="1:19">
      <c r="A204" s="28">
        <v>47727</v>
      </c>
      <c r="B204" s="29">
        <f t="shared" si="56"/>
        <v>2030</v>
      </c>
      <c r="C204" s="28" t="str">
        <f t="shared" si="58"/>
        <v>Q3</v>
      </c>
      <c r="D204" s="23">
        <f t="shared" si="66"/>
        <v>8509.9346814389501</v>
      </c>
      <c r="E204" s="23">
        <f t="shared" si="66"/>
        <v>8543.2390270138185</v>
      </c>
      <c r="F204" s="23">
        <f t="shared" si="66"/>
        <v>263.32220893774905</v>
      </c>
      <c r="G204" s="23">
        <f t="shared" si="66"/>
        <v>262.80344966088194</v>
      </c>
      <c r="H204" s="23">
        <f t="shared" si="66"/>
        <v>56.959768600009554</v>
      </c>
      <c r="I204" s="23">
        <f t="shared" si="66"/>
        <v>56.959768600009554</v>
      </c>
      <c r="J204" s="30">
        <f t="shared" ref="J204:R204" si="75">J192*(1+$AC$17)</f>
        <v>965830.84355142724</v>
      </c>
      <c r="K204" s="30">
        <f t="shared" si="75"/>
        <v>765288.93830576481</v>
      </c>
      <c r="L204" s="30">
        <f t="shared" si="75"/>
        <v>101843.3947889343</v>
      </c>
      <c r="M204" s="30">
        <f t="shared" si="75"/>
        <v>37296.362627256472</v>
      </c>
      <c r="N204" s="30">
        <f t="shared" si="75"/>
        <v>978053.87282924494</v>
      </c>
      <c r="O204" s="30">
        <f t="shared" si="75"/>
        <v>95185.943891711388</v>
      </c>
      <c r="P204" s="30">
        <f t="shared" si="75"/>
        <v>18544.058221301908</v>
      </c>
      <c r="Q204" s="30">
        <f t="shared" si="75"/>
        <v>785961.35747361695</v>
      </c>
      <c r="R204" s="30">
        <f t="shared" si="75"/>
        <v>37270.837954696413</v>
      </c>
      <c r="S204" s="30">
        <f t="shared" si="9"/>
        <v>1866.3910567002313</v>
      </c>
    </row>
    <row r="205" spans="1:19">
      <c r="A205" s="28">
        <v>47757</v>
      </c>
      <c r="B205" s="29">
        <f t="shared" si="56"/>
        <v>2030</v>
      </c>
      <c r="C205" s="28" t="str">
        <f t="shared" si="58"/>
        <v>Q4</v>
      </c>
      <c r="D205" s="23">
        <f t="shared" si="66"/>
        <v>8522.4886559391343</v>
      </c>
      <c r="E205" s="23">
        <f t="shared" si="66"/>
        <v>8532.4488340549833</v>
      </c>
      <c r="F205" s="23">
        <f t="shared" si="66"/>
        <v>266.74602016507208</v>
      </c>
      <c r="G205" s="23">
        <f t="shared" si="66"/>
        <v>266.01975717745802</v>
      </c>
      <c r="H205" s="23">
        <f t="shared" si="66"/>
        <v>58.412294575237489</v>
      </c>
      <c r="I205" s="23">
        <f t="shared" si="66"/>
        <v>58.412294575237489</v>
      </c>
      <c r="J205" s="30">
        <f t="shared" ref="J205:R205" si="76">J193*(1+$AC$17)</f>
        <v>965830.84355142724</v>
      </c>
      <c r="K205" s="30">
        <f t="shared" si="76"/>
        <v>765288.93830576481</v>
      </c>
      <c r="L205" s="30">
        <f t="shared" si="76"/>
        <v>101843.3947889343</v>
      </c>
      <c r="M205" s="30">
        <f t="shared" si="76"/>
        <v>37296.362627256472</v>
      </c>
      <c r="N205" s="30">
        <f t="shared" si="76"/>
        <v>984099.57623696839</v>
      </c>
      <c r="O205" s="30">
        <f t="shared" si="76"/>
        <v>97445.801135778689</v>
      </c>
      <c r="P205" s="30">
        <f t="shared" si="76"/>
        <v>18764.197401135702</v>
      </c>
      <c r="Q205" s="30">
        <f t="shared" si="76"/>
        <v>787575.15495604661</v>
      </c>
      <c r="R205" s="30">
        <f t="shared" si="76"/>
        <v>37891.977982494209</v>
      </c>
      <c r="S205" s="30">
        <f t="shared" si="9"/>
        <v>1910.7019830544887</v>
      </c>
    </row>
    <row r="206" spans="1:19">
      <c r="A206" s="28">
        <v>47788</v>
      </c>
      <c r="B206" s="29">
        <f t="shared" si="56"/>
        <v>2030</v>
      </c>
      <c r="C206" s="28" t="str">
        <f t="shared" si="58"/>
        <v>Q4</v>
      </c>
      <c r="D206" s="23">
        <f t="shared" si="66"/>
        <v>8545.4178159766598</v>
      </c>
      <c r="E206" s="23">
        <f t="shared" si="66"/>
        <v>8540.1264713526143</v>
      </c>
      <c r="F206" s="23">
        <f t="shared" si="66"/>
        <v>269.33981654940766</v>
      </c>
      <c r="G206" s="23">
        <f t="shared" si="66"/>
        <v>269.96232768164816</v>
      </c>
      <c r="H206" s="23">
        <f t="shared" si="66"/>
        <v>59.86482055046541</v>
      </c>
      <c r="I206" s="23">
        <f t="shared" si="66"/>
        <v>59.86482055046541</v>
      </c>
      <c r="J206" s="30">
        <f t="shared" ref="J206:R206" si="77">J194*(1+$AC$17)</f>
        <v>965830.84355142724</v>
      </c>
      <c r="K206" s="30">
        <f t="shared" si="77"/>
        <v>765288.93830576481</v>
      </c>
      <c r="L206" s="30">
        <f t="shared" si="77"/>
        <v>101843.3947889343</v>
      </c>
      <c r="M206" s="30">
        <f t="shared" si="77"/>
        <v>37296.362627256472</v>
      </c>
      <c r="N206" s="30">
        <f t="shared" si="77"/>
        <v>984099.57623696839</v>
      </c>
      <c r="O206" s="30">
        <f t="shared" si="77"/>
        <v>97445.801135778689</v>
      </c>
      <c r="P206" s="30">
        <f t="shared" si="77"/>
        <v>18764.197401135702</v>
      </c>
      <c r="Q206" s="30">
        <f t="shared" si="77"/>
        <v>787575.15495604661</v>
      </c>
      <c r="R206" s="30">
        <f t="shared" si="77"/>
        <v>37891.977982494209</v>
      </c>
      <c r="S206" s="30">
        <f t="shared" si="9"/>
        <v>1910.7019830544887</v>
      </c>
    </row>
    <row r="207" spans="1:19">
      <c r="A207" s="28">
        <v>47818</v>
      </c>
      <c r="B207" s="29">
        <f t="shared" si="56"/>
        <v>2030</v>
      </c>
      <c r="C207" s="28" t="str">
        <f t="shared" si="58"/>
        <v>Q4</v>
      </c>
      <c r="D207" s="23">
        <f t="shared" si="66"/>
        <v>8571.0445242538954</v>
      </c>
      <c r="E207" s="23">
        <f t="shared" si="66"/>
        <v>8557.5567830553537</v>
      </c>
      <c r="F207" s="23">
        <f t="shared" si="66"/>
        <v>266.43476459895174</v>
      </c>
      <c r="G207" s="23">
        <f t="shared" si="66"/>
        <v>267.88729057417976</v>
      </c>
      <c r="H207" s="23">
        <f t="shared" si="66"/>
        <v>57.478527876876662</v>
      </c>
      <c r="I207" s="23">
        <f t="shared" si="66"/>
        <v>57.478527876876662</v>
      </c>
      <c r="J207" s="30">
        <f t="shared" ref="J207:R207" si="78">J195*(1+$AC$17)</f>
        <v>965830.84355142724</v>
      </c>
      <c r="K207" s="30">
        <f t="shared" si="78"/>
        <v>765288.93830576481</v>
      </c>
      <c r="L207" s="30">
        <f t="shared" si="78"/>
        <v>101843.3947889343</v>
      </c>
      <c r="M207" s="30">
        <f t="shared" si="78"/>
        <v>37296.362627256472</v>
      </c>
      <c r="N207" s="30">
        <f t="shared" si="78"/>
        <v>984099.57623696839</v>
      </c>
      <c r="O207" s="30">
        <f t="shared" si="78"/>
        <v>97445.801135778689</v>
      </c>
      <c r="P207" s="30">
        <f t="shared" si="78"/>
        <v>18764.197401135702</v>
      </c>
      <c r="Q207" s="30">
        <f t="shared" si="78"/>
        <v>787575.15495604661</v>
      </c>
      <c r="R207" s="30">
        <f t="shared" si="78"/>
        <v>37891.977982494209</v>
      </c>
      <c r="S207" s="30">
        <f t="shared" si="9"/>
        <v>1910.7019830544887</v>
      </c>
    </row>
    <row r="208" spans="1:19">
      <c r="A208" s="28">
        <v>47849</v>
      </c>
      <c r="B208" s="29">
        <f t="shared" si="56"/>
        <v>2031</v>
      </c>
      <c r="C208" s="28" t="str">
        <f t="shared" si="58"/>
        <v>Q1</v>
      </c>
      <c r="D208" s="23">
        <f t="shared" ref="D208:I219" si="79">D196*(1+$AC$27)</f>
        <v>8636.84656156253</v>
      </c>
      <c r="E208" s="23">
        <f t="shared" si="79"/>
        <v>8587.7253673618234</v>
      </c>
      <c r="F208" s="23">
        <f t="shared" si="79"/>
        <v>264.77266298376338</v>
      </c>
      <c r="G208" s="23">
        <f t="shared" si="79"/>
        <v>267.91474363626048</v>
      </c>
      <c r="H208" s="23">
        <f t="shared" si="79"/>
        <v>58.128492071198039</v>
      </c>
      <c r="I208" s="23">
        <f t="shared" si="79"/>
        <v>58.128492071198039</v>
      </c>
      <c r="J208" s="30">
        <f t="shared" ref="J208:R208" si="80">J196*(1+$AC$18)</f>
        <v>985147.4604224558</v>
      </c>
      <c r="K208" s="30">
        <f t="shared" si="80"/>
        <v>780594.71707188012</v>
      </c>
      <c r="L208" s="30">
        <f t="shared" si="80"/>
        <v>103880.26268471299</v>
      </c>
      <c r="M208" s="30">
        <f t="shared" si="80"/>
        <v>38042.289879801603</v>
      </c>
      <c r="N208" s="30">
        <f t="shared" si="80"/>
        <v>996081.78628400713</v>
      </c>
      <c r="O208" s="30">
        <f t="shared" si="80"/>
        <v>99062.141492585157</v>
      </c>
      <c r="P208" s="30">
        <f t="shared" si="80"/>
        <v>19119.065417808531</v>
      </c>
      <c r="Q208" s="30">
        <f t="shared" si="80"/>
        <v>797767.79921467509</v>
      </c>
      <c r="R208" s="30">
        <f t="shared" si="80"/>
        <v>37977.426392470654</v>
      </c>
      <c r="S208" s="30">
        <f t="shared" si="9"/>
        <v>1942.3949312271579</v>
      </c>
    </row>
    <row r="209" spans="1:19">
      <c r="A209" s="28">
        <v>47880</v>
      </c>
      <c r="B209" s="29">
        <f t="shared" si="56"/>
        <v>2031</v>
      </c>
      <c r="C209" s="28" t="str">
        <f t="shared" si="58"/>
        <v>Q1</v>
      </c>
      <c r="D209" s="23">
        <f t="shared" si="79"/>
        <v>8621.1361583000435</v>
      </c>
      <c r="E209" s="23">
        <f t="shared" si="79"/>
        <v>8544.4693903791122</v>
      </c>
      <c r="F209" s="23">
        <f t="shared" si="79"/>
        <v>263.20162265751475</v>
      </c>
      <c r="G209" s="23">
        <f t="shared" si="79"/>
        <v>266.13423126651207</v>
      </c>
      <c r="H209" s="23">
        <f t="shared" si="79"/>
        <v>58.966380245197293</v>
      </c>
      <c r="I209" s="23">
        <f t="shared" si="79"/>
        <v>58.966380245197293</v>
      </c>
      <c r="J209" s="30">
        <f t="shared" ref="J209:R209" si="81">J197*(1+$AC$18)</f>
        <v>985147.4604224558</v>
      </c>
      <c r="K209" s="30">
        <f t="shared" si="81"/>
        <v>780594.71707188012</v>
      </c>
      <c r="L209" s="30">
        <f t="shared" si="81"/>
        <v>103880.26268471299</v>
      </c>
      <c r="M209" s="30">
        <f t="shared" si="81"/>
        <v>38042.289879801603</v>
      </c>
      <c r="N209" s="30">
        <f t="shared" si="81"/>
        <v>996081.78628400713</v>
      </c>
      <c r="O209" s="30">
        <f t="shared" si="81"/>
        <v>99062.141492585157</v>
      </c>
      <c r="P209" s="30">
        <f t="shared" si="81"/>
        <v>19119.065417808531</v>
      </c>
      <c r="Q209" s="30">
        <f t="shared" si="81"/>
        <v>797767.79921467509</v>
      </c>
      <c r="R209" s="30">
        <f t="shared" si="81"/>
        <v>37977.426392470654</v>
      </c>
      <c r="S209" s="30">
        <f t="shared" ref="S209:S219" si="82">O209-O197</f>
        <v>1942.3949312271579</v>
      </c>
    </row>
    <row r="210" spans="1:19">
      <c r="A210" s="28">
        <v>47908</v>
      </c>
      <c r="B210" s="29">
        <f t="shared" si="56"/>
        <v>2031</v>
      </c>
      <c r="C210" s="28" t="str">
        <f t="shared" si="58"/>
        <v>Q1</v>
      </c>
      <c r="D210" s="23">
        <f t="shared" si="79"/>
        <v>8636.6901906820567</v>
      </c>
      <c r="E210" s="23">
        <f t="shared" si="79"/>
        <v>8554.5588731943371</v>
      </c>
      <c r="F210" s="23">
        <f t="shared" si="79"/>
        <v>258.14198255080936</v>
      </c>
      <c r="G210" s="23">
        <f t="shared" si="79"/>
        <v>259.40070006019977</v>
      </c>
      <c r="H210" s="23">
        <f t="shared" si="79"/>
        <v>33.251120873062405</v>
      </c>
      <c r="I210" s="23">
        <f t="shared" si="79"/>
        <v>33.251120873062405</v>
      </c>
      <c r="J210" s="30">
        <f t="shared" ref="J210:R210" si="83">J198*(1+$AC$18)</f>
        <v>985147.4604224558</v>
      </c>
      <c r="K210" s="30">
        <f t="shared" si="83"/>
        <v>780594.71707188012</v>
      </c>
      <c r="L210" s="30">
        <f t="shared" si="83"/>
        <v>103880.26268471299</v>
      </c>
      <c r="M210" s="30">
        <f t="shared" si="83"/>
        <v>38042.289879801603</v>
      </c>
      <c r="N210" s="30">
        <f t="shared" si="83"/>
        <v>996081.78628400713</v>
      </c>
      <c r="O210" s="30">
        <f t="shared" si="83"/>
        <v>99062.141492585157</v>
      </c>
      <c r="P210" s="30">
        <f t="shared" si="83"/>
        <v>19119.065417808531</v>
      </c>
      <c r="Q210" s="30">
        <f t="shared" si="83"/>
        <v>797767.79921467509</v>
      </c>
      <c r="R210" s="30">
        <f t="shared" si="83"/>
        <v>37977.426392470654</v>
      </c>
      <c r="S210" s="30">
        <f t="shared" si="82"/>
        <v>1942.3949312271579</v>
      </c>
    </row>
    <row r="211" spans="1:19">
      <c r="A211" s="28">
        <v>47939</v>
      </c>
      <c r="B211" s="29">
        <f t="shared" si="56"/>
        <v>2031</v>
      </c>
      <c r="C211" s="28" t="str">
        <f t="shared" si="58"/>
        <v>Q2</v>
      </c>
      <c r="D211" s="23">
        <f t="shared" si="79"/>
        <v>8622.5296187014155</v>
      </c>
      <c r="E211" s="23">
        <f t="shared" si="79"/>
        <v>8564.8383995210243</v>
      </c>
      <c r="F211" s="23">
        <f t="shared" si="79"/>
        <v>254.36583002263825</v>
      </c>
      <c r="G211" s="23">
        <f t="shared" si="79"/>
        <v>254.5756162742033</v>
      </c>
      <c r="H211" s="23">
        <f t="shared" si="79"/>
        <v>43.215967822402874</v>
      </c>
      <c r="I211" s="23">
        <f t="shared" si="79"/>
        <v>43.215967822402874</v>
      </c>
      <c r="J211" s="30">
        <f t="shared" ref="J211:R211" si="84">J199*(1+$AC$18)</f>
        <v>985147.4604224558</v>
      </c>
      <c r="K211" s="30">
        <f t="shared" si="84"/>
        <v>780594.71707188012</v>
      </c>
      <c r="L211" s="30">
        <f t="shared" si="84"/>
        <v>103880.26268471299</v>
      </c>
      <c r="M211" s="30">
        <f t="shared" si="84"/>
        <v>38042.289879801603</v>
      </c>
      <c r="N211" s="30">
        <f t="shared" si="84"/>
        <v>992511.79948381521</v>
      </c>
      <c r="O211" s="30">
        <f t="shared" si="84"/>
        <v>96163.329960919044</v>
      </c>
      <c r="P211" s="30">
        <f t="shared" si="84"/>
        <v>18587.672106033537</v>
      </c>
      <c r="Q211" s="30">
        <f t="shared" si="84"/>
        <v>798092.84773315117</v>
      </c>
      <c r="R211" s="30">
        <f t="shared" si="84"/>
        <v>38137.177200185892</v>
      </c>
      <c r="S211" s="30">
        <f t="shared" si="82"/>
        <v>1885.555489429782</v>
      </c>
    </row>
    <row r="212" spans="1:19">
      <c r="A212" s="28">
        <v>47969</v>
      </c>
      <c r="B212" s="29">
        <f t="shared" si="56"/>
        <v>2031</v>
      </c>
      <c r="C212" s="28" t="str">
        <f t="shared" si="58"/>
        <v>Q2</v>
      </c>
      <c r="D212" s="23">
        <f t="shared" si="79"/>
        <v>8605.8516117019917</v>
      </c>
      <c r="E212" s="23">
        <f t="shared" si="79"/>
        <v>8599.2433447776948</v>
      </c>
      <c r="F212" s="23">
        <f t="shared" si="79"/>
        <v>253.63157814216055</v>
      </c>
      <c r="G212" s="23">
        <f t="shared" si="79"/>
        <v>252.47775375855269</v>
      </c>
      <c r="H212" s="23">
        <f t="shared" si="79"/>
        <v>50.873166004527647</v>
      </c>
      <c r="I212" s="23">
        <f t="shared" si="79"/>
        <v>50.873166004527647</v>
      </c>
      <c r="J212" s="30">
        <f t="shared" ref="J212:R212" si="85">J200*(1+$AC$18)</f>
        <v>985147.4604224558</v>
      </c>
      <c r="K212" s="30">
        <f t="shared" si="85"/>
        <v>780594.71707188012</v>
      </c>
      <c r="L212" s="30">
        <f t="shared" si="85"/>
        <v>103880.26268471299</v>
      </c>
      <c r="M212" s="30">
        <f t="shared" si="85"/>
        <v>38042.289879801603</v>
      </c>
      <c r="N212" s="30">
        <f t="shared" si="85"/>
        <v>992511.79948381521</v>
      </c>
      <c r="O212" s="30">
        <f t="shared" si="85"/>
        <v>96163.329960919044</v>
      </c>
      <c r="P212" s="30">
        <f t="shared" si="85"/>
        <v>18587.672106033537</v>
      </c>
      <c r="Q212" s="30">
        <f t="shared" si="85"/>
        <v>798092.84773315117</v>
      </c>
      <c r="R212" s="30">
        <f t="shared" si="85"/>
        <v>38137.177200185892</v>
      </c>
      <c r="S212" s="30">
        <f t="shared" si="82"/>
        <v>1885.555489429782</v>
      </c>
    </row>
    <row r="213" spans="1:19">
      <c r="A213" s="28">
        <v>48000</v>
      </c>
      <c r="B213" s="29">
        <f t="shared" si="56"/>
        <v>2031</v>
      </c>
      <c r="C213" s="28" t="str">
        <f t="shared" si="58"/>
        <v>Q2</v>
      </c>
      <c r="D213" s="23">
        <f t="shared" si="79"/>
        <v>8601.2363141675633</v>
      </c>
      <c r="E213" s="23">
        <f t="shared" si="79"/>
        <v>8674.6615022153346</v>
      </c>
      <c r="F213" s="23">
        <f t="shared" si="79"/>
        <v>252.79243313590027</v>
      </c>
      <c r="G213" s="23">
        <f t="shared" si="79"/>
        <v>251.74350187807499</v>
      </c>
      <c r="H213" s="23">
        <f t="shared" si="79"/>
        <v>57.901005431957252</v>
      </c>
      <c r="I213" s="23">
        <f t="shared" si="79"/>
        <v>57.901005431957252</v>
      </c>
      <c r="J213" s="30">
        <f t="shared" ref="J213:R213" si="86">J201*(1+$AC$18)</f>
        <v>985147.4604224558</v>
      </c>
      <c r="K213" s="30">
        <f t="shared" si="86"/>
        <v>780594.71707188012</v>
      </c>
      <c r="L213" s="30">
        <f t="shared" si="86"/>
        <v>103880.26268471299</v>
      </c>
      <c r="M213" s="30">
        <f t="shared" si="86"/>
        <v>38042.289879801603</v>
      </c>
      <c r="N213" s="30">
        <f t="shared" si="86"/>
        <v>992511.79948381521</v>
      </c>
      <c r="O213" s="30">
        <f t="shared" si="86"/>
        <v>96163.329960919044</v>
      </c>
      <c r="P213" s="30">
        <f t="shared" si="86"/>
        <v>18587.672106033537</v>
      </c>
      <c r="Q213" s="30">
        <f t="shared" si="86"/>
        <v>798092.84773315117</v>
      </c>
      <c r="R213" s="30">
        <f t="shared" si="86"/>
        <v>38137.177200185892</v>
      </c>
      <c r="S213" s="30">
        <f t="shared" si="82"/>
        <v>1885.555489429782</v>
      </c>
    </row>
    <row r="214" spans="1:19">
      <c r="A214" s="28">
        <v>48030</v>
      </c>
      <c r="B214" s="29">
        <f t="shared" si="56"/>
        <v>2031</v>
      </c>
      <c r="C214" s="28" t="str">
        <f t="shared" si="58"/>
        <v>Q3</v>
      </c>
      <c r="D214" s="23">
        <f t="shared" si="79"/>
        <v>8609.1032986012506</v>
      </c>
      <c r="E214" s="23">
        <f t="shared" si="79"/>
        <v>8714.9404625158277</v>
      </c>
      <c r="F214" s="23">
        <f t="shared" si="79"/>
        <v>256.77837191563651</v>
      </c>
      <c r="G214" s="23">
        <f t="shared" si="79"/>
        <v>256.04412003515876</v>
      </c>
      <c r="H214" s="23">
        <f t="shared" si="79"/>
        <v>59.474402318695226</v>
      </c>
      <c r="I214" s="23">
        <f t="shared" si="79"/>
        <v>59.474402318695226</v>
      </c>
      <c r="J214" s="30">
        <f t="shared" ref="J214:R214" si="87">J202*(1+$AC$18)</f>
        <v>985147.4604224558</v>
      </c>
      <c r="K214" s="30">
        <f t="shared" si="87"/>
        <v>780594.71707188012</v>
      </c>
      <c r="L214" s="30">
        <f t="shared" si="87"/>
        <v>103880.26268471299</v>
      </c>
      <c r="M214" s="30">
        <f t="shared" si="87"/>
        <v>38042.289879801603</v>
      </c>
      <c r="N214" s="30">
        <f t="shared" si="87"/>
        <v>997614.95028582984</v>
      </c>
      <c r="O214" s="30">
        <f t="shared" si="87"/>
        <v>97089.662769545612</v>
      </c>
      <c r="P214" s="30">
        <f t="shared" si="87"/>
        <v>18914.939385727947</v>
      </c>
      <c r="Q214" s="30">
        <f t="shared" si="87"/>
        <v>801680.58462308929</v>
      </c>
      <c r="R214" s="30">
        <f t="shared" si="87"/>
        <v>38016.254713790346</v>
      </c>
      <c r="S214" s="30">
        <f t="shared" si="82"/>
        <v>1903.7188778342243</v>
      </c>
    </row>
    <row r="215" spans="1:19">
      <c r="A215" s="28">
        <v>48061</v>
      </c>
      <c r="B215" s="29">
        <f t="shared" si="56"/>
        <v>2031</v>
      </c>
      <c r="C215" s="28" t="str">
        <f t="shared" si="58"/>
        <v>Q3</v>
      </c>
      <c r="D215" s="23">
        <f t="shared" si="79"/>
        <v>8606.3760773309041</v>
      </c>
      <c r="E215" s="23">
        <f t="shared" si="79"/>
        <v>8697.423310510143</v>
      </c>
      <c r="F215" s="23">
        <f t="shared" si="79"/>
        <v>260.65941756959012</v>
      </c>
      <c r="G215" s="23">
        <f t="shared" si="79"/>
        <v>259.50559318598226</v>
      </c>
      <c r="H215" s="23">
        <f t="shared" si="79"/>
        <v>58.320577935087371</v>
      </c>
      <c r="I215" s="23">
        <f t="shared" si="79"/>
        <v>58.320577935087371</v>
      </c>
      <c r="J215" s="30">
        <f t="shared" ref="J215:R215" si="88">J203*(1+$AC$18)</f>
        <v>985147.4604224558</v>
      </c>
      <c r="K215" s="30">
        <f t="shared" si="88"/>
        <v>780594.71707188012</v>
      </c>
      <c r="L215" s="30">
        <f t="shared" si="88"/>
        <v>103880.26268471299</v>
      </c>
      <c r="M215" s="30">
        <f t="shared" si="88"/>
        <v>38042.289879801603</v>
      </c>
      <c r="N215" s="30">
        <f t="shared" si="88"/>
        <v>997614.95028582984</v>
      </c>
      <c r="O215" s="30">
        <f t="shared" si="88"/>
        <v>97089.662769545612</v>
      </c>
      <c r="P215" s="30">
        <f t="shared" si="88"/>
        <v>18914.939385727947</v>
      </c>
      <c r="Q215" s="30">
        <f t="shared" si="88"/>
        <v>801680.58462308929</v>
      </c>
      <c r="R215" s="30">
        <f t="shared" si="88"/>
        <v>38016.254713790346</v>
      </c>
      <c r="S215" s="30">
        <f t="shared" si="82"/>
        <v>1903.7188778342243</v>
      </c>
    </row>
    <row r="216" spans="1:19">
      <c r="A216" s="28">
        <v>48092</v>
      </c>
      <c r="B216" s="29">
        <f t="shared" si="56"/>
        <v>2031</v>
      </c>
      <c r="C216" s="28" t="str">
        <f t="shared" si="58"/>
        <v>Q3</v>
      </c>
      <c r="D216" s="23">
        <f t="shared" si="79"/>
        <v>8603.5439629347784</v>
      </c>
      <c r="E216" s="23">
        <f t="shared" si="79"/>
        <v>8637.2146563109691</v>
      </c>
      <c r="F216" s="23">
        <f t="shared" si="79"/>
        <v>266.21875323606429</v>
      </c>
      <c r="G216" s="23">
        <f t="shared" si="79"/>
        <v>265.69428760715164</v>
      </c>
      <c r="H216" s="23">
        <f t="shared" si="79"/>
        <v>57.58632605460965</v>
      </c>
      <c r="I216" s="23">
        <f t="shared" si="79"/>
        <v>57.58632605460965</v>
      </c>
      <c r="J216" s="30">
        <f t="shared" ref="J216:R216" si="89">J204*(1+$AC$18)</f>
        <v>985147.4604224558</v>
      </c>
      <c r="K216" s="30">
        <f t="shared" si="89"/>
        <v>780594.71707188012</v>
      </c>
      <c r="L216" s="30">
        <f t="shared" si="89"/>
        <v>103880.26268471299</v>
      </c>
      <c r="M216" s="30">
        <f t="shared" si="89"/>
        <v>38042.289879801603</v>
      </c>
      <c r="N216" s="30">
        <f t="shared" si="89"/>
        <v>997614.95028582984</v>
      </c>
      <c r="O216" s="30">
        <f t="shared" si="89"/>
        <v>97089.662769545612</v>
      </c>
      <c r="P216" s="30">
        <f t="shared" si="89"/>
        <v>18914.939385727947</v>
      </c>
      <c r="Q216" s="30">
        <f t="shared" si="89"/>
        <v>801680.58462308929</v>
      </c>
      <c r="R216" s="30">
        <f t="shared" si="89"/>
        <v>38016.254713790346</v>
      </c>
      <c r="S216" s="30">
        <f t="shared" si="82"/>
        <v>1903.7188778342243</v>
      </c>
    </row>
    <row r="217" spans="1:19">
      <c r="A217" s="28">
        <v>48122</v>
      </c>
      <c r="B217" s="29">
        <f t="shared" si="56"/>
        <v>2031</v>
      </c>
      <c r="C217" s="28" t="str">
        <f t="shared" si="58"/>
        <v>Q4</v>
      </c>
      <c r="D217" s="23">
        <f t="shared" si="79"/>
        <v>8616.2360311544635</v>
      </c>
      <c r="E217" s="23">
        <f t="shared" si="79"/>
        <v>8626.3057712295868</v>
      </c>
      <c r="F217" s="23">
        <f t="shared" si="79"/>
        <v>269.68022638688785</v>
      </c>
      <c r="G217" s="23">
        <f t="shared" si="79"/>
        <v>268.94597450641004</v>
      </c>
      <c r="H217" s="23">
        <f t="shared" si="79"/>
        <v>59.054829815565093</v>
      </c>
      <c r="I217" s="23">
        <f t="shared" si="79"/>
        <v>59.054829815565093</v>
      </c>
      <c r="J217" s="30">
        <f t="shared" ref="J217:R217" si="90">J205*(1+$AC$18)</f>
        <v>985147.4604224558</v>
      </c>
      <c r="K217" s="30">
        <f t="shared" si="90"/>
        <v>780594.71707188012</v>
      </c>
      <c r="L217" s="30">
        <f t="shared" si="90"/>
        <v>103880.26268471299</v>
      </c>
      <c r="M217" s="30">
        <f t="shared" si="90"/>
        <v>38042.289879801603</v>
      </c>
      <c r="N217" s="30">
        <f t="shared" si="90"/>
        <v>1003781.5677617078</v>
      </c>
      <c r="O217" s="30">
        <f t="shared" si="90"/>
        <v>99394.71715849427</v>
      </c>
      <c r="P217" s="30">
        <f t="shared" si="90"/>
        <v>19139.481349158417</v>
      </c>
      <c r="Q217" s="30">
        <f t="shared" si="90"/>
        <v>803326.65805516753</v>
      </c>
      <c r="R217" s="30">
        <f t="shared" si="90"/>
        <v>38649.81754214409</v>
      </c>
      <c r="S217" s="30">
        <f t="shared" si="82"/>
        <v>1948.9160227155808</v>
      </c>
    </row>
    <row r="218" spans="1:19">
      <c r="A218" s="28">
        <v>48153</v>
      </c>
      <c r="B218" s="29">
        <f t="shared" si="56"/>
        <v>2031</v>
      </c>
      <c r="C218" s="28" t="str">
        <f t="shared" si="58"/>
        <v>Q4</v>
      </c>
      <c r="D218" s="23">
        <f t="shared" si="79"/>
        <v>8639.4174119524014</v>
      </c>
      <c r="E218" s="23">
        <f t="shared" si="79"/>
        <v>8634.0678625374931</v>
      </c>
      <c r="F218" s="23">
        <f t="shared" si="79"/>
        <v>272.30255453145111</v>
      </c>
      <c r="G218" s="23">
        <f t="shared" si="79"/>
        <v>272.93191328614625</v>
      </c>
      <c r="H218" s="23">
        <f t="shared" si="79"/>
        <v>60.523333576520521</v>
      </c>
      <c r="I218" s="23">
        <f t="shared" si="79"/>
        <v>60.523333576520521</v>
      </c>
      <c r="J218" s="30">
        <f t="shared" ref="J218:R218" si="91">J206*(1+$AC$18)</f>
        <v>985147.4604224558</v>
      </c>
      <c r="K218" s="30">
        <f t="shared" si="91"/>
        <v>780594.71707188012</v>
      </c>
      <c r="L218" s="30">
        <f t="shared" si="91"/>
        <v>103880.26268471299</v>
      </c>
      <c r="M218" s="30">
        <f t="shared" si="91"/>
        <v>38042.289879801603</v>
      </c>
      <c r="N218" s="30">
        <f t="shared" si="91"/>
        <v>1003781.5677617078</v>
      </c>
      <c r="O218" s="30">
        <f t="shared" si="91"/>
        <v>99394.71715849427</v>
      </c>
      <c r="P218" s="30">
        <f t="shared" si="91"/>
        <v>19139.481349158417</v>
      </c>
      <c r="Q218" s="30">
        <f t="shared" si="91"/>
        <v>803326.65805516753</v>
      </c>
      <c r="R218" s="30">
        <f t="shared" si="91"/>
        <v>38649.81754214409</v>
      </c>
      <c r="S218" s="30">
        <f t="shared" si="82"/>
        <v>1948.9160227155808</v>
      </c>
    </row>
    <row r="219" spans="1:19">
      <c r="A219" s="28">
        <v>48183</v>
      </c>
      <c r="B219" s="29">
        <f t="shared" si="56"/>
        <v>2031</v>
      </c>
      <c r="C219" s="28" t="str">
        <f t="shared" si="58"/>
        <v>Q4</v>
      </c>
      <c r="D219" s="23">
        <f t="shared" si="79"/>
        <v>8665.3260140206876</v>
      </c>
      <c r="E219" s="23">
        <f t="shared" si="79"/>
        <v>8651.6899076689624</v>
      </c>
      <c r="F219" s="23">
        <f t="shared" si="79"/>
        <v>269.36554700954019</v>
      </c>
      <c r="G219" s="23">
        <f t="shared" si="79"/>
        <v>270.83405077049571</v>
      </c>
      <c r="H219" s="23">
        <f t="shared" si="79"/>
        <v>58.110791683522301</v>
      </c>
      <c r="I219" s="23">
        <f t="shared" si="79"/>
        <v>58.110791683522301</v>
      </c>
      <c r="J219" s="30">
        <f t="shared" ref="J219:R219" si="92">J207*(1+$AC$18)</f>
        <v>985147.4604224558</v>
      </c>
      <c r="K219" s="30">
        <f t="shared" si="92"/>
        <v>780594.71707188012</v>
      </c>
      <c r="L219" s="30">
        <f t="shared" si="92"/>
        <v>103880.26268471299</v>
      </c>
      <c r="M219" s="30">
        <f t="shared" si="92"/>
        <v>38042.289879801603</v>
      </c>
      <c r="N219" s="30">
        <f t="shared" si="92"/>
        <v>1003781.5677617078</v>
      </c>
      <c r="O219" s="30">
        <f t="shared" si="92"/>
        <v>99394.71715849427</v>
      </c>
      <c r="P219" s="30">
        <f t="shared" si="92"/>
        <v>19139.481349158417</v>
      </c>
      <c r="Q219" s="30">
        <f t="shared" si="92"/>
        <v>803326.65805516753</v>
      </c>
      <c r="R219" s="30">
        <f t="shared" si="92"/>
        <v>38649.81754214409</v>
      </c>
      <c r="S219" s="30">
        <f t="shared" si="82"/>
        <v>1948.9160227155808</v>
      </c>
    </row>
    <row r="220" spans="1:19">
      <c r="A220" s="21"/>
      <c r="B220" s="22"/>
      <c r="C220" s="21"/>
      <c r="D220" s="20"/>
      <c r="E220" s="20"/>
      <c r="F220" s="20"/>
      <c r="G220" s="20"/>
      <c r="H220" s="20"/>
      <c r="I220" s="20"/>
      <c r="J220" s="27"/>
      <c r="K220" s="27"/>
      <c r="L220" s="27"/>
      <c r="M220" s="27"/>
      <c r="N220" s="27"/>
      <c r="O220" s="27"/>
      <c r="P220" s="27"/>
      <c r="Q220" s="27"/>
      <c r="R220" s="27"/>
    </row>
    <row r="221" spans="1:19" ht="108.75" customHeight="1">
      <c r="C221" s="2"/>
      <c r="J221" s="1" t="s">
        <v>265</v>
      </c>
      <c r="K221" s="1" t="s">
        <v>266</v>
      </c>
      <c r="L221" s="1" t="s">
        <v>267</v>
      </c>
      <c r="M221" s="1" t="s">
        <v>268</v>
      </c>
      <c r="N221" s="14" t="s">
        <v>237</v>
      </c>
      <c r="O221" s="14" t="s">
        <v>269</v>
      </c>
      <c r="P221" s="14" t="s">
        <v>270</v>
      </c>
      <c r="Q221" s="14" t="s">
        <v>271</v>
      </c>
      <c r="R221" s="14" t="s">
        <v>272</v>
      </c>
      <c r="S221" s="24"/>
    </row>
    <row r="227" spans="1:29" s="14" customFormat="1">
      <c r="A227"/>
      <c r="B227">
        <v>2014</v>
      </c>
      <c r="C227"/>
      <c r="D227" s="25">
        <f t="shared" ref="D227:G238" si="93">SUMIFS(D$4:D$147,$B$4:$B$147,$B227)</f>
        <v>81811</v>
      </c>
      <c r="E227" s="25">
        <f t="shared" si="93"/>
        <v>81830.8</v>
      </c>
      <c r="F227" s="25">
        <f t="shared" si="93"/>
        <v>2358.8000000000002</v>
      </c>
      <c r="G227" s="25">
        <f t="shared" si="93"/>
        <v>2360.1000000000004</v>
      </c>
      <c r="H227" s="25">
        <f t="shared" ref="H227:H238" si="94">SUMIFS(H$4:H$147,$B$4:$B$147,$B227)</f>
        <v>414.7</v>
      </c>
      <c r="I227" s="25">
        <f t="shared" ref="I227:I238" si="95">SUMIFS(I$4:I$147,$B$4:$B$147,$B227)</f>
        <v>414.7</v>
      </c>
      <c r="J227" s="25">
        <f t="shared" ref="J227:M238" si="96">SUMIFS(J$4:J$147,$B$4:$B$147,$B227)</f>
        <v>8505451.1999999974</v>
      </c>
      <c r="K227" s="25">
        <f t="shared" si="96"/>
        <v>6528595.1999999983</v>
      </c>
      <c r="L227" s="25">
        <f t="shared" si="96"/>
        <v>1065063.6000000003</v>
      </c>
      <c r="M227" s="25">
        <f t="shared" si="96"/>
        <v>336708</v>
      </c>
      <c r="N227" s="25">
        <f t="shared" ref="N227:R238" si="97">SUMIFS(N$4:N$147,$B$4:$B$147,$B227)</f>
        <v>8516247</v>
      </c>
      <c r="O227" s="25">
        <f t="shared" si="97"/>
        <v>1051725</v>
      </c>
      <c r="P227" s="25">
        <f t="shared" si="97"/>
        <v>244701</v>
      </c>
      <c r="Q227" s="25">
        <f t="shared" si="97"/>
        <v>6551928</v>
      </c>
      <c r="R227" s="25">
        <f t="shared" si="97"/>
        <v>339603</v>
      </c>
      <c r="T227"/>
      <c r="U227"/>
      <c r="V227"/>
      <c r="W227"/>
      <c r="X227"/>
      <c r="Y227"/>
      <c r="Z227"/>
      <c r="AA227"/>
      <c r="AB227"/>
      <c r="AC227"/>
    </row>
    <row r="228" spans="1:29" s="14" customFormat="1">
      <c r="A228"/>
      <c r="B228">
        <f>B227+1</f>
        <v>2015</v>
      </c>
      <c r="C228"/>
      <c r="D228" s="25">
        <f t="shared" si="93"/>
        <v>82288.899999999994</v>
      </c>
      <c r="E228" s="25">
        <f t="shared" si="93"/>
        <v>82312.999999999985</v>
      </c>
      <c r="F228" s="25">
        <f t="shared" si="93"/>
        <v>2304.8000000000002</v>
      </c>
      <c r="G228" s="25">
        <f t="shared" si="93"/>
        <v>2303.1</v>
      </c>
      <c r="H228" s="25">
        <f t="shared" si="94"/>
        <v>400.70000000000005</v>
      </c>
      <c r="I228" s="25">
        <f t="shared" si="95"/>
        <v>400.70000000000005</v>
      </c>
      <c r="J228" s="25">
        <f t="shared" si="96"/>
        <v>8731315.1999999974</v>
      </c>
      <c r="K228" s="25">
        <f t="shared" si="96"/>
        <v>6689688</v>
      </c>
      <c r="L228" s="25">
        <f t="shared" si="96"/>
        <v>1085889.6000000003</v>
      </c>
      <c r="M228" s="25">
        <f t="shared" si="96"/>
        <v>348831.59999999992</v>
      </c>
      <c r="N228" s="25">
        <f t="shared" si="97"/>
        <v>8741379</v>
      </c>
      <c r="O228" s="25">
        <f t="shared" si="97"/>
        <v>1085181</v>
      </c>
      <c r="P228" s="25">
        <f t="shared" si="97"/>
        <v>241896</v>
      </c>
      <c r="Q228" s="25">
        <f t="shared" si="97"/>
        <v>6710865</v>
      </c>
      <c r="R228" s="25">
        <f t="shared" si="97"/>
        <v>352284</v>
      </c>
      <c r="T228"/>
      <c r="U228"/>
      <c r="V228"/>
      <c r="W228"/>
      <c r="X228"/>
      <c r="Y228"/>
      <c r="Z228"/>
      <c r="AA228"/>
      <c r="AB228"/>
      <c r="AC228"/>
    </row>
    <row r="229" spans="1:29" s="14" customFormat="1">
      <c r="A229"/>
      <c r="B229">
        <f t="shared" ref="B229:B238" si="98">B228+1</f>
        <v>2016</v>
      </c>
      <c r="C229"/>
      <c r="D229" s="25">
        <f t="shared" si="93"/>
        <v>83119.199999999983</v>
      </c>
      <c r="E229" s="25">
        <f t="shared" si="93"/>
        <v>83099.8</v>
      </c>
      <c r="F229" s="25">
        <f t="shared" si="93"/>
        <v>2498.2999999999997</v>
      </c>
      <c r="G229" s="25">
        <f t="shared" si="93"/>
        <v>2498</v>
      </c>
      <c r="H229" s="25">
        <f t="shared" si="94"/>
        <v>390.1</v>
      </c>
      <c r="I229" s="25">
        <f t="shared" si="95"/>
        <v>390.1</v>
      </c>
      <c r="J229" s="25">
        <f t="shared" si="96"/>
        <v>8927714.4000000004</v>
      </c>
      <c r="K229" s="25">
        <f t="shared" si="96"/>
        <v>6862156.8000000017</v>
      </c>
      <c r="L229" s="25">
        <f t="shared" si="96"/>
        <v>1098141.6000000003</v>
      </c>
      <c r="M229" s="25">
        <f t="shared" si="96"/>
        <v>357774</v>
      </c>
      <c r="N229" s="25">
        <f t="shared" si="97"/>
        <v>8929860</v>
      </c>
      <c r="O229" s="25">
        <f t="shared" si="97"/>
        <v>1095351</v>
      </c>
      <c r="P229" s="25">
        <f t="shared" si="97"/>
        <v>250920</v>
      </c>
      <c r="Q229" s="25">
        <f t="shared" si="97"/>
        <v>6865245</v>
      </c>
      <c r="R229" s="25">
        <f t="shared" si="97"/>
        <v>358953</v>
      </c>
      <c r="T229"/>
      <c r="U229"/>
      <c r="V229"/>
      <c r="W229"/>
      <c r="X229"/>
      <c r="Y229"/>
      <c r="Z229"/>
      <c r="AA229"/>
      <c r="AB229"/>
      <c r="AC229"/>
    </row>
    <row r="230" spans="1:29" s="14" customFormat="1">
      <c r="A230"/>
      <c r="B230">
        <f t="shared" si="98"/>
        <v>2017</v>
      </c>
      <c r="C230"/>
      <c r="D230" s="25">
        <f t="shared" si="93"/>
        <v>85118</v>
      </c>
      <c r="E230" s="25">
        <f t="shared" si="93"/>
        <v>85085.499999999985</v>
      </c>
      <c r="F230" s="25">
        <f t="shared" si="93"/>
        <v>2481.5000000000005</v>
      </c>
      <c r="G230" s="25">
        <f t="shared" si="93"/>
        <v>2478</v>
      </c>
      <c r="H230" s="25">
        <f t="shared" si="94"/>
        <v>492.60000000000008</v>
      </c>
      <c r="I230" s="25">
        <f t="shared" si="95"/>
        <v>492.60000000000008</v>
      </c>
      <c r="J230" s="25">
        <f t="shared" si="96"/>
        <v>9173577.5999999996</v>
      </c>
      <c r="K230" s="25">
        <f t="shared" si="96"/>
        <v>7088752.8000000017</v>
      </c>
      <c r="L230" s="25">
        <f t="shared" si="96"/>
        <v>1102171.2</v>
      </c>
      <c r="M230" s="25">
        <f t="shared" si="96"/>
        <v>373472.40000000008</v>
      </c>
      <c r="N230" s="25">
        <f t="shared" si="97"/>
        <v>9173583</v>
      </c>
      <c r="O230" s="25">
        <f t="shared" si="97"/>
        <v>1102173</v>
      </c>
      <c r="P230" s="25">
        <f t="shared" si="97"/>
        <v>236256</v>
      </c>
      <c r="Q230" s="25">
        <f t="shared" si="97"/>
        <v>7088757</v>
      </c>
      <c r="R230" s="25">
        <f t="shared" si="97"/>
        <v>373473</v>
      </c>
      <c r="T230"/>
      <c r="U230"/>
      <c r="V230"/>
      <c r="W230"/>
      <c r="X230"/>
      <c r="Y230"/>
      <c r="Z230"/>
      <c r="AA230"/>
      <c r="AB230"/>
      <c r="AC230"/>
    </row>
    <row r="231" spans="1:29" s="14" customFormat="1">
      <c r="A231"/>
      <c r="B231">
        <f t="shared" si="98"/>
        <v>2018</v>
      </c>
      <c r="C231"/>
      <c r="D231" s="25">
        <f t="shared" si="93"/>
        <v>86816.299999999988</v>
      </c>
      <c r="E231" s="25">
        <f t="shared" si="93"/>
        <v>86782.599999999991</v>
      </c>
      <c r="F231" s="25">
        <f t="shared" si="93"/>
        <v>2568.3999999999996</v>
      </c>
      <c r="G231" s="25">
        <f t="shared" si="93"/>
        <v>2566.7999999999997</v>
      </c>
      <c r="H231" s="25">
        <f t="shared" si="94"/>
        <v>482</v>
      </c>
      <c r="I231" s="25">
        <f t="shared" si="95"/>
        <v>482</v>
      </c>
      <c r="J231" s="25">
        <f t="shared" si="96"/>
        <v>9474379.1999999974</v>
      </c>
      <c r="K231" s="25">
        <f t="shared" si="96"/>
        <v>7301151.5999999987</v>
      </c>
      <c r="L231" s="25">
        <f t="shared" si="96"/>
        <v>1141650</v>
      </c>
      <c r="M231" s="25">
        <f t="shared" si="96"/>
        <v>379898.40000000008</v>
      </c>
      <c r="N231" s="25">
        <f t="shared" si="97"/>
        <v>9477939</v>
      </c>
      <c r="O231" s="25">
        <f t="shared" si="97"/>
        <v>1141914</v>
      </c>
      <c r="P231" s="25">
        <f t="shared" si="97"/>
        <v>238734</v>
      </c>
      <c r="Q231" s="25">
        <f t="shared" si="97"/>
        <v>7304091</v>
      </c>
      <c r="R231" s="25">
        <f t="shared" si="97"/>
        <v>380229</v>
      </c>
      <c r="T231"/>
      <c r="U231"/>
      <c r="V231"/>
      <c r="W231"/>
      <c r="X231"/>
      <c r="Y231"/>
      <c r="Z231"/>
      <c r="AA231"/>
      <c r="AB231"/>
      <c r="AC231"/>
    </row>
    <row r="232" spans="1:29" s="14" customFormat="1">
      <c r="A232"/>
      <c r="B232">
        <f t="shared" si="98"/>
        <v>2019</v>
      </c>
      <c r="C232"/>
      <c r="D232" s="25">
        <f t="shared" si="93"/>
        <v>88740.4</v>
      </c>
      <c r="E232" s="25">
        <f t="shared" si="93"/>
        <v>88773.700000000012</v>
      </c>
      <c r="F232" s="25">
        <f t="shared" si="93"/>
        <v>2568.3000000000002</v>
      </c>
      <c r="G232" s="25">
        <f t="shared" si="93"/>
        <v>2568.3000000000006</v>
      </c>
      <c r="H232" s="25">
        <f t="shared" si="94"/>
        <v>623</v>
      </c>
      <c r="I232" s="25">
        <f t="shared" si="95"/>
        <v>623</v>
      </c>
      <c r="J232" s="25">
        <f t="shared" si="96"/>
        <v>9687294</v>
      </c>
      <c r="K232" s="25">
        <f t="shared" si="96"/>
        <v>7513237.1999999983</v>
      </c>
      <c r="L232" s="25">
        <f t="shared" si="96"/>
        <v>1135195.2</v>
      </c>
      <c r="M232" s="25">
        <f t="shared" si="96"/>
        <v>394329.59999999992</v>
      </c>
      <c r="N232" s="25">
        <f t="shared" si="97"/>
        <v>9690999</v>
      </c>
      <c r="O232" s="25">
        <f t="shared" si="97"/>
        <v>1135407</v>
      </c>
      <c r="P232" s="25">
        <f t="shared" si="97"/>
        <v>237228</v>
      </c>
      <c r="Q232" s="25">
        <f t="shared" si="97"/>
        <v>7516353</v>
      </c>
      <c r="R232" s="25">
        <f t="shared" si="97"/>
        <v>394761</v>
      </c>
      <c r="T232"/>
      <c r="U232"/>
      <c r="V232"/>
      <c r="W232"/>
      <c r="X232"/>
      <c r="Y232"/>
      <c r="Z232"/>
      <c r="AA232"/>
      <c r="AB232"/>
      <c r="AC232"/>
    </row>
    <row r="233" spans="1:29" s="14" customFormat="1">
      <c r="A233"/>
      <c r="B233">
        <f t="shared" si="98"/>
        <v>2020</v>
      </c>
      <c r="C233"/>
      <c r="D233" s="25">
        <f t="shared" si="93"/>
        <v>84753.400000000009</v>
      </c>
      <c r="E233" s="25">
        <f t="shared" si="93"/>
        <v>84718.200000000012</v>
      </c>
      <c r="F233" s="25">
        <f t="shared" si="93"/>
        <v>2481.9</v>
      </c>
      <c r="G233" s="25">
        <f t="shared" si="93"/>
        <v>2483.1</v>
      </c>
      <c r="H233" s="25">
        <f t="shared" si="94"/>
        <v>604.19999999999993</v>
      </c>
      <c r="I233" s="25">
        <f t="shared" si="95"/>
        <v>604.19999999999993</v>
      </c>
      <c r="J233" s="25">
        <f t="shared" si="96"/>
        <v>9239304</v>
      </c>
      <c r="K233" s="25">
        <f t="shared" si="96"/>
        <v>7158259.1999999983</v>
      </c>
      <c r="L233" s="25">
        <f t="shared" si="96"/>
        <v>1031146.8000000002</v>
      </c>
      <c r="M233" s="25">
        <f t="shared" si="96"/>
        <v>286797.59999999992</v>
      </c>
      <c r="N233" s="25">
        <f t="shared" si="97"/>
        <v>9247692</v>
      </c>
      <c r="O233" s="25">
        <f t="shared" si="97"/>
        <v>1031652</v>
      </c>
      <c r="P233" s="25">
        <f t="shared" si="97"/>
        <v>181218</v>
      </c>
      <c r="Q233" s="25">
        <f t="shared" si="97"/>
        <v>7164948</v>
      </c>
      <c r="R233" s="25">
        <f t="shared" si="97"/>
        <v>287286</v>
      </c>
      <c r="T233"/>
      <c r="U233"/>
      <c r="V233"/>
      <c r="W233"/>
      <c r="X233"/>
      <c r="Y233"/>
      <c r="Z233"/>
      <c r="AA233"/>
      <c r="AB233"/>
      <c r="AC233"/>
    </row>
    <row r="234" spans="1:29" s="14" customFormat="1">
      <c r="A234"/>
      <c r="B234">
        <f t="shared" si="98"/>
        <v>2021</v>
      </c>
      <c r="C234"/>
      <c r="D234" s="25">
        <f t="shared" si="93"/>
        <v>88478.399999999994</v>
      </c>
      <c r="E234" s="25">
        <f t="shared" si="93"/>
        <v>88457.500000000015</v>
      </c>
      <c r="F234" s="25">
        <f t="shared" si="93"/>
        <v>2567.1000000000004</v>
      </c>
      <c r="G234" s="25">
        <f t="shared" si="93"/>
        <v>2564.8999999999996</v>
      </c>
      <c r="H234" s="25">
        <f t="shared" si="94"/>
        <v>616.00000000000011</v>
      </c>
      <c r="I234" s="25">
        <f t="shared" si="95"/>
        <v>616.00000000000011</v>
      </c>
      <c r="J234" s="25">
        <f t="shared" si="96"/>
        <v>9807186</v>
      </c>
      <c r="K234" s="25">
        <f t="shared" si="96"/>
        <v>7610180.4000000013</v>
      </c>
      <c r="L234" s="25">
        <f t="shared" si="96"/>
        <v>1107750</v>
      </c>
      <c r="M234" s="25">
        <f t="shared" si="96"/>
        <v>302704.8</v>
      </c>
      <c r="N234" s="25">
        <f t="shared" si="97"/>
        <v>9824952</v>
      </c>
      <c r="O234" s="25">
        <f t="shared" si="97"/>
        <v>1109388</v>
      </c>
      <c r="P234" s="25">
        <f t="shared" si="97"/>
        <v>177453</v>
      </c>
      <c r="Q234" s="25">
        <f t="shared" si="97"/>
        <v>7623912</v>
      </c>
      <c r="R234" s="25">
        <f t="shared" si="97"/>
        <v>303540</v>
      </c>
      <c r="T234"/>
      <c r="U234"/>
      <c r="V234"/>
      <c r="W234"/>
      <c r="X234"/>
      <c r="Y234"/>
      <c r="Z234"/>
      <c r="AA234"/>
      <c r="AB234"/>
      <c r="AC234"/>
    </row>
    <row r="235" spans="1:29" s="14" customFormat="1">
      <c r="A235"/>
      <c r="B235">
        <f t="shared" si="98"/>
        <v>2022</v>
      </c>
      <c r="C235"/>
      <c r="D235" s="25">
        <f t="shared" si="93"/>
        <v>93040.8</v>
      </c>
      <c r="E235" s="25">
        <f t="shared" si="93"/>
        <v>93020.9</v>
      </c>
      <c r="F235" s="25">
        <f t="shared" si="93"/>
        <v>2794.7</v>
      </c>
      <c r="G235" s="25">
        <f t="shared" si="93"/>
        <v>2796.0000000000005</v>
      </c>
      <c r="H235" s="25">
        <f t="shared" si="94"/>
        <v>728.40000000000009</v>
      </c>
      <c r="I235" s="25">
        <f t="shared" si="95"/>
        <v>728.40000000000009</v>
      </c>
      <c r="J235" s="25">
        <f t="shared" si="96"/>
        <v>10205542.800000003</v>
      </c>
      <c r="K235" s="25">
        <f t="shared" si="96"/>
        <v>7954276.8000000017</v>
      </c>
      <c r="L235" s="25">
        <f t="shared" si="96"/>
        <v>1162449.6000000003</v>
      </c>
      <c r="M235" s="25">
        <f t="shared" si="96"/>
        <v>361791.59999999992</v>
      </c>
      <c r="N235" s="25">
        <f t="shared" si="97"/>
        <v>10248021</v>
      </c>
      <c r="O235" s="25">
        <f t="shared" si="97"/>
        <v>1123422</v>
      </c>
      <c r="P235" s="25">
        <f t="shared" si="97"/>
        <v>206142</v>
      </c>
      <c r="Q235" s="25">
        <f t="shared" si="97"/>
        <v>8044242</v>
      </c>
      <c r="R235" s="25">
        <f t="shared" si="97"/>
        <v>369756</v>
      </c>
      <c r="T235"/>
      <c r="U235"/>
      <c r="V235"/>
      <c r="W235"/>
      <c r="X235"/>
      <c r="Y235"/>
      <c r="Z235"/>
      <c r="AA235"/>
      <c r="AB235"/>
      <c r="AC235"/>
    </row>
    <row r="236" spans="1:29" s="14" customFormat="1">
      <c r="A236"/>
      <c r="B236">
        <f t="shared" si="98"/>
        <v>2023</v>
      </c>
      <c r="C236"/>
      <c r="D236" s="25">
        <f t="shared" si="93"/>
        <v>95914.700000000012</v>
      </c>
      <c r="E236" s="25">
        <f t="shared" si="93"/>
        <v>95877</v>
      </c>
      <c r="F236" s="25">
        <f t="shared" si="93"/>
        <v>2828.7000000000003</v>
      </c>
      <c r="G236" s="25">
        <f t="shared" si="93"/>
        <v>2822.8</v>
      </c>
      <c r="H236" s="25">
        <f t="shared" si="94"/>
        <v>771.40000000000009</v>
      </c>
      <c r="I236" s="25">
        <f t="shared" si="95"/>
        <v>771.40000000000009</v>
      </c>
      <c r="J236" s="25">
        <f t="shared" si="96"/>
        <v>10390315.199999997</v>
      </c>
      <c r="K236" s="25">
        <f t="shared" si="96"/>
        <v>8148804</v>
      </c>
      <c r="L236" s="25">
        <f t="shared" si="96"/>
        <v>1163846.3999999997</v>
      </c>
      <c r="M236" s="25">
        <f t="shared" si="96"/>
        <v>393914.40000000008</v>
      </c>
      <c r="N236" s="25">
        <f t="shared" si="97"/>
        <v>10493100</v>
      </c>
      <c r="O236" s="25">
        <f t="shared" si="97"/>
        <v>1125762</v>
      </c>
      <c r="P236" s="25">
        <f t="shared" si="97"/>
        <v>236127</v>
      </c>
      <c r="Q236" s="25">
        <f t="shared" si="97"/>
        <v>8291793</v>
      </c>
      <c r="R236" s="25">
        <f t="shared" si="97"/>
        <v>399183</v>
      </c>
      <c r="T236"/>
      <c r="U236"/>
      <c r="V236"/>
      <c r="W236"/>
      <c r="X236"/>
      <c r="Y236"/>
      <c r="Z236"/>
      <c r="AA236"/>
      <c r="AB236"/>
      <c r="AC236"/>
    </row>
    <row r="237" spans="1:29" s="14" customFormat="1">
      <c r="A237"/>
      <c r="B237">
        <f t="shared" si="98"/>
        <v>2024</v>
      </c>
      <c r="C237"/>
      <c r="D237" s="25">
        <f t="shared" si="93"/>
        <v>97580.89999999998</v>
      </c>
      <c r="E237" s="25">
        <f t="shared" si="93"/>
        <v>97623.500000000015</v>
      </c>
      <c r="F237" s="25">
        <f t="shared" si="93"/>
        <v>2908.2999999999997</v>
      </c>
      <c r="G237" s="25">
        <f t="shared" si="93"/>
        <v>2909.8999999999996</v>
      </c>
      <c r="H237" s="25">
        <f t="shared" si="94"/>
        <v>550.19999999999993</v>
      </c>
      <c r="I237" s="25">
        <f t="shared" si="95"/>
        <v>550.19999999999993</v>
      </c>
      <c r="J237" s="25">
        <f t="shared" si="96"/>
        <v>10519436.399999999</v>
      </c>
      <c r="K237" s="25">
        <f t="shared" si="96"/>
        <v>8335215.5999999987</v>
      </c>
      <c r="L237" s="25">
        <f t="shared" si="96"/>
        <v>1109236.8</v>
      </c>
      <c r="M237" s="25">
        <f t="shared" si="96"/>
        <v>406216.8000000001</v>
      </c>
      <c r="N237" s="25">
        <f t="shared" si="97"/>
        <v>10673445</v>
      </c>
      <c r="O237" s="25">
        <f t="shared" si="97"/>
        <v>1074246</v>
      </c>
      <c r="P237" s="25">
        <f t="shared" si="97"/>
        <v>209433</v>
      </c>
      <c r="Q237" s="25">
        <f t="shared" si="97"/>
        <v>8527839</v>
      </c>
      <c r="R237" s="25">
        <f t="shared" si="97"/>
        <v>413166</v>
      </c>
      <c r="T237"/>
      <c r="U237"/>
      <c r="V237"/>
      <c r="W237"/>
      <c r="X237"/>
      <c r="Y237"/>
      <c r="Z237"/>
      <c r="AA237"/>
      <c r="AB237"/>
      <c r="AC237"/>
    </row>
    <row r="238" spans="1:29" s="14" customFormat="1">
      <c r="A238"/>
      <c r="B238">
        <f t="shared" si="98"/>
        <v>2025</v>
      </c>
      <c r="C238"/>
      <c r="D238" s="25">
        <f t="shared" si="93"/>
        <v>98620.6</v>
      </c>
      <c r="E238" s="25">
        <f t="shared" si="93"/>
        <v>98653.500000000015</v>
      </c>
      <c r="F238" s="25">
        <f t="shared" si="93"/>
        <v>2976.8</v>
      </c>
      <c r="G238" s="25">
        <f t="shared" si="93"/>
        <v>2980.4</v>
      </c>
      <c r="H238" s="25">
        <f t="shared" si="94"/>
        <v>570.79999999999995</v>
      </c>
      <c r="I238" s="25">
        <f t="shared" si="95"/>
        <v>570.79999999999995</v>
      </c>
      <c r="J238" s="25">
        <f t="shared" si="96"/>
        <v>10656189.073199999</v>
      </c>
      <c r="K238" s="25">
        <f t="shared" si="96"/>
        <v>8443573.4027999993</v>
      </c>
      <c r="L238" s="25">
        <f t="shared" si="96"/>
        <v>1123656.8783999998</v>
      </c>
      <c r="M238" s="25">
        <f t="shared" si="96"/>
        <v>411497.61839999998</v>
      </c>
      <c r="N238" s="25">
        <f t="shared" si="97"/>
        <v>10789777.839</v>
      </c>
      <c r="O238" s="25">
        <f t="shared" si="97"/>
        <v>1059266.355</v>
      </c>
      <c r="P238" s="25">
        <f t="shared" si="97"/>
        <v>204874.20899999997</v>
      </c>
      <c r="Q238" s="25">
        <f t="shared" si="97"/>
        <v>8655824.3310000002</v>
      </c>
      <c r="R238" s="25">
        <f t="shared" si="97"/>
        <v>413151.28800000006</v>
      </c>
      <c r="T238"/>
      <c r="U238"/>
      <c r="V238"/>
      <c r="W238"/>
      <c r="X238"/>
      <c r="Y238"/>
      <c r="Z238"/>
      <c r="AA238"/>
      <c r="AB238"/>
      <c r="AC238"/>
    </row>
    <row r="239" spans="1:29" s="14" customFormat="1">
      <c r="A239"/>
      <c r="B239"/>
      <c r="C239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T239"/>
      <c r="U239"/>
      <c r="V239"/>
      <c r="W239"/>
      <c r="X239"/>
      <c r="Y239"/>
      <c r="Z239"/>
      <c r="AA239"/>
      <c r="AB239"/>
      <c r="AC239"/>
    </row>
    <row r="240" spans="1:29" s="14" customFormat="1">
      <c r="A240"/>
      <c r="B240">
        <f>B228</f>
        <v>2015</v>
      </c>
      <c r="C240"/>
      <c r="D240" s="26">
        <f t="shared" ref="D240:M250" si="99">D228/D227-1</f>
        <v>5.8415127550084378E-3</v>
      </c>
      <c r="E240" s="26">
        <f t="shared" si="99"/>
        <v>5.8926467784743419E-3</v>
      </c>
      <c r="F240" s="26">
        <f t="shared" si="99"/>
        <v>-2.2892996438867219E-2</v>
      </c>
      <c r="G240" s="26">
        <f t="shared" si="99"/>
        <v>-2.4151519003432265E-2</v>
      </c>
      <c r="H240" s="26">
        <f t="shared" ref="H240:I240" si="100">H228/H227-1</f>
        <v>-3.3759344104171585E-2</v>
      </c>
      <c r="I240" s="26">
        <f t="shared" si="100"/>
        <v>-3.3759344104171585E-2</v>
      </c>
      <c r="J240" s="14">
        <f t="shared" si="99"/>
        <v>2.6555204972547486E-2</v>
      </c>
      <c r="K240" s="14">
        <f t="shared" si="99"/>
        <v>2.467495610694348E-2</v>
      </c>
      <c r="L240" s="14">
        <f t="shared" si="99"/>
        <v>1.9553761859855134E-2</v>
      </c>
      <c r="M240" s="14">
        <f t="shared" si="99"/>
        <v>3.6006272497237646E-2</v>
      </c>
      <c r="N240" s="14">
        <f t="shared" ref="N240:R240" si="101">N228/N227-1</f>
        <v>2.6435588352474948E-2</v>
      </c>
      <c r="O240" s="14">
        <f t="shared" si="101"/>
        <v>3.1810596876559849E-2</v>
      </c>
      <c r="P240" s="14">
        <f t="shared" si="101"/>
        <v>-1.1462969092892905E-2</v>
      </c>
      <c r="Q240" s="14">
        <f t="shared" si="101"/>
        <v>2.4258050454766922E-2</v>
      </c>
      <c r="R240" s="14">
        <f t="shared" si="101"/>
        <v>3.7340659534809806E-2</v>
      </c>
      <c r="T240"/>
      <c r="U240"/>
      <c r="V240"/>
      <c r="W240"/>
      <c r="X240"/>
      <c r="Y240"/>
      <c r="Z240"/>
      <c r="AA240"/>
      <c r="AB240"/>
      <c r="AC240"/>
    </row>
    <row r="241" spans="1:29" s="14" customFormat="1">
      <c r="A241"/>
      <c r="B241">
        <f t="shared" ref="B241:B250" si="102">B229</f>
        <v>2016</v>
      </c>
      <c r="C241"/>
      <c r="D241" s="26">
        <f t="shared" si="99"/>
        <v>1.0090060749384122E-2</v>
      </c>
      <c r="E241" s="26">
        <f t="shared" si="99"/>
        <v>9.5586359384303154E-3</v>
      </c>
      <c r="F241" s="26">
        <f t="shared" si="99"/>
        <v>8.395522388059673E-2</v>
      </c>
      <c r="G241" s="26">
        <f t="shared" si="99"/>
        <v>8.4625070557075244E-2</v>
      </c>
      <c r="H241" s="26">
        <f t="shared" ref="H241:I241" si="103">H229/H228-1</f>
        <v>-2.645370601447472E-2</v>
      </c>
      <c r="I241" s="26">
        <f t="shared" si="103"/>
        <v>-2.645370601447472E-2</v>
      </c>
      <c r="J241" s="14">
        <f t="shared" si="99"/>
        <v>2.2493655938569557E-2</v>
      </c>
      <c r="K241" s="14">
        <f t="shared" si="99"/>
        <v>2.5781292042319714E-2</v>
      </c>
      <c r="L241" s="14">
        <f t="shared" si="99"/>
        <v>1.1282914948259837E-2</v>
      </c>
      <c r="M241" s="14">
        <f t="shared" si="99"/>
        <v>2.5635292215498984E-2</v>
      </c>
      <c r="N241" s="14">
        <f t="shared" ref="N241:R241" si="104">N229/N228-1</f>
        <v>2.1561929759595033E-2</v>
      </c>
      <c r="O241" s="14">
        <f t="shared" si="104"/>
        <v>9.3717084983979682E-3</v>
      </c>
      <c r="P241" s="14">
        <f t="shared" si="104"/>
        <v>3.7305288223038024E-2</v>
      </c>
      <c r="Q241" s="14">
        <f t="shared" si="104"/>
        <v>2.3004486008882719E-2</v>
      </c>
      <c r="R241" s="14">
        <f t="shared" si="104"/>
        <v>1.8930749054739904E-2</v>
      </c>
      <c r="T241"/>
      <c r="U241"/>
      <c r="V241"/>
      <c r="W241"/>
      <c r="X241"/>
      <c r="Y241"/>
      <c r="Z241"/>
      <c r="AA241"/>
      <c r="AB241"/>
      <c r="AC241"/>
    </row>
    <row r="242" spans="1:29" s="14" customFormat="1">
      <c r="A242"/>
      <c r="B242">
        <f t="shared" si="102"/>
        <v>2017</v>
      </c>
      <c r="C242"/>
      <c r="D242" s="26">
        <f t="shared" si="99"/>
        <v>2.404739217894325E-2</v>
      </c>
      <c r="E242" s="26">
        <f t="shared" si="99"/>
        <v>2.3895364369107774E-2</v>
      </c>
      <c r="F242" s="26">
        <f t="shared" si="99"/>
        <v>-6.7245727094421559E-3</v>
      </c>
      <c r="G242" s="26">
        <f t="shared" si="99"/>
        <v>-8.0064051240992251E-3</v>
      </c>
      <c r="H242" s="26">
        <f t="shared" ref="H242:I242" si="105">H230/H229-1</f>
        <v>0.26275314022045637</v>
      </c>
      <c r="I242" s="26">
        <f t="shared" si="105"/>
        <v>0.26275314022045637</v>
      </c>
      <c r="J242" s="14">
        <f t="shared" si="99"/>
        <v>2.7539321822391605E-2</v>
      </c>
      <c r="K242" s="14">
        <f t="shared" si="99"/>
        <v>3.3021104968047332E-2</v>
      </c>
      <c r="L242" s="14">
        <f t="shared" si="99"/>
        <v>3.6694721336480995E-3</v>
      </c>
      <c r="M242" s="14">
        <f t="shared" si="99"/>
        <v>4.387797883580169E-2</v>
      </c>
      <c r="N242" s="14">
        <f t="shared" ref="N242:R242" si="106">N230/N229-1</f>
        <v>2.7293037068890191E-2</v>
      </c>
      <c r="O242" s="14">
        <f t="shared" si="106"/>
        <v>6.2281405686397395E-3</v>
      </c>
      <c r="P242" s="14">
        <f t="shared" si="106"/>
        <v>-5.8440937350550004E-2</v>
      </c>
      <c r="Q242" s="14">
        <f t="shared" si="106"/>
        <v>3.2557031832075811E-2</v>
      </c>
      <c r="R242" s="14">
        <f t="shared" si="106"/>
        <v>4.0450978261777903E-2</v>
      </c>
      <c r="T242"/>
      <c r="U242"/>
      <c r="V242"/>
      <c r="W242"/>
      <c r="X242"/>
      <c r="Y242"/>
      <c r="Z242"/>
      <c r="AA242"/>
      <c r="AB242"/>
      <c r="AC242"/>
    </row>
    <row r="243" spans="1:29" s="14" customFormat="1">
      <c r="A243"/>
      <c r="B243">
        <f t="shared" si="102"/>
        <v>2018</v>
      </c>
      <c r="C243"/>
      <c r="D243" s="26">
        <f t="shared" si="99"/>
        <v>1.9952301510843595E-2</v>
      </c>
      <c r="E243" s="26">
        <f t="shared" si="99"/>
        <v>1.9945819205387627E-2</v>
      </c>
      <c r="F243" s="26">
        <f t="shared" si="99"/>
        <v>3.5019141648196417E-2</v>
      </c>
      <c r="G243" s="26">
        <f t="shared" si="99"/>
        <v>3.5835351089588352E-2</v>
      </c>
      <c r="H243" s="26">
        <f t="shared" ref="H243:I243" si="107">H231/H230-1</f>
        <v>-2.1518473406415106E-2</v>
      </c>
      <c r="I243" s="26">
        <f t="shared" si="107"/>
        <v>-2.1518473406415106E-2</v>
      </c>
      <c r="J243" s="14">
        <f t="shared" si="99"/>
        <v>3.2789998963980826E-2</v>
      </c>
      <c r="K243" s="14">
        <f t="shared" si="99"/>
        <v>2.9962788376538763E-2</v>
      </c>
      <c r="L243" s="14">
        <f t="shared" si="99"/>
        <v>3.5819117755934826E-2</v>
      </c>
      <c r="M243" s="14">
        <f t="shared" si="99"/>
        <v>1.7206090731202606E-2</v>
      </c>
      <c r="N243" s="14">
        <f t="shared" ref="N243:R243" si="108">N231/N230-1</f>
        <v>3.3177440047144069E-2</v>
      </c>
      <c r="O243" s="14">
        <f t="shared" si="108"/>
        <v>3.6056952946588172E-2</v>
      </c>
      <c r="P243" s="14">
        <f t="shared" si="108"/>
        <v>1.0488622511174217E-2</v>
      </c>
      <c r="Q243" s="14">
        <f t="shared" si="108"/>
        <v>3.0376834753963244E-2</v>
      </c>
      <c r="R243" s="14">
        <f t="shared" si="108"/>
        <v>1.808966109999921E-2</v>
      </c>
      <c r="T243"/>
      <c r="U243"/>
      <c r="V243"/>
      <c r="W243"/>
      <c r="X243"/>
      <c r="Y243"/>
      <c r="Z243"/>
      <c r="AA243"/>
      <c r="AB243"/>
      <c r="AC243"/>
    </row>
    <row r="244" spans="1:29" s="14" customFormat="1">
      <c r="A244"/>
      <c r="B244">
        <f t="shared" si="102"/>
        <v>2019</v>
      </c>
      <c r="C244"/>
      <c r="D244" s="26">
        <f t="shared" si="99"/>
        <v>2.2162888766280142E-2</v>
      </c>
      <c r="E244" s="26">
        <f t="shared" si="99"/>
        <v>2.2943539373100341E-2</v>
      </c>
      <c r="F244" s="26">
        <f t="shared" si="99"/>
        <v>-3.8934745366536738E-5</v>
      </c>
      <c r="G244" s="26">
        <f t="shared" si="99"/>
        <v>5.8438522674175708E-4</v>
      </c>
      <c r="H244" s="26">
        <f t="shared" ref="H244:I244" si="109">H232/H231-1</f>
        <v>0.29253112033195028</v>
      </c>
      <c r="I244" s="26">
        <f t="shared" si="109"/>
        <v>0.29253112033195028</v>
      </c>
      <c r="J244" s="14">
        <f t="shared" si="99"/>
        <v>2.2472691403358835E-2</v>
      </c>
      <c r="K244" s="14">
        <f t="shared" si="99"/>
        <v>2.9048239458553393E-2</v>
      </c>
      <c r="L244" s="14">
        <f t="shared" si="99"/>
        <v>-5.6539219550650888E-3</v>
      </c>
      <c r="M244" s="14">
        <f t="shared" si="99"/>
        <v>3.7986998629106816E-2</v>
      </c>
      <c r="N244" s="14">
        <f t="shared" ref="N244:R244" si="110">N232/N231-1</f>
        <v>2.2479570716798181E-2</v>
      </c>
      <c r="O244" s="14">
        <f t="shared" si="110"/>
        <v>-5.6983275448063697E-3</v>
      </c>
      <c r="P244" s="14">
        <f t="shared" si="110"/>
        <v>-6.3082761567266887E-3</v>
      </c>
      <c r="Q244" s="14">
        <f t="shared" si="110"/>
        <v>2.9060700366411174E-2</v>
      </c>
      <c r="R244" s="14">
        <f t="shared" si="110"/>
        <v>3.8219073242703683E-2</v>
      </c>
      <c r="T244"/>
      <c r="U244"/>
      <c r="V244"/>
      <c r="W244"/>
      <c r="X244"/>
      <c r="Y244"/>
      <c r="Z244"/>
      <c r="AA244"/>
      <c r="AB244"/>
      <c r="AC244"/>
    </row>
    <row r="245" spans="1:29" s="14" customFormat="1">
      <c r="A245"/>
      <c r="B245">
        <f t="shared" si="102"/>
        <v>2020</v>
      </c>
      <c r="C245"/>
      <c r="D245" s="26">
        <f t="shared" si="99"/>
        <v>-4.4928803566357423E-2</v>
      </c>
      <c r="E245" s="26">
        <f t="shared" si="99"/>
        <v>-4.5683575203016247E-2</v>
      </c>
      <c r="F245" s="26">
        <f t="shared" si="99"/>
        <v>-3.3640929797920882E-2</v>
      </c>
      <c r="G245" s="26">
        <f t="shared" si="99"/>
        <v>-3.3173694661838837E-2</v>
      </c>
      <c r="H245" s="26">
        <f t="shared" ref="H245:I245" si="111">H233/H232-1</f>
        <v>-3.0176565008025791E-2</v>
      </c>
      <c r="I245" s="26">
        <f t="shared" si="111"/>
        <v>-3.0176565008025791E-2</v>
      </c>
      <c r="J245" s="14">
        <f t="shared" si="99"/>
        <v>-4.6245112412196865E-2</v>
      </c>
      <c r="K245" s="14">
        <f t="shared" si="99"/>
        <v>-4.724701091561434E-2</v>
      </c>
      <c r="L245" s="14">
        <f t="shared" si="99"/>
        <v>-9.1656835758290534E-2</v>
      </c>
      <c r="M245" s="14">
        <f t="shared" si="99"/>
        <v>-0.27269573473561204</v>
      </c>
      <c r="N245" s="14">
        <f t="shared" ref="N245:R245" si="112">N233/N232-1</f>
        <v>-4.57442003657208E-2</v>
      </c>
      <c r="O245" s="14">
        <f t="shared" si="112"/>
        <v>-9.138132845754865E-2</v>
      </c>
      <c r="P245" s="14">
        <f t="shared" si="112"/>
        <v>-0.23610197784409936</v>
      </c>
      <c r="Q245" s="14">
        <f t="shared" si="112"/>
        <v>-4.675206180444158E-2</v>
      </c>
      <c r="R245" s="14">
        <f t="shared" si="112"/>
        <v>-0.27225333809570851</v>
      </c>
      <c r="T245"/>
      <c r="U245"/>
      <c r="V245"/>
      <c r="W245"/>
      <c r="X245"/>
      <c r="Y245"/>
      <c r="Z245"/>
      <c r="AA245"/>
      <c r="AB245"/>
      <c r="AC245"/>
    </row>
    <row r="246" spans="1:29" s="14" customFormat="1">
      <c r="A246"/>
      <c r="B246">
        <f t="shared" si="102"/>
        <v>2021</v>
      </c>
      <c r="C246"/>
      <c r="D246" s="26">
        <f t="shared" si="99"/>
        <v>4.3951039132353209E-2</v>
      </c>
      <c r="E246" s="26">
        <f t="shared" si="99"/>
        <v>4.4138095474172134E-2</v>
      </c>
      <c r="F246" s="26">
        <f t="shared" si="99"/>
        <v>3.4328538619606164E-2</v>
      </c>
      <c r="G246" s="26">
        <f t="shared" si="99"/>
        <v>3.2942692601989343E-2</v>
      </c>
      <c r="H246" s="26">
        <f t="shared" ref="H246:I246" si="113">H234/H233-1</f>
        <v>1.9529956967891726E-2</v>
      </c>
      <c r="I246" s="26">
        <f t="shared" si="113"/>
        <v>1.9529956967891726E-2</v>
      </c>
      <c r="J246" s="14">
        <f t="shared" si="99"/>
        <v>6.1463720643892605E-2</v>
      </c>
      <c r="K246" s="14">
        <f t="shared" si="99"/>
        <v>6.3132835424568379E-2</v>
      </c>
      <c r="L246" s="14">
        <f t="shared" si="99"/>
        <v>7.4289325244475179E-2</v>
      </c>
      <c r="M246" s="14">
        <f t="shared" si="99"/>
        <v>5.5464899287860359E-2</v>
      </c>
      <c r="N246" s="14">
        <f t="shared" ref="N246:R246" si="114">N234/N233-1</f>
        <v>6.2422061634405557E-2</v>
      </c>
      <c r="O246" s="14">
        <f t="shared" si="114"/>
        <v>7.5350990450268052E-2</v>
      </c>
      <c r="P246" s="14">
        <f t="shared" si="114"/>
        <v>-2.0776081846174188E-2</v>
      </c>
      <c r="Q246" s="14">
        <f t="shared" si="114"/>
        <v>6.4056850098563212E-2</v>
      </c>
      <c r="R246" s="14">
        <f t="shared" si="114"/>
        <v>5.6577765710824846E-2</v>
      </c>
      <c r="T246"/>
      <c r="U246"/>
      <c r="V246"/>
      <c r="W246"/>
      <c r="X246"/>
      <c r="Y246"/>
      <c r="Z246"/>
      <c r="AA246"/>
      <c r="AB246"/>
      <c r="AC246"/>
    </row>
    <row r="247" spans="1:29" s="14" customFormat="1">
      <c r="A247"/>
      <c r="B247">
        <f t="shared" si="102"/>
        <v>2022</v>
      </c>
      <c r="C247"/>
      <c r="D247" s="26">
        <f t="shared" si="99"/>
        <v>5.1565127759995777E-2</v>
      </c>
      <c r="E247" s="26">
        <f t="shared" si="99"/>
        <v>5.1588616002034682E-2</v>
      </c>
      <c r="F247" s="26">
        <f t="shared" si="99"/>
        <v>8.8660356043784638E-2</v>
      </c>
      <c r="G247" s="26">
        <f t="shared" si="99"/>
        <v>9.0100978595657022E-2</v>
      </c>
      <c r="H247" s="26">
        <f t="shared" ref="H247:I247" si="115">H235/H234-1</f>
        <v>0.18246753246753245</v>
      </c>
      <c r="I247" s="26">
        <f t="shared" si="115"/>
        <v>0.18246753246753245</v>
      </c>
      <c r="J247" s="14">
        <f t="shared" si="99"/>
        <v>4.061886865406672E-2</v>
      </c>
      <c r="K247" s="14">
        <f t="shared" si="99"/>
        <v>4.5215275054452109E-2</v>
      </c>
      <c r="L247" s="14">
        <f t="shared" si="99"/>
        <v>4.9379011509817383E-2</v>
      </c>
      <c r="M247" s="14">
        <f t="shared" si="99"/>
        <v>0.19519611185551056</v>
      </c>
      <c r="N247" s="14">
        <f t="shared" ref="N247:R247" si="116">N235/N234-1</f>
        <v>4.3060668387998158E-2</v>
      </c>
      <c r="O247" s="14">
        <f t="shared" si="116"/>
        <v>1.2650217958009247E-2</v>
      </c>
      <c r="P247" s="14">
        <f t="shared" si="116"/>
        <v>0.16167097766732597</v>
      </c>
      <c r="Q247" s="14">
        <f t="shared" si="116"/>
        <v>5.5133112764155667E-2</v>
      </c>
      <c r="R247" s="14">
        <f t="shared" si="116"/>
        <v>0.21814587863214063</v>
      </c>
      <c r="T247"/>
      <c r="U247"/>
      <c r="V247"/>
      <c r="W247"/>
      <c r="X247"/>
      <c r="Y247"/>
      <c r="Z247"/>
      <c r="AA247"/>
      <c r="AB247"/>
      <c r="AC247"/>
    </row>
    <row r="248" spans="1:29" s="14" customFormat="1">
      <c r="A248"/>
      <c r="B248">
        <f t="shared" si="102"/>
        <v>2023</v>
      </c>
      <c r="C248"/>
      <c r="D248" s="26">
        <f t="shared" si="99"/>
        <v>3.0888599410151318E-2</v>
      </c>
      <c r="E248" s="26">
        <f t="shared" si="99"/>
        <v>3.070385257506647E-2</v>
      </c>
      <c r="F248" s="26">
        <f t="shared" si="99"/>
        <v>1.2165885425984957E-2</v>
      </c>
      <c r="G248" s="26">
        <f t="shared" si="99"/>
        <v>9.5851216022888597E-3</v>
      </c>
      <c r="H248" s="26">
        <f t="shared" ref="H248:I248" si="117">H236/H235-1</f>
        <v>5.9033498077979196E-2</v>
      </c>
      <c r="I248" s="26">
        <f t="shared" si="117"/>
        <v>5.9033498077979196E-2</v>
      </c>
      <c r="J248" s="14">
        <f t="shared" si="99"/>
        <v>1.8105102650688432E-2</v>
      </c>
      <c r="K248" s="14">
        <f t="shared" si="99"/>
        <v>2.4455673958944768E-2</v>
      </c>
      <c r="L248" s="14">
        <f t="shared" si="99"/>
        <v>1.2016004822912318E-3</v>
      </c>
      <c r="M248" s="14">
        <f t="shared" si="99"/>
        <v>8.87881310677201E-2</v>
      </c>
      <c r="N248" s="14">
        <f t="shared" ref="N248:R248" si="118">N236/N235-1</f>
        <v>2.3914763640706882E-2</v>
      </c>
      <c r="O248" s="14">
        <f t="shared" si="118"/>
        <v>2.0829216447604271E-3</v>
      </c>
      <c r="P248" s="14">
        <f t="shared" si="118"/>
        <v>0.14545798527228793</v>
      </c>
      <c r="Q248" s="14">
        <f t="shared" si="118"/>
        <v>3.0773688807472555E-2</v>
      </c>
      <c r="R248" s="14">
        <f t="shared" si="118"/>
        <v>7.9584915457761252E-2</v>
      </c>
      <c r="T248"/>
      <c r="U248"/>
      <c r="V248"/>
      <c r="W248"/>
      <c r="X248"/>
      <c r="Y248"/>
      <c r="Z248"/>
      <c r="AA248"/>
      <c r="AB248"/>
      <c r="AC248"/>
    </row>
    <row r="249" spans="1:29" s="14" customFormat="1">
      <c r="A249"/>
      <c r="B249">
        <f t="shared" si="102"/>
        <v>2024</v>
      </c>
      <c r="C249"/>
      <c r="D249" s="26">
        <f t="shared" si="99"/>
        <v>1.7371685466356812E-2</v>
      </c>
      <c r="E249" s="26">
        <f t="shared" si="99"/>
        <v>1.8216047644377786E-2</v>
      </c>
      <c r="F249" s="26">
        <f t="shared" si="99"/>
        <v>2.814013504436641E-2</v>
      </c>
      <c r="G249" s="26">
        <f t="shared" si="99"/>
        <v>3.0855887771007229E-2</v>
      </c>
      <c r="H249" s="26">
        <f t="shared" ref="H249:I250" si="119">H237/H236-1</f>
        <v>-0.28675136116152466</v>
      </c>
      <c r="I249" s="26">
        <f t="shared" si="119"/>
        <v>-0.28675136116152466</v>
      </c>
      <c r="J249" s="14">
        <f t="shared" si="99"/>
        <v>1.2427072472257716E-2</v>
      </c>
      <c r="K249" s="14">
        <f t="shared" si="99"/>
        <v>2.2875945967040012E-2</v>
      </c>
      <c r="L249" s="14">
        <f t="shared" si="99"/>
        <v>-4.6921655641156468E-2</v>
      </c>
      <c r="M249" s="14">
        <f t="shared" si="99"/>
        <v>3.1231150727163204E-2</v>
      </c>
      <c r="N249" s="14">
        <f t="shared" ref="N249:R250" si="120">N237/N236-1</f>
        <v>1.7187008605655141E-2</v>
      </c>
      <c r="O249" s="14">
        <f t="shared" si="120"/>
        <v>-4.5761004546253981E-2</v>
      </c>
      <c r="P249" s="14">
        <f t="shared" si="120"/>
        <v>-0.11304933362131397</v>
      </c>
      <c r="Q249" s="14">
        <f t="shared" si="120"/>
        <v>2.8467425561636617E-2</v>
      </c>
      <c r="R249" s="14">
        <f t="shared" si="120"/>
        <v>3.5029046828146448E-2</v>
      </c>
      <c r="T249"/>
      <c r="U249"/>
      <c r="V249"/>
      <c r="W249"/>
      <c r="X249"/>
      <c r="Y249"/>
      <c r="Z249"/>
      <c r="AA249"/>
      <c r="AB249"/>
      <c r="AC249"/>
    </row>
    <row r="250" spans="1:29">
      <c r="B250">
        <f t="shared" si="102"/>
        <v>2025</v>
      </c>
      <c r="D250" s="26">
        <f t="shared" si="99"/>
        <v>1.0654749033878863E-2</v>
      </c>
      <c r="E250" s="26">
        <f t="shared" si="99"/>
        <v>1.0550738295594719E-2</v>
      </c>
      <c r="F250" s="26">
        <f t="shared" si="99"/>
        <v>2.3553278547605361E-2</v>
      </c>
      <c r="G250" s="26">
        <f t="shared" si="99"/>
        <v>2.4227636688546106E-2</v>
      </c>
      <c r="H250" s="26">
        <f t="shared" si="119"/>
        <v>3.7440930570701525E-2</v>
      </c>
      <c r="I250" s="26">
        <f t="shared" si="119"/>
        <v>3.7440930570701525E-2</v>
      </c>
      <c r="J250" s="14">
        <f t="shared" si="99"/>
        <v>1.2999999999999901E-2</v>
      </c>
      <c r="K250" s="14">
        <f t="shared" si="99"/>
        <v>1.3000000000000123E-2</v>
      </c>
      <c r="L250" s="14">
        <f t="shared" si="99"/>
        <v>1.2999999999999678E-2</v>
      </c>
      <c r="M250" s="14">
        <f t="shared" si="99"/>
        <v>1.2999999999999678E-2</v>
      </c>
      <c r="N250" s="14">
        <f t="shared" si="120"/>
        <v>1.0899277505997285E-2</v>
      </c>
      <c r="O250" s="14">
        <f t="shared" si="120"/>
        <v>-1.3944333979367896E-2</v>
      </c>
      <c r="P250" s="14">
        <f t="shared" si="120"/>
        <v>-2.1767300282190649E-2</v>
      </c>
      <c r="Q250" s="14">
        <f t="shared" si="120"/>
        <v>1.5007944099319825E-2</v>
      </c>
      <c r="R250" s="14">
        <f t="shared" si="120"/>
        <v>-3.5607963869144221E-5</v>
      </c>
    </row>
  </sheetData>
  <mergeCells count="8">
    <mergeCell ref="D1:E1"/>
    <mergeCell ref="F1:G1"/>
    <mergeCell ref="J1:M1"/>
    <mergeCell ref="N1:Q1"/>
    <mergeCell ref="J3:M3"/>
    <mergeCell ref="N3:P3"/>
    <mergeCell ref="H1:I1"/>
    <mergeCell ref="D3:I3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72ED3-8252-47F3-B321-C3E31C54B1F4}">
  <sheetPr codeName="Sheet42">
    <tabColor rgb="FFFF0000"/>
  </sheetPr>
  <dimension ref="B1:U138"/>
  <sheetViews>
    <sheetView workbookViewId="0">
      <selection activeCell="E90" sqref="E90"/>
    </sheetView>
  </sheetViews>
  <sheetFormatPr defaultColWidth="8.1796875" defaultRowHeight="12.5"/>
  <cols>
    <col min="1" max="1" width="2.81640625" style="85" customWidth="1"/>
    <col min="2" max="2" width="23.1796875" style="85" bestFit="1" customWidth="1"/>
    <col min="3" max="4" width="12.54296875" style="85" bestFit="1" customWidth="1"/>
    <col min="5" max="5" width="14.81640625" style="85" bestFit="1" customWidth="1"/>
    <col min="6" max="6" width="13" style="85" bestFit="1" customWidth="1"/>
    <col min="7" max="7" width="12.54296875" style="85" bestFit="1" customWidth="1"/>
    <col min="8" max="8" width="13.1796875" style="85" bestFit="1" customWidth="1"/>
    <col min="9" max="9" width="13.1796875" style="85" customWidth="1"/>
    <col min="10" max="10" width="14.1796875" style="85" customWidth="1"/>
    <col min="11" max="11" width="13.1796875" style="85" customWidth="1"/>
    <col min="12" max="12" width="14.1796875" style="85" customWidth="1"/>
    <col min="13" max="13" width="13" style="85" bestFit="1" customWidth="1"/>
    <col min="14" max="14" width="14.1796875" style="85" customWidth="1"/>
    <col min="15" max="15" width="14" style="85" customWidth="1"/>
    <col min="16" max="16" width="13.54296875" style="85" customWidth="1"/>
    <col min="17" max="19" width="13" style="85" bestFit="1" customWidth="1"/>
    <col min="20" max="20" width="16.1796875" style="85" customWidth="1"/>
    <col min="21" max="21" width="10" style="85" bestFit="1" customWidth="1"/>
    <col min="22" max="16384" width="8.1796875" style="85"/>
  </cols>
  <sheetData>
    <row r="1" spans="2:21" ht="16" thickBot="1">
      <c r="B1" s="64" t="s">
        <v>656</v>
      </c>
      <c r="C1" s="64" t="s">
        <v>1</v>
      </c>
    </row>
    <row r="2" spans="2:21" ht="13">
      <c r="B2" s="63" t="s">
        <v>3</v>
      </c>
      <c r="C2" s="62" t="s">
        <v>856</v>
      </c>
      <c r="D2" s="62" t="s">
        <v>857</v>
      </c>
      <c r="E2" s="62" t="s">
        <v>858</v>
      </c>
      <c r="F2" s="62" t="s">
        <v>859</v>
      </c>
      <c r="G2" s="62" t="s">
        <v>860</v>
      </c>
      <c r="H2" s="62" t="s">
        <v>861</v>
      </c>
      <c r="I2" s="62" t="s">
        <v>862</v>
      </c>
      <c r="J2" s="62" t="s">
        <v>863</v>
      </c>
      <c r="K2" s="62" t="s">
        <v>4</v>
      </c>
      <c r="L2" s="62" t="s">
        <v>5</v>
      </c>
      <c r="M2" s="61" t="s">
        <v>864</v>
      </c>
      <c r="N2" s="62" t="s">
        <v>6</v>
      </c>
      <c r="O2" s="62" t="s">
        <v>7</v>
      </c>
      <c r="P2" s="62" t="s">
        <v>8</v>
      </c>
      <c r="Q2" s="62" t="s">
        <v>9</v>
      </c>
      <c r="R2" s="62" t="s">
        <v>10</v>
      </c>
      <c r="S2" s="60" t="s">
        <v>11</v>
      </c>
    </row>
    <row r="3" spans="2:21" ht="13">
      <c r="B3" s="760" t="str">
        <f>'Total Additional'!C4</f>
        <v>Residential</v>
      </c>
      <c r="C3" s="51">
        <f ca="1">OFFSET('Normalized Annual Summary'!$C$6,COLUMN()-COLUMN($C3),0)</f>
        <v>915112945.17717803</v>
      </c>
      <c r="D3" s="51">
        <f ca="1">OFFSET('Normalized Annual Summary'!$C$6,COLUMN()-COLUMN($C3),0)</f>
        <v>860495844.41722929</v>
      </c>
      <c r="E3" s="51">
        <f ca="1">OFFSET('Normalized Annual Summary'!$C$6,COLUMN()-COLUMN($C3),0)</f>
        <v>934649898.43460441</v>
      </c>
      <c r="F3" s="51">
        <f ca="1">OFFSET('Normalized Annual Summary'!$C$6,COLUMN()-COLUMN($C3),0)</f>
        <v>911810351.49413323</v>
      </c>
      <c r="G3" s="51">
        <f ca="1">OFFSET('Normalized Annual Summary'!$C$6,COLUMN()-COLUMN($C3),0)</f>
        <v>986594181.70185447</v>
      </c>
      <c r="H3" s="51">
        <f ca="1">OFFSET('Normalized Annual Summary'!$C$6,COLUMN()-COLUMN($C3),0)</f>
        <v>979049816.42103958</v>
      </c>
      <c r="I3" s="51">
        <f ca="1">OFFSET('Normalized Annual Summary'!$C$6,COLUMN()-COLUMN($C3),0)</f>
        <v>970911458.52476048</v>
      </c>
      <c r="J3" s="51">
        <f ca="1">OFFSET('Normalized Annual Summary'!$C$6,COLUMN()-COLUMN($C3),0)</f>
        <v>962244781.52788401</v>
      </c>
      <c r="K3" s="51">
        <f ca="1">OFFSET('Normalized Annual Summary'!$C$6,COLUMN()-COLUMN($C3),0)</f>
        <v>1004549490.8056266</v>
      </c>
      <c r="L3" s="51">
        <f ca="1">OFFSET('Normalized Annual Summary'!$C$6,COLUMN()-COLUMN($C3),0)</f>
        <v>1029025835.5756625</v>
      </c>
      <c r="M3" s="51">
        <f ca="1">OFFSET('Normalized Annual Summary'!$J$13,COLUMN()-COLUMN($K3),0)</f>
        <v>1030959592.7050183</v>
      </c>
      <c r="N3" s="51">
        <f ca="1">OFFSET('Normalized Annual Summary'!$J$13,COLUMN()-COLUMN($K3),0)</f>
        <v>1060751929.6594411</v>
      </c>
      <c r="O3" s="51">
        <f ca="1">OFFSET('Normalized Annual Summary'!$J$13,COLUMN()-COLUMN($K3),0)</f>
        <v>1085928812.738508</v>
      </c>
      <c r="P3" s="51">
        <f ca="1">OFFSET('Normalized Annual Summary'!$J$13,COLUMN()-COLUMN($K3),0)</f>
        <v>1113961540.369648</v>
      </c>
      <c r="Q3" s="51">
        <f ca="1">OFFSET('Normalized Annual Summary'!$J$13,COLUMN()-COLUMN($K3),0)</f>
        <v>1140563505.6885211</v>
      </c>
      <c r="R3" s="51">
        <f ca="1">OFFSET('Normalized Annual Summary'!$J$13,COLUMN()-COLUMN($K3),0)</f>
        <v>1173549340.8189335</v>
      </c>
      <c r="S3" s="59">
        <f ca="1">OFFSET('Normalized Annual Summary'!$J$13,COLUMN()-COLUMN($K3),0)</f>
        <v>1208738432.9460368</v>
      </c>
    </row>
    <row r="4" spans="2:21" ht="13">
      <c r="B4" s="58" t="str">
        <f>'Total Additional'!C5</f>
        <v>Residential Seasonal</v>
      </c>
      <c r="C4" s="51">
        <f ca="1">OFFSET('Normalized Annual Summary'!$M$6,COLUMN()-COLUMN($C4),0)</f>
        <v>9051572.815264266</v>
      </c>
      <c r="D4" s="51">
        <f ca="1">OFFSET('Normalized Annual Summary'!$M$6,COLUMN()-COLUMN($C4),0)</f>
        <v>9456862.8725147881</v>
      </c>
      <c r="E4" s="51">
        <f ca="1">OFFSET('Normalized Annual Summary'!$M$6,COLUMN()-COLUMN($C4),0)</f>
        <v>10033713.471751574</v>
      </c>
      <c r="F4" s="51">
        <f ca="1">OFFSET('Normalized Annual Summary'!$M$6,COLUMN()-COLUMN($C4),0)</f>
        <v>10358890.180652544</v>
      </c>
      <c r="G4" s="51">
        <f ca="1">OFFSET('Normalized Annual Summary'!$M$6,COLUMN()-COLUMN($C4),0)</f>
        <v>11810325.210704066</v>
      </c>
      <c r="H4" s="51">
        <f ca="1">OFFSET('Normalized Annual Summary'!$M$6,COLUMN()-COLUMN($C4),0)</f>
        <v>12014859.141223051</v>
      </c>
      <c r="I4" s="51">
        <f ca="1">OFFSET('Normalized Annual Summary'!$M$6,COLUMN()-COLUMN($C4),0)</f>
        <v>12020836.275310056</v>
      </c>
      <c r="J4" s="51">
        <f ca="1">OFFSET('Normalized Annual Summary'!$M$6,COLUMN()-COLUMN($C4),0)</f>
        <v>11612873.390622018</v>
      </c>
      <c r="K4" s="51">
        <f ca="1">OFFSET('Normalized Annual Summary'!$M$6,COLUMN()-COLUMN($C4),0)</f>
        <v>11668301.471916554</v>
      </c>
      <c r="L4" s="51">
        <f ca="1">OFFSET('Normalized Annual Summary'!$M$6,COLUMN()-COLUMN($C4),0)</f>
        <v>12704009.788637662</v>
      </c>
      <c r="M4" s="51">
        <f ca="1">OFFSET('Normalized Annual Summary'!$T$13,COLUMN()-COLUMN($K4),0)</f>
        <v>12216399.230176462</v>
      </c>
      <c r="N4" s="51">
        <f ca="1">OFFSET('Normalized Annual Summary'!$T$13,COLUMN()-COLUMN($K4),0)</f>
        <v>12757753.244207958</v>
      </c>
      <c r="O4" s="51">
        <f ca="1">OFFSET('Normalized Annual Summary'!$T$13,COLUMN()-COLUMN($K4),0)</f>
        <v>13284588.768183464</v>
      </c>
      <c r="P4" s="51">
        <f ca="1">OFFSET('Normalized Annual Summary'!$T$13,COLUMN()-COLUMN($K4),0)</f>
        <v>13746014.055488827</v>
      </c>
      <c r="Q4" s="51">
        <f ca="1">OFFSET('Normalized Annual Summary'!$T$13,COLUMN()-COLUMN($K4),0)</f>
        <v>14276250.620675886</v>
      </c>
      <c r="R4" s="51">
        <f ca="1">OFFSET('Normalized Annual Summary'!$T$13,COLUMN()-COLUMN($K4),0)</f>
        <v>14897461.843897825</v>
      </c>
      <c r="S4" s="59">
        <f ca="1">OFFSET('Normalized Annual Summary'!$T$13,COLUMN()-COLUMN($K4),0)</f>
        <v>15468374.915689183</v>
      </c>
    </row>
    <row r="5" spans="2:21" ht="13">
      <c r="B5" s="58" t="str">
        <f>'Total Additional'!C6</f>
        <v>GS&lt;50</v>
      </c>
      <c r="C5" s="51">
        <f ca="1">OFFSET('Normalized Annual Summary'!$W$6,COLUMN()-COLUMN($C5),0)</f>
        <v>271038059.0962218</v>
      </c>
      <c r="D5" s="51">
        <f ca="1">OFFSET('Normalized Annual Summary'!$W$6,COLUMN()-COLUMN($C5),0)</f>
        <v>261365989.78409663</v>
      </c>
      <c r="E5" s="51">
        <f ca="1">OFFSET('Normalized Annual Summary'!$W$6,COLUMN()-COLUMN($C5),0)</f>
        <v>268034830.8908416</v>
      </c>
      <c r="F5" s="51">
        <f ca="1">OFFSET('Normalized Annual Summary'!$W$6,COLUMN()-COLUMN($C5),0)</f>
        <v>276005071.40924454</v>
      </c>
      <c r="G5" s="51">
        <f ca="1">OFFSET('Normalized Annual Summary'!$W$6,COLUMN()-COLUMN($C5),0)</f>
        <v>254394430.02200004</v>
      </c>
      <c r="H5" s="51">
        <f ca="1">OFFSET('Normalized Annual Summary'!$W$6,COLUMN()-COLUMN($C5),0)</f>
        <v>253491506.57862046</v>
      </c>
      <c r="I5" s="51">
        <f ca="1">OFFSET('Normalized Annual Summary'!$W$6,COLUMN()-COLUMN($C5),0)</f>
        <v>265787178.57022482</v>
      </c>
      <c r="J5" s="51">
        <f ca="1">OFFSET('Normalized Annual Summary'!$W$6,COLUMN()-COLUMN($C5),0)</f>
        <v>263510329.38142473</v>
      </c>
      <c r="K5" s="51">
        <f ca="1">OFFSET('Normalized Annual Summary'!$W$6,COLUMN()-COLUMN($C5),0)</f>
        <v>245688514.14038527</v>
      </c>
      <c r="L5" s="51">
        <f ca="1">OFFSET('Normalized Annual Summary'!$W$6,COLUMN()-COLUMN($C5),0)</f>
        <v>250378458.48071903</v>
      </c>
      <c r="M5" s="51">
        <f ca="1">OFFSET('Normalized Annual Summary'!$AD$13,COLUMN()-COLUMN($K5),0)</f>
        <v>261934286.08014607</v>
      </c>
      <c r="N5" s="51">
        <f ca="1">OFFSET('Normalized Annual Summary'!$AD$13,COLUMN()-COLUMN($K5),0)</f>
        <v>268793351.56279325</v>
      </c>
      <c r="O5" s="51">
        <f ca="1">OFFSET('Normalized Annual Summary'!$AD$13,COLUMN()-COLUMN($K5),0)</f>
        <v>272432602.87833285</v>
      </c>
      <c r="P5" s="51">
        <f ca="1">OFFSET('Normalized Annual Summary'!$AD$13,COLUMN()-COLUMN($K5),0)</f>
        <v>275064344.69688904</v>
      </c>
      <c r="Q5" s="51">
        <f ca="1">OFFSET('Normalized Annual Summary'!$AD$13,COLUMN()-COLUMN($K5),0)</f>
        <v>278618199.93417287</v>
      </c>
      <c r="R5" s="51">
        <f ca="1">OFFSET('Normalized Annual Summary'!$AD$13,COLUMN()-COLUMN($K5),0)</f>
        <v>282574704.18542933</v>
      </c>
      <c r="S5" s="59">
        <f ca="1">OFFSET('Normalized Annual Summary'!$AD$13,COLUMN()-COLUMN($K5),0)</f>
        <v>288276414.05724615</v>
      </c>
    </row>
    <row r="6" spans="2:21" ht="13">
      <c r="B6" s="58" t="str">
        <f>'Total Additional'!C7</f>
        <v>GS 50 - 2,999</v>
      </c>
      <c r="C6" s="51">
        <f ca="1">OFFSET('Normalized Annual Summary'!$AG$6,COLUMN()-COLUMN($C6),0)</f>
        <v>927454086.06637979</v>
      </c>
      <c r="D6" s="51">
        <f ca="1">OFFSET('Normalized Annual Summary'!$AG$6,COLUMN()-COLUMN($C6),0)</f>
        <v>906283743.08643579</v>
      </c>
      <c r="E6" s="51">
        <f ca="1">OFFSET('Normalized Annual Summary'!$AG$6,COLUMN()-COLUMN($C6),0)</f>
        <v>927588344.49577141</v>
      </c>
      <c r="F6" s="51">
        <f ca="1">OFFSET('Normalized Annual Summary'!$AG$6,COLUMN()-COLUMN($C6),0)</f>
        <v>905509752.26774502</v>
      </c>
      <c r="G6" s="51">
        <f ca="1">OFFSET('Normalized Annual Summary'!$AG$6,COLUMN()-COLUMN($C6),0)</f>
        <v>857792305.03628862</v>
      </c>
      <c r="H6" s="51">
        <f ca="1">OFFSET('Normalized Annual Summary'!$AG$6,COLUMN()-COLUMN($C6),0)</f>
        <v>879197905.48144305</v>
      </c>
      <c r="I6" s="51">
        <f ca="1">OFFSET('Normalized Annual Summary'!$AG$6,COLUMN()-COLUMN($C6),0)</f>
        <v>894031405.22001076</v>
      </c>
      <c r="J6" s="51">
        <f ca="1">OFFSET('Normalized Annual Summary'!$AG$6,COLUMN()-COLUMN($C6),0)</f>
        <v>890084578.42248416</v>
      </c>
      <c r="K6" s="51">
        <f ca="1">OFFSET('Normalized Annual Summary'!$AG$6,COLUMN()-COLUMN($C6),0)</f>
        <v>926699529.78917146</v>
      </c>
      <c r="L6" s="51">
        <f ca="1">OFFSET('Normalized Annual Summary'!$AG$6,COLUMN()-COLUMN($C6),0)</f>
        <v>928770254.56307244</v>
      </c>
      <c r="M6" s="51">
        <f ca="1">OFFSET('Normalized Annual Summary'!$AN$13,COLUMN()-COLUMN($K6),0)</f>
        <v>914316654.93777549</v>
      </c>
      <c r="N6" s="51">
        <f ca="1">OFFSET('Normalized Annual Summary'!$AN$13,COLUMN()-COLUMN($K6),0)</f>
        <v>979431966.7159102</v>
      </c>
      <c r="O6" s="51">
        <f ca="1">OFFSET('Normalized Annual Summary'!$AN$13,COLUMN()-COLUMN($K6),0)</f>
        <v>1046253531.644524</v>
      </c>
      <c r="P6" s="51">
        <f ca="1">OFFSET('Normalized Annual Summary'!$AN$13,COLUMN()-COLUMN($K6),0)</f>
        <v>1074400336.4609065</v>
      </c>
      <c r="Q6" s="51">
        <f ca="1">OFFSET('Normalized Annual Summary'!$AN$13,COLUMN()-COLUMN($K6),0)</f>
        <v>1100149614.7741194</v>
      </c>
      <c r="R6" s="51">
        <f ca="1">OFFSET('Normalized Annual Summary'!$AN$13,COLUMN()-COLUMN($K6),0)</f>
        <v>1118414747.6787848</v>
      </c>
      <c r="S6" s="59">
        <f ca="1">OFFSET('Normalized Annual Summary'!$AN$13,COLUMN()-COLUMN($K6),0)</f>
        <v>1144887868.4971483</v>
      </c>
    </row>
    <row r="7" spans="2:21" ht="13">
      <c r="B7" s="58" t="str">
        <f>'Total Additional'!C8</f>
        <v>GS 3,000 - 4,999</v>
      </c>
      <c r="C7" s="51">
        <f ca="1">OFFSET('Normalized Annual Summary'!$AR$6,COLUMN()-COLUMN($C7),0)</f>
        <v>78366220.038373992</v>
      </c>
      <c r="D7" s="51">
        <f ca="1">OFFSET('Normalized Annual Summary'!$AR$6,COLUMN()-COLUMN($C7),0)</f>
        <v>87507089.957190782</v>
      </c>
      <c r="E7" s="51">
        <f ca="1">OFFSET('Normalized Annual Summary'!$AR$6,COLUMN()-COLUMN($C7),0)</f>
        <v>80858592.396544397</v>
      </c>
      <c r="F7" s="51">
        <f ca="1">OFFSET('Normalized Annual Summary'!$AR$6,COLUMN()-COLUMN($C7),0)</f>
        <v>89925973.080334738</v>
      </c>
      <c r="G7" s="51">
        <f ca="1">OFFSET('Normalized Annual Summary'!$AR$6,COLUMN()-COLUMN($C7),0)</f>
        <v>86212022.147016823</v>
      </c>
      <c r="H7" s="51">
        <f ca="1">OFFSET('Normalized Annual Summary'!$AR$6,COLUMN()-COLUMN($C7),0)</f>
        <v>94614053.935747579</v>
      </c>
      <c r="I7" s="51">
        <f ca="1">OFFSET('Normalized Annual Summary'!$AR$6,COLUMN()-COLUMN($C7),0)</f>
        <v>104923623.55856374</v>
      </c>
      <c r="J7" s="51">
        <f ca="1">OFFSET('Normalized Annual Summary'!$AR$6,COLUMN()-COLUMN($C7),0)</f>
        <v>105772784.76802033</v>
      </c>
      <c r="K7" s="51">
        <f ca="1">OFFSET('Normalized Annual Summary'!$AR$6,COLUMN()-COLUMN($C7),0)</f>
        <v>94679921.545373872</v>
      </c>
      <c r="L7" s="51">
        <f ca="1">OFFSET('Normalized Annual Summary'!$AR$6,COLUMN()-COLUMN($C7),0)</f>
        <v>95012917.659763187</v>
      </c>
      <c r="M7" s="51">
        <f ca="1">OFFSET('Normalized Annual Summary'!$AY$13,COLUMN()-COLUMN($K7),0)</f>
        <v>98580288.417070583</v>
      </c>
      <c r="N7" s="51">
        <f ca="1">OFFSET('Normalized Annual Summary'!$AY$13,COLUMN()-COLUMN($K7),0)</f>
        <v>121696053.28603841</v>
      </c>
      <c r="O7" s="51">
        <f ca="1">OFFSET('Normalized Annual Summary'!$AY$13,COLUMN()-COLUMN($K7),0)</f>
        <v>156755047.04480264</v>
      </c>
      <c r="P7" s="51">
        <f ca="1">OFFSET('Normalized Annual Summary'!$AY$13,COLUMN()-COLUMN($K7),0)</f>
        <v>183633802.13339615</v>
      </c>
      <c r="Q7" s="51">
        <f ca="1">OFFSET('Normalized Annual Summary'!$AY$13,COLUMN()-COLUMN($K7),0)</f>
        <v>200901323.06119794</v>
      </c>
      <c r="R7" s="51">
        <f ca="1">OFFSET('Normalized Annual Summary'!$AY$13,COLUMN()-COLUMN($K7),0)</f>
        <v>207350196.30217499</v>
      </c>
      <c r="S7" s="59">
        <f ca="1">OFFSET('Normalized Annual Summary'!$AY$13,COLUMN()-COLUMN($K7),0)</f>
        <v>216332317.00592846</v>
      </c>
    </row>
    <row r="8" spans="2:21" ht="13">
      <c r="B8" s="58" t="str">
        <f>'Total Additional'!C9</f>
        <v>Large Use</v>
      </c>
      <c r="C8" s="51">
        <f ca="1">OFFSET('Normalized Annual Summary'!$BC$6,COLUMN()-COLUMN($C8),0)</f>
        <v>214289820.48699546</v>
      </c>
      <c r="D8" s="51">
        <f ca="1">OFFSET('Normalized Annual Summary'!$BC$6,COLUMN()-COLUMN($C8),0)</f>
        <v>222292495.33607462</v>
      </c>
      <c r="E8" s="51">
        <f ca="1">OFFSET('Normalized Annual Summary'!$BC$6,COLUMN()-COLUMN($C8),0)</f>
        <v>248469427.75455135</v>
      </c>
      <c r="F8" s="51">
        <f ca="1">OFFSET('Normalized Annual Summary'!$BC$6,COLUMN()-COLUMN($C8),0)</f>
        <v>257775123.13030541</v>
      </c>
      <c r="G8" s="51">
        <f ca="1">OFFSET('Normalized Annual Summary'!$BC$6,COLUMN()-COLUMN($C8),0)</f>
        <v>262392771.64005709</v>
      </c>
      <c r="H8" s="51">
        <f ca="1">OFFSET('Normalized Annual Summary'!$BC$6,COLUMN()-COLUMN($C8),0)</f>
        <v>282815639.36618131</v>
      </c>
      <c r="I8" s="51">
        <f ca="1">OFFSET('Normalized Annual Summary'!$BC$6,COLUMN()-COLUMN($C8),0)</f>
        <v>287178352.97389549</v>
      </c>
      <c r="J8" s="51">
        <f ca="1">OFFSET('Normalized Annual Summary'!$BC$6,COLUMN()-COLUMN($C8),0)</f>
        <v>301783249.88881892</v>
      </c>
      <c r="K8" s="51">
        <f ca="1">OFFSET('Normalized Annual Summary'!$BC$6,COLUMN()-COLUMN($C8),0)</f>
        <v>319639648.58016247</v>
      </c>
      <c r="L8" s="51">
        <f ca="1">OFFSET('Normalized Annual Summary'!$BC$6,COLUMN()-COLUMN($C8),0)</f>
        <v>320243428.7364316</v>
      </c>
      <c r="M8" s="51">
        <f ca="1">OFFSET('Normalized Annual Summary'!$BJ$13,COLUMN()-COLUMN($K8),0)</f>
        <v>314537210.33669537</v>
      </c>
      <c r="N8" s="51">
        <f ca="1">OFFSET('Normalized Annual Summary'!$BJ$13,COLUMN()-COLUMN($K8),0)</f>
        <v>349064801.43601173</v>
      </c>
      <c r="O8" s="51">
        <f ca="1">OFFSET('Normalized Annual Summary'!$BJ$13,COLUMN()-COLUMN($K8),0)</f>
        <v>422992939.53934318</v>
      </c>
      <c r="P8" s="51">
        <f ca="1">OFFSET('Normalized Annual Summary'!$BJ$13,COLUMN()-COLUMN($K8),0)</f>
        <v>508966995.01089537</v>
      </c>
      <c r="Q8" s="51">
        <f ca="1">OFFSET('Normalized Annual Summary'!$BJ$13,COLUMN()-COLUMN($K8),0)</f>
        <v>562958055.16250956</v>
      </c>
      <c r="R8" s="51">
        <f ca="1">OFFSET('Normalized Annual Summary'!$BJ$13,COLUMN()-COLUMN($K8),0)</f>
        <v>581016853.28744352</v>
      </c>
      <c r="S8" s="59">
        <f ca="1">OFFSET('Normalized Annual Summary'!$BJ$13,COLUMN()-COLUMN($K8),0)</f>
        <v>597048962.50697994</v>
      </c>
    </row>
    <row r="9" spans="2:21" ht="13">
      <c r="B9" s="58" t="s">
        <v>18</v>
      </c>
      <c r="C9" s="51">
        <f ca="1">OFFSET('Normalized Annual Summary'!$BN$6,COLUMN()-COLUMN($C9),0)</f>
        <v>20696694.0755581</v>
      </c>
      <c r="D9" s="51">
        <f ca="1">OFFSET('Normalized Annual Summary'!$BN$6,COLUMN()-COLUMN($C9),0)</f>
        <v>19519835.661133371</v>
      </c>
      <c r="E9" s="51">
        <f ca="1">OFFSET('Normalized Annual Summary'!$BN$6,COLUMN()-COLUMN($C9),0)</f>
        <v>15418262.659797747</v>
      </c>
      <c r="F9" s="51">
        <f ca="1">OFFSET('Normalized Annual Summary'!$BN$6,COLUMN()-COLUMN($C9),0)</f>
        <v>13154878.992558671</v>
      </c>
      <c r="G9" s="51">
        <f ca="1">OFFSET('Normalized Annual Summary'!$BN$6,COLUMN()-COLUMN($C9),0)</f>
        <v>11375771.341347072</v>
      </c>
      <c r="H9" s="51">
        <f ca="1">OFFSET('Normalized Annual Summary'!$BN$6,COLUMN()-COLUMN($C9),0)</f>
        <v>11145146.346117154</v>
      </c>
      <c r="I9" s="51">
        <f ca="1">OFFSET('Normalized Annual Summary'!$BN$6,COLUMN()-COLUMN($C9),0)</f>
        <v>11108255.523755008</v>
      </c>
      <c r="J9" s="51">
        <f ca="1">OFFSET('Normalized Annual Summary'!$BN$6,COLUMN()-COLUMN($C9),0)</f>
        <v>11322769.347452775</v>
      </c>
      <c r="K9" s="51">
        <f ca="1">OFFSET('Normalized Annual Summary'!$BN$6,COLUMN()-COLUMN($C9),0)</f>
        <v>11585951.65998855</v>
      </c>
      <c r="L9" s="51">
        <f ca="1">OFFSET('Normalized Annual Summary'!$BN$6,COLUMN()-COLUMN($C9),0)</f>
        <v>11654612.020606756</v>
      </c>
      <c r="M9" s="51">
        <f ca="1">OFFSET('Normalized Annual Summary'!$BQ$13,COLUMN()-COLUMN($K9),0)</f>
        <v>11654612.020606756</v>
      </c>
      <c r="N9" s="51">
        <f ca="1">OFFSET('Normalized Annual Summary'!$BQ$13,COLUMN()-COLUMN($K9),0)</f>
        <v>11783218.435274247</v>
      </c>
      <c r="O9" s="51">
        <f ca="1">OFFSET('Normalized Annual Summary'!$BQ$13,COLUMN()-COLUMN($K9),0)</f>
        <v>11913243.997131227</v>
      </c>
      <c r="P9" s="51">
        <f ca="1">OFFSET('Normalized Annual Summary'!$BQ$13,COLUMN()-COLUMN($K9),0)</f>
        <v>12044704.366195513</v>
      </c>
      <c r="Q9" s="51">
        <f ca="1">OFFSET('Normalized Annual Summary'!$BQ$13,COLUMN()-COLUMN($K9),0)</f>
        <v>12177615.375290232</v>
      </c>
      <c r="R9" s="51">
        <f ca="1">OFFSET('Normalized Annual Summary'!$BQ$13,COLUMN()-COLUMN($K9),0)</f>
        <v>12311993.031950675</v>
      </c>
      <c r="S9" s="59">
        <f ca="1">OFFSET('Normalized Annual Summary'!$BQ$13,COLUMN()-COLUMN($K9),0)</f>
        <v>12447853.520352231</v>
      </c>
    </row>
    <row r="10" spans="2:21" ht="13">
      <c r="B10" s="58" t="s">
        <v>19</v>
      </c>
      <c r="C10" s="51">
        <f ca="1">OFFSET('Normalized Annual Summary'!$BU$6,COLUMN()-COLUMN($C10),0)</f>
        <v>149076.16867010115</v>
      </c>
      <c r="D10" s="51">
        <f ca="1">OFFSET('Normalized Annual Summary'!$BU$6,COLUMN()-COLUMN($C10),0)</f>
        <v>297128.43922915473</v>
      </c>
      <c r="E10" s="51">
        <f ca="1">OFFSET('Normalized Annual Summary'!$BU$6,COLUMN()-COLUMN($C10),0)</f>
        <v>236464.57737073075</v>
      </c>
      <c r="F10" s="51">
        <f ca="1">OFFSET('Normalized Annual Summary'!$BU$6,COLUMN()-COLUMN($C10),0)</f>
        <v>219210.48464033578</v>
      </c>
      <c r="G10" s="51">
        <f ca="1">OFFSET('Normalized Annual Summary'!$BU$6,COLUMN()-COLUMN($C10),0)</f>
        <v>219089.71570311007</v>
      </c>
      <c r="H10" s="51">
        <f ca="1">OFFSET('Normalized Annual Summary'!$BU$6,COLUMN()-COLUMN($C10),0)</f>
        <v>216801.46918526999</v>
      </c>
      <c r="I10" s="51">
        <f ca="1">OFFSET('Normalized Annual Summary'!$BU$6,COLUMN()-COLUMN($C10),0)</f>
        <v>206492.3201679069</v>
      </c>
      <c r="J10" s="51">
        <f ca="1">OFFSET('Normalized Annual Summary'!$BU$6,COLUMN()-COLUMN($C10),0)</f>
        <v>208749.31310818545</v>
      </c>
      <c r="K10" s="51">
        <f ca="1">OFFSET('Normalized Annual Summary'!$BU$6,COLUMN()-COLUMN($C10),0)</f>
        <v>85942.730394962797</v>
      </c>
      <c r="L10" s="51">
        <f ca="1">OFFSET('Normalized Annual Summary'!$BU$6,COLUMN()-COLUMN($C10),0)</f>
        <v>84532.818164472439</v>
      </c>
      <c r="M10" s="51">
        <f ca="1">OFFSET('Normalized Annual Summary'!$BX$13,COLUMN()-COLUMN($K10),0)</f>
        <v>84532.818164472439</v>
      </c>
      <c r="N10" s="51">
        <f ca="1">OFFSET('Normalized Annual Summary'!$BX$13,COLUMN()-COLUMN($K10),0)</f>
        <v>82878.928767326172</v>
      </c>
      <c r="O10" s="51">
        <f ca="1">OFFSET('Normalized Annual Summary'!$BX$13,COLUMN()-COLUMN($K10),0)</f>
        <v>81257.397810338269</v>
      </c>
      <c r="P10" s="51">
        <f ca="1">OFFSET('Normalized Annual Summary'!$BX$13,COLUMN()-COLUMN($K10),0)</f>
        <v>79667.592198785904</v>
      </c>
      <c r="Q10" s="51">
        <f ca="1">OFFSET('Normalized Annual Summary'!$BX$13,COLUMN()-COLUMN($K10),0)</f>
        <v>78108.891224480496</v>
      </c>
      <c r="R10" s="51">
        <f ca="1">OFFSET('Normalized Annual Summary'!$BX$13,COLUMN()-COLUMN($K10),0)</f>
        <v>76580.686323424539</v>
      </c>
      <c r="S10" s="59">
        <f ca="1">OFFSET('Normalized Annual Summary'!$BX$13,COLUMN()-COLUMN($K10),0)</f>
        <v>75082.38083820972</v>
      </c>
    </row>
    <row r="11" spans="2:21" ht="13">
      <c r="B11" s="58" t="s">
        <v>20</v>
      </c>
      <c r="C11" s="51">
        <f ca="1">OFFSET('Normalized Annual Summary'!$CB$6,COLUMN()-COLUMN($C11),0)</f>
        <v>4746940.8319023084</v>
      </c>
      <c r="D11" s="51">
        <f ca="1">OFFSET('Normalized Annual Summary'!$CB$6,COLUMN()-COLUMN($C11),0)</f>
        <v>4693448.8360999813</v>
      </c>
      <c r="E11" s="51">
        <f ca="1">OFFSET('Normalized Annual Summary'!$CB$6,COLUMN()-COLUMN($C11),0)</f>
        <v>4665788.0175539022</v>
      </c>
      <c r="F11" s="51">
        <f ca="1">OFFSET('Normalized Annual Summary'!$CB$6,COLUMN()-COLUMN($C11),0)</f>
        <v>4623203.0910131652</v>
      </c>
      <c r="G11" s="51">
        <f ca="1">OFFSET('Normalized Annual Summary'!$CB$6,COLUMN()-COLUMN($C11),0)</f>
        <v>4593300.2480442664</v>
      </c>
      <c r="H11" s="51">
        <f ca="1">OFFSET('Normalized Annual Summary'!$CB$6,COLUMN()-COLUMN($C11),0)</f>
        <v>4562375.2909750044</v>
      </c>
      <c r="I11" s="51">
        <f ca="1">OFFSET('Normalized Annual Summary'!$CB$6,COLUMN()-COLUMN($C11),0)</f>
        <v>4553725.701202061</v>
      </c>
      <c r="J11" s="51">
        <f ca="1">OFFSET('Normalized Annual Summary'!$CB$6,COLUMN()-COLUMN($C11),0)</f>
        <v>4536379.8034726195</v>
      </c>
      <c r="K11" s="51">
        <f ca="1">OFFSET('Normalized Annual Summary'!$CB$6,COLUMN()-COLUMN($C11),0)</f>
        <v>4525963.0509444773</v>
      </c>
      <c r="L11" s="51">
        <f ca="1">OFFSET('Normalized Annual Summary'!$CB$6,COLUMN()-COLUMN($C11),0)</f>
        <v>4511287.6741079949</v>
      </c>
      <c r="M11" s="51">
        <f ca="1">OFFSET('Normalized Annual Summary'!$CE$13,COLUMN()-COLUMN($K11),0)</f>
        <v>4511287.6741079949</v>
      </c>
      <c r="N11" s="51">
        <f ca="1">OFFSET('Normalized Annual Summary'!$CE$13,COLUMN()-COLUMN($K11),0)</f>
        <v>4628438.8768212022</v>
      </c>
      <c r="O11" s="51">
        <f ca="1">OFFSET('Normalized Annual Summary'!$CE$13,COLUMN()-COLUMN($K11),0)</f>
        <v>4588884.6673883721</v>
      </c>
      <c r="P11" s="51">
        <f ca="1">OFFSET('Normalized Annual Summary'!$CE$13,COLUMN()-COLUMN($K11),0)</f>
        <v>4549668.4845613791</v>
      </c>
      <c r="Q11" s="51">
        <f ca="1">OFFSET('Normalized Annual Summary'!$CE$13,COLUMN()-COLUMN($K11),0)</f>
        <v>4510787.4395961957</v>
      </c>
      <c r="R11" s="51">
        <f ca="1">OFFSET('Normalized Annual Summary'!$CE$13,COLUMN()-COLUMN($K11),0)</f>
        <v>4472238.6684357328</v>
      </c>
      <c r="S11" s="59">
        <f ca="1">OFFSET('Normalized Annual Summary'!$CE$13,COLUMN()-COLUMN($K11),0)</f>
        <v>4434019.3314988697</v>
      </c>
    </row>
    <row r="12" spans="2:21" ht="13.5" thickBot="1">
      <c r="B12" s="57" t="s">
        <v>290</v>
      </c>
      <c r="C12" s="640">
        <f t="shared" ref="C12:S12" ca="1" si="0">SUM(C3:C11)</f>
        <v>2440905414.7565441</v>
      </c>
      <c r="D12" s="640">
        <f t="shared" ca="1" si="0"/>
        <v>2371912438.3900046</v>
      </c>
      <c r="E12" s="640">
        <f ca="1">SUM(E3:E11)</f>
        <v>2489955322.6987867</v>
      </c>
      <c r="F12" s="640">
        <f t="shared" ca="1" si="0"/>
        <v>2469382454.1306267</v>
      </c>
      <c r="G12" s="640">
        <f t="shared" ca="1" si="0"/>
        <v>2475384197.0630159</v>
      </c>
      <c r="H12" s="640">
        <f t="shared" ca="1" si="0"/>
        <v>2517108104.0305328</v>
      </c>
      <c r="I12" s="640">
        <f t="shared" ca="1" si="0"/>
        <v>2550721328.6678905</v>
      </c>
      <c r="J12" s="640">
        <f t="shared" ca="1" si="0"/>
        <v>2551076495.843287</v>
      </c>
      <c r="K12" s="640">
        <f t="shared" ref="K12" ca="1" si="1">SUM(K3:K11)</f>
        <v>2619123263.7739639</v>
      </c>
      <c r="L12" s="640">
        <f t="shared" ref="L12" ca="1" si="2">SUM(L3:L11)</f>
        <v>2652385337.3171654</v>
      </c>
      <c r="M12" s="641">
        <f t="shared" ca="1" si="0"/>
        <v>2648794864.2197609</v>
      </c>
      <c r="N12" s="641">
        <f t="shared" ca="1" si="0"/>
        <v>2808990392.1452651</v>
      </c>
      <c r="O12" s="641">
        <f t="shared" ca="1" si="0"/>
        <v>3014230908.6760244</v>
      </c>
      <c r="P12" s="641">
        <f t="shared" ca="1" si="0"/>
        <v>3186447073.1701798</v>
      </c>
      <c r="Q12" s="641">
        <f t="shared" ca="1" si="0"/>
        <v>3314233460.9473076</v>
      </c>
      <c r="R12" s="641">
        <f t="shared" ca="1" si="0"/>
        <v>3394664116.5033736</v>
      </c>
      <c r="S12" s="50">
        <f t="shared" ca="1" si="0"/>
        <v>3487709325.1617188</v>
      </c>
      <c r="U12" s="247"/>
    </row>
    <row r="13" spans="2:21">
      <c r="U13" s="247"/>
    </row>
    <row r="14" spans="2:21" ht="16" thickBot="1">
      <c r="B14" s="64" t="s">
        <v>656</v>
      </c>
      <c r="C14" s="64" t="s">
        <v>2</v>
      </c>
    </row>
    <row r="15" spans="2:21" ht="13">
      <c r="B15" s="63" t="s">
        <v>3</v>
      </c>
      <c r="C15" s="62" t="s">
        <v>856</v>
      </c>
      <c r="D15" s="62" t="s">
        <v>857</v>
      </c>
      <c r="E15" s="62" t="s">
        <v>858</v>
      </c>
      <c r="F15" s="62" t="s">
        <v>859</v>
      </c>
      <c r="G15" s="62" t="s">
        <v>860</v>
      </c>
      <c r="H15" s="62" t="s">
        <v>861</v>
      </c>
      <c r="I15" s="62" t="s">
        <v>862</v>
      </c>
      <c r="J15" s="62" t="s">
        <v>863</v>
      </c>
      <c r="K15" s="62" t="s">
        <v>4</v>
      </c>
      <c r="L15" s="62" t="s">
        <v>5</v>
      </c>
      <c r="M15" s="61" t="s">
        <v>864</v>
      </c>
      <c r="N15" s="62" t="s">
        <v>6</v>
      </c>
      <c r="O15" s="62" t="s">
        <v>7</v>
      </c>
      <c r="P15" s="62" t="s">
        <v>8</v>
      </c>
      <c r="Q15" s="62" t="s">
        <v>9</v>
      </c>
      <c r="R15" s="62" t="s">
        <v>10</v>
      </c>
      <c r="S15" s="60" t="s">
        <v>11</v>
      </c>
    </row>
    <row r="16" spans="2:21" ht="13">
      <c r="B16" s="760" t="str">
        <f>'Total Additional'!C35</f>
        <v>Residential</v>
      </c>
      <c r="C16" s="51">
        <f ca="1">OFFSET('Normalized Annual Summary'!$CK$6,COLUMN()-COLUMN($C16),0)</f>
        <v>354262497.03685707</v>
      </c>
      <c r="D16" s="51">
        <f ca="1">OFFSET('Normalized Annual Summary'!$CK$6,COLUMN()-COLUMN($C16),0)</f>
        <v>327526191.75668687</v>
      </c>
      <c r="E16" s="51">
        <f ca="1">OFFSET('Normalized Annual Summary'!$CK$6,COLUMN()-COLUMN($C16),0)</f>
        <v>352677775.93598539</v>
      </c>
      <c r="F16" s="51">
        <f ca="1">OFFSET('Normalized Annual Summary'!$CK$6,COLUMN()-COLUMN($C16),0)</f>
        <v>337849639.8890568</v>
      </c>
      <c r="G16" s="51">
        <f ca="1">OFFSET('Normalized Annual Summary'!$CK$6,COLUMN()-COLUMN($C16),0)</f>
        <v>376808883.61974311</v>
      </c>
      <c r="H16" s="51">
        <f ca="1">OFFSET('Normalized Annual Summary'!$CK$6,COLUMN()-COLUMN($C16),0)</f>
        <v>377870468.70321423</v>
      </c>
      <c r="I16" s="51">
        <f ca="1">OFFSET('Normalized Annual Summary'!$CK$6,COLUMN()-COLUMN($C16),0)</f>
        <v>376493215.67660195</v>
      </c>
      <c r="J16" s="51">
        <f ca="1">OFFSET('Normalized Annual Summary'!$CK$6,COLUMN()-COLUMN($C16),0)</f>
        <v>375458413.71048301</v>
      </c>
      <c r="K16" s="51">
        <f ca="1">OFFSET('Normalized Annual Summary'!$CK$6,COLUMN()-COLUMN($C16),0)</f>
        <v>392915024.61658382</v>
      </c>
      <c r="L16" s="51">
        <f ca="1">OFFSET('Normalized Annual Summary'!$CK$6,COLUMN()-COLUMN($C16),0)</f>
        <v>402680727.20947945</v>
      </c>
      <c r="M16" s="51">
        <f ca="1">OFFSET('Normalized Annual Summary'!$CR$13,COLUMN()-COLUMN($K16),0)</f>
        <v>401014155.7032606</v>
      </c>
      <c r="N16" s="51">
        <f ca="1">OFFSET('Normalized Annual Summary'!$CR$13,COLUMN()-COLUMN($K16),0)</f>
        <v>413282228.94022828</v>
      </c>
      <c r="O16" s="51">
        <f ca="1">OFFSET('Normalized Annual Summary'!$CR$13,COLUMN()-COLUMN($K16),0)</f>
        <v>424880393.4518621</v>
      </c>
      <c r="P16" s="51">
        <f ca="1">OFFSET('Normalized Annual Summary'!$CR$13,COLUMN()-COLUMN($K16),0)</f>
        <v>435173045.41832602</v>
      </c>
      <c r="Q16" s="51">
        <f ca="1">OFFSET('Normalized Annual Summary'!$CR$13,COLUMN()-COLUMN($K16),0)</f>
        <v>447041847.47292751</v>
      </c>
      <c r="R16" s="51">
        <f ca="1">OFFSET('Normalized Annual Summary'!$CR$13,COLUMN()-COLUMN($K16),0)</f>
        <v>461932945.62585056</v>
      </c>
      <c r="S16" s="59">
        <f ca="1">OFFSET('Normalized Annual Summary'!$CR$13,COLUMN()-COLUMN($K16),0)</f>
        <v>475515289.2833786</v>
      </c>
    </row>
    <row r="17" spans="2:19" ht="13">
      <c r="B17" s="58" t="str">
        <f>'Total Additional'!C36</f>
        <v>GS&lt;50</v>
      </c>
      <c r="C17" s="51">
        <f ca="1">OFFSET('Normalized Annual Summary'!$CU$6,COLUMN()-COLUMN($C17),0)</f>
        <v>85344572.942318693</v>
      </c>
      <c r="D17" s="51">
        <f ca="1">OFFSET('Normalized Annual Summary'!$CU$6,COLUMN()-COLUMN($C17),0)</f>
        <v>83249374.995054513</v>
      </c>
      <c r="E17" s="51">
        <f ca="1">OFFSET('Normalized Annual Summary'!$CU$6,COLUMN()-COLUMN($C17),0)</f>
        <v>86231210.620193273</v>
      </c>
      <c r="F17" s="51">
        <f ca="1">OFFSET('Normalized Annual Summary'!$CU$6,COLUMN()-COLUMN($C17),0)</f>
        <v>85349702.348775536</v>
      </c>
      <c r="G17" s="51">
        <f ca="1">OFFSET('Normalized Annual Summary'!$CU$6,COLUMN()-COLUMN($C17),0)</f>
        <v>78127840.869743645</v>
      </c>
      <c r="H17" s="51">
        <f ca="1">OFFSET('Normalized Annual Summary'!$CU$6,COLUMN()-COLUMN($C17),0)</f>
        <v>78970544.989649892</v>
      </c>
      <c r="I17" s="51">
        <f ca="1">OFFSET('Normalized Annual Summary'!$CU$6,COLUMN()-COLUMN($C17),0)</f>
        <v>83688802.82709007</v>
      </c>
      <c r="J17" s="51">
        <f ca="1">OFFSET('Normalized Annual Summary'!$CU$6,COLUMN()-COLUMN($C17),0)</f>
        <v>84916933.924258634</v>
      </c>
      <c r="K17" s="51">
        <f ca="1">OFFSET('Normalized Annual Summary'!$CU$6,COLUMN()-COLUMN($C17),0)</f>
        <v>84569272.920165718</v>
      </c>
      <c r="L17" s="51">
        <f ca="1">OFFSET('Normalized Annual Summary'!$CU$6,COLUMN()-COLUMN($C17),0)</f>
        <v>84094466.362244099</v>
      </c>
      <c r="M17" s="51">
        <f ca="1">OFFSET('Normalized Annual Summary'!$DB$13,COLUMN()-COLUMN($K17),0)</f>
        <v>93029381.646331429</v>
      </c>
      <c r="N17" s="51">
        <f ca="1">OFFSET('Normalized Annual Summary'!$DB$13,COLUMN()-COLUMN($K17),0)</f>
        <v>95059608.846682787</v>
      </c>
      <c r="O17" s="51">
        <f ca="1">OFFSET('Normalized Annual Summary'!$DB$13,COLUMN()-COLUMN($K17),0)</f>
        <v>96281098.261436075</v>
      </c>
      <c r="P17" s="51">
        <f ca="1">OFFSET('Normalized Annual Summary'!$DB$13,COLUMN()-COLUMN($K17),0)</f>
        <v>97236504.807735905</v>
      </c>
      <c r="Q17" s="51">
        <f ca="1">OFFSET('Normalized Annual Summary'!$DB$13,COLUMN()-COLUMN($K17),0)</f>
        <v>98610886.306496739</v>
      </c>
      <c r="R17" s="51">
        <f ca="1">OFFSET('Normalized Annual Summary'!$DB$13,COLUMN()-COLUMN($K17),0)</f>
        <v>100142047.32756847</v>
      </c>
      <c r="S17" s="59">
        <f ca="1">OFFSET('Normalized Annual Summary'!$DB$13,COLUMN()-COLUMN($K17),0)</f>
        <v>101842567.91642183</v>
      </c>
    </row>
    <row r="18" spans="2:19" ht="13">
      <c r="B18" s="58" t="str">
        <f>'Total Additional'!C37</f>
        <v>GS 50 - 2,999</v>
      </c>
      <c r="C18" s="51">
        <f ca="1">OFFSET('Normalized Annual Summary'!$DE$6,COLUMN()-COLUMN($C18),0)</f>
        <v>344664289.79645747</v>
      </c>
      <c r="D18" s="51">
        <f ca="1">OFFSET('Normalized Annual Summary'!$DE$6,COLUMN()-COLUMN($C18),0)</f>
        <v>329917316.99549681</v>
      </c>
      <c r="E18" s="51">
        <f ca="1">OFFSET('Normalized Annual Summary'!$DE$6,COLUMN()-COLUMN($C18),0)</f>
        <v>336878004.7024917</v>
      </c>
      <c r="F18" s="51">
        <f ca="1">OFFSET('Normalized Annual Summary'!$DE$6,COLUMN()-COLUMN($C18),0)</f>
        <v>326553718.48934257</v>
      </c>
      <c r="G18" s="51">
        <f ca="1">OFFSET('Normalized Annual Summary'!$DE$6,COLUMN()-COLUMN($C18),0)</f>
        <v>310262827.01891321</v>
      </c>
      <c r="H18" s="51">
        <f ca="1">OFFSET('Normalized Annual Summary'!$DE$6,COLUMN()-COLUMN($C18),0)</f>
        <v>304899663.70699489</v>
      </c>
      <c r="I18" s="51">
        <f ca="1">OFFSET('Normalized Annual Summary'!$DE$6,COLUMN()-COLUMN($C18),0)</f>
        <v>314844960.08646047</v>
      </c>
      <c r="J18" s="51">
        <f ca="1">OFFSET('Normalized Annual Summary'!$DE$6,COLUMN()-COLUMN($C18),0)</f>
        <v>315729102.65025514</v>
      </c>
      <c r="K18" s="51">
        <f ca="1">OFFSET('Normalized Annual Summary'!$DE$6,COLUMN()-COLUMN($C18),0)</f>
        <v>323457018.24557191</v>
      </c>
      <c r="L18" s="51">
        <f ca="1">OFFSET('Normalized Annual Summary'!$DE$6,COLUMN()-COLUMN($C18),0)</f>
        <v>341652807.60852599</v>
      </c>
      <c r="M18" s="51">
        <f ca="1">OFFSET('Normalized Annual Summary'!$DL$13,COLUMN()-COLUMN($K18),0)</f>
        <v>312805967.45400143</v>
      </c>
      <c r="N18" s="51">
        <f ca="1">OFFSET('Normalized Annual Summary'!$DL$13,COLUMN()-COLUMN($K18),0)</f>
        <v>340497565.09618205</v>
      </c>
      <c r="O18" s="51">
        <f ca="1">OFFSET('Normalized Annual Summary'!$DL$13,COLUMN()-COLUMN($K18),0)</f>
        <v>374352433.40622854</v>
      </c>
      <c r="P18" s="51">
        <f ca="1">OFFSET('Normalized Annual Summary'!$DL$13,COLUMN()-COLUMN($K18),0)</f>
        <v>391768934.0366683</v>
      </c>
      <c r="Q18" s="51">
        <f ca="1">OFFSET('Normalized Annual Summary'!$DL$13,COLUMN()-COLUMN($K18),0)</f>
        <v>405526343.91540456</v>
      </c>
      <c r="R18" s="51">
        <f ca="1">OFFSET('Normalized Annual Summary'!$DL$13,COLUMN()-COLUMN($K18),0)</f>
        <v>416615555.00911146</v>
      </c>
      <c r="S18" s="59">
        <f ca="1">OFFSET('Normalized Annual Summary'!$DL$13,COLUMN()-COLUMN($K18),0)</f>
        <v>426478048.24017596</v>
      </c>
    </row>
    <row r="19" spans="2:19" ht="13">
      <c r="B19" s="58" t="str">
        <f>'Total Additional'!C38</f>
        <v>GS 3,000 - 4,999</v>
      </c>
      <c r="C19" s="51">
        <f ca="1">OFFSET('Normalized Annual Summary'!$DP$6,COLUMN()-COLUMN($C19),0)</f>
        <v>60391954.021215044</v>
      </c>
      <c r="D19" s="51">
        <f ca="1">OFFSET('Normalized Annual Summary'!$DP$6,COLUMN()-COLUMN($C19),0)</f>
        <v>58961813.114754111</v>
      </c>
      <c r="E19" s="51">
        <f ca="1">OFFSET('Normalized Annual Summary'!$DP$6,COLUMN()-COLUMN($C19),0)</f>
        <v>69618715.207328841</v>
      </c>
      <c r="F19" s="51">
        <f ca="1">OFFSET('Normalized Annual Summary'!$DP$6,COLUMN()-COLUMN($C19),0)</f>
        <v>76973824.001928642</v>
      </c>
      <c r="G19" s="51">
        <f ca="1">OFFSET('Normalized Annual Summary'!$DP$6,COLUMN()-COLUMN($C19),0)</f>
        <v>82322250.183220834</v>
      </c>
      <c r="H19" s="51">
        <f ca="1">OFFSET('Normalized Annual Summary'!$DP$6,COLUMN()-COLUMN($C19),0)</f>
        <v>85453559.662487954</v>
      </c>
      <c r="I19" s="51">
        <f ca="1">OFFSET('Normalized Annual Summary'!$DP$6,COLUMN()-COLUMN($C19),0)</f>
        <v>85515948.081002906</v>
      </c>
      <c r="J19" s="51">
        <f ca="1">OFFSET('Normalized Annual Summary'!$DP$6,COLUMN()-COLUMN($C19),0)</f>
        <v>82703199.884281576</v>
      </c>
      <c r="K19" s="51">
        <f ca="1">OFFSET('Normalized Annual Summary'!$DP$6,COLUMN()-COLUMN($C19),0)</f>
        <v>79491989.566055939</v>
      </c>
      <c r="L19" s="51">
        <f ca="1">OFFSET('Normalized Annual Summary'!$DP$6,COLUMN()-COLUMN($C19),0)</f>
        <v>79867037.608023137</v>
      </c>
      <c r="M19" s="51">
        <f ca="1">OFFSET('Normalized Annual Summary'!$DW$13,COLUMN()-COLUMN($K19),0)</f>
        <v>78915166.445620447</v>
      </c>
      <c r="N19" s="51">
        <f ca="1">OFFSET('Normalized Annual Summary'!$DW$13,COLUMN()-COLUMN($K19),0)</f>
        <v>92072460.412605077</v>
      </c>
      <c r="O19" s="51">
        <f ca="1">OFFSET('Normalized Annual Summary'!$DW$13,COLUMN()-COLUMN($K19),0)</f>
        <v>108841470.83473286</v>
      </c>
      <c r="P19" s="51">
        <f ca="1">OFFSET('Normalized Annual Summary'!$DW$13,COLUMN()-COLUMN($K19),0)</f>
        <v>116124714.56687501</v>
      </c>
      <c r="Q19" s="51">
        <f ca="1">OFFSET('Normalized Annual Summary'!$DW$13,COLUMN()-COLUMN($K19),0)</f>
        <v>121958556.76758742</v>
      </c>
      <c r="R19" s="51">
        <f ca="1">OFFSET('Normalized Annual Summary'!$DW$13,COLUMN()-COLUMN($K19),0)</f>
        <v>129560666.21879767</v>
      </c>
      <c r="S19" s="59">
        <f ca="1">OFFSET('Normalized Annual Summary'!$DW$13,COLUMN()-COLUMN($K19),0)</f>
        <v>136179395.77017003</v>
      </c>
    </row>
    <row r="20" spans="2:19" ht="13">
      <c r="B20" s="58" t="s">
        <v>18</v>
      </c>
      <c r="C20" s="51">
        <f ca="1">OFFSET('Normalized Annual Summary'!$EA$6,COLUMN()-COLUMN($C20),0)</f>
        <v>6040411.8327912744</v>
      </c>
      <c r="D20" s="51">
        <f ca="1">OFFSET('Normalized Annual Summary'!$EA$6,COLUMN()-COLUMN($C20),0)</f>
        <v>4772411.8997512907</v>
      </c>
      <c r="E20" s="51">
        <f ca="1">OFFSET('Normalized Annual Summary'!$EA$6,COLUMN()-COLUMN($C20),0)</f>
        <v>3647423.9429883291</v>
      </c>
      <c r="F20" s="51">
        <f ca="1">OFFSET('Normalized Annual Summary'!$EA$6,COLUMN()-COLUMN($C20),0)</f>
        <v>3343338.8655060264</v>
      </c>
      <c r="G20" s="51">
        <f ca="1">OFFSET('Normalized Annual Summary'!$EA$6,COLUMN()-COLUMN($C20),0)</f>
        <v>3228914.1476946622</v>
      </c>
      <c r="H20" s="51">
        <f ca="1">OFFSET('Normalized Annual Summary'!$EA$6,COLUMN()-COLUMN($C20),0)</f>
        <v>3113190.396020662</v>
      </c>
      <c r="I20" s="51">
        <f ca="1">OFFSET('Normalized Annual Summary'!$EA$6,COLUMN()-COLUMN($C20),0)</f>
        <v>3428741.8882724312</v>
      </c>
      <c r="J20" s="51">
        <f ca="1">OFFSET('Normalized Annual Summary'!$EA$6,COLUMN()-COLUMN($C20),0)</f>
        <v>3509109.9961737129</v>
      </c>
      <c r="K20" s="51">
        <f ca="1">OFFSET('Normalized Annual Summary'!$EA$6,COLUMN()-COLUMN($C20),0)</f>
        <v>3547066.0034436584</v>
      </c>
      <c r="L20" s="51">
        <f ca="1">OFFSET('Normalized Annual Summary'!$EA$6,COLUMN()-COLUMN($C20),0)</f>
        <v>3585601.999234742</v>
      </c>
      <c r="M20" s="51">
        <f ca="1">OFFSET('Normalized Annual Summary'!$ED$13,COLUMN()-COLUMN($K20),0)</f>
        <v>3585601.999234742</v>
      </c>
      <c r="N20" s="51">
        <f ca="1">OFFSET('Normalized Annual Summary'!$ED$13,COLUMN()-COLUMN($K20),0)</f>
        <v>3648157.6152521502</v>
      </c>
      <c r="O20" s="51">
        <f ca="1">OFFSET('Normalized Annual Summary'!$ED$13,COLUMN()-COLUMN($K20),0)</f>
        <v>3711804.5975439399</v>
      </c>
      <c r="P20" s="51">
        <f ca="1">OFFSET('Normalized Annual Summary'!$ED$13,COLUMN()-COLUMN($K20),0)</f>
        <v>3776561.9864524594</v>
      </c>
      <c r="Q20" s="51">
        <f ca="1">OFFSET('Normalized Annual Summary'!$ED$13,COLUMN()-COLUMN($K20),0)</f>
        <v>3842449.1545042628</v>
      </c>
      <c r="R20" s="51">
        <f ca="1">OFFSET('Normalized Annual Summary'!$ED$13,COLUMN()-COLUMN($K20),0)</f>
        <v>3909485.8122055032</v>
      </c>
      <c r="S20" s="59">
        <f ca="1">OFFSET('Normalized Annual Summary'!$ED$13,COLUMN()-COLUMN($K20),0)</f>
        <v>3977692.0139384423</v>
      </c>
    </row>
    <row r="21" spans="2:19" ht="13">
      <c r="B21" s="58" t="s">
        <v>19</v>
      </c>
      <c r="C21" s="51">
        <f ca="1">OFFSET('Normalized Annual Summary'!$EH$6,COLUMN()-COLUMN($C21),0)</f>
        <v>30332.130602026107</v>
      </c>
      <c r="D21" s="51">
        <f ca="1">OFFSET('Normalized Annual Summary'!$EH$6,COLUMN()-COLUMN($C21),0)</f>
        <v>29013.342314981488</v>
      </c>
      <c r="E21" s="51">
        <f ca="1">OFFSET('Normalized Annual Summary'!$EH$6,COLUMN()-COLUMN($C21),0)</f>
        <v>28683.645243220333</v>
      </c>
      <c r="F21" s="51">
        <f ca="1">OFFSET('Normalized Annual Summary'!$EH$6,COLUMN()-COLUMN($C21),0)</f>
        <v>28353.948171459182</v>
      </c>
      <c r="G21" s="51">
        <f ca="1">OFFSET('Normalized Annual Summary'!$EH$6,COLUMN()-COLUMN($C21),0)</f>
        <v>23738.189166803026</v>
      </c>
      <c r="H21" s="51">
        <f ca="1">OFFSET('Normalized Annual Summary'!$EH$6,COLUMN()-COLUMN($C21),0)</f>
        <v>24367.361775396963</v>
      </c>
      <c r="I21" s="51">
        <f ca="1">OFFSET('Normalized Annual Summary'!$EH$6,COLUMN()-COLUMN($C21),0)</f>
        <v>29649.448744324083</v>
      </c>
      <c r="J21" s="51">
        <f ca="1">OFFSET('Normalized Annual Summary'!$EH$6,COLUMN()-COLUMN($C21),0)</f>
        <v>29841.878706715124</v>
      </c>
      <c r="K21" s="51">
        <f ca="1">OFFSET('Normalized Annual Summary'!$EH$6,COLUMN()-COLUMN($C21),0)</f>
        <v>6038.9707289075932</v>
      </c>
      <c r="L21" s="51">
        <f ca="1">OFFSET('Normalized Annual Summary'!$EH$6,COLUMN()-COLUMN($C21),0)</f>
        <v>6022.4698679931107</v>
      </c>
      <c r="M21" s="51">
        <f ca="1">OFFSET('Normalized Annual Summary'!$EK$13,COLUMN()-COLUMN($K21),0)</f>
        <v>6022.4698679931098</v>
      </c>
      <c r="N21" s="51">
        <f ca="1">OFFSET('Normalized Annual Summary'!$EK$13,COLUMN()-COLUMN($K21),0)</f>
        <v>6110.7650786007734</v>
      </c>
      <c r="O21" s="51">
        <f ca="1">OFFSET('Normalized Annual Summary'!$EK$13,COLUMN()-COLUMN($K21),0)</f>
        <v>6200.3547820638823</v>
      </c>
      <c r="P21" s="51">
        <f ca="1">OFFSET('Normalized Annual Summary'!$EK$13,COLUMN()-COLUMN($K21),0)</f>
        <v>6291.2579568948759</v>
      </c>
      <c r="Q21" s="51">
        <f ca="1">OFFSET('Normalized Annual Summary'!$EK$13,COLUMN()-COLUMN($K21),0)</f>
        <v>6383.4938598494691</v>
      </c>
      <c r="R21" s="51">
        <f ca="1">OFFSET('Normalized Annual Summary'!$EK$13,COLUMN()-COLUMN($K21),0)</f>
        <v>6477.0820300059695</v>
      </c>
      <c r="S21" s="59">
        <f ca="1">OFFSET('Normalized Annual Summary'!$EK$13,COLUMN()-COLUMN($K21),0)</f>
        <v>6572.042292904398</v>
      </c>
    </row>
    <row r="22" spans="2:19" ht="13">
      <c r="B22" s="58" t="s">
        <v>20</v>
      </c>
      <c r="C22" s="51">
        <f ca="1">OFFSET('Normalized Annual Summary'!$EO$6,COLUMN()-COLUMN($C22),0)</f>
        <v>572545.95370193222</v>
      </c>
      <c r="D22" s="51">
        <f ca="1">OFFSET('Normalized Annual Summary'!$EO$6,COLUMN()-COLUMN($C22),0)</f>
        <v>571359.93877941452</v>
      </c>
      <c r="E22" s="51">
        <f ca="1">OFFSET('Normalized Annual Summary'!$EO$6,COLUMN()-COLUMN($C22),0)</f>
        <v>578219.02621006314</v>
      </c>
      <c r="F22" s="51">
        <f ca="1">OFFSET('Normalized Annual Summary'!$EO$6,COLUMN()-COLUMN($C22),0)</f>
        <v>571919.91582169512</v>
      </c>
      <c r="G22" s="51">
        <f ca="1">OFFSET('Normalized Annual Summary'!$EO$6,COLUMN()-COLUMN($C22),0)</f>
        <v>1772122.9864166826</v>
      </c>
      <c r="H22" s="51">
        <f ca="1">OFFSET('Normalized Annual Summary'!$EO$6,COLUMN()-COLUMN($C22),0)</f>
        <v>1884136.9236655824</v>
      </c>
      <c r="I22" s="51">
        <f ca="1">OFFSET('Normalized Annual Summary'!$EO$6,COLUMN()-COLUMN($C22),0)</f>
        <v>1871392.8257126459</v>
      </c>
      <c r="J22" s="51">
        <f ca="1">OFFSET('Normalized Annual Summary'!$EO$6,COLUMN()-COLUMN($C22),0)</f>
        <v>1876376.7744404057</v>
      </c>
      <c r="K22" s="51">
        <f ca="1">OFFSET('Normalized Annual Summary'!$EO$6,COLUMN()-COLUMN($C22),0)</f>
        <v>1876673.7325425674</v>
      </c>
      <c r="L22" s="51">
        <f ca="1">OFFSET('Normalized Annual Summary'!$EO$6,COLUMN()-COLUMN($C22),0)</f>
        <v>1871192.7396211973</v>
      </c>
      <c r="M22" s="51">
        <f ca="1">OFFSET('Normalized Annual Summary'!$ER$13,COLUMN()-COLUMN($K22),0)</f>
        <v>1871192.7396211976</v>
      </c>
      <c r="N22" s="51">
        <f ca="1">OFFSET('Normalized Annual Summary'!$ER$13,COLUMN()-COLUMN($K22),0)</f>
        <v>1881015.2190175098</v>
      </c>
      <c r="O22" s="51">
        <f ca="1">OFFSET('Normalized Annual Summary'!$ER$13,COLUMN()-COLUMN($K22),0)</f>
        <v>1890889.2596984764</v>
      </c>
      <c r="P22" s="51">
        <f ca="1">OFFSET('Normalized Annual Summary'!$ER$13,COLUMN()-COLUMN($K22),0)</f>
        <v>1900815.1323255028</v>
      </c>
      <c r="Q22" s="51">
        <f ca="1">OFFSET('Normalized Annual Summary'!$ER$13,COLUMN()-COLUMN($K22),0)</f>
        <v>1910793.1089807807</v>
      </c>
      <c r="R22" s="51">
        <f ca="1">OFFSET('Normalized Annual Summary'!$ER$13,COLUMN()-COLUMN($K22),0)</f>
        <v>1920823.4631747473</v>
      </c>
      <c r="S22" s="59">
        <f ca="1">OFFSET('Normalized Annual Summary'!$ER$13,COLUMN()-COLUMN($K22),0)</f>
        <v>1930906.4698535819</v>
      </c>
    </row>
    <row r="23" spans="2:19" ht="13.5" thickBot="1">
      <c r="B23" s="57" t="s">
        <v>290</v>
      </c>
      <c r="C23" s="640">
        <f t="shared" ref="C23:R23" ca="1" si="3">SUM(C16:C22)</f>
        <v>851306603.7139436</v>
      </c>
      <c r="D23" s="640">
        <f t="shared" ca="1" si="3"/>
        <v>805027482.04283798</v>
      </c>
      <c r="E23" s="640">
        <f t="shared" ca="1" si="3"/>
        <v>849660033.08044064</v>
      </c>
      <c r="F23" s="640">
        <f t="shared" ca="1" si="3"/>
        <v>830670497.45860279</v>
      </c>
      <c r="G23" s="640">
        <f t="shared" ca="1" si="3"/>
        <v>852546577.01489902</v>
      </c>
      <c r="H23" s="640">
        <f t="shared" ca="1" si="3"/>
        <v>852215931.74380851</v>
      </c>
      <c r="I23" s="640">
        <f t="shared" ca="1" si="3"/>
        <v>865872710.83388484</v>
      </c>
      <c r="J23" s="640">
        <f t="shared" ca="1" si="3"/>
        <v>864222978.81859922</v>
      </c>
      <c r="K23" s="640">
        <f t="shared" ref="K23" ca="1" si="4">SUM(K16:K22)</f>
        <v>885863084.05509233</v>
      </c>
      <c r="L23" s="640">
        <f t="shared" ref="L23" ca="1" si="5">SUM(L16:L22)</f>
        <v>913757855.99699664</v>
      </c>
      <c r="M23" s="641">
        <f t="shared" ca="1" si="3"/>
        <v>891227488.45793772</v>
      </c>
      <c r="N23" s="641">
        <f t="shared" ca="1" si="3"/>
        <v>946447146.89504635</v>
      </c>
      <c r="O23" s="641">
        <f t="shared" ca="1" si="3"/>
        <v>1009964290.1662842</v>
      </c>
      <c r="P23" s="641">
        <f t="shared" ca="1" si="3"/>
        <v>1045986867.2063401</v>
      </c>
      <c r="Q23" s="641">
        <f t="shared" ca="1" si="3"/>
        <v>1078897260.2197611</v>
      </c>
      <c r="R23" s="641">
        <f t="shared" ca="1" si="3"/>
        <v>1114088000.5387385</v>
      </c>
      <c r="S23" s="50">
        <f ca="1">SUM(S16:S22)</f>
        <v>1145930471.7362313</v>
      </c>
    </row>
    <row r="26" spans="2:19" ht="16" thickBot="1">
      <c r="B26" s="64" t="s">
        <v>865</v>
      </c>
      <c r="C26" s="64" t="s">
        <v>1</v>
      </c>
      <c r="E26" s="51"/>
      <c r="F26" s="51"/>
      <c r="G26" s="51"/>
      <c r="H26" s="51"/>
      <c r="I26" s="51"/>
      <c r="J26" s="64" t="s">
        <v>865</v>
      </c>
      <c r="M26" s="51"/>
      <c r="N26" s="51"/>
      <c r="O26" s="51"/>
      <c r="P26" s="51"/>
    </row>
    <row r="27" spans="2:19" ht="13">
      <c r="B27" s="55" t="s">
        <v>3</v>
      </c>
      <c r="C27" s="54">
        <f>'CDM Adjustment'!AC5</f>
        <v>2026</v>
      </c>
      <c r="D27" s="54">
        <f>'CDM Adjustment'!AD5</f>
        <v>2027</v>
      </c>
      <c r="E27" s="54">
        <f>'CDM Adjustment'!AE5</f>
        <v>2028</v>
      </c>
      <c r="F27" s="54">
        <f>'CDM Adjustment'!AF5</f>
        <v>2029</v>
      </c>
      <c r="G27" s="54">
        <f>'CDM Adjustment'!AG5</f>
        <v>2030</v>
      </c>
      <c r="H27" s="53">
        <f>'CDM Adjustment'!AH5</f>
        <v>2031</v>
      </c>
      <c r="J27" s="55" t="s">
        <v>3</v>
      </c>
      <c r="K27" s="54">
        <f t="shared" ref="K27:P27" si="6">C27</f>
        <v>2026</v>
      </c>
      <c r="L27" s="54">
        <f t="shared" si="6"/>
        <v>2027</v>
      </c>
      <c r="M27" s="54">
        <f t="shared" si="6"/>
        <v>2028</v>
      </c>
      <c r="N27" s="54">
        <f t="shared" si="6"/>
        <v>2029</v>
      </c>
      <c r="O27" s="54">
        <f t="shared" si="6"/>
        <v>2030</v>
      </c>
      <c r="P27" s="53">
        <f t="shared" si="6"/>
        <v>2031</v>
      </c>
    </row>
    <row r="28" spans="2:19" ht="13">
      <c r="B28" s="760" t="str">
        <f t="shared" ref="B28:B36" si="7">B3</f>
        <v>Residential</v>
      </c>
      <c r="C28" s="51">
        <f>'CDM Adjustment'!AC7</f>
        <v>7785186.4067607392</v>
      </c>
      <c r="D28" s="51">
        <f>'CDM Adjustment'!AD7</f>
        <v>16288485.927392446</v>
      </c>
      <c r="E28" s="51">
        <f>'CDM Adjustment'!AE7</f>
        <v>25540580.683676898</v>
      </c>
      <c r="F28" s="51">
        <f>'CDM Adjustment'!AF7</f>
        <v>35495447.492941476</v>
      </c>
      <c r="G28" s="51">
        <f>'CDM Adjustment'!AG7</f>
        <v>46168427.416077018</v>
      </c>
      <c r="H28" s="59">
        <f>'CDM Adjustment'!AH7</f>
        <v>57559520.453083538</v>
      </c>
      <c r="J28" s="760" t="str">
        <f>B28</f>
        <v>Residential</v>
      </c>
      <c r="K28" s="51">
        <f>'CDM Adjustment'!AC38</f>
        <v>3000218.4503455488</v>
      </c>
      <c r="L28" s="51">
        <f>'CDM Adjustment'!AD38</f>
        <v>6282125.972666407</v>
      </c>
      <c r="M28" s="51">
        <f>'CDM Adjustment'!AE38</f>
        <v>9858982.2532109357</v>
      </c>
      <c r="N28" s="51">
        <f>'CDM Adjustment'!AF38</f>
        <v>13570053.226618959</v>
      </c>
      <c r="O28" s="51">
        <f>'CDM Adjustment'!AG38</f>
        <v>17281124.200026982</v>
      </c>
      <c r="P28" s="59">
        <f>'CDM Adjustment'!AH38</f>
        <v>20992195.173435003</v>
      </c>
    </row>
    <row r="29" spans="2:19" ht="13">
      <c r="B29" s="58" t="str">
        <f t="shared" si="7"/>
        <v>Residential Seasonal</v>
      </c>
      <c r="C29" s="51">
        <f>'CDM Adjustment'!AC8</f>
        <v>89136.354957977892</v>
      </c>
      <c r="D29" s="51">
        <f>'CDM Adjustment'!AD8</f>
        <v>186495.087694699</v>
      </c>
      <c r="E29" s="51">
        <f>'CDM Adjustment'!AE8</f>
        <v>292427.5831762274</v>
      </c>
      <c r="F29" s="51">
        <f>'CDM Adjustment'!AF8</f>
        <v>406406.7639534676</v>
      </c>
      <c r="G29" s="51">
        <f>'CDM Adjustment'!AG8</f>
        <v>528608.32250945107</v>
      </c>
      <c r="H29" s="59">
        <f>'CDM Adjustment'!AH8</f>
        <v>659032.25884417782</v>
      </c>
      <c r="J29" s="58"/>
      <c r="K29" s="51"/>
      <c r="L29" s="51"/>
      <c r="M29" s="51"/>
      <c r="N29" s="51"/>
      <c r="O29" s="51"/>
      <c r="P29" s="59"/>
    </row>
    <row r="30" spans="2:19" ht="13">
      <c r="B30" s="58" t="str">
        <f t="shared" si="7"/>
        <v>GS&lt;50</v>
      </c>
      <c r="C30" s="51">
        <f>'CDM Adjustment'!AC9</f>
        <v>3527451.564634453</v>
      </c>
      <c r="D30" s="51">
        <f>'CDM Adjustment'!AD9</f>
        <v>7270082.5506024435</v>
      </c>
      <c r="E30" s="51">
        <f>'CDM Adjustment'!AE9</f>
        <v>11124089.05454579</v>
      </c>
      <c r="F30" s="51">
        <f>'CDM Adjustment'!AF9</f>
        <v>15153724.00998253</v>
      </c>
      <c r="G30" s="51">
        <f>'CDM Adjustment'!AG9</f>
        <v>19352811.925993185</v>
      </c>
      <c r="H30" s="59">
        <f>'CDM Adjustment'!AH9</f>
        <v>23721352.802577756</v>
      </c>
      <c r="J30" s="58" t="str">
        <f>B30</f>
        <v>GS&lt;50</v>
      </c>
      <c r="K30" s="51">
        <f>'CDM Adjustment'!AC39</f>
        <v>971516.8854983201</v>
      </c>
      <c r="L30" s="51">
        <f>'CDM Adjustment'!AD39</f>
        <v>2005737.7671145517</v>
      </c>
      <c r="M30" s="51">
        <f>'CDM Adjustment'!AE39</f>
        <v>3079246.534793559</v>
      </c>
      <c r="N30" s="51">
        <f>'CDM Adjustment'!AF39</f>
        <v>4180261.8363947705</v>
      </c>
      <c r="O30" s="51">
        <f>'CDM Adjustment'!AG39</f>
        <v>5281277.1379959816</v>
      </c>
      <c r="P30" s="59">
        <f>'CDM Adjustment'!AH39</f>
        <v>6382292.4395971932</v>
      </c>
    </row>
    <row r="31" spans="2:19" ht="13">
      <c r="B31" s="58" t="str">
        <f t="shared" si="7"/>
        <v>GS 50 - 2,999</v>
      </c>
      <c r="C31" s="51">
        <f>'CDM Adjustment'!AC10</f>
        <v>15633631.202779196</v>
      </c>
      <c r="D31" s="51">
        <f>'CDM Adjustment'!AD10</f>
        <v>33111052.900011502</v>
      </c>
      <c r="E31" s="51">
        <f>'CDM Adjustment'!AE10</f>
        <v>51913331.896169081</v>
      </c>
      <c r="F31" s="51">
        <f>'CDM Adjustment'!AF10</f>
        <v>71668054.690493673</v>
      </c>
      <c r="G31" s="51">
        <f>'CDM Adjustment'!AG10</f>
        <v>92351601.635686055</v>
      </c>
      <c r="H31" s="59">
        <f>'CDM Adjustment'!AH10</f>
        <v>113963972.73174623</v>
      </c>
      <c r="J31" s="58" t="str">
        <f>B31</f>
        <v>GS 50 - 2,999</v>
      </c>
      <c r="K31" s="51">
        <f>'CDM Adjustment'!AC40</f>
        <v>6048909.9158036336</v>
      </c>
      <c r="L31" s="51">
        <f>'CDM Adjustment'!AD40</f>
        <v>12917648.539049851</v>
      </c>
      <c r="M31" s="51">
        <f>'CDM Adjustment'!AE40</f>
        <v>20413888.919979017</v>
      </c>
      <c r="N31" s="51">
        <f>'CDM Adjustment'!AF40</f>
        <v>28115838.034210894</v>
      </c>
      <c r="O31" s="51">
        <f>'CDM Adjustment'!AG40</f>
        <v>35817787.148442768</v>
      </c>
      <c r="P31" s="59">
        <f>'CDM Adjustment'!AH40</f>
        <v>43519736.262674645</v>
      </c>
    </row>
    <row r="32" spans="2:19" ht="13">
      <c r="B32" s="58" t="str">
        <f t="shared" si="7"/>
        <v>GS 3,000 - 4,999</v>
      </c>
      <c r="C32" s="51">
        <f>'CDM Adjustment'!AC11</f>
        <v>1151548.2830866755</v>
      </c>
      <c r="D32" s="51">
        <f>'CDM Adjustment'!AD11</f>
        <v>2465228.2732554516</v>
      </c>
      <c r="E32" s="51">
        <f>'CDM Adjustment'!AE11</f>
        <v>3916558.4140015743</v>
      </c>
      <c r="F32" s="51">
        <f>'CDM Adjustment'!AF11</f>
        <v>5457090.8403645437</v>
      </c>
      <c r="G32" s="51">
        <f>'CDM Adjustment'!AG11</f>
        <v>7086139.0991051085</v>
      </c>
      <c r="H32" s="59">
        <f>'CDM Adjustment'!AH11</f>
        <v>8803703.1902232654</v>
      </c>
      <c r="J32" s="58" t="str">
        <f>B32</f>
        <v>GS 3,000 - 4,999</v>
      </c>
      <c r="K32" s="51">
        <f>'CDM Adjustment'!AC41</f>
        <v>1374641.7518455712</v>
      </c>
      <c r="L32" s="51">
        <f>'CDM Adjustment'!AD41</f>
        <v>2938598.3949082205</v>
      </c>
      <c r="M32" s="51">
        <f>'CDM Adjustment'!AE41</f>
        <v>4648655.8038837332</v>
      </c>
      <c r="N32" s="51">
        <f>'CDM Adjustment'!AF41</f>
        <v>6406053.6976614539</v>
      </c>
      <c r="O32" s="51">
        <f>'CDM Adjustment'!AG41</f>
        <v>8163451.5914391745</v>
      </c>
      <c r="P32" s="59">
        <f>'CDM Adjustment'!AH41</f>
        <v>9920849.4852168951</v>
      </c>
    </row>
    <row r="33" spans="2:17" ht="13">
      <c r="B33" s="58" t="str">
        <f t="shared" si="7"/>
        <v>Large Use</v>
      </c>
      <c r="C33" s="51">
        <f>'CDM Adjustment'!AC12</f>
        <v>5989649.4193192208</v>
      </c>
      <c r="D33" s="51">
        <f>'CDM Adjustment'!AD12</f>
        <v>13506068.786243308</v>
      </c>
      <c r="E33" s="51">
        <f>'CDM Adjustment'!AE12</f>
        <v>22464948.407113258</v>
      </c>
      <c r="F33" s="51">
        <f>'CDM Adjustment'!AF12</f>
        <v>32109621.880126409</v>
      </c>
      <c r="G33" s="51">
        <f>'CDM Adjustment'!AG12</f>
        <v>42442783.868456848</v>
      </c>
      <c r="H33" s="59">
        <f>'CDM Adjustment'!AH12</f>
        <v>53464434.372104563</v>
      </c>
      <c r="J33" s="58"/>
      <c r="K33" s="51"/>
      <c r="L33" s="51"/>
      <c r="M33" s="51"/>
      <c r="N33" s="51"/>
      <c r="O33" s="51"/>
      <c r="P33" s="59"/>
    </row>
    <row r="34" spans="2:17" ht="13">
      <c r="B34" s="58" t="str">
        <f t="shared" si="7"/>
        <v>Street Light</v>
      </c>
      <c r="C34" s="51">
        <f>'CDM Adjustment'!AC13</f>
        <v>0</v>
      </c>
      <c r="D34" s="51">
        <f>'CDM Adjustment'!AD13</f>
        <v>0</v>
      </c>
      <c r="E34" s="51">
        <f>'CDM Adjustment'!AE13</f>
        <v>0</v>
      </c>
      <c r="F34" s="51">
        <f>'CDM Adjustment'!AF13</f>
        <v>0</v>
      </c>
      <c r="G34" s="51">
        <f>'CDM Adjustment'!AG13</f>
        <v>0</v>
      </c>
      <c r="H34" s="59">
        <f>'CDM Adjustment'!AH13</f>
        <v>0</v>
      </c>
      <c r="J34" s="58" t="str">
        <f>B34</f>
        <v>Street Light</v>
      </c>
      <c r="K34" s="51">
        <f>'CDM Adjustment'!AC42</f>
        <v>0</v>
      </c>
      <c r="L34" s="51">
        <f>'CDM Adjustment'!AD42</f>
        <v>0</v>
      </c>
      <c r="M34" s="51">
        <f>'CDM Adjustment'!AE42</f>
        <v>0</v>
      </c>
      <c r="N34" s="51">
        <f>'CDM Adjustment'!AF42</f>
        <v>0</v>
      </c>
      <c r="O34" s="51">
        <f>'CDM Adjustment'!AG42</f>
        <v>0</v>
      </c>
      <c r="P34" s="59">
        <f>'CDM Adjustment'!AH42</f>
        <v>0</v>
      </c>
    </row>
    <row r="35" spans="2:17" ht="13">
      <c r="B35" s="58" t="str">
        <f t="shared" si="7"/>
        <v>Sentinel Light</v>
      </c>
      <c r="C35" s="51">
        <f>'CDM Adjustment'!AC14</f>
        <v>0</v>
      </c>
      <c r="D35" s="51">
        <f>'CDM Adjustment'!AD14</f>
        <v>0</v>
      </c>
      <c r="E35" s="51">
        <f>'CDM Adjustment'!AE14</f>
        <v>0</v>
      </c>
      <c r="F35" s="51">
        <f>'CDM Adjustment'!AF14</f>
        <v>0</v>
      </c>
      <c r="G35" s="51">
        <f>'CDM Adjustment'!AG14</f>
        <v>0</v>
      </c>
      <c r="H35" s="59">
        <f>'CDM Adjustment'!AH14</f>
        <v>0</v>
      </c>
      <c r="J35" s="58" t="str">
        <f>B35</f>
        <v>Sentinel Light</v>
      </c>
      <c r="K35" s="51">
        <f>'CDM Adjustment'!AC43</f>
        <v>0</v>
      </c>
      <c r="L35" s="51">
        <f>'CDM Adjustment'!AD43</f>
        <v>0</v>
      </c>
      <c r="M35" s="51">
        <f>'CDM Adjustment'!AE43</f>
        <v>0</v>
      </c>
      <c r="N35" s="51">
        <f>'CDM Adjustment'!AF43</f>
        <v>0</v>
      </c>
      <c r="O35" s="51">
        <f>'CDM Adjustment'!AG43</f>
        <v>0</v>
      </c>
      <c r="P35" s="59">
        <f>'CDM Adjustment'!AH43</f>
        <v>0</v>
      </c>
    </row>
    <row r="36" spans="2:17" ht="13">
      <c r="B36" s="58" t="str">
        <f t="shared" si="7"/>
        <v>USL</v>
      </c>
      <c r="C36" s="51">
        <f>'CDM Adjustment'!AC15</f>
        <v>0</v>
      </c>
      <c r="D36" s="51">
        <f>'CDM Adjustment'!AD15</f>
        <v>0</v>
      </c>
      <c r="E36" s="51">
        <f>'CDM Adjustment'!AE15</f>
        <v>0</v>
      </c>
      <c r="F36" s="51">
        <f>'CDM Adjustment'!AF15</f>
        <v>0</v>
      </c>
      <c r="G36" s="51">
        <f>'CDM Adjustment'!AG15</f>
        <v>0</v>
      </c>
      <c r="H36" s="59">
        <f>'CDM Adjustment'!AH15</f>
        <v>0</v>
      </c>
      <c r="J36" s="58" t="str">
        <f>B36</f>
        <v>USL</v>
      </c>
      <c r="K36" s="51">
        <f>'CDM Adjustment'!AC44</f>
        <v>0</v>
      </c>
      <c r="L36" s="51">
        <f>'CDM Adjustment'!AD44</f>
        <v>0</v>
      </c>
      <c r="M36" s="51">
        <f>'CDM Adjustment'!AE44</f>
        <v>0</v>
      </c>
      <c r="N36" s="51">
        <f>'CDM Adjustment'!AF44</f>
        <v>0</v>
      </c>
      <c r="O36" s="51">
        <f>'CDM Adjustment'!AG44</f>
        <v>0</v>
      </c>
      <c r="P36" s="59">
        <f>'CDM Adjustment'!AH44</f>
        <v>0</v>
      </c>
    </row>
    <row r="37" spans="2:17" ht="13.5" thickBot="1">
      <c r="B37" s="57" t="s">
        <v>290</v>
      </c>
      <c r="C37" s="640">
        <f t="shared" ref="C37:H37" si="8">SUM(C28:C36)</f>
        <v>34176603.231538266</v>
      </c>
      <c r="D37" s="640">
        <f t="shared" si="8"/>
        <v>72827413.525199845</v>
      </c>
      <c r="E37" s="640">
        <f t="shared" si="8"/>
        <v>115251936.03868282</v>
      </c>
      <c r="F37" s="640">
        <f t="shared" si="8"/>
        <v>160290345.67786211</v>
      </c>
      <c r="G37" s="640">
        <f t="shared" si="8"/>
        <v>207930372.26782769</v>
      </c>
      <c r="H37" s="56">
        <f t="shared" si="8"/>
        <v>258172015.80857953</v>
      </c>
      <c r="J37" s="57" t="s">
        <v>290</v>
      </c>
      <c r="K37" s="640">
        <f t="shared" ref="K37:P37" si="9">SUM(K28:K36)</f>
        <v>11395287.003493074</v>
      </c>
      <c r="L37" s="640">
        <f t="shared" si="9"/>
        <v>24144110.673739031</v>
      </c>
      <c r="M37" s="640">
        <f t="shared" si="9"/>
        <v>38000773.511867248</v>
      </c>
      <c r="N37" s="640">
        <f t="shared" si="9"/>
        <v>52272206.794886075</v>
      </c>
      <c r="O37" s="640">
        <f t="shared" si="9"/>
        <v>66543640.077904902</v>
      </c>
      <c r="P37" s="56">
        <f t="shared" si="9"/>
        <v>80815073.360923737</v>
      </c>
    </row>
    <row r="38" spans="2:17">
      <c r="E38" s="52"/>
    </row>
    <row r="39" spans="2:17">
      <c r="E39" s="52"/>
      <c r="Q39" s="247"/>
    </row>
    <row r="40" spans="2:17" ht="16" thickBot="1">
      <c r="B40" s="64" t="s">
        <v>866</v>
      </c>
      <c r="C40" s="64" t="s">
        <v>1</v>
      </c>
      <c r="E40" s="51"/>
      <c r="F40" s="51"/>
      <c r="G40" s="51"/>
      <c r="H40" s="51"/>
      <c r="J40" s="64" t="s">
        <v>866</v>
      </c>
      <c r="K40" s="64" t="s">
        <v>2</v>
      </c>
      <c r="N40" s="51"/>
      <c r="O40" s="51"/>
      <c r="P40" s="51"/>
      <c r="Q40" s="51"/>
    </row>
    <row r="41" spans="2:17" ht="13">
      <c r="B41" s="55" t="s">
        <v>3</v>
      </c>
      <c r="C41" s="54">
        <f t="shared" ref="C41:H41" si="10">C27</f>
        <v>2026</v>
      </c>
      <c r="D41" s="54">
        <f t="shared" si="10"/>
        <v>2027</v>
      </c>
      <c r="E41" s="54">
        <f t="shared" si="10"/>
        <v>2028</v>
      </c>
      <c r="F41" s="54">
        <f t="shared" si="10"/>
        <v>2029</v>
      </c>
      <c r="G41" s="54">
        <f t="shared" si="10"/>
        <v>2030</v>
      </c>
      <c r="H41" s="53">
        <f t="shared" si="10"/>
        <v>2031</v>
      </c>
      <c r="J41" s="55" t="s">
        <v>3</v>
      </c>
      <c r="K41" s="54">
        <f t="shared" ref="K41:P41" si="11">K27</f>
        <v>2026</v>
      </c>
      <c r="L41" s="54">
        <f t="shared" si="11"/>
        <v>2027</v>
      </c>
      <c r="M41" s="54">
        <f t="shared" si="11"/>
        <v>2028</v>
      </c>
      <c r="N41" s="54">
        <f t="shared" si="11"/>
        <v>2029</v>
      </c>
      <c r="O41" s="54">
        <f t="shared" si="11"/>
        <v>2030</v>
      </c>
      <c r="P41" s="53">
        <f t="shared" si="11"/>
        <v>2031</v>
      </c>
    </row>
    <row r="42" spans="2:17" ht="13">
      <c r="B42" s="760" t="str">
        <f t="shared" ref="B42:B50" si="12">B28</f>
        <v>Residential</v>
      </c>
      <c r="C42" s="51">
        <f t="shared" ref="C42:C50" ca="1" si="13">N3-C28</f>
        <v>1052966743.2526804</v>
      </c>
      <c r="D42" s="51">
        <f t="shared" ref="D42:D50" ca="1" si="14">O3-D28</f>
        <v>1069640326.8111155</v>
      </c>
      <c r="E42" s="51">
        <f t="shared" ref="E42:E50" ca="1" si="15">P3-E28</f>
        <v>1088420959.685971</v>
      </c>
      <c r="F42" s="51">
        <f t="shared" ref="F42:F50" ca="1" si="16">Q3-F28</f>
        <v>1105068058.1955798</v>
      </c>
      <c r="G42" s="51">
        <f t="shared" ref="G42:G50" ca="1" si="17">R3-G28</f>
        <v>1127380913.4028563</v>
      </c>
      <c r="H42" s="59">
        <f t="shared" ref="H42:H50" ca="1" si="18">S3-H28</f>
        <v>1151178912.4929533</v>
      </c>
      <c r="J42" s="760" t="str">
        <f>J28</f>
        <v>Residential</v>
      </c>
      <c r="K42" s="51">
        <f t="shared" ref="K42:P42" ca="1" si="19">N16-K28</f>
        <v>410282010.48988271</v>
      </c>
      <c r="L42" s="51">
        <f t="shared" ca="1" si="19"/>
        <v>418598267.47919571</v>
      </c>
      <c r="M42" s="51">
        <f t="shared" ca="1" si="19"/>
        <v>425314063.16511506</v>
      </c>
      <c r="N42" s="51">
        <f t="shared" ca="1" si="19"/>
        <v>433471794.24630857</v>
      </c>
      <c r="O42" s="51">
        <f t="shared" ca="1" si="19"/>
        <v>444651821.42582357</v>
      </c>
      <c r="P42" s="59">
        <f t="shared" ca="1" si="19"/>
        <v>454523094.10994363</v>
      </c>
    </row>
    <row r="43" spans="2:17" ht="13">
      <c r="B43" s="58" t="str">
        <f t="shared" si="12"/>
        <v>Residential Seasonal</v>
      </c>
      <c r="C43" s="51">
        <f t="shared" ca="1" si="13"/>
        <v>12668616.88924998</v>
      </c>
      <c r="D43" s="51">
        <f t="shared" ca="1" si="14"/>
        <v>13098093.680488765</v>
      </c>
      <c r="E43" s="51">
        <f t="shared" ca="1" si="15"/>
        <v>13453586.472312599</v>
      </c>
      <c r="F43" s="51">
        <f t="shared" ca="1" si="16"/>
        <v>13869843.856722418</v>
      </c>
      <c r="G43" s="51">
        <f t="shared" ca="1" si="17"/>
        <v>14368853.521388374</v>
      </c>
      <c r="H43" s="59">
        <f t="shared" ca="1" si="18"/>
        <v>14809342.656845005</v>
      </c>
      <c r="J43" s="58"/>
      <c r="K43" s="51"/>
      <c r="L43" s="51"/>
      <c r="M43" s="51"/>
      <c r="N43" s="51"/>
      <c r="O43" s="51"/>
      <c r="P43" s="59"/>
    </row>
    <row r="44" spans="2:17" ht="13">
      <c r="B44" s="58" t="str">
        <f t="shared" si="12"/>
        <v>GS&lt;50</v>
      </c>
      <c r="C44" s="51">
        <f t="shared" ca="1" si="13"/>
        <v>265265899.99815881</v>
      </c>
      <c r="D44" s="51">
        <f t="shared" ca="1" si="14"/>
        <v>265162520.32773042</v>
      </c>
      <c r="E44" s="51">
        <f t="shared" ca="1" si="15"/>
        <v>263940255.64234325</v>
      </c>
      <c r="F44" s="51">
        <f t="shared" ca="1" si="16"/>
        <v>263464475.92419034</v>
      </c>
      <c r="G44" s="51">
        <f t="shared" ca="1" si="17"/>
        <v>263221892.25943616</v>
      </c>
      <c r="H44" s="59">
        <f t="shared" ca="1" si="18"/>
        <v>264555061.25466838</v>
      </c>
      <c r="J44" s="58" t="str">
        <f>J30</f>
        <v>GS&lt;50</v>
      </c>
      <c r="K44" s="51">
        <f t="shared" ref="K44:P46" ca="1" si="20">N17-K30</f>
        <v>94088091.961184472</v>
      </c>
      <c r="L44" s="51">
        <f t="shared" ca="1" si="20"/>
        <v>94275360.494321525</v>
      </c>
      <c r="M44" s="51">
        <f t="shared" ca="1" si="20"/>
        <v>94157258.272942349</v>
      </c>
      <c r="N44" s="51">
        <f t="shared" ca="1" si="20"/>
        <v>94430624.470101967</v>
      </c>
      <c r="O44" s="51">
        <f t="shared" ca="1" si="20"/>
        <v>94860770.189572483</v>
      </c>
      <c r="P44" s="59">
        <f t="shared" ca="1" si="20"/>
        <v>95460275.476824641</v>
      </c>
    </row>
    <row r="45" spans="2:17" ht="13">
      <c r="B45" s="58" t="str">
        <f t="shared" si="12"/>
        <v>GS 50 - 2,999</v>
      </c>
      <c r="C45" s="51">
        <f t="shared" ca="1" si="13"/>
        <v>963798335.51313102</v>
      </c>
      <c r="D45" s="51">
        <f t="shared" ca="1" si="14"/>
        <v>1013142478.7445124</v>
      </c>
      <c r="E45" s="51">
        <f t="shared" ca="1" si="15"/>
        <v>1022487004.5647374</v>
      </c>
      <c r="F45" s="51">
        <f t="shared" ca="1" si="16"/>
        <v>1028481560.0836257</v>
      </c>
      <c r="G45" s="51">
        <f t="shared" ca="1" si="17"/>
        <v>1026063146.0430988</v>
      </c>
      <c r="H45" s="59">
        <f t="shared" ca="1" si="18"/>
        <v>1030923895.7654021</v>
      </c>
      <c r="J45" s="58" t="str">
        <f>J31</f>
        <v>GS 50 - 2,999</v>
      </c>
      <c r="K45" s="51">
        <f t="shared" ca="1" si="20"/>
        <v>334448655.18037844</v>
      </c>
      <c r="L45" s="51">
        <f t="shared" ca="1" si="20"/>
        <v>361434784.86717868</v>
      </c>
      <c r="M45" s="51">
        <f t="shared" ca="1" si="20"/>
        <v>371355045.11668926</v>
      </c>
      <c r="N45" s="51">
        <f t="shared" ca="1" si="20"/>
        <v>377410505.88119364</v>
      </c>
      <c r="O45" s="51">
        <f t="shared" ca="1" si="20"/>
        <v>380797767.86066872</v>
      </c>
      <c r="P45" s="59">
        <f t="shared" ca="1" si="20"/>
        <v>382958311.97750133</v>
      </c>
    </row>
    <row r="46" spans="2:17" ht="13">
      <c r="B46" s="58" t="str">
        <f t="shared" si="12"/>
        <v>GS 3,000 - 4,999</v>
      </c>
      <c r="C46" s="51">
        <f t="shared" ca="1" si="13"/>
        <v>120544505.00295174</v>
      </c>
      <c r="D46" s="51">
        <f t="shared" ca="1" si="14"/>
        <v>154289818.7715472</v>
      </c>
      <c r="E46" s="51">
        <f t="shared" ca="1" si="15"/>
        <v>179717243.71939456</v>
      </c>
      <c r="F46" s="51">
        <f t="shared" ca="1" si="16"/>
        <v>195444232.22083339</v>
      </c>
      <c r="G46" s="51">
        <f t="shared" ca="1" si="17"/>
        <v>200264057.20306987</v>
      </c>
      <c r="H46" s="59">
        <f t="shared" ca="1" si="18"/>
        <v>207528613.81570518</v>
      </c>
      <c r="J46" s="58" t="str">
        <f>J32</f>
        <v>GS 3,000 - 4,999</v>
      </c>
      <c r="K46" s="51">
        <f t="shared" ca="1" si="20"/>
        <v>90697818.660759509</v>
      </c>
      <c r="L46" s="51">
        <f t="shared" ca="1" si="20"/>
        <v>105902872.43982464</v>
      </c>
      <c r="M46" s="51">
        <f t="shared" ca="1" si="20"/>
        <v>111476058.76299128</v>
      </c>
      <c r="N46" s="51">
        <f t="shared" ca="1" si="20"/>
        <v>115552503.06992596</v>
      </c>
      <c r="O46" s="51">
        <f t="shared" ca="1" si="20"/>
        <v>121397214.6273585</v>
      </c>
      <c r="P46" s="59">
        <f t="shared" ca="1" si="20"/>
        <v>126258546.28495313</v>
      </c>
    </row>
    <row r="47" spans="2:17" ht="13">
      <c r="B47" s="58" t="str">
        <f t="shared" si="12"/>
        <v>Large Use</v>
      </c>
      <c r="C47" s="51">
        <f t="shared" ca="1" si="13"/>
        <v>343075152.01669252</v>
      </c>
      <c r="D47" s="51">
        <f t="shared" ca="1" si="14"/>
        <v>409486870.75309986</v>
      </c>
      <c r="E47" s="51">
        <f t="shared" ca="1" si="15"/>
        <v>486502046.60378212</v>
      </c>
      <c r="F47" s="51">
        <f t="shared" ca="1" si="16"/>
        <v>530848433.28238314</v>
      </c>
      <c r="G47" s="51">
        <f t="shared" ca="1" si="17"/>
        <v>538574069.41898668</v>
      </c>
      <c r="H47" s="59">
        <f t="shared" ca="1" si="18"/>
        <v>543584528.13487542</v>
      </c>
      <c r="J47" s="58"/>
      <c r="K47" s="51"/>
      <c r="L47" s="51"/>
      <c r="M47" s="51"/>
      <c r="N47" s="51"/>
      <c r="O47" s="51"/>
      <c r="P47" s="59"/>
    </row>
    <row r="48" spans="2:17" ht="13">
      <c r="B48" s="58" t="str">
        <f t="shared" si="12"/>
        <v>Street Light</v>
      </c>
      <c r="C48" s="51">
        <f t="shared" ca="1" si="13"/>
        <v>11783218.435274247</v>
      </c>
      <c r="D48" s="51">
        <f t="shared" ca="1" si="14"/>
        <v>11913243.997131227</v>
      </c>
      <c r="E48" s="51">
        <f t="shared" ca="1" si="15"/>
        <v>12044704.366195513</v>
      </c>
      <c r="F48" s="51">
        <f t="shared" ca="1" si="16"/>
        <v>12177615.375290232</v>
      </c>
      <c r="G48" s="51">
        <f t="shared" ca="1" si="17"/>
        <v>12311993.031950675</v>
      </c>
      <c r="H48" s="59">
        <f t="shared" ca="1" si="18"/>
        <v>12447853.520352231</v>
      </c>
      <c r="J48" s="58" t="str">
        <f>J34</f>
        <v>Street Light</v>
      </c>
      <c r="K48" s="51">
        <f t="shared" ref="K48:P50" ca="1" si="21">N20-K34</f>
        <v>3648157.6152521502</v>
      </c>
      <c r="L48" s="51">
        <f t="shared" ca="1" si="21"/>
        <v>3711804.5975439399</v>
      </c>
      <c r="M48" s="51">
        <f t="shared" ca="1" si="21"/>
        <v>3776561.9864524594</v>
      </c>
      <c r="N48" s="51">
        <f t="shared" ca="1" si="21"/>
        <v>3842449.1545042628</v>
      </c>
      <c r="O48" s="51">
        <f t="shared" ca="1" si="21"/>
        <v>3909485.8122055032</v>
      </c>
      <c r="P48" s="59">
        <f t="shared" ca="1" si="21"/>
        <v>3977692.0139384423</v>
      </c>
    </row>
    <row r="49" spans="2:19" ht="13">
      <c r="B49" s="58" t="str">
        <f t="shared" si="12"/>
        <v>Sentinel Light</v>
      </c>
      <c r="C49" s="51">
        <f t="shared" ca="1" si="13"/>
        <v>82878.928767326172</v>
      </c>
      <c r="D49" s="51">
        <f t="shared" ca="1" si="14"/>
        <v>81257.397810338269</v>
      </c>
      <c r="E49" s="51">
        <f t="shared" ca="1" si="15"/>
        <v>79667.592198785904</v>
      </c>
      <c r="F49" s="51">
        <f t="shared" ca="1" si="16"/>
        <v>78108.891224480496</v>
      </c>
      <c r="G49" s="51">
        <f t="shared" ca="1" si="17"/>
        <v>76580.686323424539</v>
      </c>
      <c r="H49" s="59">
        <f t="shared" ca="1" si="18"/>
        <v>75082.38083820972</v>
      </c>
      <c r="J49" s="58" t="str">
        <f>J35</f>
        <v>Sentinel Light</v>
      </c>
      <c r="K49" s="51">
        <f t="shared" ca="1" si="21"/>
        <v>6110.7650786007734</v>
      </c>
      <c r="L49" s="51">
        <f t="shared" ca="1" si="21"/>
        <v>6200.3547820638823</v>
      </c>
      <c r="M49" s="51">
        <f t="shared" ca="1" si="21"/>
        <v>6291.2579568948759</v>
      </c>
      <c r="N49" s="51">
        <f t="shared" ca="1" si="21"/>
        <v>6383.4938598494691</v>
      </c>
      <c r="O49" s="51">
        <f t="shared" ca="1" si="21"/>
        <v>6477.0820300059695</v>
      </c>
      <c r="P49" s="59">
        <f t="shared" ca="1" si="21"/>
        <v>6572.042292904398</v>
      </c>
    </row>
    <row r="50" spans="2:19" ht="13">
      <c r="B50" s="58" t="str">
        <f t="shared" si="12"/>
        <v>USL</v>
      </c>
      <c r="C50" s="51">
        <f t="shared" ca="1" si="13"/>
        <v>4628438.8768212022</v>
      </c>
      <c r="D50" s="51">
        <f t="shared" ca="1" si="14"/>
        <v>4588884.6673883721</v>
      </c>
      <c r="E50" s="51">
        <f t="shared" ca="1" si="15"/>
        <v>4549668.4845613791</v>
      </c>
      <c r="F50" s="51">
        <f t="shared" ca="1" si="16"/>
        <v>4510787.4395961957</v>
      </c>
      <c r="G50" s="51">
        <f t="shared" ca="1" si="17"/>
        <v>4472238.6684357328</v>
      </c>
      <c r="H50" s="59">
        <f t="shared" ca="1" si="18"/>
        <v>4434019.3314988697</v>
      </c>
      <c r="J50" s="58" t="str">
        <f>J36</f>
        <v>USL</v>
      </c>
      <c r="K50" s="51">
        <f t="shared" ca="1" si="21"/>
        <v>1881015.2190175098</v>
      </c>
      <c r="L50" s="51">
        <f t="shared" ca="1" si="21"/>
        <v>1890889.2596984764</v>
      </c>
      <c r="M50" s="51">
        <f t="shared" ca="1" si="21"/>
        <v>1900815.1323255028</v>
      </c>
      <c r="N50" s="51">
        <f t="shared" ca="1" si="21"/>
        <v>1910793.1089807807</v>
      </c>
      <c r="O50" s="51">
        <f t="shared" ca="1" si="21"/>
        <v>1920823.4631747473</v>
      </c>
      <c r="P50" s="59">
        <f t="shared" ca="1" si="21"/>
        <v>1930906.4698535819</v>
      </c>
    </row>
    <row r="51" spans="2:19" ht="13.5" thickBot="1">
      <c r="B51" s="57" t="s">
        <v>290</v>
      </c>
      <c r="C51" s="640">
        <f t="shared" ref="C51:H51" ca="1" si="22">SUM(C42:C50)</f>
        <v>2774813788.9137268</v>
      </c>
      <c r="D51" s="640">
        <f t="shared" ca="1" si="22"/>
        <v>2941403495.1508245</v>
      </c>
      <c r="E51" s="640">
        <f t="shared" ca="1" si="22"/>
        <v>3071195137.1314974</v>
      </c>
      <c r="F51" s="640">
        <f t="shared" ca="1" si="22"/>
        <v>3153943115.2694454</v>
      </c>
      <c r="G51" s="640">
        <f t="shared" ca="1" si="22"/>
        <v>3186733744.2355456</v>
      </c>
      <c r="H51" s="56">
        <f t="shared" ca="1" si="22"/>
        <v>3229537309.3531394</v>
      </c>
      <c r="J51" s="57" t="s">
        <v>290</v>
      </c>
      <c r="K51" s="640">
        <f t="shared" ref="K51:P51" ca="1" si="23">SUM(K42:K50)</f>
        <v>935051859.89155328</v>
      </c>
      <c r="L51" s="640">
        <f t="shared" ca="1" si="23"/>
        <v>985820179.49254501</v>
      </c>
      <c r="M51" s="640">
        <f t="shared" ca="1" si="23"/>
        <v>1007986093.6944728</v>
      </c>
      <c r="N51" s="640">
        <f t="shared" ca="1" si="23"/>
        <v>1026625053.424875</v>
      </c>
      <c r="O51" s="640">
        <f t="shared" ca="1" si="23"/>
        <v>1047544360.4608334</v>
      </c>
      <c r="P51" s="56">
        <f t="shared" ca="1" si="23"/>
        <v>1065115398.3753077</v>
      </c>
    </row>
    <row r="52" spans="2:19">
      <c r="E52" s="52"/>
    </row>
    <row r="53" spans="2:19">
      <c r="E53" s="52"/>
    </row>
    <row r="54" spans="2:19" ht="16" thickBot="1">
      <c r="B54" s="64" t="s">
        <v>656</v>
      </c>
      <c r="C54" s="64" t="s">
        <v>1</v>
      </c>
    </row>
    <row r="55" spans="2:19" ht="13">
      <c r="B55" s="63" t="s">
        <v>602</v>
      </c>
      <c r="C55" s="62" t="s">
        <v>856</v>
      </c>
      <c r="D55" s="62" t="s">
        <v>857</v>
      </c>
      <c r="E55" s="62" t="s">
        <v>858</v>
      </c>
      <c r="F55" s="62" t="s">
        <v>859</v>
      </c>
      <c r="G55" s="62" t="s">
        <v>860</v>
      </c>
      <c r="H55" s="62" t="s">
        <v>861</v>
      </c>
      <c r="I55" s="62" t="s">
        <v>862</v>
      </c>
      <c r="J55" s="62" t="s">
        <v>863</v>
      </c>
      <c r="K55" s="62" t="s">
        <v>4</v>
      </c>
      <c r="L55" s="62" t="s">
        <v>5</v>
      </c>
      <c r="M55" s="61" t="s">
        <v>867</v>
      </c>
      <c r="N55" s="62" t="s">
        <v>6</v>
      </c>
      <c r="O55" s="62" t="s">
        <v>7</v>
      </c>
      <c r="P55" s="62" t="s">
        <v>8</v>
      </c>
      <c r="Q55" s="62" t="s">
        <v>9</v>
      </c>
      <c r="R55" s="62" t="s">
        <v>10</v>
      </c>
      <c r="S55" s="60" t="s">
        <v>11</v>
      </c>
    </row>
    <row r="56" spans="2:19" ht="13">
      <c r="B56" s="58" t="str">
        <f>B45</f>
        <v>GS 50 - 2,999</v>
      </c>
      <c r="C56" s="51">
        <f ca="1">OFFSET('kW Forecast'!$D$5,COLUMN()-COLUMN($C56),0)</f>
        <v>2342969.96</v>
      </c>
      <c r="D56" s="51">
        <f ca="1">OFFSET('kW Forecast'!$D$5,COLUMN()-COLUMN($C56),0)</f>
        <v>2295183.8399999994</v>
      </c>
      <c r="E56" s="51">
        <f ca="1">OFFSET('kW Forecast'!$D$5,COLUMN()-COLUMN($C56),0)</f>
        <v>2313760.27</v>
      </c>
      <c r="F56" s="51">
        <f ca="1">OFFSET('kW Forecast'!$D$5,COLUMN()-COLUMN($C56),0)</f>
        <v>2245850.48</v>
      </c>
      <c r="G56" s="51">
        <f ca="1">OFFSET('kW Forecast'!$D$5,COLUMN()-COLUMN($C56),0)</f>
        <v>2160161.04</v>
      </c>
      <c r="H56" s="51">
        <f ca="1">OFFSET('kW Forecast'!$D$5,COLUMN()-COLUMN($C56),0)</f>
        <v>2190090.0699999994</v>
      </c>
      <c r="I56" s="51">
        <f ca="1">OFFSET('kW Forecast'!$D$5,COLUMN()-COLUMN($C56),0)</f>
        <v>2248196.86</v>
      </c>
      <c r="J56" s="51">
        <f ca="1">OFFSET('kW Forecast'!$D$5,COLUMN()-COLUMN($C56),0)</f>
        <v>2217562.73</v>
      </c>
      <c r="K56" s="51">
        <f ca="1">OFFSET('kW Forecast'!$D$5,COLUMN()-COLUMN($C56),0)</f>
        <v>2202593.3899999997</v>
      </c>
      <c r="L56" s="51">
        <f ca="1">OFFSET('kW Forecast'!$D$5,COLUMN()-COLUMN($C56),0)</f>
        <v>2223580.19</v>
      </c>
      <c r="M56" s="51">
        <f ca="1">OFFSET('kW Forecast'!$H$25,COLUMN()-COLUMN($K56),0)</f>
        <v>2217132.6203859504</v>
      </c>
      <c r="N56" s="51">
        <f ca="1">OFFSET('kW Forecast'!$H$25,COLUMN()-COLUMN($K56),0)</f>
        <v>2378537.5281235403</v>
      </c>
      <c r="O56" s="51">
        <f ca="1">OFFSET('kW Forecast'!$H$25,COLUMN()-COLUMN($K56),0)</f>
        <v>2544272.8320234697</v>
      </c>
      <c r="P56" s="51">
        <f ca="1">OFFSET('kW Forecast'!$H$25,COLUMN()-COLUMN($K56),0)</f>
        <v>2617000.6657034932</v>
      </c>
      <c r="Q56" s="51">
        <f ca="1">OFFSET('kW Forecast'!$H$25,COLUMN()-COLUMN($K56),0)</f>
        <v>2685479.7818460395</v>
      </c>
      <c r="R56" s="51">
        <f ca="1">OFFSET('kW Forecast'!$H$25,COLUMN()-COLUMN($K56),0)</f>
        <v>2736963.9963171072</v>
      </c>
      <c r="S56" s="59">
        <f ca="1">OFFSET('kW Forecast'!$H$25,COLUMN()-COLUMN($K56),0)</f>
        <v>2809097.5385546423</v>
      </c>
    </row>
    <row r="57" spans="2:19" ht="13">
      <c r="B57" s="58" t="str">
        <f>B46</f>
        <v>GS 3,000 - 4,999</v>
      </c>
      <c r="C57" s="51">
        <f ca="1">OFFSET('kW Forecast'!$L$5,COLUMN()-COLUMN($C57),0)</f>
        <v>223616.35</v>
      </c>
      <c r="D57" s="51">
        <f ca="1">OFFSET('kW Forecast'!$L$5,COLUMN()-COLUMN($C57),0)</f>
        <v>200189.70000000004</v>
      </c>
      <c r="E57" s="51">
        <f ca="1">OFFSET('kW Forecast'!$L$5,COLUMN()-COLUMN($C57),0)</f>
        <v>189119.25000000003</v>
      </c>
      <c r="F57" s="51">
        <f ca="1">OFFSET('kW Forecast'!$L$5,COLUMN()-COLUMN($C57),0)</f>
        <v>195386.42</v>
      </c>
      <c r="G57" s="51">
        <f ca="1">OFFSET('kW Forecast'!$L$5,COLUMN()-COLUMN($C57),0)</f>
        <v>192683.53999999998</v>
      </c>
      <c r="H57" s="51">
        <f ca="1">OFFSET('kW Forecast'!$L$5,COLUMN()-COLUMN($C57),0)</f>
        <v>216388.10000000003</v>
      </c>
      <c r="I57" s="51">
        <f ca="1">OFFSET('kW Forecast'!$L$5,COLUMN()-COLUMN($C57),0)</f>
        <v>228646.87000000002</v>
      </c>
      <c r="J57" s="51">
        <f ca="1">OFFSET('kW Forecast'!$L$5,COLUMN()-COLUMN($C57),0)</f>
        <v>234048.35</v>
      </c>
      <c r="K57" s="51">
        <f ca="1">OFFSET('kW Forecast'!$L$5,COLUMN()-COLUMN($C57),0)</f>
        <v>215659.85000000003</v>
      </c>
      <c r="L57" s="51">
        <f ca="1">OFFSET('kW Forecast'!$L$5,COLUMN()-COLUMN($C57),0)</f>
        <v>219427.96000000002</v>
      </c>
      <c r="M57" s="51">
        <f ca="1">OFFSET('kW Forecast'!$P$25,COLUMN()-COLUMN($K57),0)</f>
        <v>222690.32448441212</v>
      </c>
      <c r="N57" s="51">
        <f ca="1">OFFSET('kW Forecast'!$P$25,COLUMN()-COLUMN($K57),0)</f>
        <v>275388.85724748415</v>
      </c>
      <c r="O57" s="51">
        <f ca="1">OFFSET('kW Forecast'!$P$25,COLUMN()-COLUMN($K57),0)</f>
        <v>354951.98802816006</v>
      </c>
      <c r="P57" s="51">
        <f ca="1">OFFSET('kW Forecast'!$P$25,COLUMN()-COLUMN($K57),0)</f>
        <v>416163.55239646637</v>
      </c>
      <c r="Q57" s="51">
        <f ca="1">OFFSET('kW Forecast'!$P$25,COLUMN()-COLUMN($K57),0)</f>
        <v>455965.17495825468</v>
      </c>
      <c r="R57" s="51">
        <f ca="1">OFFSET('kW Forecast'!$P$25,COLUMN()-COLUMN($K57),0)</f>
        <v>471551.426633219</v>
      </c>
      <c r="S57" s="59">
        <f ca="1">OFFSET('kW Forecast'!$P$25,COLUMN()-COLUMN($K57),0)</f>
        <v>492963.39713844849</v>
      </c>
    </row>
    <row r="58" spans="2:19" ht="13">
      <c r="B58" s="58" t="str">
        <f>B47</f>
        <v>Large Use</v>
      </c>
      <c r="C58" s="51">
        <f ca="1">OFFSET('kW Forecast'!$T$5,COLUMN()-COLUMN($C58),0)</f>
        <v>421758</v>
      </c>
      <c r="D58" s="51">
        <f ca="1">OFFSET('kW Forecast'!$T$5,COLUMN()-COLUMN($C58),0)</f>
        <v>382866</v>
      </c>
      <c r="E58" s="51">
        <f ca="1">OFFSET('kW Forecast'!$T$5,COLUMN()-COLUMN($C58),0)</f>
        <v>423038</v>
      </c>
      <c r="F58" s="51">
        <f ca="1">OFFSET('kW Forecast'!$T$5,COLUMN()-COLUMN($C58),0)</f>
        <v>433414</v>
      </c>
      <c r="G58" s="51">
        <f ca="1">OFFSET('kW Forecast'!$T$5,COLUMN()-COLUMN($C58),0)</f>
        <v>453257</v>
      </c>
      <c r="H58" s="51">
        <f ca="1">OFFSET('kW Forecast'!$T$5,COLUMN()-COLUMN($C58),0)</f>
        <v>481567</v>
      </c>
      <c r="I58" s="51">
        <f ca="1">OFFSET('kW Forecast'!$T$5,COLUMN()-COLUMN($C58),0)</f>
        <v>490452</v>
      </c>
      <c r="J58" s="51">
        <f ca="1">OFFSET('kW Forecast'!$T$5,COLUMN()-COLUMN($C58),0)</f>
        <v>518389.27999999997</v>
      </c>
      <c r="K58" s="51">
        <f ca="1">OFFSET('kW Forecast'!$T$5,COLUMN()-COLUMN($C58),0)</f>
        <v>532510.09</v>
      </c>
      <c r="L58" s="51">
        <f ca="1">OFFSET('kW Forecast'!$T$5,COLUMN()-COLUMN($C58),0)</f>
        <v>539128.64</v>
      </c>
      <c r="M58" s="51">
        <f ca="1">OFFSET('kW Forecast'!$X$25,COLUMN()-COLUMN($K58),0)</f>
        <v>539317.20983407984</v>
      </c>
      <c r="N58" s="51">
        <f ca="1">OFFSET('kW Forecast'!$X$25,COLUMN()-COLUMN($K58),0)</f>
        <v>592221.81823334983</v>
      </c>
      <c r="O58" s="51">
        <f ca="1">OFFSET('kW Forecast'!$X$25,COLUMN()-COLUMN($K58),0)</f>
        <v>717701.90961330105</v>
      </c>
      <c r="P58" s="51">
        <f ca="1">OFFSET('kW Forecast'!$X$25,COLUMN()-COLUMN($K58),0)</f>
        <v>863639.71102169889</v>
      </c>
      <c r="Q58" s="51">
        <f ca="1">OFFSET('kW Forecast'!$X$25,COLUMN()-COLUMN($K58),0)</f>
        <v>955382.74183357204</v>
      </c>
      <c r="R58" s="51">
        <f ca="1">OFFSET('kW Forecast'!$X$25,COLUMN()-COLUMN($K58),0)</f>
        <v>986236.08524837927</v>
      </c>
      <c r="S58" s="59">
        <f ca="1">OFFSET('kW Forecast'!$X$25,COLUMN()-COLUMN($K58),0)</f>
        <v>1013690.092434159</v>
      </c>
    </row>
    <row r="59" spans="2:19" ht="13">
      <c r="B59" s="58" t="str">
        <f>B48</f>
        <v>Street Light</v>
      </c>
      <c r="C59" s="51">
        <f ca="1">OFFSET('kW Forecast'!$AB$5,COLUMN()-COLUMN($C59),0)</f>
        <v>57564.81</v>
      </c>
      <c r="D59" s="51">
        <f ca="1">OFFSET('kW Forecast'!$AB$5,COLUMN()-COLUMN($C59),0)</f>
        <v>54832.51</v>
      </c>
      <c r="E59" s="51">
        <f ca="1">OFFSET('kW Forecast'!$AB$5,COLUMN()-COLUMN($C59),0)</f>
        <v>43114.93</v>
      </c>
      <c r="F59" s="51">
        <f ca="1">OFFSET('kW Forecast'!$AB$5,COLUMN()-COLUMN($C59),0)</f>
        <v>36690.920000000006</v>
      </c>
      <c r="G59" s="51">
        <f ca="1">OFFSET('kW Forecast'!$AB$5,COLUMN()-COLUMN($C59),0)</f>
        <v>31667.35</v>
      </c>
      <c r="H59" s="51">
        <f ca="1">OFFSET('kW Forecast'!$AB$5,COLUMN()-COLUMN($C59),0)</f>
        <v>31122.25</v>
      </c>
      <c r="I59" s="51">
        <f ca="1">OFFSET('kW Forecast'!$AB$5,COLUMN()-COLUMN($C59),0)</f>
        <v>31016.899999999998</v>
      </c>
      <c r="J59" s="51">
        <f ca="1">OFFSET('kW Forecast'!$AB$5,COLUMN()-COLUMN($C59),0)</f>
        <v>31561.47</v>
      </c>
      <c r="K59" s="51">
        <f ca="1">OFFSET('kW Forecast'!$AB$5,COLUMN()-COLUMN($C59),0)</f>
        <v>32173.850000000002</v>
      </c>
      <c r="L59" s="51">
        <f ca="1">OFFSET('kW Forecast'!$AB$5,COLUMN()-COLUMN($C59),0)</f>
        <v>32450.92</v>
      </c>
      <c r="M59" s="51">
        <f ca="1">OFFSET('kW Forecast'!$AB$25,COLUMN()-COLUMN($K59),0)</f>
        <v>32450.92</v>
      </c>
      <c r="N59" s="51">
        <f ca="1">OFFSET('kW Forecast'!$AB$25,COLUMN()-COLUMN($K59),0)</f>
        <v>32867.111912563763</v>
      </c>
      <c r="O59" s="51">
        <f ca="1">OFFSET('kW Forecast'!$AB$25,COLUMN()-COLUMN($K59),0)</f>
        <v>33229.794206584047</v>
      </c>
      <c r="P59" s="51">
        <f ca="1">OFFSET('kW Forecast'!$AB$25,COLUMN()-COLUMN($K59),0)</f>
        <v>33596.478630354744</v>
      </c>
      <c r="Q59" s="51">
        <f ca="1">OFFSET('kW Forecast'!$AB$25,COLUMN()-COLUMN($K59),0)</f>
        <v>33967.209346612253</v>
      </c>
      <c r="R59" s="51">
        <f ca="1">OFFSET('kW Forecast'!$AB$25,COLUMN()-COLUMN($K59),0)</f>
        <v>34342.031005420286</v>
      </c>
      <c r="S59" s="59">
        <f ca="1">OFFSET('kW Forecast'!$AB$25,COLUMN()-COLUMN($K59),0)</f>
        <v>34720.988749547483</v>
      </c>
    </row>
    <row r="60" spans="2:19" ht="13">
      <c r="B60" s="58" t="str">
        <f>B49</f>
        <v>Sentinel Light</v>
      </c>
      <c r="C60" s="51">
        <f ca="1">OFFSET('kW Forecast'!$AI$5,COLUMN()-COLUMN($C60),0)</f>
        <v>1014</v>
      </c>
      <c r="D60" s="51">
        <f ca="1">OFFSET('kW Forecast'!$AI$5,COLUMN()-COLUMN($C60),0)</f>
        <v>967.00000000000011</v>
      </c>
      <c r="E60" s="51">
        <f ca="1">OFFSET('kW Forecast'!$AI$5,COLUMN()-COLUMN($C60),0)</f>
        <v>720</v>
      </c>
      <c r="F60" s="51">
        <f ca="1">OFFSET('kW Forecast'!$AI$5,COLUMN()-COLUMN($C60),0)</f>
        <v>629</v>
      </c>
      <c r="G60" s="51">
        <f ca="1">OFFSET('kW Forecast'!$AI$5,COLUMN()-COLUMN($C60),0)</f>
        <v>642</v>
      </c>
      <c r="H60" s="51">
        <f ca="1">OFFSET('kW Forecast'!$AI$5,COLUMN()-COLUMN($C60),0)</f>
        <v>632</v>
      </c>
      <c r="I60" s="51">
        <f ca="1">OFFSET('kW Forecast'!$AI$5,COLUMN()-COLUMN($C60),0)</f>
        <v>601</v>
      </c>
      <c r="J60" s="51">
        <f ca="1">OFFSET('kW Forecast'!$AI$5,COLUMN()-COLUMN($C60),0)</f>
        <v>608</v>
      </c>
      <c r="K60" s="51">
        <f ca="1">OFFSET('kW Forecast'!$AI$5,COLUMN()-COLUMN($C60),0)</f>
        <v>602</v>
      </c>
      <c r="L60" s="51">
        <f ca="1">OFFSET('kW Forecast'!$AI$5,COLUMN()-COLUMN($C60),0)</f>
        <v>592.1240377300727</v>
      </c>
      <c r="M60" s="51">
        <f ca="1">OFFSET('kW Forecast'!$AI$25,COLUMN()-COLUMN($K60),0)</f>
        <v>592.1240377300727</v>
      </c>
      <c r="N60" s="51">
        <f ca="1">OFFSET('kW Forecast'!$AI$25,COLUMN()-COLUMN($K60),0)</f>
        <v>580.53909724113964</v>
      </c>
      <c r="O60" s="51">
        <f ca="1">OFFSET('kW Forecast'!$AI$25,COLUMN()-COLUMN($K60),0)</f>
        <v>569.18081677203395</v>
      </c>
      <c r="P60" s="51">
        <f ca="1">OFFSET('kW Forecast'!$AI$25,COLUMN()-COLUMN($K60),0)</f>
        <v>558.04476170657131</v>
      </c>
      <c r="Q60" s="51">
        <f ca="1">OFFSET('kW Forecast'!$AI$25,COLUMN()-COLUMN($K60),0)</f>
        <v>547.12658419208481</v>
      </c>
      <c r="R60" s="51">
        <f ca="1">OFFSET('kW Forecast'!$AI$25,COLUMN()-COLUMN($K60),0)</f>
        <v>536.42202144189309</v>
      </c>
      <c r="S60" s="59">
        <f ca="1">OFFSET('kW Forecast'!$AI$25,COLUMN()-COLUMN($K60),0)</f>
        <v>525.92689407097839</v>
      </c>
    </row>
    <row r="61" spans="2:19" ht="13.5" thickBot="1">
      <c r="B61" s="57" t="s">
        <v>290</v>
      </c>
      <c r="C61" s="640">
        <f t="shared" ref="C61:S61" ca="1" si="24">SUM(C56:C60)</f>
        <v>3046923.12</v>
      </c>
      <c r="D61" s="640">
        <f t="shared" ca="1" si="24"/>
        <v>2934039.0499999993</v>
      </c>
      <c r="E61" s="640">
        <f t="shared" ca="1" si="24"/>
        <v>2969752.45</v>
      </c>
      <c r="F61" s="640">
        <f t="shared" ca="1" si="24"/>
        <v>2911970.82</v>
      </c>
      <c r="G61" s="640">
        <f t="shared" ca="1" si="24"/>
        <v>2838410.93</v>
      </c>
      <c r="H61" s="640">
        <f t="shared" ca="1" si="24"/>
        <v>2919799.4199999995</v>
      </c>
      <c r="I61" s="640">
        <f t="shared" ca="1" si="24"/>
        <v>2998913.63</v>
      </c>
      <c r="J61" s="640">
        <f t="shared" ca="1" si="24"/>
        <v>3002169.83</v>
      </c>
      <c r="K61" s="640">
        <f t="shared" ca="1" si="24"/>
        <v>2983539.1799999997</v>
      </c>
      <c r="L61" s="640">
        <f t="shared" ref="L61" ca="1" si="25">SUM(L56:L60)</f>
        <v>3015179.83403773</v>
      </c>
      <c r="M61" s="640">
        <f t="shared" ca="1" si="24"/>
        <v>3012183.1987421722</v>
      </c>
      <c r="N61" s="640">
        <f t="shared" ca="1" si="24"/>
        <v>3279595.8546141796</v>
      </c>
      <c r="O61" s="640">
        <f t="shared" ca="1" si="24"/>
        <v>3650725.7046882869</v>
      </c>
      <c r="P61" s="640">
        <f t="shared" ca="1" si="24"/>
        <v>3930958.4525137199</v>
      </c>
      <c r="Q61" s="640">
        <f t="shared" ca="1" si="24"/>
        <v>4131342.0345686711</v>
      </c>
      <c r="R61" s="640">
        <f t="shared" ca="1" si="24"/>
        <v>4229629.9612255683</v>
      </c>
      <c r="S61" s="640">
        <f t="shared" ca="1" si="24"/>
        <v>4350997.9437708678</v>
      </c>
    </row>
    <row r="63" spans="2:19" ht="16" thickBot="1">
      <c r="B63" s="64" t="s">
        <v>656</v>
      </c>
      <c r="C63" s="64" t="s">
        <v>2</v>
      </c>
    </row>
    <row r="64" spans="2:19" ht="13">
      <c r="B64" s="63" t="s">
        <v>602</v>
      </c>
      <c r="C64" s="62" t="s">
        <v>856</v>
      </c>
      <c r="D64" s="62" t="s">
        <v>857</v>
      </c>
      <c r="E64" s="62" t="s">
        <v>858</v>
      </c>
      <c r="F64" s="62" t="s">
        <v>859</v>
      </c>
      <c r="G64" s="62" t="s">
        <v>860</v>
      </c>
      <c r="H64" s="62" t="s">
        <v>861</v>
      </c>
      <c r="I64" s="62" t="s">
        <v>862</v>
      </c>
      <c r="J64" s="62" t="s">
        <v>863</v>
      </c>
      <c r="K64" s="62" t="s">
        <v>4</v>
      </c>
      <c r="L64" s="62" t="s">
        <v>5</v>
      </c>
      <c r="M64" s="61" t="s">
        <v>867</v>
      </c>
      <c r="N64" s="62" t="s">
        <v>6</v>
      </c>
      <c r="O64" s="62" t="s">
        <v>7</v>
      </c>
      <c r="P64" s="62" t="s">
        <v>8</v>
      </c>
      <c r="Q64" s="62" t="s">
        <v>9</v>
      </c>
      <c r="R64" s="62" t="s">
        <v>10</v>
      </c>
      <c r="S64" s="60" t="s">
        <v>11</v>
      </c>
    </row>
    <row r="65" spans="2:19" ht="13">
      <c r="B65" s="58" t="str">
        <f>B56</f>
        <v>GS 50 - 2,999</v>
      </c>
      <c r="C65" s="51">
        <f ca="1">OFFSET('kW Forecast'!$AR$5,COLUMN()-COLUMN($C65),0)</f>
        <v>847805.77999999991</v>
      </c>
      <c r="D65" s="51">
        <f ca="1">OFFSET('kW Forecast'!$AR$5,COLUMN()-COLUMN($C65),0)</f>
        <v>816193.45000000007</v>
      </c>
      <c r="E65" s="51">
        <f ca="1">OFFSET('kW Forecast'!$AR$5,COLUMN()-COLUMN($C65),0)</f>
        <v>835852.88</v>
      </c>
      <c r="F65" s="51">
        <f ca="1">OFFSET('kW Forecast'!$AR$5,COLUMN()-COLUMN($C65),0)</f>
        <v>811487.09999999986</v>
      </c>
      <c r="G65" s="51">
        <f ca="1">OFFSET('kW Forecast'!$AR$5,COLUMN()-COLUMN($C65),0)</f>
        <v>783041.75999999989</v>
      </c>
      <c r="H65" s="51">
        <f ca="1">OFFSET('kW Forecast'!$AR$5,COLUMN()-COLUMN($C65),0)</f>
        <v>760128.48</v>
      </c>
      <c r="I65" s="51">
        <f ca="1">OFFSET('kW Forecast'!$AR$5,COLUMN()-COLUMN($C65),0)</f>
        <v>795164.42999999993</v>
      </c>
      <c r="J65" s="51">
        <f ca="1">OFFSET('kW Forecast'!$AR$5,COLUMN()-COLUMN($C65),0)</f>
        <v>773424.36</v>
      </c>
      <c r="K65" s="51">
        <f ca="1">OFFSET('kW Forecast'!$AR$5,COLUMN()-COLUMN($C65),0)</f>
        <v>765937.02</v>
      </c>
      <c r="L65" s="51">
        <f ca="1">OFFSET('kW Forecast'!$AR$5,COLUMN()-COLUMN($C65),0)</f>
        <v>796927.05999999994</v>
      </c>
      <c r="M65" s="51">
        <f ca="1">OFFSET('kW Forecast'!$AV$25,COLUMN()-COLUMN($K65),0)</f>
        <v>770667.64223789878</v>
      </c>
      <c r="N65" s="51">
        <f ca="1">OFFSET('kW Forecast'!$AV$25,COLUMN()-COLUMN($K65),0)</f>
        <v>843842.7601556764</v>
      </c>
      <c r="O65" s="51">
        <f ca="1">OFFSET('kW Forecast'!$AV$25,COLUMN()-COLUMN($K65),0)</f>
        <v>928796.47503803123</v>
      </c>
      <c r="P65" s="51">
        <f ca="1">OFFSET('kW Forecast'!$AV$25,COLUMN()-COLUMN($K65),0)</f>
        <v>973679.0765805901</v>
      </c>
      <c r="Q65" s="51">
        <f ca="1">OFFSET('kW Forecast'!$AV$25,COLUMN()-COLUMN($K65),0)</f>
        <v>1010111.8988544553</v>
      </c>
      <c r="R65" s="51">
        <f ca="1">OFFSET('kW Forecast'!$AV$25,COLUMN()-COLUMN($K65),0)</f>
        <v>1040454.0818779642</v>
      </c>
      <c r="S65" s="59">
        <f ca="1">OFFSET('kW Forecast'!$AV$25,COLUMN()-COLUMN($K65),0)</f>
        <v>1068117.2718597008</v>
      </c>
    </row>
    <row r="66" spans="2:19" ht="13">
      <c r="B66" s="58" t="str">
        <f>B57</f>
        <v>GS 3,000 - 4,999</v>
      </c>
      <c r="C66" s="51">
        <f ca="1">OFFSET('kW Forecast'!$AZ$5,COLUMN()-COLUMN($C66),0)</f>
        <v>93876.75</v>
      </c>
      <c r="D66" s="51">
        <f ca="1">OFFSET('kW Forecast'!$AZ$5,COLUMN()-COLUMN($C66),0)</f>
        <v>90337.329999999987</v>
      </c>
      <c r="E66" s="51">
        <f ca="1">OFFSET('kW Forecast'!$AZ$5,COLUMN()-COLUMN($C66),0)</f>
        <v>114913.62000000001</v>
      </c>
      <c r="F66" s="51">
        <f ca="1">OFFSET('kW Forecast'!$AZ$5,COLUMN()-COLUMN($C66),0)</f>
        <v>147600.45000000001</v>
      </c>
      <c r="G66" s="51">
        <f ca="1">OFFSET('kW Forecast'!$AZ$5,COLUMN()-COLUMN($C66),0)</f>
        <v>146756.25999999998</v>
      </c>
      <c r="H66" s="51">
        <f ca="1">OFFSET('kW Forecast'!$AZ$5,COLUMN()-COLUMN($C66),0)</f>
        <v>151779.59</v>
      </c>
      <c r="I66" s="51">
        <f ca="1">OFFSET('kW Forecast'!$AZ$5,COLUMN()-COLUMN($C66),0)</f>
        <v>164454.65</v>
      </c>
      <c r="J66" s="51">
        <f ca="1">OFFSET('kW Forecast'!$AZ$5,COLUMN()-COLUMN($C66),0)</f>
        <v>160651.39000000001</v>
      </c>
      <c r="K66" s="51">
        <f ca="1">OFFSET('kW Forecast'!$AZ$5,COLUMN()-COLUMN($C66),0)</f>
        <v>160377.93</v>
      </c>
      <c r="L66" s="51">
        <f ca="1">OFFSET('kW Forecast'!$AZ$5,COLUMN()-COLUMN($C66),0)</f>
        <v>150248.58000000002</v>
      </c>
      <c r="M66" s="51">
        <f ca="1">OFFSET('kW Forecast'!$BD$25,COLUMN()-COLUMN($K66),0)</f>
        <v>150894.000669923</v>
      </c>
      <c r="N66" s="51">
        <f ca="1">OFFSET('kW Forecast'!$BD$25,COLUMN()-COLUMN($K66),0)</f>
        <v>176252.16443031107</v>
      </c>
      <c r="O66" s="51">
        <f ca="1">OFFSET('kW Forecast'!$BD$25,COLUMN()-COLUMN($K66),0)</f>
        <v>208566.86943850075</v>
      </c>
      <c r="P66" s="51">
        <f ca="1">OFFSET('kW Forecast'!$BD$25,COLUMN()-COLUMN($K66),0)</f>
        <v>222866.62771433184</v>
      </c>
      <c r="Q66" s="51">
        <f ca="1">OFFSET('kW Forecast'!$BD$25,COLUMN()-COLUMN($K66),0)</f>
        <v>234504.09808604646</v>
      </c>
      <c r="R66" s="51">
        <f ca="1">OFFSET('kW Forecast'!$BD$25,COLUMN()-COLUMN($K66),0)</f>
        <v>249601.71530990535</v>
      </c>
      <c r="S66" s="59">
        <f ca="1">OFFSET('kW Forecast'!$BD$25,COLUMN()-COLUMN($K66),0)</f>
        <v>262905.13524073956</v>
      </c>
    </row>
    <row r="67" spans="2:19" ht="13">
      <c r="B67" s="58" t="str">
        <f>B59</f>
        <v>Street Light</v>
      </c>
      <c r="C67" s="51">
        <f ca="1">OFFSET('kW Forecast'!$BH$5,COLUMN()-COLUMN($C67),0)</f>
        <v>16142.07</v>
      </c>
      <c r="D67" s="51">
        <f ca="1">OFFSET('kW Forecast'!$BH$5,COLUMN()-COLUMN($C67),0)</f>
        <v>12797.349999999999</v>
      </c>
      <c r="E67" s="51">
        <f ca="1">OFFSET('kW Forecast'!$BH$5,COLUMN()-COLUMN($C67),0)</f>
        <v>9791.36</v>
      </c>
      <c r="F67" s="51">
        <f ca="1">OFFSET('kW Forecast'!$BH$5,COLUMN()-COLUMN($C67),0)</f>
        <v>8980.67</v>
      </c>
      <c r="G67" s="51">
        <f ca="1">OFFSET('kW Forecast'!$BH$5,COLUMN()-COLUMN($C67),0)</f>
        <v>9314.0300000000025</v>
      </c>
      <c r="H67" s="51">
        <f ca="1">OFFSET('kW Forecast'!$BH$5,COLUMN()-COLUMN($C67),0)</f>
        <v>9362</v>
      </c>
      <c r="I67" s="51">
        <f ca="1">OFFSET('kW Forecast'!$BH$5,COLUMN()-COLUMN($C67),0)</f>
        <v>9581</v>
      </c>
      <c r="J67" s="51">
        <f ca="1">OFFSET('kW Forecast'!$BH$5,COLUMN()-COLUMN($C67),0)</f>
        <v>9810</v>
      </c>
      <c r="K67" s="51">
        <f ca="1">OFFSET('kW Forecast'!$BH$5,COLUMN()-COLUMN($C67),0)</f>
        <v>9886</v>
      </c>
      <c r="L67" s="51">
        <f ca="1">OFFSET('kW Forecast'!$BH$5,COLUMN()-COLUMN($C67),0)</f>
        <v>10022</v>
      </c>
      <c r="M67" s="51">
        <f ca="1">OFFSET('kW Forecast'!$BH$25,COLUMN()-COLUMN($K67),0)</f>
        <v>10022</v>
      </c>
      <c r="N67" s="51">
        <f ca="1">OFFSET('kW Forecast'!$BH$25,COLUMN()-COLUMN($K67),0)</f>
        <v>10137.611440111856</v>
      </c>
      <c r="O67" s="51">
        <f ca="1">OFFSET('kW Forecast'!$BH$25,COLUMN()-COLUMN($K67),0)</f>
        <v>10314.47561207424</v>
      </c>
      <c r="P67" s="51">
        <f ca="1">OFFSET('kW Forecast'!$BH$25,COLUMN()-COLUMN($K67),0)</f>
        <v>10494.425415746691</v>
      </c>
      <c r="Q67" s="51">
        <f ca="1">OFFSET('kW Forecast'!$BH$25,COLUMN()-COLUMN($K67),0)</f>
        <v>10677.514684095742</v>
      </c>
      <c r="R67" s="51">
        <f ca="1">OFFSET('kW Forecast'!$BH$25,COLUMN()-COLUMN($K67),0)</f>
        <v>10863.798189275929</v>
      </c>
      <c r="S67" s="59">
        <f ca="1">OFFSET('kW Forecast'!$BH$25,COLUMN()-COLUMN($K67),0)</f>
        <v>11053.331659015181</v>
      </c>
    </row>
    <row r="68" spans="2:19" ht="13">
      <c r="B68" s="58" t="str">
        <f>B60</f>
        <v>Sentinel Light</v>
      </c>
      <c r="C68" s="51">
        <f ca="1">OFFSET('kW Forecast'!$BO$5,COLUMN()-COLUMN($C68),0)</f>
        <v>92.000000000000014</v>
      </c>
      <c r="D68" s="51">
        <f ca="1">OFFSET('kW Forecast'!$BO$5,COLUMN()-COLUMN($C68),0)</f>
        <v>87.999999999999986</v>
      </c>
      <c r="E68" s="51">
        <f ca="1">OFFSET('kW Forecast'!$BO$5,COLUMN()-COLUMN($C68),0)</f>
        <v>87</v>
      </c>
      <c r="F68" s="51">
        <f ca="1">OFFSET('kW Forecast'!$BO$5,COLUMN()-COLUMN($C68),0)</f>
        <v>86.000000000000014</v>
      </c>
      <c r="G68" s="51">
        <f ca="1">OFFSET('kW Forecast'!$BO$5,COLUMN()-COLUMN($C68),0)</f>
        <v>72</v>
      </c>
      <c r="H68" s="51">
        <f ca="1">OFFSET('kW Forecast'!$BO$5,COLUMN()-COLUMN($C68),0)</f>
        <v>71</v>
      </c>
      <c r="I68" s="51">
        <f ca="1">OFFSET('kW Forecast'!$BO$5,COLUMN()-COLUMN($C68),0)</f>
        <v>95.000000000000014</v>
      </c>
      <c r="J68" s="51">
        <f ca="1">OFFSET('kW Forecast'!$BO$5,COLUMN()-COLUMN($C68),0)</f>
        <v>92.000000000000014</v>
      </c>
      <c r="K68" s="51">
        <f ca="1">OFFSET('kW Forecast'!$BO$5,COLUMN()-COLUMN($C68),0)</f>
        <v>83</v>
      </c>
      <c r="L68" s="51">
        <f ca="1">OFFSET('kW Forecast'!$BO$5,COLUMN()-COLUMN($C68),0)</f>
        <v>82.773211112061517</v>
      </c>
      <c r="M68" s="51">
        <f ca="1">OFFSET('kW Forecast'!$BO$25,COLUMN()-COLUMN($K68),0)</f>
        <v>82.773211112061517</v>
      </c>
      <c r="N68" s="51">
        <f ca="1">OFFSET('kW Forecast'!$BO$25,COLUMN()-COLUMN($K68),0)</f>
        <v>83.986746134736094</v>
      </c>
      <c r="O68" s="51">
        <f ca="1">OFFSET('kW Forecast'!$BO$25,COLUMN()-COLUMN($K68),0)</f>
        <v>85.218072750022259</v>
      </c>
      <c r="P68" s="51">
        <f ca="1">OFFSET('kW Forecast'!$BO$25,COLUMN()-COLUMN($K68),0)</f>
        <v>86.467451799808998</v>
      </c>
      <c r="Q68" s="51">
        <f ca="1">OFFSET('kW Forecast'!$BO$25,COLUMN()-COLUMN($K68),0)</f>
        <v>87.735147950178657</v>
      </c>
      <c r="R68" s="51">
        <f ca="1">OFFSET('kW Forecast'!$BO$25,COLUMN()-COLUMN($K68),0)</f>
        <v>89.021429747473391</v>
      </c>
      <c r="S68" s="59">
        <f ca="1">OFFSET('kW Forecast'!$BO$25,COLUMN()-COLUMN($K68),0)</f>
        <v>90.326569675183435</v>
      </c>
    </row>
    <row r="69" spans="2:19" ht="13.5" thickBot="1">
      <c r="B69" s="57" t="s">
        <v>290</v>
      </c>
      <c r="C69" s="640">
        <f t="shared" ref="C69:Q69" ca="1" si="26">SUM(C65:C68)</f>
        <v>957916.59999999986</v>
      </c>
      <c r="D69" s="640">
        <f t="shared" ca="1" si="26"/>
        <v>919416.13</v>
      </c>
      <c r="E69" s="640">
        <f t="shared" ca="1" si="26"/>
        <v>960644.86</v>
      </c>
      <c r="F69" s="640">
        <f t="shared" ca="1" si="26"/>
        <v>968154.21999999986</v>
      </c>
      <c r="G69" s="640">
        <f t="shared" ca="1" si="26"/>
        <v>939184.04999999993</v>
      </c>
      <c r="H69" s="640">
        <f t="shared" ca="1" si="26"/>
        <v>921341.07</v>
      </c>
      <c r="I69" s="640">
        <f t="shared" ca="1" si="26"/>
        <v>969295.08</v>
      </c>
      <c r="J69" s="640">
        <f t="shared" ca="1" si="26"/>
        <v>943977.75</v>
      </c>
      <c r="K69" s="640">
        <f t="shared" ca="1" si="26"/>
        <v>936283.95</v>
      </c>
      <c r="L69" s="640">
        <f t="shared" ref="L69" ca="1" si="27">SUM(L65:L68)</f>
        <v>957280.41321111191</v>
      </c>
      <c r="M69" s="640">
        <f t="shared" ca="1" si="26"/>
        <v>931666.41611893382</v>
      </c>
      <c r="N69" s="640">
        <f t="shared" ca="1" si="26"/>
        <v>1030316.522772234</v>
      </c>
      <c r="O69" s="640">
        <f t="shared" ca="1" si="26"/>
        <v>1147763.038161356</v>
      </c>
      <c r="P69" s="640">
        <f t="shared" ca="1" si="26"/>
        <v>1207126.5971624684</v>
      </c>
      <c r="Q69" s="640">
        <f t="shared" ca="1" si="26"/>
        <v>1255381.2467725477</v>
      </c>
      <c r="R69" s="640">
        <f ca="1">SUM(R65:R68)</f>
        <v>1301008.6168068929</v>
      </c>
      <c r="S69" s="56">
        <f ca="1">SUM(S65:S68)</f>
        <v>1342166.065329131</v>
      </c>
    </row>
    <row r="71" spans="2:19" ht="16" thickBot="1">
      <c r="B71" s="64" t="s">
        <v>865</v>
      </c>
      <c r="C71" s="64" t="s">
        <v>1</v>
      </c>
      <c r="E71" s="51"/>
      <c r="F71" s="51"/>
      <c r="G71" s="51"/>
      <c r="H71" s="51"/>
      <c r="J71" s="64" t="s">
        <v>865</v>
      </c>
      <c r="K71" s="64" t="s">
        <v>2</v>
      </c>
      <c r="M71" s="51"/>
      <c r="N71" s="51"/>
      <c r="O71" s="51"/>
      <c r="P71" s="51"/>
    </row>
    <row r="72" spans="2:19" ht="13">
      <c r="B72" s="55" t="s">
        <v>3</v>
      </c>
      <c r="C72" s="54">
        <f>'CDM Adjustment'!AN22</f>
        <v>2026</v>
      </c>
      <c r="D72" s="54">
        <f>'CDM Adjustment'!AO22</f>
        <v>2027</v>
      </c>
      <c r="E72" s="54">
        <f>'CDM Adjustment'!AP22</f>
        <v>2028</v>
      </c>
      <c r="F72" s="54">
        <f>'CDM Adjustment'!AQ22</f>
        <v>2029</v>
      </c>
      <c r="G72" s="54">
        <f>'CDM Adjustment'!AR22</f>
        <v>2030</v>
      </c>
      <c r="H72" s="53">
        <f>'CDM Adjustment'!AS22</f>
        <v>2031</v>
      </c>
      <c r="J72" s="55" t="s">
        <v>3</v>
      </c>
      <c r="K72" s="54">
        <f>'CDM Adjustment'!AN51</f>
        <v>2026</v>
      </c>
      <c r="L72" s="54">
        <f>'CDM Adjustment'!AO51</f>
        <v>2027</v>
      </c>
      <c r="M72" s="54">
        <f>'CDM Adjustment'!AP51</f>
        <v>2028</v>
      </c>
      <c r="N72" s="54">
        <f>'CDM Adjustment'!AQ51</f>
        <v>2029</v>
      </c>
      <c r="O72" s="54">
        <f>'CDM Adjustment'!AR51</f>
        <v>2030</v>
      </c>
      <c r="P72" s="53">
        <f>'CDM Adjustment'!AS51</f>
        <v>2031</v>
      </c>
    </row>
    <row r="73" spans="2:19" ht="13">
      <c r="B73" s="58" t="str">
        <f>B65</f>
        <v>GS 50 - 2,999</v>
      </c>
      <c r="C73" s="51">
        <f ca="1">'CDM Adjustment'!AN24</f>
        <v>36190.548607345023</v>
      </c>
      <c r="D73" s="51">
        <f ca="1">'CDM Adjustment'!AO24</f>
        <v>72270.30434421773</v>
      </c>
      <c r="E73" s="51">
        <f ca="1">'CDM Adjustment'!AP24</f>
        <v>110779.01221941636</v>
      </c>
      <c r="F73" s="51">
        <f ca="1">'CDM Adjustment'!AQ24</f>
        <v>151882.55107412348</v>
      </c>
      <c r="G73" s="51">
        <f ca="1">'CDM Adjustment'!AR24</f>
        <v>195603.67640662132</v>
      </c>
      <c r="H73" s="59">
        <f ca="1">'CDM Adjustment'!AS24</f>
        <v>242087.02825986213</v>
      </c>
      <c r="J73" s="58" t="str">
        <f>B73</f>
        <v>GS 50 - 2,999</v>
      </c>
      <c r="K73" s="51">
        <f ca="1">'CDM Adjustment'!AN53</f>
        <v>14010.122296315765</v>
      </c>
      <c r="L73" s="51">
        <f ca="1">'CDM Adjustment'!AO53</f>
        <v>27428.628728883185</v>
      </c>
      <c r="M73" s="51">
        <f ca="1">'CDM Adjustment'!AP53</f>
        <v>41580.783486997811</v>
      </c>
      <c r="N73" s="51">
        <f ca="1">'CDM Adjustment'!AQ53</f>
        <v>55945.305706350562</v>
      </c>
      <c r="O73" s="51">
        <f ca="1">'CDM Adjustment'!AR53</f>
        <v>69857.621792276463</v>
      </c>
      <c r="P73" s="59">
        <f ca="1">'CDM Adjustment'!AS53</f>
        <v>84165.546149734349</v>
      </c>
    </row>
    <row r="74" spans="2:19" ht="13">
      <c r="B74" s="58" t="str">
        <f>B66</f>
        <v>GS 3,000 - 4,999</v>
      </c>
      <c r="C74" s="51">
        <f ca="1">'CDM Adjustment'!AN25</f>
        <v>2141.518709410002</v>
      </c>
      <c r="D74" s="51">
        <f ca="1">'CDM Adjustment'!AO25</f>
        <v>3555.3497379626419</v>
      </c>
      <c r="E74" s="51">
        <f ca="1">'CDM Adjustment'!AP25</f>
        <v>4844.6567677917546</v>
      </c>
      <c r="F74" s="51">
        <f ca="1">'CDM Adjustment'!AQ25</f>
        <v>6320.8137169820102</v>
      </c>
      <c r="G74" s="51">
        <f ca="1">'CDM Adjustment'!AR25</f>
        <v>8124.0038359227929</v>
      </c>
      <c r="H74" s="59">
        <f ca="1">'CDM Adjustment'!AS25</f>
        <v>9965.1241733445531</v>
      </c>
      <c r="J74" s="58" t="str">
        <f>B74</f>
        <v>GS 3,000 - 4,999</v>
      </c>
      <c r="K74" s="51">
        <f ca="1">'CDM Adjustment'!AN54</f>
        <v>2302.2201528224696</v>
      </c>
      <c r="L74" s="51">
        <f ca="1">'CDM Adjustment'!AO54</f>
        <v>4195.6104844392357</v>
      </c>
      <c r="M74" s="51">
        <f ca="1">'CDM Adjustment'!AP54</f>
        <v>6232.7966240237929</v>
      </c>
      <c r="N74" s="51">
        <f ca="1">'CDM Adjustment'!AQ54</f>
        <v>8256.1740312816564</v>
      </c>
      <c r="O74" s="51">
        <f ca="1">'CDM Adjustment'!AR54</f>
        <v>9971.7223154851017</v>
      </c>
      <c r="P74" s="59">
        <f ca="1">'CDM Adjustment'!AS54</f>
        <v>11666.166325787482</v>
      </c>
    </row>
    <row r="75" spans="2:19" ht="13">
      <c r="B75" s="58" t="str">
        <f>B67</f>
        <v>Street Light</v>
      </c>
      <c r="C75" s="51">
        <f ca="1">'CDM Adjustment'!AN26</f>
        <v>9467.7919772446294</v>
      </c>
      <c r="D75" s="51">
        <f ca="1">'CDM Adjustment'!AO26</f>
        <v>17749.359462629411</v>
      </c>
      <c r="E75" s="51">
        <f ca="1">'CDM Adjustment'!AP26</f>
        <v>24801.922182014645</v>
      </c>
      <c r="F75" s="51">
        <f ca="1">'CDM Adjustment'!AQ26</f>
        <v>33478.908487201959</v>
      </c>
      <c r="G75" s="51">
        <f ca="1">'CDM Adjustment'!AR26</f>
        <v>44538.773168624357</v>
      </c>
      <c r="H75" s="59">
        <f ca="1">'CDM Adjustment'!AS26</f>
        <v>57032.395038697272</v>
      </c>
      <c r="J75" s="58"/>
      <c r="K75" s="51"/>
      <c r="L75" s="51"/>
      <c r="M75" s="51"/>
      <c r="N75" s="51"/>
      <c r="O75" s="51"/>
      <c r="P75" s="59"/>
    </row>
    <row r="76" spans="2:19" ht="13">
      <c r="B76" s="58" t="str">
        <f>B68</f>
        <v>Sentinel Light</v>
      </c>
      <c r="C76" s="51">
        <f>'CDM Adjustment'!AN27</f>
        <v>0</v>
      </c>
      <c r="D76" s="51">
        <f>'CDM Adjustment'!AO27</f>
        <v>0</v>
      </c>
      <c r="E76" s="51">
        <f>'CDM Adjustment'!AP27</f>
        <v>0</v>
      </c>
      <c r="F76" s="51">
        <f>'CDM Adjustment'!AQ27</f>
        <v>0</v>
      </c>
      <c r="G76" s="51">
        <f>'CDM Adjustment'!AR27</f>
        <v>0</v>
      </c>
      <c r="H76" s="59">
        <f>'CDM Adjustment'!AS27</f>
        <v>0</v>
      </c>
      <c r="J76" s="58" t="str">
        <f>B76</f>
        <v>Sentinel Light</v>
      </c>
      <c r="K76" s="51">
        <f>'CDM Adjustment'!AN55</f>
        <v>0</v>
      </c>
      <c r="L76" s="51">
        <f>'CDM Adjustment'!AO55</f>
        <v>0</v>
      </c>
      <c r="M76" s="51">
        <f>'CDM Adjustment'!AP55</f>
        <v>0</v>
      </c>
      <c r="N76" s="51">
        <f>'CDM Adjustment'!AQ55</f>
        <v>0</v>
      </c>
      <c r="O76" s="51">
        <f>'CDM Adjustment'!AR55</f>
        <v>0</v>
      </c>
      <c r="P76" s="59">
        <f>'CDM Adjustment'!AS55</f>
        <v>0</v>
      </c>
    </row>
    <row r="77" spans="2:19" ht="13">
      <c r="B77" s="58" t="str">
        <f>B69</f>
        <v>Total</v>
      </c>
      <c r="C77" s="51">
        <f>'CDM Adjustment'!AN28</f>
        <v>0</v>
      </c>
      <c r="D77" s="51">
        <f>'CDM Adjustment'!AO28</f>
        <v>0</v>
      </c>
      <c r="E77" s="51">
        <f>'CDM Adjustment'!AP28</f>
        <v>0</v>
      </c>
      <c r="F77" s="51">
        <f>'CDM Adjustment'!AQ28</f>
        <v>0</v>
      </c>
      <c r="G77" s="51">
        <f>'CDM Adjustment'!AR28</f>
        <v>0</v>
      </c>
      <c r="H77" s="59">
        <f>'CDM Adjustment'!AS28</f>
        <v>0</v>
      </c>
      <c r="J77" s="58" t="str">
        <f>B77</f>
        <v>Total</v>
      </c>
      <c r="K77" s="51">
        <f>'CDM Adjustment'!AN56</f>
        <v>0</v>
      </c>
      <c r="L77" s="51">
        <f>'CDM Adjustment'!AO56</f>
        <v>0</v>
      </c>
      <c r="M77" s="51">
        <f>'CDM Adjustment'!AP56</f>
        <v>0</v>
      </c>
      <c r="N77" s="51">
        <f>'CDM Adjustment'!AQ56</f>
        <v>0</v>
      </c>
      <c r="O77" s="51">
        <f>'CDM Adjustment'!AR56</f>
        <v>0</v>
      </c>
      <c r="P77" s="59">
        <f>'CDM Adjustment'!AS56</f>
        <v>0</v>
      </c>
    </row>
    <row r="78" spans="2:19" ht="13.5" thickBot="1">
      <c r="B78" s="57" t="s">
        <v>290</v>
      </c>
      <c r="C78" s="640">
        <f ca="1">SUM(C73:C77)</f>
        <v>47799.85929399966</v>
      </c>
      <c r="D78" s="640">
        <f t="shared" ref="D78:H78" ca="1" si="28">SUM(D73:D77)</f>
        <v>93575.013544809772</v>
      </c>
      <c r="E78" s="640">
        <f t="shared" ca="1" si="28"/>
        <v>140425.59116922275</v>
      </c>
      <c r="F78" s="640">
        <f t="shared" ca="1" si="28"/>
        <v>191682.27327830743</v>
      </c>
      <c r="G78" s="640">
        <f t="shared" ca="1" si="28"/>
        <v>248266.45341116848</v>
      </c>
      <c r="H78" s="56">
        <f t="shared" ca="1" si="28"/>
        <v>309084.54747190396</v>
      </c>
      <c r="J78" s="57" t="s">
        <v>290</v>
      </c>
      <c r="K78" s="640">
        <f t="shared" ref="K78:P78" ca="1" si="29">SUM(K73:K77)</f>
        <v>16312.342449138236</v>
      </c>
      <c r="L78" s="640">
        <f t="shared" ca="1" si="29"/>
        <v>31624.23921332242</v>
      </c>
      <c r="M78" s="640">
        <f t="shared" ca="1" si="29"/>
        <v>47813.580111021605</v>
      </c>
      <c r="N78" s="640">
        <f t="shared" ca="1" si="29"/>
        <v>64201.479737632217</v>
      </c>
      <c r="O78" s="640">
        <f t="shared" ca="1" si="29"/>
        <v>79829.344107761572</v>
      </c>
      <c r="P78" s="56">
        <f t="shared" ca="1" si="29"/>
        <v>95831.712475521839</v>
      </c>
    </row>
    <row r="80" spans="2:19" ht="16" thickBot="1">
      <c r="B80" s="64" t="s">
        <v>868</v>
      </c>
      <c r="C80" s="64" t="s">
        <v>1</v>
      </c>
      <c r="E80" s="51"/>
      <c r="F80" s="51"/>
      <c r="G80" s="51"/>
      <c r="H80" s="51"/>
      <c r="J80" s="64" t="s">
        <v>868</v>
      </c>
      <c r="K80" s="64" t="s">
        <v>2</v>
      </c>
      <c r="M80" s="51"/>
      <c r="N80" s="51"/>
      <c r="O80" s="51"/>
      <c r="P80" s="51"/>
    </row>
    <row r="81" spans="2:18" ht="13">
      <c r="B81" s="55" t="s">
        <v>3</v>
      </c>
      <c r="C81" s="54">
        <f t="shared" ref="C81:H81" si="30">C72</f>
        <v>2026</v>
      </c>
      <c r="D81" s="54">
        <f t="shared" si="30"/>
        <v>2027</v>
      </c>
      <c r="E81" s="54">
        <f t="shared" si="30"/>
        <v>2028</v>
      </c>
      <c r="F81" s="54">
        <f t="shared" si="30"/>
        <v>2029</v>
      </c>
      <c r="G81" s="54">
        <f t="shared" si="30"/>
        <v>2030</v>
      </c>
      <c r="H81" s="53">
        <f t="shared" si="30"/>
        <v>2031</v>
      </c>
      <c r="J81" s="55" t="s">
        <v>3</v>
      </c>
      <c r="K81" s="54">
        <f t="shared" ref="K81:P81" si="31">K72</f>
        <v>2026</v>
      </c>
      <c r="L81" s="54">
        <f t="shared" si="31"/>
        <v>2027</v>
      </c>
      <c r="M81" s="54">
        <f t="shared" si="31"/>
        <v>2028</v>
      </c>
      <c r="N81" s="54">
        <f t="shared" si="31"/>
        <v>2029</v>
      </c>
      <c r="O81" s="54">
        <f t="shared" si="31"/>
        <v>2030</v>
      </c>
      <c r="P81" s="53">
        <f t="shared" si="31"/>
        <v>2031</v>
      </c>
    </row>
    <row r="82" spans="2:18" ht="13">
      <c r="B82" s="58" t="str">
        <f>B56</f>
        <v>GS 50 - 2,999</v>
      </c>
      <c r="C82" s="51">
        <f t="shared" ref="C82:H86" ca="1" si="32">N56-C73</f>
        <v>2342346.9795161951</v>
      </c>
      <c r="D82" s="51">
        <f t="shared" ca="1" si="32"/>
        <v>2472002.527679252</v>
      </c>
      <c r="E82" s="51">
        <f t="shared" ca="1" si="32"/>
        <v>2506221.6534840767</v>
      </c>
      <c r="F82" s="51">
        <f t="shared" ca="1" si="32"/>
        <v>2533597.230771916</v>
      </c>
      <c r="G82" s="51">
        <f t="shared" ca="1" si="32"/>
        <v>2541360.3199104858</v>
      </c>
      <c r="H82" s="59">
        <f ca="1">S56-H73</f>
        <v>2567010.5102947801</v>
      </c>
      <c r="J82" s="58" t="str">
        <f>B82</f>
        <v>GS 50 - 2,999</v>
      </c>
      <c r="K82" s="51">
        <f t="shared" ref="K82:P83" ca="1" si="33">N65-K73</f>
        <v>829832.63785936066</v>
      </c>
      <c r="L82" s="51">
        <f t="shared" ca="1" si="33"/>
        <v>901367.84630914801</v>
      </c>
      <c r="M82" s="51">
        <f t="shared" ca="1" si="33"/>
        <v>932098.29309359228</v>
      </c>
      <c r="N82" s="51">
        <f t="shared" ca="1" si="33"/>
        <v>954166.59314810473</v>
      </c>
      <c r="O82" s="51">
        <f t="shared" ca="1" si="33"/>
        <v>970596.46008568769</v>
      </c>
      <c r="P82" s="59">
        <f t="shared" ca="1" si="33"/>
        <v>983951.72570996638</v>
      </c>
    </row>
    <row r="83" spans="2:18" ht="13">
      <c r="B83" s="58" t="str">
        <f>B57</f>
        <v>GS 3,000 - 4,999</v>
      </c>
      <c r="C83" s="51">
        <f t="shared" ca="1" si="32"/>
        <v>273247.33853807417</v>
      </c>
      <c r="D83" s="51">
        <f t="shared" ca="1" si="32"/>
        <v>351396.63829019741</v>
      </c>
      <c r="E83" s="51">
        <f t="shared" ca="1" si="32"/>
        <v>411318.8956286746</v>
      </c>
      <c r="F83" s="51">
        <f t="shared" ca="1" si="32"/>
        <v>449644.36124127265</v>
      </c>
      <c r="G83" s="51">
        <f t="shared" ca="1" si="32"/>
        <v>463427.4227972962</v>
      </c>
      <c r="H83" s="59">
        <f t="shared" ca="1" si="32"/>
        <v>482998.27296510391</v>
      </c>
      <c r="J83" s="58" t="str">
        <f>B83</f>
        <v>GS 3,000 - 4,999</v>
      </c>
      <c r="K83" s="51">
        <f t="shared" ca="1" si="33"/>
        <v>173949.9442774886</v>
      </c>
      <c r="L83" s="51">
        <f t="shared" ca="1" si="33"/>
        <v>204371.25895406152</v>
      </c>
      <c r="M83" s="51">
        <f t="shared" ca="1" si="33"/>
        <v>216633.83109030806</v>
      </c>
      <c r="N83" s="51">
        <f t="shared" ca="1" si="33"/>
        <v>226247.92405476479</v>
      </c>
      <c r="O83" s="51">
        <f t="shared" ca="1" si="33"/>
        <v>239629.99299442026</v>
      </c>
      <c r="P83" s="59">
        <f t="shared" ca="1" si="33"/>
        <v>251238.96891495207</v>
      </c>
    </row>
    <row r="84" spans="2:18" ht="13">
      <c r="B84" s="58" t="str">
        <f>B58</f>
        <v>Large Use</v>
      </c>
      <c r="C84" s="51">
        <f t="shared" ca="1" si="32"/>
        <v>582754.02625610516</v>
      </c>
      <c r="D84" s="51">
        <f t="shared" ca="1" si="32"/>
        <v>699952.55015067162</v>
      </c>
      <c r="E84" s="51">
        <f t="shared" ca="1" si="32"/>
        <v>838837.78883968422</v>
      </c>
      <c r="F84" s="51">
        <f t="shared" ca="1" si="32"/>
        <v>921903.83334637014</v>
      </c>
      <c r="G84" s="51">
        <f t="shared" ca="1" si="32"/>
        <v>941697.31207975489</v>
      </c>
      <c r="H84" s="59">
        <f t="shared" ca="1" si="32"/>
        <v>956657.69739546173</v>
      </c>
      <c r="J84" s="58"/>
      <c r="K84" s="51"/>
      <c r="L84" s="51"/>
      <c r="M84" s="51"/>
      <c r="N84" s="51"/>
      <c r="O84" s="51"/>
      <c r="P84" s="59"/>
    </row>
    <row r="85" spans="2:18" ht="13">
      <c r="B85" s="58" t="str">
        <f>B59</f>
        <v>Street Light</v>
      </c>
      <c r="C85" s="51">
        <f t="shared" ca="1" si="32"/>
        <v>32867.111912563763</v>
      </c>
      <c r="D85" s="51">
        <f t="shared" ca="1" si="32"/>
        <v>33229.794206584047</v>
      </c>
      <c r="E85" s="51">
        <f t="shared" ca="1" si="32"/>
        <v>33596.478630354744</v>
      </c>
      <c r="F85" s="51">
        <f t="shared" ca="1" si="32"/>
        <v>33967.209346612253</v>
      </c>
      <c r="G85" s="51">
        <f t="shared" ca="1" si="32"/>
        <v>34342.031005420286</v>
      </c>
      <c r="H85" s="59">
        <f t="shared" ca="1" si="32"/>
        <v>34720.988749547483</v>
      </c>
      <c r="J85" s="58" t="str">
        <f>B85</f>
        <v>Street Light</v>
      </c>
      <c r="K85" s="51">
        <f t="shared" ref="K85:P86" ca="1" si="34">N67-K76</f>
        <v>10137.611440111856</v>
      </c>
      <c r="L85" s="51">
        <f t="shared" ca="1" si="34"/>
        <v>10314.47561207424</v>
      </c>
      <c r="M85" s="51">
        <f t="shared" ca="1" si="34"/>
        <v>10494.425415746691</v>
      </c>
      <c r="N85" s="51">
        <f t="shared" ca="1" si="34"/>
        <v>10677.514684095742</v>
      </c>
      <c r="O85" s="51">
        <f t="shared" ca="1" si="34"/>
        <v>10863.798189275929</v>
      </c>
      <c r="P85" s="59">
        <f t="shared" ca="1" si="34"/>
        <v>11053.331659015181</v>
      </c>
    </row>
    <row r="86" spans="2:18" ht="13">
      <c r="B86" s="58" t="str">
        <f>B60</f>
        <v>Sentinel Light</v>
      </c>
      <c r="C86" s="51">
        <f t="shared" ca="1" si="32"/>
        <v>580.53909724113964</v>
      </c>
      <c r="D86" s="51">
        <f t="shared" ca="1" si="32"/>
        <v>569.18081677203395</v>
      </c>
      <c r="E86" s="51">
        <f t="shared" ca="1" si="32"/>
        <v>558.04476170657131</v>
      </c>
      <c r="F86" s="51">
        <f t="shared" ca="1" si="32"/>
        <v>547.12658419208481</v>
      </c>
      <c r="G86" s="51">
        <f t="shared" ca="1" si="32"/>
        <v>536.42202144189309</v>
      </c>
      <c r="H86" s="59">
        <f t="shared" ca="1" si="32"/>
        <v>525.92689407097839</v>
      </c>
      <c r="J86" s="58" t="str">
        <f>B86</f>
        <v>Sentinel Light</v>
      </c>
      <c r="K86" s="51">
        <f t="shared" ca="1" si="34"/>
        <v>83.986746134736094</v>
      </c>
      <c r="L86" s="51">
        <f t="shared" ca="1" si="34"/>
        <v>85.218072750022259</v>
      </c>
      <c r="M86" s="51">
        <f t="shared" ca="1" si="34"/>
        <v>86.467451799808998</v>
      </c>
      <c r="N86" s="51">
        <f t="shared" ca="1" si="34"/>
        <v>87.735147950178657</v>
      </c>
      <c r="O86" s="51">
        <f t="shared" ca="1" si="34"/>
        <v>89.021429747473391</v>
      </c>
      <c r="P86" s="59">
        <f t="shared" ca="1" si="34"/>
        <v>90.326569675183435</v>
      </c>
    </row>
    <row r="87" spans="2:18" ht="13.5" thickBot="1">
      <c r="B87" s="57" t="s">
        <v>290</v>
      </c>
      <c r="C87" s="640">
        <f t="shared" ref="C87:H87" ca="1" si="35">SUM(C82:C86)</f>
        <v>3231795.995320179</v>
      </c>
      <c r="D87" s="640">
        <f t="shared" ca="1" si="35"/>
        <v>3557150.6911434769</v>
      </c>
      <c r="E87" s="640">
        <f t="shared" ca="1" si="35"/>
        <v>3790532.8613444967</v>
      </c>
      <c r="F87" s="640">
        <f t="shared" ca="1" si="35"/>
        <v>3939659.7612903635</v>
      </c>
      <c r="G87" s="640">
        <f t="shared" ca="1" si="35"/>
        <v>3981363.5078143994</v>
      </c>
      <c r="H87" s="56">
        <f t="shared" ca="1" si="35"/>
        <v>4041913.396298964</v>
      </c>
      <c r="J87" s="57" t="s">
        <v>290</v>
      </c>
      <c r="K87" s="640">
        <f t="shared" ref="K87:P87" ca="1" si="36">SUM(K82:K86)</f>
        <v>1014004.1803230959</v>
      </c>
      <c r="L87" s="640">
        <f t="shared" ca="1" si="36"/>
        <v>1116138.7989480335</v>
      </c>
      <c r="M87" s="640">
        <f t="shared" ca="1" si="36"/>
        <v>1159313.017051447</v>
      </c>
      <c r="N87" s="640">
        <f t="shared" ca="1" si="36"/>
        <v>1191179.7670349155</v>
      </c>
      <c r="O87" s="640">
        <f t="shared" ca="1" si="36"/>
        <v>1221179.2726991314</v>
      </c>
      <c r="P87" s="56">
        <f t="shared" ca="1" si="36"/>
        <v>1246334.352853609</v>
      </c>
    </row>
    <row r="91" spans="2:18" ht="16" thickBot="1">
      <c r="B91" s="64" t="s">
        <v>869</v>
      </c>
      <c r="C91" s="64" t="s">
        <v>1</v>
      </c>
    </row>
    <row r="92" spans="2:18" ht="13">
      <c r="B92" s="63" t="s">
        <v>603</v>
      </c>
      <c r="C92" s="62" t="s">
        <v>856</v>
      </c>
      <c r="D92" s="62" t="s">
        <v>857</v>
      </c>
      <c r="E92" s="62" t="s">
        <v>858</v>
      </c>
      <c r="F92" s="62" t="s">
        <v>859</v>
      </c>
      <c r="G92" s="62" t="s">
        <v>860</v>
      </c>
      <c r="H92" s="62" t="s">
        <v>861</v>
      </c>
      <c r="I92" s="62" t="s">
        <v>862</v>
      </c>
      <c r="J92" s="62" t="s">
        <v>863</v>
      </c>
      <c r="K92" s="62" t="s">
        <v>4</v>
      </c>
      <c r="L92" s="62" t="s">
        <v>5</v>
      </c>
      <c r="M92" s="62" t="s">
        <v>6</v>
      </c>
      <c r="N92" s="62" t="s">
        <v>7</v>
      </c>
      <c r="O92" s="62" t="s">
        <v>8</v>
      </c>
      <c r="P92" s="62" t="s">
        <v>9</v>
      </c>
      <c r="Q92" s="62" t="s">
        <v>10</v>
      </c>
      <c r="R92" s="60" t="s">
        <v>11</v>
      </c>
    </row>
    <row r="93" spans="2:18" ht="13">
      <c r="B93" s="760" t="str">
        <f t="shared" ref="B93:B101" si="37">B3</f>
        <v>Residential</v>
      </c>
      <c r="C93" s="51">
        <f ca="1">OFFSET('Customer Count'!$C$4,COLUMN()-COLUMN($C93),0)</f>
        <v>107447.625</v>
      </c>
      <c r="D93" s="51">
        <f ca="1">OFFSET('Customer Count'!$C$4,COLUMN()-COLUMN($C93),0)</f>
        <v>108364.75</v>
      </c>
      <c r="E93" s="51">
        <f ca="1">OFFSET('Customer Count'!$C$4,COLUMN()-COLUMN($C93),0)</f>
        <v>109469.75</v>
      </c>
      <c r="F93" s="51">
        <f ca="1">OFFSET('Customer Count'!$C$4,COLUMN()-COLUMN($C93),0)</f>
        <v>110960.875</v>
      </c>
      <c r="G93" s="51">
        <f ca="1">OFFSET('Customer Count'!$C$4,COLUMN()-COLUMN($C93),0)</f>
        <v>112218.375</v>
      </c>
      <c r="H93" s="51">
        <f ca="1">OFFSET('Customer Count'!$C$4,COLUMN()-COLUMN($C93),0)</f>
        <v>113059.29166666664</v>
      </c>
      <c r="I93" s="51">
        <f ca="1">OFFSET('Customer Count'!$C$4,COLUMN()-COLUMN($C93),0)</f>
        <v>114160.83333333336</v>
      </c>
      <c r="J93" s="51">
        <f ca="1">OFFSET('Customer Count'!$C$4,COLUMN()-COLUMN($C93),0)</f>
        <v>115689.125</v>
      </c>
      <c r="K93" s="51">
        <f ca="1">OFFSET('Customer Count'!$C$4,COLUMN()-COLUMN($C93),0)</f>
        <v>117456.375</v>
      </c>
      <c r="L93" s="51">
        <f ca="1">OFFSET('Customer Count'!$C$4,COLUMN()-COLUMN($C93),0)</f>
        <v>118908.83333333337</v>
      </c>
      <c r="M93" s="51">
        <f ca="1">OFFSET('Customer Count'!$C$24,COLUMN()-COLUMN($M93),0)</f>
        <v>120549.42139909492</v>
      </c>
      <c r="N93" s="51">
        <f ca="1">OFFSET('Customer Count'!$C$24,COLUMN()-COLUMN($M93),0)</f>
        <v>122281.64122964442</v>
      </c>
      <c r="O93" s="51">
        <f ca="1">OFFSET('Customer Count'!$C$24,COLUMN()-COLUMN($M93),0)</f>
        <v>124107.7225953329</v>
      </c>
      <c r="P93" s="51">
        <f ca="1">OFFSET('Customer Count'!$C$24,COLUMN()-COLUMN($M93),0)</f>
        <v>126024.19465642334</v>
      </c>
      <c r="Q93" s="51">
        <f ca="1">OFFSET('Customer Count'!$C$24,COLUMN()-COLUMN($M93),0)</f>
        <v>128017.6351365939</v>
      </c>
      <c r="R93" s="59">
        <f ca="1">OFFSET('Customer Count'!$C$24,COLUMN()-COLUMN($M93),0)</f>
        <v>129908.78108451176</v>
      </c>
    </row>
    <row r="94" spans="2:18" ht="13">
      <c r="B94" s="58" t="str">
        <f t="shared" si="37"/>
        <v>Residential Seasonal</v>
      </c>
      <c r="C94" s="51">
        <f ca="1">OFFSET('Customer Count'!$G$4,COLUMN()-COLUMN($C94),0)</f>
        <v>1585.75</v>
      </c>
      <c r="D94" s="51">
        <f ca="1">OFFSET('Customer Count'!$G$4,COLUMN()-COLUMN($C94),0)</f>
        <v>1577.0416666666661</v>
      </c>
      <c r="E94" s="51">
        <f ca="1">OFFSET('Customer Count'!$G$4,COLUMN()-COLUMN($C94),0)</f>
        <v>1570.9166666666661</v>
      </c>
      <c r="F94" s="51">
        <f ca="1">OFFSET('Customer Count'!$G$4,COLUMN()-COLUMN($C94),0)</f>
        <v>1565.125</v>
      </c>
      <c r="G94" s="51">
        <f ca="1">OFFSET('Customer Count'!$G$4,COLUMN()-COLUMN($C94),0)</f>
        <v>1561</v>
      </c>
      <c r="H94" s="51">
        <f ca="1">OFFSET('Customer Count'!$G$4,COLUMN()-COLUMN($C94),0)</f>
        <v>1558.8333333333339</v>
      </c>
      <c r="I94" s="51">
        <f ca="1">OFFSET('Customer Count'!$G$4,COLUMN()-COLUMN($C94),0)</f>
        <v>1559.1666666666661</v>
      </c>
      <c r="J94" s="51">
        <f ca="1">OFFSET('Customer Count'!$G$4,COLUMN()-COLUMN($C94),0)</f>
        <v>1562.625</v>
      </c>
      <c r="K94" s="51">
        <f ca="1">OFFSET('Customer Count'!$G$4,COLUMN()-COLUMN($C94),0)</f>
        <v>1561.8333333333339</v>
      </c>
      <c r="L94" s="51">
        <f ca="1">OFFSET('Customer Count'!$G$4,COLUMN()-COLUMN($C94),0)</f>
        <v>1553.5</v>
      </c>
      <c r="M94" s="51">
        <f ca="1">OFFSET('Customer Count'!$G$24,COLUMN()-COLUMN($M94),0)</f>
        <v>1549.9606514054349</v>
      </c>
      <c r="N94" s="51">
        <f ca="1">OFFSET('Customer Count'!$G$24,COLUMN()-COLUMN($M94),0)</f>
        <v>1546.4261219890034</v>
      </c>
      <c r="O94" s="51">
        <f ca="1">OFFSET('Customer Count'!$G$24,COLUMN()-COLUMN($M94),0)</f>
        <v>1542.8996527115078</v>
      </c>
      <c r="P94" s="51">
        <f ca="1">OFFSET('Customer Count'!$G$24,COLUMN()-COLUMN($M94),0)</f>
        <v>1539.381225192612</v>
      </c>
      <c r="Q94" s="51">
        <f ca="1">OFFSET('Customer Count'!$G$24,COLUMN()-COLUMN($M94),0)</f>
        <v>1535.8708210938942</v>
      </c>
      <c r="R94" s="639">
        <f ca="1">OFFSET('Customer Count'!$G$24,COLUMN()-COLUMN($M94),0)</f>
        <v>1532.3684221187507</v>
      </c>
    </row>
    <row r="95" spans="2:18" ht="13.5" customHeight="1">
      <c r="B95" s="58" t="str">
        <f t="shared" si="37"/>
        <v>GS&lt;50</v>
      </c>
      <c r="C95" s="51">
        <f ca="1">OFFSET('Customer Count'!$K$4,COLUMN()-COLUMN($C95),0)</f>
        <v>8953.4166666666697</v>
      </c>
      <c r="D95" s="51">
        <f ca="1">OFFSET('Customer Count'!$K$4,COLUMN()-COLUMN($C95),0)</f>
        <v>9015.375</v>
      </c>
      <c r="E95" s="51">
        <f ca="1">OFFSET('Customer Count'!$K$4,COLUMN()-COLUMN($C95),0)</f>
        <v>9089.625</v>
      </c>
      <c r="F95" s="51">
        <f ca="1">OFFSET('Customer Count'!$K$4,COLUMN()-COLUMN($C95),0)</f>
        <v>9207.0416666666697</v>
      </c>
      <c r="G95" s="51">
        <f ca="1">OFFSET('Customer Count'!$K$4,COLUMN()-COLUMN($C95),0)</f>
        <v>9277.75</v>
      </c>
      <c r="H95" s="51">
        <f ca="1">OFFSET('Customer Count'!$K$4,COLUMN()-COLUMN($C95),0)</f>
        <v>9314.7083333333303</v>
      </c>
      <c r="I95" s="51">
        <f ca="1">OFFSET('Customer Count'!$K$4,COLUMN()-COLUMN($C95),0)</f>
        <v>9413.2083333333303</v>
      </c>
      <c r="J95" s="51">
        <f ca="1">OFFSET('Customer Count'!$K$4,COLUMN()-COLUMN($C95),0)</f>
        <v>9487.375</v>
      </c>
      <c r="K95" s="51">
        <f ca="1">OFFSET('Customer Count'!$K$4,COLUMN()-COLUMN($C95),0)</f>
        <v>9501.875</v>
      </c>
      <c r="L95" s="51">
        <f ca="1">OFFSET('Customer Count'!$K$4,COLUMN()-COLUMN($C95),0)</f>
        <v>9505.4583333333303</v>
      </c>
      <c r="M95" s="51">
        <f ca="1">OFFSET('Customer Count'!$K$24,COLUMN()-COLUMN($M95),0)</f>
        <v>9568.8251056720273</v>
      </c>
      <c r="N95" s="51">
        <f ca="1">OFFSET('Customer Count'!$K$24,COLUMN()-COLUMN($M95),0)</f>
        <v>9632.6494895360411</v>
      </c>
      <c r="O95" s="51">
        <f ca="1">OFFSET('Customer Count'!$K$24,COLUMN()-COLUMN($M95),0)</f>
        <v>9696.8995841775704</v>
      </c>
      <c r="P95" s="51">
        <f ca="1">OFFSET('Customer Count'!$K$24,COLUMN()-COLUMN($M95),0)</f>
        <v>9761.5782291017476</v>
      </c>
      <c r="Q95" s="51">
        <f ca="1">OFFSET('Customer Count'!$K$24,COLUMN()-COLUMN($M95),0)</f>
        <v>9826.6882827533191</v>
      </c>
      <c r="R95" s="639">
        <f ca="1">OFFSET('Customer Count'!$K$24,COLUMN()-COLUMN($M95),0)</f>
        <v>9892.2326226429323</v>
      </c>
    </row>
    <row r="96" spans="2:18" ht="13.5" customHeight="1">
      <c r="B96" s="58" t="str">
        <f t="shared" si="37"/>
        <v>GS 50 - 2,999</v>
      </c>
      <c r="C96" s="51">
        <f ca="1">OFFSET('Customer Count'!$O$4,COLUMN()-COLUMN($C96),0)</f>
        <v>1056.0416666666663</v>
      </c>
      <c r="D96" s="51">
        <f ca="1">OFFSET('Customer Count'!$O$4,COLUMN()-COLUMN($C96),0)</f>
        <v>1068.3333333333337</v>
      </c>
      <c r="E96" s="51">
        <f ca="1">OFFSET('Customer Count'!$O$4,COLUMN()-COLUMN($C96),0)</f>
        <v>1060.25</v>
      </c>
      <c r="F96" s="51">
        <f ca="1">OFFSET('Customer Count'!$O$4,COLUMN()-COLUMN($C96),0)</f>
        <v>1029.0833333333337</v>
      </c>
      <c r="G96" s="51">
        <f ca="1">OFFSET('Customer Count'!$O$4,COLUMN()-COLUMN($C96),0)</f>
        <v>1032</v>
      </c>
      <c r="H96" s="51">
        <f ca="1">OFFSET('Customer Count'!$O$4,COLUMN()-COLUMN($C96),0)</f>
        <v>1052.2083333333337</v>
      </c>
      <c r="I96" s="51">
        <f ca="1">OFFSET('Customer Count'!$O$4,COLUMN()-COLUMN($C96),0)</f>
        <v>1037.25</v>
      </c>
      <c r="J96" s="51">
        <f ca="1">OFFSET('Customer Count'!$O$4,COLUMN()-COLUMN($C96),0)</f>
        <v>1030.4583333333335</v>
      </c>
      <c r="K96" s="51">
        <f ca="1">OFFSET('Customer Count'!$O$4,COLUMN()-COLUMN($C96),0)</f>
        <v>1059.4166666666663</v>
      </c>
      <c r="L96" s="51">
        <f ca="1">OFFSET('Customer Count'!$O$4,COLUMN()-COLUMN($C96),0)</f>
        <v>1088</v>
      </c>
      <c r="M96" s="51">
        <f ca="1">OFFSET('Customer Count'!$R$24,COLUMN()-COLUMN($M96),0)</f>
        <v>1095.670111892214</v>
      </c>
      <c r="N96" s="51">
        <f ca="1">OFFSET('Customer Count'!$R$24,COLUMN()-COLUMN($M96),0)</f>
        <v>1104.1380135023953</v>
      </c>
      <c r="O96" s="51">
        <f ca="1">OFFSET('Customer Count'!$R$24,COLUMN()-COLUMN($M96),0)</f>
        <v>1109.4512668474492</v>
      </c>
      <c r="P96" s="51">
        <f ca="1">OFFSET('Customer Count'!$R$24,COLUMN()-COLUMN($M96),0)</f>
        <v>1113.6182451390212</v>
      </c>
      <c r="Q96" s="51">
        <f ca="1">OFFSET('Customer Count'!$R$24,COLUMN()-COLUMN($M96),0)</f>
        <v>1117.3681550544138</v>
      </c>
      <c r="R96" s="59">
        <f ca="1">OFFSET('Customer Count'!$R$24,COLUMN()-COLUMN($M96),0)</f>
        <v>1121.0385367370197</v>
      </c>
    </row>
    <row r="97" spans="2:18" ht="13.5" customHeight="1">
      <c r="B97" s="58" t="str">
        <f t="shared" si="37"/>
        <v>GS 3,000 - 4,999</v>
      </c>
      <c r="C97" s="51">
        <f ca="1">OFFSET('Customer Count'!$U$4,COLUMN()-COLUMN($C97),0)</f>
        <v>5</v>
      </c>
      <c r="D97" s="51">
        <f ca="1">OFFSET('Customer Count'!$U$4,COLUMN()-COLUMN($C97),0)</f>
        <v>5</v>
      </c>
      <c r="E97" s="51">
        <f ca="1">OFFSET('Customer Count'!$U$4,COLUMN()-COLUMN($C97),0)</f>
        <v>4.4583333333333348</v>
      </c>
      <c r="F97" s="51">
        <f ca="1">OFFSET('Customer Count'!$U$4,COLUMN()-COLUMN($C97),0)</f>
        <v>4</v>
      </c>
      <c r="G97" s="51">
        <f ca="1">OFFSET('Customer Count'!$U$4,COLUMN()-COLUMN($C97),0)</f>
        <v>4.5416666666666652</v>
      </c>
      <c r="H97" s="51">
        <f ca="1">OFFSET('Customer Count'!$U$4,COLUMN()-COLUMN($C97),0)</f>
        <v>5.5416666666666643</v>
      </c>
      <c r="I97" s="51">
        <f ca="1">OFFSET('Customer Count'!$U$4,COLUMN()-COLUMN($C97),0)</f>
        <v>5.4583333333333357</v>
      </c>
      <c r="J97" s="51">
        <f ca="1">OFFSET('Customer Count'!$U$4,COLUMN()-COLUMN($C97),0)</f>
        <v>5</v>
      </c>
      <c r="K97" s="51">
        <f ca="1">OFFSET('Customer Count'!$U$4,COLUMN()-COLUMN($C97),0)</f>
        <v>5</v>
      </c>
      <c r="L97" s="51">
        <f ca="1">OFFSET('Customer Count'!$U$4,COLUMN()-COLUMN($C97),0)</f>
        <v>5</v>
      </c>
      <c r="M97" s="51">
        <f ca="1">OFFSET('Customer Count'!$X$24,COLUMN()-COLUMN($M97),0)</f>
        <v>6.354166666666667</v>
      </c>
      <c r="N97" s="51">
        <f ca="1">OFFSET('Customer Count'!$X$24,COLUMN()-COLUMN($M97),0)</f>
        <v>8.0958333333333332</v>
      </c>
      <c r="O97" s="51">
        <f ca="1">OFFSET('Customer Count'!$X$24,COLUMN()-COLUMN($M97),0)</f>
        <v>8.9250000000000007</v>
      </c>
      <c r="P97" s="51">
        <f ca="1">OFFSET('Customer Count'!$X$24,COLUMN()-COLUMN($M97),0)</f>
        <v>9.2541666666666682</v>
      </c>
      <c r="Q97" s="51">
        <f ca="1">OFFSET('Customer Count'!$X$24,COLUMN()-COLUMN($M97),0)</f>
        <v>9.300000000000006</v>
      </c>
      <c r="R97" s="59">
        <f ca="1">OFFSET('Customer Count'!$X$24,COLUMN()-COLUMN($M97),0)</f>
        <v>9.300000000000006</v>
      </c>
    </row>
    <row r="98" spans="2:18" ht="13.5" customHeight="1">
      <c r="B98" s="58" t="str">
        <f t="shared" si="37"/>
        <v>Large Use</v>
      </c>
      <c r="C98" s="51">
        <f ca="1">OFFSET('Customer Count'!$AA$4,COLUMN()-COLUMN($C98),0)</f>
        <v>3</v>
      </c>
      <c r="D98" s="51">
        <f ca="1">OFFSET('Customer Count'!$AA$4,COLUMN()-COLUMN($C98),0)</f>
        <v>3</v>
      </c>
      <c r="E98" s="51">
        <f ca="1">OFFSET('Customer Count'!$AA$4,COLUMN()-COLUMN($C98),0)</f>
        <v>3.5416666666666674</v>
      </c>
      <c r="F98" s="51">
        <f ca="1">OFFSET('Customer Count'!$AA$4,COLUMN()-COLUMN($C98),0)</f>
        <v>4</v>
      </c>
      <c r="G98" s="51">
        <f ca="1">OFFSET('Customer Count'!$AA$4,COLUMN()-COLUMN($C98),0)</f>
        <v>4</v>
      </c>
      <c r="H98" s="51">
        <f ca="1">OFFSET('Customer Count'!$AA$4,COLUMN()-COLUMN($C98),0)</f>
        <v>4</v>
      </c>
      <c r="I98" s="51">
        <f ca="1">OFFSET('Customer Count'!$AA$4,COLUMN()-COLUMN($C98),0)</f>
        <v>4</v>
      </c>
      <c r="J98" s="51">
        <f ca="1">OFFSET('Customer Count'!$AA$4,COLUMN()-COLUMN($C98),0)</f>
        <v>4.5416666666666652</v>
      </c>
      <c r="K98" s="51">
        <f ca="1">OFFSET('Customer Count'!$AA$4,COLUMN()-COLUMN($C98),0)</f>
        <v>5</v>
      </c>
      <c r="L98" s="51">
        <f ca="1">OFFSET('Customer Count'!$AA$4,COLUMN()-COLUMN($C98),0)</f>
        <v>5</v>
      </c>
      <c r="M98" s="51">
        <f ca="1">OFFSET('Customer Count'!$AD$24,COLUMN()-COLUMN($M98),0)</f>
        <v>5.203125</v>
      </c>
      <c r="N98" s="51">
        <f ca="1">OFFSET('Customer Count'!$AD$24,COLUMN()-COLUMN($M98),0)</f>
        <v>5.645833333333333</v>
      </c>
      <c r="O98" s="51">
        <f ca="1">OFFSET('Customer Count'!$AD$24,COLUMN()-COLUMN($M98),0)</f>
        <v>5.9427083333333321</v>
      </c>
      <c r="P98" s="51">
        <f ca="1">OFFSET('Customer Count'!$AD$24,COLUMN()-COLUMN($M98),0)</f>
        <v>5.9999999999999991</v>
      </c>
      <c r="Q98" s="51">
        <f ca="1">OFFSET('Customer Count'!$AD$24,COLUMN()-COLUMN($M98),0)</f>
        <v>5.9999999999999991</v>
      </c>
      <c r="R98" s="59">
        <f ca="1">OFFSET('Customer Count'!$AD$24,COLUMN()-COLUMN($M98),0)</f>
        <v>5.9999999999999991</v>
      </c>
    </row>
    <row r="99" spans="2:18" ht="13.5" customHeight="1">
      <c r="B99" s="58" t="str">
        <f t="shared" si="37"/>
        <v>Street Light</v>
      </c>
      <c r="C99" s="51">
        <f ca="1">OFFSET('Customer Count'!$AG$4,COLUMN()-COLUMN($C99),0)</f>
        <v>30030.75</v>
      </c>
      <c r="D99" s="51">
        <f ca="1">OFFSET('Customer Count'!$AG$4,COLUMN()-COLUMN($C99),0)</f>
        <v>30411.75</v>
      </c>
      <c r="E99" s="51">
        <f ca="1">OFFSET('Customer Count'!$AG$4,COLUMN()-COLUMN($C99),0)</f>
        <v>30897.625</v>
      </c>
      <c r="F99" s="51">
        <f ca="1">OFFSET('Customer Count'!$AG$4,COLUMN()-COLUMN($C99),0)</f>
        <v>31143.041666666657</v>
      </c>
      <c r="G99" s="51">
        <f ca="1">OFFSET('Customer Count'!$AG$4,COLUMN()-COLUMN($C99),0)</f>
        <v>31414.916666666657</v>
      </c>
      <c r="H99" s="51">
        <f ca="1">OFFSET('Customer Count'!$AG$4,COLUMN()-COLUMN($C99),0)</f>
        <v>31679.166666666657</v>
      </c>
      <c r="I99" s="51">
        <f ca="1">OFFSET('Customer Count'!$AG$4,COLUMN()-COLUMN($C99),0)</f>
        <v>31795.041666666657</v>
      </c>
      <c r="J99" s="51">
        <f ca="1">OFFSET('Customer Count'!$AG$4,COLUMN()-COLUMN($C99),0)</f>
        <v>32131.541666666657</v>
      </c>
      <c r="K99" s="51">
        <f ca="1">OFFSET('Customer Count'!$AG$4,COLUMN()-COLUMN($C99),0)</f>
        <v>32717.416666666661</v>
      </c>
      <c r="L99" s="51">
        <f ca="1">OFFSET('Customer Count'!$AG$4,COLUMN()-COLUMN($C99),0)</f>
        <v>33148.291666666679</v>
      </c>
      <c r="M99" s="51">
        <f ca="1">OFFSET('Customer Count'!$AG$24,COLUMN()-COLUMN($M99),0)</f>
        <v>33513.940476027485</v>
      </c>
      <c r="N99" s="51">
        <f ca="1">OFFSET('Customer Count'!$AG$24,COLUMN()-COLUMN($M99),0)</f>
        <v>33883.760399537663</v>
      </c>
      <c r="O99" s="51">
        <f ca="1">OFFSET('Customer Count'!$AG$24,COLUMN()-COLUMN($M99),0)</f>
        <v>34257.661215174587</v>
      </c>
      <c r="P99" s="51">
        <f ca="1">OFFSET('Customer Count'!$AG$24,COLUMN()-COLUMN($M99),0)</f>
        <v>34635.687954802408</v>
      </c>
      <c r="Q99" s="51">
        <f ca="1">OFFSET('Customer Count'!$AG$24,COLUMN()-COLUMN($M99),0)</f>
        <v>35017.886147203273</v>
      </c>
      <c r="R99" s="59">
        <f ca="1">OFFSET('Customer Count'!$AG$24,COLUMN()-COLUMN($M99),0)</f>
        <v>35404.301823560694</v>
      </c>
    </row>
    <row r="100" spans="2:18" ht="13.5" customHeight="1">
      <c r="B100" s="58" t="str">
        <f t="shared" si="37"/>
        <v>Sentinel Light</v>
      </c>
      <c r="C100" s="51">
        <f ca="1">OFFSET('Customer Count'!$AK$4,COLUMN()-COLUMN($C100),0)</f>
        <v>439</v>
      </c>
      <c r="D100" s="51">
        <f ca="1">OFFSET('Customer Count'!$AK$4,COLUMN()-COLUMN($C100),0)</f>
        <v>439</v>
      </c>
      <c r="E100" s="51">
        <f ca="1">OFFSET('Customer Count'!$AK$4,COLUMN()-COLUMN($C100),0)</f>
        <v>439</v>
      </c>
      <c r="F100" s="51">
        <f ca="1">OFFSET('Customer Count'!$AK$4,COLUMN()-COLUMN($C100),0)</f>
        <v>342.04166666666652</v>
      </c>
      <c r="G100" s="51">
        <f ca="1">OFFSET('Customer Count'!$AK$4,COLUMN()-COLUMN($C100),0)</f>
        <v>255.125</v>
      </c>
      <c r="H100" s="51">
        <f ca="1">OFFSET('Customer Count'!$AK$4,COLUMN()-COLUMN($C100),0)</f>
        <v>248.83333333333326</v>
      </c>
      <c r="I100" s="51">
        <f ca="1">OFFSET('Customer Count'!$AK$4,COLUMN()-COLUMN($C100),0)</f>
        <v>245.91666666666674</v>
      </c>
      <c r="J100" s="51">
        <f ca="1">OFFSET('Customer Count'!$AK$4,COLUMN()-COLUMN($C100),0)</f>
        <v>242.83333333333326</v>
      </c>
      <c r="K100" s="51">
        <f ca="1">OFFSET('Customer Count'!$AK$4,COLUMN()-COLUMN($C100),0)</f>
        <v>238.29166666666674</v>
      </c>
      <c r="L100" s="51">
        <f ca="1">OFFSET('Customer Count'!$AK$4,COLUMN()-COLUMN($C100),0)</f>
        <v>231.125</v>
      </c>
      <c r="M100" s="51">
        <f ca="1">OFFSET('Customer Count'!$AK$24,COLUMN()-COLUMN($M100),0)</f>
        <v>226.61037880257982</v>
      </c>
      <c r="N100" s="51">
        <f ca="1">OFFSET('Customer Count'!$AK$24,COLUMN()-COLUMN($M100),0)</f>
        <v>222.17673384760306</v>
      </c>
      <c r="O100" s="51">
        <f ca="1">OFFSET('Customer Count'!$AK$24,COLUMN()-COLUMN($M100),0)</f>
        <v>217.82983340843643</v>
      </c>
      <c r="P100" s="51">
        <f ca="1">OFFSET('Customer Count'!$AK$24,COLUMN()-COLUMN($M100),0)</f>
        <v>213.56798032369252</v>
      </c>
      <c r="Q100" s="51">
        <f ca="1">OFFSET('Customer Count'!$AK$24,COLUMN()-COLUMN($M100),0)</f>
        <v>209.38951063704306</v>
      </c>
      <c r="R100" s="59">
        <f ca="1">OFFSET('Customer Count'!$AK$24,COLUMN()-COLUMN($M100),0)</f>
        <v>205.29279294756</v>
      </c>
    </row>
    <row r="101" spans="2:18" ht="13">
      <c r="B101" s="58" t="str">
        <f t="shared" si="37"/>
        <v>USL</v>
      </c>
      <c r="C101" s="51">
        <f ca="1">OFFSET('Customer Count'!$AO$4,COLUMN()-COLUMN($C101),0)</f>
        <v>837.41666666666686</v>
      </c>
      <c r="D101" s="51">
        <f ca="1">OFFSET('Customer Count'!$AO$4,COLUMN()-COLUMN($C101),0)</f>
        <v>825.58333333333314</v>
      </c>
      <c r="E101" s="51">
        <f ca="1">OFFSET('Customer Count'!$AO$4,COLUMN()-COLUMN($C101),0)</f>
        <v>817.75</v>
      </c>
      <c r="F101" s="51">
        <f ca="1">OFFSET('Customer Count'!$AO$4,COLUMN()-COLUMN($C101),0)</f>
        <v>809.04166666666697</v>
      </c>
      <c r="G101" s="51">
        <f ca="1">OFFSET('Customer Count'!$AO$4,COLUMN()-COLUMN($C101),0)</f>
        <v>801.83333333333303</v>
      </c>
      <c r="H101" s="51">
        <f ca="1">OFFSET('Customer Count'!$AO$4,COLUMN()-COLUMN($C101),0)</f>
        <v>801.625</v>
      </c>
      <c r="I101" s="51">
        <f ca="1">OFFSET('Customer Count'!$AO$4,COLUMN()-COLUMN($C101),0)</f>
        <v>800.83333333333303</v>
      </c>
      <c r="J101" s="51">
        <f ca="1">OFFSET('Customer Count'!$AO$4,COLUMN()-COLUMN($C101),0)</f>
        <v>797.91666666666697</v>
      </c>
      <c r="K101" s="51">
        <f ca="1">OFFSET('Customer Count'!$AO$4,COLUMN()-COLUMN($C101),0)</f>
        <v>769.91666666666697</v>
      </c>
      <c r="L101" s="51">
        <f ca="1">OFFSET('Customer Count'!$AO$4,COLUMN()-COLUMN($C101),0)</f>
        <v>775.16666666666697</v>
      </c>
      <c r="M101" s="51">
        <f ca="1">OFFSET('Customer Count'!$AO$24,COLUMN()-COLUMN($M101),0)</f>
        <v>795.29655282409192</v>
      </c>
      <c r="N101" s="51">
        <f ca="1">OFFSET('Customer Count'!$AO$24,COLUMN()-COLUMN($M101),0)</f>
        <v>788.50800554610271</v>
      </c>
      <c r="O101" s="51">
        <f ca="1">OFFSET('Customer Count'!$AO$24,COLUMN()-COLUMN($M101),0)</f>
        <v>781.76948925132695</v>
      </c>
      <c r="P101" s="51">
        <f ca="1">OFFSET('Customer Count'!$AO$24,COLUMN()-COLUMN($M101),0)</f>
        <v>775.08855969192416</v>
      </c>
      <c r="Q101" s="51">
        <f ca="1">OFFSET('Customer Count'!$AO$24,COLUMN()-COLUMN($M101),0)</f>
        <v>768.46472473699441</v>
      </c>
      <c r="R101" s="59">
        <f ca="1">OFFSET('Customer Count'!$AO$24,COLUMN()-COLUMN($M101),0)</f>
        <v>761.89749646134203</v>
      </c>
    </row>
    <row r="102" spans="2:18" ht="13.5" thickBot="1">
      <c r="B102" s="57" t="s">
        <v>290</v>
      </c>
      <c r="C102" s="640">
        <f t="shared" ref="C102:R102" ca="1" si="38">SUM(C93:C101)</f>
        <v>150358</v>
      </c>
      <c r="D102" s="640">
        <f t="shared" ca="1" si="38"/>
        <v>151709.83333333334</v>
      </c>
      <c r="E102" s="640">
        <f ca="1">SUM(E93:E101)</f>
        <v>153352.91666666669</v>
      </c>
      <c r="F102" s="640">
        <f t="shared" ca="1" si="38"/>
        <v>155064.24999999997</v>
      </c>
      <c r="G102" s="640">
        <f t="shared" ca="1" si="38"/>
        <v>156569.54166666666</v>
      </c>
      <c r="H102" s="640">
        <f t="shared" ca="1" si="38"/>
        <v>157724.20833333328</v>
      </c>
      <c r="I102" s="640">
        <f t="shared" ca="1" si="38"/>
        <v>159021.70833333334</v>
      </c>
      <c r="J102" s="640">
        <f t="shared" ca="1" si="38"/>
        <v>160951.41666666666</v>
      </c>
      <c r="K102" s="640">
        <f t="shared" ca="1" si="38"/>
        <v>163315.12499999997</v>
      </c>
      <c r="L102" s="640">
        <f t="shared" ref="L102" ca="1" si="39">SUM(L93:L101)</f>
        <v>165220.37500000003</v>
      </c>
      <c r="M102" s="640">
        <f t="shared" ca="1" si="38"/>
        <v>167311.28196738541</v>
      </c>
      <c r="N102" s="640">
        <f t="shared" ca="1" si="38"/>
        <v>169473.0416602699</v>
      </c>
      <c r="O102" s="641">
        <f t="shared" ca="1" si="38"/>
        <v>171729.10134523714</v>
      </c>
      <c r="P102" s="640">
        <f t="shared" ca="1" si="38"/>
        <v>174078.37101734141</v>
      </c>
      <c r="Q102" s="641">
        <f t="shared" ca="1" si="38"/>
        <v>176508.60277807282</v>
      </c>
      <c r="R102" s="50">
        <f t="shared" ca="1" si="38"/>
        <v>178841.21277898009</v>
      </c>
    </row>
    <row r="104" spans="2:18" ht="16" thickBot="1">
      <c r="B104" s="64" t="s">
        <v>869</v>
      </c>
      <c r="C104" s="64" t="s">
        <v>2</v>
      </c>
    </row>
    <row r="105" spans="2:18" ht="13">
      <c r="B105" s="63" t="s">
        <v>603</v>
      </c>
      <c r="C105" s="62" t="s">
        <v>856</v>
      </c>
      <c r="D105" s="62" t="s">
        <v>857</v>
      </c>
      <c r="E105" s="62" t="s">
        <v>858</v>
      </c>
      <c r="F105" s="62" t="s">
        <v>859</v>
      </c>
      <c r="G105" s="62" t="s">
        <v>860</v>
      </c>
      <c r="H105" s="62" t="s">
        <v>861</v>
      </c>
      <c r="I105" s="62" t="s">
        <v>862</v>
      </c>
      <c r="J105" s="62" t="s">
        <v>863</v>
      </c>
      <c r="K105" s="62" t="s">
        <v>4</v>
      </c>
      <c r="L105" s="62" t="s">
        <v>5</v>
      </c>
      <c r="M105" s="62" t="s">
        <v>6</v>
      </c>
      <c r="N105" s="62" t="s">
        <v>7</v>
      </c>
      <c r="O105" s="62" t="s">
        <v>8</v>
      </c>
      <c r="P105" s="62" t="s">
        <v>9</v>
      </c>
      <c r="Q105" s="62" t="s">
        <v>10</v>
      </c>
      <c r="R105" s="60" t="s">
        <v>11</v>
      </c>
    </row>
    <row r="106" spans="2:18" ht="13">
      <c r="B106" s="760" t="str">
        <f t="shared" ref="B106:B112" si="40">B16</f>
        <v>Residential</v>
      </c>
      <c r="C106" s="51">
        <f ca="1">OFFSET('Customer Count'!$AT$4,COLUMN()-COLUMN($C106),0)</f>
        <v>39433.541666666679</v>
      </c>
      <c r="D106" s="51">
        <f ca="1">OFFSET('Customer Count'!$AT$4,COLUMN()-COLUMN($C106),0)</f>
        <v>39751.583333333321</v>
      </c>
      <c r="E106" s="51">
        <f ca="1">OFFSET('Customer Count'!$AT$4,COLUMN()-COLUMN($C106),0)</f>
        <v>40096.916666666679</v>
      </c>
      <c r="F106" s="51">
        <f ca="1">OFFSET('Customer Count'!$AT$4,COLUMN()-COLUMN($C106),0)</f>
        <v>40903.041666666679</v>
      </c>
      <c r="G106" s="51">
        <f ca="1">OFFSET('Customer Count'!$AT$4,COLUMN()-COLUMN($C106),0)</f>
        <v>41880.625</v>
      </c>
      <c r="H106" s="51">
        <f ca="1">OFFSET('Customer Count'!$AT$4,COLUMN()-COLUMN($C106),0)</f>
        <v>42897.875</v>
      </c>
      <c r="I106" s="51">
        <f ca="1">OFFSET('Customer Count'!$AT$4,COLUMN()-COLUMN($C106),0)</f>
        <v>44013.541666666686</v>
      </c>
      <c r="J106" s="51">
        <f ca="1">OFFSET('Customer Count'!$AT$4,COLUMN()-COLUMN($C106),0)</f>
        <v>44945.416666666686</v>
      </c>
      <c r="K106" s="51">
        <f ca="1">OFFSET('Customer Count'!$AT$4,COLUMN()-COLUMN($C106),0)</f>
        <v>45520.625</v>
      </c>
      <c r="L106" s="51">
        <f ca="1">OFFSET('Customer Count'!$AT$4,COLUMN()-COLUMN($C106),0)</f>
        <v>45869</v>
      </c>
      <c r="M106" s="51">
        <f ca="1">OFFSET('Customer Count'!$AT$24,COLUMN()-COLUMN($M106),0)</f>
        <v>46497.326764268808</v>
      </c>
      <c r="N106" s="51">
        <f ca="1">OFFSET('Customer Count'!$AT$24,COLUMN()-COLUMN($M106),0)</f>
        <v>47176.612779935756</v>
      </c>
      <c r="O106" s="51">
        <f ca="1">OFFSET('Customer Count'!$AT$24,COLUMN()-COLUMN($M106),0)</f>
        <v>47930.351446795765</v>
      </c>
      <c r="P106" s="51">
        <f ca="1">OFFSET('Customer Count'!$AT$24,COLUMN()-COLUMN($M106),0)</f>
        <v>48757.126914828092</v>
      </c>
      <c r="Q106" s="51">
        <f ca="1">OFFSET('Customer Count'!$AT$24,COLUMN()-COLUMN($M106),0)</f>
        <v>49613.598476663967</v>
      </c>
      <c r="R106" s="59">
        <f ca="1">OFFSET('Customer Count'!$AT$24,COLUMN()-COLUMN($M106),0)</f>
        <v>50393.956163665607</v>
      </c>
    </row>
    <row r="107" spans="2:18" ht="13">
      <c r="B107" s="58" t="str">
        <f t="shared" si="40"/>
        <v>GS&lt;50</v>
      </c>
      <c r="C107" s="51">
        <f ca="1">OFFSET('Customer Count'!$AX$4,COLUMN()-COLUMN($C107),0)</f>
        <v>2201.2083333333326</v>
      </c>
      <c r="D107" s="51">
        <f ca="1">OFFSET('Customer Count'!$AX$4,COLUMN()-COLUMN($C107),0)</f>
        <v>2229.75</v>
      </c>
      <c r="E107" s="51">
        <f ca="1">OFFSET('Customer Count'!$AX$4,COLUMN()-COLUMN($C107),0)</f>
        <v>2246.6666666666674</v>
      </c>
      <c r="F107" s="51">
        <f ca="1">OFFSET('Customer Count'!$AX$4,COLUMN()-COLUMN($C107),0)</f>
        <v>2261.0416666666674</v>
      </c>
      <c r="G107" s="51">
        <f ca="1">OFFSET('Customer Count'!$AX$4,COLUMN()-COLUMN($C107),0)</f>
        <v>2284.3333333333326</v>
      </c>
      <c r="H107" s="51">
        <f ca="1">OFFSET('Customer Count'!$AX$4,COLUMN()-COLUMN($C107),0)</f>
        <v>2326.625</v>
      </c>
      <c r="I107" s="51">
        <f ca="1">OFFSET('Customer Count'!$AX$4,COLUMN()-COLUMN($C107),0)</f>
        <v>2383.5833333333326</v>
      </c>
      <c r="J107" s="51">
        <f ca="1">OFFSET('Customer Count'!$AX$4,COLUMN()-COLUMN($C107),0)</f>
        <v>2435.2916666666674</v>
      </c>
      <c r="K107" s="51">
        <f ca="1">OFFSET('Customer Count'!$AX$4,COLUMN()-COLUMN($C107),0)</f>
        <v>2464.75</v>
      </c>
      <c r="L107" s="51">
        <f ca="1">OFFSET('Customer Count'!$AX$4,COLUMN()-COLUMN($C107),0)</f>
        <v>2473</v>
      </c>
      <c r="M107" s="51">
        <f ca="1">OFFSET('Customer Count'!$AX$24,COLUMN()-COLUMN($M107),0)</f>
        <v>2505.1895921108166</v>
      </c>
      <c r="N107" s="51">
        <f ca="1">OFFSET('Customer Count'!$AX$24,COLUMN()-COLUMN($M107),0)</f>
        <v>2537.8076740421684</v>
      </c>
      <c r="O107" s="51">
        <f ca="1">OFFSET('Customer Count'!$AX$24,COLUMN()-COLUMN($M107),0)</f>
        <v>2570.8504500853869</v>
      </c>
      <c r="P107" s="51">
        <f ca="1">OFFSET('Customer Count'!$AX$24,COLUMN()-COLUMN($M107),0)</f>
        <v>2604.3234498448514</v>
      </c>
      <c r="Q107" s="51">
        <f ca="1">OFFSET('Customer Count'!$AX$24,COLUMN()-COLUMN($M107),0)</f>
        <v>2638.2322749215205</v>
      </c>
      <c r="R107" s="59">
        <f ca="1">OFFSET('Customer Count'!$AX$24,COLUMN()-COLUMN($M107),0)</f>
        <v>2672.5825998503497</v>
      </c>
    </row>
    <row r="108" spans="2:18" ht="13">
      <c r="B108" s="58" t="str">
        <f t="shared" si="40"/>
        <v>GS 50 - 2,999</v>
      </c>
      <c r="C108" s="51">
        <f ca="1">OFFSET('Customer Count'!$BB$4,COLUMN()-COLUMN($C108),0)</f>
        <v>367.08333333333348</v>
      </c>
      <c r="D108" s="51">
        <f ca="1">OFFSET('Customer Count'!$BB$4,COLUMN()-COLUMN($C108),0)</f>
        <v>368</v>
      </c>
      <c r="E108" s="51">
        <f ca="1">OFFSET('Customer Count'!$BB$4,COLUMN()-COLUMN($C108),0)</f>
        <v>372.875</v>
      </c>
      <c r="F108" s="51">
        <f ca="1">OFFSET('Customer Count'!$BB$4,COLUMN()-COLUMN($C108),0)</f>
        <v>377</v>
      </c>
      <c r="G108" s="51">
        <f ca="1">OFFSET('Customer Count'!$BB$4,COLUMN()-COLUMN($C108),0)</f>
        <v>381.875</v>
      </c>
      <c r="H108" s="51">
        <f ca="1">OFFSET('Customer Count'!$BB$4,COLUMN()-COLUMN($C108),0)</f>
        <v>390.875</v>
      </c>
      <c r="I108" s="51">
        <f ca="1">OFFSET('Customer Count'!$BB$4,COLUMN()-COLUMN($C108),0)</f>
        <v>386.33333333333348</v>
      </c>
      <c r="J108" s="51">
        <f ca="1">OFFSET('Customer Count'!$BB$4,COLUMN()-COLUMN($C108),0)</f>
        <v>383.33333333333348</v>
      </c>
      <c r="K108" s="51">
        <f ca="1">OFFSET('Customer Count'!$BB$4,COLUMN()-COLUMN($C108),0)</f>
        <v>388.625</v>
      </c>
      <c r="L108" s="51">
        <f ca="1">OFFSET('Customer Count'!$BB$4,COLUMN()-COLUMN($C108),0)</f>
        <v>396.5</v>
      </c>
      <c r="M108" s="51">
        <f ca="1">OFFSET('Customer Count'!$BE$24,COLUMN()-COLUMN($M108),0)</f>
        <v>403.40284286596511</v>
      </c>
      <c r="N108" s="51">
        <f ca="1">OFFSET('Customer Count'!$BE$24,COLUMN()-COLUMN($M108),0)</f>
        <v>411.89807952600358</v>
      </c>
      <c r="O108" s="51">
        <f ca="1">OFFSET('Customer Count'!$BE$24,COLUMN()-COLUMN($M108),0)</f>
        <v>417.98332406506097</v>
      </c>
      <c r="P108" s="51">
        <f ca="1">OFFSET('Customer Count'!$BE$24,COLUMN()-COLUMN($M108),0)</f>
        <v>422.77549769417504</v>
      </c>
      <c r="Q108" s="51">
        <f ca="1">OFFSET('Customer Count'!$BE$24,COLUMN()-COLUMN($M108),0)</f>
        <v>427.46131548064847</v>
      </c>
      <c r="R108" s="59">
        <f ca="1">OFFSET('Customer Count'!$BE$24,COLUMN()-COLUMN($M108),0)</f>
        <v>432.16499470021517</v>
      </c>
    </row>
    <row r="109" spans="2:18" ht="13">
      <c r="B109" s="58" t="str">
        <f t="shared" si="40"/>
        <v>GS 3,000 - 4,999</v>
      </c>
      <c r="C109" s="51">
        <f ca="1">OFFSET('Customer Count'!$BH$4,COLUMN()-COLUMN($C109),0)</f>
        <v>2</v>
      </c>
      <c r="D109" s="51">
        <f ca="1">OFFSET('Customer Count'!$BH$4,COLUMN()-COLUMN($C109),0)</f>
        <v>2</v>
      </c>
      <c r="E109" s="51">
        <f ca="1">OFFSET('Customer Count'!$BH$4,COLUMN()-COLUMN($C109),0)</f>
        <v>2.5416666666666674</v>
      </c>
      <c r="F109" s="51">
        <f ca="1">OFFSET('Customer Count'!$BH$4,COLUMN()-COLUMN($C109),0)</f>
        <v>3</v>
      </c>
      <c r="G109" s="51">
        <f ca="1">OFFSET('Customer Count'!$BH$4,COLUMN()-COLUMN($C109),0)</f>
        <v>3</v>
      </c>
      <c r="H109" s="51">
        <f ca="1">OFFSET('Customer Count'!$BH$4,COLUMN()-COLUMN($C109),0)</f>
        <v>3</v>
      </c>
      <c r="I109" s="51">
        <f ca="1">OFFSET('Customer Count'!$BH$4,COLUMN()-COLUMN($C109),0)</f>
        <v>3</v>
      </c>
      <c r="J109" s="51">
        <f ca="1">OFFSET('Customer Count'!$BH$4,COLUMN()-COLUMN($C109),0)</f>
        <v>3</v>
      </c>
      <c r="K109" s="51">
        <f ca="1">OFFSET('Customer Count'!$BH$4,COLUMN()-COLUMN($C109),0)</f>
        <v>3</v>
      </c>
      <c r="L109" s="51">
        <f ca="1">OFFSET('Customer Count'!$BH$4,COLUMN()-COLUMN($C109),0)</f>
        <v>3</v>
      </c>
      <c r="M109" s="51">
        <f ca="1">OFFSET('Customer Count'!$BK$24,COLUMN()-COLUMN($M109),0)</f>
        <v>4.151041666666667</v>
      </c>
      <c r="N109" s="51">
        <f ca="1">OFFSET('Customer Count'!$BK$24,COLUMN()-COLUMN($M109),0)</f>
        <v>5.53125</v>
      </c>
      <c r="O109" s="51">
        <f ca="1">OFFSET('Customer Count'!$BK$24,COLUMN()-COLUMN($M109),0)</f>
        <v>5.9427083333333321</v>
      </c>
      <c r="P109" s="51">
        <f ca="1">OFFSET('Customer Count'!$BK$24,COLUMN()-COLUMN($M109),0)</f>
        <v>5.9999999999999991</v>
      </c>
      <c r="Q109" s="51">
        <f ca="1">OFFSET('Customer Count'!$BK$24,COLUMN()-COLUMN($M109),0)</f>
        <v>5.9999999999999991</v>
      </c>
      <c r="R109" s="59">
        <f ca="1">OFFSET('Customer Count'!$BK$24,COLUMN()-COLUMN($M109),0)</f>
        <v>5.9999999999999991</v>
      </c>
    </row>
    <row r="110" spans="2:18" ht="13">
      <c r="B110" s="58" t="str">
        <f t="shared" si="40"/>
        <v>Street Light</v>
      </c>
      <c r="C110" s="51">
        <f ca="1">OFFSET('Customer Count'!$BN$4,COLUMN()-COLUMN($C110),0)</f>
        <v>11857.375</v>
      </c>
      <c r="D110" s="51">
        <f ca="1">OFFSET('Customer Count'!$BN$4,COLUMN()-COLUMN($C110),0)</f>
        <v>11891</v>
      </c>
      <c r="E110" s="51">
        <f ca="1">OFFSET('Customer Count'!$BN$4,COLUMN()-COLUMN($C110),0)</f>
        <v>12053.666666666672</v>
      </c>
      <c r="F110" s="51">
        <f ca="1">OFFSET('Customer Count'!$BN$4,COLUMN()-COLUMN($C110),0)</f>
        <v>12408.416666666672</v>
      </c>
      <c r="G110" s="51">
        <f ca="1">OFFSET('Customer Count'!$BN$4,COLUMN()-COLUMN($C110),0)</f>
        <v>12707.791666666672</v>
      </c>
      <c r="H110" s="51">
        <f ca="1">OFFSET('Customer Count'!$BN$4,COLUMN()-COLUMN($C110),0)</f>
        <v>13023.791666666672</v>
      </c>
      <c r="I110" s="51">
        <f ca="1">OFFSET('Customer Count'!$BN$4,COLUMN()-COLUMN($C110),0)</f>
        <v>13342.91666666667</v>
      </c>
      <c r="J110" s="51">
        <f ca="1">OFFSET('Customer Count'!$BN$4,COLUMN()-COLUMN($C110),0)</f>
        <v>13555.45833333333</v>
      </c>
      <c r="K110" s="51">
        <f ca="1">OFFSET('Customer Count'!$BN$4,COLUMN()-COLUMN($C110),0)</f>
        <v>13708</v>
      </c>
      <c r="L110" s="51">
        <f ca="1">OFFSET('Customer Count'!$BN$4,COLUMN()-COLUMN($C110),0)</f>
        <v>13854.54166666667</v>
      </c>
      <c r="M110" s="51">
        <f ca="1">OFFSET('Customer Count'!$BN$4,COLUMN()-COLUMN($M110),0)</f>
        <v>11857.375</v>
      </c>
      <c r="N110" s="51">
        <f ca="1">OFFSET('Customer Count'!$BN$4,COLUMN()-COLUMN($M110),0)</f>
        <v>11891</v>
      </c>
      <c r="O110" s="51">
        <f ca="1">OFFSET('Customer Count'!$BN$4,COLUMN()-COLUMN($M110),0)</f>
        <v>12053.666666666672</v>
      </c>
      <c r="P110" s="51">
        <f ca="1">OFFSET('Customer Count'!$BN$4,COLUMN()-COLUMN($M110),0)</f>
        <v>12408.416666666672</v>
      </c>
      <c r="Q110" s="51">
        <f ca="1">OFFSET('Customer Count'!$BN$4,COLUMN()-COLUMN($M110),0)</f>
        <v>12707.791666666672</v>
      </c>
      <c r="R110" s="59">
        <f ca="1">OFFSET('Customer Count'!$BN$4,COLUMN()-COLUMN($M110),0)</f>
        <v>13023.791666666672</v>
      </c>
    </row>
    <row r="111" spans="2:18" ht="13">
      <c r="B111" s="58" t="str">
        <f t="shared" si="40"/>
        <v>Sentinel Light</v>
      </c>
      <c r="C111" s="51">
        <f ca="1">OFFSET('Customer Count'!$BR$4,COLUMN()-COLUMN($C111),0)</f>
        <v>39</v>
      </c>
      <c r="D111" s="51">
        <f ca="1">OFFSET('Customer Count'!$BR$4,COLUMN()-COLUMN($C111),0)</f>
        <v>38.458333333333321</v>
      </c>
      <c r="E111" s="51">
        <f ca="1">OFFSET('Customer Count'!$BR$4,COLUMN()-COLUMN($C111),0)</f>
        <v>37.458333333333321</v>
      </c>
      <c r="F111" s="51">
        <f ca="1">OFFSET('Customer Count'!$BR$4,COLUMN()-COLUMN($C111),0)</f>
        <v>37</v>
      </c>
      <c r="G111" s="51">
        <f ca="1">OFFSET('Customer Count'!$BR$4,COLUMN()-COLUMN($C111),0)</f>
        <v>37</v>
      </c>
      <c r="H111" s="51">
        <f ca="1">OFFSET('Customer Count'!$BR$4,COLUMN()-COLUMN($C111),0)</f>
        <v>42.416666666666679</v>
      </c>
      <c r="I111" s="51">
        <f ca="1">OFFSET('Customer Count'!$BR$4,COLUMN()-COLUMN($C111),0)</f>
        <v>46.458333333333314</v>
      </c>
      <c r="J111" s="51">
        <f ca="1">OFFSET('Customer Count'!$BR$4,COLUMN()-COLUMN($C111),0)</f>
        <v>46</v>
      </c>
      <c r="K111" s="51">
        <f ca="1">OFFSET('Customer Count'!$BR$4,COLUMN()-COLUMN($C111),0)</f>
        <v>45.458333333333314</v>
      </c>
      <c r="L111" s="51">
        <f ca="1">OFFSET('Customer Count'!$BR$4,COLUMN()-COLUMN($C111),0)</f>
        <v>44.458333333333314</v>
      </c>
      <c r="M111" s="51">
        <f ca="1">OFFSET('Customer Count'!$BR$4,COLUMN()-COLUMN($M111),0)</f>
        <v>39</v>
      </c>
      <c r="N111" s="51">
        <f ca="1">OFFSET('Customer Count'!$BR$4,COLUMN()-COLUMN($M111),0)</f>
        <v>38.458333333333321</v>
      </c>
      <c r="O111" s="51">
        <f ca="1">OFFSET('Customer Count'!$BR$4,COLUMN()-COLUMN($M111),0)</f>
        <v>37.458333333333321</v>
      </c>
      <c r="P111" s="51">
        <f ca="1">OFFSET('Customer Count'!$BR$4,COLUMN()-COLUMN($M111),0)</f>
        <v>37</v>
      </c>
      <c r="Q111" s="51">
        <f ca="1">OFFSET('Customer Count'!$BR$4,COLUMN()-COLUMN($M111),0)</f>
        <v>37</v>
      </c>
      <c r="R111" s="59">
        <f ca="1">OFFSET('Customer Count'!$BR$4,COLUMN()-COLUMN($M111),0)</f>
        <v>42.416666666666679</v>
      </c>
    </row>
    <row r="112" spans="2:18" ht="13">
      <c r="B112" s="58" t="str">
        <f t="shared" si="40"/>
        <v>USL</v>
      </c>
      <c r="C112" s="51">
        <f ca="1">OFFSET('Customer Count'!$BV$4,COLUMN()-COLUMN($C112),0)</f>
        <v>372.20833333333348</v>
      </c>
      <c r="D112" s="51">
        <f ca="1">OFFSET('Customer Count'!$BV$4,COLUMN()-COLUMN($C112),0)</f>
        <v>370.625</v>
      </c>
      <c r="E112" s="51">
        <f ca="1">OFFSET('Customer Count'!$BV$4,COLUMN()-COLUMN($C112),0)</f>
        <v>376.875</v>
      </c>
      <c r="F112" s="51">
        <f ca="1">OFFSET('Customer Count'!$BV$4,COLUMN()-COLUMN($C112),0)</f>
        <v>384.25</v>
      </c>
      <c r="G112" s="51">
        <f ca="1">OFFSET('Customer Count'!$BV$4,COLUMN()-COLUMN($C112),0)</f>
        <v>389.16666666666652</v>
      </c>
      <c r="H112" s="51">
        <f ca="1">OFFSET('Customer Count'!$BV$4,COLUMN()-COLUMN($C112),0)</f>
        <v>391.54166666666652</v>
      </c>
      <c r="I112" s="51">
        <f ca="1">OFFSET('Customer Count'!$BV$4,COLUMN()-COLUMN($C112),0)</f>
        <v>393.08333333333348</v>
      </c>
      <c r="J112" s="51">
        <f ca="1">OFFSET('Customer Count'!$BV$4,COLUMN()-COLUMN($C112),0)</f>
        <v>400.5</v>
      </c>
      <c r="K112" s="51">
        <f ca="1">OFFSET('Customer Count'!$BV$4,COLUMN()-COLUMN($C112),0)</f>
        <v>396.25</v>
      </c>
      <c r="L112" s="51">
        <f ca="1">OFFSET('Customer Count'!$BV$4,COLUMN()-COLUMN($C112),0)</f>
        <v>390.16666666666652</v>
      </c>
      <c r="M112" s="51">
        <f ca="1">OFFSET('Customer Count'!$BV$4,COLUMN()-COLUMN($M112),0)</f>
        <v>372.20833333333348</v>
      </c>
      <c r="N112" s="51">
        <f ca="1">OFFSET('Customer Count'!$BV$4,COLUMN()-COLUMN($M112),0)</f>
        <v>370.625</v>
      </c>
      <c r="O112" s="51">
        <f ca="1">OFFSET('Customer Count'!$BV$4,COLUMN()-COLUMN($M112),0)</f>
        <v>376.875</v>
      </c>
      <c r="P112" s="51">
        <f ca="1">OFFSET('Customer Count'!$BV$4,COLUMN()-COLUMN($M112),0)</f>
        <v>384.25</v>
      </c>
      <c r="Q112" s="51">
        <f ca="1">OFFSET('Customer Count'!$BV$4,COLUMN()-COLUMN($M112),0)</f>
        <v>389.16666666666652</v>
      </c>
      <c r="R112" s="59">
        <f ca="1">OFFSET('Customer Count'!$BV$4,COLUMN()-COLUMN($M112),0)</f>
        <v>391.54166666666652</v>
      </c>
    </row>
    <row r="113" spans="2:18" ht="13.5" thickBot="1">
      <c r="B113" s="57" t="s">
        <v>290</v>
      </c>
      <c r="C113" s="640">
        <f t="shared" ref="C113:R113" ca="1" si="41">SUM(C106:C112)</f>
        <v>54272.416666666686</v>
      </c>
      <c r="D113" s="640">
        <f t="shared" ca="1" si="41"/>
        <v>54651.416666666657</v>
      </c>
      <c r="E113" s="640">
        <f t="shared" ca="1" si="41"/>
        <v>55187.000000000015</v>
      </c>
      <c r="F113" s="640">
        <f t="shared" ca="1" si="41"/>
        <v>56373.750000000015</v>
      </c>
      <c r="G113" s="640">
        <f t="shared" ca="1" si="41"/>
        <v>57683.791666666672</v>
      </c>
      <c r="H113" s="640">
        <f t="shared" ca="1" si="41"/>
        <v>59076.125</v>
      </c>
      <c r="I113" s="640">
        <f t="shared" ca="1" si="41"/>
        <v>60568.916666666701</v>
      </c>
      <c r="J113" s="640">
        <f t="shared" ca="1" si="41"/>
        <v>61769.000000000015</v>
      </c>
      <c r="K113" s="640">
        <f t="shared" ca="1" si="41"/>
        <v>62526.708333333336</v>
      </c>
      <c r="L113" s="640">
        <f t="shared" ref="L113" ca="1" si="42">SUM(L106:L112)</f>
        <v>63030.666666666672</v>
      </c>
      <c r="M113" s="641">
        <f t="shared" ca="1" si="41"/>
        <v>61678.653574245589</v>
      </c>
      <c r="N113" s="640">
        <f t="shared" ca="1" si="41"/>
        <v>62431.933116837266</v>
      </c>
      <c r="O113" s="641">
        <f t="shared" ca="1" si="41"/>
        <v>63393.127929279559</v>
      </c>
      <c r="P113" s="640">
        <f t="shared" ca="1" si="41"/>
        <v>64619.892529033787</v>
      </c>
      <c r="Q113" s="641">
        <f t="shared" ca="1" si="41"/>
        <v>65819.250400399484</v>
      </c>
      <c r="R113" s="50">
        <f t="shared" ca="1" si="41"/>
        <v>66962.453758216187</v>
      </c>
    </row>
    <row r="115" spans="2:18" ht="16" thickBot="1">
      <c r="B115" s="64" t="s">
        <v>869</v>
      </c>
      <c r="C115" s="64" t="s">
        <v>1</v>
      </c>
    </row>
    <row r="116" spans="2:18" ht="13">
      <c r="B116" s="63" t="s">
        <v>603</v>
      </c>
      <c r="C116" s="62" t="s">
        <v>856</v>
      </c>
      <c r="D116" s="62" t="s">
        <v>857</v>
      </c>
      <c r="E116" s="62" t="s">
        <v>858</v>
      </c>
      <c r="F116" s="62" t="s">
        <v>859</v>
      </c>
      <c r="G116" s="62" t="s">
        <v>860</v>
      </c>
      <c r="H116" s="62" t="s">
        <v>861</v>
      </c>
      <c r="I116" s="62" t="s">
        <v>862</v>
      </c>
      <c r="J116" s="62" t="s">
        <v>863</v>
      </c>
      <c r="K116" s="62" t="s">
        <v>4</v>
      </c>
      <c r="L116" s="62" t="s">
        <v>5</v>
      </c>
      <c r="M116" s="62" t="s">
        <v>6</v>
      </c>
      <c r="N116" s="62" t="s">
        <v>7</v>
      </c>
      <c r="O116" s="62" t="s">
        <v>8</v>
      </c>
      <c r="P116" s="62" t="s">
        <v>9</v>
      </c>
      <c r="Q116" s="62" t="s">
        <v>10</v>
      </c>
      <c r="R116" s="60" t="s">
        <v>11</v>
      </c>
    </row>
    <row r="117" spans="2:18" ht="13">
      <c r="B117" s="760" t="str">
        <f>B93</f>
        <v>Residential</v>
      </c>
      <c r="C117" s="51">
        <f>SUMIFS('Monthly Data'!$AT:$AT,'Monthly Data'!$B:$B,'Summary Tables'!C$138,'Monthly Data'!$C:$C,12)</f>
        <v>107900</v>
      </c>
      <c r="D117" s="51">
        <f>SUMIFS('Monthly Data'!$AT:$AT,'Monthly Data'!$B:$B,'Summary Tables'!D$138,'Monthly Data'!$C:$C,12)</f>
        <v>108758</v>
      </c>
      <c r="E117" s="51">
        <f>SUMIFS('Monthly Data'!$AT:$AT,'Monthly Data'!$B:$B,'Summary Tables'!E$138,'Monthly Data'!$C:$C,12)</f>
        <v>110072</v>
      </c>
      <c r="F117" s="51">
        <f>SUMIFS('Monthly Data'!$AT:$AT,'Monthly Data'!$B:$B,'Summary Tables'!F$138,'Monthly Data'!$C:$C,12)</f>
        <v>111713</v>
      </c>
      <c r="G117" s="51">
        <f>SUMIFS('Monthly Data'!$AT:$AT,'Monthly Data'!$B:$B,'Summary Tables'!G$138,'Monthly Data'!$C:$C,12)</f>
        <v>112646</v>
      </c>
      <c r="H117" s="51">
        <f>SUMIFS('Monthly Data'!$AT:$AT,'Monthly Data'!$B:$B,'Summary Tables'!H$138,'Monthly Data'!$C:$C,12)</f>
        <v>113409</v>
      </c>
      <c r="I117" s="51">
        <f>SUMIFS('Monthly Data'!$AT:$AT,'Monthly Data'!$B:$B,'Summary Tables'!I$138,'Monthly Data'!$C:$C,12)</f>
        <v>114797</v>
      </c>
      <c r="J117" s="51">
        <f>SUMIFS('Monthly Data'!$AT:$AT,'Monthly Data'!$B:$B,'Summary Tables'!J$138,'Monthly Data'!$C:$C,12)</f>
        <v>116444</v>
      </c>
      <c r="K117" s="51">
        <f>SUMIFS('Monthly Data'!$AT:$AT,'Monthly Data'!$B:$B,'Summary Tables'!K$138,'Monthly Data'!$C:$C,12)</f>
        <v>118313</v>
      </c>
      <c r="L117" s="51">
        <f>SUMIFS('Monthly Data'!$AT:$AT,'Monthly Data'!$B:$B,'Summary Tables'!L$138,'Monthly Data'!$C:$C,12)</f>
        <v>119413</v>
      </c>
      <c r="M117" s="51">
        <f ca="1">SUMIFS('Customer Count'!$C:$C,'Customer Count'!$A:$A,M$138,'Customer Count'!$B:$B,"Dec")</f>
        <v>121308.1567895999</v>
      </c>
      <c r="N117" s="51">
        <f ca="1">SUMIFS('Customer Count'!$C:$C,'Customer Count'!$A:$A,N$138,'Customer Count'!$B:$B,"Dec")</f>
        <v>123082.82527850592</v>
      </c>
      <c r="O117" s="51">
        <f ca="1">SUMIFS('Customer Count'!$C:$C,'Customer Count'!$A:$A,O$138,'Customer Count'!$B:$B,"Dec")</f>
        <v>124952.61762123945</v>
      </c>
      <c r="P117" s="51">
        <f ca="1">SUMIFS('Customer Count'!$C:$C,'Customer Count'!$A:$A,P$138,'Customer Count'!$B:$B,"Dec")</f>
        <v>126911.19527089095</v>
      </c>
      <c r="Q117" s="51">
        <f ca="1">SUMIFS('Customer Count'!$C:$C,'Customer Count'!$A:$A,Q$138,'Customer Count'!$B:$B,"Dec")</f>
        <v>128940.47940118739</v>
      </c>
      <c r="R117" s="59">
        <f ca="1">SUMIFS('Customer Count'!$C:$C,'Customer Count'!$A:$A,R$138,'Customer Count'!$B:$B,"Dec")</f>
        <v>130783.73096965205</v>
      </c>
    </row>
    <row r="118" spans="2:18" ht="13">
      <c r="B118" s="58" t="str">
        <f t="shared" ref="B118:B125" si="43">B94</f>
        <v>Residential Seasonal</v>
      </c>
      <c r="C118" s="51">
        <f>SUMIFS('Monthly Data'!$AU:$AU,'Monthly Data'!$B:$B,'Summary Tables'!C$138,'Monthly Data'!$C:$C,12)</f>
        <v>1583</v>
      </c>
      <c r="D118" s="51">
        <f>SUMIFS('Monthly Data'!$AU:$AU,'Monthly Data'!$B:$B,'Summary Tables'!D$138,'Monthly Data'!$C:$C,12)</f>
        <v>1572</v>
      </c>
      <c r="E118" s="51">
        <f>SUMIFS('Monthly Data'!$AU:$AU,'Monthly Data'!$B:$B,'Summary Tables'!E$138,'Monthly Data'!$C:$C,12)</f>
        <v>1570</v>
      </c>
      <c r="F118" s="51">
        <f>SUMIFS('Monthly Data'!$AU:$AU,'Monthly Data'!$B:$B,'Summary Tables'!F$138,'Monthly Data'!$C:$C,12)</f>
        <v>1561</v>
      </c>
      <c r="G118" s="51">
        <f>SUMIFS('Monthly Data'!$AU:$AU,'Monthly Data'!$B:$B,'Summary Tables'!G$138,'Monthly Data'!$C:$C,12)</f>
        <v>1561</v>
      </c>
      <c r="H118" s="51">
        <f>SUMIFS('Monthly Data'!$AU:$AU,'Monthly Data'!$B:$B,'Summary Tables'!H$138,'Monthly Data'!$C:$C,12)</f>
        <v>1557</v>
      </c>
      <c r="I118" s="51">
        <f>SUMIFS('Monthly Data'!$AU:$AU,'Monthly Data'!$B:$B,'Summary Tables'!I$138,'Monthly Data'!$C:$C,12)</f>
        <v>1561</v>
      </c>
      <c r="J118" s="51">
        <f>SUMIFS('Monthly Data'!$AU:$AU,'Monthly Data'!$B:$B,'Summary Tables'!J$138,'Monthly Data'!$C:$C,12)</f>
        <v>1564</v>
      </c>
      <c r="K118" s="51">
        <f>SUMIFS('Monthly Data'!$AU:$AU,'Monthly Data'!$B:$B,'Summary Tables'!K$138,'Monthly Data'!$C:$C,12)</f>
        <v>1560</v>
      </c>
      <c r="L118" s="51">
        <f>SUMIFS('Monthly Data'!$AU:$AU,'Monthly Data'!$B:$B,'Summary Tables'!L$138,'Monthly Data'!$C:$C,12)</f>
        <v>1548</v>
      </c>
      <c r="M118" s="51">
        <f>SUMIFS('Customer Count'!$G:$G,'Customer Count'!$A:$A,M$138,'Customer Count'!$B:$B,"Dec")</f>
        <v>1548.3393231419454</v>
      </c>
      <c r="N118" s="51">
        <f>SUMIFS('Customer Count'!$G:$G,'Customer Count'!$A:$A,N$138,'Customer Count'!$B:$B,"Dec")</f>
        <v>1544.8084910015937</v>
      </c>
      <c r="O118" s="51">
        <f>SUMIFS('Customer Count'!$G:$G,'Customer Count'!$A:$A,O$138,'Customer Count'!$B:$B,"Dec")</f>
        <v>1541.2857105689118</v>
      </c>
      <c r="P118" s="51">
        <f>SUMIFS('Customer Count'!$G:$G,'Customer Count'!$A:$A,P$138,'Customer Count'!$B:$B,"Dec")</f>
        <v>1537.7709634827897</v>
      </c>
      <c r="Q118" s="51">
        <f>SUMIFS('Customer Count'!$G:$G,'Customer Count'!$A:$A,Q$138,'Customer Count'!$B:$B,"Dec")</f>
        <v>1534.2642314239886</v>
      </c>
      <c r="R118" s="59">
        <f>SUMIFS('Customer Count'!$G:$G,'Customer Count'!$A:$A,R$138,'Customer Count'!$B:$B,"Dec")</f>
        <v>1530.7654961150442</v>
      </c>
    </row>
    <row r="119" spans="2:18" ht="13">
      <c r="B119" s="58" t="str">
        <f t="shared" si="43"/>
        <v>GS&lt;50</v>
      </c>
      <c r="C119" s="51">
        <f>SUMIFS('Monthly Data'!$AV:$AV,'Monthly Data'!$B:$B,'Summary Tables'!C$138,'Monthly Data'!$C:$C,12)</f>
        <v>8991</v>
      </c>
      <c r="D119" s="51">
        <f>SUMIFS('Monthly Data'!$AV:$AV,'Monthly Data'!$B:$B,'Summary Tables'!D$138,'Monthly Data'!$C:$C,12)</f>
        <v>9036</v>
      </c>
      <c r="E119" s="51">
        <f>SUMIFS('Monthly Data'!$AV:$AV,'Monthly Data'!$B:$B,'Summary Tables'!E$138,'Monthly Data'!$C:$C,12)</f>
        <v>9135</v>
      </c>
      <c r="F119" s="51">
        <f>SUMIFS('Monthly Data'!$AV:$AV,'Monthly Data'!$B:$B,'Summary Tables'!F$138,'Monthly Data'!$C:$C,12)</f>
        <v>9268</v>
      </c>
      <c r="G119" s="51">
        <f>SUMIFS('Monthly Data'!$AV:$AV,'Monthly Data'!$B:$B,'Summary Tables'!G$138,'Monthly Data'!$C:$C,12)</f>
        <v>9286</v>
      </c>
      <c r="H119" s="51">
        <f>SUMIFS('Monthly Data'!$AV:$AV,'Monthly Data'!$B:$B,'Summary Tables'!H$138,'Monthly Data'!$C:$C,12)</f>
        <v>9339</v>
      </c>
      <c r="I119" s="51">
        <f>SUMIFS('Monthly Data'!$AV:$AV,'Monthly Data'!$B:$B,'Summary Tables'!I$138,'Monthly Data'!$C:$C,12)</f>
        <v>9476</v>
      </c>
      <c r="J119" s="51">
        <f>SUMIFS('Monthly Data'!$AV:$AV,'Monthly Data'!$B:$B,'Summary Tables'!J$138,'Monthly Data'!$C:$C,12)</f>
        <v>9497</v>
      </c>
      <c r="K119" s="51">
        <f>SUMIFS('Monthly Data'!$AV:$AV,'Monthly Data'!$B:$B,'Summary Tables'!K$138,'Monthly Data'!$C:$C,12)</f>
        <v>9506</v>
      </c>
      <c r="L119" s="51">
        <f>SUMIFS('Monthly Data'!$AV:$AV,'Monthly Data'!$B:$B,'Summary Tables'!L$138,'Monthly Data'!$C:$C,12)</f>
        <v>9505</v>
      </c>
      <c r="M119" s="51">
        <f>SUMIFS('Customer Count'!$K:$K,'Customer Count'!$A:$A,M$138,'Customer Count'!$B:$B,"Dec")</f>
        <v>9598.0077329717878</v>
      </c>
      <c r="N119" s="51">
        <f>SUMIFS('Customer Count'!$K:$K,'Customer Count'!$A:$A,N$138,'Customer Count'!$B:$B,"Dec")</f>
        <v>9662.026765937062</v>
      </c>
      <c r="O119" s="51">
        <f>SUMIFS('Customer Count'!$K:$K,'Customer Count'!$A:$A,O$138,'Customer Count'!$B:$B,"Dec")</f>
        <v>9726.4728079958768</v>
      </c>
      <c r="P119" s="51">
        <f>SUMIFS('Customer Count'!$K:$K,'Customer Count'!$A:$A,P$138,'Customer Count'!$B:$B,"Dec")</f>
        <v>9791.3487073131728</v>
      </c>
      <c r="Q119" s="51">
        <f>SUMIFS('Customer Count'!$K:$K,'Customer Count'!$A:$A,Q$138,'Customer Count'!$B:$B,"Dec")</f>
        <v>9856.6573310512704</v>
      </c>
      <c r="R119" s="59">
        <f>SUMIFS('Customer Count'!$K:$K,'Customer Count'!$A:$A,R$138,'Customer Count'!$B:$B,"Dec")</f>
        <v>9922.4015654965351</v>
      </c>
    </row>
    <row r="120" spans="2:18" ht="13">
      <c r="B120" s="58" t="str">
        <f t="shared" si="43"/>
        <v>GS 50 - 2,999</v>
      </c>
      <c r="C120" s="51">
        <f>SUMIFS('Monthly Data'!$AW:$AW,'Monthly Data'!$B:$B,'Summary Tables'!C$138,'Monthly Data'!$C:$C,12)</f>
        <v>1051</v>
      </c>
      <c r="D120" s="51">
        <f>SUMIFS('Monthly Data'!$AW:$AW,'Monthly Data'!$B:$B,'Summary Tables'!D$138,'Monthly Data'!$C:$C,12)</f>
        <v>1083</v>
      </c>
      <c r="E120" s="51">
        <f>SUMIFS('Monthly Data'!$AW:$AW,'Monthly Data'!$B:$B,'Summary Tables'!E$138,'Monthly Data'!$C:$C,12)</f>
        <v>1041</v>
      </c>
      <c r="F120" s="51">
        <f>SUMIFS('Monthly Data'!$AW:$AW,'Monthly Data'!$B:$B,'Summary Tables'!F$138,'Monthly Data'!$C:$C,12)</f>
        <v>1019</v>
      </c>
      <c r="G120" s="51">
        <f>SUMIFS('Monthly Data'!$AW:$AW,'Monthly Data'!$B:$B,'Summary Tables'!G$138,'Monthly Data'!$C:$C,12)</f>
        <v>1043</v>
      </c>
      <c r="H120" s="51">
        <f>SUMIFS('Monthly Data'!$AW:$AW,'Monthly Data'!$B:$B,'Summary Tables'!H$138,'Monthly Data'!$C:$C,12)</f>
        <v>1060</v>
      </c>
      <c r="I120" s="51">
        <f>SUMIFS('Monthly Data'!$AW:$AW,'Monthly Data'!$B:$B,'Summary Tables'!I$138,'Monthly Data'!$C:$C,12)</f>
        <v>1018</v>
      </c>
      <c r="J120" s="51">
        <f>SUMIFS('Monthly Data'!$AW:$AW,'Monthly Data'!$B:$B,'Summary Tables'!J$138,'Monthly Data'!$C:$C,12)</f>
        <v>1041</v>
      </c>
      <c r="K120" s="51">
        <f>SUMIFS('Monthly Data'!$AW:$AW,'Monthly Data'!$B:$B,'Summary Tables'!K$138,'Monthly Data'!$C:$C,12)</f>
        <v>1075</v>
      </c>
      <c r="L120" s="51">
        <f>SUMIFS('Monthly Data'!$AW:$AW,'Monthly Data'!$B:$B,'Summary Tables'!L$138,'Monthly Data'!$C:$C,12)</f>
        <v>1099</v>
      </c>
      <c r="M120" s="51">
        <f>SUMIFS('Customer Count'!$R:$R,'Customer Count'!$A:$A,M$138,'Customer Count'!$B:$B,"Dec")</f>
        <v>1100.7657407929687</v>
      </c>
      <c r="N120" s="51">
        <f>SUMIFS('Customer Count'!$R:$R,'Customer Count'!$A:$A,N$138,'Customer Count'!$B:$B,"Dec")</f>
        <v>1106.9933109150074</v>
      </c>
      <c r="O120" s="51">
        <f>SUMIFS('Customer Count'!$R:$R,'Customer Count'!$A:$A,O$138,'Customer Count'!$B:$B,"Dec")</f>
        <v>1111.5329176942846</v>
      </c>
      <c r="P120" s="51">
        <f>SUMIFS('Customer Count'!$R:$R,'Customer Count'!$A:$A,P$138,'Customer Count'!$B:$B,"Dec")</f>
        <v>1115.3846010696848</v>
      </c>
      <c r="Q120" s="51">
        <f>SUMIFS('Customer Count'!$R:$R,'Customer Count'!$A:$A,Q$138,'Customer Count'!$B:$B,"Dec")</f>
        <v>1119.0484011126202</v>
      </c>
      <c r="R120" s="59">
        <f>SUMIFS('Customer Count'!$R:$R,'Customer Count'!$A:$A,R$138,'Customer Count'!$B:$B,"Dec")</f>
        <v>1122.7243580274603</v>
      </c>
    </row>
    <row r="121" spans="2:18" ht="13">
      <c r="B121" s="58" t="str">
        <f t="shared" si="43"/>
        <v>GS 3,000 - 4,999</v>
      </c>
      <c r="C121" s="51">
        <f>SUMIFS('Monthly Data'!$AX:$AX,'Monthly Data'!$B:$B,'Summary Tables'!C$138,'Monthly Data'!$C:$C,12)</f>
        <v>5</v>
      </c>
      <c r="D121" s="51">
        <f>SUMIFS('Monthly Data'!$AX:$AX,'Monthly Data'!$B:$B,'Summary Tables'!D$138,'Monthly Data'!$C:$C,12)</f>
        <v>5</v>
      </c>
      <c r="E121" s="51">
        <f>SUMIFS('Monthly Data'!$AX:$AX,'Monthly Data'!$B:$B,'Summary Tables'!E$138,'Monthly Data'!$C:$C,12)</f>
        <v>4</v>
      </c>
      <c r="F121" s="51">
        <f>SUMIFS('Monthly Data'!$AX:$AX,'Monthly Data'!$B:$B,'Summary Tables'!F$138,'Monthly Data'!$C:$C,12)</f>
        <v>4</v>
      </c>
      <c r="G121" s="51">
        <f>SUMIFS('Monthly Data'!$AX:$AX,'Monthly Data'!$B:$B,'Summary Tables'!G$138,'Monthly Data'!$C:$C,12)</f>
        <v>5</v>
      </c>
      <c r="H121" s="51">
        <f>SUMIFS('Monthly Data'!$AX:$AX,'Monthly Data'!$B:$B,'Summary Tables'!H$138,'Monthly Data'!$C:$C,12)</f>
        <v>6</v>
      </c>
      <c r="I121" s="51">
        <f>SUMIFS('Monthly Data'!$AX:$AX,'Monthly Data'!$B:$B,'Summary Tables'!I$138,'Monthly Data'!$C:$C,12)</f>
        <v>5</v>
      </c>
      <c r="J121" s="51">
        <f>SUMIFS('Monthly Data'!$AX:$AX,'Monthly Data'!$B:$B,'Summary Tables'!J$138,'Monthly Data'!$C:$C,12)</f>
        <v>5</v>
      </c>
      <c r="K121" s="51">
        <f>SUMIFS('Monthly Data'!$AX:$AX,'Monthly Data'!$B:$B,'Summary Tables'!K$138,'Monthly Data'!$C:$C,12)</f>
        <v>5</v>
      </c>
      <c r="L121" s="51">
        <f>SUMIFS('Monthly Data'!$AX:$AX,'Monthly Data'!$B:$B,'Summary Tables'!L$138,'Monthly Data'!$C:$C,12)</f>
        <v>5</v>
      </c>
      <c r="M121" s="51">
        <f>SUMIFS('Customer Count'!$X:$X,'Customer Count'!$A:$A,M$138,'Customer Count'!$B:$B,"Dec")</f>
        <v>7.5</v>
      </c>
      <c r="N121" s="51">
        <f>SUMIFS('Customer Count'!$X:$X,'Customer Count'!$A:$A,N$138,'Customer Count'!$B:$B,"Dec")</f>
        <v>8.6000000000000014</v>
      </c>
      <c r="O121" s="51">
        <f>SUMIFS('Customer Count'!$X:$X,'Customer Count'!$A:$A,O$138,'Customer Count'!$B:$B,"Dec")</f>
        <v>9.1999999999999993</v>
      </c>
      <c r="P121" s="51">
        <f>SUMIFS('Customer Count'!$X:$X,'Customer Count'!$A:$A,P$138,'Customer Count'!$B:$B,"Dec")</f>
        <v>9.3000000000000043</v>
      </c>
      <c r="Q121" s="51">
        <f>SUMIFS('Customer Count'!$X:$X,'Customer Count'!$A:$A,Q$138,'Customer Count'!$B:$B,"Dec")</f>
        <v>9.3000000000000043</v>
      </c>
      <c r="R121" s="59">
        <f>SUMIFS('Customer Count'!$X:$X,'Customer Count'!$A:$A,R$138,'Customer Count'!$B:$B,"Dec")</f>
        <v>9.3000000000000043</v>
      </c>
    </row>
    <row r="122" spans="2:18" ht="13">
      <c r="B122" s="58" t="str">
        <f t="shared" si="43"/>
        <v>Large Use</v>
      </c>
      <c r="C122" s="51">
        <f>SUMIFS('Monthly Data'!$AY:$AY,'Monthly Data'!$B:$B,'Summary Tables'!C$138,'Monthly Data'!$C:$C,12)</f>
        <v>3</v>
      </c>
      <c r="D122" s="51">
        <f>SUMIFS('Monthly Data'!$AY:$AY,'Monthly Data'!$B:$B,'Summary Tables'!D$138,'Monthly Data'!$C:$C,12)</f>
        <v>3</v>
      </c>
      <c r="E122" s="51">
        <f>SUMIFS('Monthly Data'!$AY:$AY,'Monthly Data'!$B:$B,'Summary Tables'!E$138,'Monthly Data'!$C:$C,12)</f>
        <v>4</v>
      </c>
      <c r="F122" s="51">
        <f>SUMIFS('Monthly Data'!$AY:$AY,'Monthly Data'!$B:$B,'Summary Tables'!F$138,'Monthly Data'!$C:$C,12)</f>
        <v>4</v>
      </c>
      <c r="G122" s="51">
        <f>SUMIFS('Monthly Data'!$AY:$AY,'Monthly Data'!$B:$B,'Summary Tables'!G$138,'Monthly Data'!$C:$C,12)</f>
        <v>4</v>
      </c>
      <c r="H122" s="51">
        <f>SUMIFS('Monthly Data'!$AY:$AY,'Monthly Data'!$B:$B,'Summary Tables'!H$138,'Monthly Data'!$C:$C,12)</f>
        <v>4</v>
      </c>
      <c r="I122" s="51">
        <f>SUMIFS('Monthly Data'!$AY:$AY,'Monthly Data'!$B:$B,'Summary Tables'!I$138,'Monthly Data'!$C:$C,12)</f>
        <v>4</v>
      </c>
      <c r="J122" s="51">
        <f>SUMIFS('Monthly Data'!$AY:$AY,'Monthly Data'!$B:$B,'Summary Tables'!J$138,'Monthly Data'!$C:$C,12)</f>
        <v>5</v>
      </c>
      <c r="K122" s="51">
        <f>SUMIFS('Monthly Data'!$AY:$AY,'Monthly Data'!$B:$B,'Summary Tables'!K$138,'Monthly Data'!$C:$C,12)</f>
        <v>5</v>
      </c>
      <c r="L122" s="51">
        <f>SUMIFS('Monthly Data'!$AY:$AY,'Monthly Data'!$B:$B,'Summary Tables'!L$138,'Monthly Data'!$C:$C,12)</f>
        <v>5</v>
      </c>
      <c r="M122" s="51">
        <f>SUMIFS('Customer Count'!$AD:$AD,'Customer Count'!$A:$A,M$138,'Customer Count'!$B:$B,"Dec")</f>
        <v>5.375</v>
      </c>
      <c r="N122" s="51">
        <f>SUMIFS('Customer Count'!$AD:$AD,'Customer Count'!$A:$A,N$138,'Customer Count'!$B:$B,"Dec")</f>
        <v>5.875</v>
      </c>
      <c r="O122" s="51">
        <f>SUMIFS('Customer Count'!$AD:$AD,'Customer Count'!$A:$A,O$138,'Customer Count'!$B:$B,"Dec")</f>
        <v>5.9999999999999991</v>
      </c>
      <c r="P122" s="51">
        <f>SUMIFS('Customer Count'!$AD:$AD,'Customer Count'!$A:$A,P$138,'Customer Count'!$B:$B,"Dec")</f>
        <v>5.9999999999999991</v>
      </c>
      <c r="Q122" s="51">
        <f>SUMIFS('Customer Count'!$AD:$AD,'Customer Count'!$A:$A,Q$138,'Customer Count'!$B:$B,"Dec")</f>
        <v>5.9999999999999991</v>
      </c>
      <c r="R122" s="59">
        <f>SUMIFS('Customer Count'!$AD:$AD,'Customer Count'!$A:$A,R$138,'Customer Count'!$B:$B,"Dec")</f>
        <v>5.9999999999999991</v>
      </c>
    </row>
    <row r="123" spans="2:18" ht="13">
      <c r="B123" s="58" t="str">
        <f t="shared" si="43"/>
        <v>Street Light</v>
      </c>
      <c r="C123" s="51">
        <f>SUMIFS('Monthly Data'!$AZ:$AZ,'Monthly Data'!$B:$B,'Summary Tables'!C$138,'Monthly Data'!$C:$C,12)</f>
        <v>30116</v>
      </c>
      <c r="D123" s="51">
        <f>SUMIFS('Monthly Data'!$AZ:$AZ,'Monthly Data'!$B:$B,'Summary Tables'!D$138,'Monthly Data'!$C:$C,12)</f>
        <v>30662</v>
      </c>
      <c r="E123" s="51">
        <f>SUMIFS('Monthly Data'!$AZ:$AZ,'Monthly Data'!$B:$B,'Summary Tables'!E$138,'Monthly Data'!$C:$C,12)</f>
        <v>31097</v>
      </c>
      <c r="F123" s="51">
        <f>SUMIFS('Monthly Data'!$AZ:$AZ,'Monthly Data'!$B:$B,'Summary Tables'!F$138,'Monthly Data'!$C:$C,12)</f>
        <v>31182</v>
      </c>
      <c r="G123" s="51">
        <f>SUMIFS('Monthly Data'!$AZ:$AZ,'Monthly Data'!$B:$B,'Summary Tables'!G$138,'Monthly Data'!$C:$C,12)</f>
        <v>31612</v>
      </c>
      <c r="H123" s="51">
        <f>SUMIFS('Monthly Data'!$AZ:$AZ,'Monthly Data'!$B:$B,'Summary Tables'!H$138,'Monthly Data'!$C:$C,12)</f>
        <v>31736</v>
      </c>
      <c r="I123" s="51">
        <f>SUMIFS('Monthly Data'!$AZ:$AZ,'Monthly Data'!$B:$B,'Summary Tables'!I$138,'Monthly Data'!$C:$C,12)</f>
        <v>31845</v>
      </c>
      <c r="J123" s="51">
        <f>SUMIFS('Monthly Data'!$AZ:$AZ,'Monthly Data'!$B:$B,'Summary Tables'!J$138,'Monthly Data'!$C:$C,12)</f>
        <v>32374</v>
      </c>
      <c r="K123" s="51">
        <f>SUMIFS('Monthly Data'!$AZ:$AZ,'Monthly Data'!$B:$B,'Summary Tables'!K$138,'Monthly Data'!$C:$C,12)</f>
        <v>33008</v>
      </c>
      <c r="L123" s="51">
        <f>SUMIFS('Monthly Data'!$AZ:$AZ,'Monthly Data'!$B:$B,'Summary Tables'!L$138,'Monthly Data'!$C:$C,12)</f>
        <v>33267</v>
      </c>
      <c r="M123" s="51">
        <f>SUMIFS('Customer Count'!$AG:$AG,'Customer Count'!$A:$A,M$138,'Customer Count'!$B:$B,"Dec")</f>
        <v>33682.769704521445</v>
      </c>
      <c r="N123" s="51">
        <f>SUMIFS('Customer Count'!$AG:$AG,'Customer Count'!$A:$A,N$138,'Customer Count'!$B:$B,"Dec")</f>
        <v>34054.452626278951</v>
      </c>
      <c r="O123" s="51">
        <f>SUMIFS('Customer Count'!$AG:$AG,'Customer Count'!$A:$A,O$138,'Customer Count'!$B:$B,"Dec")</f>
        <v>34430.236997992564</v>
      </c>
      <c r="P123" s="51">
        <f>SUMIFS('Customer Count'!$AG:$AG,'Customer Count'!$A:$A,P$138,'Customer Count'!$B:$B,"Dec")</f>
        <v>34810.168078378127</v>
      </c>
      <c r="Q123" s="51">
        <f>SUMIFS('Customer Count'!$AG:$AG,'Customer Count'!$A:$A,Q$138,'Customer Count'!$B:$B,"Dec")</f>
        <v>35194.291625572812</v>
      </c>
      <c r="R123" s="59">
        <f>SUMIFS('Customer Count'!$AG:$AG,'Customer Count'!$A:$A,R$138,'Customer Count'!$B:$B,"Dec")</f>
        <v>35582.65390264595</v>
      </c>
    </row>
    <row r="124" spans="2:18" ht="13">
      <c r="B124" s="58" t="str">
        <f t="shared" si="43"/>
        <v>Sentinel Light</v>
      </c>
      <c r="C124" s="51">
        <f>SUMIFS('Monthly Data'!$BA:$BA,'Monthly Data'!$B:$B,'Summary Tables'!C$138,'Monthly Data'!$C:$C,12)</f>
        <v>439</v>
      </c>
      <c r="D124" s="51">
        <f>SUMIFS('Monthly Data'!$BA:$BA,'Monthly Data'!$B:$B,'Summary Tables'!D$138,'Monthly Data'!$C:$C,12)</f>
        <v>439</v>
      </c>
      <c r="E124" s="51">
        <f>SUMIFS('Monthly Data'!$BA:$BA,'Monthly Data'!$B:$B,'Summary Tables'!E$138,'Monthly Data'!$C:$C,12)</f>
        <v>439</v>
      </c>
      <c r="F124" s="51">
        <f>SUMIFS('Monthly Data'!$BA:$BA,'Monthly Data'!$B:$B,'Summary Tables'!F$138,'Monthly Data'!$C:$C,12)</f>
        <v>260</v>
      </c>
      <c r="G124" s="51">
        <f>SUMIFS('Monthly Data'!$BA:$BA,'Monthly Data'!$B:$B,'Summary Tables'!G$138,'Monthly Data'!$C:$C,12)</f>
        <v>251</v>
      </c>
      <c r="H124" s="51">
        <f>SUMIFS('Monthly Data'!$BA:$BA,'Monthly Data'!$B:$B,'Summary Tables'!H$138,'Monthly Data'!$C:$C,12)</f>
        <v>247</v>
      </c>
      <c r="I124" s="51">
        <f>SUMIFS('Monthly Data'!$BA:$BA,'Monthly Data'!$B:$B,'Summary Tables'!I$138,'Monthly Data'!$C:$C,12)</f>
        <v>245</v>
      </c>
      <c r="J124" s="51">
        <f>SUMIFS('Monthly Data'!$BA:$BA,'Monthly Data'!$B:$B,'Summary Tables'!J$138,'Monthly Data'!$C:$C,12)</f>
        <v>241</v>
      </c>
      <c r="K124" s="51">
        <f>SUMIFS('Monthly Data'!$BA:$BA,'Monthly Data'!$B:$B,'Summary Tables'!K$138,'Monthly Data'!$C:$C,12)</f>
        <v>236</v>
      </c>
      <c r="L124" s="51">
        <f>SUMIFS('Monthly Data'!$BA:$BA,'Monthly Data'!$B:$B,'Summary Tables'!L$138,'Monthly Data'!$C:$C,12)</f>
        <v>227</v>
      </c>
      <c r="M124" s="51">
        <f>SUMIFS('Customer Count'!$AK:$AK,'Customer Count'!$A:$A,M$138,'Customer Count'!$B:$B,"Dec")</f>
        <v>224.56378642206369</v>
      </c>
      <c r="N124" s="51">
        <f>SUMIFS('Customer Count'!$AK:$AK,'Customer Count'!$A:$A,N$138,'Customer Count'!$B:$B,"Dec")</f>
        <v>220.17018316345894</v>
      </c>
      <c r="O124" s="51">
        <f>SUMIFS('Customer Count'!$AK:$AK,'Customer Count'!$A:$A,O$138,'Customer Count'!$B:$B,"Dec")</f>
        <v>215.86254100259657</v>
      </c>
      <c r="P124" s="51">
        <f>SUMIFS('Customer Count'!$AK:$AK,'Customer Count'!$A:$A,P$138,'Customer Count'!$B:$B,"Dec")</f>
        <v>211.63917810570817</v>
      </c>
      <c r="Q124" s="51">
        <f>SUMIFS('Customer Count'!$AK:$AK,'Customer Count'!$A:$A,Q$138,'Customer Count'!$B:$B,"Dec")</f>
        <v>207.49844554419877</v>
      </c>
      <c r="R124" s="59">
        <f>SUMIFS('Customer Count'!$AK:$AK,'Customer Count'!$A:$A,R$138,'Customer Count'!$B:$B,"Dec")</f>
        <v>203.43872665085527</v>
      </c>
    </row>
    <row r="125" spans="2:18" ht="13">
      <c r="B125" s="58" t="str">
        <f t="shared" si="43"/>
        <v>USL</v>
      </c>
      <c r="C125" s="51">
        <f>SUMIFS('Monthly Data'!$BB:$BB,'Monthly Data'!$B:$B,'Summary Tables'!C$138,'Monthly Data'!$C:$C,12)</f>
        <v>831</v>
      </c>
      <c r="D125" s="51">
        <f>SUMIFS('Monthly Data'!$BB:$BB,'Monthly Data'!$B:$B,'Summary Tables'!D$138,'Monthly Data'!$C:$C,12)</f>
        <v>821</v>
      </c>
      <c r="E125" s="51">
        <f>SUMIFS('Monthly Data'!$BB:$BB,'Monthly Data'!$B:$B,'Summary Tables'!E$138,'Monthly Data'!$C:$C,12)</f>
        <v>815</v>
      </c>
      <c r="F125" s="51">
        <f>SUMIFS('Monthly Data'!$BB:$BB,'Monthly Data'!$B:$B,'Summary Tables'!F$138,'Monthly Data'!$C:$C,12)</f>
        <v>804</v>
      </c>
      <c r="G125" s="51">
        <f>SUMIFS('Monthly Data'!$BB:$BB,'Monthly Data'!$B:$B,'Summary Tables'!G$138,'Monthly Data'!$C:$C,12)</f>
        <v>800</v>
      </c>
      <c r="H125" s="51">
        <f>SUMIFS('Monthly Data'!$BB:$BB,'Monthly Data'!$B:$B,'Summary Tables'!H$138,'Monthly Data'!$C:$C,12)</f>
        <v>803</v>
      </c>
      <c r="I125" s="51">
        <f>SUMIFS('Monthly Data'!$BB:$BB,'Monthly Data'!$B:$B,'Summary Tables'!I$138,'Monthly Data'!$C:$C,12)</f>
        <v>799</v>
      </c>
      <c r="J125" s="51">
        <f>SUMIFS('Monthly Data'!$BB:$BB,'Monthly Data'!$B:$B,'Summary Tables'!J$138,'Monthly Data'!$C:$C,12)</f>
        <v>797</v>
      </c>
      <c r="K125" s="51">
        <f>SUMIFS('Monthly Data'!$BB:$BB,'Monthly Data'!$B:$B,'Summary Tables'!K$138,'Monthly Data'!$C:$C,12)</f>
        <v>747</v>
      </c>
      <c r="L125" s="51">
        <f>SUMIFS('Monthly Data'!$BB:$BB,'Monthly Data'!$B:$B,'Summary Tables'!L$138,'Monthly Data'!$C:$C,12)</f>
        <v>799</v>
      </c>
      <c r="M125" s="51">
        <f>SUMIFS('Customer Count'!$AO:$AO,'Customer Count'!$A:$A,M$138,'Customer Count'!$B:$B,"Dec")</f>
        <v>792.17182009357361</v>
      </c>
      <c r="N125" s="51">
        <f>SUMIFS('Customer Count'!$AO:$AO,'Customer Count'!$A:$A,N$138,'Customer Count'!$B:$B,"Dec")</f>
        <v>785.40994512517386</v>
      </c>
      <c r="O125" s="51">
        <f>SUMIFS('Customer Count'!$AO:$AO,'Customer Count'!$A:$A,O$138,'Customer Count'!$B:$B,"Dec")</f>
        <v>778.69790456746318</v>
      </c>
      <c r="P125" s="51">
        <f>SUMIFS('Customer Count'!$AO:$AO,'Customer Count'!$A:$A,P$138,'Customer Count'!$B:$B,"Dec")</f>
        <v>772.04322448593177</v>
      </c>
      <c r="Q125" s="51">
        <f>SUMIFS('Customer Count'!$AO:$AO,'Customer Count'!$A:$A,Q$138,'Customer Count'!$B:$B,"Dec")</f>
        <v>765.44541468326963</v>
      </c>
      <c r="R125" s="59">
        <f>SUMIFS('Customer Count'!$AO:$AO,'Customer Count'!$A:$A,R$138,'Customer Count'!$B:$B,"Dec")</f>
        <v>758.90398915134699</v>
      </c>
    </row>
    <row r="126" spans="2:18" ht="13.5" thickBot="1">
      <c r="B126" s="57" t="s">
        <v>290</v>
      </c>
      <c r="C126" s="640">
        <f t="shared" ref="C126:D126" si="44">SUM(C117:C125)</f>
        <v>150919</v>
      </c>
      <c r="D126" s="640">
        <f t="shared" si="44"/>
        <v>152379</v>
      </c>
      <c r="E126" s="640">
        <f>SUM(E117:E125)</f>
        <v>154177</v>
      </c>
      <c r="F126" s="640">
        <f t="shared" ref="F126:R126" si="45">SUM(F117:F125)</f>
        <v>155815</v>
      </c>
      <c r="G126" s="640">
        <f t="shared" si="45"/>
        <v>157208</v>
      </c>
      <c r="H126" s="640">
        <f t="shared" si="45"/>
        <v>158161</v>
      </c>
      <c r="I126" s="640">
        <f t="shared" si="45"/>
        <v>159750</v>
      </c>
      <c r="J126" s="640">
        <f t="shared" si="45"/>
        <v>161968</v>
      </c>
      <c r="K126" s="641">
        <f t="shared" si="45"/>
        <v>164455</v>
      </c>
      <c r="L126" s="640">
        <f t="shared" si="45"/>
        <v>165868</v>
      </c>
      <c r="M126" s="641">
        <f t="shared" ca="1" si="45"/>
        <v>168267.64989754371</v>
      </c>
      <c r="N126" s="640">
        <f t="shared" ca="1" si="45"/>
        <v>170471.16160092715</v>
      </c>
      <c r="O126" s="641">
        <f t="shared" ca="1" si="45"/>
        <v>172771.90650106117</v>
      </c>
      <c r="P126" s="640">
        <f t="shared" ca="1" si="45"/>
        <v>175164.85002372638</v>
      </c>
      <c r="Q126" s="641">
        <f t="shared" ca="1" si="45"/>
        <v>177632.98485057551</v>
      </c>
      <c r="R126" s="50">
        <f t="shared" ca="1" si="45"/>
        <v>179919.91900773923</v>
      </c>
    </row>
    <row r="128" spans="2:18" ht="16" thickBot="1">
      <c r="B128" s="64" t="s">
        <v>870</v>
      </c>
      <c r="C128" s="64" t="s">
        <v>2</v>
      </c>
    </row>
    <row r="129" spans="2:18" ht="13">
      <c r="B129" s="63" t="s">
        <v>603</v>
      </c>
      <c r="C129" s="62" t="s">
        <v>856</v>
      </c>
      <c r="D129" s="62" t="s">
        <v>857</v>
      </c>
      <c r="E129" s="62" t="s">
        <v>858</v>
      </c>
      <c r="F129" s="62" t="s">
        <v>859</v>
      </c>
      <c r="G129" s="62" t="s">
        <v>860</v>
      </c>
      <c r="H129" s="62" t="s">
        <v>861</v>
      </c>
      <c r="I129" s="62" t="s">
        <v>862</v>
      </c>
      <c r="J129" s="62" t="s">
        <v>863</v>
      </c>
      <c r="K129" s="62" t="s">
        <v>4</v>
      </c>
      <c r="L129" s="62" t="s">
        <v>5</v>
      </c>
      <c r="M129" s="62" t="s">
        <v>6</v>
      </c>
      <c r="N129" s="62" t="s">
        <v>7</v>
      </c>
      <c r="O129" s="62" t="s">
        <v>8</v>
      </c>
      <c r="P129" s="62" t="s">
        <v>9</v>
      </c>
      <c r="Q129" s="62" t="s">
        <v>10</v>
      </c>
      <c r="R129" s="60" t="s">
        <v>11</v>
      </c>
    </row>
    <row r="130" spans="2:18" ht="13">
      <c r="B130" s="760" t="str">
        <f>B106</f>
        <v>Residential</v>
      </c>
      <c r="C130" s="51">
        <f>SUMIFS('Monthly Data'!$CG:$CG,'Monthly Data'!$B:$B,'Summary Tables'!C$138,'Monthly Data'!$C:$C,12)</f>
        <v>39588</v>
      </c>
      <c r="D130" s="51">
        <f>SUMIFS('Monthly Data'!$CG:$CG,'Monthly Data'!$B:$B,'Summary Tables'!D$138,'Monthly Data'!$C:$C,12)</f>
        <v>39890</v>
      </c>
      <c r="E130" s="51">
        <f>SUMIFS('Monthly Data'!$CG:$CG,'Monthly Data'!$B:$B,'Summary Tables'!E$138,'Monthly Data'!$C:$C,12)</f>
        <v>40272</v>
      </c>
      <c r="F130" s="51">
        <f>SUMIFS('Monthly Data'!$CG:$CG,'Monthly Data'!$B:$B,'Summary Tables'!F$138,'Monthly Data'!$C:$C,12)</f>
        <v>41437</v>
      </c>
      <c r="G130" s="51">
        <f>SUMIFS('Monthly Data'!$CG:$CG,'Monthly Data'!$B:$B,'Summary Tables'!G$138,'Monthly Data'!$C:$C,12)</f>
        <v>42256</v>
      </c>
      <c r="H130" s="51">
        <f>SUMIFS('Monthly Data'!$CG:$CG,'Monthly Data'!$B:$B,'Summary Tables'!H$138,'Monthly Data'!$C:$C,12)</f>
        <v>43441</v>
      </c>
      <c r="I130" s="51">
        <f>SUMIFS('Monthly Data'!$CG:$CG,'Monthly Data'!$B:$B,'Summary Tables'!I$138,'Monthly Data'!$C:$C,12)</f>
        <v>44498</v>
      </c>
      <c r="J130" s="51">
        <f>SUMIFS('Monthly Data'!$CG:$CG,'Monthly Data'!$B:$B,'Summary Tables'!J$138,'Monthly Data'!$C:$C,12)</f>
        <v>45324</v>
      </c>
      <c r="K130" s="51">
        <f>SUMIFS('Monthly Data'!$CG:$CG,'Monthly Data'!$B:$B,'Summary Tables'!K$138,'Monthly Data'!$C:$C,12)</f>
        <v>45687</v>
      </c>
      <c r="L130" s="51">
        <f>SUMIFS('Monthly Data'!$CG:$CG,'Monthly Data'!$B:$B,'Summary Tables'!L$138,'Monthly Data'!$C:$C,12)</f>
        <v>46023</v>
      </c>
      <c r="M130" s="51">
        <f ca="1">SUMIFS('Customer Count'!$AT:$AT,'Customer Count'!$A:$A,M$138,'Customer Count'!$B:$B,"Dec")</f>
        <v>46787.897014396425</v>
      </c>
      <c r="N130" s="51">
        <f ca="1">SUMIFS('Customer Count'!$AT:$AT,'Customer Count'!$A:$A,N$138,'Customer Count'!$B:$B,"Dec")</f>
        <v>47490.840123945687</v>
      </c>
      <c r="O130" s="51">
        <f ca="1">SUMIFS('Customer Count'!$AT:$AT,'Customer Count'!$A:$A,O$138,'Customer Count'!$B:$B,"Dec")</f>
        <v>48279.313342785936</v>
      </c>
      <c r="P130" s="51">
        <f ca="1">SUMIFS('Customer Count'!$AT:$AT,'Customer Count'!$A:$A,P$138,'Customer Count'!$B:$B,"Dec")</f>
        <v>49140.20725896403</v>
      </c>
      <c r="Q130" s="51">
        <f ca="1">SUMIFS('Customer Count'!$AT:$AT,'Customer Count'!$A:$A,Q$138,'Customer Count'!$B:$B,"Dec")</f>
        <v>50010.528331034082</v>
      </c>
      <c r="R130" s="59">
        <f ca="1">SUMIFS('Customer Count'!$AT:$AT,'Customer Count'!$A:$A,R$138,'Customer Count'!$B:$B,"Dec")</f>
        <v>50755.221718274661</v>
      </c>
    </row>
    <row r="131" spans="2:18" ht="13">
      <c r="B131" s="58" t="str">
        <f t="shared" ref="B131:B136" si="46">B107</f>
        <v>GS&lt;50</v>
      </c>
      <c r="C131" s="51">
        <f>SUMIFS('Monthly Data'!$CH:$CH,'Monthly Data'!$B:$B,'Summary Tables'!C$138,'Monthly Data'!$C:$C,12)</f>
        <v>2220</v>
      </c>
      <c r="D131" s="51">
        <f>SUMIFS('Monthly Data'!$CH:$CH,'Monthly Data'!$B:$B,'Summary Tables'!D$138,'Monthly Data'!$C:$C,12)</f>
        <v>2238</v>
      </c>
      <c r="E131" s="51">
        <f>SUMIFS('Monthly Data'!$CH:$CH,'Monthly Data'!$B:$B,'Summary Tables'!E$138,'Monthly Data'!$C:$C,12)</f>
        <v>2254</v>
      </c>
      <c r="F131" s="51">
        <f>SUMIFS('Monthly Data'!$CH:$CH,'Monthly Data'!$B:$B,'Summary Tables'!F$138,'Monthly Data'!$C:$C,12)</f>
        <v>2267</v>
      </c>
      <c r="G131" s="51">
        <f>SUMIFS('Monthly Data'!$CH:$CH,'Monthly Data'!$B:$B,'Summary Tables'!G$138,'Monthly Data'!$C:$C,12)</f>
        <v>2299</v>
      </c>
      <c r="H131" s="51">
        <f>SUMIFS('Monthly Data'!$CH:$CH,'Monthly Data'!$B:$B,'Summary Tables'!H$138,'Monthly Data'!$C:$C,12)</f>
        <v>2350</v>
      </c>
      <c r="I131" s="51">
        <f>SUMIFS('Monthly Data'!$CH:$CH,'Monthly Data'!$B:$B,'Summary Tables'!I$138,'Monthly Data'!$C:$C,12)</f>
        <v>2412</v>
      </c>
      <c r="J131" s="51">
        <f>SUMIFS('Monthly Data'!$CH:$CH,'Monthly Data'!$B:$B,'Summary Tables'!J$138,'Monthly Data'!$C:$C,12)</f>
        <v>2455</v>
      </c>
      <c r="K131" s="51">
        <f>SUMIFS('Monthly Data'!$CH:$CH,'Monthly Data'!$B:$B,'Summary Tables'!K$138,'Monthly Data'!$C:$C,12)</f>
        <v>2473</v>
      </c>
      <c r="L131" s="51">
        <f>SUMIFS('Monthly Data'!$CH:$CH,'Monthly Data'!$B:$B,'Summary Tables'!L$138,'Monthly Data'!$C:$C,12)</f>
        <v>2473</v>
      </c>
      <c r="M131" s="51">
        <f>SUMIFS('Customer Count'!$AX:$AX,'Customer Count'!$A:$A,M$138,'Customer Count'!$B:$B,"Dec")</f>
        <v>2520.0697283949044</v>
      </c>
      <c r="N131" s="51">
        <f>SUMIFS('Customer Count'!$AX:$AX,'Customer Count'!$A:$A,N$138,'Customer Count'!$B:$B,"Dec")</f>
        <v>2552.8815527503798</v>
      </c>
      <c r="O131" s="51">
        <f>SUMIFS('Customer Count'!$AX:$AX,'Customer Count'!$A:$A,O$138,'Customer Count'!$B:$B,"Dec")</f>
        <v>2586.1205937837908</v>
      </c>
      <c r="P131" s="51">
        <f>SUMIFS('Customer Count'!$AX:$AX,'Customer Count'!$A:$A,P$138,'Customer Count'!$B:$B,"Dec")</f>
        <v>2619.7924139438464</v>
      </c>
      <c r="Q131" s="51">
        <f>SUMIFS('Customer Count'!$AX:$AX,'Customer Count'!$A:$A,Q$138,'Customer Count'!$B:$B,"Dec")</f>
        <v>2653.9026481034698</v>
      </c>
      <c r="R131" s="59">
        <f>SUMIFS('Customer Count'!$AX:$AX,'Customer Count'!$A:$A,R$138,'Customer Count'!$B:$B,"Dec")</f>
        <v>2688.4570045027931</v>
      </c>
    </row>
    <row r="132" spans="2:18" ht="13">
      <c r="B132" s="58" t="str">
        <f t="shared" si="46"/>
        <v>GS 50 - 2,999</v>
      </c>
      <c r="C132" s="51">
        <f>SUMIFS('Monthly Data'!$CI:$CI,'Monthly Data'!$B:$B,'Summary Tables'!C$138,'Monthly Data'!$C:$C,12)</f>
        <v>368</v>
      </c>
      <c r="D132" s="51">
        <f>SUMIFS('Monthly Data'!$CI:$CI,'Monthly Data'!$B:$B,'Summary Tables'!D$138,'Monthly Data'!$C:$C,12)</f>
        <v>368</v>
      </c>
      <c r="E132" s="51">
        <f>SUMIFS('Monthly Data'!$CI:$CI,'Monthly Data'!$B:$B,'Summary Tables'!E$138,'Monthly Data'!$C:$C,12)</f>
        <v>377</v>
      </c>
      <c r="F132" s="51">
        <f>SUMIFS('Monthly Data'!$CI:$CI,'Monthly Data'!$B:$B,'Summary Tables'!F$138,'Monthly Data'!$C:$C,12)</f>
        <v>377</v>
      </c>
      <c r="G132" s="51">
        <f>SUMIFS('Monthly Data'!$CI:$CI,'Monthly Data'!$B:$B,'Summary Tables'!G$138,'Monthly Data'!$C:$C,12)</f>
        <v>386</v>
      </c>
      <c r="H132" s="51">
        <f>SUMIFS('Monthly Data'!$CI:$CI,'Monthly Data'!$B:$B,'Summary Tables'!H$138,'Monthly Data'!$C:$C,12)</f>
        <v>395</v>
      </c>
      <c r="I132" s="51">
        <f>SUMIFS('Monthly Data'!$CI:$CI,'Monthly Data'!$B:$B,'Summary Tables'!I$138,'Monthly Data'!$C:$C,12)</f>
        <v>379</v>
      </c>
      <c r="J132" s="51">
        <f>SUMIFS('Monthly Data'!$CI:$CI,'Monthly Data'!$B:$B,'Summary Tables'!J$138,'Monthly Data'!$C:$C,12)</f>
        <v>387</v>
      </c>
      <c r="K132" s="51">
        <f>SUMIFS('Monthly Data'!$CI:$CI,'Monthly Data'!$B:$B,'Summary Tables'!K$138,'Monthly Data'!$C:$C,12)</f>
        <v>390</v>
      </c>
      <c r="L132" s="51">
        <f>SUMIFS('Monthly Data'!$CI:$CI,'Monthly Data'!$B:$B,'Summary Tables'!L$138,'Monthly Data'!$C:$C,12)</f>
        <v>402</v>
      </c>
      <c r="M132" s="51">
        <f>SUMIFS('Customer Count'!$BE:$BE,'Customer Count'!$A:$A,M$138,'Customer Count'!$B:$B,"Dec")</f>
        <v>407.93089672277199</v>
      </c>
      <c r="N132" s="51">
        <f>SUMIFS('Customer Count'!$BE:$BE,'Customer Count'!$A:$A,N$138,'Customer Count'!$B:$B,"Dec")</f>
        <v>415.25944574677527</v>
      </c>
      <c r="O132" s="51">
        <f>SUMIFS('Customer Count'!$BE:$BE,'Customer Count'!$A:$A,O$138,'Customer Count'!$B:$B,"Dec")</f>
        <v>420.29270228851766</v>
      </c>
      <c r="P132" s="51">
        <f>SUMIFS('Customer Count'!$BE:$BE,'Customer Count'!$A:$A,P$138,'Customer Count'!$B:$B,"Dec")</f>
        <v>424.88092189283196</v>
      </c>
      <c r="Q132" s="51">
        <f>SUMIFS('Customer Count'!$BE:$BE,'Customer Count'!$A:$A,Q$138,'Customer Count'!$B:$B,"Dec")</f>
        <v>429.64936230275566</v>
      </c>
      <c r="R132" s="59">
        <f>SUMIFS('Customer Count'!$BE:$BE,'Customer Count'!$A:$A,R$138,'Customer Count'!$B:$B,"Dec")</f>
        <v>434.29828347843704</v>
      </c>
    </row>
    <row r="133" spans="2:18" ht="13">
      <c r="B133" s="58" t="str">
        <f t="shared" si="46"/>
        <v>GS 3,000 - 4,999</v>
      </c>
      <c r="C133" s="51">
        <f>SUMIFS('Monthly Data'!$CJ:$CJ,'Monthly Data'!$B:$B,'Summary Tables'!C$138,'Monthly Data'!$C:$C,12)</f>
        <v>2</v>
      </c>
      <c r="D133" s="51">
        <f>SUMIFS('Monthly Data'!$CJ:$CJ,'Monthly Data'!$B:$B,'Summary Tables'!D$138,'Monthly Data'!$C:$C,12)</f>
        <v>2</v>
      </c>
      <c r="E133" s="51">
        <f>SUMIFS('Monthly Data'!$CJ:$CJ,'Monthly Data'!$B:$B,'Summary Tables'!E$138,'Monthly Data'!$C:$C,12)</f>
        <v>3</v>
      </c>
      <c r="F133" s="51">
        <f>SUMIFS('Monthly Data'!$CJ:$CJ,'Monthly Data'!$B:$B,'Summary Tables'!F$138,'Monthly Data'!$C:$C,12)</f>
        <v>3</v>
      </c>
      <c r="G133" s="51">
        <f>SUMIFS('Monthly Data'!$CJ:$CJ,'Monthly Data'!$B:$B,'Summary Tables'!G$138,'Monthly Data'!$C:$C,12)</f>
        <v>3</v>
      </c>
      <c r="H133" s="51">
        <f>SUMIFS('Monthly Data'!$CJ:$CJ,'Monthly Data'!$B:$B,'Summary Tables'!H$138,'Monthly Data'!$C:$C,12)</f>
        <v>3</v>
      </c>
      <c r="I133" s="51">
        <f>SUMIFS('Monthly Data'!$CJ:$CJ,'Monthly Data'!$B:$B,'Summary Tables'!I$138,'Monthly Data'!$C:$C,12)</f>
        <v>3</v>
      </c>
      <c r="J133" s="51">
        <f>SUMIFS('Monthly Data'!$CJ:$CJ,'Monthly Data'!$B:$B,'Summary Tables'!J$138,'Monthly Data'!$C:$C,12)</f>
        <v>3</v>
      </c>
      <c r="K133" s="51">
        <f>SUMIFS('Monthly Data'!$CJ:$CJ,'Monthly Data'!$B:$B,'Summary Tables'!K$138,'Monthly Data'!$C:$C,12)</f>
        <v>3</v>
      </c>
      <c r="L133" s="51">
        <f>SUMIFS('Monthly Data'!$CJ:$CJ,'Monthly Data'!$B:$B,'Summary Tables'!L$138,'Monthly Data'!$C:$C,12)</f>
        <v>3</v>
      </c>
      <c r="M133" s="51">
        <f>SUMIFS('Customer Count'!$BK:$BK,'Customer Count'!$A:$A,M$138,'Customer Count'!$B:$B,"Dec")</f>
        <v>5.125</v>
      </c>
      <c r="N133" s="51">
        <f>SUMIFS('Customer Count'!$BK:$BK,'Customer Count'!$A:$A,N$138,'Customer Count'!$B:$B,"Dec")</f>
        <v>5.875</v>
      </c>
      <c r="O133" s="51">
        <f>SUMIFS('Customer Count'!$BK:$BK,'Customer Count'!$A:$A,O$138,'Customer Count'!$B:$B,"Dec")</f>
        <v>5.9999999999999982</v>
      </c>
      <c r="P133" s="51">
        <f>SUMIFS('Customer Count'!$BK:$BK,'Customer Count'!$A:$A,P$138,'Customer Count'!$B:$B,"Dec")</f>
        <v>5.9999999999999982</v>
      </c>
      <c r="Q133" s="51">
        <f>SUMIFS('Customer Count'!$BK:$BK,'Customer Count'!$A:$A,Q$138,'Customer Count'!$B:$B,"Dec")</f>
        <v>5.9999999999999982</v>
      </c>
      <c r="R133" s="59">
        <f>SUMIFS('Customer Count'!$BK:$BK,'Customer Count'!$A:$A,R$138,'Customer Count'!$B:$B,"Dec")</f>
        <v>5.9999999999999982</v>
      </c>
    </row>
    <row r="134" spans="2:18" ht="13">
      <c r="B134" s="58" t="str">
        <f t="shared" si="46"/>
        <v>Street Light</v>
      </c>
      <c r="C134" s="51">
        <f>SUMIFS('Monthly Data'!$CK:$CK,'Monthly Data'!$B:$B,'Summary Tables'!C$138,'Monthly Data'!$C:$C,12)</f>
        <v>11878</v>
      </c>
      <c r="D134" s="51">
        <f>SUMIFS('Monthly Data'!$CK:$CK,'Monthly Data'!$B:$B,'Summary Tables'!D$138,'Monthly Data'!$C:$C,12)</f>
        <v>11902</v>
      </c>
      <c r="E134" s="51">
        <f>SUMIFS('Monthly Data'!$CK:$CK,'Monthly Data'!$B:$B,'Summary Tables'!E$138,'Monthly Data'!$C:$C,12)</f>
        <v>12182</v>
      </c>
      <c r="F134" s="51">
        <f>SUMIFS('Monthly Data'!$CK:$CK,'Monthly Data'!$B:$B,'Summary Tables'!F$138,'Monthly Data'!$C:$C,12)</f>
        <v>12600</v>
      </c>
      <c r="G134" s="51">
        <f>SUMIFS('Monthly Data'!$CK:$CK,'Monthly Data'!$B:$B,'Summary Tables'!G$138,'Monthly Data'!$C:$C,12)</f>
        <v>12799</v>
      </c>
      <c r="H134" s="51">
        <f>SUMIFS('Monthly Data'!$CK:$CK,'Monthly Data'!$B:$B,'Summary Tables'!H$138,'Monthly Data'!$C:$C,12)</f>
        <v>13214</v>
      </c>
      <c r="I134" s="51">
        <f>SUMIFS('Monthly Data'!$CK:$CK,'Monthly Data'!$B:$B,'Summary Tables'!I$138,'Monthly Data'!$C:$C,12)</f>
        <v>13452</v>
      </c>
      <c r="J134" s="51">
        <f>SUMIFS('Monthly Data'!$CK:$CK,'Monthly Data'!$B:$B,'Summary Tables'!J$138,'Monthly Data'!$C:$C,12)</f>
        <v>13643</v>
      </c>
      <c r="K134" s="51">
        <f>SUMIFS('Monthly Data'!$CK:$CK,'Monthly Data'!$B:$B,'Summary Tables'!K$138,'Monthly Data'!$C:$C,12)</f>
        <v>13763</v>
      </c>
      <c r="L134" s="51">
        <f>SUMIFS('Monthly Data'!$CK:$CK,'Monthly Data'!$B:$B,'Summary Tables'!L$138,'Monthly Data'!$C:$C,12)</f>
        <v>13932</v>
      </c>
      <c r="M134" s="51">
        <f>SUMIFS('Customer Count'!$BN:$BN,'Customer Count'!$A:$A,M$138,'Customer Count'!$B:$B,"Dec")</f>
        <v>14208.239132768709</v>
      </c>
      <c r="N134" s="51">
        <f>SUMIFS('Customer Count'!$BN:$BN,'Customer Count'!$A:$A,N$138,'Customer Count'!$B:$B,"Dec")</f>
        <v>14456.120841799073</v>
      </c>
      <c r="O134" s="51">
        <f>SUMIFS('Customer Count'!$BN:$BN,'Customer Count'!$A:$A,O$138,'Customer Count'!$B:$B,"Dec")</f>
        <v>14708.327178328849</v>
      </c>
      <c r="P134" s="51">
        <f>SUMIFS('Customer Count'!$BN:$BN,'Customer Count'!$A:$A,P$138,'Customer Count'!$B:$B,"Dec")</f>
        <v>14964.933591260995</v>
      </c>
      <c r="Q134" s="51">
        <f>SUMIFS('Customer Count'!$BN:$BN,'Customer Count'!$A:$A,Q$138,'Customer Count'!$B:$B,"Dec")</f>
        <v>15226.016845805345</v>
      </c>
      <c r="R134" s="59">
        <f>SUMIFS('Customer Count'!$BN:$BN,'Customer Count'!$A:$A,R$138,'Customer Count'!$B:$B,"Dec")</f>
        <v>15491.655046443362</v>
      </c>
    </row>
    <row r="135" spans="2:18" ht="13">
      <c r="B135" s="58" t="str">
        <f t="shared" si="46"/>
        <v>Sentinel Light</v>
      </c>
      <c r="C135" s="51">
        <f>SUMIFS('Monthly Data'!$CL:$CL,'Monthly Data'!$B:$B,'Summary Tables'!C$138,'Monthly Data'!$C:$C,12)</f>
        <v>39</v>
      </c>
      <c r="D135" s="51">
        <f>SUMIFS('Monthly Data'!$CL:$CL,'Monthly Data'!$B:$B,'Summary Tables'!D$138,'Monthly Data'!$C:$C,12)</f>
        <v>38</v>
      </c>
      <c r="E135" s="51">
        <f>SUMIFS('Monthly Data'!$CL:$CL,'Monthly Data'!$B:$B,'Summary Tables'!E$138,'Monthly Data'!$C:$C,12)</f>
        <v>37</v>
      </c>
      <c r="F135" s="51">
        <f>SUMIFS('Monthly Data'!$CL:$CL,'Monthly Data'!$B:$B,'Summary Tables'!F$138,'Monthly Data'!$C:$C,12)</f>
        <v>37</v>
      </c>
      <c r="G135" s="51">
        <f>SUMIFS('Monthly Data'!$CL:$CL,'Monthly Data'!$B:$B,'Summary Tables'!G$138,'Monthly Data'!$C:$C,12)</f>
        <v>37</v>
      </c>
      <c r="H135" s="51">
        <f>SUMIFS('Monthly Data'!$CL:$CL,'Monthly Data'!$B:$B,'Summary Tables'!H$138,'Monthly Data'!$C:$C,12)</f>
        <v>47</v>
      </c>
      <c r="I135" s="51">
        <f>SUMIFS('Monthly Data'!$CL:$CL,'Monthly Data'!$B:$B,'Summary Tables'!I$138,'Monthly Data'!$C:$C,12)</f>
        <v>46</v>
      </c>
      <c r="J135" s="51">
        <f>SUMIFS('Monthly Data'!$CL:$CL,'Monthly Data'!$B:$B,'Summary Tables'!J$138,'Monthly Data'!$C:$C,12)</f>
        <v>46</v>
      </c>
      <c r="K135" s="51">
        <f>SUMIFS('Monthly Data'!$CL:$CL,'Monthly Data'!$B:$B,'Summary Tables'!K$138,'Monthly Data'!$C:$C,12)</f>
        <v>45</v>
      </c>
      <c r="L135" s="51">
        <f>SUMIFS('Monthly Data'!$CL:$CL,'Monthly Data'!$B:$B,'Summary Tables'!L$138,'Monthly Data'!$C:$C,12)</f>
        <v>44</v>
      </c>
      <c r="M135" s="51">
        <f>SUMIFS('Customer Count'!$BR:$BR,'Customer Count'!$A:$A,M$138,'Customer Count'!$B:$B,"Dec")</f>
        <v>45.411518177024291</v>
      </c>
      <c r="N135" s="51">
        <f>SUMIFS('Customer Count'!$BR:$BR,'Customer Count'!$A:$A,N$138,'Customer Count'!$B:$B,"Dec")</f>
        <v>46.077294785183597</v>
      </c>
      <c r="O135" s="51">
        <f>SUMIFS('Customer Count'!$BR:$BR,'Customer Count'!$A:$A,O$138,'Customer Count'!$B:$B,"Dec")</f>
        <v>46.752832319860374</v>
      </c>
      <c r="P135" s="51">
        <f>SUMIFS('Customer Count'!$BR:$BR,'Customer Count'!$A:$A,P$138,'Customer Count'!$B:$B,"Dec")</f>
        <v>47.438273885641507</v>
      </c>
      <c r="Q135" s="51">
        <f>SUMIFS('Customer Count'!$BR:$BR,'Customer Count'!$A:$A,Q$138,'Customer Count'!$B:$B,"Dec")</f>
        <v>48.133764685165005</v>
      </c>
      <c r="R135" s="59">
        <f>SUMIFS('Customer Count'!$BR:$BR,'Customer Count'!$A:$A,R$138,'Customer Count'!$B:$B,"Dec")</f>
        <v>48.839452049879476</v>
      </c>
    </row>
    <row r="136" spans="2:18" ht="13">
      <c r="B136" s="58" t="str">
        <f t="shared" si="46"/>
        <v>USL</v>
      </c>
      <c r="C136" s="51">
        <f>SUMIFS('Monthly Data'!$CM:$CM,'Monthly Data'!$B:$B,'Summary Tables'!C$138,'Monthly Data'!$C:$C,12)</f>
        <v>369</v>
      </c>
      <c r="D136" s="51">
        <f>SUMIFS('Monthly Data'!$CM:$CM,'Monthly Data'!$B:$B,'Summary Tables'!D$138,'Monthly Data'!$C:$C,12)</f>
        <v>372</v>
      </c>
      <c r="E136" s="51">
        <f>SUMIFS('Monthly Data'!$CM:$CM,'Monthly Data'!$B:$B,'Summary Tables'!E$138,'Monthly Data'!$C:$C,12)</f>
        <v>381</v>
      </c>
      <c r="F136" s="51">
        <f>SUMIFS('Monthly Data'!$CM:$CM,'Monthly Data'!$B:$B,'Summary Tables'!F$138,'Monthly Data'!$C:$C,12)</f>
        <v>387</v>
      </c>
      <c r="G136" s="51">
        <f>SUMIFS('Monthly Data'!$CM:$CM,'Monthly Data'!$B:$B,'Summary Tables'!G$138,'Monthly Data'!$C:$C,12)</f>
        <v>391</v>
      </c>
      <c r="H136" s="51">
        <f>SUMIFS('Monthly Data'!$CM:$CM,'Monthly Data'!$B:$B,'Summary Tables'!H$138,'Monthly Data'!$C:$C,12)</f>
        <v>392</v>
      </c>
      <c r="I136" s="51">
        <f>SUMIFS('Monthly Data'!$CM:$CM,'Monthly Data'!$B:$B,'Summary Tables'!I$138,'Monthly Data'!$C:$C,12)</f>
        <v>394</v>
      </c>
      <c r="J136" s="51">
        <f>SUMIFS('Monthly Data'!$CM:$CM,'Monthly Data'!$B:$B,'Summary Tables'!J$138,'Monthly Data'!$C:$C,12)</f>
        <v>406</v>
      </c>
      <c r="K136" s="51">
        <f>SUMIFS('Monthly Data'!$CM:$CM,'Monthly Data'!$B:$B,'Summary Tables'!K$138,'Monthly Data'!$C:$C,12)</f>
        <v>388</v>
      </c>
      <c r="L136" s="51">
        <f>SUMIFS('Monthly Data'!$CM:$CM,'Monthly Data'!$B:$B,'Summary Tables'!L$138,'Monthly Data'!$C:$C,12)</f>
        <v>392</v>
      </c>
      <c r="M136" s="51">
        <f>SUMIFS('Customer Count'!$BV:$BV,'Customer Count'!$A:$A,M$138,'Customer Count'!$B:$B,"Dec")</f>
        <v>393.15538265047775</v>
      </c>
      <c r="N136" s="51">
        <f>SUMIFS('Customer Count'!$BV:$BV,'Customer Count'!$A:$A,N$138,'Customer Count'!$B:$B,"Dec")</f>
        <v>395.21917894674556</v>
      </c>
      <c r="O136" s="51">
        <f>SUMIFS('Customer Count'!$BV:$BV,'Customer Count'!$A:$A,O$138,'Customer Count'!$B:$B,"Dec")</f>
        <v>397.29380875907475</v>
      </c>
      <c r="P136" s="51">
        <f>SUMIFS('Customer Count'!$BV:$BV,'Customer Count'!$A:$A,P$138,'Customer Count'!$B:$B,"Dec")</f>
        <v>399.37932895599914</v>
      </c>
      <c r="Q136" s="51">
        <f>SUMIFS('Customer Count'!$BV:$BV,'Customer Count'!$A:$A,Q$138,'Customer Count'!$B:$B,"Dec")</f>
        <v>401.47579670457412</v>
      </c>
      <c r="R136" s="59">
        <f>SUMIFS('Customer Count'!$BV:$BV,'Customer Count'!$A:$A,R$138,'Customer Count'!$B:$B,"Dec")</f>
        <v>403.58326947194217</v>
      </c>
    </row>
    <row r="137" spans="2:18" ht="13.5" thickBot="1">
      <c r="B137" s="57" t="s">
        <v>290</v>
      </c>
      <c r="C137" s="640">
        <f t="shared" ref="C137:R137" si="47">SUM(C130:C136)</f>
        <v>54464</v>
      </c>
      <c r="D137" s="640">
        <f t="shared" si="47"/>
        <v>54810</v>
      </c>
      <c r="E137" s="640">
        <f t="shared" si="47"/>
        <v>55506</v>
      </c>
      <c r="F137" s="640">
        <f t="shared" si="47"/>
        <v>57108</v>
      </c>
      <c r="G137" s="640">
        <f t="shared" si="47"/>
        <v>58171</v>
      </c>
      <c r="H137" s="640">
        <f t="shared" si="47"/>
        <v>59842</v>
      </c>
      <c r="I137" s="640">
        <f t="shared" si="47"/>
        <v>61184</v>
      </c>
      <c r="J137" s="640">
        <f t="shared" si="47"/>
        <v>62264</v>
      </c>
      <c r="K137" s="640">
        <f t="shared" si="47"/>
        <v>62749</v>
      </c>
      <c r="L137" s="640">
        <f t="shared" ref="L137" si="48">SUM(L130:L136)</f>
        <v>63269</v>
      </c>
      <c r="M137" s="641">
        <f t="shared" ca="1" si="47"/>
        <v>64367.828673110307</v>
      </c>
      <c r="N137" s="640">
        <f t="shared" ca="1" si="47"/>
        <v>65362.273437973847</v>
      </c>
      <c r="O137" s="641">
        <f t="shared" ca="1" si="47"/>
        <v>66444.100458266024</v>
      </c>
      <c r="P137" s="640">
        <f t="shared" ca="1" si="47"/>
        <v>67602.631788903338</v>
      </c>
      <c r="Q137" s="641">
        <f t="shared" ca="1" si="47"/>
        <v>68775.706748635377</v>
      </c>
      <c r="R137" s="50">
        <f t="shared" ca="1" si="47"/>
        <v>69828.054774221077</v>
      </c>
    </row>
    <row r="138" spans="2:18" hidden="1">
      <c r="C138" s="85">
        <v>2016</v>
      </c>
      <c r="D138" s="85">
        <f t="shared" ref="D138:R138" si="49">C138+1</f>
        <v>2017</v>
      </c>
      <c r="E138" s="85">
        <f t="shared" si="49"/>
        <v>2018</v>
      </c>
      <c r="F138" s="85">
        <f t="shared" si="49"/>
        <v>2019</v>
      </c>
      <c r="G138" s="85">
        <f t="shared" si="49"/>
        <v>2020</v>
      </c>
      <c r="H138" s="85">
        <f t="shared" si="49"/>
        <v>2021</v>
      </c>
      <c r="I138" s="85">
        <f t="shared" si="49"/>
        <v>2022</v>
      </c>
      <c r="J138" s="85">
        <f t="shared" si="49"/>
        <v>2023</v>
      </c>
      <c r="K138" s="85">
        <f t="shared" si="49"/>
        <v>2024</v>
      </c>
      <c r="L138" s="85">
        <f t="shared" si="49"/>
        <v>2025</v>
      </c>
      <c r="M138" s="85">
        <f t="shared" si="49"/>
        <v>2026</v>
      </c>
      <c r="N138" s="85">
        <f t="shared" si="49"/>
        <v>2027</v>
      </c>
      <c r="O138" s="85">
        <f t="shared" si="49"/>
        <v>2028</v>
      </c>
      <c r="P138" s="85">
        <f t="shared" si="49"/>
        <v>2029</v>
      </c>
      <c r="Q138" s="85">
        <f t="shared" si="49"/>
        <v>2030</v>
      </c>
      <c r="R138" s="85">
        <f t="shared" si="49"/>
        <v>2031</v>
      </c>
    </row>
  </sheetData>
  <phoneticPr fontId="191" type="noConversion"/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FE4A9-5894-4FAD-8EE4-66ABCD8F9CE6}">
  <sheetPr codeName="Sheet48">
    <tabColor rgb="FFFF0000"/>
  </sheetPr>
  <dimension ref="A1:AZ207"/>
  <sheetViews>
    <sheetView zoomScale="115" zoomScaleNormal="115" workbookViewId="0">
      <selection activeCell="O146" sqref="O146"/>
    </sheetView>
  </sheetViews>
  <sheetFormatPr defaultRowHeight="14.5"/>
  <cols>
    <col min="1" max="1" width="8.81640625" style="237"/>
    <col min="2" max="2" width="44.1796875" bestFit="1" customWidth="1"/>
    <col min="3" max="6" width="12.81640625" bestFit="1" customWidth="1"/>
    <col min="7" max="10" width="13" bestFit="1" customWidth="1"/>
    <col min="11" max="11" width="15.1796875" bestFit="1" customWidth="1"/>
    <col min="12" max="12" width="13" bestFit="1" customWidth="1"/>
    <col min="13" max="13" width="13.1796875" bestFit="1" customWidth="1"/>
    <col min="14" max="18" width="13" bestFit="1" customWidth="1"/>
  </cols>
  <sheetData>
    <row r="1" spans="2:18" s="85" customFormat="1" ht="16" thickBot="1">
      <c r="B1" s="64" t="s">
        <v>871</v>
      </c>
    </row>
    <row r="2" spans="2:18" s="85" customFormat="1" ht="26">
      <c r="B2" s="55" t="s">
        <v>3</v>
      </c>
      <c r="C2" s="54" t="str">
        <f>'Summary Tables'!C105</f>
        <v>2016 Actual</v>
      </c>
      <c r="D2" s="54" t="str">
        <f>'Summary Tables'!D105</f>
        <v>2017 Actual</v>
      </c>
      <c r="E2" s="54" t="str">
        <f>'Summary Tables'!E105</f>
        <v>2018 Actual</v>
      </c>
      <c r="F2" s="54" t="str">
        <f>'Summary Tables'!F105</f>
        <v>2019 Actual</v>
      </c>
      <c r="G2" s="54" t="str">
        <f>'Summary Tables'!G105</f>
        <v>2020 Actual</v>
      </c>
      <c r="H2" s="54" t="str">
        <f>'Summary Tables'!H105</f>
        <v>2021 Actual</v>
      </c>
      <c r="I2" s="54" t="str">
        <f>'Summary Tables'!I105</f>
        <v>2022 Actual</v>
      </c>
      <c r="J2" s="54" t="str">
        <f>'Summary Tables'!J105</f>
        <v>2023 Actual</v>
      </c>
      <c r="K2" s="54" t="str">
        <f>'Summary Tables'!K105</f>
        <v>2024 Actual</v>
      </c>
      <c r="L2" s="54" t="str">
        <f>'Summary Tables'!L105</f>
        <v>2025 Actual</v>
      </c>
      <c r="M2" s="54" t="str">
        <f>'Summary Tables'!M105</f>
        <v>2026 Forecast</v>
      </c>
      <c r="N2" s="54" t="str">
        <f>'Summary Tables'!N105</f>
        <v>2027 Forecast</v>
      </c>
      <c r="O2" s="54" t="str">
        <f>'Summary Tables'!O105</f>
        <v>2028 Forecast</v>
      </c>
      <c r="P2" s="54" t="str">
        <f>'Summary Tables'!P105</f>
        <v>2029 Forecast</v>
      </c>
      <c r="Q2" s="54" t="str">
        <f>'Summary Tables'!Q105</f>
        <v>2030 Forecast</v>
      </c>
      <c r="R2" s="53" t="str">
        <f>'Summary Tables'!R105</f>
        <v>2031 Forecast</v>
      </c>
    </row>
    <row r="3" spans="2:18" s="85" customFormat="1" ht="13">
      <c r="B3" s="58" t="str">
        <f>'Summary Tables'!B93</f>
        <v>Residential</v>
      </c>
      <c r="C3" s="51">
        <f ca="1">'Summary Tables'!C3</f>
        <v>915112945.17717803</v>
      </c>
      <c r="D3" s="51">
        <f ca="1">'Summary Tables'!D3</f>
        <v>860495844.41722929</v>
      </c>
      <c r="E3" s="51">
        <f ca="1">'Summary Tables'!E3</f>
        <v>934649898.43460441</v>
      </c>
      <c r="F3" s="51">
        <f ca="1">'Summary Tables'!F3</f>
        <v>911810351.49413323</v>
      </c>
      <c r="G3" s="51">
        <f ca="1">'Summary Tables'!G3</f>
        <v>986594181.70185447</v>
      </c>
      <c r="H3" s="51">
        <f ca="1">'Summary Tables'!H3</f>
        <v>979049816.42103958</v>
      </c>
      <c r="I3" s="51">
        <f ca="1">'Summary Tables'!I3</f>
        <v>970911458.52476048</v>
      </c>
      <c r="J3" s="51">
        <f ca="1">'Summary Tables'!J3</f>
        <v>962244781.52788401</v>
      </c>
      <c r="K3" s="51">
        <f ca="1">'Summary Tables'!K3</f>
        <v>1004549490.8056266</v>
      </c>
      <c r="L3" s="51">
        <f ca="1">'Summary Tables'!L3</f>
        <v>1029025835.5756625</v>
      </c>
      <c r="M3" s="51">
        <f ca="1">'Summary Tables'!C42</f>
        <v>1052966743.2526804</v>
      </c>
      <c r="N3" s="51">
        <f ca="1">'Summary Tables'!D42</f>
        <v>1069640326.8111155</v>
      </c>
      <c r="O3" s="51">
        <f ca="1">'Summary Tables'!E42</f>
        <v>1088420959.685971</v>
      </c>
      <c r="P3" s="51">
        <f ca="1">'Summary Tables'!F42</f>
        <v>1105068058.1955798</v>
      </c>
      <c r="Q3" s="51">
        <f ca="1">'Summary Tables'!G42</f>
        <v>1127380913.4028563</v>
      </c>
      <c r="R3" s="59">
        <f ca="1">'Summary Tables'!H42</f>
        <v>1151178912.4929533</v>
      </c>
    </row>
    <row r="4" spans="2:18" s="85" customFormat="1" ht="13">
      <c r="B4" s="58" t="str">
        <f>'Summary Tables'!B94</f>
        <v>Residential Seasonal</v>
      </c>
      <c r="C4" s="51">
        <f ca="1">'Summary Tables'!C4</f>
        <v>9051572.815264266</v>
      </c>
      <c r="D4" s="51">
        <f ca="1">'Summary Tables'!D4</f>
        <v>9456862.8725147881</v>
      </c>
      <c r="E4" s="51">
        <f ca="1">'Summary Tables'!E4</f>
        <v>10033713.471751574</v>
      </c>
      <c r="F4" s="51">
        <f ca="1">'Summary Tables'!F4</f>
        <v>10358890.180652544</v>
      </c>
      <c r="G4" s="51">
        <f ca="1">'Summary Tables'!G4</f>
        <v>11810325.210704066</v>
      </c>
      <c r="H4" s="51">
        <f ca="1">'Summary Tables'!H4</f>
        <v>12014859.141223051</v>
      </c>
      <c r="I4" s="51">
        <f ca="1">'Summary Tables'!I4</f>
        <v>12020836.275310056</v>
      </c>
      <c r="J4" s="51">
        <f ca="1">'Summary Tables'!J4</f>
        <v>11612873.390622018</v>
      </c>
      <c r="K4" s="51">
        <f ca="1">'Summary Tables'!K4</f>
        <v>11668301.471916554</v>
      </c>
      <c r="L4" s="51">
        <f ca="1">'Summary Tables'!L4</f>
        <v>12704009.788637662</v>
      </c>
      <c r="M4" s="51">
        <f ca="1">'Summary Tables'!C43</f>
        <v>12668616.88924998</v>
      </c>
      <c r="N4" s="51">
        <f ca="1">'Summary Tables'!D43</f>
        <v>13098093.680488765</v>
      </c>
      <c r="O4" s="51">
        <f ca="1">'Summary Tables'!E43</f>
        <v>13453586.472312599</v>
      </c>
      <c r="P4" s="51">
        <f ca="1">'Summary Tables'!F43</f>
        <v>13869843.856722418</v>
      </c>
      <c r="Q4" s="51">
        <f ca="1">'Summary Tables'!G43</f>
        <v>14368853.521388374</v>
      </c>
      <c r="R4" s="59">
        <f ca="1">'Summary Tables'!H43</f>
        <v>14809342.656845005</v>
      </c>
    </row>
    <row r="5" spans="2:18" s="85" customFormat="1" ht="13">
      <c r="B5" s="58" t="str">
        <f>'Summary Tables'!B95</f>
        <v>GS&lt;50</v>
      </c>
      <c r="C5" s="51">
        <f ca="1">'Summary Tables'!C5</f>
        <v>271038059.0962218</v>
      </c>
      <c r="D5" s="51">
        <f ca="1">'Summary Tables'!D5</f>
        <v>261365989.78409663</v>
      </c>
      <c r="E5" s="51">
        <f ca="1">'Summary Tables'!E5</f>
        <v>268034830.8908416</v>
      </c>
      <c r="F5" s="51">
        <f ca="1">'Summary Tables'!F5</f>
        <v>276005071.40924454</v>
      </c>
      <c r="G5" s="51">
        <f ca="1">'Summary Tables'!G5</f>
        <v>254394430.02200004</v>
      </c>
      <c r="H5" s="51">
        <f ca="1">'Summary Tables'!H5</f>
        <v>253491506.57862046</v>
      </c>
      <c r="I5" s="51">
        <f ca="1">'Summary Tables'!I5</f>
        <v>265787178.57022482</v>
      </c>
      <c r="J5" s="51">
        <f ca="1">'Summary Tables'!J5</f>
        <v>263510329.38142473</v>
      </c>
      <c r="K5" s="51">
        <f ca="1">'Summary Tables'!K5</f>
        <v>245688514.14038527</v>
      </c>
      <c r="L5" s="51">
        <f ca="1">'Summary Tables'!L5</f>
        <v>250378458.48071903</v>
      </c>
      <c r="M5" s="51">
        <f ca="1">'Summary Tables'!C44</f>
        <v>265265899.99815881</v>
      </c>
      <c r="N5" s="51">
        <f ca="1">'Summary Tables'!D44</f>
        <v>265162520.32773042</v>
      </c>
      <c r="O5" s="51">
        <f ca="1">'Summary Tables'!E44</f>
        <v>263940255.64234325</v>
      </c>
      <c r="P5" s="51">
        <f ca="1">'Summary Tables'!F44</f>
        <v>263464475.92419034</v>
      </c>
      <c r="Q5" s="51">
        <f ca="1">'Summary Tables'!G44</f>
        <v>263221892.25943616</v>
      </c>
      <c r="R5" s="59">
        <f ca="1">'Summary Tables'!H44</f>
        <v>264555061.25466838</v>
      </c>
    </row>
    <row r="6" spans="2:18" s="85" customFormat="1" ht="13">
      <c r="B6" s="58" t="str">
        <f>'Summary Tables'!B96</f>
        <v>GS 50 - 2,999</v>
      </c>
      <c r="C6" s="51">
        <f ca="1">'Summary Tables'!C6</f>
        <v>927454086.06637979</v>
      </c>
      <c r="D6" s="51">
        <f ca="1">'Summary Tables'!D6</f>
        <v>906283743.08643579</v>
      </c>
      <c r="E6" s="51">
        <f ca="1">'Summary Tables'!E6</f>
        <v>927588344.49577141</v>
      </c>
      <c r="F6" s="51">
        <f ca="1">'Summary Tables'!F6</f>
        <v>905509752.26774502</v>
      </c>
      <c r="G6" s="51">
        <f ca="1">'Summary Tables'!G6</f>
        <v>857792305.03628862</v>
      </c>
      <c r="H6" s="51">
        <f ca="1">'Summary Tables'!H6</f>
        <v>879197905.48144305</v>
      </c>
      <c r="I6" s="51">
        <f ca="1">'Summary Tables'!I6</f>
        <v>894031405.22001076</v>
      </c>
      <c r="J6" s="51">
        <f ca="1">'Summary Tables'!J6</f>
        <v>890084578.42248416</v>
      </c>
      <c r="K6" s="51">
        <f ca="1">'Summary Tables'!K6</f>
        <v>926699529.78917146</v>
      </c>
      <c r="L6" s="51">
        <f ca="1">'Summary Tables'!L6</f>
        <v>928770254.56307244</v>
      </c>
      <c r="M6" s="51">
        <f ca="1">'Summary Tables'!C45</f>
        <v>963798335.51313102</v>
      </c>
      <c r="N6" s="51">
        <f ca="1">'Summary Tables'!D45</f>
        <v>1013142478.7445124</v>
      </c>
      <c r="O6" s="51">
        <f ca="1">'Summary Tables'!E45</f>
        <v>1022487004.5647374</v>
      </c>
      <c r="P6" s="51">
        <f ca="1">'Summary Tables'!F45</f>
        <v>1028481560.0836257</v>
      </c>
      <c r="Q6" s="51">
        <f ca="1">'Summary Tables'!G45</f>
        <v>1026063146.0430988</v>
      </c>
      <c r="R6" s="59">
        <f ca="1">'Summary Tables'!H45</f>
        <v>1030923895.7654021</v>
      </c>
    </row>
    <row r="7" spans="2:18" s="85" customFormat="1" ht="13">
      <c r="B7" s="58" t="str">
        <f>'Summary Tables'!B97</f>
        <v>GS 3,000 - 4,999</v>
      </c>
      <c r="C7" s="51">
        <f ca="1">'Summary Tables'!C7</f>
        <v>78366220.038373992</v>
      </c>
      <c r="D7" s="51">
        <f ca="1">'Summary Tables'!D7</f>
        <v>87507089.957190782</v>
      </c>
      <c r="E7" s="51">
        <f ca="1">'Summary Tables'!E7</f>
        <v>80858592.396544397</v>
      </c>
      <c r="F7" s="51">
        <f ca="1">'Summary Tables'!F7</f>
        <v>89925973.080334738</v>
      </c>
      <c r="G7" s="51">
        <f ca="1">'Summary Tables'!G7</f>
        <v>86212022.147016823</v>
      </c>
      <c r="H7" s="51">
        <f ca="1">'Summary Tables'!H7</f>
        <v>94614053.935747579</v>
      </c>
      <c r="I7" s="51">
        <f ca="1">'Summary Tables'!I7</f>
        <v>104923623.55856374</v>
      </c>
      <c r="J7" s="51">
        <f ca="1">'Summary Tables'!J7</f>
        <v>105772784.76802033</v>
      </c>
      <c r="K7" s="51">
        <f ca="1">'Summary Tables'!K7</f>
        <v>94679921.545373872</v>
      </c>
      <c r="L7" s="51">
        <f ca="1">'Summary Tables'!L7</f>
        <v>95012917.659763187</v>
      </c>
      <c r="M7" s="51">
        <f ca="1">'Summary Tables'!C46</f>
        <v>120544505.00295174</v>
      </c>
      <c r="N7" s="51">
        <f ca="1">'Summary Tables'!D46</f>
        <v>154289818.7715472</v>
      </c>
      <c r="O7" s="51">
        <f ca="1">'Summary Tables'!E46</f>
        <v>179717243.71939456</v>
      </c>
      <c r="P7" s="51">
        <f ca="1">'Summary Tables'!F46</f>
        <v>195444232.22083339</v>
      </c>
      <c r="Q7" s="51">
        <f ca="1">'Summary Tables'!G46</f>
        <v>200264057.20306987</v>
      </c>
      <c r="R7" s="59">
        <f ca="1">'Summary Tables'!H46</f>
        <v>207528613.81570518</v>
      </c>
    </row>
    <row r="8" spans="2:18" s="85" customFormat="1" ht="13">
      <c r="B8" s="58" t="str">
        <f>'Summary Tables'!B98</f>
        <v>Large Use</v>
      </c>
      <c r="C8" s="51">
        <f ca="1">'Summary Tables'!C8</f>
        <v>214289820.48699546</v>
      </c>
      <c r="D8" s="51">
        <f ca="1">'Summary Tables'!D8</f>
        <v>222292495.33607462</v>
      </c>
      <c r="E8" s="51">
        <f ca="1">'Summary Tables'!E8</f>
        <v>248469427.75455135</v>
      </c>
      <c r="F8" s="51">
        <f ca="1">'Summary Tables'!F8</f>
        <v>257775123.13030541</v>
      </c>
      <c r="G8" s="51">
        <f ca="1">'Summary Tables'!G8</f>
        <v>262392771.64005709</v>
      </c>
      <c r="H8" s="51">
        <f ca="1">'Summary Tables'!H8</f>
        <v>282815639.36618131</v>
      </c>
      <c r="I8" s="51">
        <f ca="1">'Summary Tables'!I8</f>
        <v>287178352.97389549</v>
      </c>
      <c r="J8" s="51">
        <f ca="1">'Summary Tables'!J8</f>
        <v>301783249.88881892</v>
      </c>
      <c r="K8" s="51">
        <f ca="1">'Summary Tables'!K8</f>
        <v>319639648.58016247</v>
      </c>
      <c r="L8" s="51">
        <f ca="1">'Summary Tables'!L8</f>
        <v>320243428.7364316</v>
      </c>
      <c r="M8" s="51">
        <f ca="1">'Summary Tables'!C47</f>
        <v>343075152.01669252</v>
      </c>
      <c r="N8" s="51">
        <f ca="1">'Summary Tables'!D47</f>
        <v>409486870.75309986</v>
      </c>
      <c r="O8" s="51">
        <f ca="1">'Summary Tables'!E47</f>
        <v>486502046.60378212</v>
      </c>
      <c r="P8" s="51">
        <f ca="1">'Summary Tables'!F47</f>
        <v>530848433.28238314</v>
      </c>
      <c r="Q8" s="51">
        <f ca="1">'Summary Tables'!G47</f>
        <v>538574069.41898668</v>
      </c>
      <c r="R8" s="59">
        <f ca="1">'Summary Tables'!H47</f>
        <v>543584528.13487542</v>
      </c>
    </row>
    <row r="9" spans="2:18" s="85" customFormat="1" ht="13">
      <c r="B9" s="58" t="str">
        <f>'Summary Tables'!B99</f>
        <v>Street Light</v>
      </c>
      <c r="C9" s="51">
        <f ca="1">'Summary Tables'!C9</f>
        <v>20696694.0755581</v>
      </c>
      <c r="D9" s="51">
        <f ca="1">'Summary Tables'!D9</f>
        <v>19519835.661133371</v>
      </c>
      <c r="E9" s="51">
        <f ca="1">'Summary Tables'!E9</f>
        <v>15418262.659797747</v>
      </c>
      <c r="F9" s="51">
        <f ca="1">'Summary Tables'!F9</f>
        <v>13154878.992558671</v>
      </c>
      <c r="G9" s="51">
        <f ca="1">'Summary Tables'!G9</f>
        <v>11375771.341347072</v>
      </c>
      <c r="H9" s="51">
        <f ca="1">'Summary Tables'!H9</f>
        <v>11145146.346117154</v>
      </c>
      <c r="I9" s="51">
        <f ca="1">'Summary Tables'!I9</f>
        <v>11108255.523755008</v>
      </c>
      <c r="J9" s="51">
        <f ca="1">'Summary Tables'!J9</f>
        <v>11322769.347452775</v>
      </c>
      <c r="K9" s="51">
        <f ca="1">'Summary Tables'!K9</f>
        <v>11585951.65998855</v>
      </c>
      <c r="L9" s="51">
        <f ca="1">'Summary Tables'!L9</f>
        <v>11654612.020606756</v>
      </c>
      <c r="M9" s="51">
        <f ca="1">'Summary Tables'!C48</f>
        <v>11783218.435274247</v>
      </c>
      <c r="N9" s="51">
        <f ca="1">'Summary Tables'!D48</f>
        <v>11913243.997131227</v>
      </c>
      <c r="O9" s="51">
        <f ca="1">'Summary Tables'!E48</f>
        <v>12044704.366195513</v>
      </c>
      <c r="P9" s="51">
        <f ca="1">'Summary Tables'!F48</f>
        <v>12177615.375290232</v>
      </c>
      <c r="Q9" s="51">
        <f ca="1">'Summary Tables'!G48</f>
        <v>12311993.031950675</v>
      </c>
      <c r="R9" s="59">
        <f ca="1">'Summary Tables'!H48</f>
        <v>12447853.520352231</v>
      </c>
    </row>
    <row r="10" spans="2:18" s="85" customFormat="1" ht="13">
      <c r="B10" s="58" t="str">
        <f>'Summary Tables'!B100</f>
        <v>Sentinel Light</v>
      </c>
      <c r="C10" s="51">
        <f ca="1">'Summary Tables'!C10</f>
        <v>149076.16867010115</v>
      </c>
      <c r="D10" s="51">
        <f ca="1">'Summary Tables'!D10</f>
        <v>297128.43922915473</v>
      </c>
      <c r="E10" s="51">
        <f ca="1">'Summary Tables'!E10</f>
        <v>236464.57737073075</v>
      </c>
      <c r="F10" s="51">
        <f ca="1">'Summary Tables'!F10</f>
        <v>219210.48464033578</v>
      </c>
      <c r="G10" s="51">
        <f ca="1">'Summary Tables'!G10</f>
        <v>219089.71570311007</v>
      </c>
      <c r="H10" s="51">
        <f ca="1">'Summary Tables'!H10</f>
        <v>216801.46918526999</v>
      </c>
      <c r="I10" s="51">
        <f ca="1">'Summary Tables'!I10</f>
        <v>206492.3201679069</v>
      </c>
      <c r="J10" s="51">
        <f ca="1">'Summary Tables'!J10</f>
        <v>208749.31310818545</v>
      </c>
      <c r="K10" s="51">
        <f ca="1">'Summary Tables'!K10</f>
        <v>85942.730394962797</v>
      </c>
      <c r="L10" s="51">
        <f ca="1">'Summary Tables'!L10</f>
        <v>84532.818164472439</v>
      </c>
      <c r="M10" s="51">
        <f ca="1">'Summary Tables'!C49</f>
        <v>82878.928767326172</v>
      </c>
      <c r="N10" s="51">
        <f ca="1">'Summary Tables'!D49</f>
        <v>81257.397810338269</v>
      </c>
      <c r="O10" s="51">
        <f ca="1">'Summary Tables'!E49</f>
        <v>79667.592198785904</v>
      </c>
      <c r="P10" s="51">
        <f ca="1">'Summary Tables'!F49</f>
        <v>78108.891224480496</v>
      </c>
      <c r="Q10" s="51">
        <f ca="1">'Summary Tables'!G49</f>
        <v>76580.686323424539</v>
      </c>
      <c r="R10" s="59">
        <f ca="1">'Summary Tables'!H49</f>
        <v>75082.38083820972</v>
      </c>
    </row>
    <row r="11" spans="2:18" s="85" customFormat="1" ht="13">
      <c r="B11" s="58" t="str">
        <f>'Summary Tables'!B101</f>
        <v>USL</v>
      </c>
      <c r="C11" s="51">
        <f ca="1">'Summary Tables'!C11</f>
        <v>4746940.8319023084</v>
      </c>
      <c r="D11" s="51">
        <f ca="1">'Summary Tables'!D11</f>
        <v>4693448.8360999813</v>
      </c>
      <c r="E11" s="51">
        <f ca="1">'Summary Tables'!E11</f>
        <v>4665788.0175539022</v>
      </c>
      <c r="F11" s="51">
        <f ca="1">'Summary Tables'!F11</f>
        <v>4623203.0910131652</v>
      </c>
      <c r="G11" s="51">
        <f ca="1">'Summary Tables'!G11</f>
        <v>4593300.2480442664</v>
      </c>
      <c r="H11" s="51">
        <f ca="1">'Summary Tables'!H11</f>
        <v>4562375.2909750044</v>
      </c>
      <c r="I11" s="51">
        <f ca="1">'Summary Tables'!I11</f>
        <v>4553725.701202061</v>
      </c>
      <c r="J11" s="51">
        <f ca="1">'Summary Tables'!J11</f>
        <v>4536379.8034726195</v>
      </c>
      <c r="K11" s="51">
        <f ca="1">'Summary Tables'!K11</f>
        <v>4525963.0509444773</v>
      </c>
      <c r="L11" s="51">
        <f ca="1">'Summary Tables'!L11</f>
        <v>4511287.6741079949</v>
      </c>
      <c r="M11" s="51">
        <f ca="1">'Summary Tables'!C50</f>
        <v>4628438.8768212022</v>
      </c>
      <c r="N11" s="51">
        <f ca="1">'Summary Tables'!D50</f>
        <v>4588884.6673883721</v>
      </c>
      <c r="O11" s="51">
        <f ca="1">'Summary Tables'!E50</f>
        <v>4549668.4845613791</v>
      </c>
      <c r="P11" s="51">
        <f ca="1">'Summary Tables'!F50</f>
        <v>4510787.4395961957</v>
      </c>
      <c r="Q11" s="51">
        <f ca="1">'Summary Tables'!G50</f>
        <v>4472238.6684357328</v>
      </c>
      <c r="R11" s="59">
        <f ca="1">'Summary Tables'!H50</f>
        <v>4434019.3314988697</v>
      </c>
    </row>
    <row r="12" spans="2:18" s="85" customFormat="1" ht="13.5" thickBot="1">
      <c r="B12" s="57" t="s">
        <v>21</v>
      </c>
      <c r="C12" s="640">
        <f t="shared" ref="C12" ca="1" si="0">SUM(C3:C11)</f>
        <v>2440905414.7565441</v>
      </c>
      <c r="D12" s="640">
        <f t="shared" ref="D12" ca="1" si="1">SUM(D3:D11)</f>
        <v>2371912438.3900046</v>
      </c>
      <c r="E12" s="640">
        <f t="shared" ref="E12" ca="1" si="2">SUM(E3:E11)</f>
        <v>2489955322.6987867</v>
      </c>
      <c r="F12" s="640">
        <f t="shared" ref="F12" ca="1" si="3">SUM(F3:F11)</f>
        <v>2469382454.1306267</v>
      </c>
      <c r="G12" s="640">
        <f t="shared" ref="G12" ca="1" si="4">SUM(G3:G11)</f>
        <v>2475384197.0630159</v>
      </c>
      <c r="H12" s="640">
        <f t="shared" ref="H12" ca="1" si="5">SUM(H3:H11)</f>
        <v>2517108104.0305328</v>
      </c>
      <c r="I12" s="640">
        <f t="shared" ref="I12" ca="1" si="6">SUM(I3:I11)</f>
        <v>2550721328.6678905</v>
      </c>
      <c r="J12" s="640">
        <f t="shared" ref="J12" ca="1" si="7">SUM(J3:J11)</f>
        <v>2551076495.843287</v>
      </c>
      <c r="K12" s="640">
        <f t="shared" ref="K12" ca="1" si="8">SUM(K3:K11)</f>
        <v>2619123263.7739639</v>
      </c>
      <c r="L12" s="640">
        <f t="shared" ref="L12" ca="1" si="9">SUM(L3:L11)</f>
        <v>2652385337.3171654</v>
      </c>
      <c r="M12" s="640">
        <f t="shared" ref="M12" ca="1" si="10">SUM(M3:M11)</f>
        <v>2774813788.9137268</v>
      </c>
      <c r="N12" s="640">
        <f t="shared" ref="N12" ca="1" si="11">SUM(N3:N11)</f>
        <v>2941403495.1508245</v>
      </c>
      <c r="O12" s="640">
        <f t="shared" ref="O12" ca="1" si="12">SUM(O3:O11)</f>
        <v>3071195137.1314974</v>
      </c>
      <c r="P12" s="640">
        <f t="shared" ref="P12" ca="1" si="13">SUM(P3:P11)</f>
        <v>3153943115.2694454</v>
      </c>
      <c r="Q12" s="640">
        <f t="shared" ref="Q12:R12" ca="1" si="14">SUM(Q3:Q11)</f>
        <v>3186733744.2355456</v>
      </c>
      <c r="R12" s="56">
        <f t="shared" ca="1" si="14"/>
        <v>3229537309.3531394</v>
      </c>
    </row>
    <row r="13" spans="2:18" s="85" customFormat="1" ht="13">
      <c r="B13" s="58" t="str">
        <f>B6</f>
        <v>GS 50 - 2,999</v>
      </c>
      <c r="C13" s="51">
        <f ca="1">'Summary Tables'!C56</f>
        <v>2342969.96</v>
      </c>
      <c r="D13" s="51">
        <f ca="1">'Summary Tables'!D56</f>
        <v>2295183.8399999994</v>
      </c>
      <c r="E13" s="51">
        <f ca="1">'Summary Tables'!E56</f>
        <v>2313760.27</v>
      </c>
      <c r="F13" s="51">
        <f ca="1">'Summary Tables'!F56</f>
        <v>2245850.48</v>
      </c>
      <c r="G13" s="51">
        <f ca="1">'Summary Tables'!G56</f>
        <v>2160161.04</v>
      </c>
      <c r="H13" s="51">
        <f ca="1">'Summary Tables'!H56</f>
        <v>2190090.0699999994</v>
      </c>
      <c r="I13" s="51">
        <f ca="1">'Summary Tables'!I56</f>
        <v>2248196.86</v>
      </c>
      <c r="J13" s="51">
        <f ca="1">'Summary Tables'!J56</f>
        <v>2217562.73</v>
      </c>
      <c r="K13" s="51">
        <f ca="1">'Summary Tables'!K56</f>
        <v>2202593.3899999997</v>
      </c>
      <c r="L13" s="51">
        <f ca="1">'Summary Tables'!L56</f>
        <v>2223580.19</v>
      </c>
      <c r="M13" s="51">
        <f ca="1">'Summary Tables'!C82</f>
        <v>2342346.9795161951</v>
      </c>
      <c r="N13" s="51">
        <f ca="1">'Summary Tables'!D82</f>
        <v>2472002.527679252</v>
      </c>
      <c r="O13" s="51">
        <f ca="1">'Summary Tables'!E82</f>
        <v>2506221.6534840767</v>
      </c>
      <c r="P13" s="51">
        <f ca="1">'Summary Tables'!F82</f>
        <v>2533597.230771916</v>
      </c>
      <c r="Q13" s="51">
        <f ca="1">'Summary Tables'!G82</f>
        <v>2541360.3199104858</v>
      </c>
      <c r="R13" s="59">
        <f ca="1">'Summary Tables'!H82</f>
        <v>2567010.5102947801</v>
      </c>
    </row>
    <row r="14" spans="2:18" s="85" customFormat="1" ht="13">
      <c r="B14" s="58" t="str">
        <f>B7</f>
        <v>GS 3,000 - 4,999</v>
      </c>
      <c r="C14" s="51">
        <f ca="1">'Summary Tables'!C57</f>
        <v>223616.35</v>
      </c>
      <c r="D14" s="51">
        <f ca="1">'Summary Tables'!D57</f>
        <v>200189.70000000004</v>
      </c>
      <c r="E14" s="51">
        <f ca="1">'Summary Tables'!E57</f>
        <v>189119.25000000003</v>
      </c>
      <c r="F14" s="51">
        <f ca="1">'Summary Tables'!F57</f>
        <v>195386.42</v>
      </c>
      <c r="G14" s="51">
        <f ca="1">'Summary Tables'!G57</f>
        <v>192683.53999999998</v>
      </c>
      <c r="H14" s="51">
        <f ca="1">'Summary Tables'!H57</f>
        <v>216388.10000000003</v>
      </c>
      <c r="I14" s="51">
        <f ca="1">'Summary Tables'!I57</f>
        <v>228646.87000000002</v>
      </c>
      <c r="J14" s="51">
        <f ca="1">'Summary Tables'!J57</f>
        <v>234048.35</v>
      </c>
      <c r="K14" s="51">
        <f ca="1">'Summary Tables'!K57</f>
        <v>215659.85000000003</v>
      </c>
      <c r="L14" s="51">
        <f ca="1">'Summary Tables'!L57</f>
        <v>219427.96000000002</v>
      </c>
      <c r="M14" s="51">
        <f ca="1">'Summary Tables'!C83</f>
        <v>273247.33853807417</v>
      </c>
      <c r="N14" s="51">
        <f ca="1">'Summary Tables'!D83</f>
        <v>351396.63829019741</v>
      </c>
      <c r="O14" s="51">
        <f ca="1">'Summary Tables'!E83</f>
        <v>411318.8956286746</v>
      </c>
      <c r="P14" s="51">
        <f ca="1">'Summary Tables'!F83</f>
        <v>449644.36124127265</v>
      </c>
      <c r="Q14" s="51">
        <f ca="1">'Summary Tables'!G83</f>
        <v>463427.4227972962</v>
      </c>
      <c r="R14" s="59">
        <f ca="1">'Summary Tables'!H83</f>
        <v>482998.27296510391</v>
      </c>
    </row>
    <row r="15" spans="2:18" s="85" customFormat="1" ht="13">
      <c r="B15" s="58" t="str">
        <f>B8</f>
        <v>Large Use</v>
      </c>
      <c r="C15" s="51">
        <f ca="1">'Summary Tables'!C58</f>
        <v>421758</v>
      </c>
      <c r="D15" s="51">
        <f ca="1">'Summary Tables'!D58</f>
        <v>382866</v>
      </c>
      <c r="E15" s="51">
        <f ca="1">'Summary Tables'!E58</f>
        <v>423038</v>
      </c>
      <c r="F15" s="51">
        <f ca="1">'Summary Tables'!F58</f>
        <v>433414</v>
      </c>
      <c r="G15" s="51">
        <f ca="1">'Summary Tables'!G58</f>
        <v>453257</v>
      </c>
      <c r="H15" s="51">
        <f ca="1">'Summary Tables'!H58</f>
        <v>481567</v>
      </c>
      <c r="I15" s="51">
        <f ca="1">'Summary Tables'!I58</f>
        <v>490452</v>
      </c>
      <c r="J15" s="51">
        <f ca="1">'Summary Tables'!J58</f>
        <v>518389.27999999997</v>
      </c>
      <c r="K15" s="51">
        <f ca="1">'Summary Tables'!K58</f>
        <v>532510.09</v>
      </c>
      <c r="L15" s="51">
        <f ca="1">'Summary Tables'!L58</f>
        <v>539128.64</v>
      </c>
      <c r="M15" s="51">
        <f ca="1">'Summary Tables'!C84</f>
        <v>582754.02625610516</v>
      </c>
      <c r="N15" s="51">
        <f ca="1">'Summary Tables'!D84</f>
        <v>699952.55015067162</v>
      </c>
      <c r="O15" s="51">
        <f ca="1">'Summary Tables'!E84</f>
        <v>838837.78883968422</v>
      </c>
      <c r="P15" s="51">
        <f ca="1">'Summary Tables'!F84</f>
        <v>921903.83334637014</v>
      </c>
      <c r="Q15" s="51">
        <f ca="1">'Summary Tables'!G84</f>
        <v>941697.31207975489</v>
      </c>
      <c r="R15" s="59">
        <f ca="1">'Summary Tables'!H84</f>
        <v>956657.69739546173</v>
      </c>
    </row>
    <row r="16" spans="2:18" s="85" customFormat="1" ht="13">
      <c r="B16" s="58" t="str">
        <f>B9</f>
        <v>Street Light</v>
      </c>
      <c r="C16" s="51">
        <f ca="1">'Summary Tables'!C59</f>
        <v>57564.81</v>
      </c>
      <c r="D16" s="51">
        <f ca="1">'Summary Tables'!D59</f>
        <v>54832.51</v>
      </c>
      <c r="E16" s="51">
        <f ca="1">'Summary Tables'!E59</f>
        <v>43114.93</v>
      </c>
      <c r="F16" s="51">
        <f ca="1">'Summary Tables'!F59</f>
        <v>36690.920000000006</v>
      </c>
      <c r="G16" s="51">
        <f ca="1">'Summary Tables'!G59</f>
        <v>31667.35</v>
      </c>
      <c r="H16" s="51">
        <f ca="1">'Summary Tables'!H59</f>
        <v>31122.25</v>
      </c>
      <c r="I16" s="51">
        <f ca="1">'Summary Tables'!I59</f>
        <v>31016.899999999998</v>
      </c>
      <c r="J16" s="51">
        <f ca="1">'Summary Tables'!J59</f>
        <v>31561.47</v>
      </c>
      <c r="K16" s="51">
        <f ca="1">'Summary Tables'!K59</f>
        <v>32173.850000000002</v>
      </c>
      <c r="L16" s="51">
        <f ca="1">'Summary Tables'!L59</f>
        <v>32450.92</v>
      </c>
      <c r="M16" s="51">
        <f ca="1">'Summary Tables'!C85</f>
        <v>32867.111912563763</v>
      </c>
      <c r="N16" s="51">
        <f ca="1">'Summary Tables'!D85</f>
        <v>33229.794206584047</v>
      </c>
      <c r="O16" s="51">
        <f ca="1">'Summary Tables'!E85</f>
        <v>33596.478630354744</v>
      </c>
      <c r="P16" s="51">
        <f ca="1">'Summary Tables'!F85</f>
        <v>33967.209346612253</v>
      </c>
      <c r="Q16" s="51">
        <f ca="1">'Summary Tables'!G85</f>
        <v>34342.031005420286</v>
      </c>
      <c r="R16" s="59">
        <f ca="1">'Summary Tables'!H85</f>
        <v>34720.988749547483</v>
      </c>
    </row>
    <row r="17" spans="1:18" s="85" customFormat="1" ht="13">
      <c r="B17" s="58" t="str">
        <f>B10</f>
        <v>Sentinel Light</v>
      </c>
      <c r="C17" s="51">
        <f ca="1">'Summary Tables'!C60</f>
        <v>1014</v>
      </c>
      <c r="D17" s="51">
        <f ca="1">'Summary Tables'!D60</f>
        <v>967.00000000000011</v>
      </c>
      <c r="E17" s="51">
        <f ca="1">'Summary Tables'!E60</f>
        <v>720</v>
      </c>
      <c r="F17" s="51">
        <f ca="1">'Summary Tables'!F60</f>
        <v>629</v>
      </c>
      <c r="G17" s="51">
        <f ca="1">'Summary Tables'!G60</f>
        <v>642</v>
      </c>
      <c r="H17" s="51">
        <f ca="1">'Summary Tables'!H60</f>
        <v>632</v>
      </c>
      <c r="I17" s="51">
        <f ca="1">'Summary Tables'!I60</f>
        <v>601</v>
      </c>
      <c r="J17" s="51">
        <f ca="1">'Summary Tables'!J60</f>
        <v>608</v>
      </c>
      <c r="K17" s="51">
        <f ca="1">'Summary Tables'!K60</f>
        <v>602</v>
      </c>
      <c r="L17" s="51">
        <f ca="1">'Summary Tables'!L60</f>
        <v>592.1240377300727</v>
      </c>
      <c r="M17" s="51">
        <f ca="1">'Summary Tables'!C86</f>
        <v>580.53909724113964</v>
      </c>
      <c r="N17" s="51">
        <f ca="1">'Summary Tables'!D86</f>
        <v>569.18081677203395</v>
      </c>
      <c r="O17" s="51">
        <f ca="1">'Summary Tables'!E86</f>
        <v>558.04476170657131</v>
      </c>
      <c r="P17" s="51">
        <f ca="1">'Summary Tables'!F86</f>
        <v>547.12658419208481</v>
      </c>
      <c r="Q17" s="51">
        <f ca="1">'Summary Tables'!G86</f>
        <v>536.42202144189309</v>
      </c>
      <c r="R17" s="59">
        <f ca="1">'Summary Tables'!H86</f>
        <v>525.92689407097839</v>
      </c>
    </row>
    <row r="18" spans="1:18" s="85" customFormat="1" ht="13.5" thickBot="1">
      <c r="B18" s="57" t="s">
        <v>22</v>
      </c>
      <c r="C18" s="640">
        <f t="shared" ref="C18:R18" ca="1" si="15">SUM(C13:C17)</f>
        <v>3046923.12</v>
      </c>
      <c r="D18" s="640">
        <f t="shared" ca="1" si="15"/>
        <v>2934039.0499999993</v>
      </c>
      <c r="E18" s="640">
        <f t="shared" ca="1" si="15"/>
        <v>2969752.45</v>
      </c>
      <c r="F18" s="640">
        <f t="shared" ca="1" si="15"/>
        <v>2911970.82</v>
      </c>
      <c r="G18" s="640">
        <f t="shared" ca="1" si="15"/>
        <v>2838410.93</v>
      </c>
      <c r="H18" s="640">
        <f t="shared" ca="1" si="15"/>
        <v>2919799.4199999995</v>
      </c>
      <c r="I18" s="640">
        <f t="shared" ca="1" si="15"/>
        <v>2998913.63</v>
      </c>
      <c r="J18" s="640">
        <f t="shared" ca="1" si="15"/>
        <v>3002169.83</v>
      </c>
      <c r="K18" s="640">
        <f t="shared" ref="K18" ca="1" si="16">SUM(K13:K17)</f>
        <v>2983539.1799999997</v>
      </c>
      <c r="L18" s="640">
        <f t="shared" ca="1" si="15"/>
        <v>3015179.83403773</v>
      </c>
      <c r="M18" s="640">
        <f t="shared" ca="1" si="15"/>
        <v>3231795.995320179</v>
      </c>
      <c r="N18" s="640">
        <f t="shared" ca="1" si="15"/>
        <v>3557150.6911434769</v>
      </c>
      <c r="O18" s="640">
        <f t="shared" ca="1" si="15"/>
        <v>3790532.8613444967</v>
      </c>
      <c r="P18" s="640">
        <f t="shared" ca="1" si="15"/>
        <v>3939659.7612903635</v>
      </c>
      <c r="Q18" s="640">
        <f t="shared" ca="1" si="15"/>
        <v>3981363.5078143994</v>
      </c>
      <c r="R18" s="56">
        <f t="shared" ca="1" si="15"/>
        <v>4041913.396298964</v>
      </c>
    </row>
    <row r="19" spans="1:18" s="85" customFormat="1" ht="13">
      <c r="B19" s="58" t="str">
        <f t="shared" ref="B19:B27" si="17">B3</f>
        <v>Residential</v>
      </c>
      <c r="C19" s="51">
        <f ca="1">'Summary Tables'!C93</f>
        <v>107447.625</v>
      </c>
      <c r="D19" s="51">
        <f ca="1">'Summary Tables'!D93</f>
        <v>108364.75</v>
      </c>
      <c r="E19" s="51">
        <f ca="1">'Summary Tables'!E93</f>
        <v>109469.75</v>
      </c>
      <c r="F19" s="51">
        <f ca="1">'Summary Tables'!F93</f>
        <v>110960.875</v>
      </c>
      <c r="G19" s="51">
        <f ca="1">'Summary Tables'!G93</f>
        <v>112218.375</v>
      </c>
      <c r="H19" s="51">
        <f ca="1">'Summary Tables'!H93</f>
        <v>113059.29166666664</v>
      </c>
      <c r="I19" s="51">
        <f ca="1">'Summary Tables'!I93</f>
        <v>114160.83333333336</v>
      </c>
      <c r="J19" s="51">
        <f ca="1">'Summary Tables'!J93</f>
        <v>115689.125</v>
      </c>
      <c r="K19" s="51">
        <f ca="1">'Summary Tables'!K93</f>
        <v>117456.375</v>
      </c>
      <c r="L19" s="51">
        <f ca="1">'Summary Tables'!L93</f>
        <v>118908.83333333337</v>
      </c>
      <c r="M19" s="51">
        <f ca="1">'Summary Tables'!M93</f>
        <v>120549.42139909492</v>
      </c>
      <c r="N19" s="51">
        <f ca="1">'Summary Tables'!N93</f>
        <v>122281.64122964442</v>
      </c>
      <c r="O19" s="51">
        <f ca="1">'Summary Tables'!O93</f>
        <v>124107.7225953329</v>
      </c>
      <c r="P19" s="51">
        <f ca="1">'Summary Tables'!P93</f>
        <v>126024.19465642334</v>
      </c>
      <c r="Q19" s="51">
        <f ca="1">'Summary Tables'!Q93</f>
        <v>128017.6351365939</v>
      </c>
      <c r="R19" s="59">
        <f ca="1">'Summary Tables'!R93</f>
        <v>129908.78108451176</v>
      </c>
    </row>
    <row r="20" spans="1:18" s="85" customFormat="1" ht="13">
      <c r="B20" s="58" t="str">
        <f t="shared" si="17"/>
        <v>Residential Seasonal</v>
      </c>
      <c r="C20" s="51">
        <f ca="1">'Summary Tables'!C94</f>
        <v>1585.75</v>
      </c>
      <c r="D20" s="51">
        <f ca="1">'Summary Tables'!D94</f>
        <v>1577.0416666666661</v>
      </c>
      <c r="E20" s="51">
        <f ca="1">'Summary Tables'!E94</f>
        <v>1570.9166666666661</v>
      </c>
      <c r="F20" s="51">
        <f ca="1">'Summary Tables'!F94</f>
        <v>1565.125</v>
      </c>
      <c r="G20" s="51">
        <f ca="1">'Summary Tables'!G94</f>
        <v>1561</v>
      </c>
      <c r="H20" s="51">
        <f ca="1">'Summary Tables'!H94</f>
        <v>1558.8333333333339</v>
      </c>
      <c r="I20" s="51">
        <f ca="1">'Summary Tables'!I94</f>
        <v>1559.1666666666661</v>
      </c>
      <c r="J20" s="51">
        <f ca="1">'Summary Tables'!J94</f>
        <v>1562.625</v>
      </c>
      <c r="K20" s="51">
        <f ca="1">'Summary Tables'!K94</f>
        <v>1561.8333333333339</v>
      </c>
      <c r="L20" s="51">
        <f ca="1">'Summary Tables'!L94</f>
        <v>1553.5</v>
      </c>
      <c r="M20" s="51">
        <f ca="1">'Summary Tables'!M94</f>
        <v>1549.9606514054349</v>
      </c>
      <c r="N20" s="51">
        <f ca="1">'Summary Tables'!N94</f>
        <v>1546.4261219890034</v>
      </c>
      <c r="O20" s="51">
        <f ca="1">'Summary Tables'!O94</f>
        <v>1542.8996527115078</v>
      </c>
      <c r="P20" s="51">
        <f ca="1">'Summary Tables'!P94</f>
        <v>1539.381225192612</v>
      </c>
      <c r="Q20" s="51">
        <f ca="1">'Summary Tables'!Q94</f>
        <v>1535.8708210938942</v>
      </c>
      <c r="R20" s="59">
        <f ca="1">'Summary Tables'!R94</f>
        <v>1532.3684221187507</v>
      </c>
    </row>
    <row r="21" spans="1:18" s="85" customFormat="1" ht="13">
      <c r="B21" s="58" t="str">
        <f t="shared" si="17"/>
        <v>GS&lt;50</v>
      </c>
      <c r="C21" s="51">
        <f ca="1">'Summary Tables'!C95</f>
        <v>8953.4166666666697</v>
      </c>
      <c r="D21" s="51">
        <f ca="1">'Summary Tables'!D95</f>
        <v>9015.375</v>
      </c>
      <c r="E21" s="51">
        <f ca="1">'Summary Tables'!E95</f>
        <v>9089.625</v>
      </c>
      <c r="F21" s="51">
        <f ca="1">'Summary Tables'!F95</f>
        <v>9207.0416666666697</v>
      </c>
      <c r="G21" s="51">
        <f ca="1">'Summary Tables'!G95</f>
        <v>9277.75</v>
      </c>
      <c r="H21" s="51">
        <f ca="1">'Summary Tables'!H95</f>
        <v>9314.7083333333303</v>
      </c>
      <c r="I21" s="51">
        <f ca="1">'Summary Tables'!I95</f>
        <v>9413.2083333333303</v>
      </c>
      <c r="J21" s="51">
        <f ca="1">'Summary Tables'!J95</f>
        <v>9487.375</v>
      </c>
      <c r="K21" s="51">
        <f ca="1">'Summary Tables'!K95</f>
        <v>9501.875</v>
      </c>
      <c r="L21" s="51">
        <f ca="1">'Summary Tables'!L95</f>
        <v>9505.4583333333303</v>
      </c>
      <c r="M21" s="51">
        <f ca="1">'Summary Tables'!M95</f>
        <v>9568.8251056720273</v>
      </c>
      <c r="N21" s="51">
        <f ca="1">'Summary Tables'!N95</f>
        <v>9632.6494895360411</v>
      </c>
      <c r="O21" s="51">
        <f ca="1">'Summary Tables'!O95</f>
        <v>9696.8995841775704</v>
      </c>
      <c r="P21" s="51">
        <f ca="1">'Summary Tables'!P95</f>
        <v>9761.5782291017476</v>
      </c>
      <c r="Q21" s="51">
        <f ca="1">'Summary Tables'!Q95</f>
        <v>9826.6882827533191</v>
      </c>
      <c r="R21" s="59">
        <f ca="1">'Summary Tables'!R95</f>
        <v>9892.2326226429323</v>
      </c>
    </row>
    <row r="22" spans="1:18" s="85" customFormat="1" ht="13">
      <c r="A22" s="85" t="s">
        <v>744</v>
      </c>
      <c r="B22" s="58" t="str">
        <f t="shared" si="17"/>
        <v>GS 50 - 2,999</v>
      </c>
      <c r="C22" s="51">
        <f ca="1">'Summary Tables'!C96</f>
        <v>1056.0416666666663</v>
      </c>
      <c r="D22" s="51">
        <f ca="1">'Summary Tables'!D96</f>
        <v>1068.3333333333337</v>
      </c>
      <c r="E22" s="51">
        <f ca="1">'Summary Tables'!E96</f>
        <v>1060.25</v>
      </c>
      <c r="F22" s="51">
        <f ca="1">'Summary Tables'!F96</f>
        <v>1029.0833333333337</v>
      </c>
      <c r="G22" s="51">
        <f ca="1">'Summary Tables'!G96</f>
        <v>1032</v>
      </c>
      <c r="H22" s="51">
        <f ca="1">'Summary Tables'!H96</f>
        <v>1052.2083333333337</v>
      </c>
      <c r="I22" s="51">
        <f ca="1">'Summary Tables'!I96</f>
        <v>1037.25</v>
      </c>
      <c r="J22" s="51">
        <f ca="1">'Summary Tables'!J96</f>
        <v>1030.4583333333335</v>
      </c>
      <c r="K22" s="51">
        <f ca="1">'Summary Tables'!K96</f>
        <v>1059.4166666666663</v>
      </c>
      <c r="L22" s="51">
        <f ca="1">'Summary Tables'!L96</f>
        <v>1088</v>
      </c>
      <c r="M22" s="51">
        <f ca="1">'Summary Tables'!M96</f>
        <v>1095.670111892214</v>
      </c>
      <c r="N22" s="51">
        <f ca="1">'Summary Tables'!N96</f>
        <v>1104.1380135023953</v>
      </c>
      <c r="O22" s="51">
        <f ca="1">'Summary Tables'!O96</f>
        <v>1109.4512668474492</v>
      </c>
      <c r="P22" s="51">
        <f ca="1">'Summary Tables'!P96</f>
        <v>1113.6182451390212</v>
      </c>
      <c r="Q22" s="51">
        <f ca="1">'Summary Tables'!Q96</f>
        <v>1117.3681550544138</v>
      </c>
      <c r="R22" s="59">
        <f ca="1">'Summary Tables'!R96</f>
        <v>1121.0385367370197</v>
      </c>
    </row>
    <row r="23" spans="1:18" s="85" customFormat="1" ht="13">
      <c r="B23" s="58" t="str">
        <f t="shared" si="17"/>
        <v>GS 3,000 - 4,999</v>
      </c>
      <c r="C23" s="51">
        <f ca="1">'Summary Tables'!C97</f>
        <v>5</v>
      </c>
      <c r="D23" s="51">
        <f ca="1">'Summary Tables'!D97</f>
        <v>5</v>
      </c>
      <c r="E23" s="51">
        <f ca="1">'Summary Tables'!E97</f>
        <v>4.4583333333333348</v>
      </c>
      <c r="F23" s="51">
        <f ca="1">'Summary Tables'!F97</f>
        <v>4</v>
      </c>
      <c r="G23" s="51">
        <f ca="1">'Summary Tables'!G97</f>
        <v>4.5416666666666652</v>
      </c>
      <c r="H23" s="51">
        <f ca="1">'Summary Tables'!H97</f>
        <v>5.5416666666666643</v>
      </c>
      <c r="I23" s="51">
        <f ca="1">'Summary Tables'!I97</f>
        <v>5.4583333333333357</v>
      </c>
      <c r="J23" s="51">
        <f ca="1">'Summary Tables'!J97</f>
        <v>5</v>
      </c>
      <c r="K23" s="51">
        <f ca="1">'Summary Tables'!K97</f>
        <v>5</v>
      </c>
      <c r="L23" s="51">
        <f ca="1">'Summary Tables'!L97</f>
        <v>5</v>
      </c>
      <c r="M23" s="51">
        <f ca="1">'Summary Tables'!M97</f>
        <v>6.354166666666667</v>
      </c>
      <c r="N23" s="51">
        <f ca="1">'Summary Tables'!N97</f>
        <v>8.0958333333333332</v>
      </c>
      <c r="O23" s="51">
        <f ca="1">'Summary Tables'!O97</f>
        <v>8.9250000000000007</v>
      </c>
      <c r="P23" s="51">
        <f ca="1">'Summary Tables'!P97</f>
        <v>9.2541666666666682</v>
      </c>
      <c r="Q23" s="51">
        <f ca="1">'Summary Tables'!Q97</f>
        <v>9.300000000000006</v>
      </c>
      <c r="R23" s="59">
        <f ca="1">'Summary Tables'!R97</f>
        <v>9.300000000000006</v>
      </c>
    </row>
    <row r="24" spans="1:18" s="85" customFormat="1" ht="13">
      <c r="B24" s="58" t="str">
        <f t="shared" si="17"/>
        <v>Large Use</v>
      </c>
      <c r="C24" s="51">
        <f ca="1">'Summary Tables'!C98</f>
        <v>3</v>
      </c>
      <c r="D24" s="51">
        <f ca="1">'Summary Tables'!D98</f>
        <v>3</v>
      </c>
      <c r="E24" s="51">
        <f ca="1">'Summary Tables'!E98</f>
        <v>3.5416666666666674</v>
      </c>
      <c r="F24" s="51">
        <f ca="1">'Summary Tables'!F98</f>
        <v>4</v>
      </c>
      <c r="G24" s="51">
        <f ca="1">'Summary Tables'!G98</f>
        <v>4</v>
      </c>
      <c r="H24" s="51">
        <f ca="1">'Summary Tables'!H98</f>
        <v>4</v>
      </c>
      <c r="I24" s="51">
        <f ca="1">'Summary Tables'!I98</f>
        <v>4</v>
      </c>
      <c r="J24" s="51">
        <f ca="1">'Summary Tables'!J98</f>
        <v>4.5416666666666652</v>
      </c>
      <c r="K24" s="51">
        <f ca="1">'Summary Tables'!K98</f>
        <v>5</v>
      </c>
      <c r="L24" s="51">
        <f ca="1">'Summary Tables'!L98</f>
        <v>5</v>
      </c>
      <c r="M24" s="51">
        <f ca="1">'Summary Tables'!M98</f>
        <v>5.203125</v>
      </c>
      <c r="N24" s="51">
        <f ca="1">'Summary Tables'!N98</f>
        <v>5.645833333333333</v>
      </c>
      <c r="O24" s="51">
        <f ca="1">'Summary Tables'!O98</f>
        <v>5.9427083333333321</v>
      </c>
      <c r="P24" s="51">
        <f ca="1">'Summary Tables'!P98</f>
        <v>5.9999999999999991</v>
      </c>
      <c r="Q24" s="51">
        <f ca="1">'Summary Tables'!Q98</f>
        <v>5.9999999999999991</v>
      </c>
      <c r="R24" s="59">
        <f ca="1">'Summary Tables'!R98</f>
        <v>5.9999999999999991</v>
      </c>
    </row>
    <row r="25" spans="1:18" s="85" customFormat="1" ht="13">
      <c r="B25" s="58" t="str">
        <f t="shared" si="17"/>
        <v>Street Light</v>
      </c>
      <c r="C25" s="51">
        <f ca="1">'Summary Tables'!C99</f>
        <v>30030.75</v>
      </c>
      <c r="D25" s="51">
        <f ca="1">'Summary Tables'!D99</f>
        <v>30411.75</v>
      </c>
      <c r="E25" s="51">
        <f ca="1">'Summary Tables'!E99</f>
        <v>30897.625</v>
      </c>
      <c r="F25" s="51">
        <f ca="1">'Summary Tables'!F99</f>
        <v>31143.041666666657</v>
      </c>
      <c r="G25" s="51">
        <f ca="1">'Summary Tables'!G99</f>
        <v>31414.916666666657</v>
      </c>
      <c r="H25" s="51">
        <f ca="1">'Summary Tables'!H99</f>
        <v>31679.166666666657</v>
      </c>
      <c r="I25" s="51">
        <f ca="1">'Summary Tables'!I99</f>
        <v>31795.041666666657</v>
      </c>
      <c r="J25" s="51">
        <f ca="1">'Summary Tables'!J99</f>
        <v>32131.541666666657</v>
      </c>
      <c r="K25" s="51">
        <f ca="1">'Summary Tables'!K99</f>
        <v>32717.416666666661</v>
      </c>
      <c r="L25" s="51">
        <f ca="1">'Summary Tables'!L99</f>
        <v>33148.291666666679</v>
      </c>
      <c r="M25" s="51">
        <f ca="1">'Summary Tables'!M99</f>
        <v>33513.940476027485</v>
      </c>
      <c r="N25" s="51">
        <f ca="1">'Summary Tables'!N99</f>
        <v>33883.760399537663</v>
      </c>
      <c r="O25" s="51">
        <f ca="1">'Summary Tables'!O99</f>
        <v>34257.661215174587</v>
      </c>
      <c r="P25" s="51">
        <f ca="1">'Summary Tables'!P99</f>
        <v>34635.687954802408</v>
      </c>
      <c r="Q25" s="51">
        <f ca="1">'Summary Tables'!Q99</f>
        <v>35017.886147203273</v>
      </c>
      <c r="R25" s="59">
        <f ca="1">'Summary Tables'!R99</f>
        <v>35404.301823560694</v>
      </c>
    </row>
    <row r="26" spans="1:18" s="85" customFormat="1" ht="13">
      <c r="B26" s="58" t="str">
        <f t="shared" si="17"/>
        <v>Sentinel Light</v>
      </c>
      <c r="C26" s="51">
        <f ca="1">'Summary Tables'!C100</f>
        <v>439</v>
      </c>
      <c r="D26" s="51">
        <f ca="1">'Summary Tables'!D100</f>
        <v>439</v>
      </c>
      <c r="E26" s="51">
        <f ca="1">'Summary Tables'!E100</f>
        <v>439</v>
      </c>
      <c r="F26" s="51">
        <f ca="1">'Summary Tables'!F100</f>
        <v>342.04166666666652</v>
      </c>
      <c r="G26" s="51">
        <f ca="1">'Summary Tables'!G100</f>
        <v>255.125</v>
      </c>
      <c r="H26" s="51">
        <f ca="1">'Summary Tables'!H100</f>
        <v>248.83333333333326</v>
      </c>
      <c r="I26" s="51">
        <f ca="1">'Summary Tables'!I100</f>
        <v>245.91666666666674</v>
      </c>
      <c r="J26" s="51">
        <f ca="1">'Summary Tables'!J100</f>
        <v>242.83333333333326</v>
      </c>
      <c r="K26" s="51">
        <f ca="1">'Summary Tables'!K100</f>
        <v>238.29166666666674</v>
      </c>
      <c r="L26" s="51">
        <f ca="1">'Summary Tables'!L100</f>
        <v>231.125</v>
      </c>
      <c r="M26" s="51">
        <f ca="1">'Summary Tables'!M100</f>
        <v>226.61037880257982</v>
      </c>
      <c r="N26" s="51">
        <f ca="1">'Summary Tables'!N100</f>
        <v>222.17673384760306</v>
      </c>
      <c r="O26" s="51">
        <f ca="1">'Summary Tables'!O100</f>
        <v>217.82983340843643</v>
      </c>
      <c r="P26" s="51">
        <f ca="1">'Summary Tables'!P100</f>
        <v>213.56798032369252</v>
      </c>
      <c r="Q26" s="51">
        <f ca="1">'Summary Tables'!Q100</f>
        <v>209.38951063704306</v>
      </c>
      <c r="R26" s="59">
        <f ca="1">'Summary Tables'!R100</f>
        <v>205.29279294756</v>
      </c>
    </row>
    <row r="27" spans="1:18" s="85" customFormat="1" ht="13">
      <c r="B27" s="58" t="str">
        <f t="shared" si="17"/>
        <v>USL</v>
      </c>
      <c r="C27" s="51">
        <f ca="1">'Summary Tables'!C101</f>
        <v>837.41666666666686</v>
      </c>
      <c r="D27" s="51">
        <f ca="1">'Summary Tables'!D101</f>
        <v>825.58333333333314</v>
      </c>
      <c r="E27" s="51">
        <f ca="1">'Summary Tables'!E101</f>
        <v>817.75</v>
      </c>
      <c r="F27" s="51">
        <f ca="1">'Summary Tables'!F101</f>
        <v>809.04166666666697</v>
      </c>
      <c r="G27" s="51">
        <f ca="1">'Summary Tables'!G101</f>
        <v>801.83333333333303</v>
      </c>
      <c r="H27" s="51">
        <f ca="1">'Summary Tables'!H101</f>
        <v>801.625</v>
      </c>
      <c r="I27" s="51">
        <f ca="1">'Summary Tables'!I101</f>
        <v>800.83333333333303</v>
      </c>
      <c r="J27" s="51">
        <f ca="1">'Summary Tables'!J101</f>
        <v>797.91666666666697</v>
      </c>
      <c r="K27" s="51">
        <f ca="1">'Summary Tables'!K101</f>
        <v>769.91666666666697</v>
      </c>
      <c r="L27" s="51">
        <f ca="1">'Summary Tables'!L101</f>
        <v>775.16666666666697</v>
      </c>
      <c r="M27" s="51">
        <f ca="1">'Summary Tables'!M101</f>
        <v>795.29655282409192</v>
      </c>
      <c r="N27" s="51">
        <f ca="1">'Summary Tables'!N101</f>
        <v>788.50800554610271</v>
      </c>
      <c r="O27" s="51">
        <f ca="1">'Summary Tables'!O101</f>
        <v>781.76948925132695</v>
      </c>
      <c r="P27" s="51">
        <f ca="1">'Summary Tables'!P101</f>
        <v>775.08855969192416</v>
      </c>
      <c r="Q27" s="51">
        <f ca="1">'Summary Tables'!Q101</f>
        <v>768.46472473699441</v>
      </c>
      <c r="R27" s="59">
        <f ca="1">'Summary Tables'!R101</f>
        <v>761.89749646134203</v>
      </c>
    </row>
    <row r="28" spans="1:18" s="85" customFormat="1" ht="13.5" thickBot="1">
      <c r="B28" s="57" t="s">
        <v>23</v>
      </c>
      <c r="C28" s="640">
        <f t="shared" ref="C28:P28" ca="1" si="18">SUM(C19:C27)</f>
        <v>150358</v>
      </c>
      <c r="D28" s="640">
        <f t="shared" ca="1" si="18"/>
        <v>151709.83333333334</v>
      </c>
      <c r="E28" s="640">
        <f t="shared" ca="1" si="18"/>
        <v>153352.91666666669</v>
      </c>
      <c r="F28" s="640">
        <f t="shared" ca="1" si="18"/>
        <v>155064.24999999997</v>
      </c>
      <c r="G28" s="640">
        <f t="shared" ca="1" si="18"/>
        <v>156569.54166666666</v>
      </c>
      <c r="H28" s="640">
        <f t="shared" ca="1" si="18"/>
        <v>157724.20833333328</v>
      </c>
      <c r="I28" s="640">
        <f t="shared" ca="1" si="18"/>
        <v>159021.70833333334</v>
      </c>
      <c r="J28" s="640">
        <f t="shared" ca="1" si="18"/>
        <v>160951.41666666666</v>
      </c>
      <c r="K28" s="640">
        <f t="shared" ca="1" si="18"/>
        <v>163315.12499999997</v>
      </c>
      <c r="L28" s="640">
        <f t="shared" ca="1" si="18"/>
        <v>165220.37500000003</v>
      </c>
      <c r="M28" s="640">
        <f t="shared" ca="1" si="18"/>
        <v>167311.28196738541</v>
      </c>
      <c r="N28" s="640">
        <f t="shared" ca="1" si="18"/>
        <v>169473.0416602699</v>
      </c>
      <c r="O28" s="640">
        <f t="shared" ca="1" si="18"/>
        <v>171729.10134523714</v>
      </c>
      <c r="P28" s="640">
        <f t="shared" ca="1" si="18"/>
        <v>174078.37101734141</v>
      </c>
      <c r="Q28" s="640">
        <f ca="1">SUM(Q19:Q27)</f>
        <v>176508.60277807282</v>
      </c>
      <c r="R28" s="56">
        <f ca="1">SUM(R19:R27)</f>
        <v>178841.21277898009</v>
      </c>
    </row>
    <row r="29" spans="1:18" s="85" customFormat="1" ht="13">
      <c r="B29" s="260" t="str">
        <f>B19</f>
        <v>Residential</v>
      </c>
      <c r="C29" s="51">
        <f>'Summary Tables'!C117</f>
        <v>107900</v>
      </c>
      <c r="D29" s="51">
        <f>'Summary Tables'!D117</f>
        <v>108758</v>
      </c>
      <c r="E29" s="51">
        <f>'Summary Tables'!E117</f>
        <v>110072</v>
      </c>
      <c r="F29" s="51">
        <f>'Summary Tables'!F117</f>
        <v>111713</v>
      </c>
      <c r="G29" s="51">
        <f>'Summary Tables'!G117</f>
        <v>112646</v>
      </c>
      <c r="H29" s="51">
        <f>'Summary Tables'!H117</f>
        <v>113409</v>
      </c>
      <c r="I29" s="51">
        <f>'Summary Tables'!I117</f>
        <v>114797</v>
      </c>
      <c r="J29" s="51">
        <f>'Summary Tables'!J117</f>
        <v>116444</v>
      </c>
      <c r="K29" s="51">
        <f>'Summary Tables'!K117</f>
        <v>118313</v>
      </c>
      <c r="L29" s="51">
        <f>'Summary Tables'!L117</f>
        <v>119413</v>
      </c>
      <c r="M29" s="51">
        <f ca="1">'Summary Tables'!M117</f>
        <v>121308.1567895999</v>
      </c>
      <c r="N29" s="51">
        <f ca="1">'Summary Tables'!N117</f>
        <v>123082.82527850592</v>
      </c>
      <c r="O29" s="51">
        <f ca="1">'Summary Tables'!O117</f>
        <v>124952.61762123945</v>
      </c>
      <c r="P29" s="51">
        <f ca="1">'Summary Tables'!P117</f>
        <v>126911.19527089095</v>
      </c>
      <c r="Q29" s="51">
        <f ca="1">'Summary Tables'!Q117</f>
        <v>128940.47940118739</v>
      </c>
      <c r="R29" s="59">
        <f ca="1">'Summary Tables'!R117</f>
        <v>130783.73096965205</v>
      </c>
    </row>
    <row r="30" spans="1:18" s="85" customFormat="1" ht="13">
      <c r="B30" s="58" t="str">
        <f t="shared" ref="B30:B37" si="19">B20</f>
        <v>Residential Seasonal</v>
      </c>
      <c r="C30" s="51">
        <f>'Summary Tables'!C118</f>
        <v>1583</v>
      </c>
      <c r="D30" s="51">
        <f>'Summary Tables'!D118</f>
        <v>1572</v>
      </c>
      <c r="E30" s="51">
        <f>'Summary Tables'!E118</f>
        <v>1570</v>
      </c>
      <c r="F30" s="51">
        <f>'Summary Tables'!F118</f>
        <v>1561</v>
      </c>
      <c r="G30" s="51">
        <f>'Summary Tables'!G118</f>
        <v>1561</v>
      </c>
      <c r="H30" s="51">
        <f>'Summary Tables'!H118</f>
        <v>1557</v>
      </c>
      <c r="I30" s="51">
        <f>'Summary Tables'!I118</f>
        <v>1561</v>
      </c>
      <c r="J30" s="51">
        <f>'Summary Tables'!J118</f>
        <v>1564</v>
      </c>
      <c r="K30" s="51">
        <f>'Summary Tables'!K118</f>
        <v>1560</v>
      </c>
      <c r="L30" s="51">
        <f>'Summary Tables'!L118</f>
        <v>1548</v>
      </c>
      <c r="M30" s="51">
        <f>'Summary Tables'!M118</f>
        <v>1548.3393231419454</v>
      </c>
      <c r="N30" s="51">
        <f>'Summary Tables'!N118</f>
        <v>1544.8084910015937</v>
      </c>
      <c r="O30" s="51">
        <f>'Summary Tables'!O118</f>
        <v>1541.2857105689118</v>
      </c>
      <c r="P30" s="51">
        <f>'Summary Tables'!P118</f>
        <v>1537.7709634827897</v>
      </c>
      <c r="Q30" s="51">
        <f>'Summary Tables'!Q118</f>
        <v>1534.2642314239886</v>
      </c>
      <c r="R30" s="59">
        <f>'Summary Tables'!R118</f>
        <v>1530.7654961150442</v>
      </c>
    </row>
    <row r="31" spans="1:18" s="85" customFormat="1" ht="13">
      <c r="B31" s="58" t="str">
        <f t="shared" si="19"/>
        <v>GS&lt;50</v>
      </c>
      <c r="C31" s="51">
        <f>'Summary Tables'!C119</f>
        <v>8991</v>
      </c>
      <c r="D31" s="51">
        <f>'Summary Tables'!D119</f>
        <v>9036</v>
      </c>
      <c r="E31" s="51">
        <f>'Summary Tables'!E119</f>
        <v>9135</v>
      </c>
      <c r="F31" s="51">
        <f>'Summary Tables'!F119</f>
        <v>9268</v>
      </c>
      <c r="G31" s="51">
        <f>'Summary Tables'!G119</f>
        <v>9286</v>
      </c>
      <c r="H31" s="51">
        <f>'Summary Tables'!H119</f>
        <v>9339</v>
      </c>
      <c r="I31" s="51">
        <f>'Summary Tables'!I119</f>
        <v>9476</v>
      </c>
      <c r="J31" s="51">
        <f>'Summary Tables'!J119</f>
        <v>9497</v>
      </c>
      <c r="K31" s="51">
        <f>'Summary Tables'!K119</f>
        <v>9506</v>
      </c>
      <c r="L31" s="51">
        <f>'Summary Tables'!L119</f>
        <v>9505</v>
      </c>
      <c r="M31" s="51">
        <f>'Summary Tables'!M119</f>
        <v>9598.0077329717878</v>
      </c>
      <c r="N31" s="51">
        <f>'Summary Tables'!N119</f>
        <v>9662.026765937062</v>
      </c>
      <c r="O31" s="51">
        <f>'Summary Tables'!O119</f>
        <v>9726.4728079958768</v>
      </c>
      <c r="P31" s="51">
        <f>'Summary Tables'!P119</f>
        <v>9791.3487073131728</v>
      </c>
      <c r="Q31" s="51">
        <f>'Summary Tables'!Q119</f>
        <v>9856.6573310512704</v>
      </c>
      <c r="R31" s="59">
        <f>'Summary Tables'!R119</f>
        <v>9922.4015654965351</v>
      </c>
    </row>
    <row r="32" spans="1:18" s="85" customFormat="1" ht="13">
      <c r="A32" s="85" t="s">
        <v>872</v>
      </c>
      <c r="B32" s="58" t="str">
        <f t="shared" si="19"/>
        <v>GS 50 - 2,999</v>
      </c>
      <c r="C32" s="51">
        <f>'Summary Tables'!C120</f>
        <v>1051</v>
      </c>
      <c r="D32" s="51">
        <f>'Summary Tables'!D120</f>
        <v>1083</v>
      </c>
      <c r="E32" s="51">
        <f>'Summary Tables'!E120</f>
        <v>1041</v>
      </c>
      <c r="F32" s="51">
        <f>'Summary Tables'!F120</f>
        <v>1019</v>
      </c>
      <c r="G32" s="51">
        <f>'Summary Tables'!G120</f>
        <v>1043</v>
      </c>
      <c r="H32" s="51">
        <f>'Summary Tables'!H120</f>
        <v>1060</v>
      </c>
      <c r="I32" s="51">
        <f>'Summary Tables'!I120</f>
        <v>1018</v>
      </c>
      <c r="J32" s="51">
        <f>'Summary Tables'!J120</f>
        <v>1041</v>
      </c>
      <c r="K32" s="51">
        <f>'Summary Tables'!K120</f>
        <v>1075</v>
      </c>
      <c r="L32" s="51">
        <f>'Summary Tables'!L120</f>
        <v>1099</v>
      </c>
      <c r="M32" s="51">
        <f>'Summary Tables'!M120</f>
        <v>1100.7657407929687</v>
      </c>
      <c r="N32" s="51">
        <f>'Summary Tables'!N120</f>
        <v>1106.9933109150074</v>
      </c>
      <c r="O32" s="51">
        <f>'Summary Tables'!O120</f>
        <v>1111.5329176942846</v>
      </c>
      <c r="P32" s="51">
        <f>'Summary Tables'!P120</f>
        <v>1115.3846010696848</v>
      </c>
      <c r="Q32" s="51">
        <f>'Summary Tables'!Q120</f>
        <v>1119.0484011126202</v>
      </c>
      <c r="R32" s="59">
        <f>'Summary Tables'!R120</f>
        <v>1122.7243580274603</v>
      </c>
    </row>
    <row r="33" spans="2:18" s="85" customFormat="1" ht="13">
      <c r="B33" s="58" t="str">
        <f t="shared" si="19"/>
        <v>GS 3,000 - 4,999</v>
      </c>
      <c r="C33" s="51">
        <f>'Summary Tables'!C121</f>
        <v>5</v>
      </c>
      <c r="D33" s="51">
        <f>'Summary Tables'!D121</f>
        <v>5</v>
      </c>
      <c r="E33" s="51">
        <f>'Summary Tables'!E121</f>
        <v>4</v>
      </c>
      <c r="F33" s="51">
        <f>'Summary Tables'!F121</f>
        <v>4</v>
      </c>
      <c r="G33" s="51">
        <f>'Summary Tables'!G121</f>
        <v>5</v>
      </c>
      <c r="H33" s="51">
        <f>'Summary Tables'!H121</f>
        <v>6</v>
      </c>
      <c r="I33" s="51">
        <f>'Summary Tables'!I121</f>
        <v>5</v>
      </c>
      <c r="J33" s="51">
        <f>'Summary Tables'!J121</f>
        <v>5</v>
      </c>
      <c r="K33" s="51">
        <f>'Summary Tables'!K121</f>
        <v>5</v>
      </c>
      <c r="L33" s="51">
        <f>'Summary Tables'!L121</f>
        <v>5</v>
      </c>
      <c r="M33" s="51">
        <f>'Summary Tables'!M121</f>
        <v>7.5</v>
      </c>
      <c r="N33" s="51">
        <f>'Summary Tables'!N121</f>
        <v>8.6000000000000014</v>
      </c>
      <c r="O33" s="51">
        <f>'Summary Tables'!O121</f>
        <v>9.1999999999999993</v>
      </c>
      <c r="P33" s="51">
        <f>'Summary Tables'!P121</f>
        <v>9.3000000000000043</v>
      </c>
      <c r="Q33" s="51">
        <f>'Summary Tables'!Q121</f>
        <v>9.3000000000000043</v>
      </c>
      <c r="R33" s="59">
        <f>'Summary Tables'!R121</f>
        <v>9.3000000000000043</v>
      </c>
    </row>
    <row r="34" spans="2:18" s="85" customFormat="1" ht="13">
      <c r="B34" s="58" t="str">
        <f t="shared" si="19"/>
        <v>Large Use</v>
      </c>
      <c r="C34" s="51">
        <f>'Summary Tables'!C122</f>
        <v>3</v>
      </c>
      <c r="D34" s="51">
        <f>'Summary Tables'!D122</f>
        <v>3</v>
      </c>
      <c r="E34" s="51">
        <f>'Summary Tables'!E122</f>
        <v>4</v>
      </c>
      <c r="F34" s="51">
        <f>'Summary Tables'!F122</f>
        <v>4</v>
      </c>
      <c r="G34" s="51">
        <f>'Summary Tables'!G122</f>
        <v>4</v>
      </c>
      <c r="H34" s="51">
        <f>'Summary Tables'!H122</f>
        <v>4</v>
      </c>
      <c r="I34" s="51">
        <f>'Summary Tables'!I122</f>
        <v>4</v>
      </c>
      <c r="J34" s="51">
        <f>'Summary Tables'!J122</f>
        <v>5</v>
      </c>
      <c r="K34" s="51">
        <f>'Summary Tables'!K122</f>
        <v>5</v>
      </c>
      <c r="L34" s="51">
        <f>'Summary Tables'!L122</f>
        <v>5</v>
      </c>
      <c r="M34" s="51">
        <f>'Summary Tables'!M122</f>
        <v>5.375</v>
      </c>
      <c r="N34" s="51">
        <f>'Summary Tables'!N122</f>
        <v>5.875</v>
      </c>
      <c r="O34" s="51">
        <f>'Summary Tables'!O122</f>
        <v>5.9999999999999991</v>
      </c>
      <c r="P34" s="51">
        <f>'Summary Tables'!P122</f>
        <v>5.9999999999999991</v>
      </c>
      <c r="Q34" s="51">
        <f>'Summary Tables'!Q122</f>
        <v>5.9999999999999991</v>
      </c>
      <c r="R34" s="59">
        <f>'Summary Tables'!R122</f>
        <v>5.9999999999999991</v>
      </c>
    </row>
    <row r="35" spans="2:18" s="85" customFormat="1" ht="13">
      <c r="B35" s="58" t="str">
        <f t="shared" si="19"/>
        <v>Street Light</v>
      </c>
      <c r="C35" s="51">
        <f>'Summary Tables'!C123</f>
        <v>30116</v>
      </c>
      <c r="D35" s="51">
        <f>'Summary Tables'!D123</f>
        <v>30662</v>
      </c>
      <c r="E35" s="51">
        <f>'Summary Tables'!E123</f>
        <v>31097</v>
      </c>
      <c r="F35" s="51">
        <f>'Summary Tables'!F123</f>
        <v>31182</v>
      </c>
      <c r="G35" s="51">
        <f>'Summary Tables'!G123</f>
        <v>31612</v>
      </c>
      <c r="H35" s="51">
        <f>'Summary Tables'!H123</f>
        <v>31736</v>
      </c>
      <c r="I35" s="51">
        <f>'Summary Tables'!I123</f>
        <v>31845</v>
      </c>
      <c r="J35" s="51">
        <f>'Summary Tables'!J123</f>
        <v>32374</v>
      </c>
      <c r="K35" s="51">
        <f>'Summary Tables'!K123</f>
        <v>33008</v>
      </c>
      <c r="L35" s="51">
        <f>'Summary Tables'!L123</f>
        <v>33267</v>
      </c>
      <c r="M35" s="51">
        <f>'Summary Tables'!M123</f>
        <v>33682.769704521445</v>
      </c>
      <c r="N35" s="51">
        <f>'Summary Tables'!N123</f>
        <v>34054.452626278951</v>
      </c>
      <c r="O35" s="51">
        <f>'Summary Tables'!O123</f>
        <v>34430.236997992564</v>
      </c>
      <c r="P35" s="51">
        <f>'Summary Tables'!P123</f>
        <v>34810.168078378127</v>
      </c>
      <c r="Q35" s="51">
        <f>'Summary Tables'!Q123</f>
        <v>35194.291625572812</v>
      </c>
      <c r="R35" s="59">
        <f>'Summary Tables'!R123</f>
        <v>35582.65390264595</v>
      </c>
    </row>
    <row r="36" spans="2:18" s="85" customFormat="1" ht="13">
      <c r="B36" s="58" t="str">
        <f t="shared" si="19"/>
        <v>Sentinel Light</v>
      </c>
      <c r="C36" s="51">
        <f>'Summary Tables'!C124</f>
        <v>439</v>
      </c>
      <c r="D36" s="51">
        <f>'Summary Tables'!D124</f>
        <v>439</v>
      </c>
      <c r="E36" s="51">
        <f>'Summary Tables'!E124</f>
        <v>439</v>
      </c>
      <c r="F36" s="51">
        <f>'Summary Tables'!F124</f>
        <v>260</v>
      </c>
      <c r="G36" s="51">
        <f>'Summary Tables'!G124</f>
        <v>251</v>
      </c>
      <c r="H36" s="51">
        <f>'Summary Tables'!H124</f>
        <v>247</v>
      </c>
      <c r="I36" s="51">
        <f>'Summary Tables'!I124</f>
        <v>245</v>
      </c>
      <c r="J36" s="51">
        <f>'Summary Tables'!J124</f>
        <v>241</v>
      </c>
      <c r="K36" s="51">
        <f>'Summary Tables'!K124</f>
        <v>236</v>
      </c>
      <c r="L36" s="51">
        <f>'Summary Tables'!L124</f>
        <v>227</v>
      </c>
      <c r="M36" s="51">
        <f>'Summary Tables'!M124</f>
        <v>224.56378642206369</v>
      </c>
      <c r="N36" s="51">
        <f>'Summary Tables'!N124</f>
        <v>220.17018316345894</v>
      </c>
      <c r="O36" s="51">
        <f>'Summary Tables'!O124</f>
        <v>215.86254100259657</v>
      </c>
      <c r="P36" s="51">
        <f>'Summary Tables'!P124</f>
        <v>211.63917810570817</v>
      </c>
      <c r="Q36" s="51">
        <f>'Summary Tables'!Q124</f>
        <v>207.49844554419877</v>
      </c>
      <c r="R36" s="59">
        <f>'Summary Tables'!R124</f>
        <v>203.43872665085527</v>
      </c>
    </row>
    <row r="37" spans="2:18" s="85" customFormat="1" ht="13">
      <c r="B37" s="58" t="str">
        <f t="shared" si="19"/>
        <v>USL</v>
      </c>
      <c r="C37" s="51">
        <f>'Summary Tables'!C125</f>
        <v>831</v>
      </c>
      <c r="D37" s="51">
        <f>'Summary Tables'!D125</f>
        <v>821</v>
      </c>
      <c r="E37" s="51">
        <f>'Summary Tables'!E125</f>
        <v>815</v>
      </c>
      <c r="F37" s="51">
        <f>'Summary Tables'!F125</f>
        <v>804</v>
      </c>
      <c r="G37" s="51">
        <f>'Summary Tables'!G125</f>
        <v>800</v>
      </c>
      <c r="H37" s="51">
        <f>'Summary Tables'!H125</f>
        <v>803</v>
      </c>
      <c r="I37" s="51">
        <f>'Summary Tables'!I125</f>
        <v>799</v>
      </c>
      <c r="J37" s="51">
        <f>'Summary Tables'!J125</f>
        <v>797</v>
      </c>
      <c r="K37" s="51">
        <f>'Summary Tables'!K125</f>
        <v>747</v>
      </c>
      <c r="L37" s="51">
        <f>'Summary Tables'!L125</f>
        <v>799</v>
      </c>
      <c r="M37" s="51">
        <f>'Summary Tables'!M125</f>
        <v>792.17182009357361</v>
      </c>
      <c r="N37" s="51">
        <f>'Summary Tables'!N125</f>
        <v>785.40994512517386</v>
      </c>
      <c r="O37" s="51">
        <f>'Summary Tables'!O125</f>
        <v>778.69790456746318</v>
      </c>
      <c r="P37" s="51">
        <f>'Summary Tables'!P125</f>
        <v>772.04322448593177</v>
      </c>
      <c r="Q37" s="51">
        <f>'Summary Tables'!Q125</f>
        <v>765.44541468326963</v>
      </c>
      <c r="R37" s="59">
        <f>'Summary Tables'!R125</f>
        <v>758.90398915134699</v>
      </c>
    </row>
    <row r="38" spans="2:18" s="85" customFormat="1" ht="13.5" thickBot="1">
      <c r="B38" s="57" t="s">
        <v>23</v>
      </c>
      <c r="C38" s="640">
        <f t="shared" ref="C38:P38" si="20">SUM(C29:C37)</f>
        <v>150919</v>
      </c>
      <c r="D38" s="640">
        <f t="shared" si="20"/>
        <v>152379</v>
      </c>
      <c r="E38" s="640">
        <f t="shared" si="20"/>
        <v>154177</v>
      </c>
      <c r="F38" s="640">
        <f t="shared" si="20"/>
        <v>155815</v>
      </c>
      <c r="G38" s="640">
        <f t="shared" si="20"/>
        <v>157208</v>
      </c>
      <c r="H38" s="640">
        <f t="shared" si="20"/>
        <v>158161</v>
      </c>
      <c r="I38" s="640">
        <f t="shared" si="20"/>
        <v>159750</v>
      </c>
      <c r="J38" s="640">
        <f t="shared" si="20"/>
        <v>161968</v>
      </c>
      <c r="K38" s="640">
        <f t="shared" si="20"/>
        <v>164455</v>
      </c>
      <c r="L38" s="640">
        <f t="shared" si="20"/>
        <v>165868</v>
      </c>
      <c r="M38" s="640">
        <f t="shared" ca="1" si="20"/>
        <v>168267.64989754371</v>
      </c>
      <c r="N38" s="640">
        <f t="shared" ca="1" si="20"/>
        <v>170471.16160092715</v>
      </c>
      <c r="O38" s="640">
        <f t="shared" ca="1" si="20"/>
        <v>172771.90650106117</v>
      </c>
      <c r="P38" s="640">
        <f t="shared" ca="1" si="20"/>
        <v>175164.85002372638</v>
      </c>
      <c r="Q38" s="640">
        <f ca="1">SUM(Q29:Q37)</f>
        <v>177632.98485057551</v>
      </c>
      <c r="R38" s="56">
        <f ca="1">SUM(R29:R37)</f>
        <v>179919.91900773923</v>
      </c>
    </row>
    <row r="39" spans="2:18" s="85" customFormat="1" ht="15.5">
      <c r="B39" s="64"/>
    </row>
    <row r="40" spans="2:18" s="85" customFormat="1" ht="15.5">
      <c r="B40" s="64"/>
    </row>
    <row r="41" spans="2:18" s="85" customFormat="1" ht="15.5">
      <c r="B41" s="64"/>
    </row>
    <row r="42" spans="2:18" s="85" customFormat="1" ht="15.5">
      <c r="B42" s="64"/>
    </row>
    <row r="43" spans="2:18" s="85" customFormat="1" ht="15.5">
      <c r="B43" s="64"/>
    </row>
    <row r="44" spans="2:18" s="85" customFormat="1" ht="15.5">
      <c r="B44" s="64"/>
    </row>
    <row r="45" spans="2:18" s="85" customFormat="1" ht="15.5">
      <c r="B45" s="64"/>
    </row>
    <row r="46" spans="2:18" s="85" customFormat="1" ht="15.5">
      <c r="B46" s="64"/>
    </row>
    <row r="47" spans="2:18" s="85" customFormat="1" ht="15.5">
      <c r="B47" s="64"/>
    </row>
    <row r="48" spans="2:18" s="85" customFormat="1" ht="15.5">
      <c r="B48" s="64"/>
    </row>
    <row r="49" spans="2:18" s="85" customFormat="1" ht="12.5"/>
    <row r="50" spans="2:18" s="85" customFormat="1" ht="12.5"/>
    <row r="51" spans="2:18" s="85" customFormat="1" ht="12.5"/>
    <row r="52" spans="2:18" s="85" customFormat="1" ht="12.5"/>
    <row r="53" spans="2:18" s="85" customFormat="1" ht="12.5"/>
    <row r="54" spans="2:18" s="85" customFormat="1" ht="12.5"/>
    <row r="55" spans="2:18" s="85" customFormat="1" ht="16" thickBot="1">
      <c r="B55" s="64" t="s">
        <v>873</v>
      </c>
    </row>
    <row r="56" spans="2:18" s="85" customFormat="1" ht="26">
      <c r="B56" s="55" t="s">
        <v>3</v>
      </c>
      <c r="C56" s="54" t="str">
        <f t="shared" ref="C56:R56" si="21">C2</f>
        <v>2016 Actual</v>
      </c>
      <c r="D56" s="54" t="str">
        <f t="shared" si="21"/>
        <v>2017 Actual</v>
      </c>
      <c r="E56" s="54" t="str">
        <f t="shared" si="21"/>
        <v>2018 Actual</v>
      </c>
      <c r="F56" s="54" t="str">
        <f t="shared" si="21"/>
        <v>2019 Actual</v>
      </c>
      <c r="G56" s="54" t="str">
        <f t="shared" si="21"/>
        <v>2020 Actual</v>
      </c>
      <c r="H56" s="54" t="str">
        <f t="shared" si="21"/>
        <v>2021 Actual</v>
      </c>
      <c r="I56" s="54" t="str">
        <f t="shared" si="21"/>
        <v>2022 Actual</v>
      </c>
      <c r="J56" s="54" t="str">
        <f t="shared" si="21"/>
        <v>2023 Actual</v>
      </c>
      <c r="K56" s="54" t="str">
        <f t="shared" si="21"/>
        <v>2024 Actual</v>
      </c>
      <c r="L56" s="54" t="str">
        <f t="shared" si="21"/>
        <v>2025 Actual</v>
      </c>
      <c r="M56" s="54" t="str">
        <f t="shared" si="21"/>
        <v>2026 Forecast</v>
      </c>
      <c r="N56" s="54" t="str">
        <f t="shared" si="21"/>
        <v>2027 Forecast</v>
      </c>
      <c r="O56" s="54" t="str">
        <f t="shared" si="21"/>
        <v>2028 Forecast</v>
      </c>
      <c r="P56" s="54" t="str">
        <f t="shared" si="21"/>
        <v>2029 Forecast</v>
      </c>
      <c r="Q56" s="54" t="str">
        <f t="shared" si="21"/>
        <v>2030 Forecast</v>
      </c>
      <c r="R56" s="53" t="str">
        <f t="shared" si="21"/>
        <v>2031 Forecast</v>
      </c>
    </row>
    <row r="57" spans="2:18" s="85" customFormat="1" ht="13">
      <c r="B57" s="58" t="str">
        <f>'Summary Tables'!B106</f>
        <v>Residential</v>
      </c>
      <c r="C57" s="51">
        <f ca="1">'Summary Tables'!C16</f>
        <v>354262497.03685707</v>
      </c>
      <c r="D57" s="51">
        <f ca="1">'Summary Tables'!D16</f>
        <v>327526191.75668687</v>
      </c>
      <c r="E57" s="51">
        <f ca="1">'Summary Tables'!E16</f>
        <v>352677775.93598539</v>
      </c>
      <c r="F57" s="51">
        <f ca="1">'Summary Tables'!F16</f>
        <v>337849639.8890568</v>
      </c>
      <c r="G57" s="51">
        <f ca="1">'Summary Tables'!G16</f>
        <v>376808883.61974311</v>
      </c>
      <c r="H57" s="51">
        <f ca="1">'Summary Tables'!H16</f>
        <v>377870468.70321423</v>
      </c>
      <c r="I57" s="51">
        <f ca="1">'Summary Tables'!I16</f>
        <v>376493215.67660195</v>
      </c>
      <c r="J57" s="51">
        <f ca="1">'Summary Tables'!J16</f>
        <v>375458413.71048301</v>
      </c>
      <c r="K57" s="51">
        <f ca="1">'Summary Tables'!K16</f>
        <v>392915024.61658382</v>
      </c>
      <c r="L57" s="51">
        <f ca="1">'Summary Tables'!L16</f>
        <v>402680727.20947945</v>
      </c>
      <c r="M57" s="51">
        <f ca="1">'Summary Tables'!K42</f>
        <v>410282010.48988271</v>
      </c>
      <c r="N57" s="51">
        <f ca="1">'Summary Tables'!L42</f>
        <v>418598267.47919571</v>
      </c>
      <c r="O57" s="51">
        <f ca="1">'Summary Tables'!M42</f>
        <v>425314063.16511506</v>
      </c>
      <c r="P57" s="51">
        <f ca="1">'Summary Tables'!N42</f>
        <v>433471794.24630857</v>
      </c>
      <c r="Q57" s="51">
        <f ca="1">'Summary Tables'!O42</f>
        <v>444651821.42582357</v>
      </c>
      <c r="R57" s="59">
        <f ca="1">'Summary Tables'!P42</f>
        <v>454523094.10994363</v>
      </c>
    </row>
    <row r="58" spans="2:18" s="85" customFormat="1" ht="13">
      <c r="B58" s="58" t="str">
        <f>'Summary Tables'!B107</f>
        <v>GS&lt;50</v>
      </c>
      <c r="C58" s="51">
        <f ca="1">'Summary Tables'!C17</f>
        <v>85344572.942318693</v>
      </c>
      <c r="D58" s="51">
        <f ca="1">'Summary Tables'!D17</f>
        <v>83249374.995054513</v>
      </c>
      <c r="E58" s="51">
        <f ca="1">'Summary Tables'!E17</f>
        <v>86231210.620193273</v>
      </c>
      <c r="F58" s="51">
        <f ca="1">'Summary Tables'!F17</f>
        <v>85349702.348775536</v>
      </c>
      <c r="G58" s="51">
        <f ca="1">'Summary Tables'!G17</f>
        <v>78127840.869743645</v>
      </c>
      <c r="H58" s="51">
        <f ca="1">'Summary Tables'!H17</f>
        <v>78970544.989649892</v>
      </c>
      <c r="I58" s="51">
        <f ca="1">'Summary Tables'!I17</f>
        <v>83688802.82709007</v>
      </c>
      <c r="J58" s="51">
        <f ca="1">'Summary Tables'!J17</f>
        <v>84916933.924258634</v>
      </c>
      <c r="K58" s="51">
        <f ca="1">'Summary Tables'!K17</f>
        <v>84569272.920165718</v>
      </c>
      <c r="L58" s="51">
        <f ca="1">'Summary Tables'!L17</f>
        <v>84094466.362244099</v>
      </c>
      <c r="M58" s="51">
        <f ca="1">'Summary Tables'!K44</f>
        <v>94088091.961184472</v>
      </c>
      <c r="N58" s="51">
        <f ca="1">'Summary Tables'!L44</f>
        <v>94275360.494321525</v>
      </c>
      <c r="O58" s="51">
        <f ca="1">'Summary Tables'!M44</f>
        <v>94157258.272942349</v>
      </c>
      <c r="P58" s="51">
        <f ca="1">'Summary Tables'!N44</f>
        <v>94430624.470101967</v>
      </c>
      <c r="Q58" s="51">
        <f ca="1">'Summary Tables'!O44</f>
        <v>94860770.189572483</v>
      </c>
      <c r="R58" s="59">
        <f ca="1">'Summary Tables'!P44</f>
        <v>95460275.476824641</v>
      </c>
    </row>
    <row r="59" spans="2:18" s="85" customFormat="1" ht="13">
      <c r="B59" s="58" t="str">
        <f>'Summary Tables'!B108</f>
        <v>GS 50 - 2,999</v>
      </c>
      <c r="C59" s="51">
        <f ca="1">'Summary Tables'!C18</f>
        <v>344664289.79645747</v>
      </c>
      <c r="D59" s="51">
        <f ca="1">'Summary Tables'!D18</f>
        <v>329917316.99549681</v>
      </c>
      <c r="E59" s="51">
        <f ca="1">'Summary Tables'!E18</f>
        <v>336878004.7024917</v>
      </c>
      <c r="F59" s="51">
        <f ca="1">'Summary Tables'!F18</f>
        <v>326553718.48934257</v>
      </c>
      <c r="G59" s="51">
        <f ca="1">'Summary Tables'!G18</f>
        <v>310262827.01891321</v>
      </c>
      <c r="H59" s="51">
        <f ca="1">'Summary Tables'!H18</f>
        <v>304899663.70699489</v>
      </c>
      <c r="I59" s="51">
        <f ca="1">'Summary Tables'!I18</f>
        <v>314844960.08646047</v>
      </c>
      <c r="J59" s="51">
        <f ca="1">'Summary Tables'!J18</f>
        <v>315729102.65025514</v>
      </c>
      <c r="K59" s="51">
        <f ca="1">'Summary Tables'!K18</f>
        <v>323457018.24557191</v>
      </c>
      <c r="L59" s="51">
        <f ca="1">'Summary Tables'!L18</f>
        <v>341652807.60852599</v>
      </c>
      <c r="M59" s="51">
        <f ca="1">'Summary Tables'!K45</f>
        <v>334448655.18037844</v>
      </c>
      <c r="N59" s="51">
        <f ca="1">'Summary Tables'!L45</f>
        <v>361434784.86717868</v>
      </c>
      <c r="O59" s="51">
        <f ca="1">'Summary Tables'!M45</f>
        <v>371355045.11668926</v>
      </c>
      <c r="P59" s="51">
        <f ca="1">'Summary Tables'!N45</f>
        <v>377410505.88119364</v>
      </c>
      <c r="Q59" s="51">
        <f ca="1">'Summary Tables'!O45</f>
        <v>380797767.86066872</v>
      </c>
      <c r="R59" s="59">
        <f ca="1">'Summary Tables'!P45</f>
        <v>382958311.97750133</v>
      </c>
    </row>
    <row r="60" spans="2:18" s="85" customFormat="1" ht="13">
      <c r="B60" s="58" t="str">
        <f>'Summary Tables'!B109</f>
        <v>GS 3,000 - 4,999</v>
      </c>
      <c r="C60" s="51">
        <f ca="1">'Summary Tables'!C19</f>
        <v>60391954.021215044</v>
      </c>
      <c r="D60" s="51">
        <f ca="1">'Summary Tables'!D19</f>
        <v>58961813.114754111</v>
      </c>
      <c r="E60" s="51">
        <f ca="1">'Summary Tables'!E19</f>
        <v>69618715.207328841</v>
      </c>
      <c r="F60" s="51">
        <f ca="1">'Summary Tables'!F19</f>
        <v>76973824.001928642</v>
      </c>
      <c r="G60" s="51">
        <f ca="1">'Summary Tables'!G19</f>
        <v>82322250.183220834</v>
      </c>
      <c r="H60" s="51">
        <f ca="1">'Summary Tables'!H19</f>
        <v>85453559.662487954</v>
      </c>
      <c r="I60" s="51">
        <f ca="1">'Summary Tables'!I19</f>
        <v>85515948.081002906</v>
      </c>
      <c r="J60" s="51">
        <f ca="1">'Summary Tables'!J19</f>
        <v>82703199.884281576</v>
      </c>
      <c r="K60" s="51">
        <f ca="1">'Summary Tables'!K19</f>
        <v>79491989.566055939</v>
      </c>
      <c r="L60" s="51">
        <f ca="1">'Summary Tables'!L19</f>
        <v>79867037.608023137</v>
      </c>
      <c r="M60" s="51">
        <f ca="1">'Summary Tables'!K46</f>
        <v>90697818.660759509</v>
      </c>
      <c r="N60" s="51">
        <f ca="1">'Summary Tables'!L46</f>
        <v>105902872.43982464</v>
      </c>
      <c r="O60" s="51">
        <f ca="1">'Summary Tables'!M46</f>
        <v>111476058.76299128</v>
      </c>
      <c r="P60" s="51">
        <f ca="1">'Summary Tables'!N46</f>
        <v>115552503.06992596</v>
      </c>
      <c r="Q60" s="51">
        <f ca="1">'Summary Tables'!O46</f>
        <v>121397214.6273585</v>
      </c>
      <c r="R60" s="59">
        <f ca="1">'Summary Tables'!P46</f>
        <v>126258546.28495313</v>
      </c>
    </row>
    <row r="61" spans="2:18" s="85" customFormat="1" ht="13">
      <c r="B61" s="58" t="str">
        <f>'Summary Tables'!B110</f>
        <v>Street Light</v>
      </c>
      <c r="C61" s="51">
        <f ca="1">'Summary Tables'!C20</f>
        <v>6040411.8327912744</v>
      </c>
      <c r="D61" s="51">
        <f ca="1">'Summary Tables'!D20</f>
        <v>4772411.8997512907</v>
      </c>
      <c r="E61" s="51">
        <f ca="1">'Summary Tables'!E20</f>
        <v>3647423.9429883291</v>
      </c>
      <c r="F61" s="51">
        <f ca="1">'Summary Tables'!F20</f>
        <v>3343338.8655060264</v>
      </c>
      <c r="G61" s="51">
        <f ca="1">'Summary Tables'!G20</f>
        <v>3228914.1476946622</v>
      </c>
      <c r="H61" s="51">
        <f ca="1">'Summary Tables'!H20</f>
        <v>3113190.396020662</v>
      </c>
      <c r="I61" s="51">
        <f ca="1">'Summary Tables'!I20</f>
        <v>3428741.8882724312</v>
      </c>
      <c r="J61" s="51">
        <f ca="1">'Summary Tables'!J20</f>
        <v>3509109.9961737129</v>
      </c>
      <c r="K61" s="51">
        <f ca="1">'Summary Tables'!K20</f>
        <v>3547066.0034436584</v>
      </c>
      <c r="L61" s="51">
        <f ca="1">'Summary Tables'!L20</f>
        <v>3585601.999234742</v>
      </c>
      <c r="M61" s="51">
        <f ca="1">'Summary Tables'!K48</f>
        <v>3648157.6152521502</v>
      </c>
      <c r="N61" s="51">
        <f ca="1">'Summary Tables'!L48</f>
        <v>3711804.5975439399</v>
      </c>
      <c r="O61" s="51">
        <f ca="1">'Summary Tables'!M48</f>
        <v>3776561.9864524594</v>
      </c>
      <c r="P61" s="51">
        <f ca="1">'Summary Tables'!N48</f>
        <v>3842449.1545042628</v>
      </c>
      <c r="Q61" s="51">
        <f ca="1">'Summary Tables'!O48</f>
        <v>3909485.8122055032</v>
      </c>
      <c r="R61" s="59">
        <f ca="1">'Summary Tables'!P48</f>
        <v>3977692.0139384423</v>
      </c>
    </row>
    <row r="62" spans="2:18" s="85" customFormat="1" ht="13">
      <c r="B62" s="58" t="str">
        <f>'Summary Tables'!B111</f>
        <v>Sentinel Light</v>
      </c>
      <c r="C62" s="51">
        <f ca="1">'Summary Tables'!C21</f>
        <v>30332.130602026107</v>
      </c>
      <c r="D62" s="51">
        <f ca="1">'Summary Tables'!D21</f>
        <v>29013.342314981488</v>
      </c>
      <c r="E62" s="51">
        <f ca="1">'Summary Tables'!E21</f>
        <v>28683.645243220333</v>
      </c>
      <c r="F62" s="51">
        <f ca="1">'Summary Tables'!F21</f>
        <v>28353.948171459182</v>
      </c>
      <c r="G62" s="51">
        <f ca="1">'Summary Tables'!G21</f>
        <v>23738.189166803026</v>
      </c>
      <c r="H62" s="51">
        <f ca="1">'Summary Tables'!H21</f>
        <v>24367.361775396963</v>
      </c>
      <c r="I62" s="51">
        <f ca="1">'Summary Tables'!I21</f>
        <v>29649.448744324083</v>
      </c>
      <c r="J62" s="51">
        <f ca="1">'Summary Tables'!J21</f>
        <v>29841.878706715124</v>
      </c>
      <c r="K62" s="51">
        <f ca="1">'Summary Tables'!K21</f>
        <v>6038.9707289075932</v>
      </c>
      <c r="L62" s="51">
        <f ca="1">'Summary Tables'!L21</f>
        <v>6022.4698679931107</v>
      </c>
      <c r="M62" s="51">
        <f ca="1">'Summary Tables'!K49</f>
        <v>6110.7650786007734</v>
      </c>
      <c r="N62" s="51">
        <f ca="1">'Summary Tables'!L49</f>
        <v>6200.3547820638823</v>
      </c>
      <c r="O62" s="51">
        <f ca="1">'Summary Tables'!M49</f>
        <v>6291.2579568948759</v>
      </c>
      <c r="P62" s="51">
        <f ca="1">'Summary Tables'!N49</f>
        <v>6383.4938598494691</v>
      </c>
      <c r="Q62" s="51">
        <f ca="1">'Summary Tables'!O49</f>
        <v>6477.0820300059695</v>
      </c>
      <c r="R62" s="59">
        <f ca="1">'Summary Tables'!P49</f>
        <v>6572.042292904398</v>
      </c>
    </row>
    <row r="63" spans="2:18" s="85" customFormat="1" ht="13">
      <c r="B63" s="58" t="str">
        <f>'Summary Tables'!B112</f>
        <v>USL</v>
      </c>
      <c r="C63" s="51">
        <f ca="1">'Summary Tables'!C22</f>
        <v>572545.95370193222</v>
      </c>
      <c r="D63" s="51">
        <f ca="1">'Summary Tables'!D22</f>
        <v>571359.93877941452</v>
      </c>
      <c r="E63" s="51">
        <f ca="1">'Summary Tables'!E22</f>
        <v>578219.02621006314</v>
      </c>
      <c r="F63" s="51">
        <f ca="1">'Summary Tables'!F22</f>
        <v>571919.91582169512</v>
      </c>
      <c r="G63" s="51">
        <f ca="1">'Summary Tables'!G22</f>
        <v>1772122.9864166826</v>
      </c>
      <c r="H63" s="51">
        <f ca="1">'Summary Tables'!H22</f>
        <v>1884136.9236655824</v>
      </c>
      <c r="I63" s="51">
        <f ca="1">'Summary Tables'!I22</f>
        <v>1871392.8257126459</v>
      </c>
      <c r="J63" s="51">
        <f ca="1">'Summary Tables'!J22</f>
        <v>1876376.7744404057</v>
      </c>
      <c r="K63" s="51">
        <f ca="1">'Summary Tables'!K22</f>
        <v>1876673.7325425674</v>
      </c>
      <c r="L63" s="51">
        <f ca="1">'Summary Tables'!L22</f>
        <v>1871192.7396211973</v>
      </c>
      <c r="M63" s="51">
        <f ca="1">'Summary Tables'!K50</f>
        <v>1881015.2190175098</v>
      </c>
      <c r="N63" s="51">
        <f ca="1">'Summary Tables'!L50</f>
        <v>1890889.2596984764</v>
      </c>
      <c r="O63" s="51">
        <f ca="1">'Summary Tables'!M50</f>
        <v>1900815.1323255028</v>
      </c>
      <c r="P63" s="51">
        <f ca="1">'Summary Tables'!N50</f>
        <v>1910793.1089807807</v>
      </c>
      <c r="Q63" s="51">
        <f ca="1">'Summary Tables'!O50</f>
        <v>1920823.4631747473</v>
      </c>
      <c r="R63" s="59">
        <f ca="1">'Summary Tables'!P50</f>
        <v>1930906.4698535819</v>
      </c>
    </row>
    <row r="64" spans="2:18" s="85" customFormat="1" ht="13.5" thickBot="1">
      <c r="B64" s="57" t="s">
        <v>21</v>
      </c>
      <c r="C64" s="640">
        <f t="shared" ref="C64:Q64" ca="1" si="22">SUM(C57:C63)</f>
        <v>851306603.7139436</v>
      </c>
      <c r="D64" s="640">
        <f t="shared" ca="1" si="22"/>
        <v>805027482.04283798</v>
      </c>
      <c r="E64" s="640">
        <f t="shared" ca="1" si="22"/>
        <v>849660033.08044064</v>
      </c>
      <c r="F64" s="640">
        <f t="shared" ca="1" si="22"/>
        <v>830670497.45860279</v>
      </c>
      <c r="G64" s="640">
        <f t="shared" ca="1" si="22"/>
        <v>852546577.01489902</v>
      </c>
      <c r="H64" s="640">
        <f t="shared" ca="1" si="22"/>
        <v>852215931.74380851</v>
      </c>
      <c r="I64" s="640">
        <f t="shared" ca="1" si="22"/>
        <v>865872710.83388484</v>
      </c>
      <c r="J64" s="640">
        <f t="shared" ca="1" si="22"/>
        <v>864222978.81859922</v>
      </c>
      <c r="K64" s="640">
        <f ca="1">SUM(K57:K63)</f>
        <v>885863084.05509233</v>
      </c>
      <c r="L64" s="640">
        <f ca="1">SUM(L57:L63)</f>
        <v>913757855.99699664</v>
      </c>
      <c r="M64" s="640">
        <f t="shared" ca="1" si="22"/>
        <v>935051859.89155328</v>
      </c>
      <c r="N64" s="640">
        <f t="shared" ca="1" si="22"/>
        <v>985820179.49254501</v>
      </c>
      <c r="O64" s="640">
        <f t="shared" ca="1" si="22"/>
        <v>1007986093.6944728</v>
      </c>
      <c r="P64" s="640">
        <f t="shared" ca="1" si="22"/>
        <v>1026625053.424875</v>
      </c>
      <c r="Q64" s="640">
        <f t="shared" ca="1" si="22"/>
        <v>1047544360.4608334</v>
      </c>
      <c r="R64" s="56">
        <f ca="1">SUM(R57:R63)</f>
        <v>1065115398.3753077</v>
      </c>
    </row>
    <row r="65" spans="1:18" s="85" customFormat="1" ht="13">
      <c r="B65" s="58" t="str">
        <f>B59</f>
        <v>GS 50 - 2,999</v>
      </c>
      <c r="C65" s="51">
        <f ca="1">'Summary Tables'!C65</f>
        <v>847805.77999999991</v>
      </c>
      <c r="D65" s="51">
        <f ca="1">'Summary Tables'!D65</f>
        <v>816193.45000000007</v>
      </c>
      <c r="E65" s="51">
        <f ca="1">'Summary Tables'!E65</f>
        <v>835852.88</v>
      </c>
      <c r="F65" s="51">
        <f ca="1">'Summary Tables'!F65</f>
        <v>811487.09999999986</v>
      </c>
      <c r="G65" s="51">
        <f ca="1">'Summary Tables'!G65</f>
        <v>783041.75999999989</v>
      </c>
      <c r="H65" s="51">
        <f ca="1">'Summary Tables'!H65</f>
        <v>760128.48</v>
      </c>
      <c r="I65" s="51">
        <f ca="1">'Summary Tables'!I65</f>
        <v>795164.42999999993</v>
      </c>
      <c r="J65" s="51">
        <f ca="1">'Summary Tables'!J65</f>
        <v>773424.36</v>
      </c>
      <c r="K65" s="51">
        <f ca="1">'Summary Tables'!K65</f>
        <v>765937.02</v>
      </c>
      <c r="L65" s="51">
        <f ca="1">'Summary Tables'!L65</f>
        <v>796927.05999999994</v>
      </c>
      <c r="M65" s="51">
        <f ca="1">'Summary Tables'!K82</f>
        <v>829832.63785936066</v>
      </c>
      <c r="N65" s="51">
        <f ca="1">'Summary Tables'!L82</f>
        <v>901367.84630914801</v>
      </c>
      <c r="O65" s="51">
        <f ca="1">'Summary Tables'!M82</f>
        <v>932098.29309359228</v>
      </c>
      <c r="P65" s="51">
        <f ca="1">'Summary Tables'!N82</f>
        <v>954166.59314810473</v>
      </c>
      <c r="Q65" s="51">
        <f ca="1">'Summary Tables'!O82</f>
        <v>970596.46008568769</v>
      </c>
      <c r="R65" s="59">
        <f ca="1">'Summary Tables'!P82</f>
        <v>983951.72570996638</v>
      </c>
    </row>
    <row r="66" spans="1:18" s="85" customFormat="1" ht="13">
      <c r="B66" s="58" t="str">
        <f>B60</f>
        <v>GS 3,000 - 4,999</v>
      </c>
      <c r="C66" s="51">
        <f ca="1">'Summary Tables'!C66</f>
        <v>93876.75</v>
      </c>
      <c r="D66" s="51">
        <f ca="1">'Summary Tables'!D66</f>
        <v>90337.329999999987</v>
      </c>
      <c r="E66" s="51">
        <f ca="1">'Summary Tables'!E66</f>
        <v>114913.62000000001</v>
      </c>
      <c r="F66" s="51">
        <f ca="1">'Summary Tables'!F66</f>
        <v>147600.45000000001</v>
      </c>
      <c r="G66" s="51">
        <f ca="1">'Summary Tables'!G66</f>
        <v>146756.25999999998</v>
      </c>
      <c r="H66" s="51">
        <f ca="1">'Summary Tables'!H66</f>
        <v>151779.59</v>
      </c>
      <c r="I66" s="51">
        <f ca="1">'Summary Tables'!I66</f>
        <v>164454.65</v>
      </c>
      <c r="J66" s="51">
        <f ca="1">'Summary Tables'!J66</f>
        <v>160651.39000000001</v>
      </c>
      <c r="K66" s="51">
        <f ca="1">'Summary Tables'!K66</f>
        <v>160377.93</v>
      </c>
      <c r="L66" s="51">
        <f ca="1">'Summary Tables'!L66</f>
        <v>150248.58000000002</v>
      </c>
      <c r="M66" s="51">
        <f ca="1">'Summary Tables'!K83</f>
        <v>173949.9442774886</v>
      </c>
      <c r="N66" s="51">
        <f ca="1">'Summary Tables'!L83</f>
        <v>204371.25895406152</v>
      </c>
      <c r="O66" s="51">
        <f ca="1">'Summary Tables'!M83</f>
        <v>216633.83109030806</v>
      </c>
      <c r="P66" s="51">
        <f ca="1">'Summary Tables'!N83</f>
        <v>226247.92405476479</v>
      </c>
      <c r="Q66" s="51">
        <f ca="1">'Summary Tables'!O83</f>
        <v>239629.99299442026</v>
      </c>
      <c r="R66" s="59">
        <f ca="1">'Summary Tables'!P83</f>
        <v>251238.96891495207</v>
      </c>
    </row>
    <row r="67" spans="1:18" s="85" customFormat="1" ht="13">
      <c r="B67" s="58" t="str">
        <f>B61</f>
        <v>Street Light</v>
      </c>
      <c r="C67" s="51">
        <f ca="1">'Summary Tables'!C67</f>
        <v>16142.07</v>
      </c>
      <c r="D67" s="51">
        <f ca="1">'Summary Tables'!D67</f>
        <v>12797.349999999999</v>
      </c>
      <c r="E67" s="51">
        <f ca="1">'Summary Tables'!E67</f>
        <v>9791.36</v>
      </c>
      <c r="F67" s="51">
        <f ca="1">'Summary Tables'!F67</f>
        <v>8980.67</v>
      </c>
      <c r="G67" s="51">
        <f ca="1">'Summary Tables'!G67</f>
        <v>9314.0300000000025</v>
      </c>
      <c r="H67" s="51">
        <f ca="1">'Summary Tables'!H67</f>
        <v>9362</v>
      </c>
      <c r="I67" s="51">
        <f ca="1">'Summary Tables'!I67</f>
        <v>9581</v>
      </c>
      <c r="J67" s="51">
        <f ca="1">'Summary Tables'!J67</f>
        <v>9810</v>
      </c>
      <c r="K67" s="51">
        <f ca="1">'Summary Tables'!K67</f>
        <v>9886</v>
      </c>
      <c r="L67" s="51">
        <f ca="1">'Summary Tables'!L67</f>
        <v>10022</v>
      </c>
      <c r="M67" s="51">
        <f ca="1">'Summary Tables'!K85</f>
        <v>10137.611440111856</v>
      </c>
      <c r="N67" s="51">
        <f ca="1">'Summary Tables'!L85</f>
        <v>10314.47561207424</v>
      </c>
      <c r="O67" s="51">
        <f ca="1">'Summary Tables'!M85</f>
        <v>10494.425415746691</v>
      </c>
      <c r="P67" s="51">
        <f ca="1">'Summary Tables'!N85</f>
        <v>10677.514684095742</v>
      </c>
      <c r="Q67" s="51">
        <f ca="1">'Summary Tables'!O85</f>
        <v>10863.798189275929</v>
      </c>
      <c r="R67" s="59">
        <f ca="1">'Summary Tables'!P85</f>
        <v>11053.331659015181</v>
      </c>
    </row>
    <row r="68" spans="1:18" s="85" customFormat="1" ht="13">
      <c r="B68" s="58" t="str">
        <f>B62</f>
        <v>Sentinel Light</v>
      </c>
      <c r="C68" s="51">
        <f ca="1">'Summary Tables'!C68</f>
        <v>92.000000000000014</v>
      </c>
      <c r="D68" s="51">
        <f ca="1">'Summary Tables'!D68</f>
        <v>87.999999999999986</v>
      </c>
      <c r="E68" s="51">
        <f ca="1">'Summary Tables'!E68</f>
        <v>87</v>
      </c>
      <c r="F68" s="51">
        <f ca="1">'Summary Tables'!F68</f>
        <v>86.000000000000014</v>
      </c>
      <c r="G68" s="51">
        <f ca="1">'Summary Tables'!G68</f>
        <v>72</v>
      </c>
      <c r="H68" s="51">
        <f ca="1">'Summary Tables'!H68</f>
        <v>71</v>
      </c>
      <c r="I68" s="51">
        <f ca="1">'Summary Tables'!I68</f>
        <v>95.000000000000014</v>
      </c>
      <c r="J68" s="51">
        <f ca="1">'Summary Tables'!J68</f>
        <v>92.000000000000014</v>
      </c>
      <c r="K68" s="51">
        <f ca="1">'Summary Tables'!K68</f>
        <v>83</v>
      </c>
      <c r="L68" s="51">
        <f ca="1">'Summary Tables'!L68</f>
        <v>82.773211112061517</v>
      </c>
      <c r="M68" s="51">
        <f ca="1">'Summary Tables'!K86</f>
        <v>83.986746134736094</v>
      </c>
      <c r="N68" s="51">
        <f ca="1">'Summary Tables'!L86</f>
        <v>85.218072750022259</v>
      </c>
      <c r="O68" s="51">
        <f ca="1">'Summary Tables'!M86</f>
        <v>86.467451799808998</v>
      </c>
      <c r="P68" s="51">
        <f ca="1">'Summary Tables'!N86</f>
        <v>87.735147950178657</v>
      </c>
      <c r="Q68" s="51">
        <f ca="1">'Summary Tables'!O86</f>
        <v>89.021429747473391</v>
      </c>
      <c r="R68" s="59">
        <f ca="1">'Summary Tables'!P86</f>
        <v>90.326569675183435</v>
      </c>
    </row>
    <row r="69" spans="1:18" s="85" customFormat="1" ht="13.5" thickBot="1">
      <c r="B69" s="57" t="s">
        <v>22</v>
      </c>
      <c r="C69" s="640">
        <f t="shared" ref="C69:R69" ca="1" si="23">SUM(C65:C68)</f>
        <v>957916.59999999986</v>
      </c>
      <c r="D69" s="640">
        <f t="shared" ca="1" si="23"/>
        <v>919416.13</v>
      </c>
      <c r="E69" s="640">
        <f t="shared" ca="1" si="23"/>
        <v>960644.86</v>
      </c>
      <c r="F69" s="640">
        <f t="shared" ca="1" si="23"/>
        <v>968154.21999999986</v>
      </c>
      <c r="G69" s="640">
        <f t="shared" ca="1" si="23"/>
        <v>939184.04999999993</v>
      </c>
      <c r="H69" s="640">
        <f t="shared" ca="1" si="23"/>
        <v>921341.07</v>
      </c>
      <c r="I69" s="640">
        <f t="shared" ca="1" si="23"/>
        <v>969295.08</v>
      </c>
      <c r="J69" s="640">
        <f t="shared" ca="1" si="23"/>
        <v>943977.75</v>
      </c>
      <c r="K69" s="640">
        <f t="shared" ref="K69:L69" ca="1" si="24">SUM(K65:K68)</f>
        <v>936283.95</v>
      </c>
      <c r="L69" s="640">
        <f t="shared" ca="1" si="24"/>
        <v>957280.41321111191</v>
      </c>
      <c r="M69" s="640">
        <f t="shared" ca="1" si="23"/>
        <v>1014004.1803230959</v>
      </c>
      <c r="N69" s="640">
        <f t="shared" ca="1" si="23"/>
        <v>1116138.7989480335</v>
      </c>
      <c r="O69" s="640">
        <f t="shared" ca="1" si="23"/>
        <v>1159313.017051447</v>
      </c>
      <c r="P69" s="640">
        <f t="shared" ca="1" si="23"/>
        <v>1191179.7670349155</v>
      </c>
      <c r="Q69" s="640">
        <f t="shared" ca="1" si="23"/>
        <v>1221179.2726991314</v>
      </c>
      <c r="R69" s="56">
        <f t="shared" ca="1" si="23"/>
        <v>1246334.352853609</v>
      </c>
    </row>
    <row r="70" spans="1:18" s="85" customFormat="1" ht="13">
      <c r="B70" s="58" t="str">
        <f t="shared" ref="B70:B76" si="25">B57</f>
        <v>Residential</v>
      </c>
      <c r="C70" s="51">
        <f ca="1">'Summary Tables'!C106</f>
        <v>39433.541666666679</v>
      </c>
      <c r="D70" s="51">
        <f ca="1">'Summary Tables'!D106</f>
        <v>39751.583333333321</v>
      </c>
      <c r="E70" s="51">
        <f ca="1">'Summary Tables'!E106</f>
        <v>40096.916666666679</v>
      </c>
      <c r="F70" s="51">
        <f ca="1">'Summary Tables'!F106</f>
        <v>40903.041666666679</v>
      </c>
      <c r="G70" s="51">
        <f ca="1">'Summary Tables'!G106</f>
        <v>41880.625</v>
      </c>
      <c r="H70" s="51">
        <f ca="1">'Summary Tables'!H106</f>
        <v>42897.875</v>
      </c>
      <c r="I70" s="51">
        <f ca="1">'Summary Tables'!I106</f>
        <v>44013.541666666686</v>
      </c>
      <c r="J70" s="51">
        <f ca="1">'Summary Tables'!J106</f>
        <v>44945.416666666686</v>
      </c>
      <c r="K70" s="51">
        <f ca="1">'Summary Tables'!K106</f>
        <v>45520.625</v>
      </c>
      <c r="L70" s="51">
        <f ca="1">'Summary Tables'!L106</f>
        <v>45869</v>
      </c>
      <c r="M70" s="51">
        <f ca="1">'Summary Tables'!M106</f>
        <v>46497.326764268808</v>
      </c>
      <c r="N70" s="51">
        <f ca="1">'Summary Tables'!N106</f>
        <v>47176.612779935756</v>
      </c>
      <c r="O70" s="51">
        <f ca="1">'Summary Tables'!O106</f>
        <v>47930.351446795765</v>
      </c>
      <c r="P70" s="51">
        <f ca="1">'Summary Tables'!P106</f>
        <v>48757.126914828092</v>
      </c>
      <c r="Q70" s="51">
        <f ca="1">'Summary Tables'!Q106</f>
        <v>49613.598476663967</v>
      </c>
      <c r="R70" s="59">
        <f ca="1">'Summary Tables'!R106</f>
        <v>50393.956163665607</v>
      </c>
    </row>
    <row r="71" spans="1:18" s="85" customFormat="1" ht="13">
      <c r="B71" s="58" t="str">
        <f t="shared" si="25"/>
        <v>GS&lt;50</v>
      </c>
      <c r="C71" s="51">
        <f ca="1">'Summary Tables'!C107</f>
        <v>2201.2083333333326</v>
      </c>
      <c r="D71" s="51">
        <f ca="1">'Summary Tables'!D107</f>
        <v>2229.75</v>
      </c>
      <c r="E71" s="51">
        <f ca="1">'Summary Tables'!E107</f>
        <v>2246.6666666666674</v>
      </c>
      <c r="F71" s="51">
        <f ca="1">'Summary Tables'!F107</f>
        <v>2261.0416666666674</v>
      </c>
      <c r="G71" s="51">
        <f ca="1">'Summary Tables'!G107</f>
        <v>2284.3333333333326</v>
      </c>
      <c r="H71" s="51">
        <f ca="1">'Summary Tables'!H107</f>
        <v>2326.625</v>
      </c>
      <c r="I71" s="51">
        <f ca="1">'Summary Tables'!I107</f>
        <v>2383.5833333333326</v>
      </c>
      <c r="J71" s="51">
        <f ca="1">'Summary Tables'!J107</f>
        <v>2435.2916666666674</v>
      </c>
      <c r="K71" s="51">
        <f ca="1">'Summary Tables'!K107</f>
        <v>2464.75</v>
      </c>
      <c r="L71" s="51">
        <f ca="1">'Summary Tables'!L107</f>
        <v>2473</v>
      </c>
      <c r="M71" s="51">
        <f ca="1">'Summary Tables'!M107</f>
        <v>2505.1895921108166</v>
      </c>
      <c r="N71" s="51">
        <f ca="1">'Summary Tables'!N107</f>
        <v>2537.8076740421684</v>
      </c>
      <c r="O71" s="51">
        <f ca="1">'Summary Tables'!O107</f>
        <v>2570.8504500853869</v>
      </c>
      <c r="P71" s="51">
        <f ca="1">'Summary Tables'!P107</f>
        <v>2604.3234498448514</v>
      </c>
      <c r="Q71" s="51">
        <f ca="1">'Summary Tables'!Q107</f>
        <v>2638.2322749215205</v>
      </c>
      <c r="R71" s="59">
        <f ca="1">'Summary Tables'!R107</f>
        <v>2672.5825998503497</v>
      </c>
    </row>
    <row r="72" spans="1:18" s="85" customFormat="1">
      <c r="A72" s="237" t="s">
        <v>744</v>
      </c>
      <c r="B72" s="58" t="str">
        <f t="shared" si="25"/>
        <v>GS 50 - 2,999</v>
      </c>
      <c r="C72" s="51">
        <f ca="1">'Summary Tables'!C108</f>
        <v>367.08333333333348</v>
      </c>
      <c r="D72" s="51">
        <f ca="1">'Summary Tables'!D108</f>
        <v>368</v>
      </c>
      <c r="E72" s="51">
        <f ca="1">'Summary Tables'!E108</f>
        <v>372.875</v>
      </c>
      <c r="F72" s="51">
        <f ca="1">'Summary Tables'!F108</f>
        <v>377</v>
      </c>
      <c r="G72" s="51">
        <f ca="1">'Summary Tables'!G108</f>
        <v>381.875</v>
      </c>
      <c r="H72" s="51">
        <f ca="1">'Summary Tables'!H108</f>
        <v>390.875</v>
      </c>
      <c r="I72" s="51">
        <f ca="1">'Summary Tables'!I108</f>
        <v>386.33333333333348</v>
      </c>
      <c r="J72" s="51">
        <f ca="1">'Summary Tables'!J108</f>
        <v>383.33333333333348</v>
      </c>
      <c r="K72" s="51">
        <f ca="1">'Summary Tables'!K108</f>
        <v>388.625</v>
      </c>
      <c r="L72" s="51">
        <f ca="1">'Summary Tables'!L108</f>
        <v>396.5</v>
      </c>
      <c r="M72" s="51">
        <f ca="1">'Summary Tables'!M108</f>
        <v>403.40284286596511</v>
      </c>
      <c r="N72" s="51">
        <f ca="1">'Summary Tables'!N108</f>
        <v>411.89807952600358</v>
      </c>
      <c r="O72" s="51">
        <f ca="1">'Summary Tables'!O108</f>
        <v>417.98332406506097</v>
      </c>
      <c r="P72" s="51">
        <f ca="1">'Summary Tables'!P108</f>
        <v>422.77549769417504</v>
      </c>
      <c r="Q72" s="51">
        <f ca="1">'Summary Tables'!Q108</f>
        <v>427.46131548064847</v>
      </c>
      <c r="R72" s="59">
        <f ca="1">'Summary Tables'!R108</f>
        <v>432.16499470021517</v>
      </c>
    </row>
    <row r="73" spans="1:18" s="85" customFormat="1">
      <c r="A73" s="237"/>
      <c r="B73" s="58" t="str">
        <f t="shared" si="25"/>
        <v>GS 3,000 - 4,999</v>
      </c>
      <c r="C73" s="51">
        <f ca="1">'Summary Tables'!C109</f>
        <v>2</v>
      </c>
      <c r="D73" s="51">
        <f ca="1">'Summary Tables'!D109</f>
        <v>2</v>
      </c>
      <c r="E73" s="51">
        <f ca="1">'Summary Tables'!E109</f>
        <v>2.5416666666666674</v>
      </c>
      <c r="F73" s="51">
        <f ca="1">'Summary Tables'!F109</f>
        <v>3</v>
      </c>
      <c r="G73" s="51">
        <f ca="1">'Summary Tables'!G109</f>
        <v>3</v>
      </c>
      <c r="H73" s="51">
        <f ca="1">'Summary Tables'!H109</f>
        <v>3</v>
      </c>
      <c r="I73" s="51">
        <f ca="1">'Summary Tables'!I109</f>
        <v>3</v>
      </c>
      <c r="J73" s="51">
        <f ca="1">'Summary Tables'!J109</f>
        <v>3</v>
      </c>
      <c r="K73" s="51">
        <f ca="1">'Summary Tables'!K109</f>
        <v>3</v>
      </c>
      <c r="L73" s="51">
        <f ca="1">'Summary Tables'!L109</f>
        <v>3</v>
      </c>
      <c r="M73" s="51">
        <f ca="1">'Summary Tables'!M109</f>
        <v>4.151041666666667</v>
      </c>
      <c r="N73" s="51">
        <f ca="1">'Summary Tables'!N109</f>
        <v>5.53125</v>
      </c>
      <c r="O73" s="51">
        <f ca="1">'Summary Tables'!O109</f>
        <v>5.9427083333333321</v>
      </c>
      <c r="P73" s="51">
        <f ca="1">'Summary Tables'!P109</f>
        <v>5.9999999999999991</v>
      </c>
      <c r="Q73" s="51">
        <f ca="1">'Summary Tables'!Q109</f>
        <v>5.9999999999999991</v>
      </c>
      <c r="R73" s="59">
        <f ca="1">'Summary Tables'!R109</f>
        <v>5.9999999999999991</v>
      </c>
    </row>
    <row r="74" spans="1:18" s="85" customFormat="1">
      <c r="A74" s="237"/>
      <c r="B74" s="58" t="str">
        <f t="shared" si="25"/>
        <v>Street Light</v>
      </c>
      <c r="C74" s="51">
        <f ca="1">'Summary Tables'!C110</f>
        <v>11857.375</v>
      </c>
      <c r="D74" s="51">
        <f ca="1">'Summary Tables'!D110</f>
        <v>11891</v>
      </c>
      <c r="E74" s="51">
        <f ca="1">'Summary Tables'!E110</f>
        <v>12053.666666666672</v>
      </c>
      <c r="F74" s="51">
        <f ca="1">'Summary Tables'!F110</f>
        <v>12408.416666666672</v>
      </c>
      <c r="G74" s="51">
        <f ca="1">'Summary Tables'!G110</f>
        <v>12707.791666666672</v>
      </c>
      <c r="H74" s="51">
        <f ca="1">'Summary Tables'!H110</f>
        <v>13023.791666666672</v>
      </c>
      <c r="I74" s="51">
        <f ca="1">'Summary Tables'!I110</f>
        <v>13342.91666666667</v>
      </c>
      <c r="J74" s="51">
        <f ca="1">'Summary Tables'!J110</f>
        <v>13555.45833333333</v>
      </c>
      <c r="K74" s="51">
        <f ca="1">'Summary Tables'!K110</f>
        <v>13708</v>
      </c>
      <c r="L74" s="51">
        <f ca="1">'Summary Tables'!L110</f>
        <v>13854.54166666667</v>
      </c>
      <c r="M74" s="51">
        <f ca="1">'Summary Tables'!M110</f>
        <v>11857.375</v>
      </c>
      <c r="N74" s="51">
        <f ca="1">'Summary Tables'!N110</f>
        <v>11891</v>
      </c>
      <c r="O74" s="51">
        <f ca="1">'Summary Tables'!O110</f>
        <v>12053.666666666672</v>
      </c>
      <c r="P74" s="51">
        <f ca="1">'Summary Tables'!P110</f>
        <v>12408.416666666672</v>
      </c>
      <c r="Q74" s="51">
        <f ca="1">'Summary Tables'!Q110</f>
        <v>12707.791666666672</v>
      </c>
      <c r="R74" s="59">
        <f ca="1">'Summary Tables'!R110</f>
        <v>13023.791666666672</v>
      </c>
    </row>
    <row r="75" spans="1:18" s="85" customFormat="1">
      <c r="A75" s="237"/>
      <c r="B75" s="58" t="str">
        <f t="shared" si="25"/>
        <v>Sentinel Light</v>
      </c>
      <c r="C75" s="51">
        <f ca="1">'Summary Tables'!C111</f>
        <v>39</v>
      </c>
      <c r="D75" s="51">
        <f ca="1">'Summary Tables'!D111</f>
        <v>38.458333333333321</v>
      </c>
      <c r="E75" s="51">
        <f ca="1">'Summary Tables'!E111</f>
        <v>37.458333333333321</v>
      </c>
      <c r="F75" s="51">
        <f ca="1">'Summary Tables'!F111</f>
        <v>37</v>
      </c>
      <c r="G75" s="51">
        <f ca="1">'Summary Tables'!G111</f>
        <v>37</v>
      </c>
      <c r="H75" s="51">
        <f ca="1">'Summary Tables'!H111</f>
        <v>42.416666666666679</v>
      </c>
      <c r="I75" s="51">
        <f ca="1">'Summary Tables'!I111</f>
        <v>46.458333333333314</v>
      </c>
      <c r="J75" s="51">
        <f ca="1">'Summary Tables'!J111</f>
        <v>46</v>
      </c>
      <c r="K75" s="51">
        <f ca="1">'Summary Tables'!K111</f>
        <v>45.458333333333314</v>
      </c>
      <c r="L75" s="51">
        <f ca="1">'Summary Tables'!L111</f>
        <v>44.458333333333314</v>
      </c>
      <c r="M75" s="51">
        <f ca="1">'Summary Tables'!M111</f>
        <v>39</v>
      </c>
      <c r="N75" s="51">
        <f ca="1">'Summary Tables'!N111</f>
        <v>38.458333333333321</v>
      </c>
      <c r="O75" s="51">
        <f ca="1">'Summary Tables'!O111</f>
        <v>37.458333333333321</v>
      </c>
      <c r="P75" s="51">
        <f ca="1">'Summary Tables'!P111</f>
        <v>37</v>
      </c>
      <c r="Q75" s="51">
        <f ca="1">'Summary Tables'!Q111</f>
        <v>37</v>
      </c>
      <c r="R75" s="59">
        <f ca="1">'Summary Tables'!R111</f>
        <v>42.416666666666679</v>
      </c>
    </row>
    <row r="76" spans="1:18" s="85" customFormat="1">
      <c r="A76" s="237"/>
      <c r="B76" s="58" t="str">
        <f t="shared" si="25"/>
        <v>USL</v>
      </c>
      <c r="C76" s="51">
        <f ca="1">'Summary Tables'!C112</f>
        <v>372.20833333333348</v>
      </c>
      <c r="D76" s="51">
        <f ca="1">'Summary Tables'!D112</f>
        <v>370.625</v>
      </c>
      <c r="E76" s="51">
        <f ca="1">'Summary Tables'!E112</f>
        <v>376.875</v>
      </c>
      <c r="F76" s="51">
        <f ca="1">'Summary Tables'!F112</f>
        <v>384.25</v>
      </c>
      <c r="G76" s="51">
        <f ca="1">'Summary Tables'!G112</f>
        <v>389.16666666666652</v>
      </c>
      <c r="H76" s="51">
        <f ca="1">'Summary Tables'!H112</f>
        <v>391.54166666666652</v>
      </c>
      <c r="I76" s="51">
        <f ca="1">'Summary Tables'!I112</f>
        <v>393.08333333333348</v>
      </c>
      <c r="J76" s="51">
        <f ca="1">'Summary Tables'!J112</f>
        <v>400.5</v>
      </c>
      <c r="K76" s="51">
        <f ca="1">'Summary Tables'!K112</f>
        <v>396.25</v>
      </c>
      <c r="L76" s="51">
        <f ca="1">'Summary Tables'!L112</f>
        <v>390.16666666666652</v>
      </c>
      <c r="M76" s="51">
        <f ca="1">'Summary Tables'!M112</f>
        <v>372.20833333333348</v>
      </c>
      <c r="N76" s="51">
        <f ca="1">'Summary Tables'!N112</f>
        <v>370.625</v>
      </c>
      <c r="O76" s="51">
        <f ca="1">'Summary Tables'!O112</f>
        <v>376.875</v>
      </c>
      <c r="P76" s="51">
        <f ca="1">'Summary Tables'!P112</f>
        <v>384.25</v>
      </c>
      <c r="Q76" s="51">
        <f ca="1">'Summary Tables'!Q112</f>
        <v>389.16666666666652</v>
      </c>
      <c r="R76" s="59">
        <f ca="1">'Summary Tables'!R112</f>
        <v>391.54166666666652</v>
      </c>
    </row>
    <row r="77" spans="1:18" s="85" customFormat="1" ht="15" thickBot="1">
      <c r="A77" s="237"/>
      <c r="B77" s="57" t="s">
        <v>23</v>
      </c>
      <c r="C77" s="640">
        <f t="shared" ref="C77:R77" ca="1" si="26">SUM(C70:C76)</f>
        <v>54272.416666666686</v>
      </c>
      <c r="D77" s="640">
        <f t="shared" ca="1" si="26"/>
        <v>54651.416666666657</v>
      </c>
      <c r="E77" s="640">
        <f t="shared" ca="1" si="26"/>
        <v>55187.000000000015</v>
      </c>
      <c r="F77" s="640">
        <f t="shared" ca="1" si="26"/>
        <v>56373.750000000015</v>
      </c>
      <c r="G77" s="640">
        <f t="shared" ca="1" si="26"/>
        <v>57683.791666666672</v>
      </c>
      <c r="H77" s="640">
        <f ca="1">SUM(H70:H76)</f>
        <v>59076.125</v>
      </c>
      <c r="I77" s="640">
        <f t="shared" ca="1" si="26"/>
        <v>60568.916666666701</v>
      </c>
      <c r="J77" s="640">
        <f t="shared" ca="1" si="26"/>
        <v>61769.000000000015</v>
      </c>
      <c r="K77" s="640">
        <f t="shared" ca="1" si="26"/>
        <v>62526.708333333336</v>
      </c>
      <c r="L77" s="640">
        <f t="shared" ca="1" si="26"/>
        <v>63030.666666666672</v>
      </c>
      <c r="M77" s="640">
        <f t="shared" ca="1" si="26"/>
        <v>61678.653574245589</v>
      </c>
      <c r="N77" s="640">
        <f t="shared" ca="1" si="26"/>
        <v>62431.933116837266</v>
      </c>
      <c r="O77" s="640">
        <f t="shared" ca="1" si="26"/>
        <v>63393.127929279559</v>
      </c>
      <c r="P77" s="640">
        <f t="shared" ca="1" si="26"/>
        <v>64619.892529033787</v>
      </c>
      <c r="Q77" s="640">
        <f ca="1">SUM(Q70:Q76)</f>
        <v>65819.250400399484</v>
      </c>
      <c r="R77" s="56">
        <f t="shared" ca="1" si="26"/>
        <v>66962.453758216187</v>
      </c>
    </row>
    <row r="78" spans="1:18" s="85" customFormat="1">
      <c r="A78" s="237"/>
      <c r="B78" s="58" t="str">
        <f>B70</f>
        <v>Residential</v>
      </c>
      <c r="C78" s="51">
        <f>'Summary Tables'!C130</f>
        <v>39588</v>
      </c>
      <c r="D78" s="51">
        <f>'Summary Tables'!D130</f>
        <v>39890</v>
      </c>
      <c r="E78" s="51">
        <f>'Summary Tables'!E130</f>
        <v>40272</v>
      </c>
      <c r="F78" s="51">
        <f>'Summary Tables'!F130</f>
        <v>41437</v>
      </c>
      <c r="G78" s="51">
        <f>'Summary Tables'!G130</f>
        <v>42256</v>
      </c>
      <c r="H78" s="51">
        <f>'Summary Tables'!H130</f>
        <v>43441</v>
      </c>
      <c r="I78" s="51">
        <f>'Summary Tables'!I130</f>
        <v>44498</v>
      </c>
      <c r="J78" s="51">
        <f>'Summary Tables'!J130</f>
        <v>45324</v>
      </c>
      <c r="K78" s="51">
        <f>'Summary Tables'!K130</f>
        <v>45687</v>
      </c>
      <c r="L78" s="51">
        <f>'Summary Tables'!L130</f>
        <v>46023</v>
      </c>
      <c r="M78" s="51">
        <f ca="1">'Summary Tables'!M130</f>
        <v>46787.897014396425</v>
      </c>
      <c r="N78" s="51">
        <f ca="1">'Summary Tables'!N130</f>
        <v>47490.840123945687</v>
      </c>
      <c r="O78" s="51">
        <f ca="1">'Summary Tables'!O130</f>
        <v>48279.313342785936</v>
      </c>
      <c r="P78" s="51">
        <f ca="1">'Summary Tables'!P130</f>
        <v>49140.20725896403</v>
      </c>
      <c r="Q78" s="51">
        <f ca="1">'Summary Tables'!Q130</f>
        <v>50010.528331034082</v>
      </c>
      <c r="R78" s="59">
        <f ca="1">'Summary Tables'!R130</f>
        <v>50755.221718274661</v>
      </c>
    </row>
    <row r="79" spans="1:18" s="85" customFormat="1">
      <c r="A79" s="237"/>
      <c r="B79" s="58" t="str">
        <f t="shared" ref="B79:B84" si="27">B71</f>
        <v>GS&lt;50</v>
      </c>
      <c r="C79" s="51">
        <f>'Summary Tables'!C131</f>
        <v>2220</v>
      </c>
      <c r="D79" s="51">
        <f>'Summary Tables'!D131</f>
        <v>2238</v>
      </c>
      <c r="E79" s="51">
        <f>'Summary Tables'!E131</f>
        <v>2254</v>
      </c>
      <c r="F79" s="51">
        <f>'Summary Tables'!F131</f>
        <v>2267</v>
      </c>
      <c r="G79" s="51">
        <f>'Summary Tables'!G131</f>
        <v>2299</v>
      </c>
      <c r="H79" s="51">
        <f>'Summary Tables'!H131</f>
        <v>2350</v>
      </c>
      <c r="I79" s="51">
        <f>'Summary Tables'!I131</f>
        <v>2412</v>
      </c>
      <c r="J79" s="51">
        <f>'Summary Tables'!J131</f>
        <v>2455</v>
      </c>
      <c r="K79" s="51">
        <f>'Summary Tables'!K131</f>
        <v>2473</v>
      </c>
      <c r="L79" s="51">
        <f>'Summary Tables'!L131</f>
        <v>2473</v>
      </c>
      <c r="M79" s="51">
        <f>'Summary Tables'!M131</f>
        <v>2520.0697283949044</v>
      </c>
      <c r="N79" s="51">
        <f>'Summary Tables'!N131</f>
        <v>2552.8815527503798</v>
      </c>
      <c r="O79" s="51">
        <f>'Summary Tables'!O131</f>
        <v>2586.1205937837908</v>
      </c>
      <c r="P79" s="51">
        <f>'Summary Tables'!P131</f>
        <v>2619.7924139438464</v>
      </c>
      <c r="Q79" s="51">
        <f>'Summary Tables'!Q131</f>
        <v>2653.9026481034698</v>
      </c>
      <c r="R79" s="59">
        <f>'Summary Tables'!R131</f>
        <v>2688.4570045027931</v>
      </c>
    </row>
    <row r="80" spans="1:18" s="85" customFormat="1">
      <c r="A80" s="237"/>
      <c r="B80" s="58" t="str">
        <f t="shared" si="27"/>
        <v>GS 50 - 2,999</v>
      </c>
      <c r="C80" s="51">
        <f>'Summary Tables'!C132</f>
        <v>368</v>
      </c>
      <c r="D80" s="51">
        <f>'Summary Tables'!D132</f>
        <v>368</v>
      </c>
      <c r="E80" s="51">
        <f>'Summary Tables'!E132</f>
        <v>377</v>
      </c>
      <c r="F80" s="51">
        <f>'Summary Tables'!F132</f>
        <v>377</v>
      </c>
      <c r="G80" s="51">
        <f>'Summary Tables'!G132</f>
        <v>386</v>
      </c>
      <c r="H80" s="51">
        <f>'Summary Tables'!H132</f>
        <v>395</v>
      </c>
      <c r="I80" s="51">
        <f>'Summary Tables'!I132</f>
        <v>379</v>
      </c>
      <c r="J80" s="51">
        <f>'Summary Tables'!J132</f>
        <v>387</v>
      </c>
      <c r="K80" s="51">
        <f>'Summary Tables'!K132</f>
        <v>390</v>
      </c>
      <c r="L80" s="51">
        <f>'Summary Tables'!L132</f>
        <v>402</v>
      </c>
      <c r="M80" s="51">
        <f>'Summary Tables'!M132</f>
        <v>407.93089672277199</v>
      </c>
      <c r="N80" s="51">
        <f>'Summary Tables'!N132</f>
        <v>415.25944574677527</v>
      </c>
      <c r="O80" s="51">
        <f>'Summary Tables'!O132</f>
        <v>420.29270228851766</v>
      </c>
      <c r="P80" s="51">
        <f>'Summary Tables'!P132</f>
        <v>424.88092189283196</v>
      </c>
      <c r="Q80" s="51">
        <f>'Summary Tables'!Q132</f>
        <v>429.64936230275566</v>
      </c>
      <c r="R80" s="59">
        <f>'Summary Tables'!R132</f>
        <v>434.29828347843704</v>
      </c>
    </row>
    <row r="81" spans="1:18" s="85" customFormat="1">
      <c r="A81" s="237" t="s">
        <v>872</v>
      </c>
      <c r="B81" s="58" t="str">
        <f t="shared" si="27"/>
        <v>GS 3,000 - 4,999</v>
      </c>
      <c r="C81" s="51">
        <f>'Summary Tables'!C133</f>
        <v>2</v>
      </c>
      <c r="D81" s="51">
        <f>'Summary Tables'!D133</f>
        <v>2</v>
      </c>
      <c r="E81" s="51">
        <f>'Summary Tables'!E133</f>
        <v>3</v>
      </c>
      <c r="F81" s="51">
        <f>'Summary Tables'!F133</f>
        <v>3</v>
      </c>
      <c r="G81" s="51">
        <f>'Summary Tables'!G133</f>
        <v>3</v>
      </c>
      <c r="H81" s="51">
        <f>'Summary Tables'!H133</f>
        <v>3</v>
      </c>
      <c r="I81" s="51">
        <f>'Summary Tables'!I133</f>
        <v>3</v>
      </c>
      <c r="J81" s="51">
        <f>'Summary Tables'!J133</f>
        <v>3</v>
      </c>
      <c r="K81" s="51">
        <f>'Summary Tables'!K133</f>
        <v>3</v>
      </c>
      <c r="L81" s="51">
        <f>'Summary Tables'!L133</f>
        <v>3</v>
      </c>
      <c r="M81" s="51">
        <f>'Summary Tables'!M133</f>
        <v>5.125</v>
      </c>
      <c r="N81" s="51">
        <f>'Summary Tables'!N133</f>
        <v>5.875</v>
      </c>
      <c r="O81" s="51">
        <f>'Summary Tables'!O133</f>
        <v>5.9999999999999982</v>
      </c>
      <c r="P81" s="51">
        <f>'Summary Tables'!P133</f>
        <v>5.9999999999999982</v>
      </c>
      <c r="Q81" s="51">
        <f>'Summary Tables'!Q133</f>
        <v>5.9999999999999982</v>
      </c>
      <c r="R81" s="59">
        <f>'Summary Tables'!R133</f>
        <v>5.9999999999999982</v>
      </c>
    </row>
    <row r="82" spans="1:18" s="85" customFormat="1" ht="13">
      <c r="B82" s="58" t="str">
        <f t="shared" si="27"/>
        <v>Street Light</v>
      </c>
      <c r="C82" s="51">
        <f>'Summary Tables'!C134</f>
        <v>11878</v>
      </c>
      <c r="D82" s="51">
        <f>'Summary Tables'!D134</f>
        <v>11902</v>
      </c>
      <c r="E82" s="51">
        <f>'Summary Tables'!E134</f>
        <v>12182</v>
      </c>
      <c r="F82" s="51">
        <f>'Summary Tables'!F134</f>
        <v>12600</v>
      </c>
      <c r="G82" s="51">
        <f>'Summary Tables'!G134</f>
        <v>12799</v>
      </c>
      <c r="H82" s="51">
        <f>'Summary Tables'!H134</f>
        <v>13214</v>
      </c>
      <c r="I82" s="51">
        <f>'Summary Tables'!I134</f>
        <v>13452</v>
      </c>
      <c r="J82" s="51">
        <f>'Summary Tables'!J134</f>
        <v>13643</v>
      </c>
      <c r="K82" s="51">
        <f>'Summary Tables'!K134</f>
        <v>13763</v>
      </c>
      <c r="L82" s="51">
        <f>'Summary Tables'!L134</f>
        <v>13932</v>
      </c>
      <c r="M82" s="51">
        <f>'Summary Tables'!M134</f>
        <v>14208.239132768709</v>
      </c>
      <c r="N82" s="51">
        <f>'Summary Tables'!N134</f>
        <v>14456.120841799073</v>
      </c>
      <c r="O82" s="51">
        <f>'Summary Tables'!O134</f>
        <v>14708.327178328849</v>
      </c>
      <c r="P82" s="51">
        <f>'Summary Tables'!P134</f>
        <v>14964.933591260995</v>
      </c>
      <c r="Q82" s="51">
        <f>'Summary Tables'!Q134</f>
        <v>15226.016845805345</v>
      </c>
      <c r="R82" s="59">
        <f>'Summary Tables'!R134</f>
        <v>15491.655046443362</v>
      </c>
    </row>
    <row r="83" spans="1:18" s="85" customFormat="1" ht="13">
      <c r="B83" s="58" t="str">
        <f t="shared" si="27"/>
        <v>Sentinel Light</v>
      </c>
      <c r="C83" s="51">
        <f>'Summary Tables'!C135</f>
        <v>39</v>
      </c>
      <c r="D83" s="51">
        <f>'Summary Tables'!D135</f>
        <v>38</v>
      </c>
      <c r="E83" s="51">
        <f>'Summary Tables'!E135</f>
        <v>37</v>
      </c>
      <c r="F83" s="51">
        <f>'Summary Tables'!F135</f>
        <v>37</v>
      </c>
      <c r="G83" s="51">
        <f>'Summary Tables'!G135</f>
        <v>37</v>
      </c>
      <c r="H83" s="51">
        <f>'Summary Tables'!H135</f>
        <v>47</v>
      </c>
      <c r="I83" s="51">
        <f>'Summary Tables'!I135</f>
        <v>46</v>
      </c>
      <c r="J83" s="51">
        <f>'Summary Tables'!J135</f>
        <v>46</v>
      </c>
      <c r="K83" s="51">
        <f>'Summary Tables'!K135</f>
        <v>45</v>
      </c>
      <c r="L83" s="51">
        <f>'Summary Tables'!L135</f>
        <v>44</v>
      </c>
      <c r="M83" s="51">
        <f>'Summary Tables'!M135</f>
        <v>45.411518177024291</v>
      </c>
      <c r="N83" s="51">
        <f>'Summary Tables'!N135</f>
        <v>46.077294785183597</v>
      </c>
      <c r="O83" s="51">
        <f>'Summary Tables'!O135</f>
        <v>46.752832319860374</v>
      </c>
      <c r="P83" s="51">
        <f>'Summary Tables'!P135</f>
        <v>47.438273885641507</v>
      </c>
      <c r="Q83" s="51">
        <f>'Summary Tables'!Q135</f>
        <v>48.133764685165005</v>
      </c>
      <c r="R83" s="59">
        <f>'Summary Tables'!R135</f>
        <v>48.839452049879476</v>
      </c>
    </row>
    <row r="84" spans="1:18" s="85" customFormat="1" ht="13">
      <c r="B84" s="58" t="str">
        <f t="shared" si="27"/>
        <v>USL</v>
      </c>
      <c r="C84" s="51">
        <f>'Summary Tables'!C136</f>
        <v>369</v>
      </c>
      <c r="D84" s="51">
        <f>'Summary Tables'!D136</f>
        <v>372</v>
      </c>
      <c r="E84" s="51">
        <f>'Summary Tables'!E136</f>
        <v>381</v>
      </c>
      <c r="F84" s="51">
        <f>'Summary Tables'!F136</f>
        <v>387</v>
      </c>
      <c r="G84" s="51">
        <f>'Summary Tables'!G136</f>
        <v>391</v>
      </c>
      <c r="H84" s="51">
        <f>'Summary Tables'!H136</f>
        <v>392</v>
      </c>
      <c r="I84" s="51">
        <f>'Summary Tables'!I136</f>
        <v>394</v>
      </c>
      <c r="J84" s="51">
        <f>'Summary Tables'!J136</f>
        <v>406</v>
      </c>
      <c r="K84" s="51">
        <f>'Summary Tables'!K136</f>
        <v>388</v>
      </c>
      <c r="L84" s="51">
        <f>'Summary Tables'!L136</f>
        <v>392</v>
      </c>
      <c r="M84" s="51">
        <f>'Summary Tables'!M136</f>
        <v>393.15538265047775</v>
      </c>
      <c r="N84" s="51">
        <f>'Summary Tables'!N136</f>
        <v>395.21917894674556</v>
      </c>
      <c r="O84" s="51">
        <f>'Summary Tables'!O136</f>
        <v>397.29380875907475</v>
      </c>
      <c r="P84" s="51">
        <f>'Summary Tables'!P136</f>
        <v>399.37932895599914</v>
      </c>
      <c r="Q84" s="51">
        <f>'Summary Tables'!Q136</f>
        <v>401.47579670457412</v>
      </c>
      <c r="R84" s="59">
        <f>'Summary Tables'!R136</f>
        <v>403.58326947194217</v>
      </c>
    </row>
    <row r="85" spans="1:18" s="85" customFormat="1" ht="13.5" thickBot="1">
      <c r="B85" s="57" t="str">
        <f>B77</f>
        <v>Total Customers/Devices</v>
      </c>
      <c r="C85" s="640"/>
      <c r="D85" s="640"/>
      <c r="E85" s="640"/>
      <c r="F85" s="640"/>
      <c r="G85" s="640"/>
      <c r="H85" s="640"/>
      <c r="I85" s="640"/>
      <c r="J85" s="640"/>
      <c r="K85" s="640">
        <f>'Summary Tables'!K137</f>
        <v>62749</v>
      </c>
      <c r="L85" s="640">
        <f>'Summary Tables'!L137</f>
        <v>63269</v>
      </c>
      <c r="M85" s="640">
        <f ca="1">'Summary Tables'!M137</f>
        <v>64367.828673110307</v>
      </c>
      <c r="N85" s="640">
        <f ca="1">'Summary Tables'!N137</f>
        <v>65362.273437973847</v>
      </c>
      <c r="O85" s="640">
        <f ca="1">'Summary Tables'!O137</f>
        <v>66444.100458266024</v>
      </c>
      <c r="P85" s="640">
        <f ca="1">'Summary Tables'!P137</f>
        <v>67602.631788903338</v>
      </c>
      <c r="Q85" s="640">
        <f ca="1">'Summary Tables'!Q137</f>
        <v>68775.706748635377</v>
      </c>
      <c r="R85" s="56">
        <f ca="1">'Summary Tables'!R137</f>
        <v>69828.054774221077</v>
      </c>
    </row>
    <row r="86" spans="1:18" s="85" customFormat="1" ht="12.5"/>
    <row r="87" spans="1:18" s="85" customFormat="1" ht="12.5"/>
    <row r="88" spans="1:18" s="85" customFormat="1" ht="12.5"/>
    <row r="89" spans="1:18" s="85" customFormat="1" ht="12.5"/>
    <row r="90" spans="1:18" s="85" customFormat="1" ht="12.5"/>
    <row r="91" spans="1:18" s="85" customFormat="1" ht="12.5"/>
    <row r="92" spans="1:18" s="85" customFormat="1" ht="12.5"/>
    <row r="93" spans="1:18" s="85" customFormat="1" ht="12.5"/>
    <row r="94" spans="1:18" s="85" customFormat="1" ht="12.5"/>
    <row r="95" spans="1:18" s="85" customFormat="1" ht="12.5"/>
    <row r="96" spans="1:18" s="85" customFormat="1" ht="12.5"/>
    <row r="97" s="85" customFormat="1" ht="12.5"/>
    <row r="98" s="85" customFormat="1" ht="12.5"/>
    <row r="99" s="85" customFormat="1" ht="12.5"/>
    <row r="100" s="85" customFormat="1" ht="12.5"/>
    <row r="101" s="85" customFormat="1" ht="12.5"/>
    <row r="102" s="85" customFormat="1" ht="12.5"/>
    <row r="103" s="85" customFormat="1" ht="12.5"/>
    <row r="104" s="85" customFormat="1" ht="12.5"/>
    <row r="105" s="85" customFormat="1" ht="12.5"/>
    <row r="106" s="85" customFormat="1" ht="12.5"/>
    <row r="107" s="85" customFormat="1" ht="12.5"/>
    <row r="108" s="85" customFormat="1" ht="12.5"/>
    <row r="109" s="85" customFormat="1" ht="12.5"/>
    <row r="110" s="85" customFormat="1" ht="12.5"/>
    <row r="111" s="85" customFormat="1" ht="12.5"/>
    <row r="112" s="237" customFormat="1"/>
    <row r="113" spans="2:52" s="237" customFormat="1"/>
    <row r="114" spans="2:52" s="237" customFormat="1"/>
    <row r="115" spans="2:52" s="237" customFormat="1"/>
    <row r="116" spans="2:52" ht="16" thickBot="1">
      <c r="B116" s="64" t="s">
        <v>874</v>
      </c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  <c r="AU116" s="85"/>
      <c r="AV116" s="85"/>
      <c r="AW116" s="85"/>
      <c r="AX116" s="85"/>
      <c r="AY116" s="85"/>
      <c r="AZ116" s="85"/>
    </row>
    <row r="117" spans="2:52" ht="26">
      <c r="B117" s="55" t="s">
        <v>3</v>
      </c>
      <c r="C117" s="54" t="str">
        <f t="shared" ref="C117:R117" si="28">C2</f>
        <v>2016 Actual</v>
      </c>
      <c r="D117" s="54" t="str">
        <f t="shared" si="28"/>
        <v>2017 Actual</v>
      </c>
      <c r="E117" s="54" t="str">
        <f t="shared" si="28"/>
        <v>2018 Actual</v>
      </c>
      <c r="F117" s="54" t="str">
        <f t="shared" si="28"/>
        <v>2019 Actual</v>
      </c>
      <c r="G117" s="54" t="str">
        <f t="shared" si="28"/>
        <v>2020 Actual</v>
      </c>
      <c r="H117" s="54" t="str">
        <f t="shared" si="28"/>
        <v>2021 Actual</v>
      </c>
      <c r="I117" s="54" t="str">
        <f t="shared" si="28"/>
        <v>2022 Actual</v>
      </c>
      <c r="J117" s="54" t="str">
        <f t="shared" si="28"/>
        <v>2023 Actual</v>
      </c>
      <c r="K117" s="54" t="str">
        <f t="shared" si="28"/>
        <v>2024 Actual</v>
      </c>
      <c r="L117" s="54" t="str">
        <f t="shared" si="28"/>
        <v>2025 Actual</v>
      </c>
      <c r="M117" s="54" t="str">
        <f t="shared" si="28"/>
        <v>2026 Forecast</v>
      </c>
      <c r="N117" s="54" t="str">
        <f t="shared" si="28"/>
        <v>2027 Forecast</v>
      </c>
      <c r="O117" s="54" t="str">
        <f t="shared" si="28"/>
        <v>2028 Forecast</v>
      </c>
      <c r="P117" s="54" t="str">
        <f t="shared" si="28"/>
        <v>2029 Forecast</v>
      </c>
      <c r="Q117" s="54" t="str">
        <f t="shared" si="28"/>
        <v>2030 Forecast</v>
      </c>
      <c r="R117" s="53" t="str">
        <f t="shared" si="28"/>
        <v>2031 Forecast</v>
      </c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  <c r="AU117" s="85"/>
      <c r="AV117" s="85"/>
      <c r="AW117" s="85"/>
      <c r="AX117" s="85"/>
      <c r="AY117" s="85"/>
      <c r="AZ117" s="85"/>
    </row>
    <row r="118" spans="2:52">
      <c r="B118" s="58" t="str">
        <f>B3</f>
        <v>Residential</v>
      </c>
      <c r="C118" s="51">
        <f t="shared" ref="C118:R118" ca="1" si="29">C3+C57</f>
        <v>1269375442.214035</v>
      </c>
      <c r="D118" s="51">
        <f t="shared" ca="1" si="29"/>
        <v>1188022036.1739161</v>
      </c>
      <c r="E118" s="51">
        <f t="shared" ca="1" si="29"/>
        <v>1287327674.3705897</v>
      </c>
      <c r="F118" s="51">
        <f t="shared" ca="1" si="29"/>
        <v>1249659991.3831902</v>
      </c>
      <c r="G118" s="51">
        <f t="shared" ca="1" si="29"/>
        <v>1363403065.3215976</v>
      </c>
      <c r="H118" s="51">
        <f t="shared" ca="1" si="29"/>
        <v>1356920285.1242537</v>
      </c>
      <c r="I118" s="51">
        <f t="shared" ca="1" si="29"/>
        <v>1347404674.2013624</v>
      </c>
      <c r="J118" s="51">
        <f t="shared" ca="1" si="29"/>
        <v>1337703195.2383671</v>
      </c>
      <c r="K118" s="51">
        <f t="shared" ca="1" si="29"/>
        <v>1397464515.4222105</v>
      </c>
      <c r="L118" s="51">
        <f t="shared" ca="1" si="29"/>
        <v>1431706562.7851419</v>
      </c>
      <c r="M118" s="51">
        <f t="shared" ca="1" si="29"/>
        <v>1463248753.7425632</v>
      </c>
      <c r="N118" s="51">
        <f t="shared" ca="1" si="29"/>
        <v>1488238594.2903113</v>
      </c>
      <c r="O118" s="51">
        <f t="shared" ca="1" si="29"/>
        <v>1513735022.8510861</v>
      </c>
      <c r="P118" s="51">
        <f t="shared" ca="1" si="29"/>
        <v>1538539852.4418883</v>
      </c>
      <c r="Q118" s="51">
        <f t="shared" ca="1" si="29"/>
        <v>1572032734.82868</v>
      </c>
      <c r="R118" s="59">
        <f t="shared" ca="1" si="29"/>
        <v>1605702006.6028969</v>
      </c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  <c r="AU118" s="85"/>
      <c r="AV118" s="85"/>
      <c r="AW118" s="85"/>
      <c r="AX118" s="85"/>
      <c r="AY118" s="85"/>
      <c r="AZ118" s="85"/>
    </row>
    <row r="119" spans="2:52">
      <c r="B119" s="58" t="str">
        <f t="shared" ref="B119:B126" si="30">B4</f>
        <v>Residential Seasonal</v>
      </c>
      <c r="C119" s="51">
        <f t="shared" ref="C119:R119" ca="1" si="31">C4</f>
        <v>9051572.815264266</v>
      </c>
      <c r="D119" s="51">
        <f t="shared" ca="1" si="31"/>
        <v>9456862.8725147881</v>
      </c>
      <c r="E119" s="51">
        <f t="shared" ca="1" si="31"/>
        <v>10033713.471751574</v>
      </c>
      <c r="F119" s="51">
        <f t="shared" ca="1" si="31"/>
        <v>10358890.180652544</v>
      </c>
      <c r="G119" s="51">
        <f t="shared" ca="1" si="31"/>
        <v>11810325.210704066</v>
      </c>
      <c r="H119" s="51">
        <f t="shared" ca="1" si="31"/>
        <v>12014859.141223051</v>
      </c>
      <c r="I119" s="51">
        <f t="shared" ca="1" si="31"/>
        <v>12020836.275310056</v>
      </c>
      <c r="J119" s="51">
        <f t="shared" ca="1" si="31"/>
        <v>11612873.390622018</v>
      </c>
      <c r="K119" s="51">
        <f t="shared" ca="1" si="31"/>
        <v>11668301.471916554</v>
      </c>
      <c r="L119" s="51">
        <f t="shared" ca="1" si="31"/>
        <v>12704009.788637662</v>
      </c>
      <c r="M119" s="51">
        <f t="shared" ca="1" si="31"/>
        <v>12668616.88924998</v>
      </c>
      <c r="N119" s="51">
        <f t="shared" ca="1" si="31"/>
        <v>13098093.680488765</v>
      </c>
      <c r="O119" s="51">
        <f t="shared" ca="1" si="31"/>
        <v>13453586.472312599</v>
      </c>
      <c r="P119" s="51">
        <f t="shared" ca="1" si="31"/>
        <v>13869843.856722418</v>
      </c>
      <c r="Q119" s="51">
        <f t="shared" ca="1" si="31"/>
        <v>14368853.521388374</v>
      </c>
      <c r="R119" s="59">
        <f t="shared" ca="1" si="31"/>
        <v>14809342.656845005</v>
      </c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  <c r="AU119" s="85"/>
      <c r="AV119" s="85"/>
      <c r="AW119" s="85"/>
      <c r="AX119" s="85"/>
      <c r="AY119" s="85"/>
      <c r="AZ119" s="85"/>
    </row>
    <row r="120" spans="2:52">
      <c r="B120" s="58" t="str">
        <f t="shared" si="30"/>
        <v>GS&lt;50</v>
      </c>
      <c r="C120" s="51">
        <f t="shared" ref="C120:R122" ca="1" si="32">C5+C58</f>
        <v>356382632.03854048</v>
      </c>
      <c r="D120" s="51">
        <f t="shared" ca="1" si="32"/>
        <v>344615364.77915114</v>
      </c>
      <c r="E120" s="51">
        <f t="shared" ca="1" si="32"/>
        <v>354266041.51103485</v>
      </c>
      <c r="F120" s="51">
        <f t="shared" ca="1" si="32"/>
        <v>361354773.75802004</v>
      </c>
      <c r="G120" s="51">
        <f t="shared" ca="1" si="32"/>
        <v>332522270.89174366</v>
      </c>
      <c r="H120" s="51">
        <f t="shared" ca="1" si="32"/>
        <v>332462051.56827033</v>
      </c>
      <c r="I120" s="51">
        <f t="shared" ca="1" si="32"/>
        <v>349475981.39731491</v>
      </c>
      <c r="J120" s="51">
        <f t="shared" ca="1" si="32"/>
        <v>348427263.30568337</v>
      </c>
      <c r="K120" s="51">
        <f t="shared" ca="1" si="32"/>
        <v>330257787.06055099</v>
      </c>
      <c r="L120" s="51">
        <f t="shared" ca="1" si="32"/>
        <v>334472924.8429631</v>
      </c>
      <c r="M120" s="51">
        <f t="shared" ca="1" si="32"/>
        <v>359353991.95934331</v>
      </c>
      <c r="N120" s="51">
        <f t="shared" ca="1" si="32"/>
        <v>359437880.82205194</v>
      </c>
      <c r="O120" s="51">
        <f t="shared" ca="1" si="32"/>
        <v>358097513.91528559</v>
      </c>
      <c r="P120" s="51">
        <f t="shared" ca="1" si="32"/>
        <v>357895100.39429229</v>
      </c>
      <c r="Q120" s="51">
        <f t="shared" ca="1" si="32"/>
        <v>358082662.44900864</v>
      </c>
      <c r="R120" s="59">
        <f t="shared" ca="1" si="32"/>
        <v>360015336.731493</v>
      </c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  <c r="AU120" s="85"/>
      <c r="AV120" s="85"/>
      <c r="AW120" s="85"/>
      <c r="AX120" s="85"/>
      <c r="AY120" s="85"/>
      <c r="AZ120" s="85"/>
    </row>
    <row r="121" spans="2:52">
      <c r="B121" s="58" t="str">
        <f t="shared" si="30"/>
        <v>GS 50 - 2,999</v>
      </c>
      <c r="C121" s="51">
        <f t="shared" ref="C121:P121" ca="1" si="33">C6+C59</f>
        <v>1272118375.8628373</v>
      </c>
      <c r="D121" s="51">
        <f t="shared" ca="1" si="33"/>
        <v>1236201060.0819325</v>
      </c>
      <c r="E121" s="51">
        <f t="shared" ca="1" si="33"/>
        <v>1264466349.1982632</v>
      </c>
      <c r="F121" s="51">
        <f t="shared" ca="1" si="33"/>
        <v>1232063470.7570877</v>
      </c>
      <c r="G121" s="51">
        <f t="shared" ca="1" si="33"/>
        <v>1168055132.0552018</v>
      </c>
      <c r="H121" s="51">
        <f t="shared" ca="1" si="33"/>
        <v>1184097569.1884379</v>
      </c>
      <c r="I121" s="51">
        <f t="shared" ca="1" si="33"/>
        <v>1208876365.3064713</v>
      </c>
      <c r="J121" s="51">
        <f t="shared" ca="1" si="33"/>
        <v>1205813681.0727394</v>
      </c>
      <c r="K121" s="51">
        <f t="shared" ca="1" si="33"/>
        <v>1250156548.0347433</v>
      </c>
      <c r="L121" s="51">
        <f t="shared" ca="1" si="33"/>
        <v>1270423062.1715984</v>
      </c>
      <c r="M121" s="51">
        <f t="shared" ca="1" si="33"/>
        <v>1298246990.6935096</v>
      </c>
      <c r="N121" s="51">
        <f t="shared" ca="1" si="33"/>
        <v>1374577263.611691</v>
      </c>
      <c r="O121" s="51">
        <f t="shared" ca="1" si="33"/>
        <v>1393842049.6814268</v>
      </c>
      <c r="P121" s="51">
        <f t="shared" ca="1" si="33"/>
        <v>1405892065.9648194</v>
      </c>
      <c r="Q121" s="51">
        <f t="shared" ca="1" si="32"/>
        <v>1406860913.9037676</v>
      </c>
      <c r="R121" s="59">
        <f t="shared" ca="1" si="32"/>
        <v>1413882207.7429035</v>
      </c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</row>
    <row r="122" spans="2:52">
      <c r="B122" s="58" t="str">
        <f t="shared" si="30"/>
        <v>GS 3,000 - 4,999</v>
      </c>
      <c r="C122" s="51">
        <f t="shared" ca="1" si="32"/>
        <v>138758174.05958903</v>
      </c>
      <c r="D122" s="51">
        <f t="shared" ca="1" si="32"/>
        <v>146468903.07194489</v>
      </c>
      <c r="E122" s="51">
        <f t="shared" ca="1" si="32"/>
        <v>150477307.60387325</v>
      </c>
      <c r="F122" s="51">
        <f t="shared" ca="1" si="32"/>
        <v>166899797.08226338</v>
      </c>
      <c r="G122" s="51">
        <f t="shared" ca="1" si="32"/>
        <v>168534272.33023766</v>
      </c>
      <c r="H122" s="51">
        <f t="shared" ca="1" si="32"/>
        <v>180067613.59823555</v>
      </c>
      <c r="I122" s="51">
        <f t="shared" ca="1" si="32"/>
        <v>190439571.63956666</v>
      </c>
      <c r="J122" s="51">
        <f t="shared" ca="1" si="32"/>
        <v>188475984.65230191</v>
      </c>
      <c r="K122" s="51">
        <f t="shared" ca="1" si="32"/>
        <v>174171911.11142981</v>
      </c>
      <c r="L122" s="51">
        <f t="shared" ca="1" si="32"/>
        <v>174879955.26778632</v>
      </c>
      <c r="M122" s="51">
        <f t="shared" ca="1" si="32"/>
        <v>211242323.66371125</v>
      </c>
      <c r="N122" s="51">
        <f t="shared" ca="1" si="32"/>
        <v>260192691.21137184</v>
      </c>
      <c r="O122" s="51">
        <f t="shared" ca="1" si="32"/>
        <v>291193302.48238587</v>
      </c>
      <c r="P122" s="51">
        <f t="shared" ca="1" si="32"/>
        <v>310996735.29075933</v>
      </c>
      <c r="Q122" s="51">
        <f t="shared" ca="1" si="32"/>
        <v>321661271.83042836</v>
      </c>
      <c r="R122" s="59">
        <f t="shared" ca="1" si="32"/>
        <v>333787160.1006583</v>
      </c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  <c r="AU122" s="85"/>
      <c r="AV122" s="85"/>
      <c r="AW122" s="85"/>
      <c r="AX122" s="85"/>
      <c r="AY122" s="85"/>
      <c r="AZ122" s="85"/>
    </row>
    <row r="123" spans="2:52">
      <c r="B123" s="58" t="str">
        <f t="shared" si="30"/>
        <v>Large Use</v>
      </c>
      <c r="C123" s="51">
        <f t="shared" ref="C123:R123" ca="1" si="34">C8</f>
        <v>214289820.48699546</v>
      </c>
      <c r="D123" s="51">
        <f t="shared" ca="1" si="34"/>
        <v>222292495.33607462</v>
      </c>
      <c r="E123" s="51">
        <f t="shared" ca="1" si="34"/>
        <v>248469427.75455135</v>
      </c>
      <c r="F123" s="51">
        <f t="shared" ca="1" si="34"/>
        <v>257775123.13030541</v>
      </c>
      <c r="G123" s="51">
        <f t="shared" ca="1" si="34"/>
        <v>262392771.64005709</v>
      </c>
      <c r="H123" s="51">
        <f t="shared" ca="1" si="34"/>
        <v>282815639.36618131</v>
      </c>
      <c r="I123" s="51">
        <f t="shared" ca="1" si="34"/>
        <v>287178352.97389549</v>
      </c>
      <c r="J123" s="51">
        <f t="shared" ca="1" si="34"/>
        <v>301783249.88881892</v>
      </c>
      <c r="K123" s="51">
        <f t="shared" ca="1" si="34"/>
        <v>319639648.58016247</v>
      </c>
      <c r="L123" s="51">
        <f t="shared" ca="1" si="34"/>
        <v>320243428.7364316</v>
      </c>
      <c r="M123" s="51">
        <f t="shared" ca="1" si="34"/>
        <v>343075152.01669252</v>
      </c>
      <c r="N123" s="51">
        <f t="shared" ca="1" si="34"/>
        <v>409486870.75309986</v>
      </c>
      <c r="O123" s="51">
        <f t="shared" ca="1" si="34"/>
        <v>486502046.60378212</v>
      </c>
      <c r="P123" s="51">
        <f t="shared" ca="1" si="34"/>
        <v>530848433.28238314</v>
      </c>
      <c r="Q123" s="51">
        <f t="shared" ca="1" si="34"/>
        <v>538574069.41898668</v>
      </c>
      <c r="R123" s="59">
        <f t="shared" ca="1" si="34"/>
        <v>543584528.13487542</v>
      </c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  <c r="AU123" s="85"/>
      <c r="AV123" s="85"/>
      <c r="AW123" s="85"/>
      <c r="AX123" s="85"/>
      <c r="AY123" s="85"/>
      <c r="AZ123" s="85"/>
    </row>
    <row r="124" spans="2:52">
      <c r="B124" s="58" t="str">
        <f t="shared" si="30"/>
        <v>Street Light</v>
      </c>
      <c r="C124" s="51">
        <f t="shared" ref="C124:R126" ca="1" si="35">C9+C61</f>
        <v>26737105.908349372</v>
      </c>
      <c r="D124" s="51">
        <f t="shared" ca="1" si="35"/>
        <v>24292247.560884662</v>
      </c>
      <c r="E124" s="51">
        <f t="shared" ca="1" si="35"/>
        <v>19065686.602786075</v>
      </c>
      <c r="F124" s="51">
        <f t="shared" ca="1" si="35"/>
        <v>16498217.858064698</v>
      </c>
      <c r="G124" s="51">
        <f t="shared" ca="1" si="35"/>
        <v>14604685.489041734</v>
      </c>
      <c r="H124" s="51">
        <f t="shared" ca="1" si="35"/>
        <v>14258336.742137816</v>
      </c>
      <c r="I124" s="51">
        <f t="shared" ca="1" si="35"/>
        <v>14536997.412027439</v>
      </c>
      <c r="J124" s="51">
        <f t="shared" ca="1" si="35"/>
        <v>14831879.343626488</v>
      </c>
      <c r="K124" s="51">
        <f t="shared" ca="1" si="35"/>
        <v>15133017.663432209</v>
      </c>
      <c r="L124" s="51">
        <f t="shared" ca="1" si="35"/>
        <v>15240214.019841498</v>
      </c>
      <c r="M124" s="51">
        <f t="shared" ca="1" si="35"/>
        <v>15431376.050526397</v>
      </c>
      <c r="N124" s="51">
        <f t="shared" ca="1" si="35"/>
        <v>15625048.594675167</v>
      </c>
      <c r="O124" s="51">
        <f t="shared" ca="1" si="35"/>
        <v>15821266.352647971</v>
      </c>
      <c r="P124" s="51">
        <f t="shared" ca="1" si="35"/>
        <v>16020064.529794496</v>
      </c>
      <c r="Q124" s="51">
        <f t="shared" ca="1" si="35"/>
        <v>16221478.844156178</v>
      </c>
      <c r="R124" s="59">
        <f t="shared" ca="1" si="35"/>
        <v>16425545.534290673</v>
      </c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  <c r="AU124" s="85"/>
      <c r="AV124" s="85"/>
      <c r="AW124" s="85"/>
      <c r="AX124" s="85"/>
      <c r="AY124" s="85"/>
      <c r="AZ124" s="85"/>
    </row>
    <row r="125" spans="2:52">
      <c r="B125" s="58" t="str">
        <f t="shared" si="30"/>
        <v>Sentinel Light</v>
      </c>
      <c r="C125" s="51">
        <v>398391</v>
      </c>
      <c r="D125" s="51">
        <v>380813</v>
      </c>
      <c r="E125" s="51">
        <v>288925</v>
      </c>
      <c r="F125" s="51">
        <v>256732</v>
      </c>
      <c r="G125" s="51">
        <v>256857</v>
      </c>
      <c r="H125" s="51">
        <v>255183</v>
      </c>
      <c r="I125" s="51">
        <f t="shared" ref="I125:P125" ca="1" si="36">I10+I62</f>
        <v>236141.768912231</v>
      </c>
      <c r="J125" s="51">
        <f t="shared" ca="1" si="36"/>
        <v>238591.19181490058</v>
      </c>
      <c r="K125" s="51">
        <f t="shared" ca="1" si="36"/>
        <v>91981.701123870385</v>
      </c>
      <c r="L125" s="51">
        <f t="shared" ca="1" si="36"/>
        <v>90555.288032465556</v>
      </c>
      <c r="M125" s="51">
        <f t="shared" ca="1" si="36"/>
        <v>88989.693845926944</v>
      </c>
      <c r="N125" s="51">
        <f t="shared" ca="1" si="36"/>
        <v>87457.752592402147</v>
      </c>
      <c r="O125" s="51">
        <f t="shared" ca="1" si="36"/>
        <v>85958.850155680775</v>
      </c>
      <c r="P125" s="51">
        <f t="shared" ca="1" si="36"/>
        <v>84492.385084329959</v>
      </c>
      <c r="Q125" s="51">
        <f t="shared" ca="1" si="35"/>
        <v>83057.768353430511</v>
      </c>
      <c r="R125" s="59">
        <f t="shared" ca="1" si="35"/>
        <v>81654.423131114119</v>
      </c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  <c r="AU125" s="85"/>
      <c r="AV125" s="85"/>
      <c r="AW125" s="85"/>
      <c r="AX125" s="85"/>
      <c r="AY125" s="85"/>
      <c r="AZ125" s="85"/>
    </row>
    <row r="126" spans="2:52">
      <c r="B126" s="58" t="str">
        <f t="shared" si="30"/>
        <v>USL</v>
      </c>
      <c r="C126" s="51">
        <f t="shared" ca="1" si="35"/>
        <v>5319486.7856042404</v>
      </c>
      <c r="D126" s="51">
        <f t="shared" ca="1" si="35"/>
        <v>5264808.774879396</v>
      </c>
      <c r="E126" s="51">
        <f t="shared" ca="1" si="35"/>
        <v>5244007.0437639654</v>
      </c>
      <c r="F126" s="51">
        <f t="shared" ca="1" si="35"/>
        <v>5195123.00683486</v>
      </c>
      <c r="G126" s="51">
        <f t="shared" ca="1" si="35"/>
        <v>6365423.234460949</v>
      </c>
      <c r="H126" s="51">
        <f t="shared" ca="1" si="35"/>
        <v>6446512.2146405866</v>
      </c>
      <c r="I126" s="51">
        <f t="shared" ca="1" si="35"/>
        <v>6425118.5269147065</v>
      </c>
      <c r="J126" s="51">
        <f t="shared" ca="1" si="35"/>
        <v>6412756.5779130254</v>
      </c>
      <c r="K126" s="51">
        <f t="shared" ca="1" si="35"/>
        <v>6402636.7834870443</v>
      </c>
      <c r="L126" s="51">
        <f t="shared" ca="1" si="35"/>
        <v>6382480.4137291927</v>
      </c>
      <c r="M126" s="51">
        <f t="shared" ca="1" si="35"/>
        <v>6509454.0958387125</v>
      </c>
      <c r="N126" s="51">
        <f t="shared" ca="1" si="35"/>
        <v>6479773.9270868488</v>
      </c>
      <c r="O126" s="51">
        <f t="shared" ca="1" si="35"/>
        <v>6450483.6168868821</v>
      </c>
      <c r="P126" s="51">
        <f t="shared" ca="1" si="35"/>
        <v>6421580.5485769762</v>
      </c>
      <c r="Q126" s="51">
        <f t="shared" ca="1" si="35"/>
        <v>6393062.1316104801</v>
      </c>
      <c r="R126" s="59">
        <f t="shared" ca="1" si="35"/>
        <v>6364925.8013524516</v>
      </c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5"/>
      <c r="AU126" s="85"/>
      <c r="AV126" s="85"/>
      <c r="AW126" s="85"/>
      <c r="AX126" s="85"/>
      <c r="AY126" s="85"/>
      <c r="AZ126" s="85"/>
    </row>
    <row r="127" spans="2:52" ht="15" thickBot="1">
      <c r="B127" s="57" t="s">
        <v>21</v>
      </c>
      <c r="C127" s="640">
        <f t="shared" ref="C127:P127" ca="1" si="37">SUM(C118:C126)</f>
        <v>3292431001.1712155</v>
      </c>
      <c r="D127" s="640">
        <f t="shared" ca="1" si="37"/>
        <v>3176994591.651298</v>
      </c>
      <c r="E127" s="640">
        <f t="shared" ca="1" si="37"/>
        <v>3339639132.5566144</v>
      </c>
      <c r="F127" s="640">
        <f t="shared" ca="1" si="37"/>
        <v>3300062119.1564188</v>
      </c>
      <c r="G127" s="640">
        <f t="shared" ca="1" si="37"/>
        <v>3327944803.1730447</v>
      </c>
      <c r="H127" s="640">
        <f t="shared" ca="1" si="37"/>
        <v>3369338049.9433804</v>
      </c>
      <c r="I127" s="640">
        <f t="shared" ca="1" si="37"/>
        <v>3416594039.5017753</v>
      </c>
      <c r="J127" s="640">
        <f t="shared" ca="1" si="37"/>
        <v>3415299474.6618867</v>
      </c>
      <c r="K127" s="640">
        <f t="shared" ca="1" si="37"/>
        <v>3504986347.8290558</v>
      </c>
      <c r="L127" s="640">
        <f t="shared" ca="1" si="37"/>
        <v>3566143193.3141627</v>
      </c>
      <c r="M127" s="640">
        <f t="shared" ca="1" si="37"/>
        <v>3709865648.8052807</v>
      </c>
      <c r="N127" s="640">
        <f t="shared" ca="1" si="37"/>
        <v>3927223674.6433692</v>
      </c>
      <c r="O127" s="640">
        <f t="shared" ca="1" si="37"/>
        <v>4079181230.8259702</v>
      </c>
      <c r="P127" s="640">
        <f t="shared" ca="1" si="37"/>
        <v>4180568168.6943202</v>
      </c>
      <c r="Q127" s="640">
        <f ca="1">SUM(Q118:Q126)</f>
        <v>4234278104.6963797</v>
      </c>
      <c r="R127" s="56">
        <f ca="1">SUM(R118:R126)</f>
        <v>4294652707.7284465</v>
      </c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5"/>
      <c r="AI127" s="85"/>
      <c r="AJ127" s="85"/>
      <c r="AK127" s="85"/>
      <c r="AL127" s="85"/>
      <c r="AM127" s="85"/>
      <c r="AN127" s="85"/>
      <c r="AO127" s="85"/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</row>
    <row r="128" spans="2:52">
      <c r="B128" s="58" t="str">
        <f>B121</f>
        <v>GS 50 - 2,999</v>
      </c>
      <c r="C128" s="51">
        <f t="shared" ref="C128:R129" ca="1" si="38">C13+C65</f>
        <v>3190775.7399999998</v>
      </c>
      <c r="D128" s="51">
        <f t="shared" ca="1" si="38"/>
        <v>3111377.2899999996</v>
      </c>
      <c r="E128" s="51">
        <f t="shared" ca="1" si="38"/>
        <v>3149613.15</v>
      </c>
      <c r="F128" s="51">
        <f t="shared" ca="1" si="38"/>
        <v>3057337.58</v>
      </c>
      <c r="G128" s="51">
        <f t="shared" ca="1" si="38"/>
        <v>2943202.8</v>
      </c>
      <c r="H128" s="51">
        <f t="shared" ca="1" si="38"/>
        <v>2950218.5499999993</v>
      </c>
      <c r="I128" s="51">
        <f t="shared" ca="1" si="38"/>
        <v>3043361.29</v>
      </c>
      <c r="J128" s="51">
        <f t="shared" ca="1" si="38"/>
        <v>2990987.09</v>
      </c>
      <c r="K128" s="51">
        <f t="shared" ca="1" si="38"/>
        <v>2968530.4099999997</v>
      </c>
      <c r="L128" s="51">
        <f t="shared" ca="1" si="38"/>
        <v>3020507.25</v>
      </c>
      <c r="M128" s="51">
        <f t="shared" ca="1" si="38"/>
        <v>3172179.6173755559</v>
      </c>
      <c r="N128" s="51">
        <f t="shared" ca="1" si="38"/>
        <v>3373370.3739884002</v>
      </c>
      <c r="O128" s="51">
        <f t="shared" ca="1" si="38"/>
        <v>3438319.9465776691</v>
      </c>
      <c r="P128" s="51">
        <f t="shared" ca="1" si="38"/>
        <v>3487763.8239200208</v>
      </c>
      <c r="Q128" s="51">
        <f t="shared" ca="1" si="38"/>
        <v>3511956.7799961735</v>
      </c>
      <c r="R128" s="59">
        <f t="shared" ca="1" si="38"/>
        <v>3550962.2360047465</v>
      </c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  <c r="AF128" s="85"/>
      <c r="AG128" s="85"/>
      <c r="AH128" s="85"/>
      <c r="AI128" s="85"/>
      <c r="AJ128" s="85"/>
      <c r="AK128" s="85"/>
      <c r="AL128" s="85"/>
      <c r="AM128" s="85"/>
      <c r="AN128" s="85"/>
      <c r="AO128" s="85"/>
      <c r="AP128" s="85"/>
      <c r="AQ128" s="85"/>
      <c r="AR128" s="85"/>
      <c r="AS128" s="85"/>
      <c r="AT128" s="85"/>
      <c r="AU128" s="85"/>
      <c r="AV128" s="85"/>
      <c r="AW128" s="85"/>
      <c r="AX128" s="85"/>
      <c r="AY128" s="85"/>
      <c r="AZ128" s="85"/>
    </row>
    <row r="129" spans="1:52">
      <c r="B129" s="58" t="str">
        <f>B122</f>
        <v>GS 3,000 - 4,999</v>
      </c>
      <c r="C129" s="51">
        <f t="shared" ref="C129:P129" ca="1" si="39">C14+C66</f>
        <v>317493.09999999998</v>
      </c>
      <c r="D129" s="51">
        <f t="shared" ca="1" si="39"/>
        <v>290527.03000000003</v>
      </c>
      <c r="E129" s="51">
        <f t="shared" ca="1" si="39"/>
        <v>304032.87000000005</v>
      </c>
      <c r="F129" s="51">
        <f t="shared" ca="1" si="39"/>
        <v>342986.87</v>
      </c>
      <c r="G129" s="51">
        <f t="shared" ca="1" si="39"/>
        <v>339439.79999999993</v>
      </c>
      <c r="H129" s="51">
        <f t="shared" ca="1" si="39"/>
        <v>368167.69000000006</v>
      </c>
      <c r="I129" s="51">
        <f t="shared" ca="1" si="39"/>
        <v>393101.52</v>
      </c>
      <c r="J129" s="51">
        <f t="shared" ca="1" si="39"/>
        <v>394699.74</v>
      </c>
      <c r="K129" s="51">
        <f t="shared" ca="1" si="39"/>
        <v>376037.78</v>
      </c>
      <c r="L129" s="51">
        <f t="shared" ca="1" si="39"/>
        <v>369676.54000000004</v>
      </c>
      <c r="M129" s="51">
        <f t="shared" ca="1" si="39"/>
        <v>447197.28281556279</v>
      </c>
      <c r="N129" s="51">
        <f t="shared" ca="1" si="39"/>
        <v>555767.8972442589</v>
      </c>
      <c r="O129" s="51">
        <f t="shared" ca="1" si="39"/>
        <v>627952.72671898268</v>
      </c>
      <c r="P129" s="51">
        <f t="shared" ca="1" si="39"/>
        <v>675892.28529603744</v>
      </c>
      <c r="Q129" s="51">
        <f t="shared" ca="1" si="38"/>
        <v>703057.41579171643</v>
      </c>
      <c r="R129" s="59">
        <f t="shared" ca="1" si="38"/>
        <v>734237.24188005598</v>
      </c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  <c r="AU129" s="85"/>
      <c r="AV129" s="85"/>
      <c r="AW129" s="85"/>
      <c r="AX129" s="85"/>
      <c r="AY129" s="85"/>
      <c r="AZ129" s="85"/>
    </row>
    <row r="130" spans="1:52">
      <c r="B130" s="58" t="str">
        <f>B123</f>
        <v>Large Use</v>
      </c>
      <c r="C130" s="51">
        <f t="shared" ref="C130:R130" ca="1" si="40">C15</f>
        <v>421758</v>
      </c>
      <c r="D130" s="51">
        <f t="shared" ca="1" si="40"/>
        <v>382866</v>
      </c>
      <c r="E130" s="51">
        <f t="shared" ca="1" si="40"/>
        <v>423038</v>
      </c>
      <c r="F130" s="51">
        <f t="shared" ca="1" si="40"/>
        <v>433414</v>
      </c>
      <c r="G130" s="51">
        <f t="shared" ca="1" si="40"/>
        <v>453257</v>
      </c>
      <c r="H130" s="51">
        <f t="shared" ca="1" si="40"/>
        <v>481567</v>
      </c>
      <c r="I130" s="51">
        <f t="shared" ca="1" si="40"/>
        <v>490452</v>
      </c>
      <c r="J130" s="51">
        <f t="shared" ca="1" si="40"/>
        <v>518389.27999999997</v>
      </c>
      <c r="K130" s="51">
        <f t="shared" ca="1" si="40"/>
        <v>532510.09</v>
      </c>
      <c r="L130" s="51">
        <f t="shared" ca="1" si="40"/>
        <v>539128.64</v>
      </c>
      <c r="M130" s="51">
        <f t="shared" ca="1" si="40"/>
        <v>582754.02625610516</v>
      </c>
      <c r="N130" s="51">
        <f t="shared" ca="1" si="40"/>
        <v>699952.55015067162</v>
      </c>
      <c r="O130" s="51">
        <f t="shared" ca="1" si="40"/>
        <v>838837.78883968422</v>
      </c>
      <c r="P130" s="51">
        <f t="shared" ca="1" si="40"/>
        <v>921903.83334637014</v>
      </c>
      <c r="Q130" s="51">
        <f t="shared" ca="1" si="40"/>
        <v>941697.31207975489</v>
      </c>
      <c r="R130" s="59">
        <f t="shared" ca="1" si="40"/>
        <v>956657.69739546173</v>
      </c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  <c r="AH130" s="85"/>
      <c r="AI130" s="85"/>
      <c r="AJ130" s="85"/>
      <c r="AK130" s="85"/>
      <c r="AL130" s="85"/>
      <c r="AM130" s="85"/>
      <c r="AN130" s="85"/>
      <c r="AO130" s="85"/>
      <c r="AP130" s="85"/>
      <c r="AQ130" s="85"/>
      <c r="AR130" s="85"/>
      <c r="AS130" s="85"/>
      <c r="AT130" s="85"/>
      <c r="AU130" s="85"/>
      <c r="AV130" s="85"/>
      <c r="AW130" s="85"/>
      <c r="AX130" s="85"/>
      <c r="AY130" s="85"/>
      <c r="AZ130" s="85"/>
    </row>
    <row r="131" spans="1:52">
      <c r="B131" s="58" t="str">
        <f>B124</f>
        <v>Street Light</v>
      </c>
      <c r="C131" s="51">
        <f t="shared" ref="C131:R131" ca="1" si="41">C16+C67</f>
        <v>73706.880000000005</v>
      </c>
      <c r="D131" s="51">
        <f t="shared" ca="1" si="41"/>
        <v>67629.86</v>
      </c>
      <c r="E131" s="51">
        <f t="shared" ca="1" si="41"/>
        <v>52906.29</v>
      </c>
      <c r="F131" s="51">
        <f t="shared" ca="1" si="41"/>
        <v>45671.590000000004</v>
      </c>
      <c r="G131" s="51">
        <f t="shared" ca="1" si="41"/>
        <v>40981.380000000005</v>
      </c>
      <c r="H131" s="51">
        <f t="shared" ca="1" si="41"/>
        <v>40484.25</v>
      </c>
      <c r="I131" s="51">
        <f t="shared" ca="1" si="41"/>
        <v>40597.899999999994</v>
      </c>
      <c r="J131" s="51">
        <f t="shared" ca="1" si="41"/>
        <v>41371.47</v>
      </c>
      <c r="K131" s="51">
        <f t="shared" ca="1" si="41"/>
        <v>42059.850000000006</v>
      </c>
      <c r="L131" s="51">
        <f t="shared" ca="1" si="41"/>
        <v>42472.92</v>
      </c>
      <c r="M131" s="51">
        <f t="shared" ca="1" si="41"/>
        <v>43004.723352675617</v>
      </c>
      <c r="N131" s="51">
        <f t="shared" ca="1" si="41"/>
        <v>43544.269818658286</v>
      </c>
      <c r="O131" s="51">
        <f t="shared" ca="1" si="41"/>
        <v>44090.904046101437</v>
      </c>
      <c r="P131" s="51">
        <f t="shared" ca="1" si="41"/>
        <v>44644.724030707992</v>
      </c>
      <c r="Q131" s="51">
        <f t="shared" ca="1" si="41"/>
        <v>45205.829194696213</v>
      </c>
      <c r="R131" s="59">
        <f t="shared" ca="1" si="41"/>
        <v>45774.320408562664</v>
      </c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</row>
    <row r="132" spans="1:52">
      <c r="B132" s="58" t="str">
        <f>B125</f>
        <v>Sentinel Light</v>
      </c>
      <c r="C132" s="51">
        <f t="shared" ref="C132:R132" ca="1" si="42">C17+C68</f>
        <v>1106</v>
      </c>
      <c r="D132" s="51">
        <f t="shared" ca="1" si="42"/>
        <v>1055</v>
      </c>
      <c r="E132" s="51">
        <f t="shared" ca="1" si="42"/>
        <v>807</v>
      </c>
      <c r="F132" s="51">
        <f t="shared" ca="1" si="42"/>
        <v>715</v>
      </c>
      <c r="G132" s="51">
        <f t="shared" ca="1" si="42"/>
        <v>714</v>
      </c>
      <c r="H132" s="51">
        <f t="shared" ca="1" si="42"/>
        <v>703</v>
      </c>
      <c r="I132" s="51">
        <f t="shared" ca="1" si="42"/>
        <v>696</v>
      </c>
      <c r="J132" s="51">
        <f t="shared" ca="1" si="42"/>
        <v>700</v>
      </c>
      <c r="K132" s="51">
        <f t="shared" ca="1" si="42"/>
        <v>685</v>
      </c>
      <c r="L132" s="51">
        <f t="shared" ca="1" si="42"/>
        <v>674.89724884213422</v>
      </c>
      <c r="M132" s="51">
        <f t="shared" ca="1" si="42"/>
        <v>664.52584337587575</v>
      </c>
      <c r="N132" s="51">
        <f t="shared" ca="1" si="42"/>
        <v>654.39888952205615</v>
      </c>
      <c r="O132" s="51">
        <f t="shared" ca="1" si="42"/>
        <v>644.51221350638025</v>
      </c>
      <c r="P132" s="51">
        <f t="shared" ca="1" si="42"/>
        <v>634.86173214226346</v>
      </c>
      <c r="Q132" s="51">
        <f t="shared" ca="1" si="42"/>
        <v>625.44345118936644</v>
      </c>
      <c r="R132" s="59">
        <f t="shared" ca="1" si="42"/>
        <v>616.25346374616186</v>
      </c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  <c r="AF132" s="85"/>
      <c r="AG132" s="85"/>
      <c r="AH132" s="85"/>
      <c r="AI132" s="85"/>
      <c r="AJ132" s="85"/>
      <c r="AK132" s="85"/>
      <c r="AL132" s="85"/>
      <c r="AM132" s="85"/>
      <c r="AN132" s="85"/>
      <c r="AO132" s="85"/>
      <c r="AP132" s="85"/>
      <c r="AQ132" s="85"/>
      <c r="AR132" s="85"/>
      <c r="AS132" s="85"/>
      <c r="AT132" s="85"/>
      <c r="AU132" s="85"/>
      <c r="AV132" s="85"/>
      <c r="AW132" s="85"/>
      <c r="AX132" s="85"/>
      <c r="AY132" s="85"/>
      <c r="AZ132" s="85"/>
    </row>
    <row r="133" spans="1:52" ht="15" thickBot="1">
      <c r="B133" s="57" t="s">
        <v>22</v>
      </c>
      <c r="C133" s="640">
        <f t="shared" ref="C133:R133" ca="1" si="43">SUM(C128:C132)</f>
        <v>4004839.7199999997</v>
      </c>
      <c r="D133" s="640">
        <f t="shared" ca="1" si="43"/>
        <v>3853455.1799999992</v>
      </c>
      <c r="E133" s="640">
        <f t="shared" ca="1" si="43"/>
        <v>3930397.31</v>
      </c>
      <c r="F133" s="640">
        <f t="shared" ca="1" si="43"/>
        <v>3880125.04</v>
      </c>
      <c r="G133" s="640">
        <f t="shared" ca="1" si="43"/>
        <v>3777594.9799999995</v>
      </c>
      <c r="H133" s="640">
        <f t="shared" ca="1" si="43"/>
        <v>3841140.4899999993</v>
      </c>
      <c r="I133" s="640">
        <f t="shared" ca="1" si="43"/>
        <v>3968208.71</v>
      </c>
      <c r="J133" s="640">
        <f t="shared" ca="1" si="43"/>
        <v>3946147.58</v>
      </c>
      <c r="K133" s="640">
        <f t="shared" ca="1" si="43"/>
        <v>3919823.1299999994</v>
      </c>
      <c r="L133" s="640">
        <f t="shared" ca="1" si="43"/>
        <v>3972460.2472488424</v>
      </c>
      <c r="M133" s="640">
        <f t="shared" ca="1" si="43"/>
        <v>4245800.1756432755</v>
      </c>
      <c r="N133" s="640">
        <f t="shared" ca="1" si="43"/>
        <v>4673289.490091511</v>
      </c>
      <c r="O133" s="640">
        <f t="shared" ca="1" si="43"/>
        <v>4949845.8783959439</v>
      </c>
      <c r="P133" s="640">
        <f t="shared" ca="1" si="43"/>
        <v>5130839.5283252783</v>
      </c>
      <c r="Q133" s="640">
        <f t="shared" ca="1" si="43"/>
        <v>5202542.7805135306</v>
      </c>
      <c r="R133" s="56">
        <f t="shared" ca="1" si="43"/>
        <v>5288247.7491525738</v>
      </c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5"/>
      <c r="AI133" s="85"/>
      <c r="AJ133" s="85"/>
      <c r="AK133" s="85"/>
      <c r="AL133" s="85"/>
      <c r="AM133" s="85"/>
      <c r="AN133" s="85"/>
      <c r="AO133" s="85"/>
      <c r="AP133" s="85"/>
      <c r="AQ133" s="85"/>
      <c r="AR133" s="85"/>
      <c r="AS133" s="85"/>
      <c r="AT133" s="85"/>
      <c r="AU133" s="85"/>
      <c r="AV133" s="85"/>
      <c r="AW133" s="85"/>
      <c r="AX133" s="85"/>
      <c r="AY133" s="85"/>
      <c r="AZ133" s="85"/>
    </row>
    <row r="134" spans="1:52">
      <c r="B134" s="260" t="str">
        <f t="shared" ref="B134:B142" si="44">B118</f>
        <v>Residential</v>
      </c>
      <c r="C134" s="476">
        <f t="shared" ref="C134:R134" ca="1" si="45">C19+C70</f>
        <v>146881.16666666669</v>
      </c>
      <c r="D134" s="476">
        <f t="shared" ca="1" si="45"/>
        <v>148116.33333333331</v>
      </c>
      <c r="E134" s="476">
        <f t="shared" ca="1" si="45"/>
        <v>149566.66666666669</v>
      </c>
      <c r="F134" s="476">
        <f t="shared" ca="1" si="45"/>
        <v>151863.91666666669</v>
      </c>
      <c r="G134" s="476">
        <f t="shared" ca="1" si="45"/>
        <v>154099</v>
      </c>
      <c r="H134" s="476">
        <f t="shared" ca="1" si="45"/>
        <v>155957.16666666663</v>
      </c>
      <c r="I134" s="476">
        <f t="shared" ca="1" si="45"/>
        <v>158174.37500000006</v>
      </c>
      <c r="J134" s="476">
        <f t="shared" ca="1" si="45"/>
        <v>160634.54166666669</v>
      </c>
      <c r="K134" s="476">
        <f t="shared" ca="1" si="45"/>
        <v>162977</v>
      </c>
      <c r="L134" s="476">
        <f t="shared" ca="1" si="45"/>
        <v>164777.83333333337</v>
      </c>
      <c r="M134" s="476">
        <f t="shared" ca="1" si="45"/>
        <v>167046.74816336372</v>
      </c>
      <c r="N134" s="476">
        <f t="shared" ca="1" si="45"/>
        <v>169458.25400958018</v>
      </c>
      <c r="O134" s="476">
        <f t="shared" ca="1" si="45"/>
        <v>172038.07404212866</v>
      </c>
      <c r="P134" s="476">
        <f t="shared" ca="1" si="45"/>
        <v>174781.32157125144</v>
      </c>
      <c r="Q134" s="476">
        <f t="shared" ca="1" si="45"/>
        <v>177631.23361325788</v>
      </c>
      <c r="R134" s="477">
        <f t="shared" ca="1" si="45"/>
        <v>180302.73724817738</v>
      </c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  <c r="AI134" s="85"/>
      <c r="AJ134" s="85"/>
      <c r="AK134" s="85"/>
      <c r="AL134" s="85"/>
      <c r="AM134" s="85"/>
      <c r="AN134" s="85"/>
      <c r="AO134" s="85"/>
      <c r="AP134" s="85"/>
      <c r="AQ134" s="85"/>
      <c r="AR134" s="85"/>
      <c r="AS134" s="85"/>
      <c r="AT134" s="85"/>
      <c r="AU134" s="85"/>
      <c r="AV134" s="85"/>
      <c r="AW134" s="85"/>
      <c r="AX134" s="85"/>
      <c r="AY134" s="85"/>
      <c r="AZ134" s="85"/>
    </row>
    <row r="135" spans="1:52">
      <c r="B135" s="58" t="str">
        <f t="shared" si="44"/>
        <v>Residential Seasonal</v>
      </c>
      <c r="C135" s="51">
        <f t="shared" ref="C135:R135" ca="1" si="46">C20</f>
        <v>1585.75</v>
      </c>
      <c r="D135" s="51">
        <f t="shared" ca="1" si="46"/>
        <v>1577.0416666666661</v>
      </c>
      <c r="E135" s="51">
        <f t="shared" ca="1" si="46"/>
        <v>1570.9166666666661</v>
      </c>
      <c r="F135" s="51">
        <f t="shared" ca="1" si="46"/>
        <v>1565.125</v>
      </c>
      <c r="G135" s="51">
        <f t="shared" ca="1" si="46"/>
        <v>1561</v>
      </c>
      <c r="H135" s="51">
        <f t="shared" ca="1" si="46"/>
        <v>1558.8333333333339</v>
      </c>
      <c r="I135" s="51">
        <f t="shared" ca="1" si="46"/>
        <v>1559.1666666666661</v>
      </c>
      <c r="J135" s="51">
        <f t="shared" ca="1" si="46"/>
        <v>1562.625</v>
      </c>
      <c r="K135" s="51">
        <f t="shared" ca="1" si="46"/>
        <v>1561.8333333333339</v>
      </c>
      <c r="L135" s="51">
        <f t="shared" ca="1" si="46"/>
        <v>1553.5</v>
      </c>
      <c r="M135" s="51">
        <f t="shared" ca="1" si="46"/>
        <v>1549.9606514054349</v>
      </c>
      <c r="N135" s="51">
        <f t="shared" ca="1" si="46"/>
        <v>1546.4261219890034</v>
      </c>
      <c r="O135" s="51">
        <f t="shared" ca="1" si="46"/>
        <v>1542.8996527115078</v>
      </c>
      <c r="P135" s="51">
        <f t="shared" ca="1" si="46"/>
        <v>1539.381225192612</v>
      </c>
      <c r="Q135" s="51">
        <f t="shared" ca="1" si="46"/>
        <v>1535.8708210938942</v>
      </c>
      <c r="R135" s="59">
        <f t="shared" ca="1" si="46"/>
        <v>1532.3684221187507</v>
      </c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85"/>
      <c r="AO135" s="85"/>
      <c r="AP135" s="85"/>
      <c r="AQ135" s="85"/>
      <c r="AR135" s="85"/>
      <c r="AS135" s="85"/>
      <c r="AT135" s="85"/>
      <c r="AU135" s="85"/>
      <c r="AV135" s="85"/>
      <c r="AW135" s="85"/>
      <c r="AX135" s="85"/>
      <c r="AY135" s="85"/>
      <c r="AZ135" s="85"/>
    </row>
    <row r="136" spans="1:52">
      <c r="B136" s="58" t="str">
        <f t="shared" si="44"/>
        <v>GS&lt;50</v>
      </c>
      <c r="C136" s="51">
        <f t="shared" ref="C136:R138" ca="1" si="47">C21+C71</f>
        <v>11154.625000000002</v>
      </c>
      <c r="D136" s="51">
        <f t="shared" ca="1" si="47"/>
        <v>11245.125</v>
      </c>
      <c r="E136" s="51">
        <f t="shared" ca="1" si="47"/>
        <v>11336.291666666668</v>
      </c>
      <c r="F136" s="51">
        <f t="shared" ca="1" si="47"/>
        <v>11468.083333333338</v>
      </c>
      <c r="G136" s="51">
        <f t="shared" ca="1" si="47"/>
        <v>11562.083333333332</v>
      </c>
      <c r="H136" s="51">
        <f t="shared" ca="1" si="47"/>
        <v>11641.33333333333</v>
      </c>
      <c r="I136" s="51">
        <f t="shared" ca="1" si="47"/>
        <v>11796.791666666662</v>
      </c>
      <c r="J136" s="51">
        <f t="shared" ca="1" si="47"/>
        <v>11922.666666666668</v>
      </c>
      <c r="K136" s="51">
        <f t="shared" ca="1" si="47"/>
        <v>11966.625</v>
      </c>
      <c r="L136" s="51">
        <f t="shared" ca="1" si="47"/>
        <v>11978.45833333333</v>
      </c>
      <c r="M136" s="51">
        <f t="shared" ca="1" si="47"/>
        <v>12074.014697782844</v>
      </c>
      <c r="N136" s="51">
        <f t="shared" ca="1" si="47"/>
        <v>12170.457163578209</v>
      </c>
      <c r="O136" s="51">
        <f t="shared" ca="1" si="47"/>
        <v>12267.750034262957</v>
      </c>
      <c r="P136" s="51">
        <f t="shared" ca="1" si="47"/>
        <v>12365.901678946599</v>
      </c>
      <c r="Q136" s="51">
        <f t="shared" ca="1" si="47"/>
        <v>12464.920557674839</v>
      </c>
      <c r="R136" s="59">
        <f t="shared" ca="1" si="47"/>
        <v>12564.815222493282</v>
      </c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85"/>
      <c r="AO136" s="85"/>
      <c r="AP136" s="85"/>
      <c r="AQ136" s="85"/>
      <c r="AR136" s="85"/>
      <c r="AS136" s="85"/>
      <c r="AT136" s="85"/>
      <c r="AU136" s="85"/>
      <c r="AV136" s="85"/>
      <c r="AW136" s="85"/>
      <c r="AX136" s="85"/>
      <c r="AY136" s="85"/>
      <c r="AZ136" s="85"/>
    </row>
    <row r="137" spans="1:52">
      <c r="B137" s="58" t="str">
        <f t="shared" si="44"/>
        <v>GS 50 - 2,999</v>
      </c>
      <c r="C137" s="51">
        <f t="shared" ref="C137:P137" ca="1" si="48">C22+C72</f>
        <v>1423.1249999999998</v>
      </c>
      <c r="D137" s="51">
        <f t="shared" ca="1" si="48"/>
        <v>1436.3333333333337</v>
      </c>
      <c r="E137" s="51">
        <f t="shared" ca="1" si="48"/>
        <v>1433.125</v>
      </c>
      <c r="F137" s="51">
        <f t="shared" ca="1" si="48"/>
        <v>1406.0833333333337</v>
      </c>
      <c r="G137" s="51">
        <f t="shared" ca="1" si="48"/>
        <v>1413.875</v>
      </c>
      <c r="H137" s="51">
        <f t="shared" ca="1" si="48"/>
        <v>1443.0833333333337</v>
      </c>
      <c r="I137" s="51">
        <f t="shared" ca="1" si="48"/>
        <v>1423.5833333333335</v>
      </c>
      <c r="J137" s="51">
        <f t="shared" ca="1" si="48"/>
        <v>1413.791666666667</v>
      </c>
      <c r="K137" s="51">
        <f t="shared" ca="1" si="48"/>
        <v>1448.0416666666663</v>
      </c>
      <c r="L137" s="51">
        <f t="shared" ca="1" si="48"/>
        <v>1484.5</v>
      </c>
      <c r="M137" s="51">
        <f t="shared" ca="1" si="48"/>
        <v>1499.0729547581791</v>
      </c>
      <c r="N137" s="51">
        <f t="shared" ca="1" si="48"/>
        <v>1516.0360930283989</v>
      </c>
      <c r="O137" s="51">
        <f t="shared" ca="1" si="48"/>
        <v>1527.4345909125102</v>
      </c>
      <c r="P137" s="51">
        <f t="shared" ca="1" si="48"/>
        <v>1536.3937428331963</v>
      </c>
      <c r="Q137" s="51">
        <f t="shared" ca="1" si="47"/>
        <v>1544.8294705350622</v>
      </c>
      <c r="R137" s="59">
        <f t="shared" ca="1" si="47"/>
        <v>1553.2035314372349</v>
      </c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  <c r="AU137" s="85"/>
      <c r="AV137" s="85"/>
      <c r="AW137" s="85"/>
      <c r="AX137" s="85"/>
      <c r="AY137" s="85"/>
      <c r="AZ137" s="85"/>
    </row>
    <row r="138" spans="1:52">
      <c r="A138" s="237" t="s">
        <v>744</v>
      </c>
      <c r="B138" s="58" t="str">
        <f t="shared" si="44"/>
        <v>GS 3,000 - 4,999</v>
      </c>
      <c r="C138" s="51">
        <f t="shared" ca="1" si="47"/>
        <v>7</v>
      </c>
      <c r="D138" s="51">
        <f t="shared" ca="1" si="47"/>
        <v>7</v>
      </c>
      <c r="E138" s="51">
        <f t="shared" ca="1" si="47"/>
        <v>7.0000000000000018</v>
      </c>
      <c r="F138" s="51">
        <f t="shared" ca="1" si="47"/>
        <v>7</v>
      </c>
      <c r="G138" s="51">
        <f t="shared" ca="1" si="47"/>
        <v>7.5416666666666652</v>
      </c>
      <c r="H138" s="51">
        <f t="shared" ca="1" si="47"/>
        <v>8.5416666666666643</v>
      </c>
      <c r="I138" s="51">
        <f t="shared" ca="1" si="47"/>
        <v>8.4583333333333357</v>
      </c>
      <c r="J138" s="51">
        <f t="shared" ca="1" si="47"/>
        <v>8</v>
      </c>
      <c r="K138" s="51">
        <f t="shared" ca="1" si="47"/>
        <v>8</v>
      </c>
      <c r="L138" s="51">
        <f t="shared" ca="1" si="47"/>
        <v>8</v>
      </c>
      <c r="M138" s="51">
        <f t="shared" ca="1" si="47"/>
        <v>10.505208333333334</v>
      </c>
      <c r="N138" s="51">
        <f t="shared" ca="1" si="47"/>
        <v>13.627083333333333</v>
      </c>
      <c r="O138" s="51">
        <f t="shared" ca="1" si="47"/>
        <v>14.867708333333333</v>
      </c>
      <c r="P138" s="51">
        <f t="shared" ca="1" si="47"/>
        <v>15.254166666666666</v>
      </c>
      <c r="Q138" s="51">
        <f t="shared" ca="1" si="47"/>
        <v>15.300000000000004</v>
      </c>
      <c r="R138" s="59">
        <f t="shared" ca="1" si="47"/>
        <v>15.300000000000004</v>
      </c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  <c r="AY138" s="85"/>
      <c r="AZ138" s="85"/>
    </row>
    <row r="139" spans="1:52">
      <c r="B139" s="58" t="str">
        <f t="shared" si="44"/>
        <v>Large Use</v>
      </c>
      <c r="C139" s="51">
        <f t="shared" ref="C139:R139" ca="1" si="49">C24</f>
        <v>3</v>
      </c>
      <c r="D139" s="51">
        <f t="shared" ca="1" si="49"/>
        <v>3</v>
      </c>
      <c r="E139" s="51">
        <f t="shared" ca="1" si="49"/>
        <v>3.5416666666666674</v>
      </c>
      <c r="F139" s="51">
        <f t="shared" ca="1" si="49"/>
        <v>4</v>
      </c>
      <c r="G139" s="51">
        <f t="shared" ca="1" si="49"/>
        <v>4</v>
      </c>
      <c r="H139" s="51">
        <f t="shared" ca="1" si="49"/>
        <v>4</v>
      </c>
      <c r="I139" s="51">
        <f t="shared" ca="1" si="49"/>
        <v>4</v>
      </c>
      <c r="J139" s="51">
        <f t="shared" ca="1" si="49"/>
        <v>4.5416666666666652</v>
      </c>
      <c r="K139" s="51">
        <f t="shared" ca="1" si="49"/>
        <v>5</v>
      </c>
      <c r="L139" s="51">
        <f t="shared" ca="1" si="49"/>
        <v>5</v>
      </c>
      <c r="M139" s="51">
        <f t="shared" ca="1" si="49"/>
        <v>5.203125</v>
      </c>
      <c r="N139" s="51">
        <f t="shared" ca="1" si="49"/>
        <v>5.645833333333333</v>
      </c>
      <c r="O139" s="51">
        <f t="shared" ca="1" si="49"/>
        <v>5.9427083333333321</v>
      </c>
      <c r="P139" s="51">
        <f t="shared" ca="1" si="49"/>
        <v>5.9999999999999991</v>
      </c>
      <c r="Q139" s="51">
        <f t="shared" ca="1" si="49"/>
        <v>5.9999999999999991</v>
      </c>
      <c r="R139" s="59">
        <f t="shared" ca="1" si="49"/>
        <v>5.9999999999999991</v>
      </c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85"/>
      <c r="AO139" s="85"/>
      <c r="AP139" s="85"/>
      <c r="AQ139" s="85"/>
      <c r="AR139" s="85"/>
      <c r="AS139" s="85"/>
      <c r="AT139" s="85"/>
      <c r="AU139" s="85"/>
      <c r="AV139" s="85"/>
      <c r="AW139" s="85"/>
      <c r="AX139" s="85"/>
      <c r="AY139" s="85"/>
      <c r="AZ139" s="85"/>
    </row>
    <row r="140" spans="1:52">
      <c r="B140" s="58" t="str">
        <f t="shared" si="44"/>
        <v>Street Light</v>
      </c>
      <c r="C140" s="51">
        <f t="shared" ref="C140:R142" ca="1" si="50">C25+C74</f>
        <v>41888.125</v>
      </c>
      <c r="D140" s="51">
        <f t="shared" ca="1" si="50"/>
        <v>42302.75</v>
      </c>
      <c r="E140" s="51">
        <f t="shared" ca="1" si="50"/>
        <v>42951.291666666672</v>
      </c>
      <c r="F140" s="51">
        <f t="shared" ca="1" si="50"/>
        <v>43551.458333333328</v>
      </c>
      <c r="G140" s="51">
        <f t="shared" ca="1" si="50"/>
        <v>44122.708333333328</v>
      </c>
      <c r="H140" s="51">
        <f t="shared" ca="1" si="50"/>
        <v>44702.958333333328</v>
      </c>
      <c r="I140" s="51">
        <f t="shared" ca="1" si="50"/>
        <v>45137.958333333328</v>
      </c>
      <c r="J140" s="51">
        <f t="shared" ca="1" si="50"/>
        <v>45686.999999999985</v>
      </c>
      <c r="K140" s="51">
        <f t="shared" ca="1" si="50"/>
        <v>46425.416666666657</v>
      </c>
      <c r="L140" s="51">
        <f t="shared" ca="1" si="50"/>
        <v>47002.83333333335</v>
      </c>
      <c r="M140" s="51">
        <f t="shared" ca="1" si="50"/>
        <v>45371.315476027485</v>
      </c>
      <c r="N140" s="51">
        <f t="shared" ca="1" si="50"/>
        <v>45774.760399537663</v>
      </c>
      <c r="O140" s="51">
        <f t="shared" ca="1" si="50"/>
        <v>46311.327881841258</v>
      </c>
      <c r="P140" s="51">
        <f t="shared" ca="1" si="50"/>
        <v>47044.10462146908</v>
      </c>
      <c r="Q140" s="51">
        <f t="shared" ca="1" si="50"/>
        <v>47725.677813869945</v>
      </c>
      <c r="R140" s="59">
        <f t="shared" ca="1" si="50"/>
        <v>48428.093490227366</v>
      </c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85"/>
      <c r="AO140" s="85"/>
      <c r="AP140" s="85"/>
      <c r="AQ140" s="85"/>
      <c r="AR140" s="85"/>
      <c r="AS140" s="85"/>
      <c r="AT140" s="85"/>
      <c r="AU140" s="85"/>
      <c r="AV140" s="85"/>
      <c r="AW140" s="85"/>
      <c r="AX140" s="85"/>
      <c r="AY140" s="85"/>
      <c r="AZ140" s="85"/>
    </row>
    <row r="141" spans="1:52">
      <c r="B141" s="58" t="str">
        <f t="shared" si="44"/>
        <v>Sentinel Light</v>
      </c>
      <c r="C141" s="51">
        <f t="shared" ref="C141:P141" ca="1" si="51">C26+C75</f>
        <v>478</v>
      </c>
      <c r="D141" s="51">
        <f t="shared" ca="1" si="51"/>
        <v>477.45833333333331</v>
      </c>
      <c r="E141" s="51">
        <f t="shared" ca="1" si="51"/>
        <v>476.45833333333331</v>
      </c>
      <c r="F141" s="51">
        <f t="shared" ca="1" si="51"/>
        <v>379.04166666666652</v>
      </c>
      <c r="G141" s="51">
        <f t="shared" ca="1" si="51"/>
        <v>292.125</v>
      </c>
      <c r="H141" s="51">
        <f t="shared" ca="1" si="51"/>
        <v>291.24999999999994</v>
      </c>
      <c r="I141" s="51">
        <f t="shared" ca="1" si="51"/>
        <v>292.37500000000006</v>
      </c>
      <c r="J141" s="51">
        <f t="shared" ca="1" si="51"/>
        <v>288.83333333333326</v>
      </c>
      <c r="K141" s="51">
        <f t="shared" ca="1" si="51"/>
        <v>283.75000000000006</v>
      </c>
      <c r="L141" s="51">
        <f t="shared" ca="1" si="51"/>
        <v>275.58333333333331</v>
      </c>
      <c r="M141" s="51">
        <f t="shared" ca="1" si="51"/>
        <v>265.61037880257982</v>
      </c>
      <c r="N141" s="51">
        <f t="shared" ca="1" si="51"/>
        <v>260.6350671809364</v>
      </c>
      <c r="O141" s="51">
        <f t="shared" ca="1" si="51"/>
        <v>255.28816674176974</v>
      </c>
      <c r="P141" s="51">
        <f t="shared" ca="1" si="51"/>
        <v>250.56798032369252</v>
      </c>
      <c r="Q141" s="51">
        <f t="shared" ca="1" si="50"/>
        <v>246.38951063704306</v>
      </c>
      <c r="R141" s="59">
        <f t="shared" ca="1" si="50"/>
        <v>247.70945961422669</v>
      </c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  <c r="AF141" s="85"/>
      <c r="AG141" s="85"/>
      <c r="AH141" s="85"/>
      <c r="AI141" s="85"/>
      <c r="AJ141" s="85"/>
      <c r="AK141" s="85"/>
      <c r="AL141" s="85"/>
      <c r="AM141" s="85"/>
      <c r="AN141" s="85"/>
      <c r="AO141" s="85"/>
      <c r="AP141" s="85"/>
      <c r="AQ141" s="85"/>
      <c r="AR141" s="85"/>
      <c r="AS141" s="85"/>
      <c r="AT141" s="85"/>
      <c r="AU141" s="85"/>
      <c r="AV141" s="85"/>
      <c r="AW141" s="85"/>
      <c r="AX141" s="85"/>
      <c r="AY141" s="85"/>
      <c r="AZ141" s="85"/>
    </row>
    <row r="142" spans="1:52">
      <c r="B142" s="58" t="str">
        <f t="shared" si="44"/>
        <v>USL</v>
      </c>
      <c r="C142" s="51">
        <f t="shared" ca="1" si="50"/>
        <v>1209.6250000000005</v>
      </c>
      <c r="D142" s="51">
        <f t="shared" ca="1" si="50"/>
        <v>1196.208333333333</v>
      </c>
      <c r="E142" s="51">
        <f t="shared" ca="1" si="50"/>
        <v>1194.625</v>
      </c>
      <c r="F142" s="51">
        <f t="shared" ca="1" si="50"/>
        <v>1193.291666666667</v>
      </c>
      <c r="G142" s="51">
        <f t="shared" ca="1" si="50"/>
        <v>1190.9999999999995</v>
      </c>
      <c r="H142" s="51">
        <f t="shared" ca="1" si="50"/>
        <v>1193.1666666666665</v>
      </c>
      <c r="I142" s="51">
        <f t="shared" ca="1" si="50"/>
        <v>1193.9166666666665</v>
      </c>
      <c r="J142" s="51">
        <f t="shared" ca="1" si="50"/>
        <v>1198.416666666667</v>
      </c>
      <c r="K142" s="51">
        <f t="shared" ca="1" si="50"/>
        <v>1166.166666666667</v>
      </c>
      <c r="L142" s="51">
        <f t="shared" ca="1" si="50"/>
        <v>1165.3333333333335</v>
      </c>
      <c r="M142" s="51">
        <f t="shared" ca="1" si="50"/>
        <v>1167.5048861574255</v>
      </c>
      <c r="N142" s="51">
        <f t="shared" ca="1" si="50"/>
        <v>1159.1330055461026</v>
      </c>
      <c r="O142" s="51">
        <f t="shared" ca="1" si="50"/>
        <v>1158.6444892513268</v>
      </c>
      <c r="P142" s="51">
        <f t="shared" ca="1" si="50"/>
        <v>1159.3385596919243</v>
      </c>
      <c r="Q142" s="51">
        <f t="shared" ca="1" si="50"/>
        <v>1157.6313914036609</v>
      </c>
      <c r="R142" s="59">
        <f t="shared" ca="1" si="50"/>
        <v>1153.4391631280087</v>
      </c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  <c r="AF142" s="85"/>
      <c r="AG142" s="85"/>
      <c r="AH142" s="85"/>
      <c r="AI142" s="85"/>
      <c r="AJ142" s="85"/>
      <c r="AK142" s="85"/>
      <c r="AL142" s="85"/>
      <c r="AM142" s="85"/>
      <c r="AN142" s="85"/>
      <c r="AO142" s="85"/>
      <c r="AP142" s="85"/>
      <c r="AQ142" s="85"/>
      <c r="AR142" s="85"/>
      <c r="AS142" s="85"/>
      <c r="AT142" s="85"/>
      <c r="AU142" s="85"/>
      <c r="AV142" s="85"/>
      <c r="AW142" s="85"/>
      <c r="AX142" s="85"/>
      <c r="AY142" s="85"/>
      <c r="AZ142" s="85"/>
    </row>
    <row r="143" spans="1:52" ht="15" thickBot="1">
      <c r="B143" s="57" t="s">
        <v>23</v>
      </c>
      <c r="C143" s="640">
        <f t="shared" ref="C143:R143" ca="1" si="52">SUM(C134:C142)</f>
        <v>204630.41666666669</v>
      </c>
      <c r="D143" s="640">
        <f t="shared" ca="1" si="52"/>
        <v>206361.25</v>
      </c>
      <c r="E143" s="640">
        <f t="shared" ca="1" si="52"/>
        <v>208539.91666666666</v>
      </c>
      <c r="F143" s="640">
        <f t="shared" ca="1" si="52"/>
        <v>211438</v>
      </c>
      <c r="G143" s="640">
        <f t="shared" ca="1" si="52"/>
        <v>214253.33333333331</v>
      </c>
      <c r="H143" s="640">
        <f t="shared" ca="1" si="52"/>
        <v>216800.33333333328</v>
      </c>
      <c r="I143" s="640">
        <f t="shared" ca="1" si="52"/>
        <v>219590.62500000003</v>
      </c>
      <c r="J143" s="640">
        <f t="shared" ca="1" si="52"/>
        <v>222720.41666666663</v>
      </c>
      <c r="K143" s="640">
        <f t="shared" ca="1" si="52"/>
        <v>225841.83333333331</v>
      </c>
      <c r="L143" s="640">
        <f t="shared" ca="1" si="52"/>
        <v>228251.04166666674</v>
      </c>
      <c r="M143" s="640">
        <f t="shared" ca="1" si="52"/>
        <v>228989.93554163104</v>
      </c>
      <c r="N143" s="640">
        <f t="shared" ca="1" si="52"/>
        <v>231904.97477710719</v>
      </c>
      <c r="O143" s="640">
        <f t="shared" ca="1" si="52"/>
        <v>235122.22927451666</v>
      </c>
      <c r="P143" s="640">
        <f t="shared" ca="1" si="52"/>
        <v>238698.26354637518</v>
      </c>
      <c r="Q143" s="640">
        <f ca="1">SUM(Q134:Q142)</f>
        <v>242327.85317847232</v>
      </c>
      <c r="R143" s="56">
        <f t="shared" ca="1" si="52"/>
        <v>245803.6665371962</v>
      </c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85"/>
      <c r="AO143" s="85"/>
      <c r="AP143" s="85"/>
      <c r="AQ143" s="85"/>
      <c r="AR143" s="85"/>
      <c r="AS143" s="85"/>
      <c r="AT143" s="85"/>
      <c r="AU143" s="85"/>
      <c r="AV143" s="85"/>
      <c r="AW143" s="85"/>
      <c r="AX143" s="85"/>
      <c r="AY143" s="85"/>
      <c r="AZ143" s="85"/>
    </row>
    <row r="144" spans="1:52" ht="15" thickBot="1">
      <c r="B144" s="57" t="s">
        <v>24</v>
      </c>
      <c r="C144" s="640">
        <f t="shared" ref="C144:R144" ca="1" si="53">SUM(C134:C139)</f>
        <v>161054.66666666669</v>
      </c>
      <c r="D144" s="640">
        <f t="shared" ca="1" si="53"/>
        <v>162384.83333333331</v>
      </c>
      <c r="E144" s="640">
        <f t="shared" ca="1" si="53"/>
        <v>163917.54166666666</v>
      </c>
      <c r="F144" s="640">
        <f t="shared" ca="1" si="53"/>
        <v>166314.20833333337</v>
      </c>
      <c r="G144" s="640">
        <f t="shared" ca="1" si="53"/>
        <v>168647.5</v>
      </c>
      <c r="H144" s="640">
        <f t="shared" ca="1" si="53"/>
        <v>170612.95833333331</v>
      </c>
      <c r="I144" s="640">
        <f t="shared" ca="1" si="53"/>
        <v>172966.37500000006</v>
      </c>
      <c r="J144" s="640">
        <f t="shared" ca="1" si="53"/>
        <v>175546.16666666666</v>
      </c>
      <c r="K144" s="640">
        <f t="shared" ca="1" si="53"/>
        <v>177966.5</v>
      </c>
      <c r="L144" s="640">
        <f t="shared" ca="1" si="53"/>
        <v>179807.29166666672</v>
      </c>
      <c r="M144" s="640">
        <f t="shared" ca="1" si="53"/>
        <v>182185.50480064354</v>
      </c>
      <c r="N144" s="640">
        <f t="shared" ca="1" si="53"/>
        <v>184710.44630484248</v>
      </c>
      <c r="O144" s="640">
        <f t="shared" ca="1" si="53"/>
        <v>187396.96873668229</v>
      </c>
      <c r="P144" s="640">
        <f ca="1">SUM(P134:P139)</f>
        <v>190244.25238489051</v>
      </c>
      <c r="Q144" s="640">
        <f ca="1">SUM(Q134:Q139)</f>
        <v>193198.15446256168</v>
      </c>
      <c r="R144" s="56">
        <f t="shared" ca="1" si="53"/>
        <v>195974.42442422663</v>
      </c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  <c r="AF144" s="85"/>
      <c r="AG144" s="85"/>
      <c r="AH144" s="85"/>
      <c r="AI144" s="85"/>
      <c r="AJ144" s="85"/>
      <c r="AK144" s="85"/>
      <c r="AL144" s="85"/>
      <c r="AM144" s="85"/>
      <c r="AN144" s="85"/>
      <c r="AO144" s="85"/>
      <c r="AP144" s="85"/>
      <c r="AQ144" s="85"/>
      <c r="AR144" s="85"/>
      <c r="AS144" s="85"/>
      <c r="AT144" s="85"/>
      <c r="AU144" s="85"/>
      <c r="AV144" s="85"/>
      <c r="AW144" s="85"/>
      <c r="AX144" s="85"/>
      <c r="AY144" s="85"/>
      <c r="AZ144" s="85"/>
    </row>
    <row r="145" spans="1:52">
      <c r="B145" s="260" t="str">
        <f>B134</f>
        <v>Residential</v>
      </c>
      <c r="C145" s="476">
        <f t="shared" ref="C145:J145" si="54">C29+C78</f>
        <v>147488</v>
      </c>
      <c r="D145" s="476">
        <f t="shared" si="54"/>
        <v>148648</v>
      </c>
      <c r="E145" s="476">
        <f t="shared" si="54"/>
        <v>150344</v>
      </c>
      <c r="F145" s="476">
        <f t="shared" si="54"/>
        <v>153150</v>
      </c>
      <c r="G145" s="476">
        <f t="shared" si="54"/>
        <v>154902</v>
      </c>
      <c r="H145" s="476">
        <f t="shared" si="54"/>
        <v>156850</v>
      </c>
      <c r="I145" s="476">
        <f t="shared" si="54"/>
        <v>159295</v>
      </c>
      <c r="J145" s="476">
        <f t="shared" si="54"/>
        <v>161768</v>
      </c>
      <c r="K145" s="476">
        <f t="shared" ref="K145:R145" si="55">K29+K78</f>
        <v>164000</v>
      </c>
      <c r="L145" s="476">
        <f t="shared" si="55"/>
        <v>165436</v>
      </c>
      <c r="M145" s="476">
        <f t="shared" ca="1" si="55"/>
        <v>168096.05380399633</v>
      </c>
      <c r="N145" s="476">
        <f t="shared" ca="1" si="55"/>
        <v>170573.66540245159</v>
      </c>
      <c r="O145" s="476">
        <f t="shared" ca="1" si="55"/>
        <v>173231.93096402538</v>
      </c>
      <c r="P145" s="476">
        <f t="shared" ca="1" si="55"/>
        <v>176051.40252985497</v>
      </c>
      <c r="Q145" s="476">
        <f t="shared" ca="1" si="55"/>
        <v>178951.00773222148</v>
      </c>
      <c r="R145" s="476">
        <f t="shared" ca="1" si="55"/>
        <v>181538.95268792671</v>
      </c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  <c r="AF145" s="85"/>
      <c r="AG145" s="85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  <c r="AU145" s="85"/>
      <c r="AV145" s="85"/>
      <c r="AW145" s="85"/>
      <c r="AX145" s="85"/>
      <c r="AY145" s="85"/>
      <c r="AZ145" s="85"/>
    </row>
    <row r="146" spans="1:52">
      <c r="B146" s="58" t="str">
        <f t="shared" ref="B146:B153" si="56">B135</f>
        <v>Residential Seasonal</v>
      </c>
      <c r="C146" s="51">
        <f t="shared" ref="C146:J146" si="57">C30</f>
        <v>1583</v>
      </c>
      <c r="D146" s="51">
        <f t="shared" si="57"/>
        <v>1572</v>
      </c>
      <c r="E146" s="51">
        <f t="shared" si="57"/>
        <v>1570</v>
      </c>
      <c r="F146" s="51">
        <f t="shared" si="57"/>
        <v>1561</v>
      </c>
      <c r="G146" s="51">
        <f t="shared" si="57"/>
        <v>1561</v>
      </c>
      <c r="H146" s="51">
        <f t="shared" si="57"/>
        <v>1557</v>
      </c>
      <c r="I146" s="51">
        <f t="shared" si="57"/>
        <v>1561</v>
      </c>
      <c r="J146" s="51">
        <f t="shared" si="57"/>
        <v>1564</v>
      </c>
      <c r="K146" s="51">
        <f t="shared" ref="K146:R146" si="58">K30</f>
        <v>1560</v>
      </c>
      <c r="L146" s="51">
        <f t="shared" si="58"/>
        <v>1548</v>
      </c>
      <c r="M146" s="51">
        <f t="shared" si="58"/>
        <v>1548.3393231419454</v>
      </c>
      <c r="N146" s="51">
        <f t="shared" si="58"/>
        <v>1544.8084910015937</v>
      </c>
      <c r="O146" s="51">
        <f t="shared" si="58"/>
        <v>1541.2857105689118</v>
      </c>
      <c r="P146" s="51">
        <f t="shared" si="58"/>
        <v>1537.7709634827897</v>
      </c>
      <c r="Q146" s="51">
        <f t="shared" si="58"/>
        <v>1534.2642314239886</v>
      </c>
      <c r="R146" s="51">
        <f t="shared" si="58"/>
        <v>1530.7654961150442</v>
      </c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  <c r="AF146" s="85"/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S146" s="85"/>
      <c r="AT146" s="85"/>
      <c r="AU146" s="85"/>
      <c r="AV146" s="85"/>
      <c r="AW146" s="85"/>
      <c r="AX146" s="85"/>
      <c r="AY146" s="85"/>
      <c r="AZ146" s="85"/>
    </row>
    <row r="147" spans="1:52">
      <c r="A147" s="237" t="s">
        <v>872</v>
      </c>
      <c r="B147" s="58" t="str">
        <f t="shared" si="56"/>
        <v>GS&lt;50</v>
      </c>
      <c r="C147" s="51">
        <f t="shared" ref="C147:J147" si="59">C31+C79</f>
        <v>11211</v>
      </c>
      <c r="D147" s="51">
        <f t="shared" si="59"/>
        <v>11274</v>
      </c>
      <c r="E147" s="51">
        <f t="shared" si="59"/>
        <v>11389</v>
      </c>
      <c r="F147" s="51">
        <f t="shared" si="59"/>
        <v>11535</v>
      </c>
      <c r="G147" s="51">
        <f t="shared" si="59"/>
        <v>11585</v>
      </c>
      <c r="H147" s="51">
        <f t="shared" si="59"/>
        <v>11689</v>
      </c>
      <c r="I147" s="51">
        <f t="shared" si="59"/>
        <v>11888</v>
      </c>
      <c r="J147" s="51">
        <f t="shared" si="59"/>
        <v>11952</v>
      </c>
      <c r="K147" s="51">
        <f t="shared" ref="K147:R147" si="60">K31+K79</f>
        <v>11979</v>
      </c>
      <c r="L147" s="51">
        <f t="shared" si="60"/>
        <v>11978</v>
      </c>
      <c r="M147" s="51">
        <f t="shared" si="60"/>
        <v>12118.077461366693</v>
      </c>
      <c r="N147" s="51">
        <f t="shared" si="60"/>
        <v>12214.908318687441</v>
      </c>
      <c r="O147" s="51">
        <f t="shared" si="60"/>
        <v>12312.593401779668</v>
      </c>
      <c r="P147" s="51">
        <f t="shared" si="60"/>
        <v>12411.14112125702</v>
      </c>
      <c r="Q147" s="51">
        <f t="shared" si="60"/>
        <v>12510.559979154739</v>
      </c>
      <c r="R147" s="51">
        <f t="shared" si="60"/>
        <v>12610.858569999327</v>
      </c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  <c r="AF147" s="85"/>
      <c r="AG147" s="85"/>
      <c r="AH147" s="85"/>
      <c r="AI147" s="85"/>
      <c r="AJ147" s="85"/>
      <c r="AK147" s="85"/>
      <c r="AL147" s="85"/>
      <c r="AM147" s="85"/>
      <c r="AN147" s="85"/>
      <c r="AO147" s="85"/>
      <c r="AP147" s="85"/>
      <c r="AQ147" s="85"/>
      <c r="AR147" s="85"/>
      <c r="AS147" s="85"/>
      <c r="AT147" s="85"/>
      <c r="AU147" s="85"/>
      <c r="AV147" s="85"/>
      <c r="AW147" s="85"/>
      <c r="AX147" s="85"/>
      <c r="AY147" s="85"/>
      <c r="AZ147" s="85"/>
    </row>
    <row r="148" spans="1:52">
      <c r="B148" s="58" t="str">
        <f t="shared" si="56"/>
        <v>GS 50 - 2,999</v>
      </c>
      <c r="C148" s="51">
        <f t="shared" ref="C148:I149" si="61">C32+C80</f>
        <v>1419</v>
      </c>
      <c r="D148" s="51">
        <f t="shared" si="61"/>
        <v>1451</v>
      </c>
      <c r="E148" s="51">
        <f t="shared" si="61"/>
        <v>1418</v>
      </c>
      <c r="F148" s="51">
        <f t="shared" si="61"/>
        <v>1396</v>
      </c>
      <c r="G148" s="51">
        <f t="shared" si="61"/>
        <v>1429</v>
      </c>
      <c r="H148" s="51">
        <f t="shared" si="61"/>
        <v>1455</v>
      </c>
      <c r="I148" s="51">
        <f t="shared" si="61"/>
        <v>1397</v>
      </c>
      <c r="J148" s="51">
        <f t="shared" ref="J148:R148" si="62">J32+J80</f>
        <v>1428</v>
      </c>
      <c r="K148" s="51">
        <f t="shared" si="62"/>
        <v>1465</v>
      </c>
      <c r="L148" s="51">
        <f t="shared" si="62"/>
        <v>1501</v>
      </c>
      <c r="M148" s="51">
        <f t="shared" si="62"/>
        <v>1508.6966375157408</v>
      </c>
      <c r="N148" s="51">
        <f t="shared" si="62"/>
        <v>1522.2527566617828</v>
      </c>
      <c r="O148" s="51">
        <f t="shared" si="62"/>
        <v>1531.8256199828022</v>
      </c>
      <c r="P148" s="51">
        <f t="shared" si="62"/>
        <v>1540.2655229625168</v>
      </c>
      <c r="Q148" s="51">
        <f t="shared" si="62"/>
        <v>1548.6977634153759</v>
      </c>
      <c r="R148" s="51">
        <f t="shared" si="62"/>
        <v>1557.0226415058974</v>
      </c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  <c r="AF148" s="85"/>
      <c r="AG148" s="85"/>
      <c r="AH148" s="85"/>
      <c r="AI148" s="85"/>
      <c r="AJ148" s="85"/>
      <c r="AK148" s="85"/>
      <c r="AL148" s="85"/>
      <c r="AM148" s="85"/>
      <c r="AN148" s="85"/>
      <c r="AO148" s="85"/>
      <c r="AP148" s="85"/>
      <c r="AQ148" s="85"/>
      <c r="AR148" s="85"/>
      <c r="AS148" s="85"/>
      <c r="AT148" s="85"/>
      <c r="AU148" s="85"/>
      <c r="AV148" s="85"/>
      <c r="AW148" s="85"/>
      <c r="AX148" s="85"/>
      <c r="AY148" s="85"/>
      <c r="AZ148" s="85"/>
    </row>
    <row r="149" spans="1:52">
      <c r="B149" s="58" t="str">
        <f t="shared" si="56"/>
        <v>GS 3,000 - 4,999</v>
      </c>
      <c r="C149" s="51">
        <f t="shared" si="61"/>
        <v>7</v>
      </c>
      <c r="D149" s="51">
        <f t="shared" si="61"/>
        <v>7</v>
      </c>
      <c r="E149" s="51">
        <f t="shared" si="61"/>
        <v>7</v>
      </c>
      <c r="F149" s="51">
        <f t="shared" si="61"/>
        <v>7</v>
      </c>
      <c r="G149" s="51">
        <f t="shared" si="61"/>
        <v>8</v>
      </c>
      <c r="H149" s="51">
        <f t="shared" si="61"/>
        <v>9</v>
      </c>
      <c r="I149" s="51">
        <f t="shared" si="61"/>
        <v>8</v>
      </c>
      <c r="J149" s="51">
        <f t="shared" ref="J149:R149" si="63">J33+J81</f>
        <v>8</v>
      </c>
      <c r="K149" s="51">
        <f t="shared" si="63"/>
        <v>8</v>
      </c>
      <c r="L149" s="51">
        <f t="shared" si="63"/>
        <v>8</v>
      </c>
      <c r="M149" s="51">
        <f t="shared" si="63"/>
        <v>12.625</v>
      </c>
      <c r="N149" s="51">
        <f t="shared" si="63"/>
        <v>14.475000000000001</v>
      </c>
      <c r="O149" s="51">
        <f t="shared" si="63"/>
        <v>15.199999999999998</v>
      </c>
      <c r="P149" s="51">
        <f t="shared" si="63"/>
        <v>15.300000000000002</v>
      </c>
      <c r="Q149" s="51">
        <f t="shared" si="63"/>
        <v>15.300000000000002</v>
      </c>
      <c r="R149" s="51">
        <f t="shared" si="63"/>
        <v>15.300000000000002</v>
      </c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  <c r="AE149" s="85"/>
      <c r="AF149" s="85"/>
      <c r="AG149" s="85"/>
      <c r="AH149" s="85"/>
      <c r="AI149" s="85"/>
      <c r="AJ149" s="85"/>
      <c r="AK149" s="85"/>
      <c r="AL149" s="85"/>
      <c r="AM149" s="85"/>
      <c r="AN149" s="85"/>
      <c r="AO149" s="85"/>
      <c r="AP149" s="85"/>
      <c r="AQ149" s="85"/>
      <c r="AR149" s="85"/>
      <c r="AS149" s="85"/>
      <c r="AT149" s="85"/>
      <c r="AU149" s="85"/>
      <c r="AV149" s="85"/>
      <c r="AW149" s="85"/>
      <c r="AX149" s="85"/>
      <c r="AY149" s="85"/>
      <c r="AZ149" s="85"/>
    </row>
    <row r="150" spans="1:52">
      <c r="B150" s="58" t="str">
        <f t="shared" si="56"/>
        <v>Large Use</v>
      </c>
      <c r="C150" s="51">
        <f t="shared" ref="C150:J150" si="64">C34</f>
        <v>3</v>
      </c>
      <c r="D150" s="51">
        <f t="shared" si="64"/>
        <v>3</v>
      </c>
      <c r="E150" s="51">
        <f t="shared" si="64"/>
        <v>4</v>
      </c>
      <c r="F150" s="51">
        <f t="shared" si="64"/>
        <v>4</v>
      </c>
      <c r="G150" s="51">
        <f t="shared" si="64"/>
        <v>4</v>
      </c>
      <c r="H150" s="51">
        <f t="shared" si="64"/>
        <v>4</v>
      </c>
      <c r="I150" s="51">
        <f t="shared" si="64"/>
        <v>4</v>
      </c>
      <c r="J150" s="51">
        <f t="shared" si="64"/>
        <v>5</v>
      </c>
      <c r="K150" s="51">
        <f t="shared" ref="K150:R150" si="65">K34</f>
        <v>5</v>
      </c>
      <c r="L150" s="51">
        <f t="shared" si="65"/>
        <v>5</v>
      </c>
      <c r="M150" s="51">
        <f t="shared" si="65"/>
        <v>5.375</v>
      </c>
      <c r="N150" s="51">
        <f t="shared" si="65"/>
        <v>5.875</v>
      </c>
      <c r="O150" s="51">
        <f t="shared" si="65"/>
        <v>5.9999999999999991</v>
      </c>
      <c r="P150" s="51">
        <f t="shared" si="65"/>
        <v>5.9999999999999991</v>
      </c>
      <c r="Q150" s="51">
        <f t="shared" si="65"/>
        <v>5.9999999999999991</v>
      </c>
      <c r="R150" s="51">
        <f t="shared" si="65"/>
        <v>5.9999999999999991</v>
      </c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85"/>
      <c r="AO150" s="85"/>
      <c r="AP150" s="85"/>
      <c r="AQ150" s="85"/>
      <c r="AR150" s="85"/>
      <c r="AS150" s="85"/>
      <c r="AT150" s="85"/>
      <c r="AU150" s="85"/>
      <c r="AV150" s="85"/>
      <c r="AW150" s="85"/>
      <c r="AX150" s="85"/>
      <c r="AY150" s="85"/>
      <c r="AZ150" s="85"/>
    </row>
    <row r="151" spans="1:52">
      <c r="B151" s="58" t="str">
        <f t="shared" si="56"/>
        <v>Street Light</v>
      </c>
      <c r="C151" s="51">
        <f t="shared" ref="C151:J151" si="66">C35+C82</f>
        <v>41994</v>
      </c>
      <c r="D151" s="51">
        <f t="shared" si="66"/>
        <v>42564</v>
      </c>
      <c r="E151" s="51">
        <f t="shared" si="66"/>
        <v>43279</v>
      </c>
      <c r="F151" s="51">
        <f t="shared" si="66"/>
        <v>43782</v>
      </c>
      <c r="G151" s="51">
        <f t="shared" si="66"/>
        <v>44411</v>
      </c>
      <c r="H151" s="51">
        <f t="shared" si="66"/>
        <v>44950</v>
      </c>
      <c r="I151" s="51">
        <f t="shared" si="66"/>
        <v>45297</v>
      </c>
      <c r="J151" s="51">
        <f t="shared" si="66"/>
        <v>46017</v>
      </c>
      <c r="K151" s="51">
        <f t="shared" ref="K151:R151" si="67">K35+K82</f>
        <v>46771</v>
      </c>
      <c r="L151" s="51">
        <f t="shared" si="67"/>
        <v>47199</v>
      </c>
      <c r="M151" s="51">
        <f t="shared" si="67"/>
        <v>47891.008837290152</v>
      </c>
      <c r="N151" s="51">
        <f t="shared" si="67"/>
        <v>48510.573468078022</v>
      </c>
      <c r="O151" s="51">
        <f t="shared" si="67"/>
        <v>49138.564176321415</v>
      </c>
      <c r="P151" s="51">
        <f t="shared" si="67"/>
        <v>49775.101669639123</v>
      </c>
      <c r="Q151" s="51">
        <f t="shared" si="67"/>
        <v>50420.308471378157</v>
      </c>
      <c r="R151" s="51">
        <f t="shared" si="67"/>
        <v>51074.308949089311</v>
      </c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85"/>
      <c r="AO151" s="85"/>
      <c r="AP151" s="85"/>
      <c r="AQ151" s="85"/>
      <c r="AR151" s="85"/>
      <c r="AS151" s="85"/>
      <c r="AT151" s="85"/>
      <c r="AU151" s="85"/>
      <c r="AV151" s="85"/>
      <c r="AW151" s="85"/>
      <c r="AX151" s="85"/>
      <c r="AY151" s="85"/>
      <c r="AZ151" s="85"/>
    </row>
    <row r="152" spans="1:52">
      <c r="B152" s="58" t="str">
        <f t="shared" si="56"/>
        <v>Sentinel Light</v>
      </c>
      <c r="C152" s="51">
        <f t="shared" ref="C152:I153" si="68">C36+C83</f>
        <v>478</v>
      </c>
      <c r="D152" s="51">
        <f t="shared" si="68"/>
        <v>477</v>
      </c>
      <c r="E152" s="51">
        <f t="shared" si="68"/>
        <v>476</v>
      </c>
      <c r="F152" s="51">
        <f t="shared" si="68"/>
        <v>297</v>
      </c>
      <c r="G152" s="51">
        <f t="shared" si="68"/>
        <v>288</v>
      </c>
      <c r="H152" s="51">
        <f t="shared" si="68"/>
        <v>294</v>
      </c>
      <c r="I152" s="51">
        <f t="shared" si="68"/>
        <v>291</v>
      </c>
      <c r="J152" s="51">
        <f t="shared" ref="J152:R152" si="69">J36+J83</f>
        <v>287</v>
      </c>
      <c r="K152" s="51">
        <f t="shared" si="69"/>
        <v>281</v>
      </c>
      <c r="L152" s="51">
        <f t="shared" si="69"/>
        <v>271</v>
      </c>
      <c r="M152" s="51">
        <f t="shared" si="69"/>
        <v>269.97530459908796</v>
      </c>
      <c r="N152" s="51">
        <f t="shared" si="69"/>
        <v>266.24747794864254</v>
      </c>
      <c r="O152" s="51">
        <f t="shared" si="69"/>
        <v>262.61537332245695</v>
      </c>
      <c r="P152" s="51">
        <f t="shared" si="69"/>
        <v>259.07745199134968</v>
      </c>
      <c r="Q152" s="51">
        <f t="shared" si="69"/>
        <v>255.63221022936378</v>
      </c>
      <c r="R152" s="51">
        <f t="shared" si="69"/>
        <v>252.27817870073474</v>
      </c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  <c r="AY152" s="85"/>
      <c r="AZ152" s="85"/>
    </row>
    <row r="153" spans="1:52">
      <c r="B153" s="58" t="str">
        <f t="shared" si="56"/>
        <v>USL</v>
      </c>
      <c r="C153" s="51">
        <f t="shared" si="68"/>
        <v>1200</v>
      </c>
      <c r="D153" s="51">
        <f t="shared" si="68"/>
        <v>1193</v>
      </c>
      <c r="E153" s="51">
        <f t="shared" si="68"/>
        <v>1196</v>
      </c>
      <c r="F153" s="51">
        <f t="shared" si="68"/>
        <v>1191</v>
      </c>
      <c r="G153" s="51">
        <f t="shared" si="68"/>
        <v>1191</v>
      </c>
      <c r="H153" s="51">
        <f t="shared" si="68"/>
        <v>1195</v>
      </c>
      <c r="I153" s="51">
        <f t="shared" si="68"/>
        <v>1193</v>
      </c>
      <c r="J153" s="51">
        <f t="shared" ref="J153:R153" si="70">J37+J84</f>
        <v>1203</v>
      </c>
      <c r="K153" s="51">
        <f t="shared" si="70"/>
        <v>1135</v>
      </c>
      <c r="L153" s="51">
        <f t="shared" si="70"/>
        <v>1191</v>
      </c>
      <c r="M153" s="51">
        <f t="shared" si="70"/>
        <v>1185.3272027440514</v>
      </c>
      <c r="N153" s="51">
        <f t="shared" si="70"/>
        <v>1180.6291240719195</v>
      </c>
      <c r="O153" s="51">
        <f t="shared" si="70"/>
        <v>1175.991713326538</v>
      </c>
      <c r="P153" s="51">
        <f t="shared" si="70"/>
        <v>1171.4225534419309</v>
      </c>
      <c r="Q153" s="51">
        <f t="shared" si="70"/>
        <v>1166.9212113878439</v>
      </c>
      <c r="R153" s="51">
        <f t="shared" si="70"/>
        <v>1162.4872586232891</v>
      </c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  <c r="AU153" s="85"/>
      <c r="AV153" s="85"/>
      <c r="AW153" s="85"/>
      <c r="AX153" s="85"/>
      <c r="AY153" s="85"/>
      <c r="AZ153" s="85"/>
    </row>
    <row r="154" spans="1:52" ht="15" thickBot="1">
      <c r="B154" s="57" t="s">
        <v>23</v>
      </c>
      <c r="C154" s="640">
        <f>SUM(C145:C153)</f>
        <v>205383</v>
      </c>
      <c r="D154" s="640">
        <f t="shared" ref="D154:P154" si="71">SUM(D145:D153)</f>
        <v>207189</v>
      </c>
      <c r="E154" s="640">
        <f t="shared" si="71"/>
        <v>209683</v>
      </c>
      <c r="F154" s="640">
        <f t="shared" si="71"/>
        <v>212923</v>
      </c>
      <c r="G154" s="640">
        <f t="shared" si="71"/>
        <v>215379</v>
      </c>
      <c r="H154" s="640">
        <f t="shared" si="71"/>
        <v>218003</v>
      </c>
      <c r="I154" s="640">
        <f t="shared" si="71"/>
        <v>220934</v>
      </c>
      <c r="J154" s="640">
        <f t="shared" si="71"/>
        <v>224232</v>
      </c>
      <c r="K154" s="640">
        <f t="shared" si="71"/>
        <v>227204</v>
      </c>
      <c r="L154" s="640">
        <f t="shared" si="71"/>
        <v>229137</v>
      </c>
      <c r="M154" s="640">
        <f t="shared" ca="1" si="71"/>
        <v>232635.47857065397</v>
      </c>
      <c r="N154" s="640">
        <f t="shared" ca="1" si="71"/>
        <v>235833.43503890099</v>
      </c>
      <c r="O154" s="640">
        <f t="shared" ca="1" si="71"/>
        <v>239216.00695932718</v>
      </c>
      <c r="P154" s="640">
        <f t="shared" ca="1" si="71"/>
        <v>242767.48181262967</v>
      </c>
      <c r="Q154" s="640">
        <f ca="1">SUM(Q145:Q153)</f>
        <v>246408.69159921093</v>
      </c>
      <c r="R154" s="56">
        <f t="shared" ref="R154" ca="1" si="72">SUM(R145:R153)</f>
        <v>249747.97378196032</v>
      </c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85"/>
      <c r="AO154" s="85"/>
      <c r="AP154" s="85"/>
      <c r="AQ154" s="85"/>
      <c r="AR154" s="85"/>
      <c r="AS154" s="85"/>
      <c r="AT154" s="85"/>
      <c r="AU154" s="85"/>
      <c r="AV154" s="85"/>
      <c r="AW154" s="85"/>
      <c r="AX154" s="85"/>
      <c r="AY154" s="85"/>
      <c r="AZ154" s="85"/>
    </row>
    <row r="155" spans="1:52" ht="15" thickBot="1">
      <c r="B155" s="57" t="s">
        <v>24</v>
      </c>
      <c r="C155" s="640">
        <f>SUM(C145:C150)</f>
        <v>161711</v>
      </c>
      <c r="D155" s="640">
        <f t="shared" ref="D155:P155" si="73">SUM(D145:D150)</f>
        <v>162955</v>
      </c>
      <c r="E155" s="640">
        <f t="shared" si="73"/>
        <v>164732</v>
      </c>
      <c r="F155" s="640">
        <f t="shared" si="73"/>
        <v>167653</v>
      </c>
      <c r="G155" s="640">
        <f t="shared" si="73"/>
        <v>169489</v>
      </c>
      <c r="H155" s="640">
        <f t="shared" si="73"/>
        <v>171564</v>
      </c>
      <c r="I155" s="640">
        <f t="shared" si="73"/>
        <v>174153</v>
      </c>
      <c r="J155" s="640">
        <f t="shared" si="73"/>
        <v>176725</v>
      </c>
      <c r="K155" s="640">
        <f>SUM(K145:K150)</f>
        <v>179017</v>
      </c>
      <c r="L155" s="640">
        <f t="shared" si="73"/>
        <v>180476</v>
      </c>
      <c r="M155" s="640">
        <f t="shared" ca="1" si="73"/>
        <v>183289.16722602068</v>
      </c>
      <c r="N155" s="640">
        <f t="shared" ca="1" si="73"/>
        <v>185875.98496880243</v>
      </c>
      <c r="O155" s="640">
        <f t="shared" ca="1" si="73"/>
        <v>188638.83569635678</v>
      </c>
      <c r="P155" s="640">
        <f t="shared" ca="1" si="73"/>
        <v>191561.88013755728</v>
      </c>
      <c r="Q155" s="640">
        <f ca="1">SUM(Q145:Q150)</f>
        <v>194565.82970621556</v>
      </c>
      <c r="R155" s="56">
        <f t="shared" ref="R155" ca="1" si="74">SUM(R145:R150)</f>
        <v>197258.89939554696</v>
      </c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85"/>
      <c r="AZ155" s="85"/>
    </row>
    <row r="156" spans="1:52">
      <c r="B156" s="237"/>
      <c r="C156" s="237"/>
      <c r="D156" s="237"/>
      <c r="E156" s="237"/>
      <c r="F156" s="237"/>
      <c r="G156" s="237"/>
      <c r="H156" s="237"/>
      <c r="I156" s="237"/>
      <c r="J156" s="237"/>
      <c r="K156" s="600">
        <f>K155/G155-1</f>
        <v>5.6216037618960435E-2</v>
      </c>
      <c r="L156" s="600">
        <f>(1+K156)^(1/4)-1</f>
        <v>1.3767091880084514E-2</v>
      </c>
      <c r="M156" s="237"/>
      <c r="N156" s="237"/>
      <c r="O156" s="237"/>
      <c r="P156" s="600">
        <f ca="1">P155/L155-1</f>
        <v>6.1425785908138852E-2</v>
      </c>
      <c r="Q156" s="600">
        <f ca="1">(1+P156)^(1/4)-1</f>
        <v>1.501487883755348E-2</v>
      </c>
      <c r="R156" s="237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5"/>
      <c r="AJ156" s="85"/>
      <c r="AK156" s="85"/>
      <c r="AL156" s="85"/>
      <c r="AM156" s="85"/>
      <c r="AN156" s="85"/>
      <c r="AO156" s="85"/>
      <c r="AP156" s="85"/>
      <c r="AQ156" s="85"/>
      <c r="AR156" s="85"/>
      <c r="AS156" s="85"/>
      <c r="AT156" s="85"/>
      <c r="AU156" s="85"/>
      <c r="AV156" s="85"/>
      <c r="AW156" s="85"/>
      <c r="AX156" s="85"/>
      <c r="AY156" s="85"/>
      <c r="AZ156" s="85"/>
    </row>
    <row r="157" spans="1:52">
      <c r="B157" s="237"/>
      <c r="C157" s="482"/>
      <c r="D157" s="482"/>
      <c r="E157" s="482"/>
      <c r="F157" s="482"/>
      <c r="G157" s="482"/>
      <c r="H157" s="482"/>
      <c r="I157" s="482"/>
      <c r="J157" s="482"/>
      <c r="K157" s="600"/>
      <c r="L157" s="482"/>
      <c r="M157" s="482"/>
      <c r="N157" s="482"/>
      <c r="O157" s="482"/>
      <c r="P157" s="600">
        <f ca="1">R155/L155-1</f>
        <v>9.2992416695554914E-2</v>
      </c>
      <c r="Q157" s="600">
        <f ca="1">(1+P157)^(1/6)-1</f>
        <v>1.4930237411812319E-2</v>
      </c>
      <c r="R157" s="482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5"/>
      <c r="AI157" s="85"/>
      <c r="AJ157" s="85"/>
      <c r="AK157" s="85"/>
      <c r="AL157" s="85"/>
      <c r="AM157" s="85"/>
      <c r="AN157" s="85"/>
      <c r="AO157" s="85"/>
      <c r="AP157" s="85"/>
      <c r="AQ157" s="85"/>
      <c r="AR157" s="85"/>
      <c r="AS157" s="85"/>
      <c r="AT157" s="85"/>
      <c r="AU157" s="85"/>
      <c r="AV157" s="85"/>
      <c r="AW157" s="85"/>
      <c r="AX157" s="85"/>
      <c r="AY157" s="85"/>
      <c r="AZ157" s="85"/>
    </row>
    <row r="158" spans="1:52">
      <c r="B158" s="237" t="str">
        <f>B121</f>
        <v>GS 50 - 2,999</v>
      </c>
      <c r="C158" s="482"/>
      <c r="D158" s="482">
        <f t="shared" ref="D158:R158" ca="1" si="75">D121/C121-1</f>
        <v>-2.823425591705897E-2</v>
      </c>
      <c r="E158" s="482">
        <f t="shared" ca="1" si="75"/>
        <v>2.2864637500357166E-2</v>
      </c>
      <c r="F158" s="482">
        <f t="shared" ca="1" si="75"/>
        <v>-2.5625734098594699E-2</v>
      </c>
      <c r="G158" s="482">
        <f t="shared" ca="1" si="75"/>
        <v>-5.1952143879855139E-2</v>
      </c>
      <c r="H158" s="482">
        <f t="shared" ca="1" si="75"/>
        <v>1.3734315010464737E-2</v>
      </c>
      <c r="I158" s="482">
        <f t="shared" ca="1" si="75"/>
        <v>2.0926312799557811E-2</v>
      </c>
      <c r="J158" s="482">
        <f t="shared" ca="1" si="75"/>
        <v>-2.5334966598966613E-3</v>
      </c>
      <c r="K158" s="482">
        <f t="shared" ca="1" si="75"/>
        <v>3.6774227775019819E-2</v>
      </c>
      <c r="L158" s="482">
        <f t="shared" ca="1" si="75"/>
        <v>1.6211181046657197E-2</v>
      </c>
      <c r="M158" s="482">
        <f t="shared" ca="1" si="75"/>
        <v>2.1901309375122802E-2</v>
      </c>
      <c r="N158" s="482">
        <f t="shared" ca="1" si="75"/>
        <v>5.8794877604458451E-2</v>
      </c>
      <c r="O158" s="482">
        <f t="shared" ca="1" si="75"/>
        <v>1.4015062361149244E-2</v>
      </c>
      <c r="P158" s="482">
        <f t="shared" ca="1" si="75"/>
        <v>8.6451806258440733E-3</v>
      </c>
      <c r="Q158" s="482">
        <f t="shared" ca="1" si="75"/>
        <v>6.8913394022418473E-4</v>
      </c>
      <c r="R158" s="482">
        <f t="shared" ca="1" si="75"/>
        <v>4.9907519426730662E-3</v>
      </c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  <c r="AE158" s="85"/>
      <c r="AF158" s="85"/>
      <c r="AG158" s="85"/>
      <c r="AH158" s="85"/>
      <c r="AI158" s="85"/>
      <c r="AJ158" s="85"/>
      <c r="AK158" s="85"/>
      <c r="AL158" s="85"/>
      <c r="AM158" s="85"/>
      <c r="AN158" s="85"/>
      <c r="AO158" s="85"/>
      <c r="AP158" s="85"/>
      <c r="AQ158" s="85"/>
      <c r="AR158" s="85"/>
      <c r="AS158" s="85"/>
      <c r="AT158" s="85"/>
      <c r="AU158" s="85"/>
      <c r="AV158" s="85"/>
      <c r="AW158" s="85"/>
      <c r="AX158" s="85"/>
      <c r="AY158" s="85"/>
      <c r="AZ158" s="85"/>
    </row>
    <row r="159" spans="1:52">
      <c r="B159" s="237" t="str">
        <f t="shared" ref="B159:B162" si="76">B122</f>
        <v>GS 3,000 - 4,999</v>
      </c>
      <c r="C159" s="482"/>
      <c r="D159" s="482">
        <f ca="1">D122/C122-1</f>
        <v>5.556954798961633E-2</v>
      </c>
      <c r="E159" s="482">
        <f t="shared" ref="D159:R162" ca="1" si="77">E122/D122-1</f>
        <v>2.7366932146405398E-2</v>
      </c>
      <c r="F159" s="482">
        <f t="shared" ca="1" si="77"/>
        <v>0.10913598694642923</v>
      </c>
      <c r="G159" s="482">
        <f t="shared" ca="1" si="77"/>
        <v>9.793152996876664E-3</v>
      </c>
      <c r="H159" s="482">
        <f t="shared" ca="1" si="77"/>
        <v>6.8433210103394648E-2</v>
      </c>
      <c r="I159" s="482">
        <f t="shared" ca="1" si="77"/>
        <v>5.7600352634610275E-2</v>
      </c>
      <c r="J159" s="482">
        <f t="shared" ca="1" si="77"/>
        <v>-1.0310813925695661E-2</v>
      </c>
      <c r="K159" s="482">
        <f t="shared" ca="1" si="77"/>
        <v>-7.589334825473959E-2</v>
      </c>
      <c r="L159" s="482">
        <f t="shared" ca="1" si="77"/>
        <v>4.0652028897101289E-3</v>
      </c>
      <c r="M159" s="482">
        <f t="shared" ca="1" si="77"/>
        <v>0.20792759433317998</v>
      </c>
      <c r="N159" s="482">
        <f t="shared" ca="1" si="77"/>
        <v>0.23172613659366625</v>
      </c>
      <c r="O159" s="482">
        <f t="shared" ca="1" si="77"/>
        <v>0.11914481965917401</v>
      </c>
      <c r="P159" s="482">
        <f t="shared" ca="1" si="77"/>
        <v>6.800785814629573E-2</v>
      </c>
      <c r="Q159" s="482">
        <f t="shared" ca="1" si="77"/>
        <v>3.4291474248752118E-2</v>
      </c>
      <c r="R159" s="482">
        <f t="shared" ca="1" si="77"/>
        <v>3.7697694227306178E-2</v>
      </c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  <c r="AI159" s="85"/>
      <c r="AJ159" s="85"/>
      <c r="AK159" s="85"/>
      <c r="AL159" s="85"/>
      <c r="AM159" s="85"/>
      <c r="AN159" s="85"/>
      <c r="AO159" s="85"/>
      <c r="AP159" s="85"/>
      <c r="AQ159" s="85"/>
      <c r="AR159" s="85"/>
      <c r="AS159" s="85"/>
      <c r="AT159" s="85"/>
      <c r="AU159" s="85"/>
      <c r="AV159" s="85"/>
      <c r="AW159" s="85"/>
      <c r="AX159" s="85"/>
      <c r="AY159" s="85"/>
      <c r="AZ159" s="85"/>
    </row>
    <row r="160" spans="1:52">
      <c r="B160" s="237" t="str">
        <f t="shared" si="76"/>
        <v>Large Use</v>
      </c>
      <c r="C160" s="482"/>
      <c r="D160" s="482">
        <f t="shared" ca="1" si="77"/>
        <v>3.7345100345374638E-2</v>
      </c>
      <c r="E160" s="482">
        <f t="shared" ca="1" si="77"/>
        <v>0.11775895708445283</v>
      </c>
      <c r="F160" s="482">
        <f t="shared" ca="1" si="77"/>
        <v>3.7452073922537465E-2</v>
      </c>
      <c r="G160" s="482">
        <f t="shared" ca="1" si="77"/>
        <v>1.7913476109242099E-2</v>
      </c>
      <c r="H160" s="482">
        <f t="shared" ca="1" si="77"/>
        <v>7.7833194864604494E-2</v>
      </c>
      <c r="I160" s="482">
        <f t="shared" ca="1" si="77"/>
        <v>1.5425998426011667E-2</v>
      </c>
      <c r="J160" s="482">
        <f t="shared" ca="1" si="77"/>
        <v>5.0856538327772371E-2</v>
      </c>
      <c r="K160" s="482">
        <f t="shared" ca="1" si="77"/>
        <v>5.9169614940266291E-2</v>
      </c>
      <c r="L160" s="482">
        <f t="shared" ca="1" si="77"/>
        <v>1.8889401203858736E-3</v>
      </c>
      <c r="M160" s="482">
        <f t="shared" ca="1" si="77"/>
        <v>7.1294900164999175E-2</v>
      </c>
      <c r="N160" s="482">
        <f t="shared" ca="1" si="77"/>
        <v>0.19357775795192556</v>
      </c>
      <c r="O160" s="482">
        <f t="shared" ca="1" si="77"/>
        <v>0.18807727756702253</v>
      </c>
      <c r="P160" s="482">
        <f t="shared" ca="1" si="77"/>
        <v>9.1153545988507778E-2</v>
      </c>
      <c r="Q160" s="482">
        <f t="shared" ca="1" si="77"/>
        <v>1.4553374658815121E-2</v>
      </c>
      <c r="R160" s="482">
        <f t="shared" ca="1" si="77"/>
        <v>9.3031933774569975E-3</v>
      </c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  <c r="AF160" s="85"/>
      <c r="AG160" s="85"/>
      <c r="AH160" s="85"/>
      <c r="AI160" s="85"/>
      <c r="AJ160" s="85"/>
      <c r="AK160" s="85"/>
      <c r="AL160" s="85"/>
      <c r="AM160" s="85"/>
      <c r="AN160" s="85"/>
      <c r="AO160" s="85"/>
      <c r="AP160" s="85"/>
      <c r="AQ160" s="85"/>
      <c r="AR160" s="85"/>
      <c r="AS160" s="85"/>
      <c r="AT160" s="85"/>
      <c r="AU160" s="85"/>
      <c r="AV160" s="85"/>
      <c r="AW160" s="85"/>
      <c r="AX160" s="85"/>
      <c r="AY160" s="85"/>
      <c r="AZ160" s="85"/>
    </row>
    <row r="161" spans="2:52">
      <c r="B161" s="237" t="str">
        <f t="shared" si="76"/>
        <v>Street Light</v>
      </c>
      <c r="C161" s="482"/>
      <c r="D161" s="482">
        <f t="shared" ca="1" si="77"/>
        <v>-9.1440650152836422E-2</v>
      </c>
      <c r="E161" s="482">
        <f t="shared" ca="1" si="77"/>
        <v>-0.2151534535863362</v>
      </c>
      <c r="F161" s="482">
        <f t="shared" ca="1" si="77"/>
        <v>-0.13466437365786721</v>
      </c>
      <c r="G161" s="482">
        <f t="shared" ca="1" si="77"/>
        <v>-0.11477193387268569</v>
      </c>
      <c r="H161" s="482">
        <f t="shared" ca="1" si="77"/>
        <v>-2.3714906230866362E-2</v>
      </c>
      <c r="I161" s="482">
        <f t="shared" ca="1" si="77"/>
        <v>1.9543700989056667E-2</v>
      </c>
      <c r="J161" s="482">
        <f t="shared" ca="1" si="77"/>
        <v>2.0284927020422616E-2</v>
      </c>
      <c r="K161" s="482">
        <f t="shared" ca="1" si="77"/>
        <v>2.030344994244615E-2</v>
      </c>
      <c r="L161" s="482">
        <f t="shared" ca="1" si="77"/>
        <v>7.0836074333224808E-3</v>
      </c>
      <c r="M161" s="482">
        <f t="shared" ca="1" si="77"/>
        <v>1.2543264184874392E-2</v>
      </c>
      <c r="N161" s="482">
        <f t="shared" ca="1" si="77"/>
        <v>1.2550568628140191E-2</v>
      </c>
      <c r="O161" s="482">
        <f t="shared" ca="1" si="77"/>
        <v>1.2557897454454903E-2</v>
      </c>
      <c r="P161" s="482">
        <f t="shared" ca="1" si="77"/>
        <v>1.2565250638944647E-2</v>
      </c>
      <c r="Q161" s="482">
        <f t="shared" ca="1" si="77"/>
        <v>1.2572628155591126E-2</v>
      </c>
      <c r="R161" s="482">
        <f t="shared" ca="1" si="77"/>
        <v>1.2580029977230511E-2</v>
      </c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  <c r="AE161" s="85"/>
      <c r="AF161" s="85"/>
      <c r="AG161" s="85"/>
      <c r="AH161" s="85"/>
      <c r="AI161" s="85"/>
      <c r="AJ161" s="85"/>
      <c r="AK161" s="85"/>
      <c r="AL161" s="85"/>
      <c r="AM161" s="85"/>
      <c r="AN161" s="85"/>
      <c r="AO161" s="85"/>
      <c r="AP161" s="85"/>
      <c r="AQ161" s="85"/>
      <c r="AR161" s="85"/>
      <c r="AS161" s="85"/>
      <c r="AT161" s="85"/>
      <c r="AU161" s="85"/>
      <c r="AV161" s="85"/>
      <c r="AW161" s="85"/>
      <c r="AX161" s="85"/>
      <c r="AY161" s="85"/>
      <c r="AZ161" s="85"/>
    </row>
    <row r="162" spans="2:52">
      <c r="B162" s="237" t="str">
        <f t="shared" si="76"/>
        <v>Sentinel Light</v>
      </c>
      <c r="C162" s="482"/>
      <c r="D162" s="482">
        <f t="shared" si="77"/>
        <v>-4.4122482686606901E-2</v>
      </c>
      <c r="E162" s="482">
        <f t="shared" si="77"/>
        <v>-0.24129428354599236</v>
      </c>
      <c r="F162" s="482">
        <f t="shared" si="77"/>
        <v>-0.11142337976983652</v>
      </c>
      <c r="G162" s="482">
        <f t="shared" si="77"/>
        <v>4.8688905161808904E-4</v>
      </c>
      <c r="H162" s="482">
        <f t="shared" si="77"/>
        <v>-6.5172450040295038E-3</v>
      </c>
      <c r="I162" s="482">
        <f t="shared" ca="1" si="77"/>
        <v>-7.4617945112993467E-2</v>
      </c>
      <c r="J162" s="482">
        <f t="shared" ca="1" si="77"/>
        <v>1.0372679572752785E-2</v>
      </c>
      <c r="K162" s="482">
        <f t="shared" ca="1" si="77"/>
        <v>-0.6144798958243608</v>
      </c>
      <c r="L162" s="482">
        <f t="shared" ca="1" si="77"/>
        <v>-1.5507574593384588E-2</v>
      </c>
      <c r="M162" s="482">
        <f t="shared" ca="1" si="77"/>
        <v>-1.7288821233469198E-2</v>
      </c>
      <c r="N162" s="482">
        <f t="shared" ca="1" si="77"/>
        <v>-1.7214816540184308E-2</v>
      </c>
      <c r="O162" s="482">
        <f t="shared" ca="1" si="77"/>
        <v>-1.7138588544654554E-2</v>
      </c>
      <c r="P162" s="482">
        <f t="shared" ca="1" si="77"/>
        <v>-1.7060082454510406E-2</v>
      </c>
      <c r="Q162" s="482">
        <f t="shared" ca="1" si="77"/>
        <v>-1.6979242916004722E-2</v>
      </c>
      <c r="R162" s="482">
        <f t="shared" ca="1" si="77"/>
        <v>-1.6896014065112208E-2</v>
      </c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  <c r="AF162" s="85"/>
      <c r="AG162" s="85"/>
      <c r="AH162" s="85"/>
      <c r="AI162" s="85"/>
      <c r="AJ162" s="85"/>
      <c r="AK162" s="85"/>
      <c r="AL162" s="85"/>
      <c r="AM162" s="85"/>
      <c r="AN162" s="85"/>
      <c r="AO162" s="85"/>
      <c r="AP162" s="85"/>
      <c r="AQ162" s="85"/>
      <c r="AR162" s="85"/>
      <c r="AS162" s="85"/>
      <c r="AT162" s="85"/>
      <c r="AU162" s="85"/>
      <c r="AV162" s="85"/>
      <c r="AW162" s="85"/>
      <c r="AX162" s="85"/>
      <c r="AY162" s="85"/>
      <c r="AZ162" s="85"/>
    </row>
    <row r="163" spans="2:52">
      <c r="B163" s="237" t="str">
        <f>B128</f>
        <v>GS 50 - 2,999</v>
      </c>
      <c r="C163" s="482"/>
      <c r="D163" s="482">
        <f t="shared" ref="D163:R163" ca="1" si="78">D128/C128-1</f>
        <v>-2.4883745041887617E-2</v>
      </c>
      <c r="E163" s="482">
        <f t="shared" ca="1" si="78"/>
        <v>1.228904643705242E-2</v>
      </c>
      <c r="F163" s="482">
        <f t="shared" ca="1" si="78"/>
        <v>-2.9297429749428061E-2</v>
      </c>
      <c r="G163" s="482">
        <f t="shared" ca="1" si="78"/>
        <v>-3.7331428739380557E-2</v>
      </c>
      <c r="H163" s="482">
        <f t="shared" ca="1" si="78"/>
        <v>2.3837127363426358E-3</v>
      </c>
      <c r="I163" s="482">
        <f t="shared" ca="1" si="78"/>
        <v>3.1571471205074086E-2</v>
      </c>
      <c r="J163" s="482">
        <f t="shared" ca="1" si="78"/>
        <v>-1.7209327125272122E-2</v>
      </c>
      <c r="K163" s="482">
        <f t="shared" ca="1" si="78"/>
        <v>-7.5081166599084703E-3</v>
      </c>
      <c r="L163" s="482">
        <f t="shared" ca="1" si="78"/>
        <v>1.7509283322450608E-2</v>
      </c>
      <c r="M163" s="482">
        <f ca="1">M128/L128-1</f>
        <v>5.0214204046540756E-2</v>
      </c>
      <c r="N163" s="482">
        <f t="shared" ca="1" si="78"/>
        <v>6.3423507140272228E-2</v>
      </c>
      <c r="O163" s="482">
        <f t="shared" ca="1" si="78"/>
        <v>1.9253614453392354E-2</v>
      </c>
      <c r="P163" s="482">
        <f t="shared" ca="1" si="78"/>
        <v>1.4380243290495809E-2</v>
      </c>
      <c r="Q163" s="482">
        <f t="shared" ca="1" si="78"/>
        <v>6.936523600087563E-3</v>
      </c>
      <c r="R163" s="482">
        <f t="shared" ca="1" si="78"/>
        <v>1.1106473812760198E-2</v>
      </c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  <c r="AF163" s="85"/>
      <c r="AG163" s="85"/>
      <c r="AH163" s="85"/>
      <c r="AI163" s="85"/>
      <c r="AJ163" s="85"/>
      <c r="AK163" s="85"/>
      <c r="AL163" s="85"/>
      <c r="AM163" s="85"/>
      <c r="AN163" s="85"/>
      <c r="AO163" s="85"/>
      <c r="AP163" s="85"/>
      <c r="AQ163" s="85"/>
      <c r="AR163" s="85"/>
      <c r="AS163" s="85"/>
      <c r="AT163" s="85"/>
      <c r="AU163" s="85"/>
      <c r="AV163" s="85"/>
      <c r="AW163" s="85"/>
      <c r="AX163" s="85"/>
      <c r="AY163" s="85"/>
      <c r="AZ163" s="85"/>
    </row>
    <row r="164" spans="2:52">
      <c r="B164" s="237" t="str">
        <f t="shared" ref="B164:B167" si="79">B129</f>
        <v>GS 3,000 - 4,999</v>
      </c>
      <c r="C164" s="482"/>
      <c r="D164" s="482">
        <f ca="1">D129/C129-1</f>
        <v>-8.4934349754372418E-2</v>
      </c>
      <c r="E164" s="482">
        <f t="shared" ref="D164:R167" ca="1" si="80">E129/D129-1</f>
        <v>4.648737847215112E-2</v>
      </c>
      <c r="F164" s="482">
        <f t="shared" ca="1" si="80"/>
        <v>0.12812430445431744</v>
      </c>
      <c r="G164" s="482">
        <f t="shared" ca="1" si="80"/>
        <v>-1.0341707832722813E-2</v>
      </c>
      <c r="H164" s="482">
        <f t="shared" ca="1" si="80"/>
        <v>8.463323982632609E-2</v>
      </c>
      <c r="I164" s="482">
        <f t="shared" ca="1" si="80"/>
        <v>6.7724112346740473E-2</v>
      </c>
      <c r="J164" s="482">
        <f t="shared" ca="1" si="80"/>
        <v>4.0656673115890829E-3</v>
      </c>
      <c r="K164" s="482">
        <f t="shared" ca="1" si="80"/>
        <v>-4.728140940756631E-2</v>
      </c>
      <c r="L164" s="482">
        <f ca="1">L129/K129-1</f>
        <v>-1.6916491741866935E-2</v>
      </c>
      <c r="M164" s="482">
        <f t="shared" ca="1" si="80"/>
        <v>0.2096988432524356</v>
      </c>
      <c r="N164" s="482">
        <f t="shared" ca="1" si="80"/>
        <v>0.24278012993534626</v>
      </c>
      <c r="O164" s="482">
        <f t="shared" ca="1" si="80"/>
        <v>0.12988304979947185</v>
      </c>
      <c r="P164" s="482">
        <f t="shared" ca="1" si="80"/>
        <v>7.6342623476668647E-2</v>
      </c>
      <c r="Q164" s="482">
        <f t="shared" ca="1" si="80"/>
        <v>4.0191508449872071E-2</v>
      </c>
      <c r="R164" s="482">
        <f t="shared" ca="1" si="80"/>
        <v>4.4348904354031715E-2</v>
      </c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  <c r="AF164" s="85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  <c r="AR164" s="85"/>
      <c r="AS164" s="85"/>
      <c r="AT164" s="85"/>
      <c r="AU164" s="85"/>
      <c r="AV164" s="85"/>
      <c r="AW164" s="85"/>
      <c r="AX164" s="85"/>
      <c r="AY164" s="85"/>
      <c r="AZ164" s="85"/>
    </row>
    <row r="165" spans="2:52">
      <c r="B165" s="237" t="str">
        <f t="shared" si="79"/>
        <v>Large Use</v>
      </c>
      <c r="C165" s="482"/>
      <c r="D165" s="482">
        <f t="shared" ca="1" si="80"/>
        <v>-9.2214018465565539E-2</v>
      </c>
      <c r="E165" s="482">
        <f t="shared" ca="1" si="80"/>
        <v>0.10492443831523302</v>
      </c>
      <c r="F165" s="482">
        <f t="shared" ca="1" si="80"/>
        <v>2.4527347425054025E-2</v>
      </c>
      <c r="G165" s="482">
        <f t="shared" ca="1" si="80"/>
        <v>4.5783015777063119E-2</v>
      </c>
      <c r="H165" s="482">
        <f t="shared" ca="1" si="80"/>
        <v>6.2459046412962183E-2</v>
      </c>
      <c r="I165" s="482">
        <f t="shared" ca="1" si="80"/>
        <v>1.8450184501844991E-2</v>
      </c>
      <c r="J165" s="482">
        <f t="shared" ca="1" si="80"/>
        <v>5.6962312315985919E-2</v>
      </c>
      <c r="K165" s="482">
        <f t="shared" ca="1" si="80"/>
        <v>2.7239780112736867E-2</v>
      </c>
      <c r="L165" s="482">
        <f t="shared" ca="1" si="80"/>
        <v>1.2428966369444794E-2</v>
      </c>
      <c r="M165" s="482">
        <f t="shared" ca="1" si="80"/>
        <v>8.0918324532165631E-2</v>
      </c>
      <c r="N165" s="482">
        <f t="shared" ca="1" si="80"/>
        <v>0.20111147862419188</v>
      </c>
      <c r="O165" s="482">
        <f t="shared" ca="1" si="80"/>
        <v>0.19842093390347126</v>
      </c>
      <c r="P165" s="482">
        <f t="shared" ca="1" si="80"/>
        <v>9.9025157917106199E-2</v>
      </c>
      <c r="Q165" s="482">
        <f t="shared" ca="1" si="80"/>
        <v>2.1470220664488782E-2</v>
      </c>
      <c r="R165" s="482">
        <f t="shared" ca="1" si="80"/>
        <v>1.5886617837600703E-2</v>
      </c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  <c r="AF165" s="85"/>
      <c r="AG165" s="85"/>
      <c r="AH165" s="85"/>
      <c r="AI165" s="85"/>
      <c r="AJ165" s="85"/>
      <c r="AK165" s="85"/>
      <c r="AL165" s="85"/>
      <c r="AM165" s="85"/>
      <c r="AN165" s="85"/>
      <c r="AO165" s="85"/>
      <c r="AP165" s="85"/>
      <c r="AQ165" s="85"/>
      <c r="AR165" s="85"/>
      <c r="AS165" s="85"/>
      <c r="AT165" s="85"/>
      <c r="AU165" s="85"/>
      <c r="AV165" s="85"/>
      <c r="AW165" s="85"/>
      <c r="AX165" s="85"/>
      <c r="AY165" s="85"/>
      <c r="AZ165" s="85"/>
    </row>
    <row r="166" spans="2:52">
      <c r="B166" s="237" t="str">
        <f t="shared" si="79"/>
        <v>Street Light</v>
      </c>
      <c r="C166" s="482"/>
      <c r="D166" s="482">
        <f t="shared" ca="1" si="80"/>
        <v>-8.2448476994277931E-2</v>
      </c>
      <c r="E166" s="482">
        <f t="shared" ca="1" si="80"/>
        <v>-0.2177081247839342</v>
      </c>
      <c r="F166" s="482">
        <f t="shared" ca="1" si="80"/>
        <v>-0.13674555520714071</v>
      </c>
      <c r="G166" s="482">
        <f t="shared" ca="1" si="80"/>
        <v>-0.10269425697682077</v>
      </c>
      <c r="H166" s="482">
        <f t="shared" ca="1" si="80"/>
        <v>-1.2130631032922889E-2</v>
      </c>
      <c r="I166" s="482">
        <f t="shared" ca="1" si="80"/>
        <v>2.8072645534991114E-3</v>
      </c>
      <c r="J166" s="482">
        <f t="shared" ca="1" si="80"/>
        <v>1.9054433850026919E-2</v>
      </c>
      <c r="K166" s="482">
        <f t="shared" ca="1" si="80"/>
        <v>1.6639002675032044E-2</v>
      </c>
      <c r="L166" s="482">
        <f t="shared" ca="1" si="80"/>
        <v>9.8210050677782768E-3</v>
      </c>
      <c r="M166" s="482">
        <f t="shared" ca="1" si="80"/>
        <v>1.2520998148364049E-2</v>
      </c>
      <c r="N166" s="482">
        <f t="shared" ca="1" si="80"/>
        <v>1.2546214088111407E-2</v>
      </c>
      <c r="O166" s="482">
        <f t="shared" ca="1" si="80"/>
        <v>1.2553528391212598E-2</v>
      </c>
      <c r="P166" s="482">
        <f t="shared" ca="1" si="80"/>
        <v>1.2560867067445081E-2</v>
      </c>
      <c r="Q166" s="482">
        <f t="shared" ca="1" si="80"/>
        <v>1.2568230091472232E-2</v>
      </c>
      <c r="R166" s="482">
        <f t="shared" ca="1" si="80"/>
        <v>1.2575617436813902E-2</v>
      </c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  <c r="AF166" s="85"/>
      <c r="AG166" s="85"/>
      <c r="AH166" s="85"/>
      <c r="AI166" s="85"/>
      <c r="AJ166" s="85"/>
      <c r="AK166" s="85"/>
      <c r="AL166" s="85"/>
      <c r="AM166" s="85"/>
      <c r="AN166" s="85"/>
      <c r="AO166" s="85"/>
      <c r="AP166" s="85"/>
      <c r="AQ166" s="85"/>
      <c r="AR166" s="85"/>
      <c r="AS166" s="85"/>
      <c r="AT166" s="85"/>
      <c r="AU166" s="85"/>
      <c r="AV166" s="85"/>
      <c r="AW166" s="85"/>
      <c r="AX166" s="85"/>
      <c r="AY166" s="85"/>
      <c r="AZ166" s="85"/>
    </row>
    <row r="167" spans="2:52">
      <c r="B167" s="237" t="str">
        <f t="shared" si="79"/>
        <v>Sentinel Light</v>
      </c>
      <c r="C167" s="482"/>
      <c r="D167" s="482">
        <f t="shared" ca="1" si="80"/>
        <v>-4.6112115732368952E-2</v>
      </c>
      <c r="E167" s="482">
        <f t="shared" ca="1" si="80"/>
        <v>-0.23507109004739335</v>
      </c>
      <c r="F167" s="482">
        <f t="shared" ca="1" si="80"/>
        <v>-0.11400247831474597</v>
      </c>
      <c r="G167" s="482">
        <f t="shared" ca="1" si="80"/>
        <v>-1.3986013986013734E-3</v>
      </c>
      <c r="H167" s="482">
        <f t="shared" ca="1" si="80"/>
        <v>-1.540616246498594E-2</v>
      </c>
      <c r="I167" s="482">
        <f t="shared" ca="1" si="80"/>
        <v>-9.957325746799417E-3</v>
      </c>
      <c r="J167" s="482">
        <f t="shared" ca="1" si="80"/>
        <v>5.7471264367816577E-3</v>
      </c>
      <c r="K167" s="482">
        <f t="shared" ca="1" si="80"/>
        <v>-2.1428571428571463E-2</v>
      </c>
      <c r="L167" s="482">
        <f t="shared" ca="1" si="80"/>
        <v>-1.4748541836300366E-2</v>
      </c>
      <c r="M167" s="482">
        <f t="shared" ca="1" si="80"/>
        <v>-1.5367384418964236E-2</v>
      </c>
      <c r="N167" s="482">
        <f t="shared" ca="1" si="80"/>
        <v>-1.523936797156511E-2</v>
      </c>
      <c r="O167" s="482">
        <f t="shared" ca="1" si="80"/>
        <v>-1.5108026883873027E-2</v>
      </c>
      <c r="P167" s="482">
        <f t="shared" ca="1" si="80"/>
        <v>-1.4973310298674769E-2</v>
      </c>
      <c r="Q167" s="482">
        <f t="shared" ca="1" si="80"/>
        <v>-1.4835168787250996E-2</v>
      </c>
      <c r="R167" s="482">
        <f t="shared" ca="1" si="80"/>
        <v>-1.4693554510369466E-2</v>
      </c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  <c r="AF167" s="85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  <c r="AR167" s="85"/>
      <c r="AS167" s="85"/>
      <c r="AT167" s="85"/>
      <c r="AU167" s="85"/>
      <c r="AV167" s="85"/>
      <c r="AW167" s="85"/>
      <c r="AX167" s="85"/>
      <c r="AY167" s="85"/>
      <c r="AZ167" s="85"/>
    </row>
    <row r="168" spans="2:52">
      <c r="B168" s="85"/>
      <c r="C168" s="482"/>
      <c r="D168" s="482"/>
      <c r="E168" s="482"/>
      <c r="F168" s="482"/>
      <c r="G168" s="482"/>
      <c r="H168" s="482"/>
      <c r="I168" s="482"/>
      <c r="J168" s="482"/>
      <c r="K168" s="482"/>
      <c r="L168" s="482"/>
      <c r="M168" s="482"/>
      <c r="N168" s="482"/>
      <c r="O168" s="482"/>
      <c r="P168" s="482"/>
      <c r="Q168" s="482"/>
      <c r="R168" s="482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  <c r="AF168" s="85"/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S168" s="85"/>
      <c r="AT168" s="85"/>
      <c r="AU168" s="85"/>
      <c r="AV168" s="85"/>
      <c r="AW168" s="85"/>
      <c r="AX168" s="85"/>
      <c r="AY168" s="85"/>
      <c r="AZ168" s="85"/>
    </row>
    <row r="169" spans="2:52"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  <c r="AF169" s="85"/>
      <c r="AG169" s="85"/>
      <c r="AH169" s="85"/>
      <c r="AI169" s="85"/>
      <c r="AJ169" s="85"/>
      <c r="AK169" s="85"/>
      <c r="AL169" s="85"/>
      <c r="AM169" s="85"/>
      <c r="AN169" s="85"/>
      <c r="AO169" s="85"/>
      <c r="AP169" s="85"/>
      <c r="AQ169" s="85"/>
      <c r="AR169" s="85"/>
      <c r="AS169" s="85"/>
      <c r="AT169" s="85"/>
      <c r="AU169" s="85"/>
      <c r="AV169" s="85"/>
      <c r="AW169" s="85"/>
      <c r="AX169" s="85"/>
      <c r="AY169" s="85"/>
      <c r="AZ169" s="85"/>
    </row>
    <row r="170" spans="2:52" ht="16" thickBot="1">
      <c r="B170" s="64" t="s">
        <v>875</v>
      </c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  <c r="AK170" s="237"/>
      <c r="AL170" s="237"/>
      <c r="AM170" s="237"/>
      <c r="AN170" s="237"/>
      <c r="AO170" s="237"/>
      <c r="AP170" s="237"/>
      <c r="AQ170" s="237"/>
      <c r="AR170" s="237"/>
      <c r="AS170" s="237"/>
      <c r="AT170" s="237"/>
      <c r="AU170" s="237"/>
      <c r="AV170" s="237"/>
      <c r="AW170" s="237"/>
    </row>
    <row r="171" spans="2:52" ht="26">
      <c r="B171" s="55" t="str">
        <f t="shared" ref="B171:R171" si="81">B117</f>
        <v>kWh</v>
      </c>
      <c r="C171" s="54" t="str">
        <f t="shared" si="81"/>
        <v>2016 Actual</v>
      </c>
      <c r="D171" s="54" t="str">
        <f t="shared" si="81"/>
        <v>2017 Actual</v>
      </c>
      <c r="E171" s="54" t="str">
        <f t="shared" si="81"/>
        <v>2018 Actual</v>
      </c>
      <c r="F171" s="54" t="str">
        <f t="shared" si="81"/>
        <v>2019 Actual</v>
      </c>
      <c r="G171" s="54" t="str">
        <f t="shared" si="81"/>
        <v>2020 Actual</v>
      </c>
      <c r="H171" s="54" t="str">
        <f t="shared" si="81"/>
        <v>2021 Actual</v>
      </c>
      <c r="I171" s="54" t="str">
        <f t="shared" si="81"/>
        <v>2022 Actual</v>
      </c>
      <c r="J171" s="54" t="str">
        <f t="shared" si="81"/>
        <v>2023 Actual</v>
      </c>
      <c r="K171" s="54" t="str">
        <f t="shared" si="81"/>
        <v>2024 Actual</v>
      </c>
      <c r="L171" s="54" t="str">
        <f t="shared" si="81"/>
        <v>2025 Actual</v>
      </c>
      <c r="M171" s="54" t="str">
        <f t="shared" si="81"/>
        <v>2026 Forecast</v>
      </c>
      <c r="N171" s="54" t="str">
        <f t="shared" si="81"/>
        <v>2027 Forecast</v>
      </c>
      <c r="O171" s="54" t="str">
        <f t="shared" si="81"/>
        <v>2028 Forecast</v>
      </c>
      <c r="P171" s="54" t="str">
        <f t="shared" si="81"/>
        <v>2029 Forecast</v>
      </c>
      <c r="Q171" s="54" t="str">
        <f t="shared" si="81"/>
        <v>2030 Forecast</v>
      </c>
      <c r="R171" s="53" t="str">
        <f t="shared" si="81"/>
        <v>2031 Forecast</v>
      </c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  <c r="AI171" s="237"/>
      <c r="AJ171" s="237"/>
      <c r="AK171" s="237"/>
      <c r="AL171" s="237"/>
      <c r="AM171" s="237"/>
      <c r="AN171" s="237"/>
      <c r="AO171" s="237"/>
      <c r="AP171" s="237"/>
      <c r="AQ171" s="237"/>
      <c r="AR171" s="237"/>
      <c r="AS171" s="237"/>
      <c r="AT171" s="237"/>
      <c r="AU171" s="237"/>
      <c r="AV171" s="237"/>
      <c r="AW171" s="237"/>
    </row>
    <row r="172" spans="2:52">
      <c r="B172" s="58" t="str">
        <f t="shared" ref="B172:B187" si="82">B118</f>
        <v>Residential</v>
      </c>
      <c r="C172" s="51">
        <f t="shared" ref="C172:R172" ca="1" si="83">C118/C134</f>
        <v>8642.1933527718083</v>
      </c>
      <c r="D172" s="51">
        <f t="shared" ca="1" si="83"/>
        <v>8020.8712262697763</v>
      </c>
      <c r="E172" s="51">
        <f t="shared" ca="1" si="83"/>
        <v>8607.0493049069955</v>
      </c>
      <c r="F172" s="51">
        <f t="shared" ca="1" si="83"/>
        <v>8228.8144465951591</v>
      </c>
      <c r="G172" s="51">
        <f t="shared" ca="1" si="83"/>
        <v>8847.5789286211948</v>
      </c>
      <c r="H172" s="51">
        <f t="shared" ca="1" si="83"/>
        <v>8700.5959015942681</v>
      </c>
      <c r="I172" s="51">
        <f t="shared" ca="1" si="83"/>
        <v>8518.4763600384813</v>
      </c>
      <c r="J172" s="51">
        <f t="shared" ca="1" si="83"/>
        <v>8327.6185891216337</v>
      </c>
      <c r="K172" s="51">
        <f t="shared" ca="1" si="83"/>
        <v>8574.6118496610598</v>
      </c>
      <c r="L172" s="51">
        <f t="shared" ca="1" si="83"/>
        <v>8688.7085102575984</v>
      </c>
      <c r="M172" s="51">
        <f t="shared" ca="1" si="83"/>
        <v>8759.5165415107385</v>
      </c>
      <c r="N172" s="51">
        <f t="shared" ca="1" si="83"/>
        <v>8782.3316898224093</v>
      </c>
      <c r="O172" s="51">
        <f t="shared" ca="1" si="83"/>
        <v>8798.8372997038023</v>
      </c>
      <c r="P172" s="51">
        <f t="shared" ca="1" si="83"/>
        <v>8802.6560195946713</v>
      </c>
      <c r="Q172" s="51">
        <f t="shared" ca="1" si="83"/>
        <v>8849.9792680117262</v>
      </c>
      <c r="R172" s="59">
        <f t="shared" ca="1" si="83"/>
        <v>8905.5886289331884</v>
      </c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7"/>
      <c r="AI172" s="237"/>
      <c r="AJ172" s="237"/>
      <c r="AK172" s="237"/>
      <c r="AL172" s="237"/>
      <c r="AM172" s="237"/>
      <c r="AN172" s="237"/>
      <c r="AO172" s="237"/>
      <c r="AP172" s="237"/>
      <c r="AQ172" s="237"/>
      <c r="AR172" s="237"/>
      <c r="AS172" s="237"/>
      <c r="AT172" s="237"/>
      <c r="AU172" s="237"/>
      <c r="AV172" s="237"/>
      <c r="AW172" s="237"/>
    </row>
    <row r="173" spans="2:52">
      <c r="B173" s="58" t="str">
        <f t="shared" si="82"/>
        <v>Residential Seasonal</v>
      </c>
      <c r="C173" s="51">
        <f t="shared" ref="C173:R173" ca="1" si="84">C119/C135</f>
        <v>5708.0705125424975</v>
      </c>
      <c r="D173" s="51">
        <f t="shared" ca="1" si="84"/>
        <v>5996.5840297063332</v>
      </c>
      <c r="E173" s="51">
        <f t="shared" ca="1" si="84"/>
        <v>6387.1710604752498</v>
      </c>
      <c r="F173" s="51">
        <f t="shared" ca="1" si="84"/>
        <v>6618.570517148818</v>
      </c>
      <c r="G173" s="51">
        <f t="shared" ca="1" si="84"/>
        <v>7565.871371367115</v>
      </c>
      <c r="H173" s="51">
        <f t="shared" ca="1" si="84"/>
        <v>7707.5970113694293</v>
      </c>
      <c r="I173" s="51">
        <f t="shared" ca="1" si="84"/>
        <v>7709.782752737613</v>
      </c>
      <c r="J173" s="51">
        <f t="shared" ca="1" si="84"/>
        <v>7431.644438443016</v>
      </c>
      <c r="K173" s="51">
        <f t="shared" ca="1" si="84"/>
        <v>7470.9005262511255</v>
      </c>
      <c r="L173" s="51">
        <f t="shared" ca="1" si="84"/>
        <v>8177.6696418652473</v>
      </c>
      <c r="M173" s="51">
        <f t="shared" ca="1" si="84"/>
        <v>8173.5087131164564</v>
      </c>
      <c r="N173" s="51">
        <f t="shared" ca="1" si="84"/>
        <v>8469.9123315649122</v>
      </c>
      <c r="O173" s="51">
        <f t="shared" ca="1" si="84"/>
        <v>8719.6769074833392</v>
      </c>
      <c r="P173" s="51">
        <f t="shared" ca="1" si="84"/>
        <v>9010.012354143777</v>
      </c>
      <c r="Q173" s="51">
        <f t="shared" ca="1" si="84"/>
        <v>9355.5091509287467</v>
      </c>
      <c r="R173" s="59">
        <f t="shared" ca="1" si="84"/>
        <v>9664.3486273155249</v>
      </c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  <c r="AK173" s="237"/>
      <c r="AL173" s="237"/>
      <c r="AM173" s="237"/>
      <c r="AN173" s="237"/>
      <c r="AO173" s="237"/>
      <c r="AP173" s="237"/>
      <c r="AQ173" s="237"/>
      <c r="AR173" s="237"/>
      <c r="AS173" s="237"/>
      <c r="AT173" s="237"/>
      <c r="AU173" s="237"/>
      <c r="AV173" s="237"/>
      <c r="AW173" s="237"/>
    </row>
    <row r="174" spans="2:52">
      <c r="B174" s="58" t="str">
        <f t="shared" si="82"/>
        <v>GS&lt;50</v>
      </c>
      <c r="C174" s="51">
        <f t="shared" ref="C174:R174" ca="1" si="85">C120/C136</f>
        <v>31949.315377122981</v>
      </c>
      <c r="D174" s="51">
        <f t="shared" ca="1" si="85"/>
        <v>30645.756697159981</v>
      </c>
      <c r="E174" s="51">
        <f t="shared" ca="1" si="85"/>
        <v>31250.61104000366</v>
      </c>
      <c r="F174" s="51">
        <f t="shared" ca="1" si="85"/>
        <v>31509.604809698212</v>
      </c>
      <c r="G174" s="51">
        <f t="shared" ca="1" si="85"/>
        <v>28759.719274214742</v>
      </c>
      <c r="H174" s="51">
        <f t="shared" ca="1" si="85"/>
        <v>28558.760585981308</v>
      </c>
      <c r="I174" s="51">
        <f t="shared" ca="1" si="85"/>
        <v>29624.663321367607</v>
      </c>
      <c r="J174" s="51">
        <f t="shared" ca="1" si="85"/>
        <v>29223.937315954205</v>
      </c>
      <c r="K174" s="51">
        <f t="shared" ca="1" si="85"/>
        <v>27598.239859655583</v>
      </c>
      <c r="L174" s="51">
        <f t="shared" ca="1" si="85"/>
        <v>27922.869165241482</v>
      </c>
      <c r="M174" s="51">
        <f t="shared" ca="1" si="85"/>
        <v>29762.593549379362</v>
      </c>
      <c r="N174" s="51">
        <f t="shared" ca="1" si="85"/>
        <v>29533.638382765108</v>
      </c>
      <c r="O174" s="51">
        <f t="shared" ca="1" si="85"/>
        <v>29190.154096321214</v>
      </c>
      <c r="P174" s="51">
        <f t="shared" ca="1" si="85"/>
        <v>28942.094938666854</v>
      </c>
      <c r="Q174" s="51">
        <f t="shared" ca="1" si="85"/>
        <v>28727.231817657415</v>
      </c>
      <c r="R174" s="59">
        <f t="shared" ca="1" si="85"/>
        <v>28652.656673136007</v>
      </c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37"/>
      <c r="AQ174" s="237"/>
      <c r="AR174" s="237"/>
      <c r="AS174" s="237"/>
      <c r="AT174" s="237"/>
      <c r="AU174" s="237"/>
      <c r="AV174" s="237"/>
      <c r="AW174" s="237"/>
    </row>
    <row r="175" spans="2:52">
      <c r="B175" s="58" t="str">
        <f t="shared" si="82"/>
        <v>GS 50 - 2,999</v>
      </c>
      <c r="C175" s="51">
        <f t="shared" ref="C175:R175" ca="1" si="86">C121/C137</f>
        <v>893890.82186233636</v>
      </c>
      <c r="D175" s="51">
        <f t="shared" ca="1" si="86"/>
        <v>860664.46513014543</v>
      </c>
      <c r="E175" s="51">
        <f t="shared" ca="1" si="86"/>
        <v>882314.06834593159</v>
      </c>
      <c r="F175" s="51">
        <f t="shared" ca="1" si="86"/>
        <v>876237.87406418822</v>
      </c>
      <c r="G175" s="51">
        <f t="shared" ca="1" si="86"/>
        <v>826137.48178247851</v>
      </c>
      <c r="H175" s="51">
        <f t="shared" ca="1" si="86"/>
        <v>820533.05019698862</v>
      </c>
      <c r="I175" s="51">
        <f t="shared" ca="1" si="86"/>
        <v>849178.50399096496</v>
      </c>
      <c r="J175" s="51">
        <f t="shared" ca="1" si="86"/>
        <v>852893.47044725285</v>
      </c>
      <c r="K175" s="51">
        <f t="shared" ca="1" si="86"/>
        <v>863342.93882064417</v>
      </c>
      <c r="L175" s="51">
        <f t="shared" ca="1" si="86"/>
        <v>855791.89098794106</v>
      </c>
      <c r="M175" s="51">
        <f t="shared" ca="1" si="86"/>
        <v>866033.22845146956</v>
      </c>
      <c r="N175" s="51">
        <f t="shared" ca="1" si="86"/>
        <v>906691.64799755323</v>
      </c>
      <c r="O175" s="51">
        <f t="shared" ca="1" si="86"/>
        <v>912537.96265588468</v>
      </c>
      <c r="P175" s="51">
        <f t="shared" ca="1" si="86"/>
        <v>915059.74462788133</v>
      </c>
      <c r="Q175" s="51">
        <f t="shared" ca="1" si="86"/>
        <v>910690.1057606648</v>
      </c>
      <c r="R175" s="59">
        <f t="shared" ca="1" si="86"/>
        <v>910300.66512570158</v>
      </c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  <c r="AK175" s="237"/>
      <c r="AL175" s="237"/>
      <c r="AM175" s="237"/>
      <c r="AN175" s="237"/>
      <c r="AO175" s="237"/>
      <c r="AP175" s="237"/>
      <c r="AQ175" s="237"/>
      <c r="AR175" s="237"/>
      <c r="AS175" s="237"/>
      <c r="AT175" s="237"/>
      <c r="AU175" s="237"/>
      <c r="AV175" s="237"/>
      <c r="AW175" s="237"/>
    </row>
    <row r="176" spans="2:52">
      <c r="B176" s="58" t="str">
        <f t="shared" si="82"/>
        <v>GS 3,000 - 4,999</v>
      </c>
      <c r="C176" s="51">
        <f t="shared" ref="C176:R176" ca="1" si="87">C122/C138</f>
        <v>19822596.294227004</v>
      </c>
      <c r="D176" s="51">
        <f t="shared" ca="1" si="87"/>
        <v>20924129.010277841</v>
      </c>
      <c r="E176" s="51">
        <f t="shared" ca="1" si="87"/>
        <v>21496758.229124743</v>
      </c>
      <c r="F176" s="51">
        <f t="shared" ca="1" si="87"/>
        <v>23842828.154609054</v>
      </c>
      <c r="G176" s="51">
        <f t="shared" ca="1" si="87"/>
        <v>22347085.833843671</v>
      </c>
      <c r="H176" s="51">
        <f t="shared" ca="1" si="87"/>
        <v>21081086.470037337</v>
      </c>
      <c r="I176" s="51">
        <f t="shared" ca="1" si="87"/>
        <v>22515023.248027578</v>
      </c>
      <c r="J176" s="51">
        <f t="shared" ca="1" si="87"/>
        <v>23559498.081537738</v>
      </c>
      <c r="K176" s="51">
        <f t="shared" ca="1" si="87"/>
        <v>21771488.888928726</v>
      </c>
      <c r="L176" s="51">
        <f t="shared" ca="1" si="87"/>
        <v>21859994.408473291</v>
      </c>
      <c r="M176" s="51">
        <f t="shared" ca="1" si="87"/>
        <v>20108342.163327992</v>
      </c>
      <c r="N176" s="51">
        <f t="shared" ca="1" si="87"/>
        <v>19093791.741546933</v>
      </c>
      <c r="O176" s="51">
        <f t="shared" ca="1" si="87"/>
        <v>19585621.129621696</v>
      </c>
      <c r="P176" s="51">
        <f t="shared" ca="1" si="87"/>
        <v>20387658.145256005</v>
      </c>
      <c r="Q176" s="51">
        <f t="shared" ca="1" si="87"/>
        <v>21023612.53793649</v>
      </c>
      <c r="R176" s="59">
        <f t="shared" ca="1" si="87"/>
        <v>21816154.25494498</v>
      </c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  <c r="AL176" s="237"/>
      <c r="AM176" s="237"/>
      <c r="AN176" s="237"/>
      <c r="AO176" s="237"/>
      <c r="AP176" s="237"/>
      <c r="AQ176" s="237"/>
      <c r="AR176" s="237"/>
      <c r="AS176" s="237"/>
      <c r="AT176" s="237"/>
      <c r="AU176" s="237"/>
      <c r="AV176" s="237"/>
      <c r="AW176" s="237"/>
    </row>
    <row r="177" spans="2:49">
      <c r="B177" s="58" t="str">
        <f t="shared" si="82"/>
        <v>Large Use</v>
      </c>
      <c r="C177" s="51">
        <f t="shared" ref="C177:R177" ca="1" si="88">C123/C139</f>
        <v>71429940.16233182</v>
      </c>
      <c r="D177" s="51">
        <f t="shared" ca="1" si="88"/>
        <v>74097498.445358202</v>
      </c>
      <c r="E177" s="51">
        <f t="shared" ca="1" si="88"/>
        <v>70156073.718932137</v>
      </c>
      <c r="F177" s="51">
        <f t="shared" ca="1" si="88"/>
        <v>64443780.782576352</v>
      </c>
      <c r="G177" s="51">
        <f t="shared" ca="1" si="88"/>
        <v>65598192.910014272</v>
      </c>
      <c r="H177" s="51">
        <f t="shared" ca="1" si="88"/>
        <v>70703909.841545328</v>
      </c>
      <c r="I177" s="51">
        <f t="shared" ca="1" si="88"/>
        <v>71794588.243473873</v>
      </c>
      <c r="J177" s="51">
        <f t="shared" ca="1" si="88"/>
        <v>66447688.048914276</v>
      </c>
      <c r="K177" s="51">
        <f t="shared" ca="1" si="88"/>
        <v>63927929.71603249</v>
      </c>
      <c r="L177" s="51">
        <f t="shared" ca="1" si="88"/>
        <v>64048685.74728632</v>
      </c>
      <c r="M177" s="51">
        <f t="shared" ca="1" si="88"/>
        <v>65936365.552757725</v>
      </c>
      <c r="N177" s="51">
        <f t="shared" ca="1" si="88"/>
        <v>72529039.838187426</v>
      </c>
      <c r="O177" s="51">
        <f t="shared" ca="1" si="88"/>
        <v>81865375.063914269</v>
      </c>
      <c r="P177" s="51">
        <f t="shared" ca="1" si="88"/>
        <v>88474738.880397201</v>
      </c>
      <c r="Q177" s="51">
        <f t="shared" ca="1" si="88"/>
        <v>89762344.903164461</v>
      </c>
      <c r="R177" s="59">
        <f t="shared" ca="1" si="88"/>
        <v>90597421.355812579</v>
      </c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  <c r="AL177" s="237"/>
      <c r="AM177" s="237"/>
      <c r="AN177" s="237"/>
      <c r="AO177" s="237"/>
      <c r="AP177" s="237"/>
      <c r="AQ177" s="237"/>
      <c r="AR177" s="237"/>
      <c r="AS177" s="237"/>
      <c r="AT177" s="237"/>
      <c r="AU177" s="237"/>
      <c r="AV177" s="237"/>
      <c r="AW177" s="237"/>
    </row>
    <row r="178" spans="2:49">
      <c r="B178" s="58" t="str">
        <f t="shared" si="82"/>
        <v>Street Light</v>
      </c>
      <c r="C178" s="51">
        <f t="shared" ref="C178:R178" ca="1" si="89">C124/C140</f>
        <v>638.29798799419575</v>
      </c>
      <c r="D178" s="51">
        <f t="shared" ca="1" si="89"/>
        <v>574.24747944009937</v>
      </c>
      <c r="E178" s="51">
        <f t="shared" ca="1" si="89"/>
        <v>443.89087878310386</v>
      </c>
      <c r="F178" s="51">
        <f t="shared" ca="1" si="89"/>
        <v>378.82124937794163</v>
      </c>
      <c r="G178" s="51">
        <f t="shared" ca="1" si="89"/>
        <v>331.00156451657233</v>
      </c>
      <c r="H178" s="51">
        <f t="shared" ca="1" si="89"/>
        <v>318.95734138708906</v>
      </c>
      <c r="I178" s="51">
        <f t="shared" ca="1" si="89"/>
        <v>322.05704353473618</v>
      </c>
      <c r="J178" s="51">
        <f t="shared" ca="1" si="89"/>
        <v>324.64113081678579</v>
      </c>
      <c r="K178" s="51">
        <f t="shared" ca="1" si="89"/>
        <v>325.96406774519443</v>
      </c>
      <c r="L178" s="51">
        <f t="shared" ca="1" si="89"/>
        <v>324.24032635993206</v>
      </c>
      <c r="M178" s="51">
        <f t="shared" ca="1" si="89"/>
        <v>340.11304033447658</v>
      </c>
      <c r="N178" s="51">
        <f t="shared" ca="1" si="89"/>
        <v>341.346376437461</v>
      </c>
      <c r="O178" s="51">
        <f t="shared" ca="1" si="89"/>
        <v>341.62843252981986</v>
      </c>
      <c r="P178" s="51">
        <f t="shared" ca="1" si="89"/>
        <v>340.53288204115523</v>
      </c>
      <c r="Q178" s="51">
        <f t="shared" ca="1" si="89"/>
        <v>339.88996253588925</v>
      </c>
      <c r="R178" s="59">
        <f t="shared" ca="1" si="89"/>
        <v>339.17390403992044</v>
      </c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  <c r="AL178" s="237"/>
      <c r="AM178" s="237"/>
      <c r="AN178" s="237"/>
      <c r="AO178" s="237"/>
      <c r="AP178" s="237"/>
      <c r="AQ178" s="237"/>
      <c r="AR178" s="237"/>
      <c r="AS178" s="237"/>
      <c r="AT178" s="237"/>
      <c r="AU178" s="237"/>
      <c r="AV178" s="237"/>
      <c r="AW178" s="237"/>
    </row>
    <row r="179" spans="2:49">
      <c r="B179" s="58" t="str">
        <f t="shared" si="82"/>
        <v>Sentinel Light</v>
      </c>
      <c r="C179" s="51">
        <f t="shared" ref="C179:R179" ca="1" si="90">C125/C141</f>
        <v>833.45397489539744</v>
      </c>
      <c r="D179" s="51">
        <f t="shared" ca="1" si="90"/>
        <v>797.58373331006203</v>
      </c>
      <c r="E179" s="51">
        <f t="shared" ca="1" si="90"/>
        <v>606.40139921294269</v>
      </c>
      <c r="F179" s="51">
        <f t="shared" ca="1" si="90"/>
        <v>677.31867648675416</v>
      </c>
      <c r="G179" s="51">
        <f t="shared" ca="1" si="90"/>
        <v>879.27086007702178</v>
      </c>
      <c r="H179" s="51">
        <f t="shared" ca="1" si="90"/>
        <v>876.16480686695297</v>
      </c>
      <c r="I179" s="51">
        <f t="shared" ca="1" si="90"/>
        <v>807.66744390673261</v>
      </c>
      <c r="J179" s="51">
        <f t="shared" ca="1" si="90"/>
        <v>826.05144309832883</v>
      </c>
      <c r="K179" s="51">
        <f t="shared" ca="1" si="90"/>
        <v>324.16458545857398</v>
      </c>
      <c r="L179" s="51">
        <f t="shared" ca="1" si="90"/>
        <v>328.59493691853243</v>
      </c>
      <c r="M179" s="51">
        <f t="shared" ca="1" si="90"/>
        <v>335.03846591804421</v>
      </c>
      <c r="N179" s="51">
        <f t="shared" ca="1" si="90"/>
        <v>335.55635294343483</v>
      </c>
      <c r="O179" s="51">
        <f t="shared" ca="1" si="90"/>
        <v>336.71302220063438</v>
      </c>
      <c r="P179" s="51">
        <f t="shared" ca="1" si="90"/>
        <v>337.20344065981504</v>
      </c>
      <c r="Q179" s="51">
        <f t="shared" ca="1" si="90"/>
        <v>337.09944931780433</v>
      </c>
      <c r="R179" s="59">
        <f t="shared" ca="1" si="90"/>
        <v>329.63788810600784</v>
      </c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  <c r="AK179" s="237"/>
      <c r="AL179" s="237"/>
      <c r="AM179" s="237"/>
      <c r="AN179" s="237"/>
      <c r="AO179" s="237"/>
      <c r="AP179" s="237"/>
      <c r="AQ179" s="237"/>
      <c r="AR179" s="237"/>
      <c r="AS179" s="237"/>
      <c r="AT179" s="237"/>
      <c r="AU179" s="237"/>
      <c r="AV179" s="237"/>
      <c r="AW179" s="237"/>
    </row>
    <row r="180" spans="2:49">
      <c r="B180" s="58" t="str">
        <f t="shared" si="82"/>
        <v>USL</v>
      </c>
      <c r="C180" s="51">
        <f t="shared" ref="C180:R180" ca="1" si="91">C126/C142</f>
        <v>4397.6329735283571</v>
      </c>
      <c r="D180" s="51">
        <f t="shared" ca="1" si="91"/>
        <v>4401.2473648370033</v>
      </c>
      <c r="E180" s="51">
        <f t="shared" ca="1" si="91"/>
        <v>4389.6679240464291</v>
      </c>
      <c r="F180" s="51">
        <f t="shared" ca="1" si="91"/>
        <v>4353.6070450796678</v>
      </c>
      <c r="G180" s="51">
        <f t="shared" ca="1" si="91"/>
        <v>5344.6038912350559</v>
      </c>
      <c r="H180" s="51">
        <f t="shared" ca="1" si="91"/>
        <v>5402.8597971565196</v>
      </c>
      <c r="I180" s="51">
        <f t="shared" ca="1" si="91"/>
        <v>5381.5468920902131</v>
      </c>
      <c r="J180" s="51">
        <f t="shared" ca="1" si="91"/>
        <v>5351.0241940724763</v>
      </c>
      <c r="K180" s="51">
        <f t="shared" ca="1" si="91"/>
        <v>5490.3273832960203</v>
      </c>
      <c r="L180" s="51">
        <f t="shared" ca="1" si="91"/>
        <v>5476.9568767699011</v>
      </c>
      <c r="M180" s="51">
        <f t="shared" ca="1" si="91"/>
        <v>5575.5262123682305</v>
      </c>
      <c r="N180" s="51">
        <f t="shared" ca="1" si="91"/>
        <v>5590.1901646170718</v>
      </c>
      <c r="O180" s="51">
        <f t="shared" ca="1" si="91"/>
        <v>5567.2673341371055</v>
      </c>
      <c r="P180" s="51">
        <f t="shared" ca="1" si="91"/>
        <v>5539.0036800668549</v>
      </c>
      <c r="Q180" s="51">
        <f t="shared" ca="1" si="91"/>
        <v>5522.5369483620434</v>
      </c>
      <c r="R180" s="59">
        <f t="shared" ca="1" si="91"/>
        <v>5518.2154419756525</v>
      </c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  <c r="AL180" s="237"/>
      <c r="AM180" s="237"/>
      <c r="AN180" s="237"/>
      <c r="AO180" s="237"/>
      <c r="AP180" s="237"/>
      <c r="AQ180" s="237"/>
      <c r="AR180" s="237"/>
      <c r="AS180" s="237"/>
      <c r="AT180" s="237"/>
      <c r="AU180" s="237"/>
      <c r="AV180" s="237"/>
      <c r="AW180" s="237"/>
    </row>
    <row r="181" spans="2:49" ht="15" thickBot="1">
      <c r="B181" s="57" t="str">
        <f t="shared" si="82"/>
        <v>Total kWh</v>
      </c>
      <c r="C181" s="640"/>
      <c r="D181" s="640"/>
      <c r="E181" s="640"/>
      <c r="F181" s="640"/>
      <c r="G181" s="640"/>
      <c r="H181" s="640"/>
      <c r="I181" s="640"/>
      <c r="J181" s="640"/>
      <c r="K181" s="640"/>
      <c r="L181" s="640"/>
      <c r="M181" s="640"/>
      <c r="N181" s="640"/>
      <c r="O181" s="640"/>
      <c r="P181" s="640"/>
      <c r="Q181" s="640"/>
      <c r="R181" s="56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  <c r="AK181" s="237"/>
      <c r="AL181" s="237"/>
      <c r="AM181" s="237"/>
      <c r="AN181" s="237"/>
      <c r="AO181" s="237"/>
      <c r="AP181" s="237"/>
      <c r="AQ181" s="237"/>
      <c r="AR181" s="237"/>
      <c r="AS181" s="237"/>
      <c r="AT181" s="237"/>
      <c r="AU181" s="237"/>
      <c r="AV181" s="237"/>
      <c r="AW181" s="237"/>
    </row>
    <row r="182" spans="2:49">
      <c r="B182" s="58" t="str">
        <f t="shared" si="82"/>
        <v>GS 50 - 2,999</v>
      </c>
      <c r="C182" s="51">
        <f t="shared" ref="C182:R182" ca="1" si="92">C128/C137</f>
        <v>2242.0909898989903</v>
      </c>
      <c r="D182" s="51">
        <f t="shared" ca="1" si="92"/>
        <v>2166.1944465073093</v>
      </c>
      <c r="E182" s="51">
        <f t="shared" ca="1" si="92"/>
        <v>2197.7239598778892</v>
      </c>
      <c r="F182" s="51">
        <f t="shared" ca="1" si="92"/>
        <v>2174.3644260060446</v>
      </c>
      <c r="G182" s="51">
        <f t="shared" ca="1" si="92"/>
        <v>2081.6570064538942</v>
      </c>
      <c r="H182" s="51">
        <f t="shared" ca="1" si="92"/>
        <v>2044.3854362764903</v>
      </c>
      <c r="I182" s="51">
        <f t="shared" ca="1" si="92"/>
        <v>2137.8174489258327</v>
      </c>
      <c r="J182" s="51">
        <f t="shared" ca="1" si="92"/>
        <v>2115.5783843682761</v>
      </c>
      <c r="K182" s="51">
        <f t="shared" ca="1" si="92"/>
        <v>2050.0310718499127</v>
      </c>
      <c r="L182" s="51">
        <f t="shared" ca="1" si="92"/>
        <v>2034.6966992253283</v>
      </c>
      <c r="M182" s="51">
        <f t="shared" ca="1" si="92"/>
        <v>2116.0942216366461</v>
      </c>
      <c r="N182" s="51">
        <f t="shared" ca="1" si="92"/>
        <v>2225.1253710258525</v>
      </c>
      <c r="O182" s="51">
        <f t="shared" ca="1" si="92"/>
        <v>2251.0423471053973</v>
      </c>
      <c r="P182" s="51">
        <f t="shared" ca="1" si="92"/>
        <v>2270.0976492447753</v>
      </c>
      <c r="Q182" s="51">
        <f t="shared" ca="1" si="92"/>
        <v>2273.3621069384335</v>
      </c>
      <c r="R182" s="59">
        <f t="shared" ca="1" si="92"/>
        <v>2286.218234849694</v>
      </c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  <c r="AL182" s="237"/>
      <c r="AM182" s="237"/>
      <c r="AN182" s="237"/>
      <c r="AO182" s="237"/>
      <c r="AP182" s="237"/>
      <c r="AQ182" s="237"/>
      <c r="AR182" s="237"/>
      <c r="AS182" s="237"/>
      <c r="AT182" s="237"/>
      <c r="AU182" s="237"/>
      <c r="AV182" s="237"/>
      <c r="AW182" s="237"/>
    </row>
    <row r="183" spans="2:49">
      <c r="B183" s="58" t="str">
        <f t="shared" si="82"/>
        <v>GS 3,000 - 4,999</v>
      </c>
      <c r="C183" s="51">
        <f t="shared" ref="C183:R183" ca="1" si="93">C129/C138</f>
        <v>45356.157142857141</v>
      </c>
      <c r="D183" s="51">
        <f t="shared" ca="1" si="93"/>
        <v>41503.861428571436</v>
      </c>
      <c r="E183" s="51">
        <f t="shared" ca="1" si="93"/>
        <v>43433.267142857141</v>
      </c>
      <c r="F183" s="51">
        <f t="shared" ca="1" si="93"/>
        <v>48998.124285714286</v>
      </c>
      <c r="G183" s="51">
        <f t="shared" ca="1" si="93"/>
        <v>45008.592265193372</v>
      </c>
      <c r="H183" s="51">
        <f t="shared" ca="1" si="93"/>
        <v>43102.55882926831</v>
      </c>
      <c r="I183" s="51">
        <f t="shared" ca="1" si="93"/>
        <v>46475.056551724127</v>
      </c>
      <c r="J183" s="51">
        <f t="shared" ca="1" si="93"/>
        <v>49337.467499999999</v>
      </c>
      <c r="K183" s="51">
        <f t="shared" ca="1" si="93"/>
        <v>47004.722500000003</v>
      </c>
      <c r="L183" s="51">
        <f t="shared" ca="1" si="93"/>
        <v>46209.567500000005</v>
      </c>
      <c r="M183" s="51">
        <f t="shared" ca="1" si="93"/>
        <v>42569.101785120503</v>
      </c>
      <c r="N183" s="51">
        <f t="shared" ca="1" si="93"/>
        <v>40784.068288831106</v>
      </c>
      <c r="O183" s="51">
        <f t="shared" ca="1" si="93"/>
        <v>42236.013287341375</v>
      </c>
      <c r="P183" s="51">
        <f t="shared" ca="1" si="93"/>
        <v>44308.69939116334</v>
      </c>
      <c r="Q183" s="51">
        <f t="shared" ca="1" si="93"/>
        <v>45951.465084425894</v>
      </c>
      <c r="R183" s="59">
        <f t="shared" ca="1" si="93"/>
        <v>47989.362214382731</v>
      </c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  <c r="AN183" s="237"/>
      <c r="AO183" s="237"/>
      <c r="AP183" s="237"/>
      <c r="AQ183" s="237"/>
      <c r="AR183" s="237"/>
      <c r="AS183" s="237"/>
      <c r="AT183" s="237"/>
      <c r="AU183" s="237"/>
      <c r="AV183" s="237"/>
      <c r="AW183" s="237"/>
    </row>
    <row r="184" spans="2:49">
      <c r="B184" s="58" t="str">
        <f t="shared" si="82"/>
        <v>Large Use</v>
      </c>
      <c r="C184" s="51">
        <f t="shared" ref="C184:R184" ca="1" si="94">C130/C139</f>
        <v>140586</v>
      </c>
      <c r="D184" s="51">
        <f t="shared" ca="1" si="94"/>
        <v>127622</v>
      </c>
      <c r="E184" s="51">
        <f t="shared" ca="1" si="94"/>
        <v>119446.02352941174</v>
      </c>
      <c r="F184" s="51">
        <f t="shared" ca="1" si="94"/>
        <v>108353.5</v>
      </c>
      <c r="G184" s="51">
        <f t="shared" ca="1" si="94"/>
        <v>113314.25</v>
      </c>
      <c r="H184" s="51">
        <f t="shared" ca="1" si="94"/>
        <v>120391.75</v>
      </c>
      <c r="I184" s="51">
        <f t="shared" ca="1" si="94"/>
        <v>122613</v>
      </c>
      <c r="J184" s="51">
        <f t="shared" ca="1" si="94"/>
        <v>114140.7588990826</v>
      </c>
      <c r="K184" s="51">
        <f t="shared" ca="1" si="94"/>
        <v>106502.018</v>
      </c>
      <c r="L184" s="51">
        <f t="shared" ca="1" si="94"/>
        <v>107825.728</v>
      </c>
      <c r="M184" s="51">
        <f t="shared" ca="1" si="94"/>
        <v>112000.77381498717</v>
      </c>
      <c r="N184" s="51">
        <f t="shared" ca="1" si="94"/>
        <v>123976.83545104148</v>
      </c>
      <c r="O184" s="51">
        <f t="shared" ca="1" si="94"/>
        <v>141154.12397652885</v>
      </c>
      <c r="P184" s="51">
        <f t="shared" ca="1" si="94"/>
        <v>153650.63889106171</v>
      </c>
      <c r="Q184" s="51">
        <f t="shared" ca="1" si="94"/>
        <v>156949.5520132925</v>
      </c>
      <c r="R184" s="59">
        <f t="shared" ca="1" si="94"/>
        <v>159442.9495659103</v>
      </c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  <c r="AU184" s="237"/>
      <c r="AV184" s="237"/>
      <c r="AW184" s="237"/>
    </row>
    <row r="185" spans="2:49">
      <c r="B185" s="58" t="str">
        <f t="shared" si="82"/>
        <v>Street Light</v>
      </c>
      <c r="C185" s="238">
        <f t="shared" ref="C185:R185" ca="1" si="95">C131/C140</f>
        <v>1.759612778084481</v>
      </c>
      <c r="D185" s="238">
        <f t="shared" ca="1" si="95"/>
        <v>1.5987107221161745</v>
      </c>
      <c r="E185" s="238">
        <f t="shared" ca="1" si="95"/>
        <v>1.2317741317441946</v>
      </c>
      <c r="F185" s="238">
        <f t="shared" ca="1" si="95"/>
        <v>1.0486810717207138</v>
      </c>
      <c r="G185" s="238">
        <f t="shared" ca="1" si="95"/>
        <v>0.92880472545788517</v>
      </c>
      <c r="H185" s="238">
        <f t="shared" ca="1" si="95"/>
        <v>0.90562798323377192</v>
      </c>
      <c r="I185" s="238">
        <f t="shared" ca="1" si="95"/>
        <v>0.89941817262078938</v>
      </c>
      <c r="J185" s="238">
        <f t="shared" ca="1" si="95"/>
        <v>0.90554140127388572</v>
      </c>
      <c r="K185" s="238">
        <f t="shared" ca="1" si="95"/>
        <v>0.9059660207680782</v>
      </c>
      <c r="L185" s="238">
        <f t="shared" ca="1" si="95"/>
        <v>0.90362467510823774</v>
      </c>
      <c r="M185" s="238">
        <f t="shared" ca="1" si="95"/>
        <v>0.94783946424030208</v>
      </c>
      <c r="N185" s="238">
        <f t="shared" ca="1" si="95"/>
        <v>0.95127247938796622</v>
      </c>
      <c r="O185" s="238">
        <f t="shared" ca="1" si="95"/>
        <v>0.95205441222922804</v>
      </c>
      <c r="P185" s="238">
        <f t="shared" ca="1" si="95"/>
        <v>0.9489972099571834</v>
      </c>
      <c r="Q185" s="238">
        <f t="shared" ca="1" si="95"/>
        <v>0.94720140740585945</v>
      </c>
      <c r="R185" s="239">
        <f t="shared" ca="1" si="95"/>
        <v>0.94520178494740403</v>
      </c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  <c r="AP185" s="237"/>
      <c r="AQ185" s="237"/>
      <c r="AR185" s="237"/>
      <c r="AS185" s="237"/>
      <c r="AT185" s="237"/>
      <c r="AU185" s="237"/>
      <c r="AV185" s="237"/>
      <c r="AW185" s="237"/>
    </row>
    <row r="186" spans="2:49">
      <c r="B186" s="58" t="str">
        <f t="shared" si="82"/>
        <v>Sentinel Light</v>
      </c>
      <c r="C186" s="238">
        <f t="shared" ref="C186:R186" ca="1" si="96">C132/C141</f>
        <v>2.3138075313807533</v>
      </c>
      <c r="D186" s="238">
        <f t="shared" ca="1" si="96"/>
        <v>2.2096168950170174</v>
      </c>
      <c r="E186" s="238">
        <f t="shared" ca="1" si="96"/>
        <v>1.6937472671622213</v>
      </c>
      <c r="F186" s="238">
        <f t="shared" ca="1" si="96"/>
        <v>1.8863361547763007</v>
      </c>
      <c r="G186" s="238">
        <f t="shared" ca="1" si="96"/>
        <v>2.4441591784338894</v>
      </c>
      <c r="H186" s="238">
        <f t="shared" ca="1" si="96"/>
        <v>2.4137339055793996</v>
      </c>
      <c r="I186" s="238">
        <f t="shared" ca="1" si="96"/>
        <v>2.3805044890979046</v>
      </c>
      <c r="J186" s="238">
        <f t="shared" ca="1" si="96"/>
        <v>2.4235429890363536</v>
      </c>
      <c r="K186" s="238">
        <f t="shared" ca="1" si="96"/>
        <v>2.4140969162995591</v>
      </c>
      <c r="L186" s="238">
        <f t="shared" ca="1" si="96"/>
        <v>2.4489770142442127</v>
      </c>
      <c r="M186" s="238">
        <f t="shared" ca="1" si="96"/>
        <v>2.5018820663999648</v>
      </c>
      <c r="N186" s="238">
        <f t="shared" ca="1" si="96"/>
        <v>2.5107860450250294</v>
      </c>
      <c r="O186" s="238">
        <f t="shared" ca="1" si="96"/>
        <v>2.5246458609196729</v>
      </c>
      <c r="P186" s="238">
        <f t="shared" ca="1" si="96"/>
        <v>2.5336905829792249</v>
      </c>
      <c r="Q186" s="238">
        <f t="shared" ca="1" si="96"/>
        <v>2.538433757071374</v>
      </c>
      <c r="R186" s="239">
        <f t="shared" ca="1" si="96"/>
        <v>2.4878075496426</v>
      </c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  <c r="AU186" s="237"/>
      <c r="AV186" s="237"/>
      <c r="AW186" s="237"/>
    </row>
    <row r="187" spans="2:49" ht="15" thickBot="1">
      <c r="B187" s="57" t="str">
        <f t="shared" si="82"/>
        <v>Total kW</v>
      </c>
      <c r="C187" s="640"/>
      <c r="D187" s="640"/>
      <c r="E187" s="640"/>
      <c r="F187" s="640"/>
      <c r="G187" s="640"/>
      <c r="H187" s="640"/>
      <c r="I187" s="640"/>
      <c r="J187" s="640"/>
      <c r="K187" s="640"/>
      <c r="L187" s="640"/>
      <c r="M187" s="640"/>
      <c r="N187" s="640"/>
      <c r="O187" s="640"/>
      <c r="P187" s="640"/>
      <c r="Q187" s="640"/>
      <c r="R187" s="56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  <c r="AS187" s="237"/>
      <c r="AT187" s="237"/>
      <c r="AU187" s="237"/>
      <c r="AV187" s="237"/>
      <c r="AW187" s="237"/>
    </row>
    <row r="188" spans="2:49">
      <c r="B188" s="237"/>
      <c r="C188" s="237"/>
      <c r="D188" s="237"/>
      <c r="E188" s="237"/>
      <c r="F188" s="237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  <c r="AS188" s="237"/>
      <c r="AT188" s="237"/>
      <c r="AU188" s="237"/>
      <c r="AV188" s="237"/>
      <c r="AW188" s="237"/>
    </row>
    <row r="189" spans="2:49">
      <c r="B189" s="237"/>
      <c r="C189" s="237"/>
      <c r="D189" s="237"/>
      <c r="E189" s="237"/>
      <c r="F189" s="237"/>
      <c r="G189" s="237"/>
      <c r="H189" s="237"/>
      <c r="I189" s="237"/>
      <c r="J189" s="237"/>
      <c r="K189" s="237"/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37"/>
      <c r="AH189" s="237"/>
      <c r="AI189" s="237"/>
      <c r="AJ189" s="237"/>
      <c r="AK189" s="237"/>
      <c r="AL189" s="237"/>
      <c r="AM189" s="237"/>
      <c r="AN189" s="237"/>
      <c r="AO189" s="237"/>
      <c r="AP189" s="237"/>
      <c r="AQ189" s="237"/>
      <c r="AR189" s="237"/>
      <c r="AS189" s="237"/>
      <c r="AT189" s="237"/>
      <c r="AU189" s="237"/>
      <c r="AV189" s="237"/>
      <c r="AW189" s="237"/>
    </row>
    <row r="190" spans="2:49" ht="16" thickBot="1">
      <c r="B190" s="64" t="s">
        <v>876</v>
      </c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  <c r="AS190" s="237"/>
      <c r="AT190" s="237"/>
      <c r="AU190" s="237"/>
      <c r="AV190" s="237"/>
      <c r="AW190" s="237"/>
    </row>
    <row r="191" spans="2:49" ht="26">
      <c r="B191" s="55" t="str">
        <f>B171</f>
        <v>kWh</v>
      </c>
      <c r="C191" s="54" t="str">
        <f t="shared" ref="C191:R191" si="97">C171</f>
        <v>2016 Actual</v>
      </c>
      <c r="D191" s="54" t="str">
        <f t="shared" si="97"/>
        <v>2017 Actual</v>
      </c>
      <c r="E191" s="54" t="str">
        <f t="shared" si="97"/>
        <v>2018 Actual</v>
      </c>
      <c r="F191" s="54" t="str">
        <f t="shared" si="97"/>
        <v>2019 Actual</v>
      </c>
      <c r="G191" s="54" t="str">
        <f t="shared" si="97"/>
        <v>2020 Actual</v>
      </c>
      <c r="H191" s="54" t="str">
        <f t="shared" si="97"/>
        <v>2021 Actual</v>
      </c>
      <c r="I191" s="54" t="str">
        <f t="shared" si="97"/>
        <v>2022 Actual</v>
      </c>
      <c r="J191" s="54" t="str">
        <f t="shared" si="97"/>
        <v>2023 Actual</v>
      </c>
      <c r="K191" s="54" t="str">
        <f t="shared" si="97"/>
        <v>2024 Actual</v>
      </c>
      <c r="L191" s="54" t="str">
        <f t="shared" si="97"/>
        <v>2025 Actual</v>
      </c>
      <c r="M191" s="54" t="str">
        <f t="shared" si="97"/>
        <v>2026 Forecast</v>
      </c>
      <c r="N191" s="54" t="str">
        <f t="shared" si="97"/>
        <v>2027 Forecast</v>
      </c>
      <c r="O191" s="54" t="str">
        <f t="shared" si="97"/>
        <v>2028 Forecast</v>
      </c>
      <c r="P191" s="54" t="str">
        <f t="shared" si="97"/>
        <v>2029 Forecast</v>
      </c>
      <c r="Q191" s="54" t="str">
        <f t="shared" si="97"/>
        <v>2030 Forecast</v>
      </c>
      <c r="R191" s="53" t="str">
        <f t="shared" si="97"/>
        <v>2031 Forecast</v>
      </c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  <c r="AS191" s="237"/>
      <c r="AT191" s="237"/>
      <c r="AU191" s="237"/>
      <c r="AV191" s="237"/>
      <c r="AW191" s="237"/>
    </row>
    <row r="192" spans="2:49">
      <c r="B192" s="58" t="str">
        <f t="shared" ref="B192:B206" si="98">B172</f>
        <v>Residential</v>
      </c>
      <c r="C192" s="240"/>
      <c r="D192" s="240">
        <f t="shared" ref="D192:R200" ca="1" si="99">D172/C172-1</f>
        <v>-7.1894032121227136E-2</v>
      </c>
      <c r="E192" s="240">
        <f t="shared" ca="1" si="99"/>
        <v>7.3081597011230182E-2</v>
      </c>
      <c r="F192" s="240">
        <f t="shared" ca="1" si="99"/>
        <v>-4.3944776532905405E-2</v>
      </c>
      <c r="G192" s="240">
        <f t="shared" ca="1" si="99"/>
        <v>7.5194851705771892E-2</v>
      </c>
      <c r="H192" s="240">
        <f t="shared" ca="1" si="99"/>
        <v>-1.6612796360759075E-2</v>
      </c>
      <c r="I192" s="240">
        <f t="shared" ca="1" si="99"/>
        <v>-2.0931846923544106E-2</v>
      </c>
      <c r="J192" s="240">
        <f t="shared" ca="1" si="99"/>
        <v>-2.2405153556825153E-2</v>
      </c>
      <c r="K192" s="240">
        <f t="shared" ca="1" si="99"/>
        <v>2.9659530860608019E-2</v>
      </c>
      <c r="L192" s="240">
        <f t="shared" ca="1" si="99"/>
        <v>1.3306335330041552E-2</v>
      </c>
      <c r="M192" s="240">
        <f t="shared" ca="1" si="99"/>
        <v>8.1494310885843468E-3</v>
      </c>
      <c r="N192" s="240">
        <f t="shared" ca="1" si="99"/>
        <v>2.6046127321697199E-3</v>
      </c>
      <c r="O192" s="240">
        <f t="shared" ca="1" si="99"/>
        <v>1.8794108972814971E-3</v>
      </c>
      <c r="P192" s="240">
        <f t="shared" ca="1" si="99"/>
        <v>4.3400278477667698E-4</v>
      </c>
      <c r="Q192" s="240">
        <f t="shared" ca="1" si="99"/>
        <v>5.3760192732412726E-3</v>
      </c>
      <c r="R192" s="241">
        <f t="shared" ca="1" si="99"/>
        <v>6.2835583267932815E-3</v>
      </c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  <c r="AS192" s="237"/>
      <c r="AT192" s="237"/>
      <c r="AU192" s="237"/>
      <c r="AV192" s="237"/>
      <c r="AW192" s="237"/>
    </row>
    <row r="193" spans="2:49">
      <c r="B193" s="58" t="str">
        <f t="shared" si="98"/>
        <v>Residential Seasonal</v>
      </c>
      <c r="C193" s="240"/>
      <c r="D193" s="240">
        <f t="shared" ref="D193:Q193" ca="1" si="100">D173/C173-1</f>
        <v>5.0544841120984341E-2</v>
      </c>
      <c r="E193" s="240">
        <f t="shared" ca="1" si="100"/>
        <v>6.5134921621042396E-2</v>
      </c>
      <c r="F193" s="240">
        <f t="shared" ca="1" si="100"/>
        <v>3.6228786497593868E-2</v>
      </c>
      <c r="G193" s="240">
        <f t="shared" ca="1" si="100"/>
        <v>0.14312771190755247</v>
      </c>
      <c r="H193" s="240">
        <f t="shared" ca="1" si="100"/>
        <v>1.8732229646233778E-2</v>
      </c>
      <c r="I193" s="240">
        <f t="shared" ca="1" si="100"/>
        <v>2.8358272558359765E-4</v>
      </c>
      <c r="J193" s="240">
        <f t="shared" ca="1" si="100"/>
        <v>-3.6076024865400402E-2</v>
      </c>
      <c r="K193" s="240">
        <f t="shared" ca="1" si="100"/>
        <v>5.2822882113470193E-3</v>
      </c>
      <c r="L193" s="240">
        <f t="shared" ca="1" si="100"/>
        <v>9.4602934831040653E-2</v>
      </c>
      <c r="M193" s="240">
        <f t="shared" ca="1" si="100"/>
        <v>-5.0881595014418135E-4</v>
      </c>
      <c r="N193" s="240">
        <f t="shared" ca="1" si="100"/>
        <v>3.6263938640305193E-2</v>
      </c>
      <c r="O193" s="240">
        <f t="shared" ca="1" si="100"/>
        <v>2.9488448775039533E-2</v>
      </c>
      <c r="P193" s="240">
        <f t="shared" ca="1" si="100"/>
        <v>3.3296583089135856E-2</v>
      </c>
      <c r="Q193" s="240">
        <f t="shared" ca="1" si="100"/>
        <v>3.834587381293364E-2</v>
      </c>
      <c r="R193" s="241">
        <f t="shared" ca="1" si="99"/>
        <v>3.3011509197884648E-2</v>
      </c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  <c r="AS193" s="237"/>
      <c r="AT193" s="237"/>
      <c r="AU193" s="237"/>
      <c r="AV193" s="237"/>
      <c r="AW193" s="237"/>
    </row>
    <row r="194" spans="2:49">
      <c r="B194" s="58" t="str">
        <f t="shared" si="98"/>
        <v>GS&lt;50</v>
      </c>
      <c r="C194" s="240"/>
      <c r="D194" s="240">
        <f t="shared" ca="1" si="99"/>
        <v>-4.0800832962336386E-2</v>
      </c>
      <c r="E194" s="240">
        <f t="shared" ca="1" si="99"/>
        <v>1.9736968769308749E-2</v>
      </c>
      <c r="F194" s="240">
        <f t="shared" ca="1" si="99"/>
        <v>8.2876385797070462E-3</v>
      </c>
      <c r="G194" s="240">
        <f t="shared" ca="1" si="99"/>
        <v>-8.7271343201267171E-2</v>
      </c>
      <c r="H194" s="240">
        <f t="shared" ca="1" si="99"/>
        <v>-6.9875052088428369E-3</v>
      </c>
      <c r="I194" s="240">
        <f t="shared" ca="1" si="99"/>
        <v>3.732314405512116E-2</v>
      </c>
      <c r="J194" s="240">
        <f t="shared" ca="1" si="99"/>
        <v>-1.3526769943892236E-2</v>
      </c>
      <c r="K194" s="240">
        <f t="shared" ca="1" si="99"/>
        <v>-5.5628967401702756E-2</v>
      </c>
      <c r="L194" s="240">
        <f t="shared" ca="1" si="99"/>
        <v>1.1762681505658623E-2</v>
      </c>
      <c r="M194" s="240">
        <f t="shared" ca="1" si="99"/>
        <v>6.588593647919172E-2</v>
      </c>
      <c r="N194" s="240">
        <f t="shared" ca="1" si="99"/>
        <v>-7.6927155637290801E-3</v>
      </c>
      <c r="O194" s="240">
        <f t="shared" ca="1" si="99"/>
        <v>-1.163027331723343E-2</v>
      </c>
      <c r="P194" s="240">
        <f t="shared" ca="1" si="99"/>
        <v>-8.4980420739068085E-3</v>
      </c>
      <c r="Q194" s="240">
        <f t="shared" ca="1" si="99"/>
        <v>-7.4238966275512741E-3</v>
      </c>
      <c r="R194" s="241">
        <f t="shared" ca="1" si="99"/>
        <v>-2.5959739175276386E-3</v>
      </c>
      <c r="S194" s="237"/>
      <c r="T194" s="237"/>
      <c r="U194" s="237"/>
      <c r="V194" s="237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37"/>
      <c r="AH194" s="237"/>
      <c r="AI194" s="237"/>
      <c r="AJ194" s="237"/>
      <c r="AK194" s="237"/>
      <c r="AL194" s="237"/>
      <c r="AM194" s="237"/>
      <c r="AN194" s="237"/>
      <c r="AO194" s="237"/>
      <c r="AP194" s="237"/>
      <c r="AQ194" s="237"/>
      <c r="AR194" s="237"/>
      <c r="AS194" s="237"/>
    </row>
    <row r="195" spans="2:49">
      <c r="B195" s="58" t="str">
        <f t="shared" si="98"/>
        <v>GS 50 - 2,999</v>
      </c>
      <c r="C195" s="240"/>
      <c r="D195" s="240">
        <f t="shared" ca="1" si="99"/>
        <v>-3.7170486506357681E-2</v>
      </c>
      <c r="E195" s="240">
        <f t="shared" ca="1" si="99"/>
        <v>2.5154521991926693E-2</v>
      </c>
      <c r="F195" s="240">
        <f t="shared" ca="1" si="99"/>
        <v>-6.8866569170027425E-3</v>
      </c>
      <c r="G195" s="240">
        <f t="shared" ca="1" si="99"/>
        <v>-5.7176702542350522E-2</v>
      </c>
      <c r="H195" s="240">
        <f t="shared" ca="1" si="99"/>
        <v>-6.7838970014987288E-3</v>
      </c>
      <c r="I195" s="240">
        <f t="shared" ca="1" si="99"/>
        <v>3.4910786088505841E-2</v>
      </c>
      <c r="J195" s="240">
        <f t="shared" ca="1" si="99"/>
        <v>4.374776844713324E-3</v>
      </c>
      <c r="K195" s="240">
        <f t="shared" ca="1" si="99"/>
        <v>1.2251786108658624E-2</v>
      </c>
      <c r="L195" s="240">
        <f t="shared" ca="1" si="99"/>
        <v>-8.7462901393715597E-3</v>
      </c>
      <c r="M195" s="240">
        <f t="shared" ca="1" si="99"/>
        <v>1.19670886945491E-2</v>
      </c>
      <c r="N195" s="240">
        <f t="shared" ca="1" si="99"/>
        <v>4.6947874758551666E-2</v>
      </c>
      <c r="O195" s="240">
        <f t="shared" ca="1" si="99"/>
        <v>6.4479635069354391E-3</v>
      </c>
      <c r="P195" s="240">
        <f t="shared" ca="1" si="99"/>
        <v>2.7634817127575317E-3</v>
      </c>
      <c r="Q195" s="240">
        <f t="shared" ca="1" si="99"/>
        <v>-4.7752498051298886E-3</v>
      </c>
      <c r="R195" s="241">
        <f t="shared" ca="1" si="99"/>
        <v>-4.2763244324250937E-4</v>
      </c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  <c r="AS195" s="237"/>
    </row>
    <row r="196" spans="2:49">
      <c r="B196" s="58" t="str">
        <f t="shared" si="98"/>
        <v>GS 3,000 - 4,999</v>
      </c>
      <c r="C196" s="240"/>
      <c r="D196" s="240">
        <f t="shared" ca="1" si="99"/>
        <v>5.556954798961633E-2</v>
      </c>
      <c r="E196" s="240">
        <f t="shared" ca="1" si="99"/>
        <v>2.7366932146405176E-2</v>
      </c>
      <c r="F196" s="240">
        <f t="shared" ca="1" si="99"/>
        <v>0.10913598694642968</v>
      </c>
      <c r="G196" s="240">
        <f t="shared" ca="1" si="99"/>
        <v>-6.2733427052622637E-2</v>
      </c>
      <c r="H196" s="240">
        <f t="shared" ca="1" si="99"/>
        <v>-5.6651653518466127E-2</v>
      </c>
      <c r="I196" s="240">
        <f t="shared" ca="1" si="99"/>
        <v>6.8020060542339777E-2</v>
      </c>
      <c r="J196" s="240">
        <f t="shared" ca="1" si="99"/>
        <v>4.6390129026478322E-2</v>
      </c>
      <c r="K196" s="240">
        <f t="shared" ca="1" si="99"/>
        <v>-7.589334825473959E-2</v>
      </c>
      <c r="L196" s="240">
        <f t="shared" ca="1" si="99"/>
        <v>4.0652028897101289E-3</v>
      </c>
      <c r="M196" s="240">
        <f t="shared" ca="1" si="99"/>
        <v>-8.0130498316428156E-2</v>
      </c>
      <c r="N196" s="240">
        <f t="shared" ca="1" si="99"/>
        <v>-5.0454205202023927E-2</v>
      </c>
      <c r="O196" s="240">
        <f t="shared" ca="1" si="99"/>
        <v>2.5758602310748557E-2</v>
      </c>
      <c r="P196" s="240">
        <f t="shared" ca="1" si="99"/>
        <v>4.0950297686566106E-2</v>
      </c>
      <c r="Q196" s="240">
        <f t="shared" ca="1" si="99"/>
        <v>3.1193106542668936E-2</v>
      </c>
      <c r="R196" s="241">
        <f t="shared" ca="1" si="99"/>
        <v>3.7697694227306178E-2</v>
      </c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  <c r="AS196" s="237"/>
    </row>
    <row r="197" spans="2:49">
      <c r="B197" s="58" t="str">
        <f t="shared" si="98"/>
        <v>Large Use</v>
      </c>
      <c r="C197" s="240"/>
      <c r="D197" s="240">
        <f t="shared" ca="1" si="99"/>
        <v>3.7345100345374638E-2</v>
      </c>
      <c r="E197" s="240">
        <f t="shared" ca="1" si="99"/>
        <v>-5.3192412822581248E-2</v>
      </c>
      <c r="F197" s="240">
        <f t="shared" ca="1" si="99"/>
        <v>-8.1422642881086471E-2</v>
      </c>
      <c r="G197" s="240">
        <f t="shared" ca="1" si="99"/>
        <v>1.7913476109242099E-2</v>
      </c>
      <c r="H197" s="240">
        <f t="shared" ca="1" si="99"/>
        <v>7.7833194864604494E-2</v>
      </c>
      <c r="I197" s="240">
        <f t="shared" ca="1" si="99"/>
        <v>1.5425998426011667E-2</v>
      </c>
      <c r="J197" s="240">
        <f t="shared" ca="1" si="99"/>
        <v>-7.4474975417741618E-2</v>
      </c>
      <c r="K197" s="240">
        <f t="shared" ca="1" si="99"/>
        <v>-3.7920933095925147E-2</v>
      </c>
      <c r="L197" s="240">
        <f t="shared" ca="1" si="99"/>
        <v>1.8889401203860956E-3</v>
      </c>
      <c r="M197" s="240">
        <f t="shared" ca="1" si="99"/>
        <v>2.9472576735134481E-2</v>
      </c>
      <c r="N197" s="240">
        <f t="shared" ca="1" si="99"/>
        <v>9.9985406083001216E-2</v>
      </c>
      <c r="O197" s="240">
        <f t="shared" ca="1" si="99"/>
        <v>0.12872547667191303</v>
      </c>
      <c r="P197" s="240">
        <f t="shared" ca="1" si="99"/>
        <v>8.0734545115353606E-2</v>
      </c>
      <c r="Q197" s="240">
        <f t="shared" ca="1" si="99"/>
        <v>1.4553374658815121E-2</v>
      </c>
      <c r="R197" s="241">
        <f t="shared" ca="1" si="99"/>
        <v>9.3031933774567754E-3</v>
      </c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  <c r="AS197" s="237"/>
    </row>
    <row r="198" spans="2:49">
      <c r="B198" s="58" t="str">
        <f t="shared" si="98"/>
        <v>Street Light</v>
      </c>
      <c r="C198" s="240"/>
      <c r="D198" s="240">
        <f t="shared" ca="1" si="99"/>
        <v>-0.10034577855300841</v>
      </c>
      <c r="E198" s="240">
        <f t="shared" ca="1" si="99"/>
        <v>-0.22700421912882462</v>
      </c>
      <c r="F198" s="240">
        <f t="shared" ca="1" si="99"/>
        <v>-0.14658924640115634</v>
      </c>
      <c r="G198" s="240">
        <f t="shared" ca="1" si="99"/>
        <v>-0.12623284712748695</v>
      </c>
      <c r="H198" s="240">
        <f t="shared" ca="1" si="99"/>
        <v>-3.6387209066742199E-2</v>
      </c>
      <c r="I198" s="240">
        <f t="shared" ca="1" si="99"/>
        <v>9.7182342132871025E-3</v>
      </c>
      <c r="J198" s="240">
        <f t="shared" ca="1" si="99"/>
        <v>8.0236943545404227E-3</v>
      </c>
      <c r="K198" s="240">
        <f t="shared" ca="1" si="99"/>
        <v>4.075074914506871E-3</v>
      </c>
      <c r="L198" s="240">
        <f t="shared" ca="1" si="99"/>
        <v>-5.2881331282496058E-3</v>
      </c>
      <c r="M198" s="240">
        <f t="shared" ca="1" si="99"/>
        <v>4.895354674953234E-2</v>
      </c>
      <c r="N198" s="240">
        <f t="shared" ca="1" si="99"/>
        <v>3.6262535002231644E-3</v>
      </c>
      <c r="O198" s="240">
        <f t="shared" ca="1" si="99"/>
        <v>8.2630463314892211E-4</v>
      </c>
      <c r="P198" s="240">
        <f t="shared" ca="1" si="99"/>
        <v>-3.2068480967812896E-3</v>
      </c>
      <c r="Q198" s="240">
        <f t="shared" ca="1" si="99"/>
        <v>-1.8879806890080841E-3</v>
      </c>
      <c r="R198" s="241">
        <f t="shared" ca="1" si="99"/>
        <v>-2.1067362231774744E-3</v>
      </c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  <c r="AL198" s="237"/>
      <c r="AM198" s="237"/>
      <c r="AN198" s="237"/>
      <c r="AO198" s="237"/>
      <c r="AP198" s="237"/>
      <c r="AQ198" s="237"/>
      <c r="AR198" s="237"/>
      <c r="AS198" s="237"/>
    </row>
    <row r="199" spans="2:49">
      <c r="B199" s="58" t="str">
        <f t="shared" si="98"/>
        <v>Sentinel Light</v>
      </c>
      <c r="C199" s="240"/>
      <c r="D199" s="240">
        <f t="shared" ca="1" si="99"/>
        <v>-4.3038059287961672E-2</v>
      </c>
      <c r="E199" s="240">
        <f t="shared" ca="1" si="99"/>
        <v>-0.2397018972587257</v>
      </c>
      <c r="F199" s="240">
        <f t="shared" ca="1" si="99"/>
        <v>0.11694774676617836</v>
      </c>
      <c r="G199" s="240">
        <f t="shared" ca="1" si="99"/>
        <v>0.29816420335224159</v>
      </c>
      <c r="H199" s="240">
        <f t="shared" ca="1" si="99"/>
        <v>-3.5325328645563481E-3</v>
      </c>
      <c r="I199" s="240">
        <f t="shared" ca="1" si="99"/>
        <v>-7.8178628522135751E-2</v>
      </c>
      <c r="J199" s="240">
        <f t="shared" ca="1" si="99"/>
        <v>2.2761842550780287E-2</v>
      </c>
      <c r="K199" s="240">
        <f t="shared" ca="1" si="99"/>
        <v>-0.6075733682605684</v>
      </c>
      <c r="L199" s="240">
        <f t="shared" ca="1" si="99"/>
        <v>1.3666981708353898E-2</v>
      </c>
      <c r="M199" s="240">
        <f t="shared" ca="1" si="99"/>
        <v>1.9609337441219621E-2</v>
      </c>
      <c r="N199" s="240">
        <f t="shared" ca="1" si="99"/>
        <v>1.5457539299899015E-3</v>
      </c>
      <c r="O199" s="240">
        <f t="shared" ca="1" si="99"/>
        <v>3.4470193964544205E-3</v>
      </c>
      <c r="P199" s="240">
        <f t="shared" ca="1" si="99"/>
        <v>1.4564879492200422E-3</v>
      </c>
      <c r="Q199" s="240">
        <f t="shared" ca="1" si="99"/>
        <v>-3.0839347845101894E-4</v>
      </c>
      <c r="R199" s="241">
        <f t="shared" ca="1" si="99"/>
        <v>-2.2134599231463103E-2</v>
      </c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</row>
    <row r="200" spans="2:49">
      <c r="B200" s="58" t="str">
        <f t="shared" si="98"/>
        <v>USL</v>
      </c>
      <c r="C200" s="240"/>
      <c r="D200" s="240">
        <f t="shared" ca="1" si="99"/>
        <v>8.218947170905988E-4</v>
      </c>
      <c r="E200" s="240">
        <f t="shared" ca="1" si="99"/>
        <v>-2.6309452368176167E-3</v>
      </c>
      <c r="F200" s="240">
        <f t="shared" ca="1" si="99"/>
        <v>-8.2149446360672007E-3</v>
      </c>
      <c r="G200" s="240">
        <f t="shared" ca="1" si="99"/>
        <v>0.22762661762856773</v>
      </c>
      <c r="H200" s="240">
        <f t="shared" ca="1" si="99"/>
        <v>1.0899948266886783E-2</v>
      </c>
      <c r="I200" s="240">
        <f t="shared" ca="1" si="99"/>
        <v>-3.9447451657959043E-3</v>
      </c>
      <c r="J200" s="240">
        <f t="shared" ca="1" si="99"/>
        <v>-5.6717331707355489E-3</v>
      </c>
      <c r="K200" s="240">
        <f t="shared" ca="1" si="99"/>
        <v>2.6032995585752561E-2</v>
      </c>
      <c r="L200" s="240">
        <f t="shared" ca="1" si="99"/>
        <v>-2.4352840172697787E-3</v>
      </c>
      <c r="M200" s="240">
        <f t="shared" ca="1" si="99"/>
        <v>1.7997099085516499E-2</v>
      </c>
      <c r="N200" s="240">
        <f t="shared" ca="1" si="99"/>
        <v>2.6300570906314658E-3</v>
      </c>
      <c r="O200" s="240">
        <f t="shared" ca="1" si="99"/>
        <v>-4.1005457426217529E-3</v>
      </c>
      <c r="P200" s="240">
        <f t="shared" ca="1" si="99"/>
        <v>-5.0767553224801976E-3</v>
      </c>
      <c r="Q200" s="240">
        <f t="shared" ca="1" si="99"/>
        <v>-2.9728688868848607E-3</v>
      </c>
      <c r="R200" s="241">
        <f t="shared" ca="1" si="99"/>
        <v>-7.8252195083505782E-4</v>
      </c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</row>
    <row r="201" spans="2:49" ht="15" thickBot="1">
      <c r="B201" s="57" t="str">
        <f t="shared" si="98"/>
        <v>Total kWh</v>
      </c>
      <c r="C201" s="640"/>
      <c r="D201" s="640"/>
      <c r="E201" s="640"/>
      <c r="F201" s="640"/>
      <c r="G201" s="640"/>
      <c r="H201" s="640"/>
      <c r="I201" s="640"/>
      <c r="J201" s="640"/>
      <c r="K201" s="640"/>
      <c r="L201" s="640"/>
      <c r="M201" s="640"/>
      <c r="N201" s="640"/>
      <c r="O201" s="640"/>
      <c r="P201" s="640"/>
      <c r="Q201" s="640"/>
      <c r="R201" s="56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237"/>
      <c r="AQ201" s="237"/>
      <c r="AR201" s="237"/>
      <c r="AS201" s="237"/>
    </row>
    <row r="202" spans="2:49">
      <c r="B202" s="58" t="str">
        <f t="shared" si="98"/>
        <v>GS 50 - 2,999</v>
      </c>
      <c r="C202" s="240"/>
      <c r="D202" s="240">
        <f t="shared" ref="D202:R202" ca="1" si="101">D182/C182-1</f>
        <v>-3.3850786490650098E-2</v>
      </c>
      <c r="E202" s="240">
        <f t="shared" ca="1" si="101"/>
        <v>1.4555255379505194E-2</v>
      </c>
      <c r="F202" s="240">
        <f t="shared" ca="1" si="101"/>
        <v>-1.0628966284347396E-2</v>
      </c>
      <c r="G202" s="240">
        <f t="shared" ca="1" si="101"/>
        <v>-4.2636560110780986E-2</v>
      </c>
      <c r="H202" s="240">
        <f t="shared" ca="1" si="101"/>
        <v>-1.7904760516188944E-2</v>
      </c>
      <c r="I202" s="240">
        <f t="shared" ca="1" si="101"/>
        <v>4.5701760045558482E-2</v>
      </c>
      <c r="J202" s="240">
        <f t="shared" ca="1" si="101"/>
        <v>-1.0402695781499327E-2</v>
      </c>
      <c r="K202" s="240">
        <f t="shared" ca="1" si="101"/>
        <v>-3.0983164227184279E-2</v>
      </c>
      <c r="L202" s="240">
        <f t="shared" ca="1" si="101"/>
        <v>-7.4800683926936617E-3</v>
      </c>
      <c r="M202" s="240">
        <f t="shared" ca="1" si="101"/>
        <v>4.0004744904883482E-2</v>
      </c>
      <c r="N202" s="240">
        <f t="shared" ca="1" si="101"/>
        <v>5.1524713916036635E-2</v>
      </c>
      <c r="O202" s="240">
        <f t="shared" ca="1" si="101"/>
        <v>1.1647422845031175E-2</v>
      </c>
      <c r="P202" s="240">
        <f t="shared" ca="1" si="101"/>
        <v>8.4651015845531585E-3</v>
      </c>
      <c r="Q202" s="240">
        <f t="shared" ca="1" si="101"/>
        <v>1.4380252297712115E-3</v>
      </c>
      <c r="R202" s="241">
        <f t="shared" ca="1" si="101"/>
        <v>5.6551166538858499E-3</v>
      </c>
      <c r="S202" s="237"/>
      <c r="T202" s="237"/>
      <c r="U202" s="237"/>
      <c r="V202" s="237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37"/>
      <c r="AH202" s="237"/>
      <c r="AI202" s="237"/>
      <c r="AJ202" s="237"/>
      <c r="AK202" s="237"/>
      <c r="AL202" s="237"/>
      <c r="AM202" s="237"/>
      <c r="AN202" s="237"/>
      <c r="AO202" s="237"/>
      <c r="AP202" s="237"/>
      <c r="AQ202" s="237"/>
      <c r="AR202" s="237"/>
      <c r="AS202" s="237"/>
    </row>
    <row r="203" spans="2:49">
      <c r="B203" s="58" t="str">
        <f t="shared" si="98"/>
        <v>GS 3,000 - 4,999</v>
      </c>
      <c r="C203" s="240"/>
      <c r="D203" s="240">
        <f t="shared" ref="D203:R203" ca="1" si="102">D183/C183-1</f>
        <v>-8.4934349754372418E-2</v>
      </c>
      <c r="E203" s="240">
        <f t="shared" ca="1" si="102"/>
        <v>4.6487378472150898E-2</v>
      </c>
      <c r="F203" s="240">
        <f t="shared" ca="1" si="102"/>
        <v>0.12812430445431766</v>
      </c>
      <c r="G203" s="240">
        <f t="shared" ca="1" si="102"/>
        <v>-8.1422137656891658E-2</v>
      </c>
      <c r="H203" s="240">
        <f t="shared" ca="1" si="102"/>
        <v>-4.2348212641146299E-2</v>
      </c>
      <c r="I203" s="240">
        <f t="shared" ca="1" si="102"/>
        <v>7.824356172946656E-2</v>
      </c>
      <c r="J203" s="240">
        <f t="shared" ca="1" si="102"/>
        <v>6.159026283464919E-2</v>
      </c>
      <c r="K203" s="240">
        <f t="shared" ca="1" si="102"/>
        <v>-4.728140940756631E-2</v>
      </c>
      <c r="L203" s="240">
        <f t="shared" ca="1" si="102"/>
        <v>-1.6916491741866935E-2</v>
      </c>
      <c r="M203" s="240">
        <f t="shared" ca="1" si="102"/>
        <v>-7.8781644404689599E-2</v>
      </c>
      <c r="N203" s="240">
        <f t="shared" ca="1" si="102"/>
        <v>-4.1932608897877532E-2</v>
      </c>
      <c r="O203" s="240">
        <f t="shared" ca="1" si="102"/>
        <v>3.5600788725334009E-2</v>
      </c>
      <c r="P203" s="240">
        <f t="shared" ca="1" si="102"/>
        <v>4.9073905004267449E-2</v>
      </c>
      <c r="Q203" s="240">
        <f t="shared" ca="1" si="102"/>
        <v>3.7075466349395514E-2</v>
      </c>
      <c r="R203" s="241">
        <f t="shared" ca="1" si="102"/>
        <v>4.4348904354031715E-2</v>
      </c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  <c r="AL203" s="237"/>
      <c r="AM203" s="237"/>
      <c r="AN203" s="237"/>
      <c r="AO203" s="237"/>
      <c r="AP203" s="237"/>
      <c r="AQ203" s="237"/>
      <c r="AR203" s="237"/>
      <c r="AS203" s="237"/>
    </row>
    <row r="204" spans="2:49">
      <c r="B204" s="58" t="str">
        <f t="shared" si="98"/>
        <v>Large Use</v>
      </c>
      <c r="C204" s="240"/>
      <c r="D204" s="240">
        <f t="shared" ref="D204:R204" ca="1" si="103">D184/C184-1</f>
        <v>-9.2214018465565539E-2</v>
      </c>
      <c r="E204" s="240">
        <f t="shared" ca="1" si="103"/>
        <v>-6.4064005191802775E-2</v>
      </c>
      <c r="F204" s="240">
        <f t="shared" ca="1" si="103"/>
        <v>-9.2866411134066573E-2</v>
      </c>
      <c r="G204" s="240">
        <f t="shared" ca="1" si="103"/>
        <v>4.5783015777063119E-2</v>
      </c>
      <c r="H204" s="240">
        <f t="shared" ca="1" si="103"/>
        <v>6.2459046412962183E-2</v>
      </c>
      <c r="I204" s="240">
        <f t="shared" ca="1" si="103"/>
        <v>1.8450184501844991E-2</v>
      </c>
      <c r="J204" s="240">
        <f t="shared" ca="1" si="103"/>
        <v>-6.9097413006103725E-2</v>
      </c>
      <c r="K204" s="240">
        <f t="shared" ca="1" si="103"/>
        <v>-6.692386639759762E-2</v>
      </c>
      <c r="L204" s="240">
        <f t="shared" ca="1" si="103"/>
        <v>1.2428966369444794E-2</v>
      </c>
      <c r="M204" s="240">
        <f t="shared" ca="1" si="103"/>
        <v>3.8720311862741719E-2</v>
      </c>
      <c r="N204" s="240">
        <f t="shared" ca="1" si="103"/>
        <v>0.10692838297561602</v>
      </c>
      <c r="O204" s="240">
        <f t="shared" ca="1" si="103"/>
        <v>0.13855240346307029</v>
      </c>
      <c r="P204" s="240">
        <f t="shared" ca="1" si="103"/>
        <v>8.8530994082828052E-2</v>
      </c>
      <c r="Q204" s="240">
        <f t="shared" ca="1" si="103"/>
        <v>2.1470220664488782E-2</v>
      </c>
      <c r="R204" s="241">
        <f t="shared" ca="1" si="103"/>
        <v>1.5886617837600703E-2</v>
      </c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37"/>
      <c r="AH204" s="237"/>
      <c r="AI204" s="237"/>
      <c r="AJ204" s="237"/>
      <c r="AK204" s="237"/>
      <c r="AL204" s="237"/>
      <c r="AM204" s="237"/>
      <c r="AN204" s="237"/>
      <c r="AO204" s="237"/>
      <c r="AP204" s="237"/>
      <c r="AQ204" s="237"/>
      <c r="AR204" s="237"/>
      <c r="AS204" s="237"/>
    </row>
    <row r="205" spans="2:49">
      <c r="B205" s="58" t="str">
        <f t="shared" si="98"/>
        <v>Street Light</v>
      </c>
      <c r="C205" s="240"/>
      <c r="D205" s="240">
        <f t="shared" ref="D205:R206" ca="1" si="104">D185/C185-1</f>
        <v>-9.1441741030924395E-2</v>
      </c>
      <c r="E205" s="240">
        <f t="shared" ca="1" si="104"/>
        <v>-0.22952031614967516</v>
      </c>
      <c r="F205" s="240">
        <f t="shared" ca="1" si="104"/>
        <v>-0.14864174795116103</v>
      </c>
      <c r="G205" s="240">
        <f t="shared" ca="1" si="104"/>
        <v>-0.11431153807909511</v>
      </c>
      <c r="H205" s="240">
        <f t="shared" ca="1" si="104"/>
        <v>-2.4953299212261748E-2</v>
      </c>
      <c r="I205" s="240">
        <f t="shared" ca="1" si="104"/>
        <v>-6.8569111466817434E-3</v>
      </c>
      <c r="J205" s="240">
        <f t="shared" ca="1" si="104"/>
        <v>6.807988585836533E-3</v>
      </c>
      <c r="K205" s="240">
        <f t="shared" ca="1" si="104"/>
        <v>4.6891229224321762E-4</v>
      </c>
      <c r="L205" s="240">
        <f t="shared" ca="1" si="104"/>
        <v>-2.5843636584245155E-3</v>
      </c>
      <c r="M205" s="240">
        <f t="shared" ca="1" si="104"/>
        <v>4.893048004335232E-2</v>
      </c>
      <c r="N205" s="240">
        <f t="shared" ca="1" si="104"/>
        <v>3.6219373397958776E-3</v>
      </c>
      <c r="O205" s="240">
        <f t="shared" ca="1" si="104"/>
        <v>8.2198619029205666E-4</v>
      </c>
      <c r="P205" s="240">
        <f t="shared" ca="1" si="104"/>
        <v>-3.2111633881158896E-3</v>
      </c>
      <c r="Q205" s="240">
        <f t="shared" ca="1" si="104"/>
        <v>-1.8923159441164294E-3</v>
      </c>
      <c r="R205" s="241">
        <f t="shared" ca="1" si="104"/>
        <v>-2.1110847627769935E-3</v>
      </c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37"/>
      <c r="AH205" s="237"/>
      <c r="AI205" s="237"/>
      <c r="AJ205" s="237"/>
      <c r="AK205" s="237"/>
      <c r="AL205" s="237"/>
      <c r="AM205" s="237"/>
      <c r="AN205" s="237"/>
      <c r="AO205" s="237"/>
      <c r="AP205" s="237"/>
      <c r="AQ205" s="237"/>
      <c r="AR205" s="237"/>
      <c r="AS205" s="237"/>
    </row>
    <row r="206" spans="2:49">
      <c r="B206" s="58" t="str">
        <f t="shared" si="98"/>
        <v>Sentinel Light</v>
      </c>
      <c r="C206" s="240"/>
      <c r="D206" s="240">
        <f t="shared" ca="1" si="104"/>
        <v>-4.5029949531524172E-2</v>
      </c>
      <c r="E206" s="240">
        <f t="shared" ca="1" si="104"/>
        <v>-0.23346564240079415</v>
      </c>
      <c r="F206" s="240">
        <f t="shared" ca="1" si="104"/>
        <v>0.11370579976595407</v>
      </c>
      <c r="G206" s="240">
        <f t="shared" ca="1" si="104"/>
        <v>0.29571771831078575</v>
      </c>
      <c r="H206" s="240">
        <f t="shared" ca="1" si="104"/>
        <v>-1.2448155227756108E-2</v>
      </c>
      <c r="I206" s="240">
        <f t="shared" ca="1" si="104"/>
        <v>-1.3766810171031874E-2</v>
      </c>
      <c r="J206" s="240">
        <f t="shared" ca="1" si="104"/>
        <v>1.8079571005034545E-2</v>
      </c>
      <c r="K206" s="240">
        <f t="shared" ca="1" si="104"/>
        <v>-3.8976295363963853E-3</v>
      </c>
      <c r="L206" s="240">
        <f t="shared" ca="1" si="104"/>
        <v>1.4448507725248749E-2</v>
      </c>
      <c r="M206" s="240">
        <f t="shared" ca="1" si="104"/>
        <v>2.1602919034370505E-2</v>
      </c>
      <c r="N206" s="240">
        <f t="shared" ca="1" si="104"/>
        <v>3.5589122063921508E-3</v>
      </c>
      <c r="O206" s="240">
        <f t="shared" ca="1" si="104"/>
        <v>5.5201102945852121E-3</v>
      </c>
      <c r="P206" s="240">
        <f t="shared" ca="1" si="104"/>
        <v>3.5825706090346632E-3</v>
      </c>
      <c r="Q206" s="240">
        <f t="shared" ca="1" si="104"/>
        <v>1.8720415681428015E-3</v>
      </c>
      <c r="R206" s="241">
        <f t="shared" ca="1" si="104"/>
        <v>-1.9943875741387118E-2</v>
      </c>
    </row>
    <row r="207" spans="2:49" ht="15" thickBot="1">
      <c r="B207" s="57" t="str">
        <f>B187</f>
        <v>Total kW</v>
      </c>
      <c r="C207" s="640"/>
      <c r="D207" s="640"/>
      <c r="E207" s="640"/>
      <c r="F207" s="640"/>
      <c r="G207" s="640"/>
      <c r="H207" s="640"/>
      <c r="I207" s="640"/>
      <c r="J207" s="640"/>
      <c r="K207" s="640"/>
      <c r="L207" s="640"/>
      <c r="M207" s="640"/>
      <c r="N207" s="640"/>
      <c r="O207" s="640"/>
      <c r="P207" s="640"/>
      <c r="Q207" s="640"/>
      <c r="R207" s="56"/>
    </row>
  </sheetData>
  <pageMargins left="0.7" right="0.7" top="0.75" bottom="0.75" header="0.3" footer="0.3"/>
  <ignoredErrors>
    <ignoredError sqref="C118:R118" formula="1"/>
  </ignoredErrors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6AE85-2B59-4C8F-8AF4-39601CB70C0C}">
  <sheetPr codeName="Sheet61">
    <tabColor rgb="FFFF0000"/>
  </sheetPr>
  <dimension ref="B1:T138"/>
  <sheetViews>
    <sheetView workbookViewId="0">
      <selection activeCell="O79" sqref="O79"/>
    </sheetView>
  </sheetViews>
  <sheetFormatPr defaultColWidth="8.1796875" defaultRowHeight="12.5"/>
  <cols>
    <col min="1" max="1" width="2.81640625" style="85" customWidth="1"/>
    <col min="2" max="2" width="23.1796875" style="85" bestFit="1" customWidth="1"/>
    <col min="3" max="4" width="12.54296875" style="85" bestFit="1" customWidth="1"/>
    <col min="5" max="5" width="14.81640625" style="85" bestFit="1" customWidth="1"/>
    <col min="6" max="6" width="13" style="85" bestFit="1" customWidth="1"/>
    <col min="7" max="7" width="12.54296875" style="85" bestFit="1" customWidth="1"/>
    <col min="8" max="8" width="13.1796875" style="85" bestFit="1" customWidth="1"/>
    <col min="9" max="9" width="13.1796875" style="85" customWidth="1"/>
    <col min="10" max="10" width="14.1796875" style="85" customWidth="1"/>
    <col min="11" max="11" width="13.1796875" style="85" customWidth="1"/>
    <col min="12" max="12" width="13" style="85" bestFit="1" customWidth="1"/>
    <col min="13" max="13" width="14.1796875" style="85" customWidth="1"/>
    <col min="14" max="14" width="14" style="85" customWidth="1"/>
    <col min="15" max="15" width="13.54296875" style="85" customWidth="1"/>
    <col min="16" max="18" width="13" style="85" bestFit="1" customWidth="1"/>
    <col min="19" max="19" width="16.1796875" style="85" customWidth="1"/>
    <col min="20" max="20" width="10" style="85" bestFit="1" customWidth="1"/>
    <col min="21" max="16384" width="8.1796875" style="85"/>
  </cols>
  <sheetData>
    <row r="1" spans="2:20" ht="16" thickBot="1">
      <c r="B1" s="64" t="s">
        <v>656</v>
      </c>
      <c r="C1" s="64" t="s">
        <v>1</v>
      </c>
    </row>
    <row r="2" spans="2:20" ht="13">
      <c r="B2" s="63" t="s">
        <v>3</v>
      </c>
      <c r="C2" s="62" t="s">
        <v>856</v>
      </c>
      <c r="D2" s="62" t="s">
        <v>857</v>
      </c>
      <c r="E2" s="62" t="s">
        <v>858</v>
      </c>
      <c r="F2" s="62" t="s">
        <v>859</v>
      </c>
      <c r="G2" s="62" t="s">
        <v>860</v>
      </c>
      <c r="H2" s="62" t="s">
        <v>861</v>
      </c>
      <c r="I2" s="62" t="s">
        <v>862</v>
      </c>
      <c r="J2" s="62" t="s">
        <v>863</v>
      </c>
      <c r="K2" s="62" t="s">
        <v>4</v>
      </c>
      <c r="L2" s="62" t="s">
        <v>799</v>
      </c>
      <c r="M2" s="62" t="s">
        <v>6</v>
      </c>
      <c r="N2" s="62" t="s">
        <v>7</v>
      </c>
      <c r="O2" s="62" t="s">
        <v>8</v>
      </c>
      <c r="P2" s="62" t="s">
        <v>9</v>
      </c>
      <c r="Q2" s="62" t="s">
        <v>10</v>
      </c>
      <c r="R2" s="60" t="s">
        <v>11</v>
      </c>
    </row>
    <row r="3" spans="2:20" ht="13">
      <c r="B3" s="760" t="str">
        <f>'Total Additional'!C4</f>
        <v>Residential</v>
      </c>
      <c r="C3" s="51">
        <f ca="1">OFFSET('Normalized Annual Summary'!$J$13,COLUMN()-COLUMN($J3),0)</f>
        <v>896544326.10232937</v>
      </c>
      <c r="D3" s="51">
        <f ca="1">OFFSET('Normalized Annual Summary'!$J$13,COLUMN()-COLUMN($J3),0)</f>
        <v>892705907.68241382</v>
      </c>
      <c r="E3" s="51">
        <f ca="1">OFFSET('Normalized Annual Summary'!$J$13,COLUMN()-COLUMN($J3),0)</f>
        <v>899004724.32434869</v>
      </c>
      <c r="F3" s="51">
        <f ca="1">OFFSET('Normalized Annual Summary'!$J$13,COLUMN()-COLUMN($J3),0)</f>
        <v>912875351.92647827</v>
      </c>
      <c r="G3" s="51">
        <f ca="1">OFFSET('Normalized Annual Summary'!$J$13,COLUMN()-COLUMN($J3),0)</f>
        <v>959324334.49015152</v>
      </c>
      <c r="H3" s="51">
        <f ca="1">OFFSET('Normalized Annual Summary'!$J$13,COLUMN()-COLUMN($J3),0)</f>
        <v>977093687.81521428</v>
      </c>
      <c r="I3" s="51">
        <f ca="1">OFFSET('Normalized Annual Summary'!$J$13,COLUMN()-COLUMN($J3),0)</f>
        <v>984055049.26958799</v>
      </c>
      <c r="J3" s="51">
        <f ca="1">OFFSET('Normalized Annual Summary'!$J$13,COLUMN()-COLUMN($J3),0)</f>
        <v>990628495.68452442</v>
      </c>
      <c r="K3" s="51">
        <f ca="1">OFFSET('Normalized Annual Summary'!$J$13,COLUMN()-COLUMN($J3),0)</f>
        <v>1012356675.0981852</v>
      </c>
      <c r="L3" s="51">
        <f ca="1">OFFSET('Normalized Annual Summary'!$J$13,COLUMN()-COLUMN($J3),0)</f>
        <v>1030959592.7050183</v>
      </c>
      <c r="M3" s="51">
        <f ca="1">OFFSET('Normalized Annual Summary'!$J$13,COLUMN()-COLUMN($J3),0)</f>
        <v>1060751929.6594411</v>
      </c>
      <c r="N3" s="51">
        <f ca="1">OFFSET('Normalized Annual Summary'!$J$13,COLUMN()-COLUMN($J3),0)</f>
        <v>1085928812.738508</v>
      </c>
      <c r="O3" s="51">
        <f ca="1">OFFSET('Normalized Annual Summary'!$J$13,COLUMN()-COLUMN($J3),0)</f>
        <v>1113961540.369648</v>
      </c>
      <c r="P3" s="51">
        <f ca="1">OFFSET('Normalized Annual Summary'!$J$13,COLUMN()-COLUMN($J3),0)</f>
        <v>1140563505.6885211</v>
      </c>
      <c r="Q3" s="51">
        <f ca="1">OFFSET('Normalized Annual Summary'!$J$13,COLUMN()-COLUMN($J3),0)</f>
        <v>1173549340.8189335</v>
      </c>
      <c r="R3" s="59">
        <f ca="1">OFFSET('Normalized Annual Summary'!$J$13,COLUMN()-COLUMN($J3),0)</f>
        <v>1208738432.9460368</v>
      </c>
      <c r="S3" s="51"/>
    </row>
    <row r="4" spans="2:20" ht="13">
      <c r="B4" s="58" t="str">
        <f>'Total Additional'!C5</f>
        <v>Residential Seasonal</v>
      </c>
      <c r="C4" s="51">
        <f ca="1">OFFSET('Normalized Annual Summary'!$T$13,COLUMN()-COLUMN($J4),0)</f>
        <v>8907395.6702751145</v>
      </c>
      <c r="D4" s="51">
        <f ca="1">OFFSET('Normalized Annual Summary'!$T$13,COLUMN()-COLUMN($J4),0)</f>
        <v>9041456.3060687557</v>
      </c>
      <c r="E4" s="51">
        <f ca="1">OFFSET('Normalized Annual Summary'!$T$13,COLUMN()-COLUMN($J4),0)</f>
        <v>9309136.1022594962</v>
      </c>
      <c r="F4" s="51">
        <f ca="1">OFFSET('Normalized Annual Summary'!$T$13,COLUMN()-COLUMN($J4),0)</f>
        <v>9665714.32870798</v>
      </c>
      <c r="G4" s="51">
        <f ca="1">OFFSET('Normalized Annual Summary'!$T$13,COLUMN()-COLUMN($J4),0)</f>
        <v>10926935.030210998</v>
      </c>
      <c r="H4" s="51">
        <f ca="1">OFFSET('Normalized Annual Summary'!$T$13,COLUMN()-COLUMN($J4),0)</f>
        <v>11424305.651662145</v>
      </c>
      <c r="I4" s="51">
        <f ca="1">OFFSET('Normalized Annual Summary'!$T$13,COLUMN()-COLUMN($J4),0)</f>
        <v>11436434.924723472</v>
      </c>
      <c r="J4" s="51">
        <f ca="1">OFFSET('Normalized Annual Summary'!$T$13,COLUMN()-COLUMN($J4),0)</f>
        <v>11352260.126338122</v>
      </c>
      <c r="K4" s="51">
        <f ca="1">OFFSET('Normalized Annual Summary'!$T$13,COLUMN()-COLUMN($J4),0)</f>
        <v>11818947.505622752</v>
      </c>
      <c r="L4" s="51">
        <f ca="1">OFFSET('Normalized Annual Summary'!$T$13,COLUMN()-COLUMN($J4),0)</f>
        <v>12216399.230176462</v>
      </c>
      <c r="M4" s="51">
        <f ca="1">OFFSET('Normalized Annual Summary'!$T$13,COLUMN()-COLUMN($J4),0)</f>
        <v>12757753.244207958</v>
      </c>
      <c r="N4" s="51">
        <f ca="1">OFFSET('Normalized Annual Summary'!$T$13,COLUMN()-COLUMN($J4),0)</f>
        <v>13284588.768183464</v>
      </c>
      <c r="O4" s="51">
        <f ca="1">OFFSET('Normalized Annual Summary'!$T$13,COLUMN()-COLUMN($J4),0)</f>
        <v>13746014.055488827</v>
      </c>
      <c r="P4" s="51">
        <f ca="1">OFFSET('Normalized Annual Summary'!$T$13,COLUMN()-COLUMN($J4),0)</f>
        <v>14276250.620675886</v>
      </c>
      <c r="Q4" s="51">
        <f ca="1">OFFSET('Normalized Annual Summary'!$T$13,COLUMN()-COLUMN($J4),0)</f>
        <v>14897461.843897825</v>
      </c>
      <c r="R4" s="59">
        <f ca="1">OFFSET('Normalized Annual Summary'!$T$13,COLUMN()-COLUMN($J4),0)</f>
        <v>15468374.915689183</v>
      </c>
      <c r="S4" s="51"/>
    </row>
    <row r="5" spans="2:20" ht="13">
      <c r="B5" s="58" t="str">
        <f>'Total Additional'!C6</f>
        <v>GS&lt;50</v>
      </c>
      <c r="C5" s="51">
        <f ca="1">OFFSET('Normalized Annual Summary'!$AD$13,COLUMN()-COLUMN($J5),0)</f>
        <v>271790898.34905517</v>
      </c>
      <c r="D5" s="51">
        <f ca="1">OFFSET('Normalized Annual Summary'!$AD$13,COLUMN()-COLUMN($J5),0)</f>
        <v>269241491.63172185</v>
      </c>
      <c r="E5" s="51">
        <f ca="1">OFFSET('Normalized Annual Summary'!$AD$13,COLUMN()-COLUMN($J5),0)</f>
        <v>265711151.37783578</v>
      </c>
      <c r="F5" s="51">
        <f ca="1">OFFSET('Normalized Annual Summary'!$AD$13,COLUMN()-COLUMN($J5),0)</f>
        <v>262975406.61588776</v>
      </c>
      <c r="G5" s="51">
        <f ca="1">OFFSET('Normalized Annual Summary'!$AD$13,COLUMN()-COLUMN($J5),0)</f>
        <v>247187396.12573102</v>
      </c>
      <c r="H5" s="51">
        <f ca="1">OFFSET('Normalized Annual Summary'!$AD$13,COLUMN()-COLUMN($J5),0)</f>
        <v>246734679.92161363</v>
      </c>
      <c r="I5" s="51">
        <f ca="1">OFFSET('Normalized Annual Summary'!$AD$13,COLUMN()-COLUMN($J5),0)</f>
        <v>254340788.33916456</v>
      </c>
      <c r="J5" s="51">
        <f ca="1">OFFSET('Normalized Annual Summary'!$AD$13,COLUMN()-COLUMN($J5),0)</f>
        <v>262500433.71028018</v>
      </c>
      <c r="K5" s="51">
        <f ca="1">OFFSET('Normalized Annual Summary'!$AD$13,COLUMN()-COLUMN($J5),0)</f>
        <v>262721713.06191826</v>
      </c>
      <c r="L5" s="51">
        <f ca="1">OFFSET('Normalized Annual Summary'!$AD$13,COLUMN()-COLUMN($J5),0)</f>
        <v>261934286.08014607</v>
      </c>
      <c r="M5" s="51">
        <f ca="1">OFFSET('Normalized Annual Summary'!$AD$13,COLUMN()-COLUMN($J5),0)</f>
        <v>268793351.56279325</v>
      </c>
      <c r="N5" s="51">
        <f ca="1">OFFSET('Normalized Annual Summary'!$AD$13,COLUMN()-COLUMN($J5),0)</f>
        <v>272432602.87833285</v>
      </c>
      <c r="O5" s="51">
        <f ca="1">OFFSET('Normalized Annual Summary'!$AD$13,COLUMN()-COLUMN($J5),0)</f>
        <v>275064344.69688904</v>
      </c>
      <c r="P5" s="51">
        <f ca="1">OFFSET('Normalized Annual Summary'!$AD$13,COLUMN()-COLUMN($J5),0)</f>
        <v>278618199.93417287</v>
      </c>
      <c r="Q5" s="51">
        <f ca="1">OFFSET('Normalized Annual Summary'!$AD$13,COLUMN()-COLUMN($J5),0)</f>
        <v>282574704.18542933</v>
      </c>
      <c r="R5" s="59">
        <f ca="1">OFFSET('Normalized Annual Summary'!$AD$13,COLUMN()-COLUMN($J5),0)</f>
        <v>288276414.05724615</v>
      </c>
      <c r="S5" s="51"/>
    </row>
    <row r="6" spans="2:20" ht="13">
      <c r="B6" s="58" t="str">
        <f>'Total Additional'!C7</f>
        <v>GS 50 - 2,999</v>
      </c>
      <c r="C6" s="51">
        <f ca="1">OFFSET('Normalized Annual Summary'!$AN$13,COLUMN()-COLUMN($J6),0)</f>
        <v>916355560.30450845</v>
      </c>
      <c r="D6" s="51">
        <f ca="1">OFFSET('Normalized Annual Summary'!$AN$13,COLUMN()-COLUMN($J6),0)</f>
        <v>915408229.05770314</v>
      </c>
      <c r="E6" s="51">
        <f ca="1">OFFSET('Normalized Annual Summary'!$AN$13,COLUMN()-COLUMN($J6),0)</f>
        <v>915761749.7669872</v>
      </c>
      <c r="F6" s="51">
        <f ca="1">OFFSET('Normalized Annual Summary'!$AN$13,COLUMN()-COLUMN($J6),0)</f>
        <v>913040639.60836124</v>
      </c>
      <c r="G6" s="51">
        <f ca="1">OFFSET('Normalized Annual Summary'!$AN$13,COLUMN()-COLUMN($J6),0)</f>
        <v>856539086.38815343</v>
      </c>
      <c r="H6" s="51">
        <f ca="1">OFFSET('Normalized Annual Summary'!$AN$13,COLUMN()-COLUMN($J6),0)</f>
        <v>871726891.22298741</v>
      </c>
      <c r="I6" s="51">
        <f ca="1">OFFSET('Normalized Annual Summary'!$AN$13,COLUMN()-COLUMN($J6),0)</f>
        <v>897257351.74191403</v>
      </c>
      <c r="J6" s="51">
        <f ca="1">OFFSET('Normalized Annual Summary'!$AN$13,COLUMN()-COLUMN($J6),0)</f>
        <v>920755184.65060556</v>
      </c>
      <c r="K6" s="51">
        <f ca="1">OFFSET('Normalized Annual Summary'!$AN$13,COLUMN()-COLUMN($J6),0)</f>
        <v>922792100.8436743</v>
      </c>
      <c r="L6" s="51">
        <f ca="1">OFFSET('Normalized Annual Summary'!$AN$13,COLUMN()-COLUMN($J6),0)</f>
        <v>914316654.93777549</v>
      </c>
      <c r="M6" s="51">
        <f ca="1">OFFSET('Normalized Annual Summary'!$AN$13,COLUMN()-COLUMN($J6),0)</f>
        <v>979431966.7159102</v>
      </c>
      <c r="N6" s="51">
        <f ca="1">OFFSET('Normalized Annual Summary'!$AN$13,COLUMN()-COLUMN($J6),0)</f>
        <v>1046253531.644524</v>
      </c>
      <c r="O6" s="51">
        <f ca="1">OFFSET('Normalized Annual Summary'!$AN$13,COLUMN()-COLUMN($J6),0)</f>
        <v>1074400336.4609065</v>
      </c>
      <c r="P6" s="51">
        <f ca="1">OFFSET('Normalized Annual Summary'!$AN$13,COLUMN()-COLUMN($J6),0)</f>
        <v>1100149614.7741194</v>
      </c>
      <c r="Q6" s="51">
        <f ca="1">OFFSET('Normalized Annual Summary'!$AN$13,COLUMN()-COLUMN($J6),0)</f>
        <v>1118414747.6787848</v>
      </c>
      <c r="R6" s="59">
        <f ca="1">OFFSET('Normalized Annual Summary'!$AN$13,COLUMN()-COLUMN($J6),0)</f>
        <v>1144887868.4971483</v>
      </c>
      <c r="S6" s="51"/>
    </row>
    <row r="7" spans="2:20" ht="13">
      <c r="B7" s="58" t="str">
        <f>'Total Additional'!C8</f>
        <v>GS 3,000 - 4,999</v>
      </c>
      <c r="C7" s="51">
        <f ca="1">OFFSET('Normalized Annual Summary'!$AY$13,COLUMN()-COLUMN($J7),0)</f>
        <v>84720805.328868002</v>
      </c>
      <c r="D7" s="51">
        <f ca="1">OFFSET('Normalized Annual Summary'!$AY$13,COLUMN()-COLUMN($J7),0)</f>
        <v>86601920.90598695</v>
      </c>
      <c r="E7" s="51">
        <f ca="1">OFFSET('Normalized Annual Summary'!$AY$13,COLUMN()-COLUMN($J7),0)</f>
        <v>88750573.739808425</v>
      </c>
      <c r="F7" s="51">
        <f ca="1">OFFSET('Normalized Annual Summary'!$AY$13,COLUMN()-COLUMN($J7),0)</f>
        <v>90469600.915843606</v>
      </c>
      <c r="G7" s="51">
        <f ca="1">OFFSET('Normalized Annual Summary'!$AY$13,COLUMN()-COLUMN($J7),0)</f>
        <v>85953279.733822912</v>
      </c>
      <c r="H7" s="51">
        <f ca="1">OFFSET('Normalized Annual Summary'!$AY$13,COLUMN()-COLUMN($J7),0)</f>
        <v>90879680.390881911</v>
      </c>
      <c r="I7" s="51">
        <f ca="1">OFFSET('Normalized Annual Summary'!$AY$13,COLUMN()-COLUMN($J7),0)</f>
        <v>94656112.264837459</v>
      </c>
      <c r="J7" s="51">
        <f ca="1">OFFSET('Normalized Annual Summary'!$AY$13,COLUMN()-COLUMN($J7),0)</f>
        <v>96905294.010318771</v>
      </c>
      <c r="K7" s="51">
        <f ca="1">OFFSET('Normalized Annual Summary'!$AY$13,COLUMN()-COLUMN($J7),0)</f>
        <v>98395683.245458305</v>
      </c>
      <c r="L7" s="51">
        <f ca="1">OFFSET('Normalized Annual Summary'!$AY$13,COLUMN()-COLUMN($J7),0)</f>
        <v>98580288.417070583</v>
      </c>
      <c r="M7" s="51">
        <f ca="1">OFFSET('Normalized Annual Summary'!$AY$13,COLUMN()-COLUMN($J7),0)</f>
        <v>121696053.28603841</v>
      </c>
      <c r="N7" s="51">
        <f ca="1">OFFSET('Normalized Annual Summary'!$AY$13,COLUMN()-COLUMN($J7),0)</f>
        <v>156755047.04480264</v>
      </c>
      <c r="O7" s="51">
        <f ca="1">OFFSET('Normalized Annual Summary'!$AY$13,COLUMN()-COLUMN($J7),0)</f>
        <v>183633802.13339615</v>
      </c>
      <c r="P7" s="51">
        <f ca="1">OFFSET('Normalized Annual Summary'!$AY$13,COLUMN()-COLUMN($J7),0)</f>
        <v>200901323.06119794</v>
      </c>
      <c r="Q7" s="51">
        <f ca="1">OFFSET('Normalized Annual Summary'!$AY$13,COLUMN()-COLUMN($J7),0)</f>
        <v>207350196.30217499</v>
      </c>
      <c r="R7" s="59">
        <f ca="1">OFFSET('Normalized Annual Summary'!$AY$13,COLUMN()-COLUMN($J7),0)</f>
        <v>216332317.00592846</v>
      </c>
      <c r="S7" s="51"/>
    </row>
    <row r="8" spans="2:20" ht="13">
      <c r="B8" s="58" t="str">
        <f>'Total Additional'!C9</f>
        <v>Large Use</v>
      </c>
      <c r="C8" s="51">
        <f ca="1">OFFSET('Normalized Annual Summary'!$BJ$13,COLUMN()-COLUMN($J8),0)</f>
        <v>219875795.70871356</v>
      </c>
      <c r="D8" s="51">
        <f ca="1">OFFSET('Normalized Annual Summary'!$BJ$13,COLUMN()-COLUMN($J8),0)</f>
        <v>232685605.50669837</v>
      </c>
      <c r="E8" s="51">
        <f ca="1">OFFSET('Normalized Annual Summary'!$BJ$13,COLUMN()-COLUMN($J8),0)</f>
        <v>245208596.81053722</v>
      </c>
      <c r="F8" s="51">
        <f ca="1">OFFSET('Normalized Annual Summary'!$BJ$13,COLUMN()-COLUMN($J8),0)</f>
        <v>256336645.4040629</v>
      </c>
      <c r="G8" s="51">
        <f ca="1">OFFSET('Normalized Annual Summary'!$BJ$13,COLUMN()-COLUMN($J8),0)</f>
        <v>250800201.85193878</v>
      </c>
      <c r="H8" s="51">
        <f ca="1">OFFSET('Normalized Annual Summary'!$BJ$13,COLUMN()-COLUMN($J8),0)</f>
        <v>284375676.46243805</v>
      </c>
      <c r="I8" s="51">
        <f ca="1">OFFSET('Normalized Annual Summary'!$BJ$13,COLUMN()-COLUMN($J8),0)</f>
        <v>299045621.27204865</v>
      </c>
      <c r="J8" s="51">
        <f ca="1">OFFSET('Normalized Annual Summary'!$BJ$13,COLUMN()-COLUMN($J8),0)</f>
        <v>301923874.26091003</v>
      </c>
      <c r="K8" s="51">
        <f ca="1">OFFSET('Normalized Annual Summary'!$BJ$13,COLUMN()-COLUMN($J8),0)</f>
        <v>311872037.44441807</v>
      </c>
      <c r="L8" s="51">
        <f ca="1">OFFSET('Normalized Annual Summary'!$BJ$13,COLUMN()-COLUMN($J8),0)</f>
        <v>314537210.33669537</v>
      </c>
      <c r="M8" s="51">
        <f ca="1">OFFSET('Normalized Annual Summary'!$BJ$13,COLUMN()-COLUMN($J8),0)</f>
        <v>349064801.43601173</v>
      </c>
      <c r="N8" s="51">
        <f ca="1">OFFSET('Normalized Annual Summary'!$BJ$13,COLUMN()-COLUMN($J8),0)</f>
        <v>422992939.53934318</v>
      </c>
      <c r="O8" s="51">
        <f ca="1">OFFSET('Normalized Annual Summary'!$BJ$13,COLUMN()-COLUMN($J8),0)</f>
        <v>508966995.01089537</v>
      </c>
      <c r="P8" s="51">
        <f ca="1">OFFSET('Normalized Annual Summary'!$BJ$13,COLUMN()-COLUMN($J8),0)</f>
        <v>562958055.16250956</v>
      </c>
      <c r="Q8" s="51">
        <f ca="1">OFFSET('Normalized Annual Summary'!$BJ$13,COLUMN()-COLUMN($J8),0)</f>
        <v>581016853.28744352</v>
      </c>
      <c r="R8" s="59">
        <f ca="1">OFFSET('Normalized Annual Summary'!$BJ$13,COLUMN()-COLUMN($J8),0)</f>
        <v>597048962.50697994</v>
      </c>
      <c r="S8" s="51"/>
    </row>
    <row r="9" spans="2:20" ht="13">
      <c r="B9" s="58" t="s">
        <v>18</v>
      </c>
      <c r="C9" s="51">
        <f ca="1">OFFSET('Normalized Annual Summary'!$BQ$13,COLUMN()-COLUMN($J9),0)</f>
        <v>20696694.0755581</v>
      </c>
      <c r="D9" s="51">
        <f ca="1">OFFSET('Normalized Annual Summary'!$BQ$13,COLUMN()-COLUMN($J9),0)</f>
        <v>19519835.661133371</v>
      </c>
      <c r="E9" s="51">
        <f ca="1">OFFSET('Normalized Annual Summary'!$BQ$13,COLUMN()-COLUMN($J9),0)</f>
        <v>15418262.659797747</v>
      </c>
      <c r="F9" s="51">
        <f ca="1">OFFSET('Normalized Annual Summary'!$BQ$13,COLUMN()-COLUMN($J9),0)</f>
        <v>13154878.992558671</v>
      </c>
      <c r="G9" s="51">
        <f ca="1">OFFSET('Normalized Annual Summary'!$BQ$13,COLUMN()-COLUMN($J9),0)</f>
        <v>11375771.341347072</v>
      </c>
      <c r="H9" s="51">
        <f ca="1">OFFSET('Normalized Annual Summary'!$BQ$13,COLUMN()-COLUMN($J9),0)</f>
        <v>11145146.346117154</v>
      </c>
      <c r="I9" s="51">
        <f ca="1">OFFSET('Normalized Annual Summary'!$BQ$13,COLUMN()-COLUMN($J9),0)</f>
        <v>11108255.523755008</v>
      </c>
      <c r="J9" s="51">
        <f ca="1">OFFSET('Normalized Annual Summary'!$BQ$13,COLUMN()-COLUMN($J9),0)</f>
        <v>11322769.347452775</v>
      </c>
      <c r="K9" s="51">
        <f ca="1">OFFSET('Normalized Annual Summary'!$BQ$13,COLUMN()-COLUMN($J9),0)</f>
        <v>11585951.65998855</v>
      </c>
      <c r="L9" s="51">
        <f ca="1">OFFSET('Normalized Annual Summary'!$BQ$13,COLUMN()-COLUMN($J9),0)</f>
        <v>11654612.020606756</v>
      </c>
      <c r="M9" s="51">
        <f ca="1">OFFSET('Normalized Annual Summary'!$BQ$13,COLUMN()-COLUMN($J9),0)</f>
        <v>11783218.435274247</v>
      </c>
      <c r="N9" s="51">
        <f ca="1">OFFSET('Normalized Annual Summary'!$BQ$13,COLUMN()-COLUMN($J9),0)</f>
        <v>11913243.997131227</v>
      </c>
      <c r="O9" s="51">
        <f ca="1">OFFSET('Normalized Annual Summary'!$BQ$13,COLUMN()-COLUMN($J9),0)</f>
        <v>12044704.366195513</v>
      </c>
      <c r="P9" s="51">
        <f ca="1">OFFSET('Normalized Annual Summary'!$BQ$13,COLUMN()-COLUMN($J9),0)</f>
        <v>12177615.375290232</v>
      </c>
      <c r="Q9" s="51">
        <f ca="1">OFFSET('Normalized Annual Summary'!$BQ$13,COLUMN()-COLUMN($J9),0)</f>
        <v>12311993.031950675</v>
      </c>
      <c r="R9" s="59">
        <f ca="1">OFFSET('Normalized Annual Summary'!$BQ$13,COLUMN()-COLUMN($J9),0)</f>
        <v>12447853.520352231</v>
      </c>
      <c r="S9" s="51"/>
    </row>
    <row r="10" spans="2:20" ht="13">
      <c r="B10" s="58" t="s">
        <v>19</v>
      </c>
      <c r="C10" s="51">
        <f ca="1">OFFSET('Normalized Annual Summary'!$BX$13,COLUMN()-COLUMN($J10),0)</f>
        <v>149076.16867010115</v>
      </c>
      <c r="D10" s="51">
        <f ca="1">OFFSET('Normalized Annual Summary'!$BX$13,COLUMN()-COLUMN($J10),0)</f>
        <v>297128.43922915473</v>
      </c>
      <c r="E10" s="51">
        <f ca="1">OFFSET('Normalized Annual Summary'!$BX$13,COLUMN()-COLUMN($J10),0)</f>
        <v>236464.57737073078</v>
      </c>
      <c r="F10" s="51">
        <f ca="1">OFFSET('Normalized Annual Summary'!$BX$13,COLUMN()-COLUMN($J10),0)</f>
        <v>219210.48464033578</v>
      </c>
      <c r="G10" s="51">
        <f ca="1">OFFSET('Normalized Annual Summary'!$BX$13,COLUMN()-COLUMN($J10),0)</f>
        <v>219089.71570311007</v>
      </c>
      <c r="H10" s="51">
        <f ca="1">OFFSET('Normalized Annual Summary'!$BX$13,COLUMN()-COLUMN($J10),0)</f>
        <v>216801.46918526999</v>
      </c>
      <c r="I10" s="51">
        <f ca="1">OFFSET('Normalized Annual Summary'!$BX$13,COLUMN()-COLUMN($J10),0)</f>
        <v>206492.3201679069</v>
      </c>
      <c r="J10" s="51">
        <f ca="1">OFFSET('Normalized Annual Summary'!$BX$13,COLUMN()-COLUMN($J10),0)</f>
        <v>208749.31310818545</v>
      </c>
      <c r="K10" s="51">
        <f ca="1">OFFSET('Normalized Annual Summary'!$BX$13,COLUMN()-COLUMN($J10),0)</f>
        <v>85942.730394962797</v>
      </c>
      <c r="L10" s="51">
        <f ca="1">OFFSET('Normalized Annual Summary'!$BX$13,COLUMN()-COLUMN($J10),0)</f>
        <v>84532.818164472439</v>
      </c>
      <c r="M10" s="51">
        <f ca="1">OFFSET('Normalized Annual Summary'!$BX$13,COLUMN()-COLUMN($J10),0)</f>
        <v>82878.928767326172</v>
      </c>
      <c r="N10" s="51">
        <f ca="1">OFFSET('Normalized Annual Summary'!$BX$13,COLUMN()-COLUMN($J10),0)</f>
        <v>81257.397810338269</v>
      </c>
      <c r="O10" s="51">
        <f ca="1">OFFSET('Normalized Annual Summary'!$BX$13,COLUMN()-COLUMN($J10),0)</f>
        <v>79667.592198785904</v>
      </c>
      <c r="P10" s="51">
        <f ca="1">OFFSET('Normalized Annual Summary'!$BX$13,COLUMN()-COLUMN($J10),0)</f>
        <v>78108.891224480496</v>
      </c>
      <c r="Q10" s="51">
        <f ca="1">OFFSET('Normalized Annual Summary'!$BX$13,COLUMN()-COLUMN($J10),0)</f>
        <v>76580.686323424539</v>
      </c>
      <c r="R10" s="59">
        <f ca="1">OFFSET('Normalized Annual Summary'!$BX$13,COLUMN()-COLUMN($J10),0)</f>
        <v>75082.38083820972</v>
      </c>
      <c r="S10" s="51"/>
    </row>
    <row r="11" spans="2:20" ht="13">
      <c r="B11" s="58" t="s">
        <v>20</v>
      </c>
      <c r="C11" s="51">
        <f ca="1">OFFSET('Normalized Annual Summary'!$CE$13,COLUMN()-COLUMN($J11),0)</f>
        <v>4746940.8319023084</v>
      </c>
      <c r="D11" s="51">
        <f ca="1">OFFSET('Normalized Annual Summary'!$CE$13,COLUMN()-COLUMN($J11),0)</f>
        <v>4693448.8360999813</v>
      </c>
      <c r="E11" s="51">
        <f ca="1">OFFSET('Normalized Annual Summary'!$CE$13,COLUMN()-COLUMN($J11),0)</f>
        <v>4665788.0175539022</v>
      </c>
      <c r="F11" s="51">
        <f ca="1">OFFSET('Normalized Annual Summary'!$CE$13,COLUMN()-COLUMN($J11),0)</f>
        <v>4623203.0910131652</v>
      </c>
      <c r="G11" s="51">
        <f ca="1">OFFSET('Normalized Annual Summary'!$CE$13,COLUMN()-COLUMN($J11),0)</f>
        <v>4593300.2480442664</v>
      </c>
      <c r="H11" s="51">
        <f ca="1">OFFSET('Normalized Annual Summary'!$CE$13,COLUMN()-COLUMN($J11),0)</f>
        <v>4562375.2909750044</v>
      </c>
      <c r="I11" s="51">
        <f ca="1">OFFSET('Normalized Annual Summary'!$CE$13,COLUMN()-COLUMN($J11),0)</f>
        <v>4553725.701202061</v>
      </c>
      <c r="J11" s="51">
        <f ca="1">OFFSET('Normalized Annual Summary'!$CE$13,COLUMN()-COLUMN($J11),0)</f>
        <v>4536379.8034726195</v>
      </c>
      <c r="K11" s="51">
        <f ca="1">OFFSET('Normalized Annual Summary'!$CE$13,COLUMN()-COLUMN($J11),0)</f>
        <v>4525963.0509444773</v>
      </c>
      <c r="L11" s="51">
        <f ca="1">OFFSET('Normalized Annual Summary'!$CE$13,COLUMN()-COLUMN($J11),0)</f>
        <v>4511287.6741079949</v>
      </c>
      <c r="M11" s="51">
        <f ca="1">OFFSET('Normalized Annual Summary'!$CE$13,COLUMN()-COLUMN($J11),0)</f>
        <v>4628438.8768212022</v>
      </c>
      <c r="N11" s="51">
        <f ca="1">OFFSET('Normalized Annual Summary'!$CE$13,COLUMN()-COLUMN($J11),0)</f>
        <v>4588884.6673883721</v>
      </c>
      <c r="O11" s="51">
        <f ca="1">OFFSET('Normalized Annual Summary'!$CE$13,COLUMN()-COLUMN($J11),0)</f>
        <v>4549668.4845613791</v>
      </c>
      <c r="P11" s="51">
        <f ca="1">OFFSET('Normalized Annual Summary'!$CE$13,COLUMN()-COLUMN($J11),0)</f>
        <v>4510787.4395961957</v>
      </c>
      <c r="Q11" s="51">
        <f ca="1">OFFSET('Normalized Annual Summary'!$CE$13,COLUMN()-COLUMN($J11),0)</f>
        <v>4472238.6684357328</v>
      </c>
      <c r="R11" s="59">
        <f ca="1">OFFSET('Normalized Annual Summary'!$CE$13,COLUMN()-COLUMN($J11),0)</f>
        <v>4434019.3314988697</v>
      </c>
      <c r="S11" s="51"/>
    </row>
    <row r="12" spans="2:20" ht="13.5" thickBot="1">
      <c r="B12" s="57" t="s">
        <v>290</v>
      </c>
      <c r="C12" s="640">
        <f t="shared" ref="C12:Q12" ca="1" si="0">SUM(C3:C11)</f>
        <v>2423787492.5398808</v>
      </c>
      <c r="D12" s="640">
        <f t="shared" ca="1" si="0"/>
        <v>2430195024.0270548</v>
      </c>
      <c r="E12" s="640">
        <f ca="1">SUM(E3:E11)</f>
        <v>2444066447.3764992</v>
      </c>
      <c r="F12" s="640">
        <f t="shared" ca="1" si="0"/>
        <v>2463360651.3675532</v>
      </c>
      <c r="G12" s="640">
        <f t="shared" ca="1" si="0"/>
        <v>2426919394.9251032</v>
      </c>
      <c r="H12" s="640">
        <f t="shared" ca="1" si="0"/>
        <v>2498159244.571075</v>
      </c>
      <c r="I12" s="640">
        <f t="shared" ca="1" si="0"/>
        <v>2556659831.3574009</v>
      </c>
      <c r="J12" s="640">
        <f t="shared" ca="1" si="0"/>
        <v>2600133440.9070101</v>
      </c>
      <c r="K12" s="640">
        <f t="shared" ref="K12" ca="1" si="1">SUM(K3:K11)</f>
        <v>2636155014.640604</v>
      </c>
      <c r="L12" s="641">
        <f t="shared" ca="1" si="0"/>
        <v>2648794864.2197609</v>
      </c>
      <c r="M12" s="641">
        <f t="shared" ca="1" si="0"/>
        <v>2808990392.1452651</v>
      </c>
      <c r="N12" s="641">
        <f t="shared" ca="1" si="0"/>
        <v>3014230908.6760244</v>
      </c>
      <c r="O12" s="641">
        <f t="shared" ca="1" si="0"/>
        <v>3186447073.1701798</v>
      </c>
      <c r="P12" s="641">
        <f t="shared" ca="1" si="0"/>
        <v>3314233460.9473076</v>
      </c>
      <c r="Q12" s="641">
        <f t="shared" ca="1" si="0"/>
        <v>3394664116.5033736</v>
      </c>
      <c r="R12" s="50">
        <f ca="1">SUM(R3:R11)</f>
        <v>3487709325.1617188</v>
      </c>
      <c r="S12" s="51"/>
      <c r="T12" s="247"/>
    </row>
    <row r="13" spans="2:20">
      <c r="S13" s="51"/>
      <c r="T13" s="247"/>
    </row>
    <row r="14" spans="2:20" ht="16" thickBot="1">
      <c r="B14" s="64" t="s">
        <v>656</v>
      </c>
      <c r="C14" s="64" t="s">
        <v>2</v>
      </c>
      <c r="S14" s="51"/>
    </row>
    <row r="15" spans="2:20" ht="13">
      <c r="B15" s="63" t="s">
        <v>3</v>
      </c>
      <c r="C15" s="62" t="s">
        <v>856</v>
      </c>
      <c r="D15" s="62" t="s">
        <v>857</v>
      </c>
      <c r="E15" s="62" t="s">
        <v>858</v>
      </c>
      <c r="F15" s="62" t="s">
        <v>859</v>
      </c>
      <c r="G15" s="62" t="s">
        <v>860</v>
      </c>
      <c r="H15" s="62" t="s">
        <v>861</v>
      </c>
      <c r="I15" s="62" t="s">
        <v>862</v>
      </c>
      <c r="J15" s="62" t="s">
        <v>863</v>
      </c>
      <c r="K15" s="62" t="s">
        <v>4</v>
      </c>
      <c r="L15" s="62" t="s">
        <v>799</v>
      </c>
      <c r="M15" s="62" t="s">
        <v>6</v>
      </c>
      <c r="N15" s="62" t="s">
        <v>7</v>
      </c>
      <c r="O15" s="62" t="s">
        <v>8</v>
      </c>
      <c r="P15" s="62" t="s">
        <v>9</v>
      </c>
      <c r="Q15" s="62" t="s">
        <v>10</v>
      </c>
      <c r="R15" s="60" t="s">
        <v>11</v>
      </c>
      <c r="S15" s="51"/>
    </row>
    <row r="16" spans="2:20" ht="13">
      <c r="B16" s="760" t="str">
        <f>'Total Additional'!C35</f>
        <v>Residential</v>
      </c>
      <c r="C16" s="51">
        <f ca="1">OFFSET('Normalized Annual Summary'!$CR$13,COLUMN()-COLUMN($J16),0)</f>
        <v>341690771.41050321</v>
      </c>
      <c r="D16" s="51">
        <f ca="1">OFFSET('Normalized Annual Summary'!$CR$13,COLUMN()-COLUMN($J16),0)</f>
        <v>338485732.72421253</v>
      </c>
      <c r="E16" s="51">
        <f ca="1">OFFSET('Normalized Annual Summary'!$CR$13,COLUMN()-COLUMN($J16),0)</f>
        <v>340933744.96906579</v>
      </c>
      <c r="F16" s="51">
        <f ca="1">OFFSET('Normalized Annual Summary'!$CR$13,COLUMN()-COLUMN($J16),0)</f>
        <v>347038215.70265812</v>
      </c>
      <c r="G16" s="51">
        <f ca="1">OFFSET('Normalized Annual Summary'!$CR$13,COLUMN()-COLUMN($J16),0)</f>
        <v>369580342.49915856</v>
      </c>
      <c r="H16" s="51">
        <f ca="1">OFFSET('Normalized Annual Summary'!$CR$13,COLUMN()-COLUMN($J16),0)</f>
        <v>380639901.81815231</v>
      </c>
      <c r="I16" s="51">
        <f ca="1">OFFSET('Normalized Annual Summary'!$CR$13,COLUMN()-COLUMN($J16),0)</f>
        <v>382427239.92171639</v>
      </c>
      <c r="J16" s="51">
        <f ca="1">OFFSET('Normalized Annual Summary'!$CR$13,COLUMN()-COLUMN($J16),0)</f>
        <v>383720721.64316219</v>
      </c>
      <c r="K16" s="51">
        <f ca="1">OFFSET('Normalized Annual Summary'!$CR$13,COLUMN()-COLUMN($J16),0)</f>
        <v>393062606.09459472</v>
      </c>
      <c r="L16" s="51">
        <f ca="1">OFFSET('Normalized Annual Summary'!$CR$13,COLUMN()-COLUMN($J16),0)</f>
        <v>401014155.7032606</v>
      </c>
      <c r="M16" s="51">
        <f ca="1">OFFSET('Normalized Annual Summary'!$CR$13,COLUMN()-COLUMN($J16),0)</f>
        <v>413282228.94022828</v>
      </c>
      <c r="N16" s="51">
        <f ca="1">OFFSET('Normalized Annual Summary'!$CR$13,COLUMN()-COLUMN($J16),0)</f>
        <v>424880393.4518621</v>
      </c>
      <c r="O16" s="51">
        <f ca="1">OFFSET('Normalized Annual Summary'!$CR$13,COLUMN()-COLUMN($J16),0)</f>
        <v>435173045.41832602</v>
      </c>
      <c r="P16" s="51">
        <f ca="1">OFFSET('Normalized Annual Summary'!$CR$13,COLUMN()-COLUMN($J16),0)</f>
        <v>447041847.47292751</v>
      </c>
      <c r="Q16" s="51">
        <f ca="1">OFFSET('Normalized Annual Summary'!$CR$13,COLUMN()-COLUMN($J16),0)</f>
        <v>461932945.62585056</v>
      </c>
      <c r="R16" s="59">
        <f ca="1">OFFSET('Normalized Annual Summary'!$CR$13,COLUMN()-COLUMN($J16),0)</f>
        <v>475515289.2833786</v>
      </c>
      <c r="S16" s="51"/>
    </row>
    <row r="17" spans="2:19" ht="13">
      <c r="B17" s="58" t="str">
        <f>'Total Additional'!C36</f>
        <v>GS&lt;50</v>
      </c>
      <c r="C17" s="51">
        <f ca="1">OFFSET('Normalized Annual Summary'!$DB$13,COLUMN()-COLUMN($J17),0)</f>
        <v>86955842.379494816</v>
      </c>
      <c r="D17" s="51">
        <f ca="1">OFFSET('Normalized Annual Summary'!$DB$13,COLUMN()-COLUMN($J17),0)</f>
        <v>86301304.525331169</v>
      </c>
      <c r="E17" s="51">
        <f ca="1">OFFSET('Normalized Annual Summary'!$DB$13,COLUMN()-COLUMN($J17),0)</f>
        <v>87036479.810515031</v>
      </c>
      <c r="F17" s="51">
        <f ca="1">OFFSET('Normalized Annual Summary'!$DB$13,COLUMN()-COLUMN($J17),0)</f>
        <v>86821620.574900106</v>
      </c>
      <c r="G17" s="51">
        <f ca="1">OFFSET('Normalized Annual Summary'!$DB$13,COLUMN()-COLUMN($J17),0)</f>
        <v>80996154.630719721</v>
      </c>
      <c r="H17" s="51">
        <f ca="1">OFFSET('Normalized Annual Summary'!$DB$13,COLUMN()-COLUMN($J17),0)</f>
        <v>82074897.774729222</v>
      </c>
      <c r="I17" s="51">
        <f ca="1">OFFSET('Normalized Annual Summary'!$DB$13,COLUMN()-COLUMN($J17),0)</f>
        <v>87655310.547504902</v>
      </c>
      <c r="J17" s="51">
        <f ca="1">OFFSET('Normalized Annual Summary'!$DB$13,COLUMN()-COLUMN($J17),0)</f>
        <v>90599036.060089737</v>
      </c>
      <c r="K17" s="51">
        <f ca="1">OFFSET('Normalized Annual Summary'!$DB$13,COLUMN()-COLUMN($J17),0)</f>
        <v>91885018.009545028</v>
      </c>
      <c r="L17" s="51">
        <f ca="1">OFFSET('Normalized Annual Summary'!$DB$13,COLUMN()-COLUMN($J17),0)</f>
        <v>93029381.646331429</v>
      </c>
      <c r="M17" s="51">
        <f ca="1">OFFSET('Normalized Annual Summary'!$DB$13,COLUMN()-COLUMN($J17),0)</f>
        <v>95059608.846682787</v>
      </c>
      <c r="N17" s="51">
        <f ca="1">OFFSET('Normalized Annual Summary'!$DB$13,COLUMN()-COLUMN($J17),0)</f>
        <v>96281098.261436075</v>
      </c>
      <c r="O17" s="51">
        <f ca="1">OFFSET('Normalized Annual Summary'!$DB$13,COLUMN()-COLUMN($J17),0)</f>
        <v>97236504.807735905</v>
      </c>
      <c r="P17" s="51">
        <f ca="1">OFFSET('Normalized Annual Summary'!$DB$13,COLUMN()-COLUMN($J17),0)</f>
        <v>98610886.306496739</v>
      </c>
      <c r="Q17" s="51">
        <f ca="1">OFFSET('Normalized Annual Summary'!$DB$13,COLUMN()-COLUMN($J17),0)</f>
        <v>100142047.32756847</v>
      </c>
      <c r="R17" s="59">
        <f ca="1">OFFSET('Normalized Annual Summary'!$DB$13,COLUMN()-COLUMN($J17),0)</f>
        <v>101842567.91642183</v>
      </c>
      <c r="S17" s="51"/>
    </row>
    <row r="18" spans="2:19" ht="13">
      <c r="B18" s="58" t="str">
        <f>'Total Additional'!C37</f>
        <v>GS 50 - 2,999</v>
      </c>
      <c r="C18" s="51">
        <f ca="1">OFFSET('Normalized Annual Summary'!$DL$13,COLUMN()-COLUMN($J18),0)</f>
        <v>348936461.28843987</v>
      </c>
      <c r="D18" s="51">
        <f ca="1">OFFSET('Normalized Annual Summary'!$DL$13,COLUMN()-COLUMN($J18),0)</f>
        <v>345013134.37792295</v>
      </c>
      <c r="E18" s="51">
        <f ca="1">OFFSET('Normalized Annual Summary'!$DL$13,COLUMN()-COLUMN($J18),0)</f>
        <v>341068209.32924014</v>
      </c>
      <c r="F18" s="51">
        <f ca="1">OFFSET('Normalized Annual Summary'!$DL$13,COLUMN()-COLUMN($J18),0)</f>
        <v>335477702.91796672</v>
      </c>
      <c r="G18" s="51">
        <f ca="1">OFFSET('Normalized Annual Summary'!$DL$13,COLUMN()-COLUMN($J18),0)</f>
        <v>311029266.22041261</v>
      </c>
      <c r="H18" s="51">
        <f ca="1">OFFSET('Normalized Annual Summary'!$DL$13,COLUMN()-COLUMN($J18),0)</f>
        <v>307221996.79972172</v>
      </c>
      <c r="I18" s="51">
        <f ca="1">OFFSET('Normalized Annual Summary'!$DL$13,COLUMN()-COLUMN($J18),0)</f>
        <v>312989342.13239974</v>
      </c>
      <c r="J18" s="51">
        <f ca="1">OFFSET('Normalized Annual Summary'!$DL$13,COLUMN()-COLUMN($J18),0)</f>
        <v>321315787.74600208</v>
      </c>
      <c r="K18" s="51">
        <f ca="1">OFFSET('Normalized Annual Summary'!$DL$13,COLUMN()-COLUMN($J18),0)</f>
        <v>318395730.48694098</v>
      </c>
      <c r="L18" s="51">
        <f ca="1">OFFSET('Normalized Annual Summary'!$DL$13,COLUMN()-COLUMN($J18),0)</f>
        <v>312805967.45400143</v>
      </c>
      <c r="M18" s="51">
        <f ca="1">OFFSET('Normalized Annual Summary'!$DL$13,COLUMN()-COLUMN($J18),0)</f>
        <v>340497565.09618205</v>
      </c>
      <c r="N18" s="51">
        <f ca="1">OFFSET('Normalized Annual Summary'!$DL$13,COLUMN()-COLUMN($J18),0)</f>
        <v>374352433.40622854</v>
      </c>
      <c r="O18" s="51">
        <f ca="1">OFFSET('Normalized Annual Summary'!$DL$13,COLUMN()-COLUMN($J18),0)</f>
        <v>391768934.0366683</v>
      </c>
      <c r="P18" s="51">
        <f ca="1">OFFSET('Normalized Annual Summary'!$DL$13,COLUMN()-COLUMN($J18),0)</f>
        <v>405526343.91540456</v>
      </c>
      <c r="Q18" s="51">
        <f ca="1">OFFSET('Normalized Annual Summary'!$DL$13,COLUMN()-COLUMN($J18),0)</f>
        <v>416615555.00911146</v>
      </c>
      <c r="R18" s="59">
        <f ca="1">OFFSET('Normalized Annual Summary'!$DL$13,COLUMN()-COLUMN($J18),0)</f>
        <v>426478048.24017596</v>
      </c>
      <c r="S18" s="51"/>
    </row>
    <row r="19" spans="2:19" ht="13">
      <c r="B19" s="58" t="str">
        <f>'Total Additional'!C38</f>
        <v>GS 3,000 - 4,999</v>
      </c>
      <c r="C19" s="51">
        <f ca="1">OFFSET('Normalized Annual Summary'!$DW$13,COLUMN()-COLUMN($J19),0)</f>
        <v>59672856.836529151</v>
      </c>
      <c r="D19" s="51">
        <f ca="1">OFFSET('Normalized Annual Summary'!$DW$13,COLUMN()-COLUMN($J19),0)</f>
        <v>58698261.008984432</v>
      </c>
      <c r="E19" s="51">
        <f ca="1">OFFSET('Normalized Annual Summary'!$DW$13,COLUMN()-COLUMN($J19),0)</f>
        <v>72789018.587176383</v>
      </c>
      <c r="F19" s="51">
        <f ca="1">OFFSET('Normalized Annual Summary'!$DW$13,COLUMN()-COLUMN($J19),0)</f>
        <v>84197167.628192171</v>
      </c>
      <c r="G19" s="51">
        <f ca="1">OFFSET('Normalized Annual Summary'!$DW$13,COLUMN()-COLUMN($J19),0)</f>
        <v>83499355.963948876</v>
      </c>
      <c r="H19" s="51">
        <f ca="1">OFFSET('Normalized Annual Summary'!$DW$13,COLUMN()-COLUMN($J19),0)</f>
        <v>82529518.873307154</v>
      </c>
      <c r="I19" s="51">
        <f ca="1">OFFSET('Normalized Annual Summary'!$DW$13,COLUMN()-COLUMN($J19),0)</f>
        <v>81430757.586178482</v>
      </c>
      <c r="J19" s="51">
        <f ca="1">OFFSET('Normalized Annual Summary'!$DW$13,COLUMN()-COLUMN($J19),0)</f>
        <v>80917609.883367822</v>
      </c>
      <c r="K19" s="51">
        <f ca="1">OFFSET('Normalized Annual Summary'!$DW$13,COLUMN()-COLUMN($J19),0)</f>
        <v>80323259.839825079</v>
      </c>
      <c r="L19" s="51">
        <f ca="1">OFFSET('Normalized Annual Summary'!$DW$13,COLUMN()-COLUMN($J19),0)</f>
        <v>78915166.445620447</v>
      </c>
      <c r="M19" s="51">
        <f ca="1">OFFSET('Normalized Annual Summary'!$DW$13,COLUMN()-COLUMN($J19),0)</f>
        <v>92072460.412605077</v>
      </c>
      <c r="N19" s="51">
        <f ca="1">OFFSET('Normalized Annual Summary'!$DW$13,COLUMN()-COLUMN($J19),0)</f>
        <v>108841470.83473286</v>
      </c>
      <c r="O19" s="51">
        <f ca="1">OFFSET('Normalized Annual Summary'!$DW$13,COLUMN()-COLUMN($J19),0)</f>
        <v>116124714.56687501</v>
      </c>
      <c r="P19" s="51">
        <f ca="1">OFFSET('Normalized Annual Summary'!$DW$13,COLUMN()-COLUMN($J19),0)</f>
        <v>121958556.76758742</v>
      </c>
      <c r="Q19" s="51">
        <f ca="1">OFFSET('Normalized Annual Summary'!$DW$13,COLUMN()-COLUMN($J19),0)</f>
        <v>129560666.21879767</v>
      </c>
      <c r="R19" s="59">
        <f ca="1">OFFSET('Normalized Annual Summary'!$DW$13,COLUMN()-COLUMN($J19),0)</f>
        <v>136179395.77017003</v>
      </c>
      <c r="S19" s="51"/>
    </row>
    <row r="20" spans="2:19" ht="13">
      <c r="B20" s="58" t="s">
        <v>18</v>
      </c>
      <c r="C20" s="51">
        <f ca="1">OFFSET('Normalized Annual Summary'!$ED$13,COLUMN()-COLUMN($J20),0)</f>
        <v>6040411.8327912744</v>
      </c>
      <c r="D20" s="51">
        <f ca="1">OFFSET('Normalized Annual Summary'!$ED$13,COLUMN()-COLUMN($J20),0)</f>
        <v>4772411.8997512907</v>
      </c>
      <c r="E20" s="51">
        <f ca="1">OFFSET('Normalized Annual Summary'!$ED$13,COLUMN()-COLUMN($J20),0)</f>
        <v>3647423.9429883296</v>
      </c>
      <c r="F20" s="51">
        <f ca="1">OFFSET('Normalized Annual Summary'!$ED$13,COLUMN()-COLUMN($J20),0)</f>
        <v>3343338.8655060264</v>
      </c>
      <c r="G20" s="51">
        <f ca="1">OFFSET('Normalized Annual Summary'!$ED$13,COLUMN()-COLUMN($J20),0)</f>
        <v>3228914.1476946622</v>
      </c>
      <c r="H20" s="51">
        <f ca="1">OFFSET('Normalized Annual Summary'!$ED$13,COLUMN()-COLUMN($J20),0)</f>
        <v>3113190.396020662</v>
      </c>
      <c r="I20" s="51">
        <f ca="1">OFFSET('Normalized Annual Summary'!$ED$13,COLUMN()-COLUMN($J20),0)</f>
        <v>3428741.8882724312</v>
      </c>
      <c r="J20" s="51">
        <f ca="1">OFFSET('Normalized Annual Summary'!$ED$13,COLUMN()-COLUMN($J20),0)</f>
        <v>3509109.9961737129</v>
      </c>
      <c r="K20" s="51">
        <f ca="1">OFFSET('Normalized Annual Summary'!$ED$13,COLUMN()-COLUMN($J20),0)</f>
        <v>3547066.0034436588</v>
      </c>
      <c r="L20" s="51">
        <f ca="1">OFFSET('Normalized Annual Summary'!$ED$13,COLUMN()-COLUMN($J20),0)</f>
        <v>3585601.999234742</v>
      </c>
      <c r="M20" s="51">
        <f ca="1">OFFSET('Normalized Annual Summary'!$ED$13,COLUMN()-COLUMN($J20),0)</f>
        <v>3648157.6152521502</v>
      </c>
      <c r="N20" s="51">
        <f ca="1">OFFSET('Normalized Annual Summary'!$ED$13,COLUMN()-COLUMN($J20),0)</f>
        <v>3711804.5975439399</v>
      </c>
      <c r="O20" s="51">
        <f ca="1">OFFSET('Normalized Annual Summary'!$ED$13,COLUMN()-COLUMN($J20),0)</f>
        <v>3776561.9864524594</v>
      </c>
      <c r="P20" s="51">
        <f ca="1">OFFSET('Normalized Annual Summary'!$ED$13,COLUMN()-COLUMN($J20),0)</f>
        <v>3842449.1545042628</v>
      </c>
      <c r="Q20" s="51">
        <f ca="1">OFFSET('Normalized Annual Summary'!$ED$13,COLUMN()-COLUMN($J20),0)</f>
        <v>3909485.8122055032</v>
      </c>
      <c r="R20" s="59">
        <f ca="1">OFFSET('Normalized Annual Summary'!$ED$13,COLUMN()-COLUMN($J20),0)</f>
        <v>3977692.0139384423</v>
      </c>
      <c r="S20" s="51"/>
    </row>
    <row r="21" spans="2:19" ht="13">
      <c r="B21" s="58" t="s">
        <v>19</v>
      </c>
      <c r="C21" s="51">
        <f ca="1">OFFSET('Normalized Annual Summary'!$EK$13,COLUMN()-COLUMN($J21),0)</f>
        <v>30332.130602026107</v>
      </c>
      <c r="D21" s="51">
        <f ca="1">OFFSET('Normalized Annual Summary'!$EK$13,COLUMN()-COLUMN($J21),0)</f>
        <v>29013.342314981488</v>
      </c>
      <c r="E21" s="51">
        <f ca="1">OFFSET('Normalized Annual Summary'!$EK$13,COLUMN()-COLUMN($J21),0)</f>
        <v>28683.645243220333</v>
      </c>
      <c r="F21" s="51">
        <f ca="1">OFFSET('Normalized Annual Summary'!$EK$13,COLUMN()-COLUMN($J21),0)</f>
        <v>28353.948171459182</v>
      </c>
      <c r="G21" s="51">
        <f ca="1">OFFSET('Normalized Annual Summary'!$EK$13,COLUMN()-COLUMN($J21),0)</f>
        <v>23738.189166803026</v>
      </c>
      <c r="H21" s="51">
        <f ca="1">OFFSET('Normalized Annual Summary'!$EK$13,COLUMN()-COLUMN($J21),0)</f>
        <v>24367.361775396959</v>
      </c>
      <c r="I21" s="51">
        <f ca="1">OFFSET('Normalized Annual Summary'!$EK$13,COLUMN()-COLUMN($J21),0)</f>
        <v>29649.448744324083</v>
      </c>
      <c r="J21" s="51">
        <f ca="1">OFFSET('Normalized Annual Summary'!$EK$13,COLUMN()-COLUMN($J21),0)</f>
        <v>29841.878706715124</v>
      </c>
      <c r="K21" s="51">
        <f ca="1">OFFSET('Normalized Annual Summary'!$EK$13,COLUMN()-COLUMN($J21),0)</f>
        <v>6038.9707289075932</v>
      </c>
      <c r="L21" s="51">
        <f ca="1">OFFSET('Normalized Annual Summary'!$EK$13,COLUMN()-COLUMN($J21),0)</f>
        <v>6022.4698679931098</v>
      </c>
      <c r="M21" s="51">
        <f ca="1">OFFSET('Normalized Annual Summary'!$EK$13,COLUMN()-COLUMN($J21),0)</f>
        <v>6110.7650786007734</v>
      </c>
      <c r="N21" s="51">
        <f ca="1">OFFSET('Normalized Annual Summary'!$EK$13,COLUMN()-COLUMN($J21),0)</f>
        <v>6200.3547820638823</v>
      </c>
      <c r="O21" s="51">
        <f ca="1">OFFSET('Normalized Annual Summary'!$EK$13,COLUMN()-COLUMN($J21),0)</f>
        <v>6291.2579568948759</v>
      </c>
      <c r="P21" s="51">
        <f ca="1">OFFSET('Normalized Annual Summary'!$EK$13,COLUMN()-COLUMN($J21),0)</f>
        <v>6383.4938598494691</v>
      </c>
      <c r="Q21" s="51">
        <f ca="1">OFFSET('Normalized Annual Summary'!$EK$13,COLUMN()-COLUMN($J21),0)</f>
        <v>6477.0820300059695</v>
      </c>
      <c r="R21" s="59">
        <f ca="1">OFFSET('Normalized Annual Summary'!$EK$13,COLUMN()-COLUMN($J21),0)</f>
        <v>6572.042292904398</v>
      </c>
      <c r="S21" s="51"/>
    </row>
    <row r="22" spans="2:19" ht="13">
      <c r="B22" s="58" t="s">
        <v>20</v>
      </c>
      <c r="C22" s="51">
        <f ca="1">OFFSET('Normalized Annual Summary'!$ER$13,COLUMN()-COLUMN($J22),0)</f>
        <v>572545.95370193222</v>
      </c>
      <c r="D22" s="51">
        <f ca="1">OFFSET('Normalized Annual Summary'!$ER$13,COLUMN()-COLUMN($J22),0)</f>
        <v>571359.93877941452</v>
      </c>
      <c r="E22" s="51">
        <f ca="1">OFFSET('Normalized Annual Summary'!$ER$13,COLUMN()-COLUMN($J22),0)</f>
        <v>578219.02621006314</v>
      </c>
      <c r="F22" s="51">
        <f ca="1">OFFSET('Normalized Annual Summary'!$ER$13,COLUMN()-COLUMN($J22),0)</f>
        <v>571919.91582169512</v>
      </c>
      <c r="G22" s="51">
        <f ca="1">OFFSET('Normalized Annual Summary'!$ER$13,COLUMN()-COLUMN($J22),0)</f>
        <v>1772122.9864166828</v>
      </c>
      <c r="H22" s="51">
        <f ca="1">OFFSET('Normalized Annual Summary'!$ER$13,COLUMN()-COLUMN($J22),0)</f>
        <v>1884136.9236655824</v>
      </c>
      <c r="I22" s="51">
        <f ca="1">OFFSET('Normalized Annual Summary'!$ER$13,COLUMN()-COLUMN($J22),0)</f>
        <v>1871392.8257126461</v>
      </c>
      <c r="J22" s="51">
        <f ca="1">OFFSET('Normalized Annual Summary'!$ER$13,COLUMN()-COLUMN($J22),0)</f>
        <v>1876376.7744404057</v>
      </c>
      <c r="K22" s="51">
        <f ca="1">OFFSET('Normalized Annual Summary'!$ER$13,COLUMN()-COLUMN($J22),0)</f>
        <v>1876673.7325425674</v>
      </c>
      <c r="L22" s="51">
        <f ca="1">OFFSET('Normalized Annual Summary'!$ER$13,COLUMN()-COLUMN($J22),0)</f>
        <v>1871192.7396211976</v>
      </c>
      <c r="M22" s="51">
        <f ca="1">OFFSET('Normalized Annual Summary'!$ER$13,COLUMN()-COLUMN($J22),0)</f>
        <v>1881015.2190175098</v>
      </c>
      <c r="N22" s="51">
        <f ca="1">OFFSET('Normalized Annual Summary'!$ER$13,COLUMN()-COLUMN($J22),0)</f>
        <v>1890889.2596984764</v>
      </c>
      <c r="O22" s="51">
        <f ca="1">OFFSET('Normalized Annual Summary'!$ER$13,COLUMN()-COLUMN($J22),0)</f>
        <v>1900815.1323255028</v>
      </c>
      <c r="P22" s="51">
        <f ca="1">OFFSET('Normalized Annual Summary'!$ER$13,COLUMN()-COLUMN($J22),0)</f>
        <v>1910793.1089807807</v>
      </c>
      <c r="Q22" s="51">
        <f ca="1">OFFSET('Normalized Annual Summary'!$ER$13,COLUMN()-COLUMN($J22),0)</f>
        <v>1920823.4631747473</v>
      </c>
      <c r="R22" s="59">
        <f ca="1">OFFSET('Normalized Annual Summary'!$ER$13,COLUMN()-COLUMN($J22),0)</f>
        <v>1930906.4698535819</v>
      </c>
      <c r="S22" s="51"/>
    </row>
    <row r="23" spans="2:19" ht="13.5" thickBot="1">
      <c r="B23" s="57" t="s">
        <v>290</v>
      </c>
      <c r="C23" s="640">
        <f t="shared" ref="C23:R23" ca="1" si="2">SUM(C16:C22)</f>
        <v>843899221.83206236</v>
      </c>
      <c r="D23" s="640">
        <f t="shared" ca="1" si="2"/>
        <v>833871217.81729686</v>
      </c>
      <c r="E23" s="640">
        <f t="shared" ca="1" si="2"/>
        <v>846081779.31043875</v>
      </c>
      <c r="F23" s="640">
        <f t="shared" ca="1" si="2"/>
        <v>857478319.55321634</v>
      </c>
      <c r="G23" s="640">
        <f t="shared" ca="1" si="2"/>
        <v>850129894.63751793</v>
      </c>
      <c r="H23" s="640">
        <f t="shared" ca="1" si="2"/>
        <v>857488009.94737196</v>
      </c>
      <c r="I23" s="640">
        <f t="shared" ca="1" si="2"/>
        <v>869832434.35052884</v>
      </c>
      <c r="J23" s="640">
        <f t="shared" ca="1" si="2"/>
        <v>881968483.98194265</v>
      </c>
      <c r="K23" s="640">
        <f t="shared" ref="K23" ca="1" si="3">SUM(K16:K22)</f>
        <v>889096393.13762081</v>
      </c>
      <c r="L23" s="641">
        <f t="shared" ca="1" si="2"/>
        <v>891227488.45793772</v>
      </c>
      <c r="M23" s="641">
        <f t="shared" ca="1" si="2"/>
        <v>946447146.89504635</v>
      </c>
      <c r="N23" s="641">
        <f t="shared" ca="1" si="2"/>
        <v>1009964290.1662842</v>
      </c>
      <c r="O23" s="641">
        <f t="shared" ca="1" si="2"/>
        <v>1045986867.2063401</v>
      </c>
      <c r="P23" s="641">
        <f t="shared" ca="1" si="2"/>
        <v>1078897260.2197611</v>
      </c>
      <c r="Q23" s="641">
        <f t="shared" ca="1" si="2"/>
        <v>1114088000.5387385</v>
      </c>
      <c r="R23" s="50">
        <f t="shared" ca="1" si="2"/>
        <v>1145930471.7362313</v>
      </c>
      <c r="S23" s="51"/>
    </row>
    <row r="26" spans="2:19" ht="16" thickBot="1">
      <c r="B26" s="64" t="s">
        <v>865</v>
      </c>
      <c r="C26" s="64" t="s">
        <v>1</v>
      </c>
      <c r="E26" s="51"/>
      <c r="F26" s="51"/>
      <c r="G26" s="51"/>
      <c r="H26" s="51"/>
      <c r="I26" s="51"/>
      <c r="J26" s="64" t="s">
        <v>865</v>
      </c>
      <c r="K26" s="64" t="s">
        <v>2</v>
      </c>
      <c r="N26" s="51"/>
      <c r="O26" s="51"/>
      <c r="P26" s="51"/>
      <c r="Q26" s="51"/>
    </row>
    <row r="27" spans="2:19" ht="13">
      <c r="B27" s="55" t="s">
        <v>3</v>
      </c>
      <c r="C27" s="54">
        <f>'CDM Adjustment'!AC5</f>
        <v>2026</v>
      </c>
      <c r="D27" s="54">
        <f>'CDM Adjustment'!AD5</f>
        <v>2027</v>
      </c>
      <c r="E27" s="54">
        <f>'CDM Adjustment'!AE5</f>
        <v>2028</v>
      </c>
      <c r="F27" s="54">
        <f>'CDM Adjustment'!AF5</f>
        <v>2029</v>
      </c>
      <c r="G27" s="54">
        <f>'CDM Adjustment'!AG5</f>
        <v>2030</v>
      </c>
      <c r="H27" s="53">
        <f>'CDM Adjustment'!AH5</f>
        <v>2031</v>
      </c>
      <c r="J27" s="55" t="s">
        <v>3</v>
      </c>
      <c r="K27" s="54">
        <f t="shared" ref="K27:P27" si="4">C27</f>
        <v>2026</v>
      </c>
      <c r="L27" s="54">
        <f t="shared" si="4"/>
        <v>2027</v>
      </c>
      <c r="M27" s="54">
        <f t="shared" si="4"/>
        <v>2028</v>
      </c>
      <c r="N27" s="54">
        <f t="shared" si="4"/>
        <v>2029</v>
      </c>
      <c r="O27" s="54">
        <f t="shared" si="4"/>
        <v>2030</v>
      </c>
      <c r="P27" s="53">
        <f t="shared" si="4"/>
        <v>2031</v>
      </c>
    </row>
    <row r="28" spans="2:19" ht="13">
      <c r="B28" s="760" t="str">
        <f t="shared" ref="B28:B36" si="5">B3</f>
        <v>Residential</v>
      </c>
      <c r="C28" s="51">
        <f>'CDM Adjustment'!AC7</f>
        <v>7785186.4067607392</v>
      </c>
      <c r="D28" s="51">
        <f>'CDM Adjustment'!AD7</f>
        <v>16288485.927392446</v>
      </c>
      <c r="E28" s="51">
        <f>'CDM Adjustment'!AE7</f>
        <v>25540580.683676898</v>
      </c>
      <c r="F28" s="51">
        <f>'CDM Adjustment'!AF7</f>
        <v>35495447.492941476</v>
      </c>
      <c r="G28" s="51">
        <f>'CDM Adjustment'!AG7</f>
        <v>46168427.416077018</v>
      </c>
      <c r="H28" s="59">
        <f>'CDM Adjustment'!AH7</f>
        <v>57559520.453083538</v>
      </c>
      <c r="J28" s="760" t="str">
        <f>B28</f>
        <v>Residential</v>
      </c>
      <c r="K28" s="51">
        <f>'CDM Adjustment'!AC38</f>
        <v>3000218.4503455488</v>
      </c>
      <c r="L28" s="51">
        <f>'CDM Adjustment'!AD38</f>
        <v>6282125.972666407</v>
      </c>
      <c r="M28" s="51">
        <f>'CDM Adjustment'!AE38</f>
        <v>9858982.2532109357</v>
      </c>
      <c r="N28" s="51">
        <f>'CDM Adjustment'!AF38</f>
        <v>13570053.226618959</v>
      </c>
      <c r="O28" s="51">
        <f>'CDM Adjustment'!AG38</f>
        <v>17281124.200026982</v>
      </c>
      <c r="P28" s="59">
        <f>'CDM Adjustment'!AH38</f>
        <v>20992195.173435003</v>
      </c>
    </row>
    <row r="29" spans="2:19" ht="13">
      <c r="B29" s="58" t="str">
        <f t="shared" si="5"/>
        <v>Residential Seasonal</v>
      </c>
      <c r="C29" s="51">
        <f>'CDM Adjustment'!AC8</f>
        <v>89136.354957977892</v>
      </c>
      <c r="D29" s="51">
        <f>'CDM Adjustment'!AD8</f>
        <v>186495.087694699</v>
      </c>
      <c r="E29" s="51">
        <f>'CDM Adjustment'!AE8</f>
        <v>292427.5831762274</v>
      </c>
      <c r="F29" s="51">
        <f>'CDM Adjustment'!AF8</f>
        <v>406406.7639534676</v>
      </c>
      <c r="G29" s="51">
        <f>'CDM Adjustment'!AG8</f>
        <v>528608.32250945107</v>
      </c>
      <c r="H29" s="59">
        <f>'CDM Adjustment'!AH8</f>
        <v>659032.25884417782</v>
      </c>
      <c r="J29" s="58"/>
      <c r="K29" s="51"/>
      <c r="L29" s="51"/>
      <c r="M29" s="51"/>
      <c r="N29" s="51"/>
      <c r="O29" s="51"/>
      <c r="P29" s="59"/>
    </row>
    <row r="30" spans="2:19" ht="13">
      <c r="B30" s="58" t="str">
        <f t="shared" si="5"/>
        <v>GS&lt;50</v>
      </c>
      <c r="C30" s="51">
        <f>'CDM Adjustment'!AC9</f>
        <v>3527451.564634453</v>
      </c>
      <c r="D30" s="51">
        <f>'CDM Adjustment'!AD9</f>
        <v>7270082.5506024435</v>
      </c>
      <c r="E30" s="51">
        <f>'CDM Adjustment'!AE9</f>
        <v>11124089.05454579</v>
      </c>
      <c r="F30" s="51">
        <f>'CDM Adjustment'!AF9</f>
        <v>15153724.00998253</v>
      </c>
      <c r="G30" s="51">
        <f>'CDM Adjustment'!AG9</f>
        <v>19352811.925993185</v>
      </c>
      <c r="H30" s="59">
        <f>'CDM Adjustment'!AH9</f>
        <v>23721352.802577756</v>
      </c>
      <c r="J30" s="58" t="str">
        <f>B30</f>
        <v>GS&lt;50</v>
      </c>
      <c r="K30" s="51">
        <f>'CDM Adjustment'!AC39</f>
        <v>971516.8854983201</v>
      </c>
      <c r="L30" s="51">
        <f>'CDM Adjustment'!AD39</f>
        <v>2005737.7671145517</v>
      </c>
      <c r="M30" s="51">
        <f>'CDM Adjustment'!AE39</f>
        <v>3079246.534793559</v>
      </c>
      <c r="N30" s="51">
        <f>'CDM Adjustment'!AF39</f>
        <v>4180261.8363947705</v>
      </c>
      <c r="O30" s="51">
        <f>'CDM Adjustment'!AG39</f>
        <v>5281277.1379959816</v>
      </c>
      <c r="P30" s="59">
        <f>'CDM Adjustment'!AH39</f>
        <v>6382292.4395971932</v>
      </c>
    </row>
    <row r="31" spans="2:19" ht="13">
      <c r="B31" s="58" t="str">
        <f t="shared" si="5"/>
        <v>GS 50 - 2,999</v>
      </c>
      <c r="C31" s="51">
        <f>'CDM Adjustment'!AC10</f>
        <v>15633631.202779196</v>
      </c>
      <c r="D31" s="51">
        <f>'CDM Adjustment'!AD10</f>
        <v>33111052.900011502</v>
      </c>
      <c r="E31" s="51">
        <f>'CDM Adjustment'!AE10</f>
        <v>51913331.896169081</v>
      </c>
      <c r="F31" s="51">
        <f>'CDM Adjustment'!AF10</f>
        <v>71668054.690493673</v>
      </c>
      <c r="G31" s="51">
        <f>'CDM Adjustment'!AG10</f>
        <v>92351601.635686055</v>
      </c>
      <c r="H31" s="59">
        <f>'CDM Adjustment'!AH10</f>
        <v>113963972.73174623</v>
      </c>
      <c r="J31" s="58" t="str">
        <f>B31</f>
        <v>GS 50 - 2,999</v>
      </c>
      <c r="K31" s="51">
        <f>'CDM Adjustment'!AC40</f>
        <v>6048909.9158036336</v>
      </c>
      <c r="L31" s="51">
        <f>'CDM Adjustment'!AD40</f>
        <v>12917648.539049851</v>
      </c>
      <c r="M31" s="51">
        <f>'CDM Adjustment'!AE40</f>
        <v>20413888.919979017</v>
      </c>
      <c r="N31" s="51">
        <f>'CDM Adjustment'!AF40</f>
        <v>28115838.034210894</v>
      </c>
      <c r="O31" s="51">
        <f>'CDM Adjustment'!AG40</f>
        <v>35817787.148442768</v>
      </c>
      <c r="P31" s="59">
        <f>'CDM Adjustment'!AH40</f>
        <v>43519736.262674645</v>
      </c>
    </row>
    <row r="32" spans="2:19" ht="13">
      <c r="B32" s="58" t="str">
        <f t="shared" si="5"/>
        <v>GS 3,000 - 4,999</v>
      </c>
      <c r="C32" s="51">
        <f>'CDM Adjustment'!AC11</f>
        <v>1151548.2830866755</v>
      </c>
      <c r="D32" s="51">
        <f>'CDM Adjustment'!AD11</f>
        <v>2465228.2732554516</v>
      </c>
      <c r="E32" s="51">
        <f>'CDM Adjustment'!AE11</f>
        <v>3916558.4140015743</v>
      </c>
      <c r="F32" s="51">
        <f>'CDM Adjustment'!AF11</f>
        <v>5457090.8403645437</v>
      </c>
      <c r="G32" s="51">
        <f>'CDM Adjustment'!AG11</f>
        <v>7086139.0991051085</v>
      </c>
      <c r="H32" s="59">
        <f>'CDM Adjustment'!AH11</f>
        <v>8803703.1902232654</v>
      </c>
      <c r="J32" s="58" t="str">
        <f>B32</f>
        <v>GS 3,000 - 4,999</v>
      </c>
      <c r="K32" s="51">
        <f>'CDM Adjustment'!AC41</f>
        <v>1374641.7518455712</v>
      </c>
      <c r="L32" s="51">
        <f>'CDM Adjustment'!AD41</f>
        <v>2938598.3949082205</v>
      </c>
      <c r="M32" s="51">
        <f>'CDM Adjustment'!AE41</f>
        <v>4648655.8038837332</v>
      </c>
      <c r="N32" s="51">
        <f>'CDM Adjustment'!AF41</f>
        <v>6406053.6976614539</v>
      </c>
      <c r="O32" s="51">
        <f>'CDM Adjustment'!AG41</f>
        <v>8163451.5914391745</v>
      </c>
      <c r="P32" s="59">
        <f>'CDM Adjustment'!AH41</f>
        <v>9920849.4852168951</v>
      </c>
    </row>
    <row r="33" spans="2:17" ht="13">
      <c r="B33" s="58" t="str">
        <f t="shared" si="5"/>
        <v>Large Use</v>
      </c>
      <c r="C33" s="51">
        <f>'CDM Adjustment'!AC12</f>
        <v>5989649.4193192208</v>
      </c>
      <c r="D33" s="51">
        <f>'CDM Adjustment'!AD12</f>
        <v>13506068.786243308</v>
      </c>
      <c r="E33" s="51">
        <f>'CDM Adjustment'!AE12</f>
        <v>22464948.407113258</v>
      </c>
      <c r="F33" s="51">
        <f>'CDM Adjustment'!AF12</f>
        <v>32109621.880126409</v>
      </c>
      <c r="G33" s="51">
        <f>'CDM Adjustment'!AG12</f>
        <v>42442783.868456848</v>
      </c>
      <c r="H33" s="59">
        <f>'CDM Adjustment'!AH12</f>
        <v>53464434.372104563</v>
      </c>
      <c r="J33" s="58"/>
      <c r="K33" s="51"/>
      <c r="L33" s="51"/>
      <c r="M33" s="51"/>
      <c r="N33" s="51"/>
      <c r="O33" s="51"/>
      <c r="P33" s="59"/>
    </row>
    <row r="34" spans="2:17" ht="13">
      <c r="B34" s="58" t="str">
        <f t="shared" si="5"/>
        <v>Street Light</v>
      </c>
      <c r="C34" s="51">
        <f>'CDM Adjustment'!AC13</f>
        <v>0</v>
      </c>
      <c r="D34" s="51">
        <f>'CDM Adjustment'!AD13</f>
        <v>0</v>
      </c>
      <c r="E34" s="51">
        <f>'CDM Adjustment'!AE13</f>
        <v>0</v>
      </c>
      <c r="F34" s="51">
        <f>'CDM Adjustment'!AF13</f>
        <v>0</v>
      </c>
      <c r="G34" s="51">
        <f>'CDM Adjustment'!AG13</f>
        <v>0</v>
      </c>
      <c r="H34" s="59">
        <f>'CDM Adjustment'!AH13</f>
        <v>0</v>
      </c>
      <c r="J34" s="58" t="str">
        <f>B34</f>
        <v>Street Light</v>
      </c>
      <c r="K34" s="51">
        <f>'CDM Adjustment'!AC42</f>
        <v>0</v>
      </c>
      <c r="L34" s="51">
        <f>'CDM Adjustment'!AD42</f>
        <v>0</v>
      </c>
      <c r="M34" s="51">
        <f>'CDM Adjustment'!AE42</f>
        <v>0</v>
      </c>
      <c r="N34" s="51">
        <f>'CDM Adjustment'!AF42</f>
        <v>0</v>
      </c>
      <c r="O34" s="51">
        <f>'CDM Adjustment'!AG42</f>
        <v>0</v>
      </c>
      <c r="P34" s="59">
        <f>'CDM Adjustment'!AH42</f>
        <v>0</v>
      </c>
    </row>
    <row r="35" spans="2:17" ht="13">
      <c r="B35" s="58" t="str">
        <f t="shared" si="5"/>
        <v>Sentinel Light</v>
      </c>
      <c r="C35" s="51">
        <f>'CDM Adjustment'!AC14</f>
        <v>0</v>
      </c>
      <c r="D35" s="51">
        <f>'CDM Adjustment'!AD14</f>
        <v>0</v>
      </c>
      <c r="E35" s="51">
        <f>'CDM Adjustment'!AE14</f>
        <v>0</v>
      </c>
      <c r="F35" s="51">
        <f>'CDM Adjustment'!AF14</f>
        <v>0</v>
      </c>
      <c r="G35" s="51">
        <f>'CDM Adjustment'!AG14</f>
        <v>0</v>
      </c>
      <c r="H35" s="59">
        <f>'CDM Adjustment'!AH14</f>
        <v>0</v>
      </c>
      <c r="J35" s="58" t="str">
        <f>B35</f>
        <v>Sentinel Light</v>
      </c>
      <c r="K35" s="51">
        <f>'CDM Adjustment'!AC43</f>
        <v>0</v>
      </c>
      <c r="L35" s="51">
        <f>'CDM Adjustment'!AD43</f>
        <v>0</v>
      </c>
      <c r="M35" s="51">
        <f>'CDM Adjustment'!AE43</f>
        <v>0</v>
      </c>
      <c r="N35" s="51">
        <f>'CDM Adjustment'!AF43</f>
        <v>0</v>
      </c>
      <c r="O35" s="51">
        <f>'CDM Adjustment'!AG43</f>
        <v>0</v>
      </c>
      <c r="P35" s="59">
        <f>'CDM Adjustment'!AH43</f>
        <v>0</v>
      </c>
    </row>
    <row r="36" spans="2:17" ht="13">
      <c r="B36" s="58" t="str">
        <f t="shared" si="5"/>
        <v>USL</v>
      </c>
      <c r="C36" s="51">
        <f>'CDM Adjustment'!AC15</f>
        <v>0</v>
      </c>
      <c r="D36" s="51">
        <f>'CDM Adjustment'!AD15</f>
        <v>0</v>
      </c>
      <c r="E36" s="51">
        <f>'CDM Adjustment'!AE15</f>
        <v>0</v>
      </c>
      <c r="F36" s="51">
        <f>'CDM Adjustment'!AF15</f>
        <v>0</v>
      </c>
      <c r="G36" s="51">
        <f>'CDM Adjustment'!AG15</f>
        <v>0</v>
      </c>
      <c r="H36" s="59">
        <f>'CDM Adjustment'!AH15</f>
        <v>0</v>
      </c>
      <c r="J36" s="58" t="str">
        <f>B36</f>
        <v>USL</v>
      </c>
      <c r="K36" s="51">
        <f>'CDM Adjustment'!AC44</f>
        <v>0</v>
      </c>
      <c r="L36" s="51">
        <f>'CDM Adjustment'!AD44</f>
        <v>0</v>
      </c>
      <c r="M36" s="51">
        <f>'CDM Adjustment'!AE44</f>
        <v>0</v>
      </c>
      <c r="N36" s="51">
        <f>'CDM Adjustment'!AF44</f>
        <v>0</v>
      </c>
      <c r="O36" s="51">
        <f>'CDM Adjustment'!AG44</f>
        <v>0</v>
      </c>
      <c r="P36" s="59">
        <f>'CDM Adjustment'!AH44</f>
        <v>0</v>
      </c>
    </row>
    <row r="37" spans="2:17" ht="13.5" thickBot="1">
      <c r="B37" s="57" t="s">
        <v>290</v>
      </c>
      <c r="C37" s="640">
        <f t="shared" ref="C37:H37" si="6">SUM(C28:C36)</f>
        <v>34176603.231538266</v>
      </c>
      <c r="D37" s="640">
        <f t="shared" si="6"/>
        <v>72827413.525199845</v>
      </c>
      <c r="E37" s="640">
        <f t="shared" si="6"/>
        <v>115251936.03868282</v>
      </c>
      <c r="F37" s="640">
        <f t="shared" si="6"/>
        <v>160290345.67786211</v>
      </c>
      <c r="G37" s="640">
        <f t="shared" si="6"/>
        <v>207930372.26782769</v>
      </c>
      <c r="H37" s="56">
        <f t="shared" si="6"/>
        <v>258172015.80857953</v>
      </c>
      <c r="J37" s="57" t="s">
        <v>290</v>
      </c>
      <c r="K37" s="640">
        <f t="shared" ref="K37:P37" si="7">SUM(K28:K36)</f>
        <v>11395287.003493074</v>
      </c>
      <c r="L37" s="640">
        <f t="shared" si="7"/>
        <v>24144110.673739031</v>
      </c>
      <c r="M37" s="640">
        <f t="shared" si="7"/>
        <v>38000773.511867248</v>
      </c>
      <c r="N37" s="640">
        <f t="shared" si="7"/>
        <v>52272206.794886075</v>
      </c>
      <c r="O37" s="640">
        <f t="shared" si="7"/>
        <v>66543640.077904902</v>
      </c>
      <c r="P37" s="56">
        <f t="shared" si="7"/>
        <v>80815073.360923737</v>
      </c>
    </row>
    <row r="38" spans="2:17">
      <c r="E38" s="52"/>
    </row>
    <row r="39" spans="2:17">
      <c r="E39" s="52"/>
      <c r="Q39" s="247"/>
    </row>
    <row r="40" spans="2:17" ht="16" thickBot="1">
      <c r="B40" s="64" t="s">
        <v>866</v>
      </c>
      <c r="C40" s="64" t="s">
        <v>1</v>
      </c>
      <c r="E40" s="51"/>
      <c r="F40" s="51"/>
      <c r="G40" s="51"/>
      <c r="H40" s="51"/>
      <c r="J40" s="64" t="s">
        <v>866</v>
      </c>
      <c r="K40" s="64" t="s">
        <v>2</v>
      </c>
      <c r="N40" s="51"/>
      <c r="O40" s="51"/>
      <c r="P40" s="51"/>
      <c r="Q40" s="51"/>
    </row>
    <row r="41" spans="2:17" ht="13">
      <c r="B41" s="55" t="s">
        <v>3</v>
      </c>
      <c r="C41" s="54">
        <f t="shared" ref="C41:H41" si="8">C27</f>
        <v>2026</v>
      </c>
      <c r="D41" s="54">
        <f t="shared" si="8"/>
        <v>2027</v>
      </c>
      <c r="E41" s="54">
        <f t="shared" si="8"/>
        <v>2028</v>
      </c>
      <c r="F41" s="54">
        <f t="shared" si="8"/>
        <v>2029</v>
      </c>
      <c r="G41" s="54">
        <f t="shared" si="8"/>
        <v>2030</v>
      </c>
      <c r="H41" s="53">
        <f t="shared" si="8"/>
        <v>2031</v>
      </c>
      <c r="J41" s="55" t="s">
        <v>3</v>
      </c>
      <c r="K41" s="54">
        <f t="shared" ref="K41:P41" si="9">K27</f>
        <v>2026</v>
      </c>
      <c r="L41" s="54">
        <f t="shared" si="9"/>
        <v>2027</v>
      </c>
      <c r="M41" s="54">
        <f t="shared" si="9"/>
        <v>2028</v>
      </c>
      <c r="N41" s="54">
        <f t="shared" si="9"/>
        <v>2029</v>
      </c>
      <c r="O41" s="54">
        <f t="shared" si="9"/>
        <v>2030</v>
      </c>
      <c r="P41" s="53">
        <f t="shared" si="9"/>
        <v>2031</v>
      </c>
    </row>
    <row r="42" spans="2:17" ht="13">
      <c r="B42" s="760" t="str">
        <f t="shared" ref="B42:B50" si="10">B28</f>
        <v>Residential</v>
      </c>
      <c r="C42" s="51">
        <f t="shared" ref="C42:C50" ca="1" si="11">M3-C28</f>
        <v>1052966743.2526804</v>
      </c>
      <c r="D42" s="51">
        <f t="shared" ref="D42:D50" ca="1" si="12">N3-D28</f>
        <v>1069640326.8111155</v>
      </c>
      <c r="E42" s="51">
        <f t="shared" ref="E42:E50" ca="1" si="13">O3-E28</f>
        <v>1088420959.685971</v>
      </c>
      <c r="F42" s="51">
        <f t="shared" ref="F42:F50" ca="1" si="14">P3-F28</f>
        <v>1105068058.1955798</v>
      </c>
      <c r="G42" s="51">
        <f t="shared" ref="G42:G50" ca="1" si="15">Q3-G28</f>
        <v>1127380913.4028563</v>
      </c>
      <c r="H42" s="59">
        <f t="shared" ref="H42:H50" ca="1" si="16">R3-H28</f>
        <v>1151178912.4929533</v>
      </c>
      <c r="J42" s="760" t="str">
        <f>J28</f>
        <v>Residential</v>
      </c>
      <c r="K42" s="51">
        <f t="shared" ref="K42:P42" ca="1" si="17">M16-K28</f>
        <v>410282010.48988271</v>
      </c>
      <c r="L42" s="51">
        <f t="shared" ca="1" si="17"/>
        <v>418598267.47919571</v>
      </c>
      <c r="M42" s="51">
        <f t="shared" ca="1" si="17"/>
        <v>425314063.16511506</v>
      </c>
      <c r="N42" s="51">
        <f t="shared" ca="1" si="17"/>
        <v>433471794.24630857</v>
      </c>
      <c r="O42" s="51">
        <f t="shared" ca="1" si="17"/>
        <v>444651821.42582357</v>
      </c>
      <c r="P42" s="59">
        <f t="shared" ca="1" si="17"/>
        <v>454523094.10994363</v>
      </c>
    </row>
    <row r="43" spans="2:17" ht="13">
      <c r="B43" s="58" t="str">
        <f t="shared" si="10"/>
        <v>Residential Seasonal</v>
      </c>
      <c r="C43" s="51">
        <f t="shared" ca="1" si="11"/>
        <v>12668616.88924998</v>
      </c>
      <c r="D43" s="51">
        <f t="shared" ca="1" si="12"/>
        <v>13098093.680488765</v>
      </c>
      <c r="E43" s="51">
        <f t="shared" ca="1" si="13"/>
        <v>13453586.472312599</v>
      </c>
      <c r="F43" s="51">
        <f t="shared" ca="1" si="14"/>
        <v>13869843.856722418</v>
      </c>
      <c r="G43" s="51">
        <f t="shared" ca="1" si="15"/>
        <v>14368853.521388374</v>
      </c>
      <c r="H43" s="59">
        <f t="shared" ca="1" si="16"/>
        <v>14809342.656845005</v>
      </c>
      <c r="J43" s="58"/>
      <c r="K43" s="51"/>
      <c r="L43" s="51"/>
      <c r="M43" s="51"/>
      <c r="N43" s="51"/>
      <c r="O43" s="51"/>
      <c r="P43" s="59"/>
    </row>
    <row r="44" spans="2:17" ht="13">
      <c r="B44" s="58" t="str">
        <f t="shared" si="10"/>
        <v>GS&lt;50</v>
      </c>
      <c r="C44" s="51">
        <f t="shared" ca="1" si="11"/>
        <v>265265899.99815881</v>
      </c>
      <c r="D44" s="51">
        <f t="shared" ca="1" si="12"/>
        <v>265162520.32773042</v>
      </c>
      <c r="E44" s="51">
        <f t="shared" ca="1" si="13"/>
        <v>263940255.64234325</v>
      </c>
      <c r="F44" s="51">
        <f t="shared" ca="1" si="14"/>
        <v>263464475.92419034</v>
      </c>
      <c r="G44" s="51">
        <f t="shared" ca="1" si="15"/>
        <v>263221892.25943616</v>
      </c>
      <c r="H44" s="59">
        <f t="shared" ca="1" si="16"/>
        <v>264555061.25466838</v>
      </c>
      <c r="J44" s="58" t="str">
        <f>J30</f>
        <v>GS&lt;50</v>
      </c>
      <c r="K44" s="51">
        <f t="shared" ref="K44:P46" ca="1" si="18">M17-K30</f>
        <v>94088091.961184472</v>
      </c>
      <c r="L44" s="51">
        <f t="shared" ca="1" si="18"/>
        <v>94275360.494321525</v>
      </c>
      <c r="M44" s="51">
        <f t="shared" ca="1" si="18"/>
        <v>94157258.272942349</v>
      </c>
      <c r="N44" s="51">
        <f t="shared" ca="1" si="18"/>
        <v>94430624.470101967</v>
      </c>
      <c r="O44" s="51">
        <f t="shared" ca="1" si="18"/>
        <v>94860770.189572483</v>
      </c>
      <c r="P44" s="59">
        <f t="shared" ca="1" si="18"/>
        <v>95460275.476824641</v>
      </c>
    </row>
    <row r="45" spans="2:17" ht="13">
      <c r="B45" s="58" t="str">
        <f t="shared" si="10"/>
        <v>GS 50 - 2,999</v>
      </c>
      <c r="C45" s="51">
        <f t="shared" ca="1" si="11"/>
        <v>963798335.51313102</v>
      </c>
      <c r="D45" s="51">
        <f t="shared" ca="1" si="12"/>
        <v>1013142478.7445124</v>
      </c>
      <c r="E45" s="51">
        <f t="shared" ca="1" si="13"/>
        <v>1022487004.5647374</v>
      </c>
      <c r="F45" s="51">
        <f t="shared" ca="1" si="14"/>
        <v>1028481560.0836257</v>
      </c>
      <c r="G45" s="51">
        <f t="shared" ca="1" si="15"/>
        <v>1026063146.0430988</v>
      </c>
      <c r="H45" s="59">
        <f t="shared" ca="1" si="16"/>
        <v>1030923895.7654021</v>
      </c>
      <c r="J45" s="58" t="str">
        <f>J31</f>
        <v>GS 50 - 2,999</v>
      </c>
      <c r="K45" s="51">
        <f t="shared" ca="1" si="18"/>
        <v>334448655.18037844</v>
      </c>
      <c r="L45" s="51">
        <f t="shared" ca="1" si="18"/>
        <v>361434784.86717868</v>
      </c>
      <c r="M45" s="51">
        <f t="shared" ca="1" si="18"/>
        <v>371355045.11668926</v>
      </c>
      <c r="N45" s="51">
        <f t="shared" ca="1" si="18"/>
        <v>377410505.88119364</v>
      </c>
      <c r="O45" s="51">
        <f t="shared" ca="1" si="18"/>
        <v>380797767.86066872</v>
      </c>
      <c r="P45" s="59">
        <f t="shared" ca="1" si="18"/>
        <v>382958311.97750133</v>
      </c>
    </row>
    <row r="46" spans="2:17" ht="13">
      <c r="B46" s="58" t="str">
        <f t="shared" si="10"/>
        <v>GS 3,000 - 4,999</v>
      </c>
      <c r="C46" s="51">
        <f t="shared" ca="1" si="11"/>
        <v>120544505.00295174</v>
      </c>
      <c r="D46" s="51">
        <f t="shared" ca="1" si="12"/>
        <v>154289818.7715472</v>
      </c>
      <c r="E46" s="51">
        <f t="shared" ca="1" si="13"/>
        <v>179717243.71939456</v>
      </c>
      <c r="F46" s="51">
        <f t="shared" ca="1" si="14"/>
        <v>195444232.22083339</v>
      </c>
      <c r="G46" s="51">
        <f t="shared" ca="1" si="15"/>
        <v>200264057.20306987</v>
      </c>
      <c r="H46" s="59">
        <f t="shared" ca="1" si="16"/>
        <v>207528613.81570518</v>
      </c>
      <c r="J46" s="58" t="str">
        <f>J32</f>
        <v>GS 3,000 - 4,999</v>
      </c>
      <c r="K46" s="51">
        <f t="shared" ca="1" si="18"/>
        <v>90697818.660759509</v>
      </c>
      <c r="L46" s="51">
        <f t="shared" ca="1" si="18"/>
        <v>105902872.43982464</v>
      </c>
      <c r="M46" s="51">
        <f t="shared" ca="1" si="18"/>
        <v>111476058.76299128</v>
      </c>
      <c r="N46" s="51">
        <f t="shared" ca="1" si="18"/>
        <v>115552503.06992596</v>
      </c>
      <c r="O46" s="51">
        <f t="shared" ca="1" si="18"/>
        <v>121397214.6273585</v>
      </c>
      <c r="P46" s="59">
        <f t="shared" ca="1" si="18"/>
        <v>126258546.28495313</v>
      </c>
    </row>
    <row r="47" spans="2:17" ht="13">
      <c r="B47" s="58" t="str">
        <f t="shared" si="10"/>
        <v>Large Use</v>
      </c>
      <c r="C47" s="51">
        <f t="shared" ca="1" si="11"/>
        <v>343075152.01669252</v>
      </c>
      <c r="D47" s="51">
        <f t="shared" ca="1" si="12"/>
        <v>409486870.75309986</v>
      </c>
      <c r="E47" s="51">
        <f t="shared" ca="1" si="13"/>
        <v>486502046.60378212</v>
      </c>
      <c r="F47" s="51">
        <f t="shared" ca="1" si="14"/>
        <v>530848433.28238314</v>
      </c>
      <c r="G47" s="51">
        <f t="shared" ca="1" si="15"/>
        <v>538574069.41898668</v>
      </c>
      <c r="H47" s="59">
        <f t="shared" ca="1" si="16"/>
        <v>543584528.13487542</v>
      </c>
      <c r="J47" s="58"/>
      <c r="K47" s="51"/>
      <c r="L47" s="51"/>
      <c r="M47" s="51"/>
      <c r="N47" s="51"/>
      <c r="O47" s="51"/>
      <c r="P47" s="59"/>
    </row>
    <row r="48" spans="2:17" ht="13">
      <c r="B48" s="58" t="str">
        <f t="shared" si="10"/>
        <v>Street Light</v>
      </c>
      <c r="C48" s="51">
        <f t="shared" ca="1" si="11"/>
        <v>11783218.435274247</v>
      </c>
      <c r="D48" s="51">
        <f t="shared" ca="1" si="12"/>
        <v>11913243.997131227</v>
      </c>
      <c r="E48" s="51">
        <f t="shared" ca="1" si="13"/>
        <v>12044704.366195513</v>
      </c>
      <c r="F48" s="51">
        <f t="shared" ca="1" si="14"/>
        <v>12177615.375290232</v>
      </c>
      <c r="G48" s="51">
        <f t="shared" ca="1" si="15"/>
        <v>12311993.031950675</v>
      </c>
      <c r="H48" s="59">
        <f t="shared" ca="1" si="16"/>
        <v>12447853.520352231</v>
      </c>
      <c r="J48" s="58" t="str">
        <f>J34</f>
        <v>Street Light</v>
      </c>
      <c r="K48" s="51">
        <f t="shared" ref="K48:P50" ca="1" si="19">M20-K34</f>
        <v>3648157.6152521502</v>
      </c>
      <c r="L48" s="51">
        <f t="shared" ca="1" si="19"/>
        <v>3711804.5975439399</v>
      </c>
      <c r="M48" s="51">
        <f t="shared" ca="1" si="19"/>
        <v>3776561.9864524594</v>
      </c>
      <c r="N48" s="51">
        <f t="shared" ca="1" si="19"/>
        <v>3842449.1545042628</v>
      </c>
      <c r="O48" s="51">
        <f t="shared" ca="1" si="19"/>
        <v>3909485.8122055032</v>
      </c>
      <c r="P48" s="59">
        <f t="shared" ca="1" si="19"/>
        <v>3977692.0139384423</v>
      </c>
    </row>
    <row r="49" spans="2:19" ht="13">
      <c r="B49" s="58" t="str">
        <f t="shared" si="10"/>
        <v>Sentinel Light</v>
      </c>
      <c r="C49" s="51">
        <f t="shared" ca="1" si="11"/>
        <v>82878.928767326172</v>
      </c>
      <c r="D49" s="51">
        <f t="shared" ca="1" si="12"/>
        <v>81257.397810338269</v>
      </c>
      <c r="E49" s="51">
        <f t="shared" ca="1" si="13"/>
        <v>79667.592198785904</v>
      </c>
      <c r="F49" s="51">
        <f t="shared" ca="1" si="14"/>
        <v>78108.891224480496</v>
      </c>
      <c r="G49" s="51">
        <f t="shared" ca="1" si="15"/>
        <v>76580.686323424539</v>
      </c>
      <c r="H49" s="59">
        <f t="shared" ca="1" si="16"/>
        <v>75082.38083820972</v>
      </c>
      <c r="J49" s="58" t="str">
        <f>J35</f>
        <v>Sentinel Light</v>
      </c>
      <c r="K49" s="51">
        <f t="shared" ca="1" si="19"/>
        <v>6110.7650786007734</v>
      </c>
      <c r="L49" s="51">
        <f t="shared" ca="1" si="19"/>
        <v>6200.3547820638823</v>
      </c>
      <c r="M49" s="51">
        <f t="shared" ca="1" si="19"/>
        <v>6291.2579568948759</v>
      </c>
      <c r="N49" s="51">
        <f t="shared" ca="1" si="19"/>
        <v>6383.4938598494691</v>
      </c>
      <c r="O49" s="51">
        <f t="shared" ca="1" si="19"/>
        <v>6477.0820300059695</v>
      </c>
      <c r="P49" s="59">
        <f t="shared" ca="1" si="19"/>
        <v>6572.042292904398</v>
      </c>
    </row>
    <row r="50" spans="2:19" ht="13">
      <c r="B50" s="58" t="str">
        <f t="shared" si="10"/>
        <v>USL</v>
      </c>
      <c r="C50" s="51">
        <f t="shared" ca="1" si="11"/>
        <v>4628438.8768212022</v>
      </c>
      <c r="D50" s="51">
        <f t="shared" ca="1" si="12"/>
        <v>4588884.6673883721</v>
      </c>
      <c r="E50" s="51">
        <f t="shared" ca="1" si="13"/>
        <v>4549668.4845613791</v>
      </c>
      <c r="F50" s="51">
        <f t="shared" ca="1" si="14"/>
        <v>4510787.4395961957</v>
      </c>
      <c r="G50" s="51">
        <f t="shared" ca="1" si="15"/>
        <v>4472238.6684357328</v>
      </c>
      <c r="H50" s="59">
        <f t="shared" ca="1" si="16"/>
        <v>4434019.3314988697</v>
      </c>
      <c r="J50" s="58" t="str">
        <f>J36</f>
        <v>USL</v>
      </c>
      <c r="K50" s="51">
        <f t="shared" ca="1" si="19"/>
        <v>1881015.2190175098</v>
      </c>
      <c r="L50" s="51">
        <f t="shared" ca="1" si="19"/>
        <v>1890889.2596984764</v>
      </c>
      <c r="M50" s="51">
        <f t="shared" ca="1" si="19"/>
        <v>1900815.1323255028</v>
      </c>
      <c r="N50" s="51">
        <f t="shared" ca="1" si="19"/>
        <v>1910793.1089807807</v>
      </c>
      <c r="O50" s="51">
        <f t="shared" ca="1" si="19"/>
        <v>1920823.4631747473</v>
      </c>
      <c r="P50" s="59">
        <f t="shared" ca="1" si="19"/>
        <v>1930906.4698535819</v>
      </c>
    </row>
    <row r="51" spans="2:19" ht="13.5" thickBot="1">
      <c r="B51" s="57" t="s">
        <v>290</v>
      </c>
      <c r="C51" s="640">
        <f t="shared" ref="C51:H51" ca="1" si="20">SUM(C42:C50)</f>
        <v>2774813788.9137268</v>
      </c>
      <c r="D51" s="640">
        <f t="shared" ca="1" si="20"/>
        <v>2941403495.1508245</v>
      </c>
      <c r="E51" s="640">
        <f t="shared" ca="1" si="20"/>
        <v>3071195137.1314974</v>
      </c>
      <c r="F51" s="640">
        <f t="shared" ca="1" si="20"/>
        <v>3153943115.2694454</v>
      </c>
      <c r="G51" s="640">
        <f t="shared" ca="1" si="20"/>
        <v>3186733744.2355456</v>
      </c>
      <c r="H51" s="56">
        <f t="shared" ca="1" si="20"/>
        <v>3229537309.3531394</v>
      </c>
      <c r="J51" s="57" t="s">
        <v>290</v>
      </c>
      <c r="K51" s="640">
        <f t="shared" ref="K51:P51" ca="1" si="21">SUM(K42:K50)</f>
        <v>935051859.89155328</v>
      </c>
      <c r="L51" s="640">
        <f t="shared" ca="1" si="21"/>
        <v>985820179.49254501</v>
      </c>
      <c r="M51" s="640">
        <f t="shared" ca="1" si="21"/>
        <v>1007986093.6944728</v>
      </c>
      <c r="N51" s="640">
        <f t="shared" ca="1" si="21"/>
        <v>1026625053.424875</v>
      </c>
      <c r="O51" s="640">
        <f t="shared" ca="1" si="21"/>
        <v>1047544360.4608334</v>
      </c>
      <c r="P51" s="56">
        <f t="shared" ca="1" si="21"/>
        <v>1065115398.3753077</v>
      </c>
    </row>
    <row r="52" spans="2:19">
      <c r="E52" s="52"/>
    </row>
    <row r="53" spans="2:19">
      <c r="E53" s="52"/>
    </row>
    <row r="54" spans="2:19" ht="16" thickBot="1">
      <c r="B54" s="64" t="s">
        <v>656</v>
      </c>
      <c r="C54" s="64" t="s">
        <v>1</v>
      </c>
    </row>
    <row r="55" spans="2:19" ht="13">
      <c r="B55" s="63" t="s">
        <v>602</v>
      </c>
      <c r="C55" s="62" t="s">
        <v>856</v>
      </c>
      <c r="D55" s="62" t="s">
        <v>857</v>
      </c>
      <c r="E55" s="62" t="s">
        <v>858</v>
      </c>
      <c r="F55" s="62" t="s">
        <v>859</v>
      </c>
      <c r="G55" s="62" t="s">
        <v>860</v>
      </c>
      <c r="H55" s="62" t="s">
        <v>861</v>
      </c>
      <c r="I55" s="62" t="s">
        <v>862</v>
      </c>
      <c r="J55" s="62" t="s">
        <v>863</v>
      </c>
      <c r="K55" s="62" t="s">
        <v>4</v>
      </c>
      <c r="L55" s="62" t="s">
        <v>799</v>
      </c>
      <c r="M55" s="62" t="s">
        <v>6</v>
      </c>
      <c r="N55" s="62" t="s">
        <v>7</v>
      </c>
      <c r="O55" s="62" t="s">
        <v>8</v>
      </c>
      <c r="P55" s="62" t="s">
        <v>9</v>
      </c>
      <c r="Q55" s="62" t="s">
        <v>10</v>
      </c>
      <c r="R55" s="60" t="s">
        <v>11</v>
      </c>
    </row>
    <row r="56" spans="2:19" ht="13">
      <c r="B56" s="58" t="str">
        <f>B45</f>
        <v>GS 50 - 2,999</v>
      </c>
      <c r="C56" s="51">
        <f ca="1">OFFSET('kW Forecast'!$H$25,COLUMN()-COLUMN($J56),0)</f>
        <v>2218293.3794817375</v>
      </c>
      <c r="D56" s="51">
        <f ca="1">OFFSET('kW Forecast'!$H$25,COLUMN()-COLUMN($J56),0)</f>
        <v>2216000.1008418766</v>
      </c>
      <c r="E56" s="51">
        <f ca="1">OFFSET('kW Forecast'!$H$25,COLUMN()-COLUMN($J56),0)</f>
        <v>2216855.8959970386</v>
      </c>
      <c r="F56" s="51">
        <f ca="1">OFFSET('kW Forecast'!$H$25,COLUMN()-COLUMN($J56),0)</f>
        <v>2210268.6923926705</v>
      </c>
      <c r="G56" s="51">
        <f ca="1">OFFSET('kW Forecast'!$H$25,COLUMN()-COLUMN($J56),0)</f>
        <v>2073490.9754580213</v>
      </c>
      <c r="H56" s="51">
        <f ca="1">OFFSET('kW Forecast'!$H$25,COLUMN()-COLUMN($J56),0)</f>
        <v>2110257.2792525631</v>
      </c>
      <c r="I56" s="51">
        <f ca="1">OFFSET('kW Forecast'!$H$25,COLUMN()-COLUMN($J56),0)</f>
        <v>2172060.8563765292</v>
      </c>
      <c r="J56" s="51">
        <f ca="1">OFFSET('kW Forecast'!$H$25,COLUMN()-COLUMN($J56),0)</f>
        <v>2228943.8933018432</v>
      </c>
      <c r="K56" s="51">
        <f ca="1">OFFSET('kW Forecast'!$H$25,COLUMN()-COLUMN($J56),0)</f>
        <v>2233874.8152074651</v>
      </c>
      <c r="L56" s="51">
        <f ca="1">OFFSET('kW Forecast'!$H$25,COLUMN()-COLUMN($J56),0)</f>
        <v>2217132.6203859504</v>
      </c>
      <c r="M56" s="51">
        <f ca="1">OFFSET('kW Forecast'!$H$25,COLUMN()-COLUMN($J56),0)</f>
        <v>2378537.5281235403</v>
      </c>
      <c r="N56" s="51">
        <f ca="1">OFFSET('kW Forecast'!$H$25,COLUMN()-COLUMN($J56),0)</f>
        <v>2544272.8320234697</v>
      </c>
      <c r="O56" s="51">
        <f ca="1">OFFSET('kW Forecast'!$H$25,COLUMN()-COLUMN($J56),0)</f>
        <v>2617000.6657034932</v>
      </c>
      <c r="P56" s="51">
        <f ca="1">OFFSET('kW Forecast'!$H$25,COLUMN()-COLUMN($J56),0)</f>
        <v>2685479.7818460395</v>
      </c>
      <c r="Q56" s="51">
        <f ca="1">OFFSET('kW Forecast'!$H$25,COLUMN()-COLUMN($J56),0)</f>
        <v>2736963.9963171072</v>
      </c>
      <c r="R56" s="59">
        <f ca="1">OFFSET('kW Forecast'!$H$25,COLUMN()-COLUMN($J56),0)</f>
        <v>2809097.5385546423</v>
      </c>
      <c r="S56" s="51"/>
    </row>
    <row r="57" spans="2:19" ht="13">
      <c r="B57" s="58" t="str">
        <f>B46</f>
        <v>GS 3,000 - 4,999</v>
      </c>
      <c r="C57" s="51">
        <f ca="1">OFFSET('kW Forecast'!$P$25,COLUMN()-COLUMN($J57),0)</f>
        <v>190896.53931053836</v>
      </c>
      <c r="D57" s="51">
        <f ca="1">OFFSET('kW Forecast'!$P$25,COLUMN()-COLUMN($J57),0)</f>
        <v>195135.14932281585</v>
      </c>
      <c r="E57" s="51">
        <f ca="1">OFFSET('kW Forecast'!$P$25,COLUMN()-COLUMN($J57),0)</f>
        <v>199976.58571573146</v>
      </c>
      <c r="F57" s="51">
        <f ca="1">OFFSET('kW Forecast'!$P$25,COLUMN()-COLUMN($J57),0)</f>
        <v>203849.97121545672</v>
      </c>
      <c r="G57" s="51">
        <f ca="1">OFFSET('kW Forecast'!$P$25,COLUMN()-COLUMN($J57),0)</f>
        <v>193673.60331248475</v>
      </c>
      <c r="H57" s="51">
        <f ca="1">OFFSET('kW Forecast'!$P$25,COLUMN()-COLUMN($J57),0)</f>
        <v>204773.97981432709</v>
      </c>
      <c r="I57" s="51">
        <f ca="1">OFFSET('kW Forecast'!$P$25,COLUMN()-COLUMN($J57),0)</f>
        <v>213283.19750745117</v>
      </c>
      <c r="J57" s="51">
        <f ca="1">OFFSET('kW Forecast'!$P$25,COLUMN()-COLUMN($J57),0)</f>
        <v>218351.149940459</v>
      </c>
      <c r="K57" s="51">
        <f ca="1">OFFSET('kW Forecast'!$P$25,COLUMN()-COLUMN($J57),0)</f>
        <v>221709.35866037625</v>
      </c>
      <c r="L57" s="51">
        <f ca="1">OFFSET('kW Forecast'!$P$25,COLUMN()-COLUMN($J57),0)</f>
        <v>222690.32448441212</v>
      </c>
      <c r="M57" s="51">
        <f ca="1">OFFSET('kW Forecast'!$P$25,COLUMN()-COLUMN($J57),0)</f>
        <v>275388.85724748415</v>
      </c>
      <c r="N57" s="51">
        <f ca="1">OFFSET('kW Forecast'!$P$25,COLUMN()-COLUMN($J57),0)</f>
        <v>354951.98802816006</v>
      </c>
      <c r="O57" s="51">
        <f ca="1">OFFSET('kW Forecast'!$P$25,COLUMN()-COLUMN($J57),0)</f>
        <v>416163.55239646637</v>
      </c>
      <c r="P57" s="51">
        <f ca="1">OFFSET('kW Forecast'!$P$25,COLUMN()-COLUMN($J57),0)</f>
        <v>455965.17495825468</v>
      </c>
      <c r="Q57" s="51">
        <f ca="1">OFFSET('kW Forecast'!$P$25,COLUMN()-COLUMN($J57),0)</f>
        <v>471551.426633219</v>
      </c>
      <c r="R57" s="59">
        <f ca="1">OFFSET('kW Forecast'!$P$25,COLUMN()-COLUMN($J57),0)</f>
        <v>492963.39713844849</v>
      </c>
      <c r="S57" s="51"/>
    </row>
    <row r="58" spans="2:19" ht="13">
      <c r="B58" s="58" t="str">
        <f>B47</f>
        <v>Large Use</v>
      </c>
      <c r="C58" s="51">
        <f ca="1">OFFSET('kW Forecast'!$X$25,COLUMN()-COLUMN($J58),0)</f>
        <v>421758</v>
      </c>
      <c r="D58" s="51">
        <f ca="1">OFFSET('kW Forecast'!$X$25,COLUMN()-COLUMN($J58),0)</f>
        <v>382866</v>
      </c>
      <c r="E58" s="51">
        <f ca="1">OFFSET('kW Forecast'!$X$25,COLUMN()-COLUMN($J58),0)</f>
        <v>423038</v>
      </c>
      <c r="F58" s="51">
        <f ca="1">OFFSET('kW Forecast'!$X$25,COLUMN()-COLUMN($J58),0)</f>
        <v>433414</v>
      </c>
      <c r="G58" s="51">
        <f ca="1">OFFSET('kW Forecast'!$X$25,COLUMN()-COLUMN($J58),0)</f>
        <v>453257</v>
      </c>
      <c r="H58" s="51">
        <f ca="1">OFFSET('kW Forecast'!$X$25,COLUMN()-COLUMN($J58),0)</f>
        <v>481567</v>
      </c>
      <c r="I58" s="51">
        <f ca="1">OFFSET('kW Forecast'!$X$25,COLUMN()-COLUMN($J58),0)</f>
        <v>490452</v>
      </c>
      <c r="J58" s="51">
        <f ca="1">OFFSET('kW Forecast'!$X$25,COLUMN()-COLUMN($J58),0)</f>
        <v>518389.27999999997</v>
      </c>
      <c r="K58" s="51">
        <f ca="1">OFFSET('kW Forecast'!$X$25,COLUMN()-COLUMN($J58),0)</f>
        <v>532510.09</v>
      </c>
      <c r="L58" s="51">
        <f ca="1">OFFSET('kW Forecast'!$X$25,COLUMN()-COLUMN($J58),0)</f>
        <v>539317.20983407984</v>
      </c>
      <c r="M58" s="51">
        <f ca="1">OFFSET('kW Forecast'!$X$25,COLUMN()-COLUMN($J58),0)</f>
        <v>592221.81823334983</v>
      </c>
      <c r="N58" s="51">
        <f ca="1">OFFSET('kW Forecast'!$X$25,COLUMN()-COLUMN($J58),0)</f>
        <v>717701.90961330105</v>
      </c>
      <c r="O58" s="51">
        <f ca="1">OFFSET('kW Forecast'!$X$25,COLUMN()-COLUMN($J58),0)</f>
        <v>863639.71102169889</v>
      </c>
      <c r="P58" s="51">
        <f ca="1">OFFSET('kW Forecast'!$X$25,COLUMN()-COLUMN($J58),0)</f>
        <v>955382.74183357204</v>
      </c>
      <c r="Q58" s="51">
        <f ca="1">OFFSET('kW Forecast'!$X$25,COLUMN()-COLUMN($J58),0)</f>
        <v>986236.08524837927</v>
      </c>
      <c r="R58" s="59">
        <f ca="1">OFFSET('kW Forecast'!$X$25,COLUMN()-COLUMN($J58),0)</f>
        <v>1013690.092434159</v>
      </c>
      <c r="S58" s="51"/>
    </row>
    <row r="59" spans="2:19" ht="13">
      <c r="B59" s="58" t="str">
        <f>B48</f>
        <v>Street Light</v>
      </c>
      <c r="C59" s="51">
        <f ca="1">OFFSET('kW Forecast'!$AB$25,COLUMN()-COLUMN($J59),0)</f>
        <v>57564.81</v>
      </c>
      <c r="D59" s="51">
        <f ca="1">OFFSET('kW Forecast'!$AB$25,COLUMN()-COLUMN($J59),0)</f>
        <v>54832.51</v>
      </c>
      <c r="E59" s="51">
        <f ca="1">OFFSET('kW Forecast'!$AB$25,COLUMN()-COLUMN($J59),0)</f>
        <v>43114.93</v>
      </c>
      <c r="F59" s="51">
        <f ca="1">OFFSET('kW Forecast'!$AB$25,COLUMN()-COLUMN($J59),0)</f>
        <v>36690.920000000006</v>
      </c>
      <c r="G59" s="51">
        <f ca="1">OFFSET('kW Forecast'!$AB$25,COLUMN()-COLUMN($J59),0)</f>
        <v>31667.35</v>
      </c>
      <c r="H59" s="51">
        <f ca="1">OFFSET('kW Forecast'!$AB$25,COLUMN()-COLUMN($J59),0)</f>
        <v>31122.25</v>
      </c>
      <c r="I59" s="51">
        <f ca="1">OFFSET('kW Forecast'!$AB$25,COLUMN()-COLUMN($J59),0)</f>
        <v>31016.899999999998</v>
      </c>
      <c r="J59" s="51">
        <f ca="1">OFFSET('kW Forecast'!$AB$25,COLUMN()-COLUMN($J59),0)</f>
        <v>31561.47</v>
      </c>
      <c r="K59" s="51">
        <f ca="1">OFFSET('kW Forecast'!$AB$25,COLUMN()-COLUMN($J59),0)</f>
        <v>32173.850000000002</v>
      </c>
      <c r="L59" s="51">
        <f ca="1">OFFSET('kW Forecast'!$AB$25,COLUMN()-COLUMN($J59),0)</f>
        <v>32450.92</v>
      </c>
      <c r="M59" s="51">
        <f ca="1">OFFSET('kW Forecast'!$AB$25,COLUMN()-COLUMN($J59),0)</f>
        <v>32867.111912563763</v>
      </c>
      <c r="N59" s="51">
        <f ca="1">OFFSET('kW Forecast'!$AB$25,COLUMN()-COLUMN($J59),0)</f>
        <v>33229.794206584047</v>
      </c>
      <c r="O59" s="51">
        <f ca="1">OFFSET('kW Forecast'!$AB$25,COLUMN()-COLUMN($J59),0)</f>
        <v>33596.478630354744</v>
      </c>
      <c r="P59" s="51">
        <f ca="1">OFFSET('kW Forecast'!$AB$25,COLUMN()-COLUMN($J59),0)</f>
        <v>33967.209346612253</v>
      </c>
      <c r="Q59" s="51">
        <f ca="1">OFFSET('kW Forecast'!$AB$25,COLUMN()-COLUMN($J59),0)</f>
        <v>34342.031005420286</v>
      </c>
      <c r="R59" s="59">
        <f ca="1">OFFSET('kW Forecast'!$AB$25,COLUMN()-COLUMN($J59),0)</f>
        <v>34720.988749547483</v>
      </c>
      <c r="S59" s="51"/>
    </row>
    <row r="60" spans="2:19" ht="13">
      <c r="B60" s="58" t="str">
        <f>B49</f>
        <v>Sentinel Light</v>
      </c>
      <c r="C60" s="51">
        <f ca="1">OFFSET('kW Forecast'!$AI$25,COLUMN()-COLUMN($J60),0)</f>
        <v>1014</v>
      </c>
      <c r="D60" s="51">
        <f ca="1">OFFSET('kW Forecast'!$AI$25,COLUMN()-COLUMN($J60),0)</f>
        <v>967.00000000000011</v>
      </c>
      <c r="E60" s="51">
        <f ca="1">OFFSET('kW Forecast'!$AI$25,COLUMN()-COLUMN($J60),0)</f>
        <v>720</v>
      </c>
      <c r="F60" s="51">
        <f ca="1">OFFSET('kW Forecast'!$AI$25,COLUMN()-COLUMN($J60),0)</f>
        <v>629</v>
      </c>
      <c r="G60" s="51">
        <f ca="1">OFFSET('kW Forecast'!$AI$25,COLUMN()-COLUMN($J60),0)</f>
        <v>642</v>
      </c>
      <c r="H60" s="51">
        <f ca="1">OFFSET('kW Forecast'!$AI$25,COLUMN()-COLUMN($J60),0)</f>
        <v>632</v>
      </c>
      <c r="I60" s="51">
        <f ca="1">OFFSET('kW Forecast'!$AI$25,COLUMN()-COLUMN($J60),0)</f>
        <v>601</v>
      </c>
      <c r="J60" s="51">
        <f ca="1">OFFSET('kW Forecast'!$AI$25,COLUMN()-COLUMN($J60),0)</f>
        <v>608</v>
      </c>
      <c r="K60" s="51">
        <f ca="1">OFFSET('kW Forecast'!$AI$25,COLUMN()-COLUMN($J60),0)</f>
        <v>602</v>
      </c>
      <c r="L60" s="51">
        <f ca="1">OFFSET('kW Forecast'!$AI$25,COLUMN()-COLUMN($J60),0)</f>
        <v>592.1240377300727</v>
      </c>
      <c r="M60" s="51">
        <f ca="1">OFFSET('kW Forecast'!$AI$25,COLUMN()-COLUMN($J60),0)</f>
        <v>580.53909724113964</v>
      </c>
      <c r="N60" s="51">
        <f ca="1">OFFSET('kW Forecast'!$AI$25,COLUMN()-COLUMN($J60),0)</f>
        <v>569.18081677203395</v>
      </c>
      <c r="O60" s="51">
        <f ca="1">OFFSET('kW Forecast'!$AI$25,COLUMN()-COLUMN($J60),0)</f>
        <v>558.04476170657131</v>
      </c>
      <c r="P60" s="51">
        <f ca="1">OFFSET('kW Forecast'!$AI$25,COLUMN()-COLUMN($J60),0)</f>
        <v>547.12658419208481</v>
      </c>
      <c r="Q60" s="51">
        <f ca="1">OFFSET('kW Forecast'!$AI$25,COLUMN()-COLUMN($J60),0)</f>
        <v>536.42202144189309</v>
      </c>
      <c r="R60" s="59">
        <f ca="1">OFFSET('kW Forecast'!$AI$25,COLUMN()-COLUMN($J60),0)</f>
        <v>525.92689407097839</v>
      </c>
      <c r="S60" s="51"/>
    </row>
    <row r="61" spans="2:19" ht="13.5" thickBot="1">
      <c r="B61" s="57" t="s">
        <v>290</v>
      </c>
      <c r="C61" s="640">
        <f t="shared" ref="C61:K61" ca="1" si="22">SUM(C56:C60)</f>
        <v>2889526.7287922758</v>
      </c>
      <c r="D61" s="640">
        <f t="shared" ca="1" si="22"/>
        <v>2849800.7601646921</v>
      </c>
      <c r="E61" s="640">
        <f t="shared" ca="1" si="22"/>
        <v>2883705.4117127704</v>
      </c>
      <c r="F61" s="640">
        <f t="shared" ca="1" si="22"/>
        <v>2884852.5836081272</v>
      </c>
      <c r="G61" s="640">
        <f t="shared" ca="1" si="22"/>
        <v>2752730.9287705063</v>
      </c>
      <c r="H61" s="640">
        <f t="shared" ca="1" si="22"/>
        <v>2828352.50906689</v>
      </c>
      <c r="I61" s="640">
        <f t="shared" ca="1" si="22"/>
        <v>2907413.9538839804</v>
      </c>
      <c r="J61" s="640">
        <f t="shared" ca="1" si="22"/>
        <v>2997853.7932423023</v>
      </c>
      <c r="K61" s="640">
        <f t="shared" ca="1" si="22"/>
        <v>3020870.1138678412</v>
      </c>
      <c r="L61" s="640">
        <f t="shared" ref="L61:R61" ca="1" si="23">SUM(L56:L60)</f>
        <v>3012183.1987421722</v>
      </c>
      <c r="M61" s="640">
        <f t="shared" ca="1" si="23"/>
        <v>3279595.8546141796</v>
      </c>
      <c r="N61" s="640">
        <f t="shared" ca="1" si="23"/>
        <v>3650725.7046882869</v>
      </c>
      <c r="O61" s="640">
        <f t="shared" ca="1" si="23"/>
        <v>3930958.4525137199</v>
      </c>
      <c r="P61" s="640">
        <f t="shared" ca="1" si="23"/>
        <v>4131342.0345686711</v>
      </c>
      <c r="Q61" s="640">
        <f t="shared" ca="1" si="23"/>
        <v>4229629.9612255683</v>
      </c>
      <c r="R61" s="56">
        <f t="shared" ca="1" si="23"/>
        <v>4350997.9437708678</v>
      </c>
      <c r="S61" s="51"/>
    </row>
    <row r="62" spans="2:19">
      <c r="S62" s="51"/>
    </row>
    <row r="63" spans="2:19" ht="16" thickBot="1">
      <c r="B63" s="64" t="s">
        <v>656</v>
      </c>
      <c r="C63" s="64" t="s">
        <v>2</v>
      </c>
      <c r="S63" s="51"/>
    </row>
    <row r="64" spans="2:19" ht="13">
      <c r="B64" s="63" t="s">
        <v>602</v>
      </c>
      <c r="C64" s="62" t="s">
        <v>856</v>
      </c>
      <c r="D64" s="62" t="s">
        <v>857</v>
      </c>
      <c r="E64" s="62" t="s">
        <v>858</v>
      </c>
      <c r="F64" s="62" t="s">
        <v>859</v>
      </c>
      <c r="G64" s="62" t="s">
        <v>860</v>
      </c>
      <c r="H64" s="62" t="s">
        <v>861</v>
      </c>
      <c r="I64" s="62" t="s">
        <v>862</v>
      </c>
      <c r="J64" s="62" t="s">
        <v>863</v>
      </c>
      <c r="K64" s="62" t="s">
        <v>4</v>
      </c>
      <c r="L64" s="62" t="s">
        <v>799</v>
      </c>
      <c r="M64" s="62" t="s">
        <v>6</v>
      </c>
      <c r="N64" s="62" t="s">
        <v>7</v>
      </c>
      <c r="O64" s="62" t="s">
        <v>8</v>
      </c>
      <c r="P64" s="62" t="s">
        <v>9</v>
      </c>
      <c r="Q64" s="62" t="s">
        <v>10</v>
      </c>
      <c r="R64" s="60" t="s">
        <v>11</v>
      </c>
      <c r="S64" s="51"/>
    </row>
    <row r="65" spans="2:19" ht="13">
      <c r="B65" s="58" t="str">
        <f>B56</f>
        <v>GS 50 - 2,999</v>
      </c>
      <c r="C65" s="51">
        <f ca="1">OFFSET('kW Forecast'!$AV$25,COLUMN()-COLUMN($J65),0)</f>
        <v>858122.47733427526</v>
      </c>
      <c r="D65" s="51">
        <f ca="1">OFFSET('kW Forecast'!$AV$25,COLUMN()-COLUMN($J65),0)</f>
        <v>848474.03017741023</v>
      </c>
      <c r="E65" s="51">
        <f ca="1">OFFSET('kW Forecast'!$AV$25,COLUMN()-COLUMN($J65),0)</f>
        <v>838772.46776924608</v>
      </c>
      <c r="F65" s="51">
        <f ca="1">OFFSET('kW Forecast'!$AV$25,COLUMN()-COLUMN($J65),0)</f>
        <v>825024.0071082965</v>
      </c>
      <c r="G65" s="51">
        <f ca="1">OFFSET('kW Forecast'!$AV$25,COLUMN()-COLUMN($J65),0)</f>
        <v>764899.15518428688</v>
      </c>
      <c r="H65" s="51">
        <f ca="1">OFFSET('kW Forecast'!$AV$25,COLUMN()-COLUMN($J65),0)</f>
        <v>755536.1225705595</v>
      </c>
      <c r="I65" s="51">
        <f ca="1">OFFSET('kW Forecast'!$AV$25,COLUMN()-COLUMN($J65),0)</f>
        <v>769719.4745947232</v>
      </c>
      <c r="J65" s="51">
        <f ca="1">OFFSET('kW Forecast'!$AV$25,COLUMN()-COLUMN($J65),0)</f>
        <v>790196.2975410854</v>
      </c>
      <c r="K65" s="51">
        <f ca="1">OFFSET('kW Forecast'!$AV$25,COLUMN()-COLUMN($J65),0)</f>
        <v>783015.14266878879</v>
      </c>
      <c r="L65" s="51">
        <f ca="1">OFFSET('kW Forecast'!$AV$25,COLUMN()-COLUMN($J65),0)</f>
        <v>770667.64223789878</v>
      </c>
      <c r="M65" s="51">
        <f ca="1">OFFSET('kW Forecast'!$AV$25,COLUMN()-COLUMN($J65),0)</f>
        <v>843842.7601556764</v>
      </c>
      <c r="N65" s="51">
        <f ca="1">OFFSET('kW Forecast'!$AV$25,COLUMN()-COLUMN($J65),0)</f>
        <v>928796.47503803123</v>
      </c>
      <c r="O65" s="51">
        <f ca="1">OFFSET('kW Forecast'!$AV$25,COLUMN()-COLUMN($J65),0)</f>
        <v>973679.0765805901</v>
      </c>
      <c r="P65" s="51">
        <f ca="1">OFFSET('kW Forecast'!$AV$25,COLUMN()-COLUMN($J65),0)</f>
        <v>1010111.8988544553</v>
      </c>
      <c r="Q65" s="51">
        <f ca="1">OFFSET('kW Forecast'!$AV$25,COLUMN()-COLUMN($J65),0)</f>
        <v>1040454.0818779642</v>
      </c>
      <c r="R65" s="59">
        <f ca="1">OFFSET('kW Forecast'!$AV$25,COLUMN()-COLUMN($J65),0)</f>
        <v>1068117.2718597008</v>
      </c>
      <c r="S65" s="51"/>
    </row>
    <row r="66" spans="2:19" ht="13">
      <c r="B66" s="58" t="str">
        <f>B57</f>
        <v>GS 3,000 - 4,999</v>
      </c>
      <c r="C66" s="51">
        <f ca="1">OFFSET('kW Forecast'!$BD$25,COLUMN()-COLUMN($J66),0)</f>
        <v>113862.09923019302</v>
      </c>
      <c r="D66" s="51">
        <f ca="1">OFFSET('kW Forecast'!$BD$25,COLUMN()-COLUMN($J66),0)</f>
        <v>112002.46768734223</v>
      </c>
      <c r="E66" s="51">
        <f ca="1">OFFSET('kW Forecast'!$BD$25,COLUMN()-COLUMN($J66),0)</f>
        <v>138889.11804483843</v>
      </c>
      <c r="F66" s="51">
        <f ca="1">OFFSET('kW Forecast'!$BD$25,COLUMN()-COLUMN($J66),0)</f>
        <v>160657.06861739769</v>
      </c>
      <c r="G66" s="51">
        <f ca="1">OFFSET('kW Forecast'!$BD$25,COLUMN()-COLUMN($J66),0)</f>
        <v>159325.5704259215</v>
      </c>
      <c r="H66" s="51">
        <f ca="1">OFFSET('kW Forecast'!$BD$25,COLUMN()-COLUMN($J66),0)</f>
        <v>157475.01905456214</v>
      </c>
      <c r="I66" s="51">
        <f ca="1">OFFSET('kW Forecast'!$BD$25,COLUMN()-COLUMN($J66),0)</f>
        <v>155378.46673014326</v>
      </c>
      <c r="J66" s="51">
        <f ca="1">OFFSET('kW Forecast'!$BD$25,COLUMN()-COLUMN($J66),0)</f>
        <v>154399.32683715585</v>
      </c>
      <c r="K66" s="51">
        <f ca="1">OFFSET('kW Forecast'!$BD$25,COLUMN()-COLUMN($J66),0)</f>
        <v>153265.24432086671</v>
      </c>
      <c r="L66" s="51">
        <f ca="1">OFFSET('kW Forecast'!$BD$25,COLUMN()-COLUMN($J66),0)</f>
        <v>150894.000669923</v>
      </c>
      <c r="M66" s="51">
        <f ca="1">OFFSET('kW Forecast'!$BD$25,COLUMN()-COLUMN($J66),0)</f>
        <v>176252.16443031107</v>
      </c>
      <c r="N66" s="51">
        <f ca="1">OFFSET('kW Forecast'!$BD$25,COLUMN()-COLUMN($J66),0)</f>
        <v>208566.86943850075</v>
      </c>
      <c r="O66" s="51">
        <f ca="1">OFFSET('kW Forecast'!$BD$25,COLUMN()-COLUMN($J66),0)</f>
        <v>222866.62771433184</v>
      </c>
      <c r="P66" s="51">
        <f ca="1">OFFSET('kW Forecast'!$BD$25,COLUMN()-COLUMN($J66),0)</f>
        <v>234504.09808604646</v>
      </c>
      <c r="Q66" s="51">
        <f ca="1">OFFSET('kW Forecast'!$BD$25,COLUMN()-COLUMN($J66),0)</f>
        <v>249601.71530990535</v>
      </c>
      <c r="R66" s="59">
        <f ca="1">OFFSET('kW Forecast'!$BD$25,COLUMN()-COLUMN($J66),0)</f>
        <v>262905.13524073956</v>
      </c>
      <c r="S66" s="51"/>
    </row>
    <row r="67" spans="2:19" ht="13">
      <c r="B67" s="58" t="str">
        <f>B59</f>
        <v>Street Light</v>
      </c>
      <c r="C67" s="51">
        <f ca="1">OFFSET('kW Forecast'!$BH$25,COLUMN()-COLUMN($J67),0)</f>
        <v>16142.07</v>
      </c>
      <c r="D67" s="51">
        <f ca="1">OFFSET('kW Forecast'!$BH$25,COLUMN()-COLUMN($J67),0)</f>
        <v>12797.349999999999</v>
      </c>
      <c r="E67" s="51">
        <f ca="1">OFFSET('kW Forecast'!$BH$25,COLUMN()-COLUMN($J67),0)</f>
        <v>9791.36</v>
      </c>
      <c r="F67" s="51">
        <f ca="1">OFFSET('kW Forecast'!$BH$25,COLUMN()-COLUMN($J67),0)</f>
        <v>8980.67</v>
      </c>
      <c r="G67" s="51">
        <f ca="1">OFFSET('kW Forecast'!$BH$25,COLUMN()-COLUMN($J67),0)</f>
        <v>9314.0300000000025</v>
      </c>
      <c r="H67" s="51">
        <f ca="1">OFFSET('kW Forecast'!$BH$25,COLUMN()-COLUMN($J67),0)</f>
        <v>9362</v>
      </c>
      <c r="I67" s="51">
        <f ca="1">OFFSET('kW Forecast'!$BH$25,COLUMN()-COLUMN($J67),0)</f>
        <v>9581</v>
      </c>
      <c r="J67" s="51">
        <f ca="1">OFFSET('kW Forecast'!$BH$25,COLUMN()-COLUMN($J67),0)</f>
        <v>9810</v>
      </c>
      <c r="K67" s="51">
        <f ca="1">OFFSET('kW Forecast'!$BH$25,COLUMN()-COLUMN($J67),0)</f>
        <v>9886</v>
      </c>
      <c r="L67" s="51">
        <f ca="1">OFFSET('kW Forecast'!$BH$25,COLUMN()-COLUMN($J67),0)</f>
        <v>10022</v>
      </c>
      <c r="M67" s="51">
        <f ca="1">OFFSET('kW Forecast'!$BH$25,COLUMN()-COLUMN($J67),0)</f>
        <v>10137.611440111856</v>
      </c>
      <c r="N67" s="51">
        <f ca="1">OFFSET('kW Forecast'!$BH$25,COLUMN()-COLUMN($J67),0)</f>
        <v>10314.47561207424</v>
      </c>
      <c r="O67" s="51">
        <f ca="1">OFFSET('kW Forecast'!$BH$25,COLUMN()-COLUMN($J67),0)</f>
        <v>10494.425415746691</v>
      </c>
      <c r="P67" s="51">
        <f ca="1">OFFSET('kW Forecast'!$BH$25,COLUMN()-COLUMN($J67),0)</f>
        <v>10677.514684095742</v>
      </c>
      <c r="Q67" s="51">
        <f ca="1">OFFSET('kW Forecast'!$BH$25,COLUMN()-COLUMN($J67),0)</f>
        <v>10863.798189275929</v>
      </c>
      <c r="R67" s="59">
        <f ca="1">OFFSET('kW Forecast'!$BH$25,COLUMN()-COLUMN($J67),0)</f>
        <v>11053.331659015181</v>
      </c>
      <c r="S67" s="51"/>
    </row>
    <row r="68" spans="2:19" ht="13">
      <c r="B68" s="58" t="str">
        <f>B60</f>
        <v>Sentinel Light</v>
      </c>
      <c r="C68" s="51">
        <f ca="1">OFFSET('kW Forecast'!$BO$25,COLUMN()-COLUMN($J68),0)</f>
        <v>92.000000000000014</v>
      </c>
      <c r="D68" s="51">
        <f ca="1">OFFSET('kW Forecast'!$BO$25,COLUMN()-COLUMN($J68),0)</f>
        <v>87.999999999999986</v>
      </c>
      <c r="E68" s="51">
        <f ca="1">OFFSET('kW Forecast'!$BO$25,COLUMN()-COLUMN($J68),0)</f>
        <v>87</v>
      </c>
      <c r="F68" s="51">
        <f ca="1">OFFSET('kW Forecast'!$BO$25,COLUMN()-COLUMN($J68),0)</f>
        <v>86.000000000000014</v>
      </c>
      <c r="G68" s="51">
        <f ca="1">OFFSET('kW Forecast'!$BO$25,COLUMN()-COLUMN($J68),0)</f>
        <v>72</v>
      </c>
      <c r="H68" s="51">
        <f ca="1">OFFSET('kW Forecast'!$BO$25,COLUMN()-COLUMN($J68),0)</f>
        <v>71</v>
      </c>
      <c r="I68" s="51">
        <f ca="1">OFFSET('kW Forecast'!$BO$25,COLUMN()-COLUMN($J68),0)</f>
        <v>95.000000000000014</v>
      </c>
      <c r="J68" s="51">
        <f ca="1">OFFSET('kW Forecast'!$BO$25,COLUMN()-COLUMN($J68),0)</f>
        <v>92.000000000000014</v>
      </c>
      <c r="K68" s="51">
        <f ca="1">OFFSET('kW Forecast'!$BO$25,COLUMN()-COLUMN($J68),0)</f>
        <v>83</v>
      </c>
      <c r="L68" s="51">
        <f ca="1">OFFSET('kW Forecast'!$BO$25,COLUMN()-COLUMN($J68),0)</f>
        <v>82.773211112061517</v>
      </c>
      <c r="M68" s="51">
        <f ca="1">OFFSET('kW Forecast'!$BO$25,COLUMN()-COLUMN($J68),0)</f>
        <v>83.986746134736094</v>
      </c>
      <c r="N68" s="51">
        <f ca="1">OFFSET('kW Forecast'!$BO$25,COLUMN()-COLUMN($J68),0)</f>
        <v>85.218072750022259</v>
      </c>
      <c r="O68" s="51">
        <f ca="1">OFFSET('kW Forecast'!$BO$25,COLUMN()-COLUMN($J68),0)</f>
        <v>86.467451799808998</v>
      </c>
      <c r="P68" s="51">
        <f ca="1">OFFSET('kW Forecast'!$BO$25,COLUMN()-COLUMN($J68),0)</f>
        <v>87.735147950178657</v>
      </c>
      <c r="Q68" s="51">
        <f ca="1">OFFSET('kW Forecast'!$BO$25,COLUMN()-COLUMN($J68),0)</f>
        <v>89.021429747473391</v>
      </c>
      <c r="R68" s="59">
        <f ca="1">OFFSET('kW Forecast'!$BO$25,COLUMN()-COLUMN($J68),0)</f>
        <v>90.326569675183435</v>
      </c>
      <c r="S68" s="51"/>
    </row>
    <row r="69" spans="2:19" ht="13.5" thickBot="1">
      <c r="B69" s="57" t="s">
        <v>290</v>
      </c>
      <c r="C69" s="640">
        <f t="shared" ref="C69:J69" ca="1" si="24">SUM(C65:C68)</f>
        <v>988218.64656446828</v>
      </c>
      <c r="D69" s="640">
        <f t="shared" ca="1" si="24"/>
        <v>973361.8478647524</v>
      </c>
      <c r="E69" s="640">
        <f t="shared" ca="1" si="24"/>
        <v>987539.94581408449</v>
      </c>
      <c r="F69" s="640">
        <f t="shared" ca="1" si="24"/>
        <v>994747.74572569423</v>
      </c>
      <c r="G69" s="640">
        <f t="shared" ca="1" si="24"/>
        <v>933610.75561020838</v>
      </c>
      <c r="H69" s="640">
        <f t="shared" ca="1" si="24"/>
        <v>922444.1416251217</v>
      </c>
      <c r="I69" s="640">
        <f t="shared" ca="1" si="24"/>
        <v>934773.94132486649</v>
      </c>
      <c r="J69" s="640">
        <f t="shared" ca="1" si="24"/>
        <v>954497.62437824125</v>
      </c>
      <c r="K69" s="640">
        <f t="shared" ref="K69:R69" ca="1" si="25">SUM(K65:K68)</f>
        <v>946249.38698965544</v>
      </c>
      <c r="L69" s="640">
        <f t="shared" ca="1" si="25"/>
        <v>931666.41611893382</v>
      </c>
      <c r="M69" s="640">
        <f t="shared" ca="1" si="25"/>
        <v>1030316.522772234</v>
      </c>
      <c r="N69" s="640">
        <f t="shared" ca="1" si="25"/>
        <v>1147763.038161356</v>
      </c>
      <c r="O69" s="640">
        <f t="shared" ca="1" si="25"/>
        <v>1207126.5971624684</v>
      </c>
      <c r="P69" s="640">
        <f t="shared" ca="1" si="25"/>
        <v>1255381.2467725477</v>
      </c>
      <c r="Q69" s="640">
        <f t="shared" ca="1" si="25"/>
        <v>1301008.6168068929</v>
      </c>
      <c r="R69" s="56">
        <f t="shared" ca="1" si="25"/>
        <v>1342166.065329131</v>
      </c>
      <c r="S69" s="51"/>
    </row>
    <row r="70" spans="2:19">
      <c r="S70" s="51"/>
    </row>
    <row r="71" spans="2:19" ht="16" thickBot="1">
      <c r="B71" s="64" t="s">
        <v>865</v>
      </c>
      <c r="C71" s="64" t="s">
        <v>1</v>
      </c>
      <c r="E71" s="51"/>
      <c r="F71" s="51"/>
      <c r="G71" s="51"/>
      <c r="H71" s="51"/>
      <c r="J71" s="64" t="s">
        <v>865</v>
      </c>
      <c r="K71" s="64" t="s">
        <v>2</v>
      </c>
      <c r="M71" s="51"/>
      <c r="N71" s="51"/>
      <c r="O71" s="51"/>
      <c r="P71" s="51"/>
    </row>
    <row r="72" spans="2:19" ht="13">
      <c r="B72" s="55" t="s">
        <v>3</v>
      </c>
      <c r="C72" s="54">
        <f>'CDM Adjustment'!AN22</f>
        <v>2026</v>
      </c>
      <c r="D72" s="54">
        <f>'CDM Adjustment'!AO22</f>
        <v>2027</v>
      </c>
      <c r="E72" s="54">
        <f>'CDM Adjustment'!AP22</f>
        <v>2028</v>
      </c>
      <c r="F72" s="54">
        <f>'CDM Adjustment'!AQ22</f>
        <v>2029</v>
      </c>
      <c r="G72" s="54">
        <f>'CDM Adjustment'!AR22</f>
        <v>2030</v>
      </c>
      <c r="H72" s="53">
        <f>'CDM Adjustment'!AS22</f>
        <v>2031</v>
      </c>
      <c r="J72" s="55" t="s">
        <v>3</v>
      </c>
      <c r="K72" s="54">
        <f>'CDM Adjustment'!AN51</f>
        <v>2026</v>
      </c>
      <c r="L72" s="54">
        <f>'CDM Adjustment'!AO51</f>
        <v>2027</v>
      </c>
      <c r="M72" s="54">
        <f>'CDM Adjustment'!AP51</f>
        <v>2028</v>
      </c>
      <c r="N72" s="54">
        <f>'CDM Adjustment'!AQ51</f>
        <v>2029</v>
      </c>
      <c r="O72" s="54">
        <f>'CDM Adjustment'!AR51</f>
        <v>2030</v>
      </c>
      <c r="P72" s="53">
        <f>'CDM Adjustment'!AS51</f>
        <v>2031</v>
      </c>
    </row>
    <row r="73" spans="2:19" ht="13">
      <c r="B73" s="58" t="str">
        <f>B65</f>
        <v>GS 50 - 2,999</v>
      </c>
      <c r="C73" s="51">
        <f ca="1">'CDM Adjustment'!AN24</f>
        <v>36190.548607345023</v>
      </c>
      <c r="D73" s="51">
        <f ca="1">'CDM Adjustment'!AO24</f>
        <v>72270.30434421773</v>
      </c>
      <c r="E73" s="51">
        <f ca="1">'CDM Adjustment'!AP24</f>
        <v>110779.01221941636</v>
      </c>
      <c r="F73" s="51">
        <f ca="1">'CDM Adjustment'!AQ24</f>
        <v>151882.55107412348</v>
      </c>
      <c r="G73" s="51">
        <f ca="1">'CDM Adjustment'!AR24</f>
        <v>195603.67640662132</v>
      </c>
      <c r="H73" s="59">
        <f ca="1">'CDM Adjustment'!AS24</f>
        <v>242087.02825986213</v>
      </c>
      <c r="J73" s="58" t="str">
        <f>B73</f>
        <v>GS 50 - 2,999</v>
      </c>
      <c r="K73" s="51">
        <f ca="1">'CDM Adjustment'!AN53</f>
        <v>14010.122296315765</v>
      </c>
      <c r="L73" s="51">
        <f ca="1">'CDM Adjustment'!AO53</f>
        <v>27428.628728883185</v>
      </c>
      <c r="M73" s="51">
        <f ca="1">'CDM Adjustment'!AP53</f>
        <v>41580.783486997811</v>
      </c>
      <c r="N73" s="51">
        <f ca="1">'CDM Adjustment'!AQ53</f>
        <v>55945.305706350562</v>
      </c>
      <c r="O73" s="51">
        <f ca="1">'CDM Adjustment'!AR53</f>
        <v>69857.621792276463</v>
      </c>
      <c r="P73" s="59">
        <f ca="1">'CDM Adjustment'!AS53</f>
        <v>84165.546149734349</v>
      </c>
    </row>
    <row r="74" spans="2:19" ht="13">
      <c r="B74" s="58" t="str">
        <f>B66</f>
        <v>GS 3,000 - 4,999</v>
      </c>
      <c r="C74" s="51">
        <f ca="1">'CDM Adjustment'!AN25</f>
        <v>2141.518709410002</v>
      </c>
      <c r="D74" s="51">
        <f ca="1">'CDM Adjustment'!AO25</f>
        <v>3555.3497379626419</v>
      </c>
      <c r="E74" s="51">
        <f ca="1">'CDM Adjustment'!AP25</f>
        <v>4844.6567677917546</v>
      </c>
      <c r="F74" s="51">
        <f ca="1">'CDM Adjustment'!AQ25</f>
        <v>6320.8137169820102</v>
      </c>
      <c r="G74" s="51">
        <f ca="1">'CDM Adjustment'!AR25</f>
        <v>8124.0038359227929</v>
      </c>
      <c r="H74" s="59">
        <f ca="1">'CDM Adjustment'!AS25</f>
        <v>9965.1241733445531</v>
      </c>
      <c r="J74" s="58" t="str">
        <f>B74</f>
        <v>GS 3,000 - 4,999</v>
      </c>
      <c r="K74" s="51">
        <f ca="1">'CDM Adjustment'!AN54</f>
        <v>2302.2201528224696</v>
      </c>
      <c r="L74" s="51">
        <f ca="1">'CDM Adjustment'!AO54</f>
        <v>4195.6104844392357</v>
      </c>
      <c r="M74" s="51">
        <f ca="1">'CDM Adjustment'!AP54</f>
        <v>6232.7966240237929</v>
      </c>
      <c r="N74" s="51">
        <f ca="1">'CDM Adjustment'!AQ54</f>
        <v>8256.1740312816564</v>
      </c>
      <c r="O74" s="51">
        <f ca="1">'CDM Adjustment'!AR54</f>
        <v>9971.7223154851017</v>
      </c>
      <c r="P74" s="59">
        <f ca="1">'CDM Adjustment'!AS54</f>
        <v>11666.166325787482</v>
      </c>
    </row>
    <row r="75" spans="2:19" ht="13">
      <c r="B75" s="58" t="str">
        <f>B67</f>
        <v>Street Light</v>
      </c>
      <c r="C75" s="51">
        <f ca="1">'CDM Adjustment'!AN26</f>
        <v>9467.7919772446294</v>
      </c>
      <c r="D75" s="51">
        <f ca="1">'CDM Adjustment'!AO26</f>
        <v>17749.359462629411</v>
      </c>
      <c r="E75" s="51">
        <f ca="1">'CDM Adjustment'!AP26</f>
        <v>24801.922182014645</v>
      </c>
      <c r="F75" s="51">
        <f ca="1">'CDM Adjustment'!AQ26</f>
        <v>33478.908487201959</v>
      </c>
      <c r="G75" s="51">
        <f ca="1">'CDM Adjustment'!AR26</f>
        <v>44538.773168624357</v>
      </c>
      <c r="H75" s="59">
        <f ca="1">'CDM Adjustment'!AS26</f>
        <v>57032.395038697272</v>
      </c>
      <c r="J75" s="58"/>
      <c r="K75" s="51"/>
      <c r="L75" s="51"/>
      <c r="M75" s="51"/>
      <c r="N75" s="51"/>
      <c r="O75" s="51"/>
      <c r="P75" s="59"/>
    </row>
    <row r="76" spans="2:19" ht="13">
      <c r="B76" s="58" t="str">
        <f>B68</f>
        <v>Sentinel Light</v>
      </c>
      <c r="C76" s="51">
        <f>'CDM Adjustment'!AN27</f>
        <v>0</v>
      </c>
      <c r="D76" s="51">
        <f>'CDM Adjustment'!AO27</f>
        <v>0</v>
      </c>
      <c r="E76" s="51">
        <f>'CDM Adjustment'!AP27</f>
        <v>0</v>
      </c>
      <c r="F76" s="51">
        <f>'CDM Adjustment'!AQ27</f>
        <v>0</v>
      </c>
      <c r="G76" s="51">
        <f>'CDM Adjustment'!AR27</f>
        <v>0</v>
      </c>
      <c r="H76" s="59">
        <f>'CDM Adjustment'!AS27</f>
        <v>0</v>
      </c>
      <c r="J76" s="58" t="str">
        <f>B76</f>
        <v>Sentinel Light</v>
      </c>
      <c r="K76" s="51">
        <f>'CDM Adjustment'!AN55</f>
        <v>0</v>
      </c>
      <c r="L76" s="51">
        <f>'CDM Adjustment'!AO55</f>
        <v>0</v>
      </c>
      <c r="M76" s="51">
        <f>'CDM Adjustment'!AP55</f>
        <v>0</v>
      </c>
      <c r="N76" s="51">
        <f>'CDM Adjustment'!AQ55</f>
        <v>0</v>
      </c>
      <c r="O76" s="51">
        <f>'CDM Adjustment'!AR55</f>
        <v>0</v>
      </c>
      <c r="P76" s="59">
        <f>'CDM Adjustment'!AS55</f>
        <v>0</v>
      </c>
    </row>
    <row r="77" spans="2:19" ht="13">
      <c r="B77" s="58" t="str">
        <f>B69</f>
        <v>Total</v>
      </c>
      <c r="C77" s="51">
        <f>'CDM Adjustment'!AN28</f>
        <v>0</v>
      </c>
      <c r="D77" s="51">
        <f>'CDM Adjustment'!AO28</f>
        <v>0</v>
      </c>
      <c r="E77" s="51">
        <f>'CDM Adjustment'!AP28</f>
        <v>0</v>
      </c>
      <c r="F77" s="51">
        <f>'CDM Adjustment'!AQ28</f>
        <v>0</v>
      </c>
      <c r="G77" s="51">
        <f>'CDM Adjustment'!AR28</f>
        <v>0</v>
      </c>
      <c r="H77" s="59">
        <f>'CDM Adjustment'!AS28</f>
        <v>0</v>
      </c>
      <c r="J77" s="58" t="str">
        <f>B77</f>
        <v>Total</v>
      </c>
      <c r="K77" s="51">
        <f>'CDM Adjustment'!AN56</f>
        <v>0</v>
      </c>
      <c r="L77" s="51">
        <f>'CDM Adjustment'!AO56</f>
        <v>0</v>
      </c>
      <c r="M77" s="51">
        <f>'CDM Adjustment'!AP56</f>
        <v>0</v>
      </c>
      <c r="N77" s="51">
        <f>'CDM Adjustment'!AQ56</f>
        <v>0</v>
      </c>
      <c r="O77" s="51">
        <f>'CDM Adjustment'!AR56</f>
        <v>0</v>
      </c>
      <c r="P77" s="59">
        <f>'CDM Adjustment'!AS56</f>
        <v>0</v>
      </c>
    </row>
    <row r="78" spans="2:19" ht="13.5" thickBot="1">
      <c r="B78" s="57" t="s">
        <v>290</v>
      </c>
      <c r="C78" s="640">
        <f t="shared" ref="C78:H78" ca="1" si="26">SUM(C73:C77)</f>
        <v>47799.85929399966</v>
      </c>
      <c r="D78" s="640">
        <f t="shared" ca="1" si="26"/>
        <v>93575.013544809772</v>
      </c>
      <c r="E78" s="640">
        <f t="shared" ca="1" si="26"/>
        <v>140425.59116922275</v>
      </c>
      <c r="F78" s="640">
        <f t="shared" ca="1" si="26"/>
        <v>191682.27327830743</v>
      </c>
      <c r="G78" s="640">
        <f t="shared" ca="1" si="26"/>
        <v>248266.45341116848</v>
      </c>
      <c r="H78" s="56">
        <f t="shared" ca="1" si="26"/>
        <v>309084.54747190396</v>
      </c>
      <c r="J78" s="57" t="s">
        <v>290</v>
      </c>
      <c r="K78" s="640">
        <f t="shared" ref="K78:P78" ca="1" si="27">SUM(K73:K77)</f>
        <v>16312.342449138236</v>
      </c>
      <c r="L78" s="640">
        <f t="shared" ca="1" si="27"/>
        <v>31624.23921332242</v>
      </c>
      <c r="M78" s="640">
        <f t="shared" ca="1" si="27"/>
        <v>47813.580111021605</v>
      </c>
      <c r="N78" s="640">
        <f t="shared" ca="1" si="27"/>
        <v>64201.479737632217</v>
      </c>
      <c r="O78" s="640">
        <f t="shared" ca="1" si="27"/>
        <v>79829.344107761572</v>
      </c>
      <c r="P78" s="56">
        <f t="shared" ca="1" si="27"/>
        <v>95831.712475521839</v>
      </c>
    </row>
    <row r="80" spans="2:19" ht="16" thickBot="1">
      <c r="B80" s="64" t="s">
        <v>868</v>
      </c>
      <c r="C80" s="64" t="s">
        <v>1</v>
      </c>
      <c r="E80" s="51"/>
      <c r="F80" s="51"/>
      <c r="G80" s="51"/>
      <c r="H80" s="51"/>
      <c r="J80" s="64" t="s">
        <v>868</v>
      </c>
      <c r="K80" s="64" t="s">
        <v>2</v>
      </c>
      <c r="M80" s="51"/>
      <c r="N80" s="51"/>
      <c r="O80" s="51"/>
      <c r="P80" s="51"/>
    </row>
    <row r="81" spans="2:18" ht="13">
      <c r="B81" s="55" t="s">
        <v>3</v>
      </c>
      <c r="C81" s="54">
        <f t="shared" ref="C81:H81" si="28">C72</f>
        <v>2026</v>
      </c>
      <c r="D81" s="54">
        <f t="shared" si="28"/>
        <v>2027</v>
      </c>
      <c r="E81" s="54">
        <f t="shared" si="28"/>
        <v>2028</v>
      </c>
      <c r="F81" s="54">
        <f t="shared" si="28"/>
        <v>2029</v>
      </c>
      <c r="G81" s="54">
        <f t="shared" si="28"/>
        <v>2030</v>
      </c>
      <c r="H81" s="53">
        <f t="shared" si="28"/>
        <v>2031</v>
      </c>
      <c r="J81" s="55" t="s">
        <v>3</v>
      </c>
      <c r="K81" s="54">
        <f t="shared" ref="K81:P81" si="29">K72</f>
        <v>2026</v>
      </c>
      <c r="L81" s="54">
        <f t="shared" si="29"/>
        <v>2027</v>
      </c>
      <c r="M81" s="54">
        <f t="shared" si="29"/>
        <v>2028</v>
      </c>
      <c r="N81" s="54">
        <f t="shared" si="29"/>
        <v>2029</v>
      </c>
      <c r="O81" s="54">
        <f t="shared" si="29"/>
        <v>2030</v>
      </c>
      <c r="P81" s="53">
        <f t="shared" si="29"/>
        <v>2031</v>
      </c>
    </row>
    <row r="82" spans="2:18" ht="13">
      <c r="B82" s="58" t="str">
        <f>B56</f>
        <v>GS 50 - 2,999</v>
      </c>
      <c r="C82" s="51">
        <f t="shared" ref="C82:H86" ca="1" si="30">M56-C73</f>
        <v>2342346.9795161951</v>
      </c>
      <c r="D82" s="51">
        <f t="shared" ca="1" si="30"/>
        <v>2472002.527679252</v>
      </c>
      <c r="E82" s="51">
        <f t="shared" ca="1" si="30"/>
        <v>2506221.6534840767</v>
      </c>
      <c r="F82" s="51">
        <f t="shared" ca="1" si="30"/>
        <v>2533597.230771916</v>
      </c>
      <c r="G82" s="51">
        <f t="shared" ca="1" si="30"/>
        <v>2541360.3199104858</v>
      </c>
      <c r="H82" s="59">
        <f t="shared" ca="1" si="30"/>
        <v>2567010.5102947801</v>
      </c>
      <c r="J82" s="58" t="str">
        <f>B82</f>
        <v>GS 50 - 2,999</v>
      </c>
      <c r="K82" s="51">
        <f t="shared" ref="K82:P83" ca="1" si="31">M65-K73</f>
        <v>829832.63785936066</v>
      </c>
      <c r="L82" s="51">
        <f t="shared" ca="1" si="31"/>
        <v>901367.84630914801</v>
      </c>
      <c r="M82" s="51">
        <f t="shared" ca="1" si="31"/>
        <v>932098.29309359228</v>
      </c>
      <c r="N82" s="51">
        <f t="shared" ca="1" si="31"/>
        <v>954166.59314810473</v>
      </c>
      <c r="O82" s="51">
        <f t="shared" ca="1" si="31"/>
        <v>970596.46008568769</v>
      </c>
      <c r="P82" s="59">
        <f t="shared" ca="1" si="31"/>
        <v>983951.72570996638</v>
      </c>
    </row>
    <row r="83" spans="2:18" ht="13">
      <c r="B83" s="58" t="str">
        <f>B57</f>
        <v>GS 3,000 - 4,999</v>
      </c>
      <c r="C83" s="51">
        <f t="shared" ca="1" si="30"/>
        <v>273247.33853807417</v>
      </c>
      <c r="D83" s="51">
        <f t="shared" ca="1" si="30"/>
        <v>351396.63829019741</v>
      </c>
      <c r="E83" s="51">
        <f t="shared" ca="1" si="30"/>
        <v>411318.8956286746</v>
      </c>
      <c r="F83" s="51">
        <f t="shared" ca="1" si="30"/>
        <v>449644.36124127265</v>
      </c>
      <c r="G83" s="51">
        <f t="shared" ca="1" si="30"/>
        <v>463427.4227972962</v>
      </c>
      <c r="H83" s="59">
        <f t="shared" ca="1" si="30"/>
        <v>482998.27296510391</v>
      </c>
      <c r="J83" s="58" t="str">
        <f>B83</f>
        <v>GS 3,000 - 4,999</v>
      </c>
      <c r="K83" s="51">
        <f t="shared" ca="1" si="31"/>
        <v>173949.9442774886</v>
      </c>
      <c r="L83" s="51">
        <f t="shared" ca="1" si="31"/>
        <v>204371.25895406152</v>
      </c>
      <c r="M83" s="51">
        <f t="shared" ca="1" si="31"/>
        <v>216633.83109030806</v>
      </c>
      <c r="N83" s="51">
        <f t="shared" ca="1" si="31"/>
        <v>226247.92405476479</v>
      </c>
      <c r="O83" s="51">
        <f t="shared" ca="1" si="31"/>
        <v>239629.99299442026</v>
      </c>
      <c r="P83" s="59">
        <f t="shared" ca="1" si="31"/>
        <v>251238.96891495207</v>
      </c>
    </row>
    <row r="84" spans="2:18" ht="13">
      <c r="B84" s="58" t="str">
        <f>B58</f>
        <v>Large Use</v>
      </c>
      <c r="C84" s="51">
        <f t="shared" ca="1" si="30"/>
        <v>582754.02625610516</v>
      </c>
      <c r="D84" s="51">
        <f t="shared" ca="1" si="30"/>
        <v>699952.55015067162</v>
      </c>
      <c r="E84" s="51">
        <f t="shared" ca="1" si="30"/>
        <v>838837.78883968422</v>
      </c>
      <c r="F84" s="51">
        <f t="shared" ca="1" si="30"/>
        <v>921903.83334637014</v>
      </c>
      <c r="G84" s="51">
        <f t="shared" ca="1" si="30"/>
        <v>941697.31207975489</v>
      </c>
      <c r="H84" s="59">
        <f t="shared" ca="1" si="30"/>
        <v>956657.69739546173</v>
      </c>
      <c r="J84" s="58"/>
      <c r="K84" s="51"/>
      <c r="L84" s="51"/>
      <c r="M84" s="51"/>
      <c r="N84" s="51"/>
      <c r="O84" s="51"/>
      <c r="P84" s="59"/>
    </row>
    <row r="85" spans="2:18" ht="13">
      <c r="B85" s="58" t="str">
        <f>B59</f>
        <v>Street Light</v>
      </c>
      <c r="C85" s="51">
        <f t="shared" ca="1" si="30"/>
        <v>32867.111912563763</v>
      </c>
      <c r="D85" s="51">
        <f t="shared" ca="1" si="30"/>
        <v>33229.794206584047</v>
      </c>
      <c r="E85" s="51">
        <f t="shared" ca="1" si="30"/>
        <v>33596.478630354744</v>
      </c>
      <c r="F85" s="51">
        <f t="shared" ca="1" si="30"/>
        <v>33967.209346612253</v>
      </c>
      <c r="G85" s="51">
        <f t="shared" ca="1" si="30"/>
        <v>34342.031005420286</v>
      </c>
      <c r="H85" s="59">
        <f t="shared" ca="1" si="30"/>
        <v>34720.988749547483</v>
      </c>
      <c r="J85" s="58" t="str">
        <f>B85</f>
        <v>Street Light</v>
      </c>
      <c r="K85" s="51">
        <f t="shared" ref="K85:P86" ca="1" si="32">M67-K76</f>
        <v>10137.611440111856</v>
      </c>
      <c r="L85" s="51">
        <f t="shared" ca="1" si="32"/>
        <v>10314.47561207424</v>
      </c>
      <c r="M85" s="51">
        <f t="shared" ca="1" si="32"/>
        <v>10494.425415746691</v>
      </c>
      <c r="N85" s="51">
        <f t="shared" ca="1" si="32"/>
        <v>10677.514684095742</v>
      </c>
      <c r="O85" s="51">
        <f t="shared" ca="1" si="32"/>
        <v>10863.798189275929</v>
      </c>
      <c r="P85" s="59">
        <f t="shared" ca="1" si="32"/>
        <v>11053.331659015181</v>
      </c>
    </row>
    <row r="86" spans="2:18" ht="13">
      <c r="B86" s="58" t="str">
        <f>B60</f>
        <v>Sentinel Light</v>
      </c>
      <c r="C86" s="51">
        <f t="shared" ca="1" si="30"/>
        <v>580.53909724113964</v>
      </c>
      <c r="D86" s="51">
        <f t="shared" ca="1" si="30"/>
        <v>569.18081677203395</v>
      </c>
      <c r="E86" s="51">
        <f t="shared" ca="1" si="30"/>
        <v>558.04476170657131</v>
      </c>
      <c r="F86" s="51">
        <f t="shared" ca="1" si="30"/>
        <v>547.12658419208481</v>
      </c>
      <c r="G86" s="51">
        <f t="shared" ca="1" si="30"/>
        <v>536.42202144189309</v>
      </c>
      <c r="H86" s="59">
        <f t="shared" ca="1" si="30"/>
        <v>525.92689407097839</v>
      </c>
      <c r="J86" s="58" t="str">
        <f>B86</f>
        <v>Sentinel Light</v>
      </c>
      <c r="K86" s="51">
        <f t="shared" ca="1" si="32"/>
        <v>83.986746134736094</v>
      </c>
      <c r="L86" s="51">
        <f t="shared" ca="1" si="32"/>
        <v>85.218072750022259</v>
      </c>
      <c r="M86" s="51">
        <f t="shared" ca="1" si="32"/>
        <v>86.467451799808998</v>
      </c>
      <c r="N86" s="51">
        <f t="shared" ca="1" si="32"/>
        <v>87.735147950178657</v>
      </c>
      <c r="O86" s="51">
        <f t="shared" ca="1" si="32"/>
        <v>89.021429747473391</v>
      </c>
      <c r="P86" s="59">
        <f t="shared" ca="1" si="32"/>
        <v>90.326569675183435</v>
      </c>
    </row>
    <row r="87" spans="2:18" ht="13.5" thickBot="1">
      <c r="B87" s="57" t="s">
        <v>290</v>
      </c>
      <c r="C87" s="640">
        <f t="shared" ref="C87:H87" ca="1" si="33">SUM(C82:C86)</f>
        <v>3231795.995320179</v>
      </c>
      <c r="D87" s="640">
        <f t="shared" ca="1" si="33"/>
        <v>3557150.6911434769</v>
      </c>
      <c r="E87" s="640">
        <f t="shared" ca="1" si="33"/>
        <v>3790532.8613444967</v>
      </c>
      <c r="F87" s="640">
        <f t="shared" ca="1" si="33"/>
        <v>3939659.7612903635</v>
      </c>
      <c r="G87" s="640">
        <f t="shared" ca="1" si="33"/>
        <v>3981363.5078143994</v>
      </c>
      <c r="H87" s="56">
        <f t="shared" ca="1" si="33"/>
        <v>4041913.396298964</v>
      </c>
      <c r="J87" s="57" t="s">
        <v>290</v>
      </c>
      <c r="K87" s="640">
        <f t="shared" ref="K87:P87" ca="1" si="34">SUM(K82:K86)</f>
        <v>1014004.1803230959</v>
      </c>
      <c r="L87" s="640">
        <f t="shared" ca="1" si="34"/>
        <v>1116138.7989480335</v>
      </c>
      <c r="M87" s="640">
        <f t="shared" ca="1" si="34"/>
        <v>1159313.017051447</v>
      </c>
      <c r="N87" s="640">
        <f t="shared" ca="1" si="34"/>
        <v>1191179.7670349155</v>
      </c>
      <c r="O87" s="640">
        <f t="shared" ca="1" si="34"/>
        <v>1221179.2726991314</v>
      </c>
      <c r="P87" s="56">
        <f t="shared" ca="1" si="34"/>
        <v>1246334.352853609</v>
      </c>
    </row>
    <row r="91" spans="2:18" ht="16" thickBot="1">
      <c r="B91" s="64" t="s">
        <v>869</v>
      </c>
      <c r="C91" s="64" t="s">
        <v>1</v>
      </c>
    </row>
    <row r="92" spans="2:18" ht="13">
      <c r="B92" s="63" t="s">
        <v>603</v>
      </c>
      <c r="C92" s="62" t="s">
        <v>856</v>
      </c>
      <c r="D92" s="62" t="s">
        <v>857</v>
      </c>
      <c r="E92" s="62" t="s">
        <v>858</v>
      </c>
      <c r="F92" s="62" t="s">
        <v>859</v>
      </c>
      <c r="G92" s="62" t="s">
        <v>860</v>
      </c>
      <c r="H92" s="62" t="s">
        <v>861</v>
      </c>
      <c r="I92" s="62" t="s">
        <v>862</v>
      </c>
      <c r="J92" s="62" t="s">
        <v>863</v>
      </c>
      <c r="K92" s="62" t="s">
        <v>4</v>
      </c>
      <c r="L92" s="62" t="s">
        <v>799</v>
      </c>
      <c r="M92" s="62" t="s">
        <v>6</v>
      </c>
      <c r="N92" s="62" t="s">
        <v>7</v>
      </c>
      <c r="O92" s="62" t="s">
        <v>8</v>
      </c>
      <c r="P92" s="62" t="s">
        <v>9</v>
      </c>
      <c r="Q92" s="62" t="s">
        <v>10</v>
      </c>
      <c r="R92" s="60" t="s">
        <v>11</v>
      </c>
    </row>
    <row r="93" spans="2:18" ht="13">
      <c r="B93" s="760" t="str">
        <f t="shared" ref="B93:B101" si="35">B3</f>
        <v>Residential</v>
      </c>
      <c r="C93" s="51">
        <f ca="1">OFFSET('Customer Count'!$C$4,COLUMN()-COLUMN($C93),0)</f>
        <v>107447.625</v>
      </c>
      <c r="D93" s="51">
        <f ca="1">OFFSET('Customer Count'!$C$4,COLUMN()-COLUMN($C93),0)</f>
        <v>108364.75</v>
      </c>
      <c r="E93" s="51">
        <f ca="1">OFFSET('Customer Count'!$C$4,COLUMN()-COLUMN($C93),0)</f>
        <v>109469.75</v>
      </c>
      <c r="F93" s="51">
        <f ca="1">OFFSET('Customer Count'!$C$4,COLUMN()-COLUMN($C93),0)</f>
        <v>110960.875</v>
      </c>
      <c r="G93" s="51">
        <f ca="1">OFFSET('Customer Count'!$C$4,COLUMN()-COLUMN($C93),0)</f>
        <v>112218.375</v>
      </c>
      <c r="H93" s="51">
        <f ca="1">OFFSET('Customer Count'!$C$4,COLUMN()-COLUMN($C93),0)</f>
        <v>113059.29166666664</v>
      </c>
      <c r="I93" s="51">
        <f ca="1">OFFSET('Customer Count'!$C$4,COLUMN()-COLUMN($C93),0)</f>
        <v>114160.83333333336</v>
      </c>
      <c r="J93" s="51">
        <f ca="1">OFFSET('Customer Count'!$C$4,COLUMN()-COLUMN($C93),0)</f>
        <v>115689.125</v>
      </c>
      <c r="K93" s="51">
        <f ca="1">OFFSET('Customer Count'!$C$4,COLUMN()-COLUMN($C93),0)</f>
        <v>117456.375</v>
      </c>
      <c r="L93" s="51">
        <f ca="1">OFFSET('Customer Count'!$C$4,COLUMN()-COLUMN($C93),0)</f>
        <v>118908.83333333337</v>
      </c>
      <c r="M93" s="51">
        <f ca="1">OFFSET('Customer Count'!$C$24,COLUMN()-COLUMN($M93),0)</f>
        <v>120549.42139909492</v>
      </c>
      <c r="N93" s="51">
        <f ca="1">OFFSET('Customer Count'!$C$24,COLUMN()-COLUMN($M93),0)</f>
        <v>122281.64122964442</v>
      </c>
      <c r="O93" s="51">
        <f ca="1">OFFSET('Customer Count'!$C$24,COLUMN()-COLUMN($M93),0)</f>
        <v>124107.7225953329</v>
      </c>
      <c r="P93" s="51">
        <f ca="1">OFFSET('Customer Count'!$C$24,COLUMN()-COLUMN($M93),0)</f>
        <v>126024.19465642334</v>
      </c>
      <c r="Q93" s="51">
        <f ca="1">OFFSET('Customer Count'!$C$24,COLUMN()-COLUMN($M93),0)</f>
        <v>128017.6351365939</v>
      </c>
      <c r="R93" s="59">
        <f ca="1">OFFSET('Customer Count'!$C$24,COLUMN()-COLUMN($M93),0)</f>
        <v>129908.78108451176</v>
      </c>
    </row>
    <row r="94" spans="2:18" ht="13">
      <c r="B94" s="58" t="str">
        <f t="shared" si="35"/>
        <v>Residential Seasonal</v>
      </c>
      <c r="C94" s="51">
        <f ca="1">OFFSET('Customer Count'!$G$4,COLUMN()-COLUMN($C94),0)</f>
        <v>1585.75</v>
      </c>
      <c r="D94" s="51">
        <f ca="1">OFFSET('Customer Count'!$G$4,COLUMN()-COLUMN($C94),0)</f>
        <v>1577.0416666666661</v>
      </c>
      <c r="E94" s="51">
        <f ca="1">OFFSET('Customer Count'!$G$4,COLUMN()-COLUMN($C94),0)</f>
        <v>1570.9166666666661</v>
      </c>
      <c r="F94" s="51">
        <f ca="1">OFFSET('Customer Count'!$G$4,COLUMN()-COLUMN($C94),0)</f>
        <v>1565.125</v>
      </c>
      <c r="G94" s="51">
        <f ca="1">OFFSET('Customer Count'!$G$4,COLUMN()-COLUMN($C94),0)</f>
        <v>1561</v>
      </c>
      <c r="H94" s="51">
        <f ca="1">OFFSET('Customer Count'!$G$4,COLUMN()-COLUMN($C94),0)</f>
        <v>1558.8333333333339</v>
      </c>
      <c r="I94" s="51">
        <f ca="1">OFFSET('Customer Count'!$G$4,COLUMN()-COLUMN($C94),0)</f>
        <v>1559.1666666666661</v>
      </c>
      <c r="J94" s="51">
        <f ca="1">OFFSET('Customer Count'!$G$4,COLUMN()-COLUMN($C94),0)</f>
        <v>1562.625</v>
      </c>
      <c r="K94" s="51">
        <f ca="1">OFFSET('Customer Count'!$G$4,COLUMN()-COLUMN($C94),0)</f>
        <v>1561.8333333333339</v>
      </c>
      <c r="L94" s="51">
        <f ca="1">OFFSET('Customer Count'!$G$4,COLUMN()-COLUMN($C94),0)</f>
        <v>1553.5</v>
      </c>
      <c r="M94" s="51">
        <f ca="1">OFFSET('Customer Count'!$G$24,COLUMN()-COLUMN($M94),0)</f>
        <v>1549.9606514054349</v>
      </c>
      <c r="N94" s="51">
        <f ca="1">OFFSET('Customer Count'!$G$24,COLUMN()-COLUMN($C94),0)</f>
        <v>1563.0000000000002</v>
      </c>
      <c r="O94" s="51">
        <f ca="1">OFFSET('Customer Count'!$G$24,COLUMN()-COLUMN($C94),0)</f>
        <v>1562.666666666667</v>
      </c>
      <c r="P94" s="51">
        <f ca="1">OFFSET('Customer Count'!$G$24,COLUMN()-COLUMN($C94),0)</f>
        <v>1562.3333333333337</v>
      </c>
      <c r="Q94" s="51">
        <f ca="1">OFFSET('Customer Count'!$G$24,COLUMN()-COLUMN($C94),0)</f>
        <v>1562.0000000000005</v>
      </c>
      <c r="R94" s="59">
        <f ca="1">OFFSET('Customer Count'!$G$24,COLUMN()-COLUMN($C94),0)</f>
        <v>1561.6666666666672</v>
      </c>
    </row>
    <row r="95" spans="2:18" ht="13.5" customHeight="1">
      <c r="B95" s="58" t="str">
        <f t="shared" si="35"/>
        <v>GS&lt;50</v>
      </c>
      <c r="C95" s="51">
        <f ca="1">OFFSET('Customer Count'!$K$4,COLUMN()-COLUMN($C95),0)</f>
        <v>8953.4166666666697</v>
      </c>
      <c r="D95" s="51">
        <f ca="1">OFFSET('Customer Count'!$K$4,COLUMN()-COLUMN($C95),0)</f>
        <v>9015.375</v>
      </c>
      <c r="E95" s="51">
        <f ca="1">OFFSET('Customer Count'!$K$4,COLUMN()-COLUMN($C95),0)</f>
        <v>9089.625</v>
      </c>
      <c r="F95" s="51">
        <f ca="1">OFFSET('Customer Count'!$K$4,COLUMN()-COLUMN($C95),0)</f>
        <v>9207.0416666666697</v>
      </c>
      <c r="G95" s="51">
        <f ca="1">OFFSET('Customer Count'!$K$4,COLUMN()-COLUMN($C95),0)</f>
        <v>9277.75</v>
      </c>
      <c r="H95" s="51">
        <f ca="1">OFFSET('Customer Count'!$K$4,COLUMN()-COLUMN($C95),0)</f>
        <v>9314.7083333333303</v>
      </c>
      <c r="I95" s="51">
        <f ca="1">OFFSET('Customer Count'!$K$4,COLUMN()-COLUMN($C95),0)</f>
        <v>9413.2083333333303</v>
      </c>
      <c r="J95" s="51">
        <f ca="1">OFFSET('Customer Count'!$K$4,COLUMN()-COLUMN($C95),0)</f>
        <v>9487.375</v>
      </c>
      <c r="K95" s="51">
        <f ca="1">OFFSET('Customer Count'!$K$4,COLUMN()-COLUMN($C95),0)</f>
        <v>9501.875</v>
      </c>
      <c r="L95" s="51">
        <f ca="1">OFFSET('Customer Count'!$K$4,COLUMN()-COLUMN($C95),0)</f>
        <v>9505.4583333333303</v>
      </c>
      <c r="M95" s="51">
        <f ca="1">OFFSET('Customer Count'!$K$24,COLUMN()-COLUMN($M95),0)</f>
        <v>9568.8251056720273</v>
      </c>
      <c r="N95" s="51">
        <f ca="1">OFFSET('Customer Count'!$K$24,COLUMN()-COLUMN($C95),0)</f>
        <v>9499.25</v>
      </c>
      <c r="O95" s="51">
        <f ca="1">OFFSET('Customer Count'!$K$24,COLUMN()-COLUMN($C95),0)</f>
        <v>9500</v>
      </c>
      <c r="P95" s="51">
        <f ca="1">OFFSET('Customer Count'!$K$24,COLUMN()-COLUMN($C95),0)</f>
        <v>9500.75</v>
      </c>
      <c r="Q95" s="51">
        <f ca="1">OFFSET('Customer Count'!$K$24,COLUMN()-COLUMN($C95),0)</f>
        <v>9501.5</v>
      </c>
      <c r="R95" s="59">
        <f ca="1">OFFSET('Customer Count'!$K$24,COLUMN()-COLUMN($C95),0)</f>
        <v>9502.25</v>
      </c>
    </row>
    <row r="96" spans="2:18" ht="13.5" customHeight="1">
      <c r="B96" s="58" t="str">
        <f t="shared" si="35"/>
        <v>GS 50 - 2,999</v>
      </c>
      <c r="C96" s="51">
        <f ca="1">OFFSET('Customer Count'!$O$4,COLUMN()-COLUMN($C96),0)</f>
        <v>1056.0416666666663</v>
      </c>
      <c r="D96" s="51">
        <f ca="1">OFFSET('Customer Count'!$O$4,COLUMN()-COLUMN($C96),0)</f>
        <v>1068.3333333333337</v>
      </c>
      <c r="E96" s="51">
        <f ca="1">OFFSET('Customer Count'!$O$4,COLUMN()-COLUMN($C96),0)</f>
        <v>1060.25</v>
      </c>
      <c r="F96" s="51">
        <f ca="1">OFFSET('Customer Count'!$O$4,COLUMN()-COLUMN($C96),0)</f>
        <v>1029.0833333333337</v>
      </c>
      <c r="G96" s="51">
        <f ca="1">OFFSET('Customer Count'!$O$4,COLUMN()-COLUMN($C96),0)</f>
        <v>1032</v>
      </c>
      <c r="H96" s="51">
        <f ca="1">OFFSET('Customer Count'!$O$4,COLUMN()-COLUMN($C96),0)</f>
        <v>1052.2083333333337</v>
      </c>
      <c r="I96" s="51">
        <f ca="1">OFFSET('Customer Count'!$O$4,COLUMN()-COLUMN($C96),0)</f>
        <v>1037.25</v>
      </c>
      <c r="J96" s="51">
        <f ca="1">OFFSET('Customer Count'!$O$4,COLUMN()-COLUMN($C96),0)</f>
        <v>1030.4583333333335</v>
      </c>
      <c r="K96" s="51">
        <f ca="1">OFFSET('Customer Count'!$O$4,COLUMN()-COLUMN($C96),0)</f>
        <v>1059.4166666666663</v>
      </c>
      <c r="L96" s="51">
        <f ca="1">OFFSET('Customer Count'!$O$4,COLUMN()-COLUMN($C96),0)</f>
        <v>1088</v>
      </c>
      <c r="M96" s="51">
        <f ca="1">OFFSET('Customer Count'!$R$24,COLUMN()-COLUMN($M96),0)</f>
        <v>1095.670111892214</v>
      </c>
      <c r="N96" s="51">
        <f ca="1">OFFSET('Customer Count'!$R$24,COLUMN()-COLUMN($M96),0)</f>
        <v>1104.1380135023953</v>
      </c>
      <c r="O96" s="51">
        <f ca="1">OFFSET('Customer Count'!$R$24,COLUMN()-COLUMN($M96),0)</f>
        <v>1109.4512668474492</v>
      </c>
      <c r="P96" s="51">
        <f ca="1">OFFSET('Customer Count'!$R$24,COLUMN()-COLUMN($M96),0)</f>
        <v>1113.6182451390212</v>
      </c>
      <c r="Q96" s="51">
        <f ca="1">OFFSET('Customer Count'!$R$24,COLUMN()-COLUMN($M96),0)</f>
        <v>1117.3681550544138</v>
      </c>
      <c r="R96" s="59">
        <f ca="1">OFFSET('Customer Count'!$R$24,COLUMN()-COLUMN($M96),0)</f>
        <v>1121.0385367370197</v>
      </c>
    </row>
    <row r="97" spans="2:18" ht="13.5" customHeight="1">
      <c r="B97" s="58" t="str">
        <f t="shared" si="35"/>
        <v>GS 3,000 - 4,999</v>
      </c>
      <c r="C97" s="51">
        <f ca="1">OFFSET('Customer Count'!$U$4,COLUMN()-COLUMN($C97),0)</f>
        <v>5</v>
      </c>
      <c r="D97" s="51">
        <f ca="1">OFFSET('Customer Count'!$U$4,COLUMN()-COLUMN($C97),0)</f>
        <v>5</v>
      </c>
      <c r="E97" s="51">
        <f ca="1">OFFSET('Customer Count'!$U$4,COLUMN()-COLUMN($C97),0)</f>
        <v>4.4583333333333348</v>
      </c>
      <c r="F97" s="51">
        <f ca="1">OFFSET('Customer Count'!$U$4,COLUMN()-COLUMN($C97),0)</f>
        <v>4</v>
      </c>
      <c r="G97" s="51">
        <f ca="1">OFFSET('Customer Count'!$U$4,COLUMN()-COLUMN($C97),0)</f>
        <v>4.5416666666666652</v>
      </c>
      <c r="H97" s="51">
        <f ca="1">OFFSET('Customer Count'!$U$4,COLUMN()-COLUMN($C97),0)</f>
        <v>5.5416666666666643</v>
      </c>
      <c r="I97" s="51">
        <f ca="1">OFFSET('Customer Count'!$U$4,COLUMN()-COLUMN($C97),0)</f>
        <v>5.4583333333333357</v>
      </c>
      <c r="J97" s="51">
        <f ca="1">OFFSET('Customer Count'!$U$4,COLUMN()-COLUMN($C97),0)</f>
        <v>5</v>
      </c>
      <c r="K97" s="51">
        <f ca="1">OFFSET('Customer Count'!$U$4,COLUMN()-COLUMN($C97),0)</f>
        <v>5</v>
      </c>
      <c r="L97" s="51">
        <f ca="1">OFFSET('Customer Count'!$U$4,COLUMN()-COLUMN($C97),0)</f>
        <v>5</v>
      </c>
      <c r="M97" s="51">
        <f ca="1">OFFSET('Customer Count'!$X$24,COLUMN()-COLUMN($M97),0)</f>
        <v>6.354166666666667</v>
      </c>
      <c r="N97" s="51">
        <f ca="1">OFFSET('Customer Count'!$X$24,COLUMN()-COLUMN($M97),0)</f>
        <v>8.0958333333333332</v>
      </c>
      <c r="O97" s="51">
        <f ca="1">OFFSET('Customer Count'!$X$24,COLUMN()-COLUMN($M97),0)</f>
        <v>8.9250000000000007</v>
      </c>
      <c r="P97" s="51">
        <f ca="1">OFFSET('Customer Count'!$X$24,COLUMN()-COLUMN($M97),0)</f>
        <v>9.2541666666666682</v>
      </c>
      <c r="Q97" s="51">
        <f ca="1">OFFSET('Customer Count'!$X$24,COLUMN()-COLUMN($M97),0)</f>
        <v>9.300000000000006</v>
      </c>
      <c r="R97" s="59">
        <f ca="1">OFFSET('Customer Count'!$X$24,COLUMN()-COLUMN($M97),0)</f>
        <v>9.300000000000006</v>
      </c>
    </row>
    <row r="98" spans="2:18" ht="13.5" customHeight="1">
      <c r="B98" s="58" t="str">
        <f t="shared" si="35"/>
        <v>Large Use</v>
      </c>
      <c r="C98" s="51">
        <f ca="1">OFFSET('Customer Count'!$AA$4,COLUMN()-COLUMN($C98),0)</f>
        <v>3</v>
      </c>
      <c r="D98" s="51">
        <f ca="1">OFFSET('Customer Count'!$AA$4,COLUMN()-COLUMN($C98),0)</f>
        <v>3</v>
      </c>
      <c r="E98" s="51">
        <f ca="1">OFFSET('Customer Count'!$AA$4,COLUMN()-COLUMN($C98),0)</f>
        <v>3.5416666666666674</v>
      </c>
      <c r="F98" s="51">
        <f ca="1">OFFSET('Customer Count'!$AA$4,COLUMN()-COLUMN($C98),0)</f>
        <v>4</v>
      </c>
      <c r="G98" s="51">
        <f ca="1">OFFSET('Customer Count'!$AA$4,COLUMN()-COLUMN($C98),0)</f>
        <v>4</v>
      </c>
      <c r="H98" s="51">
        <f ca="1">OFFSET('Customer Count'!$AA$4,COLUMN()-COLUMN($C98),0)</f>
        <v>4</v>
      </c>
      <c r="I98" s="51">
        <f ca="1">OFFSET('Customer Count'!$AA$4,COLUMN()-COLUMN($C98),0)</f>
        <v>4</v>
      </c>
      <c r="J98" s="51">
        <f ca="1">OFFSET('Customer Count'!$AA$4,COLUMN()-COLUMN($C98),0)</f>
        <v>4.5416666666666652</v>
      </c>
      <c r="K98" s="51">
        <f ca="1">OFFSET('Customer Count'!$AA$4,COLUMN()-COLUMN($C98),0)</f>
        <v>5</v>
      </c>
      <c r="L98" s="51">
        <f ca="1">OFFSET('Customer Count'!$AA$4,COLUMN()-COLUMN($C98),0)</f>
        <v>5</v>
      </c>
      <c r="M98" s="51">
        <f ca="1">OFFSET('Customer Count'!$AD$24,COLUMN()-COLUMN($M98),0)</f>
        <v>5.203125</v>
      </c>
      <c r="N98" s="51">
        <f ca="1">OFFSET('Customer Count'!$AD$24,COLUMN()-COLUMN($M98),0)</f>
        <v>5.645833333333333</v>
      </c>
      <c r="O98" s="51">
        <f ca="1">OFFSET('Customer Count'!$AD$24,COLUMN()-COLUMN($M98),0)</f>
        <v>5.9427083333333321</v>
      </c>
      <c r="P98" s="51">
        <f ca="1">OFFSET('Customer Count'!$AD$24,COLUMN()-COLUMN($M98),0)</f>
        <v>5.9999999999999991</v>
      </c>
      <c r="Q98" s="51">
        <f ca="1">OFFSET('Customer Count'!$AD$24,COLUMN()-COLUMN($M98),0)</f>
        <v>5.9999999999999991</v>
      </c>
      <c r="R98" s="59">
        <f ca="1">OFFSET('Customer Count'!$AD$24,COLUMN()-COLUMN($M98),0)</f>
        <v>5.9999999999999991</v>
      </c>
    </row>
    <row r="99" spans="2:18" ht="13.5" customHeight="1">
      <c r="B99" s="58" t="str">
        <f t="shared" si="35"/>
        <v>Street Light</v>
      </c>
      <c r="C99" s="51">
        <f ca="1">OFFSET('Customer Count'!$AG$4,COLUMN()-COLUMN($C99),0)</f>
        <v>30030.75</v>
      </c>
      <c r="D99" s="51">
        <f ca="1">OFFSET('Customer Count'!$AG$4,COLUMN()-COLUMN($C99),0)</f>
        <v>30411.75</v>
      </c>
      <c r="E99" s="51">
        <f ca="1">OFFSET('Customer Count'!$AG$4,COLUMN()-COLUMN($C99),0)</f>
        <v>30897.625</v>
      </c>
      <c r="F99" s="51">
        <f ca="1">OFFSET('Customer Count'!$AG$4,COLUMN()-COLUMN($C99),0)</f>
        <v>31143.041666666657</v>
      </c>
      <c r="G99" s="51">
        <f ca="1">OFFSET('Customer Count'!$AG$4,COLUMN()-COLUMN($C99),0)</f>
        <v>31414.916666666657</v>
      </c>
      <c r="H99" s="51">
        <f ca="1">OFFSET('Customer Count'!$AG$4,COLUMN()-COLUMN($C99),0)</f>
        <v>31679.166666666657</v>
      </c>
      <c r="I99" s="51">
        <f ca="1">OFFSET('Customer Count'!$AG$4,COLUMN()-COLUMN($C99),0)</f>
        <v>31795.041666666657</v>
      </c>
      <c r="J99" s="51">
        <f ca="1">OFFSET('Customer Count'!$AG$4,COLUMN()-COLUMN($C99),0)</f>
        <v>32131.541666666657</v>
      </c>
      <c r="K99" s="51">
        <f ca="1">OFFSET('Customer Count'!$AG$4,COLUMN()-COLUMN($C99),0)</f>
        <v>32717.416666666661</v>
      </c>
      <c r="L99" s="51">
        <f ca="1">OFFSET('Customer Count'!$AG$4,COLUMN()-COLUMN($C99),0)</f>
        <v>33148.291666666679</v>
      </c>
      <c r="M99" s="51">
        <f ca="1">OFFSET('Customer Count'!$AG$24,COLUMN()-COLUMN($M99),0)</f>
        <v>33513.940476027485</v>
      </c>
      <c r="N99" s="51">
        <f ca="1">OFFSET('Customer Count'!$AG$24,COLUMN()-COLUMN($M99),0)</f>
        <v>33883.760399537663</v>
      </c>
      <c r="O99" s="51">
        <f ca="1">OFFSET('Customer Count'!$AG$24,COLUMN()-COLUMN($M99),0)</f>
        <v>34257.661215174587</v>
      </c>
      <c r="P99" s="51">
        <f ca="1">OFFSET('Customer Count'!$AG$24,COLUMN()-COLUMN($M99),0)</f>
        <v>34635.687954802408</v>
      </c>
      <c r="Q99" s="51">
        <f ca="1">OFFSET('Customer Count'!$AG$24,COLUMN()-COLUMN($M99),0)</f>
        <v>35017.886147203273</v>
      </c>
      <c r="R99" s="59">
        <f ca="1">OFFSET('Customer Count'!$AG$24,COLUMN()-COLUMN($M99),0)</f>
        <v>35404.301823560694</v>
      </c>
    </row>
    <row r="100" spans="2:18" ht="13.5" customHeight="1">
      <c r="B100" s="58" t="str">
        <f t="shared" si="35"/>
        <v>Sentinel Light</v>
      </c>
      <c r="C100" s="51">
        <f ca="1">OFFSET('Customer Count'!$AK$4,COLUMN()-COLUMN($C100),0)</f>
        <v>439</v>
      </c>
      <c r="D100" s="51">
        <f ca="1">OFFSET('Customer Count'!$AK$4,COLUMN()-COLUMN($C100),0)</f>
        <v>439</v>
      </c>
      <c r="E100" s="51">
        <f ca="1">OFFSET('Customer Count'!$AK$4,COLUMN()-COLUMN($C100),0)</f>
        <v>439</v>
      </c>
      <c r="F100" s="51">
        <f ca="1">OFFSET('Customer Count'!$AK$4,COLUMN()-COLUMN($C100),0)</f>
        <v>342.04166666666652</v>
      </c>
      <c r="G100" s="51">
        <f ca="1">OFFSET('Customer Count'!$AK$4,COLUMN()-COLUMN($C100),0)</f>
        <v>255.125</v>
      </c>
      <c r="H100" s="51">
        <f ca="1">OFFSET('Customer Count'!$AK$4,COLUMN()-COLUMN($C100),0)</f>
        <v>248.83333333333326</v>
      </c>
      <c r="I100" s="51">
        <f ca="1">OFFSET('Customer Count'!$AK$4,COLUMN()-COLUMN($C100),0)</f>
        <v>245.91666666666674</v>
      </c>
      <c r="J100" s="51">
        <f ca="1">OFFSET('Customer Count'!$AK$4,COLUMN()-COLUMN($C100),0)</f>
        <v>242.83333333333326</v>
      </c>
      <c r="K100" s="51">
        <f ca="1">OFFSET('Customer Count'!$AK$4,COLUMN()-COLUMN($C100),0)</f>
        <v>238.29166666666674</v>
      </c>
      <c r="L100" s="51">
        <f ca="1">OFFSET('Customer Count'!$AK$4,COLUMN()-COLUMN($C100),0)</f>
        <v>231.125</v>
      </c>
      <c r="M100" s="51">
        <f ca="1">OFFSET('Customer Count'!$AK$24,COLUMN()-COLUMN($M100),0)</f>
        <v>226.61037880257982</v>
      </c>
      <c r="N100" s="51">
        <f ca="1">OFFSET('Customer Count'!$AK$24,COLUMN()-COLUMN($M100),0)</f>
        <v>222.17673384760306</v>
      </c>
      <c r="O100" s="51">
        <f ca="1">OFFSET('Customer Count'!$AK$24,COLUMN()-COLUMN($M100),0)</f>
        <v>217.82983340843643</v>
      </c>
      <c r="P100" s="51">
        <f ca="1">OFFSET('Customer Count'!$AK$24,COLUMN()-COLUMN($M100),0)</f>
        <v>213.56798032369252</v>
      </c>
      <c r="Q100" s="51">
        <f ca="1">OFFSET('Customer Count'!$AK$24,COLUMN()-COLUMN($M100),0)</f>
        <v>209.38951063704306</v>
      </c>
      <c r="R100" s="59">
        <f ca="1">OFFSET('Customer Count'!$AK$24,COLUMN()-COLUMN($M100),0)</f>
        <v>205.29279294756</v>
      </c>
    </row>
    <row r="101" spans="2:18" ht="13">
      <c r="B101" s="58" t="str">
        <f t="shared" si="35"/>
        <v>USL</v>
      </c>
      <c r="C101" s="51">
        <f ca="1">OFFSET('Customer Count'!$AO$4,COLUMN()-COLUMN($C101),0)</f>
        <v>837.41666666666686</v>
      </c>
      <c r="D101" s="51">
        <f ca="1">OFFSET('Customer Count'!$AO$4,COLUMN()-COLUMN($C101),0)</f>
        <v>825.58333333333314</v>
      </c>
      <c r="E101" s="51">
        <f ca="1">OFFSET('Customer Count'!$AO$4,COLUMN()-COLUMN($C101),0)</f>
        <v>817.75</v>
      </c>
      <c r="F101" s="51">
        <f ca="1">OFFSET('Customer Count'!$AO$4,COLUMN()-COLUMN($C101),0)</f>
        <v>809.04166666666697</v>
      </c>
      <c r="G101" s="51">
        <f ca="1">OFFSET('Customer Count'!$AO$4,COLUMN()-COLUMN($C101),0)</f>
        <v>801.83333333333303</v>
      </c>
      <c r="H101" s="51">
        <f ca="1">OFFSET('Customer Count'!$AO$4,COLUMN()-COLUMN($C101),0)</f>
        <v>801.625</v>
      </c>
      <c r="I101" s="51">
        <f ca="1">OFFSET('Customer Count'!$AO$4,COLUMN()-COLUMN($C101),0)</f>
        <v>800.83333333333303</v>
      </c>
      <c r="J101" s="51">
        <f ca="1">OFFSET('Customer Count'!$AO$4,COLUMN()-COLUMN($C101),0)</f>
        <v>797.91666666666697</v>
      </c>
      <c r="K101" s="51">
        <f ca="1">OFFSET('Customer Count'!$AO$4,COLUMN()-COLUMN($C101),0)</f>
        <v>769.91666666666697</v>
      </c>
      <c r="L101" s="51">
        <f ca="1">OFFSET('Customer Count'!$AO$4,COLUMN()-COLUMN($C101),0)</f>
        <v>775.16666666666697</v>
      </c>
      <c r="M101" s="51">
        <f ca="1">OFFSET('Customer Count'!$AO$24,COLUMN()-COLUMN($M101),0)</f>
        <v>795.29655282409192</v>
      </c>
      <c r="N101" s="51">
        <f ca="1">OFFSET('Customer Count'!$AO$24,COLUMN()-COLUMN($M101),0)</f>
        <v>788.50800554610271</v>
      </c>
      <c r="O101" s="51">
        <f ca="1">OFFSET('Customer Count'!$AO$24,COLUMN()-COLUMN($M101),0)</f>
        <v>781.76948925132695</v>
      </c>
      <c r="P101" s="51">
        <f ca="1">OFFSET('Customer Count'!$AO$24,COLUMN()-COLUMN($M101),0)</f>
        <v>775.08855969192416</v>
      </c>
      <c r="Q101" s="51">
        <f ca="1">OFFSET('Customer Count'!$AO$24,COLUMN()-COLUMN($M101),0)</f>
        <v>768.46472473699441</v>
      </c>
      <c r="R101" s="59">
        <f ca="1">OFFSET('Customer Count'!$AO$24,COLUMN()-COLUMN($M101),0)</f>
        <v>761.89749646134203</v>
      </c>
    </row>
    <row r="102" spans="2:18" ht="13.5" thickBot="1">
      <c r="B102" s="57" t="s">
        <v>290</v>
      </c>
      <c r="C102" s="640">
        <f t="shared" ref="C102:R102" ca="1" si="36">SUM(C93:C101)</f>
        <v>150358</v>
      </c>
      <c r="D102" s="640">
        <f t="shared" ca="1" si="36"/>
        <v>151709.83333333334</v>
      </c>
      <c r="E102" s="640">
        <f ca="1">SUM(E93:E101)</f>
        <v>153352.91666666669</v>
      </c>
      <c r="F102" s="640">
        <f t="shared" ca="1" si="36"/>
        <v>155064.24999999997</v>
      </c>
      <c r="G102" s="640">
        <f t="shared" ca="1" si="36"/>
        <v>156569.54166666666</v>
      </c>
      <c r="H102" s="640">
        <f t="shared" ca="1" si="36"/>
        <v>157724.20833333328</v>
      </c>
      <c r="I102" s="640">
        <f t="shared" ca="1" si="36"/>
        <v>159021.70833333334</v>
      </c>
      <c r="J102" s="640">
        <f t="shared" ca="1" si="36"/>
        <v>160951.41666666666</v>
      </c>
      <c r="K102" s="640">
        <f t="shared" ca="1" si="36"/>
        <v>163315.12499999997</v>
      </c>
      <c r="L102" s="640">
        <f t="shared" ca="1" si="36"/>
        <v>165220.37500000003</v>
      </c>
      <c r="M102" s="640">
        <f t="shared" ca="1" si="36"/>
        <v>167311.28196738541</v>
      </c>
      <c r="N102" s="640">
        <f t="shared" ca="1" si="36"/>
        <v>169356.21604874486</v>
      </c>
      <c r="O102" s="641">
        <f t="shared" ca="1" si="36"/>
        <v>171551.96877501474</v>
      </c>
      <c r="P102" s="640">
        <f t="shared" ca="1" si="36"/>
        <v>173840.49489638038</v>
      </c>
      <c r="Q102" s="641">
        <f t="shared" ca="1" si="36"/>
        <v>176209.5436742256</v>
      </c>
      <c r="R102" s="50">
        <f t="shared" ca="1" si="36"/>
        <v>178480.52840088506</v>
      </c>
    </row>
    <row r="104" spans="2:18" ht="16" thickBot="1">
      <c r="B104" s="64" t="s">
        <v>869</v>
      </c>
      <c r="C104" s="64" t="s">
        <v>2</v>
      </c>
    </row>
    <row r="105" spans="2:18" ht="13">
      <c r="B105" s="63" t="s">
        <v>603</v>
      </c>
      <c r="C105" s="62" t="s">
        <v>856</v>
      </c>
      <c r="D105" s="62" t="s">
        <v>857</v>
      </c>
      <c r="E105" s="62" t="s">
        <v>858</v>
      </c>
      <c r="F105" s="62" t="s">
        <v>859</v>
      </c>
      <c r="G105" s="62" t="s">
        <v>860</v>
      </c>
      <c r="H105" s="62" t="s">
        <v>861</v>
      </c>
      <c r="I105" s="62" t="s">
        <v>862</v>
      </c>
      <c r="J105" s="62" t="s">
        <v>863</v>
      </c>
      <c r="K105" s="62" t="s">
        <v>4</v>
      </c>
      <c r="L105" s="62" t="s">
        <v>5</v>
      </c>
      <c r="M105" s="62" t="s">
        <v>6</v>
      </c>
      <c r="N105" s="62" t="s">
        <v>7</v>
      </c>
      <c r="O105" s="62" t="s">
        <v>8</v>
      </c>
      <c r="P105" s="62" t="s">
        <v>9</v>
      </c>
      <c r="Q105" s="62" t="s">
        <v>10</v>
      </c>
      <c r="R105" s="60" t="s">
        <v>11</v>
      </c>
    </row>
    <row r="106" spans="2:18" ht="13">
      <c r="B106" s="760" t="str">
        <f t="shared" ref="B106:B112" si="37">B16</f>
        <v>Residential</v>
      </c>
      <c r="C106" s="51">
        <f ca="1">OFFSET('Customer Count'!$AT$4,COLUMN()-COLUMN($C106),0)</f>
        <v>39433.541666666679</v>
      </c>
      <c r="D106" s="51">
        <f ca="1">OFFSET('Customer Count'!$AT$4,COLUMN()-COLUMN($C106),0)</f>
        <v>39751.583333333321</v>
      </c>
      <c r="E106" s="51">
        <f ca="1">OFFSET('Customer Count'!$AT$4,COLUMN()-COLUMN($C106),0)</f>
        <v>40096.916666666679</v>
      </c>
      <c r="F106" s="51">
        <f ca="1">OFFSET('Customer Count'!$AT$4,COLUMN()-COLUMN($C106),0)</f>
        <v>40903.041666666679</v>
      </c>
      <c r="G106" s="51">
        <f ca="1">OFFSET('Customer Count'!$AT$4,COLUMN()-COLUMN($C106),0)</f>
        <v>41880.625</v>
      </c>
      <c r="H106" s="51">
        <f ca="1">OFFSET('Customer Count'!$AT$4,COLUMN()-COLUMN($C106),0)</f>
        <v>42897.875</v>
      </c>
      <c r="I106" s="51">
        <f ca="1">OFFSET('Customer Count'!$AT$4,COLUMN()-COLUMN($C106),0)</f>
        <v>44013.541666666686</v>
      </c>
      <c r="J106" s="51">
        <f ca="1">OFFSET('Customer Count'!$AT$4,COLUMN()-COLUMN($C106),0)</f>
        <v>44945.416666666686</v>
      </c>
      <c r="K106" s="51">
        <f ca="1">OFFSET('Customer Count'!$AT$4,COLUMN()-COLUMN($C106),0)</f>
        <v>45520.625</v>
      </c>
      <c r="L106" s="51">
        <f ca="1">OFFSET('Customer Count'!$AT$4,COLUMN()-COLUMN($C106),0)</f>
        <v>45869</v>
      </c>
      <c r="M106" s="51">
        <f ca="1">OFFSET('Customer Count'!$AT$24,COLUMN()-COLUMN($M106),0)</f>
        <v>46497.326764268808</v>
      </c>
      <c r="N106" s="51">
        <f ca="1">OFFSET('Customer Count'!$AT$24,COLUMN()-COLUMN($M106),0)</f>
        <v>47176.612779935756</v>
      </c>
      <c r="O106" s="51">
        <f ca="1">OFFSET('Customer Count'!$AT$24,COLUMN()-COLUMN($M106),0)</f>
        <v>47930.351446795765</v>
      </c>
      <c r="P106" s="51">
        <f ca="1">OFFSET('Customer Count'!$AT$24,COLUMN()-COLUMN($M106),0)</f>
        <v>48757.126914828092</v>
      </c>
      <c r="Q106" s="51">
        <f ca="1">OFFSET('Customer Count'!$AT$24,COLUMN()-COLUMN($M106),0)</f>
        <v>49613.598476663967</v>
      </c>
      <c r="R106" s="59">
        <f ca="1">OFFSET('Customer Count'!$AT$24,COLUMN()-COLUMN($M106),0)</f>
        <v>50393.956163665607</v>
      </c>
    </row>
    <row r="107" spans="2:18" ht="13">
      <c r="B107" s="58" t="str">
        <f t="shared" si="37"/>
        <v>GS&lt;50</v>
      </c>
      <c r="C107" s="51">
        <f ca="1">OFFSET('Customer Count'!$AX$4,COLUMN()-COLUMN($C107),0)</f>
        <v>2201.2083333333326</v>
      </c>
      <c r="D107" s="51">
        <f ca="1">OFFSET('Customer Count'!$AX$4,COLUMN()-COLUMN($C107),0)</f>
        <v>2229.75</v>
      </c>
      <c r="E107" s="51">
        <f ca="1">OFFSET('Customer Count'!$AX$4,COLUMN()-COLUMN($C107),0)</f>
        <v>2246.6666666666674</v>
      </c>
      <c r="F107" s="51">
        <f ca="1">OFFSET('Customer Count'!$AX$4,COLUMN()-COLUMN($C107),0)</f>
        <v>2261.0416666666674</v>
      </c>
      <c r="G107" s="51">
        <f ca="1">OFFSET('Customer Count'!$AX$4,COLUMN()-COLUMN($C107),0)</f>
        <v>2284.3333333333326</v>
      </c>
      <c r="H107" s="51">
        <f ca="1">OFFSET('Customer Count'!$AX$4,COLUMN()-COLUMN($C107),0)</f>
        <v>2326.625</v>
      </c>
      <c r="I107" s="51">
        <f ca="1">OFFSET('Customer Count'!$AX$4,COLUMN()-COLUMN($C107),0)</f>
        <v>2383.5833333333326</v>
      </c>
      <c r="J107" s="51">
        <f ca="1">OFFSET('Customer Count'!$AX$4,COLUMN()-COLUMN($C107),0)</f>
        <v>2435.2916666666674</v>
      </c>
      <c r="K107" s="51">
        <f ca="1">OFFSET('Customer Count'!$AX$4,COLUMN()-COLUMN($C107),0)</f>
        <v>2464.75</v>
      </c>
      <c r="L107" s="51">
        <f ca="1">OFFSET('Customer Count'!$AX$4,COLUMN()-COLUMN($C107),0)</f>
        <v>2473</v>
      </c>
      <c r="M107" s="51">
        <f ca="1">OFFSET('Customer Count'!$AX$24,COLUMN()-COLUMN($M107),0)</f>
        <v>2505.1895921108166</v>
      </c>
      <c r="N107" s="51">
        <f ca="1">OFFSET('Customer Count'!$AX$24,COLUMN()-COLUMN($M107),0)</f>
        <v>2537.8076740421684</v>
      </c>
      <c r="O107" s="51">
        <f ca="1">OFFSET('Customer Count'!$AX$24,COLUMN()-COLUMN($M107),0)</f>
        <v>2570.8504500853869</v>
      </c>
      <c r="P107" s="51">
        <f ca="1">OFFSET('Customer Count'!$AX$24,COLUMN()-COLUMN($M107),0)</f>
        <v>2604.3234498448514</v>
      </c>
      <c r="Q107" s="51">
        <f ca="1">OFFSET('Customer Count'!$AX$24,COLUMN()-COLUMN($M107),0)</f>
        <v>2638.2322749215205</v>
      </c>
      <c r="R107" s="59">
        <f ca="1">OFFSET('Customer Count'!$AX$24,COLUMN()-COLUMN($M107),0)</f>
        <v>2672.5825998503497</v>
      </c>
    </row>
    <row r="108" spans="2:18" ht="13">
      <c r="B108" s="58" t="str">
        <f t="shared" si="37"/>
        <v>GS 50 - 2,999</v>
      </c>
      <c r="C108" s="51">
        <f ca="1">OFFSET('Customer Count'!$BB$4,COLUMN()-COLUMN($C108),0)</f>
        <v>367.08333333333348</v>
      </c>
      <c r="D108" s="51">
        <f ca="1">OFFSET('Customer Count'!$BB$4,COLUMN()-COLUMN($C108),0)</f>
        <v>368</v>
      </c>
      <c r="E108" s="51">
        <f ca="1">OFFSET('Customer Count'!$BB$4,COLUMN()-COLUMN($C108),0)</f>
        <v>372.875</v>
      </c>
      <c r="F108" s="51">
        <f ca="1">OFFSET('Customer Count'!$BB$4,COLUMN()-COLUMN($C108),0)</f>
        <v>377</v>
      </c>
      <c r="G108" s="51">
        <f ca="1">OFFSET('Customer Count'!$BB$4,COLUMN()-COLUMN($C108),0)</f>
        <v>381.875</v>
      </c>
      <c r="H108" s="51">
        <f ca="1">OFFSET('Customer Count'!$BB$4,COLUMN()-COLUMN($C108),0)</f>
        <v>390.875</v>
      </c>
      <c r="I108" s="51">
        <f ca="1">OFFSET('Customer Count'!$BB$4,COLUMN()-COLUMN($C108),0)</f>
        <v>386.33333333333348</v>
      </c>
      <c r="J108" s="51">
        <f ca="1">OFFSET('Customer Count'!$BB$4,COLUMN()-COLUMN($C108),0)</f>
        <v>383.33333333333348</v>
      </c>
      <c r="K108" s="51">
        <f ca="1">OFFSET('Customer Count'!$BB$4,COLUMN()-COLUMN($C108),0)</f>
        <v>388.625</v>
      </c>
      <c r="L108" s="51">
        <f ca="1">OFFSET('Customer Count'!$BB$4,COLUMN()-COLUMN($C108),0)</f>
        <v>396.5</v>
      </c>
      <c r="M108" s="51">
        <f ca="1">OFFSET('Customer Count'!$BE$24,COLUMN()-COLUMN($M108),0)</f>
        <v>403.40284286596511</v>
      </c>
      <c r="N108" s="51">
        <f ca="1">OFFSET('Customer Count'!$BE$24,COLUMN()-COLUMN($M108),0)</f>
        <v>411.89807952600358</v>
      </c>
      <c r="O108" s="51">
        <f ca="1">OFFSET('Customer Count'!$BE$24,COLUMN()-COLUMN($M108),0)</f>
        <v>417.98332406506097</v>
      </c>
      <c r="P108" s="51">
        <f ca="1">OFFSET('Customer Count'!$BE$24,COLUMN()-COLUMN($M108),0)</f>
        <v>422.77549769417504</v>
      </c>
      <c r="Q108" s="51">
        <f ca="1">OFFSET('Customer Count'!$BE$24,COLUMN()-COLUMN($M108),0)</f>
        <v>427.46131548064847</v>
      </c>
      <c r="R108" s="59">
        <f ca="1">OFFSET('Customer Count'!$BE$24,COLUMN()-COLUMN($M108),0)</f>
        <v>432.16499470021517</v>
      </c>
    </row>
    <row r="109" spans="2:18" ht="13">
      <c r="B109" s="58" t="str">
        <f t="shared" si="37"/>
        <v>GS 3,000 - 4,999</v>
      </c>
      <c r="C109" s="51">
        <f ca="1">OFFSET('Customer Count'!$BH$4,COLUMN()-COLUMN($C109),0)</f>
        <v>2</v>
      </c>
      <c r="D109" s="51">
        <f ca="1">OFFSET('Customer Count'!$BH$4,COLUMN()-COLUMN($C109),0)</f>
        <v>2</v>
      </c>
      <c r="E109" s="51">
        <f ca="1">OFFSET('Customer Count'!$BH$4,COLUMN()-COLUMN($C109),0)</f>
        <v>2.5416666666666674</v>
      </c>
      <c r="F109" s="51">
        <f ca="1">OFFSET('Customer Count'!$BH$4,COLUMN()-COLUMN($C109),0)</f>
        <v>3</v>
      </c>
      <c r="G109" s="51">
        <f ca="1">OFFSET('Customer Count'!$BH$4,COLUMN()-COLUMN($C109),0)</f>
        <v>3</v>
      </c>
      <c r="H109" s="51">
        <f ca="1">OFFSET('Customer Count'!$BH$4,COLUMN()-COLUMN($C109),0)</f>
        <v>3</v>
      </c>
      <c r="I109" s="51">
        <f ca="1">OFFSET('Customer Count'!$BH$4,COLUMN()-COLUMN($C109),0)</f>
        <v>3</v>
      </c>
      <c r="J109" s="51">
        <f ca="1">OFFSET('Customer Count'!$BH$4,COLUMN()-COLUMN($C109),0)</f>
        <v>3</v>
      </c>
      <c r="K109" s="51">
        <f ca="1">OFFSET('Customer Count'!$BH$4,COLUMN()-COLUMN($C109),0)</f>
        <v>3</v>
      </c>
      <c r="L109" s="51">
        <f ca="1">OFFSET('Customer Count'!$BH$4,COLUMN()-COLUMN($C109),0)</f>
        <v>3</v>
      </c>
      <c r="M109" s="51">
        <f ca="1">OFFSET('Customer Count'!$BK$24,COLUMN()-COLUMN($M109),0)</f>
        <v>4.151041666666667</v>
      </c>
      <c r="N109" s="51">
        <f ca="1">OFFSET('Customer Count'!$BK$24,COLUMN()-COLUMN($M109),0)</f>
        <v>5.53125</v>
      </c>
      <c r="O109" s="51">
        <f ca="1">OFFSET('Customer Count'!$BK$24,COLUMN()-COLUMN($M109),0)</f>
        <v>5.9427083333333321</v>
      </c>
      <c r="P109" s="51">
        <f ca="1">OFFSET('Customer Count'!$BK$24,COLUMN()-COLUMN($M109),0)</f>
        <v>5.9999999999999991</v>
      </c>
      <c r="Q109" s="51">
        <f ca="1">OFFSET('Customer Count'!$BK$24,COLUMN()-COLUMN($M109),0)</f>
        <v>5.9999999999999991</v>
      </c>
      <c r="R109" s="59">
        <f ca="1">OFFSET('Customer Count'!$BK$24,COLUMN()-COLUMN($M109),0)</f>
        <v>5.9999999999999991</v>
      </c>
    </row>
    <row r="110" spans="2:18" ht="13">
      <c r="B110" s="58" t="str">
        <f t="shared" si="37"/>
        <v>Street Light</v>
      </c>
      <c r="C110" s="51">
        <f ca="1">OFFSET('Customer Count'!$BN$4,COLUMN()-COLUMN($C110),0)</f>
        <v>11857.375</v>
      </c>
      <c r="D110" s="51">
        <f ca="1">OFFSET('Customer Count'!$BN$4,COLUMN()-COLUMN($C110),0)</f>
        <v>11891</v>
      </c>
      <c r="E110" s="51">
        <f ca="1">OFFSET('Customer Count'!$BN$4,COLUMN()-COLUMN($C110),0)</f>
        <v>12053.666666666672</v>
      </c>
      <c r="F110" s="51">
        <f ca="1">OFFSET('Customer Count'!$BN$4,COLUMN()-COLUMN($C110),0)</f>
        <v>12408.416666666672</v>
      </c>
      <c r="G110" s="51">
        <f ca="1">OFFSET('Customer Count'!$BN$4,COLUMN()-COLUMN($C110),0)</f>
        <v>12707.791666666672</v>
      </c>
      <c r="H110" s="51">
        <f ca="1">OFFSET('Customer Count'!$BN$4,COLUMN()-COLUMN($C110),0)</f>
        <v>13023.791666666672</v>
      </c>
      <c r="I110" s="51">
        <f ca="1">OFFSET('Customer Count'!$BN$4,COLUMN()-COLUMN($C110),0)</f>
        <v>13342.91666666667</v>
      </c>
      <c r="J110" s="51">
        <f ca="1">OFFSET('Customer Count'!$BN$4,COLUMN()-COLUMN($C110),0)</f>
        <v>13555.45833333333</v>
      </c>
      <c r="K110" s="51">
        <f ca="1">OFFSET('Customer Count'!$BN$4,COLUMN()-COLUMN($C110),0)</f>
        <v>13708</v>
      </c>
      <c r="L110" s="51">
        <f ca="1">OFFSET('Customer Count'!$BN$4,COLUMN()-COLUMN($C110),0)</f>
        <v>13854.54166666667</v>
      </c>
      <c r="M110" s="51">
        <f ca="1">OFFSET('Customer Count'!$BN$4,COLUMN()-COLUMN($M110),0)</f>
        <v>11857.375</v>
      </c>
      <c r="N110" s="51">
        <f ca="1">OFFSET('Customer Count'!$BN$4,COLUMN()-COLUMN($M110),0)</f>
        <v>11891</v>
      </c>
      <c r="O110" s="51">
        <f ca="1">OFFSET('Customer Count'!$BN$4,COLUMN()-COLUMN($M110),0)</f>
        <v>12053.666666666672</v>
      </c>
      <c r="P110" s="51">
        <f ca="1">OFFSET('Customer Count'!$BN$4,COLUMN()-COLUMN($M110),0)</f>
        <v>12408.416666666672</v>
      </c>
      <c r="Q110" s="51">
        <f ca="1">OFFSET('Customer Count'!$BN$4,COLUMN()-COLUMN($M110),0)</f>
        <v>12707.791666666672</v>
      </c>
      <c r="R110" s="59">
        <f ca="1">OFFSET('Customer Count'!$BN$4,COLUMN()-COLUMN($M110),0)</f>
        <v>13023.791666666672</v>
      </c>
    </row>
    <row r="111" spans="2:18" ht="13">
      <c r="B111" s="58" t="str">
        <f t="shared" si="37"/>
        <v>Sentinel Light</v>
      </c>
      <c r="C111" s="51">
        <f ca="1">OFFSET('Customer Count'!$BR$4,COLUMN()-COLUMN($C111),0)</f>
        <v>39</v>
      </c>
      <c r="D111" s="51">
        <f ca="1">OFFSET('Customer Count'!$BR$4,COLUMN()-COLUMN($C111),0)</f>
        <v>38.458333333333321</v>
      </c>
      <c r="E111" s="51">
        <f ca="1">OFFSET('Customer Count'!$BR$4,COLUMN()-COLUMN($C111),0)</f>
        <v>37.458333333333321</v>
      </c>
      <c r="F111" s="51">
        <f ca="1">OFFSET('Customer Count'!$BR$4,COLUMN()-COLUMN($C111),0)</f>
        <v>37</v>
      </c>
      <c r="G111" s="51">
        <f ca="1">OFFSET('Customer Count'!$BR$4,COLUMN()-COLUMN($C111),0)</f>
        <v>37</v>
      </c>
      <c r="H111" s="51">
        <f ca="1">OFFSET('Customer Count'!$BR$4,COLUMN()-COLUMN($C111),0)</f>
        <v>42.416666666666679</v>
      </c>
      <c r="I111" s="51">
        <f ca="1">OFFSET('Customer Count'!$BR$4,COLUMN()-COLUMN($C111),0)</f>
        <v>46.458333333333314</v>
      </c>
      <c r="J111" s="51">
        <f ca="1">OFFSET('Customer Count'!$BR$4,COLUMN()-COLUMN($C111),0)</f>
        <v>46</v>
      </c>
      <c r="K111" s="51">
        <f ca="1">OFFSET('Customer Count'!$BR$4,COLUMN()-COLUMN($C111),0)</f>
        <v>45.458333333333314</v>
      </c>
      <c r="L111" s="51">
        <f ca="1">OFFSET('Customer Count'!$BR$4,COLUMN()-COLUMN($C111),0)</f>
        <v>44.458333333333314</v>
      </c>
      <c r="M111" s="51">
        <f ca="1">OFFSET('Customer Count'!$BR$4,COLUMN()-COLUMN($M111),0)</f>
        <v>39</v>
      </c>
      <c r="N111" s="51">
        <f ca="1">OFFSET('Customer Count'!$BR$4,COLUMN()-COLUMN($M111),0)</f>
        <v>38.458333333333321</v>
      </c>
      <c r="O111" s="51">
        <f ca="1">OFFSET('Customer Count'!$BR$4,COLUMN()-COLUMN($M111),0)</f>
        <v>37.458333333333321</v>
      </c>
      <c r="P111" s="51">
        <f ca="1">OFFSET('Customer Count'!$BR$4,COLUMN()-COLUMN($M111),0)</f>
        <v>37</v>
      </c>
      <c r="Q111" s="51">
        <f ca="1">OFFSET('Customer Count'!$BR$4,COLUMN()-COLUMN($M111),0)</f>
        <v>37</v>
      </c>
      <c r="R111" s="59">
        <f ca="1">OFFSET('Customer Count'!$BR$4,COLUMN()-COLUMN($M111),0)</f>
        <v>42.416666666666679</v>
      </c>
    </row>
    <row r="112" spans="2:18" ht="13">
      <c r="B112" s="58" t="str">
        <f t="shared" si="37"/>
        <v>USL</v>
      </c>
      <c r="C112" s="51">
        <f ca="1">OFFSET('Customer Count'!$BV$4,COLUMN()-COLUMN($C112),0)</f>
        <v>372.20833333333348</v>
      </c>
      <c r="D112" s="51">
        <f ca="1">OFFSET('Customer Count'!$BV$4,COLUMN()-COLUMN($C112),0)</f>
        <v>370.625</v>
      </c>
      <c r="E112" s="51">
        <f ca="1">OFFSET('Customer Count'!$BV$4,COLUMN()-COLUMN($C112),0)</f>
        <v>376.875</v>
      </c>
      <c r="F112" s="51">
        <f ca="1">OFFSET('Customer Count'!$BV$4,COLUMN()-COLUMN($C112),0)</f>
        <v>384.25</v>
      </c>
      <c r="G112" s="51">
        <f ca="1">OFFSET('Customer Count'!$BV$4,COLUMN()-COLUMN($C112),0)</f>
        <v>389.16666666666652</v>
      </c>
      <c r="H112" s="51">
        <f ca="1">OFFSET('Customer Count'!$BV$4,COLUMN()-COLUMN($C112),0)</f>
        <v>391.54166666666652</v>
      </c>
      <c r="I112" s="51">
        <f ca="1">OFFSET('Customer Count'!$BV$4,COLUMN()-COLUMN($C112),0)</f>
        <v>393.08333333333348</v>
      </c>
      <c r="J112" s="51">
        <f ca="1">OFFSET('Customer Count'!$BV$4,COLUMN()-COLUMN($C112),0)</f>
        <v>400.5</v>
      </c>
      <c r="K112" s="51">
        <f ca="1">OFFSET('Customer Count'!$BV$4,COLUMN()-COLUMN($C112),0)</f>
        <v>396.25</v>
      </c>
      <c r="L112" s="51">
        <f ca="1">OFFSET('Customer Count'!$BV$4,COLUMN()-COLUMN($C112),0)</f>
        <v>390.16666666666652</v>
      </c>
      <c r="M112" s="51">
        <f ca="1">OFFSET('Customer Count'!$BV$4,COLUMN()-COLUMN($M112),0)</f>
        <v>372.20833333333348</v>
      </c>
      <c r="N112" s="51">
        <f ca="1">OFFSET('Customer Count'!$BV$4,COLUMN()-COLUMN($M112),0)</f>
        <v>370.625</v>
      </c>
      <c r="O112" s="51">
        <f ca="1">OFFSET('Customer Count'!$BV$4,COLUMN()-COLUMN($M112),0)</f>
        <v>376.875</v>
      </c>
      <c r="P112" s="51">
        <f ca="1">OFFSET('Customer Count'!$BV$4,COLUMN()-COLUMN($M112),0)</f>
        <v>384.25</v>
      </c>
      <c r="Q112" s="51">
        <f ca="1">OFFSET('Customer Count'!$BV$4,COLUMN()-COLUMN($M112),0)</f>
        <v>389.16666666666652</v>
      </c>
      <c r="R112" s="59">
        <f ca="1">OFFSET('Customer Count'!$BV$4,COLUMN()-COLUMN($M112),0)</f>
        <v>391.54166666666652</v>
      </c>
    </row>
    <row r="113" spans="2:18" ht="13.5" thickBot="1">
      <c r="B113" s="57" t="s">
        <v>290</v>
      </c>
      <c r="C113" s="640">
        <f t="shared" ref="C113:R113" ca="1" si="38">SUM(C106:C112)</f>
        <v>54272.416666666686</v>
      </c>
      <c r="D113" s="640">
        <f t="shared" ca="1" si="38"/>
        <v>54651.416666666657</v>
      </c>
      <c r="E113" s="640">
        <f t="shared" ca="1" si="38"/>
        <v>55187.000000000015</v>
      </c>
      <c r="F113" s="640">
        <f t="shared" ca="1" si="38"/>
        <v>56373.750000000015</v>
      </c>
      <c r="G113" s="640">
        <f t="shared" ca="1" si="38"/>
        <v>57683.791666666672</v>
      </c>
      <c r="H113" s="640">
        <f t="shared" ca="1" si="38"/>
        <v>59076.125</v>
      </c>
      <c r="I113" s="640">
        <f t="shared" ca="1" si="38"/>
        <v>60568.916666666701</v>
      </c>
      <c r="J113" s="640">
        <f t="shared" ca="1" si="38"/>
        <v>61769.000000000015</v>
      </c>
      <c r="K113" s="640">
        <f t="shared" ca="1" si="38"/>
        <v>62526.708333333336</v>
      </c>
      <c r="L113" s="640">
        <f t="shared" ca="1" si="38"/>
        <v>63030.666666666672</v>
      </c>
      <c r="M113" s="641">
        <f t="shared" ca="1" si="38"/>
        <v>61678.653574245589</v>
      </c>
      <c r="N113" s="640">
        <f t="shared" ca="1" si="38"/>
        <v>62431.933116837266</v>
      </c>
      <c r="O113" s="641">
        <f t="shared" ca="1" si="38"/>
        <v>63393.127929279559</v>
      </c>
      <c r="P113" s="640">
        <f t="shared" ca="1" si="38"/>
        <v>64619.892529033787</v>
      </c>
      <c r="Q113" s="641">
        <f t="shared" ca="1" si="38"/>
        <v>65819.250400399484</v>
      </c>
      <c r="R113" s="50">
        <f t="shared" ca="1" si="38"/>
        <v>66962.453758216187</v>
      </c>
    </row>
    <row r="115" spans="2:18" ht="16" thickBot="1">
      <c r="B115" s="64" t="s">
        <v>869</v>
      </c>
      <c r="C115" s="64" t="s">
        <v>1</v>
      </c>
    </row>
    <row r="116" spans="2:18" ht="13">
      <c r="B116" s="63" t="s">
        <v>603</v>
      </c>
      <c r="C116" s="62" t="s">
        <v>856</v>
      </c>
      <c r="D116" s="62" t="s">
        <v>857</v>
      </c>
      <c r="E116" s="62" t="s">
        <v>858</v>
      </c>
      <c r="F116" s="62" t="s">
        <v>859</v>
      </c>
      <c r="G116" s="62" t="s">
        <v>860</v>
      </c>
      <c r="H116" s="62" t="s">
        <v>861</v>
      </c>
      <c r="I116" s="62" t="s">
        <v>862</v>
      </c>
      <c r="J116" s="62" t="s">
        <v>863</v>
      </c>
      <c r="K116" s="62" t="s">
        <v>4</v>
      </c>
      <c r="L116" s="62" t="s">
        <v>799</v>
      </c>
      <c r="M116" s="62" t="s">
        <v>6</v>
      </c>
      <c r="N116" s="62" t="s">
        <v>7</v>
      </c>
      <c r="O116" s="62" t="s">
        <v>8</v>
      </c>
      <c r="P116" s="62" t="s">
        <v>9</v>
      </c>
      <c r="Q116" s="62" t="s">
        <v>10</v>
      </c>
      <c r="R116" s="60" t="s">
        <v>11</v>
      </c>
    </row>
    <row r="117" spans="2:18" ht="13">
      <c r="B117" s="760" t="str">
        <f>B93</f>
        <v>Residential</v>
      </c>
      <c r="C117" s="51">
        <f>SUMIFS('Monthly Data'!$AT:$AT,'Monthly Data'!$B:$B,'Summary Tables'!C$138,'Monthly Data'!$C:$C,12)</f>
        <v>107900</v>
      </c>
      <c r="D117" s="51">
        <f>SUMIFS('Monthly Data'!$AT:$AT,'Monthly Data'!$B:$B,'Summary Tables'!D$138,'Monthly Data'!$C:$C,12)</f>
        <v>108758</v>
      </c>
      <c r="E117" s="51">
        <f>SUMIFS('Monthly Data'!$AT:$AT,'Monthly Data'!$B:$B,'Summary Tables'!E$138,'Monthly Data'!$C:$C,12)</f>
        <v>110072</v>
      </c>
      <c r="F117" s="51">
        <f>SUMIFS('Monthly Data'!$AT:$AT,'Monthly Data'!$B:$B,'Summary Tables'!F$138,'Monthly Data'!$C:$C,12)</f>
        <v>111713</v>
      </c>
      <c r="G117" s="51">
        <f>SUMIFS('Monthly Data'!$AT:$AT,'Monthly Data'!$B:$B,'Summary Tables'!G$138,'Monthly Data'!$C:$C,12)</f>
        <v>112646</v>
      </c>
      <c r="H117" s="51">
        <f>SUMIFS('Monthly Data'!$AT:$AT,'Monthly Data'!$B:$B,'Summary Tables'!H$138,'Monthly Data'!$C:$C,12)</f>
        <v>113409</v>
      </c>
      <c r="I117" s="51">
        <f>SUMIFS('Monthly Data'!$AT:$AT,'Monthly Data'!$B:$B,'Summary Tables'!I$138,'Monthly Data'!$C:$C,12)</f>
        <v>114797</v>
      </c>
      <c r="J117" s="51">
        <f>SUMIFS('Monthly Data'!$AT:$AT,'Monthly Data'!$B:$B,'Summary Tables'!J$138,'Monthly Data'!$C:$C,12)</f>
        <v>116444</v>
      </c>
      <c r="K117" s="51">
        <f>SUMIFS('Monthly Data'!$AT:$AT,'Monthly Data'!$B:$B,'Summary Tables'!K$138,'Monthly Data'!$C:$C,12)</f>
        <v>118313</v>
      </c>
      <c r="L117" s="51">
        <f>SUMIFS('Customer Count'!$C:$C,'Customer Count'!$A:$A,L$138,'Customer Count'!$B:$B,"Dec")</f>
        <v>119413</v>
      </c>
      <c r="M117" s="51">
        <f ca="1">SUMIFS('Customer Count'!$C:$C,'Customer Count'!$A:$A,M$138,'Customer Count'!$B:$B,"Dec")</f>
        <v>121308.1567895999</v>
      </c>
      <c r="N117" s="51">
        <f ca="1">SUMIFS('Customer Count'!$C:$C,'Customer Count'!$A:$A,N$138,'Customer Count'!$B:$B,"Dec")</f>
        <v>123082.82527850592</v>
      </c>
      <c r="O117" s="51">
        <f ca="1">SUMIFS('Customer Count'!$C:$C,'Customer Count'!$A:$A,O$138,'Customer Count'!$B:$B,"Dec")</f>
        <v>124952.61762123945</v>
      </c>
      <c r="P117" s="51">
        <f ca="1">SUMIFS('Customer Count'!$C:$C,'Customer Count'!$A:$A,P$138,'Customer Count'!$B:$B,"Dec")</f>
        <v>126911.19527089095</v>
      </c>
      <c r="Q117" s="51">
        <f ca="1">SUMIFS('Customer Count'!$C:$C,'Customer Count'!$A:$A,Q$138,'Customer Count'!$B:$B,"Dec")</f>
        <v>128940.47940118739</v>
      </c>
      <c r="R117" s="59">
        <f ca="1">SUMIFS('Customer Count'!$C:$C,'Customer Count'!$A:$A,R$138,'Customer Count'!$B:$B,"Dec")</f>
        <v>130783.73096965205</v>
      </c>
    </row>
    <row r="118" spans="2:18" ht="13">
      <c r="B118" s="58" t="str">
        <f t="shared" ref="B118:B125" si="39">B94</f>
        <v>Residential Seasonal</v>
      </c>
      <c r="C118" s="51">
        <f>SUMIFS('Monthly Data'!$AU:$AU,'Monthly Data'!$B:$B,'Summary Tables'!C$138,'Monthly Data'!$C:$C,12)</f>
        <v>1583</v>
      </c>
      <c r="D118" s="51">
        <f>SUMIFS('Monthly Data'!$AU:$AU,'Monthly Data'!$B:$B,'Summary Tables'!D$138,'Monthly Data'!$C:$C,12)</f>
        <v>1572</v>
      </c>
      <c r="E118" s="51">
        <f>SUMIFS('Monthly Data'!$AU:$AU,'Monthly Data'!$B:$B,'Summary Tables'!E$138,'Monthly Data'!$C:$C,12)</f>
        <v>1570</v>
      </c>
      <c r="F118" s="51">
        <f>SUMIFS('Monthly Data'!$AU:$AU,'Monthly Data'!$B:$B,'Summary Tables'!F$138,'Monthly Data'!$C:$C,12)</f>
        <v>1561</v>
      </c>
      <c r="G118" s="51">
        <f>SUMIFS('Monthly Data'!$AU:$AU,'Monthly Data'!$B:$B,'Summary Tables'!G$138,'Monthly Data'!$C:$C,12)</f>
        <v>1561</v>
      </c>
      <c r="H118" s="51">
        <f>SUMIFS('Monthly Data'!$AU:$AU,'Monthly Data'!$B:$B,'Summary Tables'!H$138,'Monthly Data'!$C:$C,12)</f>
        <v>1557</v>
      </c>
      <c r="I118" s="51">
        <f>SUMIFS('Monthly Data'!$AU:$AU,'Monthly Data'!$B:$B,'Summary Tables'!I$138,'Monthly Data'!$C:$C,12)</f>
        <v>1561</v>
      </c>
      <c r="J118" s="51">
        <f>SUMIFS('Monthly Data'!$AU:$AU,'Monthly Data'!$B:$B,'Summary Tables'!J$138,'Monthly Data'!$C:$C,12)</f>
        <v>1564</v>
      </c>
      <c r="K118" s="51">
        <f>SUMIFS('Monthly Data'!$AU:$AU,'Monthly Data'!$B:$B,'Summary Tables'!K$138,'Monthly Data'!$C:$C,12)</f>
        <v>1560</v>
      </c>
      <c r="L118" s="51">
        <f>SUMIFS('Customer Count'!$G:$G,'Customer Count'!$A:$A,L$138,'Customer Count'!$B:$B,"Dec")</f>
        <v>1548</v>
      </c>
      <c r="M118" s="51">
        <f>SUMIFS('Customer Count'!$G:$G,'Customer Count'!$A:$A,M$138,'Customer Count'!$B:$B,"Dec")</f>
        <v>1548.3393231419454</v>
      </c>
      <c r="N118" s="51">
        <f>SUMIFS('Customer Count'!$G:$G,'Customer Count'!$A:$A,N$138,'Customer Count'!$B:$B,"Dec")</f>
        <v>1544.8084910015937</v>
      </c>
      <c r="O118" s="51">
        <f>SUMIFS('Customer Count'!$G:$G,'Customer Count'!$A:$A,O$138,'Customer Count'!$B:$B,"Dec")</f>
        <v>1541.2857105689118</v>
      </c>
      <c r="P118" s="51">
        <f>SUMIFS('Customer Count'!$G:$G,'Customer Count'!$A:$A,P$138,'Customer Count'!$B:$B,"Dec")</f>
        <v>1537.7709634827897</v>
      </c>
      <c r="Q118" s="51">
        <f>SUMIFS('Customer Count'!$G:$G,'Customer Count'!$A:$A,Q$138,'Customer Count'!$B:$B,"Dec")</f>
        <v>1534.2642314239886</v>
      </c>
      <c r="R118" s="59">
        <f>SUMIFS('Customer Count'!$G:$G,'Customer Count'!$A:$A,R$138,'Customer Count'!$B:$B,"Dec")</f>
        <v>1530.7654961150442</v>
      </c>
    </row>
    <row r="119" spans="2:18" ht="13">
      <c r="B119" s="58" t="str">
        <f t="shared" si="39"/>
        <v>GS&lt;50</v>
      </c>
      <c r="C119" s="51">
        <f>SUMIFS('Monthly Data'!$AV:$AV,'Monthly Data'!$B:$B,'Summary Tables'!C$138,'Monthly Data'!$C:$C,12)</f>
        <v>8991</v>
      </c>
      <c r="D119" s="51">
        <f>SUMIFS('Monthly Data'!$AV:$AV,'Monthly Data'!$B:$B,'Summary Tables'!D$138,'Monthly Data'!$C:$C,12)</f>
        <v>9036</v>
      </c>
      <c r="E119" s="51">
        <f>SUMIFS('Monthly Data'!$AV:$AV,'Monthly Data'!$B:$B,'Summary Tables'!E$138,'Monthly Data'!$C:$C,12)</f>
        <v>9135</v>
      </c>
      <c r="F119" s="51">
        <f>SUMIFS('Monthly Data'!$AV:$AV,'Monthly Data'!$B:$B,'Summary Tables'!F$138,'Monthly Data'!$C:$C,12)</f>
        <v>9268</v>
      </c>
      <c r="G119" s="51">
        <f>SUMIFS('Monthly Data'!$AV:$AV,'Monthly Data'!$B:$B,'Summary Tables'!G$138,'Monthly Data'!$C:$C,12)</f>
        <v>9286</v>
      </c>
      <c r="H119" s="51">
        <f>SUMIFS('Monthly Data'!$AV:$AV,'Monthly Data'!$B:$B,'Summary Tables'!H$138,'Monthly Data'!$C:$C,12)</f>
        <v>9339</v>
      </c>
      <c r="I119" s="51">
        <f>SUMIFS('Monthly Data'!$AV:$AV,'Monthly Data'!$B:$B,'Summary Tables'!I$138,'Monthly Data'!$C:$C,12)</f>
        <v>9476</v>
      </c>
      <c r="J119" s="51">
        <f>SUMIFS('Monthly Data'!$AV:$AV,'Monthly Data'!$B:$B,'Summary Tables'!J$138,'Monthly Data'!$C:$C,12)</f>
        <v>9497</v>
      </c>
      <c r="K119" s="51">
        <f>SUMIFS('Monthly Data'!$AV:$AV,'Monthly Data'!$B:$B,'Summary Tables'!K$138,'Monthly Data'!$C:$C,12)</f>
        <v>9506</v>
      </c>
      <c r="L119" s="51">
        <f>SUMIFS('Customer Count'!$K:$K,'Customer Count'!$A:$A,L$138,'Customer Count'!$B:$B,"Dec")</f>
        <v>9505</v>
      </c>
      <c r="M119" s="51">
        <f>SUMIFS('Customer Count'!$K:$K,'Customer Count'!$A:$A,M$138,'Customer Count'!$B:$B,"Dec")</f>
        <v>9598.0077329717878</v>
      </c>
      <c r="N119" s="51">
        <f>SUMIFS('Customer Count'!$K:$K,'Customer Count'!$A:$A,N$138,'Customer Count'!$B:$B,"Dec")</f>
        <v>9662.026765937062</v>
      </c>
      <c r="O119" s="51">
        <f>SUMIFS('Customer Count'!$K:$K,'Customer Count'!$A:$A,O$138,'Customer Count'!$B:$B,"Dec")</f>
        <v>9726.4728079958768</v>
      </c>
      <c r="P119" s="51">
        <f>SUMIFS('Customer Count'!$K:$K,'Customer Count'!$A:$A,P$138,'Customer Count'!$B:$B,"Dec")</f>
        <v>9791.3487073131728</v>
      </c>
      <c r="Q119" s="51">
        <f>SUMIFS('Customer Count'!$K:$K,'Customer Count'!$A:$A,Q$138,'Customer Count'!$B:$B,"Dec")</f>
        <v>9856.6573310512704</v>
      </c>
      <c r="R119" s="59">
        <f>SUMIFS('Customer Count'!$K:$K,'Customer Count'!$A:$A,R$138,'Customer Count'!$B:$B,"Dec")</f>
        <v>9922.4015654965351</v>
      </c>
    </row>
    <row r="120" spans="2:18" ht="13">
      <c r="B120" s="58" t="str">
        <f t="shared" si="39"/>
        <v>GS 50 - 2,999</v>
      </c>
      <c r="C120" s="51">
        <f>SUMIFS('Monthly Data'!$AW:$AW,'Monthly Data'!$B:$B,'Summary Tables'!C$138,'Monthly Data'!$C:$C,12)</f>
        <v>1051</v>
      </c>
      <c r="D120" s="51">
        <f>SUMIFS('Monthly Data'!$AW:$AW,'Monthly Data'!$B:$B,'Summary Tables'!D$138,'Monthly Data'!$C:$C,12)</f>
        <v>1083</v>
      </c>
      <c r="E120" s="51">
        <f>SUMIFS('Monthly Data'!$AW:$AW,'Monthly Data'!$B:$B,'Summary Tables'!E$138,'Monthly Data'!$C:$C,12)</f>
        <v>1041</v>
      </c>
      <c r="F120" s="51">
        <f>SUMIFS('Monthly Data'!$AW:$AW,'Monthly Data'!$B:$B,'Summary Tables'!F$138,'Monthly Data'!$C:$C,12)</f>
        <v>1019</v>
      </c>
      <c r="G120" s="51">
        <f>SUMIFS('Monthly Data'!$AW:$AW,'Monthly Data'!$B:$B,'Summary Tables'!G$138,'Monthly Data'!$C:$C,12)</f>
        <v>1043</v>
      </c>
      <c r="H120" s="51">
        <f>SUMIFS('Monthly Data'!$AW:$AW,'Monthly Data'!$B:$B,'Summary Tables'!H$138,'Monthly Data'!$C:$C,12)</f>
        <v>1060</v>
      </c>
      <c r="I120" s="51">
        <f>SUMIFS('Monthly Data'!$AW:$AW,'Monthly Data'!$B:$B,'Summary Tables'!I$138,'Monthly Data'!$C:$C,12)</f>
        <v>1018</v>
      </c>
      <c r="J120" s="51">
        <f>SUMIFS('Monthly Data'!$AW:$AW,'Monthly Data'!$B:$B,'Summary Tables'!J$138,'Monthly Data'!$C:$C,12)</f>
        <v>1041</v>
      </c>
      <c r="K120" s="51">
        <f>SUMIFS('Monthly Data'!$AW:$AW,'Monthly Data'!$B:$B,'Summary Tables'!K$138,'Monthly Data'!$C:$C,12)</f>
        <v>1075</v>
      </c>
      <c r="L120" s="51">
        <f>SUMIFS('Customer Count'!$R:$R,'Customer Count'!$A:$A,L$138,'Customer Count'!$B:$B,"Dec")</f>
        <v>0</v>
      </c>
      <c r="M120" s="51">
        <f>SUMIFS('Customer Count'!$R:$R,'Customer Count'!$A:$A,M$138,'Customer Count'!$B:$B,"Dec")</f>
        <v>1100.7657407929687</v>
      </c>
      <c r="N120" s="51">
        <f>SUMIFS('Customer Count'!$R:$R,'Customer Count'!$A:$A,N$138,'Customer Count'!$B:$B,"Dec")</f>
        <v>1106.9933109150074</v>
      </c>
      <c r="O120" s="51">
        <f>SUMIFS('Customer Count'!$R:$R,'Customer Count'!$A:$A,O$138,'Customer Count'!$B:$B,"Dec")</f>
        <v>1111.5329176942846</v>
      </c>
      <c r="P120" s="51">
        <f>SUMIFS('Customer Count'!$R:$R,'Customer Count'!$A:$A,P$138,'Customer Count'!$B:$B,"Dec")</f>
        <v>1115.3846010696848</v>
      </c>
      <c r="Q120" s="51">
        <f>SUMIFS('Customer Count'!$R:$R,'Customer Count'!$A:$A,Q$138,'Customer Count'!$B:$B,"Dec")</f>
        <v>1119.0484011126202</v>
      </c>
      <c r="R120" s="59">
        <f>SUMIFS('Customer Count'!$R:$R,'Customer Count'!$A:$A,R$138,'Customer Count'!$B:$B,"Dec")</f>
        <v>1122.7243580274603</v>
      </c>
    </row>
    <row r="121" spans="2:18" ht="13">
      <c r="B121" s="58" t="str">
        <f t="shared" si="39"/>
        <v>GS 3,000 - 4,999</v>
      </c>
      <c r="C121" s="51">
        <f>SUMIFS('Monthly Data'!$AX:$AX,'Monthly Data'!$B:$B,'Summary Tables'!C$138,'Monthly Data'!$C:$C,12)</f>
        <v>5</v>
      </c>
      <c r="D121" s="51">
        <f>SUMIFS('Monthly Data'!$AX:$AX,'Monthly Data'!$B:$B,'Summary Tables'!D$138,'Monthly Data'!$C:$C,12)</f>
        <v>5</v>
      </c>
      <c r="E121" s="51">
        <f>SUMIFS('Monthly Data'!$AX:$AX,'Monthly Data'!$B:$B,'Summary Tables'!E$138,'Monthly Data'!$C:$C,12)</f>
        <v>4</v>
      </c>
      <c r="F121" s="51">
        <f>SUMIFS('Monthly Data'!$AX:$AX,'Monthly Data'!$B:$B,'Summary Tables'!F$138,'Monthly Data'!$C:$C,12)</f>
        <v>4</v>
      </c>
      <c r="G121" s="51">
        <f>SUMIFS('Monthly Data'!$AX:$AX,'Monthly Data'!$B:$B,'Summary Tables'!G$138,'Monthly Data'!$C:$C,12)</f>
        <v>5</v>
      </c>
      <c r="H121" s="51">
        <f>SUMIFS('Monthly Data'!$AX:$AX,'Monthly Data'!$B:$B,'Summary Tables'!H$138,'Monthly Data'!$C:$C,12)</f>
        <v>6</v>
      </c>
      <c r="I121" s="51">
        <f>SUMIFS('Monthly Data'!$AX:$AX,'Monthly Data'!$B:$B,'Summary Tables'!I$138,'Monthly Data'!$C:$C,12)</f>
        <v>5</v>
      </c>
      <c r="J121" s="51">
        <f>SUMIFS('Monthly Data'!$AX:$AX,'Monthly Data'!$B:$B,'Summary Tables'!J$138,'Monthly Data'!$C:$C,12)</f>
        <v>5</v>
      </c>
      <c r="K121" s="51">
        <f>SUMIFS('Monthly Data'!$AX:$AX,'Monthly Data'!$B:$B,'Summary Tables'!K$138,'Monthly Data'!$C:$C,12)</f>
        <v>5</v>
      </c>
      <c r="L121" s="51">
        <f>SUMIFS('Customer Count'!$X:$X,'Customer Count'!$A:$A,L$138,'Customer Count'!$B:$B,"Dec")</f>
        <v>0</v>
      </c>
      <c r="M121" s="51">
        <f>SUMIFS('Customer Count'!$X:$X,'Customer Count'!$A:$A,M$138,'Customer Count'!$B:$B,"Dec")</f>
        <v>7.5</v>
      </c>
      <c r="N121" s="51">
        <f>SUMIFS('Customer Count'!$X:$X,'Customer Count'!$A:$A,N$138,'Customer Count'!$B:$B,"Dec")</f>
        <v>8.6000000000000014</v>
      </c>
      <c r="O121" s="51">
        <f>SUMIFS('Customer Count'!$X:$X,'Customer Count'!$A:$A,O$138,'Customer Count'!$B:$B,"Dec")</f>
        <v>9.1999999999999993</v>
      </c>
      <c r="P121" s="51">
        <f>SUMIFS('Customer Count'!$X:$X,'Customer Count'!$A:$A,P$138,'Customer Count'!$B:$B,"Dec")</f>
        <v>9.3000000000000043</v>
      </c>
      <c r="Q121" s="51">
        <f>SUMIFS('Customer Count'!$X:$X,'Customer Count'!$A:$A,Q$138,'Customer Count'!$B:$B,"Dec")</f>
        <v>9.3000000000000043</v>
      </c>
      <c r="R121" s="59">
        <f>SUMIFS('Customer Count'!$X:$X,'Customer Count'!$A:$A,R$138,'Customer Count'!$B:$B,"Dec")</f>
        <v>9.3000000000000043</v>
      </c>
    </row>
    <row r="122" spans="2:18" ht="13">
      <c r="B122" s="58" t="str">
        <f t="shared" si="39"/>
        <v>Large Use</v>
      </c>
      <c r="C122" s="51">
        <f>SUMIFS('Monthly Data'!$AY:$AY,'Monthly Data'!$B:$B,'Summary Tables'!C$138,'Monthly Data'!$C:$C,12)</f>
        <v>3</v>
      </c>
      <c r="D122" s="51">
        <f>SUMIFS('Monthly Data'!$AY:$AY,'Monthly Data'!$B:$B,'Summary Tables'!D$138,'Monthly Data'!$C:$C,12)</f>
        <v>3</v>
      </c>
      <c r="E122" s="51">
        <f>SUMIFS('Monthly Data'!$AY:$AY,'Monthly Data'!$B:$B,'Summary Tables'!E$138,'Monthly Data'!$C:$C,12)</f>
        <v>4</v>
      </c>
      <c r="F122" s="51">
        <f>SUMIFS('Monthly Data'!$AY:$AY,'Monthly Data'!$B:$B,'Summary Tables'!F$138,'Monthly Data'!$C:$C,12)</f>
        <v>4</v>
      </c>
      <c r="G122" s="51">
        <f>SUMIFS('Monthly Data'!$AY:$AY,'Monthly Data'!$B:$B,'Summary Tables'!G$138,'Monthly Data'!$C:$C,12)</f>
        <v>4</v>
      </c>
      <c r="H122" s="51">
        <f>SUMIFS('Monthly Data'!$AY:$AY,'Monthly Data'!$B:$B,'Summary Tables'!H$138,'Monthly Data'!$C:$C,12)</f>
        <v>4</v>
      </c>
      <c r="I122" s="51">
        <f>SUMIFS('Monthly Data'!$AY:$AY,'Monthly Data'!$B:$B,'Summary Tables'!I$138,'Monthly Data'!$C:$C,12)</f>
        <v>4</v>
      </c>
      <c r="J122" s="51">
        <f>SUMIFS('Monthly Data'!$AY:$AY,'Monthly Data'!$B:$B,'Summary Tables'!J$138,'Monthly Data'!$C:$C,12)</f>
        <v>5</v>
      </c>
      <c r="K122" s="51">
        <f>SUMIFS('Monthly Data'!$AY:$AY,'Monthly Data'!$B:$B,'Summary Tables'!K$138,'Monthly Data'!$C:$C,12)</f>
        <v>5</v>
      </c>
      <c r="L122" s="51">
        <f>SUMIFS('Customer Count'!$AD:$AD,'Customer Count'!$A:$A,L$138,'Customer Count'!$B:$B,"Dec")</f>
        <v>0</v>
      </c>
      <c r="M122" s="51">
        <f>SUMIFS('Customer Count'!$AD:$AD,'Customer Count'!$A:$A,M$138,'Customer Count'!$B:$B,"Dec")</f>
        <v>5.375</v>
      </c>
      <c r="N122" s="51">
        <f>SUMIFS('Customer Count'!$AD:$AD,'Customer Count'!$A:$A,N$138,'Customer Count'!$B:$B,"Dec")</f>
        <v>5.875</v>
      </c>
      <c r="O122" s="51">
        <f>SUMIFS('Customer Count'!$AD:$AD,'Customer Count'!$A:$A,O$138,'Customer Count'!$B:$B,"Dec")</f>
        <v>5.9999999999999991</v>
      </c>
      <c r="P122" s="51">
        <f>SUMIFS('Customer Count'!$AD:$AD,'Customer Count'!$A:$A,P$138,'Customer Count'!$B:$B,"Dec")</f>
        <v>5.9999999999999991</v>
      </c>
      <c r="Q122" s="51">
        <f>SUMIFS('Customer Count'!$AD:$AD,'Customer Count'!$A:$A,Q$138,'Customer Count'!$B:$B,"Dec")</f>
        <v>5.9999999999999991</v>
      </c>
      <c r="R122" s="59">
        <f>SUMIFS('Customer Count'!$AD:$AD,'Customer Count'!$A:$A,R$138,'Customer Count'!$B:$B,"Dec")</f>
        <v>5.9999999999999991</v>
      </c>
    </row>
    <row r="123" spans="2:18" ht="13">
      <c r="B123" s="58" t="str">
        <f t="shared" si="39"/>
        <v>Street Light</v>
      </c>
      <c r="C123" s="51">
        <f>SUMIFS('Monthly Data'!$AZ:$AZ,'Monthly Data'!$B:$B,'Summary Tables'!C$138,'Monthly Data'!$C:$C,12)</f>
        <v>30116</v>
      </c>
      <c r="D123" s="51">
        <f>SUMIFS('Monthly Data'!$AZ:$AZ,'Monthly Data'!$B:$B,'Summary Tables'!D$138,'Monthly Data'!$C:$C,12)</f>
        <v>30662</v>
      </c>
      <c r="E123" s="51">
        <f>SUMIFS('Monthly Data'!$AZ:$AZ,'Monthly Data'!$B:$B,'Summary Tables'!E$138,'Monthly Data'!$C:$C,12)</f>
        <v>31097</v>
      </c>
      <c r="F123" s="51">
        <f>SUMIFS('Monthly Data'!$AZ:$AZ,'Monthly Data'!$B:$B,'Summary Tables'!F$138,'Monthly Data'!$C:$C,12)</f>
        <v>31182</v>
      </c>
      <c r="G123" s="51">
        <f>SUMIFS('Monthly Data'!$AZ:$AZ,'Monthly Data'!$B:$B,'Summary Tables'!G$138,'Monthly Data'!$C:$C,12)</f>
        <v>31612</v>
      </c>
      <c r="H123" s="51">
        <f>SUMIFS('Monthly Data'!$AZ:$AZ,'Monthly Data'!$B:$B,'Summary Tables'!H$138,'Monthly Data'!$C:$C,12)</f>
        <v>31736</v>
      </c>
      <c r="I123" s="51">
        <f>SUMIFS('Monthly Data'!$AZ:$AZ,'Monthly Data'!$B:$B,'Summary Tables'!I$138,'Monthly Data'!$C:$C,12)</f>
        <v>31845</v>
      </c>
      <c r="J123" s="51">
        <f>SUMIFS('Monthly Data'!$AZ:$AZ,'Monthly Data'!$B:$B,'Summary Tables'!J$138,'Monthly Data'!$C:$C,12)</f>
        <v>32374</v>
      </c>
      <c r="K123" s="51">
        <f>SUMIFS('Monthly Data'!$AZ:$AZ,'Monthly Data'!$B:$B,'Summary Tables'!K$138,'Monthly Data'!$C:$C,12)</f>
        <v>33008</v>
      </c>
      <c r="L123" s="51">
        <f>SUMIFS('Customer Count'!$AG:$AG,'Customer Count'!$A:$A,L$138,'Customer Count'!$B:$B,"Dec")</f>
        <v>33267</v>
      </c>
      <c r="M123" s="51">
        <f>SUMIFS('Customer Count'!$AG:$AG,'Customer Count'!$A:$A,M$138,'Customer Count'!$B:$B,"Dec")</f>
        <v>33682.769704521445</v>
      </c>
      <c r="N123" s="51">
        <f>SUMIFS('Customer Count'!$AG:$AG,'Customer Count'!$A:$A,N$138,'Customer Count'!$B:$B,"Dec")</f>
        <v>34054.452626278951</v>
      </c>
      <c r="O123" s="51">
        <f>SUMIFS('Customer Count'!$AG:$AG,'Customer Count'!$A:$A,O$138,'Customer Count'!$B:$B,"Dec")</f>
        <v>34430.236997992564</v>
      </c>
      <c r="P123" s="51">
        <f>SUMIFS('Customer Count'!$AG:$AG,'Customer Count'!$A:$A,P$138,'Customer Count'!$B:$B,"Dec")</f>
        <v>34810.168078378127</v>
      </c>
      <c r="Q123" s="51">
        <f>SUMIFS('Customer Count'!$AG:$AG,'Customer Count'!$A:$A,Q$138,'Customer Count'!$B:$B,"Dec")</f>
        <v>35194.291625572812</v>
      </c>
      <c r="R123" s="59">
        <f>SUMIFS('Customer Count'!$AG:$AG,'Customer Count'!$A:$A,R$138,'Customer Count'!$B:$B,"Dec")</f>
        <v>35582.65390264595</v>
      </c>
    </row>
    <row r="124" spans="2:18" ht="13">
      <c r="B124" s="58" t="str">
        <f t="shared" si="39"/>
        <v>Sentinel Light</v>
      </c>
      <c r="C124" s="51">
        <f>SUMIFS('Monthly Data'!$BA:$BA,'Monthly Data'!$B:$B,'Summary Tables'!C$138,'Monthly Data'!$C:$C,12)</f>
        <v>439</v>
      </c>
      <c r="D124" s="51">
        <f>SUMIFS('Monthly Data'!$BA:$BA,'Monthly Data'!$B:$B,'Summary Tables'!D$138,'Monthly Data'!$C:$C,12)</f>
        <v>439</v>
      </c>
      <c r="E124" s="51">
        <f>SUMIFS('Monthly Data'!$BA:$BA,'Monthly Data'!$B:$B,'Summary Tables'!E$138,'Monthly Data'!$C:$C,12)</f>
        <v>439</v>
      </c>
      <c r="F124" s="51">
        <f>SUMIFS('Monthly Data'!$BA:$BA,'Monthly Data'!$B:$B,'Summary Tables'!F$138,'Monthly Data'!$C:$C,12)</f>
        <v>260</v>
      </c>
      <c r="G124" s="51">
        <f>SUMIFS('Monthly Data'!$BA:$BA,'Monthly Data'!$B:$B,'Summary Tables'!G$138,'Monthly Data'!$C:$C,12)</f>
        <v>251</v>
      </c>
      <c r="H124" s="51">
        <f>SUMIFS('Monthly Data'!$BA:$BA,'Monthly Data'!$B:$B,'Summary Tables'!H$138,'Monthly Data'!$C:$C,12)</f>
        <v>247</v>
      </c>
      <c r="I124" s="51">
        <f>SUMIFS('Monthly Data'!$BA:$BA,'Monthly Data'!$B:$B,'Summary Tables'!I$138,'Monthly Data'!$C:$C,12)</f>
        <v>245</v>
      </c>
      <c r="J124" s="51">
        <f>SUMIFS('Monthly Data'!$BA:$BA,'Monthly Data'!$B:$B,'Summary Tables'!J$138,'Monthly Data'!$C:$C,12)</f>
        <v>241</v>
      </c>
      <c r="K124" s="51">
        <f>SUMIFS('Monthly Data'!$BA:$BA,'Monthly Data'!$B:$B,'Summary Tables'!K$138,'Monthly Data'!$C:$C,12)</f>
        <v>236</v>
      </c>
      <c r="L124" s="51">
        <f>SUMIFS('Customer Count'!$AK:$AK,'Customer Count'!$A:$A,L$138,'Customer Count'!$B:$B,"Dec")</f>
        <v>227</v>
      </c>
      <c r="M124" s="51">
        <f>SUMIFS('Customer Count'!$AK:$AK,'Customer Count'!$A:$A,M$138,'Customer Count'!$B:$B,"Dec")</f>
        <v>224.56378642206369</v>
      </c>
      <c r="N124" s="51">
        <f>SUMIFS('Customer Count'!$AK:$AK,'Customer Count'!$A:$A,N$138,'Customer Count'!$B:$B,"Dec")</f>
        <v>220.17018316345894</v>
      </c>
      <c r="O124" s="51">
        <f>SUMIFS('Customer Count'!$AK:$AK,'Customer Count'!$A:$A,O$138,'Customer Count'!$B:$B,"Dec")</f>
        <v>215.86254100259657</v>
      </c>
      <c r="P124" s="51">
        <f>SUMIFS('Customer Count'!$AK:$AK,'Customer Count'!$A:$A,P$138,'Customer Count'!$B:$B,"Dec")</f>
        <v>211.63917810570817</v>
      </c>
      <c r="Q124" s="51">
        <f>SUMIFS('Customer Count'!$AK:$AK,'Customer Count'!$A:$A,Q$138,'Customer Count'!$B:$B,"Dec")</f>
        <v>207.49844554419877</v>
      </c>
      <c r="R124" s="59">
        <f>SUMIFS('Customer Count'!$AK:$AK,'Customer Count'!$A:$A,R$138,'Customer Count'!$B:$B,"Dec")</f>
        <v>203.43872665085527</v>
      </c>
    </row>
    <row r="125" spans="2:18" ht="13">
      <c r="B125" s="58" t="str">
        <f t="shared" si="39"/>
        <v>USL</v>
      </c>
      <c r="C125" s="51">
        <f>SUMIFS('Monthly Data'!$BB:$BB,'Monthly Data'!$B:$B,'Summary Tables'!C$138,'Monthly Data'!$C:$C,12)</f>
        <v>831</v>
      </c>
      <c r="D125" s="51">
        <f>SUMIFS('Monthly Data'!$BB:$BB,'Monthly Data'!$B:$B,'Summary Tables'!D$138,'Monthly Data'!$C:$C,12)</f>
        <v>821</v>
      </c>
      <c r="E125" s="51">
        <f>SUMIFS('Monthly Data'!$BB:$BB,'Monthly Data'!$B:$B,'Summary Tables'!E$138,'Monthly Data'!$C:$C,12)</f>
        <v>815</v>
      </c>
      <c r="F125" s="51">
        <f>SUMIFS('Monthly Data'!$BB:$BB,'Monthly Data'!$B:$B,'Summary Tables'!F$138,'Monthly Data'!$C:$C,12)</f>
        <v>804</v>
      </c>
      <c r="G125" s="51">
        <f>SUMIFS('Monthly Data'!$BB:$BB,'Monthly Data'!$B:$B,'Summary Tables'!G$138,'Monthly Data'!$C:$C,12)</f>
        <v>800</v>
      </c>
      <c r="H125" s="51">
        <f>SUMIFS('Monthly Data'!$BB:$BB,'Monthly Data'!$B:$B,'Summary Tables'!H$138,'Monthly Data'!$C:$C,12)</f>
        <v>803</v>
      </c>
      <c r="I125" s="51">
        <f>SUMIFS('Monthly Data'!$BB:$BB,'Monthly Data'!$B:$B,'Summary Tables'!I$138,'Monthly Data'!$C:$C,12)</f>
        <v>799</v>
      </c>
      <c r="J125" s="51">
        <f>SUMIFS('Monthly Data'!$BB:$BB,'Monthly Data'!$B:$B,'Summary Tables'!J$138,'Monthly Data'!$C:$C,12)</f>
        <v>797</v>
      </c>
      <c r="K125" s="51">
        <f>SUMIFS('Monthly Data'!$BB:$BB,'Monthly Data'!$B:$B,'Summary Tables'!K$138,'Monthly Data'!$C:$C,12)</f>
        <v>747</v>
      </c>
      <c r="L125" s="51">
        <f>SUMIFS('Customer Count'!$AO:$AO,'Customer Count'!$A:$A,L$138,'Customer Count'!$B:$B,"Dec")</f>
        <v>799</v>
      </c>
      <c r="M125" s="51">
        <f>SUMIFS('Customer Count'!$AO:$AO,'Customer Count'!$A:$A,M$138,'Customer Count'!$B:$B,"Dec")</f>
        <v>792.17182009357361</v>
      </c>
      <c r="N125" s="51">
        <f>SUMIFS('Customer Count'!$AO:$AO,'Customer Count'!$A:$A,N$138,'Customer Count'!$B:$B,"Dec")</f>
        <v>785.40994512517386</v>
      </c>
      <c r="O125" s="51">
        <f>SUMIFS('Customer Count'!$AO:$AO,'Customer Count'!$A:$A,O$138,'Customer Count'!$B:$B,"Dec")</f>
        <v>778.69790456746318</v>
      </c>
      <c r="P125" s="51">
        <f>SUMIFS('Customer Count'!$AO:$AO,'Customer Count'!$A:$A,P$138,'Customer Count'!$B:$B,"Dec")</f>
        <v>772.04322448593177</v>
      </c>
      <c r="Q125" s="51">
        <f>SUMIFS('Customer Count'!$AO:$AO,'Customer Count'!$A:$A,Q$138,'Customer Count'!$B:$B,"Dec")</f>
        <v>765.44541468326963</v>
      </c>
      <c r="R125" s="59">
        <f>SUMIFS('Customer Count'!$AO:$AO,'Customer Count'!$A:$A,R$138,'Customer Count'!$B:$B,"Dec")</f>
        <v>758.90398915134699</v>
      </c>
    </row>
    <row r="126" spans="2:18" ht="13.5" thickBot="1">
      <c r="B126" s="57" t="s">
        <v>290</v>
      </c>
      <c r="C126" s="640">
        <f t="shared" ref="C126:D126" si="40">SUM(C117:C125)</f>
        <v>150919</v>
      </c>
      <c r="D126" s="640">
        <f t="shared" si="40"/>
        <v>152379</v>
      </c>
      <c r="E126" s="640">
        <f>SUM(E117:E125)</f>
        <v>154177</v>
      </c>
      <c r="F126" s="640">
        <f t="shared" ref="F126:K126" si="41">SUM(F117:F125)</f>
        <v>155815</v>
      </c>
      <c r="G126" s="640">
        <f t="shared" si="41"/>
        <v>157208</v>
      </c>
      <c r="H126" s="640">
        <f t="shared" si="41"/>
        <v>158161</v>
      </c>
      <c r="I126" s="640">
        <f t="shared" si="41"/>
        <v>159750</v>
      </c>
      <c r="J126" s="640">
        <f t="shared" si="41"/>
        <v>161968</v>
      </c>
      <c r="K126" s="641">
        <f t="shared" si="41"/>
        <v>164455</v>
      </c>
      <c r="L126" s="640">
        <f t="shared" ref="L126:R126" si="42">SUM(L117:L125)</f>
        <v>164759</v>
      </c>
      <c r="M126" s="641">
        <f t="shared" ca="1" si="42"/>
        <v>168267.64989754371</v>
      </c>
      <c r="N126" s="640">
        <f t="shared" ca="1" si="42"/>
        <v>170471.16160092715</v>
      </c>
      <c r="O126" s="641">
        <f t="shared" ca="1" si="42"/>
        <v>172771.90650106117</v>
      </c>
      <c r="P126" s="640">
        <f t="shared" ca="1" si="42"/>
        <v>175164.85002372638</v>
      </c>
      <c r="Q126" s="641">
        <f t="shared" ca="1" si="42"/>
        <v>177632.98485057551</v>
      </c>
      <c r="R126" s="50">
        <f t="shared" ca="1" si="42"/>
        <v>179919.91900773923</v>
      </c>
    </row>
    <row r="128" spans="2:18" ht="16" thickBot="1">
      <c r="B128" s="64" t="s">
        <v>870</v>
      </c>
      <c r="C128" s="64" t="s">
        <v>2</v>
      </c>
    </row>
    <row r="129" spans="2:18" ht="13">
      <c r="B129" s="63" t="s">
        <v>603</v>
      </c>
      <c r="C129" s="62" t="s">
        <v>856</v>
      </c>
      <c r="D129" s="62" t="s">
        <v>857</v>
      </c>
      <c r="E129" s="62" t="s">
        <v>858</v>
      </c>
      <c r="F129" s="62" t="s">
        <v>859</v>
      </c>
      <c r="G129" s="62" t="s">
        <v>860</v>
      </c>
      <c r="H129" s="62" t="s">
        <v>861</v>
      </c>
      <c r="I129" s="62" t="s">
        <v>862</v>
      </c>
      <c r="J129" s="62" t="s">
        <v>863</v>
      </c>
      <c r="K129" s="62" t="s">
        <v>4</v>
      </c>
      <c r="L129" s="62" t="s">
        <v>799</v>
      </c>
      <c r="M129" s="62" t="s">
        <v>6</v>
      </c>
      <c r="N129" s="62" t="s">
        <v>7</v>
      </c>
      <c r="O129" s="62" t="s">
        <v>8</v>
      </c>
      <c r="P129" s="62" t="s">
        <v>9</v>
      </c>
      <c r="Q129" s="62" t="s">
        <v>10</v>
      </c>
      <c r="R129" s="60" t="s">
        <v>11</v>
      </c>
    </row>
    <row r="130" spans="2:18" ht="13">
      <c r="B130" s="760" t="str">
        <f>B106</f>
        <v>Residential</v>
      </c>
      <c r="C130" s="51">
        <f>SUMIFS('Monthly Data'!$CG:$CG,'Monthly Data'!$B:$B,'Summary Tables'!C$138,'Monthly Data'!$C:$C,12)</f>
        <v>39588</v>
      </c>
      <c r="D130" s="51">
        <f>SUMIFS('Monthly Data'!$CG:$CG,'Monthly Data'!$B:$B,'Summary Tables'!D$138,'Monthly Data'!$C:$C,12)</f>
        <v>39890</v>
      </c>
      <c r="E130" s="51">
        <f>SUMIFS('Monthly Data'!$CG:$CG,'Monthly Data'!$B:$B,'Summary Tables'!E$138,'Monthly Data'!$C:$C,12)</f>
        <v>40272</v>
      </c>
      <c r="F130" s="51">
        <f>SUMIFS('Monthly Data'!$CG:$CG,'Monthly Data'!$B:$B,'Summary Tables'!F$138,'Monthly Data'!$C:$C,12)</f>
        <v>41437</v>
      </c>
      <c r="G130" s="51">
        <f>SUMIFS('Monthly Data'!$CG:$CG,'Monthly Data'!$B:$B,'Summary Tables'!G$138,'Monthly Data'!$C:$C,12)</f>
        <v>42256</v>
      </c>
      <c r="H130" s="51">
        <f>SUMIFS('Monthly Data'!$CG:$CG,'Monthly Data'!$B:$B,'Summary Tables'!H$138,'Monthly Data'!$C:$C,12)</f>
        <v>43441</v>
      </c>
      <c r="I130" s="51">
        <f>SUMIFS('Monthly Data'!$CG:$CG,'Monthly Data'!$B:$B,'Summary Tables'!I$138,'Monthly Data'!$C:$C,12)</f>
        <v>44498</v>
      </c>
      <c r="J130" s="51">
        <f>SUMIFS('Monthly Data'!$CG:$CG,'Monthly Data'!$B:$B,'Summary Tables'!J$138,'Monthly Data'!$C:$C,12)</f>
        <v>45324</v>
      </c>
      <c r="K130" s="51">
        <f>SUMIFS('Monthly Data'!$CG:$CG,'Monthly Data'!$B:$B,'Summary Tables'!K$138,'Monthly Data'!$C:$C,12)</f>
        <v>45687</v>
      </c>
      <c r="L130" s="51">
        <f>SUMIFS('Customer Count'!$AT:$AT,'Customer Count'!$A:$A,L$138,'Customer Count'!$B:$B,"Dec")</f>
        <v>46023</v>
      </c>
      <c r="M130" s="51">
        <f ca="1">SUMIFS('Customer Count'!$AT:$AT,'Customer Count'!$A:$A,M$138,'Customer Count'!$B:$B,"Dec")</f>
        <v>46787.897014396425</v>
      </c>
      <c r="N130" s="51">
        <f ca="1">SUMIFS('Customer Count'!$AT:$AT,'Customer Count'!$A:$A,N$138,'Customer Count'!$B:$B,"Dec")</f>
        <v>47490.840123945687</v>
      </c>
      <c r="O130" s="51">
        <f ca="1">SUMIFS('Customer Count'!$AT:$AT,'Customer Count'!$A:$A,O$138,'Customer Count'!$B:$B,"Dec")</f>
        <v>48279.313342785936</v>
      </c>
      <c r="P130" s="51">
        <f ca="1">SUMIFS('Customer Count'!$AT:$AT,'Customer Count'!$A:$A,P$138,'Customer Count'!$B:$B,"Dec")</f>
        <v>49140.20725896403</v>
      </c>
      <c r="Q130" s="51">
        <f ca="1">SUMIFS('Customer Count'!$AT:$AT,'Customer Count'!$A:$A,Q$138,'Customer Count'!$B:$B,"Dec")</f>
        <v>50010.528331034082</v>
      </c>
      <c r="R130" s="59">
        <f ca="1">SUMIFS('Customer Count'!$AT:$AT,'Customer Count'!$A:$A,R$138,'Customer Count'!$B:$B,"Dec")</f>
        <v>50755.221718274661</v>
      </c>
    </row>
    <row r="131" spans="2:18" ht="13">
      <c r="B131" s="58" t="str">
        <f t="shared" ref="B131:B136" si="43">B107</f>
        <v>GS&lt;50</v>
      </c>
      <c r="C131" s="51">
        <f>SUMIFS('Monthly Data'!$CH:$CH,'Monthly Data'!$B:$B,'Summary Tables'!C$138,'Monthly Data'!$C:$C,12)</f>
        <v>2220</v>
      </c>
      <c r="D131" s="51">
        <f>SUMIFS('Monthly Data'!$CH:$CH,'Monthly Data'!$B:$B,'Summary Tables'!D$138,'Monthly Data'!$C:$C,12)</f>
        <v>2238</v>
      </c>
      <c r="E131" s="51">
        <f>SUMIFS('Monthly Data'!$CH:$CH,'Monthly Data'!$B:$B,'Summary Tables'!E$138,'Monthly Data'!$C:$C,12)</f>
        <v>2254</v>
      </c>
      <c r="F131" s="51">
        <f>SUMIFS('Monthly Data'!$CH:$CH,'Monthly Data'!$B:$B,'Summary Tables'!F$138,'Monthly Data'!$C:$C,12)</f>
        <v>2267</v>
      </c>
      <c r="G131" s="51">
        <f>SUMIFS('Monthly Data'!$CH:$CH,'Monthly Data'!$B:$B,'Summary Tables'!G$138,'Monthly Data'!$C:$C,12)</f>
        <v>2299</v>
      </c>
      <c r="H131" s="51">
        <f>SUMIFS('Monthly Data'!$CH:$CH,'Monthly Data'!$B:$B,'Summary Tables'!H$138,'Monthly Data'!$C:$C,12)</f>
        <v>2350</v>
      </c>
      <c r="I131" s="51">
        <f>SUMIFS('Monthly Data'!$CH:$CH,'Monthly Data'!$B:$B,'Summary Tables'!I$138,'Monthly Data'!$C:$C,12)</f>
        <v>2412</v>
      </c>
      <c r="J131" s="51">
        <f>SUMIFS('Monthly Data'!$CH:$CH,'Monthly Data'!$B:$B,'Summary Tables'!J$138,'Monthly Data'!$C:$C,12)</f>
        <v>2455</v>
      </c>
      <c r="K131" s="51">
        <f>SUMIFS('Monthly Data'!$CH:$CH,'Monthly Data'!$B:$B,'Summary Tables'!K$138,'Monthly Data'!$C:$C,12)</f>
        <v>2473</v>
      </c>
      <c r="L131" s="51">
        <f>SUMIFS('Customer Count'!$AX:$AX,'Customer Count'!$A:$A,L$138,'Customer Count'!$B:$B,"Dec")</f>
        <v>2473</v>
      </c>
      <c r="M131" s="51">
        <f>SUMIFS('Customer Count'!$AX:$AX,'Customer Count'!$A:$A,M$138,'Customer Count'!$B:$B,"Dec")</f>
        <v>2520.0697283949044</v>
      </c>
      <c r="N131" s="51">
        <f>SUMIFS('Customer Count'!$AX:$AX,'Customer Count'!$A:$A,N$138,'Customer Count'!$B:$B,"Dec")</f>
        <v>2552.8815527503798</v>
      </c>
      <c r="O131" s="51">
        <f>SUMIFS('Customer Count'!$AX:$AX,'Customer Count'!$A:$A,O$138,'Customer Count'!$B:$B,"Dec")</f>
        <v>2586.1205937837908</v>
      </c>
      <c r="P131" s="51">
        <f>SUMIFS('Customer Count'!$AX:$AX,'Customer Count'!$A:$A,P$138,'Customer Count'!$B:$B,"Dec")</f>
        <v>2619.7924139438464</v>
      </c>
      <c r="Q131" s="51">
        <f>SUMIFS('Customer Count'!$AX:$AX,'Customer Count'!$A:$A,Q$138,'Customer Count'!$B:$B,"Dec")</f>
        <v>2653.9026481034698</v>
      </c>
      <c r="R131" s="59">
        <f>SUMIFS('Customer Count'!$AX:$AX,'Customer Count'!$A:$A,R$138,'Customer Count'!$B:$B,"Dec")</f>
        <v>2688.4570045027931</v>
      </c>
    </row>
    <row r="132" spans="2:18" ht="13">
      <c r="B132" s="58" t="str">
        <f t="shared" si="43"/>
        <v>GS 50 - 2,999</v>
      </c>
      <c r="C132" s="51">
        <f>SUMIFS('Monthly Data'!$CI:$CI,'Monthly Data'!$B:$B,'Summary Tables'!C$138,'Monthly Data'!$C:$C,12)</f>
        <v>368</v>
      </c>
      <c r="D132" s="51">
        <f>SUMIFS('Monthly Data'!$CI:$CI,'Monthly Data'!$B:$B,'Summary Tables'!D$138,'Monthly Data'!$C:$C,12)</f>
        <v>368</v>
      </c>
      <c r="E132" s="51">
        <f>SUMIFS('Monthly Data'!$CI:$CI,'Monthly Data'!$B:$B,'Summary Tables'!E$138,'Monthly Data'!$C:$C,12)</f>
        <v>377</v>
      </c>
      <c r="F132" s="51">
        <f>SUMIFS('Monthly Data'!$CI:$CI,'Monthly Data'!$B:$B,'Summary Tables'!F$138,'Monthly Data'!$C:$C,12)</f>
        <v>377</v>
      </c>
      <c r="G132" s="51">
        <f>SUMIFS('Monthly Data'!$CI:$CI,'Monthly Data'!$B:$B,'Summary Tables'!G$138,'Monthly Data'!$C:$C,12)</f>
        <v>386</v>
      </c>
      <c r="H132" s="51">
        <f>SUMIFS('Monthly Data'!$CI:$CI,'Monthly Data'!$B:$B,'Summary Tables'!H$138,'Monthly Data'!$C:$C,12)</f>
        <v>395</v>
      </c>
      <c r="I132" s="51">
        <f>SUMIFS('Monthly Data'!$CI:$CI,'Monthly Data'!$B:$B,'Summary Tables'!I$138,'Monthly Data'!$C:$C,12)</f>
        <v>379</v>
      </c>
      <c r="J132" s="51">
        <f>SUMIFS('Monthly Data'!$CI:$CI,'Monthly Data'!$B:$B,'Summary Tables'!J$138,'Monthly Data'!$C:$C,12)</f>
        <v>387</v>
      </c>
      <c r="K132" s="51">
        <f>SUMIFS('Monthly Data'!$CI:$CI,'Monthly Data'!$B:$B,'Summary Tables'!K$138,'Monthly Data'!$C:$C,12)</f>
        <v>390</v>
      </c>
      <c r="L132" s="51">
        <f>SUMIFS('Customer Count'!$BE:$BE,'Customer Count'!$A:$A,L$138,'Customer Count'!$B:$B,"Dec")</f>
        <v>0</v>
      </c>
      <c r="M132" s="51">
        <f>SUMIFS('Customer Count'!$BE:$BE,'Customer Count'!$A:$A,M$138,'Customer Count'!$B:$B,"Dec")</f>
        <v>407.93089672277199</v>
      </c>
      <c r="N132" s="51">
        <f>SUMIFS('Customer Count'!$BE:$BE,'Customer Count'!$A:$A,N$138,'Customer Count'!$B:$B,"Dec")</f>
        <v>415.25944574677527</v>
      </c>
      <c r="O132" s="51">
        <f>SUMIFS('Customer Count'!$BE:$BE,'Customer Count'!$A:$A,O$138,'Customer Count'!$B:$B,"Dec")</f>
        <v>420.29270228851766</v>
      </c>
      <c r="P132" s="51">
        <f>SUMIFS('Customer Count'!$BE:$BE,'Customer Count'!$A:$A,P$138,'Customer Count'!$B:$B,"Dec")</f>
        <v>424.88092189283196</v>
      </c>
      <c r="Q132" s="51">
        <f>SUMIFS('Customer Count'!$BE:$BE,'Customer Count'!$A:$A,Q$138,'Customer Count'!$B:$B,"Dec")</f>
        <v>429.64936230275566</v>
      </c>
      <c r="R132" s="59">
        <f>SUMIFS('Customer Count'!$BE:$BE,'Customer Count'!$A:$A,R$138,'Customer Count'!$B:$B,"Dec")</f>
        <v>434.29828347843704</v>
      </c>
    </row>
    <row r="133" spans="2:18" ht="13">
      <c r="B133" s="58" t="str">
        <f t="shared" si="43"/>
        <v>GS 3,000 - 4,999</v>
      </c>
      <c r="C133" s="51">
        <f>SUMIFS('Monthly Data'!$CJ:$CJ,'Monthly Data'!$B:$B,'Summary Tables'!C$138,'Monthly Data'!$C:$C,12)</f>
        <v>2</v>
      </c>
      <c r="D133" s="51">
        <f>SUMIFS('Monthly Data'!$CJ:$CJ,'Monthly Data'!$B:$B,'Summary Tables'!D$138,'Monthly Data'!$C:$C,12)</f>
        <v>2</v>
      </c>
      <c r="E133" s="51">
        <f>SUMIFS('Monthly Data'!$CJ:$CJ,'Monthly Data'!$B:$B,'Summary Tables'!E$138,'Monthly Data'!$C:$C,12)</f>
        <v>3</v>
      </c>
      <c r="F133" s="51">
        <f>SUMIFS('Monthly Data'!$CJ:$CJ,'Monthly Data'!$B:$B,'Summary Tables'!F$138,'Monthly Data'!$C:$C,12)</f>
        <v>3</v>
      </c>
      <c r="G133" s="51">
        <f>SUMIFS('Monthly Data'!$CJ:$CJ,'Monthly Data'!$B:$B,'Summary Tables'!G$138,'Monthly Data'!$C:$C,12)</f>
        <v>3</v>
      </c>
      <c r="H133" s="51">
        <f>SUMIFS('Monthly Data'!$CJ:$CJ,'Monthly Data'!$B:$B,'Summary Tables'!H$138,'Monthly Data'!$C:$C,12)</f>
        <v>3</v>
      </c>
      <c r="I133" s="51">
        <f>SUMIFS('Monthly Data'!$CJ:$CJ,'Monthly Data'!$B:$B,'Summary Tables'!I$138,'Monthly Data'!$C:$C,12)</f>
        <v>3</v>
      </c>
      <c r="J133" s="51">
        <f>SUMIFS('Monthly Data'!$CJ:$CJ,'Monthly Data'!$B:$B,'Summary Tables'!J$138,'Monthly Data'!$C:$C,12)</f>
        <v>3</v>
      </c>
      <c r="K133" s="51">
        <f>SUMIFS('Monthly Data'!$CJ:$CJ,'Monthly Data'!$B:$B,'Summary Tables'!K$138,'Monthly Data'!$C:$C,12)</f>
        <v>3</v>
      </c>
      <c r="L133" s="51">
        <f>SUMIFS('Customer Count'!$BK:$BK,'Customer Count'!$A:$A,L$138,'Customer Count'!$B:$B,"Dec")</f>
        <v>0</v>
      </c>
      <c r="M133" s="51">
        <f>SUMIFS('Customer Count'!$BK:$BK,'Customer Count'!$A:$A,M$138,'Customer Count'!$B:$B,"Dec")</f>
        <v>5.125</v>
      </c>
      <c r="N133" s="51">
        <f>SUMIFS('Customer Count'!$BK:$BK,'Customer Count'!$A:$A,N$138,'Customer Count'!$B:$B,"Dec")</f>
        <v>5.875</v>
      </c>
      <c r="O133" s="51">
        <f>SUMIFS('Customer Count'!$BK:$BK,'Customer Count'!$A:$A,O$138,'Customer Count'!$B:$B,"Dec")</f>
        <v>5.9999999999999982</v>
      </c>
      <c r="P133" s="51">
        <f>SUMIFS('Customer Count'!$BK:$BK,'Customer Count'!$A:$A,P$138,'Customer Count'!$B:$B,"Dec")</f>
        <v>5.9999999999999982</v>
      </c>
      <c r="Q133" s="51">
        <f>SUMIFS('Customer Count'!$BK:$BK,'Customer Count'!$A:$A,Q$138,'Customer Count'!$B:$B,"Dec")</f>
        <v>5.9999999999999982</v>
      </c>
      <c r="R133" s="59">
        <f>SUMIFS('Customer Count'!$BK:$BK,'Customer Count'!$A:$A,R$138,'Customer Count'!$B:$B,"Dec")</f>
        <v>5.9999999999999982</v>
      </c>
    </row>
    <row r="134" spans="2:18" ht="13">
      <c r="B134" s="58" t="str">
        <f t="shared" si="43"/>
        <v>Street Light</v>
      </c>
      <c r="C134" s="51">
        <f>SUMIFS('Monthly Data'!$CK:$CK,'Monthly Data'!$B:$B,'Summary Tables'!C$138,'Monthly Data'!$C:$C,12)</f>
        <v>11878</v>
      </c>
      <c r="D134" s="51">
        <f>SUMIFS('Monthly Data'!$CK:$CK,'Monthly Data'!$B:$B,'Summary Tables'!D$138,'Monthly Data'!$C:$C,12)</f>
        <v>11902</v>
      </c>
      <c r="E134" s="51">
        <f>SUMIFS('Monthly Data'!$CK:$CK,'Monthly Data'!$B:$B,'Summary Tables'!E$138,'Monthly Data'!$C:$C,12)</f>
        <v>12182</v>
      </c>
      <c r="F134" s="51">
        <f>SUMIFS('Monthly Data'!$CK:$CK,'Monthly Data'!$B:$B,'Summary Tables'!F$138,'Monthly Data'!$C:$C,12)</f>
        <v>12600</v>
      </c>
      <c r="G134" s="51">
        <f>SUMIFS('Monthly Data'!$CK:$CK,'Monthly Data'!$B:$B,'Summary Tables'!G$138,'Monthly Data'!$C:$C,12)</f>
        <v>12799</v>
      </c>
      <c r="H134" s="51">
        <f>SUMIFS('Monthly Data'!$CK:$CK,'Monthly Data'!$B:$B,'Summary Tables'!H$138,'Monthly Data'!$C:$C,12)</f>
        <v>13214</v>
      </c>
      <c r="I134" s="51">
        <f>SUMIFS('Monthly Data'!$CK:$CK,'Monthly Data'!$B:$B,'Summary Tables'!I$138,'Monthly Data'!$C:$C,12)</f>
        <v>13452</v>
      </c>
      <c r="J134" s="51">
        <f>SUMIFS('Monthly Data'!$CK:$CK,'Monthly Data'!$B:$B,'Summary Tables'!J$138,'Monthly Data'!$C:$C,12)</f>
        <v>13643</v>
      </c>
      <c r="K134" s="51">
        <f>SUMIFS('Monthly Data'!$CK:$CK,'Monthly Data'!$B:$B,'Summary Tables'!K$138,'Monthly Data'!$C:$C,12)</f>
        <v>13763</v>
      </c>
      <c r="L134" s="51">
        <f>SUMIFS('Customer Count'!$BN:$BN,'Customer Count'!$A:$A,L$138,'Customer Count'!$B:$B,"Dec")</f>
        <v>13932</v>
      </c>
      <c r="M134" s="51">
        <f>SUMIFS('Customer Count'!$BN:$BN,'Customer Count'!$A:$A,M$138,'Customer Count'!$B:$B,"Dec")</f>
        <v>14208.239132768709</v>
      </c>
      <c r="N134" s="51">
        <f>SUMIFS('Customer Count'!$BN:$BN,'Customer Count'!$A:$A,N$138,'Customer Count'!$B:$B,"Dec")</f>
        <v>14456.120841799073</v>
      </c>
      <c r="O134" s="51">
        <f>SUMIFS('Customer Count'!$BN:$BN,'Customer Count'!$A:$A,O$138,'Customer Count'!$B:$B,"Dec")</f>
        <v>14708.327178328849</v>
      </c>
      <c r="P134" s="51">
        <f>SUMIFS('Customer Count'!$BN:$BN,'Customer Count'!$A:$A,P$138,'Customer Count'!$B:$B,"Dec")</f>
        <v>14964.933591260995</v>
      </c>
      <c r="Q134" s="51">
        <f>SUMIFS('Customer Count'!$BN:$BN,'Customer Count'!$A:$A,Q$138,'Customer Count'!$B:$B,"Dec")</f>
        <v>15226.016845805345</v>
      </c>
      <c r="R134" s="59">
        <f>SUMIFS('Customer Count'!$BN:$BN,'Customer Count'!$A:$A,R$138,'Customer Count'!$B:$B,"Dec")</f>
        <v>15491.655046443362</v>
      </c>
    </row>
    <row r="135" spans="2:18" ht="13">
      <c r="B135" s="58" t="str">
        <f t="shared" si="43"/>
        <v>Sentinel Light</v>
      </c>
      <c r="C135" s="51">
        <f>SUMIFS('Monthly Data'!$CL:$CL,'Monthly Data'!$B:$B,'Summary Tables'!C$138,'Monthly Data'!$C:$C,12)</f>
        <v>39</v>
      </c>
      <c r="D135" s="51">
        <f>SUMIFS('Monthly Data'!$CL:$CL,'Monthly Data'!$B:$B,'Summary Tables'!D$138,'Monthly Data'!$C:$C,12)</f>
        <v>38</v>
      </c>
      <c r="E135" s="51">
        <f>SUMIFS('Monthly Data'!$CL:$CL,'Monthly Data'!$B:$B,'Summary Tables'!E$138,'Monthly Data'!$C:$C,12)</f>
        <v>37</v>
      </c>
      <c r="F135" s="51">
        <f>SUMIFS('Monthly Data'!$CL:$CL,'Monthly Data'!$B:$B,'Summary Tables'!F$138,'Monthly Data'!$C:$C,12)</f>
        <v>37</v>
      </c>
      <c r="G135" s="51">
        <f>SUMIFS('Monthly Data'!$CL:$CL,'Monthly Data'!$B:$B,'Summary Tables'!G$138,'Monthly Data'!$C:$C,12)</f>
        <v>37</v>
      </c>
      <c r="H135" s="51">
        <f>SUMIFS('Monthly Data'!$CL:$CL,'Monthly Data'!$B:$B,'Summary Tables'!H$138,'Monthly Data'!$C:$C,12)</f>
        <v>47</v>
      </c>
      <c r="I135" s="51">
        <f>SUMIFS('Monthly Data'!$CL:$CL,'Monthly Data'!$B:$B,'Summary Tables'!I$138,'Monthly Data'!$C:$C,12)</f>
        <v>46</v>
      </c>
      <c r="J135" s="51">
        <f>SUMIFS('Monthly Data'!$CL:$CL,'Monthly Data'!$B:$B,'Summary Tables'!J$138,'Monthly Data'!$C:$C,12)</f>
        <v>46</v>
      </c>
      <c r="K135" s="51">
        <f>SUMIFS('Monthly Data'!$CL:$CL,'Monthly Data'!$B:$B,'Summary Tables'!K$138,'Monthly Data'!$C:$C,12)</f>
        <v>45</v>
      </c>
      <c r="L135" s="51">
        <f>SUMIFS('Customer Count'!$BR:$BR,'Customer Count'!$A:$A,L$138,'Customer Count'!$B:$B,"Dec")</f>
        <v>44</v>
      </c>
      <c r="M135" s="51">
        <f>SUMIFS('Customer Count'!$BR:$BR,'Customer Count'!$A:$A,M$138,'Customer Count'!$B:$B,"Dec")</f>
        <v>45.411518177024291</v>
      </c>
      <c r="N135" s="51">
        <f>SUMIFS('Customer Count'!$BR:$BR,'Customer Count'!$A:$A,N$138,'Customer Count'!$B:$B,"Dec")</f>
        <v>46.077294785183597</v>
      </c>
      <c r="O135" s="51">
        <f>SUMIFS('Customer Count'!$BR:$BR,'Customer Count'!$A:$A,O$138,'Customer Count'!$B:$B,"Dec")</f>
        <v>46.752832319860374</v>
      </c>
      <c r="P135" s="51">
        <f>SUMIFS('Customer Count'!$BR:$BR,'Customer Count'!$A:$A,P$138,'Customer Count'!$B:$B,"Dec")</f>
        <v>47.438273885641507</v>
      </c>
      <c r="Q135" s="51">
        <f>SUMIFS('Customer Count'!$BR:$BR,'Customer Count'!$A:$A,Q$138,'Customer Count'!$B:$B,"Dec")</f>
        <v>48.133764685165005</v>
      </c>
      <c r="R135" s="59">
        <f>SUMIFS('Customer Count'!$BR:$BR,'Customer Count'!$A:$A,R$138,'Customer Count'!$B:$B,"Dec")</f>
        <v>48.839452049879476</v>
      </c>
    </row>
    <row r="136" spans="2:18" ht="13">
      <c r="B136" s="58" t="str">
        <f t="shared" si="43"/>
        <v>USL</v>
      </c>
      <c r="C136" s="51">
        <f>SUMIFS('Monthly Data'!$CM:$CM,'Monthly Data'!$B:$B,'Summary Tables'!C$138,'Monthly Data'!$C:$C,12)</f>
        <v>369</v>
      </c>
      <c r="D136" s="51">
        <f>SUMIFS('Monthly Data'!$CM:$CM,'Monthly Data'!$B:$B,'Summary Tables'!D$138,'Monthly Data'!$C:$C,12)</f>
        <v>372</v>
      </c>
      <c r="E136" s="51">
        <f>SUMIFS('Monthly Data'!$CM:$CM,'Monthly Data'!$B:$B,'Summary Tables'!E$138,'Monthly Data'!$C:$C,12)</f>
        <v>381</v>
      </c>
      <c r="F136" s="51">
        <f>SUMIFS('Monthly Data'!$CM:$CM,'Monthly Data'!$B:$B,'Summary Tables'!F$138,'Monthly Data'!$C:$C,12)</f>
        <v>387</v>
      </c>
      <c r="G136" s="51">
        <f>SUMIFS('Monthly Data'!$CM:$CM,'Monthly Data'!$B:$B,'Summary Tables'!G$138,'Monthly Data'!$C:$C,12)</f>
        <v>391</v>
      </c>
      <c r="H136" s="51">
        <f>SUMIFS('Monthly Data'!$CM:$CM,'Monthly Data'!$B:$B,'Summary Tables'!H$138,'Monthly Data'!$C:$C,12)</f>
        <v>392</v>
      </c>
      <c r="I136" s="51">
        <f>SUMIFS('Monthly Data'!$CM:$CM,'Monthly Data'!$B:$B,'Summary Tables'!I$138,'Monthly Data'!$C:$C,12)</f>
        <v>394</v>
      </c>
      <c r="J136" s="51">
        <f>SUMIFS('Monthly Data'!$CM:$CM,'Monthly Data'!$B:$B,'Summary Tables'!J$138,'Monthly Data'!$C:$C,12)</f>
        <v>406</v>
      </c>
      <c r="K136" s="51">
        <f>SUMIFS('Monthly Data'!$CM:$CM,'Monthly Data'!$B:$B,'Summary Tables'!K$138,'Monthly Data'!$C:$C,12)</f>
        <v>388</v>
      </c>
      <c r="L136" s="51">
        <f>SUMIFS('Customer Count'!$BV:$BV,'Customer Count'!$A:$A,L$138,'Customer Count'!$B:$B,"Dec")</f>
        <v>392</v>
      </c>
      <c r="M136" s="51">
        <f>SUMIFS('Customer Count'!$BV:$BV,'Customer Count'!$A:$A,M$138,'Customer Count'!$B:$B,"Dec")</f>
        <v>393.15538265047775</v>
      </c>
      <c r="N136" s="51">
        <f>SUMIFS('Customer Count'!$BV:$BV,'Customer Count'!$A:$A,N$138,'Customer Count'!$B:$B,"Dec")</f>
        <v>395.21917894674556</v>
      </c>
      <c r="O136" s="51">
        <f>SUMIFS('Customer Count'!$BV:$BV,'Customer Count'!$A:$A,O$138,'Customer Count'!$B:$B,"Dec")</f>
        <v>397.29380875907475</v>
      </c>
      <c r="P136" s="51">
        <f>SUMIFS('Customer Count'!$BV:$BV,'Customer Count'!$A:$A,P$138,'Customer Count'!$B:$B,"Dec")</f>
        <v>399.37932895599914</v>
      </c>
      <c r="Q136" s="51">
        <f>SUMIFS('Customer Count'!$BV:$BV,'Customer Count'!$A:$A,Q$138,'Customer Count'!$B:$B,"Dec")</f>
        <v>401.47579670457412</v>
      </c>
      <c r="R136" s="59">
        <f>SUMIFS('Customer Count'!$BV:$BV,'Customer Count'!$A:$A,R$138,'Customer Count'!$B:$B,"Dec")</f>
        <v>403.58326947194217</v>
      </c>
    </row>
    <row r="137" spans="2:18" ht="13.5" thickBot="1">
      <c r="B137" s="57" t="s">
        <v>290</v>
      </c>
      <c r="C137" s="640">
        <f t="shared" ref="C137:K137" si="44">SUM(C130:C136)</f>
        <v>54464</v>
      </c>
      <c r="D137" s="640">
        <f t="shared" si="44"/>
        <v>54810</v>
      </c>
      <c r="E137" s="640">
        <f t="shared" si="44"/>
        <v>55506</v>
      </c>
      <c r="F137" s="640">
        <f t="shared" si="44"/>
        <v>57108</v>
      </c>
      <c r="G137" s="640">
        <f t="shared" si="44"/>
        <v>58171</v>
      </c>
      <c r="H137" s="640">
        <f t="shared" si="44"/>
        <v>59842</v>
      </c>
      <c r="I137" s="640">
        <f t="shared" si="44"/>
        <v>61184</v>
      </c>
      <c r="J137" s="640">
        <f t="shared" si="44"/>
        <v>62264</v>
      </c>
      <c r="K137" s="641">
        <f t="shared" si="44"/>
        <v>62749</v>
      </c>
      <c r="L137" s="640">
        <f t="shared" ref="L137:R137" si="45">SUM(L130:L136)</f>
        <v>62864</v>
      </c>
      <c r="M137" s="641">
        <f t="shared" ca="1" si="45"/>
        <v>64367.828673110307</v>
      </c>
      <c r="N137" s="640">
        <f t="shared" ca="1" si="45"/>
        <v>65362.273437973847</v>
      </c>
      <c r="O137" s="641">
        <f t="shared" ca="1" si="45"/>
        <v>66444.100458266024</v>
      </c>
      <c r="P137" s="640">
        <f t="shared" ca="1" si="45"/>
        <v>67602.631788903338</v>
      </c>
      <c r="Q137" s="641">
        <f t="shared" ca="1" si="45"/>
        <v>68775.706748635377</v>
      </c>
      <c r="R137" s="50">
        <f t="shared" ca="1" si="45"/>
        <v>69828.054774221077</v>
      </c>
    </row>
    <row r="138" spans="2:18" hidden="1">
      <c r="C138" s="85">
        <v>2016</v>
      </c>
      <c r="D138" s="85">
        <f t="shared" ref="D138:K138" si="46">C138+1</f>
        <v>2017</v>
      </c>
      <c r="E138" s="85">
        <f t="shared" si="46"/>
        <v>2018</v>
      </c>
      <c r="F138" s="85">
        <f t="shared" si="46"/>
        <v>2019</v>
      </c>
      <c r="G138" s="85">
        <f t="shared" si="46"/>
        <v>2020</v>
      </c>
      <c r="H138" s="85">
        <f t="shared" si="46"/>
        <v>2021</v>
      </c>
      <c r="I138" s="85">
        <f t="shared" si="46"/>
        <v>2022</v>
      </c>
      <c r="J138" s="85">
        <f t="shared" si="46"/>
        <v>2023</v>
      </c>
      <c r="K138" s="85">
        <f t="shared" si="46"/>
        <v>2024</v>
      </c>
      <c r="L138" s="85">
        <f t="shared" ref="L138:R138" si="47">K138+1</f>
        <v>2025</v>
      </c>
      <c r="M138" s="85">
        <f t="shared" si="47"/>
        <v>2026</v>
      </c>
      <c r="N138" s="85">
        <f t="shared" si="47"/>
        <v>2027</v>
      </c>
      <c r="O138" s="85">
        <f t="shared" si="47"/>
        <v>2028</v>
      </c>
      <c r="P138" s="85">
        <f t="shared" si="47"/>
        <v>2029</v>
      </c>
      <c r="Q138" s="85">
        <f t="shared" si="47"/>
        <v>2030</v>
      </c>
      <c r="R138" s="85">
        <f t="shared" si="47"/>
        <v>2031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3723A-1E72-46E4-8B97-280489CD10FA}">
  <sheetPr codeName="Sheet8"/>
  <dimension ref="A1:AJ203"/>
  <sheetViews>
    <sheetView topLeftCell="S1" workbookViewId="0">
      <selection activeCell="C191" sqref="C191"/>
    </sheetView>
  </sheetViews>
  <sheetFormatPr defaultColWidth="8.81640625" defaultRowHeight="14.5"/>
  <cols>
    <col min="1" max="1" width="12" style="12" bestFit="1" customWidth="1"/>
    <col min="2" max="2" width="10.81640625" style="12" customWidth="1"/>
    <col min="3" max="3" width="11.81640625" style="12" customWidth="1"/>
    <col min="4" max="4" width="10.81640625" style="12" customWidth="1"/>
    <col min="5" max="8" width="12.54296875" style="205" customWidth="1"/>
    <col min="9" max="12" width="12.54296875" style="12" customWidth="1"/>
    <col min="13" max="13" width="10.453125" style="12" bestFit="1" customWidth="1"/>
    <col min="14" max="14" width="10.81640625" style="12" bestFit="1" customWidth="1"/>
    <col min="15" max="15" width="12.54296875" style="12" customWidth="1"/>
    <col min="16" max="16" width="10.1796875" style="12" bestFit="1" customWidth="1"/>
    <col min="17" max="17" width="12.54296875" style="205" customWidth="1"/>
    <col min="18" max="18" width="10.453125" style="12" bestFit="1" customWidth="1"/>
    <col min="19" max="19" width="8.81640625" style="12"/>
    <col min="20" max="20" width="12.81640625" style="12" bestFit="1" customWidth="1"/>
    <col min="21" max="21" width="12.81640625" style="12" customWidth="1"/>
    <col min="22" max="22" width="8.81640625" style="12" bestFit="1" customWidth="1"/>
    <col min="23" max="23" width="12.1796875" style="12" customWidth="1"/>
    <col min="24" max="24" width="11.1796875" style="12" customWidth="1"/>
    <col min="25" max="25" width="11.81640625" style="12" bestFit="1" customWidth="1"/>
    <col min="26" max="26" width="13" style="12" bestFit="1" customWidth="1"/>
    <col min="27" max="27" width="11.1796875" style="12" customWidth="1"/>
    <col min="28" max="28" width="11.1796875" style="12" bestFit="1" customWidth="1"/>
    <col min="29" max="29" width="11.1796875" style="12" customWidth="1"/>
    <col min="30" max="30" width="8.81640625" style="12" bestFit="1" customWidth="1"/>
    <col min="31" max="31" width="10.1796875" style="12" bestFit="1" customWidth="1"/>
    <col min="32" max="32" width="11.1796875" style="12" bestFit="1" customWidth="1"/>
    <col min="33" max="33" width="10.1796875" style="12" bestFit="1" customWidth="1"/>
    <col min="34" max="34" width="11.1796875" style="12" bestFit="1" customWidth="1"/>
    <col min="35" max="35" width="11.1796875" style="12" customWidth="1"/>
    <col min="36" max="36" width="10.1796875" style="12" bestFit="1" customWidth="1"/>
    <col min="37" max="16384" width="8.81640625" style="12"/>
  </cols>
  <sheetData>
    <row r="1" spans="1:36">
      <c r="C1" s="203">
        <v>0.9886759004337472</v>
      </c>
      <c r="D1" s="203">
        <v>1.1324099566252009E-2</v>
      </c>
      <c r="N1" s="211">
        <v>0.81644506112053161</v>
      </c>
      <c r="O1" s="211">
        <v>0.18355493887946875</v>
      </c>
    </row>
    <row r="3" spans="1:36" ht="43.5">
      <c r="A3" s="210" t="s">
        <v>273</v>
      </c>
      <c r="B3" s="210" t="s">
        <v>274</v>
      </c>
      <c r="C3" s="204" t="s">
        <v>275</v>
      </c>
      <c r="D3" s="204" t="s">
        <v>276</v>
      </c>
      <c r="E3" s="204" t="s">
        <v>277</v>
      </c>
      <c r="F3" s="204" t="s">
        <v>278</v>
      </c>
      <c r="G3" s="204" t="s">
        <v>279</v>
      </c>
      <c r="H3" s="204" t="s">
        <v>280</v>
      </c>
      <c r="I3" s="215" t="s">
        <v>281</v>
      </c>
      <c r="J3" s="215" t="s">
        <v>282</v>
      </c>
      <c r="K3" s="215" t="s">
        <v>283</v>
      </c>
      <c r="L3" s="215" t="s">
        <v>284</v>
      </c>
      <c r="M3" s="215" t="s">
        <v>285</v>
      </c>
      <c r="N3" s="215" t="s">
        <v>286</v>
      </c>
      <c r="O3" s="215" t="s">
        <v>287</v>
      </c>
      <c r="P3" s="215" t="s">
        <v>288</v>
      </c>
      <c r="Q3" s="204" t="s">
        <v>275</v>
      </c>
      <c r="R3" s="215" t="s">
        <v>289</v>
      </c>
      <c r="W3" s="209" t="str">
        <f t="shared" ref="W3:X3" si="0">C3</f>
        <v>Residential - VRZ</v>
      </c>
      <c r="X3" s="209" t="str">
        <f t="shared" si="0"/>
        <v>Residential Seasonal - VRZ</v>
      </c>
      <c r="Y3" s="209" t="str">
        <f t="shared" ref="Y3:AJ3" si="1">E3</f>
        <v>GS&lt;50 kW - VRZ</v>
      </c>
      <c r="Z3" s="209" t="str">
        <f t="shared" si="1"/>
        <v>GS 50 to 2,999 kW - VRZ</v>
      </c>
      <c r="AA3" s="209" t="str">
        <f t="shared" si="1"/>
        <v>GS 3,000 to 4,999 kW - VRZ</v>
      </c>
      <c r="AB3" s="209" t="str">
        <f t="shared" si="1"/>
        <v>Large Use - VRZ</v>
      </c>
      <c r="AC3" s="209" t="str">
        <f t="shared" si="1"/>
        <v>Unmetered Scattered Load - VRZ</v>
      </c>
      <c r="AD3" s="209" t="str">
        <f t="shared" si="1"/>
        <v>Sentinel Lighting - VRZ</v>
      </c>
      <c r="AE3" s="209" t="str">
        <f t="shared" si="1"/>
        <v>Street Lighting - VRZ</v>
      </c>
      <c r="AF3" s="209" t="str">
        <f t="shared" si="1"/>
        <v>Residential - WRZ</v>
      </c>
      <c r="AG3" s="209" t="str">
        <f t="shared" si="1"/>
        <v>GS&lt;50 kW - WRZ</v>
      </c>
      <c r="AH3" s="209" t="str">
        <f t="shared" si="1"/>
        <v>GS 50-2,999 kw - WRZ</v>
      </c>
      <c r="AI3" s="209" t="str">
        <f t="shared" si="1"/>
        <v>GS 3,000-4,999 kw - WRZ</v>
      </c>
      <c r="AJ3" s="209" t="str">
        <f t="shared" si="1"/>
        <v>Street Lighting - WRZ</v>
      </c>
    </row>
    <row r="4" spans="1:36">
      <c r="A4" s="12">
        <v>2014</v>
      </c>
      <c r="B4" s="12">
        <v>2014</v>
      </c>
      <c r="C4" s="206">
        <f>Q4*$C$1</f>
        <v>5253851.812575357</v>
      </c>
      <c r="D4" s="206">
        <f>Q4*$D$1</f>
        <v>60176.586691185163</v>
      </c>
      <c r="E4" s="213">
        <v>2486973.74383632</v>
      </c>
      <c r="F4" s="213">
        <v>9993641.5490281526</v>
      </c>
      <c r="G4" s="213">
        <v>8368.6769465878078</v>
      </c>
      <c r="H4" s="213">
        <v>1907305.7529377537</v>
      </c>
      <c r="I4" s="214">
        <v>0</v>
      </c>
      <c r="J4" s="214">
        <v>0</v>
      </c>
      <c r="K4" s="214">
        <v>542916.24946442863</v>
      </c>
      <c r="L4" s="214">
        <v>1989634.2830184824</v>
      </c>
      <c r="M4" s="214">
        <v>779547.71539999999</v>
      </c>
      <c r="N4" s="214">
        <f t="shared" ref="N4:N21" si="2">R4*$N$1</f>
        <v>1978774.1946478384</v>
      </c>
      <c r="O4" s="214">
        <f t="shared" ref="O4:O21" si="3">R4*$O$1</f>
        <v>444872.28063620167</v>
      </c>
      <c r="P4" s="214">
        <v>0</v>
      </c>
      <c r="Q4" s="213">
        <v>5314028.3992665466</v>
      </c>
      <c r="R4" s="214">
        <v>2423646.475284039</v>
      </c>
      <c r="U4" s="208"/>
      <c r="V4" s="12">
        <v>2014</v>
      </c>
      <c r="W4" s="214">
        <f>SUMIF($B$4:$B$203,$V4,C$4:C$203)-SUMIF($A$4:$A$203,$V4,C$4:C$203)/2</f>
        <v>2626925.9062876785</v>
      </c>
      <c r="X4" s="214">
        <f t="shared" ref="X4:AJ19" si="4">SUMIF($B$4:$B$203,$V4,D$4:D$203)-SUMIF($A$4:$A$203,$V4,D$4:D$203)/2</f>
        <v>30088.293345592581</v>
      </c>
      <c r="Y4" s="214">
        <f t="shared" si="4"/>
        <v>1243486.87191816</v>
      </c>
      <c r="Z4" s="214">
        <f t="shared" si="4"/>
        <v>4996820.7745140763</v>
      </c>
      <c r="AA4" s="214">
        <f t="shared" si="4"/>
        <v>4184.3384732939039</v>
      </c>
      <c r="AB4" s="214">
        <f t="shared" si="4"/>
        <v>953652.87646887684</v>
      </c>
      <c r="AC4" s="214">
        <f t="shared" si="4"/>
        <v>0</v>
      </c>
      <c r="AD4" s="214">
        <f t="shared" si="4"/>
        <v>0</v>
      </c>
      <c r="AE4" s="214">
        <f t="shared" si="4"/>
        <v>271458.12473221432</v>
      </c>
      <c r="AF4" s="214">
        <f t="shared" si="4"/>
        <v>994817.14150924119</v>
      </c>
      <c r="AG4" s="214">
        <f t="shared" si="4"/>
        <v>389773.85769999999</v>
      </c>
      <c r="AH4" s="214">
        <f t="shared" si="4"/>
        <v>989387.09732391918</v>
      </c>
      <c r="AI4" s="214">
        <f t="shared" si="4"/>
        <v>222436.14031810084</v>
      </c>
      <c r="AJ4" s="214">
        <f t="shared" si="4"/>
        <v>0</v>
      </c>
    </row>
    <row r="5" spans="1:36">
      <c r="B5" s="12">
        <v>2015</v>
      </c>
      <c r="C5" s="206">
        <f t="shared" ref="C5:C18" si="5">Q5*$C$1</f>
        <v>4827245.3263962818</v>
      </c>
      <c r="D5" s="206">
        <f t="shared" ref="D5:D18" si="6">Q5*$D$1</f>
        <v>55290.319793224604</v>
      </c>
      <c r="E5" s="213">
        <v>2441545.8345938167</v>
      </c>
      <c r="F5" s="213">
        <v>9981567.3322351854</v>
      </c>
      <c r="G5" s="213">
        <v>8362.6049968653915</v>
      </c>
      <c r="H5" s="213">
        <v>1907131.6470079748</v>
      </c>
      <c r="I5" s="214">
        <v>0</v>
      </c>
      <c r="J5" s="214">
        <v>0</v>
      </c>
      <c r="K5" s="214">
        <v>542916.24946442863</v>
      </c>
      <c r="L5" s="214">
        <v>1831712.7198884825</v>
      </c>
      <c r="M5" s="214">
        <v>776206.79709999997</v>
      </c>
      <c r="N5" s="214">
        <f t="shared" si="2"/>
        <v>2423653.3860113015</v>
      </c>
      <c r="O5" s="214">
        <f t="shared" si="3"/>
        <v>544890.97958869929</v>
      </c>
      <c r="P5" s="214">
        <v>0</v>
      </c>
      <c r="Q5" s="213">
        <v>4882535.6461895099</v>
      </c>
      <c r="R5" s="214">
        <v>2968544.3655999997</v>
      </c>
      <c r="U5" s="208"/>
      <c r="V5" s="12">
        <f t="shared" ref="V5:V21" si="7">V4+1</f>
        <v>2015</v>
      </c>
      <c r="W5" s="214">
        <f>SUMIF($B$4:$B$203,$V5,C$4:C$203)-SUMIF($A$4:$A$203,$V5,C$4:C$203)/2</f>
        <v>7706952.6761553641</v>
      </c>
      <c r="X5" s="214">
        <f t="shared" si="4"/>
        <v>88273.922140599505</v>
      </c>
      <c r="Y5" s="214">
        <f t="shared" si="4"/>
        <v>3862662.0457551135</v>
      </c>
      <c r="Z5" s="214">
        <f t="shared" si="4"/>
        <v>14434995.112896938</v>
      </c>
      <c r="AA5" s="214">
        <f t="shared" si="4"/>
        <v>147172.11075544692</v>
      </c>
      <c r="AB5" s="214">
        <f t="shared" si="4"/>
        <v>4341138.7283844277</v>
      </c>
      <c r="AC5" s="214">
        <f t="shared" si="4"/>
        <v>567.34755482945684</v>
      </c>
      <c r="AD5" s="214">
        <f t="shared" si="4"/>
        <v>0</v>
      </c>
      <c r="AE5" s="214">
        <f t="shared" si="4"/>
        <v>542916.24946442863</v>
      </c>
      <c r="AF5" s="214">
        <f t="shared" si="4"/>
        <v>3115752.2198884822</v>
      </c>
      <c r="AG5" s="214">
        <f t="shared" si="4"/>
        <v>1102210.2957640002</v>
      </c>
      <c r="AH5" s="214">
        <f t="shared" si="4"/>
        <v>3381318.542222091</v>
      </c>
      <c r="AI5" s="214">
        <f t="shared" si="4"/>
        <v>760195.32471390977</v>
      </c>
      <c r="AJ5" s="214">
        <f t="shared" si="4"/>
        <v>751290</v>
      </c>
    </row>
    <row r="6" spans="1:36">
      <c r="B6" s="12">
        <v>2016</v>
      </c>
      <c r="C6" s="206">
        <f t="shared" si="5"/>
        <v>4573978.4016057346</v>
      </c>
      <c r="D6" s="206">
        <f t="shared" si="6"/>
        <v>52389.450183771827</v>
      </c>
      <c r="E6" s="213">
        <v>2317588.3940786729</v>
      </c>
      <c r="F6" s="213">
        <v>9794236.4899596684</v>
      </c>
      <c r="G6" s="213">
        <v>8362.6049968653915</v>
      </c>
      <c r="H6" s="213">
        <v>730159.7230037679</v>
      </c>
      <c r="I6" s="214">
        <v>0</v>
      </c>
      <c r="J6" s="214">
        <v>0</v>
      </c>
      <c r="K6" s="214">
        <v>542916.24946442863</v>
      </c>
      <c r="L6" s="214">
        <v>1741252.6426584825</v>
      </c>
      <c r="M6" s="214">
        <v>675991.29859999998</v>
      </c>
      <c r="N6" s="214">
        <f t="shared" si="2"/>
        <v>2423653.3860113015</v>
      </c>
      <c r="O6" s="214">
        <f t="shared" si="3"/>
        <v>544890.97958869929</v>
      </c>
      <c r="P6" s="214">
        <v>0</v>
      </c>
      <c r="Q6" s="213">
        <v>4626367.8517895099</v>
      </c>
      <c r="R6" s="214">
        <v>2968544.3655999997</v>
      </c>
      <c r="U6" s="208"/>
      <c r="V6" s="12">
        <f t="shared" si="7"/>
        <v>2016</v>
      </c>
      <c r="W6" s="214">
        <f t="shared" ref="W6:W21" si="8">SUMIF($B$4:$B$203,$V6,C$4:C$203)-SUMIF($A$4:$A$203,$V6,C$4:C$203)/2</f>
        <v>15668447.662871409</v>
      </c>
      <c r="X6" s="214">
        <f t="shared" si="4"/>
        <v>179463.32190874958</v>
      </c>
      <c r="Y6" s="214">
        <f t="shared" si="4"/>
        <v>6266003.6809074264</v>
      </c>
      <c r="Z6" s="214">
        <f t="shared" si="4"/>
        <v>22146619.607547037</v>
      </c>
      <c r="AA6" s="214">
        <f t="shared" si="4"/>
        <v>498549.66246977245</v>
      </c>
      <c r="AB6" s="214">
        <f t="shared" si="4"/>
        <v>7128817.1578657236</v>
      </c>
      <c r="AC6" s="214">
        <f t="shared" si="4"/>
        <v>2519.3026226227612</v>
      </c>
      <c r="AD6" s="214">
        <f t="shared" si="4"/>
        <v>0</v>
      </c>
      <c r="AE6" s="214">
        <f t="shared" si="4"/>
        <v>547447.72962889867</v>
      </c>
      <c r="AF6" s="214">
        <f t="shared" si="4"/>
        <v>7827292.6426584832</v>
      </c>
      <c r="AG6" s="214">
        <f t="shared" si="4"/>
        <v>1385622.372852949</v>
      </c>
      <c r="AH6" s="214">
        <f t="shared" si="4"/>
        <v>5095617.3960494809</v>
      </c>
      <c r="AI6" s="214">
        <f t="shared" si="4"/>
        <v>1145607.6890235953</v>
      </c>
      <c r="AJ6" s="214">
        <f t="shared" si="4"/>
        <v>2671278.7368490696</v>
      </c>
    </row>
    <row r="7" spans="1:36">
      <c r="B7" s="12">
        <v>2017</v>
      </c>
      <c r="C7" s="206">
        <f t="shared" si="5"/>
        <v>4556786.7957492564</v>
      </c>
      <c r="D7" s="206">
        <f t="shared" si="6"/>
        <v>52192.540907094699</v>
      </c>
      <c r="E7" s="213">
        <v>1864696.0579415413</v>
      </c>
      <c r="F7" s="213">
        <v>9563380.0709978733</v>
      </c>
      <c r="G7" s="213">
        <v>8203.3373755542543</v>
      </c>
      <c r="H7" s="213">
        <v>697309.67215681775</v>
      </c>
      <c r="I7" s="214">
        <v>0</v>
      </c>
      <c r="J7" s="214">
        <v>0</v>
      </c>
      <c r="K7" s="214">
        <v>542916.24946442863</v>
      </c>
      <c r="L7" s="214">
        <v>1736678.2603252823</v>
      </c>
      <c r="M7" s="214">
        <v>565228.73970000003</v>
      </c>
      <c r="N7" s="214">
        <f t="shared" si="2"/>
        <v>2401290.2544609029</v>
      </c>
      <c r="O7" s="214">
        <f t="shared" si="3"/>
        <v>539863.25213909813</v>
      </c>
      <c r="P7" s="214">
        <v>0</v>
      </c>
      <c r="Q7" s="213">
        <v>4608979.3366563544</v>
      </c>
      <c r="R7" s="214">
        <v>2941153.5066</v>
      </c>
      <c r="U7" s="208"/>
      <c r="V7" s="12">
        <f t="shared" si="7"/>
        <v>2017</v>
      </c>
      <c r="W7" s="214">
        <f t="shared" si="8"/>
        <v>33039525.220143013</v>
      </c>
      <c r="X7" s="214">
        <f t="shared" si="4"/>
        <v>378428.23219464702</v>
      </c>
      <c r="Y7" s="214">
        <f t="shared" si="4"/>
        <v>8395441.8564269301</v>
      </c>
      <c r="Z7" s="214">
        <f t="shared" si="4"/>
        <v>31009573.568779044</v>
      </c>
      <c r="AA7" s="214">
        <f t="shared" si="4"/>
        <v>1165452.6221753072</v>
      </c>
      <c r="AB7" s="214">
        <f t="shared" si="4"/>
        <v>9855831.7522191294</v>
      </c>
      <c r="AC7" s="214">
        <f t="shared" si="4"/>
        <v>3827.7541168842581</v>
      </c>
      <c r="AD7" s="214">
        <f t="shared" si="4"/>
        <v>0</v>
      </c>
      <c r="AE7" s="214">
        <f t="shared" si="4"/>
        <v>3111313.582697886</v>
      </c>
      <c r="AF7" s="214">
        <f t="shared" si="4"/>
        <v>17132013.012366951</v>
      </c>
      <c r="AG7" s="214">
        <f t="shared" si="4"/>
        <v>1654412.3870165935</v>
      </c>
      <c r="AH7" s="214">
        <f t="shared" si="4"/>
        <v>8610844.415497696</v>
      </c>
      <c r="AI7" s="214">
        <f t="shared" si="4"/>
        <v>1935908.6062913383</v>
      </c>
      <c r="AJ7" s="214">
        <f t="shared" si="4"/>
        <v>5663577.4736981392</v>
      </c>
    </row>
    <row r="8" spans="1:36">
      <c r="B8" s="12">
        <v>2018</v>
      </c>
      <c r="C8" s="206">
        <f>Q8*$C$1</f>
        <v>4439224.1244569765</v>
      </c>
      <c r="D8" s="206">
        <f>Q8*$D$1</f>
        <v>50846.00116196258</v>
      </c>
      <c r="E8" s="213">
        <v>1791263.2916290413</v>
      </c>
      <c r="F8" s="213">
        <v>9122783.4731228743</v>
      </c>
      <c r="G8" s="213">
        <v>8203.3373755542543</v>
      </c>
      <c r="H8" s="213">
        <v>623876.90584431775</v>
      </c>
      <c r="I8" s="214">
        <v>0</v>
      </c>
      <c r="J8" s="214">
        <v>0</v>
      </c>
      <c r="K8" s="214">
        <v>542916.24946442863</v>
      </c>
      <c r="L8" s="214">
        <v>1697879.5482394223</v>
      </c>
      <c r="M8" s="214">
        <v>565228.73970000003</v>
      </c>
      <c r="N8" s="214">
        <f t="shared" si="2"/>
        <v>2028244.2671968876</v>
      </c>
      <c r="O8" s="214">
        <f t="shared" si="3"/>
        <v>455994.24900311313</v>
      </c>
      <c r="P8" s="214">
        <v>0</v>
      </c>
      <c r="Q8" s="213">
        <v>4490070.125618943</v>
      </c>
      <c r="R8" s="214">
        <v>2484238.5162</v>
      </c>
      <c r="U8" s="208"/>
      <c r="V8" s="12">
        <f t="shared" si="7"/>
        <v>2018</v>
      </c>
      <c r="W8" s="214">
        <f t="shared" si="8"/>
        <v>42806369.44191689</v>
      </c>
      <c r="X8" s="214">
        <f t="shared" si="4"/>
        <v>490295.74749153887</v>
      </c>
      <c r="Y8" s="214">
        <f t="shared" si="4"/>
        <v>12035401.390313063</v>
      </c>
      <c r="Z8" s="214">
        <f t="shared" si="4"/>
        <v>42215473.979362331</v>
      </c>
      <c r="AA8" s="214">
        <f t="shared" si="4"/>
        <v>1987430.9185984107</v>
      </c>
      <c r="AB8" s="214">
        <f t="shared" si="4"/>
        <v>16245528.999497304</v>
      </c>
      <c r="AC8" s="214">
        <f t="shared" si="4"/>
        <v>3829.0404061916652</v>
      </c>
      <c r="AD8" s="214">
        <f t="shared" si="4"/>
        <v>0</v>
      </c>
      <c r="AE8" s="214">
        <f t="shared" si="4"/>
        <v>5670647.9556024037</v>
      </c>
      <c r="AF8" s="214">
        <f t="shared" si="4"/>
        <v>21750215.18349817</v>
      </c>
      <c r="AG8" s="214">
        <f t="shared" si="4"/>
        <v>2178865.286832728</v>
      </c>
      <c r="AH8" s="214">
        <f t="shared" si="4"/>
        <v>12569733.819180509</v>
      </c>
      <c r="AI8" s="214">
        <f t="shared" si="4"/>
        <v>2825954.6573094553</v>
      </c>
      <c r="AJ8" s="214">
        <f t="shared" si="4"/>
        <v>8302444.7937721824</v>
      </c>
    </row>
    <row r="9" spans="1:36">
      <c r="B9" s="12">
        <v>2019</v>
      </c>
      <c r="C9" s="206">
        <f t="shared" si="5"/>
        <v>4373345.1984063443</v>
      </c>
      <c r="D9" s="206">
        <f t="shared" si="6"/>
        <v>50091.436883023613</v>
      </c>
      <c r="E9" s="213">
        <v>1791263.2916290413</v>
      </c>
      <c r="F9" s="213">
        <v>9122783.4731228743</v>
      </c>
      <c r="G9" s="213">
        <v>8203.3373755542543</v>
      </c>
      <c r="H9" s="213">
        <v>623876.90584431775</v>
      </c>
      <c r="I9" s="214">
        <v>0</v>
      </c>
      <c r="J9" s="214">
        <v>0</v>
      </c>
      <c r="K9" s="214">
        <v>542916.24946442863</v>
      </c>
      <c r="L9" s="214">
        <v>1669269.865614</v>
      </c>
      <c r="M9" s="214">
        <v>565228.73970000003</v>
      </c>
      <c r="N9" s="214">
        <f t="shared" si="2"/>
        <v>2028244.2671968876</v>
      </c>
      <c r="O9" s="214">
        <f t="shared" si="3"/>
        <v>455994.24900311313</v>
      </c>
      <c r="P9" s="214">
        <v>0</v>
      </c>
      <c r="Q9" s="213">
        <v>4423436.635289371</v>
      </c>
      <c r="R9" s="214">
        <v>2484238.5162</v>
      </c>
      <c r="U9" s="208"/>
      <c r="V9" s="12">
        <f t="shared" si="7"/>
        <v>2019</v>
      </c>
      <c r="W9" s="214">
        <f t="shared" si="8"/>
        <v>45836334.722457312</v>
      </c>
      <c r="X9" s="214">
        <f t="shared" si="4"/>
        <v>525000.374664178</v>
      </c>
      <c r="Y9" s="214">
        <f t="shared" si="4"/>
        <v>15081361.218734965</v>
      </c>
      <c r="Z9" s="214">
        <f t="shared" si="4"/>
        <v>53160687.282865867</v>
      </c>
      <c r="AA9" s="214">
        <f t="shared" si="4"/>
        <v>2523293.7631115629</v>
      </c>
      <c r="AB9" s="214">
        <f t="shared" si="4"/>
        <v>18748905.302183963</v>
      </c>
      <c r="AC9" s="214">
        <f t="shared" si="4"/>
        <v>3829.0404061916652</v>
      </c>
      <c r="AD9" s="214">
        <f t="shared" si="4"/>
        <v>0</v>
      </c>
      <c r="AE9" s="214">
        <f t="shared" si="4"/>
        <v>7637209.4556024037</v>
      </c>
      <c r="AF9" s="214">
        <f t="shared" si="4"/>
        <v>23029344.909228727</v>
      </c>
      <c r="AG9" s="214">
        <f t="shared" si="4"/>
        <v>2473207.88925929</v>
      </c>
      <c r="AH9" s="214">
        <f t="shared" si="4"/>
        <v>18209134.962835405</v>
      </c>
      <c r="AI9" s="214">
        <f t="shared" si="4"/>
        <v>4093816.9808560037</v>
      </c>
      <c r="AJ9" s="214">
        <f t="shared" si="4"/>
        <v>9278538.0651391298</v>
      </c>
    </row>
    <row r="10" spans="1:36">
      <c r="B10" s="12">
        <v>2020</v>
      </c>
      <c r="C10" s="206">
        <f t="shared" si="5"/>
        <v>4363015.9042468518</v>
      </c>
      <c r="D10" s="206">
        <f t="shared" si="6"/>
        <v>49973.127176617425</v>
      </c>
      <c r="E10" s="213">
        <v>1741945.4915655174</v>
      </c>
      <c r="F10" s="213">
        <v>8680890.1676230002</v>
      </c>
      <c r="G10" s="213">
        <v>7814.8352333876592</v>
      </c>
      <c r="H10" s="213">
        <v>493580.82091294741</v>
      </c>
      <c r="I10" s="214">
        <v>0</v>
      </c>
      <c r="J10" s="214">
        <v>0</v>
      </c>
      <c r="K10" s="214">
        <v>542916.24946442863</v>
      </c>
      <c r="L10" s="214">
        <v>1668673.828614</v>
      </c>
      <c r="M10" s="214">
        <v>565228.73970000003</v>
      </c>
      <c r="N10" s="214">
        <f t="shared" si="2"/>
        <v>2001378.5195131348</v>
      </c>
      <c r="O10" s="214">
        <f t="shared" si="3"/>
        <v>449954.23368686577</v>
      </c>
      <c r="P10" s="214">
        <v>0</v>
      </c>
      <c r="Q10" s="213">
        <v>4412989.0314234728</v>
      </c>
      <c r="R10" s="214">
        <v>2451332.7531999997</v>
      </c>
      <c r="U10" s="208"/>
      <c r="V10" s="12">
        <f t="shared" si="7"/>
        <v>2020</v>
      </c>
      <c r="W10" s="214">
        <f t="shared" si="8"/>
        <v>45977943.062860571</v>
      </c>
      <c r="X10" s="214">
        <f t="shared" si="4"/>
        <v>526622.32878021803</v>
      </c>
      <c r="Y10" s="214">
        <f t="shared" si="4"/>
        <v>16208808.983902762</v>
      </c>
      <c r="Z10" s="214">
        <f t="shared" si="4"/>
        <v>58143132.380277865</v>
      </c>
      <c r="AA10" s="214">
        <f t="shared" si="4"/>
        <v>2728507.3357045609</v>
      </c>
      <c r="AB10" s="214">
        <f t="shared" si="4"/>
        <v>19533897.241536323</v>
      </c>
      <c r="AC10" s="214">
        <f t="shared" si="4"/>
        <v>3828.1805973082755</v>
      </c>
      <c r="AD10" s="214">
        <f t="shared" si="4"/>
        <v>0</v>
      </c>
      <c r="AE10" s="214">
        <f t="shared" si="4"/>
        <v>9603770.9556024037</v>
      </c>
      <c r="AF10" s="214">
        <f t="shared" si="4"/>
        <v>23039289.717194855</v>
      </c>
      <c r="AG10" s="214">
        <f t="shared" si="4"/>
        <v>2609960.8076858087</v>
      </c>
      <c r="AH10" s="214">
        <f t="shared" si="4"/>
        <v>22144913.056713156</v>
      </c>
      <c r="AI10" s="214">
        <f t="shared" si="4"/>
        <v>4978667.0973762516</v>
      </c>
      <c r="AJ10" s="214">
        <f t="shared" si="4"/>
        <v>9439364.016432032</v>
      </c>
    </row>
    <row r="11" spans="1:36">
      <c r="B11" s="12">
        <v>2021</v>
      </c>
      <c r="C11" s="206">
        <f t="shared" si="5"/>
        <v>4360729.4213725785</v>
      </c>
      <c r="D11" s="206">
        <f t="shared" si="6"/>
        <v>49946.938250890154</v>
      </c>
      <c r="E11" s="213">
        <v>1741945.4915655174</v>
      </c>
      <c r="F11" s="213">
        <v>8680890.1676230002</v>
      </c>
      <c r="G11" s="213">
        <v>7814.8352333876592</v>
      </c>
      <c r="H11" s="213">
        <v>493580.82091294741</v>
      </c>
      <c r="I11" s="214">
        <v>0</v>
      </c>
      <c r="J11" s="214">
        <v>0</v>
      </c>
      <c r="K11" s="214">
        <v>542916.24946442863</v>
      </c>
      <c r="L11" s="214">
        <v>1667829.1084140001</v>
      </c>
      <c r="M11" s="214">
        <v>563375.92220000003</v>
      </c>
      <c r="N11" s="214">
        <f t="shared" si="2"/>
        <v>2001378.5195131348</v>
      </c>
      <c r="O11" s="214">
        <f t="shared" si="3"/>
        <v>449954.23368686577</v>
      </c>
      <c r="P11" s="214">
        <v>0</v>
      </c>
      <c r="Q11" s="213">
        <v>4410676.3596234722</v>
      </c>
      <c r="R11" s="214">
        <v>2451332.7531999997</v>
      </c>
      <c r="U11" s="208"/>
      <c r="V11" s="12">
        <f t="shared" si="7"/>
        <v>2021</v>
      </c>
      <c r="W11" s="214">
        <f ca="1">SUMIF($B$4:$B$203,$V11,C$4:C$203)-SUMIF($A$4:$A$203,$V11,C$4:C$203)/2</f>
        <v>46124535.321949124</v>
      </c>
      <c r="X11" s="214">
        <f t="shared" ca="1" si="4"/>
        <v>528301.36772193038</v>
      </c>
      <c r="Y11" s="214">
        <f t="shared" ca="1" si="4"/>
        <v>16893318.332978338</v>
      </c>
      <c r="Z11" s="214">
        <f t="shared" ca="1" si="4"/>
        <v>63812465.250825219</v>
      </c>
      <c r="AA11" s="214">
        <f t="shared" ca="1" si="4"/>
        <v>2909148.9857156603</v>
      </c>
      <c r="AB11" s="214">
        <f t="shared" ca="1" si="4"/>
        <v>20653756.365170676</v>
      </c>
      <c r="AC11" s="214">
        <f t="shared" si="4"/>
        <v>3789.5619867027826</v>
      </c>
      <c r="AD11" s="214">
        <f t="shared" si="4"/>
        <v>0</v>
      </c>
      <c r="AE11" s="214">
        <f t="shared" si="4"/>
        <v>9603770.9556024037</v>
      </c>
      <c r="AF11" s="214">
        <f t="shared" ca="1" si="4"/>
        <v>20372488.849605791</v>
      </c>
      <c r="AG11" s="214">
        <f t="shared" ca="1" si="4"/>
        <v>2775508.3156735152</v>
      </c>
      <c r="AH11" s="214">
        <f t="shared" ca="1" si="4"/>
        <v>25642871.290475875</v>
      </c>
      <c r="AI11" s="214">
        <f t="shared" ca="1" si="4"/>
        <v>5765606.1777410153</v>
      </c>
      <c r="AJ11" s="214">
        <f t="shared" si="4"/>
        <v>9439364.016432032</v>
      </c>
    </row>
    <row r="12" spans="1:36">
      <c r="B12" s="12">
        <v>2022</v>
      </c>
      <c r="C12" s="206">
        <f t="shared" si="5"/>
        <v>4225266.1275576139</v>
      </c>
      <c r="D12" s="206">
        <f t="shared" si="6"/>
        <v>48395.36829145236</v>
      </c>
      <c r="E12" s="213">
        <v>1684379.0494615759</v>
      </c>
      <c r="F12" s="213">
        <v>8185440.8819895415</v>
      </c>
      <c r="G12" s="213">
        <v>7361.3542174971735</v>
      </c>
      <c r="H12" s="213">
        <v>480577.79264063993</v>
      </c>
      <c r="I12" s="214">
        <v>0</v>
      </c>
      <c r="J12" s="214">
        <v>0</v>
      </c>
      <c r="K12" s="214">
        <v>542916.24946442863</v>
      </c>
      <c r="L12" s="214">
        <v>1634276.9509140002</v>
      </c>
      <c r="M12" s="214">
        <v>563375.92220000003</v>
      </c>
      <c r="N12" s="214">
        <f t="shared" si="2"/>
        <v>1831462.9468856428</v>
      </c>
      <c r="O12" s="214">
        <f t="shared" si="3"/>
        <v>411753.44831435825</v>
      </c>
      <c r="P12" s="214">
        <v>0</v>
      </c>
      <c r="Q12" s="213">
        <v>4273661.4958490692</v>
      </c>
      <c r="R12" s="214">
        <v>2243216.3952000001</v>
      </c>
      <c r="U12" s="208"/>
      <c r="V12" s="12">
        <f t="shared" si="7"/>
        <v>2022</v>
      </c>
      <c r="W12" s="214">
        <f t="shared" ca="1" si="8"/>
        <v>46174752.589602843</v>
      </c>
      <c r="X12" s="214">
        <f t="shared" ca="1" si="4"/>
        <v>528876.54644187947</v>
      </c>
      <c r="Y12" s="214">
        <f t="shared" ca="1" si="4"/>
        <v>18222837.706879091</v>
      </c>
      <c r="Z12" s="214">
        <f t="shared" ca="1" si="4"/>
        <v>73020379.734248713</v>
      </c>
      <c r="AA12" s="214">
        <f t="shared" ca="1" si="4"/>
        <v>3267870.4769972945</v>
      </c>
      <c r="AB12" s="214">
        <f t="shared" ca="1" si="4"/>
        <v>20876550.973202195</v>
      </c>
      <c r="AC12" s="214">
        <f t="shared" si="4"/>
        <v>3789.5619867027826</v>
      </c>
      <c r="AD12" s="214">
        <f t="shared" si="4"/>
        <v>0</v>
      </c>
      <c r="AE12" s="214">
        <f t="shared" si="4"/>
        <v>9603770.9556024037</v>
      </c>
      <c r="AF12" s="214">
        <f t="shared" ca="1" si="4"/>
        <v>20417888.25759545</v>
      </c>
      <c r="AG12" s="214">
        <f t="shared" ca="1" si="4"/>
        <v>3137811.5162113649</v>
      </c>
      <c r="AH12" s="214">
        <f t="shared" ca="1" si="4"/>
        <v>30549766.291266628</v>
      </c>
      <c r="AI12" s="214">
        <f t="shared" ca="1" si="4"/>
        <v>6870425.593869674</v>
      </c>
      <c r="AJ12" s="214">
        <f t="shared" si="4"/>
        <v>9439364.016432032</v>
      </c>
    </row>
    <row r="13" spans="1:36">
      <c r="B13" s="12">
        <v>2023</v>
      </c>
      <c r="C13" s="206">
        <f t="shared" si="5"/>
        <v>3960630.2537973942</v>
      </c>
      <c r="D13" s="206">
        <f t="shared" si="6"/>
        <v>45364.280973608264</v>
      </c>
      <c r="E13" s="213">
        <v>1466165.6694691277</v>
      </c>
      <c r="F13" s="213">
        <v>6307373.3954196479</v>
      </c>
      <c r="G13" s="213">
        <v>5642.3731301963753</v>
      </c>
      <c r="H13" s="213">
        <v>431288.05636834586</v>
      </c>
      <c r="I13" s="214">
        <v>0</v>
      </c>
      <c r="J13" s="214">
        <v>0</v>
      </c>
      <c r="K13" s="214">
        <v>542916.24946442863</v>
      </c>
      <c r="L13" s="214">
        <v>1542709.6159140002</v>
      </c>
      <c r="M13" s="214">
        <v>563375.92220000003</v>
      </c>
      <c r="N13" s="214">
        <f t="shared" si="2"/>
        <v>1672225.769432629</v>
      </c>
      <c r="O13" s="214">
        <f t="shared" si="3"/>
        <v>375953.40276737191</v>
      </c>
      <c r="P13" s="214">
        <v>0</v>
      </c>
      <c r="Q13" s="213">
        <v>4005994.5347710056</v>
      </c>
      <c r="R13" s="214">
        <v>2048179.1722000001</v>
      </c>
      <c r="U13" s="208"/>
      <c r="V13" s="12">
        <f t="shared" si="7"/>
        <v>2023</v>
      </c>
      <c r="W13" s="214">
        <f t="shared" ca="1" si="8"/>
        <v>46181181.145015433</v>
      </c>
      <c r="X13" s="214">
        <f t="shared" ca="1" si="4"/>
        <v>528949.1741718679</v>
      </c>
      <c r="Y13" s="214">
        <f t="shared" ca="1" si="4"/>
        <v>18830869.813586522</v>
      </c>
      <c r="Z13" s="214">
        <f t="shared" ca="1" si="4"/>
        <v>77418264.505728513</v>
      </c>
      <c r="AA13" s="214">
        <f t="shared" ca="1" si="4"/>
        <v>3606084.6148862741</v>
      </c>
      <c r="AB13" s="214">
        <f t="shared" ca="1" si="4"/>
        <v>22225756.675456405</v>
      </c>
      <c r="AC13" s="214">
        <f t="shared" si="4"/>
        <v>3787.4601471108508</v>
      </c>
      <c r="AD13" s="214">
        <f t="shared" si="4"/>
        <v>0</v>
      </c>
      <c r="AE13" s="214">
        <f t="shared" si="4"/>
        <v>9603770.9556024037</v>
      </c>
      <c r="AF13" s="214">
        <f t="shared" ca="1" si="4"/>
        <v>20472423.277131665</v>
      </c>
      <c r="AG13" s="214">
        <f t="shared" ca="1" si="4"/>
        <v>3366258.2168578375</v>
      </c>
      <c r="AH13" s="214">
        <f t="shared" ca="1" si="4"/>
        <v>32865967.797896877</v>
      </c>
      <c r="AI13" s="214">
        <f t="shared" ca="1" si="4"/>
        <v>7394810.7536803428</v>
      </c>
      <c r="AJ13" s="214">
        <f t="shared" si="4"/>
        <v>9439364.016432032</v>
      </c>
    </row>
    <row r="14" spans="1:36">
      <c r="B14" s="12">
        <v>2024</v>
      </c>
      <c r="C14" s="206">
        <f t="shared" si="5"/>
        <v>3836100.2009717659</v>
      </c>
      <c r="D14" s="206">
        <f t="shared" si="6"/>
        <v>43937.938208937492</v>
      </c>
      <c r="E14" s="213">
        <v>1190674.1064554732</v>
      </c>
      <c r="F14" s="213">
        <v>4265540.7635049606</v>
      </c>
      <c r="G14" s="213">
        <v>3787.9026571185204</v>
      </c>
      <c r="H14" s="213">
        <v>378113.32325578254</v>
      </c>
      <c r="I14" s="214">
        <v>0</v>
      </c>
      <c r="J14" s="214">
        <v>0</v>
      </c>
      <c r="K14" s="214">
        <v>542916.24946442863</v>
      </c>
      <c r="L14" s="214">
        <v>1505892.1966539999</v>
      </c>
      <c r="M14" s="214">
        <v>541612.09360000002</v>
      </c>
      <c r="N14" s="214">
        <f t="shared" si="2"/>
        <v>1420577.3021874772</v>
      </c>
      <c r="O14" s="214">
        <f t="shared" si="3"/>
        <v>319377.25181252329</v>
      </c>
      <c r="P14" s="214">
        <v>0</v>
      </c>
      <c r="Q14" s="213">
        <v>3880038.1391807063</v>
      </c>
      <c r="R14" s="214">
        <v>1739954.554</v>
      </c>
      <c r="U14" s="208"/>
      <c r="V14" s="12">
        <f t="shared" si="7"/>
        <v>2024</v>
      </c>
      <c r="W14" s="214">
        <f t="shared" ca="1" si="8"/>
        <v>48701093.158022732</v>
      </c>
      <c r="X14" s="214">
        <f t="shared" ca="1" si="4"/>
        <v>557800.29148058279</v>
      </c>
      <c r="Y14" s="214">
        <f t="shared" ca="1" si="4"/>
        <v>20216081.352370325</v>
      </c>
      <c r="Z14" s="214">
        <f t="shared" ca="1" si="4"/>
        <v>84096539.303872481</v>
      </c>
      <c r="AA14" s="214">
        <f t="shared" ca="1" si="4"/>
        <v>4256507.9244134249</v>
      </c>
      <c r="AB14" s="214">
        <f t="shared" ca="1" si="4"/>
        <v>24278179.364980008</v>
      </c>
      <c r="AC14" s="214">
        <f t="shared" si="4"/>
        <v>3622.8610549544055</v>
      </c>
      <c r="AD14" s="214">
        <f t="shared" si="4"/>
        <v>0</v>
      </c>
      <c r="AE14" s="214">
        <f t="shared" si="4"/>
        <v>9603770.9556024037</v>
      </c>
      <c r="AF14" s="214">
        <f t="shared" ca="1" si="4"/>
        <v>21468218.343334988</v>
      </c>
      <c r="AG14" s="214">
        <f t="shared" ca="1" si="4"/>
        <v>3783850.3564802604</v>
      </c>
      <c r="AH14" s="214">
        <f t="shared" ca="1" si="4"/>
        <v>36390708.532712564</v>
      </c>
      <c r="AI14" s="214">
        <f t="shared" ca="1" si="4"/>
        <v>8196957.3675000612</v>
      </c>
      <c r="AJ14" s="214">
        <f t="shared" si="4"/>
        <v>9439364.016432032</v>
      </c>
    </row>
    <row r="15" spans="1:36">
      <c r="B15" s="12">
        <v>2025</v>
      </c>
      <c r="C15" s="206">
        <f t="shared" si="5"/>
        <v>3511082.5866755759</v>
      </c>
      <c r="D15" s="206">
        <f t="shared" si="6"/>
        <v>40215.250295273327</v>
      </c>
      <c r="E15" s="213">
        <v>625563.85456788237</v>
      </c>
      <c r="F15" s="213">
        <v>3882335.3895622417</v>
      </c>
      <c r="G15" s="213">
        <v>3531.3318361855218</v>
      </c>
      <c r="H15" s="213">
        <v>110983.77713062114</v>
      </c>
      <c r="I15" s="214">
        <v>0</v>
      </c>
      <c r="J15" s="214">
        <v>0</v>
      </c>
      <c r="K15" s="214">
        <v>542916.24946442863</v>
      </c>
      <c r="L15" s="214">
        <v>1385270.5665539999</v>
      </c>
      <c r="M15" s="214">
        <v>104782.48820000001</v>
      </c>
      <c r="N15" s="214">
        <f t="shared" si="2"/>
        <v>1261150.6947842725</v>
      </c>
      <c r="O15" s="214">
        <f t="shared" si="3"/>
        <v>283534.61821572809</v>
      </c>
      <c r="P15" s="214">
        <v>0</v>
      </c>
      <c r="Q15" s="213">
        <v>3551297.8369708522</v>
      </c>
      <c r="R15" s="214">
        <v>1544685.3130000001</v>
      </c>
      <c r="U15" s="208"/>
      <c r="V15" s="12">
        <f t="shared" si="7"/>
        <v>2025</v>
      </c>
      <c r="W15" s="214">
        <f t="shared" ca="1" si="8"/>
        <v>53678229.867533736</v>
      </c>
      <c r="X15" s="214">
        <f t="shared" ca="1" si="4"/>
        <v>614782.90910103917</v>
      </c>
      <c r="Y15" s="214">
        <f t="shared" ca="1" si="4"/>
        <v>22435569.534482233</v>
      </c>
      <c r="Z15" s="214">
        <f t="shared" ca="1" si="4"/>
        <v>96649861.339127287</v>
      </c>
      <c r="AA15" s="214">
        <f t="shared" ca="1" si="4"/>
        <v>5254981.7322503617</v>
      </c>
      <c r="AB15" s="214">
        <f t="shared" ca="1" si="4"/>
        <v>28857906.653327532</v>
      </c>
      <c r="AC15" s="214">
        <f t="shared" si="4"/>
        <v>3240.8747261284971</v>
      </c>
      <c r="AD15" s="214">
        <f t="shared" si="4"/>
        <v>0</v>
      </c>
      <c r="AE15" s="214">
        <f t="shared" si="4"/>
        <v>9603770.9556024037</v>
      </c>
      <c r="AF15" s="214">
        <f t="shared" ca="1" si="4"/>
        <v>23405957.632951524</v>
      </c>
      <c r="AG15" s="214">
        <f t="shared" ca="1" si="4"/>
        <v>4051534.2818650324</v>
      </c>
      <c r="AH15" s="214">
        <f t="shared" ca="1" si="4"/>
        <v>41869095.606509149</v>
      </c>
      <c r="AI15" s="214">
        <f t="shared" ca="1" si="4"/>
        <v>9442702.7434277013</v>
      </c>
      <c r="AJ15" s="214">
        <f t="shared" si="4"/>
        <v>9439364.016432032</v>
      </c>
    </row>
    <row r="16" spans="1:36">
      <c r="B16" s="12">
        <v>2026</v>
      </c>
      <c r="C16" s="206">
        <f t="shared" si="5"/>
        <v>3499825.8765681451</v>
      </c>
      <c r="D16" s="206">
        <f t="shared" si="6"/>
        <v>40086.318148763981</v>
      </c>
      <c r="E16" s="213">
        <v>193338.65948752302</v>
      </c>
      <c r="F16" s="213">
        <v>1658995.0458126485</v>
      </c>
      <c r="G16" s="213">
        <v>1515.9935895035121</v>
      </c>
      <c r="H16" s="213">
        <v>53196.352119212941</v>
      </c>
      <c r="I16" s="214">
        <v>0</v>
      </c>
      <c r="J16" s="214">
        <v>0</v>
      </c>
      <c r="K16" s="214">
        <v>0</v>
      </c>
      <c r="L16" s="214">
        <v>1384794.951104</v>
      </c>
      <c r="M16" s="214">
        <v>0</v>
      </c>
      <c r="N16" s="214">
        <f t="shared" si="2"/>
        <v>340904.72805521521</v>
      </c>
      <c r="O16" s="214">
        <f t="shared" si="3"/>
        <v>76642.935944784957</v>
      </c>
      <c r="P16" s="214">
        <v>0</v>
      </c>
      <c r="Q16" s="213">
        <v>3539912.1947169118</v>
      </c>
      <c r="R16" s="214">
        <v>417547.66399999999</v>
      </c>
      <c r="U16" s="208"/>
      <c r="V16" s="12">
        <f t="shared" si="7"/>
        <v>2026</v>
      </c>
      <c r="W16" s="214">
        <f t="shared" ca="1" si="8"/>
        <v>60395472.631190732</v>
      </c>
      <c r="X16" s="214">
        <f t="shared" ca="1" si="4"/>
        <v>691690.8456508161</v>
      </c>
      <c r="Y16" s="214">
        <f t="shared" ca="1" si="4"/>
        <v>24061917.348286007</v>
      </c>
      <c r="Z16" s="214">
        <f t="shared" ca="1" si="4"/>
        <v>109178804.15744776</v>
      </c>
      <c r="AA16" s="214">
        <f t="shared" ca="1" si="4"/>
        <v>6361628.2261715829</v>
      </c>
      <c r="AB16" s="214">
        <f t="shared" ca="1" si="4"/>
        <v>33267172.045037434</v>
      </c>
      <c r="AC16" s="214">
        <f t="shared" si="4"/>
        <v>3193.6157075946448</v>
      </c>
      <c r="AD16" s="214">
        <f t="shared" si="4"/>
        <v>0</v>
      </c>
      <c r="AE16" s="214">
        <f t="shared" si="4"/>
        <v>9060854.7061379757</v>
      </c>
      <c r="AF16" s="214">
        <f t="shared" ca="1" si="4"/>
        <v>25967097.467121139</v>
      </c>
      <c r="AG16" s="214">
        <f t="shared" ca="1" si="4"/>
        <v>4680525.6830787016</v>
      </c>
      <c r="AH16" s="214">
        <f t="shared" ca="1" si="4"/>
        <v>46493369.822661668</v>
      </c>
      <c r="AI16" s="214">
        <f t="shared" ca="1" si="4"/>
        <v>10497105.878184957</v>
      </c>
      <c r="AJ16" s="214">
        <f t="shared" si="4"/>
        <v>9439364.016432032</v>
      </c>
    </row>
    <row r="17" spans="1:36">
      <c r="B17" s="12">
        <v>2027</v>
      </c>
      <c r="C17" s="206">
        <f t="shared" si="5"/>
        <v>3468988.5930897868</v>
      </c>
      <c r="D17" s="206">
        <f t="shared" si="6"/>
        <v>39733.113960911862</v>
      </c>
      <c r="E17" s="213">
        <v>186420.64558492758</v>
      </c>
      <c r="F17" s="213">
        <v>1599454.7143144028</v>
      </c>
      <c r="G17" s="213">
        <v>1461.4967705611673</v>
      </c>
      <c r="H17" s="213">
        <v>51633.720713206611</v>
      </c>
      <c r="I17" s="214">
        <v>0</v>
      </c>
      <c r="J17" s="214">
        <v>0</v>
      </c>
      <c r="K17" s="214">
        <v>0</v>
      </c>
      <c r="L17" s="214">
        <v>1374483.5505039999</v>
      </c>
      <c r="M17" s="214">
        <v>0</v>
      </c>
      <c r="N17" s="214">
        <f t="shared" si="2"/>
        <v>332191.26320817374</v>
      </c>
      <c r="O17" s="214">
        <f t="shared" si="3"/>
        <v>74683.955991826457</v>
      </c>
      <c r="P17" s="214">
        <v>0</v>
      </c>
      <c r="Q17" s="213">
        <v>3508721.7070507016</v>
      </c>
      <c r="R17" s="214">
        <v>406875.21920000005</v>
      </c>
      <c r="U17" s="208"/>
      <c r="V17" s="12">
        <f t="shared" si="7"/>
        <v>2027</v>
      </c>
      <c r="W17" s="214">
        <f t="shared" ca="1" si="8"/>
        <v>67581800.785934031</v>
      </c>
      <c r="X17" s="214">
        <f t="shared" ca="1" si="4"/>
        <v>773969.20438085718</v>
      </c>
      <c r="Y17" s="214">
        <f t="shared" ca="1" si="4"/>
        <v>26106426.923674069</v>
      </c>
      <c r="Z17" s="214">
        <f t="shared" ca="1" si="4"/>
        <v>121990530.86370377</v>
      </c>
      <c r="AA17" s="214">
        <f t="shared" ca="1" si="4"/>
        <v>7485152.6310514929</v>
      </c>
      <c r="AB17" s="214">
        <f t="shared" ca="1" si="4"/>
        <v>36443175.899564341</v>
      </c>
      <c r="AC17" s="214">
        <f t="shared" si="4"/>
        <v>2396.6507401909262</v>
      </c>
      <c r="AD17" s="214">
        <f t="shared" si="4"/>
        <v>0</v>
      </c>
      <c r="AE17" s="214">
        <f t="shared" si="4"/>
        <v>9060854.7061379757</v>
      </c>
      <c r="AF17" s="214">
        <f t="shared" ca="1" si="4"/>
        <v>28534607.678270645</v>
      </c>
      <c r="AG17" s="214">
        <f t="shared" ca="1" si="4"/>
        <v>5353557.4676957726</v>
      </c>
      <c r="AH17" s="214">
        <f t="shared" ca="1" si="4"/>
        <v>51555853.861126877</v>
      </c>
      <c r="AI17" s="214">
        <f t="shared" ca="1" si="4"/>
        <v>11654948.587071486</v>
      </c>
      <c r="AJ17" s="214">
        <f t="shared" si="4"/>
        <v>7936784.016432032</v>
      </c>
    </row>
    <row r="18" spans="1:36">
      <c r="B18" s="12">
        <v>2028</v>
      </c>
      <c r="C18" s="206">
        <f t="shared" si="5"/>
        <v>3362377.6933744415</v>
      </c>
      <c r="D18" s="206">
        <f t="shared" si="6"/>
        <v>38512.013656257288</v>
      </c>
      <c r="E18" s="213">
        <v>186420.64558492758</v>
      </c>
      <c r="F18" s="213">
        <v>1599454.7143144028</v>
      </c>
      <c r="G18" s="213">
        <v>1461.4967705611673</v>
      </c>
      <c r="H18" s="213">
        <v>51633.720713206611</v>
      </c>
      <c r="I18" s="214">
        <v>0</v>
      </c>
      <c r="J18" s="214">
        <v>0</v>
      </c>
      <c r="K18" s="214">
        <v>0</v>
      </c>
      <c r="L18" s="214">
        <v>1329302.5505039999</v>
      </c>
      <c r="M18" s="214">
        <v>0</v>
      </c>
      <c r="N18" s="214">
        <f t="shared" si="2"/>
        <v>332191.26320817374</v>
      </c>
      <c r="O18" s="214">
        <f t="shared" si="3"/>
        <v>74683.955991826457</v>
      </c>
      <c r="P18" s="214">
        <v>0</v>
      </c>
      <c r="Q18" s="213">
        <v>3400889.7070307015</v>
      </c>
      <c r="R18" s="214">
        <v>406875.21920000005</v>
      </c>
      <c r="U18" s="208"/>
      <c r="V18" s="12">
        <f t="shared" si="7"/>
        <v>2028</v>
      </c>
      <c r="W18" s="214">
        <f t="shared" ca="1" si="8"/>
        <v>75515359.946467355</v>
      </c>
      <c r="X18" s="214">
        <f t="shared" ca="1" si="4"/>
        <v>864803.79568298301</v>
      </c>
      <c r="Y18" s="214">
        <f t="shared" ca="1" si="4"/>
        <v>28427607.851484902</v>
      </c>
      <c r="Z18" s="214">
        <f t="shared" ca="1" si="4"/>
        <v>136475077.21677423</v>
      </c>
      <c r="AA18" s="214">
        <f t="shared" ca="1" si="4"/>
        <v>8686107.9956828654</v>
      </c>
      <c r="AB18" s="214">
        <f t="shared" ca="1" si="4"/>
        <v>40849341.048781358</v>
      </c>
      <c r="AC18" s="214">
        <f t="shared" si="4"/>
        <v>1183.6553766332454</v>
      </c>
      <c r="AD18" s="214">
        <f t="shared" si="4"/>
        <v>0</v>
      </c>
      <c r="AE18" s="214">
        <f t="shared" si="4"/>
        <v>9051791.7458090354</v>
      </c>
      <c r="AF18" s="214">
        <f t="shared" ca="1" si="4"/>
        <v>31380776.284349885</v>
      </c>
      <c r="AG18" s="214">
        <f t="shared" ca="1" si="4"/>
        <v>6171634.544904354</v>
      </c>
      <c r="AH18" s="214">
        <f t="shared" ca="1" si="4"/>
        <v>57675318.351300381</v>
      </c>
      <c r="AI18" s="214">
        <f t="shared" ca="1" si="4"/>
        <v>13055269.973450413</v>
      </c>
      <c r="AJ18" s="214">
        <f t="shared" si="4"/>
        <v>5599386.5427338928</v>
      </c>
    </row>
    <row r="19" spans="1:36">
      <c r="B19" s="12">
        <v>2029</v>
      </c>
      <c r="C19" s="206">
        <f t="shared" ref="C19:C21" si="9">Q19*$C$1</f>
        <v>3331137.4984214953</v>
      </c>
      <c r="D19" s="206">
        <f t="shared" ref="D19:D21" si="10">Q19*$D$1</f>
        <v>38154.194599515758</v>
      </c>
      <c r="E19" s="213">
        <v>136806.97882802255</v>
      </c>
      <c r="F19" s="213">
        <v>1177438.0603135189</v>
      </c>
      <c r="G19" s="213">
        <v>1077.7002272925247</v>
      </c>
      <c r="H19" s="213">
        <v>30901.771041152082</v>
      </c>
      <c r="I19" s="214">
        <v>0</v>
      </c>
      <c r="J19" s="214">
        <v>0</v>
      </c>
      <c r="K19" s="214">
        <v>0</v>
      </c>
      <c r="L19" s="214">
        <v>1328196.0876040002</v>
      </c>
      <c r="M19" s="214">
        <v>0</v>
      </c>
      <c r="N19" s="214">
        <f t="shared" si="2"/>
        <v>173270.19564761251</v>
      </c>
      <c r="O19" s="214">
        <f t="shared" si="3"/>
        <v>38954.978952387581</v>
      </c>
      <c r="P19" s="214">
        <v>0</v>
      </c>
      <c r="Q19" s="213">
        <v>3369291.6930210139</v>
      </c>
      <c r="R19" s="214">
        <v>212225.1746</v>
      </c>
      <c r="U19" s="208"/>
      <c r="V19" s="12">
        <f t="shared" si="7"/>
        <v>2029</v>
      </c>
      <c r="W19" s="214">
        <f t="shared" ca="1" si="8"/>
        <v>84072525.363153383</v>
      </c>
      <c r="X19" s="214">
        <f t="shared" ca="1" si="4"/>
        <v>962778.6947273754</v>
      </c>
      <c r="Y19" s="214">
        <f t="shared" ca="1" si="4"/>
        <v>30644899.854564313</v>
      </c>
      <c r="Z19" s="214">
        <f t="shared" ca="1" si="4"/>
        <v>148090518.49864903</v>
      </c>
      <c r="AA19" s="214">
        <f t="shared" ca="1" si="4"/>
        <v>9716106.8103843071</v>
      </c>
      <c r="AB19" s="214">
        <f t="shared" ca="1" si="4"/>
        <v>45839047.161602609</v>
      </c>
      <c r="AC19" s="214">
        <f t="shared" si="4"/>
        <v>1183.6553766332454</v>
      </c>
      <c r="AD19" s="214">
        <f t="shared" si="4"/>
        <v>0</v>
      </c>
      <c r="AE19" s="214">
        <f t="shared" si="4"/>
        <v>3933123</v>
      </c>
      <c r="AF19" s="214">
        <f t="shared" ca="1" si="4"/>
        <v>34334300.433522113</v>
      </c>
      <c r="AG19" s="214">
        <f t="shared" ca="1" si="4"/>
        <v>6967342.7453937978</v>
      </c>
      <c r="AH19" s="214">
        <f t="shared" ca="1" si="4"/>
        <v>61936288.686140247</v>
      </c>
      <c r="AI19" s="214">
        <f t="shared" ca="1" si="4"/>
        <v>14038506.327046072</v>
      </c>
      <c r="AJ19" s="214">
        <f t="shared" si="4"/>
        <v>1952186.5427338928</v>
      </c>
    </row>
    <row r="20" spans="1:36">
      <c r="B20" s="12">
        <v>2030</v>
      </c>
      <c r="C20" s="206">
        <f t="shared" si="9"/>
        <v>2733111.4875637968</v>
      </c>
      <c r="D20" s="206">
        <f t="shared" si="10"/>
        <v>31304.522136385978</v>
      </c>
      <c r="E20" s="213">
        <v>10816.697073534735</v>
      </c>
      <c r="F20" s="213">
        <v>93094.598903991777</v>
      </c>
      <c r="G20" s="213">
        <v>85.208788283796252</v>
      </c>
      <c r="H20" s="213">
        <v>2443.2605650041864</v>
      </c>
      <c r="I20" s="214">
        <v>0</v>
      </c>
      <c r="J20" s="214">
        <v>0</v>
      </c>
      <c r="K20" s="214">
        <v>0</v>
      </c>
      <c r="L20" s="214">
        <v>1115613.075224</v>
      </c>
      <c r="M20" s="214">
        <v>0</v>
      </c>
      <c r="N20" s="214">
        <f t="shared" si="2"/>
        <v>21961.318162555097</v>
      </c>
      <c r="O20" s="214">
        <f t="shared" si="3"/>
        <v>4937.3908974449123</v>
      </c>
      <c r="P20" s="214">
        <v>0</v>
      </c>
      <c r="Q20" s="213">
        <v>2764416.0097001852</v>
      </c>
      <c r="R20" s="214">
        <v>26898.709060000001</v>
      </c>
      <c r="U20" s="208"/>
      <c r="V20" s="12">
        <f t="shared" si="7"/>
        <v>2030</v>
      </c>
      <c r="W20" s="214">
        <f t="shared" ca="1" si="8"/>
        <v>90597658.927767247</v>
      </c>
      <c r="X20" s="214">
        <f t="shared" ref="X20:X21" ca="1" si="11">SUMIF($B$4:$B$203,$V20,D$4:D$203)-SUMIF($A$4:$A$203,$V20,D$4:D$203)/2</f>
        <v>1037476.6963092249</v>
      </c>
      <c r="Y20" s="214">
        <f t="shared" ref="Y20:Y21" ca="1" si="12">SUMIF($B$4:$B$203,$V20,E$4:E$203)-SUMIF($A$4:$A$203,$V20,E$4:E$203)/2</f>
        <v>33206931.488220494</v>
      </c>
      <c r="Z20" s="214">
        <f t="shared" ref="Z20:Z21" ca="1" si="13">SUMIF($B$4:$B$203,$V20,F$4:F$203)-SUMIF($A$4:$A$203,$V20,F$4:F$203)/2</f>
        <v>162472829.41282889</v>
      </c>
      <c r="AA20" s="214">
        <f t="shared" ref="AA20:AA21" ca="1" si="14">SUMIF($B$4:$B$203,$V20,G$4:G$203)-SUMIF($A$4:$A$203,$V20,G$4:G$203)/2</f>
        <v>11094019.292186012</v>
      </c>
      <c r="AB20" s="214">
        <f t="shared" ref="AB20:AB21" ca="1" si="15">SUMIF($B$4:$B$203,$V20,H$4:H$203)-SUMIF($A$4:$A$203,$V20,H$4:H$203)/2</f>
        <v>52706361.544972643</v>
      </c>
      <c r="AC20" s="214">
        <f t="shared" ref="AC20:AC21" si="16">SUMIF($B$4:$B$203,$V20,I$4:I$203)-SUMIF($A$4:$A$203,$V20,I$4:I$203)/2</f>
        <v>446.70790591188131</v>
      </c>
      <c r="AD20" s="214">
        <f t="shared" ref="AD20:AD21" si="17">SUMIF($B$4:$B$203,$V20,J$4:J$203)-SUMIF($A$4:$A$203,$V20,J$4:J$203)/2</f>
        <v>0</v>
      </c>
      <c r="AE20" s="214">
        <f t="shared" ref="AE20:AE21" si="18">SUMIF($B$4:$B$203,$V20,K$4:K$203)-SUMIF($A$4:$A$203,$V20,K$4:K$203)/2</f>
        <v>3933123</v>
      </c>
      <c r="AF20" s="214">
        <f t="shared" ref="AF20:AF21" ca="1" si="19">SUMIF($B$4:$B$203,$V20,L$4:L$203)-SUMIF($A$4:$A$203,$V20,L$4:L$203)/2</f>
        <v>35748440.1038903</v>
      </c>
      <c r="AG20" s="214">
        <f t="shared" ref="AG20:AG21" ca="1" si="20">SUMIF($B$4:$B$203,$V20,M$4:M$203)-SUMIF($A$4:$A$203,$V20,M$4:M$203)/2</f>
        <v>7835334.4790598303</v>
      </c>
      <c r="AH20" s="214">
        <f t="shared" ref="AH20:AH21" ca="1" si="21">SUMIF($B$4:$B$203,$V20,N$4:N$203)-SUMIF($A$4:$A$203,$V20,N$4:N$203)/2</f>
        <v>67892196.82863763</v>
      </c>
      <c r="AI20" s="214">
        <f t="shared" ref="AI20:AI21" ca="1" si="22">SUMIF($B$4:$B$203,$V20,O$4:O$203)-SUMIF($A$4:$A$203,$V20,O$4:O$203)/2</f>
        <v>15402698.018136419</v>
      </c>
      <c r="AJ20" s="214">
        <f t="shared" ref="AJ20:AJ21" si="23">SUMIF($B$4:$B$203,$V20,P$4:P$203)-SUMIF($A$4:$A$203,$V20,P$4:P$203)/2</f>
        <v>1952186.5427338928</v>
      </c>
    </row>
    <row r="21" spans="1:36">
      <c r="B21" s="12">
        <v>2031</v>
      </c>
      <c r="C21" s="206">
        <f t="shared" si="9"/>
        <v>2733111.4875637968</v>
      </c>
      <c r="D21" s="206">
        <f t="shared" si="10"/>
        <v>31304.522136385978</v>
      </c>
      <c r="E21" s="213">
        <v>10816.697073534735</v>
      </c>
      <c r="F21" s="213">
        <v>93094.598903991777</v>
      </c>
      <c r="G21" s="213">
        <v>85.208788283796252</v>
      </c>
      <c r="H21" s="213">
        <v>2443.2605650041864</v>
      </c>
      <c r="I21" s="214">
        <v>0</v>
      </c>
      <c r="J21" s="214">
        <v>0</v>
      </c>
      <c r="K21" s="214">
        <v>0</v>
      </c>
      <c r="L21" s="214">
        <v>1115613.075224</v>
      </c>
      <c r="M21" s="214">
        <v>0</v>
      </c>
      <c r="N21" s="214">
        <f t="shared" si="2"/>
        <v>21961.318162555097</v>
      </c>
      <c r="O21" s="214">
        <f t="shared" si="3"/>
        <v>4937.3908974449123</v>
      </c>
      <c r="P21" s="214">
        <v>0</v>
      </c>
      <c r="Q21" s="213">
        <v>2764416.0097001852</v>
      </c>
      <c r="R21" s="214">
        <v>26898.709060000001</v>
      </c>
      <c r="U21" s="208"/>
      <c r="V21" s="12">
        <f t="shared" si="7"/>
        <v>2031</v>
      </c>
      <c r="W21" s="214">
        <f t="shared" ca="1" si="8"/>
        <v>96762199.908808187</v>
      </c>
      <c r="X21" s="214">
        <f t="shared" ca="1" si="11"/>
        <v>1108042.1323003387</v>
      </c>
      <c r="Y21" s="214">
        <f t="shared" ca="1" si="12"/>
        <v>33401746.429495759</v>
      </c>
      <c r="Z21" s="214">
        <f t="shared" ca="1" si="13"/>
        <v>164562131.32725409</v>
      </c>
      <c r="AA21" s="214">
        <f t="shared" ca="1" si="14"/>
        <v>11652940.90582601</v>
      </c>
      <c r="AB21" s="214">
        <f t="shared" ca="1" si="15"/>
        <v>57636760.108983412</v>
      </c>
      <c r="AC21" s="214">
        <f t="shared" si="16"/>
        <v>55.382469116313921</v>
      </c>
      <c r="AD21" s="214">
        <f t="shared" si="17"/>
        <v>0</v>
      </c>
      <c r="AE21" s="214">
        <f t="shared" si="18"/>
        <v>0</v>
      </c>
      <c r="AF21" s="214">
        <f t="shared" ca="1" si="19"/>
        <v>37305454.589849636</v>
      </c>
      <c r="AG21" s="214">
        <f t="shared" ca="1" si="20"/>
        <v>8276984.8286595615</v>
      </c>
      <c r="AH21" s="214">
        <f t="shared" ca="1" si="21"/>
        <v>70317807.311657727</v>
      </c>
      <c r="AI21" s="214">
        <f t="shared" ca="1" si="22"/>
        <v>15972783.218147799</v>
      </c>
      <c r="AJ21" s="214">
        <f t="shared" si="23"/>
        <v>0</v>
      </c>
    </row>
    <row r="22" spans="1:36">
      <c r="E22" s="213"/>
      <c r="F22" s="213"/>
      <c r="G22" s="213"/>
      <c r="H22" s="213"/>
      <c r="I22" s="214"/>
      <c r="J22" s="214"/>
      <c r="K22" s="214"/>
      <c r="L22" s="214"/>
      <c r="M22" s="214"/>
      <c r="N22" s="214"/>
      <c r="O22" s="214"/>
      <c r="P22" s="214"/>
      <c r="Q22" s="213"/>
      <c r="R22" s="214"/>
    </row>
    <row r="23" spans="1:36">
      <c r="A23" s="12">
        <v>2015</v>
      </c>
      <c r="B23" s="12">
        <v>2015</v>
      </c>
      <c r="C23" s="206">
        <f>Q23*$C$1</f>
        <v>5759414.6995181637</v>
      </c>
      <c r="D23" s="206">
        <f>Q23*$D$1</f>
        <v>65967.204694749817</v>
      </c>
      <c r="E23" s="213">
        <v>2842232.4223225922</v>
      </c>
      <c r="F23" s="213">
        <v>8906855.5613235012</v>
      </c>
      <c r="G23" s="213">
        <v>277619.01151716308</v>
      </c>
      <c r="H23" s="213">
        <v>4868014.1627529068</v>
      </c>
      <c r="I23" s="214">
        <v>1134.6951096589137</v>
      </c>
      <c r="J23" s="214">
        <v>0</v>
      </c>
      <c r="K23" s="214">
        <v>0</v>
      </c>
      <c r="L23" s="214">
        <v>2568079</v>
      </c>
      <c r="M23" s="214">
        <v>652006.99732800014</v>
      </c>
      <c r="N23" s="214">
        <f t="shared" ref="N23:N39" si="24">R23*$N$1</f>
        <v>1915330.3124215803</v>
      </c>
      <c r="O23" s="214">
        <f t="shared" ref="O23:O39" si="25">R23*$O$1</f>
        <v>430608.69025042088</v>
      </c>
      <c r="P23" s="214">
        <v>1502580</v>
      </c>
      <c r="Q23" s="213">
        <v>5825381.9042129181</v>
      </c>
      <c r="R23" s="214">
        <v>2345939.0026720003</v>
      </c>
      <c r="T23" s="208"/>
    </row>
    <row r="24" spans="1:36">
      <c r="B24" s="12">
        <v>2016</v>
      </c>
      <c r="C24" s="206">
        <f t="shared" ref="C24:C36" si="26">Q24*$C$1</f>
        <v>5639553.5723183407</v>
      </c>
      <c r="D24" s="206">
        <f t="shared" ref="D24:D36" si="27">Q24*$D$1</f>
        <v>64594.338887119098</v>
      </c>
      <c r="E24" s="213">
        <v>2842232.5559749901</v>
      </c>
      <c r="F24" s="213">
        <v>8906671.0505540501</v>
      </c>
      <c r="G24" s="213">
        <v>277619.03847357951</v>
      </c>
      <c r="H24" s="213">
        <v>4868014.2318927851</v>
      </c>
      <c r="I24" s="214">
        <v>1134.6951096589137</v>
      </c>
      <c r="J24" s="214">
        <v>0</v>
      </c>
      <c r="K24" s="214">
        <v>0</v>
      </c>
      <c r="L24" s="214">
        <v>2544620</v>
      </c>
      <c r="M24" s="214">
        <v>652007.99732800014</v>
      </c>
      <c r="N24" s="214">
        <f t="shared" si="24"/>
        <v>1707667.511125573</v>
      </c>
      <c r="O24" s="214">
        <f t="shared" si="25"/>
        <v>383921.49154642795</v>
      </c>
      <c r="P24" s="214">
        <v>1502580</v>
      </c>
      <c r="Q24" s="213">
        <v>5704147.911205464</v>
      </c>
      <c r="R24" s="214">
        <v>2091589.0026720001</v>
      </c>
      <c r="T24" s="208"/>
      <c r="U24" s="207" t="s">
        <v>290</v>
      </c>
      <c r="V24" s="12">
        <v>2024</v>
      </c>
      <c r="W24" s="213">
        <f ca="1">SUMIF($B$4:$B$168,$V24,C$4:C$168)-C161/2</f>
        <v>48701093.158022732</v>
      </c>
      <c r="X24" s="213">
        <f t="shared" ref="W24:AJ31" ca="1" si="28">SUMIF($B$4:$B$168,$V24,D$4:D$168)-D161/2</f>
        <v>557800.29148058279</v>
      </c>
      <c r="Y24" s="213">
        <f t="shared" ca="1" si="28"/>
        <v>20216081.352370325</v>
      </c>
      <c r="Z24" s="213">
        <f t="shared" ca="1" si="28"/>
        <v>84096539.303872481</v>
      </c>
      <c r="AA24" s="213">
        <f t="shared" ca="1" si="28"/>
        <v>4256507.9244134249</v>
      </c>
      <c r="AB24" s="213">
        <f t="shared" ca="1" si="28"/>
        <v>24278179.364980008</v>
      </c>
      <c r="AC24" s="213">
        <f t="shared" si="28"/>
        <v>3622.8610549544055</v>
      </c>
      <c r="AD24" s="213">
        <f t="shared" si="28"/>
        <v>0</v>
      </c>
      <c r="AE24" s="213">
        <f t="shared" si="28"/>
        <v>9603770.9556024037</v>
      </c>
      <c r="AF24" s="213">
        <f t="shared" ca="1" si="28"/>
        <v>21468218.343334988</v>
      </c>
      <c r="AG24" s="213">
        <f t="shared" ca="1" si="28"/>
        <v>3783850.3564802604</v>
      </c>
      <c r="AH24" s="213">
        <f t="shared" ca="1" si="28"/>
        <v>36390708.532712564</v>
      </c>
      <c r="AI24" s="213">
        <f t="shared" ca="1" si="28"/>
        <v>8196957.3675000612</v>
      </c>
      <c r="AJ24" s="213">
        <f t="shared" si="28"/>
        <v>9439364.016432032</v>
      </c>
    </row>
    <row r="25" spans="1:36">
      <c r="B25" s="12">
        <v>2017</v>
      </c>
      <c r="C25" s="206">
        <f t="shared" si="26"/>
        <v>5627817.0007042913</v>
      </c>
      <c r="D25" s="206">
        <f t="shared" si="27"/>
        <v>64459.910501168124</v>
      </c>
      <c r="E25" s="213">
        <v>2769483.4778401726</v>
      </c>
      <c r="F25" s="213">
        <v>8892791.6944750287</v>
      </c>
      <c r="G25" s="213">
        <v>277619.03847357957</v>
      </c>
      <c r="H25" s="213">
        <v>2457857.38303249</v>
      </c>
      <c r="I25" s="214">
        <v>1134.104403201859</v>
      </c>
      <c r="J25" s="214">
        <v>0</v>
      </c>
      <c r="K25" s="214">
        <v>0</v>
      </c>
      <c r="L25" s="214">
        <v>2543995</v>
      </c>
      <c r="M25" s="214">
        <v>652006.78633600008</v>
      </c>
      <c r="N25" s="214">
        <f t="shared" si="24"/>
        <v>1707666.8669438881</v>
      </c>
      <c r="O25" s="214">
        <f t="shared" si="25"/>
        <v>383921.34672011278</v>
      </c>
      <c r="P25" s="214">
        <v>1502580</v>
      </c>
      <c r="Q25" s="213">
        <v>5692276.911205464</v>
      </c>
      <c r="R25" s="214">
        <v>2091588.2136640002</v>
      </c>
      <c r="T25" s="208"/>
      <c r="U25" s="207" t="s">
        <v>291</v>
      </c>
      <c r="V25" s="12">
        <v>2025</v>
      </c>
      <c r="W25" s="213">
        <f t="shared" ca="1" si="28"/>
        <v>47777111.946548901</v>
      </c>
      <c r="X25" s="213">
        <f t="shared" ca="1" si="28"/>
        <v>547218.35193534498</v>
      </c>
      <c r="Y25" s="213">
        <f t="shared" ca="1" si="28"/>
        <v>18872823.98468557</v>
      </c>
      <c r="Z25" s="213">
        <f t="shared" ca="1" si="28"/>
        <v>80800444.372567967</v>
      </c>
      <c r="AA25" s="213">
        <f t="shared" ca="1" si="28"/>
        <v>4151775.6524304594</v>
      </c>
      <c r="AB25" s="213">
        <f t="shared" ca="1" si="28"/>
        <v>23094066.78366904</v>
      </c>
      <c r="AC25" s="213">
        <f t="shared" si="28"/>
        <v>3240.8747261284971</v>
      </c>
      <c r="AD25" s="213">
        <f t="shared" si="28"/>
        <v>0</v>
      </c>
      <c r="AE25" s="213">
        <f t="shared" si="28"/>
        <v>9603770.9556024037</v>
      </c>
      <c r="AF25" s="213">
        <f t="shared" ca="1" si="28"/>
        <v>21112872.364537239</v>
      </c>
      <c r="AG25" s="213">
        <f t="shared" ca="1" si="28"/>
        <v>3097404.7795319017</v>
      </c>
      <c r="AH25" s="213">
        <f t="shared" ca="1" si="28"/>
        <v>35695466.428474367</v>
      </c>
      <c r="AI25" s="213">
        <f t="shared" ca="1" si="28"/>
        <v>8040701.5518739475</v>
      </c>
      <c r="AJ25" s="213">
        <f t="shared" si="28"/>
        <v>9439364.016432032</v>
      </c>
    </row>
    <row r="26" spans="1:36">
      <c r="B26" s="12">
        <v>2018</v>
      </c>
      <c r="C26" s="206">
        <f t="shared" si="26"/>
        <v>5615752.7013295498</v>
      </c>
      <c r="D26" s="206">
        <f t="shared" si="27"/>
        <v>64321.728385818991</v>
      </c>
      <c r="E26" s="213">
        <v>2854006.5690314695</v>
      </c>
      <c r="F26" s="213">
        <v>8902603.8955499977</v>
      </c>
      <c r="G26" s="213">
        <v>277967.98928479856</v>
      </c>
      <c r="H26" s="213">
        <v>2458752.3987600538</v>
      </c>
      <c r="I26" s="214">
        <v>1135.3906925092663</v>
      </c>
      <c r="J26" s="214">
        <v>0</v>
      </c>
      <c r="K26" s="214">
        <v>0</v>
      </c>
      <c r="L26" s="214">
        <v>2543293</v>
      </c>
      <c r="M26" s="214">
        <v>657871.79467199999</v>
      </c>
      <c r="N26" s="214">
        <f t="shared" si="24"/>
        <v>1708042.4248661175</v>
      </c>
      <c r="O26" s="214">
        <f t="shared" si="25"/>
        <v>384005.78046188335</v>
      </c>
      <c r="P26" s="214">
        <v>1502580</v>
      </c>
      <c r="Q26" s="213">
        <v>5680074.4297153736</v>
      </c>
      <c r="R26" s="214">
        <v>2092048.2053280002</v>
      </c>
      <c r="T26" s="208"/>
      <c r="U26" s="207" t="s">
        <v>292</v>
      </c>
      <c r="V26" s="12">
        <v>2026</v>
      </c>
      <c r="W26" s="213">
        <f t="shared" ca="1" si="28"/>
        <v>47526780.406003781</v>
      </c>
      <c r="X26" s="213">
        <f t="shared" ca="1" si="28"/>
        <v>544351.16344422672</v>
      </c>
      <c r="Y26" s="213">
        <f t="shared" ca="1" si="28"/>
        <v>17015729.508243386</v>
      </c>
      <c r="Z26" s="213">
        <f t="shared" ca="1" si="28"/>
        <v>77688350.574746475</v>
      </c>
      <c r="AA26" s="213">
        <f t="shared" ca="1" si="28"/>
        <v>4109352.1106328429</v>
      </c>
      <c r="AB26" s="213">
        <f t="shared" ca="1" si="28"/>
        <v>22216184.132143892</v>
      </c>
      <c r="AC26" s="213">
        <f t="shared" si="28"/>
        <v>3193.6157075946448</v>
      </c>
      <c r="AD26" s="213">
        <f t="shared" si="28"/>
        <v>0</v>
      </c>
      <c r="AE26" s="213">
        <f t="shared" si="28"/>
        <v>9060854.7061379757</v>
      </c>
      <c r="AF26" s="213">
        <f t="shared" ca="1" si="28"/>
        <v>20967097.618756715</v>
      </c>
      <c r="AG26" s="213">
        <f t="shared" ca="1" si="28"/>
        <v>2788052.6141392309</v>
      </c>
      <c r="AH26" s="213">
        <f t="shared" ca="1" si="28"/>
        <v>34215356.137195639</v>
      </c>
      <c r="AI26" s="213">
        <f t="shared" ca="1" si="28"/>
        <v>7707856.6675306838</v>
      </c>
      <c r="AJ26" s="213">
        <f t="shared" si="28"/>
        <v>9439364.016432032</v>
      </c>
    </row>
    <row r="27" spans="1:36">
      <c r="B27" s="12">
        <v>2019</v>
      </c>
      <c r="C27" s="206">
        <f t="shared" si="26"/>
        <v>5590899.3665444469</v>
      </c>
      <c r="D27" s="206">
        <f t="shared" si="27"/>
        <v>64037.063170922549</v>
      </c>
      <c r="E27" s="213">
        <v>2854006.7690314697</v>
      </c>
      <c r="F27" s="213">
        <v>8902420.4124758616</v>
      </c>
      <c r="G27" s="213">
        <v>277967.98928479856</v>
      </c>
      <c r="H27" s="213">
        <v>2458752.3987600538</v>
      </c>
      <c r="I27" s="214">
        <v>1135.3906925092663</v>
      </c>
      <c r="J27" s="214">
        <v>0</v>
      </c>
      <c r="K27" s="214">
        <v>0</v>
      </c>
      <c r="L27" s="214">
        <v>2539220</v>
      </c>
      <c r="M27" s="214">
        <v>657871.79467199999</v>
      </c>
      <c r="N27" s="214">
        <f t="shared" si="24"/>
        <v>1708042.4248661175</v>
      </c>
      <c r="O27" s="214">
        <f t="shared" si="25"/>
        <v>384005.78046188335</v>
      </c>
      <c r="P27" s="214">
        <v>1502580</v>
      </c>
      <c r="Q27" s="213">
        <v>5654936.4297153736</v>
      </c>
      <c r="R27" s="214">
        <v>2092048.2053280002</v>
      </c>
      <c r="T27" s="208"/>
      <c r="U27" s="207"/>
      <c r="V27" s="12">
        <v>2027</v>
      </c>
      <c r="W27" s="213">
        <f t="shared" ca="1" si="28"/>
        <v>47123913.101451702</v>
      </c>
      <c r="X27" s="213">
        <f t="shared" ca="1" si="28"/>
        <v>539736.81193947955</v>
      </c>
      <c r="Y27" s="213">
        <f t="shared" ca="1" si="28"/>
        <v>15437824.274614323</v>
      </c>
      <c r="Z27" s="213">
        <f t="shared" ca="1" si="28"/>
        <v>73067115.738456935</v>
      </c>
      <c r="AA27" s="213">
        <f t="shared" ca="1" si="28"/>
        <v>3922265.5184256011</v>
      </c>
      <c r="AB27" s="213">
        <f t="shared" ca="1" si="28"/>
        <v>19011602.213402767</v>
      </c>
      <c r="AC27" s="213">
        <f t="shared" si="28"/>
        <v>2396.6507401909262</v>
      </c>
      <c r="AD27" s="213">
        <f t="shared" si="28"/>
        <v>0</v>
      </c>
      <c r="AE27" s="213">
        <f t="shared" si="28"/>
        <v>9060854.7061379757</v>
      </c>
      <c r="AF27" s="213">
        <f t="shared" ca="1" si="28"/>
        <v>20673129.077576995</v>
      </c>
      <c r="AG27" s="213">
        <f t="shared" ca="1" si="28"/>
        <v>2501636.181852886</v>
      </c>
      <c r="AH27" s="213">
        <f t="shared" ca="1" si="28"/>
        <v>32350183.100287482</v>
      </c>
      <c r="AI27" s="213">
        <f t="shared" ca="1" si="28"/>
        <v>7288351.2240660675</v>
      </c>
      <c r="AJ27" s="213">
        <f t="shared" si="28"/>
        <v>7936784.016432032</v>
      </c>
    </row>
    <row r="28" spans="1:36">
      <c r="B28" s="12">
        <v>2020</v>
      </c>
      <c r="C28" s="206">
        <f t="shared" si="26"/>
        <v>5569526.7547786729</v>
      </c>
      <c r="D28" s="206">
        <f t="shared" si="27"/>
        <v>63792.265473800275</v>
      </c>
      <c r="E28" s="213">
        <v>2853162.7969485866</v>
      </c>
      <c r="F28" s="213">
        <v>8896998.9036364891</v>
      </c>
      <c r="G28" s="213">
        <v>277785.22478112421</v>
      </c>
      <c r="H28" s="213">
        <v>2458283.6303836242</v>
      </c>
      <c r="I28" s="214">
        <v>1134.5308836258766</v>
      </c>
      <c r="J28" s="214">
        <v>0</v>
      </c>
      <c r="K28" s="214">
        <v>0</v>
      </c>
      <c r="L28" s="214">
        <v>2530674</v>
      </c>
      <c r="M28" s="214">
        <v>657871.79467199999</v>
      </c>
      <c r="N28" s="214">
        <f t="shared" si="24"/>
        <v>1708042.4248661175</v>
      </c>
      <c r="O28" s="214">
        <f t="shared" si="25"/>
        <v>384005.78046188335</v>
      </c>
      <c r="P28" s="214">
        <v>1502580</v>
      </c>
      <c r="Q28" s="213">
        <v>5633319.0202524774</v>
      </c>
      <c r="R28" s="214">
        <v>2092048.2053280002</v>
      </c>
      <c r="T28" s="208"/>
      <c r="U28" s="207"/>
      <c r="V28" s="12">
        <v>2028</v>
      </c>
      <c r="W28" s="213">
        <f t="shared" ca="1" si="28"/>
        <v>46819582.229578406</v>
      </c>
      <c r="X28" s="213">
        <f t="shared" ca="1" si="28"/>
        <v>536251.09843670367</v>
      </c>
      <c r="Y28" s="213">
        <f t="shared" ca="1" si="28"/>
        <v>14113249.557930898</v>
      </c>
      <c r="Z28" s="213">
        <f t="shared" ca="1" si="28"/>
        <v>68884345.202381954</v>
      </c>
      <c r="AA28" s="213">
        <f t="shared" ca="1" si="28"/>
        <v>3675392.8231623494</v>
      </c>
      <c r="AB28" s="213">
        <f t="shared" ca="1" si="28"/>
        <v>15863207.149387021</v>
      </c>
      <c r="AC28" s="213">
        <f t="shared" si="28"/>
        <v>1183.6553766332454</v>
      </c>
      <c r="AD28" s="213">
        <f t="shared" si="28"/>
        <v>0</v>
      </c>
      <c r="AE28" s="213">
        <f t="shared" si="28"/>
        <v>9051791.7458090354</v>
      </c>
      <c r="AF28" s="213">
        <f t="shared" ca="1" si="28"/>
        <v>20594934.882024378</v>
      </c>
      <c r="AG28" s="213">
        <f t="shared" ca="1" si="28"/>
        <v>2345472.3042526571</v>
      </c>
      <c r="AH28" s="213">
        <f t="shared" ca="1" si="28"/>
        <v>30963949.523323607</v>
      </c>
      <c r="AI28" s="213">
        <f t="shared" ca="1" si="28"/>
        <v>6976390.8614668502</v>
      </c>
      <c r="AJ28" s="213">
        <f t="shared" si="28"/>
        <v>5599386.5427338928</v>
      </c>
    </row>
    <row r="29" spans="1:36">
      <c r="B29" s="12">
        <v>2021</v>
      </c>
      <c r="C29" s="206">
        <f t="shared" si="26"/>
        <v>5561642.0644727126</v>
      </c>
      <c r="D29" s="206">
        <f t="shared" si="27"/>
        <v>63701.955779759403</v>
      </c>
      <c r="E29" s="213">
        <v>2853162.7969485866</v>
      </c>
      <c r="F29" s="213">
        <v>8896998.9036364891</v>
      </c>
      <c r="G29" s="213">
        <v>277785.22478112415</v>
      </c>
      <c r="H29" s="213">
        <v>2458283.6303836238</v>
      </c>
      <c r="I29" s="214">
        <v>1131.6817204720253</v>
      </c>
      <c r="J29" s="214">
        <v>0</v>
      </c>
      <c r="K29" s="214">
        <v>0</v>
      </c>
      <c r="L29" s="214">
        <v>2529922</v>
      </c>
      <c r="M29" s="214">
        <v>657871.58367999992</v>
      </c>
      <c r="N29" s="214">
        <f t="shared" si="24"/>
        <v>1708041.7806844325</v>
      </c>
      <c r="O29" s="214">
        <f t="shared" si="25"/>
        <v>384005.63563556806</v>
      </c>
      <c r="P29" s="214">
        <v>1502580</v>
      </c>
      <c r="Q29" s="213">
        <v>5625344.0202524764</v>
      </c>
      <c r="R29" s="214">
        <v>2092047.4163199998</v>
      </c>
      <c r="T29" s="208"/>
      <c r="U29" s="207"/>
      <c r="V29" s="12">
        <v>2029</v>
      </c>
      <c r="W29" s="213">
        <f t="shared" ca="1" si="28"/>
        <v>46532753.892368428</v>
      </c>
      <c r="X29" s="213">
        <f t="shared" ca="1" si="28"/>
        <v>532965.84170376032</v>
      </c>
      <c r="Y29" s="213">
        <f t="shared" ca="1" si="28"/>
        <v>12648138.049929934</v>
      </c>
      <c r="Z29" s="213">
        <f t="shared" ca="1" si="28"/>
        <v>61280029.101496659</v>
      </c>
      <c r="AA29" s="213">
        <f t="shared" ca="1" si="28"/>
        <v>3194370.1163794771</v>
      </c>
      <c r="AB29" s="213">
        <f t="shared" ca="1" si="28"/>
        <v>13249873.568048878</v>
      </c>
      <c r="AC29" s="213">
        <f t="shared" si="28"/>
        <v>1183.6553766332454</v>
      </c>
      <c r="AD29" s="213">
        <f t="shared" si="28"/>
        <v>0</v>
      </c>
      <c r="AE29" s="213">
        <f t="shared" si="28"/>
        <v>3933123</v>
      </c>
      <c r="AF29" s="213">
        <f t="shared" ca="1" si="28"/>
        <v>20556584.801973999</v>
      </c>
      <c r="AG29" s="213">
        <f t="shared" ca="1" si="28"/>
        <v>2168186.1459398684</v>
      </c>
      <c r="AH29" s="213">
        <f t="shared" ca="1" si="28"/>
        <v>27669779.55112819</v>
      </c>
      <c r="AI29" s="213">
        <f t="shared" ca="1" si="28"/>
        <v>6235488.3010314768</v>
      </c>
      <c r="AJ29" s="213">
        <f t="shared" si="28"/>
        <v>1952186.5427338928</v>
      </c>
    </row>
    <row r="30" spans="1:36">
      <c r="B30" s="12">
        <v>2022</v>
      </c>
      <c r="C30" s="206">
        <f t="shared" si="26"/>
        <v>5560092.8093367331</v>
      </c>
      <c r="D30" s="206">
        <f t="shared" si="27"/>
        <v>63684.210915739088</v>
      </c>
      <c r="E30" s="213">
        <v>2853162.7969485866</v>
      </c>
      <c r="F30" s="213">
        <v>8896998.9036364891</v>
      </c>
      <c r="G30" s="213">
        <v>277785.22478112415</v>
      </c>
      <c r="H30" s="213">
        <v>2458283.6303836238</v>
      </c>
      <c r="I30" s="214">
        <v>1131.6817204720253</v>
      </c>
      <c r="J30" s="214">
        <v>0</v>
      </c>
      <c r="K30" s="214">
        <v>0</v>
      </c>
      <c r="L30" s="214">
        <v>2529360</v>
      </c>
      <c r="M30" s="214">
        <v>657871.58367999992</v>
      </c>
      <c r="N30" s="214">
        <f t="shared" si="24"/>
        <v>1708041.7806844325</v>
      </c>
      <c r="O30" s="214">
        <f t="shared" si="25"/>
        <v>384005.63563556806</v>
      </c>
      <c r="P30" s="214">
        <v>1502580</v>
      </c>
      <c r="Q30" s="213">
        <v>5623777.0202524764</v>
      </c>
      <c r="R30" s="214">
        <v>2092047.4163199998</v>
      </c>
      <c r="T30" s="208"/>
      <c r="U30" s="207"/>
      <c r="V30" s="12">
        <v>2030</v>
      </c>
      <c r="W30" s="213">
        <f t="shared" ca="1" si="28"/>
        <v>43588376.924352907</v>
      </c>
      <c r="X30" s="213">
        <f t="shared" ca="1" si="28"/>
        <v>499241.53018640273</v>
      </c>
      <c r="Y30" s="213">
        <f t="shared" ca="1" si="28"/>
        <v>11478487.109850315</v>
      </c>
      <c r="Z30" s="213">
        <f t="shared" ca="1" si="28"/>
        <v>55846048.766872004</v>
      </c>
      <c r="AA30" s="213">
        <f t="shared" ca="1" si="28"/>
        <v>2996740.7507406985</v>
      </c>
      <c r="AB30" s="213">
        <f t="shared" ca="1" si="28"/>
        <v>12218442.981491039</v>
      </c>
      <c r="AC30" s="213">
        <f t="shared" si="28"/>
        <v>446.70790591188131</v>
      </c>
      <c r="AD30" s="213">
        <f t="shared" si="28"/>
        <v>0</v>
      </c>
      <c r="AE30" s="213">
        <f t="shared" si="28"/>
        <v>3933123</v>
      </c>
      <c r="AF30" s="213">
        <f t="shared" ca="1" si="28"/>
        <v>19016480.935493737</v>
      </c>
      <c r="AG30" s="213">
        <f t="shared" ca="1" si="28"/>
        <v>2093102.9702343142</v>
      </c>
      <c r="AH30" s="213">
        <f t="shared" ca="1" si="28"/>
        <v>26173647.350142889</v>
      </c>
      <c r="AI30" s="213">
        <f t="shared" ca="1" si="28"/>
        <v>5899009.877435579</v>
      </c>
      <c r="AJ30" s="213">
        <f t="shared" si="28"/>
        <v>1952186.5427338928</v>
      </c>
    </row>
    <row r="31" spans="1:36">
      <c r="B31" s="12">
        <v>2023</v>
      </c>
      <c r="C31" s="206">
        <f t="shared" si="26"/>
        <v>5457329.9336772542</v>
      </c>
      <c r="D31" s="206">
        <f t="shared" si="27"/>
        <v>62507.185122785319</v>
      </c>
      <c r="E31" s="213">
        <v>2849735.790902874</v>
      </c>
      <c r="F31" s="213">
        <v>8883941.245833654</v>
      </c>
      <c r="G31" s="213">
        <v>277338.422178115</v>
      </c>
      <c r="H31" s="213">
        <v>2411957.0910812845</v>
      </c>
      <c r="I31" s="214">
        <v>1129.5798808800935</v>
      </c>
      <c r="J31" s="214">
        <v>0</v>
      </c>
      <c r="K31" s="214">
        <v>0</v>
      </c>
      <c r="L31" s="214">
        <v>2524252</v>
      </c>
      <c r="M31" s="214">
        <v>637292.47895999998</v>
      </c>
      <c r="N31" s="214">
        <f t="shared" si="24"/>
        <v>1645211.5200589679</v>
      </c>
      <c r="O31" s="214">
        <f t="shared" si="25"/>
        <v>369880.00098103291</v>
      </c>
      <c r="P31" s="214">
        <v>1502580</v>
      </c>
      <c r="Q31" s="213">
        <v>5519837.1188000441</v>
      </c>
      <c r="R31" s="214">
        <v>2015091.52104</v>
      </c>
      <c r="T31" s="208"/>
      <c r="U31" s="207"/>
      <c r="V31" s="12">
        <v>2031</v>
      </c>
      <c r="W31" s="213">
        <f t="shared" ca="1" si="28"/>
        <v>39652207.609117113</v>
      </c>
      <c r="X31" s="213">
        <f t="shared" ca="1" si="28"/>
        <v>454157.43028713117</v>
      </c>
      <c r="Y31" s="213">
        <f t="shared" ca="1" si="28"/>
        <v>7840773.9027254544</v>
      </c>
      <c r="Z31" s="213">
        <f t="shared" ca="1" si="28"/>
        <v>37334161.293305904</v>
      </c>
      <c r="AA31" s="213">
        <f t="shared" ca="1" si="28"/>
        <v>1898244.9504815072</v>
      </c>
      <c r="AB31" s="213">
        <f t="shared" ca="1" si="28"/>
        <v>8794855.5808784068</v>
      </c>
      <c r="AC31" s="213">
        <f t="shared" si="28"/>
        <v>55.382469116313921</v>
      </c>
      <c r="AD31" s="213">
        <f t="shared" si="28"/>
        <v>0</v>
      </c>
      <c r="AE31" s="213">
        <f t="shared" si="28"/>
        <v>0</v>
      </c>
      <c r="AF31" s="213">
        <f t="shared" ca="1" si="28"/>
        <v>17648686.609587401</v>
      </c>
      <c r="AG31" s="213">
        <f t="shared" ca="1" si="28"/>
        <v>1608596.1753076953</v>
      </c>
      <c r="AH31" s="213">
        <f t="shared" ca="1" si="28"/>
        <v>21193380.869797029</v>
      </c>
      <c r="AI31" s="213">
        <f t="shared" ca="1" si="28"/>
        <v>4779021.8965418544</v>
      </c>
      <c r="AJ31" s="213">
        <f t="shared" si="28"/>
        <v>0</v>
      </c>
    </row>
    <row r="32" spans="1:36">
      <c r="B32" s="12">
        <v>2024</v>
      </c>
      <c r="C32" s="206">
        <f t="shared" si="26"/>
        <v>5447680.1410084749</v>
      </c>
      <c r="D32" s="206">
        <f t="shared" si="27"/>
        <v>62396.658292984968</v>
      </c>
      <c r="E32" s="213">
        <v>2643572.1983076483</v>
      </c>
      <c r="F32" s="213">
        <v>7864726.588430916</v>
      </c>
      <c r="G32" s="213">
        <v>242032.90265903191</v>
      </c>
      <c r="H32" s="213">
        <v>964947.6758631065</v>
      </c>
      <c r="I32" s="214">
        <v>984.41611514517149</v>
      </c>
      <c r="J32" s="214">
        <v>0</v>
      </c>
      <c r="K32" s="214">
        <v>0</v>
      </c>
      <c r="L32" s="214">
        <v>2524252</v>
      </c>
      <c r="M32" s="214">
        <v>575018.40115200018</v>
      </c>
      <c r="N32" s="214">
        <f t="shared" si="24"/>
        <v>1455081.9399764813</v>
      </c>
      <c r="O32" s="214">
        <f t="shared" si="25"/>
        <v>327134.65887151932</v>
      </c>
      <c r="P32" s="214">
        <v>1502580</v>
      </c>
      <c r="Q32" s="213">
        <v>5510076.7993014641</v>
      </c>
      <c r="R32" s="214">
        <v>1782216.5988479999</v>
      </c>
      <c r="T32" s="208"/>
      <c r="U32" s="207"/>
    </row>
    <row r="33" spans="1:36">
      <c r="B33" s="12">
        <v>2025</v>
      </c>
      <c r="C33" s="206">
        <f t="shared" si="26"/>
        <v>5152173.2000403497</v>
      </c>
      <c r="D33" s="206">
        <f t="shared" si="27"/>
        <v>59011.979835086371</v>
      </c>
      <c r="E33" s="213">
        <v>2158489.2511798805</v>
      </c>
      <c r="F33" s="213">
        <v>5151846.0506447749</v>
      </c>
      <c r="G33" s="213">
        <v>147370.45928356922</v>
      </c>
      <c r="H33" s="213">
        <v>583152.51925361715</v>
      </c>
      <c r="I33" s="214">
        <v>602.42978631926303</v>
      </c>
      <c r="J33" s="214">
        <v>0</v>
      </c>
      <c r="K33" s="214">
        <v>0</v>
      </c>
      <c r="L33" s="214">
        <v>2419440</v>
      </c>
      <c r="M33" s="214">
        <v>400561.56681599998</v>
      </c>
      <c r="N33" s="214">
        <f t="shared" si="24"/>
        <v>947493.8279969868</v>
      </c>
      <c r="O33" s="214">
        <f t="shared" si="25"/>
        <v>213017.60518701383</v>
      </c>
      <c r="P33" s="214">
        <v>1502580</v>
      </c>
      <c r="Q33" s="213">
        <v>5211185.17987544</v>
      </c>
      <c r="R33" s="214">
        <v>1160511.4331840002</v>
      </c>
      <c r="T33" s="208"/>
      <c r="U33" s="207"/>
    </row>
    <row r="34" spans="1:36">
      <c r="B34" s="12">
        <v>2026</v>
      </c>
      <c r="C34" s="206">
        <f t="shared" si="26"/>
        <v>5050219.8967018295</v>
      </c>
      <c r="D34" s="206">
        <f t="shared" si="27"/>
        <v>57844.226724479355</v>
      </c>
      <c r="E34" s="213">
        <v>1120094.8208645089</v>
      </c>
      <c r="F34" s="213">
        <v>4964344.3922731858</v>
      </c>
      <c r="G34" s="213">
        <v>140855.25516099299</v>
      </c>
      <c r="H34" s="213">
        <v>418557.8603144401</v>
      </c>
      <c r="I34" s="214">
        <v>577.84381761122472</v>
      </c>
      <c r="J34" s="214">
        <v>0</v>
      </c>
      <c r="K34" s="214">
        <v>0</v>
      </c>
      <c r="L34" s="214">
        <v>2379988</v>
      </c>
      <c r="M34" s="214">
        <v>277791.56536000001</v>
      </c>
      <c r="N34" s="214">
        <f t="shared" si="24"/>
        <v>889393.1493012103</v>
      </c>
      <c r="O34" s="214">
        <f t="shared" si="25"/>
        <v>199955.28533879019</v>
      </c>
      <c r="P34" s="214">
        <v>1502580</v>
      </c>
      <c r="Q34" s="213">
        <v>5108064.1234263126</v>
      </c>
      <c r="R34" s="214">
        <v>1089348.4346400001</v>
      </c>
      <c r="T34" s="208"/>
      <c r="U34" s="207"/>
    </row>
    <row r="35" spans="1:36">
      <c r="B35" s="12">
        <v>2027</v>
      </c>
      <c r="C35" s="206">
        <f t="shared" si="26"/>
        <v>5033763.8775361693</v>
      </c>
      <c r="D35" s="206">
        <f t="shared" si="27"/>
        <v>57655.742713273736</v>
      </c>
      <c r="E35" s="213">
        <v>512118.42269866192</v>
      </c>
      <c r="F35" s="213">
        <v>3475174.2078062962</v>
      </c>
      <c r="G35" s="213">
        <v>88887.624187682843</v>
      </c>
      <c r="H35" s="213">
        <v>284435.15221936704</v>
      </c>
      <c r="I35" s="214">
        <v>350.98463869905584</v>
      </c>
      <c r="J35" s="214">
        <v>0</v>
      </c>
      <c r="K35" s="214">
        <v>0</v>
      </c>
      <c r="L35" s="214">
        <v>2379746</v>
      </c>
      <c r="M35" s="214">
        <v>89594.16593599999</v>
      </c>
      <c r="N35" s="214">
        <f t="shared" si="24"/>
        <v>342436.51783779019</v>
      </c>
      <c r="O35" s="214">
        <f t="shared" si="25"/>
        <v>76987.316226209965</v>
      </c>
      <c r="P35" s="214">
        <v>0</v>
      </c>
      <c r="Q35" s="213">
        <v>5091419.6202494474</v>
      </c>
      <c r="R35" s="214">
        <v>419423.834064</v>
      </c>
      <c r="T35" s="208"/>
    </row>
    <row r="36" spans="1:36">
      <c r="B36" s="12">
        <v>2028</v>
      </c>
      <c r="C36" s="206">
        <f t="shared" si="26"/>
        <v>4984671.2268462693</v>
      </c>
      <c r="D36" s="206">
        <f t="shared" si="27"/>
        <v>57093.44513512931</v>
      </c>
      <c r="E36" s="213">
        <v>469509.58800540591</v>
      </c>
      <c r="F36" s="213">
        <v>3135983.011039448</v>
      </c>
      <c r="G36" s="213">
        <v>85861.631656714773</v>
      </c>
      <c r="H36" s="213">
        <v>276673.85515503975</v>
      </c>
      <c r="I36" s="214">
        <v>339.3868567489809</v>
      </c>
      <c r="J36" s="214">
        <v>0</v>
      </c>
      <c r="K36" s="214">
        <v>0</v>
      </c>
      <c r="L36" s="214">
        <v>2360267</v>
      </c>
      <c r="M36" s="214">
        <v>40565.954895999996</v>
      </c>
      <c r="N36" s="214">
        <f t="shared" si="24"/>
        <v>192748.01974439537</v>
      </c>
      <c r="O36" s="214">
        <f t="shared" si="25"/>
        <v>43334.025359604704</v>
      </c>
      <c r="P36" s="214">
        <v>0</v>
      </c>
      <c r="Q36" s="213">
        <v>5041764.6719814027</v>
      </c>
      <c r="R36" s="214">
        <v>236082.04510399999</v>
      </c>
      <c r="T36" s="208"/>
    </row>
    <row r="37" spans="1:36">
      <c r="B37" s="12">
        <v>2029</v>
      </c>
      <c r="C37" s="206">
        <f t="shared" ref="C37:C39" si="29">Q37*$C$1</f>
        <v>4916664.1663590334</v>
      </c>
      <c r="D37" s="206">
        <f t="shared" ref="D37:D39" si="30">Q37*$D$1</f>
        <v>56314.505622365097</v>
      </c>
      <c r="E37" s="213">
        <v>402468.35014844663</v>
      </c>
      <c r="F37" s="213">
        <v>2546951.6732392223</v>
      </c>
      <c r="G37" s="213">
        <v>85861.631656714773</v>
      </c>
      <c r="H37" s="213">
        <v>221647.44308060381</v>
      </c>
      <c r="I37" s="214">
        <v>339.3868567489809</v>
      </c>
      <c r="J37" s="214">
        <v>0</v>
      </c>
      <c r="K37" s="214">
        <v>0</v>
      </c>
      <c r="L37" s="214">
        <v>2356585</v>
      </c>
      <c r="M37" s="214">
        <v>40565.954895999996</v>
      </c>
      <c r="N37" s="214">
        <f t="shared" si="24"/>
        <v>153746.43917466758</v>
      </c>
      <c r="O37" s="214">
        <f t="shared" si="25"/>
        <v>34565.60592933248</v>
      </c>
      <c r="P37" s="214">
        <v>0</v>
      </c>
      <c r="Q37" s="213">
        <v>4972978.6719814027</v>
      </c>
      <c r="R37" s="214">
        <v>188312.04510399999</v>
      </c>
      <c r="T37" s="208"/>
    </row>
    <row r="38" spans="1:36">
      <c r="B38" s="12">
        <v>2030</v>
      </c>
      <c r="C38" s="206">
        <f t="shared" si="29"/>
        <v>4902449.7645029677</v>
      </c>
      <c r="D38" s="206">
        <f t="shared" si="30"/>
        <v>56151.696655521475</v>
      </c>
      <c r="E38" s="213">
        <v>279085.1333598661</v>
      </c>
      <c r="F38" s="213">
        <v>1798342.1056163274</v>
      </c>
      <c r="G38" s="213">
        <v>59743.047565912246</v>
      </c>
      <c r="H38" s="213">
        <v>153233.53740696207</v>
      </c>
      <c r="I38" s="214">
        <v>248.72533624527264</v>
      </c>
      <c r="J38" s="214">
        <v>0</v>
      </c>
      <c r="K38" s="214">
        <v>0</v>
      </c>
      <c r="L38" s="214">
        <v>2354669</v>
      </c>
      <c r="M38" s="214">
        <v>35518.604271999997</v>
      </c>
      <c r="N38" s="214">
        <f t="shared" si="24"/>
        <v>108442.18899832242</v>
      </c>
      <c r="O38" s="214">
        <f t="shared" si="25"/>
        <v>24380.206729677659</v>
      </c>
      <c r="P38" s="214">
        <v>0</v>
      </c>
      <c r="Q38" s="213">
        <v>4958601.4611584935</v>
      </c>
      <c r="R38" s="214">
        <v>132822.39572800003</v>
      </c>
      <c r="T38" s="208"/>
    </row>
    <row r="39" spans="1:36">
      <c r="B39" s="12">
        <v>2031</v>
      </c>
      <c r="C39" s="206">
        <f t="shared" si="29"/>
        <v>3017254.2183840498</v>
      </c>
      <c r="D39" s="206">
        <f t="shared" si="30"/>
        <v>34559.037163427347</v>
      </c>
      <c r="E39" s="213">
        <v>50284.855576583817</v>
      </c>
      <c r="F39" s="213">
        <v>396448.08985653054</v>
      </c>
      <c r="G39" s="213">
        <v>10822.030782170597</v>
      </c>
      <c r="H39" s="213">
        <v>27757.172193961069</v>
      </c>
      <c r="I39" s="214">
        <v>50.210682926967955</v>
      </c>
      <c r="J39" s="214">
        <v>0</v>
      </c>
      <c r="K39" s="214">
        <v>0</v>
      </c>
      <c r="L39" s="214">
        <v>1619300</v>
      </c>
      <c r="M39" s="214">
        <v>26445.526288000005</v>
      </c>
      <c r="N39" s="214">
        <f t="shared" si="24"/>
        <v>80741.08818921553</v>
      </c>
      <c r="O39" s="214">
        <f t="shared" si="25"/>
        <v>18152.385522784509</v>
      </c>
      <c r="P39" s="214">
        <v>0</v>
      </c>
      <c r="Q39" s="213">
        <v>3051813.2555474797</v>
      </c>
      <c r="R39" s="214">
        <v>98893.473712000006</v>
      </c>
      <c r="T39" s="208"/>
    </row>
    <row r="40" spans="1:36">
      <c r="C40" s="206"/>
      <c r="D40" s="206"/>
      <c r="E40" s="213"/>
      <c r="F40" s="213"/>
      <c r="G40" s="213"/>
      <c r="H40" s="213"/>
      <c r="I40" s="214"/>
      <c r="J40" s="214"/>
      <c r="K40" s="214"/>
      <c r="L40" s="214"/>
      <c r="M40" s="214"/>
      <c r="N40" s="214"/>
      <c r="O40" s="214"/>
      <c r="P40" s="214"/>
      <c r="Q40" s="213"/>
      <c r="R40" s="214"/>
      <c r="U40" s="208"/>
    </row>
    <row r="41" spans="1:36">
      <c r="A41" s="12">
        <v>2016</v>
      </c>
      <c r="B41" s="12">
        <v>2016</v>
      </c>
      <c r="C41" s="206">
        <f>Q41*$C$1</f>
        <v>10909831.37789467</v>
      </c>
      <c r="D41" s="206">
        <f>Q41*$D$1</f>
        <v>124959.06567571734</v>
      </c>
      <c r="E41" s="213">
        <v>2212365.4617075254</v>
      </c>
      <c r="F41" s="213">
        <v>6891424.1340666413</v>
      </c>
      <c r="G41" s="213">
        <v>425136.03799865523</v>
      </c>
      <c r="H41" s="213">
        <v>3061286.405938345</v>
      </c>
      <c r="I41" s="214">
        <v>2769.2150259276946</v>
      </c>
      <c r="J41" s="214">
        <v>0</v>
      </c>
      <c r="K41" s="214">
        <v>9062.9603289399056</v>
      </c>
      <c r="L41" s="214">
        <v>7082840</v>
      </c>
      <c r="M41" s="214">
        <v>115246.1538498976</v>
      </c>
      <c r="N41" s="214">
        <f t="shared" ref="N41:N56" si="31">R41*$N$1</f>
        <v>1928592.9978252139</v>
      </c>
      <c r="O41" s="214">
        <f t="shared" ref="O41:O56" si="32">R41*$O$1</f>
        <v>433590.43577693612</v>
      </c>
      <c r="P41" s="214">
        <v>2337397.4736981387</v>
      </c>
      <c r="Q41" s="213">
        <v>11034790.443570396</v>
      </c>
      <c r="R41" s="214">
        <v>2362183.4336021491</v>
      </c>
      <c r="T41" s="208"/>
      <c r="U41" s="208"/>
      <c r="V41" s="12">
        <f t="shared" ref="V41:AJ41" si="33">V4</f>
        <v>2014</v>
      </c>
      <c r="W41" s="212">
        <f t="shared" si="33"/>
        <v>2626925.9062876785</v>
      </c>
      <c r="X41" s="212">
        <f t="shared" si="33"/>
        <v>30088.293345592581</v>
      </c>
      <c r="Y41" s="212">
        <f t="shared" si="33"/>
        <v>1243486.87191816</v>
      </c>
      <c r="Z41" s="212">
        <f t="shared" si="33"/>
        <v>4996820.7745140763</v>
      </c>
      <c r="AA41" s="212">
        <f t="shared" si="33"/>
        <v>4184.3384732939039</v>
      </c>
      <c r="AB41" s="212">
        <f t="shared" si="33"/>
        <v>953652.87646887684</v>
      </c>
      <c r="AC41" s="212">
        <f t="shared" si="33"/>
        <v>0</v>
      </c>
      <c r="AD41" s="212">
        <f t="shared" si="33"/>
        <v>0</v>
      </c>
      <c r="AE41" s="212">
        <f t="shared" si="33"/>
        <v>271458.12473221432</v>
      </c>
      <c r="AF41" s="212">
        <f t="shared" si="33"/>
        <v>994817.14150924119</v>
      </c>
      <c r="AG41" s="212">
        <f t="shared" si="33"/>
        <v>389773.85769999999</v>
      </c>
      <c r="AH41" s="212">
        <f t="shared" si="33"/>
        <v>989387.09732391918</v>
      </c>
      <c r="AI41" s="212">
        <f t="shared" si="33"/>
        <v>222436.14031810084</v>
      </c>
      <c r="AJ41" s="212">
        <f t="shared" si="33"/>
        <v>0</v>
      </c>
    </row>
    <row r="42" spans="1:36">
      <c r="B42" s="12">
        <v>2017</v>
      </c>
      <c r="C42" s="206">
        <f t="shared" ref="C42:C58" si="34">Q42*$C$1</f>
        <v>10909831.37789467</v>
      </c>
      <c r="D42" s="206">
        <f t="shared" ref="D42:D58" si="35">Q42*$D$1</f>
        <v>124959.06567571734</v>
      </c>
      <c r="E42" s="213">
        <v>2195645.0639217976</v>
      </c>
      <c r="F42" s="213">
        <v>6961844.1769592073</v>
      </c>
      <c r="G42" s="213">
        <v>413893.71313297941</v>
      </c>
      <c r="H42" s="213">
        <v>2008464.6427353546</v>
      </c>
      <c r="I42" s="214">
        <v>2693.6497136823991</v>
      </c>
      <c r="J42" s="214">
        <v>0</v>
      </c>
      <c r="K42" s="214">
        <v>9062.9603289399056</v>
      </c>
      <c r="L42" s="214">
        <v>7082840</v>
      </c>
      <c r="M42" s="214">
        <v>115233.57655996809</v>
      </c>
      <c r="N42" s="214">
        <f t="shared" si="31"/>
        <v>1928555.9517215705</v>
      </c>
      <c r="O42" s="214">
        <f t="shared" si="32"/>
        <v>433582.10699204437</v>
      </c>
      <c r="P42" s="214">
        <v>2337397.4736981387</v>
      </c>
      <c r="Q42" s="213">
        <v>11034790.443570396</v>
      </c>
      <c r="R42" s="214">
        <v>2362138.058713614</v>
      </c>
      <c r="T42" s="208"/>
      <c r="V42" s="12">
        <f t="shared" ref="V42:V58" si="36">V5</f>
        <v>2015</v>
      </c>
      <c r="W42" s="212">
        <f t="shared" ref="W42:AJ42" si="37">W5-W4</f>
        <v>5080026.7698676856</v>
      </c>
      <c r="X42" s="212">
        <f t="shared" si="37"/>
        <v>58185.628795006924</v>
      </c>
      <c r="Y42" s="212">
        <f t="shared" si="37"/>
        <v>2619175.1738369535</v>
      </c>
      <c r="Z42" s="212">
        <f t="shared" si="37"/>
        <v>9438174.3383828625</v>
      </c>
      <c r="AA42" s="212">
        <f t="shared" si="37"/>
        <v>142987.77228215302</v>
      </c>
      <c r="AB42" s="212">
        <f t="shared" si="37"/>
        <v>3387485.8519155509</v>
      </c>
      <c r="AC42" s="212">
        <f t="shared" si="37"/>
        <v>567.34755482945684</v>
      </c>
      <c r="AD42" s="212">
        <f t="shared" si="37"/>
        <v>0</v>
      </c>
      <c r="AE42" s="212">
        <f t="shared" si="37"/>
        <v>271458.12473221432</v>
      </c>
      <c r="AF42" s="212">
        <f t="shared" si="37"/>
        <v>2120935.0783792408</v>
      </c>
      <c r="AG42" s="212">
        <f t="shared" si="37"/>
        <v>712436.4380640001</v>
      </c>
      <c r="AH42" s="212">
        <f t="shared" si="37"/>
        <v>2391931.4448981718</v>
      </c>
      <c r="AI42" s="212">
        <f t="shared" si="37"/>
        <v>537759.18439580896</v>
      </c>
      <c r="AJ42" s="212">
        <f t="shared" si="37"/>
        <v>751290</v>
      </c>
    </row>
    <row r="43" spans="1:36">
      <c r="B43" s="12">
        <v>2018</v>
      </c>
      <c r="C43" s="206">
        <f t="shared" si="34"/>
        <v>10909831.37789467</v>
      </c>
      <c r="D43" s="206">
        <f t="shared" si="35"/>
        <v>124959.06567571734</v>
      </c>
      <c r="E43" s="213">
        <v>2195993.1319781635</v>
      </c>
      <c r="F43" s="213">
        <v>6963962.9083914738</v>
      </c>
      <c r="G43" s="213">
        <v>413893.71313297941</v>
      </c>
      <c r="H43" s="213">
        <v>2008582.2362932754</v>
      </c>
      <c r="I43" s="214">
        <v>2693.6497136823991</v>
      </c>
      <c r="J43" s="214">
        <v>0</v>
      </c>
      <c r="K43" s="214">
        <v>9062.9603289399056</v>
      </c>
      <c r="L43" s="214">
        <v>7082840</v>
      </c>
      <c r="M43" s="214">
        <v>115266.66199440269</v>
      </c>
      <c r="N43" s="214">
        <f t="shared" si="31"/>
        <v>1929342.82144192</v>
      </c>
      <c r="O43" s="214">
        <f t="shared" si="32"/>
        <v>433759.01273904787</v>
      </c>
      <c r="P43" s="214">
        <v>2337397.4736981387</v>
      </c>
      <c r="Q43" s="213">
        <v>11034790.443570396</v>
      </c>
      <c r="R43" s="214">
        <v>2363101.834180967</v>
      </c>
      <c r="T43" s="208"/>
      <c r="U43" s="208"/>
      <c r="V43" s="12">
        <f t="shared" si="36"/>
        <v>2016</v>
      </c>
      <c r="W43" s="212">
        <f>W6-W5</f>
        <v>7961494.9867160451</v>
      </c>
      <c r="X43" s="212">
        <f t="shared" ref="X43:AJ43" si="38">X6-X5</f>
        <v>91189.399768150077</v>
      </c>
      <c r="Y43" s="212">
        <f t="shared" si="38"/>
        <v>2403341.6351523129</v>
      </c>
      <c r="Z43" s="212">
        <f t="shared" si="38"/>
        <v>7711624.4946500994</v>
      </c>
      <c r="AA43" s="212">
        <f t="shared" si="38"/>
        <v>351377.55171432556</v>
      </c>
      <c r="AB43" s="212">
        <f t="shared" si="38"/>
        <v>2787678.4294812959</v>
      </c>
      <c r="AC43" s="212">
        <f t="shared" si="38"/>
        <v>1951.9550677933044</v>
      </c>
      <c r="AD43" s="212">
        <f t="shared" si="38"/>
        <v>0</v>
      </c>
      <c r="AE43" s="212">
        <f t="shared" si="38"/>
        <v>4531.4801644700347</v>
      </c>
      <c r="AF43" s="212">
        <f t="shared" si="38"/>
        <v>4711540.422770001</v>
      </c>
      <c r="AG43" s="212">
        <f t="shared" si="38"/>
        <v>283412.0770889488</v>
      </c>
      <c r="AH43" s="212">
        <f t="shared" si="38"/>
        <v>1714298.8538273899</v>
      </c>
      <c r="AI43" s="212">
        <f t="shared" si="38"/>
        <v>385412.36430968554</v>
      </c>
      <c r="AJ43" s="212">
        <f t="shared" si="38"/>
        <v>1919988.7368490696</v>
      </c>
    </row>
    <row r="44" spans="1:36">
      <c r="B44" s="12">
        <v>2019</v>
      </c>
      <c r="C44" s="206">
        <f t="shared" si="34"/>
        <v>10909831.37789467</v>
      </c>
      <c r="D44" s="206">
        <f t="shared" si="35"/>
        <v>124959.06567571734</v>
      </c>
      <c r="E44" s="213">
        <v>2195978.9169542245</v>
      </c>
      <c r="F44" s="213">
        <v>6963874.1151413387</v>
      </c>
      <c r="G44" s="213">
        <v>413893.71313297941</v>
      </c>
      <c r="H44" s="213">
        <v>2008582.2362932754</v>
      </c>
      <c r="I44" s="214">
        <v>2693.6497136823991</v>
      </c>
      <c r="J44" s="214">
        <v>0</v>
      </c>
      <c r="K44" s="214">
        <v>9062.9603289399056</v>
      </c>
      <c r="L44" s="214">
        <v>7082840</v>
      </c>
      <c r="M44" s="214">
        <v>115254.08470447321</v>
      </c>
      <c r="N44" s="214">
        <f t="shared" si="31"/>
        <v>1929305.7753382761</v>
      </c>
      <c r="O44" s="214">
        <f t="shared" si="32"/>
        <v>433750.68395415606</v>
      </c>
      <c r="P44" s="214">
        <v>2337397.4736981387</v>
      </c>
      <c r="Q44" s="213">
        <v>11034790.443570396</v>
      </c>
      <c r="R44" s="214">
        <v>2363056.4592924314</v>
      </c>
      <c r="T44" s="208"/>
      <c r="U44" s="208"/>
      <c r="V44" s="12">
        <f t="shared" si="36"/>
        <v>2017</v>
      </c>
      <c r="W44" s="212">
        <f t="shared" ref="W44:AJ44" si="39">W7-W6</f>
        <v>17371077.557271603</v>
      </c>
      <c r="X44" s="212">
        <f t="shared" si="39"/>
        <v>198964.91028589744</v>
      </c>
      <c r="Y44" s="212">
        <f t="shared" si="39"/>
        <v>2129438.1755195037</v>
      </c>
      <c r="Z44" s="212">
        <f t="shared" si="39"/>
        <v>8862953.9612320065</v>
      </c>
      <c r="AA44" s="212">
        <f t="shared" si="39"/>
        <v>666902.95970553486</v>
      </c>
      <c r="AB44" s="212">
        <f t="shared" si="39"/>
        <v>2727014.5943534058</v>
      </c>
      <c r="AC44" s="212">
        <f t="shared" si="39"/>
        <v>1308.4514942614969</v>
      </c>
      <c r="AD44" s="212">
        <f t="shared" si="39"/>
        <v>0</v>
      </c>
      <c r="AE44" s="212">
        <f t="shared" si="39"/>
        <v>2563865.8530689874</v>
      </c>
      <c r="AF44" s="212">
        <f t="shared" si="39"/>
        <v>9304720.3697084673</v>
      </c>
      <c r="AG44" s="212">
        <f t="shared" si="39"/>
        <v>268790.01416364452</v>
      </c>
      <c r="AH44" s="212">
        <f t="shared" si="39"/>
        <v>3515227.0194482151</v>
      </c>
      <c r="AI44" s="212">
        <f t="shared" si="39"/>
        <v>790300.91726774303</v>
      </c>
      <c r="AJ44" s="212">
        <f t="shared" si="39"/>
        <v>2992298.7368490696</v>
      </c>
    </row>
    <row r="45" spans="1:36">
      <c r="B45" s="12">
        <v>2020</v>
      </c>
      <c r="C45" s="206">
        <f t="shared" si="34"/>
        <v>10909831.37789467</v>
      </c>
      <c r="D45" s="206">
        <f t="shared" si="35"/>
        <v>124959.06567571734</v>
      </c>
      <c r="E45" s="213">
        <v>2195964.7019302859</v>
      </c>
      <c r="F45" s="213">
        <v>6963785.3218912045</v>
      </c>
      <c r="G45" s="213">
        <v>413893.71313297941</v>
      </c>
      <c r="H45" s="213">
        <v>2008582.2362932754</v>
      </c>
      <c r="I45" s="214">
        <v>2693.6497136823991</v>
      </c>
      <c r="J45" s="214">
        <v>0</v>
      </c>
      <c r="K45" s="214">
        <v>9062.9603289399056</v>
      </c>
      <c r="L45" s="214">
        <v>7082840</v>
      </c>
      <c r="M45" s="214">
        <v>115241.50741454371</v>
      </c>
      <c r="N45" s="214">
        <f t="shared" si="31"/>
        <v>1929268.7292346323</v>
      </c>
      <c r="O45" s="214">
        <f t="shared" si="32"/>
        <v>433742.35516926425</v>
      </c>
      <c r="P45" s="214">
        <v>2337397.4736981387</v>
      </c>
      <c r="Q45" s="213">
        <v>11034790.443570396</v>
      </c>
      <c r="R45" s="214">
        <v>2363011.0844038958</v>
      </c>
      <c r="T45" s="208"/>
      <c r="U45" s="208"/>
      <c r="V45" s="12">
        <f t="shared" si="36"/>
        <v>2018</v>
      </c>
      <c r="W45" s="212">
        <f t="shared" ref="W45:AJ45" si="40">W8-W7</f>
        <v>9766844.2217738777</v>
      </c>
      <c r="X45" s="212">
        <f t="shared" si="40"/>
        <v>111867.51529689186</v>
      </c>
      <c r="Y45" s="212">
        <f t="shared" si="40"/>
        <v>3639959.5338861328</v>
      </c>
      <c r="Z45" s="212">
        <f t="shared" si="40"/>
        <v>11205900.410583287</v>
      </c>
      <c r="AA45" s="212">
        <f t="shared" si="40"/>
        <v>821978.29642310343</v>
      </c>
      <c r="AB45" s="212">
        <f t="shared" si="40"/>
        <v>6389697.2472781744</v>
      </c>
      <c r="AC45" s="212">
        <f t="shared" si="40"/>
        <v>1.2862893074070598</v>
      </c>
      <c r="AD45" s="212">
        <f t="shared" si="40"/>
        <v>0</v>
      </c>
      <c r="AE45" s="212">
        <f t="shared" si="40"/>
        <v>2559334.3729045177</v>
      </c>
      <c r="AF45" s="212">
        <f t="shared" si="40"/>
        <v>4618202.1711312197</v>
      </c>
      <c r="AG45" s="212">
        <f t="shared" si="40"/>
        <v>524452.89981613448</v>
      </c>
      <c r="AH45" s="212">
        <f t="shared" si="40"/>
        <v>3958889.403682813</v>
      </c>
      <c r="AI45" s="212">
        <f t="shared" si="40"/>
        <v>890046.051018117</v>
      </c>
      <c r="AJ45" s="212">
        <f t="shared" si="40"/>
        <v>2638867.3200740432</v>
      </c>
    </row>
    <row r="46" spans="1:36">
      <c r="B46" s="12">
        <v>2021</v>
      </c>
      <c r="C46" s="206">
        <f t="shared" si="34"/>
        <v>10909831.37789467</v>
      </c>
      <c r="D46" s="206">
        <f t="shared" si="35"/>
        <v>124959.06567571734</v>
      </c>
      <c r="E46" s="213">
        <v>2156398.0840748027</v>
      </c>
      <c r="F46" s="213">
        <v>6899480.7823126605</v>
      </c>
      <c r="G46" s="213">
        <v>408572.06836544775</v>
      </c>
      <c r="H46" s="213">
        <v>1983308.1331018172</v>
      </c>
      <c r="I46" s="214">
        <v>2657.8802662307576</v>
      </c>
      <c r="J46" s="214">
        <v>0</v>
      </c>
      <c r="K46" s="214">
        <v>9062.9603289399056</v>
      </c>
      <c r="L46" s="214">
        <v>7082840</v>
      </c>
      <c r="M46" s="214">
        <v>112801.57772092355</v>
      </c>
      <c r="N46" s="214">
        <f t="shared" si="31"/>
        <v>1888479.8254606514</v>
      </c>
      <c r="O46" s="214">
        <f t="shared" si="32"/>
        <v>424572.10588278063</v>
      </c>
      <c r="P46" s="214">
        <v>2337397.4736981387</v>
      </c>
      <c r="Q46" s="213">
        <v>11034790.443570396</v>
      </c>
      <c r="R46" s="214">
        <v>2313051.9313434311</v>
      </c>
      <c r="T46" s="208"/>
      <c r="U46" s="208"/>
      <c r="V46" s="12">
        <f t="shared" si="36"/>
        <v>2019</v>
      </c>
      <c r="W46" s="212">
        <f t="shared" ref="W46:AJ46" si="41">W9-W8</f>
        <v>3029965.2805404216</v>
      </c>
      <c r="X46" s="212">
        <f t="shared" si="41"/>
        <v>34704.627172639128</v>
      </c>
      <c r="Y46" s="212">
        <f t="shared" si="41"/>
        <v>3045959.8284219019</v>
      </c>
      <c r="Z46" s="212">
        <f t="shared" si="41"/>
        <v>10945213.303503536</v>
      </c>
      <c r="AA46" s="212">
        <f t="shared" si="41"/>
        <v>535862.84451315226</v>
      </c>
      <c r="AB46" s="212">
        <f t="shared" si="41"/>
        <v>2503376.3026866596</v>
      </c>
      <c r="AC46" s="212">
        <f t="shared" si="41"/>
        <v>0</v>
      </c>
      <c r="AD46" s="212">
        <f t="shared" si="41"/>
        <v>0</v>
      </c>
      <c r="AE46" s="212">
        <f t="shared" si="41"/>
        <v>1966561.5</v>
      </c>
      <c r="AF46" s="212">
        <f t="shared" si="41"/>
        <v>1279129.725730557</v>
      </c>
      <c r="AG46" s="212">
        <f t="shared" si="41"/>
        <v>294342.60242656199</v>
      </c>
      <c r="AH46" s="212">
        <f t="shared" si="41"/>
        <v>5639401.1436548959</v>
      </c>
      <c r="AI46" s="212">
        <f t="shared" si="41"/>
        <v>1267862.3235465484</v>
      </c>
      <c r="AJ46" s="212">
        <f t="shared" si="41"/>
        <v>976093.27136694733</v>
      </c>
    </row>
    <row r="47" spans="1:36">
      <c r="B47" s="12">
        <v>2022</v>
      </c>
      <c r="C47" s="206">
        <f t="shared" si="34"/>
        <v>10909831.37789467</v>
      </c>
      <c r="D47" s="206">
        <f t="shared" si="35"/>
        <v>124959.06567571734</v>
      </c>
      <c r="E47" s="213">
        <v>2156398.0840748027</v>
      </c>
      <c r="F47" s="213">
        <v>6899480.7823126605</v>
      </c>
      <c r="G47" s="213">
        <v>408572.06836544775</v>
      </c>
      <c r="H47" s="213">
        <v>1983308.1331018172</v>
      </c>
      <c r="I47" s="214">
        <v>2657.8802662307576</v>
      </c>
      <c r="J47" s="214">
        <v>0</v>
      </c>
      <c r="K47" s="214">
        <v>9062.9603289399056</v>
      </c>
      <c r="L47" s="214">
        <v>7082840</v>
      </c>
      <c r="M47" s="214">
        <v>112801.57772092355</v>
      </c>
      <c r="N47" s="214">
        <f t="shared" si="31"/>
        <v>1888479.8254606514</v>
      </c>
      <c r="O47" s="214">
        <f t="shared" si="32"/>
        <v>424572.10588278063</v>
      </c>
      <c r="P47" s="214">
        <v>2337397.4736981387</v>
      </c>
      <c r="Q47" s="213">
        <v>11034790.443570396</v>
      </c>
      <c r="R47" s="214">
        <v>2313051.9313434311</v>
      </c>
      <c r="T47" s="208"/>
      <c r="U47" s="208"/>
      <c r="V47" s="12">
        <f t="shared" si="36"/>
        <v>2020</v>
      </c>
      <c r="W47" s="212">
        <f t="shared" ref="W47:AJ47" si="42">W10-W9</f>
        <v>141608.3404032588</v>
      </c>
      <c r="X47" s="212">
        <f t="shared" si="42"/>
        <v>1621.9541160400258</v>
      </c>
      <c r="Y47" s="212">
        <f t="shared" si="42"/>
        <v>1127447.765167797</v>
      </c>
      <c r="Z47" s="212">
        <f t="shared" si="42"/>
        <v>4982445.0974119976</v>
      </c>
      <c r="AA47" s="212">
        <f t="shared" si="42"/>
        <v>205213.57259299792</v>
      </c>
      <c r="AB47" s="212">
        <f t="shared" si="42"/>
        <v>784991.93935235962</v>
      </c>
      <c r="AC47" s="212">
        <f t="shared" si="42"/>
        <v>-0.85980888338963268</v>
      </c>
      <c r="AD47" s="212">
        <f t="shared" si="42"/>
        <v>0</v>
      </c>
      <c r="AE47" s="212">
        <f t="shared" si="42"/>
        <v>1966561.5</v>
      </c>
      <c r="AF47" s="212">
        <f t="shared" si="42"/>
        <v>9944.8079661279917</v>
      </c>
      <c r="AG47" s="212">
        <f t="shared" si="42"/>
        <v>136752.91842651879</v>
      </c>
      <c r="AH47" s="212">
        <f t="shared" si="42"/>
        <v>3935778.0938777514</v>
      </c>
      <c r="AI47" s="212">
        <f t="shared" si="42"/>
        <v>884850.11652024789</v>
      </c>
      <c r="AJ47" s="212">
        <f t="shared" si="42"/>
        <v>160825.95129290223</v>
      </c>
    </row>
    <row r="48" spans="1:36">
      <c r="B48" s="12">
        <v>2023</v>
      </c>
      <c r="C48" s="206">
        <f t="shared" si="34"/>
        <v>10908484.801318279</v>
      </c>
      <c r="D48" s="206">
        <f t="shared" si="35"/>
        <v>124943.64225210811</v>
      </c>
      <c r="E48" s="213">
        <v>2156398.0840748027</v>
      </c>
      <c r="F48" s="213">
        <v>6899480.7823126605</v>
      </c>
      <c r="G48" s="213">
        <v>408572.06836544775</v>
      </c>
      <c r="H48" s="213">
        <v>1983308.1331018172</v>
      </c>
      <c r="I48" s="214">
        <v>2657.8802662307576</v>
      </c>
      <c r="J48" s="214">
        <v>0</v>
      </c>
      <c r="K48" s="214">
        <v>9062.9603289399056</v>
      </c>
      <c r="L48" s="214">
        <v>7081990</v>
      </c>
      <c r="M48" s="214">
        <v>112801.57772092355</v>
      </c>
      <c r="N48" s="214">
        <f t="shared" si="31"/>
        <v>1888479.8254606514</v>
      </c>
      <c r="O48" s="214">
        <f t="shared" si="32"/>
        <v>424572.10588278063</v>
      </c>
      <c r="P48" s="214">
        <v>2337397.4736981387</v>
      </c>
      <c r="Q48" s="213">
        <v>11033428.443570396</v>
      </c>
      <c r="R48" s="214">
        <v>2313051.9313434311</v>
      </c>
      <c r="T48" s="208"/>
      <c r="U48" s="208"/>
      <c r="V48" s="12">
        <f t="shared" si="36"/>
        <v>2021</v>
      </c>
      <c r="W48" s="212">
        <f ca="1">W11-W10</f>
        <v>146592.25908855349</v>
      </c>
      <c r="X48" s="212">
        <f t="shared" ref="X48:AJ48" ca="1" si="43">X11-X10</f>
        <v>1679.0389417123515</v>
      </c>
      <c r="Y48" s="212">
        <f t="shared" ca="1" si="43"/>
        <v>684509.34907557629</v>
      </c>
      <c r="Z48" s="212">
        <f t="shared" ca="1" si="43"/>
        <v>5669332.8705473542</v>
      </c>
      <c r="AA48" s="212">
        <f t="shared" ca="1" si="43"/>
        <v>180641.65001109941</v>
      </c>
      <c r="AB48" s="212">
        <f t="shared" ca="1" si="43"/>
        <v>1119859.1236343533</v>
      </c>
      <c r="AC48" s="212">
        <f t="shared" si="43"/>
        <v>-38.618610605492904</v>
      </c>
      <c r="AD48" s="212">
        <f t="shared" si="43"/>
        <v>0</v>
      </c>
      <c r="AE48" s="212">
        <f t="shared" si="43"/>
        <v>0</v>
      </c>
      <c r="AF48" s="212">
        <f t="shared" ca="1" si="43"/>
        <v>-2666800.8675890639</v>
      </c>
      <c r="AG48" s="212">
        <f t="shared" ca="1" si="43"/>
        <v>165547.50798770646</v>
      </c>
      <c r="AH48" s="212">
        <f t="shared" ca="1" si="43"/>
        <v>3497958.2337627187</v>
      </c>
      <c r="AI48" s="212">
        <f t="shared" ca="1" si="43"/>
        <v>786939.08036476374</v>
      </c>
      <c r="AJ48" s="212">
        <f t="shared" si="43"/>
        <v>0</v>
      </c>
    </row>
    <row r="49" spans="1:36">
      <c r="B49" s="12">
        <v>2024</v>
      </c>
      <c r="C49" s="206">
        <f t="shared" si="34"/>
        <v>10908484.801318279</v>
      </c>
      <c r="D49" s="206">
        <f t="shared" si="35"/>
        <v>124943.64225210811</v>
      </c>
      <c r="E49" s="213">
        <v>2143454.1208947184</v>
      </c>
      <c r="F49" s="213">
        <v>6864915.4410939822</v>
      </c>
      <c r="G49" s="213">
        <v>405680.55310521898</v>
      </c>
      <c r="H49" s="213">
        <v>1969595.24935662</v>
      </c>
      <c r="I49" s="214">
        <v>2638.4449398092338</v>
      </c>
      <c r="J49" s="214">
        <v>0</v>
      </c>
      <c r="K49" s="214">
        <v>9062.9603289399056</v>
      </c>
      <c r="L49" s="214">
        <v>7081990</v>
      </c>
      <c r="M49" s="214">
        <v>112795.09199606015</v>
      </c>
      <c r="N49" s="214">
        <f t="shared" si="31"/>
        <v>1888371.4020056429</v>
      </c>
      <c r="O49" s="214">
        <f t="shared" si="32"/>
        <v>424547.729887867</v>
      </c>
      <c r="P49" s="214">
        <v>2337397.4736981387</v>
      </c>
      <c r="Q49" s="213">
        <v>11033428.443570396</v>
      </c>
      <c r="R49" s="214">
        <v>2312919.1318935091</v>
      </c>
      <c r="T49" s="208"/>
      <c r="U49" s="208"/>
      <c r="V49" s="12">
        <f t="shared" si="36"/>
        <v>2022</v>
      </c>
      <c r="W49" s="212">
        <f t="shared" ref="W49:AJ49" ca="1" si="44">W12-W11</f>
        <v>50217.267653718591</v>
      </c>
      <c r="X49" s="212">
        <f t="shared" ca="1" si="44"/>
        <v>575.17871994909365</v>
      </c>
      <c r="Y49" s="212">
        <f t="shared" ca="1" si="44"/>
        <v>1329519.3739007525</v>
      </c>
      <c r="Z49" s="212">
        <f t="shared" ca="1" si="44"/>
        <v>9207914.4834234938</v>
      </c>
      <c r="AA49" s="212">
        <f t="shared" ca="1" si="44"/>
        <v>358721.4912816342</v>
      </c>
      <c r="AB49" s="212">
        <f t="shared" ca="1" si="44"/>
        <v>222794.60803151876</v>
      </c>
      <c r="AC49" s="212">
        <f t="shared" si="44"/>
        <v>0</v>
      </c>
      <c r="AD49" s="212">
        <f t="shared" si="44"/>
        <v>0</v>
      </c>
      <c r="AE49" s="212">
        <f t="shared" si="44"/>
        <v>0</v>
      </c>
      <c r="AF49" s="212">
        <f t="shared" ca="1" si="44"/>
        <v>45399.407989658415</v>
      </c>
      <c r="AG49" s="212">
        <f t="shared" ca="1" si="44"/>
        <v>362303.20053784968</v>
      </c>
      <c r="AH49" s="212">
        <f t="shared" ca="1" si="44"/>
        <v>4906895.0007907525</v>
      </c>
      <c r="AI49" s="212">
        <f t="shared" ca="1" si="44"/>
        <v>1104819.4161286587</v>
      </c>
      <c r="AJ49" s="212">
        <f t="shared" si="44"/>
        <v>0</v>
      </c>
    </row>
    <row r="50" spans="1:36">
      <c r="B50" s="12">
        <v>2025</v>
      </c>
      <c r="C50" s="206">
        <f t="shared" si="34"/>
        <v>10870179.542231875</v>
      </c>
      <c r="D50" s="206">
        <f t="shared" si="35"/>
        <v>124504.90133851324</v>
      </c>
      <c r="E50" s="213">
        <v>2143454.1208947184</v>
      </c>
      <c r="F50" s="213">
        <v>6864915.4410939822</v>
      </c>
      <c r="G50" s="213">
        <v>405680.55310521898</v>
      </c>
      <c r="H50" s="213">
        <v>1969595.24935662</v>
      </c>
      <c r="I50" s="214">
        <v>2638.4449398092338</v>
      </c>
      <c r="J50" s="214">
        <v>0</v>
      </c>
      <c r="K50" s="214">
        <v>9062.9603289399056</v>
      </c>
      <c r="L50" s="214">
        <v>7057980</v>
      </c>
      <c r="M50" s="214">
        <v>112795.09199606015</v>
      </c>
      <c r="N50" s="214">
        <f t="shared" si="31"/>
        <v>1888371.4020056429</v>
      </c>
      <c r="O50" s="214">
        <f t="shared" si="32"/>
        <v>424547.729887867</v>
      </c>
      <c r="P50" s="214">
        <v>2337397.4736981387</v>
      </c>
      <c r="Q50" s="213">
        <v>10994684.443570396</v>
      </c>
      <c r="R50" s="214">
        <v>2312919.1318935091</v>
      </c>
      <c r="T50" s="208"/>
      <c r="U50" s="208"/>
      <c r="V50" s="12">
        <f t="shared" si="36"/>
        <v>2023</v>
      </c>
      <c r="W50" s="212">
        <f t="shared" ref="W50:AJ50" ca="1" si="45">W13-W12</f>
        <v>6428.5554125905037</v>
      </c>
      <c r="X50" s="212">
        <f t="shared" ca="1" si="45"/>
        <v>72.627729988424107</v>
      </c>
      <c r="Y50" s="212">
        <f t="shared" ca="1" si="45"/>
        <v>608032.10670743138</v>
      </c>
      <c r="Z50" s="212">
        <f t="shared" ca="1" si="45"/>
        <v>4397884.7714798003</v>
      </c>
      <c r="AA50" s="212">
        <f t="shared" ca="1" si="45"/>
        <v>338214.13788897963</v>
      </c>
      <c r="AB50" s="212">
        <f t="shared" ca="1" si="45"/>
        <v>1349205.7022542097</v>
      </c>
      <c r="AC50" s="212">
        <f t="shared" si="45"/>
        <v>-2.1018395919318209</v>
      </c>
      <c r="AD50" s="212">
        <f t="shared" si="45"/>
        <v>0</v>
      </c>
      <c r="AE50" s="212">
        <f t="shared" si="45"/>
        <v>0</v>
      </c>
      <c r="AF50" s="212">
        <f t="shared" ca="1" si="45"/>
        <v>54535.019536215812</v>
      </c>
      <c r="AG50" s="212">
        <f t="shared" ca="1" si="45"/>
        <v>228446.70064647263</v>
      </c>
      <c r="AH50" s="212">
        <f t="shared" ca="1" si="45"/>
        <v>2316201.5066302493</v>
      </c>
      <c r="AI50" s="212">
        <f t="shared" ca="1" si="45"/>
        <v>524385.15981066879</v>
      </c>
      <c r="AJ50" s="212">
        <f t="shared" si="45"/>
        <v>0</v>
      </c>
    </row>
    <row r="51" spans="1:36">
      <c r="B51" s="12">
        <v>2026</v>
      </c>
      <c r="C51" s="206">
        <f t="shared" si="34"/>
        <v>10769878.372132869</v>
      </c>
      <c r="D51" s="206">
        <f t="shared" si="35"/>
        <v>123356.07143751698</v>
      </c>
      <c r="E51" s="213">
        <v>2099351.8029856435</v>
      </c>
      <c r="F51" s="213">
        <v>6715563.7563014524</v>
      </c>
      <c r="G51" s="213">
        <v>392409.48430924222</v>
      </c>
      <c r="H51" s="213">
        <v>1950973.7753093929</v>
      </c>
      <c r="I51" s="214">
        <v>2615.7718899834204</v>
      </c>
      <c r="J51" s="214">
        <v>0</v>
      </c>
      <c r="K51" s="214">
        <v>9062.9603289399056</v>
      </c>
      <c r="L51" s="214">
        <v>6990631</v>
      </c>
      <c r="M51" s="214">
        <v>112272.53474169374</v>
      </c>
      <c r="N51" s="214">
        <f t="shared" si="31"/>
        <v>1879635.6840788189</v>
      </c>
      <c r="O51" s="214">
        <f t="shared" si="32"/>
        <v>422583.74694953457</v>
      </c>
      <c r="P51" s="214">
        <v>2337397.4736981387</v>
      </c>
      <c r="Q51" s="213">
        <v>10893234.443570396</v>
      </c>
      <c r="R51" s="214">
        <v>2302219.4310283526</v>
      </c>
      <c r="T51" s="208"/>
      <c r="U51" s="208"/>
      <c r="V51" s="12">
        <f t="shared" si="36"/>
        <v>2024</v>
      </c>
      <c r="W51" s="212">
        <f ca="1">W14-W13</f>
        <v>2519912.0130072981</v>
      </c>
      <c r="X51" s="212">
        <f t="shared" ref="X51:AJ51" ca="1" si="46">X14-X13</f>
        <v>28851.117308714893</v>
      </c>
      <c r="Y51" s="212">
        <f t="shared" ca="1" si="46"/>
        <v>1385211.5387838036</v>
      </c>
      <c r="Z51" s="212">
        <f t="shared" ca="1" si="46"/>
        <v>6678274.798143968</v>
      </c>
      <c r="AA51" s="212">
        <f t="shared" ca="1" si="46"/>
        <v>650423.30952715082</v>
      </c>
      <c r="AB51" s="212">
        <f t="shared" ca="1" si="46"/>
        <v>2052422.6895236038</v>
      </c>
      <c r="AC51" s="212">
        <f t="shared" si="46"/>
        <v>-164.59909215644529</v>
      </c>
      <c r="AD51" s="212">
        <f t="shared" si="46"/>
        <v>0</v>
      </c>
      <c r="AE51" s="212">
        <f t="shared" si="46"/>
        <v>0</v>
      </c>
      <c r="AF51" s="212">
        <f t="shared" ca="1" si="46"/>
        <v>995795.06620332226</v>
      </c>
      <c r="AG51" s="212">
        <f t="shared" ca="1" si="46"/>
        <v>417592.13962242287</v>
      </c>
      <c r="AH51" s="212">
        <f t="shared" ca="1" si="46"/>
        <v>3524740.7348156869</v>
      </c>
      <c r="AI51" s="212">
        <f t="shared" ca="1" si="46"/>
        <v>802146.61381971836</v>
      </c>
      <c r="AJ51" s="212">
        <f t="shared" si="46"/>
        <v>0</v>
      </c>
    </row>
    <row r="52" spans="1:36">
      <c r="B52" s="12">
        <v>2027</v>
      </c>
      <c r="C52" s="206">
        <f t="shared" si="34"/>
        <v>10765619.156353801</v>
      </c>
      <c r="D52" s="206">
        <f t="shared" si="35"/>
        <v>123307.28721658555</v>
      </c>
      <c r="E52" s="213">
        <v>1639717.2903993761</v>
      </c>
      <c r="F52" s="213">
        <v>5353766.8276816355</v>
      </c>
      <c r="G52" s="213">
        <v>304346.5605623037</v>
      </c>
      <c r="H52" s="213">
        <v>1531366.8916339725</v>
      </c>
      <c r="I52" s="214">
        <v>2045.6661014918702</v>
      </c>
      <c r="J52" s="214">
        <v>0</v>
      </c>
      <c r="K52" s="214">
        <v>9062.9603289399056</v>
      </c>
      <c r="L52" s="214">
        <v>6988073</v>
      </c>
      <c r="M52" s="214">
        <v>79290.413860487781</v>
      </c>
      <c r="N52" s="214">
        <f t="shared" si="31"/>
        <v>1328265.4710751467</v>
      </c>
      <c r="O52" s="214">
        <f t="shared" si="32"/>
        <v>298623.5069194861</v>
      </c>
      <c r="P52" s="214">
        <v>2337397.4736981387</v>
      </c>
      <c r="Q52" s="213">
        <v>10888926.443570396</v>
      </c>
      <c r="R52" s="214">
        <v>1626888.9779946322</v>
      </c>
      <c r="T52" s="208"/>
      <c r="U52" s="208"/>
      <c r="V52" s="12">
        <f t="shared" si="36"/>
        <v>2025</v>
      </c>
      <c r="W52" s="212">
        <f t="shared" ref="W52:AJ52" ca="1" si="47">W15-W14</f>
        <v>4977136.7095110044</v>
      </c>
      <c r="X52" s="212">
        <f t="shared" ca="1" si="47"/>
        <v>56982.617620456382</v>
      </c>
      <c r="Y52" s="212">
        <f t="shared" ca="1" si="47"/>
        <v>2219488.1821119078</v>
      </c>
      <c r="Z52" s="212">
        <f t="shared" ca="1" si="47"/>
        <v>12553322.035254806</v>
      </c>
      <c r="AA52" s="212">
        <f t="shared" ca="1" si="47"/>
        <v>998473.80783693679</v>
      </c>
      <c r="AB52" s="212">
        <f t="shared" ca="1" si="47"/>
        <v>4579727.2883475237</v>
      </c>
      <c r="AC52" s="212">
        <f t="shared" si="47"/>
        <v>-381.98632882590846</v>
      </c>
      <c r="AD52" s="212">
        <f t="shared" si="47"/>
        <v>0</v>
      </c>
      <c r="AE52" s="212">
        <f t="shared" si="47"/>
        <v>0</v>
      </c>
      <c r="AF52" s="212">
        <f t="shared" ca="1" si="47"/>
        <v>1937739.2896165363</v>
      </c>
      <c r="AG52" s="212">
        <f t="shared" ca="1" si="47"/>
        <v>267683.92538477201</v>
      </c>
      <c r="AH52" s="212">
        <f t="shared" ca="1" si="47"/>
        <v>5478387.0737965852</v>
      </c>
      <c r="AI52" s="212">
        <f t="shared" ca="1" si="47"/>
        <v>1245745.3759276401</v>
      </c>
      <c r="AJ52" s="212">
        <f t="shared" si="47"/>
        <v>0</v>
      </c>
    </row>
    <row r="53" spans="1:36">
      <c r="B53" s="12">
        <v>2028</v>
      </c>
      <c r="C53" s="206">
        <f t="shared" si="34"/>
        <v>10765520.288763758</v>
      </c>
      <c r="D53" s="206">
        <f t="shared" si="35"/>
        <v>123306.15480662893</v>
      </c>
      <c r="E53" s="213">
        <v>725925.95192336873</v>
      </c>
      <c r="F53" s="213">
        <v>2523578.1158796391</v>
      </c>
      <c r="G53" s="213">
        <v>125607.11644506078</v>
      </c>
      <c r="H53" s="213">
        <v>647085.76198349451</v>
      </c>
      <c r="I53" s="214">
        <v>844.26851988426461</v>
      </c>
      <c r="J53" s="214">
        <v>0</v>
      </c>
      <c r="K53" s="214">
        <v>0</v>
      </c>
      <c r="L53" s="214">
        <v>6988073</v>
      </c>
      <c r="M53" s="214">
        <v>13500.5407484845</v>
      </c>
      <c r="N53" s="214">
        <f t="shared" si="31"/>
        <v>227757.46053902066</v>
      </c>
      <c r="O53" s="214">
        <f t="shared" si="32"/>
        <v>51204.923318669127</v>
      </c>
      <c r="P53" s="214">
        <v>0</v>
      </c>
      <c r="Q53" s="213">
        <v>10888826.443570396</v>
      </c>
      <c r="R53" s="214">
        <v>278962.38385768968</v>
      </c>
      <c r="T53" s="208"/>
      <c r="U53" s="208"/>
      <c r="V53" s="12">
        <f t="shared" si="36"/>
        <v>2026</v>
      </c>
      <c r="W53" s="212">
        <f t="shared" ref="W53:AJ53" ca="1" si="48">W16-W15</f>
        <v>6717242.7636569962</v>
      </c>
      <c r="X53" s="212">
        <f t="shared" ca="1" si="48"/>
        <v>76907.936549776932</v>
      </c>
      <c r="Y53" s="212">
        <f t="shared" ca="1" si="48"/>
        <v>1626347.8138037734</v>
      </c>
      <c r="Z53" s="212">
        <f t="shared" ca="1" si="48"/>
        <v>12528942.818320468</v>
      </c>
      <c r="AA53" s="212">
        <f t="shared" ca="1" si="48"/>
        <v>1106646.4939212212</v>
      </c>
      <c r="AB53" s="212">
        <f t="shared" ca="1" si="48"/>
        <v>4409265.3917099014</v>
      </c>
      <c r="AC53" s="212">
        <f t="shared" si="48"/>
        <v>-47.259018533852213</v>
      </c>
      <c r="AD53" s="212">
        <f t="shared" si="48"/>
        <v>0</v>
      </c>
      <c r="AE53" s="212">
        <f t="shared" si="48"/>
        <v>-542916.24946442805</v>
      </c>
      <c r="AF53" s="212">
        <f t="shared" ca="1" si="48"/>
        <v>2561139.8341696151</v>
      </c>
      <c r="AG53" s="212">
        <f t="shared" ca="1" si="48"/>
        <v>628991.40121366922</v>
      </c>
      <c r="AH53" s="212">
        <f t="shared" ca="1" si="48"/>
        <v>4624274.216152519</v>
      </c>
      <c r="AI53" s="212">
        <f t="shared" ca="1" si="48"/>
        <v>1054403.1347572561</v>
      </c>
      <c r="AJ53" s="212">
        <f t="shared" si="48"/>
        <v>0</v>
      </c>
    </row>
    <row r="54" spans="1:36">
      <c r="B54" s="12">
        <v>2029</v>
      </c>
      <c r="C54" s="206">
        <f t="shared" ref="C54:C56" si="49">Q54*$C$1</f>
        <v>10720947.813144503</v>
      </c>
      <c r="D54" s="206">
        <f t="shared" ref="D54:D56" si="50">Q54*$D$1</f>
        <v>122795.63042588359</v>
      </c>
      <c r="E54" s="213">
        <v>725925.95192336873</v>
      </c>
      <c r="F54" s="213">
        <v>2523578.1158796391</v>
      </c>
      <c r="G54" s="213">
        <v>125607.11644506078</v>
      </c>
      <c r="H54" s="213">
        <v>647085.76198349451</v>
      </c>
      <c r="I54" s="214">
        <v>844.26851988426461</v>
      </c>
      <c r="J54" s="214">
        <v>0</v>
      </c>
      <c r="K54" s="214">
        <v>0</v>
      </c>
      <c r="L54" s="214">
        <v>6957505</v>
      </c>
      <c r="M54" s="214">
        <v>13500.5407484845</v>
      </c>
      <c r="N54" s="214">
        <f t="shared" si="31"/>
        <v>227757.46053902066</v>
      </c>
      <c r="O54" s="214">
        <f t="shared" si="32"/>
        <v>51204.923318669127</v>
      </c>
      <c r="P54" s="214">
        <v>0</v>
      </c>
      <c r="Q54" s="213">
        <v>10843743.443570396</v>
      </c>
      <c r="R54" s="214">
        <v>278962.38385768968</v>
      </c>
      <c r="T54" s="208"/>
      <c r="U54" s="208"/>
      <c r="V54" s="12">
        <f t="shared" si="36"/>
        <v>2027</v>
      </c>
      <c r="W54" s="212">
        <f t="shared" ref="W54:AJ54" ca="1" si="51">W17-W16</f>
        <v>7186328.1547432989</v>
      </c>
      <c r="X54" s="212">
        <f t="shared" ca="1" si="51"/>
        <v>82278.358730041073</v>
      </c>
      <c r="Y54" s="212">
        <f t="shared" ca="1" si="51"/>
        <v>2044509.5753880627</v>
      </c>
      <c r="Z54" s="212">
        <f t="shared" ca="1" si="51"/>
        <v>12811726.706256017</v>
      </c>
      <c r="AA54" s="212">
        <f t="shared" ca="1" si="51"/>
        <v>1123524.4048799099</v>
      </c>
      <c r="AB54" s="212">
        <f t="shared" ca="1" si="51"/>
        <v>3176003.8545269072</v>
      </c>
      <c r="AC54" s="212">
        <f t="shared" si="51"/>
        <v>-796.96496740371867</v>
      </c>
      <c r="AD54" s="212">
        <f t="shared" si="51"/>
        <v>0</v>
      </c>
      <c r="AE54" s="212">
        <f t="shared" si="51"/>
        <v>0</v>
      </c>
      <c r="AF54" s="212">
        <f t="shared" ca="1" si="51"/>
        <v>2567510.2111495063</v>
      </c>
      <c r="AG54" s="212">
        <f t="shared" ca="1" si="51"/>
        <v>673031.78461707104</v>
      </c>
      <c r="AH54" s="212">
        <f t="shared" ca="1" si="51"/>
        <v>5062484.0384652093</v>
      </c>
      <c r="AI54" s="212">
        <f t="shared" ca="1" si="51"/>
        <v>1157842.7088865284</v>
      </c>
      <c r="AJ54" s="212">
        <f t="shared" si="51"/>
        <v>-1502580</v>
      </c>
    </row>
    <row r="55" spans="1:36">
      <c r="B55" s="12">
        <v>2030</v>
      </c>
      <c r="C55" s="206">
        <f t="shared" si="49"/>
        <v>9548186.392105395</v>
      </c>
      <c r="D55" s="206">
        <f t="shared" si="50"/>
        <v>109363.05146499285</v>
      </c>
      <c r="E55" s="213">
        <v>164660.9221893322</v>
      </c>
      <c r="F55" s="213">
        <v>576781.41735279106</v>
      </c>
      <c r="G55" s="213">
        <v>29455.107109305784</v>
      </c>
      <c r="H55" s="213">
        <v>148937.3436105304</v>
      </c>
      <c r="I55" s="214">
        <v>197.98256966660867</v>
      </c>
      <c r="J55" s="214">
        <v>0</v>
      </c>
      <c r="K55" s="214">
        <v>0</v>
      </c>
      <c r="L55" s="214">
        <v>6183582</v>
      </c>
      <c r="M55" s="214">
        <v>3758.9820036214437</v>
      </c>
      <c r="N55" s="214">
        <f t="shared" si="31"/>
        <v>64905.431117117078</v>
      </c>
      <c r="O55" s="214">
        <f t="shared" si="32"/>
        <v>14592.178958492315</v>
      </c>
      <c r="P55" s="214">
        <v>0</v>
      </c>
      <c r="Q55" s="213">
        <v>9657549.4435703959</v>
      </c>
      <c r="R55" s="214">
        <v>79497.610075609366</v>
      </c>
      <c r="T55" s="208"/>
      <c r="U55" s="208"/>
      <c r="V55" s="12">
        <f t="shared" si="36"/>
        <v>2028</v>
      </c>
      <c r="W55" s="212">
        <f ca="1">W18-W17</f>
        <v>7933559.1605333239</v>
      </c>
      <c r="X55" s="212">
        <f t="shared" ref="X55:AJ55" ca="1" si="52">X18-X17</f>
        <v>90834.591302125831</v>
      </c>
      <c r="Y55" s="212">
        <f t="shared" ca="1" si="52"/>
        <v>2321180.9278108329</v>
      </c>
      <c r="Z55" s="212">
        <f t="shared" ca="1" si="52"/>
        <v>14484546.353070453</v>
      </c>
      <c r="AA55" s="212">
        <f t="shared" ca="1" si="52"/>
        <v>1200955.3646313725</v>
      </c>
      <c r="AB55" s="212">
        <f t="shared" ca="1" si="52"/>
        <v>4406165.149217017</v>
      </c>
      <c r="AC55" s="212">
        <f t="shared" si="52"/>
        <v>-1212.9953635576808</v>
      </c>
      <c r="AD55" s="212">
        <f t="shared" si="52"/>
        <v>0</v>
      </c>
      <c r="AE55" s="212">
        <f t="shared" si="52"/>
        <v>-9062.9603289403021</v>
      </c>
      <c r="AF55" s="212">
        <f t="shared" ca="1" si="52"/>
        <v>2846168.6060792394</v>
      </c>
      <c r="AG55" s="212">
        <f t="shared" ca="1" si="52"/>
        <v>818077.07720858138</v>
      </c>
      <c r="AH55" s="212">
        <f t="shared" ca="1" si="52"/>
        <v>6119464.4901735038</v>
      </c>
      <c r="AI55" s="212">
        <f t="shared" ca="1" si="52"/>
        <v>1400321.3863789272</v>
      </c>
      <c r="AJ55" s="212">
        <f t="shared" si="52"/>
        <v>-2337397.4736981392</v>
      </c>
    </row>
    <row r="56" spans="1:36">
      <c r="B56" s="12">
        <v>2031</v>
      </c>
      <c r="C56" s="206">
        <f t="shared" si="49"/>
        <v>9547979.7588422056</v>
      </c>
      <c r="D56" s="206">
        <f t="shared" si="50"/>
        <v>109360.68472818351</v>
      </c>
      <c r="E56" s="213">
        <v>5377.7677782088549</v>
      </c>
      <c r="F56" s="213">
        <v>41542.539504788787</v>
      </c>
      <c r="G56" s="213">
        <v>769.43902895157953</v>
      </c>
      <c r="H56" s="213">
        <v>3602.7100710146283</v>
      </c>
      <c r="I56" s="214">
        <v>5.1717861893459656</v>
      </c>
      <c r="J56" s="214">
        <v>0</v>
      </c>
      <c r="K56" s="214">
        <v>0</v>
      </c>
      <c r="L56" s="214">
        <v>6183582</v>
      </c>
      <c r="M56" s="214">
        <v>0</v>
      </c>
      <c r="N56" s="214">
        <f t="shared" si="31"/>
        <v>2065.6060046349448</v>
      </c>
      <c r="O56" s="214">
        <f t="shared" si="32"/>
        <v>464.39399536505596</v>
      </c>
      <c r="P56" s="214">
        <v>0</v>
      </c>
      <c r="Q56" s="213">
        <v>9657340.4435703959</v>
      </c>
      <c r="R56" s="214">
        <v>2530</v>
      </c>
      <c r="T56" s="208"/>
      <c r="U56" s="208"/>
      <c r="V56" s="12">
        <f t="shared" si="36"/>
        <v>2029</v>
      </c>
      <c r="W56" s="212">
        <f ca="1">W19-W18</f>
        <v>8557165.4166860282</v>
      </c>
      <c r="X56" s="212">
        <f t="shared" ref="X56:AJ56" ca="1" si="53">X19-X18</f>
        <v>97974.899044392398</v>
      </c>
      <c r="Y56" s="212">
        <f t="shared" ca="1" si="53"/>
        <v>2217292.0030794106</v>
      </c>
      <c r="Z56" s="212">
        <f t="shared" ca="1" si="53"/>
        <v>11615441.281874806</v>
      </c>
      <c r="AA56" s="212">
        <f t="shared" ca="1" si="53"/>
        <v>1029998.8147014417</v>
      </c>
      <c r="AB56" s="212">
        <f t="shared" ca="1" si="53"/>
        <v>4989706.1128212512</v>
      </c>
      <c r="AC56" s="212">
        <f t="shared" si="53"/>
        <v>0</v>
      </c>
      <c r="AD56" s="212">
        <f t="shared" si="53"/>
        <v>0</v>
      </c>
      <c r="AE56" s="212">
        <f t="shared" si="53"/>
        <v>-5118668.7458090354</v>
      </c>
      <c r="AF56" s="212">
        <f t="shared" ca="1" si="53"/>
        <v>2953524.1491722278</v>
      </c>
      <c r="AG56" s="212">
        <f t="shared" ca="1" si="53"/>
        <v>795708.20048944373</v>
      </c>
      <c r="AH56" s="212">
        <f t="shared" ca="1" si="53"/>
        <v>4260970.3348398656</v>
      </c>
      <c r="AI56" s="212">
        <f t="shared" ca="1" si="53"/>
        <v>983236.35359565914</v>
      </c>
      <c r="AJ56" s="212">
        <f t="shared" si="53"/>
        <v>-3647200</v>
      </c>
    </row>
    <row r="57" spans="1:36">
      <c r="C57" s="206"/>
      <c r="D57" s="206"/>
      <c r="E57" s="213"/>
      <c r="F57" s="213"/>
      <c r="G57" s="213"/>
      <c r="H57" s="213"/>
      <c r="I57" s="214"/>
      <c r="J57" s="214"/>
      <c r="K57" s="214"/>
      <c r="L57" s="214"/>
      <c r="M57" s="214"/>
      <c r="N57" s="214"/>
      <c r="O57" s="214"/>
      <c r="P57" s="214"/>
      <c r="Q57" s="213"/>
      <c r="R57" s="214"/>
      <c r="V57" s="12">
        <f t="shared" si="36"/>
        <v>2030</v>
      </c>
      <c r="W57" s="212">
        <f ca="1">W20-W19</f>
        <v>6525133.5646138638</v>
      </c>
      <c r="X57" s="212">
        <f t="shared" ref="X57:AJ57" ca="1" si="54">X20-X19</f>
        <v>74698.00158184953</v>
      </c>
      <c r="Y57" s="212">
        <f t="shared" ca="1" si="54"/>
        <v>2562031.6336561814</v>
      </c>
      <c r="Z57" s="212">
        <f t="shared" ca="1" si="54"/>
        <v>14382310.914179862</v>
      </c>
      <c r="AA57" s="212">
        <f t="shared" ca="1" si="54"/>
        <v>1377912.4818017054</v>
      </c>
      <c r="AB57" s="212">
        <f t="shared" ca="1" si="54"/>
        <v>6867314.3833700344</v>
      </c>
      <c r="AC57" s="212">
        <f t="shared" si="54"/>
        <v>-736.94747072136408</v>
      </c>
      <c r="AD57" s="212">
        <f t="shared" si="54"/>
        <v>0</v>
      </c>
      <c r="AE57" s="212">
        <f t="shared" si="54"/>
        <v>0</v>
      </c>
      <c r="AF57" s="212">
        <f t="shared" ca="1" si="54"/>
        <v>1414139.6703681871</v>
      </c>
      <c r="AG57" s="212">
        <f t="shared" ca="1" si="54"/>
        <v>867991.73366603255</v>
      </c>
      <c r="AH57" s="212">
        <f t="shared" ca="1" si="54"/>
        <v>5955908.1424973831</v>
      </c>
      <c r="AI57" s="212">
        <f t="shared" ca="1" si="54"/>
        <v>1364191.6910903472</v>
      </c>
      <c r="AJ57" s="212">
        <f t="shared" si="54"/>
        <v>0</v>
      </c>
    </row>
    <row r="58" spans="1:36">
      <c r="A58" s="12">
        <v>2017</v>
      </c>
      <c r="B58" s="12">
        <v>2017</v>
      </c>
      <c r="C58" s="206">
        <f t="shared" si="34"/>
        <v>23890180.091589589</v>
      </c>
      <c r="D58" s="206">
        <f t="shared" si="35"/>
        <v>273633.43022133375</v>
      </c>
      <c r="E58" s="213">
        <v>3131234.5134468381</v>
      </c>
      <c r="F58" s="213">
        <v>11183115.252693864</v>
      </c>
      <c r="G58" s="213">
        <v>931473.06638638803</v>
      </c>
      <c r="H58" s="213">
        <v>9384400.1085889358</v>
      </c>
      <c r="I58" s="214">
        <v>0</v>
      </c>
      <c r="J58" s="214">
        <v>0</v>
      </c>
      <c r="K58" s="214">
        <v>5118668.7458090354</v>
      </c>
      <c r="L58" s="214">
        <v>11536999.504083337</v>
      </c>
      <c r="M58" s="214">
        <v>643886.56884125061</v>
      </c>
      <c r="N58" s="214">
        <f t="shared" ref="N58:N72" si="55">R58*$N$1</f>
        <v>5146662.6847426705</v>
      </c>
      <c r="O58" s="214">
        <f t="shared" ref="O58:O72" si="56">R58*$O$1</f>
        <v>1157083.8008801651</v>
      </c>
      <c r="P58" s="214">
        <v>3647200</v>
      </c>
      <c r="Q58" s="213">
        <v>24163813.521810941</v>
      </c>
      <c r="R58" s="214">
        <v>6303746.4856228335</v>
      </c>
      <c r="T58" s="208"/>
      <c r="V58" s="12">
        <f t="shared" si="36"/>
        <v>2031</v>
      </c>
      <c r="W58" s="212">
        <f ca="1">W21-W20</f>
        <v>6164540.9810409397</v>
      </c>
      <c r="X58" s="212">
        <f t="shared" ref="X58:AJ58" ca="1" si="57">X21-X20</f>
        <v>70565.435991113773</v>
      </c>
      <c r="Y58" s="212">
        <f t="shared" ca="1" si="57"/>
        <v>194814.94127526507</v>
      </c>
      <c r="Z58" s="212">
        <f t="shared" ca="1" si="57"/>
        <v>2089301.9144251943</v>
      </c>
      <c r="AA58" s="212">
        <f t="shared" ca="1" si="57"/>
        <v>558921.61363999732</v>
      </c>
      <c r="AB58" s="212">
        <f t="shared" ca="1" si="57"/>
        <v>4930398.5640107691</v>
      </c>
      <c r="AC58" s="212">
        <f t="shared" si="57"/>
        <v>-391.32543679556738</v>
      </c>
      <c r="AD58" s="212">
        <f t="shared" si="57"/>
        <v>0</v>
      </c>
      <c r="AE58" s="212">
        <f t="shared" si="57"/>
        <v>-3933123</v>
      </c>
      <c r="AF58" s="212">
        <f t="shared" ca="1" si="57"/>
        <v>1557014.4859593362</v>
      </c>
      <c r="AG58" s="212">
        <f t="shared" ca="1" si="57"/>
        <v>441650.34959973115</v>
      </c>
      <c r="AH58" s="212">
        <f t="shared" ca="1" si="57"/>
        <v>2425610.483020097</v>
      </c>
      <c r="AI58" s="212">
        <f t="shared" ca="1" si="57"/>
        <v>570085.20001138002</v>
      </c>
      <c r="AJ58" s="212">
        <f t="shared" si="57"/>
        <v>-1952186.5427338928</v>
      </c>
    </row>
    <row r="59" spans="1:36">
      <c r="B59" s="12">
        <v>2018</v>
      </c>
      <c r="C59" s="206">
        <f t="shared" ref="C59:C69" si="58">Q59*$C$1</f>
        <v>18837497.315586567</v>
      </c>
      <c r="D59" s="206">
        <f t="shared" ref="D59:D69" si="59">Q59*$D$1</f>
        <v>215760.99416110126</v>
      </c>
      <c r="E59" s="213">
        <v>3143418.6216264833</v>
      </c>
      <c r="F59" s="213">
        <v>11231657.391009752</v>
      </c>
      <c r="G59" s="213">
        <v>938430.6741885962</v>
      </c>
      <c r="H59" s="213">
        <v>9265374.3339025527</v>
      </c>
      <c r="I59" s="214">
        <v>0</v>
      </c>
      <c r="J59" s="214">
        <v>0</v>
      </c>
      <c r="K59" s="214">
        <v>5118668.7458090354</v>
      </c>
      <c r="L59" s="214">
        <v>9133477.0718688909</v>
      </c>
      <c r="M59" s="214">
        <v>643777.40646628162</v>
      </c>
      <c r="N59" s="214">
        <f t="shared" si="55"/>
        <v>5145373.2468832061</v>
      </c>
      <c r="O59" s="214">
        <f t="shared" si="56"/>
        <v>1156793.9066805993</v>
      </c>
      <c r="P59" s="214">
        <v>3647200</v>
      </c>
      <c r="Q59" s="213">
        <v>19053258.309747685</v>
      </c>
      <c r="R59" s="214">
        <v>6302167.1535638031</v>
      </c>
      <c r="T59" s="208"/>
      <c r="W59" s="212"/>
      <c r="X59" s="212"/>
      <c r="Y59" s="212"/>
      <c r="Z59" s="212"/>
      <c r="AA59" s="212"/>
      <c r="AB59" s="212"/>
      <c r="AC59" s="212"/>
      <c r="AD59" s="212"/>
      <c r="AE59" s="212"/>
      <c r="AF59" s="212"/>
      <c r="AG59" s="212"/>
      <c r="AH59" s="212"/>
      <c r="AI59" s="212"/>
      <c r="AJ59" s="212"/>
    </row>
    <row r="60" spans="1:36">
      <c r="B60" s="12">
        <v>2019</v>
      </c>
      <c r="C60" s="206">
        <f t="shared" si="58"/>
        <v>18837456.570212819</v>
      </c>
      <c r="D60" s="206">
        <f t="shared" si="59"/>
        <v>215760.52747159361</v>
      </c>
      <c r="E60" s="213">
        <v>3140915.8392246878</v>
      </c>
      <c r="F60" s="213">
        <v>11225544.053293206</v>
      </c>
      <c r="G60" s="213">
        <v>938343.9552036227</v>
      </c>
      <c r="H60" s="213">
        <v>9265334.2505020704</v>
      </c>
      <c r="I60" s="214">
        <v>0</v>
      </c>
      <c r="J60" s="214">
        <v>0</v>
      </c>
      <c r="K60" s="214">
        <v>5118668.7458090354</v>
      </c>
      <c r="L60" s="214">
        <v>9133453.6396544408</v>
      </c>
      <c r="M60" s="214">
        <v>604537.24409131263</v>
      </c>
      <c r="N60" s="214">
        <f t="shared" si="55"/>
        <v>5144083.8090237416</v>
      </c>
      <c r="O60" s="214">
        <f t="shared" si="56"/>
        <v>1156504.0124810338</v>
      </c>
      <c r="P60" s="214">
        <v>3647200</v>
      </c>
      <c r="Q60" s="213">
        <v>19053217.097684428</v>
      </c>
      <c r="R60" s="214">
        <v>6300587.8215047736</v>
      </c>
      <c r="T60" s="208"/>
    </row>
    <row r="61" spans="1:36">
      <c r="B61" s="12">
        <v>2020</v>
      </c>
      <c r="C61" s="206">
        <f t="shared" si="58"/>
        <v>18837415.824839074</v>
      </c>
      <c r="D61" s="206">
        <f t="shared" si="59"/>
        <v>215760.06078208599</v>
      </c>
      <c r="E61" s="213">
        <v>3138413.0568228932</v>
      </c>
      <c r="F61" s="213">
        <v>11218354.639729619</v>
      </c>
      <c r="G61" s="213">
        <v>938257.23621864908</v>
      </c>
      <c r="H61" s="213">
        <v>9067301.242948629</v>
      </c>
      <c r="I61" s="214">
        <v>0</v>
      </c>
      <c r="J61" s="214">
        <v>0</v>
      </c>
      <c r="K61" s="214">
        <v>5118668.7458090354</v>
      </c>
      <c r="L61" s="214">
        <v>9133430.2074399944</v>
      </c>
      <c r="M61" s="214">
        <v>604428.08171634376</v>
      </c>
      <c r="N61" s="214">
        <f t="shared" si="55"/>
        <v>5142262.048984427</v>
      </c>
      <c r="O61" s="214">
        <f t="shared" si="56"/>
        <v>1156094.4404613187</v>
      </c>
      <c r="P61" s="214">
        <v>3647200</v>
      </c>
      <c r="Q61" s="213">
        <v>19053175.885621175</v>
      </c>
      <c r="R61" s="214">
        <v>6298356.4894457432</v>
      </c>
      <c r="T61" s="208"/>
    </row>
    <row r="62" spans="1:36">
      <c r="B62" s="12">
        <v>2021</v>
      </c>
      <c r="C62" s="206">
        <f t="shared" si="58"/>
        <v>18837276.421537112</v>
      </c>
      <c r="D62" s="206">
        <f t="shared" si="59"/>
        <v>215758.46408404715</v>
      </c>
      <c r="E62" s="213">
        <v>2985889.097715022</v>
      </c>
      <c r="F62" s="213">
        <v>11218354.639729619</v>
      </c>
      <c r="G62" s="213">
        <v>938257.23621864908</v>
      </c>
      <c r="H62" s="213">
        <v>9067301.242948629</v>
      </c>
      <c r="I62" s="214">
        <v>0</v>
      </c>
      <c r="J62" s="214">
        <v>0</v>
      </c>
      <c r="K62" s="214">
        <v>5118668.7458090354</v>
      </c>
      <c r="L62" s="214">
        <v>9003961</v>
      </c>
      <c r="M62" s="214">
        <v>588573.08171634376</v>
      </c>
      <c r="N62" s="214">
        <f t="shared" si="55"/>
        <v>5142262.048984427</v>
      </c>
      <c r="O62" s="214">
        <f t="shared" si="56"/>
        <v>1156094.4404613187</v>
      </c>
      <c r="P62" s="214">
        <v>3647200</v>
      </c>
      <c r="Q62" s="213">
        <v>19053034.885621175</v>
      </c>
      <c r="R62" s="214">
        <v>6298356.4894457432</v>
      </c>
      <c r="T62" s="208"/>
    </row>
    <row r="63" spans="1:36">
      <c r="B63" s="12">
        <v>2022</v>
      </c>
      <c r="C63" s="206">
        <f t="shared" si="58"/>
        <v>18836997.204901651</v>
      </c>
      <c r="D63" s="206">
        <f t="shared" si="59"/>
        <v>215755.26599154877</v>
      </c>
      <c r="E63" s="213">
        <v>2670309.0416699541</v>
      </c>
      <c r="F63" s="213">
        <v>10463684.919895634</v>
      </c>
      <c r="G63" s="213">
        <v>872459.20876198937</v>
      </c>
      <c r="H63" s="213">
        <v>7410441.4728901405</v>
      </c>
      <c r="I63" s="214">
        <v>0</v>
      </c>
      <c r="J63" s="214">
        <v>0</v>
      </c>
      <c r="K63" s="214">
        <v>5118668.7458090354</v>
      </c>
      <c r="L63" s="214">
        <v>9003961</v>
      </c>
      <c r="M63" s="214">
        <v>524778.09073104057</v>
      </c>
      <c r="N63" s="214">
        <f t="shared" si="55"/>
        <v>4807806.3107584678</v>
      </c>
      <c r="O63" s="214">
        <f t="shared" si="56"/>
        <v>1080901.3803138335</v>
      </c>
      <c r="P63" s="214">
        <v>3647200</v>
      </c>
      <c r="Q63" s="213">
        <v>19052752.470893215</v>
      </c>
      <c r="R63" s="214">
        <v>5888707.6910722991</v>
      </c>
      <c r="T63" s="208"/>
    </row>
    <row r="64" spans="1:36">
      <c r="B64" s="12">
        <v>2023</v>
      </c>
      <c r="C64" s="206">
        <f t="shared" si="58"/>
        <v>18836997.204901651</v>
      </c>
      <c r="D64" s="206">
        <f t="shared" si="59"/>
        <v>215755.26599154877</v>
      </c>
      <c r="E64" s="213">
        <v>2520913.9764838195</v>
      </c>
      <c r="F64" s="213">
        <v>10463684.919895634</v>
      </c>
      <c r="G64" s="213">
        <v>872459.20876198937</v>
      </c>
      <c r="H64" s="213">
        <v>7410441.4728901405</v>
      </c>
      <c r="I64" s="214">
        <v>0</v>
      </c>
      <c r="J64" s="214">
        <v>0</v>
      </c>
      <c r="K64" s="214">
        <v>5118668.7458090354</v>
      </c>
      <c r="L64" s="214">
        <v>9003961</v>
      </c>
      <c r="M64" s="214">
        <v>488231.09073104052</v>
      </c>
      <c r="N64" s="214">
        <f t="shared" si="55"/>
        <v>4807806.3107584678</v>
      </c>
      <c r="O64" s="214">
        <f t="shared" si="56"/>
        <v>1080901.3803138335</v>
      </c>
      <c r="P64" s="214">
        <v>3647200</v>
      </c>
      <c r="Q64" s="213">
        <v>19052752.470893215</v>
      </c>
      <c r="R64" s="214">
        <v>5888707.6910722991</v>
      </c>
      <c r="T64" s="208"/>
    </row>
    <row r="65" spans="1:20">
      <c r="B65" s="12">
        <v>2024</v>
      </c>
      <c r="C65" s="206">
        <f t="shared" si="58"/>
        <v>18836756.826937214</v>
      </c>
      <c r="D65" s="206">
        <f t="shared" si="59"/>
        <v>215752.51274955954</v>
      </c>
      <c r="E65" s="213">
        <v>2440112.5692757918</v>
      </c>
      <c r="F65" s="213">
        <v>10463684.919895634</v>
      </c>
      <c r="G65" s="213">
        <v>872459.20876198937</v>
      </c>
      <c r="H65" s="213">
        <v>7410441.4728901405</v>
      </c>
      <c r="I65" s="214">
        <v>0</v>
      </c>
      <c r="J65" s="214">
        <v>0</v>
      </c>
      <c r="K65" s="214">
        <v>5118668.7458090354</v>
      </c>
      <c r="L65" s="214">
        <v>9003847</v>
      </c>
      <c r="M65" s="214">
        <v>472372.09073104052</v>
      </c>
      <c r="N65" s="214">
        <f t="shared" si="55"/>
        <v>4807806.3107584678</v>
      </c>
      <c r="O65" s="214">
        <f t="shared" si="56"/>
        <v>1080901.3803138335</v>
      </c>
      <c r="P65" s="214">
        <v>3647200</v>
      </c>
      <c r="Q65" s="213">
        <v>19052509.339686789</v>
      </c>
      <c r="R65" s="214">
        <v>5888707.6910722991</v>
      </c>
      <c r="T65" s="208"/>
    </row>
    <row r="66" spans="1:20">
      <c r="B66" s="12">
        <v>2025</v>
      </c>
      <c r="C66" s="206">
        <f t="shared" si="58"/>
        <v>18836728.273067556</v>
      </c>
      <c r="D66" s="206">
        <f t="shared" si="59"/>
        <v>215752.18569914508</v>
      </c>
      <c r="E66" s="213">
        <v>2336966.8845997229</v>
      </c>
      <c r="F66" s="213">
        <v>10387196.196200801</v>
      </c>
      <c r="G66" s="213">
        <v>865730.42522616452</v>
      </c>
      <c r="H66" s="213">
        <v>7383548.2561729103</v>
      </c>
      <c r="I66" s="214">
        <v>0</v>
      </c>
      <c r="J66" s="214">
        <v>0</v>
      </c>
      <c r="K66" s="214">
        <v>5118668.7458090354</v>
      </c>
      <c r="L66" s="214">
        <v>9003847</v>
      </c>
      <c r="M66" s="214">
        <v>435474.87674536183</v>
      </c>
      <c r="N66" s="214">
        <f t="shared" si="55"/>
        <v>4804627.4219663637</v>
      </c>
      <c r="O66" s="214">
        <f t="shared" si="56"/>
        <v>1080186.6956819752</v>
      </c>
      <c r="P66" s="214">
        <v>3647200</v>
      </c>
      <c r="Q66" s="213">
        <v>19052480.458766717</v>
      </c>
      <c r="R66" s="214">
        <v>5884814.117648337</v>
      </c>
      <c r="T66" s="208"/>
    </row>
    <row r="67" spans="1:20">
      <c r="B67" s="12">
        <v>2026</v>
      </c>
      <c r="C67" s="206">
        <f t="shared" si="58"/>
        <v>18814561.24655268</v>
      </c>
      <c r="D67" s="206">
        <f t="shared" si="59"/>
        <v>215498.2889315268</v>
      </c>
      <c r="E67" s="213">
        <v>2225452.5731789223</v>
      </c>
      <c r="F67" s="213">
        <v>10315946.014382619</v>
      </c>
      <c r="G67" s="213">
        <v>865730.42522616452</v>
      </c>
      <c r="H67" s="213">
        <v>7374641.9834456388</v>
      </c>
      <c r="I67" s="214">
        <v>0</v>
      </c>
      <c r="J67" s="214">
        <v>0</v>
      </c>
      <c r="K67" s="214">
        <v>5118668.7458090354</v>
      </c>
      <c r="L67" s="214">
        <v>8993310</v>
      </c>
      <c r="M67" s="214">
        <v>416521.87674536183</v>
      </c>
      <c r="N67" s="214">
        <f t="shared" si="55"/>
        <v>4472891.9140670532</v>
      </c>
      <c r="O67" s="214">
        <f t="shared" si="56"/>
        <v>1005605.2035812862</v>
      </c>
      <c r="P67" s="214">
        <v>3647200</v>
      </c>
      <c r="Q67" s="213">
        <v>19030059.535484221</v>
      </c>
      <c r="R67" s="214">
        <v>5478497.117648337</v>
      </c>
      <c r="T67" s="208"/>
    </row>
    <row r="68" spans="1:20">
      <c r="B68" s="12">
        <v>2027</v>
      </c>
      <c r="C68" s="206">
        <f t="shared" si="58"/>
        <v>18466638.667253871</v>
      </c>
      <c r="D68" s="206">
        <f t="shared" si="59"/>
        <v>211513.25204775279</v>
      </c>
      <c r="E68" s="213">
        <v>1978866.0770878724</v>
      </c>
      <c r="F68" s="213">
        <v>9591115.4313502964</v>
      </c>
      <c r="G68" s="213">
        <v>842744.44638070068</v>
      </c>
      <c r="H68" s="213">
        <v>4996132.781248128</v>
      </c>
      <c r="I68" s="214">
        <v>0</v>
      </c>
      <c r="J68" s="214">
        <v>0</v>
      </c>
      <c r="K68" s="214">
        <v>5118668.7458090354</v>
      </c>
      <c r="L68" s="214">
        <v>8808698</v>
      </c>
      <c r="M68" s="214">
        <v>402226.1571166428</v>
      </c>
      <c r="N68" s="214">
        <f t="shared" si="55"/>
        <v>4404305.7881216602</v>
      </c>
      <c r="O68" s="214">
        <f t="shared" si="56"/>
        <v>990185.52287600061</v>
      </c>
      <c r="P68" s="214">
        <v>3647200</v>
      </c>
      <c r="Q68" s="213">
        <v>18678151.919301637</v>
      </c>
      <c r="R68" s="214">
        <v>5394491.3109976593</v>
      </c>
      <c r="T68" s="208"/>
    </row>
    <row r="69" spans="1:20">
      <c r="B69" s="12">
        <v>2028</v>
      </c>
      <c r="C69" s="206">
        <f t="shared" si="58"/>
        <v>18406909.994179673</v>
      </c>
      <c r="D69" s="206">
        <f t="shared" si="59"/>
        <v>210829.13155836333</v>
      </c>
      <c r="E69" s="213">
        <v>1863449.7977328463</v>
      </c>
      <c r="F69" s="213">
        <v>9176551.3051647563</v>
      </c>
      <c r="G69" s="213">
        <v>806965.593395415</v>
      </c>
      <c r="H69" s="213">
        <v>3408428.3741547461</v>
      </c>
      <c r="I69" s="214">
        <v>0</v>
      </c>
      <c r="J69" s="214">
        <v>0</v>
      </c>
      <c r="K69" s="214">
        <v>5118668.7458090354</v>
      </c>
      <c r="L69" s="214">
        <v>8801844</v>
      </c>
      <c r="M69" s="214">
        <v>387522.1571166428</v>
      </c>
      <c r="N69" s="214">
        <f t="shared" si="55"/>
        <v>4404305.7881216602</v>
      </c>
      <c r="O69" s="214">
        <f t="shared" si="56"/>
        <v>990185.52287600061</v>
      </c>
      <c r="P69" s="214">
        <v>3647200</v>
      </c>
      <c r="Q69" s="213">
        <v>18617739.125738051</v>
      </c>
      <c r="R69" s="214">
        <v>5394491.3109976593</v>
      </c>
    </row>
    <row r="70" spans="1:20">
      <c r="B70" s="12">
        <v>2029</v>
      </c>
      <c r="C70" s="206">
        <f t="shared" ref="C70:C72" si="60">Q70*$C$1</f>
        <v>18403142.679046251</v>
      </c>
      <c r="D70" s="206">
        <f t="shared" ref="D70:D72" si="61">Q70*$D$1</f>
        <v>210785.98147080725</v>
      </c>
      <c r="E70" s="213">
        <v>876627.71974885243</v>
      </c>
      <c r="F70" s="213">
        <v>4343704.3101612488</v>
      </c>
      <c r="G70" s="213">
        <v>381894.94084510632</v>
      </c>
      <c r="H70" s="213">
        <v>1543560.1316916719</v>
      </c>
      <c r="I70" s="214">
        <v>0</v>
      </c>
      <c r="J70" s="214">
        <v>0</v>
      </c>
      <c r="K70" s="214">
        <v>0</v>
      </c>
      <c r="L70" s="214">
        <v>8800490</v>
      </c>
      <c r="M70" s="214">
        <v>251521.90884164261</v>
      </c>
      <c r="N70" s="214">
        <f t="shared" si="55"/>
        <v>2748118.6468723724</v>
      </c>
      <c r="O70" s="214">
        <f t="shared" si="56"/>
        <v>617837.95907575171</v>
      </c>
      <c r="P70" s="214">
        <v>0</v>
      </c>
      <c r="Q70" s="213">
        <v>18613928.660517074</v>
      </c>
      <c r="R70" s="214">
        <v>3365956.6059481227</v>
      </c>
    </row>
    <row r="71" spans="1:20">
      <c r="B71" s="12">
        <v>2030</v>
      </c>
      <c r="C71" s="206">
        <f t="shared" si="60"/>
        <v>17246964.110725529</v>
      </c>
      <c r="D71" s="206">
        <f t="shared" si="61"/>
        <v>197543.33924772221</v>
      </c>
      <c r="E71" s="213">
        <v>731111.43985553179</v>
      </c>
      <c r="F71" s="213">
        <v>3616360.7597424695</v>
      </c>
      <c r="G71" s="213">
        <v>317909.85820112843</v>
      </c>
      <c r="H71" s="213">
        <v>1287828.2174381053</v>
      </c>
      <c r="I71" s="214">
        <v>0</v>
      </c>
      <c r="J71" s="214">
        <v>0</v>
      </c>
      <c r="K71" s="214">
        <v>0</v>
      </c>
      <c r="L71" s="214">
        <v>8250359</v>
      </c>
      <c r="M71" s="214">
        <v>223283.5278418462</v>
      </c>
      <c r="N71" s="214">
        <f t="shared" si="55"/>
        <v>2483823.33170775</v>
      </c>
      <c r="O71" s="214">
        <f t="shared" si="56"/>
        <v>558418.51650531008</v>
      </c>
      <c r="P71" s="214">
        <v>0</v>
      </c>
      <c r="Q71" s="213">
        <v>17444507.449973267</v>
      </c>
      <c r="R71" s="214">
        <v>3042241.8482130589</v>
      </c>
    </row>
    <row r="72" spans="1:20">
      <c r="B72" s="12">
        <v>2031</v>
      </c>
      <c r="C72" s="206">
        <f t="shared" si="60"/>
        <v>15918569.041796589</v>
      </c>
      <c r="D72" s="206">
        <f t="shared" si="61"/>
        <v>182328.16305371365</v>
      </c>
      <c r="E72" s="213">
        <v>85547.94064863032</v>
      </c>
      <c r="F72" s="213">
        <v>389598.44917386939</v>
      </c>
      <c r="G72" s="213">
        <v>34048.603096398198</v>
      </c>
      <c r="H72" s="213">
        <v>153307.80813791175</v>
      </c>
      <c r="I72" s="214">
        <v>0</v>
      </c>
      <c r="J72" s="214">
        <v>0</v>
      </c>
      <c r="K72" s="214">
        <v>0</v>
      </c>
      <c r="L72" s="214">
        <v>7620125</v>
      </c>
      <c r="M72" s="214">
        <v>28421.93992002519</v>
      </c>
      <c r="N72" s="214">
        <f t="shared" si="55"/>
        <v>200966.26082868953</v>
      </c>
      <c r="O72" s="214">
        <f t="shared" si="56"/>
        <v>45181.668038530355</v>
      </c>
      <c r="P72" s="214">
        <v>0</v>
      </c>
      <c r="Q72" s="213">
        <v>16100897.204850316</v>
      </c>
      <c r="R72" s="214">
        <v>246147.9288672198</v>
      </c>
    </row>
    <row r="73" spans="1:20">
      <c r="C73" s="206"/>
      <c r="D73" s="206"/>
      <c r="N73" s="214"/>
      <c r="O73" s="214"/>
    </row>
    <row r="74" spans="1:20">
      <c r="A74" s="12">
        <v>2018</v>
      </c>
      <c r="B74" s="12">
        <v>2018</v>
      </c>
      <c r="C74" s="206">
        <f t="shared" ref="C74:C93" si="62">Q74*$C$1</f>
        <v>6008127.8452982539</v>
      </c>
      <c r="D74" s="206">
        <f t="shared" ref="D74:D93" si="63">Q74*$D$1</f>
        <v>68815.916213877441</v>
      </c>
      <c r="E74" s="213">
        <v>4101439.5520958058</v>
      </c>
      <c r="F74" s="213">
        <v>11988932.622576458</v>
      </c>
      <c r="G74" s="213">
        <v>697870.40923296474</v>
      </c>
      <c r="H74" s="213">
        <v>3777886.2493942054</v>
      </c>
      <c r="I74" s="214">
        <v>0</v>
      </c>
      <c r="J74" s="214">
        <v>0</v>
      </c>
      <c r="K74" s="214">
        <v>0</v>
      </c>
      <c r="L74" s="214">
        <v>2585451.1267797137</v>
      </c>
      <c r="M74" s="214">
        <v>393441.3680000875</v>
      </c>
      <c r="N74" s="214">
        <f t="shared" ref="N74:N87" si="64">R74*$N$1</f>
        <v>3517462.1175847533</v>
      </c>
      <c r="O74" s="214">
        <f t="shared" ref="O74:O87" si="65">R74*$O$1</f>
        <v>790803.41684962355</v>
      </c>
      <c r="P74" s="214">
        <v>1630534.6401480865</v>
      </c>
      <c r="Q74" s="213">
        <v>6076943.7615121361</v>
      </c>
      <c r="R74" s="214">
        <v>4308265.5344343754</v>
      </c>
      <c r="T74" s="208"/>
    </row>
    <row r="75" spans="1:20">
      <c r="B75" s="12">
        <v>2019</v>
      </c>
      <c r="C75" s="206">
        <f t="shared" si="62"/>
        <v>5987717.8087717649</v>
      </c>
      <c r="D75" s="206">
        <f t="shared" si="63"/>
        <v>68582.143664475341</v>
      </c>
      <c r="E75" s="213">
        <v>4060972.0146413436</v>
      </c>
      <c r="F75" s="213">
        <v>11963526.190470902</v>
      </c>
      <c r="G75" s="213">
        <v>696144.88830867212</v>
      </c>
      <c r="H75" s="213">
        <v>3769875.5936828153</v>
      </c>
      <c r="I75" s="214">
        <v>0</v>
      </c>
      <c r="J75" s="214">
        <v>0</v>
      </c>
      <c r="K75" s="214">
        <v>0</v>
      </c>
      <c r="L75" s="214">
        <v>2576682.3291623341</v>
      </c>
      <c r="M75" s="214">
        <v>376950.19698951981</v>
      </c>
      <c r="N75" s="214">
        <f t="shared" si="64"/>
        <v>3507788.0820234185</v>
      </c>
      <c r="O75" s="214">
        <f t="shared" si="65"/>
        <v>788628.47931770748</v>
      </c>
      <c r="P75" s="214">
        <v>1630534.6401480865</v>
      </c>
      <c r="Q75" s="213">
        <v>6056299.952436245</v>
      </c>
      <c r="R75" s="214">
        <v>4296416.5613411246</v>
      </c>
      <c r="T75" s="208"/>
    </row>
    <row r="76" spans="1:20">
      <c r="B76" s="12">
        <v>2020</v>
      </c>
      <c r="C76" s="206">
        <f t="shared" si="62"/>
        <v>5967307.7722452758</v>
      </c>
      <c r="D76" s="206">
        <f t="shared" si="63"/>
        <v>68348.371115073256</v>
      </c>
      <c r="E76" s="213">
        <v>4020504.4771868815</v>
      </c>
      <c r="F76" s="213">
        <v>11938119.758365346</v>
      </c>
      <c r="G76" s="213">
        <v>694419.36738437938</v>
      </c>
      <c r="H76" s="213">
        <v>3761864.9379714262</v>
      </c>
      <c r="I76" s="214">
        <v>0</v>
      </c>
      <c r="J76" s="214">
        <v>0</v>
      </c>
      <c r="K76" s="214">
        <v>0</v>
      </c>
      <c r="L76" s="214">
        <v>2567913.5315449545</v>
      </c>
      <c r="M76" s="214">
        <v>360459.02597895212</v>
      </c>
      <c r="N76" s="214">
        <f t="shared" si="64"/>
        <v>3498114.0464620842</v>
      </c>
      <c r="O76" s="214">
        <f t="shared" si="65"/>
        <v>786453.54178579128</v>
      </c>
      <c r="P76" s="214">
        <v>1630534.6401480865</v>
      </c>
      <c r="Q76" s="213">
        <v>6035656.143360354</v>
      </c>
      <c r="R76" s="214">
        <v>4284567.5882478738</v>
      </c>
      <c r="T76" s="208"/>
    </row>
    <row r="77" spans="1:20">
      <c r="B77" s="12">
        <v>2021</v>
      </c>
      <c r="C77" s="206">
        <f t="shared" si="62"/>
        <v>5967307.7722452758</v>
      </c>
      <c r="D77" s="206">
        <f t="shared" si="63"/>
        <v>68348.371115073256</v>
      </c>
      <c r="E77" s="213">
        <v>3945880.7793294475</v>
      </c>
      <c r="F77" s="213">
        <v>11929235.662686849</v>
      </c>
      <c r="G77" s="213">
        <v>694419.36738437938</v>
      </c>
      <c r="H77" s="213">
        <v>3616023.882092725</v>
      </c>
      <c r="I77" s="214">
        <v>0</v>
      </c>
      <c r="J77" s="214">
        <v>0</v>
      </c>
      <c r="K77" s="214">
        <v>0</v>
      </c>
      <c r="L77" s="214">
        <v>0</v>
      </c>
      <c r="M77" s="214">
        <v>360459.02597895212</v>
      </c>
      <c r="N77" s="214">
        <f t="shared" si="64"/>
        <v>3498114.0464620842</v>
      </c>
      <c r="O77" s="214">
        <f t="shared" si="65"/>
        <v>786453.54178579128</v>
      </c>
      <c r="P77" s="214">
        <v>1630534.6401480865</v>
      </c>
      <c r="Q77" s="213">
        <v>6035656.143360354</v>
      </c>
      <c r="R77" s="214">
        <v>4284567.5882478738</v>
      </c>
      <c r="T77" s="208"/>
    </row>
    <row r="78" spans="1:20">
      <c r="B78" s="12">
        <v>2022</v>
      </c>
      <c r="C78" s="206">
        <f t="shared" si="62"/>
        <v>5967307.7722452758</v>
      </c>
      <c r="D78" s="206">
        <f t="shared" si="63"/>
        <v>68348.371115073256</v>
      </c>
      <c r="E78" s="213">
        <v>3874000.8005028949</v>
      </c>
      <c r="F78" s="213">
        <v>11928930.250059063</v>
      </c>
      <c r="G78" s="213">
        <v>694419.36738437938</v>
      </c>
      <c r="H78" s="213">
        <v>3616023.882092725</v>
      </c>
      <c r="I78" s="214">
        <v>0</v>
      </c>
      <c r="J78" s="214">
        <v>0</v>
      </c>
      <c r="K78" s="214">
        <v>0</v>
      </c>
      <c r="L78" s="214">
        <v>0</v>
      </c>
      <c r="M78" s="214">
        <v>356206.68380237254</v>
      </c>
      <c r="N78" s="214">
        <f t="shared" si="64"/>
        <v>3498114.0464620842</v>
      </c>
      <c r="O78" s="214">
        <f t="shared" si="65"/>
        <v>786453.54178579128</v>
      </c>
      <c r="P78" s="214">
        <v>1630534.6401480865</v>
      </c>
      <c r="Q78" s="213">
        <v>6035656.143360354</v>
      </c>
      <c r="R78" s="214">
        <v>4284567.5882478738</v>
      </c>
      <c r="T78" s="208"/>
    </row>
    <row r="79" spans="1:20">
      <c r="B79" s="12">
        <v>2023</v>
      </c>
      <c r="C79" s="206">
        <f t="shared" si="62"/>
        <v>5966773.3623594437</v>
      </c>
      <c r="D79" s="206">
        <f t="shared" si="63"/>
        <v>68342.250089210589</v>
      </c>
      <c r="E79" s="213">
        <v>3542263.2488588598</v>
      </c>
      <c r="F79" s="213">
        <v>11092113.613923138</v>
      </c>
      <c r="G79" s="213">
        <v>645721.18224089092</v>
      </c>
      <c r="H79" s="213">
        <v>3239624.711998119</v>
      </c>
      <c r="I79" s="214">
        <v>0</v>
      </c>
      <c r="J79" s="214">
        <v>0</v>
      </c>
      <c r="K79" s="214">
        <v>0</v>
      </c>
      <c r="L79" s="214">
        <v>0</v>
      </c>
      <c r="M79" s="214">
        <v>325023.20110597264</v>
      </c>
      <c r="N79" s="214">
        <f t="shared" si="64"/>
        <v>3249912.4118581191</v>
      </c>
      <c r="O79" s="214">
        <f t="shared" si="65"/>
        <v>730652.31517663284</v>
      </c>
      <c r="P79" s="214">
        <v>1630534.6401480865</v>
      </c>
      <c r="Q79" s="213">
        <v>6035115.6124486588</v>
      </c>
      <c r="R79" s="214">
        <v>3980564.7270347504</v>
      </c>
      <c r="T79" s="208"/>
    </row>
    <row r="80" spans="1:20">
      <c r="B80" s="12">
        <v>2024</v>
      </c>
      <c r="C80" s="206">
        <f t="shared" si="62"/>
        <v>5966773.3623594437</v>
      </c>
      <c r="D80" s="206">
        <f t="shared" si="63"/>
        <v>68342.250089210589</v>
      </c>
      <c r="E80" s="213">
        <v>3463123.8828441631</v>
      </c>
      <c r="F80" s="213">
        <v>11091761.450337086</v>
      </c>
      <c r="G80" s="213">
        <v>645721.18224089092</v>
      </c>
      <c r="H80" s="213">
        <v>3239624.711998119</v>
      </c>
      <c r="I80" s="214">
        <v>0</v>
      </c>
      <c r="J80" s="214">
        <v>0</v>
      </c>
      <c r="K80" s="214">
        <v>0</v>
      </c>
      <c r="L80" s="214">
        <v>0</v>
      </c>
      <c r="M80" s="214">
        <v>315221.22384154791</v>
      </c>
      <c r="N80" s="214">
        <f t="shared" si="64"/>
        <v>3249912.4118581191</v>
      </c>
      <c r="O80" s="214">
        <f t="shared" si="65"/>
        <v>730652.31517663284</v>
      </c>
      <c r="P80" s="214">
        <v>1630534.6401480865</v>
      </c>
      <c r="Q80" s="213">
        <v>6035115.6124486588</v>
      </c>
      <c r="R80" s="214">
        <v>3980564.7270347504</v>
      </c>
      <c r="T80" s="208"/>
    </row>
    <row r="81" spans="1:20">
      <c r="B81" s="12">
        <v>2025</v>
      </c>
      <c r="C81" s="206">
        <f t="shared" si="62"/>
        <v>5966687.4711189279</v>
      </c>
      <c r="D81" s="206">
        <f t="shared" si="63"/>
        <v>68341.266307812621</v>
      </c>
      <c r="E81" s="213">
        <v>3451699.0201660716</v>
      </c>
      <c r="F81" s="213">
        <v>11091761.450337086</v>
      </c>
      <c r="G81" s="213">
        <v>645721.18224089092</v>
      </c>
      <c r="H81" s="213">
        <v>3239624.711998119</v>
      </c>
      <c r="I81" s="214">
        <v>0</v>
      </c>
      <c r="J81" s="214">
        <v>0</v>
      </c>
      <c r="K81" s="214">
        <v>0</v>
      </c>
      <c r="L81" s="214">
        <v>0</v>
      </c>
      <c r="M81" s="214">
        <v>310967.80885710288</v>
      </c>
      <c r="N81" s="214">
        <f t="shared" si="64"/>
        <v>3249912.4118581191</v>
      </c>
      <c r="O81" s="214">
        <f t="shared" si="65"/>
        <v>730652.31517663284</v>
      </c>
      <c r="P81" s="214">
        <v>1630534.6401480865</v>
      </c>
      <c r="Q81" s="213">
        <v>6035028.7374267457</v>
      </c>
      <c r="R81" s="214">
        <v>3980564.7270347504</v>
      </c>
      <c r="T81" s="208"/>
    </row>
    <row r="82" spans="1:20">
      <c r="B82" s="12">
        <v>2026</v>
      </c>
      <c r="C82" s="206">
        <f t="shared" si="62"/>
        <v>5966632.8201122014</v>
      </c>
      <c r="D82" s="206">
        <f t="shared" si="63"/>
        <v>68340.64034591621</v>
      </c>
      <c r="E82" s="213">
        <v>3416331.7817907729</v>
      </c>
      <c r="F82" s="213">
        <v>11006237.129005747</v>
      </c>
      <c r="G82" s="213">
        <v>640741.1006323063</v>
      </c>
      <c r="H82" s="213">
        <v>3225185.1894012443</v>
      </c>
      <c r="I82" s="214">
        <v>0</v>
      </c>
      <c r="J82" s="214">
        <v>0</v>
      </c>
      <c r="K82" s="214">
        <v>0</v>
      </c>
      <c r="L82" s="214">
        <v>0</v>
      </c>
      <c r="M82" s="214">
        <v>300938.13926390919</v>
      </c>
      <c r="N82" s="214">
        <f t="shared" si="64"/>
        <v>3247553.3391789976</v>
      </c>
      <c r="O82" s="214">
        <f t="shared" si="65"/>
        <v>730121.94337080175</v>
      </c>
      <c r="P82" s="214">
        <v>1630534.6401480865</v>
      </c>
      <c r="Q82" s="213">
        <v>6034973.4604581222</v>
      </c>
      <c r="R82" s="214">
        <v>3977675.282549798</v>
      </c>
      <c r="T82" s="208"/>
    </row>
    <row r="83" spans="1:20">
      <c r="B83" s="12">
        <v>2027</v>
      </c>
      <c r="C83" s="206">
        <f t="shared" si="62"/>
        <v>5966632.8201122014</v>
      </c>
      <c r="D83" s="206">
        <f t="shared" si="63"/>
        <v>68340.64034591621</v>
      </c>
      <c r="E83" s="213">
        <v>3403082.8812350808</v>
      </c>
      <c r="F83" s="213">
        <v>11006237.129005747</v>
      </c>
      <c r="G83" s="213">
        <v>640741.1006323063</v>
      </c>
      <c r="H83" s="213">
        <v>3225185.1894012443</v>
      </c>
      <c r="I83" s="214">
        <v>0</v>
      </c>
      <c r="J83" s="214">
        <v>0</v>
      </c>
      <c r="K83" s="214">
        <v>0</v>
      </c>
      <c r="L83" s="214">
        <v>0</v>
      </c>
      <c r="M83" s="214">
        <v>295854.90739555773</v>
      </c>
      <c r="N83" s="214">
        <f t="shared" si="64"/>
        <v>3247553.3391789976</v>
      </c>
      <c r="O83" s="214">
        <f t="shared" si="65"/>
        <v>730121.94337080175</v>
      </c>
      <c r="P83" s="214">
        <v>1630534.6401480865</v>
      </c>
      <c r="Q83" s="213">
        <v>6034973.4604581222</v>
      </c>
      <c r="R83" s="214">
        <v>3977675.282549798</v>
      </c>
      <c r="T83" s="208"/>
    </row>
    <row r="84" spans="1:20">
      <c r="B84" s="12">
        <v>2028</v>
      </c>
      <c r="C84" s="206">
        <f t="shared" si="62"/>
        <v>5885540.6424424043</v>
      </c>
      <c r="D84" s="206">
        <f t="shared" si="63"/>
        <v>67411.826471142776</v>
      </c>
      <c r="E84" s="213">
        <v>3312393.7647090815</v>
      </c>
      <c r="F84" s="213">
        <v>10714075.514281558</v>
      </c>
      <c r="G84" s="213">
        <v>623728.80563215562</v>
      </c>
      <c r="H84" s="213">
        <v>2751476.6498552635</v>
      </c>
      <c r="I84" s="214">
        <v>0</v>
      </c>
      <c r="J84" s="214">
        <v>0</v>
      </c>
      <c r="K84" s="214">
        <v>0</v>
      </c>
      <c r="L84" s="214">
        <v>0</v>
      </c>
      <c r="M84" s="214">
        <v>291073.29359445965</v>
      </c>
      <c r="N84" s="214">
        <f t="shared" si="64"/>
        <v>3230843.6480525881</v>
      </c>
      <c r="O84" s="214">
        <f t="shared" si="65"/>
        <v>726365.23458602035</v>
      </c>
      <c r="P84" s="214">
        <v>1630534.6401480865</v>
      </c>
      <c r="Q84" s="213">
        <v>5952952.4689135514</v>
      </c>
      <c r="R84" s="214">
        <v>3957208.8826386072</v>
      </c>
      <c r="T84" s="208"/>
    </row>
    <row r="85" spans="1:20">
      <c r="B85" s="12">
        <v>2029</v>
      </c>
      <c r="C85" s="206">
        <f t="shared" ref="C85:C87" si="66">Q85*$C$1</f>
        <v>5755474.250497519</v>
      </c>
      <c r="D85" s="206">
        <f t="shared" ref="D85:D87" si="67">Q85*$D$1</f>
        <v>65922.071565656704</v>
      </c>
      <c r="E85" s="213">
        <v>3184781.332873188</v>
      </c>
      <c r="F85" s="213">
        <v>10259313.650513787</v>
      </c>
      <c r="G85" s="213">
        <v>597248.2974125623</v>
      </c>
      <c r="H85" s="213">
        <v>2399787.8540170589</v>
      </c>
      <c r="I85" s="214">
        <v>0</v>
      </c>
      <c r="J85" s="214">
        <v>0</v>
      </c>
      <c r="K85" s="214">
        <v>0</v>
      </c>
      <c r="L85" s="214">
        <v>0</v>
      </c>
      <c r="M85" s="214">
        <v>287129.6518811562</v>
      </c>
      <c r="N85" s="214">
        <f t="shared" si="64"/>
        <v>3230843.6480525881</v>
      </c>
      <c r="O85" s="214">
        <f t="shared" si="65"/>
        <v>726365.23458602035</v>
      </c>
      <c r="P85" s="214">
        <v>1630534.6401480865</v>
      </c>
      <c r="Q85" s="213">
        <v>5821396.3220631806</v>
      </c>
      <c r="R85" s="214">
        <v>3957208.8826386072</v>
      </c>
      <c r="T85" s="208"/>
    </row>
    <row r="86" spans="1:20">
      <c r="B86" s="12">
        <v>2030</v>
      </c>
      <c r="C86" s="206">
        <f t="shared" si="66"/>
        <v>5755474.250497519</v>
      </c>
      <c r="D86" s="206">
        <f t="shared" si="67"/>
        <v>65922.071565656704</v>
      </c>
      <c r="E86" s="213">
        <v>3184781.332873188</v>
      </c>
      <c r="F86" s="213">
        <v>10259313.650513787</v>
      </c>
      <c r="G86" s="213">
        <v>597248.2974125623</v>
      </c>
      <c r="H86" s="213">
        <v>2399787.8540170589</v>
      </c>
      <c r="I86" s="214">
        <v>0</v>
      </c>
      <c r="J86" s="214">
        <v>0</v>
      </c>
      <c r="K86" s="214">
        <v>0</v>
      </c>
      <c r="L86" s="214">
        <v>0</v>
      </c>
      <c r="M86" s="214">
        <v>287129.6518811562</v>
      </c>
      <c r="N86" s="214">
        <f t="shared" si="64"/>
        <v>3230843.6480525881</v>
      </c>
      <c r="O86" s="214">
        <f t="shared" si="65"/>
        <v>726365.23458602035</v>
      </c>
      <c r="P86" s="214">
        <v>1630534.6401480865</v>
      </c>
      <c r="Q86" s="213">
        <v>5821396.3220631806</v>
      </c>
      <c r="R86" s="214">
        <v>3957208.8826386072</v>
      </c>
      <c r="T86" s="208"/>
    </row>
    <row r="87" spans="1:20">
      <c r="B87" s="12">
        <v>2031</v>
      </c>
      <c r="C87" s="206">
        <f t="shared" si="66"/>
        <v>5041125.61300229</v>
      </c>
      <c r="D87" s="206">
        <f t="shared" si="67"/>
        <v>57740.062585298714</v>
      </c>
      <c r="E87" s="213">
        <v>1439661.507746171</v>
      </c>
      <c r="F87" s="213">
        <v>4042855.3978721183</v>
      </c>
      <c r="G87" s="213">
        <v>235290.23182064682</v>
      </c>
      <c r="H87" s="213">
        <v>1318724.6309510309</v>
      </c>
      <c r="I87" s="214">
        <v>0</v>
      </c>
      <c r="J87" s="214">
        <v>0</v>
      </c>
      <c r="K87" s="214">
        <v>0</v>
      </c>
      <c r="L87" s="214">
        <v>0</v>
      </c>
      <c r="M87" s="214">
        <v>164401.71730212995</v>
      </c>
      <c r="N87" s="214">
        <f t="shared" si="64"/>
        <v>1843260.3795867008</v>
      </c>
      <c r="O87" s="214">
        <f t="shared" si="65"/>
        <v>414405.77256922645</v>
      </c>
      <c r="P87" s="214">
        <v>0</v>
      </c>
      <c r="Q87" s="213">
        <v>5098865.6755875926</v>
      </c>
      <c r="R87" s="214">
        <v>2257666.1521559265</v>
      </c>
      <c r="T87" s="208"/>
    </row>
    <row r="88" spans="1:20">
      <c r="C88" s="206"/>
      <c r="D88" s="206"/>
      <c r="E88" s="213"/>
      <c r="F88" s="213"/>
      <c r="G88" s="213"/>
      <c r="H88" s="213"/>
      <c r="I88" s="214"/>
      <c r="J88" s="214"/>
      <c r="K88" s="214"/>
      <c r="L88" s="214"/>
      <c r="M88" s="214"/>
      <c r="N88" s="214"/>
      <c r="O88" s="214"/>
      <c r="P88" s="214"/>
      <c r="Q88" s="213"/>
      <c r="R88" s="214"/>
    </row>
    <row r="89" spans="1:20">
      <c r="A89" s="12">
        <v>2019</v>
      </c>
      <c r="B89" s="12">
        <v>2019</v>
      </c>
      <c r="C89" s="206">
        <f t="shared" si="62"/>
        <v>274168.80125453143</v>
      </c>
      <c r="D89" s="206">
        <f t="shared" si="63"/>
        <v>3140.2755968909401</v>
      </c>
      <c r="E89" s="213">
        <v>2076448.7745083962</v>
      </c>
      <c r="F89" s="213">
        <v>9965078.0767233763</v>
      </c>
      <c r="G89" s="213">
        <v>377479.75961187226</v>
      </c>
      <c r="H89" s="213">
        <v>1244967.8342028649</v>
      </c>
      <c r="I89" s="214">
        <v>0</v>
      </c>
      <c r="J89" s="214">
        <v>0</v>
      </c>
      <c r="K89" s="214">
        <v>3933123</v>
      </c>
      <c r="L89" s="214">
        <v>55758.149595908391</v>
      </c>
      <c r="M89" s="214">
        <v>306731.65820396936</v>
      </c>
      <c r="N89" s="214">
        <f t="shared" ref="N89:N101" si="68">R89*$N$1</f>
        <v>7783341.2087739306</v>
      </c>
      <c r="O89" s="214">
        <f t="shared" ref="O89:O101" si="69">R89*$O$1</f>
        <v>1749867.5512762209</v>
      </c>
      <c r="P89" s="214">
        <v>321651.90258580621</v>
      </c>
      <c r="Q89" s="213">
        <v>277309.07685142261</v>
      </c>
      <c r="R89" s="214">
        <v>9533208.7600501478</v>
      </c>
    </row>
    <row r="90" spans="1:20">
      <c r="B90" s="12">
        <v>2020</v>
      </c>
      <c r="C90" s="206">
        <f t="shared" si="62"/>
        <v>274168.80125453143</v>
      </c>
      <c r="D90" s="206">
        <f t="shared" si="63"/>
        <v>3140.2755968909401</v>
      </c>
      <c r="E90" s="213">
        <v>2076448.7745083962</v>
      </c>
      <c r="F90" s="213">
        <v>10043708.370305527</v>
      </c>
      <c r="G90" s="213">
        <v>377922.55695534917</v>
      </c>
      <c r="H90" s="213">
        <v>1254842.2674887753</v>
      </c>
      <c r="I90" s="214">
        <v>0</v>
      </c>
      <c r="J90" s="214">
        <v>0</v>
      </c>
      <c r="K90" s="214">
        <v>3933123</v>
      </c>
      <c r="L90" s="214">
        <v>55758.149595908391</v>
      </c>
      <c r="M90" s="214">
        <v>306731.65820396936</v>
      </c>
      <c r="N90" s="214">
        <f t="shared" si="68"/>
        <v>7783341.2087739306</v>
      </c>
      <c r="O90" s="214">
        <f t="shared" si="69"/>
        <v>1749867.5512762209</v>
      </c>
      <c r="P90" s="214">
        <v>321651.90258580621</v>
      </c>
      <c r="Q90" s="213">
        <v>277309.07685142261</v>
      </c>
      <c r="R90" s="214">
        <v>9533208.7600501478</v>
      </c>
    </row>
    <row r="91" spans="1:20">
      <c r="B91" s="12">
        <v>2021</v>
      </c>
      <c r="C91" s="206">
        <f t="shared" si="62"/>
        <v>272573.48765556607</v>
      </c>
      <c r="D91" s="206">
        <f t="shared" si="63"/>
        <v>3122.0031882824624</v>
      </c>
      <c r="E91" s="213">
        <v>2076448.7745083962</v>
      </c>
      <c r="F91" s="213">
        <v>10043708.370305527</v>
      </c>
      <c r="G91" s="213">
        <v>377922.55695534917</v>
      </c>
      <c r="H91" s="213">
        <v>1254842.2674887753</v>
      </c>
      <c r="I91" s="214">
        <v>0</v>
      </c>
      <c r="J91" s="214">
        <v>0</v>
      </c>
      <c r="K91" s="214">
        <v>3933123</v>
      </c>
      <c r="L91" s="214">
        <v>45093.175041144248</v>
      </c>
      <c r="M91" s="214">
        <v>306731.65820396936</v>
      </c>
      <c r="N91" s="214">
        <f t="shared" si="68"/>
        <v>7783341.2087739306</v>
      </c>
      <c r="O91" s="214">
        <f t="shared" si="69"/>
        <v>1749867.5512762209</v>
      </c>
      <c r="P91" s="214">
        <v>321651.90258580621</v>
      </c>
      <c r="Q91" s="213">
        <v>275695.49084384873</v>
      </c>
      <c r="R91" s="214">
        <v>9533208.7600501478</v>
      </c>
    </row>
    <row r="92" spans="1:20">
      <c r="B92" s="12">
        <v>2022</v>
      </c>
      <c r="C92" s="206">
        <f>Q92*$C$1</f>
        <v>272573.48765556607</v>
      </c>
      <c r="D92" s="206">
        <f t="shared" si="63"/>
        <v>3122.0031882824624</v>
      </c>
      <c r="E92" s="213">
        <v>2031317.9738300233</v>
      </c>
      <c r="F92" s="213">
        <v>10043708.370305527</v>
      </c>
      <c r="G92" s="213">
        <v>377922.55695534917</v>
      </c>
      <c r="H92" s="213">
        <v>1254842.2674887753</v>
      </c>
      <c r="I92" s="214">
        <v>0</v>
      </c>
      <c r="J92" s="214">
        <v>0</v>
      </c>
      <c r="K92" s="214">
        <v>3933123</v>
      </c>
      <c r="L92" s="214">
        <v>45093.175041144248</v>
      </c>
      <c r="M92" s="214">
        <v>306731.65820396936</v>
      </c>
      <c r="N92" s="214">
        <f t="shared" si="68"/>
        <v>7783341.2087739306</v>
      </c>
      <c r="O92" s="214">
        <f t="shared" si="69"/>
        <v>1749867.5512762209</v>
      </c>
      <c r="P92" s="214">
        <v>321651.90258580621</v>
      </c>
      <c r="Q92" s="213">
        <v>275695.49084384873</v>
      </c>
      <c r="R92" s="214">
        <v>9533208.7600501478</v>
      </c>
    </row>
    <row r="93" spans="1:20">
      <c r="B93" s="12">
        <v>2023</v>
      </c>
      <c r="C93" s="206">
        <f t="shared" si="62"/>
        <v>272573.48765556607</v>
      </c>
      <c r="D93" s="206">
        <f t="shared" si="63"/>
        <v>3122.0031882824624</v>
      </c>
      <c r="E93" s="213">
        <v>1952107.1612779046</v>
      </c>
      <c r="F93" s="213">
        <v>10042441.085859202</v>
      </c>
      <c r="G93" s="213">
        <v>377922.55695534917</v>
      </c>
      <c r="H93" s="213">
        <v>1254842.2674887753</v>
      </c>
      <c r="I93" s="214">
        <v>0</v>
      </c>
      <c r="J93" s="214">
        <v>0</v>
      </c>
      <c r="K93" s="214">
        <v>3933123</v>
      </c>
      <c r="L93" s="214">
        <v>45093.175041144248</v>
      </c>
      <c r="M93" s="214">
        <v>306731.65820396936</v>
      </c>
      <c r="N93" s="214">
        <f t="shared" si="68"/>
        <v>7783341.2087739306</v>
      </c>
      <c r="O93" s="214">
        <f t="shared" si="69"/>
        <v>1749867.5512762209</v>
      </c>
      <c r="P93" s="214">
        <v>321651.90258580621</v>
      </c>
      <c r="Q93" s="213">
        <v>275695.49084384873</v>
      </c>
      <c r="R93" s="214">
        <v>9533208.7600501478</v>
      </c>
    </row>
    <row r="94" spans="1:20">
      <c r="B94" s="12">
        <v>2024</v>
      </c>
      <c r="C94" s="206">
        <f t="shared" ref="C94:C98" si="70">Q94*$C$1</f>
        <v>272573.48765556607</v>
      </c>
      <c r="D94" s="206">
        <f t="shared" ref="D94:D98" si="71">Q94*$D$1</f>
        <v>3122.0031882824624</v>
      </c>
      <c r="E94" s="213">
        <v>1798940.6702315805</v>
      </c>
      <c r="F94" s="213">
        <v>9337227.181712212</v>
      </c>
      <c r="G94" s="213">
        <v>373976.41306400741</v>
      </c>
      <c r="H94" s="213">
        <v>1166842.7906046321</v>
      </c>
      <c r="I94" s="214">
        <v>0</v>
      </c>
      <c r="J94" s="214">
        <v>0</v>
      </c>
      <c r="K94" s="214">
        <v>3933123</v>
      </c>
      <c r="L94" s="214">
        <v>45093.175041144248</v>
      </c>
      <c r="M94" s="214">
        <v>285225.90767313133</v>
      </c>
      <c r="N94" s="214">
        <f t="shared" si="68"/>
        <v>7604017.9053520542</v>
      </c>
      <c r="O94" s="214">
        <f t="shared" si="69"/>
        <v>1709551.6995836506</v>
      </c>
      <c r="P94" s="214">
        <v>321651.90258580621</v>
      </c>
      <c r="Q94" s="213">
        <v>275695.49084384873</v>
      </c>
      <c r="R94" s="214">
        <v>9313569.6049357019</v>
      </c>
    </row>
    <row r="95" spans="1:20">
      <c r="B95" s="12">
        <v>2025</v>
      </c>
      <c r="C95" s="206">
        <f t="shared" si="70"/>
        <v>272573.48765556607</v>
      </c>
      <c r="D95" s="206">
        <f t="shared" si="71"/>
        <v>3122.0031882824624</v>
      </c>
      <c r="E95" s="213">
        <v>1752660.0125202443</v>
      </c>
      <c r="F95" s="213">
        <v>9335985.8944837935</v>
      </c>
      <c r="G95" s="213">
        <v>373976.41306400741</v>
      </c>
      <c r="H95" s="213">
        <v>1166842.7906046321</v>
      </c>
      <c r="I95" s="214">
        <v>0</v>
      </c>
      <c r="J95" s="214">
        <v>0</v>
      </c>
      <c r="K95" s="214">
        <v>3933123</v>
      </c>
      <c r="L95" s="214">
        <v>45093.175041144248</v>
      </c>
      <c r="M95" s="214">
        <v>285225.90767313133</v>
      </c>
      <c r="N95" s="214">
        <f t="shared" si="68"/>
        <v>7604017.9053520542</v>
      </c>
      <c r="O95" s="214">
        <f t="shared" si="69"/>
        <v>1709551.6995836506</v>
      </c>
      <c r="P95" s="214">
        <v>321651.90258580621</v>
      </c>
      <c r="Q95" s="213">
        <v>275695.49084384873</v>
      </c>
      <c r="R95" s="214">
        <v>9313569.6049357019</v>
      </c>
    </row>
    <row r="96" spans="1:20">
      <c r="B96" s="12">
        <v>2026</v>
      </c>
      <c r="C96" s="206">
        <f t="shared" si="70"/>
        <v>272573.48765556607</v>
      </c>
      <c r="D96" s="206">
        <f t="shared" si="71"/>
        <v>3122.0031882824624</v>
      </c>
      <c r="E96" s="213">
        <v>1727505.3773082048</v>
      </c>
      <c r="F96" s="213">
        <v>9335314.5352613162</v>
      </c>
      <c r="G96" s="213">
        <v>373976.41306400741</v>
      </c>
      <c r="H96" s="213">
        <v>1166842.7906046321</v>
      </c>
      <c r="I96" s="214">
        <v>0</v>
      </c>
      <c r="J96" s="214">
        <v>0</v>
      </c>
      <c r="K96" s="214">
        <v>3933123</v>
      </c>
      <c r="L96" s="214">
        <v>45093.175041144248</v>
      </c>
      <c r="M96" s="214">
        <v>285225.90767313133</v>
      </c>
      <c r="N96" s="214">
        <f t="shared" si="68"/>
        <v>7604017.9053520542</v>
      </c>
      <c r="O96" s="214">
        <f t="shared" si="69"/>
        <v>1709551.6995836506</v>
      </c>
      <c r="P96" s="214">
        <v>321651.90258580621</v>
      </c>
      <c r="Q96" s="213">
        <v>275695.49084384873</v>
      </c>
      <c r="R96" s="214">
        <v>9313569.6049357019</v>
      </c>
    </row>
    <row r="97" spans="1:18">
      <c r="B97" s="12">
        <v>2027</v>
      </c>
      <c r="C97" s="206">
        <f t="shared" si="70"/>
        <v>272573.48765556607</v>
      </c>
      <c r="D97" s="206">
        <f t="shared" si="71"/>
        <v>3122.0031882824624</v>
      </c>
      <c r="E97" s="213">
        <v>1688842.3791830689</v>
      </c>
      <c r="F97" s="213">
        <v>9262607.5222635157</v>
      </c>
      <c r="G97" s="213">
        <v>373572.86376211466</v>
      </c>
      <c r="H97" s="213">
        <v>1157843.5933018059</v>
      </c>
      <c r="I97" s="214">
        <v>0</v>
      </c>
      <c r="J97" s="214">
        <v>0</v>
      </c>
      <c r="K97" s="214">
        <v>3933123</v>
      </c>
      <c r="L97" s="214">
        <v>45092.719759412983</v>
      </c>
      <c r="M97" s="214">
        <v>285021.50278030196</v>
      </c>
      <c r="N97" s="214">
        <f t="shared" si="68"/>
        <v>7088358.6514005661</v>
      </c>
      <c r="O97" s="214">
        <f t="shared" si="69"/>
        <v>1593620.0743597893</v>
      </c>
      <c r="P97" s="214">
        <v>321651.90258580621</v>
      </c>
      <c r="Q97" s="213">
        <v>275695.49084384873</v>
      </c>
      <c r="R97" s="214">
        <v>8681978.7257603519</v>
      </c>
    </row>
    <row r="98" spans="1:18">
      <c r="B98" s="12">
        <v>2028</v>
      </c>
      <c r="C98" s="206">
        <f t="shared" si="70"/>
        <v>272573.48765556607</v>
      </c>
      <c r="D98" s="206">
        <f t="shared" si="71"/>
        <v>3122.0031882824624</v>
      </c>
      <c r="E98" s="213">
        <v>1657017.2878064804</v>
      </c>
      <c r="F98" s="213">
        <v>9261828.9771005362</v>
      </c>
      <c r="G98" s="213">
        <v>373572.86376211466</v>
      </c>
      <c r="H98" s="213">
        <v>1157843.5933018059</v>
      </c>
      <c r="I98" s="214">
        <v>0</v>
      </c>
      <c r="J98" s="214">
        <v>0</v>
      </c>
      <c r="K98" s="214">
        <v>3933123</v>
      </c>
      <c r="L98" s="214">
        <v>45092.719759412983</v>
      </c>
      <c r="M98" s="214">
        <v>285021.50278030196</v>
      </c>
      <c r="N98" s="214">
        <f t="shared" si="68"/>
        <v>7088358.6514005661</v>
      </c>
      <c r="O98" s="214">
        <f t="shared" si="69"/>
        <v>1593620.0743597893</v>
      </c>
      <c r="P98" s="214">
        <v>321651.90258580621</v>
      </c>
      <c r="Q98" s="213">
        <v>275695.49084384873</v>
      </c>
      <c r="R98" s="214">
        <v>8681978.7257603519</v>
      </c>
    </row>
    <row r="99" spans="1:18">
      <c r="B99" s="12">
        <v>2029</v>
      </c>
      <c r="C99" s="206">
        <f t="shared" ref="C99:C101" si="72">Q99*$C$1</f>
        <v>268647.29044231726</v>
      </c>
      <c r="D99" s="206">
        <f t="shared" ref="D99:D101" si="73">Q99*$D$1</f>
        <v>3077.0332965919042</v>
      </c>
      <c r="E99" s="213">
        <v>1568839.4362074314</v>
      </c>
      <c r="F99" s="213">
        <v>9015273.3794128653</v>
      </c>
      <c r="G99" s="213">
        <v>372194.3121016217</v>
      </c>
      <c r="H99" s="213">
        <v>1127101.7277435537</v>
      </c>
      <c r="I99" s="214">
        <v>0</v>
      </c>
      <c r="J99" s="214">
        <v>0</v>
      </c>
      <c r="K99" s="214">
        <v>3933123</v>
      </c>
      <c r="L99" s="214">
        <v>44967.224670409545</v>
      </c>
      <c r="M99" s="214">
        <v>283573.67005597154</v>
      </c>
      <c r="N99" s="214">
        <f t="shared" si="68"/>
        <v>6284778.2396266218</v>
      </c>
      <c r="O99" s="214">
        <f t="shared" si="69"/>
        <v>1412957.3936823334</v>
      </c>
      <c r="P99" s="214">
        <v>321651.90258580621</v>
      </c>
      <c r="Q99" s="213">
        <v>271724.32373890938</v>
      </c>
      <c r="R99" s="214">
        <v>7697735.6333089527</v>
      </c>
    </row>
    <row r="100" spans="1:18">
      <c r="B100" s="12">
        <v>2030</v>
      </c>
      <c r="C100" s="206">
        <f t="shared" si="72"/>
        <v>268647.29044231726</v>
      </c>
      <c r="D100" s="206">
        <f t="shared" si="73"/>
        <v>3077.0332965919042</v>
      </c>
      <c r="E100" s="213">
        <v>1485512.7034818586</v>
      </c>
      <c r="F100" s="213">
        <v>8632267.5555089656</v>
      </c>
      <c r="G100" s="213">
        <v>370048.52585840801</v>
      </c>
      <c r="H100" s="213">
        <v>1079250.4399782221</v>
      </c>
      <c r="I100" s="214">
        <v>0</v>
      </c>
      <c r="J100" s="214">
        <v>0</v>
      </c>
      <c r="K100" s="214">
        <v>3933123</v>
      </c>
      <c r="L100" s="214">
        <v>44041.398922580382</v>
      </c>
      <c r="M100" s="214">
        <v>283573.67005597154</v>
      </c>
      <c r="N100" s="214">
        <f t="shared" si="68"/>
        <v>6284778.2396266218</v>
      </c>
      <c r="O100" s="214">
        <f t="shared" si="69"/>
        <v>1412957.3936823334</v>
      </c>
      <c r="P100" s="214">
        <v>321651.90258580621</v>
      </c>
      <c r="Q100" s="213">
        <v>271724.32373890938</v>
      </c>
      <c r="R100" s="214">
        <v>7697735.6333089527</v>
      </c>
    </row>
    <row r="101" spans="1:18">
      <c r="B101" s="12">
        <v>2031</v>
      </c>
      <c r="C101" s="206">
        <f t="shared" si="72"/>
        <v>268647.29044231726</v>
      </c>
      <c r="D101" s="206">
        <f t="shared" si="73"/>
        <v>3077.0332965919042</v>
      </c>
      <c r="E101" s="213">
        <v>841975.67444842099</v>
      </c>
      <c r="F101" s="213">
        <v>4085160.7034406965</v>
      </c>
      <c r="G101" s="213">
        <v>22903.610430310782</v>
      </c>
      <c r="H101" s="213">
        <v>510753.22951294488</v>
      </c>
      <c r="I101" s="214">
        <v>0</v>
      </c>
      <c r="J101" s="214">
        <v>0</v>
      </c>
      <c r="K101" s="214">
        <v>0</v>
      </c>
      <c r="L101" s="214">
        <v>44034.311013809631</v>
      </c>
      <c r="M101" s="214">
        <v>180297.48282813648</v>
      </c>
      <c r="N101" s="214">
        <f t="shared" si="68"/>
        <v>5423968.3933565905</v>
      </c>
      <c r="O101" s="214">
        <f t="shared" si="69"/>
        <v>1219428.2681560121</v>
      </c>
      <c r="P101" s="214">
        <v>0</v>
      </c>
      <c r="Q101" s="213">
        <v>271724.32373890938</v>
      </c>
      <c r="R101" s="214">
        <v>6643396.6615126003</v>
      </c>
    </row>
    <row r="102" spans="1:18">
      <c r="C102" s="206"/>
      <c r="D102" s="206"/>
      <c r="E102" s="213"/>
      <c r="F102" s="213"/>
      <c r="G102" s="213"/>
      <c r="H102" s="213"/>
      <c r="I102" s="214"/>
      <c r="J102" s="214"/>
      <c r="K102" s="214"/>
      <c r="L102" s="214"/>
      <c r="M102" s="214"/>
      <c r="N102" s="214"/>
      <c r="O102" s="214"/>
      <c r="P102" s="214"/>
      <c r="Q102" s="213"/>
      <c r="R102" s="214"/>
    </row>
    <row r="103" spans="1:18">
      <c r="A103" s="12">
        <v>2020</v>
      </c>
      <c r="B103" s="12">
        <v>2020</v>
      </c>
      <c r="C103" s="206">
        <f t="shared" ref="C103" si="74">Q103*$C$1</f>
        <v>113353.25520298492</v>
      </c>
      <c r="D103" s="206">
        <f t="shared" ref="D103:D104" si="75">Q103*$D$1</f>
        <v>1298.3259200656451</v>
      </c>
      <c r="E103" s="213">
        <v>364739.36988039833</v>
      </c>
      <c r="F103" s="213">
        <v>802550.43745333503</v>
      </c>
      <c r="G103" s="213">
        <v>36828.803997383846</v>
      </c>
      <c r="H103" s="213">
        <v>978884.21107529197</v>
      </c>
      <c r="I103" s="214">
        <v>0</v>
      </c>
      <c r="J103" s="214">
        <v>0</v>
      </c>
      <c r="K103" s="214">
        <v>0</v>
      </c>
      <c r="L103" s="214">
        <v>0</v>
      </c>
      <c r="M103" s="214">
        <v>0</v>
      </c>
      <c r="N103" s="214">
        <f t="shared" ref="N103:N114" si="76">R103*$N$1</f>
        <v>165012.15775766131</v>
      </c>
      <c r="O103" s="214">
        <f t="shared" ref="O103:O114" si="77">R103*$O$1</f>
        <v>37098.389069813049</v>
      </c>
      <c r="P103" s="214">
        <v>0</v>
      </c>
      <c r="Q103" s="213">
        <v>114651.58112305065</v>
      </c>
      <c r="R103" s="214">
        <v>202110.54682747429</v>
      </c>
    </row>
    <row r="104" spans="1:18">
      <c r="B104" s="12">
        <v>2021</v>
      </c>
      <c r="C104" s="206">
        <f>Q104*$C$1</f>
        <v>113353.25520298492</v>
      </c>
      <c r="D104" s="206">
        <f t="shared" si="75"/>
        <v>1298.3259200656451</v>
      </c>
      <c r="E104" s="213">
        <v>364739.36988039833</v>
      </c>
      <c r="F104" s="213">
        <v>807079.53512363357</v>
      </c>
      <c r="G104" s="213">
        <v>37036.64296002117</v>
      </c>
      <c r="H104" s="213">
        <v>984408.42736497661</v>
      </c>
      <c r="I104" s="214">
        <v>0</v>
      </c>
      <c r="J104" s="214">
        <v>0</v>
      </c>
      <c r="K104" s="214">
        <v>0</v>
      </c>
      <c r="L104" s="214">
        <v>0</v>
      </c>
      <c r="M104" s="214">
        <v>0</v>
      </c>
      <c r="N104" s="214">
        <f t="shared" si="76"/>
        <v>165012.15775766131</v>
      </c>
      <c r="O104" s="214">
        <f t="shared" si="77"/>
        <v>37098.389069813049</v>
      </c>
      <c r="P104" s="214">
        <v>0</v>
      </c>
      <c r="Q104" s="213">
        <v>114651.58112305065</v>
      </c>
      <c r="R104" s="214">
        <v>202110.54682747429</v>
      </c>
    </row>
    <row r="105" spans="1:18">
      <c r="B105" s="12">
        <v>2022</v>
      </c>
      <c r="C105" s="206">
        <f>Q105*$C$1</f>
        <v>113353.25520298492</v>
      </c>
      <c r="D105" s="206">
        <f t="shared" ref="D105:D111" si="78">Q105*$D$1</f>
        <v>1298.3259200656451</v>
      </c>
      <c r="E105" s="213">
        <v>364739.36988039833</v>
      </c>
      <c r="F105" s="213">
        <v>807079.53512363357</v>
      </c>
      <c r="G105" s="213">
        <v>37036.64296002117</v>
      </c>
      <c r="H105" s="213">
        <v>984408.42736497661</v>
      </c>
      <c r="I105" s="214">
        <v>0</v>
      </c>
      <c r="J105" s="214">
        <v>0</v>
      </c>
      <c r="K105" s="214">
        <v>0</v>
      </c>
      <c r="L105" s="214">
        <v>0</v>
      </c>
      <c r="M105" s="214">
        <v>0</v>
      </c>
      <c r="N105" s="214">
        <f t="shared" si="76"/>
        <v>165012.15775766131</v>
      </c>
      <c r="O105" s="214">
        <f t="shared" si="77"/>
        <v>37098.389069813049</v>
      </c>
      <c r="P105" s="214">
        <v>0</v>
      </c>
      <c r="Q105" s="213">
        <v>114651.58112305065</v>
      </c>
      <c r="R105" s="214">
        <v>202110.54682747429</v>
      </c>
    </row>
    <row r="106" spans="1:18">
      <c r="B106" s="12">
        <v>2023</v>
      </c>
      <c r="C106" s="206">
        <f>Q106*$C$1</f>
        <v>113353.25520298492</v>
      </c>
      <c r="D106" s="206">
        <f t="shared" si="78"/>
        <v>1298.3259200656451</v>
      </c>
      <c r="E106" s="213">
        <v>364739.36988039833</v>
      </c>
      <c r="F106" s="213">
        <v>807079.53512363357</v>
      </c>
      <c r="G106" s="213">
        <v>37036.64296002117</v>
      </c>
      <c r="H106" s="213">
        <v>984408.42736497661</v>
      </c>
      <c r="I106" s="214">
        <v>0</v>
      </c>
      <c r="J106" s="214">
        <v>0</v>
      </c>
      <c r="K106" s="214">
        <v>0</v>
      </c>
      <c r="L106" s="214">
        <v>0</v>
      </c>
      <c r="M106" s="214">
        <v>0</v>
      </c>
      <c r="N106" s="214">
        <f t="shared" si="76"/>
        <v>165012.15775766131</v>
      </c>
      <c r="O106" s="214">
        <f t="shared" si="77"/>
        <v>37098.389069813049</v>
      </c>
      <c r="P106" s="214">
        <v>0</v>
      </c>
      <c r="Q106" s="213">
        <v>114651.58112305065</v>
      </c>
      <c r="R106" s="214">
        <v>202110.54682747429</v>
      </c>
    </row>
    <row r="107" spans="1:18">
      <c r="B107" s="12">
        <v>2024</v>
      </c>
      <c r="C107" s="206">
        <f t="shared" ref="C107:C111" si="79">Q107*$C$1</f>
        <v>113353.25520298492</v>
      </c>
      <c r="D107" s="206">
        <f t="shared" si="78"/>
        <v>1298.3259200656451</v>
      </c>
      <c r="E107" s="213">
        <v>364739.36988039833</v>
      </c>
      <c r="F107" s="213">
        <v>807079.53512363357</v>
      </c>
      <c r="G107" s="213">
        <v>37036.64296002117</v>
      </c>
      <c r="H107" s="213">
        <v>984408.42736497661</v>
      </c>
      <c r="I107" s="214">
        <v>0</v>
      </c>
      <c r="J107" s="214">
        <v>0</v>
      </c>
      <c r="K107" s="214">
        <v>0</v>
      </c>
      <c r="L107" s="214">
        <v>0</v>
      </c>
      <c r="M107" s="214">
        <v>0</v>
      </c>
      <c r="N107" s="214">
        <f t="shared" si="76"/>
        <v>165012.15775766131</v>
      </c>
      <c r="O107" s="214">
        <f t="shared" si="77"/>
        <v>37098.389069813049</v>
      </c>
      <c r="P107" s="214">
        <v>0</v>
      </c>
      <c r="Q107" s="213">
        <v>114651.58112305065</v>
      </c>
      <c r="R107" s="214">
        <v>202110.54682747429</v>
      </c>
    </row>
    <row r="108" spans="1:18">
      <c r="B108" s="12">
        <v>2025</v>
      </c>
      <c r="C108" s="206">
        <f t="shared" si="79"/>
        <v>113353.25520298492</v>
      </c>
      <c r="D108" s="206">
        <f t="shared" si="78"/>
        <v>1298.3259200656451</v>
      </c>
      <c r="E108" s="213">
        <v>346687.66309306346</v>
      </c>
      <c r="F108" s="213">
        <v>767135.49747590791</v>
      </c>
      <c r="G108" s="213">
        <v>35203.622797375319</v>
      </c>
      <c r="H108" s="213">
        <v>935688.01559368614</v>
      </c>
      <c r="I108" s="214">
        <v>0</v>
      </c>
      <c r="J108" s="214">
        <v>0</v>
      </c>
      <c r="K108" s="214">
        <v>0</v>
      </c>
      <c r="L108" s="214">
        <v>0</v>
      </c>
      <c r="M108" s="214">
        <v>0</v>
      </c>
      <c r="N108" s="214">
        <f t="shared" si="76"/>
        <v>153304.05254982761</v>
      </c>
      <c r="O108" s="214">
        <f t="shared" si="77"/>
        <v>34466.147614559719</v>
      </c>
      <c r="P108" s="214">
        <v>0</v>
      </c>
      <c r="Q108" s="213">
        <v>114651.58112305065</v>
      </c>
      <c r="R108" s="214">
        <v>187770.20016438726</v>
      </c>
    </row>
    <row r="109" spans="1:18">
      <c r="B109" s="12">
        <v>2026</v>
      </c>
      <c r="C109" s="206">
        <f t="shared" si="79"/>
        <v>113353.25520298492</v>
      </c>
      <c r="D109" s="206">
        <f t="shared" si="78"/>
        <v>1298.3259200656451</v>
      </c>
      <c r="E109" s="213">
        <v>346687.66309306346</v>
      </c>
      <c r="F109" s="213">
        <v>767135.49747590791</v>
      </c>
      <c r="G109" s="213">
        <v>35203.622797375319</v>
      </c>
      <c r="H109" s="213">
        <v>935688.01559368614</v>
      </c>
      <c r="I109" s="214">
        <v>0</v>
      </c>
      <c r="J109" s="214">
        <v>0</v>
      </c>
      <c r="K109" s="214">
        <v>0</v>
      </c>
      <c r="L109" s="214">
        <v>0</v>
      </c>
      <c r="M109" s="214">
        <v>0</v>
      </c>
      <c r="N109" s="214">
        <f t="shared" si="76"/>
        <v>153304.05254982761</v>
      </c>
      <c r="O109" s="214">
        <f t="shared" si="77"/>
        <v>34466.147614559719</v>
      </c>
      <c r="P109" s="214">
        <v>0</v>
      </c>
      <c r="Q109" s="213">
        <v>114651.58112305065</v>
      </c>
      <c r="R109" s="214">
        <v>187770.20016438726</v>
      </c>
    </row>
    <row r="110" spans="1:18">
      <c r="B110" s="12">
        <v>2027</v>
      </c>
      <c r="C110" s="206">
        <f t="shared" si="79"/>
        <v>113353.25520298492</v>
      </c>
      <c r="D110" s="206">
        <f t="shared" si="78"/>
        <v>1298.3259200656451</v>
      </c>
      <c r="E110" s="213">
        <v>346687.66309306346</v>
      </c>
      <c r="F110" s="213">
        <v>767135.49747590791</v>
      </c>
      <c r="G110" s="213">
        <v>35203.622797375319</v>
      </c>
      <c r="H110" s="213">
        <v>935688.01559368614</v>
      </c>
      <c r="I110" s="214">
        <v>0</v>
      </c>
      <c r="J110" s="214">
        <v>0</v>
      </c>
      <c r="K110" s="214">
        <v>0</v>
      </c>
      <c r="L110" s="214">
        <v>0</v>
      </c>
      <c r="M110" s="214">
        <v>0</v>
      </c>
      <c r="N110" s="214">
        <f t="shared" si="76"/>
        <v>153304.05254982761</v>
      </c>
      <c r="O110" s="214">
        <f t="shared" si="77"/>
        <v>34466.147614559719</v>
      </c>
      <c r="P110" s="214">
        <v>0</v>
      </c>
      <c r="Q110" s="213">
        <v>114651.58112305065</v>
      </c>
      <c r="R110" s="214">
        <v>187770.20016438726</v>
      </c>
    </row>
    <row r="111" spans="1:18">
      <c r="B111" s="12">
        <v>2028</v>
      </c>
      <c r="C111" s="206">
        <f t="shared" si="79"/>
        <v>113353.25520298492</v>
      </c>
      <c r="D111" s="206">
        <f t="shared" si="78"/>
        <v>1298.3259200656451</v>
      </c>
      <c r="E111" s="213">
        <v>344841.61949389684</v>
      </c>
      <c r="F111" s="213">
        <v>763050.6518769206</v>
      </c>
      <c r="G111" s="213">
        <v>35016.170431886545</v>
      </c>
      <c r="H111" s="213">
        <v>930705.66099648795</v>
      </c>
      <c r="I111" s="214">
        <v>0</v>
      </c>
      <c r="J111" s="214">
        <v>0</v>
      </c>
      <c r="K111" s="214">
        <v>0</v>
      </c>
      <c r="L111" s="214">
        <v>0</v>
      </c>
      <c r="M111" s="214">
        <v>0</v>
      </c>
      <c r="N111" s="214">
        <f t="shared" si="76"/>
        <v>153192.77096554573</v>
      </c>
      <c r="O111" s="214">
        <f t="shared" si="77"/>
        <v>34441.129048860712</v>
      </c>
      <c r="P111" s="214">
        <v>0</v>
      </c>
      <c r="Q111" s="213">
        <v>114651.58112305065</v>
      </c>
      <c r="R111" s="214">
        <v>187633.90001440636</v>
      </c>
    </row>
    <row r="112" spans="1:18">
      <c r="B112" s="12">
        <v>2029</v>
      </c>
      <c r="C112" s="206">
        <f t="shared" ref="C112:C114" si="80">Q112*$C$1</f>
        <v>113353.25520298492</v>
      </c>
      <c r="D112" s="206">
        <f t="shared" ref="D112:D114" si="81">Q112*$D$1</f>
        <v>1298.3259200656451</v>
      </c>
      <c r="E112" s="213">
        <v>344841.61949389684</v>
      </c>
      <c r="F112" s="213">
        <v>763050.6518769206</v>
      </c>
      <c r="G112" s="213">
        <v>35016.170431886545</v>
      </c>
      <c r="H112" s="213">
        <v>930705.66099648795</v>
      </c>
      <c r="I112" s="214">
        <v>0</v>
      </c>
      <c r="J112" s="214">
        <v>0</v>
      </c>
      <c r="K112" s="214">
        <v>0</v>
      </c>
      <c r="L112" s="214">
        <v>0</v>
      </c>
      <c r="M112" s="214">
        <v>0</v>
      </c>
      <c r="N112" s="214">
        <f t="shared" si="76"/>
        <v>153192.77096554573</v>
      </c>
      <c r="O112" s="214">
        <f t="shared" si="77"/>
        <v>34441.129048860712</v>
      </c>
      <c r="P112" s="214">
        <v>0</v>
      </c>
      <c r="Q112" s="213">
        <v>114651.58112305065</v>
      </c>
      <c r="R112" s="214">
        <v>187633.90001440636</v>
      </c>
    </row>
    <row r="113" spans="1:21">
      <c r="B113" s="12">
        <v>2030</v>
      </c>
      <c r="C113" s="206">
        <f t="shared" si="80"/>
        <v>113352.8925849083</v>
      </c>
      <c r="D113" s="206">
        <f t="shared" si="81"/>
        <v>1298.3217667094216</v>
      </c>
      <c r="E113" s="213">
        <v>338535.40992535756</v>
      </c>
      <c r="F113" s="213">
        <v>749096.54352651734</v>
      </c>
      <c r="G113" s="213">
        <v>34375.820495718028</v>
      </c>
      <c r="H113" s="213">
        <v>913685.60131377436</v>
      </c>
      <c r="I113" s="214">
        <v>0</v>
      </c>
      <c r="J113" s="214">
        <v>0</v>
      </c>
      <c r="K113" s="214">
        <v>0</v>
      </c>
      <c r="L113" s="214">
        <v>0</v>
      </c>
      <c r="M113" s="214">
        <v>0</v>
      </c>
      <c r="N113" s="214">
        <f t="shared" si="76"/>
        <v>152404.54560993687</v>
      </c>
      <c r="O113" s="214">
        <f t="shared" si="77"/>
        <v>34263.91852501547</v>
      </c>
      <c r="P113" s="214">
        <v>0</v>
      </c>
      <c r="Q113" s="213">
        <v>114651.21435161782</v>
      </c>
      <c r="R113" s="214">
        <v>186668.46413495229</v>
      </c>
    </row>
    <row r="114" spans="1:21">
      <c r="B114" s="12">
        <v>2031</v>
      </c>
      <c r="C114" s="206">
        <f t="shared" si="80"/>
        <v>113352.8925849083</v>
      </c>
      <c r="D114" s="206">
        <f t="shared" si="81"/>
        <v>1298.3217667094216</v>
      </c>
      <c r="E114" s="213">
        <v>328719.47184570978</v>
      </c>
      <c r="F114" s="213">
        <v>727376.25941043103</v>
      </c>
      <c r="G114" s="213">
        <v>33379.08303331356</v>
      </c>
      <c r="H114" s="213">
        <v>887193.0069682101</v>
      </c>
      <c r="I114" s="214">
        <v>0</v>
      </c>
      <c r="J114" s="214">
        <v>0</v>
      </c>
      <c r="K114" s="214">
        <v>0</v>
      </c>
      <c r="L114" s="214">
        <v>0</v>
      </c>
      <c r="M114" s="214">
        <v>0</v>
      </c>
      <c r="N114" s="214">
        <f t="shared" si="76"/>
        <v>152404.54560993687</v>
      </c>
      <c r="O114" s="214">
        <f t="shared" si="77"/>
        <v>34263.91852501547</v>
      </c>
      <c r="P114" s="214">
        <v>0</v>
      </c>
      <c r="Q114" s="213">
        <v>114651.21435161782</v>
      </c>
      <c r="R114" s="214">
        <v>186668.46413495229</v>
      </c>
    </row>
    <row r="115" spans="1:21">
      <c r="C115" s="206"/>
      <c r="D115" s="206"/>
      <c r="N115" s="214"/>
      <c r="O115" s="214"/>
    </row>
    <row r="116" spans="1:21">
      <c r="A116" s="12">
        <f>A103+1</f>
        <v>2021</v>
      </c>
      <c r="B116" s="12">
        <f>B104</f>
        <v>2021</v>
      </c>
      <c r="C116" s="206">
        <f t="shared" ref="C116:C117" si="82">Q116*$C$1</f>
        <v>0</v>
      </c>
      <c r="D116" s="206">
        <f t="shared" ref="D116:D117" si="83">Q116*$D$1</f>
        <v>0</v>
      </c>
      <c r="E116" s="213">
        <v>0</v>
      </c>
      <c r="F116" s="213">
        <v>3973117.8880244461</v>
      </c>
      <c r="G116" s="213">
        <v>0</v>
      </c>
      <c r="H116" s="213">
        <v>169538.15202532854</v>
      </c>
      <c r="I116" s="214">
        <v>0</v>
      </c>
      <c r="J116" s="214">
        <v>0</v>
      </c>
      <c r="K116" s="214">
        <v>0</v>
      </c>
      <c r="L116" s="214">
        <v>0</v>
      </c>
      <c r="M116" s="214">
        <v>0</v>
      </c>
      <c r="N116" s="214">
        <f t="shared" ref="N116:N126" si="84">R116*$N$1</f>
        <v>4391739.4439604972</v>
      </c>
      <c r="O116" s="214">
        <f t="shared" ref="O116:O126" si="85">R116*$O$1</f>
        <v>987360.33028891461</v>
      </c>
      <c r="P116" s="214">
        <v>0</v>
      </c>
      <c r="Q116" s="213">
        <v>0</v>
      </c>
      <c r="R116" s="214">
        <v>5379099.7742494103</v>
      </c>
    </row>
    <row r="117" spans="1:21">
      <c r="B117" s="12">
        <f>B105</f>
        <v>2022</v>
      </c>
      <c r="C117" s="206">
        <f t="shared" si="82"/>
        <v>0</v>
      </c>
      <c r="D117" s="206">
        <f t="shared" si="83"/>
        <v>0</v>
      </c>
      <c r="E117" s="213">
        <v>0</v>
      </c>
      <c r="F117" s="213">
        <v>3973117.8880244461</v>
      </c>
      <c r="G117" s="213">
        <v>0</v>
      </c>
      <c r="H117" s="213">
        <v>170494.92036477546</v>
      </c>
      <c r="I117" s="214">
        <v>0</v>
      </c>
      <c r="J117" s="214">
        <v>0</v>
      </c>
      <c r="K117" s="214">
        <v>0</v>
      </c>
      <c r="L117" s="214">
        <v>0</v>
      </c>
      <c r="M117" s="214">
        <v>0</v>
      </c>
      <c r="N117" s="214">
        <f t="shared" si="84"/>
        <v>4391739.4439604972</v>
      </c>
      <c r="O117" s="214">
        <f t="shared" si="85"/>
        <v>987360.33028891461</v>
      </c>
      <c r="P117" s="214">
        <v>0</v>
      </c>
      <c r="Q117" s="213">
        <v>0</v>
      </c>
      <c r="R117" s="214">
        <v>5379099.7742494103</v>
      </c>
    </row>
    <row r="118" spans="1:21">
      <c r="B118" s="12">
        <f t="shared" ref="B118:B123" si="86">B106</f>
        <v>2023</v>
      </c>
      <c r="C118" s="206">
        <f t="shared" ref="C118:C123" si="87">Q118*$C$1</f>
        <v>0</v>
      </c>
      <c r="D118" s="206">
        <f t="shared" ref="D118:D123" si="88">Q118*$D$1</f>
        <v>0</v>
      </c>
      <c r="E118" s="213">
        <v>0</v>
      </c>
      <c r="F118" s="213">
        <v>3973117.8880244461</v>
      </c>
      <c r="G118" s="213">
        <v>0</v>
      </c>
      <c r="H118" s="213">
        <v>170494.92036477546</v>
      </c>
      <c r="I118" s="214">
        <v>0</v>
      </c>
      <c r="J118" s="214">
        <v>0</v>
      </c>
      <c r="K118" s="214">
        <v>0</v>
      </c>
      <c r="L118" s="214">
        <v>0</v>
      </c>
      <c r="M118" s="214">
        <v>0</v>
      </c>
      <c r="N118" s="214">
        <f t="shared" si="84"/>
        <v>4391739.4439604972</v>
      </c>
      <c r="O118" s="214">
        <f t="shared" si="85"/>
        <v>987360.33028891461</v>
      </c>
      <c r="P118" s="214">
        <v>0</v>
      </c>
      <c r="Q118" s="213">
        <v>0</v>
      </c>
      <c r="R118" s="214">
        <v>5379099.7742494103</v>
      </c>
    </row>
    <row r="119" spans="1:21">
      <c r="B119" s="12">
        <f t="shared" si="86"/>
        <v>2024</v>
      </c>
      <c r="C119" s="206">
        <f t="shared" si="87"/>
        <v>0</v>
      </c>
      <c r="D119" s="206">
        <f t="shared" si="88"/>
        <v>0</v>
      </c>
      <c r="E119" s="213">
        <v>0</v>
      </c>
      <c r="F119" s="213">
        <v>3973117.8880244461</v>
      </c>
      <c r="G119" s="213">
        <v>0</v>
      </c>
      <c r="H119" s="213">
        <v>170494.92036477546</v>
      </c>
      <c r="I119" s="214">
        <v>0</v>
      </c>
      <c r="J119" s="214">
        <v>0</v>
      </c>
      <c r="K119" s="214">
        <v>0</v>
      </c>
      <c r="L119" s="214">
        <v>0</v>
      </c>
      <c r="M119" s="214">
        <v>0</v>
      </c>
      <c r="N119" s="214">
        <f t="shared" si="84"/>
        <v>4391739.4439604972</v>
      </c>
      <c r="O119" s="214">
        <f t="shared" si="85"/>
        <v>987360.33028891461</v>
      </c>
      <c r="P119" s="214">
        <v>0</v>
      </c>
      <c r="Q119" s="213">
        <v>0</v>
      </c>
      <c r="R119" s="214">
        <v>5379099.7742494103</v>
      </c>
    </row>
    <row r="120" spans="1:21">
      <c r="B120" s="12">
        <f t="shared" si="86"/>
        <v>2025</v>
      </c>
      <c r="C120" s="206">
        <f t="shared" si="87"/>
        <v>0</v>
      </c>
      <c r="D120" s="206">
        <f t="shared" si="88"/>
        <v>0</v>
      </c>
      <c r="E120" s="213">
        <v>0</v>
      </c>
      <c r="F120" s="213">
        <v>3973117.8880244461</v>
      </c>
      <c r="G120" s="213">
        <v>0</v>
      </c>
      <c r="H120" s="213">
        <v>170494.92036477546</v>
      </c>
      <c r="I120" s="214">
        <v>0</v>
      </c>
      <c r="J120" s="214">
        <v>0</v>
      </c>
      <c r="K120" s="214">
        <v>0</v>
      </c>
      <c r="L120" s="214">
        <v>0</v>
      </c>
      <c r="M120" s="214">
        <v>0</v>
      </c>
      <c r="N120" s="214">
        <f t="shared" si="84"/>
        <v>4391739.4439604972</v>
      </c>
      <c r="O120" s="214">
        <f t="shared" si="85"/>
        <v>987360.33028891461</v>
      </c>
      <c r="P120" s="214">
        <v>0</v>
      </c>
      <c r="Q120" s="213">
        <v>0</v>
      </c>
      <c r="R120" s="214">
        <v>5379099.7742494103</v>
      </c>
    </row>
    <row r="121" spans="1:21">
      <c r="B121" s="12">
        <f t="shared" si="86"/>
        <v>2026</v>
      </c>
      <c r="C121" s="206">
        <f t="shared" si="87"/>
        <v>0</v>
      </c>
      <c r="D121" s="206">
        <f t="shared" si="88"/>
        <v>0</v>
      </c>
      <c r="E121" s="213">
        <v>0</v>
      </c>
      <c r="F121" s="213">
        <v>3973117.8880244461</v>
      </c>
      <c r="G121" s="213">
        <v>0</v>
      </c>
      <c r="H121" s="213">
        <v>162056.77366247636</v>
      </c>
      <c r="I121" s="214">
        <v>0</v>
      </c>
      <c r="J121" s="214">
        <v>0</v>
      </c>
      <c r="K121" s="214">
        <v>0</v>
      </c>
      <c r="L121" s="214">
        <v>0</v>
      </c>
      <c r="M121" s="214">
        <v>0</v>
      </c>
      <c r="N121" s="214">
        <f t="shared" si="84"/>
        <v>4391739.4439604972</v>
      </c>
      <c r="O121" s="214">
        <f t="shared" si="85"/>
        <v>987360.33028891461</v>
      </c>
      <c r="P121" s="214">
        <v>0</v>
      </c>
      <c r="Q121" s="213">
        <v>0</v>
      </c>
      <c r="R121" s="214">
        <v>5379099.7742494103</v>
      </c>
      <c r="U121" s="206"/>
    </row>
    <row r="122" spans="1:21">
      <c r="B122" s="12">
        <f t="shared" si="86"/>
        <v>2027</v>
      </c>
      <c r="C122" s="206">
        <f t="shared" si="87"/>
        <v>0</v>
      </c>
      <c r="D122" s="206">
        <f t="shared" si="88"/>
        <v>0</v>
      </c>
      <c r="E122" s="213">
        <v>0</v>
      </c>
      <c r="F122" s="213">
        <v>3584607.971557911</v>
      </c>
      <c r="G122" s="213">
        <v>0</v>
      </c>
      <c r="H122" s="213">
        <v>162056.77366247636</v>
      </c>
      <c r="I122" s="214">
        <v>0</v>
      </c>
      <c r="J122" s="214">
        <v>0</v>
      </c>
      <c r="K122" s="214">
        <v>0</v>
      </c>
      <c r="L122" s="214">
        <v>0</v>
      </c>
      <c r="M122" s="214">
        <v>0</v>
      </c>
      <c r="N122" s="214">
        <f t="shared" si="84"/>
        <v>4391739.4439604972</v>
      </c>
      <c r="O122" s="214">
        <f t="shared" si="85"/>
        <v>987360.33028891461</v>
      </c>
      <c r="P122" s="214">
        <v>0</v>
      </c>
      <c r="Q122" s="213">
        <v>0</v>
      </c>
      <c r="R122" s="214">
        <v>5379099.7742494103</v>
      </c>
      <c r="U122" s="206"/>
    </row>
    <row r="123" spans="1:21">
      <c r="B123" s="12">
        <f t="shared" si="86"/>
        <v>2028</v>
      </c>
      <c r="C123" s="206">
        <f t="shared" si="87"/>
        <v>0</v>
      </c>
      <c r="D123" s="206">
        <f t="shared" si="88"/>
        <v>0</v>
      </c>
      <c r="E123" s="213">
        <v>0</v>
      </c>
      <c r="F123" s="213">
        <v>3584607.971557911</v>
      </c>
      <c r="G123" s="213">
        <v>0</v>
      </c>
      <c r="H123" s="213">
        <v>162056.77366247636</v>
      </c>
      <c r="I123" s="214">
        <v>0</v>
      </c>
      <c r="J123" s="214">
        <v>0</v>
      </c>
      <c r="K123" s="214">
        <v>0</v>
      </c>
      <c r="L123" s="214">
        <v>0</v>
      </c>
      <c r="M123" s="214">
        <v>0</v>
      </c>
      <c r="N123" s="214">
        <f t="shared" si="84"/>
        <v>4391739.4439604972</v>
      </c>
      <c r="O123" s="214">
        <f t="shared" si="85"/>
        <v>987360.33028891461</v>
      </c>
      <c r="P123" s="214">
        <v>0</v>
      </c>
      <c r="Q123" s="213">
        <v>0</v>
      </c>
      <c r="R123" s="214">
        <v>5379099.7742494103</v>
      </c>
    </row>
    <row r="124" spans="1:21">
      <c r="B124" s="12">
        <v>2029</v>
      </c>
      <c r="C124" s="206">
        <f t="shared" ref="C124:C126" si="89">Q124*$C$1</f>
        <v>0</v>
      </c>
      <c r="D124" s="206">
        <f t="shared" ref="D124:D126" si="90">Q124*$D$1</f>
        <v>0</v>
      </c>
      <c r="E124" s="213">
        <v>0</v>
      </c>
      <c r="F124" s="213">
        <v>2986289.580162175</v>
      </c>
      <c r="G124" s="213">
        <v>0</v>
      </c>
      <c r="H124" s="213">
        <v>161193.85322552701</v>
      </c>
      <c r="I124" s="214">
        <v>0</v>
      </c>
      <c r="J124" s="214">
        <v>0</v>
      </c>
      <c r="K124" s="214">
        <v>0</v>
      </c>
      <c r="L124" s="214">
        <v>0</v>
      </c>
      <c r="M124" s="214">
        <v>0</v>
      </c>
      <c r="N124" s="214">
        <f t="shared" si="84"/>
        <v>3962294.7678639945</v>
      </c>
      <c r="O124" s="214">
        <f t="shared" si="85"/>
        <v>890811.65233522467</v>
      </c>
      <c r="P124" s="214">
        <v>0</v>
      </c>
      <c r="Q124" s="213">
        <v>0</v>
      </c>
      <c r="R124" s="214">
        <v>4853106.4201992173</v>
      </c>
    </row>
    <row r="125" spans="1:21">
      <c r="B125" s="12">
        <v>2030</v>
      </c>
      <c r="C125" s="206">
        <f t="shared" si="89"/>
        <v>0</v>
      </c>
      <c r="D125" s="206">
        <f t="shared" si="90"/>
        <v>0</v>
      </c>
      <c r="E125" s="213">
        <v>0</v>
      </c>
      <c r="F125" s="213">
        <v>2986289.580162175</v>
      </c>
      <c r="G125" s="213">
        <v>0</v>
      </c>
      <c r="H125" s="213">
        <v>158246.05875369839</v>
      </c>
      <c r="I125" s="214">
        <v>0</v>
      </c>
      <c r="J125" s="214">
        <v>0</v>
      </c>
      <c r="K125" s="214">
        <v>0</v>
      </c>
      <c r="L125" s="214">
        <v>0</v>
      </c>
      <c r="M125" s="214">
        <v>0</v>
      </c>
      <c r="N125" s="214">
        <f t="shared" si="84"/>
        <v>3300935.4642652278</v>
      </c>
      <c r="O125" s="214">
        <f t="shared" si="85"/>
        <v>742123.42782342504</v>
      </c>
      <c r="P125" s="214">
        <v>0</v>
      </c>
      <c r="Q125" s="213">
        <v>0</v>
      </c>
      <c r="R125" s="214">
        <v>4043058.8920886512</v>
      </c>
    </row>
    <row r="126" spans="1:21">
      <c r="B126" s="12">
        <v>2031</v>
      </c>
      <c r="C126" s="206">
        <f t="shared" si="89"/>
        <v>0</v>
      </c>
      <c r="D126" s="206">
        <f t="shared" si="90"/>
        <v>0</v>
      </c>
      <c r="E126" s="213">
        <v>0</v>
      </c>
      <c r="F126" s="213">
        <v>1677381.6067064134</v>
      </c>
      <c r="G126" s="213">
        <v>0</v>
      </c>
      <c r="H126" s="213">
        <v>153657.66572734673</v>
      </c>
      <c r="I126" s="214">
        <v>0</v>
      </c>
      <c r="J126" s="214">
        <v>0</v>
      </c>
      <c r="K126" s="214">
        <v>0</v>
      </c>
      <c r="L126" s="214">
        <v>0</v>
      </c>
      <c r="M126" s="214">
        <v>0</v>
      </c>
      <c r="N126" s="214">
        <f t="shared" si="84"/>
        <v>3300935.4642652278</v>
      </c>
      <c r="O126" s="214">
        <f t="shared" si="85"/>
        <v>742123.42782342504</v>
      </c>
      <c r="P126" s="214">
        <v>0</v>
      </c>
      <c r="Q126" s="213">
        <v>0</v>
      </c>
      <c r="R126" s="214">
        <v>4043058.8920886512</v>
      </c>
    </row>
    <row r="127" spans="1:21">
      <c r="C127" s="206"/>
      <c r="D127" s="206"/>
      <c r="E127" s="213"/>
      <c r="F127" s="213"/>
      <c r="G127" s="213"/>
      <c r="H127" s="213"/>
      <c r="I127" s="214"/>
      <c r="J127" s="214"/>
      <c r="K127" s="214"/>
      <c r="L127" s="214"/>
      <c r="M127" s="214"/>
      <c r="N127" s="214"/>
      <c r="O127" s="214"/>
      <c r="P127" s="214"/>
      <c r="Q127" s="213"/>
      <c r="R127" s="214"/>
    </row>
    <row r="128" spans="1:21">
      <c r="A128" s="12">
        <f>A116</f>
        <v>2021</v>
      </c>
      <c r="B128" s="12">
        <f>B116</f>
        <v>2021</v>
      </c>
      <c r="C128" s="205">
        <f ca="1">OFFSET('CDM-eDSM Framework'!$T$46,COLUMN()-COLUMN($C$128),0)</f>
        <v>203643.04313645163</v>
      </c>
      <c r="D128" s="205">
        <f ca="1">OFFSET('CDM-eDSM Framework'!$T$46,COLUMN()-COLUMN($C$128),0)</f>
        <v>2332.4874161896951</v>
      </c>
      <c r="E128" s="205">
        <f ca="1">OFFSET('CDM-eDSM Framework'!$T$46,COLUMN()-COLUMN($C$128),0)</f>
        <v>1537707.8779123398</v>
      </c>
      <c r="F128" s="205">
        <f ca="1">OFFSET('CDM-eDSM Framework'!$T$46,COLUMN()-COLUMN($C$128),0)</f>
        <v>6700316.4907904388</v>
      </c>
      <c r="G128" s="205">
        <f ca="1">OFFSET('CDM-eDSM Framework'!$T$46,COLUMN()-COLUMN($C$128),0)</f>
        <v>334682.10763460404</v>
      </c>
      <c r="H128" s="205">
        <f ca="1">OFFSET('CDM-eDSM Framework'!$T$46,COLUMN()-COLUMN($C$128),0)</f>
        <v>1422477.769729041</v>
      </c>
      <c r="I128" s="214"/>
      <c r="J128" s="214"/>
      <c r="K128" s="214"/>
      <c r="L128" s="214">
        <f ca="1">OFFSET('CDM-eDSM Framework'!$AH$46,COLUMN()-COLUMN($L$128),0)</f>
        <v>85687.132301298756</v>
      </c>
      <c r="M128" s="214">
        <f ca="1">OFFSET('CDM-eDSM Framework'!$AH$46,COLUMN()-COLUMN($L$128),0)</f>
        <v>371390.93234665383</v>
      </c>
      <c r="N128" s="214">
        <f ca="1">OFFSET('CDM-eDSM Framework'!$AH$46,COLUMN()-COLUMN($L$128),0)</f>
        <v>2520743.9617186156</v>
      </c>
      <c r="O128" s="214">
        <f ca="1">OFFSET('CDM-eDSM Framework'!$AH$46,COLUMN()-COLUMN($L$128),0)</f>
        <v>567760.22959639807</v>
      </c>
      <c r="P128" s="214"/>
      <c r="R128" s="214">
        <f ca="1">OFFSET('CDM-eDSM Framework'!$AH$46,COLUMN()-COLUMN($L$128),0)</f>
        <v>0</v>
      </c>
    </row>
    <row r="129" spans="1:18">
      <c r="B129" s="12">
        <f>B117</f>
        <v>2022</v>
      </c>
      <c r="C129" s="213">
        <f ca="1">C128*SUM(C$5,C$24,C$42,C$59,C$75,C$90,C$104)/SUM(C$4,C$23,C$41,C$58,C$74,C$89,C$103)</f>
        <v>181723.71951466778</v>
      </c>
      <c r="D129" s="213">
        <f t="shared" ref="D129:O129" ca="1" si="91">D128*SUM(D$5,D$24,D$42,D$59,D$75,D$90,D$104)/SUM(D$4,D$23,D$41,D$58,D$74,D$89,D$103)</f>
        <v>2081.4277888547072</v>
      </c>
      <c r="E129" s="213">
        <f t="shared" ca="1" si="91"/>
        <v>1529630.394119696</v>
      </c>
      <c r="F129" s="213">
        <f t="shared" ca="1" si="91"/>
        <v>6718764.181096782</v>
      </c>
      <c r="G129" s="213">
        <f t="shared" ca="1" si="91"/>
        <v>334030.22665018379</v>
      </c>
      <c r="H129" s="213">
        <f t="shared" ca="1" si="91"/>
        <v>1356796.362068655</v>
      </c>
      <c r="I129" s="213"/>
      <c r="J129" s="213"/>
      <c r="K129" s="213"/>
      <c r="L129" s="213">
        <f t="shared" ca="1" si="91"/>
        <v>77079.27195837209</v>
      </c>
      <c r="M129" s="213">
        <f t="shared" ca="1" si="91"/>
        <v>368827.57799090928</v>
      </c>
      <c r="N129" s="213">
        <f t="shared" ca="1" si="91"/>
        <v>2546160.8471492622</v>
      </c>
      <c r="O129" s="213">
        <f t="shared" ca="1" si="91"/>
        <v>573485.00645865838</v>
      </c>
      <c r="P129" s="214"/>
      <c r="Q129" s="213"/>
      <c r="R129" s="214"/>
    </row>
    <row r="130" spans="1:18">
      <c r="B130" s="12">
        <f t="shared" ref="B130:B135" si="92">B118</f>
        <v>2023</v>
      </c>
      <c r="C130" s="213">
        <f ca="1">C128*SUM(C$6,C$25,C$43,C$60,C$76,C$91,C$105)/SUM(C$4,C$23,C$41,C$58,C$74,C$89,C$103)</f>
        <v>180604.07092588631</v>
      </c>
      <c r="D130" s="213">
        <f t="shared" ref="D130:O130" ca="1" si="93">D128*SUM(D$6,D$25,D$43,D$60,D$76,D$91,D$105)/SUM(D$4,D$23,D$41,D$58,D$74,D$89,D$103)</f>
        <v>2068.6035538419874</v>
      </c>
      <c r="E130" s="213">
        <f t="shared" ca="1" si="93"/>
        <v>1508253.1962402093</v>
      </c>
      <c r="F130" s="213">
        <f t="shared" ca="1" si="93"/>
        <v>6692895.657003535</v>
      </c>
      <c r="G130" s="213">
        <f t="shared" ca="1" si="93"/>
        <v>333810.05472914153</v>
      </c>
      <c r="H130" s="213">
        <f t="shared" ca="1" si="93"/>
        <v>1154046.9898045338</v>
      </c>
      <c r="I130" s="213"/>
      <c r="J130" s="213"/>
      <c r="K130" s="213"/>
      <c r="L130" s="213">
        <f t="shared" ca="1" si="93"/>
        <v>76712.404984406385</v>
      </c>
      <c r="M130" s="213">
        <f t="shared" ca="1" si="93"/>
        <v>348797.07074910717</v>
      </c>
      <c r="N130" s="213">
        <f t="shared" ca="1" si="93"/>
        <v>2545017.3644095296</v>
      </c>
      <c r="O130" s="213">
        <f t="shared" ca="1" si="93"/>
        <v>573227.45391357271</v>
      </c>
      <c r="P130" s="214"/>
      <c r="Q130" s="213"/>
      <c r="R130" s="214"/>
    </row>
    <row r="131" spans="1:18">
      <c r="B131" s="12">
        <f t="shared" si="92"/>
        <v>2024</v>
      </c>
      <c r="C131" s="213">
        <f ca="1">C128*SUM(C$7,C$26,C$44,C$61,C$77,C$92,C$106)/SUM(C$4,C$23,C$41,C$58,C$74,C$89,C$103)</f>
        <v>180489.79815062013</v>
      </c>
      <c r="D131" s="213">
        <f t="shared" ref="D131:O131" ca="1" si="94">D128*SUM(D$7,D$26,D$44,D$61,D$77,D$92,D$106)/SUM(D$4,D$23,D$41,D$58,D$74,D$89,D$103)</f>
        <v>2067.2946959197316</v>
      </c>
      <c r="E131" s="213">
        <f t="shared" ca="1" si="94"/>
        <v>1464428.4434267466</v>
      </c>
      <c r="F131" s="213">
        <f t="shared" ca="1" si="94"/>
        <v>6666287.3153020283</v>
      </c>
      <c r="G131" s="213">
        <f t="shared" ca="1" si="94"/>
        <v>333822.564014851</v>
      </c>
      <c r="H131" s="213">
        <f t="shared" ca="1" si="94"/>
        <v>1132851.4956686678</v>
      </c>
      <c r="I131" s="213"/>
      <c r="J131" s="213"/>
      <c r="K131" s="213"/>
      <c r="L131" s="213">
        <f t="shared" ca="1" si="94"/>
        <v>68172.44199609544</v>
      </c>
      <c r="M131" s="213">
        <f t="shared" ca="1" si="94"/>
        <v>335305.16664987087</v>
      </c>
      <c r="N131" s="213">
        <f t="shared" ca="1" si="94"/>
        <v>2542338.062108044</v>
      </c>
      <c r="O131" s="213">
        <f t="shared" ca="1" si="94"/>
        <v>572623.98076717183</v>
      </c>
      <c r="P131" s="214"/>
      <c r="Q131" s="213"/>
      <c r="R131" s="214"/>
    </row>
    <row r="132" spans="1:18">
      <c r="B132" s="12">
        <f t="shared" si="92"/>
        <v>2025</v>
      </c>
      <c r="C132" s="213">
        <f ca="1">C128*SUM(C$8,C$27,C$45,C$62,C$78,C$93,C$107)/SUM(C$4,C$23,C$41,C$58,C$74,C$89,C$103)</f>
        <v>179933.75498791729</v>
      </c>
      <c r="D132" s="213">
        <f t="shared" ref="D132:O132" ca="1" si="95">D128*SUM(D$8,D$27,D$45,D$62,D$78,D$93,D$107)/SUM(D$4,D$23,D$41,D$58,D$74,D$89,D$103)</f>
        <v>2060.9258867530289</v>
      </c>
      <c r="E132" s="213">
        <f t="shared" ca="1" si="95"/>
        <v>1430748.7526675819</v>
      </c>
      <c r="F132" s="213">
        <f t="shared" ca="1" si="95"/>
        <v>6616656.9910909515</v>
      </c>
      <c r="G132" s="213">
        <f t="shared" ca="1" si="95"/>
        <v>333822.564014851</v>
      </c>
      <c r="H132" s="213">
        <f t="shared" ca="1" si="95"/>
        <v>1128710.1352105348</v>
      </c>
      <c r="I132" s="213"/>
      <c r="J132" s="213"/>
      <c r="K132" s="213"/>
      <c r="L132" s="213">
        <f t="shared" ca="1" si="95"/>
        <v>67600.478122071087</v>
      </c>
      <c r="M132" s="213">
        <f t="shared" ca="1" si="95"/>
        <v>332720.34605800785</v>
      </c>
      <c r="N132" s="213">
        <f t="shared" ca="1" si="95"/>
        <v>2500419.6560631385</v>
      </c>
      <c r="O132" s="213">
        <f t="shared" ca="1" si="95"/>
        <v>563182.48087594751</v>
      </c>
      <c r="P132" s="214"/>
      <c r="Q132" s="213"/>
      <c r="R132" s="214"/>
    </row>
    <row r="133" spans="1:18">
      <c r="B133" s="12">
        <f t="shared" si="92"/>
        <v>2026</v>
      </c>
      <c r="C133" s="213">
        <f ca="1">C128*SUM(C$9,C$28,C$46,C$63,C$79,C$94,C$108)/SUM(C$4,C$23,C$41,C$58,C$74,C$89,C$103)</f>
        <v>179590.25323855915</v>
      </c>
      <c r="D133" s="213">
        <f t="shared" ref="D133:O133" ca="1" si="96">D128*SUM(D$9,D$28,D$46,D$63,D$79,D$94,D$108)/SUM(D$4,D$23,D$41,D$58,D$74,D$89,D$103)</f>
        <v>2056.9914851870485</v>
      </c>
      <c r="E133" s="213">
        <f t="shared" ca="1" si="96"/>
        <v>1354026.3969343768</v>
      </c>
      <c r="F133" s="213">
        <f t="shared" ca="1" si="96"/>
        <v>6346725.4380742852</v>
      </c>
      <c r="G133" s="213">
        <f t="shared" ca="1" si="96"/>
        <v>318541.37693036848</v>
      </c>
      <c r="H133" s="213">
        <f t="shared" ca="1" si="96"/>
        <v>1004878.833686284</v>
      </c>
      <c r="I133" s="213"/>
      <c r="J133" s="213"/>
      <c r="K133" s="213"/>
      <c r="L133" s="213">
        <f t="shared" ca="1" si="96"/>
        <v>67477.166094753818</v>
      </c>
      <c r="M133" s="213">
        <f t="shared" ca="1" si="96"/>
        <v>317442.07407495042</v>
      </c>
      <c r="N133" s="213">
        <f t="shared" ca="1" si="96"/>
        <v>2408907.5708955131</v>
      </c>
      <c r="O133" s="213">
        <f t="shared" ca="1" si="96"/>
        <v>542570.73955090134</v>
      </c>
      <c r="P133" s="214"/>
      <c r="Q133" s="213"/>
      <c r="R133" s="214"/>
    </row>
    <row r="134" spans="1:18">
      <c r="B134" s="12">
        <f t="shared" si="92"/>
        <v>2027</v>
      </c>
      <c r="C134" s="213">
        <f ca="1">C128*SUM(C$10,C$29,C$47,C$64,C$80,C$95,C$109)/SUM(C$4,C$23,C$41,C$58,C$74,C$89,C$103)</f>
        <v>179519.20885257836</v>
      </c>
      <c r="D134" s="213">
        <f t="shared" ref="D134:O134" ca="1" si="97">D128*SUM(D$10,D$29,D$47,D$64,D$80,D$95,D$109)/SUM(D$4,D$23,D$41,D$58,D$74,D$89,D$103)</f>
        <v>2056.1777567446775</v>
      </c>
      <c r="E134" s="213">
        <f t="shared" ca="1" si="97"/>
        <v>1325074.3704234862</v>
      </c>
      <c r="F134" s="213">
        <f t="shared" ca="1" si="97"/>
        <v>6296977.8715518815</v>
      </c>
      <c r="G134" s="213">
        <f t="shared" ca="1" si="97"/>
        <v>318494.17718461063</v>
      </c>
      <c r="H134" s="213">
        <f t="shared" ca="1" si="97"/>
        <v>997530.57375980972</v>
      </c>
      <c r="I134" s="213"/>
      <c r="J134" s="213"/>
      <c r="K134" s="213"/>
      <c r="L134" s="213">
        <f t="shared" ca="1" si="97"/>
        <v>67472.692238707503</v>
      </c>
      <c r="M134" s="213">
        <f t="shared" ca="1" si="97"/>
        <v>311487.56036922877</v>
      </c>
      <c r="N134" s="213">
        <f t="shared" ca="1" si="97"/>
        <v>2405888.9497778188</v>
      </c>
      <c r="O134" s="213">
        <f t="shared" ca="1" si="97"/>
        <v>541890.83986855589</v>
      </c>
      <c r="P134" s="214"/>
      <c r="Q134" s="213"/>
      <c r="R134" s="214"/>
    </row>
    <row r="135" spans="1:18">
      <c r="B135" s="12">
        <f t="shared" si="92"/>
        <v>2028</v>
      </c>
      <c r="C135" s="213">
        <f ca="1">C128*SUM(C$11,C$30,C$48,C$65,C$81,C$96,C$110)/SUM(C$4,C$23,C$41,C$58,C$74,C$89,C$103)</f>
        <v>179497.72239782489</v>
      </c>
      <c r="D135" s="213">
        <f t="shared" ref="D135:O135" ca="1" si="98">D128*SUM(D$11,D$30,D$48,D$65,D$81,D$96,D$110)/SUM(D$4,D$23,D$41,D$58,D$74,D$89,D$103)</f>
        <v>2055.9316551123356</v>
      </c>
      <c r="E135" s="213">
        <f t="shared" ca="1" si="98"/>
        <v>1314589.7352881448</v>
      </c>
      <c r="F135" s="213">
        <f t="shared" ca="1" si="98"/>
        <v>6296902.562679396</v>
      </c>
      <c r="G135" s="213">
        <f t="shared" ca="1" si="98"/>
        <v>318494.17718461063</v>
      </c>
      <c r="H135" s="213">
        <f t="shared" ca="1" si="98"/>
        <v>997530.57375980972</v>
      </c>
      <c r="I135" s="213"/>
      <c r="J135" s="213"/>
      <c r="K135" s="213"/>
      <c r="L135" s="213">
        <f t="shared" ca="1" si="98"/>
        <v>67464.824308598108</v>
      </c>
      <c r="M135" s="213">
        <f t="shared" ca="1" si="98"/>
        <v>308665.67108058825</v>
      </c>
      <c r="N135" s="213">
        <f t="shared" ca="1" si="98"/>
        <v>2405888.9497778188</v>
      </c>
      <c r="O135" s="213">
        <f t="shared" ca="1" si="98"/>
        <v>541890.83986855589</v>
      </c>
      <c r="P135" s="214"/>
      <c r="Q135" s="213"/>
      <c r="R135" s="214"/>
    </row>
    <row r="136" spans="1:18">
      <c r="B136" s="12">
        <v>2029</v>
      </c>
      <c r="C136" s="213">
        <f ca="1">C128*SUM(C$12,C$31,C$49,C$66,C$82,C$97,C$111)/SUM(C$4,C$23,C$41,C$58,C$74,C$89,C$103)</f>
        <v>178568.18700669042</v>
      </c>
      <c r="D136" s="213">
        <f t="shared" ref="D136:O136" ca="1" si="99">D128*SUM(D$12,D$31,D$49,D$66,D$82,D$97,D$111)/SUM(D$4,D$23,D$41,D$58,D$74,D$89,D$103)</f>
        <v>2045.2849393231229</v>
      </c>
      <c r="E136" s="213">
        <f t="shared" ca="1" si="99"/>
        <v>1291995.0316580192</v>
      </c>
      <c r="F136" s="213">
        <f t="shared" ca="1" si="99"/>
        <v>6209196.4770242991</v>
      </c>
      <c r="G136" s="213">
        <f t="shared" ca="1" si="99"/>
        <v>316539.17501860397</v>
      </c>
      <c r="H136" s="213">
        <f t="shared" ca="1" si="99"/>
        <v>990291.68620649655</v>
      </c>
      <c r="I136" s="213"/>
      <c r="J136" s="213"/>
      <c r="K136" s="213"/>
      <c r="L136" s="213">
        <f t="shared" ca="1" si="99"/>
        <v>67336.517729292202</v>
      </c>
      <c r="M136" s="213">
        <f t="shared" ca="1" si="99"/>
        <v>299966.03471615876</v>
      </c>
      <c r="N136" s="213">
        <f t="shared" ca="1" si="99"/>
        <v>2321153.655736682</v>
      </c>
      <c r="O136" s="213">
        <f t="shared" ca="1" si="99"/>
        <v>522805.47033863596</v>
      </c>
      <c r="P136" s="214"/>
      <c r="Q136" s="213"/>
      <c r="R136" s="214"/>
    </row>
    <row r="137" spans="1:18">
      <c r="B137" s="12">
        <v>2030</v>
      </c>
      <c r="C137" s="213">
        <f ca="1">C128*SUM(C$13,C$32,C$50,C$67,C$83,C$98,C$112)/SUM(C$4,C$23,C$41,C$58,C$74,C$89,C$103)</f>
        <v>177262.4500220523</v>
      </c>
      <c r="D137" s="213">
        <f t="shared" ref="D137:O137" ca="1" si="100">D128*SUM(D$13,D$32,D$50,D$67,D$83,D$98,D$112)/SUM(D$4,D$23,D$41,D$58,D$74,D$89,D$103)</f>
        <v>2030.3292843760441</v>
      </c>
      <c r="E137" s="213">
        <f t="shared" ca="1" si="100"/>
        <v>1240102.3584890065</v>
      </c>
      <c r="F137" s="213">
        <f t="shared" ca="1" si="100"/>
        <v>5876117.7819442395</v>
      </c>
      <c r="G137" s="213">
        <f t="shared" ca="1" si="100"/>
        <v>312041.00930530316</v>
      </c>
      <c r="H137" s="213">
        <f t="shared" ca="1" si="100"/>
        <v>905403.17473881261</v>
      </c>
      <c r="I137" s="213"/>
      <c r="J137" s="213"/>
      <c r="K137" s="213"/>
      <c r="L137" s="213">
        <f t="shared" ca="1" si="100"/>
        <v>66917.970330247015</v>
      </c>
      <c r="M137" s="213">
        <f t="shared" ca="1" si="100"/>
        <v>288877.6868670102</v>
      </c>
      <c r="N137" s="213">
        <f t="shared" ca="1" si="100"/>
        <v>2244627.2024619607</v>
      </c>
      <c r="O137" s="213">
        <f t="shared" ca="1" si="100"/>
        <v>505569.02056773938</v>
      </c>
      <c r="P137" s="214"/>
      <c r="Q137" s="213"/>
      <c r="R137" s="214"/>
    </row>
    <row r="138" spans="1:18">
      <c r="B138" s="12">
        <v>2031</v>
      </c>
      <c r="C138" s="213">
        <f ca="1">C128*SUM(C$14,C$33,C$51,C$68,C$84,C$99,C$113)/SUM(C$4,C$23,C$41,C$58,C$74,C$89,C$103)</f>
        <v>173544.14469998941</v>
      </c>
      <c r="D138" s="213">
        <f t="shared" ref="D138:O138" ca="1" si="101">D128*SUM(D$14,D$33,D$51,D$68,D$84,D$99,D$113)/SUM(D$4,D$23,D$41,D$58,D$74,D$89,D$103)</f>
        <v>1987.7405455726687</v>
      </c>
      <c r="E138" s="213">
        <f t="shared" ca="1" si="101"/>
        <v>1129662.0310872158</v>
      </c>
      <c r="F138" s="213">
        <f t="shared" ca="1" si="101"/>
        <v>5182708.3415445378</v>
      </c>
      <c r="G138" s="213">
        <f t="shared" ca="1" si="101"/>
        <v>293597.95818983507</v>
      </c>
      <c r="H138" s="213">
        <f t="shared" ca="1" si="101"/>
        <v>716273.07440730534</v>
      </c>
      <c r="I138" s="213"/>
      <c r="J138" s="213"/>
      <c r="K138" s="213"/>
      <c r="L138" s="213">
        <f t="shared" ca="1" si="101"/>
        <v>65611.308625901685</v>
      </c>
      <c r="M138" s="213">
        <f t="shared" ca="1" si="101"/>
        <v>260965.06028224778</v>
      </c>
      <c r="N138" s="213">
        <f t="shared" ca="1" si="101"/>
        <v>2058380.4846979543</v>
      </c>
      <c r="O138" s="213">
        <f t="shared" ca="1" si="101"/>
        <v>463619.70685514284</v>
      </c>
      <c r="P138" s="214"/>
      <c r="Q138" s="213"/>
      <c r="R138" s="214"/>
    </row>
    <row r="139" spans="1:18">
      <c r="C139" s="206"/>
      <c r="D139" s="206"/>
      <c r="E139" s="213"/>
      <c r="F139" s="213"/>
      <c r="G139" s="213"/>
      <c r="H139" s="213"/>
      <c r="I139" s="214"/>
      <c r="J139" s="214"/>
      <c r="K139" s="214"/>
      <c r="L139" s="214"/>
      <c r="M139" s="214"/>
      <c r="N139" s="214"/>
      <c r="O139" s="214"/>
      <c r="P139" s="214"/>
      <c r="Q139" s="213"/>
      <c r="R139" s="214"/>
    </row>
    <row r="140" spans="1:18">
      <c r="A140" s="12">
        <f>A116+1</f>
        <v>2022</v>
      </c>
      <c r="B140" s="12">
        <f>B117</f>
        <v>2022</v>
      </c>
      <c r="C140" s="205">
        <f ca="1">OFFSET('CDM-eDSM Framework'!$U$46,COLUMN()-COLUMN($C$140),0)</f>
        <v>215213.67058738638</v>
      </c>
      <c r="D140" s="205">
        <f ca="1">OFFSET('CDM-eDSM Framework'!$U$46,COLUMN()-COLUMN($C$140),0)</f>
        <v>2465.0151102913819</v>
      </c>
      <c r="E140" s="205">
        <f ca="1">OFFSET('CDM-eDSM Framework'!$U$46,COLUMN()-COLUMN($C$140),0)</f>
        <v>2117800.3927823114</v>
      </c>
      <c r="F140" s="205">
        <f ca="1">OFFSET('CDM-eDSM Framework'!$U$46,COLUMN()-COLUMN($C$140),0)</f>
        <v>10206348.043609893</v>
      </c>
      <c r="G140" s="205">
        <f ca="1">OFFSET('CDM-eDSM Framework'!$U$46,COLUMN()-COLUMN($C$140),0)</f>
        <v>516567.65384260548</v>
      </c>
      <c r="H140" s="205">
        <f ca="1">OFFSET('CDM-eDSM Framework'!$U$46,COLUMN()-COLUMN($C$140),0)</f>
        <v>2322748.1696121274</v>
      </c>
      <c r="I140" s="214"/>
      <c r="J140" s="214"/>
      <c r="K140" s="214"/>
      <c r="L140" s="214">
        <f ca="1">OFFSET('CDM-eDSM Framework'!$AI$46,COLUMN()-COLUMN($L$140),0)</f>
        <v>90555.719363872558</v>
      </c>
      <c r="M140" s="214">
        <f ca="1">OFFSET('CDM-eDSM Framework'!$AI$46,COLUMN()-COLUMN($L$140),0)</f>
        <v>494436.84376429959</v>
      </c>
      <c r="N140" s="214">
        <f ca="1">OFFSET('CDM-eDSM Framework'!$AI$46,COLUMN()-COLUMN($L$140),0)</f>
        <v>3859215.446748002</v>
      </c>
      <c r="O140" s="214">
        <f ca="1">OFFSET('CDM-eDSM Framework'!$AI$46,COLUMN()-COLUMN($L$140),0)</f>
        <v>869856.40968746925</v>
      </c>
      <c r="P140" s="214"/>
      <c r="R140" s="214"/>
    </row>
    <row r="141" spans="1:18">
      <c r="B141" s="12">
        <f>B118</f>
        <v>2023</v>
      </c>
      <c r="C141" s="213">
        <f ca="1">C140*SUM(C$5,C$24,C$42,C$59,C$75,C$90,C$104)/SUM(C$4,C$23,C$41,C$58,C$74,C$89,C$103)</f>
        <v>192048.93085072844</v>
      </c>
      <c r="D141" s="213">
        <f t="shared" ref="D141" ca="1" si="102">D140*SUM(D$5,D$24,D$42,D$59,D$75,D$90,D$104)/SUM(D$4,D$23,D$41,D$58,D$74,D$89,D$103)</f>
        <v>2199.6907314032696</v>
      </c>
      <c r="E141" s="213">
        <f t="shared" ref="E141" ca="1" si="103">E140*SUM(E$5,E$24,E$42,E$59,E$75,E$90,E$104)/SUM(E$4,E$23,E$41,E$58,E$74,E$89,E$103)</f>
        <v>2106675.7191076353</v>
      </c>
      <c r="F141" s="213">
        <f t="shared" ref="F141" ca="1" si="104">F140*SUM(F$5,F$24,F$42,F$59,F$75,F$90,F$104)/SUM(F$4,F$23,F$41,F$58,F$74,F$89,F$103)</f>
        <v>10234448.738274999</v>
      </c>
      <c r="G141" s="213">
        <f t="shared" ref="G141" ca="1" si="105">G140*SUM(G$5,G$24,G$42,G$59,G$75,G$90,G$104)/SUM(G$4,G$23,G$41,G$58,G$74,G$89,G$103)</f>
        <v>515561.50316103327</v>
      </c>
      <c r="H141" s="213">
        <f t="shared" ref="H141" ca="1" si="106">H140*SUM(H$5,H$24,H$42,H$59,H$75,H$90,H$104)/SUM(H$4,H$23,H$41,H$58,H$74,H$89,H$103)</f>
        <v>2215497.7276950139</v>
      </c>
      <c r="I141" s="213"/>
      <c r="J141" s="213"/>
      <c r="K141" s="213"/>
      <c r="L141" s="213">
        <f t="shared" ref="L141" ca="1" si="107">L140*SUM(L$5,L$24,L$42,L$59,L$75,L$90,L$104)/SUM(L$4,L$23,L$41,L$58,L$74,L$89,L$103)</f>
        <v>81458.776046915984</v>
      </c>
      <c r="M141" s="213">
        <f t="shared" ref="M141" ca="1" si="108">M140*SUM(M$5,M$24,M$42,M$59,M$75,M$90,M$104)/SUM(M$4,M$23,M$41,M$58,M$74,M$89,M$103)</f>
        <v>491024.22184298455</v>
      </c>
      <c r="N141" s="213">
        <f t="shared" ref="N141" ca="1" si="109">N140*SUM(N$5,N$24,N$42,N$59,N$75,N$90,N$104)/SUM(N$4,N$23,N$41,N$58,N$74,N$89,N$103)</f>
        <v>3898128.2591366502</v>
      </c>
      <c r="O141" s="213">
        <f t="shared" ref="O141" ca="1" si="110">O140*SUM(O$5,O$24,O$42,O$59,O$75,O$90,O$104)/SUM(O$4,O$23,O$41,O$58,O$74,O$89,O$103)</f>
        <v>878627.24918640265</v>
      </c>
      <c r="Q141" s="213"/>
    </row>
    <row r="142" spans="1:18">
      <c r="B142" s="12">
        <f>B119</f>
        <v>2024</v>
      </c>
      <c r="C142" s="213">
        <f ca="1">C140*SUM(C$6,C$25,C$43,C$60,C$76,C$91,C$105)/SUM(C$4,C$23,C$41,C$58,C$74,C$89,C$103)</f>
        <v>190865.66586485709</v>
      </c>
      <c r="D142" s="213">
        <f t="shared" ref="D142:H142" ca="1" si="111">D140*SUM(D$6,D$25,D$43,D$60,D$76,D$91,D$105)/SUM(D$4,D$23,D$41,D$58,D$74,D$89,D$103)</f>
        <v>2186.1378466739184</v>
      </c>
      <c r="E142" s="213">
        <f t="shared" ca="1" si="111"/>
        <v>2077234.0815143972</v>
      </c>
      <c r="F142" s="213">
        <f t="shared" ca="1" si="111"/>
        <v>10195044.157814793</v>
      </c>
      <c r="G142" s="213">
        <f t="shared" ca="1" si="111"/>
        <v>515221.67712880636</v>
      </c>
      <c r="H142" s="213">
        <f t="shared" ca="1" si="111"/>
        <v>1884430.5269708852</v>
      </c>
      <c r="I142" s="213"/>
      <c r="J142" s="213"/>
      <c r="K142" s="213"/>
      <c r="L142" s="213">
        <f t="shared" ref="L142:O142" ca="1" si="112">L140*SUM(L$6,L$25,L$43,L$60,L$76,L$91,L$105)/SUM(L$4,L$23,L$41,L$58,L$74,L$89,L$103)</f>
        <v>81071.064358520394</v>
      </c>
      <c r="M142" s="213">
        <f t="shared" ca="1" si="112"/>
        <v>464357.38666460058</v>
      </c>
      <c r="N142" s="213">
        <f t="shared" ca="1" si="112"/>
        <v>3896377.6068215868</v>
      </c>
      <c r="O142" s="213">
        <f t="shared" ca="1" si="112"/>
        <v>878232.65703201154</v>
      </c>
      <c r="Q142" s="213"/>
    </row>
    <row r="143" spans="1:18">
      <c r="B143" s="12">
        <f t="shared" ref="B143:B145" si="113">B120</f>
        <v>2025</v>
      </c>
      <c r="C143" s="213">
        <f ca="1">C140*SUM(C$7,C$26,C$44,C$61,C$77,C$92,C$106)/SUM(C$4,C$23,C$41,C$58,C$74,C$89,C$103)</f>
        <v>190744.90031826901</v>
      </c>
      <c r="D143" s="213">
        <f t="shared" ref="D143:H143" ca="1" si="114">D140*SUM(D$7,D$26,D$44,D$61,D$77,D$92,D$106)/SUM(D$4,D$23,D$41,D$58,D$74,D$89,D$103)</f>
        <v>2184.7546218242614</v>
      </c>
      <c r="E143" s="213">
        <f t="shared" ca="1" si="114"/>
        <v>2016876.6624915169</v>
      </c>
      <c r="F143" s="213">
        <f t="shared" ca="1" si="114"/>
        <v>10154512.640140643</v>
      </c>
      <c r="G143" s="213">
        <f t="shared" ca="1" si="114"/>
        <v>515240.98468132492</v>
      </c>
      <c r="H143" s="213">
        <f t="shared" ca="1" si="114"/>
        <v>1849820.6397334314</v>
      </c>
      <c r="I143" s="213"/>
      <c r="J143" s="213"/>
      <c r="K143" s="213"/>
      <c r="L143" s="213">
        <f t="shared" ref="L143:O143" ca="1" si="115">L140*SUM(L$7,L$26,L$44,L$61,L$77,L$92,L$106)/SUM(L$4,L$23,L$41,L$58,L$74,L$89,L$103)</f>
        <v>72045.87620041905</v>
      </c>
      <c r="M143" s="213">
        <f t="shared" ca="1" si="115"/>
        <v>446395.46595467208</v>
      </c>
      <c r="N143" s="213">
        <f t="shared" ca="1" si="115"/>
        <v>3892275.6412965553</v>
      </c>
      <c r="O143" s="213">
        <f t="shared" ca="1" si="115"/>
        <v>877308.08543099556</v>
      </c>
      <c r="Q143" s="213"/>
    </row>
    <row r="144" spans="1:18">
      <c r="B144" s="12">
        <f t="shared" si="113"/>
        <v>2026</v>
      </c>
      <c r="C144" s="213">
        <f ca="1">C140*SUM(C$8,C$27,C$45,C$62,C$78,C$93,C$107)/SUM(C$4,C$23,C$41,C$58,C$74,C$89,C$103)</f>
        <v>190157.26379404895</v>
      </c>
      <c r="D144" s="213">
        <f t="shared" ref="D144:H144" ca="1" si="116">D140*SUM(D$8,D$27,D$45,D$62,D$78,D$93,D$107)/SUM(D$4,D$23,D$41,D$58,D$74,D$89,D$103)</f>
        <v>2178.0239485003599</v>
      </c>
      <c r="E144" s="213">
        <f t="shared" ca="1" si="116"/>
        <v>1970491.478840522</v>
      </c>
      <c r="F144" s="213">
        <f t="shared" ca="1" si="116"/>
        <v>10078912.575112119</v>
      </c>
      <c r="G144" s="213">
        <f t="shared" ca="1" si="116"/>
        <v>515240.98468132492</v>
      </c>
      <c r="H144" s="213">
        <f t="shared" ca="1" si="116"/>
        <v>1843058.2581844635</v>
      </c>
      <c r="I144" s="213"/>
      <c r="J144" s="213"/>
      <c r="K144" s="213"/>
      <c r="L144" s="213">
        <f t="shared" ref="L144:O144" ca="1" si="117">L140*SUM(L$8,L$27,L$45,L$62,L$78,L$93,L$107)/SUM(L$4,L$23,L$41,L$58,L$74,L$89,L$103)</f>
        <v>71441.41437900695</v>
      </c>
      <c r="M144" s="213">
        <f t="shared" ca="1" si="117"/>
        <v>442954.26579649263</v>
      </c>
      <c r="N144" s="213">
        <f t="shared" ca="1" si="117"/>
        <v>3828099.2859949805</v>
      </c>
      <c r="O144" s="213">
        <f t="shared" ca="1" si="117"/>
        <v>862842.91374525928</v>
      </c>
      <c r="Q144" s="213"/>
    </row>
    <row r="145" spans="1:17">
      <c r="B145" s="12">
        <f t="shared" si="113"/>
        <v>2027</v>
      </c>
      <c r="C145" s="213">
        <f ca="1">C140*SUM(C$9,C$28,C$46,C$63,C$79,C$94,C$108)/SUM(C$4,C$23,C$41,C$58,C$74,C$89,C$103)</f>
        <v>189794.24489984091</v>
      </c>
      <c r="D145" s="213">
        <f t="shared" ref="D145:H145" ca="1" si="118">D140*SUM(D$9,D$28,D$46,D$63,D$79,D$94,D$108)/SUM(D$4,D$23,D$41,D$58,D$74,D$89,D$103)</f>
        <v>2173.8660013908575</v>
      </c>
      <c r="E145" s="213">
        <f t="shared" ca="1" si="118"/>
        <v>1864826.0026854801</v>
      </c>
      <c r="F145" s="213">
        <f t="shared" ca="1" si="118"/>
        <v>9667735.6729721967</v>
      </c>
      <c r="G145" s="213">
        <f t="shared" ca="1" si="118"/>
        <v>491655.11982601206</v>
      </c>
      <c r="H145" s="213">
        <f t="shared" ca="1" si="118"/>
        <v>1640855.4996760266</v>
      </c>
      <c r="I145" s="213"/>
      <c r="J145" s="213"/>
      <c r="K145" s="213"/>
      <c r="L145" s="213">
        <f t="shared" ref="L145:O145" ca="1" si="119">L140*SUM(L$9,L$28,L$46,L$63,L$79,L$94,L$108)/SUM(L$4,L$23,L$41,L$58,L$74,L$89,L$103)</f>
        <v>71311.095986501197</v>
      </c>
      <c r="M145" s="213">
        <f t="shared" ca="1" si="119"/>
        <v>422614.13382357615</v>
      </c>
      <c r="N145" s="213">
        <f t="shared" ca="1" si="119"/>
        <v>3687995.864938986</v>
      </c>
      <c r="O145" s="213">
        <f t="shared" ca="1" si="119"/>
        <v>831263.99297591113</v>
      </c>
      <c r="Q145" s="213"/>
    </row>
    <row r="146" spans="1:17">
      <c r="B146" s="12">
        <f>B123</f>
        <v>2028</v>
      </c>
      <c r="C146" s="213">
        <f ca="1">C140*SUM(C$10,C$29,C$47,C$64,C$80,C$95,C$109)/SUM(C$4,C$23,C$41,C$58,C$74,C$89,C$103)</f>
        <v>189719.16390102034</v>
      </c>
      <c r="D146" s="213">
        <f t="shared" ref="D146:H146" ca="1" si="120">D140*SUM(D$10,D$29,D$47,D$64,D$80,D$95,D$109)/SUM(D$4,D$23,D$41,D$58,D$74,D$89,D$103)</f>
        <v>2173.0060383778978</v>
      </c>
      <c r="E146" s="213">
        <f t="shared" ca="1" si="120"/>
        <v>1824951.9706945333</v>
      </c>
      <c r="F146" s="213">
        <f t="shared" ca="1" si="120"/>
        <v>9591957.0170015171</v>
      </c>
      <c r="G146" s="213">
        <f t="shared" ca="1" si="120"/>
        <v>491582.26901812019</v>
      </c>
      <c r="H146" s="213">
        <f t="shared" ca="1" si="120"/>
        <v>1628856.6075616681</v>
      </c>
      <c r="I146" s="213"/>
      <c r="J146" s="213"/>
      <c r="K146" s="213"/>
      <c r="L146" s="213">
        <f t="shared" ref="L146:O146" ca="1" si="121">L140*SUM(L$10,L$29,L$47,L$64,L$80,L$95,L$109)/SUM(L$4,L$23,L$41,L$58,L$74,L$89,L$103)</f>
        <v>71306.367934088616</v>
      </c>
      <c r="M146" s="213">
        <f t="shared" ca="1" si="121"/>
        <v>414686.82406346535</v>
      </c>
      <c r="N146" s="213">
        <f t="shared" ca="1" si="121"/>
        <v>3683374.408169793</v>
      </c>
      <c r="O146" s="213">
        <f t="shared" ca="1" si="121"/>
        <v>830222.32949579542</v>
      </c>
      <c r="Q146" s="213"/>
    </row>
    <row r="147" spans="1:17">
      <c r="B147" s="12">
        <v>2029</v>
      </c>
      <c r="C147" s="213">
        <f ca="1">C140*SUM(C$11,C$30,C$48,C$65,C$81,C$96,C$110)/SUM(C$4,C$23,C$41,C$58,C$74,C$89,C$103)</f>
        <v>189696.456624974</v>
      </c>
      <c r="D147" s="213">
        <f t="shared" ref="D147:H147" ca="1" si="122">D140*SUM(D$11,D$30,D$48,D$65,D$81,D$96,D$110)/SUM(D$4,D$23,D$41,D$58,D$74,D$89,D$103)</f>
        <v>2172.7459536982633</v>
      </c>
      <c r="E147" s="213">
        <f t="shared" ca="1" si="122"/>
        <v>1810512.0600153017</v>
      </c>
      <c r="F147" s="213">
        <f t="shared" ca="1" si="122"/>
        <v>9591842.3017392717</v>
      </c>
      <c r="G147" s="213">
        <f t="shared" ca="1" si="122"/>
        <v>491582.26901812019</v>
      </c>
      <c r="H147" s="213">
        <f t="shared" ca="1" si="122"/>
        <v>1628856.6075616681</v>
      </c>
      <c r="I147" s="213"/>
      <c r="J147" s="213"/>
      <c r="K147" s="213"/>
      <c r="L147" s="213">
        <f t="shared" ref="L147:O147" ca="1" si="123">L140*SUM(L$11,L$30,L$48,L$65,L$81,L$96,L$110)/SUM(L$4,L$23,L$41,L$58,L$74,L$89,L$103)</f>
        <v>71298.052962495727</v>
      </c>
      <c r="M147" s="213">
        <f t="shared" ca="1" si="123"/>
        <v>410930.01173497963</v>
      </c>
      <c r="N147" s="213">
        <f t="shared" ca="1" si="123"/>
        <v>3683374.408169793</v>
      </c>
      <c r="O147" s="213">
        <f t="shared" ca="1" si="123"/>
        <v>830222.32949579542</v>
      </c>
      <c r="Q147" s="213"/>
    </row>
    <row r="148" spans="1:17">
      <c r="B148" s="12">
        <v>2030</v>
      </c>
      <c r="C148" s="213">
        <f ca="1">C140*SUM(C$12,C$31,C$49,C$66,C$82,C$97,C$111)/SUM(C$4,C$23,C$41,C$58,C$74,C$89,C$103)</f>
        <v>188714.10672297963</v>
      </c>
      <c r="D148" s="213">
        <f t="shared" ref="D148:H148" ca="1" si="124">D140*SUM(D$12,D$31,D$49,D$66,D$82,D$97,D$111)/SUM(D$4,D$23,D$41,D$58,D$74,D$89,D$103)</f>
        <v>2161.4943108755729</v>
      </c>
      <c r="E148" s="213">
        <f t="shared" ca="1" si="124"/>
        <v>1779393.6187885811</v>
      </c>
      <c r="F148" s="213">
        <f t="shared" ca="1" si="124"/>
        <v>9458242.8162569124</v>
      </c>
      <c r="G148" s="213">
        <f t="shared" ca="1" si="124"/>
        <v>488564.80600138241</v>
      </c>
      <c r="H148" s="213">
        <f t="shared" ca="1" si="124"/>
        <v>1617036.3083820969</v>
      </c>
      <c r="I148" s="213"/>
      <c r="J148" s="213"/>
      <c r="K148" s="213"/>
      <c r="L148" s="213">
        <f t="shared" ref="L148:O148" ca="1" si="125">L140*SUM(L$12,L$31,L$49,L$66,L$82,L$97,L$111)/SUM(L$4,L$23,L$41,L$58,L$74,L$89,L$103)</f>
        <v>71162.456236638362</v>
      </c>
      <c r="M148" s="213">
        <f t="shared" ca="1" si="125"/>
        <v>399348.08990736026</v>
      </c>
      <c r="N148" s="213">
        <f t="shared" ca="1" si="125"/>
        <v>3553646.1372249983</v>
      </c>
      <c r="O148" s="213">
        <f t="shared" ca="1" si="125"/>
        <v>800981.93865571113</v>
      </c>
      <c r="Q148" s="213"/>
    </row>
    <row r="149" spans="1:17">
      <c r="B149" s="12">
        <v>2031</v>
      </c>
      <c r="C149" s="213">
        <f ca="1">C140*SUM(C$13,C$32,C$50,C$67,C$83,C$98,C$112)/SUM(C$4,C$23,C$41,C$58,C$74,C$89,C$103)</f>
        <v>187334.18013694164</v>
      </c>
      <c r="D149" s="213">
        <f t="shared" ref="D149:H149" ca="1" si="126">D140*SUM(D$13,D$32,D$50,D$67,D$83,D$98,D$112)/SUM(D$4,D$23,D$41,D$58,D$74,D$89,D$103)</f>
        <v>2145.6889028065007</v>
      </c>
      <c r="E149" s="213">
        <f t="shared" ca="1" si="126"/>
        <v>1707924.697286363</v>
      </c>
      <c r="F149" s="213">
        <f t="shared" ca="1" si="126"/>
        <v>8950876.1728198268</v>
      </c>
      <c r="G149" s="213">
        <f t="shared" ca="1" si="126"/>
        <v>481622.07779419707</v>
      </c>
      <c r="H149" s="213">
        <f t="shared" ca="1" si="126"/>
        <v>1478422.7997363911</v>
      </c>
      <c r="I149" s="213"/>
      <c r="J149" s="213"/>
      <c r="K149" s="213"/>
      <c r="L149" s="213">
        <f t="shared" ref="L149:O149" ca="1" si="127">L140*SUM(L$13,L$32,L$50,L$67,L$83,L$98,L$112)/SUM(L$4,L$23,L$41,L$58,L$74,L$89,L$103)</f>
        <v>70720.127735374699</v>
      </c>
      <c r="M149" s="213">
        <f t="shared" ca="1" si="127"/>
        <v>384586.05013850454</v>
      </c>
      <c r="N149" s="213">
        <f t="shared" ca="1" si="127"/>
        <v>3436485.4596442059</v>
      </c>
      <c r="O149" s="213">
        <f t="shared" ca="1" si="127"/>
        <v>774574.2483457916</v>
      </c>
      <c r="Q149" s="213"/>
    </row>
    <row r="150" spans="1:17">
      <c r="C150" s="205"/>
      <c r="E150" s="213"/>
      <c r="F150" s="213"/>
      <c r="Q150" s="213"/>
    </row>
    <row r="151" spans="1:17">
      <c r="A151" s="12">
        <f>A140+1</f>
        <v>2023</v>
      </c>
      <c r="B151" s="12">
        <f>B141</f>
        <v>2023</v>
      </c>
      <c r="C151" s="205">
        <f ca="1">OFFSET('CDM-eDSM Framework'!$V$46,COLUMN()-COLUMN($C$151),0)</f>
        <v>584771.68865251017</v>
      </c>
      <c r="D151" s="205">
        <f ca="1">OFFSET('CDM-eDSM Framework'!$V$46,COLUMN()-COLUMN($C$151),0)</f>
        <v>6695.8526980269753</v>
      </c>
      <c r="E151" s="205">
        <f ca="1">OFFSET('CDM-eDSM Framework'!$V$46,COLUMN()-COLUMN($C$151),0)</f>
        <v>727235.19458178245</v>
      </c>
      <c r="F151" s="205">
        <f ca="1">OFFSET('CDM-eDSM Framework'!$V$46,COLUMN()-COLUMN($C$151),0)</f>
        <v>4043375.2881159363</v>
      </c>
      <c r="G151" s="205">
        <f ca="1">OFFSET('CDM-eDSM Framework'!$V$46,COLUMN()-COLUMN($C$151),0)</f>
        <v>264041.20480817929</v>
      </c>
      <c r="H151" s="205">
        <f ca="1">OFFSET('CDM-eDSM Framework'!$V$46,COLUMN()-COLUMN($C$151),0)</f>
        <v>1939693.7545972471</v>
      </c>
      <c r="L151" s="214">
        <f ca="1">OFFSET('CDM-eDSM Framework'!$AJ$46,COLUMN()-COLUMN($L$151),0)</f>
        <v>232492.61029038863</v>
      </c>
      <c r="M151" s="214">
        <f ca="1">OFFSET('CDM-eDSM Framework'!$AJ$46,COLUMN()-COLUMN($L$151),0)</f>
        <v>185961.99068767892</v>
      </c>
      <c r="N151" s="214">
        <f ca="1">OFFSET('CDM-eDSM Framework'!$AJ$46,COLUMN()-COLUMN($L$151),0)</f>
        <v>1638187.0525795403</v>
      </c>
      <c r="O151" s="214">
        <f ca="1">OFFSET('CDM-eDSM Framework'!$AJ$46,COLUMN()-COLUMN($L$151),0)</f>
        <v>373341.1496475343</v>
      </c>
    </row>
    <row r="152" spans="1:17">
      <c r="B152" s="12">
        <f>B142</f>
        <v>2024</v>
      </c>
      <c r="C152" s="213">
        <f ca="1">C151*SUM(C$5,C$24,C$42,C$59,C$75,C$90,C$104)/SUM(C$4,C$23,C$41,C$58,C$74,C$89,C$103)</f>
        <v>521829.20021285949</v>
      </c>
      <c r="D152" s="213">
        <f t="shared" ref="D152" ca="1" si="128">D151*SUM(D$5,D$24,D$42,D$59,D$75,D$90,D$104)/SUM(D$4,D$23,D$41,D$58,D$74,D$89,D$103)</f>
        <v>5975.1378631307734</v>
      </c>
      <c r="E152" s="213">
        <f t="shared" ref="E152" ca="1" si="129">E151*SUM(E$5,E$24,E$42,E$59,E$75,E$90,E$104)/SUM(E$4,E$23,E$41,E$58,E$74,E$89,E$103)</f>
        <v>723415.07335976616</v>
      </c>
      <c r="F152" s="213">
        <f t="shared" ref="F152" ca="1" si="130">F151*SUM(F$5,F$24,F$42,F$59,F$75,F$90,F$104)/SUM(F$4,F$23,F$41,F$58,F$74,F$89,F$103)</f>
        <v>4054507.7376367925</v>
      </c>
      <c r="G152" s="213">
        <f t="shared" ref="G152" ca="1" si="131">G151*SUM(G$5,G$24,G$42,G$59,G$75,G$90,G$104)/SUM(G$4,G$23,G$41,G$58,G$74,G$89,G$103)</f>
        <v>263526.91546736466</v>
      </c>
      <c r="H152" s="213">
        <f t="shared" ref="H152" ca="1" si="132">H151*SUM(H$5,H$24,H$42,H$59,H$75,H$90,H$104)/SUM(H$4,H$23,H$41,H$58,H$74,H$89,H$103)</f>
        <v>1850130.4454593654</v>
      </c>
      <c r="I152" s="213"/>
      <c r="J152" s="213"/>
      <c r="K152" s="213"/>
      <c r="L152" s="213">
        <f t="shared" ref="L152" ca="1" si="133">L151*SUM(L$5,L$24,L$42,L$59,L$75,L$90,L$104)/SUM(L$4,L$23,L$41,L$58,L$74,L$89,L$103)</f>
        <v>209137.13244448334</v>
      </c>
      <c r="M152" s="213">
        <f t="shared" ref="M152" ca="1" si="134">M151*SUM(M$5,M$24,M$42,M$59,M$75,M$90,M$104)/SUM(M$4,M$23,M$41,M$58,M$74,M$89,M$103)</f>
        <v>184678.47394746068</v>
      </c>
      <c r="N152" s="213">
        <f t="shared" ref="N152" ca="1" si="135">N151*SUM(N$5,N$24,N$42,N$59,N$75,N$90,N$104)/SUM(N$4,N$23,N$41,N$58,N$74,N$89,N$103)</f>
        <v>1654705.0382463569</v>
      </c>
      <c r="O152" s="213">
        <f t="shared" ref="O152" ca="1" si="136">O151*SUM(O$5,O$24,O$42,O$59,O$75,O$90,O$104)/SUM(O$4,O$23,O$41,O$58,O$74,O$89,O$103)</f>
        <v>377105.58164508932</v>
      </c>
      <c r="Q152" s="213"/>
    </row>
    <row r="153" spans="1:17">
      <c r="B153" s="12">
        <f>B143</f>
        <v>2025</v>
      </c>
      <c r="C153" s="213">
        <f ca="1">C151*SUM(C$6,C$25,C$43,C$60,C$76,C$91,C$105)/SUM(C$4,C$23,C$41,C$58,C$74,C$89,C$103)</f>
        <v>518614.07051397528</v>
      </c>
      <c r="D153" s="213">
        <f t="shared" ref="D153:H153" ca="1" si="137">D151*SUM(D$6,D$25,D$43,D$60,D$76,D$91,D$105)/SUM(D$4,D$23,D$41,D$58,D$74,D$89,D$103)</f>
        <v>5938.3234357456395</v>
      </c>
      <c r="E153" s="213">
        <f t="shared" ca="1" si="137"/>
        <v>713305.05774314085</v>
      </c>
      <c r="F153" s="213">
        <f t="shared" ca="1" si="137"/>
        <v>4038897.1092131301</v>
      </c>
      <c r="G153" s="213">
        <f t="shared" ca="1" si="137"/>
        <v>263353.21493790468</v>
      </c>
      <c r="H153" s="213">
        <f t="shared" ca="1" si="137"/>
        <v>1573660.9641794295</v>
      </c>
      <c r="I153" s="213"/>
      <c r="J153" s="213"/>
      <c r="K153" s="213"/>
      <c r="L153" s="213">
        <f t="shared" ref="L153:O153" ca="1" si="138">L151*SUM(L$6,L$25,L$43,L$60,L$76,L$91,L$105)/SUM(L$4,L$23,L$41,L$58,L$74,L$89,L$103)</f>
        <v>208141.72207053468</v>
      </c>
      <c r="M153" s="213">
        <f t="shared" ca="1" si="138"/>
        <v>174648.84565892542</v>
      </c>
      <c r="N153" s="213">
        <f t="shared" ca="1" si="138"/>
        <v>1653961.9089767737</v>
      </c>
      <c r="O153" s="213">
        <f t="shared" ca="1" si="138"/>
        <v>376936.22324648278</v>
      </c>
      <c r="Q153" s="213"/>
    </row>
    <row r="154" spans="1:17">
      <c r="B154" s="12">
        <f t="shared" ref="B154:B155" si="139">B144</f>
        <v>2026</v>
      </c>
      <c r="C154" s="213">
        <f ca="1">C151*SUM(C$7,C$26,C$44,C$61,C$77,C$92,C$106)/SUM(C$4,C$23,C$41,C$58,C$74,C$89,C$103)</f>
        <v>518285.93024102412</v>
      </c>
      <c r="D154" s="213">
        <f t="shared" ref="D154:H154" ca="1" si="140">D151*SUM(D$7,D$26,D$44,D$61,D$77,D$92,D$106)/SUM(D$4,D$23,D$41,D$58,D$74,D$89,D$103)</f>
        <v>5934.5661079293177</v>
      </c>
      <c r="E154" s="213">
        <f t="shared" ca="1" si="140"/>
        <v>692578.81767011317</v>
      </c>
      <c r="F154" s="213">
        <f t="shared" ca="1" si="140"/>
        <v>4022840.0302017885</v>
      </c>
      <c r="G154" s="213">
        <f t="shared" ca="1" si="140"/>
        <v>263363.08390548505</v>
      </c>
      <c r="H154" s="213">
        <f t="shared" ca="1" si="140"/>
        <v>1544758.7426643802</v>
      </c>
      <c r="I154" s="213"/>
      <c r="J154" s="213"/>
      <c r="K154" s="213"/>
      <c r="L154" s="213">
        <f t="shared" ref="L154:O154" ca="1" si="141">L151*SUM(L$7,L$26,L$44,L$61,L$77,L$92,L$106)/SUM(L$4,L$23,L$41,L$58,L$74,L$89,L$103)</f>
        <v>184970.4683056841</v>
      </c>
      <c r="M154" s="213">
        <f t="shared" ca="1" si="141"/>
        <v>167893.21129648123</v>
      </c>
      <c r="N154" s="213">
        <f t="shared" ca="1" si="141"/>
        <v>1652220.6776550303</v>
      </c>
      <c r="O154" s="213">
        <f t="shared" ca="1" si="141"/>
        <v>376539.39841354423</v>
      </c>
      <c r="Q154" s="213"/>
    </row>
    <row r="155" spans="1:17">
      <c r="B155" s="12">
        <f t="shared" si="139"/>
        <v>2027</v>
      </c>
      <c r="C155" s="213">
        <f ca="1">C151*SUM(C$8,C$27,C$45,C$62,C$78,C$93,C$107)/SUM(C$4,C$23,C$41,C$58,C$74,C$89,C$103)</f>
        <v>516689.22310971527</v>
      </c>
      <c r="D155" s="213">
        <f t="shared" ref="D155:H155" ca="1" si="142">D151*SUM(D$8,D$27,D$45,D$62,D$78,D$93,D$107)/SUM(D$4,D$23,D$41,D$58,D$74,D$89,D$103)</f>
        <v>5916.2832191359676</v>
      </c>
      <c r="E155" s="213">
        <f t="shared" ca="1" si="142"/>
        <v>676650.52802907396</v>
      </c>
      <c r="F155" s="213">
        <f t="shared" ca="1" si="142"/>
        <v>3992890.0977273937</v>
      </c>
      <c r="G155" s="213">
        <f t="shared" ca="1" si="142"/>
        <v>263363.08390548505</v>
      </c>
      <c r="H155" s="213">
        <f t="shared" ca="1" si="142"/>
        <v>1539111.5746121819</v>
      </c>
      <c r="I155" s="213"/>
      <c r="J155" s="213"/>
      <c r="K155" s="213"/>
      <c r="L155" s="213">
        <f t="shared" ref="L155:O155" ca="1" si="143">L151*SUM(L$8,L$27,L$45,L$62,L$78,L$93,L$107)/SUM(L$4,L$23,L$41,L$58,L$74,L$89,L$103)</f>
        <v>183418.57398395392</v>
      </c>
      <c r="M155" s="213">
        <f t="shared" ca="1" si="143"/>
        <v>166598.94603320147</v>
      </c>
      <c r="N155" s="213">
        <f t="shared" ca="1" si="143"/>
        <v>1624978.6447114237</v>
      </c>
      <c r="O155" s="213">
        <f t="shared" ca="1" si="143"/>
        <v>370330.96703698853</v>
      </c>
      <c r="Q155" s="213"/>
    </row>
    <row r="156" spans="1:17">
      <c r="B156" s="12">
        <f>B146</f>
        <v>2028</v>
      </c>
      <c r="C156" s="213">
        <f ca="1">C151*SUM(C$9,C$28,C$46,C$63,C$79,C$94,C$108)/SUM(C$4,C$23,C$41,C$58,C$74,C$89,C$103)</f>
        <v>515702.83980423363</v>
      </c>
      <c r="D156" s="213">
        <f t="shared" ref="D156:H156" ca="1" si="144">D151*SUM(D$9,D$28,D$46,D$63,D$79,D$94,D$108)/SUM(D$4,D$23,D$41,D$58,D$74,D$89,D$103)</f>
        <v>5904.9887644873215</v>
      </c>
      <c r="E156" s="213">
        <f t="shared" ca="1" si="144"/>
        <v>640365.87468115706</v>
      </c>
      <c r="F156" s="213">
        <f t="shared" ca="1" si="144"/>
        <v>3829997.1101423264</v>
      </c>
      <c r="G156" s="213">
        <f t="shared" ca="1" si="144"/>
        <v>251307.27644926132</v>
      </c>
      <c r="H156" s="213">
        <f t="shared" ca="1" si="144"/>
        <v>1370254.9447922367</v>
      </c>
      <c r="I156" s="213"/>
      <c r="J156" s="213"/>
      <c r="K156" s="213"/>
      <c r="L156" s="213">
        <f t="shared" ref="L156:O156" ca="1" si="145">L151*SUM(L$9,L$28,L$46,L$63,L$79,L$94,L$108)/SUM(L$4,L$23,L$41,L$58,L$74,L$89,L$103)</f>
        <v>183083.99474969527</v>
      </c>
      <c r="M156" s="213">
        <f t="shared" ca="1" si="145"/>
        <v>158948.84576208013</v>
      </c>
      <c r="N156" s="213">
        <f t="shared" ca="1" si="145"/>
        <v>1565506.5541886119</v>
      </c>
      <c r="O156" s="213">
        <f t="shared" ca="1" si="145"/>
        <v>356777.33858365251</v>
      </c>
      <c r="Q156" s="213"/>
    </row>
    <row r="157" spans="1:17">
      <c r="B157" s="12">
        <v>2029</v>
      </c>
      <c r="C157" s="213">
        <f ca="1">C151*SUM(C$10,C$29,C$47,C$64,C$80,C$95,C$109)/SUM(C$4,C$23,C$41,C$58,C$74,C$89,C$103)</f>
        <v>515498.83212039928</v>
      </c>
      <c r="D157" s="213">
        <f t="shared" ref="D157:H157" ca="1" si="146">D151*SUM(D$10,D$29,D$47,D$64,D$80,D$95,D$109)/SUM(D$4,D$23,D$41,D$58,D$74,D$89,D$103)</f>
        <v>5902.6528008510377</v>
      </c>
      <c r="E157" s="213">
        <f t="shared" ca="1" si="146"/>
        <v>626673.46083869855</v>
      </c>
      <c r="F157" s="213">
        <f t="shared" ca="1" si="146"/>
        <v>3799976.4265825176</v>
      </c>
      <c r="G157" s="213">
        <f t="shared" ca="1" si="146"/>
        <v>251270.03909042961</v>
      </c>
      <c r="H157" s="213">
        <f t="shared" ca="1" si="146"/>
        <v>1360234.8417088299</v>
      </c>
      <c r="I157" s="213"/>
      <c r="J157" s="213"/>
      <c r="K157" s="213"/>
      <c r="L157" s="213">
        <f t="shared" ref="L157:O157" ca="1" si="147">L151*SUM(L$10,L$29,L$47,L$64,L$80,L$95,L$109)/SUM(L$4,L$23,L$41,L$58,L$74,L$89,L$103)</f>
        <v>183071.85595542897</v>
      </c>
      <c r="M157" s="213">
        <f t="shared" ca="1" si="147"/>
        <v>155967.31571960857</v>
      </c>
      <c r="N157" s="213">
        <f t="shared" ca="1" si="147"/>
        <v>1563544.8055514046</v>
      </c>
      <c r="O157" s="213">
        <f t="shared" ca="1" si="147"/>
        <v>356330.25808061642</v>
      </c>
      <c r="Q157" s="213"/>
    </row>
    <row r="158" spans="1:17">
      <c r="B158" s="12">
        <v>2030</v>
      </c>
      <c r="C158" s="213">
        <f ca="1">C151*SUM(C$11,C$30,C$48,C$65,C$81,C$96,C$110)/SUM(C$4,C$23,C$41,C$58,C$74,C$89,C$103)</f>
        <v>515437.13263763848</v>
      </c>
      <c r="D158" s="213">
        <f t="shared" ref="D158:H158" ca="1" si="148">D151*SUM(D$11,D$30,D$48,D$65,D$81,D$96,D$110)/SUM(D$4,D$23,D$41,D$58,D$74,D$89,D$103)</f>
        <v>5901.9463188921336</v>
      </c>
      <c r="E158" s="213">
        <f t="shared" ca="1" si="148"/>
        <v>621714.9145619371</v>
      </c>
      <c r="F158" s="213">
        <f t="shared" ca="1" si="148"/>
        <v>3799930.9806644921</v>
      </c>
      <c r="G158" s="213">
        <f t="shared" ca="1" si="148"/>
        <v>251270.03909042961</v>
      </c>
      <c r="H158" s="213">
        <f t="shared" ca="1" si="148"/>
        <v>1360234.8417088299</v>
      </c>
      <c r="I158" s="213"/>
      <c r="J158" s="213"/>
      <c r="K158" s="213"/>
      <c r="L158" s="213">
        <f t="shared" ref="L158:O158" ca="1" si="149">L151*SUM(L$11,L$30,L$48,L$65,L$81,L$96,L$110)/SUM(L$4,L$23,L$41,L$58,L$74,L$89,L$103)</f>
        <v>183050.50811054741</v>
      </c>
      <c r="M158" s="213">
        <f t="shared" ca="1" si="149"/>
        <v>154554.34597826327</v>
      </c>
      <c r="N158" s="213">
        <f t="shared" ca="1" si="149"/>
        <v>1563544.8055514046</v>
      </c>
      <c r="O158" s="213">
        <f t="shared" ca="1" si="149"/>
        <v>356330.25808061642</v>
      </c>
      <c r="Q158" s="213"/>
    </row>
    <row r="159" spans="1:17">
      <c r="B159" s="12">
        <v>2031</v>
      </c>
      <c r="C159" s="213">
        <f ca="1">C151*SUM(C$12,C$31,C$49,C$66,C$82,C$97,C$111)/SUM(C$4,C$23,C$41,C$58,C$74,C$89,C$103)</f>
        <v>512767.92296583171</v>
      </c>
      <c r="D159" s="213">
        <f t="shared" ref="D159:H159" ca="1" si="150">D151*SUM(D$12,D$31,D$49,D$66,D$82,D$97,D$111)/SUM(D$4,D$23,D$41,D$58,D$74,D$89,D$103)</f>
        <v>5871.3828782718292</v>
      </c>
      <c r="E159" s="213">
        <f t="shared" ca="1" si="150"/>
        <v>611029.09840205603</v>
      </c>
      <c r="F159" s="213">
        <f t="shared" ca="1" si="150"/>
        <v>3747003.8361269715</v>
      </c>
      <c r="G159" s="213">
        <f t="shared" ca="1" si="150"/>
        <v>249727.67660513477</v>
      </c>
      <c r="H159" s="213">
        <f t="shared" ca="1" si="150"/>
        <v>1350363.8790293441</v>
      </c>
      <c r="I159" s="213"/>
      <c r="J159" s="213"/>
      <c r="K159" s="213"/>
      <c r="L159" s="213">
        <f t="shared" ref="L159:O159" ca="1" si="151">L151*SUM(L$12,L$31,L$49,L$66,L$82,L$97,L$111)/SUM(L$4,L$23,L$41,L$58,L$74,L$89,L$103)</f>
        <v>182702.37729161224</v>
      </c>
      <c r="M159" s="213">
        <f t="shared" ca="1" si="151"/>
        <v>150198.28460011911</v>
      </c>
      <c r="N159" s="213">
        <f t="shared" ca="1" si="151"/>
        <v>1508476.8320869084</v>
      </c>
      <c r="O159" s="213">
        <f t="shared" ca="1" si="151"/>
        <v>343780.32338932343</v>
      </c>
      <c r="Q159" s="213"/>
    </row>
    <row r="160" spans="1:17">
      <c r="C160" s="213"/>
      <c r="D160" s="213"/>
      <c r="E160" s="213"/>
      <c r="F160" s="213"/>
      <c r="Q160" s="213"/>
    </row>
    <row r="161" spans="1:17">
      <c r="A161" s="12">
        <f>A151+1</f>
        <v>2024</v>
      </c>
      <c r="B161" s="12">
        <f>B152</f>
        <v>2024</v>
      </c>
      <c r="C161" s="205">
        <f ca="1">OFFSET('CDM-eDSM Framework'!$W$46,COLUMN()-COLUMN($C$161),0)</f>
        <v>4852372.8366813445</v>
      </c>
      <c r="D161" s="205">
        <f ca="1">OFFSET('CDM-eDSM Framework'!$W$46,COLUMN()-COLUMN($C$161),0)</f>
        <v>55556.780747419063</v>
      </c>
      <c r="E161" s="205">
        <f ca="1">OFFSET('CDM-eDSM Framework'!$W$46,COLUMN()-COLUMN($C$161),0)</f>
        <v>3812773.6723592877</v>
      </c>
      <c r="F161" s="205">
        <f ca="1">OFFSET('CDM-eDSM Framework'!$W$46,COLUMN()-COLUMN($C$161),0)</f>
        <v>17025292.649991989</v>
      </c>
      <c r="G161" s="205">
        <f ca="1">OFFSET('CDM-eDSM Framework'!$W$46,COLUMN()-COLUMN($C$161),0)</f>
        <v>1126483.9247082477</v>
      </c>
      <c r="H161" s="205">
        <f ca="1">OFFSET('CDM-eDSM Framework'!$W$46,COLUMN()-COLUMN($C$161),0)</f>
        <v>6252596.6503658751</v>
      </c>
      <c r="L161" s="214">
        <f ca="1">OFFSET('CDM-eDSM Framework'!$AK$46,COLUMN()-COLUMN($L$161),0)</f>
        <v>1897526.6656814914</v>
      </c>
      <c r="M161" s="214">
        <f ca="1">OFFSET('CDM-eDSM Framework'!$AK$46,COLUMN()-COLUMN($L$161),0)</f>
        <v>994529.04044909589</v>
      </c>
      <c r="N161" s="214">
        <f ca="1">OFFSET('CDM-eDSM Framework'!$AK$46,COLUMN()-COLUMN($L$161),0)</f>
        <v>6629537.9033603594</v>
      </c>
      <c r="O161" s="214">
        <f ca="1">OFFSET('CDM-eDSM Framework'!$AK$46,COLUMN()-COLUMN($L$161),0)</f>
        <v>1504742.7861020677</v>
      </c>
    </row>
    <row r="162" spans="1:17">
      <c r="B162" s="12">
        <f>B153</f>
        <v>2025</v>
      </c>
      <c r="C162" s="213">
        <f ca="1">C161*SUM(C$5,C$24,C$42,C$59,C$75,C$90,C$104)/SUM(C$4,C$23,C$41,C$58,C$74,C$89,C$103)</f>
        <v>4330082.8094718009</v>
      </c>
      <c r="D162" s="213">
        <f t="shared" ref="D162" ca="1" si="152">D161*SUM(D$5,D$24,D$42,D$59,D$75,D$90,D$104)/SUM(D$4,D$23,D$41,D$58,D$74,D$89,D$103)</f>
        <v>49576.870813686626</v>
      </c>
      <c r="E162" s="213">
        <f t="shared" ref="E162" ca="1" si="153">E161*SUM(E$5,E$24,E$42,E$59,E$75,E$90,E$104)/SUM(E$4,E$23,E$41,E$58,E$74,E$89,E$103)</f>
        <v>3792745.4095234931</v>
      </c>
      <c r="F162" s="213">
        <f t="shared" ref="F162" ca="1" si="154">F161*SUM(F$5,F$24,F$42,F$59,F$75,F$90,F$104)/SUM(F$4,F$23,F$41,F$58,F$74,F$89,F$103)</f>
        <v>17072167.648600429</v>
      </c>
      <c r="G162" s="213">
        <f t="shared" ref="G162" ca="1" si="155">G161*SUM(G$5,G$24,G$42,G$59,G$75,G$90,G$104)/SUM(G$4,G$23,G$41,G$58,G$74,G$89,G$103)</f>
        <v>1124289.8024859324</v>
      </c>
      <c r="H162" s="213">
        <f t="shared" ref="H162" ca="1" si="156">H161*SUM(H$5,H$24,H$42,H$59,H$75,H$90,H$104)/SUM(H$4,H$23,H$41,H$58,H$74,H$89,H$103)</f>
        <v>5963889.6081413254</v>
      </c>
      <c r="I162" s="213"/>
      <c r="J162" s="213"/>
      <c r="K162" s="213"/>
      <c r="L162" s="213">
        <f t="shared" ref="L162" ca="1" si="157">L161*SUM(L$5,L$24,L$42,L$59,L$75,L$90,L$104)/SUM(L$4,L$23,L$41,L$58,L$74,L$89,L$103)</f>
        <v>1706907.0930981529</v>
      </c>
      <c r="M162" s="213">
        <f t="shared" ref="M162" ca="1" si="158">M161*SUM(M$5,M$24,M$42,M$59,M$75,M$90,M$104)/SUM(M$4,M$23,M$41,M$58,M$74,M$89,M$103)</f>
        <v>987664.76314528123</v>
      </c>
      <c r="N162" s="213">
        <f t="shared" ref="N162" ca="1" si="159">N161*SUM(N$5,N$24,N$42,N$59,N$75,N$90,N$104)/SUM(N$4,N$23,N$41,N$58,N$74,N$89,N$103)</f>
        <v>6696384.123328276</v>
      </c>
      <c r="O162" s="213">
        <f t="shared" ref="O162" ca="1" si="160">O161*SUM(O$5,O$24,O$42,O$59,O$75,O$90,O$104)/SUM(O$4,O$23,O$41,O$58,O$74,O$89,O$103)</f>
        <v>1519915.2413683583</v>
      </c>
      <c r="Q162" s="213"/>
    </row>
    <row r="163" spans="1:17">
      <c r="B163" s="12">
        <v>2026</v>
      </c>
      <c r="C163" s="213">
        <f ca="1">C161*SUM(C$6,C$25,C$43,C$60,C$76,C$91,C$105)/SUM(C$4,C$23,C$41,C$58,C$74,C$89,C$103)</f>
        <v>4303404.0076077394</v>
      </c>
      <c r="D163" s="213">
        <f t="shared" ref="D163:H163" ca="1" si="161">D161*SUM(D$6,D$25,D$43,D$60,D$76,D$91,D$105)/SUM(D$4,D$23,D$41,D$58,D$74,D$89,D$103)</f>
        <v>49271.414412117294</v>
      </c>
      <c r="E163" s="213">
        <f t="shared" ca="1" si="161"/>
        <v>3739740.2721794751</v>
      </c>
      <c r="F163" s="213">
        <f t="shared" ca="1" si="161"/>
        <v>17006436.545641895</v>
      </c>
      <c r="G163" s="213">
        <f t="shared" ca="1" si="161"/>
        <v>1123548.7406721441</v>
      </c>
      <c r="H163" s="213">
        <f t="shared" ca="1" si="161"/>
        <v>5072691.1143160714</v>
      </c>
      <c r="I163" s="213"/>
      <c r="J163" s="213"/>
      <c r="K163" s="213"/>
      <c r="L163" s="213">
        <f t="shared" ref="L163:O163" ca="1" si="162">L161*SUM(L$6,L$25,L$43,L$60,L$76,L$91,L$105)/SUM(L$4,L$23,L$41,L$58,L$74,L$89,L$103)</f>
        <v>1698782.8876642492</v>
      </c>
      <c r="M163" s="213">
        <f t="shared" ca="1" si="162"/>
        <v>934026.07837442099</v>
      </c>
      <c r="N163" s="213">
        <f t="shared" ca="1" si="162"/>
        <v>6693376.7722128816</v>
      </c>
      <c r="O163" s="213">
        <f t="shared" ca="1" si="162"/>
        <v>1519232.6462973098</v>
      </c>
      <c r="Q163" s="213"/>
    </row>
    <row r="164" spans="1:17">
      <c r="B164" s="12">
        <v>2027</v>
      </c>
      <c r="C164" s="213">
        <f ca="1">C161*SUM(C$7,C$26,C$44,C$61,C$77,C$92,C$106)/SUM(C$4,C$23,C$41,C$58,C$74,C$89,C$103)</f>
        <v>4300681.1347703775</v>
      </c>
      <c r="D164" s="213">
        <f t="shared" ref="D164:H164" ca="1" si="163">D161*SUM(D$7,D$26,D$44,D$61,D$77,D$92,D$106)/SUM(D$4,D$23,D$41,D$58,D$74,D$89,D$103)</f>
        <v>49240.239138839686</v>
      </c>
      <c r="E164" s="213">
        <f t="shared" ca="1" si="163"/>
        <v>3631076.0283884644</v>
      </c>
      <c r="F164" s="213">
        <f t="shared" ca="1" si="163"/>
        <v>16938825.589499481</v>
      </c>
      <c r="G164" s="213">
        <f t="shared" ca="1" si="163"/>
        <v>1123590.8448328979</v>
      </c>
      <c r="H164" s="213">
        <f t="shared" ca="1" si="163"/>
        <v>4979524.8951617228</v>
      </c>
      <c r="I164" s="213"/>
      <c r="J164" s="213"/>
      <c r="K164" s="213"/>
      <c r="L164" s="213">
        <f t="shared" ref="L164:O164" ca="1" si="164">L161*SUM(L$7,L$26,L$44,L$61,L$77,L$92,L$106)/SUM(L$4,L$23,L$41,L$58,L$74,L$89,L$103)</f>
        <v>1509666.8902088485</v>
      </c>
      <c r="M164" s="213">
        <f t="shared" ca="1" si="164"/>
        <v>897896.7890757788</v>
      </c>
      <c r="N164" s="213">
        <f t="shared" ca="1" si="164"/>
        <v>6686330.2270531952</v>
      </c>
      <c r="O164" s="213">
        <f t="shared" ca="1" si="164"/>
        <v>1517633.2530740495</v>
      </c>
      <c r="Q164" s="213"/>
    </row>
    <row r="165" spans="1:17">
      <c r="B165" s="12">
        <v>2028</v>
      </c>
      <c r="C165" s="213">
        <f ca="1">C161*SUM(C$8,C$27,C$45,C$62,C$78,C$93,C$107)/SUM(C$4,C$23,C$41,C$58,C$74,C$89,C$103)</f>
        <v>4287431.8300204314</v>
      </c>
      <c r="D165" s="213">
        <f t="shared" ref="D165:H165" ca="1" si="165">D161*SUM(D$8,D$27,D$45,D$62,D$78,D$93,D$107)/SUM(D$4,D$23,D$41,D$58,D$74,D$89,D$103)</f>
        <v>49088.542485712765</v>
      </c>
      <c r="E165" s="213">
        <f t="shared" ca="1" si="165"/>
        <v>3547566.6440221146</v>
      </c>
      <c r="F165" s="213">
        <f t="shared" ca="1" si="165"/>
        <v>16812716.502687097</v>
      </c>
      <c r="G165" s="213">
        <f t="shared" ca="1" si="165"/>
        <v>1123590.8448328979</v>
      </c>
      <c r="H165" s="213">
        <f t="shared" ca="1" si="165"/>
        <v>4961321.2669015694</v>
      </c>
      <c r="I165" s="213"/>
      <c r="J165" s="213"/>
      <c r="K165" s="213"/>
      <c r="L165" s="213">
        <f t="shared" ref="L165:O165" ca="1" si="166">L161*SUM(L$8,L$27,L$45,L$62,L$78,L$93,L$107)/SUM(L$4,L$23,L$41,L$58,L$74,L$89,L$103)</f>
        <v>1497000.8495371705</v>
      </c>
      <c r="M165" s="213">
        <f t="shared" ca="1" si="166"/>
        <v>890975.0284212695</v>
      </c>
      <c r="N165" s="213">
        <f t="shared" ca="1" si="166"/>
        <v>6576085.1303898739</v>
      </c>
      <c r="O165" s="213">
        <f t="shared" ca="1" si="166"/>
        <v>1492610.3153783209</v>
      </c>
      <c r="Q165" s="213"/>
    </row>
    <row r="166" spans="1:17">
      <c r="B166" s="12">
        <v>2029</v>
      </c>
      <c r="C166" s="213">
        <f ca="1">C161*SUM(C$9,C$28,C$46,C$63,C$79,C$94,C$108)/SUM(C$4,C$23,C$41,C$58,C$74,C$89,C$103)</f>
        <v>4279246.9270045133</v>
      </c>
      <c r="D166" s="213">
        <f t="shared" ref="D166:H166" ca="1" si="167">D161*SUM(D$9,D$28,D$46,D$63,D$79,D$94,D$108)/SUM(D$4,D$23,D$41,D$58,D$74,D$89,D$103)</f>
        <v>48994.830218003917</v>
      </c>
      <c r="E166" s="213">
        <f t="shared" ca="1" si="167"/>
        <v>3357332.2163894144</v>
      </c>
      <c r="F166" s="213">
        <f t="shared" ca="1" si="167"/>
        <v>16126828.949182376</v>
      </c>
      <c r="G166" s="213">
        <f t="shared" ca="1" si="167"/>
        <v>1072156.9282641562</v>
      </c>
      <c r="H166" s="213">
        <f t="shared" ca="1" si="167"/>
        <v>4417012.457584667</v>
      </c>
      <c r="I166" s="213"/>
      <c r="J166" s="213"/>
      <c r="K166" s="213"/>
      <c r="L166" s="213">
        <f t="shared" ref="L166:O166" ca="1" si="168">L161*SUM(L$9,L$28,L$46,L$63,L$79,L$94,L$108)/SUM(L$4,L$23,L$41,L$58,L$74,L$89,L$103)</f>
        <v>1494270.1261047302</v>
      </c>
      <c r="M166" s="213">
        <f t="shared" ca="1" si="168"/>
        <v>850062.11469173396</v>
      </c>
      <c r="N166" s="213">
        <f t="shared" ca="1" si="168"/>
        <v>6335409.0258557647</v>
      </c>
      <c r="O166" s="213">
        <f t="shared" ca="1" si="168"/>
        <v>1437982.7323756986</v>
      </c>
      <c r="Q166" s="213"/>
    </row>
    <row r="167" spans="1:17">
      <c r="B167" s="12">
        <v>2030</v>
      </c>
      <c r="C167" s="213">
        <f ca="1">C161*SUM(C$10,C$29,C$47,C$64,C$80,C$95,C$109)/SUM(C$4,C$23,C$41,C$58,C$74,C$89,C$103)</f>
        <v>4277554.0930956192</v>
      </c>
      <c r="D167" s="213">
        <f t="shared" ref="D167:H167" ca="1" si="169">D161*SUM(D$10,D$29,D$47,D$64,D$80,D$95,D$109)/SUM(D$4,D$23,D$41,D$58,D$74,D$89,D$103)</f>
        <v>48975.448277356802</v>
      </c>
      <c r="E167" s="213">
        <f t="shared" ca="1" si="169"/>
        <v>3285545.1585042463</v>
      </c>
      <c r="F167" s="213">
        <f t="shared" ca="1" si="169"/>
        <v>16000421.953358667</v>
      </c>
      <c r="G167" s="213">
        <f t="shared" ca="1" si="169"/>
        <v>1071998.0618245299</v>
      </c>
      <c r="H167" s="213">
        <f t="shared" ca="1" si="169"/>
        <v>4384712.6871558875</v>
      </c>
      <c r="I167" s="213"/>
      <c r="J167" s="213"/>
      <c r="K167" s="213"/>
      <c r="L167" s="213">
        <f t="shared" ref="L167:O167" ca="1" si="170">L161*SUM(L$10,L$29,L$47,L$64,L$80,L$95,L$109)/SUM(L$4,L$23,L$41,L$58,L$74,L$89,L$103)</f>
        <v>1494171.0533394467</v>
      </c>
      <c r="M167" s="213">
        <f t="shared" ca="1" si="170"/>
        <v>834116.82285417011</v>
      </c>
      <c r="N167" s="213">
        <f t="shared" ca="1" si="170"/>
        <v>6327470.0747288149</v>
      </c>
      <c r="O167" s="213">
        <f t="shared" ca="1" si="170"/>
        <v>1436180.7848475853</v>
      </c>
      <c r="Q167" s="213"/>
    </row>
    <row r="168" spans="1:17">
      <c r="B168" s="12">
        <v>2031</v>
      </c>
      <c r="C168" s="213">
        <f ca="1">C161*SUM(C$11,C$30,C$48,C$65,C$81,C$96,C$110)/SUM(C$4,C$23,C$41,C$58,C$74,C$89,C$103)</f>
        <v>4277042.1173963929</v>
      </c>
      <c r="D168" s="213">
        <f t="shared" ref="D168:H168" ca="1" si="171">D161*SUM(D$11,D$30,D$48,D$65,D$81,D$96,D$110)/SUM(D$4,D$23,D$41,D$58,D$74,D$89,D$103)</f>
        <v>48969.586460339182</v>
      </c>
      <c r="E168" s="213">
        <f t="shared" ca="1" si="171"/>
        <v>3259548.3216651226</v>
      </c>
      <c r="F168" s="213">
        <f t="shared" ca="1" si="171"/>
        <v>16000230.595891455</v>
      </c>
      <c r="G168" s="213">
        <f t="shared" ca="1" si="171"/>
        <v>1071998.0618245299</v>
      </c>
      <c r="H168" s="213">
        <f t="shared" ca="1" si="171"/>
        <v>4384712.6871558875</v>
      </c>
      <c r="I168" s="213"/>
      <c r="J168" s="213"/>
      <c r="K168" s="213"/>
      <c r="L168" s="213">
        <f t="shared" ref="L168:O168" ca="1" si="172">L161*SUM(L$11,L$30,L$48,L$65,L$81,L$96,L$110)/SUM(L$4,L$23,L$41,L$58,L$74,L$89,L$103)</f>
        <v>1493996.8193933996</v>
      </c>
      <c r="M168" s="213">
        <f t="shared" ca="1" si="172"/>
        <v>826560.22789706499</v>
      </c>
      <c r="N168" s="213">
        <f t="shared" ca="1" si="172"/>
        <v>6327470.0747288149</v>
      </c>
      <c r="O168" s="213">
        <f t="shared" ca="1" si="172"/>
        <v>1436180.7848475853</v>
      </c>
      <c r="Q168" s="213"/>
    </row>
    <row r="169" spans="1:17">
      <c r="C169" s="205"/>
      <c r="D169" s="205"/>
    </row>
    <row r="170" spans="1:17">
      <c r="A170" s="12">
        <v>2025</v>
      </c>
      <c r="B170" s="12">
        <f>B162</f>
        <v>2025</v>
      </c>
      <c r="C170" s="205">
        <f ca="1">OFFSET('CDM-eDSM Framework'!$X$46,COLUMN()-COLUMN($C$170),0)</f>
        <v>7472153.0324978782</v>
      </c>
      <c r="D170" s="205">
        <f ca="1">OFFSET('CDM-eDSM Framework'!$X$46,COLUMN()-COLUMN($C$170),0)</f>
        <v>85552.243517701703</v>
      </c>
      <c r="E170" s="205">
        <f ca="1">OFFSET('CDM-eDSM Framework'!$X$46,COLUMN()-COLUMN($C$170),0)</f>
        <v>3332745.6900698356</v>
      </c>
      <c r="F170" s="205">
        <f ca="1">OFFSET('CDM-eDSM Framework'!$X$46,COLUMN()-COLUMN($C$170),0)</f>
        <v>14626666.284518229</v>
      </c>
      <c r="G170" s="205">
        <f ca="1">OFFSET('CDM-eDSM Framework'!$X$46,COLUMN()-COLUMN($C$170),0)</f>
        <v>1082122.3571538716</v>
      </c>
      <c r="H170" s="205">
        <f ca="1">OFFSET('CDM-eDSM Framework'!$X$46,COLUMN()-COLUMN($C$170),0)</f>
        <v>5563790.131175654</v>
      </c>
      <c r="L170" s="214">
        <f ca="1">OFFSET('CDM-eDSM Framework'!$AL$46,COLUMN()-COLUMN($L$170),0)</f>
        <v>2879263.4437304181</v>
      </c>
      <c r="M170" s="214">
        <f ca="1">OFFSET('CDM-eDSM Framework'!$AL$46,COLUMN()-COLUMN($L$170),0)</f>
        <v>920594.24152098002</v>
      </c>
      <c r="N170" s="214">
        <f ca="1">OFFSET('CDM-eDSM Framework'!$AL$46,COLUMN()-COLUMN($L$170),0)</f>
        <v>5650874.2327412823</v>
      </c>
      <c r="O170" s="214">
        <f ca="1">OFFSET('CDM-eDSM Framework'!$AL$46,COLUMN()-COLUMN($L$170),0)</f>
        <v>1284087.1417391479</v>
      </c>
    </row>
    <row r="171" spans="1:17">
      <c r="B171" s="12">
        <v>2026</v>
      </c>
      <c r="C171" s="213">
        <f ca="1">C170*SUM(C$5,C$24,C$42,C$59,C$75,C$90,C$104)/SUM(C$4,C$23,C$41,C$58,C$74,C$89,C$103)</f>
        <v>6667880.3308712859</v>
      </c>
      <c r="D171" s="213">
        <f t="shared" ref="D171" ca="1" si="173">D170*SUM(D$5,D$24,D$42,D$59,D$75,D$90,D$104)/SUM(D$4,D$23,D$41,D$58,D$74,D$89,D$103)</f>
        <v>76343.741801403681</v>
      </c>
      <c r="E171" s="213">
        <f t="shared" ref="E171" ca="1" si="174">E170*SUM(E$5,E$24,E$42,E$59,E$75,E$90,E$104)/SUM(E$4,E$23,E$41,E$58,E$74,E$89,E$103)</f>
        <v>3315238.984353344</v>
      </c>
      <c r="F171" s="213">
        <f t="shared" ref="F171" ca="1" si="175">F170*SUM(F$5,F$24,F$42,F$59,F$75,F$90,F$104)/SUM(F$4,F$23,F$41,F$58,F$74,F$89,F$103)</f>
        <v>14666937.249360248</v>
      </c>
      <c r="G171" s="213">
        <f t="shared" ref="G171" ca="1" si="176">G170*SUM(G$5,G$24,G$42,G$59,G$75,G$90,G$104)/SUM(G$4,G$23,G$41,G$58,G$74,G$89,G$103)</f>
        <v>1080014.6406929283</v>
      </c>
      <c r="H171" s="213">
        <f t="shared" ref="H171" ca="1" si="177">H170*SUM(H$5,H$24,H$42,H$59,H$75,H$90,H$104)/SUM(H$4,H$23,H$41,H$58,H$74,H$89,H$103)</f>
        <v>5306888.0020041093</v>
      </c>
      <c r="I171" s="213"/>
      <c r="J171" s="213"/>
      <c r="K171" s="213"/>
      <c r="L171" s="213">
        <f t="shared" ref="L171" ca="1" si="178">L170*SUM(L$5,L$24,L$42,L$59,L$75,L$90,L$104)/SUM(L$4,L$23,L$41,L$58,L$74,L$89,L$103)</f>
        <v>2590021.6760519608</v>
      </c>
      <c r="M171" s="213">
        <f t="shared" ref="M171" ca="1" si="179">M170*SUM(M$5,M$24,M$42,M$59,M$75,M$90,M$104)/SUM(M$4,M$23,M$41,M$58,M$74,M$89,M$103)</f>
        <v>914240.26501443039</v>
      </c>
      <c r="N171" s="213">
        <f t="shared" ref="N171" ca="1" si="180">N170*SUM(N$5,N$24,N$42,N$59,N$75,N$90,N$104)/SUM(N$4,N$23,N$41,N$58,N$74,N$89,N$103)</f>
        <v>5707852.4999265987</v>
      </c>
      <c r="O171" s="213">
        <f t="shared" ref="O171" ca="1" si="181">O170*SUM(O$5,O$24,O$42,O$59,O$75,O$90,O$104)/SUM(O$4,O$23,O$41,O$58,O$74,O$89,O$103)</f>
        <v>1297034.7065296227</v>
      </c>
    </row>
    <row r="172" spans="1:17">
      <c r="B172" s="12">
        <v>2027</v>
      </c>
      <c r="C172" s="213">
        <f ca="1">C170*SUM(C$6,C$25,C$43,C$60,C$76,C$91,C$105)/SUM(C$4,C$23,C$41,C$58,C$74,C$89,C$103)</f>
        <v>6626797.7312934073</v>
      </c>
      <c r="D172" s="213">
        <f t="shared" ref="D172:H172" ca="1" si="182">D170*SUM(D$6,D$25,D$43,D$60,D$76,D$91,D$105)/SUM(D$4,D$23,D$41,D$58,D$74,D$89,D$103)</f>
        <v>75873.367526661095</v>
      </c>
      <c r="E172" s="213">
        <f t="shared" ca="1" si="182"/>
        <v>3268907.1906999527</v>
      </c>
      <c r="F172" s="213">
        <f t="shared" ca="1" si="182"/>
        <v>14610466.742376732</v>
      </c>
      <c r="G172" s="213">
        <f t="shared" ca="1" si="182"/>
        <v>1079302.7623082094</v>
      </c>
      <c r="H172" s="213">
        <f t="shared" ca="1" si="182"/>
        <v>4513866.8522113413</v>
      </c>
      <c r="I172" s="213"/>
      <c r="J172" s="213"/>
      <c r="K172" s="213"/>
      <c r="L172" s="213">
        <f t="shared" ref="L172:O172" ca="1" si="183">L170*SUM(L$6,L$25,L$43,L$60,L$76,L$91,L$105)/SUM(L$4,L$23,L$41,L$58,L$74,L$89,L$103)</f>
        <v>2577694.1930509279</v>
      </c>
      <c r="M172" s="213">
        <f t="shared" ca="1" si="183"/>
        <v>864589.16151270166</v>
      </c>
      <c r="N172" s="213">
        <f t="shared" ca="1" si="183"/>
        <v>5705289.0991022121</v>
      </c>
      <c r="O172" s="213">
        <f t="shared" ca="1" si="183"/>
        <v>1296452.2072733755</v>
      </c>
    </row>
    <row r="173" spans="1:17">
      <c r="B173" s="12">
        <f>B165</f>
        <v>2028</v>
      </c>
      <c r="C173" s="213">
        <f ca="1">C170*SUM(C$7,C$26,C$44,C$61,C$77,C$92,C$106)/SUM(C$4,C$23,C$41,C$58,C$74,C$89,C$103)</f>
        <v>6622604.7883325964</v>
      </c>
      <c r="D173" s="213">
        <f t="shared" ref="D173:H173" ca="1" si="184">D170*SUM(D$7,D$26,D$44,D$61,D$77,D$92,D$106)/SUM(D$4,D$23,D$41,D$58,D$74,D$89,D$103)</f>
        <v>75825.360523100142</v>
      </c>
      <c r="E173" s="213">
        <f t="shared" ca="1" si="184"/>
        <v>3173923.7688449919</v>
      </c>
      <c r="F173" s="213">
        <f t="shared" ca="1" si="184"/>
        <v>14552381.227313777</v>
      </c>
      <c r="G173" s="213">
        <f t="shared" ca="1" si="184"/>
        <v>1079343.2083835427</v>
      </c>
      <c r="H173" s="213">
        <f t="shared" ca="1" si="184"/>
        <v>4430964.1288028862</v>
      </c>
      <c r="I173" s="213"/>
      <c r="J173" s="213"/>
      <c r="K173" s="213"/>
      <c r="L173" s="213">
        <f t="shared" ref="L173:O173" ca="1" si="185">L170*SUM(L$7,L$26,L$44,L$61,L$77,L$92,L$106)/SUM(L$4,L$23,L$41,L$58,L$74,L$89,L$103)</f>
        <v>2290733.9157878999</v>
      </c>
      <c r="M173" s="213">
        <f t="shared" ca="1" si="185"/>
        <v>831145.7784380794</v>
      </c>
      <c r="N173" s="213">
        <f t="shared" ca="1" si="185"/>
        <v>5699282.776934186</v>
      </c>
      <c r="O173" s="213">
        <f t="shared" ca="1" si="185"/>
        <v>1295087.3492447862</v>
      </c>
    </row>
    <row r="174" spans="1:17">
      <c r="B174" s="12">
        <v>2029</v>
      </c>
      <c r="C174" s="213">
        <f ca="1">C170*SUM(C$8,C$27,C$45,C$62,C$78,C$93,C$107)/SUM(C$4,C$23,C$41,C$58,C$74,C$89,C$103)</f>
        <v>6602202.2273592483</v>
      </c>
      <c r="D174" s="213">
        <f t="shared" ref="D174:H174" ca="1" si="186">D170*SUM(D$8,D$27,D$45,D$62,D$78,D$93,D$107)/SUM(D$4,D$23,D$41,D$58,D$74,D$89,D$103)</f>
        <v>75591.761872592702</v>
      </c>
      <c r="E174" s="213">
        <f t="shared" ca="1" si="186"/>
        <v>3100928.2110847747</v>
      </c>
      <c r="F174" s="213">
        <f t="shared" ca="1" si="186"/>
        <v>14444039.152603479</v>
      </c>
      <c r="G174" s="213">
        <f t="shared" ca="1" si="186"/>
        <v>1079343.2083835427</v>
      </c>
      <c r="H174" s="213">
        <f t="shared" ca="1" si="186"/>
        <v>4414765.8718339987</v>
      </c>
      <c r="I174" s="213"/>
      <c r="J174" s="213"/>
      <c r="K174" s="213"/>
      <c r="L174" s="213">
        <f t="shared" ref="L174:O174" ca="1" si="187">L170*SUM(L$8,L$27,L$45,L$62,L$78,L$93,L$107)/SUM(L$4,L$23,L$41,L$58,L$74,L$89,L$103)</f>
        <v>2271514.7561616674</v>
      </c>
      <c r="M174" s="213">
        <f t="shared" ca="1" si="187"/>
        <v>824738.59198040667</v>
      </c>
      <c r="N174" s="213">
        <f t="shared" ca="1" si="187"/>
        <v>5605312.2491082484</v>
      </c>
      <c r="O174" s="213">
        <f t="shared" ca="1" si="187"/>
        <v>1273733.7778301928</v>
      </c>
    </row>
    <row r="175" spans="1:17">
      <c r="B175" s="12">
        <v>2030</v>
      </c>
      <c r="C175" s="213">
        <f ca="1">C170*SUM(C$9,C$28,C$46,C$63,C$79,C$94,C$108)/SUM(C$4,C$23,C$41,C$58,C$74,C$89,C$103)</f>
        <v>6589598.3220227174</v>
      </c>
      <c r="D175" s="213">
        <f t="shared" ref="D175:H175" ca="1" si="188">D170*SUM(D$9,D$28,D$46,D$63,D$79,D$94,D$108)/SUM(D$4,D$23,D$41,D$58,D$74,D$89,D$103)</f>
        <v>75447.453749627966</v>
      </c>
      <c r="E175" s="213">
        <f t="shared" ca="1" si="188"/>
        <v>2934644.2867616522</v>
      </c>
      <c r="F175" s="213">
        <f t="shared" ca="1" si="188"/>
        <v>13854783.592651453</v>
      </c>
      <c r="G175" s="213">
        <f t="shared" ca="1" si="188"/>
        <v>1029934.7882416955</v>
      </c>
      <c r="H175" s="213">
        <f t="shared" ca="1" si="188"/>
        <v>3930419.9031216009</v>
      </c>
      <c r="I175" s="213"/>
      <c r="J175" s="213"/>
      <c r="K175" s="213"/>
      <c r="L175" s="213">
        <f t="shared" ref="L175:O175" ca="1" si="189">L170*SUM(L$9,L$28,L$46,L$63,L$79,L$94,L$108)/SUM(L$4,L$23,L$41,L$58,L$74,L$89,L$103)</f>
        <v>2267371.2190529862</v>
      </c>
      <c r="M175" s="213">
        <f t="shared" ca="1" si="189"/>
        <v>786867.20637838624</v>
      </c>
      <c r="N175" s="213">
        <f t="shared" ca="1" si="189"/>
        <v>5400165.1608234104</v>
      </c>
      <c r="O175" s="213">
        <f t="shared" ca="1" si="189"/>
        <v>1227116.7894878429</v>
      </c>
    </row>
    <row r="176" spans="1:17">
      <c r="B176" s="12">
        <v>2031</v>
      </c>
      <c r="C176" s="213">
        <f ca="1">C170*SUM(C$10,C$29,C$47,C$64,C$80,C$95,C$109)/SUM(C$4,C$23,C$41,C$58,C$74,C$89,C$103)</f>
        <v>6586991.5326329498</v>
      </c>
      <c r="D176" s="213">
        <f t="shared" ref="D176:H176" ca="1" si="190">D170*SUM(D$10,D$29,D$47,D$64,D$80,D$95,D$109)/SUM(D$4,D$23,D$41,D$58,D$74,D$89,D$103)</f>
        <v>75417.607374734027</v>
      </c>
      <c r="E176" s="213">
        <f t="shared" ca="1" si="190"/>
        <v>2871895.2152644335</v>
      </c>
      <c r="F176" s="213">
        <f t="shared" ca="1" si="190"/>
        <v>13746185.580156041</v>
      </c>
      <c r="G176" s="213">
        <f t="shared" ca="1" si="190"/>
        <v>1029782.1780513941</v>
      </c>
      <c r="H176" s="213">
        <f t="shared" ca="1" si="190"/>
        <v>3901678.3811588227</v>
      </c>
      <c r="I176" s="213"/>
      <c r="J176" s="213"/>
      <c r="K176" s="213"/>
      <c r="L176" s="213">
        <f t="shared" ref="L176:O176" ca="1" si="191">L170*SUM(L$10,L$29,L$47,L$64,L$80,L$95,L$109)/SUM(L$4,L$23,L$41,L$58,L$74,L$89,L$103)</f>
        <v>2267220.8883111267</v>
      </c>
      <c r="M176" s="213">
        <f t="shared" ca="1" si="191"/>
        <v>772107.31174684863</v>
      </c>
      <c r="N176" s="213">
        <f t="shared" ca="1" si="191"/>
        <v>5393398.1711761327</v>
      </c>
      <c r="O176" s="213">
        <f t="shared" ca="1" si="191"/>
        <v>1225579.0797394989</v>
      </c>
    </row>
    <row r="177" spans="1:15">
      <c r="C177" s="205"/>
      <c r="D177" s="205"/>
    </row>
    <row r="178" spans="1:15">
      <c r="A178" s="12">
        <v>2026</v>
      </c>
      <c r="B178" s="12">
        <v>2026</v>
      </c>
      <c r="C178" s="205">
        <f ca="1">OFFSET('CDM-eDSM Framework'!$Y$46,COLUMN()-COLUMN($C$178),0)</f>
        <v>8098219.7810236001</v>
      </c>
      <c r="D178" s="205">
        <f ca="1">OFFSET('CDM-eDSM Framework'!$Y$46,COLUMN()-COLUMN($C$178),0)</f>
        <v>92720.466398254066</v>
      </c>
      <c r="E178" s="205">
        <f ca="1">OFFSET('CDM-eDSM Framework'!$Y$46,COLUMN()-COLUMN($C$178),0)</f>
        <v>3722157.4391990704</v>
      </c>
      <c r="F178" s="205">
        <f ca="1">OFFSET('CDM-eDSM Framework'!$Y$46,COLUMN()-COLUMN($C$178),0)</f>
        <v>16640596.121040165</v>
      </c>
      <c r="G178" s="205">
        <f ca="1">OFFSET('CDM-eDSM Framework'!$Y$46,COLUMN()-COLUMN($C$178),0)</f>
        <v>1220974.2090194793</v>
      </c>
      <c r="H178" s="205">
        <f ca="1">OFFSET('CDM-eDSM Framework'!$Y$46,COLUMN()-COLUMN($C$178),0)</f>
        <v>6415508.7074627876</v>
      </c>
      <c r="L178" s="214">
        <f ca="1">OFFSET('CDM-eDSM Framework'!$AM$46,COLUMN()-COLUMN($L$178),0)</f>
        <v>3121173.45696068</v>
      </c>
      <c r="M178" s="214">
        <f ca="1">OFFSET('CDM-eDSM Framework'!$AM$46,COLUMN()-COLUMN($L$178),0)</f>
        <v>1022439.5294756602</v>
      </c>
      <c r="N178" s="214">
        <f ca="1">OFFSET('CDM-eDSM Framework'!$AM$46,COLUMN()-COLUMN($L$178),0)</f>
        <v>6446945.598865984</v>
      </c>
      <c r="O178" s="214">
        <f ca="1">OFFSET('CDM-eDSM Framework'!$AM$46,COLUMN()-COLUMN($L$178),0)</f>
        <v>1465196.3619519942</v>
      </c>
    </row>
    <row r="179" spans="1:15">
      <c r="B179" s="12">
        <v>2027</v>
      </c>
      <c r="C179" s="213">
        <f ca="1">C178*SUM(C$5,C$24,C$42,C$59,C$75,C$90,C$104)/SUM(C$4,C$23,C$41,C$58,C$74,C$89,C$103)</f>
        <v>7226559.7556838272</v>
      </c>
      <c r="D179" s="213">
        <f t="shared" ref="D179" ca="1" si="192">D178*SUM(D$5,D$24,D$42,D$59,D$75,D$90,D$104)/SUM(D$4,D$23,D$41,D$58,D$74,D$89,D$103)</f>
        <v>82740.405807702627</v>
      </c>
      <c r="E179" s="213">
        <f t="shared" ref="E179" ca="1" si="193">E178*SUM(E$5,E$24,E$42,E$59,E$75,E$90,E$104)/SUM(E$4,E$23,E$41,E$58,E$74,E$89,E$103)</f>
        <v>3702605.1777971084</v>
      </c>
      <c r="F179" s="213">
        <f t="shared" ref="F179" ca="1" si="194">F178*SUM(F$5,F$24,F$42,F$59,F$75,F$90,F$104)/SUM(F$4,F$23,F$41,F$58,F$74,F$89,F$103)</f>
        <v>16686411.951408153</v>
      </c>
      <c r="G179" s="213">
        <f t="shared" ref="G179" ca="1" si="195">G178*SUM(G$5,G$24,G$42,G$59,G$75,G$90,G$104)/SUM(G$4,G$23,G$41,G$58,G$74,G$89,G$103)</f>
        <v>1218596.0422421973</v>
      </c>
      <c r="H179" s="213">
        <f t="shared" ref="H179" ca="1" si="196">H178*SUM(H$5,H$24,H$42,H$59,H$75,H$90,H$104)/SUM(H$4,H$23,H$41,H$58,H$74,H$89,H$103)</f>
        <v>6119279.3731766809</v>
      </c>
      <c r="I179" s="213"/>
      <c r="J179" s="213"/>
      <c r="K179" s="213"/>
      <c r="L179" s="213">
        <f t="shared" ref="L179" ca="1" si="197">L178*SUM(L$5,L$24,L$42,L$59,L$75,L$90,L$104)/SUM(L$4,L$23,L$41,L$58,L$74,L$89,L$103)</f>
        <v>2807630.1686977828</v>
      </c>
      <c r="M179" s="213">
        <f t="shared" ref="M179" ca="1" si="198">M178*SUM(M$5,M$24,M$42,M$59,M$75,M$90,M$104)/SUM(M$4,M$23,M$41,M$58,M$74,M$89,M$103)</f>
        <v>1015382.612913894</v>
      </c>
      <c r="N179" s="213">
        <f t="shared" ref="N179" ca="1" si="199">N178*SUM(N$5,N$24,N$42,N$59,N$75,N$90,N$104)/SUM(N$4,N$23,N$41,N$58,N$74,N$89,N$103)</f>
        <v>6511950.7243973641</v>
      </c>
      <c r="O179" s="213">
        <f t="shared" ref="O179" ca="1" si="200">O178*SUM(O$5,O$24,O$42,O$59,O$75,O$90,O$104)/SUM(O$4,O$23,O$41,O$58,O$74,O$89,O$103)</f>
        <v>1479970.0671083652</v>
      </c>
    </row>
    <row r="180" spans="1:15">
      <c r="B180" s="12">
        <v>2028</v>
      </c>
      <c r="C180" s="213">
        <f ca="1">C178*SUM(C$6,C$25,C$43,C$60,C$76,C$91,C$105)/SUM(C$4,C$23,C$41,C$58,C$74,C$89,C$103)</f>
        <v>7182034.9822871247</v>
      </c>
      <c r="D180" s="213">
        <f t="shared" ref="D180:H180" ca="1" si="201">D178*SUM(D$6,D$25,D$43,D$60,D$76,D$91,D$105)/SUM(D$4,D$23,D$41,D$58,D$74,D$89,D$103)</f>
        <v>82230.619969919775</v>
      </c>
      <c r="E180" s="213">
        <f t="shared" ca="1" si="201"/>
        <v>3650859.7863223706</v>
      </c>
      <c r="F180" s="213">
        <f t="shared" ca="1" si="201"/>
        <v>16622166.081489202</v>
      </c>
      <c r="G180" s="213">
        <f t="shared" ca="1" si="201"/>
        <v>1217792.8196288261</v>
      </c>
      <c r="H180" s="213">
        <f t="shared" ca="1" si="201"/>
        <v>5204860.6097531561</v>
      </c>
      <c r="I180" s="213"/>
      <c r="J180" s="213"/>
      <c r="K180" s="213"/>
      <c r="L180" s="213">
        <f t="shared" ref="L180" ca="1" si="202">L178*SUM(L$6,L$25,L$43,L$60,L$76,L$91,L$105)/SUM(L$4,L$23,L$41,L$58,L$74,L$89,L$103)</f>
        <v>2794266.9549850053</v>
      </c>
      <c r="M180" s="213">
        <f t="shared" ref="M180:O180" ca="1" si="203">M178*SUM(M$6,M$25,M$43,M$60,M$76,M$91,M$105)/SUM(M$4,M$23,M$41,M$58,M$74,M$89,M$103)</f>
        <v>960238.61068943737</v>
      </c>
      <c r="N180" s="213">
        <f t="shared" ca="1" si="203"/>
        <v>6509026.2024592962</v>
      </c>
      <c r="O180" s="213">
        <f t="shared" ca="1" si="203"/>
        <v>1479305.4114449364</v>
      </c>
    </row>
    <row r="181" spans="1:15">
      <c r="B181" s="12">
        <v>2029</v>
      </c>
      <c r="C181" s="213">
        <f ca="1">C178*SUM(C$7,C$26,C$44,C$61,C$77,C$92,C$106)/SUM(C$4,C$23,C$41,C$58,C$74,C$89,C$103)</f>
        <v>7177490.7266384158</v>
      </c>
      <c r="D181" s="213">
        <f t="shared" ref="D181:H181" ca="1" si="204">D178*SUM(D$7,D$26,D$44,D$61,D$77,D$92,D$106)/SUM(D$4,D$23,D$41,D$58,D$74,D$89,D$103)</f>
        <v>82178.590571536624</v>
      </c>
      <c r="E181" s="213">
        <f t="shared" ca="1" si="204"/>
        <v>3544778.1097901845</v>
      </c>
      <c r="F181" s="213">
        <f t="shared" ca="1" si="204"/>
        <v>16556082.834777797</v>
      </c>
      <c r="G181" s="213">
        <f t="shared" ca="1" si="204"/>
        <v>1217838.45551696</v>
      </c>
      <c r="H181" s="213">
        <f t="shared" ca="1" si="204"/>
        <v>5109266.9350530393</v>
      </c>
      <c r="I181" s="213"/>
      <c r="J181" s="213"/>
      <c r="K181" s="213"/>
      <c r="L181" s="213">
        <f t="shared" ref="L181" ca="1" si="205">L178*SUM(L$7,L$26,L$44,L$61,L$77,L$92,L$106)/SUM(L$4,L$23,L$41,L$58,L$74,L$89,L$103)</f>
        <v>2483196.843444597</v>
      </c>
      <c r="M181" s="213">
        <f t="shared" ref="M181:O181" ca="1" si="206">M178*SUM(M$7,M$26,M$44,M$61,M$77,M$92,M$106)/SUM(M$4,M$23,M$41,M$58,M$74,M$89,M$103)</f>
        <v>923095.38807010301</v>
      </c>
      <c r="N181" s="213">
        <f t="shared" ca="1" si="206"/>
        <v>6502173.7349168099</v>
      </c>
      <c r="O181" s="213">
        <f t="shared" ca="1" si="206"/>
        <v>1477748.0521715139</v>
      </c>
    </row>
    <row r="182" spans="1:15">
      <c r="B182" s="12">
        <v>2030</v>
      </c>
      <c r="C182" s="213">
        <f ca="1">C178*SUM(C$8,C$27,C$45,C$62,C$78,C$93,C$107)/SUM(C$4,C$23,C$41,C$58,C$74,C$89,C$103)</f>
        <v>7155378.7032176824</v>
      </c>
      <c r="D182" s="213">
        <f t="shared" ref="D182:H182" ca="1" si="207">D178*SUM(D$8,D$27,D$45,D$62,D$78,D$93,D$107)/SUM(D$4,D$23,D$41,D$58,D$74,D$89,D$103)</f>
        <v>81925.419235117253</v>
      </c>
      <c r="E182" s="213">
        <f t="shared" ca="1" si="207"/>
        <v>3463253.450061352</v>
      </c>
      <c r="F182" s="213">
        <f t="shared" ca="1" si="207"/>
        <v>16432823.257161133</v>
      </c>
      <c r="G182" s="213">
        <f t="shared" ca="1" si="207"/>
        <v>1217838.45551696</v>
      </c>
      <c r="H182" s="213">
        <f t="shared" ca="1" si="207"/>
        <v>5090589.0093621835</v>
      </c>
      <c r="I182" s="213"/>
      <c r="J182" s="213"/>
      <c r="K182" s="213"/>
      <c r="L182" s="213">
        <f t="shared" ref="L182" ca="1" si="208">L178*SUM(L$8,L$27,L$45,L$62,L$78,L$93,L$107)/SUM(L$4,L$23,L$41,L$58,L$74,L$89,L$103)</f>
        <v>2462362.928082977</v>
      </c>
      <c r="M182" s="213">
        <f t="shared" ref="M182:O182" ca="1" si="209">M178*SUM(M$8,M$27,M$45,M$62,M$78,M$93,M$107)/SUM(M$4,M$23,M$41,M$58,M$74,M$89,M$103)</f>
        <v>915979.37494338339</v>
      </c>
      <c r="N182" s="213">
        <f t="shared" ca="1" si="209"/>
        <v>6394965.0348398583</v>
      </c>
      <c r="O182" s="213">
        <f t="shared" ca="1" si="209"/>
        <v>1453382.7469407727</v>
      </c>
    </row>
    <row r="183" spans="1:15">
      <c r="B183" s="12">
        <v>2031</v>
      </c>
      <c r="C183" s="213">
        <f ca="1">C178*SUM(C$9,C$28,C$46,C$63,C$79,C$94,C$108)/SUM(C$4,C$23,C$41,C$58,C$74,C$89,C$103)</f>
        <v>7141718.7587451143</v>
      </c>
      <c r="D183" s="213">
        <f t="shared" ref="D183:H183" ca="1" si="210">D178*SUM(D$9,D$28,D$46,D$63,D$79,D$94,D$108)/SUM(D$4,D$23,D$41,D$58,D$74,D$89,D$103)</f>
        <v>81769.019871217708</v>
      </c>
      <c r="E183" s="213">
        <f t="shared" ca="1" si="210"/>
        <v>3277540.2263423363</v>
      </c>
      <c r="F183" s="213">
        <f t="shared" ca="1" si="210"/>
        <v>15762433.73746464</v>
      </c>
      <c r="G183" s="213">
        <f t="shared" ca="1" si="210"/>
        <v>1162090.2249192109</v>
      </c>
      <c r="H183" s="213">
        <f t="shared" ca="1" si="210"/>
        <v>4532098.1773145171</v>
      </c>
      <c r="I183" s="213"/>
      <c r="J183" s="213"/>
      <c r="K183" s="213"/>
      <c r="L183" s="213">
        <f t="shared" ref="L183" ca="1" si="211">L178*SUM(L$9,L$28,L$46,L$63,L$79,L$94,L$108)/SUM(L$4,L$23,L$41,L$58,L$74,L$89,L$103)</f>
        <v>2457871.259191161</v>
      </c>
      <c r="M183" s="213">
        <f t="shared" ref="M183:O183" ca="1" si="212">M178*SUM(M$9,M$28,M$46,M$63,M$79,M$94,M$108)/SUM(M$4,M$23,M$41,M$58,M$74,M$89,M$103)</f>
        <v>873918.28013189847</v>
      </c>
      <c r="N183" s="213">
        <f t="shared" ca="1" si="212"/>
        <v>6160917.6886301162</v>
      </c>
      <c r="O183" s="213">
        <f t="shared" ca="1" si="212"/>
        <v>1400190.8415753306</v>
      </c>
    </row>
    <row r="184" spans="1:15">
      <c r="C184" s="205"/>
      <c r="D184" s="205"/>
    </row>
    <row r="185" spans="1:15">
      <c r="A185" s="12">
        <v>2027</v>
      </c>
      <c r="B185" s="12">
        <v>2027</v>
      </c>
      <c r="C185" s="205">
        <f ca="1">OFFSET('CDM-eDSM Framework'!$Z$46,COLUMN()-COLUMN($C$185),0)</f>
        <v>8908379.2602398135</v>
      </c>
      <c r="D185" s="205">
        <f ca="1">OFFSET('CDM-eDSM Framework'!$Z$46,COLUMN()-COLUMN($C$185),0)</f>
        <v>101996.99907518821</v>
      </c>
      <c r="E185" s="205">
        <f ca="1">OFFSET('CDM-eDSM Framework'!$Z$46,COLUMN()-COLUMN($C$185),0)</f>
        <v>3763104.5327369096</v>
      </c>
      <c r="F185" s="205">
        <f ca="1">OFFSET('CDM-eDSM Framework'!$Z$46,COLUMN()-COLUMN($C$185),0)</f>
        <v>18314247.27342445</v>
      </c>
      <c r="G185" s="205">
        <f ca="1">OFFSET('CDM-eDSM Framework'!$Z$46,COLUMN()-COLUMN($C$185),0)</f>
        <v>1406385.7713180725</v>
      </c>
      <c r="H185" s="205">
        <f ca="1">OFFSET('CDM-eDSM Framework'!$Z$46,COLUMN()-COLUMN($C$185),0)</f>
        <v>8617330.0263853911</v>
      </c>
      <c r="L185" s="214">
        <f ca="1">OFFSET('CDM-eDSM Framework'!$AN$46,COLUMN()-COLUMN($L$185),0)</f>
        <v>3442641.5876810364</v>
      </c>
      <c r="M185" s="214">
        <f ca="1">OFFSET('CDM-eDSM Framework'!$AN$46,COLUMN()-COLUMN($L$185),0)</f>
        <v>1046002.2337568032</v>
      </c>
      <c r="N185" s="214">
        <f ca="1">OFFSET('CDM-eDSM Framework'!$AN$46,COLUMN()-COLUMN($L$185),0)</f>
        <v>7290531.6476264531</v>
      </c>
      <c r="O185" s="214">
        <f ca="1">OFFSET('CDM-eDSM Framework'!$AN$46,COLUMN()-COLUMN($L$185),0)</f>
        <v>1662716.9241733048</v>
      </c>
    </row>
    <row r="186" spans="1:15">
      <c r="B186" s="12">
        <v>2028</v>
      </c>
      <c r="C186" s="213">
        <f ca="1">C185*SUM(C$5,C$24,C$42,C$59,C$75,C$90,C$104)/SUM(C$4,C$23,C$41,C$58,C$74,C$89,C$103)</f>
        <v>7949516.9050944643</v>
      </c>
      <c r="D186" s="213">
        <f t="shared" ref="D186:H186" ca="1" si="213">D185*SUM(D$5,D$24,D$42,D$59,D$75,D$90,D$104)/SUM(D$4,D$23,D$41,D$58,D$74,D$89,D$103)</f>
        <v>91018.449566468684</v>
      </c>
      <c r="E186" s="213">
        <f t="shared" ca="1" si="213"/>
        <v>3743337.17880069</v>
      </c>
      <c r="F186" s="213">
        <f t="shared" ca="1" si="213"/>
        <v>18364671.094800398</v>
      </c>
      <c r="G186" s="213">
        <f t="shared" ca="1" si="213"/>
        <v>1403646.4670046121</v>
      </c>
      <c r="H186" s="213">
        <f t="shared" ca="1" si="213"/>
        <v>8219433.9197102636</v>
      </c>
      <c r="I186" s="213"/>
      <c r="J186" s="213"/>
      <c r="K186" s="213"/>
      <c r="L186" s="213">
        <f t="shared" ref="L186" ca="1" si="214">L185*SUM(L$5,L$24,L$42,L$59,L$75,L$90,L$104)/SUM(L$4,L$23,L$41,L$58,L$74,L$89,L$103)</f>
        <v>3096804.620080004</v>
      </c>
      <c r="M186" s="213">
        <f t="shared" ref="M186" ca="1" si="215">M185*SUM(M$5,M$24,M$42,M$59,M$75,M$90,M$104)/SUM(M$4,M$23,M$41,M$58,M$74,M$89,M$103)</f>
        <v>1038782.68651294</v>
      </c>
      <c r="N186" s="213">
        <f t="shared" ref="N186" ca="1" si="216">N185*SUM(N$5,N$24,N$42,N$59,N$75,N$90,N$104)/SUM(N$4,N$23,N$41,N$58,N$74,N$89,N$103)</f>
        <v>7364042.7262724116</v>
      </c>
      <c r="O186" s="213">
        <f t="shared" ref="O186" ca="1" si="217">O185*SUM(O$5,O$24,O$42,O$59,O$75,O$90,O$104)/SUM(O$4,O$23,O$41,O$58,O$74,O$89,O$103)</f>
        <v>1679482.2467158197</v>
      </c>
    </row>
    <row r="187" spans="1:15">
      <c r="B187" s="12">
        <v>2029</v>
      </c>
      <c r="C187" s="213">
        <f ca="1">C185*SUM(C$6,C$25,C$43,C$60,C$76,C$91,C$105)/SUM(C$4,C$23,C$41,C$58,C$74,C$89,C$103)</f>
        <v>7900537.7987452503</v>
      </c>
      <c r="D187" s="213">
        <f t="shared" ref="D187:H187" ca="1" si="218">D185*SUM(D$6,D$25,D$43,D$60,D$76,D$91,D$105)/SUM(D$4,D$23,D$41,D$58,D$74,D$89,D$103)</f>
        <v>90457.660480253951</v>
      </c>
      <c r="E187" s="213">
        <f t="shared" ca="1" si="218"/>
        <v>3691022.541285322</v>
      </c>
      <c r="F187" s="213">
        <f t="shared" ca="1" si="218"/>
        <v>18293963.606953599</v>
      </c>
      <c r="G187" s="213">
        <f t="shared" ca="1" si="218"/>
        <v>1402721.2706767116</v>
      </c>
      <c r="H187" s="213">
        <f t="shared" ca="1" si="218"/>
        <v>6991183.9669709625</v>
      </c>
      <c r="I187" s="213"/>
      <c r="J187" s="213"/>
      <c r="K187" s="213"/>
      <c r="L187" s="213">
        <f t="shared" ref="L187" ca="1" si="219">L185*SUM(L$6,L$25,L$43,L$60,L$76,L$91,L$105)/SUM(L$4,L$23,L$41,L$58,L$74,L$89,L$103)</f>
        <v>3082065.0498808278</v>
      </c>
      <c r="M187" s="213">
        <f t="shared" ref="M187:O187" ca="1" si="220">M185*SUM(M$6,M$25,M$43,M$60,M$76,M$91,M$105)/SUM(M$4,M$23,M$41,M$58,M$74,M$89,M$103)</f>
        <v>982367.85918847984</v>
      </c>
      <c r="N187" s="213">
        <f t="shared" ca="1" si="220"/>
        <v>7360735.5291793561</v>
      </c>
      <c r="O187" s="213">
        <f t="shared" ca="1" si="220"/>
        <v>1678727.9899833919</v>
      </c>
    </row>
    <row r="188" spans="1:15">
      <c r="B188" s="12">
        <v>2030</v>
      </c>
      <c r="C188" s="213">
        <f ca="1">C185*SUM(C$7,C$26,C$44,C$61,C$77,C$92,C$106)/SUM(C$4,C$23,C$41,C$58,C$74,C$89,C$103)</f>
        <v>7895538.9281454375</v>
      </c>
      <c r="D188" s="213">
        <f t="shared" ref="D188:H188" ca="1" si="221">D185*SUM(D$7,D$26,D$44,D$61,D$77,D$92,D$106)/SUM(D$4,D$23,D$41,D$58,D$74,D$89,D$103)</f>
        <v>90400.425624726209</v>
      </c>
      <c r="E188" s="213">
        <f t="shared" ca="1" si="221"/>
        <v>3583773.8705024715</v>
      </c>
      <c r="F188" s="213">
        <f t="shared" ca="1" si="221"/>
        <v>18221233.945582084</v>
      </c>
      <c r="G188" s="213">
        <f t="shared" ca="1" si="221"/>
        <v>1402773.8366222156</v>
      </c>
      <c r="H188" s="213">
        <f t="shared" ca="1" si="221"/>
        <v>6862782.2640214227</v>
      </c>
      <c r="I188" s="213"/>
      <c r="J188" s="213"/>
      <c r="K188" s="213"/>
      <c r="L188" s="213">
        <f t="shared" ref="L188" ca="1" si="222">L185*SUM(L$7,L$26,L$44,L$61,L$77,L$92,L$106)/SUM(L$4,L$23,L$41,L$58,L$74,L$89,L$103)</f>
        <v>2738955.9861133797</v>
      </c>
      <c r="M188" s="213">
        <f t="shared" ref="M188:O188" ca="1" si="223">M185*SUM(M$7,M$26,M$44,M$61,M$77,M$92,M$106)/SUM(M$4,M$23,M$41,M$58,M$74,M$89,M$103)</f>
        <v>944368.64974019642</v>
      </c>
      <c r="N188" s="213">
        <f t="shared" ca="1" si="223"/>
        <v>7352986.4128394239</v>
      </c>
      <c r="O188" s="213">
        <f t="shared" ca="1" si="223"/>
        <v>1676960.6858266385</v>
      </c>
    </row>
    <row r="189" spans="1:15">
      <c r="B189" s="12">
        <v>2031</v>
      </c>
      <c r="C189" s="213">
        <f ca="1">C185*SUM(C$8,C$27,C$45,C$62,C$78,C$93,C$107)/SUM(C$4,C$23,C$41,C$58,C$74,C$89,C$103)</f>
        <v>7871214.7808427447</v>
      </c>
      <c r="D189" s="213">
        <f t="shared" ref="D189:H189" ca="1" si="224">D185*SUM(D$8,D$27,D$45,D$62,D$78,D$93,D$107)/SUM(D$4,D$23,D$41,D$58,D$74,D$89,D$103)</f>
        <v>90121.924905632361</v>
      </c>
      <c r="E189" s="213">
        <f t="shared" ca="1" si="224"/>
        <v>3501352.365886745</v>
      </c>
      <c r="F189" s="213">
        <f t="shared" ca="1" si="224"/>
        <v>18085577.364118923</v>
      </c>
      <c r="G189" s="213">
        <f t="shared" ca="1" si="224"/>
        <v>1402773.8366222156</v>
      </c>
      <c r="H189" s="213">
        <f t="shared" ca="1" si="224"/>
        <v>6837694.0197019679</v>
      </c>
      <c r="I189" s="213"/>
      <c r="J189" s="213"/>
      <c r="K189" s="213"/>
      <c r="L189" s="213">
        <f ca="1">L185*SUM(L$8,L$27,L$45,L$62,L$78,L$93,L$107)/SUM(L$4,L$23,L$41,L$58,L$74,L$89,L$103)</f>
        <v>2715976.2624782878</v>
      </c>
      <c r="M189" s="213">
        <f t="shared" ref="M189:O189" ca="1" si="225">M185*SUM(M$8,M$27,M$45,M$62,M$78,M$93,M$107)/SUM(M$4,M$23,M$41,M$58,M$74,M$89,M$103)</f>
        <v>937088.64401720872</v>
      </c>
      <c r="N189" s="213">
        <f t="shared" ca="1" si="225"/>
        <v>7231749.4008582151</v>
      </c>
      <c r="O189" s="213">
        <f t="shared" ca="1" si="225"/>
        <v>1649310.7363578661</v>
      </c>
    </row>
    <row r="190" spans="1:15">
      <c r="E190" s="12"/>
      <c r="F190" s="12"/>
      <c r="G190" s="12"/>
      <c r="H190" s="12"/>
    </row>
    <row r="191" spans="1:15">
      <c r="A191" s="12">
        <v>2028</v>
      </c>
      <c r="B191" s="12">
        <v>2028</v>
      </c>
      <c r="C191" s="205">
        <f ca="1">OFFSET('CDM-eDSM Framework'!$AA$46,COLUMN()-COLUMN($C$191),0)</f>
        <v>9595810.2523290943</v>
      </c>
      <c r="D191" s="205">
        <f ca="1">OFFSET('CDM-eDSM Framework'!$AA$46,COLUMN()-COLUMN($C$191),0)</f>
        <v>109867.99188786857</v>
      </c>
      <c r="E191" s="205">
        <f ca="1">OFFSET('CDM-eDSM Framework'!$AA$46,COLUMN()-COLUMN($C$191),0)</f>
        <v>3944908.4751497824</v>
      </c>
      <c r="F191" s="205">
        <f ca="1">OFFSET('CDM-eDSM Framework'!$AA$46,COLUMN()-COLUMN($C$191),0)</f>
        <v>19290310.718890689</v>
      </c>
      <c r="G191" s="205">
        <f ca="1">OFFSET('CDM-eDSM Framework'!$AA$46,COLUMN()-COLUMN($C$191),0)</f>
        <v>1496274.5101741732</v>
      </c>
      <c r="H191" s="205">
        <f ca="1">OFFSET('CDM-eDSM Framework'!$AA$46,COLUMN()-COLUMN($C$191),0)</f>
        <v>9300429.2153545115</v>
      </c>
      <c r="I191" s="206"/>
      <c r="J191" s="206"/>
      <c r="K191" s="206"/>
      <c r="L191" s="206">
        <f ca="1">OFFSET('CDM-eDSM Framework'!$AO$46,COLUMN()-COLUMN($L$191),0)</f>
        <v>3711070.9734080224</v>
      </c>
      <c r="M191" s="206">
        <f ca="1">OFFSET('CDM-eDSM Framework'!$AO$46,COLUMN()-COLUMN($L$191),0)</f>
        <v>1101015.3016012113</v>
      </c>
      <c r="N191" s="206">
        <f ca="1">OFFSET('CDM-eDSM Framework'!$AO$46,COLUMN()-COLUMN($L$191),0)</f>
        <v>7701949.1142318752</v>
      </c>
      <c r="O191" s="206">
        <f ca="1">OFFSET('CDM-eDSM Framework'!$AO$46,COLUMN()-COLUMN($L$191),0)</f>
        <v>1757397.8937777206</v>
      </c>
    </row>
    <row r="192" spans="1:15">
      <c r="B192" s="12">
        <v>2029</v>
      </c>
      <c r="C192" s="213">
        <f ca="1">C191*SUM(C$5,C$24,C$42,C$59,C$75,C$90,C$104)/SUM(C$4,C$23,C$41,C$58,C$74,C$89,C$103)</f>
        <v>8562955.5714397598</v>
      </c>
      <c r="D192" s="213">
        <f t="shared" ref="D192:H192" ca="1" si="226">D191*SUM(D$5,D$24,D$42,D$59,D$75,D$90,D$104)/SUM(D$4,D$23,D$41,D$58,D$74,D$89,D$103)</f>
        <v>98042.240156923974</v>
      </c>
      <c r="E192" s="213">
        <f t="shared" ca="1" si="226"/>
        <v>3924186.1164175458</v>
      </c>
      <c r="F192" s="213">
        <f t="shared" ca="1" si="226"/>
        <v>19343421.893347055</v>
      </c>
      <c r="G192" s="213">
        <f t="shared" ca="1" si="226"/>
        <v>1493360.1240196549</v>
      </c>
      <c r="H192" s="213">
        <f t="shared" ca="1" si="226"/>
        <v>8870991.725567501</v>
      </c>
      <c r="I192" s="213"/>
      <c r="J192" s="213"/>
      <c r="K192" s="213"/>
      <c r="L192" s="213">
        <f t="shared" ref="L192" ca="1" si="227">L191*SUM(L$5,L$24,L$42,L$59,L$75,L$90,L$104)/SUM(L$4,L$23,L$41,L$58,L$74,L$89,L$103)</f>
        <v>3338268.4323046487</v>
      </c>
      <c r="M192" s="213">
        <f t="shared" ref="M192" ca="1" si="228">M191*SUM(M$5,M$24,M$42,M$59,M$75,M$90,M$104)/SUM(M$4,M$23,M$41,M$58,M$74,M$89,M$103)</f>
        <v>1093416.0520684666</v>
      </c>
      <c r="N192" s="213">
        <f t="shared" ref="N192" ca="1" si="229">N191*SUM(N$5,N$24,N$42,N$59,N$75,N$90,N$104)/SUM(N$4,N$23,N$41,N$58,N$74,N$89,N$103)</f>
        <v>7779608.5517638158</v>
      </c>
      <c r="O192" s="213">
        <f t="shared" ref="O192" ca="1" si="230">O191*SUM(O$5,O$24,O$42,O$59,O$75,O$90,O$104)/SUM(O$4,O$23,O$41,O$58,O$74,O$89,O$103)</f>
        <v>1775117.892952787</v>
      </c>
    </row>
    <row r="193" spans="1:15">
      <c r="B193" s="12">
        <v>2030</v>
      </c>
      <c r="C193" s="213">
        <f ca="1">C191*SUM(C$6,C$25,C$43,C$60,C$76,C$91,C$105)/SUM(C$4,C$23,C$41,C$58,C$74,C$89,C$103)</f>
        <v>8510196.9048938248</v>
      </c>
      <c r="D193" s="213">
        <f t="shared" ref="D193:H193" ca="1" si="231">D191*SUM(D$6,D$25,D$43,D$60,D$76,D$91,D$105)/SUM(D$4,D$23,D$41,D$58,D$74,D$89,D$103)</f>
        <v>97438.175612538442</v>
      </c>
      <c r="E193" s="213">
        <f t="shared" ca="1" si="231"/>
        <v>3869344.0425093132</v>
      </c>
      <c r="F193" s="213">
        <f t="shared" ca="1" si="231"/>
        <v>19268946.028172065</v>
      </c>
      <c r="G193" s="213">
        <f t="shared" ca="1" si="231"/>
        <v>1492375.7940366755</v>
      </c>
      <c r="H193" s="213">
        <f t="shared" ca="1" si="231"/>
        <v>7545377.9090793831</v>
      </c>
      <c r="I193" s="213"/>
      <c r="J193" s="213"/>
      <c r="K193" s="213"/>
      <c r="L193" s="213">
        <f t="shared" ref="L193" ca="1" si="232">L191*SUM(L$6,L$25,L$43,L$60,L$76,L$91,L$105)/SUM(L$4,L$23,L$41,L$58,L$74,L$89,L$103)</f>
        <v>3322379.5894688428</v>
      </c>
      <c r="M193" s="213">
        <f t="shared" ref="M193:O193" ca="1" si="233">M191*SUM(M$6,M$25,M$43,M$60,M$76,M$91,M$105)/SUM(M$4,M$23,M$41,M$58,M$74,M$89,M$103)</f>
        <v>1034034.1634673928</v>
      </c>
      <c r="N193" s="213">
        <f t="shared" ca="1" si="233"/>
        <v>7776114.7237478904</v>
      </c>
      <c r="O193" s="213">
        <f t="shared" ca="1" si="233"/>
        <v>1774320.6861801457</v>
      </c>
    </row>
    <row r="194" spans="1:15">
      <c r="B194" s="12">
        <v>2031</v>
      </c>
      <c r="C194" s="213">
        <f ca="1">C191*SUM(C$7,C$26,C$44,C$61,C$77,C$92,C$106)/SUM(C$4,C$23,C$41,C$58,C$74,C$89,C$103)</f>
        <v>8504812.2875183802</v>
      </c>
      <c r="D194" s="213">
        <f t="shared" ref="D194:H194" ca="1" si="234">D191*SUM(D$7,D$26,D$44,D$61,D$77,D$92,D$106)/SUM(D$4,D$23,D$41,D$58,D$74,D$89,D$103)</f>
        <v>97376.524008081047</v>
      </c>
      <c r="E194" s="213">
        <f t="shared" ca="1" si="234"/>
        <v>3756913.9501110809</v>
      </c>
      <c r="F194" s="213">
        <f t="shared" ca="1" si="234"/>
        <v>19192340.217111949</v>
      </c>
      <c r="G194" s="213">
        <f t="shared" ca="1" si="234"/>
        <v>1492431.7197193471</v>
      </c>
      <c r="H194" s="213">
        <f t="shared" ca="1" si="234"/>
        <v>7406797.7519127568</v>
      </c>
      <c r="I194" s="213"/>
      <c r="J194" s="213"/>
      <c r="K194" s="213"/>
      <c r="L194" s="213">
        <f t="shared" ref="L194" ca="1" si="235">L191*SUM(L$7,L$26,L$44,L$61,L$77,L$92,L$106)/SUM(L$4,L$23,L$41,L$58,L$74,L$89,L$103)</f>
        <v>2952517.6521074595</v>
      </c>
      <c r="M194" s="213">
        <f t="shared" ref="M194:O194" ca="1" si="236">M191*SUM(M$7,M$26,M$44,M$61,M$77,M$92,M$106)/SUM(M$4,M$23,M$41,M$58,M$74,M$89,M$103)</f>
        <v>994036.43717091472</v>
      </c>
      <c r="N194" s="213">
        <f t="shared" ca="1" si="236"/>
        <v>7767928.3112041838</v>
      </c>
      <c r="O194" s="213">
        <f t="shared" ca="1" si="236"/>
        <v>1772452.7454876632</v>
      </c>
    </row>
    <row r="195" spans="1:15">
      <c r="E195" s="12"/>
      <c r="F195" s="12"/>
      <c r="G195" s="12"/>
      <c r="H195" s="12"/>
    </row>
    <row r="196" spans="1:15">
      <c r="A196" s="12">
        <v>2029</v>
      </c>
      <c r="B196" s="12">
        <v>2029</v>
      </c>
      <c r="C196" s="205">
        <f ca="1">OFFSET('CDM-eDSM Framework'!$AB$46,COLUMN()-COLUMN($C$196),0)</f>
        <v>10313923.366200062</v>
      </c>
      <c r="D196" s="205">
        <f ca="1">OFFSET('CDM-eDSM Framework'!$AB$46,COLUMN()-COLUMN($C$196),0)</f>
        <v>118090.36966661182</v>
      </c>
      <c r="E196" s="205">
        <f ca="1">OFFSET('CDM-eDSM Framework'!$AB$46,COLUMN()-COLUMN($C$196),0)</f>
        <v>4114361.4357236978</v>
      </c>
      <c r="F196" s="205">
        <f ca="1">OFFSET('CDM-eDSM Framework'!$AB$46,COLUMN()-COLUMN($C$196),0)</f>
        <v>20219134.869758487</v>
      </c>
      <c r="G196" s="205">
        <f ca="1">OFFSET('CDM-eDSM Framework'!$AB$46,COLUMN()-COLUMN($C$196),0)</f>
        <v>1584790.3425517669</v>
      </c>
      <c r="H196" s="205">
        <f ca="1">OFFSET('CDM-eDSM Framework'!$AB$46,COLUMN()-COLUMN($C$196),0)</f>
        <v>9988917.7306717951</v>
      </c>
      <c r="I196" s="206"/>
      <c r="J196" s="206"/>
      <c r="K196" s="206"/>
      <c r="L196" s="206">
        <f ca="1">OFFSET('CDM-eDSM Framework'!$AP$46,COLUMN()-COLUMN($L$196),0)</f>
        <v>3711070.9734080224</v>
      </c>
      <c r="M196" s="206">
        <f ca="1">OFFSET('CDM-eDSM Framework'!$AP$46,COLUMN()-COLUMN($L$196),0)</f>
        <v>1101015.3016012113</v>
      </c>
      <c r="N196" s="206">
        <f ca="1">OFFSET('CDM-eDSM Framework'!$AP$46,COLUMN()-COLUMN($L$196),0)</f>
        <v>7701949.1142318752</v>
      </c>
      <c r="O196" s="206">
        <f ca="1">OFFSET('CDM-eDSM Framework'!$AP$46,COLUMN()-COLUMN($L$196),0)</f>
        <v>1757397.8937777206</v>
      </c>
    </row>
    <row r="197" spans="1:15">
      <c r="B197" s="12">
        <v>2030</v>
      </c>
      <c r="C197" s="213">
        <f ca="1">C196*SUM(C$5,C$24,C$42,C$59,C$75,C$90,C$104)/SUM(C$4,C$23,C$41,C$58,C$74,C$89,C$103)</f>
        <v>9203773.8585513495</v>
      </c>
      <c r="D197" s="213">
        <f t="shared" ref="D197:H197" ca="1" si="237">D196*SUM(D$5,D$24,D$42,D$59,D$75,D$90,D$104)/SUM(D$4,D$23,D$41,D$58,D$74,D$89,D$103)</f>
        <v>105379.59403945647</v>
      </c>
      <c r="E197" s="213">
        <f t="shared" ca="1" si="237"/>
        <v>4092748.9511344559</v>
      </c>
      <c r="F197" s="213">
        <f t="shared" ca="1" si="237"/>
        <v>20274803.335397713</v>
      </c>
      <c r="G197" s="213">
        <f t="shared" ca="1" si="237"/>
        <v>1581703.5486508207</v>
      </c>
      <c r="H197" s="213">
        <f t="shared" ca="1" si="237"/>
        <v>9527690.0113245286</v>
      </c>
      <c r="I197" s="213"/>
      <c r="J197" s="213"/>
      <c r="K197" s="213"/>
      <c r="L197" s="213">
        <f t="shared" ref="L197" ca="1" si="238">L196*SUM(L$5,L$24,L$42,L$59,L$75,L$90,L$104)/SUM(L$4,L$23,L$41,L$58,L$74,L$89,L$103)</f>
        <v>3338268.4323046487</v>
      </c>
      <c r="M197" s="213">
        <f t="shared" ref="M197" ca="1" si="239">M196*SUM(M$5,M$24,M$42,M$59,M$75,M$90,M$104)/SUM(M$4,M$23,M$41,M$58,M$74,M$89,M$103)</f>
        <v>1093416.0520684666</v>
      </c>
      <c r="N197" s="213">
        <f t="shared" ref="N197" ca="1" si="240">N196*SUM(N$5,N$24,N$42,N$59,N$75,N$90,N$104)/SUM(N$4,N$23,N$41,N$58,N$74,N$89,N$103)</f>
        <v>7779608.5517638158</v>
      </c>
      <c r="O197" s="213">
        <f t="shared" ref="O197" ca="1" si="241">O196*SUM(O$5,O$24,O$42,O$59,O$75,O$90,O$104)/SUM(O$4,O$23,O$41,O$58,O$74,O$89,O$103)</f>
        <v>1775117.892952787</v>
      </c>
    </row>
    <row r="198" spans="1:15">
      <c r="B198" s="12">
        <v>2031</v>
      </c>
      <c r="C198" s="213">
        <f ca="1">C196*SUM(C$6,C$25,C$43,C$60,C$76,C$91,C$105)/SUM(C$4,C$23,C$41,C$58,C$74,C$89,C$103)</f>
        <v>9147066.9386197478</v>
      </c>
      <c r="D198" s="213">
        <f t="shared" ref="D198:H198" ca="1" si="242">D196*SUM(D$6,D$25,D$43,D$60,D$76,D$91,D$105)/SUM(D$4,D$23,D$41,D$58,D$74,D$89,D$103)</f>
        <v>104730.32208933486</v>
      </c>
      <c r="E198" s="213">
        <f t="shared" ca="1" si="242"/>
        <v>4035551.1440460226</v>
      </c>
      <c r="F198" s="213">
        <f t="shared" ca="1" si="242"/>
        <v>20196741.473955512</v>
      </c>
      <c r="G198" s="213">
        <f t="shared" ca="1" si="242"/>
        <v>1580660.9881846074</v>
      </c>
      <c r="H198" s="213">
        <f t="shared" ca="1" si="242"/>
        <v>8103944.1767042568</v>
      </c>
      <c r="I198" s="213"/>
      <c r="J198" s="213"/>
      <c r="K198" s="213"/>
      <c r="L198" s="213">
        <f t="shared" ref="L198" ca="1" si="243">L196*SUM(L$6,L$25,L$43,L$60,L$76,L$91,L$105)/SUM(L$4,L$23,L$41,L$58,L$74,L$89,L$103)</f>
        <v>3322379.5894688428</v>
      </c>
      <c r="M198" s="213">
        <f t="shared" ref="M198:O198" ca="1" si="244">M196*SUM(M$6,M$25,M$43,M$60,M$76,M$91,M$105)/SUM(M$4,M$23,M$41,M$58,M$74,M$89,M$103)</f>
        <v>1034034.1634673928</v>
      </c>
      <c r="N198" s="213">
        <f t="shared" ca="1" si="244"/>
        <v>7776114.7237478904</v>
      </c>
      <c r="O198" s="213">
        <f t="shared" ca="1" si="244"/>
        <v>1774320.6861801457</v>
      </c>
    </row>
    <row r="199" spans="1:15">
      <c r="E199" s="12"/>
      <c r="F199" s="12"/>
      <c r="G199" s="12"/>
      <c r="H199" s="12"/>
    </row>
    <row r="200" spans="1:15">
      <c r="A200" s="12">
        <v>2030</v>
      </c>
      <c r="B200" s="12">
        <v>2030</v>
      </c>
      <c r="C200" s="205">
        <f ca="1">OFFSET('CDM-eDSM Framework'!$AC$46,COLUMN()-COLUMN($C$200),0)</f>
        <v>11032036.480071029</v>
      </c>
      <c r="D200" s="205">
        <f ca="1">OFFSET('CDM-eDSM Framework'!$AC$46,COLUMN()-COLUMN($C$200),0)</f>
        <v>126312.74744535505</v>
      </c>
      <c r="E200" s="205">
        <f ca="1">OFFSET('CDM-eDSM Framework'!$AC$46,COLUMN()-COLUMN($C$200),0)</f>
        <v>4283814.3962976122</v>
      </c>
      <c r="F200" s="205">
        <f ca="1">OFFSET('CDM-eDSM Framework'!$AC$46,COLUMN()-COLUMN($C$200),0)</f>
        <v>21147959.02062628</v>
      </c>
      <c r="G200" s="205">
        <f ca="1">OFFSET('CDM-eDSM Framework'!$AC$46,COLUMN()-COLUMN($C$200),0)</f>
        <v>1673306.1749293609</v>
      </c>
      <c r="H200" s="205">
        <f ca="1">OFFSET('CDM-eDSM Framework'!$AC$46,COLUMN()-COLUMN($C$200),0)</f>
        <v>10677406.245989081</v>
      </c>
      <c r="I200" s="206"/>
      <c r="J200" s="206"/>
      <c r="K200" s="206"/>
      <c r="L200" s="206">
        <f ca="1">OFFSET('CDM-eDSM Framework'!$AQ$46,COLUMN()-COLUMN($L$200),0)</f>
        <v>3711070.9734080224</v>
      </c>
      <c r="M200" s="206">
        <f ca="1">OFFSET('CDM-eDSM Framework'!$AQ$46,COLUMN()-COLUMN($L$200),0)</f>
        <v>1101015.3016012113</v>
      </c>
      <c r="N200" s="206">
        <f ca="1">OFFSET('CDM-eDSM Framework'!$AQ$46,COLUMN()-COLUMN($L$200),0)</f>
        <v>7701949.1142318752</v>
      </c>
      <c r="O200" s="206">
        <f ca="1">OFFSET('CDM-eDSM Framework'!$AQ$46,COLUMN()-COLUMN($L$200),0)</f>
        <v>1757397.8937777206</v>
      </c>
    </row>
    <row r="201" spans="1:15">
      <c r="B201" s="12">
        <v>2031</v>
      </c>
      <c r="C201" s="213">
        <f ca="1">C200*SUM(C$5,C$24,C$42,C$59,C$75,C$90,C$104)/SUM(C$4,C$23,C$41,C$58,C$74,C$89,C$103)</f>
        <v>9844592.1456629373</v>
      </c>
      <c r="D201" s="213">
        <f t="shared" ref="D201:H201" ca="1" si="245">D200*SUM(D$5,D$24,D$42,D$59,D$75,D$90,D$104)/SUM(D$4,D$23,D$41,D$58,D$74,D$89,D$103)</f>
        <v>112716.94792198895</v>
      </c>
      <c r="E201" s="213">
        <f t="shared" ca="1" si="245"/>
        <v>4261311.785851364</v>
      </c>
      <c r="F201" s="213">
        <f t="shared" ca="1" si="245"/>
        <v>21206184.777448364</v>
      </c>
      <c r="G201" s="213">
        <f t="shared" ca="1" si="245"/>
        <v>1670046.9732819863</v>
      </c>
      <c r="H201" s="213">
        <f t="shared" ca="1" si="245"/>
        <v>10184388.297081556</v>
      </c>
      <c r="I201" s="213"/>
      <c r="J201" s="213"/>
      <c r="K201" s="213"/>
      <c r="L201" s="213">
        <f t="shared" ref="L201" ca="1" si="246">L200*SUM(L$5,L$24,L$42,L$59,L$75,L$90,L$104)/SUM(L$4,L$23,L$41,L$58,L$74,L$89,L$103)</f>
        <v>3338268.4323046487</v>
      </c>
      <c r="M201" s="213">
        <f t="shared" ref="M201" ca="1" si="247">M200*SUM(M$5,M$24,M$42,M$59,M$75,M$90,M$104)/SUM(M$4,M$23,M$41,M$58,M$74,M$89,M$103)</f>
        <v>1093416.0520684666</v>
      </c>
      <c r="N201" s="213">
        <f t="shared" ref="N201" ca="1" si="248">N200*SUM(N$5,N$24,N$42,N$59,N$75,N$90,N$104)/SUM(N$4,N$23,N$41,N$58,N$74,N$89,N$103)</f>
        <v>7779608.5517638158</v>
      </c>
      <c r="O201" s="213">
        <f t="shared" ref="O201" ca="1" si="249">O200*SUM(O$5,O$24,O$42,O$59,O$75,O$90,O$104)/SUM(O$4,O$23,O$41,O$58,O$74,O$89,O$103)</f>
        <v>1775117.892952787</v>
      </c>
    </row>
    <row r="202" spans="1:15">
      <c r="E202" s="12"/>
      <c r="F202" s="12"/>
      <c r="G202" s="12"/>
      <c r="H202" s="12"/>
    </row>
    <row r="203" spans="1:15">
      <c r="A203" s="12">
        <v>2031</v>
      </c>
      <c r="B203" s="12">
        <v>2031</v>
      </c>
      <c r="C203" s="205">
        <f ca="1">OFFSET('CDM-eDSM Framework'!$AD$46,COLUMN()-COLUMN($C$203),0)</f>
        <v>11750149.593941996</v>
      </c>
      <c r="D203" s="205">
        <f ca="1">OFFSET('CDM-eDSM Framework'!$AD$46,COLUMN()-COLUMN($C$203),0)</f>
        <v>134535.12522409833</v>
      </c>
      <c r="E203" s="205">
        <f ca="1">OFFSET('CDM-eDSM Framework'!$AD$46,COLUMN()-COLUMN($C$203),0)</f>
        <v>4453267.3568715286</v>
      </c>
      <c r="F203" s="205">
        <f ca="1">OFFSET('CDM-eDSM Framework'!$AD$46,COLUMN()-COLUMN($C$203),0)</f>
        <v>22076783.171494082</v>
      </c>
      <c r="G203" s="205">
        <f ca="1">OFFSET('CDM-eDSM Framework'!$AD$46,COLUMN()-COLUMN($C$203),0)</f>
        <v>1761822.0073069546</v>
      </c>
      <c r="H203" s="205">
        <f ca="1">OFFSET('CDM-eDSM Framework'!$AD$46,COLUMN()-COLUMN($C$203),0)</f>
        <v>11365894.761306366</v>
      </c>
      <c r="I203" s="206"/>
      <c r="J203" s="206"/>
      <c r="K203" s="206"/>
      <c r="L203" s="206">
        <f ca="1">OFFSET('CDM-eDSM Framework'!$AR$46,COLUMN()-COLUMN($L$203),0)</f>
        <v>3711070.9734080224</v>
      </c>
      <c r="M203" s="206">
        <f ca="1">OFFSET('CDM-eDSM Framework'!$AR$46,COLUMN()-COLUMN($L$203),0)</f>
        <v>1101015.3016012113</v>
      </c>
      <c r="N203" s="206">
        <f ca="1">OFFSET('CDM-eDSM Framework'!$AR$46,COLUMN()-COLUMN($L$203),0)</f>
        <v>7701949.1142318752</v>
      </c>
      <c r="O203" s="206">
        <f ca="1">OFFSET('CDM-eDSM Framework'!$AR$46,COLUMN()-COLUMN($L$203),0)</f>
        <v>1757397.8937777206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D1EA2-2492-4716-9220-73436488F0C2}">
  <sheetPr codeName="Sheet10">
    <tabColor theme="9" tint="0.79998168889431442"/>
  </sheetPr>
  <dimension ref="A1:AF122"/>
  <sheetViews>
    <sheetView topLeftCell="R109" workbookViewId="0">
      <selection activeCell="Y24" sqref="Y24"/>
    </sheetView>
  </sheetViews>
  <sheetFormatPr defaultRowHeight="14.5"/>
  <cols>
    <col min="4" max="4" width="28.54296875" customWidth="1"/>
    <col min="13" max="13" width="13.81640625" bestFit="1" customWidth="1"/>
    <col min="14" max="15" width="11.1796875" bestFit="1" customWidth="1"/>
    <col min="16" max="18" width="10.1796875" bestFit="1" customWidth="1"/>
    <col min="19" max="20" width="11.1796875" bestFit="1" customWidth="1"/>
    <col min="21" max="23" width="12.54296875" customWidth="1"/>
    <col min="24" max="24" width="10.453125" bestFit="1" customWidth="1"/>
    <col min="28" max="28" width="15.81640625" customWidth="1"/>
    <col min="29" max="29" width="16.81640625" customWidth="1"/>
    <col min="30" max="30" width="12.81640625" bestFit="1" customWidth="1"/>
    <col min="31" max="31" width="13.81640625" bestFit="1" customWidth="1"/>
    <col min="32" max="32" width="8.81640625" bestFit="1" customWidth="1"/>
  </cols>
  <sheetData>
    <row r="1" spans="1:32">
      <c r="A1" s="541" t="str">
        <f>'Monthly Data'!A1</f>
        <v>Date</v>
      </c>
      <c r="B1" s="541" t="str">
        <f>'Monthly Data'!B1</f>
        <v>Year</v>
      </c>
      <c r="C1" s="541" t="str">
        <f>'Monthly Data'!C1</f>
        <v>Month</v>
      </c>
      <c r="D1" s="541" t="str">
        <f>'Monthly Data'!F1</f>
        <v>VRZ_ResidentialkWh_No_CDM</v>
      </c>
      <c r="E1" s="541" t="str">
        <f>'Monthly Data'!CN1</f>
        <v>HDD20</v>
      </c>
      <c r="F1" s="541" t="str">
        <f>'Monthly Data'!CS1</f>
        <v>CDD16</v>
      </c>
      <c r="G1" s="543" t="str">
        <f>'Monthly Data'!EM1</f>
        <v>CovHDD20</v>
      </c>
      <c r="H1" s="543" t="str">
        <f>'Monthly Data'!ER1</f>
        <v>CovCDD16</v>
      </c>
      <c r="I1" s="543" t="str">
        <f>'Monthly Data'!EG1</f>
        <v>Shoulder</v>
      </c>
      <c r="J1" s="541" t="str">
        <f>'Monthly Data'!DQ1</f>
        <v>Month Days</v>
      </c>
      <c r="K1" s="543" t="str">
        <f>'Monthly Data'!EH1</f>
        <v>Trend</v>
      </c>
      <c r="L1" s="543"/>
      <c r="M1" s="543" t="str">
        <f>AB9</f>
        <v>const</v>
      </c>
      <c r="N1" s="541" t="str">
        <f>E1</f>
        <v>HDD20</v>
      </c>
      <c r="O1" s="541" t="str">
        <f t="shared" ref="O1:T1" si="0">F1</f>
        <v>CDD16</v>
      </c>
      <c r="P1" s="541" t="str">
        <f t="shared" si="0"/>
        <v>CovHDD20</v>
      </c>
      <c r="Q1" s="541" t="str">
        <f t="shared" si="0"/>
        <v>CovCDD16</v>
      </c>
      <c r="R1" s="541" t="str">
        <f t="shared" si="0"/>
        <v>Shoulder</v>
      </c>
      <c r="S1" s="541" t="str">
        <f t="shared" si="0"/>
        <v>Month Days</v>
      </c>
      <c r="T1" s="541" t="str">
        <f t="shared" si="0"/>
        <v>Trend</v>
      </c>
      <c r="U1" s="541" t="s">
        <v>293</v>
      </c>
      <c r="V1" s="541" t="s">
        <v>294</v>
      </c>
      <c r="W1" s="541" t="s">
        <v>295</v>
      </c>
      <c r="X1" s="543" t="s">
        <v>296</v>
      </c>
    </row>
    <row r="2" spans="1:32">
      <c r="A2" s="2">
        <f>'Monthly Data'!A2</f>
        <v>42370</v>
      </c>
      <c r="B2">
        <f>'Monthly Data'!B2</f>
        <v>2016</v>
      </c>
      <c r="C2">
        <f>'Monthly Data'!C2</f>
        <v>1</v>
      </c>
      <c r="D2" s="3">
        <f>'Monthly Data'!F2</f>
        <v>85376415.042292222</v>
      </c>
      <c r="E2" s="3">
        <f>'Monthly Data'!CN2</f>
        <v>737.87916666666683</v>
      </c>
      <c r="F2" s="3">
        <f>'Monthly Data'!CS2</f>
        <v>0</v>
      </c>
      <c r="G2" s="3">
        <f>'Monthly Data'!EM2</f>
        <v>0</v>
      </c>
      <c r="H2" s="3">
        <f>'Monthly Data'!ER2</f>
        <v>0</v>
      </c>
      <c r="I2" s="3">
        <f>'Monthly Data'!EG2</f>
        <v>0</v>
      </c>
      <c r="J2" s="3">
        <f>'Monthly Data'!DQ2</f>
        <v>31</v>
      </c>
      <c r="K2" s="3">
        <f>'Monthly Data'!EH2</f>
        <v>1</v>
      </c>
      <c r="M2" s="3">
        <f t="shared" ref="M2:M33" si="1">$AC$9</f>
        <v>-9235786.3729357291</v>
      </c>
      <c r="N2" s="3">
        <f t="shared" ref="N2:N33" si="2">E2*$AC$10</f>
        <v>32985939.21648939</v>
      </c>
      <c r="O2" s="3">
        <f t="shared" ref="O2:O33" si="3">F2*$AC$11</f>
        <v>0</v>
      </c>
      <c r="P2" s="3">
        <f t="shared" ref="P2:P33" si="4">G2*$AC$12</f>
        <v>0</v>
      </c>
      <c r="Q2" s="3">
        <f t="shared" ref="Q2:Q33" si="5">H2*$AC$13</f>
        <v>0</v>
      </c>
      <c r="R2" s="3">
        <f t="shared" ref="R2:R33" si="6">I2*$AC$14</f>
        <v>0</v>
      </c>
      <c r="S2" s="3">
        <f t="shared" ref="S2:S33" si="7">J2*$AC$15</f>
        <v>59495027.773339681</v>
      </c>
      <c r="T2" s="3">
        <f t="shared" ref="T2:T33" si="8">K2*$AC$16</f>
        <v>105603.983558147</v>
      </c>
      <c r="U2" s="47">
        <f t="shared" ref="U2:U42" si="9">SUM(M2:T2)</f>
        <v>83350784.600451499</v>
      </c>
      <c r="V2" s="47">
        <f>'Monthly Data'!G2+'Monthly Data'!H2</f>
        <v>0</v>
      </c>
      <c r="W2" s="47">
        <f t="shared" ref="W2:W42" si="10">U2+V2</f>
        <v>83350784.600451499</v>
      </c>
      <c r="X2" s="47">
        <f t="shared" ref="X2:X42" si="11">W2-D2</f>
        <v>-2025630.4418407232</v>
      </c>
      <c r="Y2" s="18">
        <f t="shared" ref="Y2:Y42" si="12">ABS(X2/D2)</f>
        <v>2.3725878403740693E-2</v>
      </c>
    </row>
    <row r="3" spans="1:32">
      <c r="A3" s="2">
        <f>'Monthly Data'!A3</f>
        <v>42401</v>
      </c>
      <c r="B3">
        <f>'Monthly Data'!B3</f>
        <v>2016</v>
      </c>
      <c r="C3">
        <f>'Monthly Data'!C3</f>
        <v>2</v>
      </c>
      <c r="D3" s="3">
        <f>'Monthly Data'!F3</f>
        <v>77381302.28981629</v>
      </c>
      <c r="E3" s="3">
        <f>'Monthly Data'!CN3</f>
        <v>661.70833333333326</v>
      </c>
      <c r="F3" s="3">
        <f>'Monthly Data'!CS3</f>
        <v>0</v>
      </c>
      <c r="G3" s="3">
        <f>'Monthly Data'!EM3</f>
        <v>0</v>
      </c>
      <c r="H3" s="3">
        <f>'Monthly Data'!ER3</f>
        <v>0</v>
      </c>
      <c r="I3" s="3">
        <f>'Monthly Data'!EG3</f>
        <v>0</v>
      </c>
      <c r="J3" s="3">
        <f>'Monthly Data'!DQ3</f>
        <v>29</v>
      </c>
      <c r="K3" s="3">
        <f>'Monthly Data'!EH3</f>
        <v>2</v>
      </c>
      <c r="M3" s="3">
        <f t="shared" si="1"/>
        <v>-9235786.3729357291</v>
      </c>
      <c r="N3" s="3">
        <f t="shared" si="2"/>
        <v>29580820.069741987</v>
      </c>
      <c r="O3" s="3">
        <f t="shared" si="3"/>
        <v>0</v>
      </c>
      <c r="P3" s="3">
        <f t="shared" si="4"/>
        <v>0</v>
      </c>
      <c r="Q3" s="3">
        <f t="shared" si="5"/>
        <v>0</v>
      </c>
      <c r="R3" s="3">
        <f t="shared" si="6"/>
        <v>0</v>
      </c>
      <c r="S3" s="3">
        <f t="shared" si="7"/>
        <v>55656638.884737119</v>
      </c>
      <c r="T3" s="3">
        <f t="shared" si="8"/>
        <v>211207.96711629399</v>
      </c>
      <c r="U3" s="47">
        <f t="shared" si="9"/>
        <v>76212880.548659682</v>
      </c>
      <c r="V3" s="47">
        <f>'Monthly Data'!G3+'Monthly Data'!H3</f>
        <v>0</v>
      </c>
      <c r="W3" s="47">
        <f t="shared" si="10"/>
        <v>76212880.548659682</v>
      </c>
      <c r="X3" s="47">
        <f t="shared" si="11"/>
        <v>-1168421.7411566079</v>
      </c>
      <c r="Y3" s="18">
        <f t="shared" si="12"/>
        <v>1.5099535760984177E-2</v>
      </c>
    </row>
    <row r="4" spans="1:32">
      <c r="A4" s="2">
        <f>'Monthly Data'!A4</f>
        <v>42430</v>
      </c>
      <c r="B4">
        <f>'Monthly Data'!B4</f>
        <v>2016</v>
      </c>
      <c r="C4">
        <f>'Monthly Data'!C4</f>
        <v>3</v>
      </c>
      <c r="D4" s="3">
        <f>'Monthly Data'!F4</f>
        <v>73971867.342461213</v>
      </c>
      <c r="E4" s="3">
        <f>'Monthly Data'!CN4</f>
        <v>577.07934782608709</v>
      </c>
      <c r="F4" s="3">
        <f>'Monthly Data'!CS4</f>
        <v>0</v>
      </c>
      <c r="G4" s="3">
        <f>'Monthly Data'!EM4</f>
        <v>0</v>
      </c>
      <c r="H4" s="3">
        <f>'Monthly Data'!ER4</f>
        <v>0</v>
      </c>
      <c r="I4" s="3">
        <f>'Monthly Data'!EG4</f>
        <v>1</v>
      </c>
      <c r="J4" s="3">
        <f>'Monthly Data'!DQ4</f>
        <v>31</v>
      </c>
      <c r="K4" s="3">
        <f>'Monthly Data'!EH4</f>
        <v>3</v>
      </c>
      <c r="M4" s="3">
        <f t="shared" si="1"/>
        <v>-9235786.3729357291</v>
      </c>
      <c r="N4" s="3">
        <f t="shared" si="2"/>
        <v>25797590.107435353</v>
      </c>
      <c r="O4" s="3">
        <f t="shared" si="3"/>
        <v>0</v>
      </c>
      <c r="P4" s="3">
        <f t="shared" si="4"/>
        <v>0</v>
      </c>
      <c r="Q4" s="3">
        <f t="shared" si="5"/>
        <v>0</v>
      </c>
      <c r="R4" s="3">
        <f t="shared" si="6"/>
        <v>-2958956.3975358699</v>
      </c>
      <c r="S4" s="3">
        <f t="shared" si="7"/>
        <v>59495027.773339681</v>
      </c>
      <c r="T4" s="3">
        <f t="shared" si="8"/>
        <v>316811.950674441</v>
      </c>
      <c r="U4" s="47">
        <f t="shared" si="9"/>
        <v>73414687.060977876</v>
      </c>
      <c r="V4" s="47">
        <f>'Monthly Data'!G4+'Monthly Data'!H4</f>
        <v>0</v>
      </c>
      <c r="W4" s="47">
        <f t="shared" si="10"/>
        <v>73414687.060977876</v>
      </c>
      <c r="X4" s="47">
        <f t="shared" si="11"/>
        <v>-557180.28148333728</v>
      </c>
      <c r="Y4" s="18">
        <f t="shared" si="12"/>
        <v>7.5323268358740694E-3</v>
      </c>
      <c r="AB4" s="651" t="s">
        <v>297</v>
      </c>
      <c r="AC4" s="651"/>
      <c r="AD4" s="651"/>
      <c r="AE4" s="651"/>
      <c r="AF4" s="651"/>
    </row>
    <row r="5" spans="1:32">
      <c r="A5" s="2">
        <f>'Monthly Data'!A5</f>
        <v>42461</v>
      </c>
      <c r="B5">
        <f>'Monthly Data'!B5</f>
        <v>2016</v>
      </c>
      <c r="C5">
        <f>'Monthly Data'!C5</f>
        <v>4</v>
      </c>
      <c r="D5" s="3">
        <f>'Monthly Data'!F5</f>
        <v>65417923.854524866</v>
      </c>
      <c r="E5" s="3">
        <f>'Monthly Data'!CN5</f>
        <v>465.98333333333341</v>
      </c>
      <c r="F5" s="3">
        <f>'Monthly Data'!CS5</f>
        <v>0</v>
      </c>
      <c r="G5" s="3">
        <f>'Monthly Data'!EM5</f>
        <v>0</v>
      </c>
      <c r="H5" s="3">
        <f>'Monthly Data'!ER5</f>
        <v>0</v>
      </c>
      <c r="I5" s="3">
        <f>'Monthly Data'!EG5</f>
        <v>1</v>
      </c>
      <c r="J5" s="3">
        <f>'Monthly Data'!DQ5</f>
        <v>30</v>
      </c>
      <c r="K5" s="3">
        <f>'Monthly Data'!EH5</f>
        <v>4</v>
      </c>
      <c r="M5" s="3">
        <f t="shared" si="1"/>
        <v>-9235786.3729357291</v>
      </c>
      <c r="N5" s="3">
        <f t="shared" si="2"/>
        <v>20831185.651531175</v>
      </c>
      <c r="O5" s="3">
        <f t="shared" si="3"/>
        <v>0</v>
      </c>
      <c r="P5" s="3">
        <f t="shared" si="4"/>
        <v>0</v>
      </c>
      <c r="Q5" s="3">
        <f t="shared" si="5"/>
        <v>0</v>
      </c>
      <c r="R5" s="3">
        <f t="shared" si="6"/>
        <v>-2958956.3975358699</v>
      </c>
      <c r="S5" s="3">
        <f t="shared" si="7"/>
        <v>57575833.329038396</v>
      </c>
      <c r="T5" s="3">
        <f t="shared" si="8"/>
        <v>422415.93423258798</v>
      </c>
      <c r="U5" s="47">
        <f t="shared" si="9"/>
        <v>66634692.144330554</v>
      </c>
      <c r="V5" s="47">
        <f>'Monthly Data'!G5+'Monthly Data'!H5</f>
        <v>0</v>
      </c>
      <c r="W5" s="47">
        <f t="shared" si="10"/>
        <v>66634692.144330554</v>
      </c>
      <c r="X5" s="47">
        <f t="shared" si="11"/>
        <v>1216768.289805688</v>
      </c>
      <c r="Y5" s="18">
        <f t="shared" si="12"/>
        <v>1.859992213313761E-2</v>
      </c>
      <c r="AB5" s="651" t="s">
        <v>298</v>
      </c>
      <c r="AC5" s="651"/>
      <c r="AD5" s="651"/>
      <c r="AE5" s="651"/>
      <c r="AF5" s="651"/>
    </row>
    <row r="6" spans="1:32">
      <c r="A6" s="2">
        <f>'Monthly Data'!A6</f>
        <v>42491</v>
      </c>
      <c r="B6">
        <f>'Monthly Data'!B6</f>
        <v>2016</v>
      </c>
      <c r="C6">
        <f>'Monthly Data'!C6</f>
        <v>5</v>
      </c>
      <c r="D6" s="3">
        <f>'Monthly Data'!F6</f>
        <v>65187188.306903355</v>
      </c>
      <c r="E6" s="3">
        <f>'Monthly Data'!CN6</f>
        <v>203.72361111111115</v>
      </c>
      <c r="F6" s="3">
        <f>'Monthly Data'!CS6</f>
        <v>40.95416666666668</v>
      </c>
      <c r="G6" s="3">
        <f>'Monthly Data'!EM6</f>
        <v>0</v>
      </c>
      <c r="H6" s="3">
        <f>'Monthly Data'!ER6</f>
        <v>0</v>
      </c>
      <c r="I6" s="3">
        <f>'Monthly Data'!EG6</f>
        <v>1</v>
      </c>
      <c r="J6" s="3">
        <f>'Monthly Data'!DQ6</f>
        <v>31</v>
      </c>
      <c r="K6" s="3">
        <f>'Monthly Data'!EH6</f>
        <v>5</v>
      </c>
      <c r="M6" s="3">
        <f t="shared" si="1"/>
        <v>-9235786.3729357291</v>
      </c>
      <c r="N6" s="3">
        <f t="shared" si="2"/>
        <v>9107202.0415377412</v>
      </c>
      <c r="O6" s="3">
        <f t="shared" si="3"/>
        <v>10947448.918182053</v>
      </c>
      <c r="P6" s="3">
        <f t="shared" si="4"/>
        <v>0</v>
      </c>
      <c r="Q6" s="3">
        <f t="shared" si="5"/>
        <v>0</v>
      </c>
      <c r="R6" s="3">
        <f t="shared" si="6"/>
        <v>-2958956.3975358699</v>
      </c>
      <c r="S6" s="3">
        <f t="shared" si="7"/>
        <v>59495027.773339681</v>
      </c>
      <c r="T6" s="3">
        <f t="shared" si="8"/>
        <v>528019.91779073502</v>
      </c>
      <c r="U6" s="47">
        <f t="shared" si="9"/>
        <v>67882955.880378619</v>
      </c>
      <c r="V6" s="47">
        <f>'Monthly Data'!G6+'Monthly Data'!H6</f>
        <v>0</v>
      </c>
      <c r="W6" s="47">
        <f t="shared" si="10"/>
        <v>67882955.880378619</v>
      </c>
      <c r="X6" s="47">
        <f t="shared" si="11"/>
        <v>2695767.573475264</v>
      </c>
      <c r="Y6" s="18">
        <f t="shared" si="12"/>
        <v>4.1354254470732876E-2</v>
      </c>
      <c r="AB6" s="651" t="s">
        <v>299</v>
      </c>
      <c r="AC6" s="651"/>
      <c r="AD6" s="651"/>
      <c r="AE6" s="651"/>
      <c r="AF6" s="651"/>
    </row>
    <row r="7" spans="1:32">
      <c r="A7" s="2">
        <f>'Monthly Data'!A7</f>
        <v>42522</v>
      </c>
      <c r="B7">
        <f>'Monthly Data'!B7</f>
        <v>2016</v>
      </c>
      <c r="C7">
        <f>'Monthly Data'!C7</f>
        <v>6</v>
      </c>
      <c r="D7" s="3">
        <f>'Monthly Data'!F7</f>
        <v>74671270.898416147</v>
      </c>
      <c r="E7" s="3">
        <f>'Monthly Data'!CN7</f>
        <v>56.883333333333326</v>
      </c>
      <c r="F7" s="3">
        <f>'Monthly Data'!CS7</f>
        <v>97.33750000000002</v>
      </c>
      <c r="G7" s="3">
        <f>'Monthly Data'!EM7</f>
        <v>0</v>
      </c>
      <c r="H7" s="3">
        <f>'Monthly Data'!ER7</f>
        <v>0</v>
      </c>
      <c r="I7" s="3">
        <f>'Monthly Data'!EG7</f>
        <v>0</v>
      </c>
      <c r="J7" s="3">
        <f>'Monthly Data'!DQ7</f>
        <v>30</v>
      </c>
      <c r="K7" s="3">
        <f>'Monthly Data'!EH7</f>
        <v>6</v>
      </c>
      <c r="M7" s="3">
        <f t="shared" si="1"/>
        <v>-9235786.3729357291</v>
      </c>
      <c r="N7" s="3">
        <f t="shared" si="2"/>
        <v>2542896.2634098455</v>
      </c>
      <c r="O7" s="3">
        <f t="shared" si="3"/>
        <v>26019264.84664268</v>
      </c>
      <c r="P7" s="3">
        <f t="shared" si="4"/>
        <v>0</v>
      </c>
      <c r="Q7" s="3">
        <f t="shared" si="5"/>
        <v>0</v>
      </c>
      <c r="R7" s="3">
        <f t="shared" si="6"/>
        <v>0</v>
      </c>
      <c r="S7" s="3">
        <f t="shared" si="7"/>
        <v>57575833.329038396</v>
      </c>
      <c r="T7" s="3">
        <f t="shared" si="8"/>
        <v>633623.90134888201</v>
      </c>
      <c r="U7" s="47">
        <f t="shared" si="9"/>
        <v>77535831.967504084</v>
      </c>
      <c r="V7" s="47">
        <f>'Monthly Data'!G7+'Monthly Data'!H7</f>
        <v>0</v>
      </c>
      <c r="W7" s="47">
        <f t="shared" si="10"/>
        <v>77535831.967504084</v>
      </c>
      <c r="X7" s="47">
        <f t="shared" si="11"/>
        <v>2864561.0690879375</v>
      </c>
      <c r="Y7" s="18">
        <f t="shared" si="12"/>
        <v>3.8362291609914168E-2</v>
      </c>
      <c r="AB7" s="652"/>
      <c r="AC7" s="652"/>
      <c r="AD7" s="652"/>
      <c r="AE7" s="652"/>
      <c r="AF7" s="652"/>
    </row>
    <row r="8" spans="1:32">
      <c r="A8" s="2">
        <f>'Monthly Data'!A8</f>
        <v>42552</v>
      </c>
      <c r="B8">
        <f>'Monthly Data'!B8</f>
        <v>2016</v>
      </c>
      <c r="C8">
        <f>'Monthly Data'!C8</f>
        <v>7</v>
      </c>
      <c r="D8" s="3">
        <f>'Monthly Data'!F8</f>
        <v>97914851.723937914</v>
      </c>
      <c r="E8" s="3">
        <f>'Monthly Data'!CN8</f>
        <v>8.75416666666667</v>
      </c>
      <c r="F8" s="3">
        <f>'Monthly Data'!CS8</f>
        <v>189.22916666666666</v>
      </c>
      <c r="G8" s="3">
        <f>'Monthly Data'!EM8</f>
        <v>0</v>
      </c>
      <c r="H8" s="3">
        <f>'Monthly Data'!ER8</f>
        <v>0</v>
      </c>
      <c r="I8" s="3">
        <f>'Monthly Data'!EG8</f>
        <v>0</v>
      </c>
      <c r="J8" s="3">
        <f>'Monthly Data'!DQ8</f>
        <v>31</v>
      </c>
      <c r="K8" s="3">
        <f>'Monthly Data'!EH8</f>
        <v>7</v>
      </c>
      <c r="M8" s="3">
        <f t="shared" si="1"/>
        <v>-9235786.3729357291</v>
      </c>
      <c r="N8" s="3">
        <f t="shared" si="2"/>
        <v>391343.7627764495</v>
      </c>
      <c r="O8" s="3">
        <f t="shared" si="3"/>
        <v>50582805.231380373</v>
      </c>
      <c r="P8" s="3">
        <f t="shared" si="4"/>
        <v>0</v>
      </c>
      <c r="Q8" s="3">
        <f t="shared" si="5"/>
        <v>0</v>
      </c>
      <c r="R8" s="3">
        <f t="shared" si="6"/>
        <v>0</v>
      </c>
      <c r="S8" s="3">
        <f t="shared" si="7"/>
        <v>59495027.773339681</v>
      </c>
      <c r="T8" s="3">
        <f t="shared" si="8"/>
        <v>739227.88490702899</v>
      </c>
      <c r="U8" s="47">
        <f t="shared" si="9"/>
        <v>101972618.27946781</v>
      </c>
      <c r="V8" s="47">
        <f>'Monthly Data'!G8+'Monthly Data'!H8</f>
        <v>0</v>
      </c>
      <c r="W8" s="47">
        <f t="shared" si="10"/>
        <v>101972618.27946781</v>
      </c>
      <c r="X8" s="47">
        <f t="shared" si="11"/>
        <v>4057766.5555298924</v>
      </c>
      <c r="Y8" s="18">
        <f t="shared" si="12"/>
        <v>4.1441788289384322E-2</v>
      </c>
      <c r="AB8" s="652"/>
      <c r="AC8" s="652" t="s">
        <v>300</v>
      </c>
      <c r="AD8" s="652" t="s">
        <v>301</v>
      </c>
      <c r="AE8" s="652" t="s">
        <v>302</v>
      </c>
      <c r="AF8" s="652" t="s">
        <v>303</v>
      </c>
    </row>
    <row r="9" spans="1:32">
      <c r="A9" s="2">
        <f>'Monthly Data'!A9</f>
        <v>42583</v>
      </c>
      <c r="B9">
        <f>'Monthly Data'!B9</f>
        <v>2016</v>
      </c>
      <c r="C9">
        <f>'Monthly Data'!C9</f>
        <v>8</v>
      </c>
      <c r="D9" s="3">
        <f>'Monthly Data'!F9</f>
        <v>104107940.31948724</v>
      </c>
      <c r="E9" s="3">
        <f>'Monthly Data'!CN9</f>
        <v>4.029166666666665</v>
      </c>
      <c r="F9" s="3">
        <f>'Monthly Data'!CS9</f>
        <v>204.02500000000006</v>
      </c>
      <c r="G9" s="3">
        <f>'Monthly Data'!EM9</f>
        <v>0</v>
      </c>
      <c r="H9" s="3">
        <f>'Monthly Data'!ER9</f>
        <v>0</v>
      </c>
      <c r="I9" s="3">
        <f>'Monthly Data'!EG9</f>
        <v>0</v>
      </c>
      <c r="J9" s="3">
        <f>'Monthly Data'!DQ9</f>
        <v>31</v>
      </c>
      <c r="K9" s="3">
        <f>'Monthly Data'!EH9</f>
        <v>8</v>
      </c>
      <c r="M9" s="3">
        <f t="shared" si="1"/>
        <v>-9235786.3729357291</v>
      </c>
      <c r="N9" s="3">
        <f t="shared" si="2"/>
        <v>180118.71423361558</v>
      </c>
      <c r="O9" s="3">
        <f t="shared" si="3"/>
        <v>54537876.053281344</v>
      </c>
      <c r="P9" s="3">
        <f t="shared" si="4"/>
        <v>0</v>
      </c>
      <c r="Q9" s="3">
        <f t="shared" si="5"/>
        <v>0</v>
      </c>
      <c r="R9" s="3">
        <f t="shared" si="6"/>
        <v>0</v>
      </c>
      <c r="S9" s="3">
        <f t="shared" si="7"/>
        <v>59495027.773339681</v>
      </c>
      <c r="T9" s="3">
        <f t="shared" si="8"/>
        <v>844831.86846517597</v>
      </c>
      <c r="U9" s="47">
        <f t="shared" si="9"/>
        <v>105822068.03638409</v>
      </c>
      <c r="V9" s="47">
        <f>'Monthly Data'!G9+'Monthly Data'!H9</f>
        <v>0</v>
      </c>
      <c r="W9" s="47">
        <f t="shared" si="10"/>
        <v>105822068.03638409</v>
      </c>
      <c r="X9" s="47">
        <f t="shared" si="11"/>
        <v>1714127.7168968469</v>
      </c>
      <c r="Y9" s="18">
        <f t="shared" si="12"/>
        <v>1.6464908551994388E-2</v>
      </c>
      <c r="AB9" s="652" t="s">
        <v>304</v>
      </c>
      <c r="AC9" s="653">
        <v>-9235786.3729357291</v>
      </c>
      <c r="AD9" s="654">
        <v>5850251.3548475802</v>
      </c>
      <c r="AE9" s="655">
        <v>-1.57869906996096</v>
      </c>
      <c r="AF9" s="656">
        <v>0.11722535871258701</v>
      </c>
    </row>
    <row r="10" spans="1:32">
      <c r="A10" s="2">
        <f>'Monthly Data'!A10</f>
        <v>42614</v>
      </c>
      <c r="B10">
        <f>'Monthly Data'!B10</f>
        <v>2016</v>
      </c>
      <c r="C10">
        <f>'Monthly Data'!C10</f>
        <v>9</v>
      </c>
      <c r="D10" s="3">
        <f>'Monthly Data'!F10</f>
        <v>72870278.058616281</v>
      </c>
      <c r="E10" s="3">
        <f>'Monthly Data'!CN10</f>
        <v>80.145833333333343</v>
      </c>
      <c r="F10" s="3">
        <f>'Monthly Data'!CS10</f>
        <v>71.529166666666654</v>
      </c>
      <c r="G10" s="3">
        <f>'Monthly Data'!EM10</f>
        <v>0</v>
      </c>
      <c r="H10" s="3">
        <f>'Monthly Data'!ER10</f>
        <v>0</v>
      </c>
      <c r="I10" s="3">
        <f>'Monthly Data'!EG10</f>
        <v>1</v>
      </c>
      <c r="J10" s="3">
        <f>'Monthly Data'!DQ10</f>
        <v>30</v>
      </c>
      <c r="K10" s="3">
        <f>'Monthly Data'!EH10</f>
        <v>9</v>
      </c>
      <c r="M10" s="3">
        <f t="shared" si="1"/>
        <v>-9235786.3729357291</v>
      </c>
      <c r="N10" s="3">
        <f t="shared" si="2"/>
        <v>3582816.4098072364</v>
      </c>
      <c r="O10" s="3">
        <f t="shared" si="3"/>
        <v>19120445.170254473</v>
      </c>
      <c r="P10" s="3">
        <f t="shared" si="4"/>
        <v>0</v>
      </c>
      <c r="Q10" s="3">
        <f t="shared" si="5"/>
        <v>0</v>
      </c>
      <c r="R10" s="3">
        <f t="shared" si="6"/>
        <v>-2958956.3975358699</v>
      </c>
      <c r="S10" s="3">
        <f t="shared" si="7"/>
        <v>57575833.329038396</v>
      </c>
      <c r="T10" s="3">
        <f t="shared" si="8"/>
        <v>950435.85202332295</v>
      </c>
      <c r="U10" s="47">
        <f t="shared" si="9"/>
        <v>69034787.990651831</v>
      </c>
      <c r="V10" s="47">
        <f>'Monthly Data'!G10+'Monthly Data'!H10</f>
        <v>0</v>
      </c>
      <c r="W10" s="47">
        <f t="shared" si="10"/>
        <v>69034787.990651831</v>
      </c>
      <c r="X10" s="47">
        <f t="shared" si="11"/>
        <v>-3835490.0679644495</v>
      </c>
      <c r="Y10" s="18">
        <f t="shared" si="12"/>
        <v>5.2634492006181331E-2</v>
      </c>
      <c r="AB10" s="652" t="s">
        <v>116</v>
      </c>
      <c r="AC10" s="654">
        <v>44703.713977319298</v>
      </c>
      <c r="AD10" s="654">
        <v>1553.05084296672</v>
      </c>
      <c r="AE10" s="655">
        <v>28.784449768511099</v>
      </c>
      <c r="AF10" s="656">
        <v>1.41365829295219E-53</v>
      </c>
    </row>
    <row r="11" spans="1:32">
      <c r="A11" s="2">
        <f>'Monthly Data'!A11</f>
        <v>42644</v>
      </c>
      <c r="B11">
        <f>'Monthly Data'!B11</f>
        <v>2016</v>
      </c>
      <c r="C11">
        <f>'Monthly Data'!C11</f>
        <v>10</v>
      </c>
      <c r="D11" s="3">
        <f>'Monthly Data'!F11</f>
        <v>63420205.647639558</v>
      </c>
      <c r="E11" s="3">
        <f>'Monthly Data'!CN11</f>
        <v>283.19583333333327</v>
      </c>
      <c r="F11" s="3">
        <f>'Monthly Data'!CS11</f>
        <v>7.2541666666666735</v>
      </c>
      <c r="G11" s="3">
        <f>'Monthly Data'!EM11</f>
        <v>0</v>
      </c>
      <c r="H11" s="3">
        <f>'Monthly Data'!ER11</f>
        <v>0</v>
      </c>
      <c r="I11" s="3">
        <f>'Monthly Data'!EG11</f>
        <v>1</v>
      </c>
      <c r="J11" s="3">
        <f>'Monthly Data'!DQ11</f>
        <v>31</v>
      </c>
      <c r="K11" s="3">
        <f>'Monthly Data'!EH11</f>
        <v>10</v>
      </c>
      <c r="M11" s="3">
        <f t="shared" si="1"/>
        <v>-9235786.3729357291</v>
      </c>
      <c r="N11" s="3">
        <f t="shared" si="2"/>
        <v>12659905.532901917</v>
      </c>
      <c r="O11" s="3">
        <f t="shared" si="3"/>
        <v>1939109.631351609</v>
      </c>
      <c r="P11" s="3">
        <f t="shared" si="4"/>
        <v>0</v>
      </c>
      <c r="Q11" s="3">
        <f t="shared" si="5"/>
        <v>0</v>
      </c>
      <c r="R11" s="3">
        <f t="shared" si="6"/>
        <v>-2958956.3975358699</v>
      </c>
      <c r="S11" s="3">
        <f t="shared" si="7"/>
        <v>59495027.773339681</v>
      </c>
      <c r="T11" s="3">
        <f t="shared" si="8"/>
        <v>1056039.83558147</v>
      </c>
      <c r="U11" s="47">
        <f t="shared" si="9"/>
        <v>62955340.002703071</v>
      </c>
      <c r="V11" s="47">
        <f>'Monthly Data'!G11+'Monthly Data'!H11</f>
        <v>0</v>
      </c>
      <c r="W11" s="47">
        <f t="shared" si="10"/>
        <v>62955340.002703071</v>
      </c>
      <c r="X11" s="47">
        <f t="shared" si="11"/>
        <v>-464865.64493648708</v>
      </c>
      <c r="Y11" s="18">
        <f t="shared" si="12"/>
        <v>7.329929636609259E-3</v>
      </c>
      <c r="AB11" s="652" t="s">
        <v>121</v>
      </c>
      <c r="AC11" s="654">
        <v>267309.77112256503</v>
      </c>
      <c r="AD11" s="654">
        <v>7165.5604056905304</v>
      </c>
      <c r="AE11" s="655">
        <v>37.3047962738937</v>
      </c>
      <c r="AF11" s="656">
        <v>5.3566089725476398E-65</v>
      </c>
    </row>
    <row r="12" spans="1:32">
      <c r="A12" s="2">
        <f>'Monthly Data'!A12</f>
        <v>42675</v>
      </c>
      <c r="B12">
        <f>'Monthly Data'!B12</f>
        <v>2016</v>
      </c>
      <c r="C12">
        <f>'Monthly Data'!C12</f>
        <v>11</v>
      </c>
      <c r="D12" s="3">
        <f>'Monthly Data'!F12</f>
        <v>66278339.830631763</v>
      </c>
      <c r="E12" s="3">
        <f>'Monthly Data'!CN12</f>
        <v>437.33511904761912</v>
      </c>
      <c r="F12" s="3">
        <f>'Monthly Data'!CS12</f>
        <v>0</v>
      </c>
      <c r="G12" s="3">
        <f>'Monthly Data'!EM12</f>
        <v>0</v>
      </c>
      <c r="H12" s="3">
        <f>'Monthly Data'!ER12</f>
        <v>0</v>
      </c>
      <c r="I12" s="3">
        <f>'Monthly Data'!EG12</f>
        <v>1</v>
      </c>
      <c r="J12" s="3">
        <f>'Monthly Data'!DQ12</f>
        <v>30</v>
      </c>
      <c r="K12" s="3">
        <f>'Monthly Data'!EH12</f>
        <v>11</v>
      </c>
      <c r="M12" s="3">
        <f t="shared" si="1"/>
        <v>-9235786.3729357291</v>
      </c>
      <c r="N12" s="3">
        <f t="shared" si="2"/>
        <v>19550504.074141651</v>
      </c>
      <c r="O12" s="3">
        <f t="shared" si="3"/>
        <v>0</v>
      </c>
      <c r="P12" s="3">
        <f t="shared" si="4"/>
        <v>0</v>
      </c>
      <c r="Q12" s="3">
        <f t="shared" si="5"/>
        <v>0</v>
      </c>
      <c r="R12" s="3">
        <f t="shared" si="6"/>
        <v>-2958956.3975358699</v>
      </c>
      <c r="S12" s="3">
        <f t="shared" si="7"/>
        <v>57575833.329038396</v>
      </c>
      <c r="T12" s="3">
        <f t="shared" si="8"/>
        <v>1161643.819139617</v>
      </c>
      <c r="U12" s="47">
        <f t="shared" si="9"/>
        <v>66093238.45184806</v>
      </c>
      <c r="V12" s="47">
        <f>'Monthly Data'!G12+'Monthly Data'!H12</f>
        <v>0</v>
      </c>
      <c r="W12" s="47">
        <f t="shared" si="10"/>
        <v>66093238.45184806</v>
      </c>
      <c r="X12" s="47">
        <f t="shared" si="11"/>
        <v>-185101.37878370285</v>
      </c>
      <c r="Y12" s="18">
        <f t="shared" si="12"/>
        <v>2.7927884020135765E-3</v>
      </c>
      <c r="AB12" s="652" t="s">
        <v>167</v>
      </c>
      <c r="AC12" s="654">
        <v>8983.0714850607092</v>
      </c>
      <c r="AD12" s="654">
        <v>2922.2952069018402</v>
      </c>
      <c r="AE12" s="655">
        <v>3.0739781059232398</v>
      </c>
      <c r="AF12" s="656">
        <v>2.6534030820476698E-3</v>
      </c>
    </row>
    <row r="13" spans="1:32">
      <c r="A13" s="2">
        <f>'Monthly Data'!A13</f>
        <v>42705</v>
      </c>
      <c r="B13">
        <f>'Monthly Data'!B13</f>
        <v>2016</v>
      </c>
      <c r="C13">
        <f>'Monthly Data'!C13</f>
        <v>12</v>
      </c>
      <c r="D13" s="3">
        <f>'Monthly Data'!F13</f>
        <v>84183809.525322765</v>
      </c>
      <c r="E13" s="3">
        <f>'Monthly Data'!CN13</f>
        <v>678.67083333333323</v>
      </c>
      <c r="F13" s="3">
        <f>'Monthly Data'!CS13</f>
        <v>0</v>
      </c>
      <c r="G13" s="3">
        <f>'Monthly Data'!EM13</f>
        <v>0</v>
      </c>
      <c r="H13" s="3">
        <f>'Monthly Data'!ER13</f>
        <v>0</v>
      </c>
      <c r="I13" s="3">
        <f>'Monthly Data'!EG13</f>
        <v>0</v>
      </c>
      <c r="J13" s="3">
        <f>'Monthly Data'!DQ13</f>
        <v>31</v>
      </c>
      <c r="K13" s="3">
        <f>'Monthly Data'!EH13</f>
        <v>12</v>
      </c>
      <c r="M13" s="3">
        <f t="shared" si="1"/>
        <v>-9235786.3729357291</v>
      </c>
      <c r="N13" s="3">
        <f t="shared" si="2"/>
        <v>30339106.818082266</v>
      </c>
      <c r="O13" s="3">
        <f t="shared" si="3"/>
        <v>0</v>
      </c>
      <c r="P13" s="3">
        <f t="shared" si="4"/>
        <v>0</v>
      </c>
      <c r="Q13" s="3">
        <f t="shared" si="5"/>
        <v>0</v>
      </c>
      <c r="R13" s="3">
        <f t="shared" si="6"/>
        <v>0</v>
      </c>
      <c r="S13" s="3">
        <f t="shared" si="7"/>
        <v>59495027.773339681</v>
      </c>
      <c r="T13" s="3">
        <f t="shared" si="8"/>
        <v>1267247.802697764</v>
      </c>
      <c r="U13" s="47">
        <f t="shared" si="9"/>
        <v>81865596.021183982</v>
      </c>
      <c r="V13" s="47">
        <f>'Monthly Data'!G13+'Monthly Data'!H13</f>
        <v>0</v>
      </c>
      <c r="W13" s="47">
        <f t="shared" si="10"/>
        <v>81865596.021183982</v>
      </c>
      <c r="X13" s="47">
        <f t="shared" si="11"/>
        <v>-2318213.5041387826</v>
      </c>
      <c r="Y13" s="18">
        <f t="shared" si="12"/>
        <v>2.7537521967825135E-2</v>
      </c>
      <c r="AB13" s="652" t="s">
        <v>172</v>
      </c>
      <c r="AC13" s="654">
        <v>34291.679242734601</v>
      </c>
      <c r="AD13" s="654">
        <v>14783.6225670575</v>
      </c>
      <c r="AE13" s="655">
        <v>2.3195721540637302</v>
      </c>
      <c r="AF13" s="656">
        <v>2.2176830011225099E-2</v>
      </c>
    </row>
    <row r="14" spans="1:32">
      <c r="A14" s="2">
        <f>'Monthly Data'!A14</f>
        <v>42736</v>
      </c>
      <c r="B14">
        <f>'Monthly Data'!B14</f>
        <v>2017</v>
      </c>
      <c r="C14">
        <f>'Monthly Data'!C14</f>
        <v>1</v>
      </c>
      <c r="D14" s="3">
        <f>'Monthly Data'!F14</f>
        <v>82572463.062272534</v>
      </c>
      <c r="E14" s="3">
        <f>'Monthly Data'!CN14</f>
        <v>682.2166666666667</v>
      </c>
      <c r="F14" s="3">
        <f>'Monthly Data'!CS14</f>
        <v>0</v>
      </c>
      <c r="G14" s="3">
        <f>'Monthly Data'!EM14</f>
        <v>0</v>
      </c>
      <c r="H14" s="3">
        <f>'Monthly Data'!ER14</f>
        <v>0</v>
      </c>
      <c r="I14" s="3">
        <f>'Monthly Data'!EG14</f>
        <v>0</v>
      </c>
      <c r="J14" s="3">
        <f>'Monthly Data'!DQ14</f>
        <v>31</v>
      </c>
      <c r="K14" s="3">
        <f>'Monthly Data'!EH14</f>
        <v>13</v>
      </c>
      <c r="M14" s="3">
        <f t="shared" si="1"/>
        <v>-9235786.3729357291</v>
      </c>
      <c r="N14" s="3">
        <f t="shared" si="2"/>
        <v>30497618.737226848</v>
      </c>
      <c r="O14" s="3">
        <f t="shared" si="3"/>
        <v>0</v>
      </c>
      <c r="P14" s="3">
        <f t="shared" si="4"/>
        <v>0</v>
      </c>
      <c r="Q14" s="3">
        <f t="shared" si="5"/>
        <v>0</v>
      </c>
      <c r="R14" s="3">
        <f t="shared" si="6"/>
        <v>0</v>
      </c>
      <c r="S14" s="3">
        <f t="shared" si="7"/>
        <v>59495027.773339681</v>
      </c>
      <c r="T14" s="3">
        <f t="shared" si="8"/>
        <v>1372851.786255911</v>
      </c>
      <c r="U14" s="47">
        <f t="shared" si="9"/>
        <v>82129711.923886701</v>
      </c>
      <c r="V14" s="47">
        <f>'Monthly Data'!G14+'Monthly Data'!H14</f>
        <v>3139.4865292819891</v>
      </c>
      <c r="W14" s="47">
        <f t="shared" si="10"/>
        <v>82132851.410415977</v>
      </c>
      <c r="X14" s="47">
        <f t="shared" si="11"/>
        <v>-439611.65185655653</v>
      </c>
      <c r="Y14" s="18">
        <f t="shared" si="12"/>
        <v>5.3239498442116309E-3</v>
      </c>
      <c r="AB14" s="652" t="s">
        <v>161</v>
      </c>
      <c r="AC14" s="654">
        <v>-2958956.3975358699</v>
      </c>
      <c r="AD14" s="654">
        <v>518059.44950761501</v>
      </c>
      <c r="AE14" s="655">
        <v>-5.7116155305113798</v>
      </c>
      <c r="AF14" s="656">
        <v>9.3429198416506706E-8</v>
      </c>
    </row>
    <row r="15" spans="1:32">
      <c r="A15" s="2">
        <f>'Monthly Data'!A15</f>
        <v>42767</v>
      </c>
      <c r="B15">
        <f>'Monthly Data'!B15</f>
        <v>2017</v>
      </c>
      <c r="C15">
        <f>'Monthly Data'!C15</f>
        <v>2</v>
      </c>
      <c r="D15" s="3">
        <f>'Monthly Data'!F15</f>
        <v>71605605.326121524</v>
      </c>
      <c r="E15" s="3">
        <f>'Monthly Data'!CN15</f>
        <v>586.08333333333337</v>
      </c>
      <c r="F15" s="3">
        <f>'Monthly Data'!CS15</f>
        <v>0</v>
      </c>
      <c r="G15" s="3">
        <f>'Monthly Data'!EM15</f>
        <v>0</v>
      </c>
      <c r="H15" s="3">
        <f>'Monthly Data'!ER15</f>
        <v>0</v>
      </c>
      <c r="I15" s="3">
        <f>'Monthly Data'!EG15</f>
        <v>0</v>
      </c>
      <c r="J15" s="3">
        <f>'Monthly Data'!DQ15</f>
        <v>28</v>
      </c>
      <c r="K15" s="3">
        <f>'Monthly Data'!EH15</f>
        <v>14</v>
      </c>
      <c r="M15" s="3">
        <f t="shared" si="1"/>
        <v>-9235786.3729357291</v>
      </c>
      <c r="N15" s="3">
        <f t="shared" si="2"/>
        <v>26200101.700207219</v>
      </c>
      <c r="O15" s="3">
        <f t="shared" si="3"/>
        <v>0</v>
      </c>
      <c r="P15" s="3">
        <f t="shared" si="4"/>
        <v>0</v>
      </c>
      <c r="Q15" s="3">
        <f t="shared" si="5"/>
        <v>0</v>
      </c>
      <c r="R15" s="3">
        <f t="shared" si="6"/>
        <v>0</v>
      </c>
      <c r="S15" s="3">
        <f t="shared" si="7"/>
        <v>53737444.440435842</v>
      </c>
      <c r="T15" s="3">
        <f t="shared" si="8"/>
        <v>1478455.769814058</v>
      </c>
      <c r="U15" s="47">
        <f t="shared" si="9"/>
        <v>72180215.537521392</v>
      </c>
      <c r="V15" s="47">
        <f>'Monthly Data'!G15+'Monthly Data'!H15</f>
        <v>6278.9730585639782</v>
      </c>
      <c r="W15" s="47">
        <f t="shared" si="10"/>
        <v>72186494.510579959</v>
      </c>
      <c r="X15" s="47">
        <f t="shared" si="11"/>
        <v>580889.18445843458</v>
      </c>
      <c r="Y15" s="18">
        <f t="shared" si="12"/>
        <v>8.1123423482397095E-3</v>
      </c>
      <c r="AB15" s="652" t="s">
        <v>305</v>
      </c>
      <c r="AC15" s="654">
        <v>1919194.44430128</v>
      </c>
      <c r="AD15" s="654">
        <v>198984.54087927999</v>
      </c>
      <c r="AE15" s="655">
        <v>9.6449424453813002</v>
      </c>
      <c r="AF15" s="656">
        <v>2.1803646109545799E-16</v>
      </c>
    </row>
    <row r="16" spans="1:32">
      <c r="A16" s="2">
        <f>'Monthly Data'!A16</f>
        <v>42795</v>
      </c>
      <c r="B16">
        <f>'Monthly Data'!B16</f>
        <v>2017</v>
      </c>
      <c r="C16">
        <f>'Monthly Data'!C16</f>
        <v>3</v>
      </c>
      <c r="D16" s="3">
        <f>'Monthly Data'!F16</f>
        <v>78063309.109280571</v>
      </c>
      <c r="E16" s="3">
        <f>'Monthly Data'!CN16</f>
        <v>661.67916666666667</v>
      </c>
      <c r="F16" s="3">
        <f>'Monthly Data'!CS16</f>
        <v>0</v>
      </c>
      <c r="G16" s="3">
        <f>'Monthly Data'!EM16</f>
        <v>0</v>
      </c>
      <c r="H16" s="3">
        <f>'Monthly Data'!ER16</f>
        <v>0</v>
      </c>
      <c r="I16" s="3">
        <f>'Monthly Data'!EG16</f>
        <v>1</v>
      </c>
      <c r="J16" s="3">
        <f>'Monthly Data'!DQ16</f>
        <v>31</v>
      </c>
      <c r="K16" s="3">
        <f>'Monthly Data'!EH16</f>
        <v>15</v>
      </c>
      <c r="M16" s="3">
        <f t="shared" si="1"/>
        <v>-9235786.3729357291</v>
      </c>
      <c r="N16" s="3">
        <f t="shared" si="2"/>
        <v>29579516.211417653</v>
      </c>
      <c r="O16" s="3">
        <f t="shared" si="3"/>
        <v>0</v>
      </c>
      <c r="P16" s="3">
        <f t="shared" si="4"/>
        <v>0</v>
      </c>
      <c r="Q16" s="3">
        <f t="shared" si="5"/>
        <v>0</v>
      </c>
      <c r="R16" s="3">
        <f t="shared" si="6"/>
        <v>-2958956.3975358699</v>
      </c>
      <c r="S16" s="3">
        <f t="shared" si="7"/>
        <v>59495027.773339681</v>
      </c>
      <c r="T16" s="3">
        <f t="shared" si="8"/>
        <v>1584059.753372205</v>
      </c>
      <c r="U16" s="47">
        <f t="shared" si="9"/>
        <v>78463860.967657939</v>
      </c>
      <c r="V16" s="47">
        <f>'Monthly Data'!G16+'Monthly Data'!H16</f>
        <v>9418.4595878459659</v>
      </c>
      <c r="W16" s="47">
        <f t="shared" si="10"/>
        <v>78473279.427245781</v>
      </c>
      <c r="X16" s="47">
        <f t="shared" si="11"/>
        <v>409970.31796520948</v>
      </c>
      <c r="Y16" s="18">
        <f t="shared" si="12"/>
        <v>5.2517670931844992E-3</v>
      </c>
      <c r="AB16" s="652" t="s">
        <v>162</v>
      </c>
      <c r="AC16" s="654">
        <v>105603.983558147</v>
      </c>
      <c r="AD16" s="654">
        <v>8516.0582478961605</v>
      </c>
      <c r="AE16" s="655">
        <v>12.4005708373631</v>
      </c>
      <c r="AF16" s="656">
        <v>9.46104490929732E-23</v>
      </c>
    </row>
    <row r="17" spans="1:31">
      <c r="A17" s="2">
        <f>'Monthly Data'!A17</f>
        <v>42826</v>
      </c>
      <c r="B17">
        <f>'Monthly Data'!B17</f>
        <v>2017</v>
      </c>
      <c r="C17">
        <f>'Monthly Data'!C17</f>
        <v>4</v>
      </c>
      <c r="D17" s="3">
        <f>'Monthly Data'!F17</f>
        <v>63138474.536601804</v>
      </c>
      <c r="E17" s="3">
        <f>'Monthly Data'!CN17</f>
        <v>348.38749999999999</v>
      </c>
      <c r="F17" s="3">
        <f>'Monthly Data'!CS17</f>
        <v>2.3458333333333385</v>
      </c>
      <c r="G17" s="3">
        <f>'Monthly Data'!EM17</f>
        <v>0</v>
      </c>
      <c r="H17" s="3">
        <f>'Monthly Data'!ER17</f>
        <v>0</v>
      </c>
      <c r="I17" s="3">
        <f>'Monthly Data'!EG17</f>
        <v>1</v>
      </c>
      <c r="J17" s="3">
        <f>'Monthly Data'!DQ17</f>
        <v>30</v>
      </c>
      <c r="K17" s="3">
        <f>'Monthly Data'!EH17</f>
        <v>16</v>
      </c>
      <c r="M17" s="3">
        <f t="shared" si="1"/>
        <v>-9235786.3729357291</v>
      </c>
      <c r="N17" s="3">
        <f t="shared" si="2"/>
        <v>15574215.153273325</v>
      </c>
      <c r="O17" s="3">
        <f t="shared" si="3"/>
        <v>627064.17142501858</v>
      </c>
      <c r="P17" s="3">
        <f t="shared" si="4"/>
        <v>0</v>
      </c>
      <c r="Q17" s="3">
        <f t="shared" si="5"/>
        <v>0</v>
      </c>
      <c r="R17" s="3">
        <f t="shared" si="6"/>
        <v>-2958956.3975358699</v>
      </c>
      <c r="S17" s="3">
        <f t="shared" si="7"/>
        <v>57575833.329038396</v>
      </c>
      <c r="T17" s="3">
        <f t="shared" si="8"/>
        <v>1689663.7369303519</v>
      </c>
      <c r="U17" s="47">
        <f t="shared" si="9"/>
        <v>63272033.620195493</v>
      </c>
      <c r="V17" s="47">
        <f>'Monthly Data'!G17+'Monthly Data'!H17</f>
        <v>12557.946117127956</v>
      </c>
      <c r="W17" s="47">
        <f t="shared" si="10"/>
        <v>63284591.566312619</v>
      </c>
      <c r="X17" s="47">
        <f t="shared" si="11"/>
        <v>146117.02971081436</v>
      </c>
      <c r="Y17" s="18">
        <f t="shared" si="12"/>
        <v>2.3142312319584047E-3</v>
      </c>
    </row>
    <row r="18" spans="1:31">
      <c r="A18" s="2">
        <f>'Monthly Data'!A18</f>
        <v>42856</v>
      </c>
      <c r="B18">
        <f>'Monthly Data'!B18</f>
        <v>2017</v>
      </c>
      <c r="C18">
        <f>'Monthly Data'!C18</f>
        <v>5</v>
      </c>
      <c r="D18" s="3">
        <f>'Monthly Data'!F18</f>
        <v>62521578.28745757</v>
      </c>
      <c r="E18" s="3">
        <f>'Monthly Data'!CN18</f>
        <v>247.16666666666663</v>
      </c>
      <c r="F18" s="3">
        <f>'Monthly Data'!CS18</f>
        <v>13.075000000000003</v>
      </c>
      <c r="G18" s="3">
        <f>'Monthly Data'!EM18</f>
        <v>0</v>
      </c>
      <c r="H18" s="3">
        <f>'Monthly Data'!ER18</f>
        <v>0</v>
      </c>
      <c r="I18" s="3">
        <f>'Monthly Data'!EG18</f>
        <v>1</v>
      </c>
      <c r="J18" s="3">
        <f>'Monthly Data'!DQ18</f>
        <v>31</v>
      </c>
      <c r="K18" s="3">
        <f>'Monthly Data'!EH18</f>
        <v>17</v>
      </c>
      <c r="M18" s="3">
        <f t="shared" si="1"/>
        <v>-9235786.3729357291</v>
      </c>
      <c r="N18" s="3">
        <f t="shared" si="2"/>
        <v>11049267.971394084</v>
      </c>
      <c r="O18" s="3">
        <f t="shared" si="3"/>
        <v>3495075.2574275383</v>
      </c>
      <c r="P18" s="3">
        <f t="shared" si="4"/>
        <v>0</v>
      </c>
      <c r="Q18" s="3">
        <f t="shared" si="5"/>
        <v>0</v>
      </c>
      <c r="R18" s="3">
        <f t="shared" si="6"/>
        <v>-2958956.3975358699</v>
      </c>
      <c r="S18" s="3">
        <f t="shared" si="7"/>
        <v>59495027.773339681</v>
      </c>
      <c r="T18" s="3">
        <f t="shared" si="8"/>
        <v>1795267.7204884989</v>
      </c>
      <c r="U18" s="47">
        <f t="shared" si="9"/>
        <v>63639895.952178203</v>
      </c>
      <c r="V18" s="47">
        <f>'Monthly Data'!G18+'Monthly Data'!H18</f>
        <v>15697.432646409945</v>
      </c>
      <c r="W18" s="47">
        <f t="shared" si="10"/>
        <v>63655593.384824611</v>
      </c>
      <c r="X18" s="47">
        <f t="shared" si="11"/>
        <v>1134015.0973670408</v>
      </c>
      <c r="Y18" s="18">
        <f t="shared" si="12"/>
        <v>1.813797937334757E-2</v>
      </c>
      <c r="AB18" s="657" t="s">
        <v>306</v>
      </c>
      <c r="AC18" s="658"/>
      <c r="AD18" s="658"/>
      <c r="AE18" s="659"/>
    </row>
    <row r="19" spans="1:31">
      <c r="A19" s="2">
        <f>'Monthly Data'!A19</f>
        <v>42887</v>
      </c>
      <c r="B19">
        <f>'Monthly Data'!B19</f>
        <v>2017</v>
      </c>
      <c r="C19">
        <f>'Monthly Data'!C19</f>
        <v>6</v>
      </c>
      <c r="D19" s="3">
        <f>'Monthly Data'!F19</f>
        <v>69532958.008424282</v>
      </c>
      <c r="E19" s="3">
        <f>'Monthly Data'!CN19</f>
        <v>85.453333333333319</v>
      </c>
      <c r="F19" s="3">
        <f>'Monthly Data'!CS19</f>
        <v>68.909166666666678</v>
      </c>
      <c r="G19" s="3">
        <f>'Monthly Data'!EM19</f>
        <v>0</v>
      </c>
      <c r="H19" s="3">
        <f>'Monthly Data'!ER19</f>
        <v>0</v>
      </c>
      <c r="I19" s="3">
        <f>'Monthly Data'!EG19</f>
        <v>0</v>
      </c>
      <c r="J19" s="3">
        <f>'Monthly Data'!DQ19</f>
        <v>30</v>
      </c>
      <c r="K19" s="3">
        <f>'Monthly Data'!EH19</f>
        <v>18</v>
      </c>
      <c r="M19" s="3">
        <f t="shared" si="1"/>
        <v>-9235786.3729357291</v>
      </c>
      <c r="N19" s="3">
        <f t="shared" si="2"/>
        <v>3820081.3717418578</v>
      </c>
      <c r="O19" s="3">
        <f t="shared" si="3"/>
        <v>18420093.569913357</v>
      </c>
      <c r="P19" s="3">
        <f t="shared" si="4"/>
        <v>0</v>
      </c>
      <c r="Q19" s="3">
        <f t="shared" si="5"/>
        <v>0</v>
      </c>
      <c r="R19" s="3">
        <f t="shared" si="6"/>
        <v>0</v>
      </c>
      <c r="S19" s="3">
        <f t="shared" si="7"/>
        <v>57575833.329038396</v>
      </c>
      <c r="T19" s="3">
        <f t="shared" si="8"/>
        <v>1900871.7040466459</v>
      </c>
      <c r="U19" s="47">
        <f t="shared" si="9"/>
        <v>72481093.60180454</v>
      </c>
      <c r="V19" s="47">
        <f>'Monthly Data'!G19+'Monthly Data'!H19</f>
        <v>18836.919175691932</v>
      </c>
      <c r="W19" s="47">
        <f t="shared" si="10"/>
        <v>72499930.520980239</v>
      </c>
      <c r="X19" s="47">
        <f t="shared" si="11"/>
        <v>2966972.5125559568</v>
      </c>
      <c r="Y19" s="18">
        <f t="shared" si="12"/>
        <v>4.267001717655234E-2</v>
      </c>
      <c r="AB19" s="652" t="s">
        <v>307</v>
      </c>
      <c r="AC19" s="660">
        <v>456524636916352</v>
      </c>
      <c r="AD19" s="652" t="s">
        <v>308</v>
      </c>
      <c r="AE19" s="654">
        <v>2018938.5403251599</v>
      </c>
    </row>
    <row r="20" spans="1:31">
      <c r="A20" s="2">
        <f>'Monthly Data'!A20</f>
        <v>42917</v>
      </c>
      <c r="B20">
        <f>'Monthly Data'!B20</f>
        <v>2017</v>
      </c>
      <c r="C20">
        <f>'Monthly Data'!C20</f>
        <v>7</v>
      </c>
      <c r="D20" s="3">
        <f>'Monthly Data'!F20</f>
        <v>85923838.986069322</v>
      </c>
      <c r="E20" s="3">
        <f>'Monthly Data'!CN20</f>
        <v>14.412500000000009</v>
      </c>
      <c r="F20" s="3">
        <f>'Monthly Data'!CS20</f>
        <v>136.16666666666663</v>
      </c>
      <c r="G20" s="3">
        <f>'Monthly Data'!EM20</f>
        <v>0</v>
      </c>
      <c r="H20" s="3">
        <f>'Monthly Data'!ER20</f>
        <v>0</v>
      </c>
      <c r="I20" s="3">
        <f>'Monthly Data'!EG20</f>
        <v>0</v>
      </c>
      <c r="J20" s="3">
        <f>'Monthly Data'!DQ20</f>
        <v>31</v>
      </c>
      <c r="K20" s="3">
        <f>'Monthly Data'!EH20</f>
        <v>19</v>
      </c>
      <c r="M20" s="3">
        <f t="shared" si="1"/>
        <v>-9235786.3729357291</v>
      </c>
      <c r="N20" s="3">
        <f t="shared" si="2"/>
        <v>644292.27769811475</v>
      </c>
      <c r="O20" s="3">
        <f t="shared" si="3"/>
        <v>36398680.501189262</v>
      </c>
      <c r="P20" s="3">
        <f t="shared" si="4"/>
        <v>0</v>
      </c>
      <c r="Q20" s="3">
        <f t="shared" si="5"/>
        <v>0</v>
      </c>
      <c r="R20" s="3">
        <f t="shared" si="6"/>
        <v>0</v>
      </c>
      <c r="S20" s="3">
        <f t="shared" si="7"/>
        <v>59495027.773339681</v>
      </c>
      <c r="T20" s="3">
        <f t="shared" si="8"/>
        <v>2006475.6876047929</v>
      </c>
      <c r="U20" s="47">
        <f t="shared" si="9"/>
        <v>89308689.866896138</v>
      </c>
      <c r="V20" s="47">
        <f>'Monthly Data'!G20+'Monthly Data'!H20</f>
        <v>21976.405704973924</v>
      </c>
      <c r="W20" s="47">
        <f t="shared" si="10"/>
        <v>89330666.272601113</v>
      </c>
      <c r="X20" s="47">
        <f t="shared" si="11"/>
        <v>3406827.2865317911</v>
      </c>
      <c r="Y20" s="18">
        <f t="shared" si="12"/>
        <v>3.9649383997892994E-2</v>
      </c>
      <c r="AB20" s="652" t="s">
        <v>309</v>
      </c>
      <c r="AC20" s="661">
        <v>0.97805590346583604</v>
      </c>
      <c r="AD20" s="652" t="s">
        <v>310</v>
      </c>
      <c r="AE20" s="661">
        <v>0.97668439743245095</v>
      </c>
    </row>
    <row r="21" spans="1:31">
      <c r="A21" s="2">
        <f>'Monthly Data'!A21</f>
        <v>42948</v>
      </c>
      <c r="B21">
        <f>'Monthly Data'!B21</f>
        <v>2017</v>
      </c>
      <c r="C21">
        <f>'Monthly Data'!C21</f>
        <v>8</v>
      </c>
      <c r="D21" s="3">
        <f>'Monthly Data'!F21</f>
        <v>80017287.630104437</v>
      </c>
      <c r="E21" s="3">
        <f>'Monthly Data'!CN21</f>
        <v>46.587500000000006</v>
      </c>
      <c r="F21" s="3">
        <f>'Monthly Data'!CS21</f>
        <v>97.06576086956521</v>
      </c>
      <c r="G21" s="3">
        <f>'Monthly Data'!EM21</f>
        <v>0</v>
      </c>
      <c r="H21" s="3">
        <f>'Monthly Data'!ER21</f>
        <v>0</v>
      </c>
      <c r="I21" s="3">
        <f>'Monthly Data'!EG21</f>
        <v>0</v>
      </c>
      <c r="J21" s="3">
        <f>'Monthly Data'!DQ21</f>
        <v>31</v>
      </c>
      <c r="K21" s="3">
        <f>'Monthly Data'!EH21</f>
        <v>20</v>
      </c>
      <c r="M21" s="3">
        <f t="shared" si="1"/>
        <v>-9235786.3729357291</v>
      </c>
      <c r="N21" s="3">
        <f t="shared" si="2"/>
        <v>2082634.274918363</v>
      </c>
      <c r="O21" s="3">
        <f t="shared" si="3"/>
        <v>25946626.321881104</v>
      </c>
      <c r="P21" s="3">
        <f t="shared" si="4"/>
        <v>0</v>
      </c>
      <c r="Q21" s="3">
        <f t="shared" si="5"/>
        <v>0</v>
      </c>
      <c r="R21" s="3">
        <f t="shared" si="6"/>
        <v>0</v>
      </c>
      <c r="S21" s="3">
        <f t="shared" si="7"/>
        <v>59495027.773339681</v>
      </c>
      <c r="T21" s="3">
        <f t="shared" si="8"/>
        <v>2112079.6711629401</v>
      </c>
      <c r="U21" s="47">
        <f t="shared" si="9"/>
        <v>80400581.668366343</v>
      </c>
      <c r="V21" s="47">
        <f>'Monthly Data'!G21+'Monthly Data'!H21</f>
        <v>25115.892234255913</v>
      </c>
      <c r="W21" s="47">
        <f t="shared" si="10"/>
        <v>80425697.560600594</v>
      </c>
      <c r="X21" s="47">
        <f t="shared" si="11"/>
        <v>408409.93049615622</v>
      </c>
      <c r="Y21" s="18">
        <f t="shared" si="12"/>
        <v>5.1040211758252921E-3</v>
      </c>
      <c r="AB21" s="652" t="s">
        <v>311</v>
      </c>
      <c r="AC21" s="655">
        <v>598.83848522028302</v>
      </c>
      <c r="AD21" s="652" t="s">
        <v>312</v>
      </c>
      <c r="AE21" s="661">
        <v>1.3008096340445599E-85</v>
      </c>
    </row>
    <row r="22" spans="1:31">
      <c r="A22" s="2">
        <f>'Monthly Data'!A22</f>
        <v>42979</v>
      </c>
      <c r="B22">
        <f>'Monthly Data'!B22</f>
        <v>2017</v>
      </c>
      <c r="C22">
        <f>'Monthly Data'!C22</f>
        <v>9</v>
      </c>
      <c r="D22" s="3">
        <f>'Monthly Data'!F22</f>
        <v>73634090.541379288</v>
      </c>
      <c r="E22" s="3">
        <f>'Monthly Data'!CN22</f>
        <v>100.06666666666666</v>
      </c>
      <c r="F22" s="3">
        <f>'Monthly Data'!CS22</f>
        <v>73.237499999999983</v>
      </c>
      <c r="G22" s="3">
        <f>'Monthly Data'!EM22</f>
        <v>0</v>
      </c>
      <c r="H22" s="3">
        <f>'Monthly Data'!ER22</f>
        <v>0</v>
      </c>
      <c r="I22" s="3">
        <f>'Monthly Data'!EG22</f>
        <v>1</v>
      </c>
      <c r="J22" s="3">
        <f>'Monthly Data'!DQ22</f>
        <v>30</v>
      </c>
      <c r="K22" s="3">
        <f>'Monthly Data'!EH22</f>
        <v>21</v>
      </c>
      <c r="M22" s="3">
        <f t="shared" si="1"/>
        <v>-9235786.3729357291</v>
      </c>
      <c r="N22" s="3">
        <f t="shared" si="2"/>
        <v>4473351.6453304179</v>
      </c>
      <c r="O22" s="3">
        <f t="shared" si="3"/>
        <v>19577099.362588853</v>
      </c>
      <c r="P22" s="3">
        <f t="shared" si="4"/>
        <v>0</v>
      </c>
      <c r="Q22" s="3">
        <f t="shared" si="5"/>
        <v>0</v>
      </c>
      <c r="R22" s="3">
        <f t="shared" si="6"/>
        <v>-2958956.3975358699</v>
      </c>
      <c r="S22" s="3">
        <f t="shared" si="7"/>
        <v>57575833.329038396</v>
      </c>
      <c r="T22" s="3">
        <f t="shared" si="8"/>
        <v>2217683.6547210868</v>
      </c>
      <c r="U22" s="47">
        <f t="shared" si="9"/>
        <v>71649225.221207142</v>
      </c>
      <c r="V22" s="47">
        <f>'Monthly Data'!G22+'Monthly Data'!H22</f>
        <v>28255.378763537901</v>
      </c>
      <c r="W22" s="47">
        <f t="shared" si="10"/>
        <v>71677480.599970683</v>
      </c>
      <c r="X22" s="47">
        <f t="shared" si="11"/>
        <v>-1956609.9414086044</v>
      </c>
      <c r="Y22" s="18">
        <f t="shared" si="12"/>
        <v>2.6572066376090723E-2</v>
      </c>
      <c r="AB22" s="652" t="s">
        <v>313</v>
      </c>
      <c r="AC22" s="661">
        <v>-4.9634929530787304E-3</v>
      </c>
      <c r="AD22" s="652" t="s">
        <v>314</v>
      </c>
      <c r="AE22" s="661">
        <v>2.0019284549267198</v>
      </c>
    </row>
    <row r="23" spans="1:31">
      <c r="A23" s="2">
        <f>'Monthly Data'!A23</f>
        <v>43009</v>
      </c>
      <c r="B23">
        <f>'Monthly Data'!B23</f>
        <v>2017</v>
      </c>
      <c r="C23">
        <f>'Monthly Data'!C23</f>
        <v>10</v>
      </c>
      <c r="D23" s="3">
        <f>'Monthly Data'!F23</f>
        <v>63904923.031894088</v>
      </c>
      <c r="E23" s="3">
        <f>'Monthly Data'!CN23</f>
        <v>238.48333333333335</v>
      </c>
      <c r="F23" s="3">
        <f>'Monthly Data'!CS23</f>
        <v>10.279166666666672</v>
      </c>
      <c r="G23" s="3">
        <f>'Monthly Data'!EM23</f>
        <v>0</v>
      </c>
      <c r="H23" s="3">
        <f>'Monthly Data'!ER23</f>
        <v>0</v>
      </c>
      <c r="I23" s="3">
        <f>'Monthly Data'!EG23</f>
        <v>1</v>
      </c>
      <c r="J23" s="3">
        <f>'Monthly Data'!DQ23</f>
        <v>31</v>
      </c>
      <c r="K23" s="3">
        <f>'Monthly Data'!EH23</f>
        <v>22</v>
      </c>
      <c r="M23" s="3">
        <f t="shared" si="1"/>
        <v>-9235786.3729357291</v>
      </c>
      <c r="N23" s="3">
        <f t="shared" si="2"/>
        <v>10661090.721691031</v>
      </c>
      <c r="O23" s="3">
        <f t="shared" si="3"/>
        <v>2747721.6889973679</v>
      </c>
      <c r="P23" s="3">
        <f t="shared" si="4"/>
        <v>0</v>
      </c>
      <c r="Q23" s="3">
        <f t="shared" si="5"/>
        <v>0</v>
      </c>
      <c r="R23" s="3">
        <f t="shared" si="6"/>
        <v>-2958956.3975358699</v>
      </c>
      <c r="S23" s="3">
        <f t="shared" si="7"/>
        <v>59495027.773339681</v>
      </c>
      <c r="T23" s="3">
        <f t="shared" si="8"/>
        <v>2323287.6382792341</v>
      </c>
      <c r="U23" s="47">
        <f t="shared" si="9"/>
        <v>63032385.051835716</v>
      </c>
      <c r="V23" s="47">
        <f>'Monthly Data'!G23+'Monthly Data'!H23</f>
        <v>31394.86529281989</v>
      </c>
      <c r="W23" s="47">
        <f t="shared" si="10"/>
        <v>63063779.917128533</v>
      </c>
      <c r="X23" s="47">
        <f t="shared" si="11"/>
        <v>-841143.11476555467</v>
      </c>
      <c r="Y23" s="18">
        <f t="shared" si="12"/>
        <v>1.3162414957385231E-2</v>
      </c>
    </row>
    <row r="24" spans="1:31">
      <c r="A24" s="2">
        <f>'Monthly Data'!A24</f>
        <v>43040</v>
      </c>
      <c r="B24">
        <f>'Monthly Data'!B24</f>
        <v>2017</v>
      </c>
      <c r="C24">
        <f>'Monthly Data'!C24</f>
        <v>11</v>
      </c>
      <c r="D24" s="3">
        <f>'Monthly Data'!F24</f>
        <v>71823486.654072329</v>
      </c>
      <c r="E24" s="3">
        <f>'Monthly Data'!CN24</f>
        <v>502.61174242424244</v>
      </c>
      <c r="F24" s="3">
        <f>'Monthly Data'!CS24</f>
        <v>0</v>
      </c>
      <c r="G24" s="3">
        <f>'Monthly Data'!EM24</f>
        <v>0</v>
      </c>
      <c r="H24" s="3">
        <f>'Monthly Data'!ER24</f>
        <v>0</v>
      </c>
      <c r="I24" s="3">
        <f>'Monthly Data'!EG24</f>
        <v>1</v>
      </c>
      <c r="J24" s="3">
        <f>'Monthly Data'!DQ24</f>
        <v>30</v>
      </c>
      <c r="K24" s="3">
        <f>'Monthly Data'!EH24</f>
        <v>23</v>
      </c>
      <c r="M24" s="3">
        <f t="shared" si="1"/>
        <v>-9235786.3729357291</v>
      </c>
      <c r="N24" s="3">
        <f t="shared" si="2"/>
        <v>22468611.574975412</v>
      </c>
      <c r="O24" s="3">
        <f t="shared" si="3"/>
        <v>0</v>
      </c>
      <c r="P24" s="3">
        <f t="shared" si="4"/>
        <v>0</v>
      </c>
      <c r="Q24" s="3">
        <f t="shared" si="5"/>
        <v>0</v>
      </c>
      <c r="R24" s="3">
        <f t="shared" si="6"/>
        <v>-2958956.3975358699</v>
      </c>
      <c r="S24" s="3">
        <f t="shared" si="7"/>
        <v>57575833.329038396</v>
      </c>
      <c r="T24" s="3">
        <f t="shared" si="8"/>
        <v>2428891.6218373808</v>
      </c>
      <c r="U24" s="47">
        <f t="shared" si="9"/>
        <v>70278593.755379587</v>
      </c>
      <c r="V24" s="47">
        <f>'Monthly Data'!G24+'Monthly Data'!H24</f>
        <v>34534.351822101882</v>
      </c>
      <c r="W24" s="47">
        <f t="shared" si="10"/>
        <v>70313128.107201695</v>
      </c>
      <c r="X24" s="47">
        <f t="shared" si="11"/>
        <v>-1510358.546870634</v>
      </c>
      <c r="Y24" s="18">
        <f t="shared" si="12"/>
        <v>2.1028755595576449E-2</v>
      </c>
      <c r="AB24" s="657" t="s">
        <v>315</v>
      </c>
      <c r="AC24" s="658"/>
      <c r="AD24" s="658"/>
      <c r="AE24" s="659"/>
    </row>
    <row r="25" spans="1:31">
      <c r="A25" s="2">
        <f>'Monthly Data'!A25</f>
        <v>43070</v>
      </c>
      <c r="B25">
        <f>'Monthly Data'!B25</f>
        <v>2017</v>
      </c>
      <c r="C25">
        <f>'Monthly Data'!C25</f>
        <v>12</v>
      </c>
      <c r="D25" s="3">
        <f>'Monthly Data'!F25</f>
        <v>90797354.463694632</v>
      </c>
      <c r="E25" s="3">
        <f>'Monthly Data'!CN25</f>
        <v>798.31250000000011</v>
      </c>
      <c r="F25" s="3">
        <f>'Monthly Data'!CS25</f>
        <v>0</v>
      </c>
      <c r="G25" s="3">
        <f>'Monthly Data'!EM25</f>
        <v>0</v>
      </c>
      <c r="H25" s="3">
        <f>'Monthly Data'!ER25</f>
        <v>0</v>
      </c>
      <c r="I25" s="3">
        <f>'Monthly Data'!EG25</f>
        <v>0</v>
      </c>
      <c r="J25" s="3">
        <f>'Monthly Data'!DQ25</f>
        <v>31</v>
      </c>
      <c r="K25" s="3">
        <f>'Monthly Data'!EH25</f>
        <v>24</v>
      </c>
      <c r="M25" s="3">
        <f t="shared" si="1"/>
        <v>-9235786.3729357291</v>
      </c>
      <c r="N25" s="3">
        <f t="shared" si="2"/>
        <v>35687533.664518714</v>
      </c>
      <c r="O25" s="3">
        <f t="shared" si="3"/>
        <v>0</v>
      </c>
      <c r="P25" s="3">
        <f t="shared" si="4"/>
        <v>0</v>
      </c>
      <c r="Q25" s="3">
        <f t="shared" si="5"/>
        <v>0</v>
      </c>
      <c r="R25" s="3">
        <f t="shared" si="6"/>
        <v>0</v>
      </c>
      <c r="S25" s="3">
        <f t="shared" si="7"/>
        <v>59495027.773339681</v>
      </c>
      <c r="T25" s="3">
        <f t="shared" si="8"/>
        <v>2534495.605395528</v>
      </c>
      <c r="U25" s="47">
        <f t="shared" si="9"/>
        <v>88481270.670318186</v>
      </c>
      <c r="V25" s="47">
        <f>'Monthly Data'!G25+'Monthly Data'!H25</f>
        <v>37673.838351383863</v>
      </c>
      <c r="W25" s="47">
        <f t="shared" si="10"/>
        <v>88518944.50866957</v>
      </c>
      <c r="X25" s="47">
        <f t="shared" si="11"/>
        <v>-2278409.955025062</v>
      </c>
      <c r="Y25" s="18">
        <f t="shared" si="12"/>
        <v>2.5093351766499818E-2</v>
      </c>
      <c r="AB25" s="652" t="s">
        <v>316</v>
      </c>
      <c r="AC25" s="654">
        <v>82171814.960766703</v>
      </c>
      <c r="AD25" s="652" t="s">
        <v>317</v>
      </c>
      <c r="AE25" s="654">
        <v>13113504.4309073</v>
      </c>
    </row>
    <row r="26" spans="1:31">
      <c r="A26" s="2">
        <f>'Monthly Data'!A26</f>
        <v>43101</v>
      </c>
      <c r="B26">
        <f>'Monthly Data'!B26</f>
        <v>2018</v>
      </c>
      <c r="C26">
        <f>'Monthly Data'!C26</f>
        <v>1</v>
      </c>
      <c r="D26" s="3">
        <f>'Monthly Data'!F26</f>
        <v>91609814.319880843</v>
      </c>
      <c r="E26" s="3">
        <f>'Monthly Data'!CN26</f>
        <v>812.53750000000002</v>
      </c>
      <c r="F26" s="3">
        <f>'Monthly Data'!CS26</f>
        <v>0</v>
      </c>
      <c r="G26" s="3">
        <f>'Monthly Data'!EM26</f>
        <v>0</v>
      </c>
      <c r="H26" s="3">
        <f>'Monthly Data'!ER26</f>
        <v>0</v>
      </c>
      <c r="I26" s="3">
        <f>'Monthly Data'!EG26</f>
        <v>0</v>
      </c>
      <c r="J26" s="3">
        <f>'Monthly Data'!DQ26</f>
        <v>31</v>
      </c>
      <c r="K26" s="3">
        <f>'Monthly Data'!EH26</f>
        <v>25</v>
      </c>
      <c r="M26" s="3">
        <f t="shared" si="1"/>
        <v>-9235786.3729357291</v>
      </c>
      <c r="N26" s="3">
        <f t="shared" si="2"/>
        <v>36323443.995846078</v>
      </c>
      <c r="O26" s="3">
        <f t="shared" si="3"/>
        <v>0</v>
      </c>
      <c r="P26" s="3">
        <f t="shared" si="4"/>
        <v>0</v>
      </c>
      <c r="Q26" s="3">
        <f t="shared" si="5"/>
        <v>0</v>
      </c>
      <c r="R26" s="3">
        <f t="shared" si="6"/>
        <v>0</v>
      </c>
      <c r="S26" s="3">
        <f t="shared" si="7"/>
        <v>59495027.773339681</v>
      </c>
      <c r="T26" s="3">
        <f t="shared" si="8"/>
        <v>2640099.5889536748</v>
      </c>
      <c r="U26" s="47">
        <f t="shared" si="9"/>
        <v>89222784.985203713</v>
      </c>
      <c r="V26" s="47">
        <f>'Monthly Data'!G26+'Monthly Data'!H26</f>
        <v>48682.649009534383</v>
      </c>
      <c r="W26" s="47">
        <f t="shared" si="10"/>
        <v>89271467.634213254</v>
      </c>
      <c r="X26" s="47">
        <f t="shared" si="11"/>
        <v>-2338346.6856675893</v>
      </c>
      <c r="Y26" s="18">
        <f t="shared" si="12"/>
        <v>2.5525067407107815E-2</v>
      </c>
    </row>
    <row r="27" spans="1:31">
      <c r="A27" s="2">
        <f>'Monthly Data'!A27</f>
        <v>43132</v>
      </c>
      <c r="B27">
        <f>'Monthly Data'!B27</f>
        <v>2018</v>
      </c>
      <c r="C27">
        <f>'Monthly Data'!C27</f>
        <v>2</v>
      </c>
      <c r="D27" s="3">
        <f>'Monthly Data'!F27</f>
        <v>75588564.30997169</v>
      </c>
      <c r="E27" s="3">
        <f>'Monthly Data'!CN27</f>
        <v>632.49583333333328</v>
      </c>
      <c r="F27" s="3">
        <f>'Monthly Data'!CS27</f>
        <v>0</v>
      </c>
      <c r="G27" s="3">
        <f>'Monthly Data'!EM27</f>
        <v>0</v>
      </c>
      <c r="H27" s="3">
        <f>'Monthly Data'!ER27</f>
        <v>0</v>
      </c>
      <c r="I27" s="3">
        <f>'Monthly Data'!EG27</f>
        <v>0</v>
      </c>
      <c r="J27" s="3">
        <f>'Monthly Data'!DQ27</f>
        <v>28</v>
      </c>
      <c r="K27" s="3">
        <f>'Monthly Data'!EH27</f>
        <v>26</v>
      </c>
      <c r="M27" s="3">
        <f t="shared" si="1"/>
        <v>-9235786.3729357291</v>
      </c>
      <c r="N27" s="3">
        <f t="shared" si="2"/>
        <v>28274912.825179547</v>
      </c>
      <c r="O27" s="3">
        <f t="shared" si="3"/>
        <v>0</v>
      </c>
      <c r="P27" s="3">
        <f t="shared" si="4"/>
        <v>0</v>
      </c>
      <c r="Q27" s="3">
        <f t="shared" si="5"/>
        <v>0</v>
      </c>
      <c r="R27" s="3">
        <f t="shared" si="6"/>
        <v>0</v>
      </c>
      <c r="S27" s="3">
        <f t="shared" si="7"/>
        <v>53737444.440435842</v>
      </c>
      <c r="T27" s="3">
        <f t="shared" si="8"/>
        <v>2745703.572511822</v>
      </c>
      <c r="U27" s="47">
        <f t="shared" si="9"/>
        <v>75522274.465191483</v>
      </c>
      <c r="V27" s="47">
        <f>'Monthly Data'!G27+'Monthly Data'!H27</f>
        <v>56551.973138402907</v>
      </c>
      <c r="W27" s="47">
        <f t="shared" si="10"/>
        <v>75578826.43832989</v>
      </c>
      <c r="X27" s="47">
        <f t="shared" si="11"/>
        <v>-9737.8716417998075</v>
      </c>
      <c r="Y27" s="18">
        <f t="shared" si="12"/>
        <v>1.2882731310872618E-4</v>
      </c>
    </row>
    <row r="28" spans="1:31">
      <c r="A28" s="2">
        <f>'Monthly Data'!A28</f>
        <v>43160</v>
      </c>
      <c r="B28">
        <f>'Monthly Data'!B28</f>
        <v>2018</v>
      </c>
      <c r="C28">
        <f>'Monthly Data'!C28</f>
        <v>3</v>
      </c>
      <c r="D28" s="3">
        <f>'Monthly Data'!F28</f>
        <v>77355262.635808468</v>
      </c>
      <c r="E28" s="3">
        <f>'Monthly Data'!CN28</f>
        <v>629.27916666666681</v>
      </c>
      <c r="F28" s="3">
        <f>'Monthly Data'!CS28</f>
        <v>0</v>
      </c>
      <c r="G28" s="3">
        <f>'Monthly Data'!EM28</f>
        <v>0</v>
      </c>
      <c r="H28" s="3">
        <f>'Monthly Data'!ER28</f>
        <v>0</v>
      </c>
      <c r="I28" s="3">
        <f>'Monthly Data'!EG28</f>
        <v>1</v>
      </c>
      <c r="J28" s="3">
        <f>'Monthly Data'!DQ28</f>
        <v>31</v>
      </c>
      <c r="K28" s="3">
        <f>'Monthly Data'!EH28</f>
        <v>27</v>
      </c>
      <c r="M28" s="3">
        <f t="shared" si="1"/>
        <v>-9235786.3729357291</v>
      </c>
      <c r="N28" s="3">
        <f t="shared" si="2"/>
        <v>28131115.878552511</v>
      </c>
      <c r="O28" s="3">
        <f t="shared" si="3"/>
        <v>0</v>
      </c>
      <c r="P28" s="3">
        <f t="shared" si="4"/>
        <v>0</v>
      </c>
      <c r="Q28" s="3">
        <f t="shared" si="5"/>
        <v>0</v>
      </c>
      <c r="R28" s="3">
        <f t="shared" si="6"/>
        <v>-2958956.3975358699</v>
      </c>
      <c r="S28" s="3">
        <f t="shared" si="7"/>
        <v>59495027.773339681</v>
      </c>
      <c r="T28" s="3">
        <f t="shared" si="8"/>
        <v>2851307.5560699687</v>
      </c>
      <c r="U28" s="47">
        <f t="shared" si="9"/>
        <v>78282708.437490568</v>
      </c>
      <c r="V28" s="47">
        <f>'Monthly Data'!G28+'Monthly Data'!H28</f>
        <v>64421.297267271431</v>
      </c>
      <c r="W28" s="47">
        <f t="shared" si="10"/>
        <v>78347129.734757841</v>
      </c>
      <c r="X28" s="47">
        <f t="shared" si="11"/>
        <v>991867.09894937277</v>
      </c>
      <c r="Y28" s="18">
        <f t="shared" si="12"/>
        <v>1.282223167697227E-2</v>
      </c>
    </row>
    <row r="29" spans="1:31">
      <c r="A29" s="2">
        <f>'Monthly Data'!A29</f>
        <v>43191</v>
      </c>
      <c r="B29">
        <f>'Monthly Data'!B29</f>
        <v>2018</v>
      </c>
      <c r="C29">
        <f>'Monthly Data'!C29</f>
        <v>4</v>
      </c>
      <c r="D29" s="3">
        <f>'Monthly Data'!F29</f>
        <v>71578140.391622186</v>
      </c>
      <c r="E29" s="3">
        <f>'Monthly Data'!CN29</f>
        <v>512.51666666666677</v>
      </c>
      <c r="F29" s="3">
        <f>'Monthly Data'!CS29</f>
        <v>0</v>
      </c>
      <c r="G29" s="3">
        <f>'Monthly Data'!EM29</f>
        <v>0</v>
      </c>
      <c r="H29" s="3">
        <f>'Monthly Data'!ER29</f>
        <v>0</v>
      </c>
      <c r="I29" s="3">
        <f>'Monthly Data'!EG29</f>
        <v>1</v>
      </c>
      <c r="J29" s="3">
        <f>'Monthly Data'!DQ29</f>
        <v>30</v>
      </c>
      <c r="K29" s="3">
        <f>'Monthly Data'!EH29</f>
        <v>28</v>
      </c>
      <c r="M29" s="3">
        <f t="shared" si="1"/>
        <v>-9235786.3729357291</v>
      </c>
      <c r="N29" s="3">
        <f t="shared" si="2"/>
        <v>22911398.475275766</v>
      </c>
      <c r="O29" s="3">
        <f t="shared" si="3"/>
        <v>0</v>
      </c>
      <c r="P29" s="3">
        <f t="shared" si="4"/>
        <v>0</v>
      </c>
      <c r="Q29" s="3">
        <f t="shared" si="5"/>
        <v>0</v>
      </c>
      <c r="R29" s="3">
        <f t="shared" si="6"/>
        <v>-2958956.3975358699</v>
      </c>
      <c r="S29" s="3">
        <f t="shared" si="7"/>
        <v>57575833.329038396</v>
      </c>
      <c r="T29" s="3">
        <f t="shared" si="8"/>
        <v>2956911.5396281159</v>
      </c>
      <c r="U29" s="47">
        <f t="shared" si="9"/>
        <v>71249400.573470682</v>
      </c>
      <c r="V29" s="47">
        <f>'Monthly Data'!G29+'Monthly Data'!H29</f>
        <v>72290.621396139963</v>
      </c>
      <c r="W29" s="47">
        <f t="shared" si="10"/>
        <v>71321691.194866821</v>
      </c>
      <c r="X29" s="47">
        <f t="shared" si="11"/>
        <v>-256449.19675536454</v>
      </c>
      <c r="Y29" s="18">
        <f t="shared" si="12"/>
        <v>3.5827865232634691E-3</v>
      </c>
    </row>
    <row r="30" spans="1:31">
      <c r="A30" s="2">
        <f>'Monthly Data'!A30</f>
        <v>43221</v>
      </c>
      <c r="B30">
        <f>'Monthly Data'!B30</f>
        <v>2018</v>
      </c>
      <c r="C30">
        <f>'Monthly Data'!C30</f>
        <v>5</v>
      </c>
      <c r="D30" s="3">
        <f>'Monthly Data'!F30</f>
        <v>66091104.306526624</v>
      </c>
      <c r="E30" s="3">
        <f>'Monthly Data'!CN30</f>
        <v>140.84469696969697</v>
      </c>
      <c r="F30" s="3">
        <f>'Monthly Data'!CS30</f>
        <v>50.000541125541133</v>
      </c>
      <c r="G30" s="3">
        <f>'Monthly Data'!EM30</f>
        <v>0</v>
      </c>
      <c r="H30" s="3">
        <f>'Monthly Data'!ER30</f>
        <v>0</v>
      </c>
      <c r="I30" s="3">
        <f>'Monthly Data'!EG30</f>
        <v>1</v>
      </c>
      <c r="J30" s="3">
        <f>'Monthly Data'!DQ30</f>
        <v>31</v>
      </c>
      <c r="K30" s="3">
        <f>'Monthly Data'!EH30</f>
        <v>29</v>
      </c>
      <c r="M30" s="3">
        <f t="shared" si="1"/>
        <v>-9235786.3729357291</v>
      </c>
      <c r="N30" s="3">
        <f t="shared" si="2"/>
        <v>6296281.0485555436</v>
      </c>
      <c r="O30" s="3">
        <f t="shared" si="3"/>
        <v>13365633.204272801</v>
      </c>
      <c r="P30" s="3">
        <f t="shared" si="4"/>
        <v>0</v>
      </c>
      <c r="Q30" s="3">
        <f t="shared" si="5"/>
        <v>0</v>
      </c>
      <c r="R30" s="3">
        <f t="shared" si="6"/>
        <v>-2958956.3975358699</v>
      </c>
      <c r="S30" s="3">
        <f t="shared" si="7"/>
        <v>59495027.773339681</v>
      </c>
      <c r="T30" s="3">
        <f t="shared" si="8"/>
        <v>3062515.5231862627</v>
      </c>
      <c r="U30" s="47">
        <f t="shared" si="9"/>
        <v>70024714.778882697</v>
      </c>
      <c r="V30" s="47">
        <f>'Monthly Data'!G30+'Monthly Data'!H30</f>
        <v>80159.945525008487</v>
      </c>
      <c r="W30" s="47">
        <f t="shared" si="10"/>
        <v>70104874.724407703</v>
      </c>
      <c r="X30" s="47">
        <f t="shared" si="11"/>
        <v>4013770.417881079</v>
      </c>
      <c r="Y30" s="18">
        <f t="shared" si="12"/>
        <v>6.073087233140257E-2</v>
      </c>
    </row>
    <row r="31" spans="1:31">
      <c r="A31" s="2">
        <f>'Monthly Data'!A31</f>
        <v>43252</v>
      </c>
      <c r="B31">
        <f>'Monthly Data'!B31</f>
        <v>2018</v>
      </c>
      <c r="C31">
        <f>'Monthly Data'!C31</f>
        <v>6</v>
      </c>
      <c r="D31" s="3">
        <f>'Monthly Data'!F31</f>
        <v>75375749.892238706</v>
      </c>
      <c r="E31" s="3">
        <f>'Monthly Data'!CN31</f>
        <v>63.468560606060585</v>
      </c>
      <c r="F31" s="3">
        <f>'Monthly Data'!CS31</f>
        <v>85.839772727272717</v>
      </c>
      <c r="G31" s="3">
        <f>'Monthly Data'!EM31</f>
        <v>0</v>
      </c>
      <c r="H31" s="3">
        <f>'Monthly Data'!ER31</f>
        <v>0</v>
      </c>
      <c r="I31" s="3">
        <f>'Monthly Data'!EG31</f>
        <v>0</v>
      </c>
      <c r="J31" s="3">
        <f>'Monthly Data'!DQ31</f>
        <v>30</v>
      </c>
      <c r="K31" s="3">
        <f>'Monthly Data'!EH31</f>
        <v>30</v>
      </c>
      <c r="M31" s="3">
        <f t="shared" si="1"/>
        <v>-9235786.3729357291</v>
      </c>
      <c r="N31" s="3">
        <f t="shared" si="2"/>
        <v>2837280.3798854877</v>
      </c>
      <c r="O31" s="3">
        <f t="shared" si="3"/>
        <v>22945810.000940271</v>
      </c>
      <c r="P31" s="3">
        <f t="shared" si="4"/>
        <v>0</v>
      </c>
      <c r="Q31" s="3">
        <f t="shared" si="5"/>
        <v>0</v>
      </c>
      <c r="R31" s="3">
        <f t="shared" si="6"/>
        <v>0</v>
      </c>
      <c r="S31" s="3">
        <f t="shared" si="7"/>
        <v>57575833.329038396</v>
      </c>
      <c r="T31" s="3">
        <f t="shared" si="8"/>
        <v>3168119.5067444099</v>
      </c>
      <c r="U31" s="47">
        <f t="shared" si="9"/>
        <v>77291256.843672842</v>
      </c>
      <c r="V31" s="47">
        <f>'Monthly Data'!G31+'Monthly Data'!H31</f>
        <v>88029.269653877011</v>
      </c>
      <c r="W31" s="47">
        <f t="shared" si="10"/>
        <v>77379286.113326713</v>
      </c>
      <c r="X31" s="47">
        <f t="shared" si="11"/>
        <v>2003536.2210880071</v>
      </c>
      <c r="Y31" s="18">
        <f t="shared" si="12"/>
        <v>2.6580647276509647E-2</v>
      </c>
    </row>
    <row r="32" spans="1:31">
      <c r="A32" s="2">
        <f>'Monthly Data'!A32</f>
        <v>43282</v>
      </c>
      <c r="B32">
        <f>'Monthly Data'!B32</f>
        <v>2018</v>
      </c>
      <c r="C32">
        <f>'Monthly Data'!C32</f>
        <v>7</v>
      </c>
      <c r="D32" s="3">
        <f>'Monthly Data'!F32</f>
        <v>104336841.78924637</v>
      </c>
      <c r="E32" s="3">
        <f>'Monthly Data'!CN32</f>
        <v>4.9668995859213254</v>
      </c>
      <c r="F32" s="3">
        <f>'Monthly Data'!CS32</f>
        <v>194.39861424807077</v>
      </c>
      <c r="G32" s="3">
        <f>'Monthly Data'!EM32</f>
        <v>0</v>
      </c>
      <c r="H32" s="3">
        <f>'Monthly Data'!ER32</f>
        <v>0</v>
      </c>
      <c r="I32" s="3">
        <f>'Monthly Data'!EG32</f>
        <v>0</v>
      </c>
      <c r="J32" s="3">
        <f>'Monthly Data'!DQ32</f>
        <v>31</v>
      </c>
      <c r="K32" s="3">
        <f>'Monthly Data'!EH32</f>
        <v>31</v>
      </c>
      <c r="M32" s="3">
        <f t="shared" si="1"/>
        <v>-9235786.3729357291</v>
      </c>
      <c r="N32" s="3">
        <f t="shared" si="2"/>
        <v>222038.85844309258</v>
      </c>
      <c r="O32" s="3">
        <f t="shared" si="3"/>
        <v>51964649.081195608</v>
      </c>
      <c r="P32" s="3">
        <f t="shared" si="4"/>
        <v>0</v>
      </c>
      <c r="Q32" s="3">
        <f t="shared" si="5"/>
        <v>0</v>
      </c>
      <c r="R32" s="3">
        <f t="shared" si="6"/>
        <v>0</v>
      </c>
      <c r="S32" s="3">
        <f t="shared" si="7"/>
        <v>59495027.773339681</v>
      </c>
      <c r="T32" s="3">
        <f t="shared" si="8"/>
        <v>3273723.4903025567</v>
      </c>
      <c r="U32" s="47">
        <f t="shared" si="9"/>
        <v>105719652.83034521</v>
      </c>
      <c r="V32" s="47">
        <f>'Monthly Data'!G32+'Monthly Data'!H32</f>
        <v>95898.593782745535</v>
      </c>
      <c r="W32" s="47">
        <f t="shared" si="10"/>
        <v>105815551.42412797</v>
      </c>
      <c r="X32" s="47">
        <f t="shared" si="11"/>
        <v>1478709.6348816007</v>
      </c>
      <c r="Y32" s="18">
        <f t="shared" si="12"/>
        <v>1.4172459215015325E-2</v>
      </c>
    </row>
    <row r="33" spans="1:25">
      <c r="A33" s="2">
        <f>'Monthly Data'!A33</f>
        <v>43313</v>
      </c>
      <c r="B33">
        <f>'Monthly Data'!B33</f>
        <v>2018</v>
      </c>
      <c r="C33">
        <f>'Monthly Data'!C33</f>
        <v>8</v>
      </c>
      <c r="D33" s="3">
        <f>'Monthly Data'!F33</f>
        <v>101845512.22238246</v>
      </c>
      <c r="E33" s="3">
        <f>'Monthly Data'!CN33</f>
        <v>7.2291666666666679</v>
      </c>
      <c r="F33" s="3">
        <f>'Monthly Data'!CS33</f>
        <v>190.24583333333339</v>
      </c>
      <c r="G33" s="3">
        <f>'Monthly Data'!EM33</f>
        <v>0</v>
      </c>
      <c r="H33" s="3">
        <f>'Monthly Data'!ER33</f>
        <v>0</v>
      </c>
      <c r="I33" s="3">
        <f>'Monthly Data'!EG33</f>
        <v>0</v>
      </c>
      <c r="J33" s="3">
        <f>'Monthly Data'!DQ33</f>
        <v>31</v>
      </c>
      <c r="K33" s="3">
        <f>'Monthly Data'!EH33</f>
        <v>32</v>
      </c>
      <c r="M33" s="3">
        <f t="shared" si="1"/>
        <v>-9235786.3729357291</v>
      </c>
      <c r="N33" s="3">
        <f t="shared" si="2"/>
        <v>323170.59896103747</v>
      </c>
      <c r="O33" s="3">
        <f t="shared" si="3"/>
        <v>50854570.165355004</v>
      </c>
      <c r="P33" s="3">
        <f t="shared" si="4"/>
        <v>0</v>
      </c>
      <c r="Q33" s="3">
        <f t="shared" si="5"/>
        <v>0</v>
      </c>
      <c r="R33" s="3">
        <f t="shared" si="6"/>
        <v>0</v>
      </c>
      <c r="S33" s="3">
        <f t="shared" si="7"/>
        <v>59495027.773339681</v>
      </c>
      <c r="T33" s="3">
        <f t="shared" si="8"/>
        <v>3379327.4738607039</v>
      </c>
      <c r="U33" s="47">
        <f t="shared" si="9"/>
        <v>104816309.63858071</v>
      </c>
      <c r="V33" s="47">
        <f>'Monthly Data'!G33+'Monthly Data'!H33</f>
        <v>103767.91791161406</v>
      </c>
      <c r="W33" s="47">
        <f t="shared" si="10"/>
        <v>104920077.55649233</v>
      </c>
      <c r="X33" s="47">
        <f t="shared" si="11"/>
        <v>3074565.3341098726</v>
      </c>
      <c r="Y33" s="18">
        <f t="shared" si="12"/>
        <v>3.0188520505414859E-2</v>
      </c>
    </row>
    <row r="34" spans="1:25">
      <c r="A34" s="2">
        <f>'Monthly Data'!A34</f>
        <v>43344</v>
      </c>
      <c r="B34">
        <f>'Monthly Data'!B34</f>
        <v>2018</v>
      </c>
      <c r="C34">
        <f>'Monthly Data'!C34</f>
        <v>9</v>
      </c>
      <c r="D34" s="3">
        <f>'Monthly Data'!F34</f>
        <v>81044809.964553326</v>
      </c>
      <c r="E34" s="3">
        <f>'Monthly Data'!CN34</f>
        <v>92.370833333333337</v>
      </c>
      <c r="F34" s="3">
        <f>'Monthly Data'!CS34</f>
        <v>94.645833333333329</v>
      </c>
      <c r="G34" s="3">
        <f>'Monthly Data'!EM34</f>
        <v>0</v>
      </c>
      <c r="H34" s="3">
        <f>'Monthly Data'!ER34</f>
        <v>0</v>
      </c>
      <c r="I34" s="3">
        <f>'Monthly Data'!EG34</f>
        <v>1</v>
      </c>
      <c r="J34" s="3">
        <f>'Monthly Data'!DQ34</f>
        <v>30</v>
      </c>
      <c r="K34" s="3">
        <f>'Monthly Data'!EH34</f>
        <v>33</v>
      </c>
      <c r="M34" s="3">
        <f t="shared" ref="M34:M65" si="13">$AC$9</f>
        <v>-9235786.3729357291</v>
      </c>
      <c r="N34" s="3">
        <f t="shared" ref="N34:N65" si="14">E34*$AC$10</f>
        <v>4129319.3131799647</v>
      </c>
      <c r="O34" s="3">
        <f t="shared" ref="O34:O65" si="15">F34*$AC$11</f>
        <v>25299756.046037767</v>
      </c>
      <c r="P34" s="3">
        <f t="shared" ref="P34:P65" si="16">G34*$AC$12</f>
        <v>0</v>
      </c>
      <c r="Q34" s="3">
        <f t="shared" ref="Q34:Q65" si="17">H34*$AC$13</f>
        <v>0</v>
      </c>
      <c r="R34" s="3">
        <f t="shared" ref="R34:R65" si="18">I34*$AC$14</f>
        <v>-2958956.3975358699</v>
      </c>
      <c r="S34" s="3">
        <f t="shared" ref="S34:S65" si="19">J34*$AC$15</f>
        <v>57575833.329038396</v>
      </c>
      <c r="T34" s="3">
        <f t="shared" ref="T34:T65" si="20">K34*$AC$16</f>
        <v>3484931.4574188511</v>
      </c>
      <c r="U34" s="47">
        <f t="shared" si="9"/>
        <v>78295097.375203371</v>
      </c>
      <c r="V34" s="47">
        <f>'Monthly Data'!G34+'Monthly Data'!H34</f>
        <v>111637.24204048258</v>
      </c>
      <c r="W34" s="47">
        <f t="shared" si="10"/>
        <v>78406734.617243856</v>
      </c>
      <c r="X34" s="47">
        <f t="shared" si="11"/>
        <v>-2638075.3473094702</v>
      </c>
      <c r="Y34" s="18">
        <f t="shared" si="12"/>
        <v>3.2550824025169393E-2</v>
      </c>
    </row>
    <row r="35" spans="1:25">
      <c r="A35" s="2">
        <f>'Monthly Data'!A35</f>
        <v>43374</v>
      </c>
      <c r="B35">
        <f>'Monthly Data'!B35</f>
        <v>2018</v>
      </c>
      <c r="C35">
        <f>'Monthly Data'!C35</f>
        <v>10</v>
      </c>
      <c r="D35" s="3">
        <f>'Monthly Data'!F35</f>
        <v>69000601.688646168</v>
      </c>
      <c r="E35" s="3">
        <f>'Monthly Data'!CN35</f>
        <v>364.80833333333339</v>
      </c>
      <c r="F35" s="3">
        <f>'Monthly Data'!CS35</f>
        <v>8.0958333333333314</v>
      </c>
      <c r="G35" s="3">
        <f>'Monthly Data'!EM35</f>
        <v>0</v>
      </c>
      <c r="H35" s="3">
        <f>'Monthly Data'!ER35</f>
        <v>0</v>
      </c>
      <c r="I35" s="3">
        <f>'Monthly Data'!EG35</f>
        <v>1</v>
      </c>
      <c r="J35" s="3">
        <f>'Monthly Data'!DQ35</f>
        <v>31</v>
      </c>
      <c r="K35" s="3">
        <f>'Monthly Data'!EH35</f>
        <v>34</v>
      </c>
      <c r="M35" s="3">
        <f t="shared" si="13"/>
        <v>-9235786.3729357291</v>
      </c>
      <c r="N35" s="3">
        <f t="shared" si="14"/>
        <v>16308287.389875893</v>
      </c>
      <c r="O35" s="3">
        <f t="shared" si="15"/>
        <v>2164095.3553797654</v>
      </c>
      <c r="P35" s="3">
        <f t="shared" si="16"/>
        <v>0</v>
      </c>
      <c r="Q35" s="3">
        <f t="shared" si="17"/>
        <v>0</v>
      </c>
      <c r="R35" s="3">
        <f t="shared" si="18"/>
        <v>-2958956.3975358699</v>
      </c>
      <c r="S35" s="3">
        <f t="shared" si="19"/>
        <v>59495027.773339681</v>
      </c>
      <c r="T35" s="3">
        <f t="shared" si="20"/>
        <v>3590535.4409769978</v>
      </c>
      <c r="U35" s="47">
        <f t="shared" si="9"/>
        <v>69363203.189100742</v>
      </c>
      <c r="V35" s="47">
        <f>'Monthly Data'!G35+'Monthly Data'!H35</f>
        <v>119506.56616935111</v>
      </c>
      <c r="W35" s="47">
        <f t="shared" si="10"/>
        <v>69482709.755270094</v>
      </c>
      <c r="X35" s="47">
        <f t="shared" si="11"/>
        <v>482108.06662392616</v>
      </c>
      <c r="Y35" s="18">
        <f t="shared" si="12"/>
        <v>6.9870125017077282E-3</v>
      </c>
    </row>
    <row r="36" spans="1:25">
      <c r="A36" s="2">
        <f>'Monthly Data'!A36</f>
        <v>43405</v>
      </c>
      <c r="B36">
        <f>'Monthly Data'!B36</f>
        <v>2018</v>
      </c>
      <c r="C36">
        <f>'Monthly Data'!C36</f>
        <v>11</v>
      </c>
      <c r="D36" s="3">
        <f>'Monthly Data'!F36</f>
        <v>76541361.960276812</v>
      </c>
      <c r="E36" s="3">
        <f>'Monthly Data'!CN36</f>
        <v>563.52499999999998</v>
      </c>
      <c r="F36" s="3">
        <f>'Monthly Data'!CS36</f>
        <v>0</v>
      </c>
      <c r="G36" s="3">
        <f>'Monthly Data'!EM36</f>
        <v>0</v>
      </c>
      <c r="H36" s="3">
        <f>'Monthly Data'!ER36</f>
        <v>0</v>
      </c>
      <c r="I36" s="3">
        <f>'Monthly Data'!EG36</f>
        <v>1</v>
      </c>
      <c r="J36" s="3">
        <f>'Monthly Data'!DQ36</f>
        <v>30</v>
      </c>
      <c r="K36" s="3">
        <f>'Monthly Data'!EH36</f>
        <v>35</v>
      </c>
      <c r="M36" s="3">
        <f t="shared" si="13"/>
        <v>-9235786.3729357291</v>
      </c>
      <c r="N36" s="3">
        <f t="shared" si="14"/>
        <v>25191660.419068854</v>
      </c>
      <c r="O36" s="3">
        <f t="shared" si="15"/>
        <v>0</v>
      </c>
      <c r="P36" s="3">
        <f t="shared" si="16"/>
        <v>0</v>
      </c>
      <c r="Q36" s="3">
        <f t="shared" si="17"/>
        <v>0</v>
      </c>
      <c r="R36" s="3">
        <f t="shared" si="18"/>
        <v>-2958956.3975358699</v>
      </c>
      <c r="S36" s="3">
        <f t="shared" si="19"/>
        <v>57575833.329038396</v>
      </c>
      <c r="T36" s="3">
        <f t="shared" si="20"/>
        <v>3696139.4245351451</v>
      </c>
      <c r="U36" s="47">
        <f t="shared" si="9"/>
        <v>74268890.402170792</v>
      </c>
      <c r="V36" s="47">
        <f>'Monthly Data'!G36+'Monthly Data'!H36</f>
        <v>127375.89029821963</v>
      </c>
      <c r="W36" s="47">
        <f t="shared" si="10"/>
        <v>74396266.29246901</v>
      </c>
      <c r="X36" s="47">
        <f t="shared" si="11"/>
        <v>-2145095.6678078026</v>
      </c>
      <c r="Y36" s="18">
        <f t="shared" si="12"/>
        <v>2.8025313541207398E-2</v>
      </c>
    </row>
    <row r="37" spans="1:25">
      <c r="A37" s="2">
        <f>'Monthly Data'!A37</f>
        <v>43435</v>
      </c>
      <c r="B37">
        <f>'Monthly Data'!B37</f>
        <v>2018</v>
      </c>
      <c r="C37">
        <f>'Monthly Data'!C37</f>
        <v>12</v>
      </c>
      <c r="D37" s="3">
        <f>'Monthly Data'!F37</f>
        <v>87088504.395367563</v>
      </c>
      <c r="E37" s="3">
        <f>'Monthly Data'!CN37</f>
        <v>646.91666666666663</v>
      </c>
      <c r="F37" s="3">
        <f>'Monthly Data'!CS37</f>
        <v>0</v>
      </c>
      <c r="G37" s="3">
        <f>'Monthly Data'!EM37</f>
        <v>0</v>
      </c>
      <c r="H37" s="3">
        <f>'Monthly Data'!ER37</f>
        <v>0</v>
      </c>
      <c r="I37" s="3">
        <f>'Monthly Data'!EG37</f>
        <v>0</v>
      </c>
      <c r="J37" s="3">
        <f>'Monthly Data'!DQ37</f>
        <v>31</v>
      </c>
      <c r="K37" s="3">
        <f>'Monthly Data'!EH37</f>
        <v>36</v>
      </c>
      <c r="M37" s="3">
        <f t="shared" si="13"/>
        <v>-9235786.3729357291</v>
      </c>
      <c r="N37" s="3">
        <f t="shared" si="14"/>
        <v>28919577.633827474</v>
      </c>
      <c r="O37" s="3">
        <f t="shared" si="15"/>
        <v>0</v>
      </c>
      <c r="P37" s="3">
        <f t="shared" si="16"/>
        <v>0</v>
      </c>
      <c r="Q37" s="3">
        <f t="shared" si="17"/>
        <v>0</v>
      </c>
      <c r="R37" s="3">
        <f t="shared" si="18"/>
        <v>0</v>
      </c>
      <c r="S37" s="3">
        <f t="shared" si="19"/>
        <v>59495027.773339681</v>
      </c>
      <c r="T37" s="3">
        <f t="shared" si="20"/>
        <v>3801743.4080932918</v>
      </c>
      <c r="U37" s="47">
        <f t="shared" si="9"/>
        <v>82980562.442324713</v>
      </c>
      <c r="V37" s="47">
        <f>'Monthly Data'!G37+'Monthly Data'!H37</f>
        <v>135245.21442708815</v>
      </c>
      <c r="W37" s="47">
        <f t="shared" si="10"/>
        <v>83115807.656751797</v>
      </c>
      <c r="X37" s="47">
        <f t="shared" si="11"/>
        <v>-3972696.7386157662</v>
      </c>
      <c r="Y37" s="18">
        <f t="shared" si="12"/>
        <v>4.5616775327549236E-2</v>
      </c>
    </row>
    <row r="38" spans="1:25">
      <c r="A38" s="2">
        <f>'Monthly Data'!A38</f>
        <v>43466</v>
      </c>
      <c r="B38">
        <f>'Monthly Data'!B38</f>
        <v>2019</v>
      </c>
      <c r="C38">
        <f>'Monthly Data'!C38</f>
        <v>1</v>
      </c>
      <c r="D38" s="3">
        <f>'Monthly Data'!F38</f>
        <v>93266251.986616805</v>
      </c>
      <c r="E38" s="3">
        <f>'Monthly Data'!CN38</f>
        <v>841.93333333333351</v>
      </c>
      <c r="F38" s="3">
        <f>'Monthly Data'!CS38</f>
        <v>0</v>
      </c>
      <c r="G38" s="3">
        <f>'Monthly Data'!EM38</f>
        <v>0</v>
      </c>
      <c r="H38" s="3">
        <f>'Monthly Data'!ER38</f>
        <v>0</v>
      </c>
      <c r="I38" s="3">
        <f>'Monthly Data'!EG38</f>
        <v>0</v>
      </c>
      <c r="J38" s="3">
        <f>'Monthly Data'!DQ38</f>
        <v>31</v>
      </c>
      <c r="K38" s="3">
        <f>'Monthly Data'!EH38</f>
        <v>37</v>
      </c>
      <c r="M38" s="3">
        <f t="shared" si="13"/>
        <v>-9235786.3729357291</v>
      </c>
      <c r="N38" s="3">
        <f t="shared" si="14"/>
        <v>37637546.921304367</v>
      </c>
      <c r="O38" s="3">
        <f t="shared" si="15"/>
        <v>0</v>
      </c>
      <c r="P38" s="3">
        <f t="shared" si="16"/>
        <v>0</v>
      </c>
      <c r="Q38" s="3">
        <f t="shared" si="17"/>
        <v>0</v>
      </c>
      <c r="R38" s="3">
        <f t="shared" si="18"/>
        <v>0</v>
      </c>
      <c r="S38" s="3">
        <f t="shared" si="19"/>
        <v>59495027.773339681</v>
      </c>
      <c r="T38" s="3">
        <f t="shared" si="20"/>
        <v>3907347.391651439</v>
      </c>
      <c r="U38" s="47">
        <f t="shared" si="9"/>
        <v>91804135.713359758</v>
      </c>
      <c r="V38" s="47">
        <f ca="1">'Monthly Data'!G38+'Monthly Data'!H38</f>
        <v>291272.41026811278</v>
      </c>
      <c r="W38" s="47">
        <f t="shared" ca="1" si="10"/>
        <v>92095408.123627871</v>
      </c>
      <c r="X38" s="47">
        <f t="shared" ca="1" si="11"/>
        <v>-1170843.8629889339</v>
      </c>
      <c r="Y38" s="18">
        <f t="shared" ca="1" si="12"/>
        <v>1.255377843592282E-2</v>
      </c>
    </row>
    <row r="39" spans="1:25">
      <c r="A39" s="2">
        <f>'Monthly Data'!A39</f>
        <v>43497</v>
      </c>
      <c r="B39">
        <f>'Monthly Data'!B39</f>
        <v>2019</v>
      </c>
      <c r="C39">
        <f>'Monthly Data'!C39</f>
        <v>2</v>
      </c>
      <c r="D39" s="3">
        <f>'Monthly Data'!F39</f>
        <v>81230146.850309238</v>
      </c>
      <c r="E39" s="3">
        <f>'Monthly Data'!CN39</f>
        <v>695.30416666666645</v>
      </c>
      <c r="F39" s="3">
        <f>'Monthly Data'!CS39</f>
        <v>0</v>
      </c>
      <c r="G39" s="3">
        <f>'Monthly Data'!EM39</f>
        <v>0</v>
      </c>
      <c r="H39" s="3">
        <f>'Monthly Data'!ER39</f>
        <v>0</v>
      </c>
      <c r="I39" s="3">
        <f>'Monthly Data'!EG39</f>
        <v>0</v>
      </c>
      <c r="J39" s="3">
        <f>'Monthly Data'!DQ39</f>
        <v>28</v>
      </c>
      <c r="K39" s="3">
        <f>'Monthly Data'!EH39</f>
        <v>38</v>
      </c>
      <c r="M39" s="3">
        <f t="shared" si="13"/>
        <v>-9235786.3729357291</v>
      </c>
      <c r="N39" s="3">
        <f t="shared" si="14"/>
        <v>31082678.593905002</v>
      </c>
      <c r="O39" s="3">
        <f t="shared" si="15"/>
        <v>0</v>
      </c>
      <c r="P39" s="3">
        <f t="shared" si="16"/>
        <v>0</v>
      </c>
      <c r="Q39" s="3">
        <f t="shared" si="17"/>
        <v>0</v>
      </c>
      <c r="R39" s="3">
        <f t="shared" si="18"/>
        <v>0</v>
      </c>
      <c r="S39" s="3">
        <f t="shared" si="19"/>
        <v>53737444.440435842</v>
      </c>
      <c r="T39" s="3">
        <f t="shared" si="20"/>
        <v>4012951.3752095858</v>
      </c>
      <c r="U39" s="47">
        <f t="shared" si="9"/>
        <v>79597288.036614701</v>
      </c>
      <c r="V39" s="47">
        <f ca="1">'Monthly Data'!G39+'Monthly Data'!H39</f>
        <v>269430.67868724931</v>
      </c>
      <c r="W39" s="47">
        <f t="shared" ca="1" si="10"/>
        <v>79866718.715301946</v>
      </c>
      <c r="X39" s="47">
        <f t="shared" ca="1" si="11"/>
        <v>-1363428.135007292</v>
      </c>
      <c r="Y39" s="18">
        <f t="shared" ca="1" si="12"/>
        <v>1.6784755264813381E-2</v>
      </c>
    </row>
    <row r="40" spans="1:25">
      <c r="A40" s="2">
        <f>'Monthly Data'!A40</f>
        <v>43525</v>
      </c>
      <c r="B40">
        <f>'Monthly Data'!B40</f>
        <v>2019</v>
      </c>
      <c r="C40">
        <f>'Monthly Data'!C40</f>
        <v>3</v>
      </c>
      <c r="D40" s="3">
        <f>'Monthly Data'!F40</f>
        <v>82213017.384865358</v>
      </c>
      <c r="E40" s="3">
        <f>'Monthly Data'!CN40</f>
        <v>673.45833333333326</v>
      </c>
      <c r="F40" s="3">
        <f>'Monthly Data'!CS40</f>
        <v>0</v>
      </c>
      <c r="G40" s="3">
        <f>'Monthly Data'!EM40</f>
        <v>0</v>
      </c>
      <c r="H40" s="3">
        <f>'Monthly Data'!ER40</f>
        <v>0</v>
      </c>
      <c r="I40" s="3">
        <f>'Monthly Data'!EG40</f>
        <v>1</v>
      </c>
      <c r="J40" s="3">
        <f>'Monthly Data'!DQ40</f>
        <v>31</v>
      </c>
      <c r="K40" s="3">
        <f>'Monthly Data'!EH40</f>
        <v>39</v>
      </c>
      <c r="M40" s="3">
        <f t="shared" si="13"/>
        <v>-9235786.3729357291</v>
      </c>
      <c r="N40" s="3">
        <f t="shared" si="14"/>
        <v>30106088.70897549</v>
      </c>
      <c r="O40" s="3">
        <f t="shared" si="15"/>
        <v>0</v>
      </c>
      <c r="P40" s="3">
        <f t="shared" si="16"/>
        <v>0</v>
      </c>
      <c r="Q40" s="3">
        <f t="shared" si="17"/>
        <v>0</v>
      </c>
      <c r="R40" s="3">
        <f t="shared" si="18"/>
        <v>-2958956.3975358699</v>
      </c>
      <c r="S40" s="3">
        <f t="shared" si="19"/>
        <v>59495027.773339681</v>
      </c>
      <c r="T40" s="3">
        <f t="shared" si="20"/>
        <v>4118555.358767733</v>
      </c>
      <c r="U40" s="47">
        <f t="shared" si="9"/>
        <v>81524929.070611313</v>
      </c>
      <c r="V40" s="47">
        <f ca="1">'Monthly Data'!G40+'Monthly Data'!H40</f>
        <v>268416.56274870352</v>
      </c>
      <c r="W40" s="47">
        <f t="shared" ca="1" si="10"/>
        <v>81793345.633360013</v>
      </c>
      <c r="X40" s="47">
        <f t="shared" ca="1" si="11"/>
        <v>-419671.75150534511</v>
      </c>
      <c r="Y40" s="18">
        <f t="shared" ca="1" si="12"/>
        <v>5.1046873701366263E-3</v>
      </c>
    </row>
    <row r="41" spans="1:25">
      <c r="A41" s="2">
        <f>'Monthly Data'!A41</f>
        <v>43556</v>
      </c>
      <c r="B41">
        <f>'Monthly Data'!B41</f>
        <v>2019</v>
      </c>
      <c r="C41">
        <f>'Monthly Data'!C41</f>
        <v>4</v>
      </c>
      <c r="D41" s="3">
        <f>'Monthly Data'!F41</f>
        <v>69120135.33897163</v>
      </c>
      <c r="E41" s="3">
        <f>'Monthly Data'!CN41</f>
        <v>426.6541666666667</v>
      </c>
      <c r="F41" s="3">
        <f>'Monthly Data'!CS41</f>
        <v>0</v>
      </c>
      <c r="G41" s="3">
        <f>'Monthly Data'!EM41</f>
        <v>0</v>
      </c>
      <c r="H41" s="3">
        <f>'Monthly Data'!ER41</f>
        <v>0</v>
      </c>
      <c r="I41" s="3">
        <f>'Monthly Data'!EG41</f>
        <v>1</v>
      </c>
      <c r="J41" s="3">
        <f>'Monthly Data'!DQ41</f>
        <v>30</v>
      </c>
      <c r="K41" s="3">
        <f>'Monthly Data'!EH41</f>
        <v>40</v>
      </c>
      <c r="M41" s="3">
        <f t="shared" si="13"/>
        <v>-9235786.3729357291</v>
      </c>
      <c r="N41" s="3">
        <f t="shared" si="14"/>
        <v>19073025.833898187</v>
      </c>
      <c r="O41" s="3">
        <f t="shared" si="15"/>
        <v>0</v>
      </c>
      <c r="P41" s="3">
        <f t="shared" si="16"/>
        <v>0</v>
      </c>
      <c r="Q41" s="3">
        <f t="shared" si="17"/>
        <v>0</v>
      </c>
      <c r="R41" s="3">
        <f t="shared" si="18"/>
        <v>-2958956.3975358699</v>
      </c>
      <c r="S41" s="3">
        <f t="shared" si="19"/>
        <v>57575833.329038396</v>
      </c>
      <c r="T41" s="3">
        <f t="shared" si="20"/>
        <v>4224159.3423258802</v>
      </c>
      <c r="U41" s="47">
        <f t="shared" si="9"/>
        <v>68678275.734790862</v>
      </c>
      <c r="V41" s="47">
        <f ca="1">'Monthly Data'!G41+'Monthly Data'!H41</f>
        <v>227336.91014341178</v>
      </c>
      <c r="W41" s="47">
        <f t="shared" ca="1" si="10"/>
        <v>68905612.644934267</v>
      </c>
      <c r="X41" s="47">
        <f t="shared" ca="1" si="11"/>
        <v>-214522.69403736293</v>
      </c>
      <c r="Y41" s="18">
        <f t="shared" ca="1" si="12"/>
        <v>3.103620862217985E-3</v>
      </c>
    </row>
    <row r="42" spans="1:25">
      <c r="A42" s="2">
        <f>'Monthly Data'!A42</f>
        <v>43586</v>
      </c>
      <c r="B42">
        <f>'Monthly Data'!B42</f>
        <v>2019</v>
      </c>
      <c r="C42">
        <f>'Monthly Data'!C42</f>
        <v>5</v>
      </c>
      <c r="D42" s="3">
        <f>'Monthly Data'!F42</f>
        <v>64305201.510792293</v>
      </c>
      <c r="E42" s="3">
        <f>'Monthly Data'!CN42</f>
        <v>267.53464912280702</v>
      </c>
      <c r="F42" s="3">
        <f>'Monthly Data'!CS42</f>
        <v>2.4041666666666686</v>
      </c>
      <c r="G42" s="3">
        <f>'Monthly Data'!EM42</f>
        <v>0</v>
      </c>
      <c r="H42" s="3">
        <f>'Monthly Data'!ER42</f>
        <v>0</v>
      </c>
      <c r="I42" s="3">
        <f>'Monthly Data'!EG42</f>
        <v>1</v>
      </c>
      <c r="J42" s="3">
        <f>'Monthly Data'!DQ42</f>
        <v>31</v>
      </c>
      <c r="K42" s="3">
        <f>'Monthly Data'!EH42</f>
        <v>41</v>
      </c>
      <c r="M42" s="3">
        <f t="shared" si="13"/>
        <v>-9235786.3729357291</v>
      </c>
      <c r="N42" s="3">
        <f t="shared" si="14"/>
        <v>11959792.433408443</v>
      </c>
      <c r="O42" s="3">
        <f t="shared" si="15"/>
        <v>642657.24140716728</v>
      </c>
      <c r="P42" s="3">
        <f t="shared" si="16"/>
        <v>0</v>
      </c>
      <c r="Q42" s="3">
        <f t="shared" si="17"/>
        <v>0</v>
      </c>
      <c r="R42" s="3">
        <f t="shared" si="18"/>
        <v>-2958956.3975358699</v>
      </c>
      <c r="S42" s="3">
        <f t="shared" si="19"/>
        <v>59495027.773339681</v>
      </c>
      <c r="T42" s="3">
        <f t="shared" si="20"/>
        <v>4329763.3258840265</v>
      </c>
      <c r="U42" s="47">
        <f t="shared" si="9"/>
        <v>64232498.003567725</v>
      </c>
      <c r="V42" s="47">
        <f ca="1">'Monthly Data'!G42+'Monthly Data'!H42</f>
        <v>201711.24045898928</v>
      </c>
      <c r="W42" s="47">
        <f t="shared" ca="1" si="10"/>
        <v>64434209.244026713</v>
      </c>
      <c r="X42" s="47">
        <f t="shared" ca="1" si="11"/>
        <v>129007.73323442042</v>
      </c>
      <c r="Y42" s="18">
        <f t="shared" ca="1" si="12"/>
        <v>2.0061788191857101E-3</v>
      </c>
    </row>
    <row r="43" spans="1:25">
      <c r="A43" s="2">
        <f>'Monthly Data'!A43</f>
        <v>43617</v>
      </c>
      <c r="B43">
        <f>'Monthly Data'!B43</f>
        <v>2019</v>
      </c>
      <c r="C43">
        <f>'Monthly Data'!C43</f>
        <v>6</v>
      </c>
      <c r="D43" s="3">
        <f>'Monthly Data'!F43</f>
        <v>71186301.002171904</v>
      </c>
      <c r="E43" s="3">
        <f>'Monthly Data'!CN43</f>
        <v>80.695833333333368</v>
      </c>
      <c r="F43" s="3">
        <f>'Monthly Data'!CS43</f>
        <v>71.666666666666629</v>
      </c>
      <c r="G43" s="3">
        <f>'Monthly Data'!EM43</f>
        <v>0</v>
      </c>
      <c r="H43" s="3">
        <f>'Monthly Data'!ER43</f>
        <v>0</v>
      </c>
      <c r="I43" s="3">
        <f>'Monthly Data'!EG43</f>
        <v>0</v>
      </c>
      <c r="J43" s="3">
        <f>'Monthly Data'!DQ43</f>
        <v>30</v>
      </c>
      <c r="K43" s="3">
        <f>'Monthly Data'!EH43</f>
        <v>42</v>
      </c>
      <c r="M43" s="3">
        <f t="shared" si="13"/>
        <v>-9235786.3729357291</v>
      </c>
      <c r="N43" s="3">
        <f t="shared" si="14"/>
        <v>3607403.4524947633</v>
      </c>
      <c r="O43" s="3">
        <f t="shared" si="15"/>
        <v>19157200.263783816</v>
      </c>
      <c r="P43" s="3">
        <f t="shared" si="16"/>
        <v>0</v>
      </c>
      <c r="Q43" s="3">
        <f t="shared" si="17"/>
        <v>0</v>
      </c>
      <c r="R43" s="3">
        <f t="shared" si="18"/>
        <v>0</v>
      </c>
      <c r="S43" s="3">
        <f t="shared" si="19"/>
        <v>57575833.329038396</v>
      </c>
      <c r="T43" s="3">
        <f t="shared" si="20"/>
        <v>4435367.3094421737</v>
      </c>
      <c r="U43" s="47">
        <f t="shared" ref="U43:U97" si="21">SUM(M43:T43)</f>
        <v>75540017.981823429</v>
      </c>
      <c r="V43" s="47">
        <f ca="1">'Monthly Data'!G43+'Monthly Data'!H43</f>
        <v>176400.56146947545</v>
      </c>
      <c r="W43" s="47">
        <f t="shared" ref="W43:W106" ca="1" si="22">U43+V43</f>
        <v>75716418.54329291</v>
      </c>
      <c r="X43" s="47">
        <f t="shared" ref="X43:X105" ca="1" si="23">W43-D43</f>
        <v>4530117.541121006</v>
      </c>
      <c r="Y43" s="18">
        <f t="shared" ref="Y43:Y97" ca="1" si="24">ABS(X43/D43)</f>
        <v>6.3637490322510107E-2</v>
      </c>
    </row>
    <row r="44" spans="1:25">
      <c r="A44" s="2">
        <f>'Monthly Data'!A44</f>
        <v>43647</v>
      </c>
      <c r="B44">
        <f>'Monthly Data'!B44</f>
        <v>2019</v>
      </c>
      <c r="C44">
        <f>'Monthly Data'!C44</f>
        <v>7</v>
      </c>
      <c r="D44" s="3">
        <f>'Monthly Data'!F44</f>
        <v>107151065.98487787</v>
      </c>
      <c r="E44" s="3">
        <f>'Monthly Data'!CN44</f>
        <v>0.97500000000000497</v>
      </c>
      <c r="F44" s="3">
        <f>'Monthly Data'!CS44</f>
        <v>197.60000000000005</v>
      </c>
      <c r="G44" s="3">
        <f>'Monthly Data'!EM44</f>
        <v>0</v>
      </c>
      <c r="H44" s="3">
        <f>'Monthly Data'!ER44</f>
        <v>0</v>
      </c>
      <c r="I44" s="3">
        <f>'Monthly Data'!EG44</f>
        <v>0</v>
      </c>
      <c r="J44" s="3">
        <f>'Monthly Data'!DQ44</f>
        <v>31</v>
      </c>
      <c r="K44" s="3">
        <f>'Monthly Data'!EH44</f>
        <v>43</v>
      </c>
      <c r="M44" s="3">
        <f t="shared" si="13"/>
        <v>-9235786.3729357291</v>
      </c>
      <c r="N44" s="3">
        <f t="shared" si="14"/>
        <v>43586.121127886538</v>
      </c>
      <c r="O44" s="3">
        <f t="shared" si="15"/>
        <v>52820410.773818865</v>
      </c>
      <c r="P44" s="3">
        <f t="shared" si="16"/>
        <v>0</v>
      </c>
      <c r="Q44" s="3">
        <f t="shared" si="17"/>
        <v>0</v>
      </c>
      <c r="R44" s="3">
        <f t="shared" si="18"/>
        <v>0</v>
      </c>
      <c r="S44" s="3">
        <f t="shared" si="19"/>
        <v>59495027.773339681</v>
      </c>
      <c r="T44" s="3">
        <f t="shared" si="20"/>
        <v>4540971.2930003209</v>
      </c>
      <c r="U44" s="47">
        <f t="shared" si="21"/>
        <v>107664209.58835103</v>
      </c>
      <c r="V44" s="47">
        <f ca="1">'Monthly Data'!G44+'Monthly Data'!H44</f>
        <v>172011.61465287418</v>
      </c>
      <c r="W44" s="47">
        <f t="shared" ca="1" si="22"/>
        <v>107836221.2030039</v>
      </c>
      <c r="X44" s="47">
        <f t="shared" ca="1" si="23"/>
        <v>685155.21812602878</v>
      </c>
      <c r="Y44" s="18">
        <f t="shared" ca="1" si="24"/>
        <v>6.3942921316594657E-3</v>
      </c>
    </row>
    <row r="45" spans="1:25">
      <c r="A45" s="2">
        <f>'Monthly Data'!A45</f>
        <v>43678</v>
      </c>
      <c r="B45">
        <f>'Monthly Data'!B45</f>
        <v>2019</v>
      </c>
      <c r="C45">
        <f>'Monthly Data'!C45</f>
        <v>8</v>
      </c>
      <c r="D45" s="3">
        <f>'Monthly Data'!F45</f>
        <v>90194023.657032549</v>
      </c>
      <c r="E45" s="3">
        <f>'Monthly Data'!CN45</f>
        <v>19.091666666666661</v>
      </c>
      <c r="F45" s="3">
        <f>'Monthly Data'!CS45</f>
        <v>128.07083333333338</v>
      </c>
      <c r="G45" s="3">
        <f>'Monthly Data'!EM45</f>
        <v>0</v>
      </c>
      <c r="H45" s="3">
        <f>'Monthly Data'!ER45</f>
        <v>0</v>
      </c>
      <c r="I45" s="3">
        <f>'Monthly Data'!EG45</f>
        <v>0</v>
      </c>
      <c r="J45" s="3">
        <f>'Monthly Data'!DQ45</f>
        <v>31</v>
      </c>
      <c r="K45" s="3">
        <f>'Monthly Data'!EH45</f>
        <v>44</v>
      </c>
      <c r="M45" s="3">
        <f t="shared" si="13"/>
        <v>-9235786.3729357291</v>
      </c>
      <c r="N45" s="3">
        <f t="shared" si="14"/>
        <v>853468.4060169874</v>
      </c>
      <c r="O45" s="3">
        <f t="shared" si="15"/>
        <v>34234585.145809516</v>
      </c>
      <c r="P45" s="3">
        <f t="shared" si="16"/>
        <v>0</v>
      </c>
      <c r="Q45" s="3">
        <f t="shared" si="17"/>
        <v>0</v>
      </c>
      <c r="R45" s="3">
        <f t="shared" si="18"/>
        <v>0</v>
      </c>
      <c r="S45" s="3">
        <f t="shared" si="19"/>
        <v>59495027.773339681</v>
      </c>
      <c r="T45" s="3">
        <f t="shared" si="20"/>
        <v>4646575.2765584681</v>
      </c>
      <c r="U45" s="47">
        <f t="shared" si="21"/>
        <v>89993870.228788927</v>
      </c>
      <c r="V45" s="47">
        <f ca="1">'Monthly Data'!G45+'Monthly Data'!H45</f>
        <v>176997.71102328339</v>
      </c>
      <c r="W45" s="47">
        <f t="shared" ca="1" si="22"/>
        <v>90170867.939812213</v>
      </c>
      <c r="X45" s="47">
        <f t="shared" ca="1" si="23"/>
        <v>-23155.717220336199</v>
      </c>
      <c r="Y45" s="18">
        <f t="shared" ca="1" si="24"/>
        <v>2.567322787193419E-4</v>
      </c>
    </row>
    <row r="46" spans="1:25">
      <c r="A46" s="2">
        <f>'Monthly Data'!A46</f>
        <v>43709</v>
      </c>
      <c r="B46">
        <f>'Monthly Data'!B46</f>
        <v>2019</v>
      </c>
      <c r="C46">
        <f>'Monthly Data'!C46</f>
        <v>9</v>
      </c>
      <c r="D46" s="3">
        <f>'Monthly Data'!F46</f>
        <v>67071524.924559161</v>
      </c>
      <c r="E46" s="3">
        <f>'Monthly Data'!CN46</f>
        <v>113.56666666666666</v>
      </c>
      <c r="F46" s="3">
        <f>'Monthly Data'!CS46</f>
        <v>32.520833333333329</v>
      </c>
      <c r="G46" s="3">
        <f>'Monthly Data'!EM46</f>
        <v>0</v>
      </c>
      <c r="H46" s="3">
        <f>'Monthly Data'!ER46</f>
        <v>0</v>
      </c>
      <c r="I46" s="3">
        <f>'Monthly Data'!EG46</f>
        <v>1</v>
      </c>
      <c r="J46" s="3">
        <f>'Monthly Data'!DQ46</f>
        <v>30</v>
      </c>
      <c r="K46" s="3">
        <f>'Monthly Data'!EH46</f>
        <v>45</v>
      </c>
      <c r="M46" s="3">
        <f t="shared" si="13"/>
        <v>-9235786.3729357291</v>
      </c>
      <c r="N46" s="3">
        <f t="shared" si="14"/>
        <v>5076851.7840242283</v>
      </c>
      <c r="O46" s="3">
        <f t="shared" si="15"/>
        <v>8693136.5150484163</v>
      </c>
      <c r="P46" s="3">
        <f t="shared" si="16"/>
        <v>0</v>
      </c>
      <c r="Q46" s="3">
        <f t="shared" si="17"/>
        <v>0</v>
      </c>
      <c r="R46" s="3">
        <f t="shared" si="18"/>
        <v>-2958956.3975358699</v>
      </c>
      <c r="S46" s="3">
        <f t="shared" si="19"/>
        <v>57575833.329038396</v>
      </c>
      <c r="T46" s="3">
        <f t="shared" si="20"/>
        <v>4752179.2601166144</v>
      </c>
      <c r="U46" s="47">
        <f t="shared" si="21"/>
        <v>63903258.117756054</v>
      </c>
      <c r="V46" s="47">
        <f ca="1">'Monthly Data'!G46+'Monthly Data'!H46</f>
        <v>191727.41966200457</v>
      </c>
      <c r="W46" s="47">
        <f t="shared" ca="1" si="22"/>
        <v>64094985.53741806</v>
      </c>
      <c r="X46" s="47">
        <f t="shared" ca="1" si="23"/>
        <v>-2976539.3871411011</v>
      </c>
      <c r="Y46" s="18">
        <f t="shared" ca="1" si="24"/>
        <v>4.4378585256396937E-2</v>
      </c>
    </row>
    <row r="47" spans="1:25">
      <c r="A47" s="2">
        <f>'Monthly Data'!A47</f>
        <v>43739</v>
      </c>
      <c r="B47">
        <f>'Monthly Data'!B47</f>
        <v>2019</v>
      </c>
      <c r="C47">
        <f>'Monthly Data'!C47</f>
        <v>10</v>
      </c>
      <c r="D47" s="3">
        <f>'Monthly Data'!F47</f>
        <v>66006267.300730608</v>
      </c>
      <c r="E47" s="3">
        <f>'Monthly Data'!CN47</f>
        <v>303.96666666666664</v>
      </c>
      <c r="F47" s="3">
        <f>'Monthly Data'!CS47</f>
        <v>3.8125000000000036</v>
      </c>
      <c r="G47" s="3">
        <f>'Monthly Data'!EM47</f>
        <v>0</v>
      </c>
      <c r="H47" s="3">
        <f>'Monthly Data'!ER47</f>
        <v>0</v>
      </c>
      <c r="I47" s="3">
        <f>'Monthly Data'!EG47</f>
        <v>1</v>
      </c>
      <c r="J47" s="3">
        <f>'Monthly Data'!DQ47</f>
        <v>31</v>
      </c>
      <c r="K47" s="3">
        <f>'Monthly Data'!EH47</f>
        <v>46</v>
      </c>
      <c r="M47" s="3">
        <f t="shared" si="13"/>
        <v>-9235786.3729357291</v>
      </c>
      <c r="N47" s="3">
        <f t="shared" si="14"/>
        <v>13588438.925305821</v>
      </c>
      <c r="O47" s="3">
        <f t="shared" si="15"/>
        <v>1019118.5024047801</v>
      </c>
      <c r="P47" s="3">
        <f t="shared" si="16"/>
        <v>0</v>
      </c>
      <c r="Q47" s="3">
        <f t="shared" si="17"/>
        <v>0</v>
      </c>
      <c r="R47" s="3">
        <f t="shared" si="18"/>
        <v>-2958956.3975358699</v>
      </c>
      <c r="S47" s="3">
        <f t="shared" si="19"/>
        <v>59495027.773339681</v>
      </c>
      <c r="T47" s="3">
        <f t="shared" si="20"/>
        <v>4857783.2436747616</v>
      </c>
      <c r="U47" s="47">
        <f t="shared" si="21"/>
        <v>66765625.674253449</v>
      </c>
      <c r="V47" s="47">
        <f ca="1">'Monthly Data'!G47+'Monthly Data'!H47</f>
        <v>229414.59617068988</v>
      </c>
      <c r="W47" s="47">
        <f t="shared" ca="1" si="22"/>
        <v>66995040.270424135</v>
      </c>
      <c r="X47" s="47">
        <f t="shared" ca="1" si="23"/>
        <v>988772.96969352663</v>
      </c>
      <c r="Y47" s="18">
        <f t="shared" ca="1" si="24"/>
        <v>1.4979986145688049E-2</v>
      </c>
    </row>
    <row r="48" spans="1:25">
      <c r="A48" s="2">
        <f>'Monthly Data'!A48</f>
        <v>43770</v>
      </c>
      <c r="B48">
        <f>'Monthly Data'!B48</f>
        <v>2019</v>
      </c>
      <c r="C48">
        <f>'Monthly Data'!C48</f>
        <v>11</v>
      </c>
      <c r="D48" s="3">
        <f>'Monthly Data'!F48</f>
        <v>77289206.097642168</v>
      </c>
      <c r="E48" s="3">
        <f>'Monthly Data'!CN48</f>
        <v>589.72500000000002</v>
      </c>
      <c r="F48" s="3">
        <f>'Monthly Data'!CS48</f>
        <v>0</v>
      </c>
      <c r="G48" s="3">
        <f>'Monthly Data'!EM48</f>
        <v>0</v>
      </c>
      <c r="H48" s="3">
        <f>'Monthly Data'!ER48</f>
        <v>0</v>
      </c>
      <c r="I48" s="3">
        <f>'Monthly Data'!EG48</f>
        <v>1</v>
      </c>
      <c r="J48" s="3">
        <f>'Monthly Data'!DQ48</f>
        <v>30</v>
      </c>
      <c r="K48" s="3">
        <f>'Monthly Data'!EH48</f>
        <v>47</v>
      </c>
      <c r="M48" s="3">
        <f t="shared" si="13"/>
        <v>-9235786.3729357291</v>
      </c>
      <c r="N48" s="3">
        <f t="shared" si="14"/>
        <v>26362897.725274622</v>
      </c>
      <c r="O48" s="3">
        <f t="shared" si="15"/>
        <v>0</v>
      </c>
      <c r="P48" s="3">
        <f t="shared" si="16"/>
        <v>0</v>
      </c>
      <c r="Q48" s="3">
        <f t="shared" si="17"/>
        <v>0</v>
      </c>
      <c r="R48" s="3">
        <f t="shared" si="18"/>
        <v>-2958956.3975358699</v>
      </c>
      <c r="S48" s="3">
        <f t="shared" si="19"/>
        <v>57575833.329038396</v>
      </c>
      <c r="T48" s="3">
        <f t="shared" si="20"/>
        <v>4963387.2272329088</v>
      </c>
      <c r="U48" s="47">
        <f t="shared" si="21"/>
        <v>76707375.511074319</v>
      </c>
      <c r="V48" s="47">
        <f ca="1">'Monthly Data'!G48+'Monthly Data'!H48</f>
        <v>286348.1577119336</v>
      </c>
      <c r="W48" s="47">
        <f t="shared" ca="1" si="22"/>
        <v>76993723.668786258</v>
      </c>
      <c r="X48" s="47">
        <f t="shared" ca="1" si="23"/>
        <v>-295482.4288559109</v>
      </c>
      <c r="Y48" s="18">
        <f t="shared" ca="1" si="24"/>
        <v>3.8230749644732743E-3</v>
      </c>
    </row>
    <row r="49" spans="1:25">
      <c r="A49" s="2">
        <f>'Monthly Data'!A49</f>
        <v>43800</v>
      </c>
      <c r="B49">
        <f>'Monthly Data'!B49</f>
        <v>2019</v>
      </c>
      <c r="C49">
        <f>'Monthly Data'!C49</f>
        <v>12</v>
      </c>
      <c r="D49" s="3">
        <f>'Monthly Data'!F49</f>
        <v>88613544.178020924</v>
      </c>
      <c r="E49" s="3">
        <f>'Monthly Data'!CN49</f>
        <v>676.42916666666656</v>
      </c>
      <c r="F49" s="3">
        <f>'Monthly Data'!CS49</f>
        <v>0</v>
      </c>
      <c r="G49" s="3">
        <f>'Monthly Data'!EM49</f>
        <v>0</v>
      </c>
      <c r="H49" s="3">
        <f>'Monthly Data'!ER49</f>
        <v>0</v>
      </c>
      <c r="I49" s="3">
        <f>'Monthly Data'!EG49</f>
        <v>0</v>
      </c>
      <c r="J49" s="3">
        <f>'Monthly Data'!DQ49</f>
        <v>31</v>
      </c>
      <c r="K49" s="3">
        <f>'Monthly Data'!EH49</f>
        <v>48</v>
      </c>
      <c r="M49" s="3">
        <f t="shared" si="13"/>
        <v>-9235786.3729357291</v>
      </c>
      <c r="N49" s="3">
        <f t="shared" si="14"/>
        <v>30238895.992583107</v>
      </c>
      <c r="O49" s="3">
        <f t="shared" si="15"/>
        <v>0</v>
      </c>
      <c r="P49" s="3">
        <f t="shared" si="16"/>
        <v>0</v>
      </c>
      <c r="Q49" s="3">
        <f t="shared" si="17"/>
        <v>0</v>
      </c>
      <c r="R49" s="3">
        <f t="shared" si="18"/>
        <v>0</v>
      </c>
      <c r="S49" s="3">
        <f t="shared" si="19"/>
        <v>59495027.773339681</v>
      </c>
      <c r="T49" s="3">
        <f t="shared" si="20"/>
        <v>5068991.210791056</v>
      </c>
      <c r="U49" s="47">
        <f t="shared" si="21"/>
        <v>85567128.603778109</v>
      </c>
      <c r="V49" s="47">
        <f ca="1">'Monthly Data'!G49+'Monthly Data'!H49</f>
        <v>306118.56791977049</v>
      </c>
      <c r="W49" s="47">
        <f t="shared" ca="1" si="22"/>
        <v>85873247.171697885</v>
      </c>
      <c r="X49" s="47">
        <f t="shared" ca="1" si="23"/>
        <v>-2740297.0063230395</v>
      </c>
      <c r="Y49" s="18">
        <f t="shared" ca="1" si="24"/>
        <v>3.0924132780626591E-2</v>
      </c>
    </row>
    <row r="50" spans="1:25">
      <c r="A50" s="2">
        <f>'Monthly Data'!A50</f>
        <v>43831</v>
      </c>
      <c r="B50">
        <f>'Monthly Data'!B50</f>
        <v>2020</v>
      </c>
      <c r="C50">
        <f>'Monthly Data'!C50</f>
        <v>1</v>
      </c>
      <c r="D50" s="3">
        <f>'Monthly Data'!F50</f>
        <v>86533170.997646317</v>
      </c>
      <c r="E50" s="3">
        <f>'Monthly Data'!CN50</f>
        <v>690.82083333333321</v>
      </c>
      <c r="F50" s="3">
        <f>'Monthly Data'!CS50</f>
        <v>0</v>
      </c>
      <c r="G50" s="3">
        <f>'Monthly Data'!EM50</f>
        <v>0</v>
      </c>
      <c r="H50" s="3">
        <f>'Monthly Data'!ER50</f>
        <v>0</v>
      </c>
      <c r="I50" s="3">
        <f>'Monthly Data'!EG50</f>
        <v>0</v>
      </c>
      <c r="J50" s="3">
        <f>'Monthly Data'!DQ50</f>
        <v>31</v>
      </c>
      <c r="K50" s="3">
        <f>'Monthly Data'!EH50</f>
        <v>49</v>
      </c>
      <c r="M50" s="3">
        <f t="shared" si="13"/>
        <v>-9235786.3729357291</v>
      </c>
      <c r="N50" s="3">
        <f t="shared" si="14"/>
        <v>30882256.942906693</v>
      </c>
      <c r="O50" s="3">
        <f t="shared" si="15"/>
        <v>0</v>
      </c>
      <c r="P50" s="3">
        <f t="shared" si="16"/>
        <v>0</v>
      </c>
      <c r="Q50" s="3">
        <f t="shared" si="17"/>
        <v>0</v>
      </c>
      <c r="R50" s="3">
        <f t="shared" si="18"/>
        <v>0</v>
      </c>
      <c r="S50" s="3">
        <f t="shared" si="19"/>
        <v>59495027.773339681</v>
      </c>
      <c r="T50" s="3">
        <f t="shared" si="20"/>
        <v>5174595.1943492033</v>
      </c>
      <c r="U50" s="47">
        <f t="shared" si="21"/>
        <v>86316093.537659854</v>
      </c>
      <c r="V50" s="47">
        <f ca="1">'Monthly Data'!G50+'Monthly Data'!H50</f>
        <v>687625.29504142096</v>
      </c>
      <c r="W50" s="47">
        <f t="shared" ca="1" si="22"/>
        <v>87003718.832701281</v>
      </c>
      <c r="X50" s="47">
        <f t="shared" ca="1" si="23"/>
        <v>470547.83505496383</v>
      </c>
      <c r="Y50" s="18">
        <f t="shared" ca="1" si="24"/>
        <v>5.4377740885950274E-3</v>
      </c>
    </row>
    <row r="51" spans="1:25">
      <c r="A51" s="2">
        <f>'Monthly Data'!A51</f>
        <v>43862</v>
      </c>
      <c r="B51">
        <f>'Monthly Data'!B51</f>
        <v>2020</v>
      </c>
      <c r="C51">
        <f>'Monthly Data'!C51</f>
        <v>2</v>
      </c>
      <c r="D51" s="3">
        <f>'Monthly Data'!F51</f>
        <v>80597002.760103032</v>
      </c>
      <c r="E51" s="3">
        <f>'Monthly Data'!CN51</f>
        <v>678.4000000000002</v>
      </c>
      <c r="F51" s="3">
        <f>'Monthly Data'!CS51</f>
        <v>0</v>
      </c>
      <c r="G51" s="3">
        <f>'Monthly Data'!EM51</f>
        <v>0</v>
      </c>
      <c r="H51" s="3">
        <f>'Monthly Data'!ER51</f>
        <v>0</v>
      </c>
      <c r="I51" s="3">
        <f>'Monthly Data'!EG51</f>
        <v>0</v>
      </c>
      <c r="J51" s="3">
        <f>'Monthly Data'!DQ51</f>
        <v>29</v>
      </c>
      <c r="K51" s="3">
        <f>'Monthly Data'!EH51</f>
        <v>50</v>
      </c>
      <c r="M51" s="3">
        <f t="shared" si="13"/>
        <v>-9235786.3729357291</v>
      </c>
      <c r="N51" s="3">
        <f t="shared" si="14"/>
        <v>30326999.562213421</v>
      </c>
      <c r="O51" s="3">
        <f t="shared" si="15"/>
        <v>0</v>
      </c>
      <c r="P51" s="3">
        <f t="shared" si="16"/>
        <v>0</v>
      </c>
      <c r="Q51" s="3">
        <f t="shared" si="17"/>
        <v>0</v>
      </c>
      <c r="R51" s="3">
        <f t="shared" si="18"/>
        <v>0</v>
      </c>
      <c r="S51" s="3">
        <f t="shared" si="19"/>
        <v>55656638.884737119</v>
      </c>
      <c r="T51" s="3">
        <f t="shared" si="20"/>
        <v>5280199.1779073495</v>
      </c>
      <c r="U51" s="47">
        <f t="shared" si="21"/>
        <v>82028051.25192216</v>
      </c>
      <c r="V51" s="47">
        <f ca="1">'Monthly Data'!G51+'Monthly Data'!H51</f>
        <v>685888.37287799409</v>
      </c>
      <c r="W51" s="47">
        <f t="shared" ca="1" si="22"/>
        <v>82713939.624800161</v>
      </c>
      <c r="X51" s="47">
        <f t="shared" ca="1" si="23"/>
        <v>2116936.8646971285</v>
      </c>
      <c r="Y51" s="18">
        <f t="shared" ca="1" si="24"/>
        <v>2.6265702100587918E-2</v>
      </c>
    </row>
    <row r="52" spans="1:25">
      <c r="A52" s="2">
        <f>'Monthly Data'!A52</f>
        <v>43891</v>
      </c>
      <c r="B52">
        <f>'Monthly Data'!B52</f>
        <v>2020</v>
      </c>
      <c r="C52">
        <f>'Monthly Data'!C52</f>
        <v>3</v>
      </c>
      <c r="D52" s="3">
        <f>'Monthly Data'!F52</f>
        <v>80217465.977482274</v>
      </c>
      <c r="E52" s="3">
        <f>'Monthly Data'!CN52</f>
        <v>543.57083333333344</v>
      </c>
      <c r="F52" s="3">
        <f>'Monthly Data'!CS52</f>
        <v>0</v>
      </c>
      <c r="G52" s="3">
        <f>'Monthly Data'!EM52</f>
        <v>271.78541666666672</v>
      </c>
      <c r="H52" s="3">
        <f>'Monthly Data'!ER52</f>
        <v>0</v>
      </c>
      <c r="I52" s="3">
        <f>'Monthly Data'!EG52</f>
        <v>1</v>
      </c>
      <c r="J52" s="3">
        <f>'Monthly Data'!DQ52</f>
        <v>31</v>
      </c>
      <c r="K52" s="3">
        <f>'Monthly Data'!EH52</f>
        <v>51</v>
      </c>
      <c r="M52" s="3">
        <f t="shared" si="13"/>
        <v>-9235786.3729357291</v>
      </c>
      <c r="N52" s="3">
        <f t="shared" si="14"/>
        <v>24299635.059746437</v>
      </c>
      <c r="O52" s="3">
        <f t="shared" si="15"/>
        <v>0</v>
      </c>
      <c r="P52" s="3">
        <f t="shared" si="16"/>
        <v>2441467.8265136774</v>
      </c>
      <c r="Q52" s="3">
        <f t="shared" si="17"/>
        <v>0</v>
      </c>
      <c r="R52" s="3">
        <f t="shared" si="18"/>
        <v>-2958956.3975358699</v>
      </c>
      <c r="S52" s="3">
        <f t="shared" si="19"/>
        <v>59495027.773339681</v>
      </c>
      <c r="T52" s="3">
        <f t="shared" si="20"/>
        <v>5385803.1614654968</v>
      </c>
      <c r="U52" s="47">
        <f t="shared" si="21"/>
        <v>79427191.050593689</v>
      </c>
      <c r="V52" s="47">
        <f ca="1">'Monthly Data'!G52+'Monthly Data'!H52</f>
        <v>583347.06314330699</v>
      </c>
      <c r="W52" s="47">
        <f t="shared" ca="1" si="22"/>
        <v>80010538.113737002</v>
      </c>
      <c r="X52" s="47">
        <f t="shared" ca="1" si="23"/>
        <v>-206927.86374527216</v>
      </c>
      <c r="Y52" s="18">
        <f t="shared" ca="1" si="24"/>
        <v>2.5795861440369929E-3</v>
      </c>
    </row>
    <row r="53" spans="1:25">
      <c r="A53" s="2">
        <f>'Monthly Data'!A53</f>
        <v>43922</v>
      </c>
      <c r="B53">
        <f>'Monthly Data'!B53</f>
        <v>2020</v>
      </c>
      <c r="C53">
        <f>'Monthly Data'!C53</f>
        <v>4</v>
      </c>
      <c r="D53" s="3">
        <f>'Monthly Data'!F53</f>
        <v>74770783.685248256</v>
      </c>
      <c r="E53" s="3">
        <f>'Monthly Data'!CN53</f>
        <v>439.67500000000013</v>
      </c>
      <c r="F53" s="3">
        <f>'Monthly Data'!CS53</f>
        <v>0</v>
      </c>
      <c r="G53" s="3">
        <f>'Monthly Data'!EM53</f>
        <v>439.67500000000013</v>
      </c>
      <c r="H53" s="3">
        <f>'Monthly Data'!ER53</f>
        <v>0</v>
      </c>
      <c r="I53" s="3">
        <f>'Monthly Data'!EG53</f>
        <v>1</v>
      </c>
      <c r="J53" s="3">
        <f>'Monthly Data'!DQ53</f>
        <v>30</v>
      </c>
      <c r="K53" s="3">
        <f>'Monthly Data'!EH53</f>
        <v>52</v>
      </c>
      <c r="M53" s="3">
        <f t="shared" si="13"/>
        <v>-9235786.3729357291</v>
      </c>
      <c r="N53" s="3">
        <f t="shared" si="14"/>
        <v>19655105.442977868</v>
      </c>
      <c r="O53" s="3">
        <f t="shared" si="15"/>
        <v>0</v>
      </c>
      <c r="P53" s="3">
        <f t="shared" si="16"/>
        <v>3949631.9551940686</v>
      </c>
      <c r="Q53" s="3">
        <f t="shared" si="17"/>
        <v>0</v>
      </c>
      <c r="R53" s="3">
        <f t="shared" si="18"/>
        <v>-2958956.3975358699</v>
      </c>
      <c r="S53" s="3">
        <f t="shared" si="19"/>
        <v>57575833.329038396</v>
      </c>
      <c r="T53" s="3">
        <f t="shared" si="20"/>
        <v>5491407.145023644</v>
      </c>
      <c r="U53" s="47">
        <f t="shared" si="21"/>
        <v>74477235.101762384</v>
      </c>
      <c r="V53" s="47">
        <f ca="1">'Monthly Data'!G53+'Monthly Data'!H53</f>
        <v>509354.86489918316</v>
      </c>
      <c r="W53" s="47">
        <f t="shared" ca="1" si="22"/>
        <v>74986589.966661572</v>
      </c>
      <c r="X53" s="47">
        <f t="shared" ca="1" si="23"/>
        <v>215806.28141331673</v>
      </c>
      <c r="Y53" s="18">
        <f t="shared" ca="1" si="24"/>
        <v>2.8862380568560734E-3</v>
      </c>
    </row>
    <row r="54" spans="1:25">
      <c r="A54" s="2">
        <f>'Monthly Data'!A54</f>
        <v>43952</v>
      </c>
      <c r="B54">
        <f>'Monthly Data'!B54</f>
        <v>2020</v>
      </c>
      <c r="C54">
        <f>'Monthly Data'!C54</f>
        <v>5</v>
      </c>
      <c r="D54" s="3">
        <f>'Monthly Data'!F54</f>
        <v>76965245.289090574</v>
      </c>
      <c r="E54" s="3">
        <f>'Monthly Data'!CN54</f>
        <v>265.14107142857148</v>
      </c>
      <c r="F54" s="3">
        <f>'Monthly Data'!CS54</f>
        <v>31.450595238095232</v>
      </c>
      <c r="G54" s="3">
        <f>'Monthly Data'!EM54</f>
        <v>265.14107142857148</v>
      </c>
      <c r="H54" s="3">
        <f>'Monthly Data'!ER54</f>
        <v>31.450595238095232</v>
      </c>
      <c r="I54" s="3">
        <f>'Monthly Data'!EG54</f>
        <v>1</v>
      </c>
      <c r="J54" s="3">
        <f>'Monthly Data'!DQ54</f>
        <v>31</v>
      </c>
      <c r="K54" s="3">
        <f>'Monthly Data'!EH54</f>
        <v>53</v>
      </c>
      <c r="M54" s="3">
        <f t="shared" si="13"/>
        <v>-9235786.3729357291</v>
      </c>
      <c r="N54" s="3">
        <f t="shared" si="14"/>
        <v>11852790.620782845</v>
      </c>
      <c r="O54" s="3">
        <f t="shared" si="15"/>
        <v>8407051.4147636704</v>
      </c>
      <c r="P54" s="3">
        <f t="shared" si="16"/>
        <v>2381781.1982684452</v>
      </c>
      <c r="Q54" s="3">
        <f t="shared" si="17"/>
        <v>1078493.723897838</v>
      </c>
      <c r="R54" s="3">
        <f t="shared" si="18"/>
        <v>-2958956.3975358699</v>
      </c>
      <c r="S54" s="3">
        <f t="shared" si="19"/>
        <v>59495027.773339681</v>
      </c>
      <c r="T54" s="3">
        <f t="shared" si="20"/>
        <v>5597011.1285817912</v>
      </c>
      <c r="U54" s="47">
        <f t="shared" si="21"/>
        <v>76617413.089162678</v>
      </c>
      <c r="V54" s="47">
        <f ca="1">'Monthly Data'!G54+'Monthly Data'!H54</f>
        <v>385085.62369339488</v>
      </c>
      <c r="W54" s="47">
        <f t="shared" ca="1" si="22"/>
        <v>77002498.712856069</v>
      </c>
      <c r="X54" s="47">
        <f t="shared" ca="1" si="23"/>
        <v>37253.42376549542</v>
      </c>
      <c r="Y54" s="18">
        <f t="shared" ca="1" si="24"/>
        <v>4.8402916960203464E-4</v>
      </c>
    </row>
    <row r="55" spans="1:25">
      <c r="A55" s="2">
        <f>'Monthly Data'!A55</f>
        <v>43983</v>
      </c>
      <c r="B55">
        <f>'Monthly Data'!B55</f>
        <v>2020</v>
      </c>
      <c r="C55">
        <f>'Monthly Data'!C55</f>
        <v>6</v>
      </c>
      <c r="D55" s="3">
        <f>'Monthly Data'!F55</f>
        <v>91291774.259264022</v>
      </c>
      <c r="E55" s="3">
        <f>'Monthly Data'!CN55</f>
        <v>53.275000000000006</v>
      </c>
      <c r="F55" s="3">
        <f>'Monthly Data'!CS55</f>
        <v>115.68206521739128</v>
      </c>
      <c r="G55" s="3">
        <f>'Monthly Data'!EM55</f>
        <v>26.637500000000003</v>
      </c>
      <c r="H55" s="3">
        <f>'Monthly Data'!ER55</f>
        <v>57.841032608695642</v>
      </c>
      <c r="I55" s="3">
        <f>'Monthly Data'!EG55</f>
        <v>0</v>
      </c>
      <c r="J55" s="3">
        <f>'Monthly Data'!DQ55</f>
        <v>30</v>
      </c>
      <c r="K55" s="3">
        <f>'Monthly Data'!EH55</f>
        <v>54</v>
      </c>
      <c r="M55" s="3">
        <f t="shared" si="13"/>
        <v>-9235786.3729357291</v>
      </c>
      <c r="N55" s="3">
        <f t="shared" si="14"/>
        <v>2381590.362141686</v>
      </c>
      <c r="O55" s="3">
        <f t="shared" si="15"/>
        <v>30922946.376246504</v>
      </c>
      <c r="P55" s="3">
        <f t="shared" si="16"/>
        <v>239286.56668330467</v>
      </c>
      <c r="Q55" s="3">
        <f t="shared" si="17"/>
        <v>1983466.1372859436</v>
      </c>
      <c r="R55" s="3">
        <f t="shared" si="18"/>
        <v>0</v>
      </c>
      <c r="S55" s="3">
        <f t="shared" si="19"/>
        <v>57575833.329038396</v>
      </c>
      <c r="T55" s="3">
        <f t="shared" si="20"/>
        <v>5702615.1121399375</v>
      </c>
      <c r="U55" s="47">
        <f t="shared" si="21"/>
        <v>89569951.510600045</v>
      </c>
      <c r="V55" s="47">
        <f ca="1">'Monthly Data'!G55+'Monthly Data'!H55</f>
        <v>248397.92388893635</v>
      </c>
      <c r="W55" s="47">
        <f t="shared" ca="1" si="22"/>
        <v>89818349.434488982</v>
      </c>
      <c r="X55" s="47">
        <f t="shared" ca="1" si="23"/>
        <v>-1473424.8247750401</v>
      </c>
      <c r="Y55" s="18">
        <f t="shared" ca="1" si="24"/>
        <v>1.6139732596176608E-2</v>
      </c>
    </row>
    <row r="56" spans="1:25">
      <c r="A56" s="2">
        <f>'Monthly Data'!A56</f>
        <v>44013</v>
      </c>
      <c r="B56">
        <f>'Monthly Data'!B56</f>
        <v>2020</v>
      </c>
      <c r="C56">
        <f>'Monthly Data'!C56</f>
        <v>7</v>
      </c>
      <c r="D56" s="3">
        <f>'Monthly Data'!F56</f>
        <v>126619132.01198232</v>
      </c>
      <c r="E56" s="3">
        <f>'Monthly Data'!CN56</f>
        <v>0</v>
      </c>
      <c r="F56" s="3">
        <f>'Monthly Data'!CS56</f>
        <v>246.88749999999999</v>
      </c>
      <c r="G56" s="3">
        <f>'Monthly Data'!EM56</f>
        <v>0</v>
      </c>
      <c r="H56" s="3">
        <f>'Monthly Data'!ER56</f>
        <v>123.44374999999999</v>
      </c>
      <c r="I56" s="3">
        <f>'Monthly Data'!EG56</f>
        <v>0</v>
      </c>
      <c r="J56" s="3">
        <f>'Monthly Data'!DQ56</f>
        <v>31</v>
      </c>
      <c r="K56" s="3">
        <f>'Monthly Data'!EH56</f>
        <v>55</v>
      </c>
      <c r="M56" s="3">
        <f t="shared" si="13"/>
        <v>-9235786.3729357291</v>
      </c>
      <c r="N56" s="3">
        <f t="shared" si="14"/>
        <v>0</v>
      </c>
      <c r="O56" s="3">
        <f t="shared" si="15"/>
        <v>65995441.118022271</v>
      </c>
      <c r="P56" s="3">
        <f t="shared" si="16"/>
        <v>0</v>
      </c>
      <c r="Q56" s="3">
        <f t="shared" si="17"/>
        <v>4233093.479520319</v>
      </c>
      <c r="R56" s="3">
        <f t="shared" si="18"/>
        <v>0</v>
      </c>
      <c r="S56" s="3">
        <f t="shared" si="19"/>
        <v>59495027.773339681</v>
      </c>
      <c r="T56" s="3">
        <f t="shared" si="20"/>
        <v>5808219.0956980847</v>
      </c>
      <c r="U56" s="47">
        <f t="shared" si="21"/>
        <v>126295995.09364463</v>
      </c>
      <c r="V56" s="47">
        <f ca="1">'Monthly Data'!G56+'Monthly Data'!H56</f>
        <v>230186.6441810338</v>
      </c>
      <c r="W56" s="47">
        <f t="shared" ca="1" si="22"/>
        <v>126526181.73782566</v>
      </c>
      <c r="X56" s="47">
        <f t="shared" ca="1" si="23"/>
        <v>-92950.274156659842</v>
      </c>
      <c r="Y56" s="18">
        <f t="shared" ca="1" si="24"/>
        <v>7.3409343974861318E-4</v>
      </c>
    </row>
    <row r="57" spans="1:25">
      <c r="A57" s="2">
        <f>'Monthly Data'!A57</f>
        <v>44044</v>
      </c>
      <c r="B57">
        <f>'Monthly Data'!B57</f>
        <v>2020</v>
      </c>
      <c r="C57">
        <f>'Monthly Data'!C57</f>
        <v>8</v>
      </c>
      <c r="D57" s="3">
        <f>'Monthly Data'!F57</f>
        <v>104684006.40518785</v>
      </c>
      <c r="E57" s="3">
        <f>'Monthly Data'!CN57</f>
        <v>19.720833333333321</v>
      </c>
      <c r="F57" s="3">
        <f>'Monthly Data'!CS57</f>
        <v>154.93106060606064</v>
      </c>
      <c r="G57" s="3">
        <f>'Monthly Data'!EM57</f>
        <v>9.8604166666666604</v>
      </c>
      <c r="H57" s="3">
        <f>'Monthly Data'!ER57</f>
        <v>77.46553030303032</v>
      </c>
      <c r="I57" s="3">
        <f>'Monthly Data'!EG57</f>
        <v>0</v>
      </c>
      <c r="J57" s="3">
        <f>'Monthly Data'!DQ57</f>
        <v>31</v>
      </c>
      <c r="K57" s="3">
        <f>'Monthly Data'!EH57</f>
        <v>56</v>
      </c>
      <c r="M57" s="3">
        <f t="shared" si="13"/>
        <v>-9235786.3729357291</v>
      </c>
      <c r="N57" s="3">
        <f t="shared" si="14"/>
        <v>881594.49272771704</v>
      </c>
      <c r="O57" s="3">
        <f t="shared" si="15"/>
        <v>41414586.350382321</v>
      </c>
      <c r="P57" s="3">
        <f t="shared" si="16"/>
        <v>88576.827789150644</v>
      </c>
      <c r="Q57" s="3">
        <f t="shared" si="17"/>
        <v>2656423.1175198532</v>
      </c>
      <c r="R57" s="3">
        <f t="shared" si="18"/>
        <v>0</v>
      </c>
      <c r="S57" s="3">
        <f t="shared" si="19"/>
        <v>59495027.773339681</v>
      </c>
      <c r="T57" s="3">
        <f t="shared" si="20"/>
        <v>5913823.0792562319</v>
      </c>
      <c r="U57" s="47">
        <f t="shared" si="21"/>
        <v>101214245.26807922</v>
      </c>
      <c r="V57" s="47">
        <f ca="1">'Monthly Data'!G57+'Monthly Data'!H57</f>
        <v>237654.74916562464</v>
      </c>
      <c r="W57" s="47">
        <f t="shared" ca="1" si="22"/>
        <v>101451900.01724485</v>
      </c>
      <c r="X57" s="47">
        <f t="shared" ca="1" si="23"/>
        <v>-3232106.3879429996</v>
      </c>
      <c r="Y57" s="18">
        <f t="shared" ca="1" si="24"/>
        <v>3.0874882409762505E-2</v>
      </c>
    </row>
    <row r="58" spans="1:25">
      <c r="A58" s="2">
        <f>'Monthly Data'!A58</f>
        <v>44075</v>
      </c>
      <c r="B58">
        <f>'Monthly Data'!B58</f>
        <v>2020</v>
      </c>
      <c r="C58">
        <f>'Monthly Data'!C58</f>
        <v>9</v>
      </c>
      <c r="D58" s="3">
        <f>'Monthly Data'!F58</f>
        <v>72302792.326422647</v>
      </c>
      <c r="E58" s="3">
        <f>'Monthly Data'!CN58</f>
        <v>132.75869565217394</v>
      </c>
      <c r="F58" s="3">
        <f>'Monthly Data'!CS58</f>
        <v>37.879166666666663</v>
      </c>
      <c r="G58" s="3">
        <f>'Monthly Data'!EM58</f>
        <v>66.37934782608697</v>
      </c>
      <c r="H58" s="3">
        <f>'Monthly Data'!ER58</f>
        <v>18.939583333333331</v>
      </c>
      <c r="I58" s="3">
        <f>'Monthly Data'!EG58</f>
        <v>1</v>
      </c>
      <c r="J58" s="3">
        <f>'Monthly Data'!DQ58</f>
        <v>30</v>
      </c>
      <c r="K58" s="3">
        <f>'Monthly Data'!EH58</f>
        <v>57</v>
      </c>
      <c r="M58" s="3">
        <f t="shared" si="13"/>
        <v>-9235786.3729357291</v>
      </c>
      <c r="N58" s="3">
        <f t="shared" si="14"/>
        <v>5934806.7584367665</v>
      </c>
      <c r="O58" s="3">
        <f t="shared" si="15"/>
        <v>10125471.37198016</v>
      </c>
      <c r="P58" s="3">
        <f t="shared" si="16"/>
        <v>596290.42665344849</v>
      </c>
      <c r="Q58" s="3">
        <f t="shared" si="17"/>
        <v>649470.11665770877</v>
      </c>
      <c r="R58" s="3">
        <f t="shared" si="18"/>
        <v>-2958956.3975358699</v>
      </c>
      <c r="S58" s="3">
        <f t="shared" si="19"/>
        <v>57575833.329038396</v>
      </c>
      <c r="T58" s="3">
        <f t="shared" si="20"/>
        <v>6019427.0628143791</v>
      </c>
      <c r="U58" s="47">
        <f t="shared" si="21"/>
        <v>68706556.295109257</v>
      </c>
      <c r="V58" s="47">
        <f ca="1">'Monthly Data'!G58+'Monthly Data'!H58</f>
        <v>305467.91681025934</v>
      </c>
      <c r="W58" s="47">
        <f t="shared" ca="1" si="22"/>
        <v>69012024.211919516</v>
      </c>
      <c r="X58" s="47">
        <f t="shared" ca="1" si="23"/>
        <v>-3290768.1145031303</v>
      </c>
      <c r="Y58" s="18">
        <f t="shared" ca="1" si="24"/>
        <v>4.5513707128300461E-2</v>
      </c>
    </row>
    <row r="59" spans="1:25">
      <c r="A59" s="2">
        <f>'Monthly Data'!A59</f>
        <v>44105</v>
      </c>
      <c r="B59">
        <f>'Monthly Data'!B59</f>
        <v>2020</v>
      </c>
      <c r="C59">
        <f>'Monthly Data'!C59</f>
        <v>10</v>
      </c>
      <c r="D59" s="3">
        <f>'Monthly Data'!F59</f>
        <v>71429026.136370674</v>
      </c>
      <c r="E59" s="3">
        <f>'Monthly Data'!CN59</f>
        <v>349.83333333333326</v>
      </c>
      <c r="F59" s="3">
        <f>'Monthly Data'!CS59</f>
        <v>0.22916666666666785</v>
      </c>
      <c r="G59" s="3">
        <f>'Monthly Data'!EM59</f>
        <v>174.91666666666663</v>
      </c>
      <c r="H59" s="3">
        <f>'Monthly Data'!ER59</f>
        <v>0.11458333333333393</v>
      </c>
      <c r="I59" s="3">
        <f>'Monthly Data'!EG59</f>
        <v>1</v>
      </c>
      <c r="J59" s="3">
        <f>'Monthly Data'!DQ59</f>
        <v>31</v>
      </c>
      <c r="K59" s="3">
        <f>'Monthly Data'!EH59</f>
        <v>58</v>
      </c>
      <c r="M59" s="3">
        <f t="shared" si="13"/>
        <v>-9235786.3729357291</v>
      </c>
      <c r="N59" s="3">
        <f t="shared" si="14"/>
        <v>15638849.273065532</v>
      </c>
      <c r="O59" s="3">
        <f t="shared" si="15"/>
        <v>61258.489215588139</v>
      </c>
      <c r="P59" s="3">
        <f t="shared" si="16"/>
        <v>1571288.9205952021</v>
      </c>
      <c r="Q59" s="3">
        <f t="shared" si="17"/>
        <v>3929.2549132300264</v>
      </c>
      <c r="R59" s="3">
        <f t="shared" si="18"/>
        <v>-2958956.3975358699</v>
      </c>
      <c r="S59" s="3">
        <f t="shared" si="19"/>
        <v>59495027.773339681</v>
      </c>
      <c r="T59" s="3">
        <f t="shared" si="20"/>
        <v>6125031.0463725254</v>
      </c>
      <c r="U59" s="47">
        <f t="shared" si="21"/>
        <v>70700641.987030163</v>
      </c>
      <c r="V59" s="47">
        <f ca="1">'Monthly Data'!G59+'Monthly Data'!H59</f>
        <v>466995.94591451192</v>
      </c>
      <c r="W59" s="47">
        <f t="shared" ca="1" si="22"/>
        <v>71167637.93294467</v>
      </c>
      <c r="X59" s="47">
        <f t="shared" ca="1" si="23"/>
        <v>-261388.20342600346</v>
      </c>
      <c r="Y59" s="18">
        <f t="shared" ca="1" si="24"/>
        <v>3.6594115524824183E-3</v>
      </c>
    </row>
    <row r="60" spans="1:25">
      <c r="A60" s="2">
        <f>'Monthly Data'!A60</f>
        <v>44136</v>
      </c>
      <c r="B60">
        <f>'Monthly Data'!B60</f>
        <v>2020</v>
      </c>
      <c r="C60">
        <f>'Monthly Data'!C60</f>
        <v>11</v>
      </c>
      <c r="D60" s="3">
        <f>'Monthly Data'!F60</f>
        <v>75181382.850546017</v>
      </c>
      <c r="E60" s="3">
        <f>'Monthly Data'!CN60</f>
        <v>426.30072463768113</v>
      </c>
      <c r="F60" s="3">
        <f>'Monthly Data'!CS60</f>
        <v>0</v>
      </c>
      <c r="G60" s="3">
        <f>'Monthly Data'!EM60</f>
        <v>213.15036231884056</v>
      </c>
      <c r="H60" s="3">
        <f>'Monthly Data'!ER60</f>
        <v>0</v>
      </c>
      <c r="I60" s="3">
        <f>'Monthly Data'!EG60</f>
        <v>1</v>
      </c>
      <c r="J60" s="3">
        <f>'Monthly Data'!DQ60</f>
        <v>30</v>
      </c>
      <c r="K60" s="3">
        <f>'Monthly Data'!EH60</f>
        <v>59</v>
      </c>
      <c r="M60" s="3">
        <f t="shared" si="13"/>
        <v>-9235786.3729357291</v>
      </c>
      <c r="N60" s="3">
        <f t="shared" si="14"/>
        <v>19057225.66252685</v>
      </c>
      <c r="O60" s="3">
        <f t="shared" si="15"/>
        <v>0</v>
      </c>
      <c r="P60" s="3">
        <f t="shared" si="16"/>
        <v>1914744.9417767352</v>
      </c>
      <c r="Q60" s="3">
        <f t="shared" si="17"/>
        <v>0</v>
      </c>
      <c r="R60" s="3">
        <f t="shared" si="18"/>
        <v>-2958956.3975358699</v>
      </c>
      <c r="S60" s="3">
        <f t="shared" si="19"/>
        <v>57575833.329038396</v>
      </c>
      <c r="T60" s="3">
        <f t="shared" si="20"/>
        <v>6230635.0299306726</v>
      </c>
      <c r="U60" s="47">
        <f t="shared" si="21"/>
        <v>72583696.192801058</v>
      </c>
      <c r="V60" s="47">
        <f ca="1">'Monthly Data'!G60+'Monthly Data'!H60</f>
        <v>532422.78581963025</v>
      </c>
      <c r="W60" s="47">
        <f t="shared" ca="1" si="22"/>
        <v>73116118.978620693</v>
      </c>
      <c r="X60" s="47">
        <f t="shared" ca="1" si="23"/>
        <v>-2065263.8719253242</v>
      </c>
      <c r="Y60" s="18">
        <f t="shared" ca="1" si="24"/>
        <v>2.7470416127233086E-2</v>
      </c>
    </row>
    <row r="61" spans="1:25">
      <c r="A61" s="2">
        <f>'Monthly Data'!A61</f>
        <v>44166</v>
      </c>
      <c r="B61">
        <f>'Monthly Data'!B61</f>
        <v>2020</v>
      </c>
      <c r="C61">
        <f>'Monthly Data'!C61</f>
        <v>12</v>
      </c>
      <c r="D61" s="3">
        <f>'Monthly Data'!F61</f>
        <v>91980342.065371081</v>
      </c>
      <c r="E61" s="3">
        <f>'Monthly Data'!CN61</f>
        <v>644.90416666666681</v>
      </c>
      <c r="F61" s="3">
        <f>'Monthly Data'!CS61</f>
        <v>0</v>
      </c>
      <c r="G61" s="3">
        <f>'Monthly Data'!EM61</f>
        <v>322.45208333333341</v>
      </c>
      <c r="H61" s="3">
        <f>'Monthly Data'!ER61</f>
        <v>0</v>
      </c>
      <c r="I61" s="3">
        <f>'Monthly Data'!EG61</f>
        <v>0</v>
      </c>
      <c r="J61" s="3">
        <f>'Monthly Data'!DQ61</f>
        <v>31</v>
      </c>
      <c r="K61" s="3">
        <f>'Monthly Data'!EH61</f>
        <v>60</v>
      </c>
      <c r="M61" s="3">
        <f t="shared" si="13"/>
        <v>-9235786.3729357291</v>
      </c>
      <c r="N61" s="3">
        <f t="shared" si="14"/>
        <v>28829611.409448128</v>
      </c>
      <c r="O61" s="3">
        <f t="shared" si="15"/>
        <v>0</v>
      </c>
      <c r="P61" s="3">
        <f t="shared" si="16"/>
        <v>2896610.1150900871</v>
      </c>
      <c r="Q61" s="3">
        <f t="shared" si="17"/>
        <v>0</v>
      </c>
      <c r="R61" s="3">
        <f t="shared" si="18"/>
        <v>0</v>
      </c>
      <c r="S61" s="3">
        <f t="shared" si="19"/>
        <v>59495027.773339681</v>
      </c>
      <c r="T61" s="3">
        <f t="shared" si="20"/>
        <v>6336239.0134888198</v>
      </c>
      <c r="U61" s="47">
        <f t="shared" si="21"/>
        <v>88321701.93843098</v>
      </c>
      <c r="V61" s="47">
        <f ca="1">'Monthly Data'!G61+'Monthly Data'!H61</f>
        <v>704627.46452449018</v>
      </c>
      <c r="W61" s="47">
        <f t="shared" ca="1" si="22"/>
        <v>89026329.402955472</v>
      </c>
      <c r="X61" s="47">
        <f t="shared" ca="1" si="23"/>
        <v>-2954012.6624156088</v>
      </c>
      <c r="Y61" s="18">
        <f t="shared" ca="1" si="24"/>
        <v>3.2115695550644627E-2</v>
      </c>
    </row>
    <row r="62" spans="1:25">
      <c r="A62" s="2">
        <f>'Monthly Data'!A62</f>
        <v>44197</v>
      </c>
      <c r="B62">
        <f>'Monthly Data'!B62</f>
        <v>2021</v>
      </c>
      <c r="C62">
        <f>'Monthly Data'!C62</f>
        <v>1</v>
      </c>
      <c r="D62" s="3">
        <f ca="1">'Monthly Data'!F62</f>
        <v>93220757.859496057</v>
      </c>
      <c r="E62" s="3">
        <f>'Monthly Data'!CN62</f>
        <v>715.50416666666661</v>
      </c>
      <c r="F62" s="3">
        <f>'Monthly Data'!CS62</f>
        <v>0</v>
      </c>
      <c r="G62" s="3">
        <f>'Monthly Data'!EM62</f>
        <v>357.7520833333333</v>
      </c>
      <c r="H62" s="3">
        <f>'Monthly Data'!ER62</f>
        <v>0</v>
      </c>
      <c r="I62" s="3">
        <f>'Monthly Data'!EG62</f>
        <v>0</v>
      </c>
      <c r="J62" s="3">
        <f>'Monthly Data'!DQ62</f>
        <v>31</v>
      </c>
      <c r="K62" s="3">
        <f>'Monthly Data'!EH62</f>
        <v>61</v>
      </c>
      <c r="M62" s="3">
        <f t="shared" si="13"/>
        <v>-9235786.3729357291</v>
      </c>
      <c r="N62" s="3">
        <f t="shared" si="14"/>
        <v>31985693.61624686</v>
      </c>
      <c r="O62" s="3">
        <f t="shared" si="15"/>
        <v>0</v>
      </c>
      <c r="P62" s="3">
        <f t="shared" si="16"/>
        <v>3213712.5385127291</v>
      </c>
      <c r="Q62" s="3">
        <f t="shared" si="17"/>
        <v>0</v>
      </c>
      <c r="R62" s="3">
        <f t="shared" si="18"/>
        <v>0</v>
      </c>
      <c r="S62" s="3">
        <f t="shared" si="19"/>
        <v>59495027.773339681</v>
      </c>
      <c r="T62" s="3">
        <f t="shared" si="20"/>
        <v>6441842.997046967</v>
      </c>
      <c r="U62" s="47">
        <f t="shared" si="21"/>
        <v>91900490.552210495</v>
      </c>
      <c r="V62" s="47">
        <f ca="1">'Monthly Data'!G62+'Monthly Data'!H62</f>
        <v>1230972.353359605</v>
      </c>
      <c r="W62" s="47">
        <f t="shared" ca="1" si="22"/>
        <v>93131462.905570105</v>
      </c>
      <c r="X62" s="47">
        <f t="shared" ca="1" si="23"/>
        <v>-89294.953925952315</v>
      </c>
      <c r="Y62" s="18">
        <f t="shared" ca="1" si="24"/>
        <v>9.5788701976162022E-4</v>
      </c>
    </row>
    <row r="63" spans="1:25">
      <c r="A63" s="2">
        <f>'Monthly Data'!A63</f>
        <v>44228</v>
      </c>
      <c r="B63">
        <f>'Monthly Data'!B63</f>
        <v>2021</v>
      </c>
      <c r="C63">
        <f>'Monthly Data'!C63</f>
        <v>2</v>
      </c>
      <c r="D63" s="3">
        <f ca="1">'Monthly Data'!F63</f>
        <v>86478583.779347882</v>
      </c>
      <c r="E63" s="3">
        <f>'Monthly Data'!CN63</f>
        <v>709.45416666666654</v>
      </c>
      <c r="F63" s="3">
        <f>'Monthly Data'!CS63</f>
        <v>0</v>
      </c>
      <c r="G63" s="3">
        <f>'Monthly Data'!EM63</f>
        <v>354.72708333333327</v>
      </c>
      <c r="H63" s="3">
        <f>'Monthly Data'!ER63</f>
        <v>0</v>
      </c>
      <c r="I63" s="3">
        <f>'Monthly Data'!EG63</f>
        <v>0</v>
      </c>
      <c r="J63" s="3">
        <f>'Monthly Data'!DQ63</f>
        <v>28</v>
      </c>
      <c r="K63" s="3">
        <f>'Monthly Data'!EH63</f>
        <v>62</v>
      </c>
      <c r="M63" s="3">
        <f t="shared" si="13"/>
        <v>-9235786.3729357291</v>
      </c>
      <c r="N63" s="3">
        <f t="shared" si="14"/>
        <v>31715236.146684077</v>
      </c>
      <c r="O63" s="3">
        <f t="shared" si="15"/>
        <v>0</v>
      </c>
      <c r="P63" s="3">
        <f t="shared" si="16"/>
        <v>3186538.7472704202</v>
      </c>
      <c r="Q63" s="3">
        <f t="shared" si="17"/>
        <v>0</v>
      </c>
      <c r="R63" s="3">
        <f t="shared" si="18"/>
        <v>0</v>
      </c>
      <c r="S63" s="3">
        <f t="shared" si="19"/>
        <v>53737444.440435842</v>
      </c>
      <c r="T63" s="3">
        <f t="shared" si="20"/>
        <v>6547446.9806051133</v>
      </c>
      <c r="U63" s="47">
        <f t="shared" si="21"/>
        <v>85950879.942059711</v>
      </c>
      <c r="V63" s="47">
        <f ca="1">'Monthly Data'!G63+'Monthly Data'!H63</f>
        <v>1240304.8865661772</v>
      </c>
      <c r="W63" s="47">
        <f t="shared" ca="1" si="22"/>
        <v>87191184.828625888</v>
      </c>
      <c r="X63" s="47">
        <f t="shared" ca="1" si="23"/>
        <v>712601.04927800596</v>
      </c>
      <c r="Y63" s="18">
        <f t="shared" ca="1" si="24"/>
        <v>8.2402025812104429E-3</v>
      </c>
    </row>
    <row r="64" spans="1:25">
      <c r="A64" s="2">
        <f>'Monthly Data'!A64</f>
        <v>44256</v>
      </c>
      <c r="B64">
        <f>'Monthly Data'!B64</f>
        <v>2021</v>
      </c>
      <c r="C64">
        <f>'Monthly Data'!C64</f>
        <v>3</v>
      </c>
      <c r="D64" s="3">
        <f ca="1">'Monthly Data'!F64</f>
        <v>82071840.750839874</v>
      </c>
      <c r="E64" s="3">
        <f>'Monthly Data'!CN64</f>
        <v>554.59637681159427</v>
      </c>
      <c r="F64" s="3">
        <f>'Monthly Data'!CS64</f>
        <v>0</v>
      </c>
      <c r="G64" s="3">
        <f>'Monthly Data'!EM64</f>
        <v>277.29818840579713</v>
      </c>
      <c r="H64" s="3">
        <f>'Monthly Data'!ER64</f>
        <v>0</v>
      </c>
      <c r="I64" s="3">
        <f>'Monthly Data'!EG64</f>
        <v>1</v>
      </c>
      <c r="J64" s="3">
        <f>'Monthly Data'!DQ64</f>
        <v>31</v>
      </c>
      <c r="K64" s="3">
        <f>'Monthly Data'!EH64</f>
        <v>63</v>
      </c>
      <c r="M64" s="3">
        <f t="shared" si="13"/>
        <v>-9235786.3729357291</v>
      </c>
      <c r="N64" s="3">
        <f t="shared" si="14"/>
        <v>24792517.801843107</v>
      </c>
      <c r="O64" s="3">
        <f t="shared" si="15"/>
        <v>0</v>
      </c>
      <c r="P64" s="3">
        <f t="shared" si="16"/>
        <v>2490989.4491271083</v>
      </c>
      <c r="Q64" s="3">
        <f t="shared" si="17"/>
        <v>0</v>
      </c>
      <c r="R64" s="3">
        <f t="shared" si="18"/>
        <v>-2958956.3975358699</v>
      </c>
      <c r="S64" s="3">
        <f t="shared" si="19"/>
        <v>59495027.773339681</v>
      </c>
      <c r="T64" s="3">
        <f t="shared" si="20"/>
        <v>6653050.9641632605</v>
      </c>
      <c r="U64" s="47">
        <f t="shared" si="21"/>
        <v>81236843.218001559</v>
      </c>
      <c r="V64" s="47">
        <f ca="1">'Monthly Data'!G64+'Monthly Data'!H64</f>
        <v>1012734.5541961144</v>
      </c>
      <c r="W64" s="47">
        <f t="shared" ca="1" si="22"/>
        <v>82249577.772197679</v>
      </c>
      <c r="X64" s="47">
        <f t="shared" ca="1" si="23"/>
        <v>177737.02135780454</v>
      </c>
      <c r="Y64" s="18">
        <f t="shared" ca="1" si="24"/>
        <v>2.1656273300533434E-3</v>
      </c>
    </row>
    <row r="65" spans="1:25">
      <c r="A65" s="2">
        <f>'Monthly Data'!A65</f>
        <v>44287</v>
      </c>
      <c r="B65">
        <f>'Monthly Data'!B65</f>
        <v>2021</v>
      </c>
      <c r="C65">
        <f>'Monthly Data'!C65</f>
        <v>4</v>
      </c>
      <c r="D65" s="3">
        <f ca="1">'Monthly Data'!F65</f>
        <v>71324459.033904463</v>
      </c>
      <c r="E65" s="3">
        <f>'Monthly Data'!CN65</f>
        <v>379.79583333333329</v>
      </c>
      <c r="F65" s="3">
        <f>'Monthly Data'!CS65</f>
        <v>0.21249999999999858</v>
      </c>
      <c r="G65" s="3">
        <f>'Monthly Data'!EM65</f>
        <v>189.89791666666665</v>
      </c>
      <c r="H65" s="3">
        <f>'Monthly Data'!ER65</f>
        <v>0.10624999999999929</v>
      </c>
      <c r="I65" s="3">
        <f>'Monthly Data'!EG65</f>
        <v>1</v>
      </c>
      <c r="J65" s="3">
        <f>'Monthly Data'!DQ65</f>
        <v>30</v>
      </c>
      <c r="K65" s="3">
        <f>'Monthly Data'!EH65</f>
        <v>64</v>
      </c>
      <c r="M65" s="3">
        <f t="shared" si="13"/>
        <v>-9235786.3729357291</v>
      </c>
      <c r="N65" s="3">
        <f t="shared" si="14"/>
        <v>16978284.303110961</v>
      </c>
      <c r="O65" s="3">
        <f t="shared" si="15"/>
        <v>56803.326363544686</v>
      </c>
      <c r="P65" s="3">
        <f t="shared" si="16"/>
        <v>1705866.560280768</v>
      </c>
      <c r="Q65" s="3">
        <f t="shared" si="17"/>
        <v>3643.4909195405271</v>
      </c>
      <c r="R65" s="3">
        <f t="shared" si="18"/>
        <v>-2958956.3975358699</v>
      </c>
      <c r="S65" s="3">
        <f t="shared" si="19"/>
        <v>57575833.329038396</v>
      </c>
      <c r="T65" s="3">
        <f t="shared" si="20"/>
        <v>6758654.9477214077</v>
      </c>
      <c r="U65" s="47">
        <f t="shared" si="21"/>
        <v>70884343.186963022</v>
      </c>
      <c r="V65" s="47">
        <f ca="1">'Monthly Data'!G65+'Monthly Data'!H65</f>
        <v>767570.09557906468</v>
      </c>
      <c r="W65" s="47">
        <f t="shared" ca="1" si="22"/>
        <v>71651913.28254208</v>
      </c>
      <c r="X65" s="47">
        <f t="shared" ca="1" si="23"/>
        <v>327454.24863761663</v>
      </c>
      <c r="Y65" s="18">
        <f t="shared" ca="1" si="24"/>
        <v>4.5910512757195892E-3</v>
      </c>
    </row>
    <row r="66" spans="1:25">
      <c r="A66" s="2">
        <f>'Monthly Data'!A66</f>
        <v>44317</v>
      </c>
      <c r="B66">
        <f>'Monthly Data'!B66</f>
        <v>2021</v>
      </c>
      <c r="C66">
        <f>'Monthly Data'!C66</f>
        <v>5</v>
      </c>
      <c r="D66" s="3">
        <f ca="1">'Monthly Data'!F66</f>
        <v>74883332.450568557</v>
      </c>
      <c r="E66" s="3">
        <f>'Monthly Data'!CN66</f>
        <v>221.92222222222222</v>
      </c>
      <c r="F66" s="3">
        <f>'Monthly Data'!CS66</f>
        <v>35.574999999999996</v>
      </c>
      <c r="G66" s="3">
        <f>'Monthly Data'!EM66</f>
        <v>110.96111111111111</v>
      </c>
      <c r="H66" s="3">
        <f>'Monthly Data'!ER66</f>
        <v>17.787499999999998</v>
      </c>
      <c r="I66" s="3">
        <f>'Monthly Data'!EG66</f>
        <v>1</v>
      </c>
      <c r="J66" s="3">
        <f>'Monthly Data'!DQ66</f>
        <v>31</v>
      </c>
      <c r="K66" s="3">
        <f>'Monthly Data'!EH66</f>
        <v>65</v>
      </c>
      <c r="M66" s="3">
        <f t="shared" ref="M66:M97" si="25">$AC$9</f>
        <v>-9235786.3729357291</v>
      </c>
      <c r="N66" s="3">
        <f t="shared" ref="N66:N97" si="26">E66*$AC$10</f>
        <v>9920747.5474333148</v>
      </c>
      <c r="O66" s="3">
        <f t="shared" ref="O66:O97" si="27">F66*$AC$11</f>
        <v>9509545.1076852493</v>
      </c>
      <c r="P66" s="3">
        <f t="shared" ref="P66:P97" si="28">G66*$AC$12</f>
        <v>996771.59317287523</v>
      </c>
      <c r="Q66" s="3">
        <f t="shared" ref="Q66:Q97" si="29">H66*$AC$13</f>
        <v>609963.24453014159</v>
      </c>
      <c r="R66" s="3">
        <f t="shared" ref="R66:R97" si="30">I66*$AC$14</f>
        <v>-2958956.3975358699</v>
      </c>
      <c r="S66" s="3">
        <f t="shared" ref="S66:S97" si="31">J66*$AC$15</f>
        <v>59495027.773339681</v>
      </c>
      <c r="T66" s="3">
        <f t="shared" ref="T66:T97" si="32">K66*$AC$16</f>
        <v>6864258.931279555</v>
      </c>
      <c r="U66" s="47">
        <f t="shared" si="21"/>
        <v>75201571.426969215</v>
      </c>
      <c r="V66" s="47">
        <f ca="1">'Monthly Data'!G66+'Monthly Data'!H66</f>
        <v>561663.26286029234</v>
      </c>
      <c r="W66" s="47">
        <f t="shared" ca="1" si="22"/>
        <v>75763234.689829513</v>
      </c>
      <c r="X66" s="47">
        <f t="shared" ca="1" si="23"/>
        <v>879902.23926095665</v>
      </c>
      <c r="Y66" s="18">
        <f t="shared" ca="1" si="24"/>
        <v>1.1750308252397706E-2</v>
      </c>
    </row>
    <row r="67" spans="1:25">
      <c r="A67" s="2">
        <f>'Monthly Data'!A67</f>
        <v>44348</v>
      </c>
      <c r="B67">
        <f>'Monthly Data'!B67</f>
        <v>2021</v>
      </c>
      <c r="C67">
        <f>'Monthly Data'!C67</f>
        <v>6</v>
      </c>
      <c r="D67" s="3">
        <f ca="1">'Monthly Data'!F67</f>
        <v>91871666.499441281</v>
      </c>
      <c r="E67" s="3">
        <f>'Monthly Data'!CN67</f>
        <v>36.066666666666677</v>
      </c>
      <c r="F67" s="3">
        <f>'Monthly Data'!CS67</f>
        <v>124.94583333333331</v>
      </c>
      <c r="G67" s="3">
        <f>'Monthly Data'!EM67</f>
        <v>18.033333333333339</v>
      </c>
      <c r="H67" s="3">
        <f>'Monthly Data'!ER67</f>
        <v>62.472916666666656</v>
      </c>
      <c r="I67" s="3">
        <f>'Monthly Data'!EG67</f>
        <v>0</v>
      </c>
      <c r="J67" s="3">
        <f>'Monthly Data'!DQ67</f>
        <v>30</v>
      </c>
      <c r="K67" s="3">
        <f>'Monthly Data'!EH67</f>
        <v>66</v>
      </c>
      <c r="M67" s="3">
        <f t="shared" si="25"/>
        <v>-9235786.3729357291</v>
      </c>
      <c r="N67" s="3">
        <f t="shared" si="26"/>
        <v>1612313.9507819831</v>
      </c>
      <c r="O67" s="3">
        <f t="shared" si="27"/>
        <v>33399242.111051485</v>
      </c>
      <c r="P67" s="3">
        <f t="shared" si="28"/>
        <v>161994.72244726151</v>
      </c>
      <c r="Q67" s="3">
        <f t="shared" si="29"/>
        <v>2142301.2196914214</v>
      </c>
      <c r="R67" s="3">
        <f t="shared" si="30"/>
        <v>0</v>
      </c>
      <c r="S67" s="3">
        <f t="shared" si="31"/>
        <v>57575833.329038396</v>
      </c>
      <c r="T67" s="3">
        <f t="shared" si="32"/>
        <v>6969862.9148377022</v>
      </c>
      <c r="U67" s="47">
        <f t="shared" si="21"/>
        <v>92625761.874912515</v>
      </c>
      <c r="V67" s="47">
        <f ca="1">'Monthly Data'!G67+'Monthly Data'!H67</f>
        <v>336256.92297125788</v>
      </c>
      <c r="W67" s="47">
        <f t="shared" ca="1" si="22"/>
        <v>92962018.797883779</v>
      </c>
      <c r="X67" s="47">
        <f t="shared" ca="1" si="23"/>
        <v>1090352.2984424978</v>
      </c>
      <c r="Y67" s="18">
        <f t="shared" ca="1" si="24"/>
        <v>1.1868210733383495E-2</v>
      </c>
    </row>
    <row r="68" spans="1:25">
      <c r="A68" s="2">
        <f>'Monthly Data'!A68</f>
        <v>44378</v>
      </c>
      <c r="B68">
        <f>'Monthly Data'!B68</f>
        <v>2021</v>
      </c>
      <c r="C68">
        <f>'Monthly Data'!C68</f>
        <v>7</v>
      </c>
      <c r="D68" s="3">
        <f ca="1">'Monthly Data'!F68</f>
        <v>97570145.777895957</v>
      </c>
      <c r="E68" s="3">
        <f>'Monthly Data'!CN68</f>
        <v>25.516666666666669</v>
      </c>
      <c r="F68" s="3">
        <f>'Monthly Data'!CS68</f>
        <v>131.62083333333331</v>
      </c>
      <c r="G68" s="3">
        <f>'Monthly Data'!EM68</f>
        <v>12.758333333333335</v>
      </c>
      <c r="H68" s="3">
        <f>'Monthly Data'!ER68</f>
        <v>65.810416666666654</v>
      </c>
      <c r="I68" s="3">
        <f>'Monthly Data'!EG68</f>
        <v>0</v>
      </c>
      <c r="J68" s="3">
        <f>'Monthly Data'!DQ68</f>
        <v>31</v>
      </c>
      <c r="K68" s="3">
        <f>'Monthly Data'!EH68</f>
        <v>67</v>
      </c>
      <c r="M68" s="3">
        <f t="shared" si="25"/>
        <v>-9235786.3729357291</v>
      </c>
      <c r="N68" s="3">
        <f t="shared" si="26"/>
        <v>1140689.7683212643</v>
      </c>
      <c r="O68" s="3">
        <f t="shared" si="27"/>
        <v>35183534.833294608</v>
      </c>
      <c r="P68" s="3">
        <f t="shared" si="28"/>
        <v>114609.02036356623</v>
      </c>
      <c r="Q68" s="3">
        <f t="shared" si="29"/>
        <v>2256749.6991640483</v>
      </c>
      <c r="R68" s="3">
        <f t="shared" si="30"/>
        <v>0</v>
      </c>
      <c r="S68" s="3">
        <f t="shared" si="31"/>
        <v>59495027.773339681</v>
      </c>
      <c r="T68" s="3">
        <f t="shared" si="32"/>
        <v>7075466.8983958485</v>
      </c>
      <c r="U68" s="47">
        <f t="shared" si="21"/>
        <v>96030291.619943291</v>
      </c>
      <c r="V68" s="47">
        <f ca="1">'Monthly Data'!G68+'Monthly Data'!H68</f>
        <v>332551.59052317025</v>
      </c>
      <c r="W68" s="47">
        <f t="shared" ca="1" si="22"/>
        <v>96362843.210466459</v>
      </c>
      <c r="X68" s="47">
        <f t="shared" ca="1" si="23"/>
        <v>-1207302.5674294978</v>
      </c>
      <c r="Y68" s="18">
        <f t="shared" ca="1" si="24"/>
        <v>1.2373688260933257E-2</v>
      </c>
    </row>
    <row r="69" spans="1:25">
      <c r="A69" s="2">
        <f>'Monthly Data'!A69</f>
        <v>44409</v>
      </c>
      <c r="B69">
        <f>'Monthly Data'!B69</f>
        <v>2021</v>
      </c>
      <c r="C69">
        <f>'Monthly Data'!C69</f>
        <v>8</v>
      </c>
      <c r="D69" s="3">
        <f ca="1">'Monthly Data'!F69</f>
        <v>116112276.31969944</v>
      </c>
      <c r="E69" s="3">
        <f>'Monthly Data'!CN69</f>
        <v>8.524999999999995</v>
      </c>
      <c r="F69" s="3">
        <f>'Monthly Data'!CS69</f>
        <v>204.06249999999994</v>
      </c>
      <c r="G69" s="3">
        <f>'Monthly Data'!EM69</f>
        <v>4.2624999999999975</v>
      </c>
      <c r="H69" s="3">
        <f>'Monthly Data'!ER69</f>
        <v>102.03124999999997</v>
      </c>
      <c r="I69" s="3">
        <f>'Monthly Data'!EG69</f>
        <v>0</v>
      </c>
      <c r="J69" s="3">
        <f>'Monthly Data'!DQ69</f>
        <v>31</v>
      </c>
      <c r="K69" s="3">
        <f>'Monthly Data'!EH69</f>
        <v>68</v>
      </c>
      <c r="M69" s="3">
        <f t="shared" si="25"/>
        <v>-9235786.3729357291</v>
      </c>
      <c r="N69" s="3">
        <f t="shared" si="26"/>
        <v>381099.16165664681</v>
      </c>
      <c r="O69" s="3">
        <f t="shared" si="27"/>
        <v>54547900.16969841</v>
      </c>
      <c r="P69" s="3">
        <f t="shared" si="28"/>
        <v>38290.342205071247</v>
      </c>
      <c r="Q69" s="3">
        <f t="shared" si="29"/>
        <v>3498822.8977352637</v>
      </c>
      <c r="R69" s="3">
        <f t="shared" si="30"/>
        <v>0</v>
      </c>
      <c r="S69" s="3">
        <f t="shared" si="31"/>
        <v>59495027.773339681</v>
      </c>
      <c r="T69" s="3">
        <f t="shared" si="32"/>
        <v>7181070.8819539957</v>
      </c>
      <c r="U69" s="47">
        <f t="shared" si="21"/>
        <v>115906424.85365333</v>
      </c>
      <c r="V69" s="47">
        <f ca="1">'Monthly Data'!G69+'Monthly Data'!H69</f>
        <v>335088.96493515297</v>
      </c>
      <c r="W69" s="47">
        <f t="shared" ca="1" si="22"/>
        <v>116241513.81858848</v>
      </c>
      <c r="X69" s="47">
        <f t="shared" ca="1" si="23"/>
        <v>129237.49888904393</v>
      </c>
      <c r="Y69" s="18">
        <f t="shared" ca="1" si="24"/>
        <v>1.1130390599974629E-3</v>
      </c>
    </row>
    <row r="70" spans="1:25">
      <c r="A70" s="2">
        <f>'Monthly Data'!A70</f>
        <v>44440</v>
      </c>
      <c r="B70">
        <f>'Monthly Data'!B70</f>
        <v>2021</v>
      </c>
      <c r="C70">
        <f>'Monthly Data'!C70</f>
        <v>9</v>
      </c>
      <c r="D70" s="3">
        <f ca="1">'Monthly Data'!F70</f>
        <v>75441853.998699352</v>
      </c>
      <c r="E70" s="3">
        <f>'Monthly Data'!CN70</f>
        <v>93.104166666666671</v>
      </c>
      <c r="F70" s="3">
        <f>'Monthly Data'!CS70</f>
        <v>49.341666666666683</v>
      </c>
      <c r="G70" s="3">
        <f>'Monthly Data'!EM70</f>
        <v>46.552083333333336</v>
      </c>
      <c r="H70" s="3">
        <f>'Monthly Data'!ER70</f>
        <v>24.670833333333341</v>
      </c>
      <c r="I70" s="3">
        <f>'Monthly Data'!EG70</f>
        <v>1</v>
      </c>
      <c r="J70" s="3">
        <f>'Monthly Data'!DQ70</f>
        <v>30</v>
      </c>
      <c r="K70" s="3">
        <f>'Monthly Data'!EH70</f>
        <v>69</v>
      </c>
      <c r="M70" s="3">
        <f t="shared" si="25"/>
        <v>-9235786.3729357291</v>
      </c>
      <c r="N70" s="3">
        <f t="shared" si="26"/>
        <v>4162102.0367633323</v>
      </c>
      <c r="O70" s="3">
        <f t="shared" si="27"/>
        <v>13189509.623472568</v>
      </c>
      <c r="P70" s="3">
        <f t="shared" si="28"/>
        <v>418180.69236183655</v>
      </c>
      <c r="Q70" s="3">
        <f t="shared" si="29"/>
        <v>846004.30331763183</v>
      </c>
      <c r="R70" s="3">
        <f t="shared" si="30"/>
        <v>-2958956.3975358699</v>
      </c>
      <c r="S70" s="3">
        <f t="shared" si="31"/>
        <v>57575833.329038396</v>
      </c>
      <c r="T70" s="3">
        <f t="shared" si="32"/>
        <v>7286674.8655121429</v>
      </c>
      <c r="U70" s="47">
        <f t="shared" si="21"/>
        <v>71283562.079994306</v>
      </c>
      <c r="V70" s="47">
        <f ca="1">'Monthly Data'!G70+'Monthly Data'!H70</f>
        <v>410770.97547751601</v>
      </c>
      <c r="W70" s="47">
        <f t="shared" ca="1" si="22"/>
        <v>71694333.055471823</v>
      </c>
      <c r="X70" s="47">
        <f t="shared" ca="1" si="23"/>
        <v>-3747520.9432275295</v>
      </c>
      <c r="Y70" s="18">
        <f t="shared" ca="1" si="24"/>
        <v>4.9674295428796568E-2</v>
      </c>
    </row>
    <row r="71" spans="1:25">
      <c r="A71" s="2">
        <f>'Monthly Data'!A71</f>
        <v>44470</v>
      </c>
      <c r="B71">
        <f>'Monthly Data'!B71</f>
        <v>2021</v>
      </c>
      <c r="C71">
        <f>'Monthly Data'!C71</f>
        <v>10</v>
      </c>
      <c r="D71" s="3">
        <f ca="1">'Monthly Data'!F71</f>
        <v>70664837.976144195</v>
      </c>
      <c r="E71" s="3">
        <f>'Monthly Data'!CN71</f>
        <v>214.18749999999994</v>
      </c>
      <c r="F71" s="3">
        <f>'Monthly Data'!CS71</f>
        <v>18.245833333333344</v>
      </c>
      <c r="G71" s="3">
        <f>'Monthly Data'!EM71</f>
        <v>107.09374999999997</v>
      </c>
      <c r="H71" s="3">
        <f>'Monthly Data'!ER71</f>
        <v>9.1229166666666721</v>
      </c>
      <c r="I71" s="3">
        <f>'Monthly Data'!EG71</f>
        <v>1</v>
      </c>
      <c r="J71" s="3">
        <f>'Monthly Data'!DQ71</f>
        <v>31</v>
      </c>
      <c r="K71" s="3">
        <f>'Monthly Data'!EH71</f>
        <v>70</v>
      </c>
      <c r="M71" s="3">
        <f t="shared" si="25"/>
        <v>-9235786.3729357291</v>
      </c>
      <c r="N71" s="3">
        <f t="shared" si="26"/>
        <v>9574976.7375170738</v>
      </c>
      <c r="O71" s="3">
        <f t="shared" si="27"/>
        <v>4877289.5322738038</v>
      </c>
      <c r="P71" s="3">
        <f t="shared" si="28"/>
        <v>962030.8118532201</v>
      </c>
      <c r="Q71" s="3">
        <f t="shared" si="29"/>
        <v>312840.13209153106</v>
      </c>
      <c r="R71" s="3">
        <f t="shared" si="30"/>
        <v>-2958956.3975358699</v>
      </c>
      <c r="S71" s="3">
        <f t="shared" si="31"/>
        <v>59495027.773339681</v>
      </c>
      <c r="T71" s="3">
        <f t="shared" si="32"/>
        <v>7392278.8490702901</v>
      </c>
      <c r="U71" s="47">
        <f t="shared" si="21"/>
        <v>70419701.065674007</v>
      </c>
      <c r="V71" s="47">
        <f ca="1">'Monthly Data'!G71+'Monthly Data'!H71</f>
        <v>578982.54669706535</v>
      </c>
      <c r="W71" s="47">
        <f t="shared" ca="1" si="22"/>
        <v>70998683.612371072</v>
      </c>
      <c r="X71" s="47">
        <f t="shared" ca="1" si="23"/>
        <v>333845.63622687757</v>
      </c>
      <c r="Y71" s="18">
        <f t="shared" ca="1" si="24"/>
        <v>4.7243529566936924E-3</v>
      </c>
    </row>
    <row r="72" spans="1:25">
      <c r="A72" s="2">
        <f>'Monthly Data'!A72</f>
        <v>44501</v>
      </c>
      <c r="B72">
        <f>'Monthly Data'!B72</f>
        <v>2021</v>
      </c>
      <c r="C72">
        <f>'Monthly Data'!C72</f>
        <v>11</v>
      </c>
      <c r="D72" s="3">
        <f ca="1">'Monthly Data'!F72</f>
        <v>76349991.685693324</v>
      </c>
      <c r="E72" s="3">
        <f>'Monthly Data'!CN72</f>
        <v>506.31260351966881</v>
      </c>
      <c r="F72" s="3">
        <f>'Monthly Data'!CS72</f>
        <v>0</v>
      </c>
      <c r="G72" s="3">
        <f>'Monthly Data'!EM72</f>
        <v>253.15630175983441</v>
      </c>
      <c r="H72" s="3">
        <f>'Monthly Data'!ER72</f>
        <v>0</v>
      </c>
      <c r="I72" s="3">
        <f>'Monthly Data'!EG72</f>
        <v>1</v>
      </c>
      <c r="J72" s="3">
        <f>'Monthly Data'!DQ72</f>
        <v>30</v>
      </c>
      <c r="K72" s="3">
        <f>'Monthly Data'!EH72</f>
        <v>71</v>
      </c>
      <c r="M72" s="3">
        <f t="shared" si="25"/>
        <v>-9235786.3729357291</v>
      </c>
      <c r="N72" s="3">
        <f t="shared" si="26"/>
        <v>22634053.810855143</v>
      </c>
      <c r="O72" s="3">
        <f t="shared" si="27"/>
        <v>0</v>
      </c>
      <c r="P72" s="3">
        <f t="shared" si="28"/>
        <v>2274121.1556021925</v>
      </c>
      <c r="Q72" s="3">
        <f t="shared" si="29"/>
        <v>0</v>
      </c>
      <c r="R72" s="3">
        <f t="shared" si="30"/>
        <v>-2958956.3975358699</v>
      </c>
      <c r="S72" s="3">
        <f t="shared" si="31"/>
        <v>57575833.329038396</v>
      </c>
      <c r="T72" s="3">
        <f t="shared" si="32"/>
        <v>7497882.8326284364</v>
      </c>
      <c r="U72" s="47">
        <f t="shared" si="21"/>
        <v>77787148.357652575</v>
      </c>
      <c r="V72" s="47">
        <f ca="1">'Monthly Data'!G72+'Monthly Data'!H72</f>
        <v>1019798.6083335525</v>
      </c>
      <c r="W72" s="47">
        <f t="shared" ca="1" si="22"/>
        <v>78806946.965986133</v>
      </c>
      <c r="X72" s="47">
        <f t="shared" ca="1" si="23"/>
        <v>2456955.280292809</v>
      </c>
      <c r="Y72" s="18">
        <f t="shared" ca="1" si="24"/>
        <v>3.2180164346412105E-2</v>
      </c>
    </row>
    <row r="73" spans="1:25">
      <c r="A73" s="2">
        <f>'Monthly Data'!A73</f>
        <v>44531</v>
      </c>
      <c r="B73">
        <f>'Monthly Data'!B73</f>
        <v>2021</v>
      </c>
      <c r="C73">
        <f>'Monthly Data'!C73</f>
        <v>12</v>
      </c>
      <c r="D73" s="3">
        <f ca="1">'Monthly Data'!F73</f>
        <v>89184605.611258194</v>
      </c>
      <c r="E73" s="3">
        <f>'Monthly Data'!CN73</f>
        <v>595.04583333333335</v>
      </c>
      <c r="F73" s="3">
        <f>'Monthly Data'!CS73</f>
        <v>0</v>
      </c>
      <c r="G73" s="3">
        <f>'Monthly Data'!EM73</f>
        <v>297.52291666666667</v>
      </c>
      <c r="H73" s="3">
        <f>'Monthly Data'!ER73</f>
        <v>0</v>
      </c>
      <c r="I73" s="3">
        <f>'Monthly Data'!EG73</f>
        <v>0</v>
      </c>
      <c r="J73" s="3">
        <f>'Monthly Data'!DQ73</f>
        <v>31</v>
      </c>
      <c r="K73" s="3">
        <f>'Monthly Data'!EH73</f>
        <v>72</v>
      </c>
      <c r="M73" s="3">
        <f t="shared" si="25"/>
        <v>-9235786.3729357291</v>
      </c>
      <c r="N73" s="3">
        <f t="shared" si="26"/>
        <v>26600758.736728944</v>
      </c>
      <c r="O73" s="3">
        <f t="shared" si="27"/>
        <v>0</v>
      </c>
      <c r="P73" s="3">
        <f t="shared" si="28"/>
        <v>2672669.6288604271</v>
      </c>
      <c r="Q73" s="3">
        <f t="shared" si="29"/>
        <v>0</v>
      </c>
      <c r="R73" s="3">
        <f t="shared" si="30"/>
        <v>0</v>
      </c>
      <c r="S73" s="3">
        <f t="shared" si="31"/>
        <v>59495027.773339681</v>
      </c>
      <c r="T73" s="3">
        <f t="shared" si="32"/>
        <v>7603486.8161865836</v>
      </c>
      <c r="U73" s="47">
        <f t="shared" si="21"/>
        <v>87136156.582179904</v>
      </c>
      <c r="V73" s="47">
        <f ca="1">'Monthly Data'!G73+'Monthly Data'!H73</f>
        <v>1156980.6433918809</v>
      </c>
      <c r="W73" s="47">
        <f t="shared" ca="1" si="22"/>
        <v>88293137.225571781</v>
      </c>
      <c r="X73" s="47">
        <f t="shared" ca="1" si="23"/>
        <v>-891468.38568641245</v>
      </c>
      <c r="Y73" s="18">
        <f t="shared" ca="1" si="24"/>
        <v>9.9957652957751962E-3</v>
      </c>
    </row>
    <row r="74" spans="1:25">
      <c r="A74" s="2">
        <f>'Monthly Data'!A74</f>
        <v>44562</v>
      </c>
      <c r="B74">
        <f>'Monthly Data'!B74</f>
        <v>2022</v>
      </c>
      <c r="C74">
        <f>'Monthly Data'!C74</f>
        <v>1</v>
      </c>
      <c r="D74" s="3">
        <f ca="1">'Monthly Data'!F74</f>
        <v>101538578.21713223</v>
      </c>
      <c r="E74" s="3">
        <f>'Monthly Data'!CN74</f>
        <v>887.49166666666656</v>
      </c>
      <c r="F74" s="3">
        <f>'Monthly Data'!CS74</f>
        <v>0</v>
      </c>
      <c r="G74" s="3">
        <f>'Monthly Data'!EM74</f>
        <v>221.87291666666664</v>
      </c>
      <c r="H74" s="3">
        <f>'Monthly Data'!ER74</f>
        <v>0</v>
      </c>
      <c r="I74" s="3">
        <f>'Monthly Data'!EG74</f>
        <v>0</v>
      </c>
      <c r="J74" s="3">
        <f>'Monthly Data'!DQ74</f>
        <v>31</v>
      </c>
      <c r="K74" s="3">
        <f>'Monthly Data'!EH74</f>
        <v>73</v>
      </c>
      <c r="M74" s="3">
        <f t="shared" si="25"/>
        <v>-9235786.3729357291</v>
      </c>
      <c r="N74" s="3">
        <f t="shared" si="26"/>
        <v>39674173.623921059</v>
      </c>
      <c r="O74" s="3">
        <f t="shared" si="27"/>
        <v>0</v>
      </c>
      <c r="P74" s="3">
        <f t="shared" si="28"/>
        <v>1993100.271015584</v>
      </c>
      <c r="Q74" s="3">
        <f t="shared" si="29"/>
        <v>0</v>
      </c>
      <c r="R74" s="3">
        <f t="shared" si="30"/>
        <v>0</v>
      </c>
      <c r="S74" s="3">
        <f t="shared" si="31"/>
        <v>59495027.773339681</v>
      </c>
      <c r="T74" s="3">
        <f t="shared" si="32"/>
        <v>7709090.7997447308</v>
      </c>
      <c r="U74" s="47">
        <f t="shared" si="21"/>
        <v>99635606.095085323</v>
      </c>
      <c r="V74" s="47">
        <f ca="1">'Monthly Data'!G74+'Monthly Data'!H74</f>
        <v>2192469.7060656101</v>
      </c>
      <c r="W74" s="47">
        <f t="shared" ca="1" si="22"/>
        <v>101828075.80115093</v>
      </c>
      <c r="X74" s="47">
        <f t="shared" ca="1" si="23"/>
        <v>289497.58401870728</v>
      </c>
      <c r="Y74" s="18">
        <f t="shared" ca="1" si="24"/>
        <v>2.8511092936483666E-3</v>
      </c>
    </row>
    <row r="75" spans="1:25">
      <c r="A75" s="2">
        <f>'Monthly Data'!A75</f>
        <v>44593</v>
      </c>
      <c r="B75">
        <f>'Monthly Data'!B75</f>
        <v>2022</v>
      </c>
      <c r="C75">
        <f>'Monthly Data'!C75</f>
        <v>2</v>
      </c>
      <c r="D75" s="3">
        <f ca="1">'Monthly Data'!F75</f>
        <v>85906766.281489849</v>
      </c>
      <c r="E75" s="3">
        <f>'Monthly Data'!CN75</f>
        <v>692.85</v>
      </c>
      <c r="F75" s="3">
        <f>'Monthly Data'!CS75</f>
        <v>0</v>
      </c>
      <c r="G75" s="3">
        <f>'Monthly Data'!EM75</f>
        <v>173.21250000000001</v>
      </c>
      <c r="H75" s="3">
        <f>'Monthly Data'!ER75</f>
        <v>0</v>
      </c>
      <c r="I75" s="3">
        <f>'Monthly Data'!EG75</f>
        <v>0</v>
      </c>
      <c r="J75" s="3">
        <f>'Monthly Data'!DQ75</f>
        <v>28</v>
      </c>
      <c r="K75" s="3">
        <f>'Monthly Data'!EH75</f>
        <v>74</v>
      </c>
      <c r="M75" s="3">
        <f t="shared" si="25"/>
        <v>-9235786.3729357291</v>
      </c>
      <c r="N75" s="3">
        <f t="shared" si="26"/>
        <v>30972968.229185678</v>
      </c>
      <c r="O75" s="3">
        <f t="shared" si="27"/>
        <v>0</v>
      </c>
      <c r="P75" s="3">
        <f t="shared" si="28"/>
        <v>1555980.269606078</v>
      </c>
      <c r="Q75" s="3">
        <f t="shared" si="29"/>
        <v>0</v>
      </c>
      <c r="R75" s="3">
        <f t="shared" si="30"/>
        <v>0</v>
      </c>
      <c r="S75" s="3">
        <f t="shared" si="31"/>
        <v>53737444.440435842</v>
      </c>
      <c r="T75" s="3">
        <f t="shared" si="32"/>
        <v>7814694.783302878</v>
      </c>
      <c r="U75" s="47">
        <f t="shared" si="21"/>
        <v>84845301.349594742</v>
      </c>
      <c r="V75" s="47">
        <f ca="1">'Monthly Data'!G75+'Monthly Data'!H75</f>
        <v>1804651.8514962434</v>
      </c>
      <c r="W75" s="47">
        <f t="shared" ca="1" si="22"/>
        <v>86649953.201090991</v>
      </c>
      <c r="X75" s="47">
        <f t="shared" ca="1" si="23"/>
        <v>743186.91960114241</v>
      </c>
      <c r="Y75" s="18">
        <f t="shared" ca="1" si="24"/>
        <v>8.6510871235212037E-3</v>
      </c>
    </row>
    <row r="76" spans="1:25">
      <c r="A76" s="2">
        <f>'Monthly Data'!A76</f>
        <v>44621</v>
      </c>
      <c r="B76">
        <f>'Monthly Data'!B76</f>
        <v>2022</v>
      </c>
      <c r="C76">
        <f>'Monthly Data'!C76</f>
        <v>3</v>
      </c>
      <c r="D76" s="3">
        <f ca="1">'Monthly Data'!F76</f>
        <v>85029990.597621948</v>
      </c>
      <c r="E76" s="3">
        <f>'Monthly Data'!CN76</f>
        <v>606.7208333333333</v>
      </c>
      <c r="F76" s="3">
        <f>'Monthly Data'!CS76</f>
        <v>0</v>
      </c>
      <c r="G76" s="3">
        <f>'Monthly Data'!EM76</f>
        <v>151.68020833333333</v>
      </c>
      <c r="H76" s="3">
        <f>'Monthly Data'!ER76</f>
        <v>0</v>
      </c>
      <c r="I76" s="3">
        <f>'Monthly Data'!EG76</f>
        <v>1</v>
      </c>
      <c r="J76" s="3">
        <f>'Monthly Data'!DQ76</f>
        <v>31</v>
      </c>
      <c r="K76" s="3">
        <f>'Monthly Data'!EH76</f>
        <v>75</v>
      </c>
      <c r="M76" s="3">
        <f t="shared" si="25"/>
        <v>-9235786.3729357291</v>
      </c>
      <c r="N76" s="3">
        <f t="shared" si="26"/>
        <v>27122674.597414143</v>
      </c>
      <c r="O76" s="3">
        <f t="shared" si="27"/>
        <v>0</v>
      </c>
      <c r="P76" s="3">
        <f t="shared" si="28"/>
        <v>1362554.1543272343</v>
      </c>
      <c r="Q76" s="3">
        <f t="shared" si="29"/>
        <v>0</v>
      </c>
      <c r="R76" s="3">
        <f t="shared" si="30"/>
        <v>-2958956.3975358699</v>
      </c>
      <c r="S76" s="3">
        <f t="shared" si="31"/>
        <v>59495027.773339681</v>
      </c>
      <c r="T76" s="3">
        <f t="shared" si="32"/>
        <v>7920298.7668610243</v>
      </c>
      <c r="U76" s="47">
        <f t="shared" si="21"/>
        <v>83705812.521470487</v>
      </c>
      <c r="V76" s="47">
        <f ca="1">'Monthly Data'!G76+'Monthly Data'!H76</f>
        <v>1626125.0135027755</v>
      </c>
      <c r="W76" s="47">
        <f t="shared" ca="1" si="22"/>
        <v>85331937.534973264</v>
      </c>
      <c r="X76" s="47">
        <f t="shared" ca="1" si="23"/>
        <v>301946.93735131621</v>
      </c>
      <c r="Y76" s="18">
        <f t="shared" ca="1" si="24"/>
        <v>3.5510639861197494E-3</v>
      </c>
    </row>
    <row r="77" spans="1:25">
      <c r="A77" s="2">
        <f>'Monthly Data'!A77</f>
        <v>44652</v>
      </c>
      <c r="B77">
        <f>'Monthly Data'!B77</f>
        <v>2022</v>
      </c>
      <c r="C77">
        <f>'Monthly Data'!C77</f>
        <v>4</v>
      </c>
      <c r="D77" s="3">
        <f ca="1">'Monthly Data'!F77</f>
        <v>72299149.043881983</v>
      </c>
      <c r="E77" s="3">
        <f>'Monthly Data'!CN77</f>
        <v>414.33333333333331</v>
      </c>
      <c r="F77" s="3">
        <f>'Monthly Data'!CS77</f>
        <v>0</v>
      </c>
      <c r="G77" s="3">
        <f>'Monthly Data'!EM77</f>
        <v>103.58333333333333</v>
      </c>
      <c r="H77" s="3">
        <f>'Monthly Data'!ER77</f>
        <v>0</v>
      </c>
      <c r="I77" s="3">
        <f>'Monthly Data'!EG77</f>
        <v>1</v>
      </c>
      <c r="J77" s="3">
        <f>'Monthly Data'!DQ77</f>
        <v>30</v>
      </c>
      <c r="K77" s="3">
        <f>'Monthly Data'!EH77</f>
        <v>76</v>
      </c>
      <c r="M77" s="3">
        <f t="shared" si="25"/>
        <v>-9235786.3729357291</v>
      </c>
      <c r="N77" s="3">
        <f t="shared" si="26"/>
        <v>18522238.824602626</v>
      </c>
      <c r="O77" s="3">
        <f t="shared" si="27"/>
        <v>0</v>
      </c>
      <c r="P77" s="3">
        <f t="shared" si="28"/>
        <v>930496.48799420509</v>
      </c>
      <c r="Q77" s="3">
        <f t="shared" si="29"/>
        <v>0</v>
      </c>
      <c r="R77" s="3">
        <f t="shared" si="30"/>
        <v>-2958956.3975358699</v>
      </c>
      <c r="S77" s="3">
        <f t="shared" si="31"/>
        <v>57575833.329038396</v>
      </c>
      <c r="T77" s="3">
        <f t="shared" si="32"/>
        <v>8025902.7504191715</v>
      </c>
      <c r="U77" s="47">
        <f t="shared" si="21"/>
        <v>72859728.621582806</v>
      </c>
      <c r="V77" s="47">
        <f ca="1">'Monthly Data'!G77+'Monthly Data'!H77</f>
        <v>1234521.2531377303</v>
      </c>
      <c r="W77" s="47">
        <f t="shared" ca="1" si="22"/>
        <v>74094249.874720544</v>
      </c>
      <c r="X77" s="47">
        <f t="shared" ca="1" si="23"/>
        <v>1795100.8308385611</v>
      </c>
      <c r="Y77" s="18">
        <f t="shared" ca="1" si="24"/>
        <v>2.4828796114170364E-2</v>
      </c>
    </row>
    <row r="78" spans="1:25">
      <c r="A78" s="2">
        <f>'Monthly Data'!A78</f>
        <v>44682</v>
      </c>
      <c r="B78">
        <f>'Monthly Data'!B78</f>
        <v>2022</v>
      </c>
      <c r="C78">
        <f>'Monthly Data'!C78</f>
        <v>5</v>
      </c>
      <c r="D78" s="3">
        <f ca="1">'Monthly Data'!F78</f>
        <v>71749749.222550616</v>
      </c>
      <c r="E78" s="3">
        <f>'Monthly Data'!CN78</f>
        <v>158.97916666666669</v>
      </c>
      <c r="F78" s="3">
        <f>'Monthly Data'!CS78</f>
        <v>41.6875</v>
      </c>
      <c r="G78" s="3">
        <f>'Monthly Data'!EM78</f>
        <v>39.744791666666671</v>
      </c>
      <c r="H78" s="3">
        <f>'Monthly Data'!ER78</f>
        <v>10.421875</v>
      </c>
      <c r="I78" s="3">
        <f>'Monthly Data'!EG78</f>
        <v>1</v>
      </c>
      <c r="J78" s="3">
        <f>'Monthly Data'!DQ78</f>
        <v>31</v>
      </c>
      <c r="K78" s="3">
        <f>'Monthly Data'!EH78</f>
        <v>77</v>
      </c>
      <c r="M78" s="3">
        <f t="shared" si="25"/>
        <v>-9235786.3729357291</v>
      </c>
      <c r="N78" s="3">
        <f t="shared" si="26"/>
        <v>7106959.1950192414</v>
      </c>
      <c r="O78" s="3">
        <f t="shared" si="27"/>
        <v>11143476.083671929</v>
      </c>
      <c r="P78" s="3">
        <f t="shared" si="28"/>
        <v>357030.30470051186</v>
      </c>
      <c r="Q78" s="3">
        <f t="shared" si="29"/>
        <v>357383.59460787469</v>
      </c>
      <c r="R78" s="3">
        <f t="shared" si="30"/>
        <v>-2958956.3975358699</v>
      </c>
      <c r="S78" s="3">
        <f t="shared" si="31"/>
        <v>59495027.773339681</v>
      </c>
      <c r="T78" s="3">
        <f t="shared" si="32"/>
        <v>8131506.7339773187</v>
      </c>
      <c r="U78" s="47">
        <f t="shared" si="21"/>
        <v>74396640.91484496</v>
      </c>
      <c r="V78" s="47">
        <f ca="1">'Monthly Data'!G78+'Monthly Data'!H78</f>
        <v>724867.7094301075</v>
      </c>
      <c r="W78" s="47">
        <f t="shared" ca="1" si="22"/>
        <v>75121508.624275073</v>
      </c>
      <c r="X78" s="47">
        <f t="shared" ca="1" si="23"/>
        <v>3371759.4017244577</v>
      </c>
      <c r="Y78" s="18">
        <f t="shared" ca="1" si="24"/>
        <v>4.6993326642383988E-2</v>
      </c>
    </row>
    <row r="79" spans="1:25">
      <c r="A79" s="2">
        <f>'Monthly Data'!A79</f>
        <v>44713</v>
      </c>
      <c r="B79">
        <f>'Monthly Data'!B79</f>
        <v>2022</v>
      </c>
      <c r="C79">
        <f>'Monthly Data'!C79</f>
        <v>6</v>
      </c>
      <c r="D79" s="3">
        <f ca="1">'Monthly Data'!F79</f>
        <v>80864320.526338413</v>
      </c>
      <c r="E79" s="3">
        <f>'Monthly Data'!CN79</f>
        <v>75.529010989011013</v>
      </c>
      <c r="F79" s="3">
        <f>'Monthly Data'!CS79</f>
        <v>67.11282467532466</v>
      </c>
      <c r="G79" s="3">
        <f>'Monthly Data'!EM79</f>
        <v>18.882252747252753</v>
      </c>
      <c r="H79" s="3">
        <f>'Monthly Data'!ER79</f>
        <v>16.778206168831165</v>
      </c>
      <c r="I79" s="3">
        <f>'Monthly Data'!EG79</f>
        <v>0</v>
      </c>
      <c r="J79" s="3">
        <f>'Monthly Data'!DQ79</f>
        <v>30</v>
      </c>
      <c r="K79" s="3">
        <f>'Monthly Data'!EH79</f>
        <v>78</v>
      </c>
      <c r="M79" s="3">
        <f t="shared" si="25"/>
        <v>-9235786.3729357291</v>
      </c>
      <c r="N79" s="3">
        <f t="shared" si="26"/>
        <v>3376427.3042425546</v>
      </c>
      <c r="O79" s="3">
        <f t="shared" si="27"/>
        <v>17939913.803349871</v>
      </c>
      <c r="P79" s="3">
        <f t="shared" si="28"/>
        <v>169620.62622755545</v>
      </c>
      <c r="Q79" s="3">
        <f t="shared" si="29"/>
        <v>575352.86421002925</v>
      </c>
      <c r="R79" s="3">
        <f t="shared" si="30"/>
        <v>0</v>
      </c>
      <c r="S79" s="3">
        <f t="shared" si="31"/>
        <v>57575833.329038396</v>
      </c>
      <c r="T79" s="3">
        <f t="shared" si="32"/>
        <v>8237110.717535466</v>
      </c>
      <c r="U79" s="47">
        <f t="shared" si="21"/>
        <v>78638472.271668151</v>
      </c>
      <c r="V79" s="47">
        <f ca="1">'Monthly Data'!G79+'Monthly Data'!H79</f>
        <v>587081.94012706727</v>
      </c>
      <c r="W79" s="47">
        <f t="shared" ca="1" si="22"/>
        <v>79225554.211795211</v>
      </c>
      <c r="X79" s="47">
        <f t="shared" ca="1" si="23"/>
        <v>-1638766.3145432025</v>
      </c>
      <c r="Y79" s="18">
        <f t="shared" ca="1" si="24"/>
        <v>2.0265628943353799E-2</v>
      </c>
    </row>
    <row r="80" spans="1:25">
      <c r="A80" s="2">
        <f>'Monthly Data'!A80</f>
        <v>44743</v>
      </c>
      <c r="B80">
        <f>'Monthly Data'!B80</f>
        <v>2022</v>
      </c>
      <c r="C80">
        <f>'Monthly Data'!C80</f>
        <v>7</v>
      </c>
      <c r="D80" s="3">
        <f ca="1">'Monthly Data'!F80</f>
        <v>102353567.42379011</v>
      </c>
      <c r="E80" s="3">
        <f>'Monthly Data'!CN80</f>
        <v>8.9945652173913082</v>
      </c>
      <c r="F80" s="3">
        <f>'Monthly Data'!CS80</f>
        <v>159.8543382913806</v>
      </c>
      <c r="G80" s="3">
        <f>'Monthly Data'!EM80</f>
        <v>2.2486413043478271</v>
      </c>
      <c r="H80" s="3">
        <f>'Monthly Data'!ER80</f>
        <v>39.96358457284515</v>
      </c>
      <c r="I80" s="3">
        <f>'Monthly Data'!EG80</f>
        <v>0</v>
      </c>
      <c r="J80" s="3">
        <f>'Monthly Data'!DQ80</f>
        <v>31</v>
      </c>
      <c r="K80" s="3">
        <f>'Monthly Data'!EH80</f>
        <v>79</v>
      </c>
      <c r="M80" s="3">
        <f t="shared" si="25"/>
        <v>-9235786.3729357291</v>
      </c>
      <c r="N80" s="3">
        <f t="shared" si="26"/>
        <v>402090.47082860582</v>
      </c>
      <c r="O80" s="3">
        <f t="shared" si="27"/>
        <v>42730626.581618033</v>
      </c>
      <c r="P80" s="3">
        <f t="shared" si="28"/>
        <v>20199.705581216684</v>
      </c>
      <c r="Q80" s="3">
        <f t="shared" si="29"/>
        <v>1370418.4235619027</v>
      </c>
      <c r="R80" s="3">
        <f t="shared" si="30"/>
        <v>0</v>
      </c>
      <c r="S80" s="3">
        <f t="shared" si="31"/>
        <v>59495027.773339681</v>
      </c>
      <c r="T80" s="3">
        <f t="shared" si="32"/>
        <v>8342714.7010936122</v>
      </c>
      <c r="U80" s="47">
        <f t="shared" si="21"/>
        <v>103125291.28308731</v>
      </c>
      <c r="V80" s="47">
        <f ca="1">'Monthly Data'!G80+'Monthly Data'!H80</f>
        <v>531258.54403512622</v>
      </c>
      <c r="W80" s="47">
        <f t="shared" ca="1" si="22"/>
        <v>103656549.82712243</v>
      </c>
      <c r="X80" s="47">
        <f t="shared" ca="1" si="23"/>
        <v>1302982.4033323228</v>
      </c>
      <c r="Y80" s="18">
        <f t="shared" ca="1" si="24"/>
        <v>1.2730209958753912E-2</v>
      </c>
    </row>
    <row r="81" spans="1:25">
      <c r="A81" s="2">
        <f>'Monthly Data'!A81</f>
        <v>44774</v>
      </c>
      <c r="B81">
        <f>'Monthly Data'!B81</f>
        <v>2022</v>
      </c>
      <c r="C81">
        <f>'Monthly Data'!C81</f>
        <v>8</v>
      </c>
      <c r="D81" s="3">
        <f ca="1">'Monthly Data'!F81</f>
        <v>105442608.89883301</v>
      </c>
      <c r="E81" s="3">
        <f>'Monthly Data'!CN81</f>
        <v>7.3916666666666764</v>
      </c>
      <c r="F81" s="3">
        <f>'Monthly Data'!CS81</f>
        <v>166.28333333333327</v>
      </c>
      <c r="G81" s="3">
        <f>'Monthly Data'!EM81</f>
        <v>1.8479166666666691</v>
      </c>
      <c r="H81" s="3">
        <f>'Monthly Data'!ER81</f>
        <v>41.570833333333319</v>
      </c>
      <c r="I81" s="3">
        <f>'Monthly Data'!EG81</f>
        <v>0</v>
      </c>
      <c r="J81" s="3">
        <f>'Monthly Data'!DQ81</f>
        <v>31</v>
      </c>
      <c r="K81" s="3">
        <f>'Monthly Data'!EH81</f>
        <v>80</v>
      </c>
      <c r="M81" s="3">
        <f t="shared" si="25"/>
        <v>-9235786.3729357291</v>
      </c>
      <c r="N81" s="3">
        <f t="shared" si="26"/>
        <v>330434.95248235227</v>
      </c>
      <c r="O81" s="3">
        <f t="shared" si="27"/>
        <v>44449159.774830505</v>
      </c>
      <c r="P81" s="3">
        <f t="shared" si="28"/>
        <v>16599.967515101791</v>
      </c>
      <c r="Q81" s="3">
        <f t="shared" si="29"/>
        <v>1425533.6825198459</v>
      </c>
      <c r="R81" s="3">
        <f t="shared" si="30"/>
        <v>0</v>
      </c>
      <c r="S81" s="3">
        <f t="shared" si="31"/>
        <v>59495027.773339681</v>
      </c>
      <c r="T81" s="3">
        <f t="shared" si="32"/>
        <v>8448318.6846517604</v>
      </c>
      <c r="U81" s="47">
        <f t="shared" si="21"/>
        <v>104929288.46240352</v>
      </c>
      <c r="V81" s="47">
        <f ca="1">'Monthly Data'!G81+'Monthly Data'!H81</f>
        <v>552824.5075817561</v>
      </c>
      <c r="W81" s="47">
        <f t="shared" ca="1" si="22"/>
        <v>105482112.96998528</v>
      </c>
      <c r="X81" s="47">
        <f t="shared" ca="1" si="23"/>
        <v>39504.07115226984</v>
      </c>
      <c r="Y81" s="18">
        <f t="shared" ca="1" si="24"/>
        <v>3.7464997845578776E-4</v>
      </c>
    </row>
    <row r="82" spans="1:25">
      <c r="A82" s="2">
        <f>'Monthly Data'!A82</f>
        <v>44805</v>
      </c>
      <c r="B82">
        <f>'Monthly Data'!B82</f>
        <v>2022</v>
      </c>
      <c r="C82">
        <f>'Monthly Data'!C82</f>
        <v>9</v>
      </c>
      <c r="D82" s="3">
        <f ca="1">'Monthly Data'!F82</f>
        <v>76414761.508870259</v>
      </c>
      <c r="E82" s="3">
        <f>'Monthly Data'!CN82</f>
        <v>111.79166666666666</v>
      </c>
      <c r="F82" s="3">
        <f>'Monthly Data'!CS82</f>
        <v>56.250000000000007</v>
      </c>
      <c r="G82" s="3">
        <f>'Monthly Data'!EM82</f>
        <v>27.947916666666664</v>
      </c>
      <c r="H82" s="3">
        <f>'Monthly Data'!ER82</f>
        <v>14.062500000000002</v>
      </c>
      <c r="I82" s="3">
        <f>'Monthly Data'!EG82</f>
        <v>1</v>
      </c>
      <c r="J82" s="3">
        <f>'Monthly Data'!DQ82</f>
        <v>30</v>
      </c>
      <c r="K82" s="3">
        <f>'Monthly Data'!EH82</f>
        <v>81</v>
      </c>
      <c r="M82" s="3">
        <f t="shared" si="25"/>
        <v>-9235786.3729357291</v>
      </c>
      <c r="N82" s="3">
        <f t="shared" si="26"/>
        <v>4997502.6917144861</v>
      </c>
      <c r="O82" s="3">
        <f t="shared" si="27"/>
        <v>15036174.625644285</v>
      </c>
      <c r="P82" s="3">
        <f t="shared" si="28"/>
        <v>251058.13327518626</v>
      </c>
      <c r="Q82" s="3">
        <f t="shared" si="29"/>
        <v>482226.73935095541</v>
      </c>
      <c r="R82" s="3">
        <f t="shared" si="30"/>
        <v>-2958956.3975358699</v>
      </c>
      <c r="S82" s="3">
        <f t="shared" si="31"/>
        <v>57575833.329038396</v>
      </c>
      <c r="T82" s="3">
        <f t="shared" si="32"/>
        <v>8553922.6682099067</v>
      </c>
      <c r="U82" s="47">
        <f t="shared" si="21"/>
        <v>74701975.416761622</v>
      </c>
      <c r="V82" s="47">
        <f ca="1">'Monthly Data'!G82+'Monthly Data'!H82</f>
        <v>727290.46605552698</v>
      </c>
      <c r="W82" s="47">
        <f t="shared" ca="1" si="22"/>
        <v>75429265.882817149</v>
      </c>
      <c r="X82" s="47">
        <f t="shared" ca="1" si="23"/>
        <v>-985495.62605310977</v>
      </c>
      <c r="Y82" s="18">
        <f t="shared" ca="1" si="24"/>
        <v>1.2896665599600321E-2</v>
      </c>
    </row>
    <row r="83" spans="1:25">
      <c r="A83" s="2">
        <f>'Monthly Data'!A83</f>
        <v>44835</v>
      </c>
      <c r="B83">
        <f>'Monthly Data'!B83</f>
        <v>2022</v>
      </c>
      <c r="C83">
        <f>'Monthly Data'!C83</f>
        <v>10</v>
      </c>
      <c r="D83" s="3">
        <f ca="1">'Monthly Data'!F83</f>
        <v>69419736.608057901</v>
      </c>
      <c r="E83" s="3">
        <f>'Monthly Data'!CN83</f>
        <v>330.85561594202903</v>
      </c>
      <c r="F83" s="3">
        <f>'Monthly Data'!CS83</f>
        <v>0</v>
      </c>
      <c r="G83" s="3">
        <f>'Monthly Data'!EM83</f>
        <v>82.713903985507258</v>
      </c>
      <c r="H83" s="3">
        <f>'Monthly Data'!ER83</f>
        <v>0</v>
      </c>
      <c r="I83" s="3">
        <f>'Monthly Data'!EG83</f>
        <v>1</v>
      </c>
      <c r="J83" s="3">
        <f>'Monthly Data'!DQ83</f>
        <v>31</v>
      </c>
      <c r="K83" s="3">
        <f>'Monthly Data'!EH83</f>
        <v>82</v>
      </c>
      <c r="M83" s="3">
        <f t="shared" si="25"/>
        <v>-9235786.3729357291</v>
      </c>
      <c r="N83" s="3">
        <f t="shared" si="26"/>
        <v>14790474.822862269</v>
      </c>
      <c r="O83" s="3">
        <f t="shared" si="27"/>
        <v>0</v>
      </c>
      <c r="P83" s="3">
        <f t="shared" si="28"/>
        <v>743024.91231025965</v>
      </c>
      <c r="Q83" s="3">
        <f t="shared" si="29"/>
        <v>0</v>
      </c>
      <c r="R83" s="3">
        <f t="shared" si="30"/>
        <v>-2958956.3975358699</v>
      </c>
      <c r="S83" s="3">
        <f t="shared" si="31"/>
        <v>59495027.773339681</v>
      </c>
      <c r="T83" s="3">
        <f t="shared" si="32"/>
        <v>8659526.651768053</v>
      </c>
      <c r="U83" s="47">
        <f t="shared" si="21"/>
        <v>71493311.38980867</v>
      </c>
      <c r="V83" s="47">
        <f ca="1">'Monthly Data'!G83+'Monthly Data'!H83</f>
        <v>1176712.1051958753</v>
      </c>
      <c r="W83" s="47">
        <f t="shared" ca="1" si="22"/>
        <v>72670023.49500455</v>
      </c>
      <c r="X83" s="47">
        <f t="shared" ca="1" si="23"/>
        <v>3250286.8869466484</v>
      </c>
      <c r="Y83" s="18">
        <f t="shared" ca="1" si="24"/>
        <v>4.6820789673946574E-2</v>
      </c>
    </row>
    <row r="84" spans="1:25">
      <c r="A84" s="2">
        <f>'Monthly Data'!A84</f>
        <v>44866</v>
      </c>
      <c r="B84">
        <f>'Monthly Data'!B84</f>
        <v>2022</v>
      </c>
      <c r="C84">
        <f>'Monthly Data'!C84</f>
        <v>11</v>
      </c>
      <c r="D84" s="3">
        <f ca="1">'Monthly Data'!F84</f>
        <v>75166822.414650604</v>
      </c>
      <c r="E84" s="3">
        <f>'Monthly Data'!CN84</f>
        <v>471.83333333333348</v>
      </c>
      <c r="F84" s="3">
        <f>'Monthly Data'!CS84</f>
        <v>0</v>
      </c>
      <c r="G84" s="3">
        <f>'Monthly Data'!EM84</f>
        <v>117.95833333333337</v>
      </c>
      <c r="H84" s="3">
        <f>'Monthly Data'!ER84</f>
        <v>0</v>
      </c>
      <c r="I84" s="3">
        <f>'Monthly Data'!EG84</f>
        <v>1</v>
      </c>
      <c r="J84" s="3">
        <f>'Monthly Data'!DQ84</f>
        <v>30</v>
      </c>
      <c r="K84" s="3">
        <f>'Monthly Data'!EH84</f>
        <v>83</v>
      </c>
      <c r="M84" s="3">
        <f t="shared" si="25"/>
        <v>-9235786.3729357291</v>
      </c>
      <c r="N84" s="3">
        <f t="shared" si="26"/>
        <v>21092702.378298495</v>
      </c>
      <c r="O84" s="3">
        <f t="shared" si="27"/>
        <v>0</v>
      </c>
      <c r="P84" s="3">
        <f t="shared" si="28"/>
        <v>1059628.1405919532</v>
      </c>
      <c r="Q84" s="3">
        <f t="shared" si="29"/>
        <v>0</v>
      </c>
      <c r="R84" s="3">
        <f t="shared" si="30"/>
        <v>-2958956.3975358699</v>
      </c>
      <c r="S84" s="3">
        <f t="shared" si="31"/>
        <v>57575833.329038396</v>
      </c>
      <c r="T84" s="3">
        <f t="shared" si="32"/>
        <v>8765130.6353262011</v>
      </c>
      <c r="U84" s="47">
        <f t="shared" si="21"/>
        <v>76298551.712783456</v>
      </c>
      <c r="V84" s="47">
        <f ca="1">'Monthly Data'!G84+'Monthly Data'!H84</f>
        <v>1508023.461928322</v>
      </c>
      <c r="W84" s="47">
        <f t="shared" ca="1" si="22"/>
        <v>77806575.174711779</v>
      </c>
      <c r="X84" s="47">
        <f t="shared" ca="1" si="23"/>
        <v>2639752.7600611746</v>
      </c>
      <c r="Y84" s="18">
        <f t="shared" ca="1" si="24"/>
        <v>3.5118589229423992E-2</v>
      </c>
    </row>
    <row r="85" spans="1:25">
      <c r="A85" s="2">
        <f>'Monthly Data'!A85</f>
        <v>44896</v>
      </c>
      <c r="B85">
        <f>'Monthly Data'!B85</f>
        <v>2022</v>
      </c>
      <c r="C85">
        <f>'Monthly Data'!C85</f>
        <v>12</v>
      </c>
      <c r="D85" s="3">
        <f ca="1">'Monthly Data'!F85</f>
        <v>90900160.371146351</v>
      </c>
      <c r="E85" s="3">
        <f>'Monthly Data'!CN85</f>
        <v>647.12083333333328</v>
      </c>
      <c r="F85" s="3">
        <f>'Monthly Data'!CS85</f>
        <v>0</v>
      </c>
      <c r="G85" s="3">
        <f>'Monthly Data'!EM85</f>
        <v>161.78020833333332</v>
      </c>
      <c r="H85" s="3">
        <f>'Monthly Data'!ER85</f>
        <v>0</v>
      </c>
      <c r="I85" s="3">
        <f>'Monthly Data'!EG85</f>
        <v>0</v>
      </c>
      <c r="J85" s="3">
        <f>'Monthly Data'!DQ85</f>
        <v>31</v>
      </c>
      <c r="K85" s="3">
        <f>'Monthly Data'!EH85</f>
        <v>84</v>
      </c>
      <c r="M85" s="3">
        <f t="shared" si="25"/>
        <v>-9235786.3729357291</v>
      </c>
      <c r="N85" s="3">
        <f t="shared" si="26"/>
        <v>28928704.642097842</v>
      </c>
      <c r="O85" s="3">
        <f t="shared" si="27"/>
        <v>0</v>
      </c>
      <c r="P85" s="3">
        <f t="shared" si="28"/>
        <v>1453283.1763263475</v>
      </c>
      <c r="Q85" s="3">
        <f t="shared" si="29"/>
        <v>0</v>
      </c>
      <c r="R85" s="3">
        <f t="shared" si="30"/>
        <v>0</v>
      </c>
      <c r="S85" s="3">
        <f t="shared" si="31"/>
        <v>59495027.773339681</v>
      </c>
      <c r="T85" s="3">
        <f t="shared" si="32"/>
        <v>8870734.6188843474</v>
      </c>
      <c r="U85" s="47">
        <f t="shared" si="21"/>
        <v>89511963.837712497</v>
      </c>
      <c r="V85" s="47">
        <f ca="1">'Monthly Data'!G85+'Monthly Data'!H85</f>
        <v>1905062.7317742859</v>
      </c>
      <c r="W85" s="47">
        <f t="shared" ca="1" si="22"/>
        <v>91417026.569486782</v>
      </c>
      <c r="X85" s="47">
        <f t="shared" ca="1" si="23"/>
        <v>516866.19834043086</v>
      </c>
      <c r="Y85" s="18">
        <f t="shared" ca="1" si="24"/>
        <v>5.6860867596939379E-3</v>
      </c>
    </row>
    <row r="86" spans="1:25">
      <c r="A86" s="2">
        <f>'Monthly Data'!A86</f>
        <v>44927</v>
      </c>
      <c r="B86">
        <f>'Monthly Data'!B86</f>
        <v>2023</v>
      </c>
      <c r="C86">
        <f>'Monthly Data'!C86</f>
        <v>1</v>
      </c>
      <c r="D86" s="3">
        <f ca="1">'Monthly Data'!F86</f>
        <v>89452646.592354313</v>
      </c>
      <c r="E86" s="3">
        <f>'Monthly Data'!CN86</f>
        <v>666.07083333333355</v>
      </c>
      <c r="F86" s="3">
        <f>'Monthly Data'!CS86</f>
        <v>0</v>
      </c>
      <c r="G86" s="3">
        <f>'Monthly Data'!EM86</f>
        <v>0</v>
      </c>
      <c r="H86" s="3">
        <f>'Monthly Data'!ER86</f>
        <v>0</v>
      </c>
      <c r="I86" s="3">
        <f>'Monthly Data'!EG86</f>
        <v>0</v>
      </c>
      <c r="J86" s="3">
        <f>'Monthly Data'!DQ86</f>
        <v>31</v>
      </c>
      <c r="K86" s="3">
        <f>'Monthly Data'!EH86</f>
        <v>85</v>
      </c>
      <c r="M86" s="3">
        <f t="shared" si="25"/>
        <v>-9235786.3729357291</v>
      </c>
      <c r="N86" s="3">
        <f t="shared" si="26"/>
        <v>29775840.021968056</v>
      </c>
      <c r="O86" s="3">
        <f t="shared" si="27"/>
        <v>0</v>
      </c>
      <c r="P86" s="3">
        <f t="shared" si="28"/>
        <v>0</v>
      </c>
      <c r="Q86" s="3">
        <f t="shared" si="29"/>
        <v>0</v>
      </c>
      <c r="R86" s="3">
        <f t="shared" si="30"/>
        <v>0</v>
      </c>
      <c r="S86" s="3">
        <f t="shared" si="31"/>
        <v>59495027.773339681</v>
      </c>
      <c r="T86" s="3">
        <f t="shared" si="32"/>
        <v>8976338.6024424955</v>
      </c>
      <c r="U86" s="47">
        <f t="shared" si="21"/>
        <v>89011420.024814516</v>
      </c>
      <c r="V86" s="47">
        <f ca="1">'Monthly Data'!G86+'Monthly Data'!H86</f>
        <v>2469618.5738604381</v>
      </c>
      <c r="W86" s="47">
        <f t="shared" ca="1" si="22"/>
        <v>91481038.598674953</v>
      </c>
      <c r="X86" s="47">
        <f t="shared" ca="1" si="23"/>
        <v>2028392.0063206404</v>
      </c>
      <c r="Y86" s="18">
        <f t="shared" ca="1" si="24"/>
        <v>2.2675595229331214E-2</v>
      </c>
    </row>
    <row r="87" spans="1:25">
      <c r="A87" s="2">
        <f>'Monthly Data'!A87</f>
        <v>44958</v>
      </c>
      <c r="B87">
        <f>'Monthly Data'!B87</f>
        <v>2023</v>
      </c>
      <c r="C87">
        <f>'Monthly Data'!C87</f>
        <v>2</v>
      </c>
      <c r="D87" s="3">
        <f ca="1">'Monthly Data'!F87</f>
        <v>81819262.154344514</v>
      </c>
      <c r="E87" s="3">
        <f>'Monthly Data'!CN87</f>
        <v>629.43333333333328</v>
      </c>
      <c r="F87" s="3">
        <f>'Monthly Data'!CS87</f>
        <v>0</v>
      </c>
      <c r="G87" s="3">
        <f>'Monthly Data'!EM87</f>
        <v>0</v>
      </c>
      <c r="H87" s="3">
        <f>'Monthly Data'!ER87</f>
        <v>0</v>
      </c>
      <c r="I87" s="3">
        <f>'Monthly Data'!EG87</f>
        <v>0</v>
      </c>
      <c r="J87" s="3">
        <f>'Monthly Data'!DQ87</f>
        <v>28</v>
      </c>
      <c r="K87" s="3">
        <f>'Monthly Data'!EH87</f>
        <v>86</v>
      </c>
      <c r="M87" s="3">
        <f t="shared" si="25"/>
        <v>-9235786.3729357291</v>
      </c>
      <c r="N87" s="3">
        <f t="shared" si="26"/>
        <v>28138007.701124009</v>
      </c>
      <c r="O87" s="3">
        <f t="shared" si="27"/>
        <v>0</v>
      </c>
      <c r="P87" s="3">
        <f t="shared" si="28"/>
        <v>0</v>
      </c>
      <c r="Q87" s="3">
        <f t="shared" si="29"/>
        <v>0</v>
      </c>
      <c r="R87" s="3">
        <f t="shared" si="30"/>
        <v>0</v>
      </c>
      <c r="S87" s="3">
        <f t="shared" si="31"/>
        <v>53737444.440435842</v>
      </c>
      <c r="T87" s="3">
        <f t="shared" si="32"/>
        <v>9081942.5860006418</v>
      </c>
      <c r="U87" s="47">
        <f t="shared" si="21"/>
        <v>81721608.354624763</v>
      </c>
      <c r="V87" s="47">
        <f ca="1">'Monthly Data'!G87+'Monthly Data'!H87</f>
        <v>2405596.0353837102</v>
      </c>
      <c r="W87" s="47">
        <f t="shared" ca="1" si="22"/>
        <v>84127204.390008479</v>
      </c>
      <c r="X87" s="47">
        <f t="shared" ca="1" si="23"/>
        <v>2307942.2356639653</v>
      </c>
      <c r="Y87" s="18">
        <f t="shared" ca="1" si="24"/>
        <v>2.8207810421343626E-2</v>
      </c>
    </row>
    <row r="88" spans="1:25">
      <c r="A88" s="2">
        <f>'Monthly Data'!A88</f>
        <v>44986</v>
      </c>
      <c r="B88">
        <f>'Monthly Data'!B88</f>
        <v>2023</v>
      </c>
      <c r="C88">
        <f>'Monthly Data'!C88</f>
        <v>3</v>
      </c>
      <c r="D88" s="3">
        <f ca="1">'Monthly Data'!F88</f>
        <v>83818873.824699819</v>
      </c>
      <c r="E88" s="3">
        <f>'Monthly Data'!CN88</f>
        <v>613.0333333333333</v>
      </c>
      <c r="F88" s="3">
        <f>'Monthly Data'!CS88</f>
        <v>0</v>
      </c>
      <c r="G88" s="3">
        <f>'Monthly Data'!EM88</f>
        <v>0</v>
      </c>
      <c r="H88" s="3">
        <f>'Monthly Data'!ER88</f>
        <v>0</v>
      </c>
      <c r="I88" s="3">
        <f>'Monthly Data'!EG88</f>
        <v>1</v>
      </c>
      <c r="J88" s="3">
        <f>'Monthly Data'!DQ88</f>
        <v>31</v>
      </c>
      <c r="K88" s="3">
        <f>'Monthly Data'!EH88</f>
        <v>87</v>
      </c>
      <c r="M88" s="3">
        <f t="shared" si="25"/>
        <v>-9235786.3729357291</v>
      </c>
      <c r="N88" s="3">
        <f t="shared" si="26"/>
        <v>27404866.791895971</v>
      </c>
      <c r="O88" s="3">
        <f t="shared" si="27"/>
        <v>0</v>
      </c>
      <c r="P88" s="3">
        <f t="shared" si="28"/>
        <v>0</v>
      </c>
      <c r="Q88" s="3">
        <f t="shared" si="29"/>
        <v>0</v>
      </c>
      <c r="R88" s="3">
        <f t="shared" si="30"/>
        <v>-2958956.3975358699</v>
      </c>
      <c r="S88" s="3">
        <f t="shared" si="31"/>
        <v>59495027.773339681</v>
      </c>
      <c r="T88" s="3">
        <f t="shared" si="32"/>
        <v>9187546.5695587881</v>
      </c>
      <c r="U88" s="47">
        <f t="shared" si="21"/>
        <v>83892698.364322841</v>
      </c>
      <c r="V88" s="47">
        <f ca="1">'Monthly Data'!G88+'Monthly Data'!H88</f>
        <v>2365923.2680213018</v>
      </c>
      <c r="W88" s="47">
        <f t="shared" ca="1" si="22"/>
        <v>86258621.632344142</v>
      </c>
      <c r="X88" s="47">
        <f t="shared" ca="1" si="23"/>
        <v>2439747.8076443225</v>
      </c>
      <c r="Y88" s="18">
        <f t="shared" ca="1" si="24"/>
        <v>2.9107379952954884E-2</v>
      </c>
    </row>
    <row r="89" spans="1:25">
      <c r="A89" s="2">
        <f>'Monthly Data'!A89</f>
        <v>45017</v>
      </c>
      <c r="B89">
        <f>'Monthly Data'!B89</f>
        <v>2023</v>
      </c>
      <c r="C89">
        <f>'Monthly Data'!C89</f>
        <v>4</v>
      </c>
      <c r="D89" s="3">
        <f ca="1">'Monthly Data'!F89</f>
        <v>71331296.344104633</v>
      </c>
      <c r="E89" s="3">
        <f>'Monthly Data'!CN89</f>
        <v>361.4</v>
      </c>
      <c r="F89" s="3">
        <f>'Monthly Data'!CS89</f>
        <v>1.75833333333334</v>
      </c>
      <c r="G89" s="3">
        <f>'Monthly Data'!EM89</f>
        <v>0</v>
      </c>
      <c r="H89" s="3">
        <f>'Monthly Data'!ER89</f>
        <v>0</v>
      </c>
      <c r="I89" s="3">
        <f>'Monthly Data'!EG89</f>
        <v>1</v>
      </c>
      <c r="J89" s="3">
        <f>'Monthly Data'!DQ89</f>
        <v>30</v>
      </c>
      <c r="K89" s="3">
        <f>'Monthly Data'!EH89</f>
        <v>88</v>
      </c>
      <c r="M89" s="3">
        <f t="shared" si="25"/>
        <v>-9235786.3729357291</v>
      </c>
      <c r="N89" s="3">
        <f t="shared" si="26"/>
        <v>16155922.231403193</v>
      </c>
      <c r="O89" s="3">
        <f t="shared" si="27"/>
        <v>470019.68089051195</v>
      </c>
      <c r="P89" s="3">
        <f t="shared" si="28"/>
        <v>0</v>
      </c>
      <c r="Q89" s="3">
        <f t="shared" si="29"/>
        <v>0</v>
      </c>
      <c r="R89" s="3">
        <f t="shared" si="30"/>
        <v>-2958956.3975358699</v>
      </c>
      <c r="S89" s="3">
        <f t="shared" si="31"/>
        <v>57575833.329038396</v>
      </c>
      <c r="T89" s="3">
        <f t="shared" si="32"/>
        <v>9293150.5531169362</v>
      </c>
      <c r="U89" s="47">
        <f t="shared" si="21"/>
        <v>71300183.023977444</v>
      </c>
      <c r="V89" s="47">
        <f ca="1">'Monthly Data'!G89+'Monthly Data'!H89</f>
        <v>1654556.4604512597</v>
      </c>
      <c r="W89" s="47">
        <f t="shared" ca="1" si="22"/>
        <v>72954739.484428704</v>
      </c>
      <c r="X89" s="47">
        <f t="shared" ca="1" si="23"/>
        <v>1623443.140324071</v>
      </c>
      <c r="Y89" s="18">
        <f t="shared" ca="1" si="24"/>
        <v>2.2759198606072225E-2</v>
      </c>
    </row>
    <row r="90" spans="1:25">
      <c r="A90" s="2">
        <f>'Monthly Data'!A90</f>
        <v>45047</v>
      </c>
      <c r="B90">
        <f>'Monthly Data'!B90</f>
        <v>2023</v>
      </c>
      <c r="C90">
        <f>'Monthly Data'!C90</f>
        <v>5</v>
      </c>
      <c r="D90" s="3">
        <f ca="1">'Monthly Data'!F90</f>
        <v>69854322.550043881</v>
      </c>
      <c r="E90" s="3">
        <f>'Monthly Data'!CN90</f>
        <v>219.04750000000001</v>
      </c>
      <c r="F90" s="3">
        <f>'Monthly Data'!CS90</f>
        <v>19.570833333333329</v>
      </c>
      <c r="G90" s="3">
        <f>'Monthly Data'!EM90</f>
        <v>0</v>
      </c>
      <c r="H90" s="3">
        <f>'Monthly Data'!ER90</f>
        <v>0</v>
      </c>
      <c r="I90" s="3">
        <f>'Monthly Data'!EG90</f>
        <v>1</v>
      </c>
      <c r="J90" s="3">
        <f>'Monthly Data'!DQ90</f>
        <v>31</v>
      </c>
      <c r="K90" s="3">
        <f>'Monthly Data'!EH90</f>
        <v>89</v>
      </c>
      <c r="M90" s="3">
        <f t="shared" si="25"/>
        <v>-9235786.3729357291</v>
      </c>
      <c r="N90" s="3">
        <f t="shared" si="26"/>
        <v>9792236.787446849</v>
      </c>
      <c r="O90" s="3">
        <f t="shared" si="27"/>
        <v>5231474.9790111985</v>
      </c>
      <c r="P90" s="3">
        <f t="shared" si="28"/>
        <v>0</v>
      </c>
      <c r="Q90" s="3">
        <f t="shared" si="29"/>
        <v>0</v>
      </c>
      <c r="R90" s="3">
        <f t="shared" si="30"/>
        <v>-2958956.3975358699</v>
      </c>
      <c r="S90" s="3">
        <f t="shared" si="31"/>
        <v>59495027.773339681</v>
      </c>
      <c r="T90" s="3">
        <f t="shared" si="32"/>
        <v>9398754.5366750825</v>
      </c>
      <c r="U90" s="47">
        <f t="shared" si="21"/>
        <v>71722751.306001216</v>
      </c>
      <c r="V90" s="47">
        <f ca="1">'Monthly Data'!G90+'Monthly Data'!H90</f>
        <v>1273659.2779073855</v>
      </c>
      <c r="W90" s="47">
        <f t="shared" ca="1" si="22"/>
        <v>72996410.583908603</v>
      </c>
      <c r="X90" s="47">
        <f t="shared" ca="1" si="23"/>
        <v>3142088.0338647217</v>
      </c>
      <c r="Y90" s="18">
        <f t="shared" ca="1" si="24"/>
        <v>4.4980581289206817E-2</v>
      </c>
    </row>
    <row r="91" spans="1:25">
      <c r="A91" s="2">
        <f>'Monthly Data'!A91</f>
        <v>45078</v>
      </c>
      <c r="B91">
        <f>'Monthly Data'!B91</f>
        <v>2023</v>
      </c>
      <c r="C91">
        <f>'Monthly Data'!C91</f>
        <v>6</v>
      </c>
      <c r="D91" s="3">
        <f ca="1">'Monthly Data'!F91</f>
        <v>83990218.718701631</v>
      </c>
      <c r="E91" s="3">
        <f>'Monthly Data'!CN91</f>
        <v>55.599999999999994</v>
      </c>
      <c r="F91" s="3">
        <f>'Monthly Data'!CS91</f>
        <v>89.8125</v>
      </c>
      <c r="G91" s="3">
        <f>'Monthly Data'!EM91</f>
        <v>0</v>
      </c>
      <c r="H91" s="3">
        <f>'Monthly Data'!ER91</f>
        <v>0</v>
      </c>
      <c r="I91" s="3">
        <f>'Monthly Data'!EG91</f>
        <v>0</v>
      </c>
      <c r="J91" s="3">
        <f>'Monthly Data'!DQ91</f>
        <v>30</v>
      </c>
      <c r="K91" s="3">
        <f>'Monthly Data'!EH91</f>
        <v>90</v>
      </c>
      <c r="M91" s="3">
        <f t="shared" si="25"/>
        <v>-9235786.3729357291</v>
      </c>
      <c r="N91" s="3">
        <f t="shared" si="26"/>
        <v>2485526.4971389528</v>
      </c>
      <c r="O91" s="3">
        <f t="shared" si="27"/>
        <v>24007758.818945371</v>
      </c>
      <c r="P91" s="3">
        <f t="shared" si="28"/>
        <v>0</v>
      </c>
      <c r="Q91" s="3">
        <f t="shared" si="29"/>
        <v>0</v>
      </c>
      <c r="R91" s="3">
        <f t="shared" si="30"/>
        <v>0</v>
      </c>
      <c r="S91" s="3">
        <f t="shared" si="31"/>
        <v>57575833.329038396</v>
      </c>
      <c r="T91" s="3">
        <f t="shared" si="32"/>
        <v>9504358.5202332288</v>
      </c>
      <c r="U91" s="47">
        <f t="shared" si="21"/>
        <v>84337690.792420223</v>
      </c>
      <c r="V91" s="47">
        <f ca="1">'Monthly Data'!G91+'Monthly Data'!H91</f>
        <v>880090.85382460826</v>
      </c>
      <c r="W91" s="47">
        <f t="shared" ca="1" si="22"/>
        <v>85217781.646244839</v>
      </c>
      <c r="X91" s="47">
        <f t="shared" ca="1" si="23"/>
        <v>1227562.927543208</v>
      </c>
      <c r="Y91" s="18">
        <f t="shared" ca="1" si="24"/>
        <v>1.4615546265625732E-2</v>
      </c>
    </row>
    <row r="92" spans="1:25">
      <c r="A92" s="2">
        <f>'Monthly Data'!A92</f>
        <v>45108</v>
      </c>
      <c r="B92">
        <f>'Monthly Data'!B92</f>
        <v>2023</v>
      </c>
      <c r="C92">
        <f>'Monthly Data'!C92</f>
        <v>7</v>
      </c>
      <c r="D92" s="3">
        <f ca="1">'Monthly Data'!F92</f>
        <v>106174141.42736192</v>
      </c>
      <c r="E92" s="3">
        <f>'Monthly Data'!CN92</f>
        <v>7.3166666666666593</v>
      </c>
      <c r="F92" s="3">
        <f>'Monthly Data'!CS92</f>
        <v>161.78333333333336</v>
      </c>
      <c r="G92" s="3">
        <f>'Monthly Data'!EM92</f>
        <v>0</v>
      </c>
      <c r="H92" s="3">
        <f>'Monthly Data'!ER92</f>
        <v>0</v>
      </c>
      <c r="I92" s="3">
        <f>'Monthly Data'!EG92</f>
        <v>0</v>
      </c>
      <c r="J92" s="3">
        <f>'Monthly Data'!DQ92</f>
        <v>31</v>
      </c>
      <c r="K92" s="3">
        <f>'Monthly Data'!EH92</f>
        <v>91</v>
      </c>
      <c r="M92" s="3">
        <f t="shared" si="25"/>
        <v>-9235786.3729357291</v>
      </c>
      <c r="N92" s="3">
        <f t="shared" si="26"/>
        <v>327082.17393405252</v>
      </c>
      <c r="O92" s="3">
        <f t="shared" si="27"/>
        <v>43246265.804778986</v>
      </c>
      <c r="P92" s="3">
        <f t="shared" si="28"/>
        <v>0</v>
      </c>
      <c r="Q92" s="3">
        <f t="shared" si="29"/>
        <v>0</v>
      </c>
      <c r="R92" s="3">
        <f t="shared" si="30"/>
        <v>0</v>
      </c>
      <c r="S92" s="3">
        <f t="shared" si="31"/>
        <v>59495027.773339681</v>
      </c>
      <c r="T92" s="3">
        <f t="shared" si="32"/>
        <v>9609962.5037913769</v>
      </c>
      <c r="U92" s="47">
        <f t="shared" si="21"/>
        <v>103442551.88290836</v>
      </c>
      <c r="V92" s="47">
        <f ca="1">'Monthly Data'!G92+'Monthly Data'!H92</f>
        <v>843620.38311860966</v>
      </c>
      <c r="W92" s="47">
        <f t="shared" ca="1" si="22"/>
        <v>104286172.26602697</v>
      </c>
      <c r="X92" s="47">
        <f t="shared" ca="1" si="23"/>
        <v>-1887969.1613349468</v>
      </c>
      <c r="Y92" s="18">
        <f t="shared" ca="1" si="24"/>
        <v>1.7781817078564122E-2</v>
      </c>
    </row>
    <row r="93" spans="1:25">
      <c r="A93" s="2">
        <f>'Monthly Data'!A93</f>
        <v>45139</v>
      </c>
      <c r="B93">
        <f>'Monthly Data'!B93</f>
        <v>2023</v>
      </c>
      <c r="C93">
        <f>'Monthly Data'!C93</f>
        <v>8</v>
      </c>
      <c r="D93" s="3">
        <f ca="1">'Monthly Data'!F93</f>
        <v>91823392.538731441</v>
      </c>
      <c r="E93" s="3">
        <f>'Monthly Data'!CN93</f>
        <v>32.211775362318839</v>
      </c>
      <c r="F93" s="3">
        <f>'Monthly Data'!CS93</f>
        <v>105.41739130434784</v>
      </c>
      <c r="G93" s="3">
        <f>'Monthly Data'!EM93</f>
        <v>0</v>
      </c>
      <c r="H93" s="3">
        <f>'Monthly Data'!ER93</f>
        <v>0</v>
      </c>
      <c r="I93" s="3">
        <f>'Monthly Data'!EG93</f>
        <v>0</v>
      </c>
      <c r="J93" s="3">
        <f>'Monthly Data'!DQ93</f>
        <v>31</v>
      </c>
      <c r="K93" s="3">
        <f>'Monthly Data'!EH93</f>
        <v>92</v>
      </c>
      <c r="M93" s="3">
        <f t="shared" si="25"/>
        <v>-9235786.3729357291</v>
      </c>
      <c r="N93" s="3">
        <f t="shared" si="26"/>
        <v>1439985.992498762</v>
      </c>
      <c r="O93" s="3">
        <f t="shared" si="27"/>
        <v>28179098.7419031</v>
      </c>
      <c r="P93" s="3">
        <f t="shared" si="28"/>
        <v>0</v>
      </c>
      <c r="Q93" s="3">
        <f t="shared" si="29"/>
        <v>0</v>
      </c>
      <c r="R93" s="3">
        <f t="shared" si="30"/>
        <v>0</v>
      </c>
      <c r="S93" s="3">
        <f t="shared" si="31"/>
        <v>59495027.773339681</v>
      </c>
      <c r="T93" s="3">
        <f t="shared" si="32"/>
        <v>9715566.4873495232</v>
      </c>
      <c r="U93" s="47">
        <f t="shared" si="21"/>
        <v>89593892.622155339</v>
      </c>
      <c r="V93" s="47">
        <f ca="1">'Monthly Data'!G93+'Monthly Data'!H93</f>
        <v>897208.34761134617</v>
      </c>
      <c r="W93" s="47">
        <f t="shared" ca="1" si="22"/>
        <v>90491100.969766691</v>
      </c>
      <c r="X93" s="47">
        <f t="shared" ca="1" si="23"/>
        <v>-1332291.5689647496</v>
      </c>
      <c r="Y93" s="18">
        <f t="shared" ca="1" si="24"/>
        <v>1.4509282788727111E-2</v>
      </c>
    </row>
    <row r="94" spans="1:25">
      <c r="A94" s="2">
        <f>'Monthly Data'!A94</f>
        <v>45170</v>
      </c>
      <c r="B94">
        <f>'Monthly Data'!B94</f>
        <v>2023</v>
      </c>
      <c r="C94">
        <f>'Monthly Data'!C94</f>
        <v>9</v>
      </c>
      <c r="D94" s="3">
        <f ca="1">'Monthly Data'!F94</f>
        <v>80588429.861309886</v>
      </c>
      <c r="E94" s="3">
        <f>'Monthly Data'!CN94</f>
        <v>95.22083333333336</v>
      </c>
      <c r="F94" s="3">
        <f>'Monthly Data'!CS94</f>
        <v>58.208333333333314</v>
      </c>
      <c r="G94" s="3">
        <f>'Monthly Data'!EM94</f>
        <v>0</v>
      </c>
      <c r="H94" s="3">
        <f>'Monthly Data'!ER94</f>
        <v>0</v>
      </c>
      <c r="I94" s="3">
        <f>'Monthly Data'!EG94</f>
        <v>1</v>
      </c>
      <c r="J94" s="3">
        <f>'Monthly Data'!DQ94</f>
        <v>30</v>
      </c>
      <c r="K94" s="3">
        <f>'Monthly Data'!EH94</f>
        <v>93</v>
      </c>
      <c r="M94" s="3">
        <f t="shared" si="25"/>
        <v>-9235786.3729357291</v>
      </c>
      <c r="N94" s="3">
        <f t="shared" si="26"/>
        <v>4256724.8980153259</v>
      </c>
      <c r="O94" s="3">
        <f t="shared" si="27"/>
        <v>15559656.260759301</v>
      </c>
      <c r="P94" s="3">
        <f t="shared" si="28"/>
        <v>0</v>
      </c>
      <c r="Q94" s="3">
        <f t="shared" si="29"/>
        <v>0</v>
      </c>
      <c r="R94" s="3">
        <f t="shared" si="30"/>
        <v>-2958956.3975358699</v>
      </c>
      <c r="S94" s="3">
        <f t="shared" si="31"/>
        <v>57575833.329038396</v>
      </c>
      <c r="T94" s="3">
        <f t="shared" si="32"/>
        <v>9821170.4709076714</v>
      </c>
      <c r="U94" s="47">
        <f t="shared" si="21"/>
        <v>75018642.188249096</v>
      </c>
      <c r="V94" s="47">
        <f ca="1">'Monthly Data'!G94+'Monthly Data'!H94</f>
        <v>1037011.9913151257</v>
      </c>
      <c r="W94" s="47">
        <f t="shared" ca="1" si="22"/>
        <v>76055654.179564223</v>
      </c>
      <c r="X94" s="47">
        <f t="shared" ca="1" si="23"/>
        <v>-4532775.6817456633</v>
      </c>
      <c r="Y94" s="18">
        <f t="shared" ca="1" si="24"/>
        <v>5.6245985801515498E-2</v>
      </c>
    </row>
    <row r="95" spans="1:25">
      <c r="A95" s="2">
        <f>'Monthly Data'!A95</f>
        <v>45200</v>
      </c>
      <c r="B95">
        <f>'Monthly Data'!B95</f>
        <v>2023</v>
      </c>
      <c r="C95">
        <f>'Monthly Data'!C95</f>
        <v>10</v>
      </c>
      <c r="D95" s="3">
        <f ca="1">'Monthly Data'!F95</f>
        <v>75333961.579978198</v>
      </c>
      <c r="E95" s="3">
        <f>'Monthly Data'!CN95</f>
        <v>261.85000000000002</v>
      </c>
      <c r="F95" s="3">
        <f>'Monthly Data'!CS95</f>
        <v>19.579166666666676</v>
      </c>
      <c r="G95" s="3">
        <f>'Monthly Data'!EM95</f>
        <v>0</v>
      </c>
      <c r="H95" s="3">
        <f>'Monthly Data'!ER95</f>
        <v>0</v>
      </c>
      <c r="I95" s="3">
        <f>'Monthly Data'!EG95</f>
        <v>1</v>
      </c>
      <c r="J95" s="3">
        <f>'Monthly Data'!DQ95</f>
        <v>31</v>
      </c>
      <c r="K95" s="3">
        <f>'Monthly Data'!EH95</f>
        <v>94</v>
      </c>
      <c r="M95" s="3">
        <f t="shared" si="25"/>
        <v>-9235786.3729357291</v>
      </c>
      <c r="N95" s="3">
        <f t="shared" si="26"/>
        <v>11705667.504961058</v>
      </c>
      <c r="O95" s="3">
        <f t="shared" si="27"/>
        <v>5233702.5604372239</v>
      </c>
      <c r="P95" s="3">
        <f t="shared" si="28"/>
        <v>0</v>
      </c>
      <c r="Q95" s="3">
        <f t="shared" si="29"/>
        <v>0</v>
      </c>
      <c r="R95" s="3">
        <f t="shared" si="30"/>
        <v>-2958956.3975358699</v>
      </c>
      <c r="S95" s="3">
        <f t="shared" si="31"/>
        <v>59495027.773339681</v>
      </c>
      <c r="T95" s="3">
        <f t="shared" si="32"/>
        <v>9926774.4544658177</v>
      </c>
      <c r="U95" s="47">
        <f t="shared" si="21"/>
        <v>74166429.522732183</v>
      </c>
      <c r="V95" s="47">
        <f ca="1">'Monthly Data'!G95+'Monthly Data'!H95</f>
        <v>1535214.2134992103</v>
      </c>
      <c r="W95" s="47">
        <f t="shared" ca="1" si="22"/>
        <v>75701643.736231387</v>
      </c>
      <c r="X95" s="47">
        <f t="shared" ca="1" si="23"/>
        <v>367682.15625318885</v>
      </c>
      <c r="Y95" s="18">
        <f t="shared" ca="1" si="24"/>
        <v>4.8806958845890452E-3</v>
      </c>
    </row>
    <row r="96" spans="1:25">
      <c r="A96" s="2">
        <f>'Monthly Data'!A96</f>
        <v>45231</v>
      </c>
      <c r="B96">
        <f>'Monthly Data'!B96</f>
        <v>2023</v>
      </c>
      <c r="C96">
        <f>'Monthly Data'!C96</f>
        <v>11</v>
      </c>
      <c r="D96" s="3">
        <f ca="1">'Monthly Data'!F96</f>
        <v>83463721.714690402</v>
      </c>
      <c r="E96" s="3">
        <f>'Monthly Data'!CN96</f>
        <v>510.59311594202899</v>
      </c>
      <c r="F96" s="3">
        <f>'Monthly Data'!CS96</f>
        <v>0</v>
      </c>
      <c r="G96" s="3">
        <f>'Monthly Data'!EM96</f>
        <v>0</v>
      </c>
      <c r="H96" s="3">
        <f>'Monthly Data'!ER96</f>
        <v>0</v>
      </c>
      <c r="I96" s="3">
        <f>'Monthly Data'!EG96</f>
        <v>1</v>
      </c>
      <c r="J96" s="3">
        <f>'Monthly Data'!DQ96</f>
        <v>30</v>
      </c>
      <c r="K96" s="3">
        <f>'Monthly Data'!EH96</f>
        <v>95</v>
      </c>
      <c r="M96" s="3">
        <f t="shared" si="25"/>
        <v>-9235786.3729357291</v>
      </c>
      <c r="N96" s="3">
        <f t="shared" si="26"/>
        <v>22825408.613860693</v>
      </c>
      <c r="O96" s="3">
        <f t="shared" si="27"/>
        <v>0</v>
      </c>
      <c r="P96" s="3">
        <f t="shared" si="28"/>
        <v>0</v>
      </c>
      <c r="Q96" s="3">
        <f t="shared" si="29"/>
        <v>0</v>
      </c>
      <c r="R96" s="3">
        <f t="shared" si="30"/>
        <v>-2958956.3975358699</v>
      </c>
      <c r="S96" s="3">
        <f t="shared" si="31"/>
        <v>57575833.329038396</v>
      </c>
      <c r="T96" s="3">
        <f t="shared" si="32"/>
        <v>10032378.438023964</v>
      </c>
      <c r="U96" s="47">
        <f t="shared" si="21"/>
        <v>78238877.61045146</v>
      </c>
      <c r="V96" s="47">
        <f ca="1">'Monthly Data'!G96+'Monthly Data'!H96</f>
        <v>2281352.380051956</v>
      </c>
      <c r="W96" s="47">
        <f t="shared" ca="1" si="22"/>
        <v>80520229.990503415</v>
      </c>
      <c r="X96" s="47">
        <f t="shared" ca="1" si="23"/>
        <v>-2943491.7241869867</v>
      </c>
      <c r="Y96" s="18">
        <f t="shared" ca="1" si="24"/>
        <v>3.5266720243424088E-2</v>
      </c>
    </row>
    <row r="97" spans="1:25">
      <c r="A97" s="2">
        <f>'Monthly Data'!A97</f>
        <v>45261</v>
      </c>
      <c r="B97">
        <f>'Monthly Data'!B97</f>
        <v>2023</v>
      </c>
      <c r="C97">
        <f>'Monthly Data'!C97</f>
        <v>12</v>
      </c>
      <c r="D97" s="3">
        <f ca="1">'Monthly Data'!F97</f>
        <v>90775695.366578922</v>
      </c>
      <c r="E97" s="3">
        <f>'Monthly Data'!CN97</f>
        <v>551.67916666666667</v>
      </c>
      <c r="F97" s="3">
        <f>'Monthly Data'!CS97</f>
        <v>0</v>
      </c>
      <c r="G97" s="3">
        <f>'Monthly Data'!EM97</f>
        <v>0</v>
      </c>
      <c r="H97" s="3">
        <f>'Monthly Data'!ER97</f>
        <v>0</v>
      </c>
      <c r="I97" s="3">
        <f>'Monthly Data'!EG97</f>
        <v>0</v>
      </c>
      <c r="J97" s="3">
        <f>'Monthly Data'!DQ97</f>
        <v>31</v>
      </c>
      <c r="K97" s="3">
        <f>'Monthly Data'!EH97</f>
        <v>96</v>
      </c>
      <c r="M97" s="3">
        <f t="shared" si="25"/>
        <v>-9235786.3729357291</v>
      </c>
      <c r="N97" s="3">
        <f t="shared" si="26"/>
        <v>24662107.673912529</v>
      </c>
      <c r="O97" s="3">
        <f t="shared" si="27"/>
        <v>0</v>
      </c>
      <c r="P97" s="3">
        <f t="shared" si="28"/>
        <v>0</v>
      </c>
      <c r="Q97" s="3">
        <f t="shared" si="29"/>
        <v>0</v>
      </c>
      <c r="R97" s="3">
        <f t="shared" si="30"/>
        <v>0</v>
      </c>
      <c r="S97" s="3">
        <f t="shared" si="31"/>
        <v>59495027.773339681</v>
      </c>
      <c r="T97" s="3">
        <f t="shared" si="32"/>
        <v>10137982.421582112</v>
      </c>
      <c r="U97" s="47">
        <f t="shared" si="21"/>
        <v>85059331.495898604</v>
      </c>
      <c r="V97" s="47">
        <f ca="1">'Monthly Data'!G97+'Monthly Data'!H97</f>
        <v>2423430.2969831224</v>
      </c>
      <c r="W97" s="47">
        <f t="shared" ca="1" si="22"/>
        <v>87482761.792881727</v>
      </c>
      <c r="X97" s="47">
        <f t="shared" ca="1" si="23"/>
        <v>-3292933.5736971945</v>
      </c>
      <c r="Y97" s="18">
        <f t="shared" ca="1" si="24"/>
        <v>3.6275498198051377E-2</v>
      </c>
    </row>
    <row r="98" spans="1:25">
      <c r="A98" s="2">
        <f>'Monthly Data'!A98</f>
        <v>45292</v>
      </c>
      <c r="B98">
        <f>'Monthly Data'!B98</f>
        <v>2024</v>
      </c>
      <c r="C98">
        <f>'Monthly Data'!C98</f>
        <v>1</v>
      </c>
      <c r="D98" s="3">
        <f ca="1">'Monthly Data'!F98</f>
        <v>96796168.11477837</v>
      </c>
      <c r="E98" s="3">
        <f>'Monthly Data'!CN98</f>
        <v>698.99583333333328</v>
      </c>
      <c r="F98" s="3">
        <f>'Monthly Data'!CS98</f>
        <v>0</v>
      </c>
      <c r="G98" s="3">
        <f>'Monthly Data'!EM98</f>
        <v>0</v>
      </c>
      <c r="H98" s="3">
        <f>'Monthly Data'!ER98</f>
        <v>0</v>
      </c>
      <c r="I98" s="3">
        <f>'Monthly Data'!EG98</f>
        <v>0</v>
      </c>
      <c r="J98" s="3">
        <f>'Monthly Data'!DQ98</f>
        <v>31</v>
      </c>
      <c r="K98" s="3">
        <f>'Monthly Data'!EH98</f>
        <v>97</v>
      </c>
      <c r="M98" s="3">
        <f t="shared" ref="M98:M121" si="33">$AC$9</f>
        <v>-9235786.3729357291</v>
      </c>
      <c r="N98" s="3">
        <f t="shared" ref="N98:N121" si="34">E98*$AC$10</f>
        <v>31247709.80467128</v>
      </c>
      <c r="O98" s="3">
        <f t="shared" ref="O98:O121" si="35">F98*$AC$11</f>
        <v>0</v>
      </c>
      <c r="P98" s="3">
        <f t="shared" ref="P98:P121" si="36">G98*$AC$12</f>
        <v>0</v>
      </c>
      <c r="Q98" s="3">
        <f t="shared" ref="Q98:Q121" si="37">H98*$AC$13</f>
        <v>0</v>
      </c>
      <c r="R98" s="3">
        <f t="shared" ref="R98:R121" si="38">I98*$AC$14</f>
        <v>0</v>
      </c>
      <c r="S98" s="3">
        <f t="shared" ref="S98:S121" si="39">J98*$AC$15</f>
        <v>59495027.773339681</v>
      </c>
      <c r="T98" s="3">
        <f t="shared" ref="T98:T121" si="40">K98*$AC$16</f>
        <v>10243586.405140258</v>
      </c>
      <c r="U98" s="47">
        <f t="shared" ref="U98:U109" si="41">SUM(M98:T98)</f>
        <v>91750537.610215485</v>
      </c>
      <c r="V98" s="47">
        <f ca="1">'Monthly Data'!G98+'Monthly Data'!H98</f>
        <v>3473697.4616387594</v>
      </c>
      <c r="W98" s="47">
        <f t="shared" ca="1" si="22"/>
        <v>95224235.071854249</v>
      </c>
      <c r="X98" s="47">
        <f t="shared" ca="1" si="23"/>
        <v>-1571933.042924121</v>
      </c>
      <c r="Y98" s="18">
        <f t="shared" ref="Y98:Y109" ca="1" si="42">ABS(X98/D98)</f>
        <v>1.6239620571138352E-2</v>
      </c>
    </row>
    <row r="99" spans="1:25">
      <c r="A99" s="2">
        <f>'Monthly Data'!A99</f>
        <v>45323</v>
      </c>
      <c r="B99">
        <f>'Monthly Data'!B99</f>
        <v>2024</v>
      </c>
      <c r="C99">
        <f>'Monthly Data'!C99</f>
        <v>2</v>
      </c>
      <c r="D99" s="3">
        <f ca="1">'Monthly Data'!F99</f>
        <v>84082061.1679153</v>
      </c>
      <c r="E99" s="3">
        <f>'Monthly Data'!CN99</f>
        <v>600.96666666666647</v>
      </c>
      <c r="F99" s="3">
        <f>'Monthly Data'!CS99</f>
        <v>0</v>
      </c>
      <c r="G99" s="3">
        <f>'Monthly Data'!EM99</f>
        <v>0</v>
      </c>
      <c r="H99" s="3">
        <f>'Monthly Data'!ER99</f>
        <v>0</v>
      </c>
      <c r="I99" s="3">
        <f>'Monthly Data'!EG99</f>
        <v>0</v>
      </c>
      <c r="J99" s="3">
        <f>'Monthly Data'!DQ99</f>
        <v>29</v>
      </c>
      <c r="K99" s="3">
        <f>'Monthly Data'!EH99</f>
        <v>98</v>
      </c>
      <c r="M99" s="3">
        <f t="shared" si="33"/>
        <v>-9235786.3729357291</v>
      </c>
      <c r="N99" s="3">
        <f t="shared" si="34"/>
        <v>26865441.976569645</v>
      </c>
      <c r="O99" s="3">
        <f t="shared" si="35"/>
        <v>0</v>
      </c>
      <c r="P99" s="3">
        <f t="shared" si="36"/>
        <v>0</v>
      </c>
      <c r="Q99" s="3">
        <f t="shared" si="37"/>
        <v>0</v>
      </c>
      <c r="R99" s="3">
        <f t="shared" si="38"/>
        <v>0</v>
      </c>
      <c r="S99" s="3">
        <f t="shared" si="39"/>
        <v>55656638.884737119</v>
      </c>
      <c r="T99" s="3">
        <f t="shared" si="40"/>
        <v>10349190.388698407</v>
      </c>
      <c r="U99" s="47">
        <f t="shared" si="41"/>
        <v>83635484.877069443</v>
      </c>
      <c r="V99" s="47">
        <f ca="1">'Monthly Data'!G99+'Monthly Data'!H99</f>
        <v>3145686.1367494375</v>
      </c>
      <c r="W99" s="47">
        <f t="shared" ca="1" si="22"/>
        <v>86781171.013818875</v>
      </c>
      <c r="X99" s="47">
        <f t="shared" ca="1" si="23"/>
        <v>2699109.8459035754</v>
      </c>
      <c r="Y99" s="18">
        <f t="shared" ca="1" si="42"/>
        <v>3.2100900101786789E-2</v>
      </c>
    </row>
    <row r="100" spans="1:25">
      <c r="A100" s="2">
        <f>'Monthly Data'!A100</f>
        <v>45352</v>
      </c>
      <c r="B100">
        <f>'Monthly Data'!B100</f>
        <v>2024</v>
      </c>
      <c r="C100">
        <f>'Monthly Data'!C100</f>
        <v>3</v>
      </c>
      <c r="D100" s="3">
        <f ca="1">'Monthly Data'!F100</f>
        <v>83373601.706231177</v>
      </c>
      <c r="E100" s="3">
        <f>'Monthly Data'!CN100</f>
        <v>522.11249999999995</v>
      </c>
      <c r="F100" s="3">
        <f>'Monthly Data'!CS100</f>
        <v>0</v>
      </c>
      <c r="G100" s="3">
        <f>'Monthly Data'!EM100</f>
        <v>0</v>
      </c>
      <c r="H100" s="3">
        <f>'Monthly Data'!ER100</f>
        <v>0</v>
      </c>
      <c r="I100" s="3">
        <f>'Monthly Data'!EG100</f>
        <v>1</v>
      </c>
      <c r="J100" s="3">
        <f>'Monthly Data'!DQ100</f>
        <v>31</v>
      </c>
      <c r="K100" s="3">
        <f>'Monthly Data'!EH100</f>
        <v>99</v>
      </c>
      <c r="M100" s="3">
        <f t="shared" si="33"/>
        <v>-9235786.3729357291</v>
      </c>
      <c r="N100" s="3">
        <f t="shared" si="34"/>
        <v>23340367.863983121</v>
      </c>
      <c r="O100" s="3">
        <f t="shared" si="35"/>
        <v>0</v>
      </c>
      <c r="P100" s="3">
        <f t="shared" si="36"/>
        <v>0</v>
      </c>
      <c r="Q100" s="3">
        <f t="shared" si="37"/>
        <v>0</v>
      </c>
      <c r="R100" s="3">
        <f t="shared" si="38"/>
        <v>-2958956.3975358699</v>
      </c>
      <c r="S100" s="3">
        <f t="shared" si="39"/>
        <v>59495027.773339681</v>
      </c>
      <c r="T100" s="3">
        <f t="shared" si="40"/>
        <v>10454794.372256553</v>
      </c>
      <c r="U100" s="47">
        <f t="shared" si="41"/>
        <v>81095447.239107758</v>
      </c>
      <c r="V100" s="47">
        <f ca="1">'Monthly Data'!G100+'Monthly Data'!H100</f>
        <v>2860465.6896049175</v>
      </c>
      <c r="W100" s="47">
        <f t="shared" ca="1" si="22"/>
        <v>83955912.928712681</v>
      </c>
      <c r="X100" s="47">
        <f t="shared" ca="1" si="23"/>
        <v>582311.22248150408</v>
      </c>
      <c r="Y100" s="18">
        <f t="shared" ca="1" si="42"/>
        <v>6.9843596841754688E-3</v>
      </c>
    </row>
    <row r="101" spans="1:25">
      <c r="A101" s="2">
        <f>'Monthly Data'!A101</f>
        <v>45383</v>
      </c>
      <c r="B101">
        <f>'Monthly Data'!B101</f>
        <v>2024</v>
      </c>
      <c r="C101">
        <f>'Monthly Data'!C101</f>
        <v>4</v>
      </c>
      <c r="D101" s="3">
        <f ca="1">'Monthly Data'!F101</f>
        <v>73417105.585059851</v>
      </c>
      <c r="E101" s="3">
        <f>'Monthly Data'!CN101</f>
        <v>368.29791666666671</v>
      </c>
      <c r="F101" s="3">
        <f>'Monthly Data'!CS101</f>
        <v>0</v>
      </c>
      <c r="G101" s="3">
        <f>'Monthly Data'!EM101</f>
        <v>0</v>
      </c>
      <c r="H101" s="3">
        <f>'Monthly Data'!ER101</f>
        <v>0</v>
      </c>
      <c r="I101" s="3">
        <f>'Monthly Data'!EG101</f>
        <v>1</v>
      </c>
      <c r="J101" s="3">
        <f>'Monthly Data'!DQ101</f>
        <v>30</v>
      </c>
      <c r="K101" s="3">
        <f>'Monthly Data'!EH101</f>
        <v>100</v>
      </c>
      <c r="M101" s="3">
        <f t="shared" si="33"/>
        <v>-9235786.3729357291</v>
      </c>
      <c r="N101" s="3">
        <f t="shared" si="34"/>
        <v>16464284.725109246</v>
      </c>
      <c r="O101" s="3">
        <f t="shared" si="35"/>
        <v>0</v>
      </c>
      <c r="P101" s="3">
        <f t="shared" si="36"/>
        <v>0</v>
      </c>
      <c r="Q101" s="3">
        <f t="shared" si="37"/>
        <v>0</v>
      </c>
      <c r="R101" s="3">
        <f t="shared" si="38"/>
        <v>-2958956.3975358699</v>
      </c>
      <c r="S101" s="3">
        <f t="shared" si="39"/>
        <v>57575833.329038396</v>
      </c>
      <c r="T101" s="3">
        <f t="shared" si="40"/>
        <v>10560398.355814699</v>
      </c>
      <c r="U101" s="47">
        <f t="shared" si="41"/>
        <v>72405773.639490739</v>
      </c>
      <c r="V101" s="47">
        <f ca="1">'Monthly Data'!G101+'Monthly Data'!H101</f>
        <v>2311184.6823875681</v>
      </c>
      <c r="W101" s="47">
        <f t="shared" ca="1" si="22"/>
        <v>74716958.321878314</v>
      </c>
      <c r="X101" s="47">
        <f t="shared" ca="1" si="23"/>
        <v>1299852.7368184626</v>
      </c>
      <c r="Y101" s="18">
        <f t="shared" ca="1" si="42"/>
        <v>1.7705039261081666E-2</v>
      </c>
    </row>
    <row r="102" spans="1:25">
      <c r="A102" s="2">
        <f>'Monthly Data'!A102</f>
        <v>45413</v>
      </c>
      <c r="B102">
        <f>'Monthly Data'!B102</f>
        <v>2024</v>
      </c>
      <c r="C102">
        <f>'Monthly Data'!C102</f>
        <v>5</v>
      </c>
      <c r="D102" s="3">
        <f ca="1">'Monthly Data'!F102</f>
        <v>74044875.266212851</v>
      </c>
      <c r="E102" s="3">
        <f>'Monthly Data'!CN102</f>
        <v>143.5708333333333</v>
      </c>
      <c r="F102" s="3">
        <f>'Monthly Data'!CS102</f>
        <v>27.287500000000005</v>
      </c>
      <c r="G102" s="3">
        <f>'Monthly Data'!EM102</f>
        <v>0</v>
      </c>
      <c r="H102" s="3">
        <f>'Monthly Data'!ER102</f>
        <v>0</v>
      </c>
      <c r="I102" s="3">
        <f>'Monthly Data'!EG102</f>
        <v>1</v>
      </c>
      <c r="J102" s="3">
        <f>'Monthly Data'!DQ102</f>
        <v>31</v>
      </c>
      <c r="K102" s="3">
        <f>'Monthly Data'!EH102</f>
        <v>101</v>
      </c>
      <c r="M102" s="3">
        <f t="shared" si="33"/>
        <v>-9235786.3729357291</v>
      </c>
      <c r="N102" s="3">
        <f t="shared" si="34"/>
        <v>6418149.4688187111</v>
      </c>
      <c r="O102" s="3">
        <f t="shared" si="35"/>
        <v>7294215.379506995</v>
      </c>
      <c r="P102" s="3">
        <f t="shared" si="36"/>
        <v>0</v>
      </c>
      <c r="Q102" s="3">
        <f t="shared" si="37"/>
        <v>0</v>
      </c>
      <c r="R102" s="3">
        <f t="shared" si="38"/>
        <v>-2958956.3975358699</v>
      </c>
      <c r="S102" s="3">
        <f t="shared" si="39"/>
        <v>59495027.773339681</v>
      </c>
      <c r="T102" s="3">
        <f t="shared" si="40"/>
        <v>10666002.339372847</v>
      </c>
      <c r="U102" s="47">
        <f t="shared" si="41"/>
        <v>71678652.190566629</v>
      </c>
      <c r="V102" s="47">
        <f ca="1">'Monthly Data'!G102+'Monthly Data'!H102</f>
        <v>1505525.3699945253</v>
      </c>
      <c r="W102" s="47">
        <f ca="1">U102+V102</f>
        <v>73184177.56056115</v>
      </c>
      <c r="X102" s="47">
        <f t="shared" ca="1" si="23"/>
        <v>-860697.7056517005</v>
      </c>
      <c r="Y102" s="18">
        <f t="shared" ca="1" si="42"/>
        <v>1.1624001020425006E-2</v>
      </c>
    </row>
    <row r="103" spans="1:25">
      <c r="A103" s="2">
        <f>'Monthly Data'!A103</f>
        <v>45444</v>
      </c>
      <c r="B103">
        <f>'Monthly Data'!B103</f>
        <v>2024</v>
      </c>
      <c r="C103">
        <f>'Monthly Data'!C103</f>
        <v>6</v>
      </c>
      <c r="D103" s="3">
        <f ca="1">'Monthly Data'!F103</f>
        <v>90130088.905228287</v>
      </c>
      <c r="E103" s="3">
        <f>'Monthly Data'!CN103</f>
        <v>60.86249999999999</v>
      </c>
      <c r="F103" s="3">
        <f>'Monthly Data'!CS103</f>
        <v>94.466666666666669</v>
      </c>
      <c r="G103" s="3">
        <f>'Monthly Data'!EM103</f>
        <v>0</v>
      </c>
      <c r="H103" s="3">
        <f>'Monthly Data'!ER103</f>
        <v>0</v>
      </c>
      <c r="I103" s="3">
        <f>'Monthly Data'!EG103</f>
        <v>0</v>
      </c>
      <c r="J103" s="3">
        <f>'Monthly Data'!DQ103</f>
        <v>30</v>
      </c>
      <c r="K103" s="3">
        <f>'Monthly Data'!EH103</f>
        <v>102</v>
      </c>
      <c r="M103" s="3">
        <f t="shared" si="33"/>
        <v>-9235786.3729357291</v>
      </c>
      <c r="N103" s="3">
        <f t="shared" si="34"/>
        <v>2720779.7919445955</v>
      </c>
      <c r="O103" s="3">
        <f t="shared" si="35"/>
        <v>25251863.045378309</v>
      </c>
      <c r="P103" s="3">
        <f t="shared" si="36"/>
        <v>0</v>
      </c>
      <c r="Q103" s="3">
        <f t="shared" si="37"/>
        <v>0</v>
      </c>
      <c r="R103" s="3">
        <f t="shared" si="38"/>
        <v>0</v>
      </c>
      <c r="S103" s="3">
        <f t="shared" si="39"/>
        <v>57575833.329038396</v>
      </c>
      <c r="T103" s="3">
        <f t="shared" si="40"/>
        <v>10771606.322930994</v>
      </c>
      <c r="U103" s="47">
        <f t="shared" si="41"/>
        <v>87084296.116356567</v>
      </c>
      <c r="V103" s="47">
        <f ca="1">'Monthly Data'!G103+'Monthly Data'!H103</f>
        <v>1315635.0848653615</v>
      </c>
      <c r="W103" s="47">
        <f ca="1">U103+V103</f>
        <v>88399931.201221928</v>
      </c>
      <c r="X103" s="47">
        <f t="shared" ca="1" si="23"/>
        <v>-1730157.704006359</v>
      </c>
      <c r="Y103" s="18">
        <f t="shared" ca="1" si="42"/>
        <v>1.919622764186573E-2</v>
      </c>
    </row>
    <row r="104" spans="1:25">
      <c r="A104" s="2">
        <f>'Monthly Data'!A104</f>
        <v>45474</v>
      </c>
      <c r="B104">
        <f>'Monthly Data'!B104</f>
        <v>2024</v>
      </c>
      <c r="C104">
        <f>'Monthly Data'!C104</f>
        <v>7</v>
      </c>
      <c r="D104" s="3">
        <f ca="1">'Monthly Data'!F104</f>
        <v>114347671.59336773</v>
      </c>
      <c r="E104" s="3">
        <f>'Monthly Data'!CN104</f>
        <v>5.5666666666666629</v>
      </c>
      <c r="F104" s="3">
        <f>'Monthly Data'!CS104</f>
        <v>179.14166666666668</v>
      </c>
      <c r="G104" s="3">
        <f>'Monthly Data'!EM104</f>
        <v>0</v>
      </c>
      <c r="H104" s="3">
        <f>'Monthly Data'!ER104</f>
        <v>0</v>
      </c>
      <c r="I104" s="3">
        <f>'Monthly Data'!EG104</f>
        <v>0</v>
      </c>
      <c r="J104" s="3">
        <f>'Monthly Data'!DQ104</f>
        <v>31</v>
      </c>
      <c r="K104" s="3">
        <f>'Monthly Data'!EH104</f>
        <v>103</v>
      </c>
      <c r="M104" s="3">
        <f t="shared" si="33"/>
        <v>-9235786.3729357291</v>
      </c>
      <c r="N104" s="3">
        <f t="shared" si="34"/>
        <v>248850.67447374391</v>
      </c>
      <c r="O104" s="3">
        <f t="shared" si="35"/>
        <v>47886317.91518151</v>
      </c>
      <c r="P104" s="3">
        <f t="shared" si="36"/>
        <v>0</v>
      </c>
      <c r="Q104" s="3">
        <f t="shared" si="37"/>
        <v>0</v>
      </c>
      <c r="R104" s="3">
        <f t="shared" si="38"/>
        <v>0</v>
      </c>
      <c r="S104" s="3">
        <f t="shared" si="39"/>
        <v>59495027.773339681</v>
      </c>
      <c r="T104" s="3">
        <f t="shared" si="40"/>
        <v>10877210.30648914</v>
      </c>
      <c r="U104" s="47">
        <f t="shared" si="41"/>
        <v>109271620.29654834</v>
      </c>
      <c r="V104" s="47">
        <f ca="1">'Monthly Data'!G104+'Monthly Data'!H104</f>
        <v>1228047.2263207107</v>
      </c>
      <c r="W104" s="47">
        <f ca="1">U104+V104</f>
        <v>110499667.52286905</v>
      </c>
      <c r="X104" s="47">
        <f t="shared" ca="1" si="23"/>
        <v>-3848004.0704986751</v>
      </c>
      <c r="Y104" s="18">
        <f t="shared" ca="1" si="42"/>
        <v>3.3651792090551524E-2</v>
      </c>
    </row>
    <row r="105" spans="1:25">
      <c r="A105" s="2">
        <f>'Monthly Data'!A105</f>
        <v>45505</v>
      </c>
      <c r="B105">
        <f>'Monthly Data'!B105</f>
        <v>2024</v>
      </c>
      <c r="C105">
        <f>'Monthly Data'!C105</f>
        <v>8</v>
      </c>
      <c r="D105" s="3">
        <f ca="1">'Monthly Data'!F105</f>
        <v>105213096.99407224</v>
      </c>
      <c r="E105" s="3">
        <f>'Monthly Data'!CN105</f>
        <v>26.975000000000016</v>
      </c>
      <c r="F105" s="3">
        <f>'Monthly Data'!CS105</f>
        <v>140.625</v>
      </c>
      <c r="G105" s="3">
        <f>'Monthly Data'!EM105</f>
        <v>0</v>
      </c>
      <c r="H105" s="3">
        <f>'Monthly Data'!ER105</f>
        <v>0</v>
      </c>
      <c r="I105" s="3">
        <f>'Monthly Data'!EG105</f>
        <v>0</v>
      </c>
      <c r="J105" s="3">
        <f>'Monthly Data'!DQ105</f>
        <v>31</v>
      </c>
      <c r="K105" s="3">
        <f>'Monthly Data'!EH105</f>
        <v>104</v>
      </c>
      <c r="M105" s="3">
        <f t="shared" si="33"/>
        <v>-9235786.3729357291</v>
      </c>
      <c r="N105" s="3">
        <f t="shared" si="34"/>
        <v>1205882.6845381889</v>
      </c>
      <c r="O105" s="3">
        <f t="shared" si="35"/>
        <v>37590436.564110704</v>
      </c>
      <c r="P105" s="3">
        <f t="shared" si="36"/>
        <v>0</v>
      </c>
      <c r="Q105" s="3">
        <f t="shared" si="37"/>
        <v>0</v>
      </c>
      <c r="R105" s="3">
        <f t="shared" si="38"/>
        <v>0</v>
      </c>
      <c r="S105" s="3">
        <f t="shared" si="39"/>
        <v>59495027.773339681</v>
      </c>
      <c r="T105" s="3">
        <f t="shared" si="40"/>
        <v>10982814.290047288</v>
      </c>
      <c r="U105" s="47">
        <f t="shared" si="41"/>
        <v>100038374.93910013</v>
      </c>
      <c r="V105" s="47">
        <f ca="1">'Monthly Data'!G105+'Monthly Data'!H105</f>
        <v>1290355.0785935116</v>
      </c>
      <c r="W105" s="47">
        <f t="shared" ca="1" si="22"/>
        <v>101328730.01769364</v>
      </c>
      <c r="X105" s="47">
        <f t="shared" ca="1" si="23"/>
        <v>-3884366.9763786048</v>
      </c>
      <c r="Y105" s="18">
        <f t="shared" ca="1" si="42"/>
        <v>3.6919044181328985E-2</v>
      </c>
    </row>
    <row r="106" spans="1:25">
      <c r="A106" s="2">
        <f>'Monthly Data'!A106</f>
        <v>45536</v>
      </c>
      <c r="B106">
        <f>'Monthly Data'!B106</f>
        <v>2024</v>
      </c>
      <c r="C106">
        <f>'Monthly Data'!C106</f>
        <v>9</v>
      </c>
      <c r="D106" s="3">
        <f ca="1">'Monthly Data'!F106</f>
        <v>82932329.880999923</v>
      </c>
      <c r="E106" s="3">
        <f>'Monthly Data'!CN106</f>
        <v>69.33750000000002</v>
      </c>
      <c r="F106" s="3">
        <f>'Monthly Data'!CS106</f>
        <v>62.220833333333331</v>
      </c>
      <c r="G106" s="3">
        <f>'Monthly Data'!EM106</f>
        <v>0</v>
      </c>
      <c r="H106" s="3">
        <f>'Monthly Data'!ER106</f>
        <v>0</v>
      </c>
      <c r="I106" s="3">
        <f>'Monthly Data'!EG106</f>
        <v>1</v>
      </c>
      <c r="J106" s="3">
        <f>'Monthly Data'!DQ106</f>
        <v>30</v>
      </c>
      <c r="K106" s="3">
        <f>'Monthly Data'!EH106</f>
        <v>105</v>
      </c>
      <c r="M106" s="3">
        <f t="shared" si="33"/>
        <v>-9235786.3729357291</v>
      </c>
      <c r="N106" s="3">
        <f t="shared" si="34"/>
        <v>3099643.7679023775</v>
      </c>
      <c r="O106" s="3">
        <f t="shared" si="35"/>
        <v>16632236.717388598</v>
      </c>
      <c r="P106" s="3">
        <f t="shared" si="36"/>
        <v>0</v>
      </c>
      <c r="Q106" s="3">
        <f t="shared" si="37"/>
        <v>0</v>
      </c>
      <c r="R106" s="3">
        <f t="shared" si="38"/>
        <v>-2958956.3975358699</v>
      </c>
      <c r="S106" s="3">
        <f t="shared" si="39"/>
        <v>57575833.329038396</v>
      </c>
      <c r="T106" s="3">
        <f t="shared" si="40"/>
        <v>11088418.273605434</v>
      </c>
      <c r="U106" s="47">
        <f t="shared" si="41"/>
        <v>76201389.317463204</v>
      </c>
      <c r="V106" s="47">
        <f ca="1">'Monthly Data'!G106+'Monthly Data'!H106</f>
        <v>1403319.544154807</v>
      </c>
      <c r="W106" s="47">
        <f t="shared" ca="1" si="22"/>
        <v>77604708.861618012</v>
      </c>
      <c r="X106" s="47">
        <f ca="1">W106-D106</f>
        <v>-5327621.0193819106</v>
      </c>
      <c r="Y106" s="18">
        <f t="shared" ca="1" si="42"/>
        <v>6.424058056763321E-2</v>
      </c>
    </row>
    <row r="107" spans="1:25">
      <c r="A107" s="2">
        <f>'Monthly Data'!A107</f>
        <v>45566</v>
      </c>
      <c r="B107">
        <f>'Monthly Data'!B107</f>
        <v>2024</v>
      </c>
      <c r="C107">
        <f>'Monthly Data'!C107</f>
        <v>10</v>
      </c>
      <c r="D107" s="3">
        <f ca="1">'Monthly Data'!F107</f>
        <v>73670517.212902501</v>
      </c>
      <c r="E107" s="3">
        <f>'Monthly Data'!CN107</f>
        <v>295.94166666666661</v>
      </c>
      <c r="F107" s="3">
        <f>'Monthly Data'!CS107</f>
        <v>3.0458333333333378</v>
      </c>
      <c r="G107" s="3">
        <f>'Monthly Data'!EM107</f>
        <v>0</v>
      </c>
      <c r="H107" s="3">
        <f>'Monthly Data'!ER107</f>
        <v>0</v>
      </c>
      <c r="I107" s="3">
        <f>'Monthly Data'!EG107</f>
        <v>1</v>
      </c>
      <c r="J107" s="3">
        <f>'Monthly Data'!DQ107</f>
        <v>31</v>
      </c>
      <c r="K107" s="3">
        <f>'Monthly Data'!EH107</f>
        <v>106</v>
      </c>
      <c r="M107" s="3">
        <f t="shared" si="33"/>
        <v>-9235786.3729357291</v>
      </c>
      <c r="N107" s="3">
        <f t="shared" si="34"/>
        <v>13229691.620637832</v>
      </c>
      <c r="O107" s="3">
        <f t="shared" si="35"/>
        <v>814181.01121081389</v>
      </c>
      <c r="P107" s="3">
        <f t="shared" si="36"/>
        <v>0</v>
      </c>
      <c r="Q107" s="3">
        <f t="shared" si="37"/>
        <v>0</v>
      </c>
      <c r="R107" s="3">
        <f t="shared" si="38"/>
        <v>-2958956.3975358699</v>
      </c>
      <c r="S107" s="3">
        <f t="shared" si="39"/>
        <v>59495027.773339681</v>
      </c>
      <c r="T107" s="3">
        <f t="shared" si="40"/>
        <v>11194022.257163582</v>
      </c>
      <c r="U107" s="47">
        <f t="shared" si="41"/>
        <v>72538179.891880304</v>
      </c>
      <c r="V107" s="47">
        <f ca="1">'Monthly Data'!G107+'Monthly Data'!H107</f>
        <v>2218711.7440906768</v>
      </c>
      <c r="W107" s="47">
        <f t="shared" ref="W107:W109" ca="1" si="43">U107+V107</f>
        <v>74756891.63597098</v>
      </c>
      <c r="X107" s="47">
        <f t="shared" ref="X107:X109" ca="1" si="44">W107-D107</f>
        <v>1086374.4230684787</v>
      </c>
      <c r="Y107" s="18">
        <f t="shared" ca="1" si="42"/>
        <v>1.4746393322160814E-2</v>
      </c>
    </row>
    <row r="108" spans="1:25">
      <c r="A108" s="2">
        <f>'Monthly Data'!A108</f>
        <v>45597</v>
      </c>
      <c r="B108">
        <f>'Monthly Data'!B108</f>
        <v>2024</v>
      </c>
      <c r="C108">
        <f>'Monthly Data'!C108</f>
        <v>11</v>
      </c>
      <c r="D108" s="3">
        <f ca="1">'Monthly Data'!F108</f>
        <v>78000207.368572265</v>
      </c>
      <c r="E108" s="3">
        <f>'Monthly Data'!CN108</f>
        <v>426.29166666666663</v>
      </c>
      <c r="F108" s="3">
        <f>'Monthly Data'!CS108</f>
        <v>1.5041666666666629</v>
      </c>
      <c r="G108" s="3">
        <f>'Monthly Data'!EM108</f>
        <v>0</v>
      </c>
      <c r="H108" s="3">
        <f>'Monthly Data'!ER108</f>
        <v>0</v>
      </c>
      <c r="I108" s="3">
        <f>'Monthly Data'!EG108</f>
        <v>1</v>
      </c>
      <c r="J108" s="3">
        <f>'Monthly Data'!DQ108</f>
        <v>30</v>
      </c>
      <c r="K108" s="3">
        <f>'Monthly Data'!EH108</f>
        <v>107</v>
      </c>
      <c r="M108" s="3">
        <f t="shared" si="33"/>
        <v>-9235786.3729357291</v>
      </c>
      <c r="N108" s="3">
        <f t="shared" si="34"/>
        <v>19056820.737581402</v>
      </c>
      <c r="O108" s="3">
        <f t="shared" si="35"/>
        <v>402078.4473968572</v>
      </c>
      <c r="P108" s="3">
        <f t="shared" si="36"/>
        <v>0</v>
      </c>
      <c r="Q108" s="3">
        <f t="shared" si="37"/>
        <v>0</v>
      </c>
      <c r="R108" s="3">
        <f t="shared" si="38"/>
        <v>-2958956.3975358699</v>
      </c>
      <c r="S108" s="3">
        <f t="shared" si="39"/>
        <v>57575833.329038396</v>
      </c>
      <c r="T108" s="3">
        <f t="shared" si="40"/>
        <v>11299626.240721729</v>
      </c>
      <c r="U108" s="47">
        <f t="shared" si="41"/>
        <v>76139615.984266788</v>
      </c>
      <c r="V108" s="47">
        <f ca="1">'Monthly Data'!G108+'Monthly Data'!H108</f>
        <v>2757542.7677296116</v>
      </c>
      <c r="W108" s="47">
        <f t="shared" ca="1" si="43"/>
        <v>78897158.751996398</v>
      </c>
      <c r="X108" s="47">
        <f t="shared" ca="1" si="44"/>
        <v>896951.38342413306</v>
      </c>
      <c r="Y108" s="18">
        <f t="shared" ca="1" si="42"/>
        <v>1.1499346138732594E-2</v>
      </c>
    </row>
    <row r="109" spans="1:25">
      <c r="A109" s="2">
        <f>'Monthly Data'!A109</f>
        <v>45627</v>
      </c>
      <c r="B109">
        <f>'Monthly Data'!B109</f>
        <v>2024</v>
      </c>
      <c r="C109">
        <f>'Monthly Data'!C109</f>
        <v>12</v>
      </c>
      <c r="D109" s="3">
        <f ca="1">'Monthly Data'!F109</f>
        <v>97242860.168308839</v>
      </c>
      <c r="E109" s="3">
        <f>'Monthly Data'!CN109</f>
        <v>660.57500000000016</v>
      </c>
      <c r="F109" s="3">
        <f>'Monthly Data'!CS109</f>
        <v>0</v>
      </c>
      <c r="G109" s="3">
        <f>'Monthly Data'!EM109</f>
        <v>0</v>
      </c>
      <c r="H109" s="3">
        <f>'Monthly Data'!ER109</f>
        <v>0</v>
      </c>
      <c r="I109" s="3">
        <f>'Monthly Data'!EG109</f>
        <v>0</v>
      </c>
      <c r="J109" s="3">
        <f>'Monthly Data'!DQ109</f>
        <v>31</v>
      </c>
      <c r="K109" s="3">
        <f>'Monthly Data'!EH109</f>
        <v>108</v>
      </c>
      <c r="M109" s="3">
        <f t="shared" si="33"/>
        <v>-9235786.3729357291</v>
      </c>
      <c r="N109" s="3">
        <f t="shared" si="34"/>
        <v>29530155.860567704</v>
      </c>
      <c r="O109" s="3">
        <f t="shared" si="35"/>
        <v>0</v>
      </c>
      <c r="P109" s="3">
        <f t="shared" si="36"/>
        <v>0</v>
      </c>
      <c r="Q109" s="3">
        <f t="shared" si="37"/>
        <v>0</v>
      </c>
      <c r="R109" s="3">
        <f t="shared" si="38"/>
        <v>0</v>
      </c>
      <c r="S109" s="3">
        <f t="shared" si="39"/>
        <v>59495027.773339681</v>
      </c>
      <c r="T109" s="3">
        <f t="shared" si="40"/>
        <v>11405230.224279875</v>
      </c>
      <c r="U109" s="47">
        <f t="shared" si="41"/>
        <v>91194627.485251546</v>
      </c>
      <c r="V109" s="47">
        <f ca="1">'Monthly Data'!G109+'Monthly Data'!H109</f>
        <v>3679034.6458917777</v>
      </c>
      <c r="W109" s="47">
        <f t="shared" ca="1" si="43"/>
        <v>94873662.131143317</v>
      </c>
      <c r="X109" s="47">
        <f t="shared" ca="1" si="44"/>
        <v>-2369198.0371655226</v>
      </c>
      <c r="Y109" s="18">
        <f t="shared" ca="1" si="42"/>
        <v>2.4363722262641111E-2</v>
      </c>
    </row>
    <row r="110" spans="1:25">
      <c r="A110" s="2">
        <f>'Monthly Data'!A110</f>
        <v>45658</v>
      </c>
      <c r="B110">
        <f>'Monthly Data'!B110</f>
        <v>2025</v>
      </c>
      <c r="C110">
        <f>'Monthly Data'!C110</f>
        <v>1</v>
      </c>
      <c r="D110" s="3">
        <f ca="1">'Monthly Data'!F110</f>
        <v>100352866.59188363</v>
      </c>
      <c r="E110" s="3">
        <f>'Monthly Data'!CN110</f>
        <v>794.42499999999995</v>
      </c>
      <c r="F110" s="3">
        <f>'Monthly Data'!CS110</f>
        <v>0</v>
      </c>
      <c r="G110" s="3">
        <f>'Monthly Data'!EM110</f>
        <v>0</v>
      </c>
      <c r="H110" s="3">
        <f>'Monthly Data'!ER110</f>
        <v>0</v>
      </c>
      <c r="I110" s="3">
        <f>'Monthly Data'!EG110</f>
        <v>0</v>
      </c>
      <c r="J110" s="3">
        <f>'Monthly Data'!DQ110</f>
        <v>31</v>
      </c>
      <c r="K110" s="3">
        <f>'Monthly Data'!EH110</f>
        <v>109</v>
      </c>
      <c r="M110" s="3">
        <f t="shared" si="33"/>
        <v>-9235786.3729357291</v>
      </c>
      <c r="N110" s="3">
        <f t="shared" si="34"/>
        <v>35513747.976431884</v>
      </c>
      <c r="O110" s="3">
        <f t="shared" si="35"/>
        <v>0</v>
      </c>
      <c r="P110" s="3">
        <f t="shared" si="36"/>
        <v>0</v>
      </c>
      <c r="Q110" s="3">
        <f t="shared" si="37"/>
        <v>0</v>
      </c>
      <c r="R110" s="3">
        <f t="shared" si="38"/>
        <v>0</v>
      </c>
      <c r="S110" s="3">
        <f t="shared" si="39"/>
        <v>59495027.773339681</v>
      </c>
      <c r="T110" s="3">
        <f t="shared" si="40"/>
        <v>11510834.207838023</v>
      </c>
      <c r="U110" s="47">
        <f t="shared" ref="U110:U121" si="45">SUM(M110:T110)</f>
        <v>97283823.584673867</v>
      </c>
      <c r="V110" s="47">
        <f ca="1">'Monthly Data'!G110+'Monthly Data'!H110</f>
        <v>4929175.2986419471</v>
      </c>
      <c r="W110" s="47">
        <f t="shared" ref="W110:W121" ca="1" si="46">U110+V110</f>
        <v>102212998.88331582</v>
      </c>
      <c r="X110" s="47">
        <f t="shared" ref="X110:X121" ca="1" si="47">W110-D110</f>
        <v>1860132.291432187</v>
      </c>
      <c r="Y110" s="18">
        <f t="shared" ref="Y110:Y121" ca="1" si="48">ABS(X110/D110)</f>
        <v>1.853591585975314E-2</v>
      </c>
    </row>
    <row r="111" spans="1:25">
      <c r="A111" s="2">
        <f>'Monthly Data'!A111</f>
        <v>45689</v>
      </c>
      <c r="B111">
        <f>'Monthly Data'!B111</f>
        <v>2025</v>
      </c>
      <c r="C111">
        <f>'Monthly Data'!C111</f>
        <v>2</v>
      </c>
      <c r="D111" s="3">
        <f ca="1">'Monthly Data'!F111</f>
        <v>89672423.569045559</v>
      </c>
      <c r="E111" s="3">
        <f>'Monthly Data'!CN111</f>
        <v>721.25833333333333</v>
      </c>
      <c r="F111" s="3">
        <f>'Monthly Data'!CS111</f>
        <v>0</v>
      </c>
      <c r="G111" s="3">
        <f>'Monthly Data'!EM111</f>
        <v>0</v>
      </c>
      <c r="H111" s="3">
        <f>'Monthly Data'!ER111</f>
        <v>0</v>
      </c>
      <c r="I111" s="3">
        <f>'Monthly Data'!EG111</f>
        <v>0</v>
      </c>
      <c r="J111" s="3">
        <f>'Monthly Data'!DQ111</f>
        <v>28</v>
      </c>
      <c r="K111" s="3">
        <f>'Monthly Data'!EH111</f>
        <v>110</v>
      </c>
      <c r="M111" s="3">
        <f t="shared" si="33"/>
        <v>-9235786.3729357291</v>
      </c>
      <c r="N111" s="3">
        <f t="shared" si="34"/>
        <v>32242926.237091355</v>
      </c>
      <c r="O111" s="3">
        <f t="shared" si="35"/>
        <v>0</v>
      </c>
      <c r="P111" s="3">
        <f t="shared" si="36"/>
        <v>0</v>
      </c>
      <c r="Q111" s="3">
        <f t="shared" si="37"/>
        <v>0</v>
      </c>
      <c r="R111" s="3">
        <f t="shared" si="38"/>
        <v>0</v>
      </c>
      <c r="S111" s="3">
        <f t="shared" si="39"/>
        <v>53737444.440435842</v>
      </c>
      <c r="T111" s="3">
        <f t="shared" si="40"/>
        <v>11616438.191396169</v>
      </c>
      <c r="U111" s="47">
        <f t="shared" si="45"/>
        <v>88361022.495987654</v>
      </c>
      <c r="V111" s="47">
        <f ca="1">'Monthly Data'!G111+'Monthly Data'!H111</f>
        <v>4636040.0644439813</v>
      </c>
      <c r="W111" s="47">
        <f t="shared" ca="1" si="46"/>
        <v>92997062.560431629</v>
      </c>
      <c r="X111" s="47">
        <f t="shared" ca="1" si="47"/>
        <v>3324638.9913860708</v>
      </c>
      <c r="Y111" s="18">
        <f t="shared" ca="1" si="48"/>
        <v>3.7075377903957069E-2</v>
      </c>
    </row>
    <row r="112" spans="1:25">
      <c r="A112" s="2">
        <f>'Monthly Data'!A112</f>
        <v>45717</v>
      </c>
      <c r="B112">
        <f>'Monthly Data'!B112</f>
        <v>2025</v>
      </c>
      <c r="C112">
        <f>'Monthly Data'!C112</f>
        <v>3</v>
      </c>
      <c r="D112" s="3">
        <f ca="1">'Monthly Data'!F112</f>
        <v>86671090.112053752</v>
      </c>
      <c r="E112" s="3">
        <f>'Monthly Data'!CN112</f>
        <v>580.62916666666672</v>
      </c>
      <c r="F112" s="3">
        <f>'Monthly Data'!CS112</f>
        <v>0</v>
      </c>
      <c r="G112" s="3">
        <f>'Monthly Data'!EM112</f>
        <v>0</v>
      </c>
      <c r="H112" s="3">
        <f>'Monthly Data'!ER112</f>
        <v>0</v>
      </c>
      <c r="I112" s="3">
        <f>'Monthly Data'!EG112</f>
        <v>1</v>
      </c>
      <c r="J112" s="3">
        <f>'Monthly Data'!DQ112</f>
        <v>31</v>
      </c>
      <c r="K112" s="3">
        <f>'Monthly Data'!EH112</f>
        <v>111</v>
      </c>
      <c r="M112" s="3">
        <f t="shared" si="33"/>
        <v>-9235786.3729357291</v>
      </c>
      <c r="N112" s="3">
        <f t="shared" si="34"/>
        <v>25956280.193555925</v>
      </c>
      <c r="O112" s="3">
        <f t="shared" si="35"/>
        <v>0</v>
      </c>
      <c r="P112" s="3">
        <f t="shared" si="36"/>
        <v>0</v>
      </c>
      <c r="Q112" s="3">
        <f t="shared" si="37"/>
        <v>0</v>
      </c>
      <c r="R112" s="3">
        <f t="shared" si="38"/>
        <v>-2958956.3975358699</v>
      </c>
      <c r="S112" s="3">
        <f t="shared" si="39"/>
        <v>59495027.773339681</v>
      </c>
      <c r="T112" s="3">
        <f t="shared" si="40"/>
        <v>11722042.174954316</v>
      </c>
      <c r="U112" s="47">
        <f t="shared" si="45"/>
        <v>84978607.371378317</v>
      </c>
      <c r="V112" s="47">
        <f ca="1">'Monthly Data'!G112+'Monthly Data'!H112</f>
        <v>3964939.7756326105</v>
      </c>
      <c r="W112" s="47">
        <f t="shared" ca="1" si="46"/>
        <v>88943547.147010922</v>
      </c>
      <c r="X112" s="47">
        <f t="shared" ca="1" si="47"/>
        <v>2272457.0349571705</v>
      </c>
      <c r="Y112" s="18">
        <f t="shared" ca="1" si="48"/>
        <v>2.621931986801132E-2</v>
      </c>
    </row>
    <row r="113" spans="1:25">
      <c r="A113" s="2">
        <f>'Monthly Data'!A113</f>
        <v>45748</v>
      </c>
      <c r="B113">
        <f>'Monthly Data'!B113</f>
        <v>2025</v>
      </c>
      <c r="C113">
        <f>'Monthly Data'!C113</f>
        <v>4</v>
      </c>
      <c r="D113" s="3">
        <f ca="1">'Monthly Data'!F113</f>
        <v>75887531.953678712</v>
      </c>
      <c r="E113" s="3">
        <f>'Monthly Data'!CN113</f>
        <v>411.84166666666653</v>
      </c>
      <c r="F113" s="3">
        <f>'Monthly Data'!CS113</f>
        <v>0</v>
      </c>
      <c r="G113" s="3">
        <f>'Monthly Data'!EM113</f>
        <v>0</v>
      </c>
      <c r="H113" s="3">
        <f>'Monthly Data'!ER113</f>
        <v>0</v>
      </c>
      <c r="I113" s="3">
        <f>'Monthly Data'!EG113</f>
        <v>1</v>
      </c>
      <c r="J113" s="3">
        <f>'Monthly Data'!DQ113</f>
        <v>30</v>
      </c>
      <c r="K113" s="3">
        <f>'Monthly Data'!EH113</f>
        <v>112</v>
      </c>
      <c r="M113" s="3">
        <f t="shared" si="33"/>
        <v>-9235786.3729357291</v>
      </c>
      <c r="N113" s="3">
        <f t="shared" si="34"/>
        <v>18410852.070609134</v>
      </c>
      <c r="O113" s="3">
        <f t="shared" si="35"/>
        <v>0</v>
      </c>
      <c r="P113" s="3">
        <f t="shared" si="36"/>
        <v>0</v>
      </c>
      <c r="Q113" s="3">
        <f t="shared" si="37"/>
        <v>0</v>
      </c>
      <c r="R113" s="3">
        <f t="shared" si="38"/>
        <v>-2958956.3975358699</v>
      </c>
      <c r="S113" s="3">
        <f t="shared" si="39"/>
        <v>57575833.329038396</v>
      </c>
      <c r="T113" s="3">
        <f t="shared" si="40"/>
        <v>11827646.158512464</v>
      </c>
      <c r="U113" s="47">
        <f t="shared" si="45"/>
        <v>75619588.787688389</v>
      </c>
      <c r="V113" s="47">
        <f ca="1">'Monthly Data'!G113+'Monthly Data'!H113</f>
        <v>3197955.9498163806</v>
      </c>
      <c r="W113" s="47">
        <f t="shared" ca="1" si="46"/>
        <v>78817544.737504765</v>
      </c>
      <c r="X113" s="47">
        <f t="shared" ca="1" si="47"/>
        <v>2930012.7838260531</v>
      </c>
      <c r="Y113" s="18">
        <f t="shared" ca="1" si="48"/>
        <v>3.8609936420313615E-2</v>
      </c>
    </row>
    <row r="114" spans="1:25">
      <c r="A114" s="2">
        <f>'Monthly Data'!A114</f>
        <v>45778</v>
      </c>
      <c r="B114">
        <f>'Monthly Data'!B114</f>
        <v>2025</v>
      </c>
      <c r="C114">
        <f>'Monthly Data'!C114</f>
        <v>5</v>
      </c>
      <c r="D114" s="3">
        <f ca="1">'Monthly Data'!F114</f>
        <v>71448968.451304406</v>
      </c>
      <c r="E114" s="3">
        <f>'Monthly Data'!CN114</f>
        <v>221.07083333333333</v>
      </c>
      <c r="F114" s="3">
        <f>'Monthly Data'!CS114</f>
        <v>7.5833333333333321</v>
      </c>
      <c r="G114" s="3">
        <f>'Monthly Data'!EM114</f>
        <v>0</v>
      </c>
      <c r="H114" s="3">
        <f>'Monthly Data'!ER114</f>
        <v>0</v>
      </c>
      <c r="I114" s="3">
        <f>'Monthly Data'!EG114</f>
        <v>1</v>
      </c>
      <c r="J114" s="3">
        <f>'Monthly Data'!DQ114</f>
        <v>31</v>
      </c>
      <c r="K114" s="3">
        <f>'Monthly Data'!EH114</f>
        <v>113</v>
      </c>
      <c r="M114" s="3">
        <f t="shared" si="33"/>
        <v>-9235786.3729357291</v>
      </c>
      <c r="N114" s="3">
        <f t="shared" si="34"/>
        <v>9882687.302060958</v>
      </c>
      <c r="O114" s="3">
        <f t="shared" si="35"/>
        <v>2027099.0976794511</v>
      </c>
      <c r="P114" s="3">
        <f t="shared" si="36"/>
        <v>0</v>
      </c>
      <c r="Q114" s="3">
        <f t="shared" si="37"/>
        <v>0</v>
      </c>
      <c r="R114" s="3">
        <f t="shared" si="38"/>
        <v>-2958956.3975358699</v>
      </c>
      <c r="S114" s="3">
        <f t="shared" si="39"/>
        <v>59495027.773339681</v>
      </c>
      <c r="T114" s="3">
        <f t="shared" si="40"/>
        <v>11933250.14207061</v>
      </c>
      <c r="U114" s="47">
        <f t="shared" si="45"/>
        <v>71143321.544679105</v>
      </c>
      <c r="V114" s="47">
        <f ca="1">'Monthly Data'!G114+'Monthly Data'!H114</f>
        <v>2308590.8009317359</v>
      </c>
      <c r="W114" s="47">
        <f t="shared" ca="1" si="46"/>
        <v>73451912.345610842</v>
      </c>
      <c r="X114" s="47">
        <f t="shared" ca="1" si="47"/>
        <v>2002943.8943064362</v>
      </c>
      <c r="Y114" s="18">
        <f t="shared" ca="1" si="48"/>
        <v>2.8033209404157176E-2</v>
      </c>
    </row>
    <row r="115" spans="1:25">
      <c r="A115" s="2">
        <f>'Monthly Data'!A115</f>
        <v>45809</v>
      </c>
      <c r="B115">
        <f>'Monthly Data'!B115</f>
        <v>2025</v>
      </c>
      <c r="C115">
        <f>'Monthly Data'!C115</f>
        <v>6</v>
      </c>
      <c r="D115" s="3">
        <f ca="1">'Monthly Data'!F115</f>
        <v>92397904.849683553</v>
      </c>
      <c r="E115" s="3">
        <f>'Monthly Data'!CN115</f>
        <v>49.987500000000011</v>
      </c>
      <c r="F115" s="3">
        <f>'Monthly Data'!CS115</f>
        <v>113.56249999999999</v>
      </c>
      <c r="G115" s="3">
        <f>'Monthly Data'!EM115</f>
        <v>0</v>
      </c>
      <c r="H115" s="3">
        <f>'Monthly Data'!ER115</f>
        <v>0</v>
      </c>
      <c r="I115" s="3">
        <f>'Monthly Data'!EG115</f>
        <v>0</v>
      </c>
      <c r="J115" s="3">
        <f>'Monthly Data'!DQ115</f>
        <v>30</v>
      </c>
      <c r="K115" s="3">
        <f>'Monthly Data'!EH115</f>
        <v>114</v>
      </c>
      <c r="M115" s="3">
        <f t="shared" si="33"/>
        <v>-9235786.3729357291</v>
      </c>
      <c r="N115" s="3">
        <f t="shared" si="34"/>
        <v>2234626.9024412488</v>
      </c>
      <c r="O115" s="3">
        <f t="shared" si="35"/>
        <v>30356365.883106288</v>
      </c>
      <c r="P115" s="3">
        <f t="shared" si="36"/>
        <v>0</v>
      </c>
      <c r="Q115" s="3">
        <f t="shared" si="37"/>
        <v>0</v>
      </c>
      <c r="R115" s="3">
        <f t="shared" si="38"/>
        <v>0</v>
      </c>
      <c r="S115" s="3">
        <f t="shared" si="39"/>
        <v>57575833.329038396</v>
      </c>
      <c r="T115" s="3">
        <f t="shared" si="40"/>
        <v>12038854.125628758</v>
      </c>
      <c r="U115" s="47">
        <f t="shared" si="45"/>
        <v>92969893.867278948</v>
      </c>
      <c r="V115" s="47">
        <f ca="1">'Monthly Data'!G115+'Monthly Data'!H115</f>
        <v>1683906.2301165157</v>
      </c>
      <c r="W115" s="47">
        <f t="shared" ca="1" si="46"/>
        <v>94653800.097395465</v>
      </c>
      <c r="X115" s="47">
        <f t="shared" ca="1" si="47"/>
        <v>2255895.2477119118</v>
      </c>
      <c r="Y115" s="18">
        <f t="shared" ca="1" si="48"/>
        <v>2.441500433783524E-2</v>
      </c>
    </row>
    <row r="116" spans="1:25">
      <c r="A116" s="2">
        <f>'Monthly Data'!A116</f>
        <v>45839</v>
      </c>
      <c r="B116">
        <f>'Monthly Data'!B116</f>
        <v>2025</v>
      </c>
      <c r="C116">
        <f>'Monthly Data'!C116</f>
        <v>7</v>
      </c>
      <c r="D116" s="3">
        <f ca="1">'Monthly Data'!F116</f>
        <v>123438782.32268602</v>
      </c>
      <c r="E116" s="3">
        <f>'Monthly Data'!CN116</f>
        <v>6.8416666666666615</v>
      </c>
      <c r="F116" s="3">
        <f>'Monthly Data'!CS116</f>
        <v>211.31458333333339</v>
      </c>
      <c r="G116" s="3">
        <f>'Monthly Data'!EM116</f>
        <v>0</v>
      </c>
      <c r="H116" s="3">
        <f>'Monthly Data'!ER116</f>
        <v>0</v>
      </c>
      <c r="I116" s="3">
        <f>'Monthly Data'!EG116</f>
        <v>0</v>
      </c>
      <c r="J116" s="3">
        <f>'Monthly Data'!DQ116</f>
        <v>31</v>
      </c>
      <c r="K116" s="3">
        <f>'Monthly Data'!EH116</f>
        <v>115</v>
      </c>
      <c r="M116" s="3">
        <f t="shared" si="33"/>
        <v>-9235786.3729357291</v>
      </c>
      <c r="N116" s="3">
        <f t="shared" si="34"/>
        <v>305847.90979482594</v>
      </c>
      <c r="O116" s="3">
        <f t="shared" si="35"/>
        <v>56486452.905693546</v>
      </c>
      <c r="P116" s="3">
        <f t="shared" si="36"/>
        <v>0</v>
      </c>
      <c r="Q116" s="3">
        <f t="shared" si="37"/>
        <v>0</v>
      </c>
      <c r="R116" s="3">
        <f t="shared" si="38"/>
        <v>0</v>
      </c>
      <c r="S116" s="3">
        <f t="shared" si="39"/>
        <v>59495027.773339681</v>
      </c>
      <c r="T116" s="3">
        <f t="shared" si="40"/>
        <v>12144458.109186905</v>
      </c>
      <c r="U116" s="47">
        <f t="shared" si="45"/>
        <v>119196000.32507922</v>
      </c>
      <c r="V116" s="47">
        <f ca="1">'Monthly Data'!G116+'Monthly Data'!H116</f>
        <v>1607034.1533796929</v>
      </c>
      <c r="W116" s="47">
        <f t="shared" ca="1" si="46"/>
        <v>120803034.47845891</v>
      </c>
      <c r="X116" s="47">
        <f t="shared" ca="1" si="47"/>
        <v>-2635747.8442271054</v>
      </c>
      <c r="Y116" s="18">
        <f t="shared" ca="1" si="48"/>
        <v>2.1352672107027893E-2</v>
      </c>
    </row>
    <row r="117" spans="1:25">
      <c r="A117" s="2">
        <f>'Monthly Data'!A117</f>
        <v>45870</v>
      </c>
      <c r="B117">
        <f>'Monthly Data'!B117</f>
        <v>2025</v>
      </c>
      <c r="C117">
        <f>'Monthly Data'!C117</f>
        <v>8</v>
      </c>
      <c r="D117" s="3">
        <f ca="1">'Monthly Data'!F117</f>
        <v>106122029.3061827</v>
      </c>
      <c r="E117" s="3">
        <f>'Monthly Data'!CN117</f>
        <v>38.787499999999994</v>
      </c>
      <c r="F117" s="3">
        <f>'Monthly Data'!CS117</f>
        <v>140.12083333333339</v>
      </c>
      <c r="G117" s="3">
        <f>'Monthly Data'!EM117</f>
        <v>0</v>
      </c>
      <c r="H117" s="3">
        <f>'Monthly Data'!ER117</f>
        <v>0</v>
      </c>
      <c r="I117" s="3">
        <f>'Monthly Data'!EG117</f>
        <v>0</v>
      </c>
      <c r="J117" s="3">
        <f>'Monthly Data'!DQ117</f>
        <v>31</v>
      </c>
      <c r="K117" s="3">
        <f>'Monthly Data'!EH117</f>
        <v>116</v>
      </c>
      <c r="M117" s="3">
        <f t="shared" si="33"/>
        <v>-9235786.3729357291</v>
      </c>
      <c r="N117" s="3">
        <f t="shared" si="34"/>
        <v>1733945.3058952719</v>
      </c>
      <c r="O117" s="3">
        <f t="shared" si="35"/>
        <v>37455667.887836426</v>
      </c>
      <c r="P117" s="3">
        <f t="shared" si="36"/>
        <v>0</v>
      </c>
      <c r="Q117" s="3">
        <f t="shared" si="37"/>
        <v>0</v>
      </c>
      <c r="R117" s="3">
        <f t="shared" si="38"/>
        <v>0</v>
      </c>
      <c r="S117" s="3">
        <f t="shared" si="39"/>
        <v>59495027.773339681</v>
      </c>
      <c r="T117" s="3">
        <f t="shared" si="40"/>
        <v>12250062.092745051</v>
      </c>
      <c r="U117" s="47">
        <f t="shared" si="45"/>
        <v>101698916.68688069</v>
      </c>
      <c r="V117" s="47">
        <f ca="1">'Monthly Data'!G117+'Monthly Data'!H117</f>
        <v>1711425.1666483339</v>
      </c>
      <c r="W117" s="47">
        <f t="shared" ca="1" si="46"/>
        <v>103410341.85352902</v>
      </c>
      <c r="X117" s="47">
        <f t="shared" ca="1" si="47"/>
        <v>-2711687.4526536763</v>
      </c>
      <c r="Y117" s="18">
        <f t="shared" ca="1" si="48"/>
        <v>2.5552540508153407E-2</v>
      </c>
    </row>
    <row r="118" spans="1:25">
      <c r="A118" s="2">
        <f>'Monthly Data'!A118</f>
        <v>45901</v>
      </c>
      <c r="B118">
        <f>'Monthly Data'!B118</f>
        <v>2025</v>
      </c>
      <c r="C118">
        <f>'Monthly Data'!C118</f>
        <v>9</v>
      </c>
      <c r="D118" s="3">
        <f ca="1">'Monthly Data'!F118</f>
        <v>77868609.00797765</v>
      </c>
      <c r="E118" s="3">
        <f>'Monthly Data'!CN118</f>
        <v>88.308333333333323</v>
      </c>
      <c r="F118" s="3">
        <f>'Monthly Data'!CS118</f>
        <v>45.354166666666657</v>
      </c>
      <c r="G118" s="3">
        <f>'Monthly Data'!EM118</f>
        <v>0</v>
      </c>
      <c r="H118" s="3">
        <f>'Monthly Data'!ER118</f>
        <v>0</v>
      </c>
      <c r="I118" s="3">
        <f>'Monthly Data'!EG118</f>
        <v>1</v>
      </c>
      <c r="J118" s="3">
        <f>'Monthly Data'!DQ118</f>
        <v>30</v>
      </c>
      <c r="K118" s="3">
        <f>'Monthly Data'!EH118</f>
        <v>117</v>
      </c>
      <c r="M118" s="3">
        <f t="shared" si="33"/>
        <v>-9235786.3729357291</v>
      </c>
      <c r="N118" s="3">
        <f t="shared" si="34"/>
        <v>3947710.4751471044</v>
      </c>
      <c r="O118" s="3">
        <f t="shared" si="35"/>
        <v>12123611.911121333</v>
      </c>
      <c r="P118" s="3">
        <f t="shared" si="36"/>
        <v>0</v>
      </c>
      <c r="Q118" s="3">
        <f t="shared" si="37"/>
        <v>0</v>
      </c>
      <c r="R118" s="3">
        <f t="shared" si="38"/>
        <v>-2958956.3975358699</v>
      </c>
      <c r="S118" s="3">
        <f t="shared" si="39"/>
        <v>57575833.329038396</v>
      </c>
      <c r="T118" s="3">
        <f t="shared" si="40"/>
        <v>12355666.076303199</v>
      </c>
      <c r="U118" s="47">
        <f t="shared" si="45"/>
        <v>73808079.02113843</v>
      </c>
      <c r="V118" s="47">
        <f ca="1">'Monthly Data'!G118+'Monthly Data'!H118</f>
        <v>1832919.8368899375</v>
      </c>
      <c r="W118" s="47">
        <f t="shared" ca="1" si="46"/>
        <v>75640998.858028367</v>
      </c>
      <c r="X118" s="47">
        <f t="shared" ca="1" si="47"/>
        <v>-2227610.1499492824</v>
      </c>
      <c r="Y118" s="18">
        <f t="shared" ca="1" si="48"/>
        <v>2.860729346945267E-2</v>
      </c>
    </row>
    <row r="119" spans="1:25">
      <c r="A119" s="2">
        <f>'Monthly Data'!A119</f>
        <v>45931</v>
      </c>
      <c r="B119">
        <f>'Monthly Data'!B119</f>
        <v>2025</v>
      </c>
      <c r="C119">
        <f>'Monthly Data'!C119</f>
        <v>10</v>
      </c>
      <c r="D119" s="3">
        <f ca="1">'Monthly Data'!F119</f>
        <v>74412667.086227164</v>
      </c>
      <c r="E119" s="3">
        <f>'Monthly Data'!CN119</f>
        <v>281.52083333333331</v>
      </c>
      <c r="F119" s="3">
        <f>'Monthly Data'!CS119</f>
        <v>9.283333333333335</v>
      </c>
      <c r="G119" s="3">
        <f>'Monthly Data'!EM119</f>
        <v>0</v>
      </c>
      <c r="H119" s="3">
        <f>'Monthly Data'!ER119</f>
        <v>0</v>
      </c>
      <c r="I119" s="3">
        <f>'Monthly Data'!EG119</f>
        <v>1</v>
      </c>
      <c r="J119" s="3">
        <f>'Monthly Data'!DQ119</f>
        <v>31</v>
      </c>
      <c r="K119" s="3">
        <f>'Monthly Data'!EH119</f>
        <v>118</v>
      </c>
      <c r="M119" s="3">
        <f t="shared" si="33"/>
        <v>-9235786.3729357291</v>
      </c>
      <c r="N119" s="3">
        <f t="shared" si="34"/>
        <v>12585026.811989909</v>
      </c>
      <c r="O119" s="3">
        <f t="shared" si="35"/>
        <v>2481525.7085878123</v>
      </c>
      <c r="P119" s="3">
        <f t="shared" si="36"/>
        <v>0</v>
      </c>
      <c r="Q119" s="3">
        <f t="shared" si="37"/>
        <v>0</v>
      </c>
      <c r="R119" s="3">
        <f t="shared" si="38"/>
        <v>-2958956.3975358699</v>
      </c>
      <c r="S119" s="3">
        <f t="shared" si="39"/>
        <v>59495027.773339681</v>
      </c>
      <c r="T119" s="3">
        <f t="shared" si="40"/>
        <v>12461270.059861345</v>
      </c>
      <c r="U119" s="47">
        <f t="shared" si="45"/>
        <v>74828107.583307147</v>
      </c>
      <c r="V119" s="47">
        <f ca="1">'Monthly Data'!G119+'Monthly Data'!H119</f>
        <v>2729687.8019963703</v>
      </c>
      <c r="W119" s="47">
        <f t="shared" ca="1" si="46"/>
        <v>77557795.385303512</v>
      </c>
      <c r="X119" s="47">
        <f t="shared" ca="1" si="47"/>
        <v>3145128.2990763485</v>
      </c>
      <c r="Y119" s="18">
        <f t="shared" ca="1" si="48"/>
        <v>4.2266033757826046E-2</v>
      </c>
    </row>
    <row r="120" spans="1:25">
      <c r="A120" s="2">
        <f>'Monthly Data'!A120</f>
        <v>45962</v>
      </c>
      <c r="B120">
        <f>'Monthly Data'!B120</f>
        <v>2025</v>
      </c>
      <c r="C120">
        <f>'Monthly Data'!C120</f>
        <v>11</v>
      </c>
      <c r="D120" s="3">
        <f ca="1">'Monthly Data'!F120</f>
        <v>83491581.79746674</v>
      </c>
      <c r="E120" s="3">
        <f>'Monthly Data'!CN120</f>
        <v>520.61249999999995</v>
      </c>
      <c r="F120" s="3">
        <f>'Monthly Data'!CS120</f>
        <v>0</v>
      </c>
      <c r="G120" s="3">
        <f>'Monthly Data'!EM120</f>
        <v>0</v>
      </c>
      <c r="H120" s="3">
        <f>'Monthly Data'!ER120</f>
        <v>0</v>
      </c>
      <c r="I120" s="3">
        <f>'Monthly Data'!EG120</f>
        <v>1</v>
      </c>
      <c r="J120" s="3">
        <f>'Monthly Data'!DQ120</f>
        <v>30</v>
      </c>
      <c r="K120" s="3">
        <f>'Monthly Data'!EH120</f>
        <v>119</v>
      </c>
      <c r="M120" s="3">
        <f t="shared" si="33"/>
        <v>-9235786.3729357291</v>
      </c>
      <c r="N120" s="3">
        <f t="shared" si="34"/>
        <v>23273312.293017142</v>
      </c>
      <c r="O120" s="3">
        <f t="shared" si="35"/>
        <v>0</v>
      </c>
      <c r="P120" s="3">
        <f t="shared" si="36"/>
        <v>0</v>
      </c>
      <c r="Q120" s="3">
        <f t="shared" si="37"/>
        <v>0</v>
      </c>
      <c r="R120" s="3">
        <f t="shared" si="38"/>
        <v>-2958956.3975358699</v>
      </c>
      <c r="S120" s="3">
        <f t="shared" si="39"/>
        <v>57575833.329038396</v>
      </c>
      <c r="T120" s="3">
        <f t="shared" si="40"/>
        <v>12566874.043419493</v>
      </c>
      <c r="U120" s="47">
        <f t="shared" si="45"/>
        <v>81221276.895003438</v>
      </c>
      <c r="V120" s="47">
        <f ca="1">'Monthly Data'!G120+'Monthly Data'!H120</f>
        <v>3899737.72075307</v>
      </c>
      <c r="W120" s="47">
        <f t="shared" ca="1" si="46"/>
        <v>85121014.615756512</v>
      </c>
      <c r="X120" s="47">
        <f t="shared" ca="1" si="47"/>
        <v>1629432.8182897717</v>
      </c>
      <c r="Y120" s="18">
        <f t="shared" ca="1" si="48"/>
        <v>1.9516133042519635E-2</v>
      </c>
    </row>
    <row r="121" spans="1:25">
      <c r="A121" s="2">
        <f>'Monthly Data'!A121</f>
        <v>45992</v>
      </c>
      <c r="B121">
        <f>'Monthly Data'!B121</f>
        <v>2025</v>
      </c>
      <c r="C121">
        <f>'Monthly Data'!C121</f>
        <v>12</v>
      </c>
      <c r="D121" s="3">
        <f ca="1">'Monthly Data'!F121</f>
        <v>100939610.39500643</v>
      </c>
      <c r="E121" s="3">
        <f>'Monthly Data'!CN121</f>
        <v>744.19999999999993</v>
      </c>
      <c r="F121" s="3">
        <f>'Monthly Data'!CS121</f>
        <v>0</v>
      </c>
      <c r="G121" s="3">
        <f>'Monthly Data'!EM121</f>
        <v>0</v>
      </c>
      <c r="H121" s="3">
        <f>'Monthly Data'!ER121</f>
        <v>0</v>
      </c>
      <c r="I121" s="3">
        <f>'Monthly Data'!EG121</f>
        <v>0</v>
      </c>
      <c r="J121" s="3">
        <f>'Monthly Data'!DQ121</f>
        <v>31</v>
      </c>
      <c r="K121" s="3">
        <f>'Monthly Data'!EH121</f>
        <v>120</v>
      </c>
      <c r="M121" s="3">
        <f t="shared" si="33"/>
        <v>-9235786.3729357291</v>
      </c>
      <c r="N121" s="3">
        <f t="shared" si="34"/>
        <v>33268503.941921018</v>
      </c>
      <c r="O121" s="3">
        <f t="shared" si="35"/>
        <v>0</v>
      </c>
      <c r="P121" s="3">
        <f t="shared" si="36"/>
        <v>0</v>
      </c>
      <c r="Q121" s="3">
        <f t="shared" si="37"/>
        <v>0</v>
      </c>
      <c r="R121" s="3">
        <f t="shared" si="38"/>
        <v>0</v>
      </c>
      <c r="S121" s="3">
        <f t="shared" si="39"/>
        <v>59495027.773339681</v>
      </c>
      <c r="T121" s="3">
        <f t="shared" si="40"/>
        <v>12672478.02697764</v>
      </c>
      <c r="U121" s="47">
        <f t="shared" si="45"/>
        <v>96200223.369302616</v>
      </c>
      <c r="V121" s="47">
        <f ca="1">'Monthly Data'!G121+'Monthly Data'!H121</f>
        <v>4980067.7610432552</v>
      </c>
      <c r="W121" s="47">
        <f t="shared" ca="1" si="46"/>
        <v>101180291.13034587</v>
      </c>
      <c r="X121" s="47">
        <f t="shared" ca="1" si="47"/>
        <v>240680.73533943295</v>
      </c>
      <c r="Y121" s="18">
        <f t="shared" ca="1" si="48"/>
        <v>2.3844032525742703E-3</v>
      </c>
    </row>
    <row r="122" spans="1:25">
      <c r="Y122" s="17">
        <f ca="1">AVERAGE(Y2:Y120)</f>
        <v>2.0903184964471449E-2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A838A-B1D5-42C7-B45C-0B5DBACB978B}">
  <sheetPr codeName="Sheet9">
    <tabColor theme="9" tint="0.79998168889431442"/>
  </sheetPr>
  <dimension ref="A1:AD122"/>
  <sheetViews>
    <sheetView topLeftCell="M1" workbookViewId="0">
      <selection activeCell="P30" sqref="P30"/>
    </sheetView>
  </sheetViews>
  <sheetFormatPr defaultRowHeight="14.5"/>
  <cols>
    <col min="4" max="4" width="28.1796875" customWidth="1"/>
    <col min="12" max="12" width="13.81640625" bestFit="1" customWidth="1"/>
    <col min="13" max="14" width="11.1796875" bestFit="1" customWidth="1"/>
    <col min="15" max="17" width="10.1796875" bestFit="1" customWidth="1"/>
    <col min="18" max="18" width="11.1796875" bestFit="1" customWidth="1"/>
    <col min="19" max="21" width="12.54296875" customWidth="1"/>
    <col min="22" max="22" width="10.1796875" bestFit="1" customWidth="1"/>
    <col min="26" max="26" width="14" customWidth="1"/>
    <col min="27" max="27" width="13.81640625" bestFit="1" customWidth="1"/>
    <col min="28" max="28" width="12.81640625" bestFit="1" customWidth="1"/>
    <col min="29" max="29" width="13.81640625" bestFit="1" customWidth="1"/>
    <col min="30" max="30" width="8.81640625" bestFit="1" customWidth="1"/>
  </cols>
  <sheetData>
    <row r="1" spans="1:30">
      <c r="A1" s="541" t="str">
        <f>'Monthly Data'!A1</f>
        <v>Date</v>
      </c>
      <c r="B1" s="541" t="str">
        <f>'Monthly Data'!B1</f>
        <v>Year</v>
      </c>
      <c r="C1" s="541" t="str">
        <f>'Monthly Data'!C1</f>
        <v>Month</v>
      </c>
      <c r="D1" s="541" t="str">
        <f>'Monthly Data'!L1</f>
        <v>VRZ_SeasonalReskWh_No_CDM</v>
      </c>
      <c r="E1" s="541" t="str">
        <f>'Monthly Data'!CP1</f>
        <v>HDD18</v>
      </c>
      <c r="F1" s="541" t="str">
        <f>'Monthly Data'!CU1</f>
        <v>CDD14</v>
      </c>
      <c r="G1" s="541" t="str">
        <f>'Monthly Data'!EG1</f>
        <v>Shoulder</v>
      </c>
      <c r="H1" s="541" t="str">
        <f>'Monthly Data'!EH1</f>
        <v>Trend</v>
      </c>
      <c r="I1" s="541" t="str">
        <f>'Monthly Data'!DQ1</f>
        <v>Month Days</v>
      </c>
      <c r="J1" s="541" t="str">
        <f>'Monthly Data'!EO1</f>
        <v>CovHDD18</v>
      </c>
      <c r="K1" s="541"/>
      <c r="L1" s="541" t="str">
        <f>Z8</f>
        <v>const</v>
      </c>
      <c r="M1" s="543" t="str">
        <f>E1</f>
        <v>HDD18</v>
      </c>
      <c r="N1" s="543" t="str">
        <f>F1</f>
        <v>CDD14</v>
      </c>
      <c r="O1" s="543" t="str">
        <f t="shared" ref="O1:R1" si="0">G1</f>
        <v>Shoulder</v>
      </c>
      <c r="P1" s="541" t="str">
        <f t="shared" si="0"/>
        <v>Trend</v>
      </c>
      <c r="Q1" s="543" t="str">
        <f t="shared" si="0"/>
        <v>Month Days</v>
      </c>
      <c r="R1" s="543" t="str">
        <f t="shared" si="0"/>
        <v>CovHDD18</v>
      </c>
      <c r="S1" s="543" t="s">
        <v>293</v>
      </c>
      <c r="T1" s="541" t="s">
        <v>294</v>
      </c>
      <c r="U1" s="541" t="s">
        <v>295</v>
      </c>
      <c r="V1" s="541" t="s">
        <v>296</v>
      </c>
      <c r="W1" s="541"/>
    </row>
    <row r="2" spans="1:30">
      <c r="A2" s="2">
        <f>'Monthly Data'!A2</f>
        <v>42370</v>
      </c>
      <c r="B2">
        <f>'Monthly Data'!B2</f>
        <v>2016</v>
      </c>
      <c r="C2">
        <f>'Monthly Data'!C2</f>
        <v>1</v>
      </c>
      <c r="D2" s="3">
        <f>'Monthly Data'!L2</f>
        <v>936511.47097367409</v>
      </c>
      <c r="E2" s="489">
        <f>'Monthly Data'!CP2</f>
        <v>675.87916666666683</v>
      </c>
      <c r="F2" s="3">
        <f>'Monthly Data'!CU2</f>
        <v>0</v>
      </c>
      <c r="G2" s="3">
        <f>'Monthly Data'!EG2</f>
        <v>0</v>
      </c>
      <c r="H2">
        <f>'Monthly Data'!EH2</f>
        <v>1</v>
      </c>
      <c r="I2" s="3">
        <f>'Monthly Data'!DQ2</f>
        <v>31</v>
      </c>
      <c r="J2" s="235">
        <f>'Monthly Data'!EO2</f>
        <v>0</v>
      </c>
      <c r="L2" s="3">
        <f t="shared" ref="L2:L33" si="1">$AA$8</f>
        <v>-761245.70652732695</v>
      </c>
      <c r="M2" s="3">
        <f t="shared" ref="M2:M33" si="2">E2*$AA$9</f>
        <v>546069.53066765959</v>
      </c>
      <c r="N2" s="3">
        <f t="shared" ref="N2:N33" si="3">F2*$AA$10</f>
        <v>0</v>
      </c>
      <c r="O2" s="3">
        <f t="shared" ref="O2:O33" si="4">G2*$AA$11</f>
        <v>0</v>
      </c>
      <c r="P2" s="3">
        <f t="shared" ref="P2:P33" si="5">H2*$AA$12</f>
        <v>2554.8309918289801</v>
      </c>
      <c r="Q2" s="3">
        <f t="shared" ref="Q2:Q33" si="6">I2*$AA$13</f>
        <v>1183980.7512550617</v>
      </c>
      <c r="R2" s="3">
        <f t="shared" ref="R2:R33" si="7">J2*$AA$14</f>
        <v>0</v>
      </c>
      <c r="S2" s="47">
        <f t="shared" ref="S2:S9" si="8">SUM(L2:R2)</f>
        <v>971359.4063872234</v>
      </c>
      <c r="T2" s="47">
        <f>'Monthly Data'!M2+'Monthly Data'!N2</f>
        <v>0</v>
      </c>
      <c r="U2" s="47">
        <f t="shared" ref="U2:U42" si="9">S2+T2</f>
        <v>971359.4063872234</v>
      </c>
      <c r="V2" s="47">
        <f t="shared" ref="V2:V42" si="10">U2-D2</f>
        <v>34847.935413549305</v>
      </c>
      <c r="W2" s="18">
        <f t="shared" ref="W2:W9" si="11">ABS(V2/D2)</f>
        <v>3.7210366870699979E-2</v>
      </c>
    </row>
    <row r="3" spans="1:30">
      <c r="A3" s="2">
        <f>'Monthly Data'!A3</f>
        <v>42401</v>
      </c>
      <c r="B3">
        <f>'Monthly Data'!B3</f>
        <v>2016</v>
      </c>
      <c r="C3">
        <f>'Monthly Data'!C3</f>
        <v>2</v>
      </c>
      <c r="D3" s="3">
        <f>'Monthly Data'!L3</f>
        <v>897208.55047257687</v>
      </c>
      <c r="E3" s="489">
        <f>'Monthly Data'!CP3</f>
        <v>603.70833333333337</v>
      </c>
      <c r="F3" s="3">
        <f>'Monthly Data'!CU3</f>
        <v>0</v>
      </c>
      <c r="G3" s="3">
        <f>'Monthly Data'!EG3</f>
        <v>0</v>
      </c>
      <c r="H3">
        <f>'Monthly Data'!EH3</f>
        <v>2</v>
      </c>
      <c r="I3" s="3">
        <f>'Monthly Data'!DQ3</f>
        <v>29</v>
      </c>
      <c r="J3" s="235">
        <f>'Monthly Data'!EO3</f>
        <v>0</v>
      </c>
      <c r="L3" s="3">
        <f t="shared" si="1"/>
        <v>-761245.70652732695</v>
      </c>
      <c r="M3" s="3">
        <f t="shared" si="2"/>
        <v>487759.85782984621</v>
      </c>
      <c r="N3" s="3">
        <f t="shared" si="3"/>
        <v>0</v>
      </c>
      <c r="O3" s="3">
        <f t="shared" si="4"/>
        <v>0</v>
      </c>
      <c r="P3" s="3">
        <f t="shared" si="5"/>
        <v>5109.6619836579603</v>
      </c>
      <c r="Q3" s="3">
        <f t="shared" si="6"/>
        <v>1107594.8963353804</v>
      </c>
      <c r="R3" s="3">
        <f t="shared" si="7"/>
        <v>0</v>
      </c>
      <c r="S3" s="47">
        <f t="shared" si="8"/>
        <v>839218.70962155762</v>
      </c>
      <c r="T3" s="47">
        <f>'Monthly Data'!M3+'Monthly Data'!N3</f>
        <v>0</v>
      </c>
      <c r="U3" s="47">
        <f t="shared" si="9"/>
        <v>839218.70962155762</v>
      </c>
      <c r="V3" s="47">
        <f t="shared" si="10"/>
        <v>-57989.840851019253</v>
      </c>
      <c r="W3" s="18">
        <f t="shared" si="11"/>
        <v>6.4633624836137479E-2</v>
      </c>
      <c r="Z3" s="651" t="s">
        <v>318</v>
      </c>
      <c r="AA3" s="651"/>
      <c r="AB3" s="651"/>
      <c r="AC3" s="651"/>
      <c r="AD3" s="651"/>
    </row>
    <row r="4" spans="1:30">
      <c r="A4" s="2">
        <f>'Monthly Data'!A4</f>
        <v>42430</v>
      </c>
      <c r="B4">
        <f>'Monthly Data'!B4</f>
        <v>2016</v>
      </c>
      <c r="C4">
        <f>'Monthly Data'!C4</f>
        <v>3</v>
      </c>
      <c r="D4" s="3">
        <f>'Monthly Data'!L4</f>
        <v>784095.43057251081</v>
      </c>
      <c r="E4" s="489">
        <f>'Monthly Data'!CP4</f>
        <v>515.07934782608686</v>
      </c>
      <c r="F4" s="3">
        <f>'Monthly Data'!CU4</f>
        <v>0</v>
      </c>
      <c r="G4" s="3">
        <f>'Monthly Data'!EG4</f>
        <v>1</v>
      </c>
      <c r="H4">
        <f>'Monthly Data'!EH4</f>
        <v>3</v>
      </c>
      <c r="I4" s="3">
        <f>'Monthly Data'!DQ4</f>
        <v>31</v>
      </c>
      <c r="J4" s="235">
        <f>'Monthly Data'!EO4</f>
        <v>0</v>
      </c>
      <c r="L4" s="3">
        <f t="shared" si="1"/>
        <v>-761245.70652732695</v>
      </c>
      <c r="M4" s="3">
        <f t="shared" si="2"/>
        <v>416152.99242196209</v>
      </c>
      <c r="N4" s="3">
        <f t="shared" si="3"/>
        <v>0</v>
      </c>
      <c r="O4" s="3">
        <f t="shared" si="4"/>
        <v>-62836.7660875816</v>
      </c>
      <c r="P4" s="3">
        <f t="shared" si="5"/>
        <v>7664.4929754869408</v>
      </c>
      <c r="Q4" s="3">
        <f t="shared" si="6"/>
        <v>1183980.7512550617</v>
      </c>
      <c r="R4" s="3">
        <f t="shared" si="7"/>
        <v>0</v>
      </c>
      <c r="S4" s="47">
        <f t="shared" si="8"/>
        <v>783715.76403760223</v>
      </c>
      <c r="T4" s="47">
        <f>'Monthly Data'!M4+'Monthly Data'!N4</f>
        <v>0</v>
      </c>
      <c r="U4" s="47">
        <f t="shared" si="9"/>
        <v>783715.76403760223</v>
      </c>
      <c r="V4" s="47">
        <f t="shared" si="10"/>
        <v>-379.66653490858153</v>
      </c>
      <c r="W4" s="18">
        <f t="shared" si="11"/>
        <v>4.8420960013931762E-4</v>
      </c>
      <c r="Z4" s="651" t="s">
        <v>319</v>
      </c>
      <c r="AA4" s="651"/>
      <c r="AB4" s="651"/>
      <c r="AC4" s="651"/>
      <c r="AD4" s="651"/>
    </row>
    <row r="5" spans="1:30">
      <c r="A5" s="2">
        <f>'Monthly Data'!A5</f>
        <v>42461</v>
      </c>
      <c r="B5">
        <f>'Monthly Data'!B5</f>
        <v>2016</v>
      </c>
      <c r="C5">
        <f>'Monthly Data'!C5</f>
        <v>4</v>
      </c>
      <c r="D5" s="3">
        <f>'Monthly Data'!L5</f>
        <v>657814.26284760027</v>
      </c>
      <c r="E5" s="489">
        <f>'Monthly Data'!CP5</f>
        <v>405.98333333333341</v>
      </c>
      <c r="F5" s="3">
        <f>'Monthly Data'!CU5</f>
        <v>0.83333333333333393</v>
      </c>
      <c r="G5" s="3">
        <f>'Monthly Data'!EG5</f>
        <v>1</v>
      </c>
      <c r="H5">
        <f>'Monthly Data'!EH5</f>
        <v>4</v>
      </c>
      <c r="I5" s="3">
        <f>'Monthly Data'!DQ5</f>
        <v>30</v>
      </c>
      <c r="J5" s="235">
        <f>'Monthly Data'!EO5</f>
        <v>0</v>
      </c>
      <c r="L5" s="3">
        <f t="shared" si="1"/>
        <v>-761245.70652732695</v>
      </c>
      <c r="M5" s="3">
        <f t="shared" si="2"/>
        <v>328010.00419289741</v>
      </c>
      <c r="N5" s="3">
        <f t="shared" si="3"/>
        <v>1538.1366624577845</v>
      </c>
      <c r="O5" s="3">
        <f t="shared" si="4"/>
        <v>-62836.7660875816</v>
      </c>
      <c r="P5" s="3">
        <f t="shared" si="5"/>
        <v>10219.323967315921</v>
      </c>
      <c r="Q5" s="3">
        <f t="shared" si="6"/>
        <v>1145787.823795221</v>
      </c>
      <c r="R5" s="3">
        <f t="shared" si="7"/>
        <v>0</v>
      </c>
      <c r="S5" s="47">
        <f t="shared" si="8"/>
        <v>661472.8160029836</v>
      </c>
      <c r="T5" s="47">
        <f>'Monthly Data'!M5+'Monthly Data'!N5</f>
        <v>0</v>
      </c>
      <c r="U5" s="47">
        <f t="shared" si="9"/>
        <v>661472.8160029836</v>
      </c>
      <c r="V5" s="47">
        <f t="shared" si="10"/>
        <v>3658.553155383328</v>
      </c>
      <c r="W5" s="18">
        <f t="shared" si="11"/>
        <v>5.5616811036384092E-3</v>
      </c>
      <c r="Z5" s="651" t="s">
        <v>320</v>
      </c>
      <c r="AA5" s="651"/>
      <c r="AB5" s="651"/>
      <c r="AC5" s="651"/>
      <c r="AD5" s="651"/>
    </row>
    <row r="6" spans="1:30">
      <c r="A6" s="2">
        <f>'Monthly Data'!A6</f>
        <v>42491</v>
      </c>
      <c r="B6">
        <f>'Monthly Data'!B6</f>
        <v>2016</v>
      </c>
      <c r="C6">
        <f>'Monthly Data'!C6</f>
        <v>5</v>
      </c>
      <c r="D6" s="3">
        <f>'Monthly Data'!L6</f>
        <v>642444.92598512163</v>
      </c>
      <c r="E6" s="489">
        <f>'Monthly Data'!CP6</f>
        <v>154.58611111111114</v>
      </c>
      <c r="F6" s="3">
        <f>'Monthly Data'!CU6</f>
        <v>66.604166666666671</v>
      </c>
      <c r="G6" s="3">
        <f>'Monthly Data'!EG6</f>
        <v>1</v>
      </c>
      <c r="H6">
        <f>'Monthly Data'!EH6</f>
        <v>5</v>
      </c>
      <c r="I6" s="3">
        <f>'Monthly Data'!DQ6</f>
        <v>31</v>
      </c>
      <c r="J6" s="235">
        <f>'Monthly Data'!EO6</f>
        <v>0</v>
      </c>
      <c r="L6" s="3">
        <f t="shared" si="1"/>
        <v>-761245.70652732695</v>
      </c>
      <c r="M6" s="3">
        <f t="shared" si="2"/>
        <v>124896.2378268055</v>
      </c>
      <c r="N6" s="3">
        <f t="shared" si="3"/>
        <v>122935.57274693834</v>
      </c>
      <c r="O6" s="3">
        <f t="shared" si="4"/>
        <v>-62836.7660875816</v>
      </c>
      <c r="P6" s="3">
        <f t="shared" si="5"/>
        <v>12774.1549591449</v>
      </c>
      <c r="Q6" s="3">
        <f t="shared" si="6"/>
        <v>1183980.7512550617</v>
      </c>
      <c r="R6" s="3">
        <f t="shared" si="7"/>
        <v>0</v>
      </c>
      <c r="S6" s="47">
        <f t="shared" si="8"/>
        <v>620504.24417304189</v>
      </c>
      <c r="T6" s="47">
        <f>'Monthly Data'!M6+'Monthly Data'!N6</f>
        <v>0</v>
      </c>
      <c r="U6" s="47">
        <f t="shared" si="9"/>
        <v>620504.24417304189</v>
      </c>
      <c r="V6" s="47">
        <f t="shared" si="10"/>
        <v>-21940.68181207974</v>
      </c>
      <c r="W6" s="18">
        <f t="shared" si="11"/>
        <v>3.4151848547073531E-2</v>
      </c>
      <c r="Z6" s="652"/>
      <c r="AA6" s="652"/>
      <c r="AB6" s="652"/>
      <c r="AC6" s="652"/>
      <c r="AD6" s="652"/>
    </row>
    <row r="7" spans="1:30">
      <c r="A7" s="2">
        <f>'Monthly Data'!A7</f>
        <v>42522</v>
      </c>
      <c r="B7">
        <f>'Monthly Data'!B7</f>
        <v>2016</v>
      </c>
      <c r="C7">
        <f>'Monthly Data'!C7</f>
        <v>6</v>
      </c>
      <c r="D7" s="3">
        <f>'Monthly Data'!L7</f>
        <v>625968.16854451003</v>
      </c>
      <c r="E7" s="489">
        <f>'Monthly Data'!CP7</f>
        <v>30.204166666666669</v>
      </c>
      <c r="F7" s="3">
        <f>'Monthly Data'!CU7</f>
        <v>147.17916666666667</v>
      </c>
      <c r="G7" s="3">
        <f>'Monthly Data'!EG7</f>
        <v>0</v>
      </c>
      <c r="H7">
        <f>'Monthly Data'!EH7</f>
        <v>6</v>
      </c>
      <c r="I7" s="3">
        <f>'Monthly Data'!DQ7</f>
        <v>30</v>
      </c>
      <c r="J7" s="235">
        <f>'Monthly Data'!EO7</f>
        <v>0</v>
      </c>
      <c r="L7" s="3">
        <f t="shared" si="1"/>
        <v>-761245.70652732695</v>
      </c>
      <c r="M7" s="3">
        <f t="shared" si="2"/>
        <v>24403.14175863452</v>
      </c>
      <c r="N7" s="3">
        <f t="shared" si="3"/>
        <v>271658.00663998141</v>
      </c>
      <c r="O7" s="3">
        <f t="shared" si="4"/>
        <v>0</v>
      </c>
      <c r="P7" s="3">
        <f t="shared" si="5"/>
        <v>15328.985950973882</v>
      </c>
      <c r="Q7" s="3">
        <f t="shared" si="6"/>
        <v>1145787.823795221</v>
      </c>
      <c r="R7" s="3">
        <f t="shared" si="7"/>
        <v>0</v>
      </c>
      <c r="S7" s="47">
        <f t="shared" si="8"/>
        <v>695932.25161748379</v>
      </c>
      <c r="T7" s="47">
        <f>'Monthly Data'!M7+'Monthly Data'!N7</f>
        <v>0</v>
      </c>
      <c r="U7" s="47">
        <f t="shared" si="9"/>
        <v>695932.25161748379</v>
      </c>
      <c r="V7" s="47">
        <f t="shared" si="10"/>
        <v>69964.083072973765</v>
      </c>
      <c r="W7" s="18">
        <f t="shared" si="11"/>
        <v>0.11176939433781911</v>
      </c>
      <c r="Z7" s="652"/>
      <c r="AA7" s="652" t="s">
        <v>300</v>
      </c>
      <c r="AB7" s="652" t="s">
        <v>301</v>
      </c>
      <c r="AC7" s="652" t="s">
        <v>302</v>
      </c>
      <c r="AD7" s="652" t="s">
        <v>303</v>
      </c>
    </row>
    <row r="8" spans="1:30">
      <c r="A8" s="2">
        <f>'Monthly Data'!A8</f>
        <v>42552</v>
      </c>
      <c r="B8">
        <f>'Monthly Data'!B8</f>
        <v>2016</v>
      </c>
      <c r="C8">
        <f>'Monthly Data'!C8</f>
        <v>7</v>
      </c>
      <c r="D8" s="3">
        <f>'Monthly Data'!L8</f>
        <v>953145.21106573672</v>
      </c>
      <c r="E8" s="489">
        <f>'Monthly Data'!CP8</f>
        <v>1.6583333333333314</v>
      </c>
      <c r="F8" s="3">
        <f>'Monthly Data'!CU8</f>
        <v>251.2291666666666</v>
      </c>
      <c r="G8" s="3">
        <f>'Monthly Data'!EG8</f>
        <v>0</v>
      </c>
      <c r="H8">
        <f>'Monthly Data'!EH8</f>
        <v>7</v>
      </c>
      <c r="I8" s="3">
        <f>'Monthly Data'!DQ8</f>
        <v>31</v>
      </c>
      <c r="J8" s="235">
        <f>'Monthly Data'!EO8</f>
        <v>0</v>
      </c>
      <c r="L8" s="3">
        <f t="shared" si="1"/>
        <v>-761245.70652732695</v>
      </c>
      <c r="M8" s="3">
        <f t="shared" si="2"/>
        <v>1339.8331383551561</v>
      </c>
      <c r="N8" s="3">
        <f t="shared" si="3"/>
        <v>463709.75031446014</v>
      </c>
      <c r="O8" s="3">
        <f t="shared" si="4"/>
        <v>0</v>
      </c>
      <c r="P8" s="3">
        <f t="shared" si="5"/>
        <v>17883.81694280286</v>
      </c>
      <c r="Q8" s="3">
        <f t="shared" si="6"/>
        <v>1183980.7512550617</v>
      </c>
      <c r="R8" s="3">
        <f t="shared" si="7"/>
        <v>0</v>
      </c>
      <c r="S8" s="47">
        <f t="shared" si="8"/>
        <v>905668.44512335293</v>
      </c>
      <c r="T8" s="47">
        <f>'Monthly Data'!M8+'Monthly Data'!N8</f>
        <v>0</v>
      </c>
      <c r="U8" s="47">
        <f t="shared" si="9"/>
        <v>905668.44512335293</v>
      </c>
      <c r="V8" s="47">
        <f t="shared" si="10"/>
        <v>-47476.76594238379</v>
      </c>
      <c r="W8" s="18">
        <f t="shared" si="11"/>
        <v>4.9810632620499423E-2</v>
      </c>
      <c r="Z8" s="652" t="s">
        <v>304</v>
      </c>
      <c r="AA8" s="654">
        <v>-761245.70652732695</v>
      </c>
      <c r="AB8" s="654">
        <v>240766.199182329</v>
      </c>
      <c r="AC8" s="655">
        <v>-3.1617631923110801</v>
      </c>
      <c r="AD8" s="656">
        <v>2.0136753464458602E-3</v>
      </c>
    </row>
    <row r="9" spans="1:30">
      <c r="A9" s="2">
        <f>'Monthly Data'!A9</f>
        <v>42583</v>
      </c>
      <c r="B9">
        <f>'Monthly Data'!B9</f>
        <v>2016</v>
      </c>
      <c r="C9">
        <f>'Monthly Data'!C9</f>
        <v>8</v>
      </c>
      <c r="D9" s="3">
        <f>'Monthly Data'!L9</f>
        <v>939559.53863752435</v>
      </c>
      <c r="E9" s="489">
        <f>'Monthly Data'!CP9</f>
        <v>1.1291666666666664</v>
      </c>
      <c r="F9" s="3">
        <f>'Monthly Data'!CU9</f>
        <v>266.02500000000003</v>
      </c>
      <c r="G9" s="3">
        <f>'Monthly Data'!EG9</f>
        <v>0</v>
      </c>
      <c r="H9">
        <f>'Monthly Data'!EH9</f>
        <v>8</v>
      </c>
      <c r="I9" s="3">
        <f>'Monthly Data'!DQ9</f>
        <v>31</v>
      </c>
      <c r="J9" s="235">
        <f>'Monthly Data'!EO9</f>
        <v>0</v>
      </c>
      <c r="L9" s="3">
        <f t="shared" si="1"/>
        <v>-761245.70652732695</v>
      </c>
      <c r="M9" s="3">
        <f t="shared" si="2"/>
        <v>912.29844345288348</v>
      </c>
      <c r="N9" s="3">
        <f t="shared" si="3"/>
        <v>491019.36675639823</v>
      </c>
      <c r="O9" s="3">
        <f t="shared" si="4"/>
        <v>0</v>
      </c>
      <c r="P9" s="3">
        <f t="shared" si="5"/>
        <v>20438.647934631841</v>
      </c>
      <c r="Q9" s="3">
        <f t="shared" si="6"/>
        <v>1183980.7512550617</v>
      </c>
      <c r="R9" s="3">
        <f t="shared" si="7"/>
        <v>0</v>
      </c>
      <c r="S9" s="47">
        <f t="shared" si="8"/>
        <v>935105.35786221782</v>
      </c>
      <c r="T9" s="47">
        <f>'Monthly Data'!M9+'Monthly Data'!N9</f>
        <v>0</v>
      </c>
      <c r="U9" s="47">
        <f t="shared" si="9"/>
        <v>935105.35786221782</v>
      </c>
      <c r="V9" s="47">
        <f t="shared" si="10"/>
        <v>-4454.1807753065368</v>
      </c>
      <c r="W9" s="18">
        <f t="shared" si="11"/>
        <v>4.7407115697698527E-3</v>
      </c>
      <c r="Z9" s="652" t="s">
        <v>116</v>
      </c>
      <c r="AA9" s="654">
        <v>807.93958091768297</v>
      </c>
      <c r="AB9" s="654">
        <v>70.856331614528102</v>
      </c>
      <c r="AC9" s="655">
        <v>11.402503664923399</v>
      </c>
      <c r="AD9" s="656">
        <v>1.65001025929974E-20</v>
      </c>
    </row>
    <row r="10" spans="1:30">
      <c r="A10" s="2">
        <f>'Monthly Data'!A10</f>
        <v>42614</v>
      </c>
      <c r="B10">
        <f>'Monthly Data'!B10</f>
        <v>2016</v>
      </c>
      <c r="C10">
        <f>'Monthly Data'!C10</f>
        <v>9</v>
      </c>
      <c r="D10" s="3">
        <f>'Monthly Data'!L10</f>
        <v>639835.37560637749</v>
      </c>
      <c r="E10" s="489">
        <f>'Monthly Data'!CP10</f>
        <v>40.929166666666667</v>
      </c>
      <c r="F10" s="3">
        <f>'Monthly Data'!CU10</f>
        <v>120.65416666666664</v>
      </c>
      <c r="G10" s="3">
        <f>'Monthly Data'!EG10</f>
        <v>1</v>
      </c>
      <c r="H10">
        <f>'Monthly Data'!EH10</f>
        <v>9</v>
      </c>
      <c r="I10" s="3">
        <f>'Monthly Data'!DQ10</f>
        <v>30</v>
      </c>
      <c r="J10" s="235">
        <f>'Monthly Data'!EO10</f>
        <v>0</v>
      </c>
      <c r="L10" s="3">
        <f t="shared" si="1"/>
        <v>-761245.70652732695</v>
      </c>
      <c r="M10" s="3">
        <f t="shared" si="2"/>
        <v>33068.293763976668</v>
      </c>
      <c r="N10" s="3">
        <f t="shared" si="3"/>
        <v>222699.11667395011</v>
      </c>
      <c r="O10" s="3">
        <f t="shared" si="4"/>
        <v>-62836.7660875816</v>
      </c>
      <c r="P10" s="3">
        <f t="shared" si="5"/>
        <v>22993.478926460823</v>
      </c>
      <c r="Q10" s="3">
        <f t="shared" si="6"/>
        <v>1145787.823795221</v>
      </c>
      <c r="R10" s="3">
        <f t="shared" si="7"/>
        <v>0</v>
      </c>
      <c r="S10" s="47">
        <f t="shared" ref="S10:S41" si="12">SUM(L10:R10)</f>
        <v>600466.24054470006</v>
      </c>
      <c r="T10" s="47">
        <f>'Monthly Data'!M10+'Monthly Data'!N10</f>
        <v>0</v>
      </c>
      <c r="U10" s="47">
        <f t="shared" si="9"/>
        <v>600466.24054470006</v>
      </c>
      <c r="V10" s="47">
        <f t="shared" si="10"/>
        <v>-39369.135061677429</v>
      </c>
      <c r="W10" s="18">
        <f t="shared" ref="W10:W41" si="13">ABS(V10/D10)</f>
        <v>6.1530100651854332E-2</v>
      </c>
      <c r="Z10" s="652" t="s">
        <v>123</v>
      </c>
      <c r="AA10" s="654">
        <v>1845.76399494934</v>
      </c>
      <c r="AB10" s="654">
        <v>232.30931038244199</v>
      </c>
      <c r="AC10" s="655">
        <v>7.9452863594262597</v>
      </c>
      <c r="AD10" s="656">
        <v>1.58639366266698E-12</v>
      </c>
    </row>
    <row r="11" spans="1:30">
      <c r="A11" s="2">
        <f>'Monthly Data'!A11</f>
        <v>42644</v>
      </c>
      <c r="B11">
        <f>'Monthly Data'!B11</f>
        <v>2016</v>
      </c>
      <c r="C11">
        <f>'Monthly Data'!C11</f>
        <v>10</v>
      </c>
      <c r="D11" s="3">
        <f>'Monthly Data'!L11</f>
        <v>712769.82470077625</v>
      </c>
      <c r="E11" s="489">
        <f>'Monthly Data'!CP11</f>
        <v>222.13333333333333</v>
      </c>
      <c r="F11" s="3">
        <f>'Monthly Data'!CU11</f>
        <v>24.770833333333336</v>
      </c>
      <c r="G11" s="3">
        <f>'Monthly Data'!EG11</f>
        <v>1</v>
      </c>
      <c r="H11">
        <f>'Monthly Data'!EH11</f>
        <v>10</v>
      </c>
      <c r="I11" s="3">
        <f>'Monthly Data'!DQ11</f>
        <v>31</v>
      </c>
      <c r="J11" s="235">
        <f>'Monthly Data'!EO11</f>
        <v>0</v>
      </c>
      <c r="L11" s="3">
        <f t="shared" si="1"/>
        <v>-761245.70652732695</v>
      </c>
      <c r="M11" s="3">
        <f t="shared" si="2"/>
        <v>179470.31224118129</v>
      </c>
      <c r="N11" s="3">
        <f t="shared" si="3"/>
        <v>45721.112291557612</v>
      </c>
      <c r="O11" s="3">
        <f t="shared" si="4"/>
        <v>-62836.7660875816</v>
      </c>
      <c r="P11" s="3">
        <f t="shared" si="5"/>
        <v>25548.3099182898</v>
      </c>
      <c r="Q11" s="3">
        <f t="shared" si="6"/>
        <v>1183980.7512550617</v>
      </c>
      <c r="R11" s="3">
        <f t="shared" si="7"/>
        <v>0</v>
      </c>
      <c r="S11" s="47">
        <f t="shared" si="12"/>
        <v>610638.01309118175</v>
      </c>
      <c r="T11" s="47">
        <f>'Monthly Data'!M11+'Monthly Data'!N11</f>
        <v>0</v>
      </c>
      <c r="U11" s="47">
        <f t="shared" si="9"/>
        <v>610638.01309118175</v>
      </c>
      <c r="V11" s="47">
        <f t="shared" si="10"/>
        <v>-102131.8116095945</v>
      </c>
      <c r="W11" s="18">
        <f t="shared" si="13"/>
        <v>0.14328862989180252</v>
      </c>
      <c r="Z11" s="652" t="s">
        <v>161</v>
      </c>
      <c r="AA11" s="654">
        <v>-62836.7660875816</v>
      </c>
      <c r="AB11" s="654">
        <v>21953.9120929415</v>
      </c>
      <c r="AC11" s="655">
        <v>-2.8622127036659002</v>
      </c>
      <c r="AD11" s="656">
        <v>5.0144985258515004E-3</v>
      </c>
    </row>
    <row r="12" spans="1:30">
      <c r="A12" s="2">
        <f>'Monthly Data'!A12</f>
        <v>42675</v>
      </c>
      <c r="B12">
        <f>'Monthly Data'!B12</f>
        <v>2016</v>
      </c>
      <c r="C12">
        <f>'Monthly Data'!C12</f>
        <v>11</v>
      </c>
      <c r="D12" s="3">
        <f>'Monthly Data'!L12</f>
        <v>585813.04856144206</v>
      </c>
      <c r="E12" s="489">
        <f>'Monthly Data'!CP12</f>
        <v>377.33511904761912</v>
      </c>
      <c r="F12" s="3">
        <f>'Monthly Data'!CU12</f>
        <v>0</v>
      </c>
      <c r="G12" s="3">
        <f>'Monthly Data'!EG12</f>
        <v>1</v>
      </c>
      <c r="H12">
        <f>'Monthly Data'!EH12</f>
        <v>11</v>
      </c>
      <c r="I12" s="3">
        <f>'Monthly Data'!DQ12</f>
        <v>30</v>
      </c>
      <c r="J12" s="235">
        <f>'Monthly Data'!EO12</f>
        <v>0</v>
      </c>
      <c r="L12" s="3">
        <f t="shared" si="1"/>
        <v>-761245.70652732695</v>
      </c>
      <c r="M12" s="3">
        <f t="shared" si="2"/>
        <v>304863.97794885741</v>
      </c>
      <c r="N12" s="3">
        <f t="shared" si="3"/>
        <v>0</v>
      </c>
      <c r="O12" s="3">
        <f t="shared" si="4"/>
        <v>-62836.7660875816</v>
      </c>
      <c r="P12" s="3">
        <f t="shared" si="5"/>
        <v>28103.140910118782</v>
      </c>
      <c r="Q12" s="3">
        <f t="shared" si="6"/>
        <v>1145787.823795221</v>
      </c>
      <c r="R12" s="3">
        <f t="shared" si="7"/>
        <v>0</v>
      </c>
      <c r="S12" s="47">
        <f t="shared" si="12"/>
        <v>654672.47003928875</v>
      </c>
      <c r="T12" s="47">
        <f>'Monthly Data'!M12+'Monthly Data'!N12</f>
        <v>0</v>
      </c>
      <c r="U12" s="47">
        <f t="shared" si="9"/>
        <v>654672.47003928875</v>
      </c>
      <c r="V12" s="47">
        <f t="shared" si="10"/>
        <v>68859.421477846685</v>
      </c>
      <c r="W12" s="18">
        <f t="shared" si="13"/>
        <v>0.11754504555154932</v>
      </c>
      <c r="Z12" s="652" t="s">
        <v>162</v>
      </c>
      <c r="AA12" s="654">
        <v>2554.8309918289801</v>
      </c>
      <c r="AB12" s="654">
        <v>278.08198646128699</v>
      </c>
      <c r="AC12" s="655">
        <v>9.1873300544932892</v>
      </c>
      <c r="AD12" s="656">
        <v>2.3171645536696199E-15</v>
      </c>
    </row>
    <row r="13" spans="1:30">
      <c r="A13" s="2">
        <f>'Monthly Data'!A13</f>
        <v>42705</v>
      </c>
      <c r="B13">
        <f>'Monthly Data'!B13</f>
        <v>2016</v>
      </c>
      <c r="C13">
        <f>'Monthly Data'!C13</f>
        <v>12</v>
      </c>
      <c r="D13" s="3">
        <f>'Monthly Data'!L13</f>
        <v>855870.32920516538</v>
      </c>
      <c r="E13" s="489">
        <f>'Monthly Data'!CP13</f>
        <v>616.67083333333335</v>
      </c>
      <c r="F13" s="3">
        <f>'Monthly Data'!CU13</f>
        <v>0</v>
      </c>
      <c r="G13" s="3">
        <f>'Monthly Data'!EG13</f>
        <v>0</v>
      </c>
      <c r="H13">
        <f>'Monthly Data'!EH13</f>
        <v>12</v>
      </c>
      <c r="I13" s="3">
        <f>'Monthly Data'!DQ13</f>
        <v>31</v>
      </c>
      <c r="J13" s="235">
        <f>'Monthly Data'!EO13</f>
        <v>0</v>
      </c>
      <c r="L13" s="3">
        <f t="shared" si="1"/>
        <v>-761245.70652732695</v>
      </c>
      <c r="M13" s="3">
        <f t="shared" si="2"/>
        <v>498232.77464749169</v>
      </c>
      <c r="N13" s="3">
        <f t="shared" si="3"/>
        <v>0</v>
      </c>
      <c r="O13" s="3">
        <f t="shared" si="4"/>
        <v>0</v>
      </c>
      <c r="P13" s="3">
        <f t="shared" si="5"/>
        <v>30657.971901947763</v>
      </c>
      <c r="Q13" s="3">
        <f t="shared" si="6"/>
        <v>1183980.7512550617</v>
      </c>
      <c r="R13" s="3">
        <f t="shared" si="7"/>
        <v>0</v>
      </c>
      <c r="S13" s="47">
        <f t="shared" si="12"/>
        <v>951625.79127717414</v>
      </c>
      <c r="T13" s="47">
        <f>'Monthly Data'!M13+'Monthly Data'!N13</f>
        <v>0</v>
      </c>
      <c r="U13" s="47">
        <f t="shared" si="9"/>
        <v>951625.79127717414</v>
      </c>
      <c r="V13" s="47">
        <f t="shared" si="10"/>
        <v>95755.462072008755</v>
      </c>
      <c r="W13" s="18">
        <f t="shared" si="13"/>
        <v>0.1118808057768932</v>
      </c>
      <c r="Z13" s="652" t="s">
        <v>305</v>
      </c>
      <c r="AA13" s="654">
        <v>38192.927459840699</v>
      </c>
      <c r="AB13" s="654">
        <v>8226.2379656670892</v>
      </c>
      <c r="AC13" s="655">
        <v>4.6428182140174101</v>
      </c>
      <c r="AD13" s="656">
        <v>9.3347729363436701E-6</v>
      </c>
    </row>
    <row r="14" spans="1:30">
      <c r="A14" s="2">
        <f>'Monthly Data'!A14</f>
        <v>42736</v>
      </c>
      <c r="B14">
        <f>'Monthly Data'!B14</f>
        <v>2017</v>
      </c>
      <c r="C14">
        <f>'Monthly Data'!C14</f>
        <v>1</v>
      </c>
      <c r="D14" s="3">
        <f>'Monthly Data'!L14</f>
        <v>902572.16858677357</v>
      </c>
      <c r="E14" s="489">
        <f>'Monthly Data'!CP14</f>
        <v>620.2166666666667</v>
      </c>
      <c r="F14" s="3">
        <f>'Monthly Data'!CU14</f>
        <v>0</v>
      </c>
      <c r="G14" s="3">
        <f>'Monthly Data'!EG14</f>
        <v>0</v>
      </c>
      <c r="H14">
        <f>'Monthly Data'!EH14</f>
        <v>13</v>
      </c>
      <c r="I14" s="3">
        <f>'Monthly Data'!DQ14</f>
        <v>31</v>
      </c>
      <c r="J14" s="235">
        <f>'Monthly Data'!EO14</f>
        <v>0</v>
      </c>
      <c r="L14" s="3">
        <f t="shared" si="1"/>
        <v>-761245.70652732695</v>
      </c>
      <c r="M14" s="3">
        <f t="shared" si="2"/>
        <v>501097.59374482895</v>
      </c>
      <c r="N14" s="3">
        <f t="shared" si="3"/>
        <v>0</v>
      </c>
      <c r="O14" s="3">
        <f t="shared" si="4"/>
        <v>0</v>
      </c>
      <c r="P14" s="3">
        <f t="shared" si="5"/>
        <v>33212.802893776745</v>
      </c>
      <c r="Q14" s="3">
        <f t="shared" si="6"/>
        <v>1183980.7512550617</v>
      </c>
      <c r="R14" s="3">
        <f t="shared" si="7"/>
        <v>0</v>
      </c>
      <c r="S14" s="47">
        <f t="shared" si="12"/>
        <v>957045.4413663405</v>
      </c>
      <c r="T14" s="47">
        <f>'Monthly Data'!M14+'Monthly Data'!N14</f>
        <v>42.600137384677076</v>
      </c>
      <c r="U14" s="47">
        <f t="shared" si="9"/>
        <v>957088.04150372522</v>
      </c>
      <c r="V14" s="47">
        <f t="shared" si="10"/>
        <v>54515.872916951659</v>
      </c>
      <c r="W14" s="18">
        <f t="shared" si="13"/>
        <v>6.040056941076672E-2</v>
      </c>
      <c r="Z14" s="652" t="s">
        <v>169</v>
      </c>
      <c r="AA14" s="654">
        <v>543.00971267723298</v>
      </c>
      <c r="AB14" s="654">
        <v>114.615055137537</v>
      </c>
      <c r="AC14" s="655">
        <v>4.73768225322255</v>
      </c>
      <c r="AD14" s="656">
        <v>6.33374194027776E-6</v>
      </c>
    </row>
    <row r="15" spans="1:30">
      <c r="A15" s="2">
        <f>'Monthly Data'!A15</f>
        <v>42767</v>
      </c>
      <c r="B15">
        <f>'Monthly Data'!B15</f>
        <v>2017</v>
      </c>
      <c r="C15">
        <f>'Monthly Data'!C15</f>
        <v>2</v>
      </c>
      <c r="D15" s="3">
        <f>'Monthly Data'!L15</f>
        <v>824151.46271689306</v>
      </c>
      <c r="E15" s="489">
        <f>'Monthly Data'!CP15</f>
        <v>530.08333333333337</v>
      </c>
      <c r="F15" s="3">
        <f>'Monthly Data'!CU15</f>
        <v>0</v>
      </c>
      <c r="G15" s="3">
        <f>'Monthly Data'!EG15</f>
        <v>0</v>
      </c>
      <c r="H15">
        <f>'Monthly Data'!EH15</f>
        <v>14</v>
      </c>
      <c r="I15" s="3">
        <f>'Monthly Data'!DQ15</f>
        <v>28</v>
      </c>
      <c r="J15" s="235">
        <f>'Monthly Data'!EO15</f>
        <v>0</v>
      </c>
      <c r="L15" s="3">
        <f t="shared" si="1"/>
        <v>-761245.70652732695</v>
      </c>
      <c r="M15" s="3">
        <f t="shared" si="2"/>
        <v>428275.30618478183</v>
      </c>
      <c r="N15" s="3">
        <f t="shared" si="3"/>
        <v>0</v>
      </c>
      <c r="O15" s="3">
        <f t="shared" si="4"/>
        <v>0</v>
      </c>
      <c r="P15" s="3">
        <f t="shared" si="5"/>
        <v>35767.633885605719</v>
      </c>
      <c r="Q15" s="3">
        <f t="shared" si="6"/>
        <v>1069401.9688755395</v>
      </c>
      <c r="R15" s="3">
        <f t="shared" si="7"/>
        <v>0</v>
      </c>
      <c r="S15" s="47">
        <f t="shared" si="12"/>
        <v>772199.20241860009</v>
      </c>
      <c r="T15" s="47">
        <f>'Monthly Data'!M15+'Monthly Data'!N15</f>
        <v>85.200274769354152</v>
      </c>
      <c r="U15" s="47">
        <f t="shared" si="9"/>
        <v>772284.40269336943</v>
      </c>
      <c r="V15" s="47">
        <f t="shared" si="10"/>
        <v>-51867.060023523634</v>
      </c>
      <c r="W15" s="18">
        <f t="shared" si="13"/>
        <v>6.2933893064436211E-2</v>
      </c>
      <c r="AA15" s="3"/>
      <c r="AB15" s="3"/>
      <c r="AC15" s="235"/>
      <c r="AD15" s="100"/>
    </row>
    <row r="16" spans="1:30">
      <c r="A16" s="2">
        <f>'Monthly Data'!A16</f>
        <v>42795</v>
      </c>
      <c r="B16">
        <f>'Monthly Data'!B16</f>
        <v>2017</v>
      </c>
      <c r="C16">
        <f>'Monthly Data'!C16</f>
        <v>3</v>
      </c>
      <c r="D16" s="3">
        <f>'Monthly Data'!L16</f>
        <v>905798.01654935745</v>
      </c>
      <c r="E16" s="489">
        <f>'Monthly Data'!CP16</f>
        <v>599.67916666666667</v>
      </c>
      <c r="F16" s="3">
        <f>'Monthly Data'!CU16</f>
        <v>0</v>
      </c>
      <c r="G16" s="3">
        <f>'Monthly Data'!EG16</f>
        <v>1</v>
      </c>
      <c r="H16">
        <f>'Monthly Data'!EH16</f>
        <v>15</v>
      </c>
      <c r="I16" s="3">
        <f>'Monthly Data'!DQ16</f>
        <v>31</v>
      </c>
      <c r="J16" s="235">
        <f>'Monthly Data'!EO16</f>
        <v>0</v>
      </c>
      <c r="L16" s="3">
        <f t="shared" si="1"/>
        <v>-761245.70652732695</v>
      </c>
      <c r="M16" s="3">
        <f t="shared" si="2"/>
        <v>484504.53460173204</v>
      </c>
      <c r="N16" s="3">
        <f t="shared" si="3"/>
        <v>0</v>
      </c>
      <c r="O16" s="3">
        <f t="shared" si="4"/>
        <v>-62836.7660875816</v>
      </c>
      <c r="P16" s="3">
        <f t="shared" si="5"/>
        <v>38322.464877434701</v>
      </c>
      <c r="Q16" s="3">
        <f t="shared" si="6"/>
        <v>1183980.7512550617</v>
      </c>
      <c r="R16" s="3">
        <f t="shared" si="7"/>
        <v>0</v>
      </c>
      <c r="S16" s="47">
        <f t="shared" si="12"/>
        <v>882725.27811931993</v>
      </c>
      <c r="T16" s="47">
        <f>'Monthly Data'!M16+'Monthly Data'!N16</f>
        <v>127.80041215403122</v>
      </c>
      <c r="U16" s="47">
        <f t="shared" si="9"/>
        <v>882853.07853147399</v>
      </c>
      <c r="V16" s="47">
        <f t="shared" si="10"/>
        <v>-22944.938017883454</v>
      </c>
      <c r="W16" s="18">
        <f t="shared" si="13"/>
        <v>2.5331185980393644E-2</v>
      </c>
      <c r="Z16" s="657" t="s">
        <v>306</v>
      </c>
      <c r="AA16" s="658"/>
      <c r="AB16" s="658"/>
      <c r="AC16" s="659"/>
    </row>
    <row r="17" spans="1:29">
      <c r="A17" s="2">
        <f>'Monthly Data'!A17</f>
        <v>42826</v>
      </c>
      <c r="B17">
        <f>'Monthly Data'!B17</f>
        <v>2017</v>
      </c>
      <c r="C17">
        <f>'Monthly Data'!C17</f>
        <v>4</v>
      </c>
      <c r="D17" s="3">
        <f>'Monthly Data'!L17</f>
        <v>622492.27436961059</v>
      </c>
      <c r="E17" s="489">
        <f>'Monthly Data'!CP17</f>
        <v>288.73333333333335</v>
      </c>
      <c r="F17" s="3">
        <f>'Monthly Data'!CU17</f>
        <v>5.6500000000000057</v>
      </c>
      <c r="G17" s="3">
        <f>'Monthly Data'!EG17</f>
        <v>1</v>
      </c>
      <c r="H17">
        <f>'Monthly Data'!EH17</f>
        <v>16</v>
      </c>
      <c r="I17" s="3">
        <f>'Monthly Data'!DQ17</f>
        <v>30</v>
      </c>
      <c r="J17" s="235">
        <f>'Monthly Data'!EO17</f>
        <v>0</v>
      </c>
      <c r="L17" s="3">
        <f t="shared" si="1"/>
        <v>-761245.70652732695</v>
      </c>
      <c r="M17" s="3">
        <f t="shared" si="2"/>
        <v>233279.08833029901</v>
      </c>
      <c r="N17" s="3">
        <f t="shared" si="3"/>
        <v>10428.566571463782</v>
      </c>
      <c r="O17" s="3">
        <f t="shared" si="4"/>
        <v>-62836.7660875816</v>
      </c>
      <c r="P17" s="3">
        <f t="shared" si="5"/>
        <v>40877.295869263682</v>
      </c>
      <c r="Q17" s="3">
        <f t="shared" si="6"/>
        <v>1145787.823795221</v>
      </c>
      <c r="R17" s="3">
        <f t="shared" si="7"/>
        <v>0</v>
      </c>
      <c r="S17" s="47">
        <f t="shared" si="12"/>
        <v>606290.301951339</v>
      </c>
      <c r="T17" s="47">
        <f>'Monthly Data'!M17+'Monthly Data'!N17</f>
        <v>170.4005495387083</v>
      </c>
      <c r="U17" s="47">
        <f t="shared" si="9"/>
        <v>606460.70250087767</v>
      </c>
      <c r="V17" s="47">
        <f t="shared" si="10"/>
        <v>-16031.571868732921</v>
      </c>
      <c r="W17" s="18">
        <f t="shared" si="13"/>
        <v>2.5753848728432612E-2</v>
      </c>
      <c r="Z17" s="652" t="s">
        <v>307</v>
      </c>
      <c r="AA17" s="660">
        <v>690211153890.41394</v>
      </c>
      <c r="AB17" s="652" t="s">
        <v>308</v>
      </c>
      <c r="AC17" s="654">
        <v>78154.099756600903</v>
      </c>
    </row>
    <row r="18" spans="1:29">
      <c r="A18" s="2">
        <f>'Monthly Data'!A18</f>
        <v>42856</v>
      </c>
      <c r="B18">
        <f>'Monthly Data'!B18</f>
        <v>2017</v>
      </c>
      <c r="C18">
        <f>'Monthly Data'!C18</f>
        <v>5</v>
      </c>
      <c r="D18" s="3">
        <f>'Monthly Data'!L18</f>
        <v>714798.3126420693</v>
      </c>
      <c r="E18" s="489">
        <f>'Monthly Data'!CP18</f>
        <v>188.63749999999999</v>
      </c>
      <c r="F18" s="3">
        <f>'Monthly Data'!CU18</f>
        <v>28.370833333333344</v>
      </c>
      <c r="G18" s="3">
        <f>'Monthly Data'!EG18</f>
        <v>1</v>
      </c>
      <c r="H18">
        <f>'Monthly Data'!EH18</f>
        <v>17</v>
      </c>
      <c r="I18" s="3">
        <f>'Monthly Data'!DQ18</f>
        <v>31</v>
      </c>
      <c r="J18" s="235">
        <f>'Monthly Data'!EO18</f>
        <v>0</v>
      </c>
      <c r="L18" s="3">
        <f t="shared" si="1"/>
        <v>-761245.70652732695</v>
      </c>
      <c r="M18" s="3">
        <f t="shared" si="2"/>
        <v>152407.70269535942</v>
      </c>
      <c r="N18" s="3">
        <f t="shared" si="3"/>
        <v>52365.862673375254</v>
      </c>
      <c r="O18" s="3">
        <f t="shared" si="4"/>
        <v>-62836.7660875816</v>
      </c>
      <c r="P18" s="3">
        <f t="shared" si="5"/>
        <v>43432.126861092664</v>
      </c>
      <c r="Q18" s="3">
        <f t="shared" si="6"/>
        <v>1183980.7512550617</v>
      </c>
      <c r="R18" s="3">
        <f t="shared" si="7"/>
        <v>0</v>
      </c>
      <c r="S18" s="47">
        <f t="shared" si="12"/>
        <v>608103.97086998052</v>
      </c>
      <c r="T18" s="47">
        <f>'Monthly Data'!M18+'Monthly Data'!N18</f>
        <v>213.00068692338542</v>
      </c>
      <c r="U18" s="47">
        <f t="shared" si="9"/>
        <v>608316.97155690391</v>
      </c>
      <c r="V18" s="47">
        <f t="shared" si="10"/>
        <v>-106481.34108516539</v>
      </c>
      <c r="W18" s="18">
        <f t="shared" si="13"/>
        <v>0.14896697320337021</v>
      </c>
      <c r="Z18" s="652" t="s">
        <v>309</v>
      </c>
      <c r="AA18" s="661">
        <v>0.84228084891477695</v>
      </c>
      <c r="AB18" s="652" t="s">
        <v>310</v>
      </c>
      <c r="AC18" s="661">
        <v>0.833906380715562</v>
      </c>
    </row>
    <row r="19" spans="1:29">
      <c r="A19" s="2">
        <f>'Monthly Data'!A19</f>
        <v>42887</v>
      </c>
      <c r="B19">
        <f>'Monthly Data'!B19</f>
        <v>2017</v>
      </c>
      <c r="C19">
        <f>'Monthly Data'!C19</f>
        <v>6</v>
      </c>
      <c r="D19" s="3">
        <f>'Monthly Data'!L19</f>
        <v>654017.46750487247</v>
      </c>
      <c r="E19" s="489">
        <f>'Monthly Data'!CP19</f>
        <v>47.73249999999998</v>
      </c>
      <c r="F19" s="3">
        <f>'Monthly Data'!CU19</f>
        <v>112.71333333333334</v>
      </c>
      <c r="G19" s="3">
        <f>'Monthly Data'!EG19</f>
        <v>0</v>
      </c>
      <c r="H19">
        <f>'Monthly Data'!EH19</f>
        <v>18</v>
      </c>
      <c r="I19" s="3">
        <f>'Monthly Data'!DQ19</f>
        <v>30</v>
      </c>
      <c r="J19" s="235">
        <f>'Monthly Data'!EO19</f>
        <v>0</v>
      </c>
      <c r="L19" s="3">
        <f t="shared" si="1"/>
        <v>-761245.70652732695</v>
      </c>
      <c r="M19" s="3">
        <f t="shared" si="2"/>
        <v>38564.976046153286</v>
      </c>
      <c r="N19" s="3">
        <f t="shared" si="3"/>
        <v>208042.21241738996</v>
      </c>
      <c r="O19" s="3">
        <f t="shared" si="4"/>
        <v>0</v>
      </c>
      <c r="P19" s="3">
        <f t="shared" si="5"/>
        <v>45986.957852921645</v>
      </c>
      <c r="Q19" s="3">
        <f t="shared" si="6"/>
        <v>1145787.823795221</v>
      </c>
      <c r="R19" s="3">
        <f t="shared" si="7"/>
        <v>0</v>
      </c>
      <c r="S19" s="47">
        <f t="shared" si="12"/>
        <v>677136.26358435908</v>
      </c>
      <c r="T19" s="47">
        <f>'Monthly Data'!M19+'Monthly Data'!N19</f>
        <v>255.60082430806244</v>
      </c>
      <c r="U19" s="47">
        <f t="shared" si="9"/>
        <v>677391.8644086672</v>
      </c>
      <c r="V19" s="47">
        <f t="shared" si="10"/>
        <v>23374.396903794724</v>
      </c>
      <c r="W19" s="18">
        <f t="shared" si="13"/>
        <v>3.5739713486506508E-2</v>
      </c>
      <c r="Z19" s="652" t="s">
        <v>321</v>
      </c>
      <c r="AA19" s="655">
        <v>75.815698586349697</v>
      </c>
      <c r="AB19" s="652" t="s">
        <v>312</v>
      </c>
      <c r="AC19" s="661">
        <v>2.6281746285237201E-37</v>
      </c>
    </row>
    <row r="20" spans="1:29">
      <c r="A20" s="2">
        <f>'Monthly Data'!A20</f>
        <v>42917</v>
      </c>
      <c r="B20">
        <f>'Monthly Data'!B20</f>
        <v>2017</v>
      </c>
      <c r="C20">
        <f>'Monthly Data'!C20</f>
        <v>7</v>
      </c>
      <c r="D20" s="3">
        <f>'Monthly Data'!L20</f>
        <v>977732.0495953029</v>
      </c>
      <c r="E20" s="489">
        <f>'Monthly Data'!CP20</f>
        <v>1.8041666666666707</v>
      </c>
      <c r="F20" s="3">
        <f>'Monthly Data'!CU20</f>
        <v>198.16666666666666</v>
      </c>
      <c r="G20" s="3">
        <f>'Monthly Data'!EG20</f>
        <v>0</v>
      </c>
      <c r="H20">
        <f>'Monthly Data'!EH20</f>
        <v>19</v>
      </c>
      <c r="I20" s="3">
        <f>'Monthly Data'!DQ20</f>
        <v>31</v>
      </c>
      <c r="J20" s="235">
        <f>'Monthly Data'!EO20</f>
        <v>0</v>
      </c>
      <c r="L20" s="3">
        <f t="shared" si="1"/>
        <v>-761245.70652732695</v>
      </c>
      <c r="M20" s="3">
        <f t="shared" si="2"/>
        <v>1457.657660572323</v>
      </c>
      <c r="N20" s="3">
        <f t="shared" si="3"/>
        <v>365768.89833246084</v>
      </c>
      <c r="O20" s="3">
        <f t="shared" si="4"/>
        <v>0</v>
      </c>
      <c r="P20" s="3">
        <f t="shared" si="5"/>
        <v>48541.788844750619</v>
      </c>
      <c r="Q20" s="3">
        <f t="shared" si="6"/>
        <v>1183980.7512550617</v>
      </c>
      <c r="R20" s="3">
        <f t="shared" si="7"/>
        <v>0</v>
      </c>
      <c r="S20" s="47">
        <f t="shared" si="12"/>
        <v>838503.38956551859</v>
      </c>
      <c r="T20" s="47">
        <f>'Monthly Data'!M20+'Monthly Data'!N20</f>
        <v>298.20096169273955</v>
      </c>
      <c r="U20" s="47">
        <f t="shared" si="9"/>
        <v>838801.59052721132</v>
      </c>
      <c r="V20" s="47">
        <f t="shared" si="10"/>
        <v>-138930.45906809159</v>
      </c>
      <c r="W20" s="18">
        <f t="shared" si="13"/>
        <v>0.14209461490558364</v>
      </c>
      <c r="Z20" s="652" t="s">
        <v>313</v>
      </c>
      <c r="AA20" s="661">
        <v>3.8384903029455499E-2</v>
      </c>
      <c r="AB20" s="652" t="s">
        <v>314</v>
      </c>
      <c r="AC20" s="661">
        <v>1.9041890797500101</v>
      </c>
    </row>
    <row r="21" spans="1:29">
      <c r="A21" s="2">
        <f>'Monthly Data'!A21</f>
        <v>42948</v>
      </c>
      <c r="B21">
        <f>'Monthly Data'!B21</f>
        <v>2017</v>
      </c>
      <c r="C21">
        <f>'Monthly Data'!C21</f>
        <v>8</v>
      </c>
      <c r="D21" s="3">
        <f>'Monthly Data'!L21</f>
        <v>995639.69486070285</v>
      </c>
      <c r="E21" s="489">
        <f>'Monthly Data'!CP21</f>
        <v>17.950000000000006</v>
      </c>
      <c r="F21" s="3">
        <f>'Monthly Data'!CU21</f>
        <v>155.42409420289857</v>
      </c>
      <c r="G21" s="3">
        <f>'Monthly Data'!EG21</f>
        <v>0</v>
      </c>
      <c r="H21">
        <f>'Monthly Data'!EH21</f>
        <v>20</v>
      </c>
      <c r="I21" s="3">
        <f>'Monthly Data'!DQ21</f>
        <v>31</v>
      </c>
      <c r="J21" s="235">
        <f>'Monthly Data'!EO21</f>
        <v>0</v>
      </c>
      <c r="L21" s="3">
        <f t="shared" si="1"/>
        <v>-761245.70652732695</v>
      </c>
      <c r="M21" s="3">
        <f t="shared" si="2"/>
        <v>14502.515477472414</v>
      </c>
      <c r="N21" s="3">
        <f t="shared" si="3"/>
        <v>286876.19702732464</v>
      </c>
      <c r="O21" s="3">
        <f t="shared" si="4"/>
        <v>0</v>
      </c>
      <c r="P21" s="3">
        <f t="shared" si="5"/>
        <v>51096.619836579601</v>
      </c>
      <c r="Q21" s="3">
        <f t="shared" si="6"/>
        <v>1183980.7512550617</v>
      </c>
      <c r="R21" s="3">
        <f t="shared" si="7"/>
        <v>0</v>
      </c>
      <c r="S21" s="47">
        <f t="shared" si="12"/>
        <v>775210.37706911145</v>
      </c>
      <c r="T21" s="47">
        <f>'Monthly Data'!M21+'Monthly Data'!N21</f>
        <v>340.80109907741661</v>
      </c>
      <c r="U21" s="47">
        <f t="shared" si="9"/>
        <v>775551.1781681889</v>
      </c>
      <c r="V21" s="47">
        <f t="shared" si="10"/>
        <v>-220088.51669251395</v>
      </c>
      <c r="W21" s="18">
        <f t="shared" si="13"/>
        <v>0.22105237248832862</v>
      </c>
    </row>
    <row r="22" spans="1:29">
      <c r="A22" s="2">
        <f>'Monthly Data'!A22</f>
        <v>42979</v>
      </c>
      <c r="B22">
        <f>'Monthly Data'!B22</f>
        <v>2017</v>
      </c>
      <c r="C22">
        <f>'Monthly Data'!C22</f>
        <v>9</v>
      </c>
      <c r="D22" s="3">
        <f>'Monthly Data'!L22</f>
        <v>730511.75170785922</v>
      </c>
      <c r="E22" s="489">
        <f>'Monthly Data'!CP22</f>
        <v>65.699999999999989</v>
      </c>
      <c r="F22" s="3">
        <f>'Monthly Data'!CU22</f>
        <v>112.67916666666666</v>
      </c>
      <c r="G22" s="3">
        <f>'Monthly Data'!EG22</f>
        <v>1</v>
      </c>
      <c r="H22">
        <f>'Monthly Data'!EH22</f>
        <v>21</v>
      </c>
      <c r="I22" s="3">
        <f>'Monthly Data'!DQ22</f>
        <v>30</v>
      </c>
      <c r="J22" s="235">
        <f>'Monthly Data'!EO22</f>
        <v>0</v>
      </c>
      <c r="L22" s="3">
        <f t="shared" si="1"/>
        <v>-761245.70652732695</v>
      </c>
      <c r="M22" s="3">
        <f t="shared" si="2"/>
        <v>53081.630466291761</v>
      </c>
      <c r="N22" s="3">
        <f t="shared" si="3"/>
        <v>207979.14881422918</v>
      </c>
      <c r="O22" s="3">
        <f t="shared" si="4"/>
        <v>-62836.7660875816</v>
      </c>
      <c r="P22" s="3">
        <f t="shared" si="5"/>
        <v>53651.450828408582</v>
      </c>
      <c r="Q22" s="3">
        <f t="shared" si="6"/>
        <v>1145787.823795221</v>
      </c>
      <c r="R22" s="3">
        <f t="shared" si="7"/>
        <v>0</v>
      </c>
      <c r="S22" s="47">
        <f t="shared" si="12"/>
        <v>636417.58128924202</v>
      </c>
      <c r="T22" s="47">
        <f>'Monthly Data'!M22+'Monthly Data'!N22</f>
        <v>383.40123646209372</v>
      </c>
      <c r="U22" s="47">
        <f t="shared" si="9"/>
        <v>636800.98252570408</v>
      </c>
      <c r="V22" s="47">
        <f t="shared" si="10"/>
        <v>-93710.769182155142</v>
      </c>
      <c r="W22" s="18">
        <f t="shared" si="13"/>
        <v>0.12828098790070011</v>
      </c>
      <c r="Z22" s="657" t="s">
        <v>315</v>
      </c>
      <c r="AA22" s="658"/>
      <c r="AB22" s="658"/>
      <c r="AC22" s="659"/>
    </row>
    <row r="23" spans="1:29">
      <c r="A23" s="2">
        <f>'Monthly Data'!A23</f>
        <v>43009</v>
      </c>
      <c r="B23">
        <f>'Monthly Data'!B23</f>
        <v>2017</v>
      </c>
      <c r="C23">
        <f>'Monthly Data'!C23</f>
        <v>10</v>
      </c>
      <c r="D23" s="3">
        <f>'Monthly Data'!L23</f>
        <v>662632.18754757429</v>
      </c>
      <c r="E23" s="489">
        <f>'Monthly Data'!CP23</f>
        <v>179.70833333333334</v>
      </c>
      <c r="F23" s="3">
        <f>'Monthly Data'!CU23</f>
        <v>29.654166666666669</v>
      </c>
      <c r="G23" s="3">
        <f>'Monthly Data'!EG23</f>
        <v>1</v>
      </c>
      <c r="H23">
        <f>'Monthly Data'!EH23</f>
        <v>22</v>
      </c>
      <c r="I23" s="3">
        <f>'Monthly Data'!DQ23</f>
        <v>31</v>
      </c>
      <c r="J23" s="235">
        <f>'Monthly Data'!EO23</f>
        <v>0</v>
      </c>
      <c r="L23" s="3">
        <f t="shared" si="1"/>
        <v>-761245.70652732695</v>
      </c>
      <c r="M23" s="3">
        <f t="shared" si="2"/>
        <v>145193.47552074862</v>
      </c>
      <c r="N23" s="3">
        <f t="shared" si="3"/>
        <v>54734.593133560222</v>
      </c>
      <c r="O23" s="3">
        <f t="shared" si="4"/>
        <v>-62836.7660875816</v>
      </c>
      <c r="P23" s="3">
        <f t="shared" si="5"/>
        <v>56206.281820237564</v>
      </c>
      <c r="Q23" s="3">
        <f t="shared" si="6"/>
        <v>1183980.7512550617</v>
      </c>
      <c r="R23" s="3">
        <f t="shared" si="7"/>
        <v>0</v>
      </c>
      <c r="S23" s="47">
        <f t="shared" si="12"/>
        <v>616032.62911469955</v>
      </c>
      <c r="T23" s="47">
        <f>'Monthly Data'!M23+'Monthly Data'!N23</f>
        <v>426.00137384677083</v>
      </c>
      <c r="U23" s="47">
        <f t="shared" si="9"/>
        <v>616458.63048854633</v>
      </c>
      <c r="V23" s="47">
        <f t="shared" si="10"/>
        <v>-46173.557059027953</v>
      </c>
      <c r="W23" s="18">
        <f t="shared" si="13"/>
        <v>6.9682031640989184E-2</v>
      </c>
      <c r="Z23" s="652" t="s">
        <v>316</v>
      </c>
      <c r="AA23" s="654">
        <v>950669.26083700405</v>
      </c>
      <c r="AB23" s="652" t="s">
        <v>317</v>
      </c>
      <c r="AC23" s="654">
        <v>191261.43420681599</v>
      </c>
    </row>
    <row r="24" spans="1:29">
      <c r="A24" s="2">
        <f>'Monthly Data'!A24</f>
        <v>43040</v>
      </c>
      <c r="B24">
        <f>'Monthly Data'!B24</f>
        <v>2017</v>
      </c>
      <c r="C24">
        <f>'Monthly Data'!C24</f>
        <v>11</v>
      </c>
      <c r="D24" s="3">
        <f>'Monthly Data'!L24</f>
        <v>750628.25396351703</v>
      </c>
      <c r="E24" s="489">
        <f>'Monthly Data'!CP24</f>
        <v>442.61174242424244</v>
      </c>
      <c r="F24" s="3">
        <f>'Monthly Data'!CU24</f>
        <v>0</v>
      </c>
      <c r="G24" s="3">
        <f>'Monthly Data'!EG24</f>
        <v>1</v>
      </c>
      <c r="H24">
        <f>'Monthly Data'!EH24</f>
        <v>23</v>
      </c>
      <c r="I24" s="3">
        <f>'Monthly Data'!DQ24</f>
        <v>30</v>
      </c>
      <c r="J24" s="235">
        <f>'Monthly Data'!EO24</f>
        <v>0</v>
      </c>
      <c r="L24" s="3">
        <f t="shared" si="1"/>
        <v>-761245.70652732695</v>
      </c>
      <c r="M24" s="3">
        <f t="shared" si="2"/>
        <v>357603.5456834879</v>
      </c>
      <c r="N24" s="3">
        <f t="shared" si="3"/>
        <v>0</v>
      </c>
      <c r="O24" s="3">
        <f t="shared" si="4"/>
        <v>-62836.7660875816</v>
      </c>
      <c r="P24" s="3">
        <f t="shared" si="5"/>
        <v>58761.112812066545</v>
      </c>
      <c r="Q24" s="3">
        <f t="shared" si="6"/>
        <v>1145787.823795221</v>
      </c>
      <c r="R24" s="3">
        <f t="shared" si="7"/>
        <v>0</v>
      </c>
      <c r="S24" s="47">
        <f t="shared" si="12"/>
        <v>738070.00967586692</v>
      </c>
      <c r="T24" s="47">
        <f>'Monthly Data'!M24+'Monthly Data'!N24</f>
        <v>468.60151123144783</v>
      </c>
      <c r="U24" s="47">
        <f t="shared" si="9"/>
        <v>738538.61118709831</v>
      </c>
      <c r="V24" s="47">
        <f t="shared" si="10"/>
        <v>-12089.64277641871</v>
      </c>
      <c r="W24" s="18">
        <f t="shared" si="13"/>
        <v>1.610603213052823E-2</v>
      </c>
      <c r="AA24" s="3"/>
      <c r="AC24" s="3"/>
    </row>
    <row r="25" spans="1:29">
      <c r="A25" s="2">
        <f>'Monthly Data'!A25</f>
        <v>43070</v>
      </c>
      <c r="B25">
        <f>'Monthly Data'!B25</f>
        <v>2017</v>
      </c>
      <c r="C25">
        <f>'Monthly Data'!C25</f>
        <v>12</v>
      </c>
      <c r="D25" s="3">
        <f>'Monthly Data'!L25</f>
        <v>1094317.4646649007</v>
      </c>
      <c r="E25" s="489">
        <f>'Monthly Data'!CP25</f>
        <v>736.31250000000011</v>
      </c>
      <c r="F25" s="3">
        <f>'Monthly Data'!CU25</f>
        <v>0</v>
      </c>
      <c r="G25" s="3">
        <f>'Monthly Data'!EG25</f>
        <v>0</v>
      </c>
      <c r="H25">
        <f>'Monthly Data'!EH25</f>
        <v>24</v>
      </c>
      <c r="I25" s="3">
        <f>'Monthly Data'!DQ25</f>
        <v>31</v>
      </c>
      <c r="J25" s="235">
        <f>'Monthly Data'!EO25</f>
        <v>0</v>
      </c>
      <c r="L25" s="3">
        <f t="shared" si="1"/>
        <v>-761245.70652732695</v>
      </c>
      <c r="M25" s="3">
        <f t="shared" si="2"/>
        <v>594896.01267445157</v>
      </c>
      <c r="N25" s="3">
        <f t="shared" si="3"/>
        <v>0</v>
      </c>
      <c r="O25" s="3">
        <f t="shared" si="4"/>
        <v>0</v>
      </c>
      <c r="P25" s="3">
        <f t="shared" si="5"/>
        <v>61315.943803895527</v>
      </c>
      <c r="Q25" s="3">
        <f t="shared" si="6"/>
        <v>1183980.7512550617</v>
      </c>
      <c r="R25" s="3">
        <f t="shared" si="7"/>
        <v>0</v>
      </c>
      <c r="S25" s="47">
        <f t="shared" si="12"/>
        <v>1078947.0012060818</v>
      </c>
      <c r="T25" s="47">
        <f>'Monthly Data'!M25+'Monthly Data'!N25</f>
        <v>511.20164861612488</v>
      </c>
      <c r="U25" s="47">
        <f t="shared" si="9"/>
        <v>1079458.2028546981</v>
      </c>
      <c r="V25" s="47">
        <f t="shared" si="10"/>
        <v>-14859.261810202617</v>
      </c>
      <c r="W25" s="18">
        <f t="shared" si="13"/>
        <v>1.3578565900666481E-2</v>
      </c>
    </row>
    <row r="26" spans="1:29">
      <c r="A26" s="2">
        <f>'Monthly Data'!A26</f>
        <v>43101</v>
      </c>
      <c r="B26">
        <f>'Monthly Data'!B26</f>
        <v>2018</v>
      </c>
      <c r="C26">
        <f>'Monthly Data'!C26</f>
        <v>1</v>
      </c>
      <c r="D26" s="3">
        <f>'Monthly Data'!L26</f>
        <v>1151879.426258018</v>
      </c>
      <c r="E26" s="489">
        <f>'Monthly Data'!CP26</f>
        <v>750.53750000000002</v>
      </c>
      <c r="F26" s="3">
        <f>'Monthly Data'!CU26</f>
        <v>0</v>
      </c>
      <c r="G26" s="3">
        <f>'Monthly Data'!EG26</f>
        <v>0</v>
      </c>
      <c r="H26">
        <f>'Monthly Data'!EH26</f>
        <v>25</v>
      </c>
      <c r="I26" s="3">
        <f>'Monthly Data'!DQ26</f>
        <v>31</v>
      </c>
      <c r="J26" s="235">
        <f>'Monthly Data'!EO26</f>
        <v>0</v>
      </c>
      <c r="L26" s="3">
        <f t="shared" si="1"/>
        <v>-761245.70652732695</v>
      </c>
      <c r="M26" s="3">
        <f t="shared" si="2"/>
        <v>606388.95321300556</v>
      </c>
      <c r="N26" s="3">
        <f t="shared" si="3"/>
        <v>0</v>
      </c>
      <c r="O26" s="3">
        <f t="shared" si="4"/>
        <v>0</v>
      </c>
      <c r="P26" s="3">
        <f t="shared" si="5"/>
        <v>63870.774795724501</v>
      </c>
      <c r="Q26" s="3">
        <f t="shared" si="6"/>
        <v>1183980.7512550617</v>
      </c>
      <c r="R26" s="3">
        <f t="shared" si="7"/>
        <v>0</v>
      </c>
      <c r="S26" s="47">
        <f t="shared" si="12"/>
        <v>1092994.7727364649</v>
      </c>
      <c r="T26" s="47">
        <f>'Monthly Data'!M26+'Monthly Data'!N26</f>
        <v>660.58175969638046</v>
      </c>
      <c r="U26" s="47">
        <f t="shared" si="9"/>
        <v>1093655.3544961612</v>
      </c>
      <c r="V26" s="47">
        <f t="shared" si="10"/>
        <v>-58224.071761856787</v>
      </c>
      <c r="W26" s="18">
        <f t="shared" si="13"/>
        <v>5.0547019448904322E-2</v>
      </c>
    </row>
    <row r="27" spans="1:29">
      <c r="A27" s="2">
        <f>'Monthly Data'!A27</f>
        <v>43132</v>
      </c>
      <c r="B27">
        <f>'Monthly Data'!B27</f>
        <v>2018</v>
      </c>
      <c r="C27">
        <f>'Monthly Data'!C27</f>
        <v>2</v>
      </c>
      <c r="D27" s="3">
        <f>'Monthly Data'!L27</f>
        <v>938268.69859236281</v>
      </c>
      <c r="E27" s="489">
        <f>'Monthly Data'!CP27</f>
        <v>576.49583333333317</v>
      </c>
      <c r="F27" s="3">
        <f>'Monthly Data'!CU27</f>
        <v>0</v>
      </c>
      <c r="G27" s="3">
        <f>'Monthly Data'!EG27</f>
        <v>0</v>
      </c>
      <c r="H27">
        <f>'Monthly Data'!EH27</f>
        <v>26</v>
      </c>
      <c r="I27" s="3">
        <f>'Monthly Data'!DQ27</f>
        <v>28</v>
      </c>
      <c r="J27" s="235">
        <f>'Monthly Data'!EO27</f>
        <v>0</v>
      </c>
      <c r="L27" s="3">
        <f t="shared" si="1"/>
        <v>-761245.70652732695</v>
      </c>
      <c r="M27" s="3">
        <f t="shared" si="2"/>
        <v>465773.80198412359</v>
      </c>
      <c r="N27" s="3">
        <f t="shared" si="3"/>
        <v>0</v>
      </c>
      <c r="O27" s="3">
        <f t="shared" si="4"/>
        <v>0</v>
      </c>
      <c r="P27" s="3">
        <f t="shared" si="5"/>
        <v>66425.60578755349</v>
      </c>
      <c r="Q27" s="3">
        <f t="shared" si="6"/>
        <v>1069401.9688755395</v>
      </c>
      <c r="R27" s="3">
        <f t="shared" si="7"/>
        <v>0</v>
      </c>
      <c r="S27" s="47">
        <f t="shared" si="12"/>
        <v>840355.67011988955</v>
      </c>
      <c r="T27" s="47">
        <f>'Monthly Data'!M27+'Monthly Data'!N27</f>
        <v>767.36173339195875</v>
      </c>
      <c r="U27" s="47">
        <f t="shared" si="9"/>
        <v>841123.03185328154</v>
      </c>
      <c r="V27" s="47">
        <f t="shared" si="10"/>
        <v>-97145.666739081265</v>
      </c>
      <c r="W27" s="18">
        <f t="shared" si="13"/>
        <v>0.10353714973634312</v>
      </c>
    </row>
    <row r="28" spans="1:29">
      <c r="A28" s="2">
        <f>'Monthly Data'!A28</f>
        <v>43160</v>
      </c>
      <c r="B28">
        <f>'Monthly Data'!B28</f>
        <v>2018</v>
      </c>
      <c r="C28">
        <f>'Monthly Data'!C28</f>
        <v>3</v>
      </c>
      <c r="D28" s="3">
        <f>'Monthly Data'!L28</f>
        <v>905448.24387080339</v>
      </c>
      <c r="E28" s="489">
        <f>'Monthly Data'!CP28</f>
        <v>567.2791666666667</v>
      </c>
      <c r="F28" s="3">
        <f>'Monthly Data'!CU28</f>
        <v>0</v>
      </c>
      <c r="G28" s="3">
        <f>'Monthly Data'!EG28</f>
        <v>1</v>
      </c>
      <c r="H28">
        <f>'Monthly Data'!EH28</f>
        <v>27</v>
      </c>
      <c r="I28" s="3">
        <f>'Monthly Data'!DQ28</f>
        <v>31</v>
      </c>
      <c r="J28" s="235">
        <f>'Monthly Data'!EO28</f>
        <v>0</v>
      </c>
      <c r="L28" s="3">
        <f t="shared" si="1"/>
        <v>-761245.70652732695</v>
      </c>
      <c r="M28" s="3">
        <f t="shared" si="2"/>
        <v>458327.29217999912</v>
      </c>
      <c r="N28" s="3">
        <f t="shared" si="3"/>
        <v>0</v>
      </c>
      <c r="O28" s="3">
        <f t="shared" si="4"/>
        <v>-62836.7660875816</v>
      </c>
      <c r="P28" s="3">
        <f t="shared" si="5"/>
        <v>68980.436779382464</v>
      </c>
      <c r="Q28" s="3">
        <f t="shared" si="6"/>
        <v>1183980.7512550617</v>
      </c>
      <c r="R28" s="3">
        <f t="shared" si="7"/>
        <v>0</v>
      </c>
      <c r="S28" s="47">
        <f t="shared" si="12"/>
        <v>887206.0075995347</v>
      </c>
      <c r="T28" s="47">
        <f>'Monthly Data'!M28+'Monthly Data'!N28</f>
        <v>874.14170708753716</v>
      </c>
      <c r="U28" s="47">
        <f t="shared" si="9"/>
        <v>888080.14930662222</v>
      </c>
      <c r="V28" s="47">
        <f t="shared" si="10"/>
        <v>-17368.09456418117</v>
      </c>
      <c r="W28" s="18">
        <f t="shared" si="13"/>
        <v>1.9181764039800146E-2</v>
      </c>
    </row>
    <row r="29" spans="1:29">
      <c r="A29" s="2">
        <f>'Monthly Data'!A29</f>
        <v>43191</v>
      </c>
      <c r="B29">
        <f>'Monthly Data'!B29</f>
        <v>2018</v>
      </c>
      <c r="C29">
        <f>'Monthly Data'!C29</f>
        <v>4</v>
      </c>
      <c r="D29" s="3">
        <f>'Monthly Data'!L29</f>
        <v>789480.74866078631</v>
      </c>
      <c r="E29" s="489">
        <f>'Monthly Data'!CP29</f>
        <v>452.51666666666677</v>
      </c>
      <c r="F29" s="3">
        <f>'Monthly Data'!CU29</f>
        <v>0</v>
      </c>
      <c r="G29" s="3">
        <f>'Monthly Data'!EG29</f>
        <v>1</v>
      </c>
      <c r="H29">
        <f>'Monthly Data'!EH29</f>
        <v>28</v>
      </c>
      <c r="I29" s="3">
        <f>'Monthly Data'!DQ29</f>
        <v>30</v>
      </c>
      <c r="J29" s="235">
        <f>'Monthly Data'!EO29</f>
        <v>0</v>
      </c>
      <c r="L29" s="3">
        <f t="shared" si="1"/>
        <v>-761245.70652732695</v>
      </c>
      <c r="M29" s="3">
        <f t="shared" si="2"/>
        <v>365606.12602493359</v>
      </c>
      <c r="N29" s="3">
        <f t="shared" si="3"/>
        <v>0</v>
      </c>
      <c r="O29" s="3">
        <f t="shared" si="4"/>
        <v>-62836.7660875816</v>
      </c>
      <c r="P29" s="3">
        <f t="shared" si="5"/>
        <v>71535.267771211438</v>
      </c>
      <c r="Q29" s="3">
        <f t="shared" si="6"/>
        <v>1145787.823795221</v>
      </c>
      <c r="R29" s="3">
        <f t="shared" si="7"/>
        <v>0</v>
      </c>
      <c r="S29" s="47">
        <f t="shared" si="12"/>
        <v>758846.74497645756</v>
      </c>
      <c r="T29" s="47">
        <f>'Monthly Data'!M29+'Monthly Data'!N29</f>
        <v>980.92168078311556</v>
      </c>
      <c r="U29" s="47">
        <f t="shared" si="9"/>
        <v>759827.66665724071</v>
      </c>
      <c r="V29" s="47">
        <f t="shared" si="10"/>
        <v>-29653.082003545598</v>
      </c>
      <c r="W29" s="18">
        <f t="shared" si="13"/>
        <v>3.756023443744104E-2</v>
      </c>
    </row>
    <row r="30" spans="1:29">
      <c r="A30" s="2">
        <f>'Monthly Data'!A30</f>
        <v>43221</v>
      </c>
      <c r="B30">
        <f>'Monthly Data'!B30</f>
        <v>2018</v>
      </c>
      <c r="C30">
        <f>'Monthly Data'!C30</f>
        <v>5</v>
      </c>
      <c r="D30" s="3">
        <f>'Monthly Data'!L30</f>
        <v>653117.11443149729</v>
      </c>
      <c r="E30" s="489">
        <f>'Monthly Data'!CP30</f>
        <v>95.407196969696969</v>
      </c>
      <c r="F30" s="3">
        <f>'Monthly Data'!CU30</f>
        <v>80.600541125541127</v>
      </c>
      <c r="G30" s="3">
        <f>'Monthly Data'!EG30</f>
        <v>1</v>
      </c>
      <c r="H30">
        <f>'Monthly Data'!EH30</f>
        <v>29</v>
      </c>
      <c r="I30" s="3">
        <f>'Monthly Data'!DQ30</f>
        <v>31</v>
      </c>
      <c r="J30" s="235">
        <f>'Monthly Data'!EO30</f>
        <v>0</v>
      </c>
      <c r="L30" s="3">
        <f t="shared" si="1"/>
        <v>-761245.70652732695</v>
      </c>
      <c r="M30" s="3">
        <f t="shared" si="2"/>
        <v>77083.250736227797</v>
      </c>
      <c r="N30" s="3">
        <f t="shared" si="3"/>
        <v>148769.57678295736</v>
      </c>
      <c r="O30" s="3">
        <f t="shared" si="4"/>
        <v>-62836.7660875816</v>
      </c>
      <c r="P30" s="3">
        <f t="shared" si="5"/>
        <v>74090.098763040427</v>
      </c>
      <c r="Q30" s="3">
        <f t="shared" si="6"/>
        <v>1183980.7512550617</v>
      </c>
      <c r="R30" s="3">
        <f t="shared" si="7"/>
        <v>0</v>
      </c>
      <c r="S30" s="47">
        <f t="shared" si="12"/>
        <v>659841.20492237876</v>
      </c>
      <c r="T30" s="47">
        <f>'Monthly Data'!M30+'Monthly Data'!N30</f>
        <v>1087.7016544786939</v>
      </c>
      <c r="U30" s="47">
        <f>S30+T30</f>
        <v>660928.90657685744</v>
      </c>
      <c r="V30" s="47">
        <f t="shared" si="10"/>
        <v>7811.7921453601448</v>
      </c>
      <c r="W30" s="18">
        <f t="shared" si="13"/>
        <v>1.1960783101143938E-2</v>
      </c>
    </row>
    <row r="31" spans="1:29">
      <c r="A31" s="2">
        <f>'Monthly Data'!A31</f>
        <v>43252</v>
      </c>
      <c r="B31">
        <f>'Monthly Data'!B31</f>
        <v>2018</v>
      </c>
      <c r="C31">
        <f>'Monthly Data'!C31</f>
        <v>6</v>
      </c>
      <c r="D31" s="3">
        <f>'Monthly Data'!L31</f>
        <v>687238.22072882729</v>
      </c>
      <c r="E31" s="489">
        <f>'Monthly Data'!CP31</f>
        <v>23.060227272727261</v>
      </c>
      <c r="F31" s="3">
        <f>'Monthly Data'!CU31</f>
        <v>141.51477272727271</v>
      </c>
      <c r="G31" s="3">
        <f>'Monthly Data'!EG31</f>
        <v>0</v>
      </c>
      <c r="H31">
        <f>'Monthly Data'!EH31</f>
        <v>30</v>
      </c>
      <c r="I31" s="3">
        <f>'Monthly Data'!DQ31</f>
        <v>30</v>
      </c>
      <c r="J31" s="235">
        <f>'Monthly Data'!EO31</f>
        <v>0</v>
      </c>
      <c r="L31" s="3">
        <f t="shared" si="1"/>
        <v>-761245.70652732695</v>
      </c>
      <c r="M31" s="3">
        <f t="shared" si="2"/>
        <v>18631.270358593785</v>
      </c>
      <c r="N31" s="3">
        <f t="shared" si="3"/>
        <v>261202.87225343881</v>
      </c>
      <c r="O31" s="3">
        <f t="shared" si="4"/>
        <v>0</v>
      </c>
      <c r="P31" s="3">
        <f t="shared" si="5"/>
        <v>76644.929754869401</v>
      </c>
      <c r="Q31" s="3">
        <f t="shared" si="6"/>
        <v>1145787.823795221</v>
      </c>
      <c r="R31" s="3">
        <f t="shared" si="7"/>
        <v>0</v>
      </c>
      <c r="S31" s="47">
        <f t="shared" si="12"/>
        <v>741021.18963479612</v>
      </c>
      <c r="T31" s="47">
        <f>'Monthly Data'!M31+'Monthly Data'!N31</f>
        <v>1194.4816281742724</v>
      </c>
      <c r="U31" s="47">
        <f t="shared" si="9"/>
        <v>742215.67126297043</v>
      </c>
      <c r="V31" s="47">
        <f t="shared" si="10"/>
        <v>54977.450534143136</v>
      </c>
      <c r="W31" s="18">
        <f t="shared" si="13"/>
        <v>7.9997661474413714E-2</v>
      </c>
    </row>
    <row r="32" spans="1:29">
      <c r="A32" s="2">
        <f>'Monthly Data'!A32</f>
        <v>43282</v>
      </c>
      <c r="B32">
        <f>'Monthly Data'!B32</f>
        <v>2018</v>
      </c>
      <c r="C32">
        <f>'Monthly Data'!C32</f>
        <v>7</v>
      </c>
      <c r="D32" s="3">
        <f>'Monthly Data'!L32</f>
        <v>1002345.0827979547</v>
      </c>
      <c r="E32" s="489">
        <f>'Monthly Data'!CP32</f>
        <v>0.19999999999999574</v>
      </c>
      <c r="F32" s="3">
        <f>'Monthly Data'!CU32</f>
        <v>256.39861424807077</v>
      </c>
      <c r="G32" s="3">
        <f>'Monthly Data'!EG32</f>
        <v>0</v>
      </c>
      <c r="H32">
        <f>'Monthly Data'!EH32</f>
        <v>31</v>
      </c>
      <c r="I32" s="3">
        <f>'Monthly Data'!DQ32</f>
        <v>31</v>
      </c>
      <c r="J32" s="235">
        <f>'Monthly Data'!EO32</f>
        <v>0</v>
      </c>
      <c r="L32" s="3">
        <f t="shared" si="1"/>
        <v>-761245.70652732695</v>
      </c>
      <c r="M32" s="3">
        <f t="shared" si="2"/>
        <v>161.58791618353314</v>
      </c>
      <c r="N32" s="3">
        <f t="shared" si="3"/>
        <v>473251.3305339939</v>
      </c>
      <c r="O32" s="3">
        <f t="shared" si="4"/>
        <v>0</v>
      </c>
      <c r="P32" s="3">
        <f t="shared" si="5"/>
        <v>79199.76074669839</v>
      </c>
      <c r="Q32" s="3">
        <f t="shared" si="6"/>
        <v>1183980.7512550617</v>
      </c>
      <c r="R32" s="3">
        <f t="shared" si="7"/>
        <v>0</v>
      </c>
      <c r="S32" s="47">
        <f t="shared" si="12"/>
        <v>975347.72392461053</v>
      </c>
      <c r="T32" s="47">
        <f>'Monthly Data'!M32+'Monthly Data'!N32</f>
        <v>1301.2616018698504</v>
      </c>
      <c r="U32" s="47">
        <f t="shared" si="9"/>
        <v>976648.98552648036</v>
      </c>
      <c r="V32" s="47">
        <f t="shared" si="10"/>
        <v>-25696.097271474311</v>
      </c>
      <c r="W32" s="18">
        <f t="shared" si="13"/>
        <v>2.5635978778631812E-2</v>
      </c>
    </row>
    <row r="33" spans="1:23">
      <c r="A33" s="2">
        <f>'Monthly Data'!A33</f>
        <v>43313</v>
      </c>
      <c r="B33">
        <f>'Monthly Data'!B33</f>
        <v>2018</v>
      </c>
      <c r="C33">
        <f>'Monthly Data'!C33</f>
        <v>8</v>
      </c>
      <c r="D33" s="3">
        <f>'Monthly Data'!L33</f>
        <v>1011375.7542069035</v>
      </c>
      <c r="E33" s="489">
        <f>'Monthly Data'!CP33</f>
        <v>0.90833333333333144</v>
      </c>
      <c r="F33" s="3">
        <f>'Monthly Data'!CU33</f>
        <v>252.24583333333339</v>
      </c>
      <c r="G33" s="3">
        <f>'Monthly Data'!EG33</f>
        <v>0</v>
      </c>
      <c r="H33">
        <f>'Monthly Data'!EH33</f>
        <v>32</v>
      </c>
      <c r="I33" s="3">
        <f>'Monthly Data'!DQ33</f>
        <v>31</v>
      </c>
      <c r="J33" s="235">
        <f>'Monthly Data'!EO33</f>
        <v>0</v>
      </c>
      <c r="L33" s="3">
        <f t="shared" si="1"/>
        <v>-761245.70652732695</v>
      </c>
      <c r="M33" s="3">
        <f t="shared" si="2"/>
        <v>733.87845266689385</v>
      </c>
      <c r="N33" s="3">
        <f t="shared" si="3"/>
        <v>465586.27704265882</v>
      </c>
      <c r="O33" s="3">
        <f t="shared" si="4"/>
        <v>0</v>
      </c>
      <c r="P33" s="3">
        <f t="shared" si="5"/>
        <v>81754.591738527364</v>
      </c>
      <c r="Q33" s="3">
        <f t="shared" si="6"/>
        <v>1183980.7512550617</v>
      </c>
      <c r="R33" s="3">
        <f t="shared" si="7"/>
        <v>0</v>
      </c>
      <c r="S33" s="47">
        <f t="shared" si="12"/>
        <v>970809.79196158785</v>
      </c>
      <c r="T33" s="47">
        <f>'Monthly Data'!M33+'Monthly Data'!N33</f>
        <v>1408.041575565429</v>
      </c>
      <c r="U33" s="47">
        <f t="shared" si="9"/>
        <v>972217.83353715332</v>
      </c>
      <c r="V33" s="47">
        <f t="shared" si="10"/>
        <v>-39157.920669750194</v>
      </c>
      <c r="W33" s="18">
        <f t="shared" si="13"/>
        <v>3.871748013225499E-2</v>
      </c>
    </row>
    <row r="34" spans="1:23">
      <c r="A34" s="2">
        <f>'Monthly Data'!A34</f>
        <v>43344</v>
      </c>
      <c r="B34">
        <f>'Monthly Data'!B34</f>
        <v>2018</v>
      </c>
      <c r="C34">
        <f>'Monthly Data'!C34</f>
        <v>9</v>
      </c>
      <c r="D34" s="3">
        <f>'Monthly Data'!L34</f>
        <v>726568.42993754684</v>
      </c>
      <c r="E34" s="489">
        <f>'Monthly Data'!CP34</f>
        <v>59.1875</v>
      </c>
      <c r="F34" s="3">
        <f>'Monthly Data'!CU34</f>
        <v>135.06250000000003</v>
      </c>
      <c r="G34" s="3">
        <f>'Monthly Data'!EG34</f>
        <v>1</v>
      </c>
      <c r="H34">
        <f>'Monthly Data'!EH34</f>
        <v>33</v>
      </c>
      <c r="I34" s="3">
        <f>'Monthly Data'!DQ34</f>
        <v>30</v>
      </c>
      <c r="J34" s="235">
        <f>'Monthly Data'!EO34</f>
        <v>0</v>
      </c>
      <c r="L34" s="3">
        <f t="shared" ref="L34:L65" si="14">$AA$8</f>
        <v>-761245.70652732695</v>
      </c>
      <c r="M34" s="3">
        <f t="shared" ref="M34:M65" si="15">E34*$AA$9</f>
        <v>47819.923945565359</v>
      </c>
      <c r="N34" s="3">
        <f t="shared" ref="N34:N65" si="16">F34*$AA$10</f>
        <v>249293.49956784528</v>
      </c>
      <c r="O34" s="3">
        <f t="shared" ref="O34:O65" si="17">G34*$AA$11</f>
        <v>-62836.7660875816</v>
      </c>
      <c r="P34" s="3">
        <f t="shared" ref="P34:P65" si="18">H34*$AA$12</f>
        <v>84309.422730356338</v>
      </c>
      <c r="Q34" s="3">
        <f t="shared" ref="Q34:Q65" si="19">I34*$AA$13</f>
        <v>1145787.823795221</v>
      </c>
      <c r="R34" s="3">
        <f t="shared" ref="R34:R65" si="20">J34*$AA$14</f>
        <v>0</v>
      </c>
      <c r="S34" s="47">
        <f t="shared" si="12"/>
        <v>703128.19742407941</v>
      </c>
      <c r="T34" s="47">
        <f>'Monthly Data'!M34+'Monthly Data'!N34</f>
        <v>1514.8215492610072</v>
      </c>
      <c r="U34" s="47">
        <f t="shared" si="9"/>
        <v>704643.0189733404</v>
      </c>
      <c r="V34" s="47">
        <f t="shared" si="10"/>
        <v>-21925.410964206443</v>
      </c>
      <c r="W34" s="18">
        <f t="shared" si="13"/>
        <v>3.0176663423280133E-2</v>
      </c>
    </row>
    <row r="35" spans="1:23">
      <c r="A35" s="2">
        <f>'Monthly Data'!A35</f>
        <v>43374</v>
      </c>
      <c r="B35">
        <f>'Monthly Data'!B35</f>
        <v>2018</v>
      </c>
      <c r="C35">
        <f>'Monthly Data'!C35</f>
        <v>10</v>
      </c>
      <c r="D35" s="3">
        <f>'Monthly Data'!L35</f>
        <v>860637.08752279799</v>
      </c>
      <c r="E35" s="489">
        <f>'Monthly Data'!CP35</f>
        <v>305.10000000000002</v>
      </c>
      <c r="F35" s="3">
        <f>'Monthly Data'!CU35</f>
        <v>15.387500000000001</v>
      </c>
      <c r="G35" s="3">
        <f>'Monthly Data'!EG35</f>
        <v>1</v>
      </c>
      <c r="H35">
        <f>'Monthly Data'!EH35</f>
        <v>34</v>
      </c>
      <c r="I35" s="3">
        <f>'Monthly Data'!DQ35</f>
        <v>31</v>
      </c>
      <c r="J35" s="235">
        <f>'Monthly Data'!EO35</f>
        <v>0</v>
      </c>
      <c r="L35" s="3">
        <f t="shared" si="14"/>
        <v>-761245.70652732695</v>
      </c>
      <c r="M35" s="3">
        <f t="shared" si="15"/>
        <v>246502.36613798508</v>
      </c>
      <c r="N35" s="3">
        <f t="shared" si="16"/>
        <v>28401.693472282972</v>
      </c>
      <c r="O35" s="3">
        <f t="shared" si="17"/>
        <v>-62836.7660875816</v>
      </c>
      <c r="P35" s="3">
        <f t="shared" si="18"/>
        <v>86864.253722185327</v>
      </c>
      <c r="Q35" s="3">
        <f t="shared" si="19"/>
        <v>1183980.7512550617</v>
      </c>
      <c r="R35" s="3">
        <f t="shared" si="20"/>
        <v>0</v>
      </c>
      <c r="S35" s="47">
        <f t="shared" si="12"/>
        <v>721666.59197260649</v>
      </c>
      <c r="T35" s="47">
        <f>'Monthly Data'!M35+'Monthly Data'!N35</f>
        <v>1621.6015229565855</v>
      </c>
      <c r="U35" s="47">
        <f t="shared" si="9"/>
        <v>723288.19349556311</v>
      </c>
      <c r="V35" s="47">
        <f t="shared" si="10"/>
        <v>-137348.89402723487</v>
      </c>
      <c r="W35" s="18">
        <f t="shared" si="13"/>
        <v>0.15958979228117048</v>
      </c>
    </row>
    <row r="36" spans="1:23">
      <c r="A36" s="2">
        <f>'Monthly Data'!A36</f>
        <v>43405</v>
      </c>
      <c r="B36">
        <f>'Monthly Data'!B36</f>
        <v>2018</v>
      </c>
      <c r="C36">
        <f>'Monthly Data'!C36</f>
        <v>11</v>
      </c>
      <c r="D36" s="3">
        <f>'Monthly Data'!L36</f>
        <v>818792.17725840118</v>
      </c>
      <c r="E36" s="489">
        <f>'Monthly Data'!CP36</f>
        <v>503.52500000000003</v>
      </c>
      <c r="F36" s="3">
        <f>'Monthly Data'!CU36</f>
        <v>0</v>
      </c>
      <c r="G36" s="3">
        <f>'Monthly Data'!EG36</f>
        <v>1</v>
      </c>
      <c r="H36">
        <f>'Monthly Data'!EH36</f>
        <v>35</v>
      </c>
      <c r="I36" s="3">
        <f>'Monthly Data'!DQ36</f>
        <v>30</v>
      </c>
      <c r="J36" s="235">
        <f>'Monthly Data'!EO36</f>
        <v>0</v>
      </c>
      <c r="L36" s="3">
        <f t="shared" si="14"/>
        <v>-761245.70652732695</v>
      </c>
      <c r="M36" s="3">
        <f t="shared" si="15"/>
        <v>406817.77748157637</v>
      </c>
      <c r="N36" s="3">
        <f t="shared" si="16"/>
        <v>0</v>
      </c>
      <c r="O36" s="3">
        <f t="shared" si="17"/>
        <v>-62836.7660875816</v>
      </c>
      <c r="P36" s="3">
        <f t="shared" si="18"/>
        <v>89419.084714014301</v>
      </c>
      <c r="Q36" s="3">
        <f t="shared" si="19"/>
        <v>1145787.823795221</v>
      </c>
      <c r="R36" s="3">
        <f t="shared" si="20"/>
        <v>0</v>
      </c>
      <c r="S36" s="47">
        <f t="shared" si="12"/>
        <v>817942.2133759032</v>
      </c>
      <c r="T36" s="47">
        <f>'Monthly Data'!M36+'Monthly Data'!N36</f>
        <v>1728.3814966521641</v>
      </c>
      <c r="U36" s="47">
        <f t="shared" si="9"/>
        <v>819670.59487255535</v>
      </c>
      <c r="V36" s="47">
        <f t="shared" si="10"/>
        <v>878.4176141541684</v>
      </c>
      <c r="W36" s="18">
        <f t="shared" si="13"/>
        <v>1.0728212097670666E-3</v>
      </c>
    </row>
    <row r="37" spans="1:23">
      <c r="A37" s="2">
        <f>'Monthly Data'!A37</f>
        <v>43435</v>
      </c>
      <c r="B37">
        <f>'Monthly Data'!B37</f>
        <v>2018</v>
      </c>
      <c r="C37">
        <f>'Monthly Data'!C37</f>
        <v>12</v>
      </c>
      <c r="D37" s="3">
        <f>'Monthly Data'!L37</f>
        <v>978858.23497721553</v>
      </c>
      <c r="E37" s="489">
        <f>'Monthly Data'!CP37</f>
        <v>584.91666666666663</v>
      </c>
      <c r="F37" s="3">
        <f>'Monthly Data'!CU37</f>
        <v>0</v>
      </c>
      <c r="G37" s="3">
        <f>'Monthly Data'!EG37</f>
        <v>0</v>
      </c>
      <c r="H37">
        <f>'Monthly Data'!EH37</f>
        <v>36</v>
      </c>
      <c r="I37" s="3">
        <f>'Monthly Data'!DQ37</f>
        <v>31</v>
      </c>
      <c r="J37" s="235">
        <f>'Monthly Data'!EO37</f>
        <v>0</v>
      </c>
      <c r="L37" s="3">
        <f t="shared" si="14"/>
        <v>-761245.70652732695</v>
      </c>
      <c r="M37" s="3">
        <f t="shared" si="15"/>
        <v>472577.32653843472</v>
      </c>
      <c r="N37" s="3">
        <f t="shared" si="16"/>
        <v>0</v>
      </c>
      <c r="O37" s="3">
        <f t="shared" si="17"/>
        <v>0</v>
      </c>
      <c r="P37" s="3">
        <f t="shared" si="18"/>
        <v>91973.91570584329</v>
      </c>
      <c r="Q37" s="3">
        <f t="shared" si="19"/>
        <v>1183980.7512550617</v>
      </c>
      <c r="R37" s="3">
        <f t="shared" si="20"/>
        <v>0</v>
      </c>
      <c r="S37" s="47">
        <f t="shared" si="12"/>
        <v>987286.28697201284</v>
      </c>
      <c r="T37" s="47">
        <f>'Monthly Data'!M37+'Monthly Data'!N37</f>
        <v>1835.1614703477426</v>
      </c>
      <c r="U37" s="47">
        <f t="shared" si="9"/>
        <v>989121.44844236062</v>
      </c>
      <c r="V37" s="47">
        <f t="shared" si="10"/>
        <v>10263.213465145091</v>
      </c>
      <c r="W37" s="18">
        <f t="shared" si="13"/>
        <v>1.0484882384816411E-2</v>
      </c>
    </row>
    <row r="38" spans="1:23">
      <c r="A38" s="2">
        <f>'Monthly Data'!A38</f>
        <v>43466</v>
      </c>
      <c r="B38">
        <f>'Monthly Data'!B38</f>
        <v>2019</v>
      </c>
      <c r="C38">
        <f>'Monthly Data'!C38</f>
        <v>1</v>
      </c>
      <c r="D38" s="3">
        <f>'Monthly Data'!L38</f>
        <v>1180732.0840907115</v>
      </c>
      <c r="E38" s="489">
        <f>'Monthly Data'!CP38</f>
        <v>779.93333333333351</v>
      </c>
      <c r="F38" s="3">
        <f>'Monthly Data'!CU38</f>
        <v>0</v>
      </c>
      <c r="G38" s="3">
        <f>'Monthly Data'!EG38</f>
        <v>0</v>
      </c>
      <c r="H38">
        <f>'Monthly Data'!EH38</f>
        <v>37</v>
      </c>
      <c r="I38" s="3">
        <f>'Monthly Data'!DQ38</f>
        <v>31</v>
      </c>
      <c r="J38" s="235">
        <f>'Monthly Data'!EO38</f>
        <v>0</v>
      </c>
      <c r="L38" s="3">
        <f t="shared" si="14"/>
        <v>-761245.70652732695</v>
      </c>
      <c r="M38" s="3">
        <f t="shared" si="15"/>
        <v>630139.01047706499</v>
      </c>
      <c r="N38" s="3">
        <f t="shared" si="16"/>
        <v>0</v>
      </c>
      <c r="O38" s="3">
        <f t="shared" si="17"/>
        <v>0</v>
      </c>
      <c r="P38" s="3">
        <f t="shared" si="18"/>
        <v>94528.746697672264</v>
      </c>
      <c r="Q38" s="3">
        <f t="shared" si="19"/>
        <v>1183980.7512550617</v>
      </c>
      <c r="R38" s="3">
        <f t="shared" si="20"/>
        <v>0</v>
      </c>
      <c r="S38" s="47">
        <f t="shared" si="12"/>
        <v>1147402.801902472</v>
      </c>
      <c r="T38" s="47">
        <f ca="1">'Monthly Data'!M38+'Monthly Data'!N38</f>
        <v>4029.5244911853133</v>
      </c>
      <c r="U38" s="47">
        <f t="shared" ca="1" si="9"/>
        <v>1151432.3263936574</v>
      </c>
      <c r="V38" s="47">
        <f t="shared" ca="1" si="10"/>
        <v>-29299.757697054185</v>
      </c>
      <c r="W38" s="18">
        <f t="shared" ca="1" si="13"/>
        <v>2.4814907710090806E-2</v>
      </c>
    </row>
    <row r="39" spans="1:23">
      <c r="A39" s="2">
        <f>'Monthly Data'!A39</f>
        <v>43497</v>
      </c>
      <c r="B39">
        <f>'Monthly Data'!B39</f>
        <v>2019</v>
      </c>
      <c r="C39">
        <f>'Monthly Data'!C39</f>
        <v>2</v>
      </c>
      <c r="D39" s="3">
        <f>'Monthly Data'!L39</f>
        <v>1037445.2507180091</v>
      </c>
      <c r="E39" s="489">
        <f>'Monthly Data'!CP39</f>
        <v>639.30416666666645</v>
      </c>
      <c r="F39" s="3">
        <f>'Monthly Data'!CU39</f>
        <v>0</v>
      </c>
      <c r="G39" s="3">
        <f>'Monthly Data'!EG39</f>
        <v>0</v>
      </c>
      <c r="H39">
        <f>'Monthly Data'!EH39</f>
        <v>38</v>
      </c>
      <c r="I39" s="3">
        <f>'Monthly Data'!DQ39</f>
        <v>28</v>
      </c>
      <c r="J39" s="235">
        <f>'Monthly Data'!EO39</f>
        <v>0</v>
      </c>
      <c r="L39" s="3">
        <f t="shared" si="14"/>
        <v>-761245.70652732695</v>
      </c>
      <c r="M39" s="3">
        <f t="shared" si="15"/>
        <v>516519.14049559506</v>
      </c>
      <c r="N39" s="3">
        <f t="shared" si="16"/>
        <v>0</v>
      </c>
      <c r="O39" s="3">
        <f t="shared" si="17"/>
        <v>0</v>
      </c>
      <c r="P39" s="3">
        <f t="shared" si="18"/>
        <v>97083.577689501239</v>
      </c>
      <c r="Q39" s="3">
        <f t="shared" si="19"/>
        <v>1069401.9688755395</v>
      </c>
      <c r="R39" s="3">
        <f t="shared" si="20"/>
        <v>0</v>
      </c>
      <c r="S39" s="47">
        <f t="shared" si="12"/>
        <v>921758.98053330882</v>
      </c>
      <c r="T39" s="47">
        <f ca="1">'Monthly Data'!M39+'Monthly Data'!N39</f>
        <v>3719.2296457459133</v>
      </c>
      <c r="U39" s="47">
        <f t="shared" ca="1" si="9"/>
        <v>925478.21017905476</v>
      </c>
      <c r="V39" s="47">
        <f t="shared" ca="1" si="10"/>
        <v>-111967.04053895432</v>
      </c>
      <c r="W39" s="18">
        <f t="shared" ca="1" si="13"/>
        <v>0.10792573435703008</v>
      </c>
    </row>
    <row r="40" spans="1:23">
      <c r="A40" s="2">
        <f>'Monthly Data'!A40</f>
        <v>43525</v>
      </c>
      <c r="B40">
        <f>'Monthly Data'!B40</f>
        <v>2019</v>
      </c>
      <c r="C40">
        <f>'Monthly Data'!C40</f>
        <v>3</v>
      </c>
      <c r="D40" s="3">
        <f>'Monthly Data'!L40</f>
        <v>1019060.4219245851</v>
      </c>
      <c r="E40" s="489">
        <f>'Monthly Data'!CP40</f>
        <v>611.45833333333337</v>
      </c>
      <c r="F40" s="3">
        <f>'Monthly Data'!CU40</f>
        <v>0</v>
      </c>
      <c r="G40" s="3">
        <f>'Monthly Data'!EG40</f>
        <v>1</v>
      </c>
      <c r="H40">
        <f>'Monthly Data'!EH40</f>
        <v>39</v>
      </c>
      <c r="I40" s="3">
        <f>'Monthly Data'!DQ40</f>
        <v>31</v>
      </c>
      <c r="J40" s="235">
        <f>'Monthly Data'!EO40</f>
        <v>0</v>
      </c>
      <c r="L40" s="3">
        <f t="shared" si="14"/>
        <v>-761245.70652732695</v>
      </c>
      <c r="M40" s="3">
        <f t="shared" si="15"/>
        <v>494021.38958195824</v>
      </c>
      <c r="N40" s="3">
        <f t="shared" si="16"/>
        <v>0</v>
      </c>
      <c r="O40" s="3">
        <f t="shared" si="17"/>
        <v>-62836.7660875816</v>
      </c>
      <c r="P40" s="3">
        <f t="shared" si="18"/>
        <v>99638.408681330227</v>
      </c>
      <c r="Q40" s="3">
        <f t="shared" si="19"/>
        <v>1183980.7512550617</v>
      </c>
      <c r="R40" s="3">
        <f t="shared" si="20"/>
        <v>0</v>
      </c>
      <c r="S40" s="47">
        <f t="shared" si="12"/>
        <v>953558.07690344169</v>
      </c>
      <c r="T40" s="47">
        <f ca="1">'Monthly Data'!M40+'Monthly Data'!N40</f>
        <v>3702.7124217625687</v>
      </c>
      <c r="U40" s="47">
        <f t="shared" ca="1" si="9"/>
        <v>957260.78932520421</v>
      </c>
      <c r="V40" s="47">
        <f t="shared" ca="1" si="10"/>
        <v>-61799.632599380915</v>
      </c>
      <c r="W40" s="18">
        <f t="shared" ca="1" si="13"/>
        <v>6.0643737377874887E-2</v>
      </c>
    </row>
    <row r="41" spans="1:23">
      <c r="A41" s="2">
        <f>'Monthly Data'!A41</f>
        <v>43556</v>
      </c>
      <c r="B41">
        <f>'Monthly Data'!B41</f>
        <v>2019</v>
      </c>
      <c r="C41">
        <f>'Monthly Data'!C41</f>
        <v>4</v>
      </c>
      <c r="D41" s="3">
        <f>'Monthly Data'!L41</f>
        <v>756658.03262744064</v>
      </c>
      <c r="E41" s="489">
        <f>'Monthly Data'!CP41</f>
        <v>366.65416666666664</v>
      </c>
      <c r="F41" s="3">
        <f>'Monthly Data'!CU41</f>
        <v>0</v>
      </c>
      <c r="G41" s="3">
        <f>'Monthly Data'!EG41</f>
        <v>1</v>
      </c>
      <c r="H41">
        <f>'Monthly Data'!EH41</f>
        <v>40</v>
      </c>
      <c r="I41" s="3">
        <f>'Monthly Data'!DQ41</f>
        <v>30</v>
      </c>
      <c r="J41" s="235">
        <f>'Monthly Data'!EO41</f>
        <v>0</v>
      </c>
      <c r="L41" s="3">
        <f t="shared" si="14"/>
        <v>-761245.70652732695</v>
      </c>
      <c r="M41" s="3">
        <f t="shared" si="15"/>
        <v>296234.41375838895</v>
      </c>
      <c r="N41" s="3">
        <f t="shared" si="16"/>
        <v>0</v>
      </c>
      <c r="O41" s="3">
        <f t="shared" si="17"/>
        <v>-62836.7660875816</v>
      </c>
      <c r="P41" s="3">
        <f t="shared" si="18"/>
        <v>102193.2396731592</v>
      </c>
      <c r="Q41" s="3">
        <f t="shared" si="19"/>
        <v>1145787.823795221</v>
      </c>
      <c r="R41" s="3">
        <f t="shared" si="20"/>
        <v>0</v>
      </c>
      <c r="S41" s="47">
        <f t="shared" si="12"/>
        <v>720133.00461186061</v>
      </c>
      <c r="T41" s="47">
        <f ca="1">'Monthly Data'!M41+'Monthly Data'!N41</f>
        <v>3121.0629106055612</v>
      </c>
      <c r="U41" s="47">
        <f t="shared" ca="1" si="9"/>
        <v>723254.06752246618</v>
      </c>
      <c r="V41" s="47">
        <f t="shared" ca="1" si="10"/>
        <v>-33403.965104974457</v>
      </c>
      <c r="W41" s="18">
        <f t="shared" ca="1" si="13"/>
        <v>4.4146713131401762E-2</v>
      </c>
    </row>
    <row r="42" spans="1:23">
      <c r="A42" s="2">
        <f>'Monthly Data'!A42</f>
        <v>43586</v>
      </c>
      <c r="B42">
        <f>'Monthly Data'!B42</f>
        <v>2019</v>
      </c>
      <c r="C42">
        <f>'Monthly Data'!C42</f>
        <v>5</v>
      </c>
      <c r="D42" s="3">
        <f>'Monthly Data'!L42</f>
        <v>769722.24824348069</v>
      </c>
      <c r="E42" s="489">
        <f>'Monthly Data'!CP42</f>
        <v>205.53464912280697</v>
      </c>
      <c r="F42" s="3">
        <f>'Monthly Data'!CU42</f>
        <v>11.208333333333332</v>
      </c>
      <c r="G42" s="3">
        <f>'Monthly Data'!EG42</f>
        <v>1</v>
      </c>
      <c r="H42">
        <f>'Monthly Data'!EH42</f>
        <v>41</v>
      </c>
      <c r="I42" s="3">
        <f>'Monthly Data'!DQ42</f>
        <v>31</v>
      </c>
      <c r="J42" s="235">
        <f>'Monthly Data'!EO42</f>
        <v>0</v>
      </c>
      <c r="L42" s="3">
        <f t="shared" si="14"/>
        <v>-761245.70652732695</v>
      </c>
      <c r="M42" s="3">
        <f t="shared" si="15"/>
        <v>166059.57827634367</v>
      </c>
      <c r="N42" s="3">
        <f t="shared" si="16"/>
        <v>20687.938110057185</v>
      </c>
      <c r="O42" s="3">
        <f t="shared" si="17"/>
        <v>-62836.7660875816</v>
      </c>
      <c r="P42" s="3">
        <f t="shared" si="18"/>
        <v>104748.07066498819</v>
      </c>
      <c r="Q42" s="3">
        <f t="shared" si="19"/>
        <v>1183980.7512550617</v>
      </c>
      <c r="R42" s="3">
        <f t="shared" si="20"/>
        <v>0</v>
      </c>
      <c r="S42" s="47">
        <f t="shared" ref="S42:S73" si="21">SUM(L42:R42)</f>
        <v>651393.86569154216</v>
      </c>
      <c r="T42" s="47">
        <f ca="1">'Monthly Data'!M42+'Monthly Data'!N42</f>
        <v>2757.394872819465</v>
      </c>
      <c r="U42" s="47">
        <f t="shared" ca="1" si="9"/>
        <v>654151.26056436158</v>
      </c>
      <c r="V42" s="47">
        <f t="shared" ca="1" si="10"/>
        <v>-115570.98767911911</v>
      </c>
      <c r="W42" s="18">
        <f t="shared" ref="W42:W73" ca="1" si="22">ABS(V42/D42)</f>
        <v>0.15014635206771543</v>
      </c>
    </row>
    <row r="43" spans="1:23">
      <c r="A43" s="2">
        <f>'Monthly Data'!A43</f>
        <v>43617</v>
      </c>
      <c r="B43">
        <f>'Monthly Data'!B43</f>
        <v>2019</v>
      </c>
      <c r="C43">
        <f>'Monthly Data'!C43</f>
        <v>6</v>
      </c>
      <c r="D43" s="3">
        <f>'Monthly Data'!L43</f>
        <v>733424.5276450566</v>
      </c>
      <c r="E43" s="489">
        <f>'Monthly Data'!CP43</f>
        <v>46.120833333333351</v>
      </c>
      <c r="F43" s="3">
        <f>'Monthly Data'!CU43</f>
        <v>118.81666666666663</v>
      </c>
      <c r="G43" s="3">
        <f>'Monthly Data'!EG43</f>
        <v>0</v>
      </c>
      <c r="H43">
        <f>'Monthly Data'!EH43</f>
        <v>42</v>
      </c>
      <c r="I43" s="3">
        <f>'Monthly Data'!DQ43</f>
        <v>30</v>
      </c>
      <c r="J43" s="235">
        <f>'Monthly Data'!EO43</f>
        <v>0</v>
      </c>
      <c r="L43" s="3">
        <f t="shared" si="14"/>
        <v>-761245.70652732695</v>
      </c>
      <c r="M43" s="3">
        <f t="shared" si="15"/>
        <v>37262.846754907652</v>
      </c>
      <c r="N43" s="3">
        <f t="shared" si="16"/>
        <v>219307.5253332307</v>
      </c>
      <c r="O43" s="3">
        <f t="shared" si="17"/>
        <v>0</v>
      </c>
      <c r="P43" s="3">
        <f t="shared" si="18"/>
        <v>107302.90165681716</v>
      </c>
      <c r="Q43" s="3">
        <f t="shared" si="19"/>
        <v>1145787.823795221</v>
      </c>
      <c r="R43" s="3">
        <f t="shared" si="20"/>
        <v>0</v>
      </c>
      <c r="S43" s="47">
        <f t="shared" si="21"/>
        <v>748415.39101284964</v>
      </c>
      <c r="T43" s="47">
        <f ca="1">'Monthly Data'!M43+'Monthly Data'!N43</f>
        <v>2398.169840834908</v>
      </c>
      <c r="U43" s="47">
        <f t="shared" ref="U43:U106" ca="1" si="23">S43+T43</f>
        <v>750813.56085368455</v>
      </c>
      <c r="V43" s="47">
        <f t="shared" ref="V43:V106" ca="1" si="24">U43-D43</f>
        <v>17389.033208627952</v>
      </c>
      <c r="W43" s="18">
        <f t="shared" ca="1" si="22"/>
        <v>2.3709369612251958E-2</v>
      </c>
    </row>
    <row r="44" spans="1:23">
      <c r="A44" s="2">
        <f>'Monthly Data'!A44</f>
        <v>43647</v>
      </c>
      <c r="B44">
        <f>'Monthly Data'!B44</f>
        <v>2019</v>
      </c>
      <c r="C44">
        <f>'Monthly Data'!C44</f>
        <v>7</v>
      </c>
      <c r="D44" s="3">
        <f>'Monthly Data'!L44</f>
        <v>974819.26355302567</v>
      </c>
      <c r="E44" s="489">
        <f>'Monthly Data'!CP44</f>
        <v>0</v>
      </c>
      <c r="F44" s="3">
        <f>'Monthly Data'!CU44</f>
        <v>259.60000000000008</v>
      </c>
      <c r="G44" s="3">
        <f>'Monthly Data'!EG44</f>
        <v>0</v>
      </c>
      <c r="H44">
        <f>'Monthly Data'!EH44</f>
        <v>43</v>
      </c>
      <c r="I44" s="3">
        <f>'Monthly Data'!DQ44</f>
        <v>31</v>
      </c>
      <c r="J44" s="235">
        <f>'Monthly Data'!EO44</f>
        <v>0</v>
      </c>
      <c r="L44" s="3">
        <f t="shared" si="14"/>
        <v>-761245.70652732695</v>
      </c>
      <c r="M44" s="3">
        <f t="shared" si="15"/>
        <v>0</v>
      </c>
      <c r="N44" s="3">
        <f t="shared" si="16"/>
        <v>479160.3330888488</v>
      </c>
      <c r="O44" s="3">
        <f t="shared" si="17"/>
        <v>0</v>
      </c>
      <c r="P44" s="3">
        <f t="shared" si="18"/>
        <v>109857.73264864614</v>
      </c>
      <c r="Q44" s="3">
        <f t="shared" si="19"/>
        <v>1183980.7512550617</v>
      </c>
      <c r="R44" s="3">
        <f t="shared" si="20"/>
        <v>0</v>
      </c>
      <c r="S44" s="47">
        <f t="shared" si="21"/>
        <v>1011753.1104652297</v>
      </c>
      <c r="T44" s="47">
        <f ca="1">'Monthly Data'!M44+'Monthly Data'!N44</f>
        <v>2334.0499625104126</v>
      </c>
      <c r="U44" s="47">
        <f t="shared" ca="1" si="23"/>
        <v>1014087.1604277401</v>
      </c>
      <c r="V44" s="47">
        <f t="shared" ca="1" si="24"/>
        <v>39267.89687471441</v>
      </c>
      <c r="W44" s="18">
        <f t="shared" ca="1" si="22"/>
        <v>4.0282233171706726E-2</v>
      </c>
    </row>
    <row r="45" spans="1:23">
      <c r="A45" s="2">
        <f>'Monthly Data'!A45</f>
        <v>43678</v>
      </c>
      <c r="B45">
        <f>'Monthly Data'!B45</f>
        <v>2019</v>
      </c>
      <c r="C45">
        <f>'Monthly Data'!C45</f>
        <v>8</v>
      </c>
      <c r="D45" s="3">
        <f>'Monthly Data'!L45</f>
        <v>970641.48246042314</v>
      </c>
      <c r="E45" s="489">
        <f>'Monthly Data'!CP45</f>
        <v>4.645833333333325</v>
      </c>
      <c r="F45" s="3">
        <f>'Monthly Data'!CU45</f>
        <v>190.07083333333335</v>
      </c>
      <c r="G45" s="3">
        <f>'Monthly Data'!EG45</f>
        <v>0</v>
      </c>
      <c r="H45">
        <f>'Monthly Data'!EH45</f>
        <v>44</v>
      </c>
      <c r="I45" s="3">
        <f>'Monthly Data'!DQ45</f>
        <v>31</v>
      </c>
      <c r="J45" s="235">
        <f>'Monthly Data'!EO45</f>
        <v>0</v>
      </c>
      <c r="L45" s="3">
        <f t="shared" si="14"/>
        <v>-761245.70652732695</v>
      </c>
      <c r="M45" s="3">
        <f t="shared" si="15"/>
        <v>3753.5526363467288</v>
      </c>
      <c r="N45" s="3">
        <f t="shared" si="16"/>
        <v>350825.90065668355</v>
      </c>
      <c r="O45" s="3">
        <f t="shared" si="17"/>
        <v>0</v>
      </c>
      <c r="P45" s="3">
        <f t="shared" si="18"/>
        <v>112412.56364047513</v>
      </c>
      <c r="Q45" s="3">
        <f t="shared" si="19"/>
        <v>1183980.7512550617</v>
      </c>
      <c r="R45" s="3">
        <f t="shared" si="20"/>
        <v>0</v>
      </c>
      <c r="S45" s="47">
        <f t="shared" si="21"/>
        <v>889727.06166124018</v>
      </c>
      <c r="T45" s="47">
        <f ca="1">'Monthly Data'!M45+'Monthly Data'!N45</f>
        <v>2402.1669151235756</v>
      </c>
      <c r="U45" s="47">
        <f t="shared" ca="1" si="23"/>
        <v>892129.22857636376</v>
      </c>
      <c r="V45" s="47">
        <f t="shared" ca="1" si="24"/>
        <v>-78512.253884059377</v>
      </c>
      <c r="W45" s="18">
        <f t="shared" ca="1" si="22"/>
        <v>8.0886975575207423E-2</v>
      </c>
    </row>
    <row r="46" spans="1:23">
      <c r="A46" s="2">
        <f>'Monthly Data'!A46</f>
        <v>43709</v>
      </c>
      <c r="B46">
        <f>'Monthly Data'!B46</f>
        <v>2019</v>
      </c>
      <c r="C46">
        <f>'Monthly Data'!C46</f>
        <v>9</v>
      </c>
      <c r="D46" s="3">
        <f>'Monthly Data'!L46</f>
        <v>695468.91469542892</v>
      </c>
      <c r="E46" s="489">
        <f>'Monthly Data'!CP46</f>
        <v>62.054166666666653</v>
      </c>
      <c r="F46" s="3">
        <f>'Monthly Data'!CU46</f>
        <v>76.5</v>
      </c>
      <c r="G46" s="3">
        <f>'Monthly Data'!EG46</f>
        <v>1</v>
      </c>
      <c r="H46">
        <f>'Monthly Data'!EH46</f>
        <v>45</v>
      </c>
      <c r="I46" s="3">
        <f>'Monthly Data'!DQ46</f>
        <v>30</v>
      </c>
      <c r="J46" s="235">
        <f>'Monthly Data'!EO46</f>
        <v>0</v>
      </c>
      <c r="L46" s="3">
        <f t="shared" si="14"/>
        <v>-761245.70652732695</v>
      </c>
      <c r="M46" s="3">
        <f t="shared" si="15"/>
        <v>50136.017410862711</v>
      </c>
      <c r="N46" s="3">
        <f t="shared" si="16"/>
        <v>141200.9456136245</v>
      </c>
      <c r="O46" s="3">
        <f t="shared" si="17"/>
        <v>-62836.7660875816</v>
      </c>
      <c r="P46" s="3">
        <f t="shared" si="18"/>
        <v>114967.3946323041</v>
      </c>
      <c r="Q46" s="3">
        <f t="shared" si="19"/>
        <v>1145787.823795221</v>
      </c>
      <c r="R46" s="3">
        <f t="shared" si="20"/>
        <v>0</v>
      </c>
      <c r="S46" s="47">
        <f t="shared" si="21"/>
        <v>628009.7088371038</v>
      </c>
      <c r="T46" s="47">
        <f ca="1">'Monthly Data'!M46+'Monthly Data'!N46</f>
        <v>2607.719438170388</v>
      </c>
      <c r="U46" s="47">
        <f t="shared" ca="1" si="23"/>
        <v>630617.42827527423</v>
      </c>
      <c r="V46" s="47">
        <f t="shared" ca="1" si="24"/>
        <v>-64851.486420154688</v>
      </c>
      <c r="W46" s="18">
        <f t="shared" ca="1" si="22"/>
        <v>9.3248576679455922E-2</v>
      </c>
    </row>
    <row r="47" spans="1:23">
      <c r="A47" s="2">
        <f>'Monthly Data'!A47</f>
        <v>43739</v>
      </c>
      <c r="B47">
        <f>'Monthly Data'!B47</f>
        <v>2019</v>
      </c>
      <c r="C47">
        <f>'Monthly Data'!C47</f>
        <v>10</v>
      </c>
      <c r="D47" s="3">
        <f>'Monthly Data'!L47</f>
        <v>822737.01282434806</v>
      </c>
      <c r="E47" s="489">
        <f>'Monthly Data'!CP47</f>
        <v>243.77916666666664</v>
      </c>
      <c r="F47" s="3">
        <f>'Monthly Data'!CU47</f>
        <v>7.3333333333333357</v>
      </c>
      <c r="G47" s="3">
        <f>'Monthly Data'!EG47</f>
        <v>1</v>
      </c>
      <c r="H47">
        <f>'Monthly Data'!EH47</f>
        <v>46</v>
      </c>
      <c r="I47" s="3">
        <f>'Monthly Data'!DQ47</f>
        <v>31</v>
      </c>
      <c r="J47" s="235">
        <f>'Monthly Data'!EO47</f>
        <v>0</v>
      </c>
      <c r="L47" s="3">
        <f t="shared" si="14"/>
        <v>-761245.70652732695</v>
      </c>
      <c r="M47" s="3">
        <f t="shared" si="15"/>
        <v>196958.83775312864</v>
      </c>
      <c r="N47" s="3">
        <f t="shared" si="16"/>
        <v>13535.602629628498</v>
      </c>
      <c r="O47" s="3">
        <f t="shared" si="17"/>
        <v>-62836.7660875816</v>
      </c>
      <c r="P47" s="3">
        <f t="shared" si="18"/>
        <v>117522.22562413309</v>
      </c>
      <c r="Q47" s="3">
        <f t="shared" si="19"/>
        <v>1183980.7512550617</v>
      </c>
      <c r="R47" s="3">
        <f t="shared" si="20"/>
        <v>0</v>
      </c>
      <c r="S47" s="47">
        <f t="shared" si="21"/>
        <v>687914.94464704324</v>
      </c>
      <c r="T47" s="47">
        <f ca="1">'Monthly Data'!M47+'Monthly Data'!N47</f>
        <v>3137.091567902688</v>
      </c>
      <c r="U47" s="47">
        <f t="shared" ca="1" si="23"/>
        <v>691052.03621494595</v>
      </c>
      <c r="V47" s="47">
        <f t="shared" ca="1" si="24"/>
        <v>-131684.9766094021</v>
      </c>
      <c r="W47" s="18">
        <f t="shared" ca="1" si="22"/>
        <v>0.16005719270772184</v>
      </c>
    </row>
    <row r="48" spans="1:23">
      <c r="A48" s="2">
        <f>'Monthly Data'!A48</f>
        <v>43770</v>
      </c>
      <c r="B48">
        <f>'Monthly Data'!B48</f>
        <v>2019</v>
      </c>
      <c r="C48">
        <f>'Monthly Data'!C48</f>
        <v>11</v>
      </c>
      <c r="D48" s="3">
        <f>'Monthly Data'!L48</f>
        <v>894752.10429423372</v>
      </c>
      <c r="E48" s="489">
        <f>'Monthly Data'!CP48</f>
        <v>529.72500000000002</v>
      </c>
      <c r="F48" s="3">
        <f>'Monthly Data'!CU48</f>
        <v>0</v>
      </c>
      <c r="G48" s="3">
        <f>'Monthly Data'!EG48</f>
        <v>1</v>
      </c>
      <c r="H48">
        <f>'Monthly Data'!EH48</f>
        <v>47</v>
      </c>
      <c r="I48" s="3">
        <f>'Monthly Data'!DQ48</f>
        <v>30</v>
      </c>
      <c r="J48" s="235">
        <f>'Monthly Data'!EO48</f>
        <v>0</v>
      </c>
      <c r="L48" s="3">
        <f t="shared" si="14"/>
        <v>-761245.70652732695</v>
      </c>
      <c r="M48" s="3">
        <f t="shared" si="15"/>
        <v>427985.79450161965</v>
      </c>
      <c r="N48" s="3">
        <f t="shared" si="16"/>
        <v>0</v>
      </c>
      <c r="O48" s="3">
        <f t="shared" si="17"/>
        <v>-62836.7660875816</v>
      </c>
      <c r="P48" s="3">
        <f t="shared" si="18"/>
        <v>120077.05661596206</v>
      </c>
      <c r="Q48" s="3">
        <f t="shared" si="19"/>
        <v>1145787.823795221</v>
      </c>
      <c r="R48" s="3">
        <f t="shared" si="20"/>
        <v>0</v>
      </c>
      <c r="S48" s="47">
        <f t="shared" si="21"/>
        <v>869768.20229789428</v>
      </c>
      <c r="T48" s="47">
        <f ca="1">'Monthly Data'!M48+'Monthly Data'!N48</f>
        <v>3937.9377498545937</v>
      </c>
      <c r="U48" s="47">
        <f t="shared" ca="1" si="23"/>
        <v>873706.14004774892</v>
      </c>
      <c r="V48" s="47">
        <f t="shared" ca="1" si="24"/>
        <v>-21045.9642464848</v>
      </c>
      <c r="W48" s="18">
        <f t="shared" ca="1" si="22"/>
        <v>2.352155881553978E-2</v>
      </c>
    </row>
    <row r="49" spans="1:23">
      <c r="A49" s="2">
        <f>'Monthly Data'!A49</f>
        <v>43800</v>
      </c>
      <c r="B49">
        <f>'Monthly Data'!B49</f>
        <v>2019</v>
      </c>
      <c r="C49">
        <f>'Monthly Data'!C49</f>
        <v>12</v>
      </c>
      <c r="D49" s="3">
        <f>'Monthly Data'!L49</f>
        <v>1028429.2122399808</v>
      </c>
      <c r="E49" s="489">
        <f>'Monthly Data'!CP49</f>
        <v>614.42916666666667</v>
      </c>
      <c r="F49" s="3">
        <f>'Monthly Data'!CU49</f>
        <v>0</v>
      </c>
      <c r="G49" s="3">
        <f>'Monthly Data'!EG49</f>
        <v>0</v>
      </c>
      <c r="H49">
        <f>'Monthly Data'!EH49</f>
        <v>48</v>
      </c>
      <c r="I49" s="3">
        <f>'Monthly Data'!DQ49</f>
        <v>31</v>
      </c>
      <c r="J49" s="235">
        <f>'Monthly Data'!EO49</f>
        <v>0</v>
      </c>
      <c r="L49" s="3">
        <f t="shared" si="14"/>
        <v>-761245.70652732695</v>
      </c>
      <c r="M49" s="3">
        <f t="shared" si="15"/>
        <v>496421.64342026785</v>
      </c>
      <c r="N49" s="3">
        <f t="shared" si="16"/>
        <v>0</v>
      </c>
      <c r="O49" s="3">
        <f t="shared" si="17"/>
        <v>0</v>
      </c>
      <c r="P49" s="3">
        <f t="shared" si="18"/>
        <v>122631.88760779105</v>
      </c>
      <c r="Q49" s="3">
        <f t="shared" si="19"/>
        <v>1183980.7512550617</v>
      </c>
      <c r="R49" s="3">
        <f t="shared" si="20"/>
        <v>0</v>
      </c>
      <c r="S49" s="47">
        <f t="shared" si="21"/>
        <v>1041788.5757557936</v>
      </c>
      <c r="T49" s="47">
        <f ca="1">'Monthly Data'!M49+'Monthly Data'!N49</f>
        <v>4214.5903614989602</v>
      </c>
      <c r="U49" s="47">
        <f t="shared" ca="1" si="23"/>
        <v>1046003.1661172926</v>
      </c>
      <c r="V49" s="47">
        <f t="shared" ca="1" si="24"/>
        <v>17573.953877311782</v>
      </c>
      <c r="W49" s="18">
        <f t="shared" ca="1" si="22"/>
        <v>1.7088151200056492E-2</v>
      </c>
    </row>
    <row r="50" spans="1:23">
      <c r="A50" s="2">
        <f>'Monthly Data'!A50</f>
        <v>43831</v>
      </c>
      <c r="B50">
        <f>'Monthly Data'!B50</f>
        <v>2020</v>
      </c>
      <c r="C50">
        <f>'Monthly Data'!C50</f>
        <v>1</v>
      </c>
      <c r="D50" s="3">
        <f>'Monthly Data'!L50</f>
        <v>1056378.1359157956</v>
      </c>
      <c r="E50" s="489">
        <f>'Monthly Data'!CP50</f>
        <v>628.82083333333333</v>
      </c>
      <c r="F50" s="3">
        <f>'Monthly Data'!CU50</f>
        <v>0</v>
      </c>
      <c r="G50" s="3">
        <f>'Monthly Data'!EG50</f>
        <v>0</v>
      </c>
      <c r="H50">
        <f>'Monthly Data'!EH50</f>
        <v>49</v>
      </c>
      <c r="I50" s="3">
        <f>'Monthly Data'!DQ50</f>
        <v>31</v>
      </c>
      <c r="J50" s="235">
        <f>'Monthly Data'!EO50</f>
        <v>0</v>
      </c>
      <c r="L50" s="3">
        <f t="shared" si="14"/>
        <v>-761245.70652732695</v>
      </c>
      <c r="M50" s="3">
        <f t="shared" si="15"/>
        <v>508049.24055564147</v>
      </c>
      <c r="N50" s="3">
        <f t="shared" si="16"/>
        <v>0</v>
      </c>
      <c r="O50" s="3">
        <f t="shared" si="17"/>
        <v>0</v>
      </c>
      <c r="P50" s="3">
        <f t="shared" si="18"/>
        <v>125186.71859962003</v>
      </c>
      <c r="Q50" s="3">
        <f t="shared" si="19"/>
        <v>1183980.7512550617</v>
      </c>
      <c r="R50" s="3">
        <f t="shared" si="20"/>
        <v>0</v>
      </c>
      <c r="S50" s="47">
        <f t="shared" si="21"/>
        <v>1055971.0038829963</v>
      </c>
      <c r="T50" s="47">
        <f ca="1">'Monthly Data'!M50+'Monthly Data'!N50</f>
        <v>9165.4902387071779</v>
      </c>
      <c r="U50" s="47">
        <f t="shared" ca="1" si="23"/>
        <v>1065136.4941217036</v>
      </c>
      <c r="V50" s="47">
        <f t="shared" ca="1" si="24"/>
        <v>8758.3582059079781</v>
      </c>
      <c r="W50" s="18">
        <f t="shared" ca="1" si="22"/>
        <v>8.2909309726627196E-3</v>
      </c>
    </row>
    <row r="51" spans="1:23">
      <c r="A51" s="2">
        <f>'Monthly Data'!A51</f>
        <v>43862</v>
      </c>
      <c r="B51">
        <f>'Monthly Data'!B51</f>
        <v>2020</v>
      </c>
      <c r="C51">
        <f>'Monthly Data'!C51</f>
        <v>2</v>
      </c>
      <c r="D51" s="3">
        <f>'Monthly Data'!L51</f>
        <v>1023764.9717810908</v>
      </c>
      <c r="E51" s="489">
        <f>'Monthly Data'!CP51</f>
        <v>620.40000000000009</v>
      </c>
      <c r="F51" s="3">
        <f>'Monthly Data'!CU51</f>
        <v>0</v>
      </c>
      <c r="G51" s="3">
        <f>'Monthly Data'!EG51</f>
        <v>0</v>
      </c>
      <c r="H51">
        <f>'Monthly Data'!EH51</f>
        <v>50</v>
      </c>
      <c r="I51" s="3">
        <f>'Monthly Data'!DQ51</f>
        <v>29</v>
      </c>
      <c r="J51" s="235">
        <f>'Monthly Data'!EO51</f>
        <v>0</v>
      </c>
      <c r="L51" s="3">
        <f t="shared" si="14"/>
        <v>-761245.70652732695</v>
      </c>
      <c r="M51" s="3">
        <f t="shared" si="15"/>
        <v>501245.71600133058</v>
      </c>
      <c r="N51" s="3">
        <f t="shared" si="16"/>
        <v>0</v>
      </c>
      <c r="O51" s="3">
        <f t="shared" si="17"/>
        <v>0</v>
      </c>
      <c r="P51" s="3">
        <f t="shared" si="18"/>
        <v>127741.549591449</v>
      </c>
      <c r="Q51" s="3">
        <f t="shared" si="19"/>
        <v>1107594.8963353804</v>
      </c>
      <c r="R51" s="3">
        <f t="shared" si="20"/>
        <v>0</v>
      </c>
      <c r="S51" s="47">
        <f t="shared" si="21"/>
        <v>975336.45540083305</v>
      </c>
      <c r="T51" s="47">
        <f ca="1">'Monthly Data'!M51+'Monthly Data'!N51</f>
        <v>9144.1312180252189</v>
      </c>
      <c r="U51" s="47">
        <f t="shared" ca="1" si="23"/>
        <v>984480.58661885827</v>
      </c>
      <c r="V51" s="47">
        <f t="shared" ca="1" si="24"/>
        <v>-39284.38516223256</v>
      </c>
      <c r="W51" s="18">
        <f t="shared" ca="1" si="22"/>
        <v>3.8372464623289186E-2</v>
      </c>
    </row>
    <row r="52" spans="1:23">
      <c r="A52" s="2">
        <f>'Monthly Data'!A52</f>
        <v>43891</v>
      </c>
      <c r="B52">
        <f>'Monthly Data'!B52</f>
        <v>2020</v>
      </c>
      <c r="C52">
        <f>'Monthly Data'!C52</f>
        <v>3</v>
      </c>
      <c r="D52" s="3">
        <f>'Monthly Data'!L52</f>
        <v>971035.45888660883</v>
      </c>
      <c r="E52" s="489">
        <f>'Monthly Data'!CP52</f>
        <v>481.57083333333344</v>
      </c>
      <c r="F52" s="3">
        <f>'Monthly Data'!CU52</f>
        <v>0</v>
      </c>
      <c r="G52" s="3">
        <f>'Monthly Data'!EG52</f>
        <v>1</v>
      </c>
      <c r="H52">
        <f>'Monthly Data'!EH52</f>
        <v>51</v>
      </c>
      <c r="I52" s="3">
        <f>'Monthly Data'!DQ52</f>
        <v>31</v>
      </c>
      <c r="J52" s="235">
        <f>'Monthly Data'!EO52</f>
        <v>240.78541666666672</v>
      </c>
      <c r="L52" s="3">
        <f t="shared" si="14"/>
        <v>-761245.70652732695</v>
      </c>
      <c r="M52" s="3">
        <f t="shared" si="15"/>
        <v>389080.13726551278</v>
      </c>
      <c r="N52" s="3">
        <f t="shared" si="16"/>
        <v>0</v>
      </c>
      <c r="O52" s="3">
        <f t="shared" si="17"/>
        <v>-62836.7660875816</v>
      </c>
      <c r="P52" s="3">
        <f t="shared" si="18"/>
        <v>130296.38058327799</v>
      </c>
      <c r="Q52" s="3">
        <f t="shared" si="19"/>
        <v>1183980.7512550617</v>
      </c>
      <c r="R52" s="3">
        <f t="shared" si="20"/>
        <v>130748.81992103452</v>
      </c>
      <c r="S52" s="47">
        <f t="shared" si="21"/>
        <v>1010023.6164099785</v>
      </c>
      <c r="T52" s="47">
        <f ca="1">'Monthly Data'!M52+'Monthly Data'!N52</f>
        <v>7789.1607130535685</v>
      </c>
      <c r="U52" s="47">
        <f t="shared" ca="1" si="23"/>
        <v>1017812.777123032</v>
      </c>
      <c r="V52" s="47">
        <f t="shared" ca="1" si="24"/>
        <v>46777.318236423191</v>
      </c>
      <c r="W52" s="18">
        <f t="shared" ca="1" si="22"/>
        <v>4.8172615951695683E-2</v>
      </c>
    </row>
    <row r="53" spans="1:23">
      <c r="A53" s="2">
        <f>'Monthly Data'!A53</f>
        <v>43922</v>
      </c>
      <c r="B53">
        <f>'Monthly Data'!B53</f>
        <v>2020</v>
      </c>
      <c r="C53">
        <f>'Monthly Data'!C53</f>
        <v>4</v>
      </c>
      <c r="D53" s="3">
        <f>'Monthly Data'!L53</f>
        <v>939852.88765402115</v>
      </c>
      <c r="E53" s="489">
        <f>'Monthly Data'!CP53</f>
        <v>379.67500000000013</v>
      </c>
      <c r="F53" s="3">
        <f>'Monthly Data'!CU53</f>
        <v>0</v>
      </c>
      <c r="G53" s="3">
        <f>'Monthly Data'!EG53</f>
        <v>1</v>
      </c>
      <c r="H53">
        <f>'Monthly Data'!EH53</f>
        <v>52</v>
      </c>
      <c r="I53" s="3">
        <f>'Monthly Data'!DQ53</f>
        <v>30</v>
      </c>
      <c r="J53" s="235">
        <f>'Monthly Data'!EO53</f>
        <v>379.67500000000013</v>
      </c>
      <c r="L53" s="3">
        <f t="shared" si="14"/>
        <v>-761245.70652732695</v>
      </c>
      <c r="M53" s="3">
        <f t="shared" si="15"/>
        <v>306754.4603849214</v>
      </c>
      <c r="N53" s="3">
        <f t="shared" si="16"/>
        <v>0</v>
      </c>
      <c r="O53" s="3">
        <f t="shared" si="17"/>
        <v>-62836.7660875816</v>
      </c>
      <c r="P53" s="3">
        <f t="shared" si="18"/>
        <v>132851.21157510698</v>
      </c>
      <c r="Q53" s="3">
        <f t="shared" si="19"/>
        <v>1145787.823795221</v>
      </c>
      <c r="R53" s="3">
        <f t="shared" si="20"/>
        <v>206167.21266072849</v>
      </c>
      <c r="S53" s="47">
        <f t="shared" si="21"/>
        <v>967478.23580106942</v>
      </c>
      <c r="T53" s="47">
        <f ca="1">'Monthly Data'!M53+'Monthly Data'!N53</f>
        <v>6811.8862971848594</v>
      </c>
      <c r="U53" s="47">
        <f t="shared" ca="1" si="23"/>
        <v>974290.12209825427</v>
      </c>
      <c r="V53" s="47">
        <f t="shared" ca="1" si="24"/>
        <v>34437.234444233123</v>
      </c>
      <c r="W53" s="18">
        <f t="shared" ca="1" si="22"/>
        <v>3.6641090213801804E-2</v>
      </c>
    </row>
    <row r="54" spans="1:23">
      <c r="A54" s="2">
        <f>'Monthly Data'!A54</f>
        <v>43952</v>
      </c>
      <c r="B54">
        <f>'Monthly Data'!B54</f>
        <v>2020</v>
      </c>
      <c r="C54">
        <f>'Monthly Data'!C54</f>
        <v>5</v>
      </c>
      <c r="D54" s="3">
        <f>'Monthly Data'!L54</f>
        <v>973626.75281715975</v>
      </c>
      <c r="E54" s="489">
        <f>'Monthly Data'!CP54</f>
        <v>212.73690476190475</v>
      </c>
      <c r="F54" s="3">
        <f>'Monthly Data'!CU54</f>
        <v>50.900595238095221</v>
      </c>
      <c r="G54" s="3">
        <f>'Monthly Data'!EG54</f>
        <v>1</v>
      </c>
      <c r="H54">
        <f>'Monthly Data'!EH54</f>
        <v>53</v>
      </c>
      <c r="I54" s="3">
        <f>'Monthly Data'!DQ54</f>
        <v>31</v>
      </c>
      <c r="J54" s="235">
        <f>'Monthly Data'!EO54</f>
        <v>212.73690476190475</v>
      </c>
      <c r="L54" s="3">
        <f t="shared" si="14"/>
        <v>-761245.70652732695</v>
      </c>
      <c r="M54" s="3">
        <f t="shared" si="15"/>
        <v>171878.56567905837</v>
      </c>
      <c r="N54" s="3">
        <f t="shared" si="16"/>
        <v>93950.486011965986</v>
      </c>
      <c r="O54" s="3">
        <f t="shared" si="17"/>
        <v>-62836.7660875816</v>
      </c>
      <c r="P54" s="3">
        <f t="shared" si="18"/>
        <v>135406.04256693594</v>
      </c>
      <c r="Q54" s="3">
        <f t="shared" si="19"/>
        <v>1183980.7512550617</v>
      </c>
      <c r="R54" s="3">
        <f t="shared" si="20"/>
        <v>115518.20553060577</v>
      </c>
      <c r="S54" s="47">
        <f t="shared" si="21"/>
        <v>876651.57842871919</v>
      </c>
      <c r="T54" s="47">
        <f ca="1">'Monthly Data'!M54+'Monthly Data'!N54</f>
        <v>5169.4618466274023</v>
      </c>
      <c r="U54" s="47">
        <f t="shared" ca="1" si="23"/>
        <v>881821.0402753466</v>
      </c>
      <c r="V54" s="47">
        <f t="shared" ca="1" si="24"/>
        <v>-91805.712541813147</v>
      </c>
      <c r="W54" s="18">
        <f t="shared" ca="1" si="22"/>
        <v>9.429251227554715E-2</v>
      </c>
    </row>
    <row r="55" spans="1:23">
      <c r="A55" s="2">
        <f>'Monthly Data'!A55</f>
        <v>43983</v>
      </c>
      <c r="B55">
        <f>'Monthly Data'!B55</f>
        <v>2020</v>
      </c>
      <c r="C55">
        <f>'Monthly Data'!C55</f>
        <v>6</v>
      </c>
      <c r="D55" s="3">
        <f>'Monthly Data'!L55</f>
        <v>895852.03057331673</v>
      </c>
      <c r="E55" s="489">
        <f>'Monthly Data'!CP55</f>
        <v>29.733333333333348</v>
      </c>
      <c r="F55" s="3">
        <f>'Monthly Data'!CU55</f>
        <v>165.96956521739128</v>
      </c>
      <c r="G55" s="3">
        <f>'Monthly Data'!EG55</f>
        <v>0</v>
      </c>
      <c r="H55">
        <f>'Monthly Data'!EH55</f>
        <v>54</v>
      </c>
      <c r="I55" s="3">
        <f>'Monthly Data'!DQ55</f>
        <v>30</v>
      </c>
      <c r="J55" s="235">
        <f>'Monthly Data'!EO55</f>
        <v>14.866666666666674</v>
      </c>
      <c r="L55" s="3">
        <f t="shared" si="14"/>
        <v>-761245.70652732695</v>
      </c>
      <c r="M55" s="3">
        <f t="shared" si="15"/>
        <v>24022.73687261912</v>
      </c>
      <c r="N55" s="3">
        <f t="shared" si="16"/>
        <v>306340.64773565717</v>
      </c>
      <c r="O55" s="3">
        <f t="shared" si="17"/>
        <v>0</v>
      </c>
      <c r="P55" s="3">
        <f t="shared" si="18"/>
        <v>137960.87355876493</v>
      </c>
      <c r="Q55" s="3">
        <f t="shared" si="19"/>
        <v>1145787.823795221</v>
      </c>
      <c r="R55" s="3">
        <f t="shared" si="20"/>
        <v>8072.7443951348678</v>
      </c>
      <c r="S55" s="47">
        <f t="shared" si="21"/>
        <v>860939.11983007018</v>
      </c>
      <c r="T55" s="47">
        <f ca="1">'Monthly Data'!M55+'Monthly Data'!N55</f>
        <v>3362.7449540107614</v>
      </c>
      <c r="U55" s="47">
        <f t="shared" ca="1" si="23"/>
        <v>864301.86478408088</v>
      </c>
      <c r="V55" s="47">
        <f t="shared" ca="1" si="24"/>
        <v>-31550.165789235849</v>
      </c>
      <c r="W55" s="18">
        <f t="shared" ca="1" si="22"/>
        <v>3.5218054670306156E-2</v>
      </c>
    </row>
    <row r="56" spans="1:23">
      <c r="A56" s="2">
        <f>'Monthly Data'!A56</f>
        <v>44013</v>
      </c>
      <c r="B56">
        <f>'Monthly Data'!B56</f>
        <v>2020</v>
      </c>
      <c r="C56">
        <f>'Monthly Data'!C56</f>
        <v>7</v>
      </c>
      <c r="D56" s="3">
        <f>'Monthly Data'!L56</f>
        <v>1149912.3464519684</v>
      </c>
      <c r="E56" s="489">
        <f>'Monthly Data'!CP56</f>
        <v>0</v>
      </c>
      <c r="F56" s="3">
        <f>'Monthly Data'!CU56</f>
        <v>308.88750000000005</v>
      </c>
      <c r="G56" s="3">
        <f>'Monthly Data'!EG56</f>
        <v>0</v>
      </c>
      <c r="H56">
        <f>'Monthly Data'!EH56</f>
        <v>55</v>
      </c>
      <c r="I56" s="3">
        <f>'Monthly Data'!DQ56</f>
        <v>31</v>
      </c>
      <c r="J56" s="235">
        <f>'Monthly Data'!EO56</f>
        <v>0</v>
      </c>
      <c r="L56" s="3">
        <f t="shared" si="14"/>
        <v>-761245.70652732695</v>
      </c>
      <c r="M56" s="3">
        <f t="shared" si="15"/>
        <v>0</v>
      </c>
      <c r="N56" s="3">
        <f t="shared" si="16"/>
        <v>570133.42598991434</v>
      </c>
      <c r="O56" s="3">
        <f t="shared" si="17"/>
        <v>0</v>
      </c>
      <c r="P56" s="3">
        <f t="shared" si="18"/>
        <v>140515.70455059392</v>
      </c>
      <c r="Q56" s="3">
        <f t="shared" si="19"/>
        <v>1183980.7512550617</v>
      </c>
      <c r="R56" s="3">
        <f t="shared" si="20"/>
        <v>0</v>
      </c>
      <c r="S56" s="47">
        <f t="shared" si="21"/>
        <v>1133384.1752682431</v>
      </c>
      <c r="T56" s="47">
        <f ca="1">'Monthly Data'!M56+'Monthly Data'!N56</f>
        <v>3123.4351779405401</v>
      </c>
      <c r="U56" s="47">
        <f t="shared" ca="1" si="23"/>
        <v>1136507.6104461837</v>
      </c>
      <c r="V56" s="47">
        <f t="shared" ca="1" si="24"/>
        <v>-13404.736005784711</v>
      </c>
      <c r="W56" s="18">
        <f t="shared" ca="1" si="22"/>
        <v>1.1657180694811005E-2</v>
      </c>
    </row>
    <row r="57" spans="1:23">
      <c r="A57" s="2">
        <f>'Monthly Data'!A57</f>
        <v>44044</v>
      </c>
      <c r="B57">
        <f>'Monthly Data'!B57</f>
        <v>2020</v>
      </c>
      <c r="C57">
        <f>'Monthly Data'!C57</f>
        <v>8</v>
      </c>
      <c r="D57" s="3">
        <f>'Monthly Data'!L57</f>
        <v>1099160.4082569701</v>
      </c>
      <c r="E57" s="489">
        <f>'Monthly Data'!CP57</f>
        <v>3.4874999999999972</v>
      </c>
      <c r="F57" s="3">
        <f>'Monthly Data'!CU57</f>
        <v>216.93106060606064</v>
      </c>
      <c r="G57" s="3">
        <f>'Monthly Data'!EG57</f>
        <v>0</v>
      </c>
      <c r="H57">
        <f>'Monthly Data'!EH57</f>
        <v>56</v>
      </c>
      <c r="I57" s="3">
        <f>'Monthly Data'!DQ57</f>
        <v>31</v>
      </c>
      <c r="J57" s="235">
        <f>'Monthly Data'!EO57</f>
        <v>1.7437499999999986</v>
      </c>
      <c r="L57" s="3">
        <f t="shared" si="14"/>
        <v>-761245.70652732695</v>
      </c>
      <c r="M57" s="3">
        <f t="shared" si="15"/>
        <v>2817.6892884504173</v>
      </c>
      <c r="N57" s="3">
        <f t="shared" si="16"/>
        <v>400403.54105283989</v>
      </c>
      <c r="O57" s="3">
        <f t="shared" si="17"/>
        <v>0</v>
      </c>
      <c r="P57" s="3">
        <f t="shared" si="18"/>
        <v>143070.53554242288</v>
      </c>
      <c r="Q57" s="3">
        <f t="shared" si="19"/>
        <v>1183980.7512550617</v>
      </c>
      <c r="R57" s="3">
        <f t="shared" si="20"/>
        <v>946.87318648092423</v>
      </c>
      <c r="S57" s="47">
        <f t="shared" si="21"/>
        <v>969973.68379792885</v>
      </c>
      <c r="T57" s="47">
        <f ca="1">'Monthly Data'!M57+'Monthly Data'!N57</f>
        <v>3223.8558755185295</v>
      </c>
      <c r="U57" s="47">
        <f t="shared" ca="1" si="23"/>
        <v>973197.53967344738</v>
      </c>
      <c r="V57" s="47">
        <f t="shared" ca="1" si="24"/>
        <v>-125962.86858352274</v>
      </c>
      <c r="W57" s="18">
        <f t="shared" ca="1" si="22"/>
        <v>0.11459916827178347</v>
      </c>
    </row>
    <row r="58" spans="1:23">
      <c r="A58" s="2">
        <f>'Monthly Data'!A58</f>
        <v>44075</v>
      </c>
      <c r="B58">
        <f>'Monthly Data'!B58</f>
        <v>2020</v>
      </c>
      <c r="C58">
        <f>'Monthly Data'!C58</f>
        <v>9</v>
      </c>
      <c r="D58" s="3">
        <f>'Monthly Data'!L58</f>
        <v>955486.44697477587</v>
      </c>
      <c r="E58" s="489">
        <f>'Monthly Data'!CP58</f>
        <v>85.042028985507244</v>
      </c>
      <c r="F58" s="3">
        <f>'Monthly Data'!CU58</f>
        <v>75.812499999999972</v>
      </c>
      <c r="G58" s="3">
        <f>'Monthly Data'!EG58</f>
        <v>1</v>
      </c>
      <c r="H58">
        <f>'Monthly Data'!EH58</f>
        <v>57</v>
      </c>
      <c r="I58" s="3">
        <f>'Monthly Data'!DQ58</f>
        <v>30</v>
      </c>
      <c r="J58" s="235">
        <f>'Monthly Data'!EO58</f>
        <v>42.521014492753622</v>
      </c>
      <c r="L58" s="3">
        <f t="shared" si="14"/>
        <v>-761245.70652732695</v>
      </c>
      <c r="M58" s="3">
        <f t="shared" si="15"/>
        <v>68708.821258940166</v>
      </c>
      <c r="N58" s="3">
        <f t="shared" si="16"/>
        <v>139931.98286709678</v>
      </c>
      <c r="O58" s="3">
        <f t="shared" si="17"/>
        <v>-62836.7660875816</v>
      </c>
      <c r="P58" s="3">
        <f t="shared" si="18"/>
        <v>145625.36653425187</v>
      </c>
      <c r="Q58" s="3">
        <f t="shared" si="19"/>
        <v>1145787.823795221</v>
      </c>
      <c r="R58" s="3">
        <f t="shared" si="20"/>
        <v>23089.323862454603</v>
      </c>
      <c r="S58" s="47">
        <f t="shared" si="21"/>
        <v>699060.84570305585</v>
      </c>
      <c r="T58" s="47">
        <f ca="1">'Monthly Data'!M58+'Monthly Data'!N58</f>
        <v>4122.6234558323995</v>
      </c>
      <c r="U58" s="47">
        <f t="shared" ca="1" si="23"/>
        <v>703183.46915888821</v>
      </c>
      <c r="V58" s="47">
        <f t="shared" ca="1" si="24"/>
        <v>-252302.97781588766</v>
      </c>
      <c r="W58" s="18">
        <f t="shared" ca="1" si="22"/>
        <v>0.26405709742374639</v>
      </c>
    </row>
    <row r="59" spans="1:23">
      <c r="A59" s="2">
        <f>'Monthly Data'!A59</f>
        <v>44105</v>
      </c>
      <c r="B59">
        <f>'Monthly Data'!B59</f>
        <v>2020</v>
      </c>
      <c r="C59">
        <f>'Monthly Data'!C59</f>
        <v>10</v>
      </c>
      <c r="D59" s="3">
        <f>'Monthly Data'!L59</f>
        <v>1117986.99153116</v>
      </c>
      <c r="E59" s="489">
        <f>'Monthly Data'!CP59</f>
        <v>287.83333333333331</v>
      </c>
      <c r="F59" s="3">
        <f>'Monthly Data'!CU59</f>
        <v>3.9291666666666654</v>
      </c>
      <c r="G59" s="3">
        <f>'Monthly Data'!EG59</f>
        <v>1</v>
      </c>
      <c r="H59">
        <f>'Monthly Data'!EH59</f>
        <v>58</v>
      </c>
      <c r="I59" s="3">
        <f>'Monthly Data'!DQ59</f>
        <v>31</v>
      </c>
      <c r="J59" s="235">
        <f>'Monthly Data'!EO59</f>
        <v>143.91666666666666</v>
      </c>
      <c r="L59" s="3">
        <f t="shared" si="14"/>
        <v>-761245.70652732695</v>
      </c>
      <c r="M59" s="3">
        <f t="shared" si="15"/>
        <v>232551.94270747306</v>
      </c>
      <c r="N59" s="3">
        <f t="shared" si="16"/>
        <v>7252.3143634884464</v>
      </c>
      <c r="O59" s="3">
        <f t="shared" si="17"/>
        <v>-62836.7660875816</v>
      </c>
      <c r="P59" s="3">
        <f t="shared" si="18"/>
        <v>148180.19752608085</v>
      </c>
      <c r="Q59" s="3">
        <f t="shared" si="19"/>
        <v>1183980.7512550617</v>
      </c>
      <c r="R59" s="3">
        <f t="shared" si="20"/>
        <v>78148.147816131779</v>
      </c>
      <c r="S59" s="47">
        <f t="shared" si="21"/>
        <v>826030.88105332735</v>
      </c>
      <c r="T59" s="47">
        <f ca="1">'Monthly Data'!M59+'Monthly Data'!N59</f>
        <v>6261.2102394801905</v>
      </c>
      <c r="U59" s="47">
        <f t="shared" ca="1" si="23"/>
        <v>832292.09129280748</v>
      </c>
      <c r="V59" s="47">
        <f t="shared" ca="1" si="24"/>
        <v>-285694.90023835248</v>
      </c>
      <c r="W59" s="18">
        <f t="shared" ca="1" si="22"/>
        <v>0.25554402904730911</v>
      </c>
    </row>
    <row r="60" spans="1:23">
      <c r="A60" s="2">
        <f>'Monthly Data'!A60</f>
        <v>44136</v>
      </c>
      <c r="B60">
        <f>'Monthly Data'!B60</f>
        <v>2020</v>
      </c>
      <c r="C60">
        <f>'Monthly Data'!C60</f>
        <v>11</v>
      </c>
      <c r="D60" s="3">
        <f>'Monthly Data'!L60</f>
        <v>911841.24071452534</v>
      </c>
      <c r="E60" s="489">
        <f>'Monthly Data'!CP60</f>
        <v>366.30072463768118</v>
      </c>
      <c r="F60" s="3">
        <f>'Monthly Data'!CU60</f>
        <v>0</v>
      </c>
      <c r="G60" s="3">
        <f>'Monthly Data'!EG60</f>
        <v>1</v>
      </c>
      <c r="H60">
        <f>'Monthly Data'!EH60</f>
        <v>59</v>
      </c>
      <c r="I60" s="3">
        <f>'Monthly Data'!DQ60</f>
        <v>30</v>
      </c>
      <c r="J60" s="235">
        <f>'Monthly Data'!EO60</f>
        <v>183.15036231884059</v>
      </c>
      <c r="L60" s="3">
        <f t="shared" si="14"/>
        <v>-761245.70652732695</v>
      </c>
      <c r="M60" s="3">
        <f t="shared" si="15"/>
        <v>295948.85395361175</v>
      </c>
      <c r="N60" s="3">
        <f t="shared" si="16"/>
        <v>0</v>
      </c>
      <c r="O60" s="3">
        <f t="shared" si="17"/>
        <v>-62836.7660875816</v>
      </c>
      <c r="P60" s="3">
        <f t="shared" si="18"/>
        <v>150735.02851790981</v>
      </c>
      <c r="Q60" s="3">
        <f t="shared" si="19"/>
        <v>1145787.823795221</v>
      </c>
      <c r="R60" s="3">
        <f t="shared" si="20"/>
        <v>99452.425619484755</v>
      </c>
      <c r="S60" s="47">
        <f t="shared" si="21"/>
        <v>867841.65927131881</v>
      </c>
      <c r="T60" s="47">
        <f ca="1">'Monthly Data'!M60+'Monthly Data'!N60</f>
        <v>7128.4074273203369</v>
      </c>
      <c r="U60" s="47">
        <f t="shared" ca="1" si="23"/>
        <v>874970.06669863919</v>
      </c>
      <c r="V60" s="47">
        <f t="shared" ca="1" si="24"/>
        <v>-36871.17401588615</v>
      </c>
      <c r="W60" s="18">
        <f t="shared" ca="1" si="22"/>
        <v>4.043595789437384E-2</v>
      </c>
    </row>
    <row r="61" spans="1:23">
      <c r="A61" s="2">
        <f>'Monthly Data'!A61</f>
        <v>44166</v>
      </c>
      <c r="B61">
        <f>'Monthly Data'!B61</f>
        <v>2020</v>
      </c>
      <c r="C61">
        <f>'Monthly Data'!C61</f>
        <v>12</v>
      </c>
      <c r="D61" s="3">
        <f>'Monthly Data'!L61</f>
        <v>1242049.867926891</v>
      </c>
      <c r="E61" s="489">
        <f>'Monthly Data'!CP61</f>
        <v>582.90416666666681</v>
      </c>
      <c r="F61" s="3">
        <f>'Monthly Data'!CU61</f>
        <v>0</v>
      </c>
      <c r="G61" s="3">
        <f>'Monthly Data'!EG61</f>
        <v>0</v>
      </c>
      <c r="H61">
        <f>'Monthly Data'!EH61</f>
        <v>60</v>
      </c>
      <c r="I61" s="3">
        <f>'Monthly Data'!DQ61</f>
        <v>31</v>
      </c>
      <c r="J61" s="235">
        <f>'Monthly Data'!EO61</f>
        <v>291.45208333333341</v>
      </c>
      <c r="L61" s="3">
        <f t="shared" si="14"/>
        <v>-761245.70652732695</v>
      </c>
      <c r="M61" s="3">
        <f t="shared" si="15"/>
        <v>470951.34813183802</v>
      </c>
      <c r="N61" s="3">
        <f t="shared" si="16"/>
        <v>0</v>
      </c>
      <c r="O61" s="3">
        <f t="shared" si="17"/>
        <v>0</v>
      </c>
      <c r="P61" s="3">
        <f t="shared" si="18"/>
        <v>153289.8595097388</v>
      </c>
      <c r="Q61" s="3">
        <f t="shared" si="19"/>
        <v>1183980.7512550617</v>
      </c>
      <c r="R61" s="3">
        <f t="shared" si="20"/>
        <v>158261.31203001435</v>
      </c>
      <c r="S61" s="47">
        <f t="shared" si="21"/>
        <v>1205237.564399326</v>
      </c>
      <c r="T61" s="47">
        <f ca="1">'Monthly Data'!M61+'Monthly Data'!N61</f>
        <v>9408.2430480888488</v>
      </c>
      <c r="U61" s="47">
        <f t="shared" ca="1" si="23"/>
        <v>1214645.8074474148</v>
      </c>
      <c r="V61" s="47">
        <f t="shared" ca="1" si="24"/>
        <v>-27404.060479476117</v>
      </c>
      <c r="W61" s="18">
        <f t="shared" ca="1" si="22"/>
        <v>2.2063575052116317E-2</v>
      </c>
    </row>
    <row r="62" spans="1:23">
      <c r="A62" s="2">
        <f>'Monthly Data'!A62</f>
        <v>44197</v>
      </c>
      <c r="B62">
        <f>'Monthly Data'!B62</f>
        <v>2021</v>
      </c>
      <c r="C62">
        <f>'Monthly Data'!C62</f>
        <v>1</v>
      </c>
      <c r="D62" s="3">
        <f ca="1">'Monthly Data'!L62</f>
        <v>1355369.6795886769</v>
      </c>
      <c r="E62" s="489">
        <f>'Monthly Data'!CP62</f>
        <v>653.50416666666661</v>
      </c>
      <c r="F62" s="3">
        <f>'Monthly Data'!CU62</f>
        <v>0</v>
      </c>
      <c r="G62" s="3">
        <f>'Monthly Data'!EG62</f>
        <v>0</v>
      </c>
      <c r="H62">
        <f>'Monthly Data'!EH62</f>
        <v>61</v>
      </c>
      <c r="I62" s="3">
        <f>'Monthly Data'!DQ62</f>
        <v>31</v>
      </c>
      <c r="J62" s="235">
        <f>'Monthly Data'!EO62</f>
        <v>326.7520833333333</v>
      </c>
      <c r="L62" s="3">
        <f t="shared" si="14"/>
        <v>-761245.70652732695</v>
      </c>
      <c r="M62" s="3">
        <f t="shared" si="15"/>
        <v>527991.88254462625</v>
      </c>
      <c r="N62" s="3">
        <f t="shared" si="16"/>
        <v>0</v>
      </c>
      <c r="O62" s="3">
        <f t="shared" si="17"/>
        <v>0</v>
      </c>
      <c r="P62" s="3">
        <f t="shared" si="18"/>
        <v>155844.69050156779</v>
      </c>
      <c r="Q62" s="3">
        <f t="shared" si="19"/>
        <v>1183980.7512550617</v>
      </c>
      <c r="R62" s="3">
        <f t="shared" si="20"/>
        <v>177429.55488752062</v>
      </c>
      <c r="S62" s="47">
        <f t="shared" si="21"/>
        <v>1284001.1726614493</v>
      </c>
      <c r="T62" s="47">
        <f ca="1">'Monthly Data'!M62+'Monthly Data'!N62</f>
        <v>15677.549387984851</v>
      </c>
      <c r="U62" s="47">
        <f t="shared" ca="1" si="23"/>
        <v>1299678.7220494342</v>
      </c>
      <c r="V62" s="47">
        <f t="shared" ca="1" si="24"/>
        <v>-55690.957539242692</v>
      </c>
      <c r="W62" s="18">
        <f t="shared" ca="1" si="22"/>
        <v>4.1089127474168964E-2</v>
      </c>
    </row>
    <row r="63" spans="1:23">
      <c r="A63" s="2">
        <f>'Monthly Data'!A63</f>
        <v>44228</v>
      </c>
      <c r="B63">
        <f>'Monthly Data'!B63</f>
        <v>2021</v>
      </c>
      <c r="C63">
        <f>'Monthly Data'!C63</f>
        <v>2</v>
      </c>
      <c r="D63" s="3">
        <f ca="1">'Monthly Data'!L63</f>
        <v>1327740.5738265323</v>
      </c>
      <c r="E63" s="489">
        <f>'Monthly Data'!CP63</f>
        <v>653.45416666666654</v>
      </c>
      <c r="F63" s="3">
        <f>'Monthly Data'!CU63</f>
        <v>0</v>
      </c>
      <c r="G63" s="3">
        <f>'Monthly Data'!EG63</f>
        <v>0</v>
      </c>
      <c r="H63">
        <f>'Monthly Data'!EH63</f>
        <v>62</v>
      </c>
      <c r="I63" s="3">
        <f>'Monthly Data'!DQ63</f>
        <v>28</v>
      </c>
      <c r="J63" s="235">
        <f>'Monthly Data'!EO63</f>
        <v>326.72708333333327</v>
      </c>
      <c r="L63" s="3">
        <f t="shared" si="14"/>
        <v>-761245.70652732695</v>
      </c>
      <c r="M63" s="3">
        <f t="shared" si="15"/>
        <v>527951.48556558031</v>
      </c>
      <c r="N63" s="3">
        <f t="shared" si="16"/>
        <v>0</v>
      </c>
      <c r="O63" s="3">
        <f t="shared" si="17"/>
        <v>0</v>
      </c>
      <c r="P63" s="3">
        <f t="shared" si="18"/>
        <v>158399.52149339678</v>
      </c>
      <c r="Q63" s="3">
        <f t="shared" si="19"/>
        <v>1069401.9688755395</v>
      </c>
      <c r="R63" s="3">
        <f t="shared" si="20"/>
        <v>177415.97964470365</v>
      </c>
      <c r="S63" s="47">
        <f t="shared" si="21"/>
        <v>1171923.2490518934</v>
      </c>
      <c r="T63" s="47">
        <f ca="1">'Monthly Data'!M63+'Monthly Data'!N63</f>
        <v>15804.262328974963</v>
      </c>
      <c r="U63" s="47">
        <f t="shared" ca="1" si="23"/>
        <v>1187727.5113808683</v>
      </c>
      <c r="V63" s="47">
        <f t="shared" ca="1" si="24"/>
        <v>-140013.06244566408</v>
      </c>
      <c r="W63" s="18">
        <f t="shared" ca="1" si="22"/>
        <v>0.10545212310726343</v>
      </c>
    </row>
    <row r="64" spans="1:23">
      <c r="A64" s="2">
        <f>'Monthly Data'!A64</f>
        <v>44256</v>
      </c>
      <c r="B64">
        <f>'Monthly Data'!B64</f>
        <v>2021</v>
      </c>
      <c r="C64">
        <f>'Monthly Data'!C64</f>
        <v>3</v>
      </c>
      <c r="D64" s="3">
        <f ca="1">'Monthly Data'!L64</f>
        <v>1125054.6216228688</v>
      </c>
      <c r="E64" s="489">
        <f>'Monthly Data'!CP64</f>
        <v>492.59637681159415</v>
      </c>
      <c r="F64" s="3">
        <f>'Monthly Data'!CU64</f>
        <v>0</v>
      </c>
      <c r="G64" s="3">
        <f>'Monthly Data'!EG64</f>
        <v>1</v>
      </c>
      <c r="H64">
        <f>'Monthly Data'!EH64</f>
        <v>63</v>
      </c>
      <c r="I64" s="3">
        <f>'Monthly Data'!DQ64</f>
        <v>31</v>
      </c>
      <c r="J64" s="235">
        <f>'Monthly Data'!EO64</f>
        <v>246.29818840579708</v>
      </c>
      <c r="L64" s="3">
        <f t="shared" si="14"/>
        <v>-761245.70652732695</v>
      </c>
      <c r="M64" s="3">
        <f t="shared" si="15"/>
        <v>397988.11024272843</v>
      </c>
      <c r="N64" s="3">
        <f t="shared" si="16"/>
        <v>0</v>
      </c>
      <c r="O64" s="3">
        <f t="shared" si="17"/>
        <v>-62836.7660875816</v>
      </c>
      <c r="P64" s="3">
        <f t="shared" si="18"/>
        <v>160954.35248522574</v>
      </c>
      <c r="Q64" s="3">
        <f t="shared" si="19"/>
        <v>1183980.7512550617</v>
      </c>
      <c r="R64" s="3">
        <f t="shared" si="20"/>
        <v>133742.30851915487</v>
      </c>
      <c r="S64" s="47">
        <f t="shared" si="21"/>
        <v>1052583.0498872623</v>
      </c>
      <c r="T64" s="47">
        <f ca="1">'Monthly Data'!M64+'Monthly Data'!N64</f>
        <v>12968.798012888677</v>
      </c>
      <c r="U64" s="47">
        <f t="shared" ca="1" si="23"/>
        <v>1065551.847900151</v>
      </c>
      <c r="V64" s="47">
        <f t="shared" ca="1" si="24"/>
        <v>-59502.773722717771</v>
      </c>
      <c r="W64" s="18">
        <f t="shared" ca="1" si="22"/>
        <v>5.2888786534547282E-2</v>
      </c>
    </row>
    <row r="65" spans="1:23">
      <c r="A65" s="2">
        <f>'Monthly Data'!A65</f>
        <v>44287</v>
      </c>
      <c r="B65">
        <f>'Monthly Data'!B65</f>
        <v>2021</v>
      </c>
      <c r="C65">
        <f>'Monthly Data'!C65</f>
        <v>4</v>
      </c>
      <c r="D65" s="3">
        <f ca="1">'Monthly Data'!L65</f>
        <v>943603.97253883979</v>
      </c>
      <c r="E65" s="489">
        <f>'Monthly Data'!CP65</f>
        <v>319.79583333333329</v>
      </c>
      <c r="F65" s="3">
        <f>'Monthly Data'!CU65</f>
        <v>3.7083333333333339</v>
      </c>
      <c r="G65" s="3">
        <f>'Monthly Data'!EG65</f>
        <v>1</v>
      </c>
      <c r="H65">
        <f>'Monthly Data'!EH65</f>
        <v>64</v>
      </c>
      <c r="I65" s="3">
        <f>'Monthly Data'!DQ65</f>
        <v>30</v>
      </c>
      <c r="J65" s="235">
        <f>'Monthly Data'!EO65</f>
        <v>159.89791666666665</v>
      </c>
      <c r="L65" s="3">
        <f t="shared" si="14"/>
        <v>-761245.70652732695</v>
      </c>
      <c r="M65" s="3">
        <f t="shared" si="15"/>
        <v>258375.7115625545</v>
      </c>
      <c r="N65" s="3">
        <f t="shared" si="16"/>
        <v>6844.7081479371373</v>
      </c>
      <c r="O65" s="3">
        <f t="shared" si="17"/>
        <v>-62836.7660875816</v>
      </c>
      <c r="P65" s="3">
        <f t="shared" si="18"/>
        <v>163509.18347705473</v>
      </c>
      <c r="Q65" s="3">
        <f t="shared" si="19"/>
        <v>1145787.823795221</v>
      </c>
      <c r="R65" s="3">
        <f t="shared" si="20"/>
        <v>86826.121786854797</v>
      </c>
      <c r="S65" s="47">
        <f t="shared" si="21"/>
        <v>837261.07615471364</v>
      </c>
      <c r="T65" s="47">
        <f ca="1">'Monthly Data'!M65+'Monthly Data'!N65</f>
        <v>9913.3409141059892</v>
      </c>
      <c r="U65" s="47">
        <f t="shared" ca="1" si="23"/>
        <v>847174.41706881963</v>
      </c>
      <c r="V65" s="47">
        <f t="shared" ca="1" si="24"/>
        <v>-96429.555470020161</v>
      </c>
      <c r="W65" s="18">
        <f t="shared" ca="1" si="22"/>
        <v>0.10219282482519541</v>
      </c>
    </row>
    <row r="66" spans="1:23">
      <c r="A66" s="2">
        <f>'Monthly Data'!A66</f>
        <v>44317</v>
      </c>
      <c r="B66">
        <f>'Monthly Data'!B66</f>
        <v>2021</v>
      </c>
      <c r="C66">
        <f>'Monthly Data'!C66</f>
        <v>5</v>
      </c>
      <c r="D66" s="3">
        <f ca="1">'Monthly Data'!L66</f>
        <v>958419.74130445695</v>
      </c>
      <c r="E66" s="489">
        <f>'Monthly Data'!CP66</f>
        <v>173.64305555555555</v>
      </c>
      <c r="F66" s="3">
        <f>'Monthly Data'!CU66</f>
        <v>53.908333333333317</v>
      </c>
      <c r="G66" s="3">
        <f>'Monthly Data'!EG66</f>
        <v>1</v>
      </c>
      <c r="H66">
        <f>'Monthly Data'!EH66</f>
        <v>65</v>
      </c>
      <c r="I66" s="3">
        <f>'Monthly Data'!DQ66</f>
        <v>31</v>
      </c>
      <c r="J66" s="235">
        <f>'Monthly Data'!EO66</f>
        <v>86.821527777777774</v>
      </c>
      <c r="L66" s="3">
        <f t="shared" ref="L66:L97" si="25">$AA$8</f>
        <v>-761245.70652732695</v>
      </c>
      <c r="M66" s="3">
        <f t="shared" ref="M66:M97" si="26">E66*$AA$9</f>
        <v>140293.09753482149</v>
      </c>
      <c r="N66" s="3">
        <f t="shared" ref="N66:N97" si="27">F66*$AA$10</f>
        <v>99502.060694393978</v>
      </c>
      <c r="O66" s="3">
        <f t="shared" ref="O66:O97" si="28">G66*$AA$11</f>
        <v>-62836.7660875816</v>
      </c>
      <c r="P66" s="3">
        <f t="shared" ref="P66:P97" si="29">H66*$AA$12</f>
        <v>166064.01446888372</v>
      </c>
      <c r="Q66" s="3">
        <f t="shared" ref="Q66:Q97" si="30">I66*$AA$13</f>
        <v>1183980.7512550617</v>
      </c>
      <c r="R66" s="3">
        <f t="shared" ref="R66:R97" si="31">J66*$AA$14</f>
        <v>47144.932852809514</v>
      </c>
      <c r="S66" s="47">
        <f t="shared" si="21"/>
        <v>812902.38419106195</v>
      </c>
      <c r="T66" s="47">
        <f ca="1">'Monthly Data'!M66+'Monthly Data'!N66</f>
        <v>7348.751860839081</v>
      </c>
      <c r="U66" s="47">
        <f t="shared" ca="1" si="23"/>
        <v>820251.13605190103</v>
      </c>
      <c r="V66" s="47">
        <f t="shared" ca="1" si="24"/>
        <v>-138168.60525255592</v>
      </c>
      <c r="W66" s="18">
        <f t="shared" ca="1" si="22"/>
        <v>0.14416293748759973</v>
      </c>
    </row>
    <row r="67" spans="1:23">
      <c r="A67" s="2">
        <f>'Monthly Data'!A67</f>
        <v>44348</v>
      </c>
      <c r="B67">
        <f>'Monthly Data'!B67</f>
        <v>2021</v>
      </c>
      <c r="C67">
        <f>'Monthly Data'!C67</f>
        <v>6</v>
      </c>
      <c r="D67" s="3">
        <f ca="1">'Monthly Data'!L67</f>
        <v>836078.92692754301</v>
      </c>
      <c r="E67" s="489">
        <f>'Monthly Data'!CP67</f>
        <v>14.254166666666677</v>
      </c>
      <c r="F67" s="3">
        <f>'Monthly Data'!CU67</f>
        <v>181.67499999999995</v>
      </c>
      <c r="G67" s="3">
        <f>'Monthly Data'!EG67</f>
        <v>0</v>
      </c>
      <c r="H67">
        <f>'Monthly Data'!EH67</f>
        <v>66</v>
      </c>
      <c r="I67" s="3">
        <f>'Monthly Data'!DQ67</f>
        <v>30</v>
      </c>
      <c r="J67" s="235">
        <f>'Monthly Data'!EO67</f>
        <v>7.1270833333333385</v>
      </c>
      <c r="L67" s="3">
        <f t="shared" si="25"/>
        <v>-761245.70652732695</v>
      </c>
      <c r="M67" s="3">
        <f t="shared" si="26"/>
        <v>11516.505442997481</v>
      </c>
      <c r="N67" s="3">
        <f t="shared" si="27"/>
        <v>335329.17378242128</v>
      </c>
      <c r="O67" s="3">
        <f t="shared" si="28"/>
        <v>0</v>
      </c>
      <c r="P67" s="3">
        <f t="shared" si="29"/>
        <v>168618.84546071268</v>
      </c>
      <c r="Q67" s="3">
        <f t="shared" si="30"/>
        <v>1145787.823795221</v>
      </c>
      <c r="R67" s="3">
        <f t="shared" si="31"/>
        <v>3870.075473060032</v>
      </c>
      <c r="S67" s="47">
        <f t="shared" si="21"/>
        <v>903876.7174270855</v>
      </c>
      <c r="T67" s="47">
        <f ca="1">'Monthly Data'!M67+'Monthly Data'!N67</f>
        <v>4540.345593612542</v>
      </c>
      <c r="U67" s="47">
        <f t="shared" ca="1" si="23"/>
        <v>908417.06302069803</v>
      </c>
      <c r="V67" s="47">
        <f t="shared" ca="1" si="24"/>
        <v>72338.136093155015</v>
      </c>
      <c r="W67" s="18">
        <f t="shared" ca="1" si="22"/>
        <v>8.6520702487965048E-2</v>
      </c>
    </row>
    <row r="68" spans="1:23">
      <c r="A68" s="2">
        <f>'Monthly Data'!A68</f>
        <v>44378</v>
      </c>
      <c r="B68">
        <f>'Monthly Data'!B68</f>
        <v>2021</v>
      </c>
      <c r="C68">
        <f>'Monthly Data'!C68</f>
        <v>7</v>
      </c>
      <c r="D68" s="3">
        <f ca="1">'Monthly Data'!L68</f>
        <v>1087156.4306960222</v>
      </c>
      <c r="E68" s="489">
        <f>'Monthly Data'!CP68</f>
        <v>5.3541666666666572</v>
      </c>
      <c r="F68" s="3">
        <f>'Monthly Data'!CU68</f>
        <v>192.87499999999994</v>
      </c>
      <c r="G68" s="3">
        <f>'Monthly Data'!EG68</f>
        <v>0</v>
      </c>
      <c r="H68">
        <f>'Monthly Data'!EH68</f>
        <v>67</v>
      </c>
      <c r="I68" s="3">
        <f>'Monthly Data'!DQ68</f>
        <v>31</v>
      </c>
      <c r="J68" s="235">
        <f>'Monthly Data'!EO68</f>
        <v>2.6770833333333286</v>
      </c>
      <c r="L68" s="3">
        <f t="shared" si="25"/>
        <v>-761245.70652732695</v>
      </c>
      <c r="M68" s="3">
        <f t="shared" si="26"/>
        <v>4325.8431728300866</v>
      </c>
      <c r="N68" s="3">
        <f t="shared" si="27"/>
        <v>356001.73052585387</v>
      </c>
      <c r="O68" s="3">
        <f t="shared" si="28"/>
        <v>0</v>
      </c>
      <c r="P68" s="3">
        <f t="shared" si="29"/>
        <v>171173.67645254167</v>
      </c>
      <c r="Q68" s="3">
        <f t="shared" si="30"/>
        <v>1183980.7512550617</v>
      </c>
      <c r="R68" s="3">
        <f t="shared" si="31"/>
        <v>1453.6822516463399</v>
      </c>
      <c r="S68" s="47">
        <f t="shared" si="21"/>
        <v>955689.97713060665</v>
      </c>
      <c r="T68" s="47">
        <f ca="1">'Monthly Data'!M68+'Monthly Data'!N68</f>
        <v>4504.0361539782289</v>
      </c>
      <c r="U68" s="47">
        <f t="shared" ca="1" si="23"/>
        <v>960194.01328458486</v>
      </c>
      <c r="V68" s="47">
        <f t="shared" ca="1" si="24"/>
        <v>-126962.41741143737</v>
      </c>
      <c r="W68" s="18">
        <f t="shared" ca="1" si="22"/>
        <v>0.11678394555432391</v>
      </c>
    </row>
    <row r="69" spans="1:23">
      <c r="A69" s="2">
        <f>'Monthly Data'!A69</f>
        <v>44409</v>
      </c>
      <c r="B69">
        <f>'Monthly Data'!B69</f>
        <v>2021</v>
      </c>
      <c r="C69">
        <f>'Monthly Data'!C69</f>
        <v>8</v>
      </c>
      <c r="D69" s="3">
        <f ca="1">'Monthly Data'!L69</f>
        <v>1141208.4345599029</v>
      </c>
      <c r="E69" s="489">
        <f>'Monthly Data'!CP69</f>
        <v>0.69166666666666643</v>
      </c>
      <c r="F69" s="3">
        <f>'Monthly Data'!CU69</f>
        <v>266.0625</v>
      </c>
      <c r="G69" s="3">
        <f>'Monthly Data'!EG69</f>
        <v>0</v>
      </c>
      <c r="H69">
        <f>'Monthly Data'!EH69</f>
        <v>68</v>
      </c>
      <c r="I69" s="3">
        <f>'Monthly Data'!DQ69</f>
        <v>31</v>
      </c>
      <c r="J69" s="235">
        <f>'Monthly Data'!EO69</f>
        <v>0.34583333333333321</v>
      </c>
      <c r="L69" s="3">
        <f t="shared" si="25"/>
        <v>-761245.70652732695</v>
      </c>
      <c r="M69" s="3">
        <f t="shared" si="26"/>
        <v>558.82487680139718</v>
      </c>
      <c r="N69" s="3">
        <f t="shared" si="27"/>
        <v>491088.58290620876</v>
      </c>
      <c r="O69" s="3">
        <f t="shared" si="28"/>
        <v>0</v>
      </c>
      <c r="P69" s="3">
        <f t="shared" si="29"/>
        <v>173728.50744437065</v>
      </c>
      <c r="Q69" s="3">
        <f t="shared" si="30"/>
        <v>1183980.7512550617</v>
      </c>
      <c r="R69" s="3">
        <f t="shared" si="31"/>
        <v>187.79085896754302</v>
      </c>
      <c r="S69" s="47">
        <f t="shared" si="21"/>
        <v>1088298.750814083</v>
      </c>
      <c r="T69" s="47">
        <f ca="1">'Monthly Data'!M69+'Monthly Data'!N69</f>
        <v>4545.7840406598489</v>
      </c>
      <c r="U69" s="47">
        <f t="shared" ca="1" si="23"/>
        <v>1092844.5348547429</v>
      </c>
      <c r="V69" s="47">
        <f t="shared" ca="1" si="24"/>
        <v>-48363.899705159944</v>
      </c>
      <c r="W69" s="18">
        <f t="shared" ca="1" si="22"/>
        <v>4.2379549818005909E-2</v>
      </c>
    </row>
    <row r="70" spans="1:23">
      <c r="A70" s="2">
        <f>'Monthly Data'!A70</f>
        <v>44440</v>
      </c>
      <c r="B70">
        <f>'Monthly Data'!B70</f>
        <v>2021</v>
      </c>
      <c r="C70">
        <f>'Monthly Data'!C70</f>
        <v>9</v>
      </c>
      <c r="D70" s="3">
        <f ca="1">'Monthly Data'!L70</f>
        <v>831578.26754990488</v>
      </c>
      <c r="E70" s="489">
        <f>'Monthly Data'!CP70</f>
        <v>45.679166666666674</v>
      </c>
      <c r="F70" s="3">
        <f>'Monthly Data'!CU70</f>
        <v>95.25833333333334</v>
      </c>
      <c r="G70" s="3">
        <f>'Monthly Data'!EG70</f>
        <v>1</v>
      </c>
      <c r="H70">
        <f>'Monthly Data'!EH70</f>
        <v>69</v>
      </c>
      <c r="I70" s="3">
        <f>'Monthly Data'!DQ70</f>
        <v>30</v>
      </c>
      <c r="J70" s="235">
        <f>'Monthly Data'!EO70</f>
        <v>22.839583333333337</v>
      </c>
      <c r="L70" s="3">
        <f t="shared" si="25"/>
        <v>-761245.70652732695</v>
      </c>
      <c r="M70" s="3">
        <f t="shared" si="26"/>
        <v>36906.006773335663</v>
      </c>
      <c r="N70" s="3">
        <f t="shared" si="27"/>
        <v>175824.40188554922</v>
      </c>
      <c r="O70" s="3">
        <f t="shared" si="28"/>
        <v>-62836.7660875816</v>
      </c>
      <c r="P70" s="3">
        <f t="shared" si="29"/>
        <v>176283.33843619964</v>
      </c>
      <c r="Q70" s="3">
        <f t="shared" si="30"/>
        <v>1145787.823795221</v>
      </c>
      <c r="R70" s="3">
        <f t="shared" si="31"/>
        <v>12402.115583501054</v>
      </c>
      <c r="S70" s="47">
        <f t="shared" si="21"/>
        <v>723121.21385889803</v>
      </c>
      <c r="T70" s="47">
        <f ca="1">'Monthly Data'!M70+'Monthly Data'!N70</f>
        <v>5502.1151135564614</v>
      </c>
      <c r="U70" s="47">
        <f t="shared" ca="1" si="23"/>
        <v>728623.32897245453</v>
      </c>
      <c r="V70" s="47">
        <f t="shared" ca="1" si="24"/>
        <v>-102954.93857745035</v>
      </c>
      <c r="W70" s="18">
        <f t="shared" ca="1" si="22"/>
        <v>0.12380667291942161</v>
      </c>
    </row>
    <row r="71" spans="1:23">
      <c r="A71" s="2">
        <f>'Monthly Data'!A71</f>
        <v>44470</v>
      </c>
      <c r="B71">
        <f>'Monthly Data'!B71</f>
        <v>2021</v>
      </c>
      <c r="C71">
        <f>'Monthly Data'!C71</f>
        <v>10</v>
      </c>
      <c r="D71" s="3">
        <f ca="1">'Monthly Data'!L71</f>
        <v>837307.57045977039</v>
      </c>
      <c r="E71" s="489">
        <f>'Monthly Data'!CP71</f>
        <v>153.47499999999997</v>
      </c>
      <c r="F71" s="3">
        <f>'Monthly Data'!CU71</f>
        <v>44.562500000000028</v>
      </c>
      <c r="G71" s="3">
        <f>'Monthly Data'!EG71</f>
        <v>1</v>
      </c>
      <c r="H71">
        <f>'Monthly Data'!EH71</f>
        <v>70</v>
      </c>
      <c r="I71" s="3">
        <f>'Monthly Data'!DQ71</f>
        <v>31</v>
      </c>
      <c r="J71" s="235">
        <f>'Monthly Data'!EO71</f>
        <v>76.737499999999983</v>
      </c>
      <c r="L71" s="3">
        <f t="shared" si="25"/>
        <v>-761245.70652732695</v>
      </c>
      <c r="M71" s="3">
        <f t="shared" si="26"/>
        <v>123998.52718134137</v>
      </c>
      <c r="N71" s="3">
        <f t="shared" si="27"/>
        <v>82251.858024930014</v>
      </c>
      <c r="O71" s="3">
        <f t="shared" si="28"/>
        <v>-62836.7660875816</v>
      </c>
      <c r="P71" s="3">
        <f t="shared" si="29"/>
        <v>178838.1694280286</v>
      </c>
      <c r="Q71" s="3">
        <f t="shared" si="30"/>
        <v>1183980.7512550617</v>
      </c>
      <c r="R71" s="3">
        <f t="shared" si="31"/>
        <v>41669.20782656916</v>
      </c>
      <c r="S71" s="47">
        <f t="shared" si="21"/>
        <v>786656.04110102227</v>
      </c>
      <c r="T71" s="47">
        <f ca="1">'Monthly Data'!M71+'Monthly Data'!N71</f>
        <v>7615.4138726736846</v>
      </c>
      <c r="U71" s="47">
        <f t="shared" ca="1" si="23"/>
        <v>794271.45497369592</v>
      </c>
      <c r="V71" s="47">
        <f t="shared" ca="1" si="24"/>
        <v>-43036.115486074472</v>
      </c>
      <c r="W71" s="18">
        <f t="shared" ca="1" si="22"/>
        <v>5.1398216144687543E-2</v>
      </c>
    </row>
    <row r="72" spans="1:23">
      <c r="A72" s="2">
        <f>'Monthly Data'!A72</f>
        <v>44501</v>
      </c>
      <c r="B72">
        <f>'Monthly Data'!B72</f>
        <v>2021</v>
      </c>
      <c r="C72">
        <f>'Monthly Data'!C72</f>
        <v>11</v>
      </c>
      <c r="D72" s="3">
        <f ca="1">'Monthly Data'!L72</f>
        <v>922268.76337154093</v>
      </c>
      <c r="E72" s="489">
        <f>'Monthly Data'!CP72</f>
        <v>446.3126035196687</v>
      </c>
      <c r="F72" s="3">
        <f>'Monthly Data'!CU72</f>
        <v>0</v>
      </c>
      <c r="G72" s="3">
        <f>'Monthly Data'!EG72</f>
        <v>1</v>
      </c>
      <c r="H72">
        <f>'Monthly Data'!EH72</f>
        <v>71</v>
      </c>
      <c r="I72" s="3">
        <f>'Monthly Data'!DQ72</f>
        <v>30</v>
      </c>
      <c r="J72" s="235">
        <f>'Monthly Data'!EO72</f>
        <v>223.15630175983435</v>
      </c>
      <c r="L72" s="3">
        <f t="shared" si="25"/>
        <v>-761245.70652732695</v>
      </c>
      <c r="M72" s="3">
        <f t="shared" si="26"/>
        <v>360593.61784596113</v>
      </c>
      <c r="N72" s="3">
        <f t="shared" si="27"/>
        <v>0</v>
      </c>
      <c r="O72" s="3">
        <f t="shared" si="28"/>
        <v>-62836.7660875816</v>
      </c>
      <c r="P72" s="3">
        <f t="shared" si="29"/>
        <v>181393.00041985759</v>
      </c>
      <c r="Q72" s="3">
        <f t="shared" si="30"/>
        <v>1145787.823795221</v>
      </c>
      <c r="R72" s="3">
        <f t="shared" si="31"/>
        <v>121176.03930072155</v>
      </c>
      <c r="S72" s="47">
        <f t="shared" si="21"/>
        <v>984868.00874685287</v>
      </c>
      <c r="T72" s="47">
        <f ca="1">'Monthly Data'!M72+'Monthly Data'!N72</f>
        <v>13137.294540348434</v>
      </c>
      <c r="U72" s="47">
        <f t="shared" ca="1" si="23"/>
        <v>998005.30328720133</v>
      </c>
      <c r="V72" s="47">
        <f t="shared" ca="1" si="24"/>
        <v>75736.539915660396</v>
      </c>
      <c r="W72" s="18">
        <f t="shared" ca="1" si="22"/>
        <v>8.21198146609564E-2</v>
      </c>
    </row>
    <row r="73" spans="1:23">
      <c r="A73" s="2">
        <f>'Monthly Data'!A73</f>
        <v>44531</v>
      </c>
      <c r="B73">
        <f>'Monthly Data'!B73</f>
        <v>2021</v>
      </c>
      <c r="C73">
        <f>'Monthly Data'!C73</f>
        <v>12</v>
      </c>
      <c r="D73" s="3">
        <f ca="1">'Monthly Data'!L73</f>
        <v>1177373.5264989219</v>
      </c>
      <c r="E73" s="489">
        <f>'Monthly Data'!CP73</f>
        <v>533.04583333333346</v>
      </c>
      <c r="F73" s="3">
        <f>'Monthly Data'!CU73</f>
        <v>0</v>
      </c>
      <c r="G73" s="3">
        <f>'Monthly Data'!EG73</f>
        <v>0</v>
      </c>
      <c r="H73">
        <f>'Monthly Data'!EH73</f>
        <v>72</v>
      </c>
      <c r="I73" s="3">
        <f>'Monthly Data'!DQ73</f>
        <v>31</v>
      </c>
      <c r="J73" s="235">
        <f>'Monthly Data'!EO73</f>
        <v>266.52291666666673</v>
      </c>
      <c r="L73" s="3">
        <f t="shared" si="25"/>
        <v>-761245.70652732695</v>
      </c>
      <c r="M73" s="3">
        <f t="shared" si="26"/>
        <v>430668.82719325053</v>
      </c>
      <c r="N73" s="3">
        <f t="shared" si="27"/>
        <v>0</v>
      </c>
      <c r="O73" s="3">
        <f t="shared" si="28"/>
        <v>0</v>
      </c>
      <c r="P73" s="3">
        <f t="shared" si="29"/>
        <v>183947.83141168658</v>
      </c>
      <c r="Q73" s="3">
        <f t="shared" si="30"/>
        <v>1183980.7512550617</v>
      </c>
      <c r="R73" s="3">
        <f t="shared" si="31"/>
        <v>144724.53240106482</v>
      </c>
      <c r="S73" s="47">
        <f t="shared" si="21"/>
        <v>1182076.2357337368</v>
      </c>
      <c r="T73" s="47">
        <f ca="1">'Monthly Data'!M73+'Monthly Data'!N73</f>
        <v>14862.607336988285</v>
      </c>
      <c r="U73" s="47">
        <f t="shared" ca="1" si="23"/>
        <v>1196938.843070725</v>
      </c>
      <c r="V73" s="47">
        <f t="shared" ca="1" si="24"/>
        <v>19565.316571803065</v>
      </c>
      <c r="W73" s="18">
        <f t="shared" ca="1" si="22"/>
        <v>1.6617764992545022E-2</v>
      </c>
    </row>
    <row r="74" spans="1:23">
      <c r="A74" s="2">
        <f>'Monthly Data'!A74</f>
        <v>44562</v>
      </c>
      <c r="B74">
        <f>'Monthly Data'!B74</f>
        <v>2022</v>
      </c>
      <c r="C74">
        <f>'Monthly Data'!C74</f>
        <v>1</v>
      </c>
      <c r="D74" s="3">
        <f ca="1">'Monthly Data'!L74</f>
        <v>1573486.7801179711</v>
      </c>
      <c r="E74" s="489">
        <f>'Monthly Data'!CP74</f>
        <v>825.49166666666656</v>
      </c>
      <c r="F74" s="3">
        <f>'Monthly Data'!CU74</f>
        <v>0</v>
      </c>
      <c r="G74" s="3">
        <f>'Monthly Data'!EG74</f>
        <v>0</v>
      </c>
      <c r="H74">
        <f>'Monthly Data'!EH74</f>
        <v>73</v>
      </c>
      <c r="I74" s="3">
        <f>'Monthly Data'!DQ74</f>
        <v>31</v>
      </c>
      <c r="J74" s="235">
        <f>'Monthly Data'!EO74</f>
        <v>206.37291666666664</v>
      </c>
      <c r="L74" s="3">
        <f t="shared" si="25"/>
        <v>-761245.70652732695</v>
      </c>
      <c r="M74" s="3">
        <f t="shared" si="26"/>
        <v>666947.39121770626</v>
      </c>
      <c r="N74" s="3">
        <f t="shared" si="27"/>
        <v>0</v>
      </c>
      <c r="O74" s="3">
        <f t="shared" si="28"/>
        <v>0</v>
      </c>
      <c r="P74" s="3">
        <f t="shared" si="29"/>
        <v>186502.66240351554</v>
      </c>
      <c r="Q74" s="3">
        <f t="shared" si="30"/>
        <v>1183980.7512550617</v>
      </c>
      <c r="R74" s="3">
        <f t="shared" si="31"/>
        <v>112062.4981835292</v>
      </c>
      <c r="S74" s="47">
        <f t="shared" ref="S74:S97" si="32">SUM(L74:R74)</f>
        <v>1388247.5965324857</v>
      </c>
      <c r="T74" s="47">
        <f ca="1">'Monthly Data'!M74+'Monthly Data'!N74</f>
        <v>27495.43182684957</v>
      </c>
      <c r="U74" s="47">
        <f t="shared" ca="1" si="23"/>
        <v>1415743.0283593351</v>
      </c>
      <c r="V74" s="47">
        <f t="shared" ca="1" si="24"/>
        <v>-157743.75175863598</v>
      </c>
      <c r="W74" s="18">
        <f t="shared" ref="W74:W97" ca="1" si="33">ABS(V74/D74)</f>
        <v>0.1002510817070921</v>
      </c>
    </row>
    <row r="75" spans="1:23">
      <c r="A75" s="2">
        <f>'Monthly Data'!A75</f>
        <v>44593</v>
      </c>
      <c r="B75">
        <f>'Monthly Data'!B75</f>
        <v>2022</v>
      </c>
      <c r="C75">
        <f>'Monthly Data'!C75</f>
        <v>2</v>
      </c>
      <c r="D75" s="3">
        <f ca="1">'Monthly Data'!L75</f>
        <v>1312765.9861364339</v>
      </c>
      <c r="E75" s="489">
        <f>'Monthly Data'!CP75</f>
        <v>636.84999999999991</v>
      </c>
      <c r="F75" s="3">
        <f>'Monthly Data'!CU75</f>
        <v>0</v>
      </c>
      <c r="G75" s="3">
        <f>'Monthly Data'!EG75</f>
        <v>0</v>
      </c>
      <c r="H75">
        <f>'Monthly Data'!EH75</f>
        <v>74</v>
      </c>
      <c r="I75" s="3">
        <f>'Monthly Data'!DQ75</f>
        <v>28</v>
      </c>
      <c r="J75" s="235">
        <f>'Monthly Data'!EO75</f>
        <v>159.21249999999998</v>
      </c>
      <c r="L75" s="3">
        <f t="shared" si="25"/>
        <v>-761245.70652732695</v>
      </c>
      <c r="M75" s="3">
        <f t="shared" si="26"/>
        <v>514536.32210742636</v>
      </c>
      <c r="N75" s="3">
        <f t="shared" si="27"/>
        <v>0</v>
      </c>
      <c r="O75" s="3">
        <f t="shared" si="28"/>
        <v>0</v>
      </c>
      <c r="P75" s="3">
        <f t="shared" si="29"/>
        <v>189057.49339534453</v>
      </c>
      <c r="Q75" s="3">
        <f t="shared" si="30"/>
        <v>1069401.9688755395</v>
      </c>
      <c r="R75" s="3">
        <f t="shared" si="31"/>
        <v>86453.933879623946</v>
      </c>
      <c r="S75" s="47">
        <f t="shared" si="32"/>
        <v>1098204.0117306074</v>
      </c>
      <c r="T75" s="47">
        <f ca="1">'Monthly Data'!M75+'Monthly Data'!N75</f>
        <v>22748.275652446253</v>
      </c>
      <c r="U75" s="47">
        <f t="shared" ca="1" si="23"/>
        <v>1120952.2873830537</v>
      </c>
      <c r="V75" s="47">
        <f t="shared" ca="1" si="24"/>
        <v>-191813.69875338022</v>
      </c>
      <c r="W75" s="18">
        <f t="shared" ca="1" si="33"/>
        <v>0.1461141595524591</v>
      </c>
    </row>
    <row r="76" spans="1:23">
      <c r="A76" s="2">
        <f>'Monthly Data'!A76</f>
        <v>44621</v>
      </c>
      <c r="B76">
        <f>'Monthly Data'!B76</f>
        <v>2022</v>
      </c>
      <c r="C76">
        <f>'Monthly Data'!C76</f>
        <v>3</v>
      </c>
      <c r="D76" s="3">
        <f ca="1">'Monthly Data'!L76</f>
        <v>1229848.7429658109</v>
      </c>
      <c r="E76" s="489">
        <f>'Monthly Data'!CP76</f>
        <v>544.7208333333333</v>
      </c>
      <c r="F76" s="3">
        <f>'Monthly Data'!CU76</f>
        <v>0</v>
      </c>
      <c r="G76" s="3">
        <f>'Monthly Data'!EG76</f>
        <v>1</v>
      </c>
      <c r="H76">
        <f>'Monthly Data'!EH76</f>
        <v>75</v>
      </c>
      <c r="I76" s="3">
        <f>'Monthly Data'!DQ76</f>
        <v>31</v>
      </c>
      <c r="J76" s="235">
        <f>'Monthly Data'!EO76</f>
        <v>136.18020833333333</v>
      </c>
      <c r="L76" s="3">
        <f t="shared" si="25"/>
        <v>-761245.70652732695</v>
      </c>
      <c r="M76" s="3">
        <f t="shared" si="26"/>
        <v>440101.52180046437</v>
      </c>
      <c r="N76" s="3">
        <f t="shared" si="27"/>
        <v>0</v>
      </c>
      <c r="O76" s="3">
        <f t="shared" si="28"/>
        <v>-62836.7660875816</v>
      </c>
      <c r="P76" s="3">
        <f t="shared" si="29"/>
        <v>191612.32438717352</v>
      </c>
      <c r="Q76" s="3">
        <f t="shared" si="30"/>
        <v>1183980.7512550617</v>
      </c>
      <c r="R76" s="3">
        <f t="shared" si="31"/>
        <v>73947.175799409059</v>
      </c>
      <c r="S76" s="47">
        <f t="shared" si="32"/>
        <v>1065559.3006272002</v>
      </c>
      <c r="T76" s="47">
        <f ca="1">'Monthly Data'!M76+'Monthly Data'!N76</f>
        <v>20577.433653056007</v>
      </c>
      <c r="U76" s="47">
        <f t="shared" ca="1" si="23"/>
        <v>1086136.7342802561</v>
      </c>
      <c r="V76" s="47">
        <f t="shared" ca="1" si="24"/>
        <v>-143712.00868555484</v>
      </c>
      <c r="W76" s="18">
        <f t="shared" ca="1" si="33"/>
        <v>0.11685340128818586</v>
      </c>
    </row>
    <row r="77" spans="1:23">
      <c r="A77" s="2">
        <f>'Monthly Data'!A77</f>
        <v>44652</v>
      </c>
      <c r="B77">
        <f>'Monthly Data'!B77</f>
        <v>2022</v>
      </c>
      <c r="C77">
        <f>'Monthly Data'!C77</f>
        <v>4</v>
      </c>
      <c r="D77" s="3">
        <f ca="1">'Monthly Data'!L77</f>
        <v>951453.03453092533</v>
      </c>
      <c r="E77" s="489">
        <f>'Monthly Data'!CP77</f>
        <v>354.33333333333331</v>
      </c>
      <c r="F77" s="3">
        <f>'Monthly Data'!CU77</f>
        <v>0</v>
      </c>
      <c r="G77" s="3">
        <f>'Monthly Data'!EG77</f>
        <v>1</v>
      </c>
      <c r="H77">
        <f>'Monthly Data'!EH77</f>
        <v>76</v>
      </c>
      <c r="I77" s="3">
        <f>'Monthly Data'!DQ77</f>
        <v>30</v>
      </c>
      <c r="J77" s="235">
        <f>'Monthly Data'!EO77</f>
        <v>88.583333333333329</v>
      </c>
      <c r="L77" s="3">
        <f t="shared" si="25"/>
        <v>-761245.70652732695</v>
      </c>
      <c r="M77" s="3">
        <f t="shared" si="26"/>
        <v>286279.92483849899</v>
      </c>
      <c r="N77" s="3">
        <f t="shared" si="27"/>
        <v>0</v>
      </c>
      <c r="O77" s="3">
        <f t="shared" si="28"/>
        <v>-62836.7660875816</v>
      </c>
      <c r="P77" s="3">
        <f t="shared" si="29"/>
        <v>194167.15537900248</v>
      </c>
      <c r="Q77" s="3">
        <f t="shared" si="30"/>
        <v>1145787.823795221</v>
      </c>
      <c r="R77" s="3">
        <f t="shared" si="31"/>
        <v>48101.610381324885</v>
      </c>
      <c r="S77" s="47">
        <f t="shared" si="32"/>
        <v>850254.04177913885</v>
      </c>
      <c r="T77" s="47">
        <f ca="1">'Monthly Data'!M77+'Monthly Data'!N77</f>
        <v>15783.674031805111</v>
      </c>
      <c r="U77" s="47">
        <f t="shared" ca="1" si="23"/>
        <v>866037.71581094398</v>
      </c>
      <c r="V77" s="47">
        <f t="shared" ca="1" si="24"/>
        <v>-85415.318719981355</v>
      </c>
      <c r="W77" s="18">
        <f t="shared" ca="1" si="33"/>
        <v>8.9773552261664558E-2</v>
      </c>
    </row>
    <row r="78" spans="1:23">
      <c r="A78" s="2">
        <f>'Monthly Data'!A78</f>
        <v>44682</v>
      </c>
      <c r="B78">
        <f>'Monthly Data'!B78</f>
        <v>2022</v>
      </c>
      <c r="C78">
        <f>'Monthly Data'!C78</f>
        <v>5</v>
      </c>
      <c r="D78" s="3">
        <f ca="1">'Monthly Data'!L78</f>
        <v>794069.68317484157</v>
      </c>
      <c r="E78" s="489">
        <f>'Monthly Data'!CP78</f>
        <v>109.50833333333333</v>
      </c>
      <c r="F78" s="3">
        <f>'Monthly Data'!CU78</f>
        <v>72.362499999999997</v>
      </c>
      <c r="G78" s="3">
        <f>'Monthly Data'!EG78</f>
        <v>1</v>
      </c>
      <c r="H78">
        <f>'Monthly Data'!EH78</f>
        <v>77</v>
      </c>
      <c r="I78" s="3">
        <f>'Monthly Data'!DQ78</f>
        <v>31</v>
      </c>
      <c r="J78" s="235">
        <f>'Monthly Data'!EO78</f>
        <v>27.377083333333331</v>
      </c>
      <c r="L78" s="3">
        <f t="shared" si="25"/>
        <v>-761245.70652732695</v>
      </c>
      <c r="M78" s="3">
        <f t="shared" si="26"/>
        <v>88476.116940327265</v>
      </c>
      <c r="N78" s="3">
        <f t="shared" si="27"/>
        <v>133564.09708452161</v>
      </c>
      <c r="O78" s="3">
        <f t="shared" si="28"/>
        <v>-62836.7660875816</v>
      </c>
      <c r="P78" s="3">
        <f t="shared" si="29"/>
        <v>196721.98637083147</v>
      </c>
      <c r="Q78" s="3">
        <f t="shared" si="30"/>
        <v>1183980.7512550617</v>
      </c>
      <c r="R78" s="3">
        <f t="shared" si="31"/>
        <v>14866.022154773997</v>
      </c>
      <c r="S78" s="47">
        <f t="shared" si="32"/>
        <v>793526.50119060744</v>
      </c>
      <c r="T78" s="47">
        <f ca="1">'Monthly Data'!M78+'Monthly Data'!N78</f>
        <v>9536.7544271088154</v>
      </c>
      <c r="U78" s="47">
        <f t="shared" ca="1" si="23"/>
        <v>803063.25561771623</v>
      </c>
      <c r="V78" s="47">
        <f t="shared" ca="1" si="24"/>
        <v>8993.5724428746616</v>
      </c>
      <c r="W78" s="18">
        <f t="shared" ca="1" si="33"/>
        <v>1.1325923446562837E-2</v>
      </c>
    </row>
    <row r="79" spans="1:23">
      <c r="A79" s="2">
        <f>'Monthly Data'!A79</f>
        <v>44713</v>
      </c>
      <c r="B79">
        <f>'Monthly Data'!B79</f>
        <v>2022</v>
      </c>
      <c r="C79">
        <f>'Monthly Data'!C79</f>
        <v>6</v>
      </c>
      <c r="D79" s="3">
        <f ca="1">'Monthly Data'!L79</f>
        <v>781317.23414655763</v>
      </c>
      <c r="E79" s="489">
        <f>'Monthly Data'!CP79</f>
        <v>36.166510989010987</v>
      </c>
      <c r="F79" s="3">
        <f>'Monthly Data'!CU79</f>
        <v>120.92250416250417</v>
      </c>
      <c r="G79" s="3">
        <f>'Monthly Data'!EG79</f>
        <v>0</v>
      </c>
      <c r="H79">
        <f>'Monthly Data'!EH79</f>
        <v>78</v>
      </c>
      <c r="I79" s="3">
        <f>'Monthly Data'!DQ79</f>
        <v>30</v>
      </c>
      <c r="J79" s="235">
        <f>'Monthly Data'!EO79</f>
        <v>9.0416277472527469</v>
      </c>
      <c r="L79" s="3">
        <f t="shared" si="25"/>
        <v>-761245.70652732695</v>
      </c>
      <c r="M79" s="3">
        <f t="shared" si="26"/>
        <v>29220.355731716314</v>
      </c>
      <c r="N79" s="3">
        <f t="shared" si="27"/>
        <v>223194.40436226191</v>
      </c>
      <c r="O79" s="3">
        <f t="shared" si="28"/>
        <v>0</v>
      </c>
      <c r="P79" s="3">
        <f t="shared" si="29"/>
        <v>199276.81736266045</v>
      </c>
      <c r="Q79" s="3">
        <f t="shared" si="30"/>
        <v>1145787.823795221</v>
      </c>
      <c r="R79" s="3">
        <f t="shared" si="31"/>
        <v>4909.6916851702117</v>
      </c>
      <c r="S79" s="47">
        <f t="shared" si="32"/>
        <v>841143.38640970283</v>
      </c>
      <c r="T79" s="47">
        <f ca="1">'Monthly Data'!M79+'Monthly Data'!N79</f>
        <v>7867.4236463535344</v>
      </c>
      <c r="U79" s="47">
        <f t="shared" ca="1" si="23"/>
        <v>849010.81005605636</v>
      </c>
      <c r="V79" s="47">
        <f t="shared" ca="1" si="24"/>
        <v>67693.57590949873</v>
      </c>
      <c r="W79" s="18">
        <f t="shared" ca="1" si="33"/>
        <v>8.6640320923473874E-2</v>
      </c>
    </row>
    <row r="80" spans="1:23">
      <c r="A80" s="2">
        <f>'Monthly Data'!A80</f>
        <v>44743</v>
      </c>
      <c r="B80">
        <f>'Monthly Data'!B80</f>
        <v>2022</v>
      </c>
      <c r="C80">
        <f>'Monthly Data'!C80</f>
        <v>7</v>
      </c>
      <c r="D80" s="3">
        <f ca="1">'Monthly Data'!L80</f>
        <v>1052209.1074708784</v>
      </c>
      <c r="E80" s="489">
        <f>'Monthly Data'!CP80</f>
        <v>0.62083333333333357</v>
      </c>
      <c r="F80" s="3">
        <f>'Monthly Data'!CU80</f>
        <v>221.8543382913806</v>
      </c>
      <c r="G80" s="3">
        <f>'Monthly Data'!EG80</f>
        <v>0</v>
      </c>
      <c r="H80">
        <f>'Monthly Data'!EH80</f>
        <v>79</v>
      </c>
      <c r="I80" s="3">
        <f>'Monthly Data'!DQ80</f>
        <v>31</v>
      </c>
      <c r="J80" s="235">
        <f>'Monthly Data'!EO80</f>
        <v>0.15520833333333339</v>
      </c>
      <c r="L80" s="3">
        <f t="shared" si="25"/>
        <v>-761245.70652732695</v>
      </c>
      <c r="M80" s="3">
        <f t="shared" si="26"/>
        <v>501.5958231530617</v>
      </c>
      <c r="N80" s="3">
        <f t="shared" si="27"/>
        <v>409490.74974154099</v>
      </c>
      <c r="O80" s="3">
        <f t="shared" si="28"/>
        <v>0</v>
      </c>
      <c r="P80" s="3">
        <f t="shared" si="29"/>
        <v>201831.64835448944</v>
      </c>
      <c r="Q80" s="3">
        <f t="shared" si="30"/>
        <v>1183980.7512550617</v>
      </c>
      <c r="R80" s="3">
        <f t="shared" si="31"/>
        <v>84.279632488445571</v>
      </c>
      <c r="S80" s="47">
        <f t="shared" si="32"/>
        <v>1034643.3182794068</v>
      </c>
      <c r="T80" s="47">
        <f ca="1">'Monthly Data'!M80+'Monthly Data'!N80</f>
        <v>7207.0268723041218</v>
      </c>
      <c r="U80" s="47">
        <f t="shared" ca="1" si="23"/>
        <v>1041850.3451517109</v>
      </c>
      <c r="V80" s="47">
        <f t="shared" ca="1" si="24"/>
        <v>-10358.762319167494</v>
      </c>
      <c r="W80" s="18">
        <f t="shared" ca="1" si="33"/>
        <v>9.8447753831613638E-3</v>
      </c>
    </row>
    <row r="81" spans="1:23">
      <c r="A81" s="2">
        <f>'Monthly Data'!A81</f>
        <v>44774</v>
      </c>
      <c r="B81">
        <f>'Monthly Data'!B81</f>
        <v>2022</v>
      </c>
      <c r="C81">
        <f>'Monthly Data'!C81</f>
        <v>8</v>
      </c>
      <c r="D81" s="3">
        <f ca="1">'Monthly Data'!L81</f>
        <v>1032789.0557141075</v>
      </c>
      <c r="E81" s="489">
        <f>'Monthly Data'!CP81</f>
        <v>0.76250000000000284</v>
      </c>
      <c r="F81" s="3">
        <f>'Monthly Data'!CU81</f>
        <v>228.28333333333333</v>
      </c>
      <c r="G81" s="3">
        <f>'Monthly Data'!EG81</f>
        <v>0</v>
      </c>
      <c r="H81">
        <f>'Monthly Data'!EH81</f>
        <v>80</v>
      </c>
      <c r="I81" s="3">
        <f>'Monthly Data'!DQ81</f>
        <v>31</v>
      </c>
      <c r="J81" s="235">
        <f>'Monthly Data'!EO81</f>
        <v>0.19062500000000071</v>
      </c>
      <c r="L81" s="3">
        <f t="shared" si="25"/>
        <v>-761245.70652732695</v>
      </c>
      <c r="M81" s="3">
        <f t="shared" si="26"/>
        <v>616.05393044973562</v>
      </c>
      <c r="N81" s="3">
        <f t="shared" si="27"/>
        <v>421357.15731368517</v>
      </c>
      <c r="O81" s="3">
        <f t="shared" si="28"/>
        <v>0</v>
      </c>
      <c r="P81" s="3">
        <f t="shared" si="29"/>
        <v>204386.4793463184</v>
      </c>
      <c r="Q81" s="3">
        <f t="shared" si="30"/>
        <v>1183980.7512550617</v>
      </c>
      <c r="R81" s="3">
        <f t="shared" si="31"/>
        <v>103.51122647909793</v>
      </c>
      <c r="S81" s="47">
        <f t="shared" si="32"/>
        <v>1049198.2465446673</v>
      </c>
      <c r="T81" s="47">
        <f ca="1">'Monthly Data'!M81+'Monthly Data'!N81</f>
        <v>7499.2715804070531</v>
      </c>
      <c r="U81" s="47">
        <f t="shared" ca="1" si="23"/>
        <v>1056697.5181250744</v>
      </c>
      <c r="V81" s="47">
        <f t="shared" ca="1" si="24"/>
        <v>23908.462410966982</v>
      </c>
      <c r="W81" s="18">
        <f t="shared" ca="1" si="33"/>
        <v>2.3149414954282035E-2</v>
      </c>
    </row>
    <row r="82" spans="1:23">
      <c r="A82" s="2">
        <f>'Monthly Data'!A82</f>
        <v>44805</v>
      </c>
      <c r="B82">
        <f>'Monthly Data'!B82</f>
        <v>2022</v>
      </c>
      <c r="C82">
        <f>'Monthly Data'!C82</f>
        <v>9</v>
      </c>
      <c r="D82" s="3">
        <f ca="1">'Monthly Data'!L82</f>
        <v>816507.33273047267</v>
      </c>
      <c r="E82" s="489">
        <f>'Monthly Data'!CP82</f>
        <v>71.412499999999994</v>
      </c>
      <c r="F82" s="3">
        <f>'Monthly Data'!CU82</f>
        <v>94.054166666666674</v>
      </c>
      <c r="G82" s="3">
        <f>'Monthly Data'!EG82</f>
        <v>1</v>
      </c>
      <c r="H82">
        <f>'Monthly Data'!EH82</f>
        <v>81</v>
      </c>
      <c r="I82" s="3">
        <f>'Monthly Data'!DQ82</f>
        <v>30</v>
      </c>
      <c r="J82" s="235">
        <f>'Monthly Data'!EO82</f>
        <v>17.853124999999999</v>
      </c>
      <c r="L82" s="3">
        <f t="shared" si="25"/>
        <v>-761245.70652732695</v>
      </c>
      <c r="M82" s="3">
        <f t="shared" si="26"/>
        <v>57696.985322284032</v>
      </c>
      <c r="N82" s="3">
        <f t="shared" si="27"/>
        <v>173601.79440829772</v>
      </c>
      <c r="O82" s="3">
        <f t="shared" si="28"/>
        <v>-62836.7660875816</v>
      </c>
      <c r="P82" s="3">
        <f t="shared" si="29"/>
        <v>206941.31033814739</v>
      </c>
      <c r="Q82" s="3">
        <f t="shared" si="30"/>
        <v>1145787.823795221</v>
      </c>
      <c r="R82" s="3">
        <f t="shared" si="31"/>
        <v>9694.4202766407252</v>
      </c>
      <c r="S82" s="47">
        <f t="shared" si="32"/>
        <v>769639.86152568227</v>
      </c>
      <c r="T82" s="47">
        <f ca="1">'Monthly Data'!M82+'Monthly Data'!N82</f>
        <v>9673.6726788554133</v>
      </c>
      <c r="U82" s="47">
        <f t="shared" ca="1" si="23"/>
        <v>779313.53420453763</v>
      </c>
      <c r="V82" s="47">
        <f t="shared" ca="1" si="24"/>
        <v>-37193.798525935039</v>
      </c>
      <c r="W82" s="18">
        <f t="shared" ca="1" si="33"/>
        <v>4.5552314149532119E-2</v>
      </c>
    </row>
    <row r="83" spans="1:23">
      <c r="A83" s="2">
        <f>'Monthly Data'!A83</f>
        <v>44835</v>
      </c>
      <c r="B83">
        <f>'Monthly Data'!B83</f>
        <v>2022</v>
      </c>
      <c r="C83">
        <f>'Monthly Data'!C83</f>
        <v>10</v>
      </c>
      <c r="D83" s="3">
        <f ca="1">'Monthly Data'!L83</f>
        <v>979108.59671497159</v>
      </c>
      <c r="E83" s="489">
        <f>'Monthly Data'!CP83</f>
        <v>268.85561594202898</v>
      </c>
      <c r="F83" s="3">
        <f>'Monthly Data'!CU83</f>
        <v>2.4208333333333307</v>
      </c>
      <c r="G83" s="3">
        <f>'Monthly Data'!EG83</f>
        <v>1</v>
      </c>
      <c r="H83">
        <f>'Monthly Data'!EH83</f>
        <v>82</v>
      </c>
      <c r="I83" s="3">
        <f>'Monthly Data'!DQ83</f>
        <v>31</v>
      </c>
      <c r="J83" s="235">
        <f>'Monthly Data'!EO83</f>
        <v>67.213903985507244</v>
      </c>
      <c r="L83" s="3">
        <f t="shared" si="25"/>
        <v>-761245.70652732695</v>
      </c>
      <c r="M83" s="3">
        <f t="shared" si="26"/>
        <v>217219.09367156841</v>
      </c>
      <c r="N83" s="3">
        <f t="shared" si="27"/>
        <v>4468.287004439856</v>
      </c>
      <c r="O83" s="3">
        <f t="shared" si="28"/>
        <v>-62836.7660875816</v>
      </c>
      <c r="P83" s="3">
        <f t="shared" si="29"/>
        <v>209496.14132997638</v>
      </c>
      <c r="Q83" s="3">
        <f t="shared" si="30"/>
        <v>1183980.7512550617</v>
      </c>
      <c r="R83" s="3">
        <f t="shared" si="31"/>
        <v>36497.802691085417</v>
      </c>
      <c r="S83" s="47">
        <f t="shared" si="32"/>
        <v>827579.60333722318</v>
      </c>
      <c r="T83" s="47">
        <f ca="1">'Monthly Data'!M83+'Monthly Data'!N83</f>
        <v>15232.701694884658</v>
      </c>
      <c r="U83" s="47">
        <f t="shared" ca="1" si="23"/>
        <v>842812.30503210786</v>
      </c>
      <c r="V83" s="47">
        <f t="shared" ca="1" si="24"/>
        <v>-136296.29168286372</v>
      </c>
      <c r="W83" s="18">
        <f t="shared" ca="1" si="33"/>
        <v>0.13920446837067343</v>
      </c>
    </row>
    <row r="84" spans="1:23">
      <c r="A84" s="2">
        <f>'Monthly Data'!A84</f>
        <v>44866</v>
      </c>
      <c r="B84">
        <f>'Monthly Data'!B84</f>
        <v>2022</v>
      </c>
      <c r="C84">
        <f>'Monthly Data'!C84</f>
        <v>11</v>
      </c>
      <c r="D84" s="3">
        <f ca="1">'Monthly Data'!L84</f>
        <v>877282.78951076814</v>
      </c>
      <c r="E84" s="489">
        <f>'Monthly Data'!CP84</f>
        <v>411.83333333333348</v>
      </c>
      <c r="F84" s="3">
        <f>'Monthly Data'!CU84</f>
        <v>2.3083333333333318</v>
      </c>
      <c r="G84" s="3">
        <f>'Monthly Data'!EG84</f>
        <v>1</v>
      </c>
      <c r="H84">
        <f>'Monthly Data'!EH84</f>
        <v>83</v>
      </c>
      <c r="I84" s="3">
        <f>'Monthly Data'!DQ84</f>
        <v>30</v>
      </c>
      <c r="J84" s="235">
        <f>'Monthly Data'!EO84</f>
        <v>102.95833333333337</v>
      </c>
      <c r="L84" s="3">
        <f t="shared" si="25"/>
        <v>-761245.70652732695</v>
      </c>
      <c r="M84" s="3">
        <f t="shared" si="26"/>
        <v>332736.4507412659</v>
      </c>
      <c r="N84" s="3">
        <f t="shared" si="27"/>
        <v>4260.6385550080568</v>
      </c>
      <c r="O84" s="3">
        <f t="shared" si="28"/>
        <v>-62836.7660875816</v>
      </c>
      <c r="P84" s="3">
        <f t="shared" si="29"/>
        <v>212050.97232180534</v>
      </c>
      <c r="Q84" s="3">
        <f t="shared" si="30"/>
        <v>1145787.823795221</v>
      </c>
      <c r="R84" s="3">
        <f t="shared" si="31"/>
        <v>55907.375001060136</v>
      </c>
      <c r="S84" s="47">
        <f t="shared" si="32"/>
        <v>926660.78779945197</v>
      </c>
      <c r="T84" s="47">
        <f ca="1">'Monthly Data'!M84+'Monthly Data'!N84</f>
        <v>19337.826000809328</v>
      </c>
      <c r="U84" s="47">
        <f t="shared" ca="1" si="23"/>
        <v>945998.61380026129</v>
      </c>
      <c r="V84" s="47">
        <f t="shared" ca="1" si="24"/>
        <v>68715.824289493146</v>
      </c>
      <c r="W84" s="18">
        <f t="shared" ca="1" si="33"/>
        <v>7.8328020463975717E-2</v>
      </c>
    </row>
    <row r="85" spans="1:23">
      <c r="A85" s="2">
        <f>'Monthly Data'!A85</f>
        <v>44896</v>
      </c>
      <c r="B85">
        <f>'Monthly Data'!B85</f>
        <v>2022</v>
      </c>
      <c r="C85">
        <f>'Monthly Data'!C85</f>
        <v>12</v>
      </c>
      <c r="D85" s="3">
        <f ca="1">'Monthly Data'!L85</f>
        <v>1148874.4785381979</v>
      </c>
      <c r="E85" s="489">
        <f>'Monthly Data'!CP85</f>
        <v>585.12083333333328</v>
      </c>
      <c r="F85" s="3">
        <f>'Monthly Data'!CU85</f>
        <v>0</v>
      </c>
      <c r="G85" s="3">
        <f>'Monthly Data'!EG85</f>
        <v>0</v>
      </c>
      <c r="H85">
        <f>'Monthly Data'!EH85</f>
        <v>84</v>
      </c>
      <c r="I85" s="3">
        <f>'Monthly Data'!DQ85</f>
        <v>31</v>
      </c>
      <c r="J85" s="235">
        <f>'Monthly Data'!EO85</f>
        <v>146.28020833333332</v>
      </c>
      <c r="L85" s="3">
        <f t="shared" si="25"/>
        <v>-761245.70652732695</v>
      </c>
      <c r="M85" s="3">
        <f t="shared" si="26"/>
        <v>472742.28086953872</v>
      </c>
      <c r="N85" s="3">
        <f t="shared" si="27"/>
        <v>0</v>
      </c>
      <c r="O85" s="3">
        <f t="shared" si="28"/>
        <v>0</v>
      </c>
      <c r="P85" s="3">
        <f t="shared" si="29"/>
        <v>214605.80331363433</v>
      </c>
      <c r="Q85" s="3">
        <f t="shared" si="30"/>
        <v>1183980.7512550617</v>
      </c>
      <c r="R85" s="3">
        <f t="shared" si="31"/>
        <v>79431.573897449111</v>
      </c>
      <c r="S85" s="47">
        <f t="shared" si="32"/>
        <v>1189514.7028083568</v>
      </c>
      <c r="T85" s="47">
        <f ca="1">'Monthly Data'!M85+'Monthly Data'!N85</f>
        <v>24252.042627172763</v>
      </c>
      <c r="U85" s="47">
        <f t="shared" ca="1" si="23"/>
        <v>1213766.7454355296</v>
      </c>
      <c r="V85" s="47">
        <f t="shared" ca="1" si="24"/>
        <v>64892.26689733169</v>
      </c>
      <c r="W85" s="18">
        <f t="shared" ca="1" si="33"/>
        <v>5.6483339224228525E-2</v>
      </c>
    </row>
    <row r="86" spans="1:23">
      <c r="A86" s="2">
        <f>'Monthly Data'!A86</f>
        <v>44927</v>
      </c>
      <c r="B86">
        <f>'Monthly Data'!B86</f>
        <v>2023</v>
      </c>
      <c r="C86">
        <f>'Monthly Data'!C86</f>
        <v>1</v>
      </c>
      <c r="D86" s="3">
        <f ca="1">'Monthly Data'!L86</f>
        <v>1227407.8108569772</v>
      </c>
      <c r="E86" s="489">
        <f>'Monthly Data'!CP86</f>
        <v>604.07083333333344</v>
      </c>
      <c r="F86" s="3">
        <f>'Monthly Data'!CU86</f>
        <v>0</v>
      </c>
      <c r="G86" s="3">
        <f>'Monthly Data'!EG86</f>
        <v>0</v>
      </c>
      <c r="H86">
        <f>'Monthly Data'!EH86</f>
        <v>85</v>
      </c>
      <c r="I86" s="3">
        <f>'Monthly Data'!DQ86</f>
        <v>31</v>
      </c>
      <c r="J86" s="235">
        <f>'Monthly Data'!EO86</f>
        <v>0</v>
      </c>
      <c r="L86" s="3">
        <f t="shared" si="25"/>
        <v>-761245.70652732695</v>
      </c>
      <c r="M86" s="3">
        <f t="shared" si="26"/>
        <v>488052.73592792894</v>
      </c>
      <c r="N86" s="3">
        <f t="shared" si="27"/>
        <v>0</v>
      </c>
      <c r="O86" s="3">
        <f t="shared" si="28"/>
        <v>0</v>
      </c>
      <c r="P86" s="3">
        <f t="shared" si="29"/>
        <v>217160.63430546332</v>
      </c>
      <c r="Q86" s="3">
        <f t="shared" si="30"/>
        <v>1183980.7512550617</v>
      </c>
      <c r="R86" s="3">
        <f t="shared" si="31"/>
        <v>0</v>
      </c>
      <c r="S86" s="47">
        <f t="shared" si="32"/>
        <v>1127948.4149611271</v>
      </c>
      <c r="T86" s="47">
        <f ca="1">'Monthly Data'!M86+'Monthly Data'!N86</f>
        <v>30856.754636280923</v>
      </c>
      <c r="U86" s="47">
        <f t="shared" ca="1" si="23"/>
        <v>1158805.169597408</v>
      </c>
      <c r="V86" s="47">
        <f t="shared" ca="1" si="24"/>
        <v>-68602.641259569209</v>
      </c>
      <c r="W86" s="18">
        <f t="shared" ca="1" si="33"/>
        <v>5.5892296474527717E-2</v>
      </c>
    </row>
    <row r="87" spans="1:23">
      <c r="A87" s="2">
        <f>'Monthly Data'!A87</f>
        <v>44958</v>
      </c>
      <c r="B87">
        <f>'Monthly Data'!B87</f>
        <v>2023</v>
      </c>
      <c r="C87">
        <f>'Monthly Data'!C87</f>
        <v>2</v>
      </c>
      <c r="D87" s="3">
        <f ca="1">'Monthly Data'!L87</f>
        <v>1183092.8110215238</v>
      </c>
      <c r="E87" s="489">
        <f>'Monthly Data'!CP87</f>
        <v>573.43333333333328</v>
      </c>
      <c r="F87" s="3">
        <f>'Monthly Data'!CU87</f>
        <v>0</v>
      </c>
      <c r="G87" s="3">
        <f>'Monthly Data'!EG87</f>
        <v>0</v>
      </c>
      <c r="H87">
        <f>'Monthly Data'!EH87</f>
        <v>86</v>
      </c>
      <c r="I87" s="3">
        <f>'Monthly Data'!DQ87</f>
        <v>28</v>
      </c>
      <c r="J87" s="235">
        <f>'Monthly Data'!EO87</f>
        <v>0</v>
      </c>
      <c r="L87" s="3">
        <f t="shared" si="25"/>
        <v>-761245.70652732695</v>
      </c>
      <c r="M87" s="3">
        <f t="shared" si="26"/>
        <v>463299.48701756331</v>
      </c>
      <c r="N87" s="3">
        <f t="shared" si="27"/>
        <v>0</v>
      </c>
      <c r="O87" s="3">
        <f t="shared" si="28"/>
        <v>0</v>
      </c>
      <c r="P87" s="3">
        <f t="shared" si="29"/>
        <v>219715.46529729228</v>
      </c>
      <c r="Q87" s="3">
        <f t="shared" si="30"/>
        <v>1069401.9688755395</v>
      </c>
      <c r="R87" s="3">
        <f t="shared" si="31"/>
        <v>0</v>
      </c>
      <c r="S87" s="47">
        <f t="shared" si="32"/>
        <v>991171.21466306807</v>
      </c>
      <c r="T87" s="47">
        <f ca="1">'Monthly Data'!M87+'Monthly Data'!N87</f>
        <v>30122.622721353291</v>
      </c>
      <c r="U87" s="47">
        <f t="shared" ca="1" si="23"/>
        <v>1021293.8373844214</v>
      </c>
      <c r="V87" s="47">
        <f t="shared" ca="1" si="24"/>
        <v>-161798.9736371024</v>
      </c>
      <c r="W87" s="18">
        <f t="shared" ca="1" si="33"/>
        <v>0.13675932448393419</v>
      </c>
    </row>
    <row r="88" spans="1:23">
      <c r="A88" s="2">
        <f>'Monthly Data'!A88</f>
        <v>44986</v>
      </c>
      <c r="B88">
        <f>'Monthly Data'!B88</f>
        <v>2023</v>
      </c>
      <c r="C88">
        <f>'Monthly Data'!C88</f>
        <v>3</v>
      </c>
      <c r="D88" s="3">
        <f ca="1">'Monthly Data'!L88</f>
        <v>1147664.3239889711</v>
      </c>
      <c r="E88" s="489">
        <f>'Monthly Data'!CP88</f>
        <v>551.03333333333342</v>
      </c>
      <c r="F88" s="3">
        <f>'Monthly Data'!CU88</f>
        <v>0</v>
      </c>
      <c r="G88" s="3">
        <f>'Monthly Data'!EG88</f>
        <v>1</v>
      </c>
      <c r="H88">
        <f>'Monthly Data'!EH88</f>
        <v>87</v>
      </c>
      <c r="I88" s="3">
        <f>'Monthly Data'!DQ88</f>
        <v>31</v>
      </c>
      <c r="J88" s="235">
        <f>'Monthly Data'!EO88</f>
        <v>0</v>
      </c>
      <c r="L88" s="3">
        <f t="shared" si="25"/>
        <v>-761245.70652732695</v>
      </c>
      <c r="M88" s="3">
        <f t="shared" si="26"/>
        <v>445201.64040500729</v>
      </c>
      <c r="N88" s="3">
        <f t="shared" si="27"/>
        <v>0</v>
      </c>
      <c r="O88" s="3">
        <f t="shared" si="28"/>
        <v>-62836.7660875816</v>
      </c>
      <c r="P88" s="3">
        <f t="shared" si="29"/>
        <v>222270.29628912127</v>
      </c>
      <c r="Q88" s="3">
        <f t="shared" si="30"/>
        <v>1183980.7512550617</v>
      </c>
      <c r="R88" s="3">
        <f t="shared" si="31"/>
        <v>0</v>
      </c>
      <c r="S88" s="47">
        <f t="shared" si="32"/>
        <v>1027370.2153342818</v>
      </c>
      <c r="T88" s="47">
        <f ca="1">'Monthly Data'!M88+'Monthly Data'!N88</f>
        <v>29682.706692712873</v>
      </c>
      <c r="U88" s="47">
        <f t="shared" ca="1" si="23"/>
        <v>1057052.9220269946</v>
      </c>
      <c r="V88" s="47">
        <f t="shared" ca="1" si="24"/>
        <v>-90611.401961976429</v>
      </c>
      <c r="W88" s="18">
        <f t="shared" ca="1" si="33"/>
        <v>7.8952878527264556E-2</v>
      </c>
    </row>
    <row r="89" spans="1:23">
      <c r="A89" s="2">
        <f>'Monthly Data'!A89</f>
        <v>45017</v>
      </c>
      <c r="B89">
        <f>'Monthly Data'!B89</f>
        <v>2023</v>
      </c>
      <c r="C89">
        <f>'Monthly Data'!C89</f>
        <v>4</v>
      </c>
      <c r="D89" s="3">
        <f ca="1">'Monthly Data'!L89</f>
        <v>870659.54983563873</v>
      </c>
      <c r="E89" s="489">
        <f>'Monthly Data'!CP89</f>
        <v>301.39999999999998</v>
      </c>
      <c r="F89" s="3">
        <f>'Monthly Data'!CU89</f>
        <v>11.71666666666667</v>
      </c>
      <c r="G89" s="3">
        <f>'Monthly Data'!EG89</f>
        <v>1</v>
      </c>
      <c r="H89">
        <f>'Monthly Data'!EH89</f>
        <v>88</v>
      </c>
      <c r="I89" s="3">
        <f>'Monthly Data'!DQ89</f>
        <v>30</v>
      </c>
      <c r="J89" s="235">
        <f>'Monthly Data'!EO89</f>
        <v>0</v>
      </c>
      <c r="L89" s="3">
        <f t="shared" si="25"/>
        <v>-761245.70652732695</v>
      </c>
      <c r="M89" s="3">
        <f t="shared" si="26"/>
        <v>243512.98968858962</v>
      </c>
      <c r="N89" s="3">
        <f t="shared" si="27"/>
        <v>21626.201474156442</v>
      </c>
      <c r="O89" s="3">
        <f t="shared" si="28"/>
        <v>-62836.7660875816</v>
      </c>
      <c r="P89" s="3">
        <f t="shared" si="29"/>
        <v>224825.12728095026</v>
      </c>
      <c r="Q89" s="3">
        <f t="shared" si="30"/>
        <v>1145787.823795221</v>
      </c>
      <c r="R89" s="3">
        <f t="shared" si="31"/>
        <v>0</v>
      </c>
      <c r="S89" s="47">
        <f t="shared" si="32"/>
        <v>811669.6696240087</v>
      </c>
      <c r="T89" s="47">
        <f ca="1">'Monthly Data'!M89+'Monthly Data'!N89</f>
        <v>21126.777728028563</v>
      </c>
      <c r="U89" s="47">
        <f t="shared" ca="1" si="23"/>
        <v>832796.4473520373</v>
      </c>
      <c r="V89" s="47">
        <f t="shared" ca="1" si="24"/>
        <v>-37863.102483601426</v>
      </c>
      <c r="W89" s="18">
        <f t="shared" ca="1" si="33"/>
        <v>4.3487839179790932E-2</v>
      </c>
    </row>
    <row r="90" spans="1:23">
      <c r="A90" s="2">
        <f>'Monthly Data'!A90</f>
        <v>45047</v>
      </c>
      <c r="B90">
        <f>'Monthly Data'!B90</f>
        <v>2023</v>
      </c>
      <c r="C90">
        <f>'Monthly Data'!C90</f>
        <v>5</v>
      </c>
      <c r="D90" s="3">
        <f ca="1">'Monthly Data'!L90</f>
        <v>883941.36357584014</v>
      </c>
      <c r="E90" s="489">
        <f>'Monthly Data'!CP90</f>
        <v>163.56416666666669</v>
      </c>
      <c r="F90" s="3">
        <f>'Monthly Data'!CU90</f>
        <v>37.345833333333331</v>
      </c>
      <c r="G90" s="3">
        <f>'Monthly Data'!EG90</f>
        <v>1</v>
      </c>
      <c r="H90">
        <f>'Monthly Data'!EH90</f>
        <v>89</v>
      </c>
      <c r="I90" s="3">
        <f>'Monthly Data'!DQ90</f>
        <v>31</v>
      </c>
      <c r="J90" s="235">
        <f>'Monthly Data'!EO90</f>
        <v>0</v>
      </c>
      <c r="L90" s="3">
        <f t="shared" si="25"/>
        <v>-761245.70652732695</v>
      </c>
      <c r="M90" s="3">
        <f t="shared" si="26"/>
        <v>132149.96426981673</v>
      </c>
      <c r="N90" s="3">
        <f t="shared" si="27"/>
        <v>68931.594528045563</v>
      </c>
      <c r="O90" s="3">
        <f t="shared" si="28"/>
        <v>-62836.7660875816</v>
      </c>
      <c r="P90" s="3">
        <f t="shared" si="29"/>
        <v>227379.95827277924</v>
      </c>
      <c r="Q90" s="3">
        <f t="shared" si="30"/>
        <v>1183980.7512550617</v>
      </c>
      <c r="R90" s="3">
        <f t="shared" si="31"/>
        <v>0</v>
      </c>
      <c r="S90" s="47">
        <f t="shared" si="32"/>
        <v>788359.79571079474</v>
      </c>
      <c r="T90" s="47">
        <f ca="1">'Monthly Data'!M90+'Monthly Data'!N90</f>
        <v>16563.880696235701</v>
      </c>
      <c r="U90" s="47">
        <f t="shared" ca="1" si="23"/>
        <v>804923.67640703043</v>
      </c>
      <c r="V90" s="47">
        <f t="shared" ca="1" si="24"/>
        <v>-79017.687168809702</v>
      </c>
      <c r="W90" s="18">
        <f t="shared" ca="1" si="33"/>
        <v>8.9392453419259152E-2</v>
      </c>
    </row>
    <row r="91" spans="1:23">
      <c r="A91" s="2">
        <f>'Monthly Data'!A91</f>
        <v>45078</v>
      </c>
      <c r="B91">
        <f>'Monthly Data'!B91</f>
        <v>2023</v>
      </c>
      <c r="C91">
        <f>'Monthly Data'!C91</f>
        <v>6</v>
      </c>
      <c r="D91" s="3">
        <f ca="1">'Monthly Data'!L91</f>
        <v>789412.93879285781</v>
      </c>
      <c r="E91" s="489">
        <f>'Monthly Data'!CP91</f>
        <v>21.441666666666659</v>
      </c>
      <c r="F91" s="3">
        <f>'Monthly Data'!CU91</f>
        <v>145.54166666666666</v>
      </c>
      <c r="G91" s="3">
        <f>'Monthly Data'!EG91</f>
        <v>0</v>
      </c>
      <c r="H91">
        <f>'Monthly Data'!EH91</f>
        <v>90</v>
      </c>
      <c r="I91" s="3">
        <f>'Monthly Data'!DQ91</f>
        <v>30</v>
      </c>
      <c r="J91" s="235">
        <f>'Monthly Data'!EO91</f>
        <v>0</v>
      </c>
      <c r="L91" s="3">
        <f t="shared" si="25"/>
        <v>-761245.70652732695</v>
      </c>
      <c r="M91" s="3">
        <f t="shared" si="26"/>
        <v>17323.571180843312</v>
      </c>
      <c r="N91" s="3">
        <f t="shared" si="27"/>
        <v>268635.56809825182</v>
      </c>
      <c r="O91" s="3">
        <f t="shared" si="28"/>
        <v>0</v>
      </c>
      <c r="P91" s="3">
        <f t="shared" si="29"/>
        <v>229934.7892646082</v>
      </c>
      <c r="Q91" s="3">
        <f t="shared" si="30"/>
        <v>1145787.823795221</v>
      </c>
      <c r="R91" s="3">
        <f t="shared" si="31"/>
        <v>0</v>
      </c>
      <c r="S91" s="47">
        <f t="shared" si="32"/>
        <v>900436.04581159737</v>
      </c>
      <c r="T91" s="47">
        <f ca="1">'Monthly Data'!M91+'Monthly Data'!N91</f>
        <v>11847.878300855449</v>
      </c>
      <c r="U91" s="47">
        <f t="shared" ca="1" si="23"/>
        <v>912283.92411245278</v>
      </c>
      <c r="V91" s="47">
        <f t="shared" ca="1" si="24"/>
        <v>122870.98531959497</v>
      </c>
      <c r="W91" s="18">
        <f t="shared" ca="1" si="33"/>
        <v>0.15564855765790325</v>
      </c>
    </row>
    <row r="92" spans="1:23">
      <c r="A92" s="2">
        <f>'Monthly Data'!A92</f>
        <v>45108</v>
      </c>
      <c r="B92">
        <f>'Monthly Data'!B92</f>
        <v>2023</v>
      </c>
      <c r="C92">
        <f>'Monthly Data'!C92</f>
        <v>7</v>
      </c>
      <c r="D92" s="3">
        <f ca="1">'Monthly Data'!L92</f>
        <v>1098880.6795221823</v>
      </c>
      <c r="E92" s="489">
        <f>'Monthly Data'!CP92</f>
        <v>0.12499999999999645</v>
      </c>
      <c r="F92" s="3">
        <f>'Monthly Data'!CU92</f>
        <v>223.78333333333336</v>
      </c>
      <c r="G92" s="3">
        <f>'Monthly Data'!EG92</f>
        <v>0</v>
      </c>
      <c r="H92">
        <f>'Monthly Data'!EH92</f>
        <v>91</v>
      </c>
      <c r="I92" s="3">
        <f>'Monthly Data'!DQ92</f>
        <v>31</v>
      </c>
      <c r="J92" s="235">
        <f>'Monthly Data'!EO92</f>
        <v>0</v>
      </c>
      <c r="L92" s="3">
        <f t="shared" si="25"/>
        <v>-761245.70652732695</v>
      </c>
      <c r="M92" s="3">
        <f t="shared" si="26"/>
        <v>100.9924476147075</v>
      </c>
      <c r="N92" s="3">
        <f t="shared" si="27"/>
        <v>413051.2193364132</v>
      </c>
      <c r="O92" s="3">
        <f t="shared" si="28"/>
        <v>0</v>
      </c>
      <c r="P92" s="3">
        <f t="shared" si="29"/>
        <v>232489.62025643719</v>
      </c>
      <c r="Q92" s="3">
        <f t="shared" si="30"/>
        <v>1183980.7512550617</v>
      </c>
      <c r="R92" s="3">
        <f t="shared" si="31"/>
        <v>0</v>
      </c>
      <c r="S92" s="47">
        <f t="shared" si="32"/>
        <v>1068376.8767681997</v>
      </c>
      <c r="T92" s="47">
        <f ca="1">'Monthly Data'!M92+'Monthly Data'!N92</f>
        <v>11446.655307336252</v>
      </c>
      <c r="U92" s="47">
        <f t="shared" ca="1" si="23"/>
        <v>1079823.532075536</v>
      </c>
      <c r="V92" s="47">
        <f t="shared" ca="1" si="24"/>
        <v>-19057.147446646355</v>
      </c>
      <c r="W92" s="18">
        <f t="shared" ca="1" si="33"/>
        <v>1.7342326425224642E-2</v>
      </c>
    </row>
    <row r="93" spans="1:23">
      <c r="A93" s="2">
        <f>'Monthly Data'!A93</f>
        <v>45139</v>
      </c>
      <c r="B93">
        <f>'Monthly Data'!B93</f>
        <v>2023</v>
      </c>
      <c r="C93">
        <f>'Monthly Data'!C93</f>
        <v>8</v>
      </c>
      <c r="D93" s="3">
        <f ca="1">'Monthly Data'!L93</f>
        <v>1046544.3963056952</v>
      </c>
      <c r="E93" s="489">
        <f>'Monthly Data'!CP93</f>
        <v>9.274999999999995</v>
      </c>
      <c r="F93" s="3">
        <f>'Monthly Data'!CU93</f>
        <v>165.80489130434788</v>
      </c>
      <c r="G93" s="3">
        <f>'Monthly Data'!EG93</f>
        <v>0</v>
      </c>
      <c r="H93">
        <f>'Monthly Data'!EH93</f>
        <v>92</v>
      </c>
      <c r="I93" s="3">
        <f>'Monthly Data'!DQ93</f>
        <v>31</v>
      </c>
      <c r="J93" s="235">
        <f>'Monthly Data'!EO93</f>
        <v>0</v>
      </c>
      <c r="L93" s="3">
        <f t="shared" si="25"/>
        <v>-761245.70652732695</v>
      </c>
      <c r="M93" s="3">
        <f t="shared" si="26"/>
        <v>7493.6396130115054</v>
      </c>
      <c r="N93" s="3">
        <f t="shared" si="27"/>
        <v>306036.69855605421</v>
      </c>
      <c r="O93" s="3">
        <f t="shared" si="28"/>
        <v>0</v>
      </c>
      <c r="P93" s="3">
        <f t="shared" si="29"/>
        <v>235044.45124826618</v>
      </c>
      <c r="Q93" s="3">
        <f t="shared" si="30"/>
        <v>1183980.7512550617</v>
      </c>
      <c r="R93" s="3">
        <f t="shared" si="31"/>
        <v>0</v>
      </c>
      <c r="S93" s="47">
        <f t="shared" si="32"/>
        <v>971309.83414506668</v>
      </c>
      <c r="T93" s="47">
        <f ca="1">'Monthly Data'!M93+'Monthly Data'!N93</f>
        <v>12133.59951691873</v>
      </c>
      <c r="U93" s="47">
        <f t="shared" ca="1" si="23"/>
        <v>983443.43366198544</v>
      </c>
      <c r="V93" s="47">
        <f t="shared" ca="1" si="24"/>
        <v>-63100.962643709732</v>
      </c>
      <c r="W93" s="18">
        <f t="shared" ca="1" si="33"/>
        <v>6.029458746944355E-2</v>
      </c>
    </row>
    <row r="94" spans="1:23">
      <c r="A94" s="2">
        <f>'Monthly Data'!A94</f>
        <v>45170</v>
      </c>
      <c r="B94">
        <f>'Monthly Data'!B94</f>
        <v>2023</v>
      </c>
      <c r="C94">
        <f>'Monthly Data'!C94</f>
        <v>9</v>
      </c>
      <c r="D94" s="3">
        <f ca="1">'Monthly Data'!L94</f>
        <v>814174.1410705091</v>
      </c>
      <c r="E94" s="489">
        <f>'Monthly Data'!CP94</f>
        <v>47.591666666666676</v>
      </c>
      <c r="F94" s="3">
        <f>'Monthly Data'!CU94</f>
        <v>105.35</v>
      </c>
      <c r="G94" s="3">
        <f>'Monthly Data'!EG94</f>
        <v>1</v>
      </c>
      <c r="H94">
        <f>'Monthly Data'!EH94</f>
        <v>93</v>
      </c>
      <c r="I94" s="3">
        <f>'Monthly Data'!DQ94</f>
        <v>30</v>
      </c>
      <c r="J94" s="235">
        <f>'Monthly Data'!EO94</f>
        <v>0</v>
      </c>
      <c r="L94" s="3">
        <f t="shared" si="25"/>
        <v>-761245.70652732695</v>
      </c>
      <c r="M94" s="3">
        <f t="shared" si="26"/>
        <v>38451.191221840738</v>
      </c>
      <c r="N94" s="3">
        <f t="shared" si="27"/>
        <v>194451.23686791296</v>
      </c>
      <c r="O94" s="3">
        <f t="shared" si="28"/>
        <v>-62836.7660875816</v>
      </c>
      <c r="P94" s="3">
        <f t="shared" si="29"/>
        <v>237599.28224009514</v>
      </c>
      <c r="Q94" s="3">
        <f t="shared" si="30"/>
        <v>1145787.823795221</v>
      </c>
      <c r="R94" s="3">
        <f t="shared" si="31"/>
        <v>0</v>
      </c>
      <c r="S94" s="47">
        <f t="shared" si="32"/>
        <v>792207.06151016126</v>
      </c>
      <c r="T94" s="47">
        <f ca="1">'Monthly Data'!M94+'Monthly Data'!N94</f>
        <v>13862.279287457402</v>
      </c>
      <c r="U94" s="47">
        <f t="shared" ca="1" si="23"/>
        <v>806069.34079761861</v>
      </c>
      <c r="V94" s="47">
        <f t="shared" ca="1" si="24"/>
        <v>-8104.800272890483</v>
      </c>
      <c r="W94" s="18">
        <f t="shared" ca="1" si="33"/>
        <v>9.9546274734714172E-3</v>
      </c>
    </row>
    <row r="95" spans="1:23">
      <c r="A95" s="2">
        <f>'Monthly Data'!A95</f>
        <v>45200</v>
      </c>
      <c r="B95">
        <f>'Monthly Data'!B95</f>
        <v>2023</v>
      </c>
      <c r="C95">
        <f>'Monthly Data'!C95</f>
        <v>10</v>
      </c>
      <c r="D95" s="3">
        <f ca="1">'Monthly Data'!L95</f>
        <v>894628.98426119622</v>
      </c>
      <c r="E95" s="489">
        <f>'Monthly Data'!CP95</f>
        <v>207.15416666666667</v>
      </c>
      <c r="F95" s="3">
        <f>'Monthly Data'!CU95</f>
        <v>35.333333333333343</v>
      </c>
      <c r="G95" s="3">
        <f>'Monthly Data'!EG95</f>
        <v>1</v>
      </c>
      <c r="H95">
        <f>'Monthly Data'!EH95</f>
        <v>94</v>
      </c>
      <c r="I95" s="3">
        <f>'Monthly Data'!DQ95</f>
        <v>31</v>
      </c>
      <c r="J95" s="235">
        <f>'Monthly Data'!EO95</f>
        <v>0</v>
      </c>
      <c r="L95" s="3">
        <f t="shared" si="25"/>
        <v>-761245.70652732695</v>
      </c>
      <c r="M95" s="3">
        <f t="shared" si="26"/>
        <v>167368.05060201851</v>
      </c>
      <c r="N95" s="3">
        <f t="shared" si="27"/>
        <v>65216.994488210032</v>
      </c>
      <c r="O95" s="3">
        <f t="shared" si="28"/>
        <v>-62836.7660875816</v>
      </c>
      <c r="P95" s="3">
        <f t="shared" si="29"/>
        <v>240154.11323192413</v>
      </c>
      <c r="Q95" s="3">
        <f t="shared" si="30"/>
        <v>1183980.7512550617</v>
      </c>
      <c r="R95" s="3">
        <f t="shared" si="31"/>
        <v>0</v>
      </c>
      <c r="S95" s="47">
        <f t="shared" si="32"/>
        <v>832637.4369623058</v>
      </c>
      <c r="T95" s="47">
        <f ca="1">'Monthly Data'!M95+'Monthly Data'!N95</f>
        <v>19921.453784890986</v>
      </c>
      <c r="U95" s="47">
        <f t="shared" ca="1" si="23"/>
        <v>852558.89074719674</v>
      </c>
      <c r="V95" s="47">
        <f t="shared" ca="1" si="24"/>
        <v>-42070.093513999484</v>
      </c>
      <c r="W95" s="18">
        <f t="shared" ca="1" si="33"/>
        <v>4.7025185025434728E-2</v>
      </c>
    </row>
    <row r="96" spans="1:23">
      <c r="A96" s="2">
        <f>'Monthly Data'!A96</f>
        <v>45231</v>
      </c>
      <c r="B96">
        <f>'Monthly Data'!B96</f>
        <v>2023</v>
      </c>
      <c r="C96">
        <f>'Monthly Data'!C96</f>
        <v>11</v>
      </c>
      <c r="D96" s="3">
        <f ca="1">'Monthly Data'!L96</f>
        <v>1011847.6308386413</v>
      </c>
      <c r="E96" s="489">
        <f>'Monthly Data'!CP96</f>
        <v>450.59311594202899</v>
      </c>
      <c r="F96" s="3">
        <f>'Monthly Data'!CU96</f>
        <v>0</v>
      </c>
      <c r="G96" s="3">
        <f>'Monthly Data'!EG96</f>
        <v>1</v>
      </c>
      <c r="H96">
        <f>'Monthly Data'!EH96</f>
        <v>95</v>
      </c>
      <c r="I96" s="3">
        <f>'Monthly Data'!DQ96</f>
        <v>30</v>
      </c>
      <c r="J96" s="235">
        <f>'Monthly Data'!EO96</f>
        <v>0</v>
      </c>
      <c r="L96" s="3">
        <f t="shared" si="25"/>
        <v>-761245.70652732695</v>
      </c>
      <c r="M96" s="3">
        <f t="shared" si="26"/>
        <v>364052.01325859583</v>
      </c>
      <c r="N96" s="3">
        <f t="shared" si="27"/>
        <v>0</v>
      </c>
      <c r="O96" s="3">
        <f t="shared" si="28"/>
        <v>-62836.7660875816</v>
      </c>
      <c r="P96" s="3">
        <f t="shared" si="29"/>
        <v>242708.94422375312</v>
      </c>
      <c r="Q96" s="3">
        <f t="shared" si="30"/>
        <v>1145787.823795221</v>
      </c>
      <c r="R96" s="3">
        <f t="shared" si="31"/>
        <v>0</v>
      </c>
      <c r="S96" s="47">
        <f t="shared" si="32"/>
        <v>928466.30866266147</v>
      </c>
      <c r="T96" s="47">
        <f ca="1">'Monthly Data'!M96+'Monthly Data'!N96</f>
        <v>28976.413880160577</v>
      </c>
      <c r="U96" s="47">
        <f t="shared" ca="1" si="23"/>
        <v>957442.72254282201</v>
      </c>
      <c r="V96" s="47">
        <f t="shared" ca="1" si="24"/>
        <v>-54404.908295819303</v>
      </c>
      <c r="W96" s="18">
        <f t="shared" ca="1" si="33"/>
        <v>5.3767886228806343E-2</v>
      </c>
    </row>
    <row r="97" spans="1:23">
      <c r="A97" s="2">
        <f>'Monthly Data'!A97</f>
        <v>45261</v>
      </c>
      <c r="B97">
        <f>'Monthly Data'!B97</f>
        <v>2023</v>
      </c>
      <c r="C97">
        <f>'Monthly Data'!C97</f>
        <v>12</v>
      </c>
      <c r="D97" s="3">
        <f ca="1">'Monthly Data'!L97</f>
        <v>1173567.9347238522</v>
      </c>
      <c r="E97" s="489">
        <f>'Monthly Data'!CP97</f>
        <v>489.67916666666667</v>
      </c>
      <c r="F97" s="3">
        <f>'Monthly Data'!CU97</f>
        <v>0</v>
      </c>
      <c r="G97" s="3">
        <f>'Monthly Data'!EG97</f>
        <v>0</v>
      </c>
      <c r="H97">
        <f>'Monthly Data'!EH97</f>
        <v>96</v>
      </c>
      <c r="I97" s="3">
        <f>'Monthly Data'!DQ97</f>
        <v>31</v>
      </c>
      <c r="J97" s="235">
        <f>'Monthly Data'!EO97</f>
        <v>0</v>
      </c>
      <c r="L97" s="3">
        <f t="shared" si="25"/>
        <v>-761245.70652732695</v>
      </c>
      <c r="M97" s="3">
        <f t="shared" si="26"/>
        <v>395631.18070078694</v>
      </c>
      <c r="N97" s="3">
        <f t="shared" si="27"/>
        <v>0</v>
      </c>
      <c r="O97" s="3">
        <f t="shared" si="28"/>
        <v>0</v>
      </c>
      <c r="P97" s="3">
        <f t="shared" si="29"/>
        <v>245263.77521558211</v>
      </c>
      <c r="Q97" s="3">
        <f t="shared" si="30"/>
        <v>1183980.7512550617</v>
      </c>
      <c r="R97" s="3">
        <f t="shared" si="31"/>
        <v>0</v>
      </c>
      <c r="S97" s="47">
        <f t="shared" si="32"/>
        <v>1063630.0006441039</v>
      </c>
      <c r="T97" s="47">
        <f ca="1">'Monthly Data'!M97+'Monthly Data'!N97</f>
        <v>30732.573470123974</v>
      </c>
      <c r="U97" s="47">
        <f t="shared" ca="1" si="23"/>
        <v>1094362.5741142279</v>
      </c>
      <c r="V97" s="47">
        <f t="shared" ca="1" si="24"/>
        <v>-79205.360609624302</v>
      </c>
      <c r="W97" s="18">
        <f t="shared" ca="1" si="33"/>
        <v>6.7491074241272458E-2</v>
      </c>
    </row>
    <row r="98" spans="1:23">
      <c r="A98" s="2">
        <f>'Monthly Data'!A98</f>
        <v>45292</v>
      </c>
      <c r="B98">
        <f>'Monthly Data'!B98</f>
        <v>2024</v>
      </c>
      <c r="C98">
        <f>'Monthly Data'!C98</f>
        <v>1</v>
      </c>
      <c r="D98" s="3">
        <f ca="1">'Monthly Data'!L98</f>
        <v>1306775.2367573429</v>
      </c>
      <c r="E98" s="489">
        <f>'Monthly Data'!CP98</f>
        <v>636.99583333333339</v>
      </c>
      <c r="F98" s="3">
        <f>'Monthly Data'!CU98</f>
        <v>0</v>
      </c>
      <c r="G98" s="3">
        <f>'Monthly Data'!EG98</f>
        <v>0</v>
      </c>
      <c r="H98">
        <f>'Monthly Data'!EH98</f>
        <v>97</v>
      </c>
      <c r="I98" s="3">
        <f>'Monthly Data'!DQ98</f>
        <v>31</v>
      </c>
      <c r="J98" s="235">
        <f>'Monthly Data'!EO98</f>
        <v>0</v>
      </c>
      <c r="L98" s="3">
        <f t="shared" ref="L98:L121" si="34">$AA$8</f>
        <v>-761245.70652732695</v>
      </c>
      <c r="M98" s="3">
        <f t="shared" ref="M98:M121" si="35">E98*$AA$9</f>
        <v>514654.14662964363</v>
      </c>
      <c r="N98" s="3">
        <f t="shared" ref="N98:N121" si="36">F98*$AA$10</f>
        <v>0</v>
      </c>
      <c r="O98" s="3">
        <f t="shared" ref="O98:O121" si="37">G98*$AA$11</f>
        <v>0</v>
      </c>
      <c r="P98" s="3">
        <f t="shared" ref="P98:P121" si="38">H98*$AA$12</f>
        <v>247818.60620741107</v>
      </c>
      <c r="Q98" s="3">
        <f t="shared" ref="Q98:Q121" si="39">I98*$AA$13</f>
        <v>1183980.7512550617</v>
      </c>
      <c r="R98" s="3">
        <f t="shared" ref="R98:R121" si="40">J98*$AA$14</f>
        <v>0</v>
      </c>
      <c r="S98" s="47">
        <f t="shared" ref="S98:S109" si="41">SUM(L98:R98)</f>
        <v>1185207.7975647894</v>
      </c>
      <c r="T98" s="47">
        <f ca="1">'Monthly Data'!M98+'Monthly Data'!N98</f>
        <v>42855.840474277255</v>
      </c>
      <c r="U98" s="47">
        <f t="shared" ca="1" si="23"/>
        <v>1228063.6380390667</v>
      </c>
      <c r="V98" s="47">
        <f t="shared" ca="1" si="24"/>
        <v>-78711.598718276247</v>
      </c>
      <c r="W98" s="18">
        <f t="shared" ref="W98:W109" ca="1" si="42">ABS(V98/D98)</f>
        <v>6.0233463647193619E-2</v>
      </c>
    </row>
    <row r="99" spans="1:23">
      <c r="A99" s="2">
        <f>'Monthly Data'!A99</f>
        <v>45323</v>
      </c>
      <c r="B99">
        <f>'Monthly Data'!B99</f>
        <v>2024</v>
      </c>
      <c r="C99">
        <f>'Monthly Data'!C99</f>
        <v>2</v>
      </c>
      <c r="D99" s="3">
        <f ca="1">'Monthly Data'!L99</f>
        <v>1218977.2265269631</v>
      </c>
      <c r="E99" s="489">
        <f>'Monthly Data'!CP99</f>
        <v>542.96666666666658</v>
      </c>
      <c r="F99" s="3">
        <f>'Monthly Data'!CU99</f>
        <v>0</v>
      </c>
      <c r="G99" s="3">
        <f>'Monthly Data'!EG99</f>
        <v>0</v>
      </c>
      <c r="H99">
        <f>'Monthly Data'!EH99</f>
        <v>98</v>
      </c>
      <c r="I99" s="3">
        <f>'Monthly Data'!DQ99</f>
        <v>29</v>
      </c>
      <c r="J99" s="235">
        <f>'Monthly Data'!EO99</f>
        <v>0</v>
      </c>
      <c r="L99" s="3">
        <f t="shared" si="34"/>
        <v>-761245.70652732695</v>
      </c>
      <c r="M99" s="3">
        <f t="shared" si="35"/>
        <v>438684.26111893787</v>
      </c>
      <c r="N99" s="3">
        <f t="shared" si="36"/>
        <v>0</v>
      </c>
      <c r="O99" s="3">
        <f t="shared" si="37"/>
        <v>0</v>
      </c>
      <c r="P99" s="3">
        <f t="shared" si="38"/>
        <v>250373.43719924006</v>
      </c>
      <c r="Q99" s="3">
        <f t="shared" si="39"/>
        <v>1107594.8963353804</v>
      </c>
      <c r="R99" s="3">
        <f t="shared" si="40"/>
        <v>0</v>
      </c>
      <c r="S99" s="47">
        <f t="shared" si="41"/>
        <v>1035406.8881262314</v>
      </c>
      <c r="T99" s="47">
        <f ca="1">'Monthly Data'!M99+'Monthly Data'!N99</f>
        <v>39036.683651169034</v>
      </c>
      <c r="U99" s="47">
        <f t="shared" ca="1" si="23"/>
        <v>1074443.5717774003</v>
      </c>
      <c r="V99" s="47">
        <f t="shared" ca="1" si="24"/>
        <v>-144533.65474956273</v>
      </c>
      <c r="W99" s="18">
        <f t="shared" ca="1" si="42"/>
        <v>0.11856961032927528</v>
      </c>
    </row>
    <row r="100" spans="1:23">
      <c r="A100" s="2">
        <f>'Monthly Data'!A100</f>
        <v>45352</v>
      </c>
      <c r="B100">
        <f>'Monthly Data'!B100</f>
        <v>2024</v>
      </c>
      <c r="C100">
        <f>'Monthly Data'!C100</f>
        <v>3</v>
      </c>
      <c r="D100" s="3">
        <f ca="1">'Monthly Data'!L100</f>
        <v>1142685.7578803878</v>
      </c>
      <c r="E100" s="489">
        <f>'Monthly Data'!CP100</f>
        <v>460.11250000000001</v>
      </c>
      <c r="F100" s="3">
        <f>'Monthly Data'!CU100</f>
        <v>0</v>
      </c>
      <c r="G100" s="3">
        <f>'Monthly Data'!EG100</f>
        <v>1</v>
      </c>
      <c r="H100">
        <f>'Monthly Data'!EH100</f>
        <v>99</v>
      </c>
      <c r="I100" s="3">
        <f>'Monthly Data'!DQ100</f>
        <v>31</v>
      </c>
      <c r="J100" s="235">
        <f>'Monthly Data'!EO100</f>
        <v>0</v>
      </c>
      <c r="L100" s="3">
        <f t="shared" si="34"/>
        <v>-761245.70652732695</v>
      </c>
      <c r="M100" s="3">
        <f t="shared" si="35"/>
        <v>371743.10042498744</v>
      </c>
      <c r="N100" s="3">
        <f t="shared" si="36"/>
        <v>0</v>
      </c>
      <c r="O100" s="3">
        <f t="shared" si="37"/>
        <v>-62836.7660875816</v>
      </c>
      <c r="P100" s="3">
        <f t="shared" si="38"/>
        <v>252928.26819106904</v>
      </c>
      <c r="Q100" s="3">
        <f t="shared" si="39"/>
        <v>1183980.7512550617</v>
      </c>
      <c r="R100" s="3">
        <f t="shared" si="40"/>
        <v>0</v>
      </c>
      <c r="S100" s="47">
        <f t="shared" si="41"/>
        <v>984569.64725620963</v>
      </c>
      <c r="T100" s="47">
        <f ca="1">'Monthly Data'!M100+'Monthly Data'!N100</f>
        <v>35723.090161026783</v>
      </c>
      <c r="U100" s="47">
        <f t="shared" ca="1" si="23"/>
        <v>1020292.7374172364</v>
      </c>
      <c r="V100" s="47">
        <f t="shared" ca="1" si="24"/>
        <v>-122393.02046315139</v>
      </c>
      <c r="W100" s="18">
        <f t="shared" ca="1" si="42"/>
        <v>0.1071099553128088</v>
      </c>
    </row>
    <row r="101" spans="1:23">
      <c r="A101" s="2">
        <f>'Monthly Data'!A101</f>
        <v>45383</v>
      </c>
      <c r="B101">
        <f>'Monthly Data'!B101</f>
        <v>2024</v>
      </c>
      <c r="C101">
        <f>'Monthly Data'!C101</f>
        <v>4</v>
      </c>
      <c r="D101" s="3">
        <f ca="1">'Monthly Data'!L101</f>
        <v>890041.64368470781</v>
      </c>
      <c r="E101" s="489">
        <f>'Monthly Data'!CP101</f>
        <v>308.29791666666665</v>
      </c>
      <c r="F101" s="3">
        <f>'Monthly Data'!CU101</f>
        <v>0</v>
      </c>
      <c r="G101" s="3">
        <f>'Monthly Data'!EG101</f>
        <v>1</v>
      </c>
      <c r="H101">
        <f>'Monthly Data'!EH101</f>
        <v>100</v>
      </c>
      <c r="I101" s="3">
        <f>'Monthly Data'!DQ101</f>
        <v>30</v>
      </c>
      <c r="J101" s="235">
        <f>'Monthly Data'!EO101</f>
        <v>0</v>
      </c>
      <c r="L101" s="3">
        <f t="shared" si="34"/>
        <v>-761245.70652732695</v>
      </c>
      <c r="M101" s="3">
        <f t="shared" si="35"/>
        <v>249086.08958946139</v>
      </c>
      <c r="N101" s="3">
        <f t="shared" si="36"/>
        <v>0</v>
      </c>
      <c r="O101" s="3">
        <f t="shared" si="37"/>
        <v>-62836.7660875816</v>
      </c>
      <c r="P101" s="3">
        <f t="shared" si="38"/>
        <v>255483.099182898</v>
      </c>
      <c r="Q101" s="3">
        <f t="shared" si="39"/>
        <v>1145787.823795221</v>
      </c>
      <c r="R101" s="3">
        <f t="shared" si="40"/>
        <v>0</v>
      </c>
      <c r="S101" s="47">
        <f t="shared" si="41"/>
        <v>826274.53995267185</v>
      </c>
      <c r="T101" s="47">
        <f ca="1">'Monthly Data'!M101+'Monthly Data'!N101</f>
        <v>29289.688340439679</v>
      </c>
      <c r="U101" s="47">
        <f t="shared" ca="1" si="23"/>
        <v>855564.22829311155</v>
      </c>
      <c r="V101" s="47">
        <f t="shared" ca="1" si="24"/>
        <v>-34477.415391596267</v>
      </c>
      <c r="W101" s="18">
        <f t="shared" ca="1" si="42"/>
        <v>3.8736856456358909E-2</v>
      </c>
    </row>
    <row r="102" spans="1:23">
      <c r="A102" s="2">
        <f>'Monthly Data'!A102</f>
        <v>45413</v>
      </c>
      <c r="B102">
        <f>'Monthly Data'!B102</f>
        <v>2024</v>
      </c>
      <c r="C102">
        <f>'Monthly Data'!C102</f>
        <v>5</v>
      </c>
      <c r="D102" s="3">
        <f ca="1">'Monthly Data'!L102</f>
        <v>858764.90924879862</v>
      </c>
      <c r="E102" s="489">
        <f>'Monthly Data'!CP102</f>
        <v>89.52916666666664</v>
      </c>
      <c r="F102" s="3">
        <f>'Monthly Data'!CU102</f>
        <v>60.691666666666663</v>
      </c>
      <c r="G102" s="3">
        <f>'Monthly Data'!EG102</f>
        <v>1</v>
      </c>
      <c r="H102">
        <f>'Monthly Data'!EH102</f>
        <v>101</v>
      </c>
      <c r="I102" s="3">
        <f>'Monthly Data'!DQ102</f>
        <v>31</v>
      </c>
      <c r="J102" s="235">
        <f>'Monthly Data'!EO102</f>
        <v>0</v>
      </c>
      <c r="L102" s="3">
        <f t="shared" si="34"/>
        <v>-761245.70652732695</v>
      </c>
      <c r="M102" s="3">
        <f t="shared" si="35"/>
        <v>72334.157396576033</v>
      </c>
      <c r="N102" s="3">
        <f t="shared" si="36"/>
        <v>112022.49312680036</v>
      </c>
      <c r="O102" s="3">
        <f t="shared" si="37"/>
        <v>-62836.7660875816</v>
      </c>
      <c r="P102" s="3">
        <f t="shared" si="38"/>
        <v>258037.93017472699</v>
      </c>
      <c r="Q102" s="3">
        <f t="shared" si="39"/>
        <v>1183980.7512550617</v>
      </c>
      <c r="R102" s="3">
        <f t="shared" si="40"/>
        <v>0</v>
      </c>
      <c r="S102" s="47">
        <f t="shared" si="41"/>
        <v>802292.85933825653</v>
      </c>
      <c r="T102" s="47">
        <f ca="1">'Monthly Data'!M102+'Monthly Data'!N102</f>
        <v>19827.242076366372</v>
      </c>
      <c r="U102" s="47">
        <f t="shared" ca="1" si="23"/>
        <v>822120.10141462286</v>
      </c>
      <c r="V102" s="47">
        <f t="shared" ca="1" si="24"/>
        <v>-36644.807834175765</v>
      </c>
      <c r="W102" s="18">
        <f t="shared" ca="1" si="42"/>
        <v>4.2671524464396982E-2</v>
      </c>
    </row>
    <row r="103" spans="1:23">
      <c r="A103" s="2">
        <f>'Monthly Data'!A103</f>
        <v>45444</v>
      </c>
      <c r="B103">
        <f>'Monthly Data'!B103</f>
        <v>2024</v>
      </c>
      <c r="C103">
        <f>'Monthly Data'!C103</f>
        <v>6</v>
      </c>
      <c r="D103" s="3">
        <f ca="1">'Monthly Data'!L103</f>
        <v>788177.5447204283</v>
      </c>
      <c r="E103" s="489">
        <f>'Monthly Data'!CP103</f>
        <v>31.570833333333319</v>
      </c>
      <c r="F103" s="3">
        <f>'Monthly Data'!CU103</f>
        <v>146.61250000000007</v>
      </c>
      <c r="G103" s="3">
        <f>'Monthly Data'!EG103</f>
        <v>0</v>
      </c>
      <c r="H103">
        <f>'Monthly Data'!EH103</f>
        <v>102</v>
      </c>
      <c r="I103" s="3">
        <f>'Monthly Data'!DQ103</f>
        <v>30</v>
      </c>
      <c r="J103" s="235">
        <f>'Monthly Data'!EO103</f>
        <v>0</v>
      </c>
      <c r="L103" s="3">
        <f t="shared" si="34"/>
        <v>-761245.70652732695</v>
      </c>
      <c r="M103" s="3">
        <f t="shared" si="35"/>
        <v>25507.325852555339</v>
      </c>
      <c r="N103" s="3">
        <f t="shared" si="36"/>
        <v>270612.07370951027</v>
      </c>
      <c r="O103" s="3">
        <f t="shared" si="37"/>
        <v>0</v>
      </c>
      <c r="P103" s="3">
        <f t="shared" si="38"/>
        <v>260592.76116655598</v>
      </c>
      <c r="Q103" s="3">
        <f t="shared" si="39"/>
        <v>1145787.823795221</v>
      </c>
      <c r="R103" s="3">
        <f t="shared" si="40"/>
        <v>0</v>
      </c>
      <c r="S103" s="47">
        <f t="shared" si="41"/>
        <v>941254.27799651562</v>
      </c>
      <c r="T103" s="47">
        <f ca="1">'Monthly Data'!M103+'Monthly Data'!N103</f>
        <v>17639.950194901074</v>
      </c>
      <c r="U103" s="47">
        <f t="shared" ca="1" si="23"/>
        <v>958894.22819141671</v>
      </c>
      <c r="V103" s="47">
        <f t="shared" ca="1" si="24"/>
        <v>170716.68347098841</v>
      </c>
      <c r="W103" s="18">
        <f t="shared" ca="1" si="42"/>
        <v>0.21659673586811298</v>
      </c>
    </row>
    <row r="104" spans="1:23">
      <c r="A104" s="2">
        <f>'Monthly Data'!A104</f>
        <v>45474</v>
      </c>
      <c r="B104">
        <f>'Monthly Data'!B104</f>
        <v>2024</v>
      </c>
      <c r="C104">
        <f>'Monthly Data'!C104</f>
        <v>7</v>
      </c>
      <c r="D104" s="3">
        <f ca="1">'Monthly Data'!L104</f>
        <v>1094340.2886860615</v>
      </c>
      <c r="E104" s="489">
        <f>'Monthly Data'!CP104</f>
        <v>0.32916666666666927</v>
      </c>
      <c r="F104" s="3">
        <f>'Monthly Data'!CU104</f>
        <v>241.14166666666668</v>
      </c>
      <c r="G104" s="3">
        <f>'Monthly Data'!EG104</f>
        <v>0</v>
      </c>
      <c r="H104">
        <f>'Monthly Data'!EH104</f>
        <v>103</v>
      </c>
      <c r="I104" s="3">
        <f>'Monthly Data'!DQ104</f>
        <v>31</v>
      </c>
      <c r="J104" s="235">
        <f>'Monthly Data'!EO104</f>
        <v>0</v>
      </c>
      <c r="L104" s="3">
        <f t="shared" si="34"/>
        <v>-761245.70652732695</v>
      </c>
      <c r="M104" s="3">
        <f t="shared" si="35"/>
        <v>265.94677871873944</v>
      </c>
      <c r="N104" s="3">
        <f t="shared" si="36"/>
        <v>445090.60601540882</v>
      </c>
      <c r="O104" s="3">
        <f t="shared" si="37"/>
        <v>0</v>
      </c>
      <c r="P104" s="3">
        <f t="shared" si="38"/>
        <v>263147.59215838497</v>
      </c>
      <c r="Q104" s="3">
        <f t="shared" si="39"/>
        <v>1183980.7512550617</v>
      </c>
      <c r="R104" s="3">
        <f t="shared" si="40"/>
        <v>0</v>
      </c>
      <c r="S104" s="47">
        <f t="shared" si="41"/>
        <v>1131239.1896802473</v>
      </c>
      <c r="T104" s="47">
        <f ca="1">'Monthly Data'!M104+'Monthly Data'!N104</f>
        <v>16661.335453994205</v>
      </c>
      <c r="U104" s="47">
        <f t="shared" ca="1" si="23"/>
        <v>1147900.5251342414</v>
      </c>
      <c r="V104" s="47">
        <f t="shared" ca="1" si="24"/>
        <v>53560.23644817993</v>
      </c>
      <c r="W104" s="18">
        <f t="shared" ca="1" si="42"/>
        <v>4.8942944897412077E-2</v>
      </c>
    </row>
    <row r="105" spans="1:23">
      <c r="A105" s="2">
        <f>'Monthly Data'!A105</f>
        <v>45505</v>
      </c>
      <c r="B105">
        <f>'Monthly Data'!B105</f>
        <v>2024</v>
      </c>
      <c r="C105">
        <f>'Monthly Data'!C105</f>
        <v>8</v>
      </c>
      <c r="D105" s="3">
        <f ca="1">'Monthly Data'!L105</f>
        <v>1121720.2613786294</v>
      </c>
      <c r="E105" s="489">
        <f>'Monthly Data'!CP105</f>
        <v>8.2333333333333432</v>
      </c>
      <c r="F105" s="3">
        <f>'Monthly Data'!CU105</f>
        <v>200.86666666666665</v>
      </c>
      <c r="G105" s="3">
        <f>'Monthly Data'!EG105</f>
        <v>0</v>
      </c>
      <c r="H105">
        <f>'Monthly Data'!EH105</f>
        <v>104</v>
      </c>
      <c r="I105" s="3">
        <f>'Monthly Data'!DQ105</f>
        <v>31</v>
      </c>
      <c r="J105" s="235">
        <f>'Monthly Data'!EO105</f>
        <v>0</v>
      </c>
      <c r="L105" s="3">
        <f t="shared" si="34"/>
        <v>-761245.70652732695</v>
      </c>
      <c r="M105" s="3">
        <f t="shared" si="35"/>
        <v>6652.0358828889312</v>
      </c>
      <c r="N105" s="3">
        <f t="shared" si="36"/>
        <v>370752.46111882408</v>
      </c>
      <c r="O105" s="3">
        <f t="shared" si="37"/>
        <v>0</v>
      </c>
      <c r="P105" s="3">
        <f t="shared" si="38"/>
        <v>265702.42315021396</v>
      </c>
      <c r="Q105" s="3">
        <f t="shared" si="39"/>
        <v>1183980.7512550617</v>
      </c>
      <c r="R105" s="3">
        <f t="shared" si="40"/>
        <v>0</v>
      </c>
      <c r="S105" s="47">
        <f t="shared" si="41"/>
        <v>1065841.9648796618</v>
      </c>
      <c r="T105" s="47">
        <f ca="1">'Monthly Data'!M105+'Monthly Data'!N105</f>
        <v>17453.700397358472</v>
      </c>
      <c r="U105" s="47">
        <f t="shared" ca="1" si="23"/>
        <v>1083295.6652770203</v>
      </c>
      <c r="V105" s="47">
        <f t="shared" ca="1" si="24"/>
        <v>-38424.596101609059</v>
      </c>
      <c r="W105" s="18">
        <f t="shared" ca="1" si="42"/>
        <v>3.4255061109785094E-2</v>
      </c>
    </row>
    <row r="106" spans="1:23">
      <c r="A106" s="2">
        <f>'Monthly Data'!A106</f>
        <v>45536</v>
      </c>
      <c r="B106">
        <f>'Monthly Data'!B106</f>
        <v>2024</v>
      </c>
      <c r="C106">
        <f>'Monthly Data'!C106</f>
        <v>9</v>
      </c>
      <c r="D106" s="3">
        <f ca="1">'Monthly Data'!L106</f>
        <v>827605.39015193412</v>
      </c>
      <c r="E106" s="489">
        <f>'Monthly Data'!CP106</f>
        <v>29.36666666666666</v>
      </c>
      <c r="F106" s="3">
        <f>'Monthly Data'!CU106</f>
        <v>113.86250000000001</v>
      </c>
      <c r="G106" s="3">
        <f>'Monthly Data'!EG106</f>
        <v>1</v>
      </c>
      <c r="H106">
        <f>'Monthly Data'!EH106</f>
        <v>105</v>
      </c>
      <c r="I106" s="3">
        <f>'Monthly Data'!DQ106</f>
        <v>30</v>
      </c>
      <c r="J106" s="235">
        <f>'Monthly Data'!EO106</f>
        <v>0</v>
      </c>
      <c r="L106" s="3">
        <f t="shared" si="34"/>
        <v>-761245.70652732695</v>
      </c>
      <c r="M106" s="3">
        <f t="shared" si="35"/>
        <v>23726.49235961595</v>
      </c>
      <c r="N106" s="3">
        <f t="shared" si="36"/>
        <v>210163.30287491926</v>
      </c>
      <c r="O106" s="3">
        <f t="shared" si="37"/>
        <v>-62836.7660875816</v>
      </c>
      <c r="P106" s="3">
        <f t="shared" si="38"/>
        <v>268257.25414204289</v>
      </c>
      <c r="Q106" s="3">
        <f t="shared" si="39"/>
        <v>1145787.823795221</v>
      </c>
      <c r="R106" s="3">
        <f t="shared" si="40"/>
        <v>0</v>
      </c>
      <c r="S106" s="47">
        <f t="shared" si="41"/>
        <v>823852.40055689053</v>
      </c>
      <c r="T106" s="47">
        <f ca="1">'Monthly Data'!M106+'Monthly Data'!N106</f>
        <v>18844.560337802122</v>
      </c>
      <c r="U106" s="47">
        <f t="shared" ca="1" si="23"/>
        <v>842696.96089469269</v>
      </c>
      <c r="V106" s="47">
        <f t="shared" ca="1" si="24"/>
        <v>15091.570742758573</v>
      </c>
      <c r="W106" s="18">
        <f t="shared" ca="1" si="42"/>
        <v>1.8235225292561254E-2</v>
      </c>
    </row>
    <row r="107" spans="1:23">
      <c r="A107" s="2">
        <f>'Monthly Data'!A107</f>
        <v>45566</v>
      </c>
      <c r="B107">
        <f>'Monthly Data'!B107</f>
        <v>2024</v>
      </c>
      <c r="C107">
        <f>'Monthly Data'!C107</f>
        <v>10</v>
      </c>
      <c r="D107" s="3">
        <f ca="1">'Monthly Data'!L107</f>
        <v>933789.6197128715</v>
      </c>
      <c r="E107" s="489">
        <f>'Monthly Data'!CP107</f>
        <v>233.94166666666658</v>
      </c>
      <c r="F107" s="3">
        <f>'Monthly Data'!CU107</f>
        <v>12.120833333333337</v>
      </c>
      <c r="G107" s="3">
        <f>'Monthly Data'!EG107</f>
        <v>1</v>
      </c>
      <c r="H107">
        <f>'Monthly Data'!EH107</f>
        <v>106</v>
      </c>
      <c r="I107" s="3">
        <f>'Monthly Data'!DQ107</f>
        <v>31</v>
      </c>
      <c r="J107" s="235">
        <f>'Monthly Data'!EO107</f>
        <v>0</v>
      </c>
      <c r="L107" s="3">
        <f t="shared" si="34"/>
        <v>-761245.70652732695</v>
      </c>
      <c r="M107" s="3">
        <f t="shared" si="35"/>
        <v>189010.73212585089</v>
      </c>
      <c r="N107" s="3">
        <f t="shared" si="36"/>
        <v>22372.197755448466</v>
      </c>
      <c r="O107" s="3">
        <f t="shared" si="37"/>
        <v>-62836.7660875816</v>
      </c>
      <c r="P107" s="3">
        <f t="shared" si="38"/>
        <v>270812.08513387188</v>
      </c>
      <c r="Q107" s="3">
        <f t="shared" si="39"/>
        <v>1183980.7512550617</v>
      </c>
      <c r="R107" s="3">
        <f t="shared" si="40"/>
        <v>0</v>
      </c>
      <c r="S107" s="47">
        <f t="shared" si="41"/>
        <v>842093.29365532438</v>
      </c>
      <c r="T107" s="47">
        <f ca="1">'Monthly Data'!M107+'Monthly Data'!N107</f>
        <v>28534.425236172414</v>
      </c>
      <c r="U107" s="47">
        <f t="shared" ref="U107:U108" ca="1" si="43">S107+T107</f>
        <v>870627.71889149677</v>
      </c>
      <c r="V107" s="47">
        <f t="shared" ref="V107:V109" ca="1" si="44">U107-D107</f>
        <v>-63161.900821374729</v>
      </c>
      <c r="W107" s="18">
        <f t="shared" ca="1" si="42"/>
        <v>6.764039724579099E-2</v>
      </c>
    </row>
    <row r="108" spans="1:23">
      <c r="A108" s="2">
        <f>'Monthly Data'!A108</f>
        <v>45597</v>
      </c>
      <c r="B108">
        <f>'Monthly Data'!B108</f>
        <v>2024</v>
      </c>
      <c r="C108">
        <f>'Monthly Data'!C108</f>
        <v>11</v>
      </c>
      <c r="D108" s="3">
        <f ca="1">'Monthly Data'!L108</f>
        <v>913247.10800726654</v>
      </c>
      <c r="E108" s="489">
        <f>'Monthly Data'!CP108</f>
        <v>366.29166666666663</v>
      </c>
      <c r="F108" s="3">
        <f>'Monthly Data'!CU108</f>
        <v>5.5041666666666629</v>
      </c>
      <c r="G108" s="3">
        <f>'Monthly Data'!EG108</f>
        <v>1</v>
      </c>
      <c r="H108">
        <f>'Monthly Data'!EH108</f>
        <v>107</v>
      </c>
      <c r="I108" s="3">
        <f>'Monthly Data'!DQ108</f>
        <v>30</v>
      </c>
      <c r="J108" s="235">
        <f>'Monthly Data'!EO108</f>
        <v>0</v>
      </c>
      <c r="L108" s="3">
        <f t="shared" si="34"/>
        <v>-761245.70652732695</v>
      </c>
      <c r="M108" s="3">
        <f t="shared" si="35"/>
        <v>295941.53566030628</v>
      </c>
      <c r="N108" s="3">
        <f t="shared" si="36"/>
        <v>10159.392655533653</v>
      </c>
      <c r="O108" s="3">
        <f t="shared" si="37"/>
        <v>-62836.7660875816</v>
      </c>
      <c r="P108" s="3">
        <f t="shared" si="38"/>
        <v>273366.91612570087</v>
      </c>
      <c r="Q108" s="3">
        <f t="shared" si="39"/>
        <v>1145787.823795221</v>
      </c>
      <c r="R108" s="3">
        <f t="shared" si="40"/>
        <v>0</v>
      </c>
      <c r="S108" s="47">
        <f t="shared" si="41"/>
        <v>901173.19562185335</v>
      </c>
      <c r="T108" s="47">
        <f ca="1">'Monthly Data'!M108+'Monthly Data'!N108</f>
        <v>34956.790204031189</v>
      </c>
      <c r="U108" s="47">
        <f t="shared" ca="1" si="43"/>
        <v>936129.98582588451</v>
      </c>
      <c r="V108" s="47">
        <f t="shared" ca="1" si="44"/>
        <v>22882.87781861797</v>
      </c>
      <c r="W108" s="18">
        <f t="shared" ca="1" si="42"/>
        <v>2.5056611313611622E-2</v>
      </c>
    </row>
    <row r="109" spans="1:23">
      <c r="A109" s="2">
        <f>'Monthly Data'!A109</f>
        <v>45627</v>
      </c>
      <c r="B109">
        <f>'Monthly Data'!B109</f>
        <v>2024</v>
      </c>
      <c r="C109">
        <f>'Monthly Data'!C109</f>
        <v>12</v>
      </c>
      <c r="D109" s="3">
        <f ca="1">'Monthly Data'!L109</f>
        <v>1129976.7766417456</v>
      </c>
      <c r="E109" s="489">
        <f>'Monthly Data'!CP109</f>
        <v>598.57499999999993</v>
      </c>
      <c r="F109" s="3">
        <f>'Monthly Data'!CU109</f>
        <v>0</v>
      </c>
      <c r="G109" s="3">
        <f>'Monthly Data'!EG109</f>
        <v>0</v>
      </c>
      <c r="H109">
        <f>'Monthly Data'!EH109</f>
        <v>108</v>
      </c>
      <c r="I109" s="3">
        <f>'Monthly Data'!DQ109</f>
        <v>31</v>
      </c>
      <c r="J109" s="235">
        <f>'Monthly Data'!EO109</f>
        <v>0</v>
      </c>
      <c r="L109" s="3">
        <f t="shared" si="34"/>
        <v>-761245.70652732695</v>
      </c>
      <c r="M109" s="3">
        <f t="shared" si="35"/>
        <v>483612.43464780203</v>
      </c>
      <c r="N109" s="3">
        <f t="shared" si="36"/>
        <v>0</v>
      </c>
      <c r="O109" s="3">
        <f t="shared" si="37"/>
        <v>0</v>
      </c>
      <c r="P109" s="3">
        <f t="shared" si="38"/>
        <v>275921.74711752986</v>
      </c>
      <c r="Q109" s="3">
        <f t="shared" si="39"/>
        <v>1183980.7512550617</v>
      </c>
      <c r="R109" s="3">
        <f t="shared" si="40"/>
        <v>0</v>
      </c>
      <c r="S109" s="47">
        <f t="shared" si="41"/>
        <v>1182269.2264930666</v>
      </c>
      <c r="T109" s="47">
        <f ca="1">'Monthly Data'!M109+'Monthly Data'!N109</f>
        <v>45900.19580494571</v>
      </c>
      <c r="U109" s="47">
        <f ca="1">S109+T109</f>
        <v>1228169.4222980123</v>
      </c>
      <c r="V109" s="47">
        <f t="shared" ca="1" si="44"/>
        <v>98192.645656266715</v>
      </c>
      <c r="W109" s="18">
        <f t="shared" ca="1" si="42"/>
        <v>8.689793249388017E-2</v>
      </c>
    </row>
    <row r="110" spans="1:23">
      <c r="A110" s="2">
        <f>'Monthly Data'!A110</f>
        <v>45658</v>
      </c>
      <c r="B110">
        <f>'Monthly Data'!B110</f>
        <v>2025</v>
      </c>
      <c r="C110">
        <f>'Monthly Data'!C110</f>
        <v>1</v>
      </c>
      <c r="D110" s="3">
        <f ca="1">'Monthly Data'!L110</f>
        <v>1520453.8036472313</v>
      </c>
      <c r="E110" s="489">
        <f>'Monthly Data'!CP110</f>
        <v>732.42499999999995</v>
      </c>
      <c r="F110" s="3">
        <f>'Monthly Data'!CU110</f>
        <v>0</v>
      </c>
      <c r="G110" s="3">
        <f>'Monthly Data'!EG110</f>
        <v>0</v>
      </c>
      <c r="H110">
        <f>'Monthly Data'!EH110</f>
        <v>109</v>
      </c>
      <c r="I110" s="3">
        <f>'Monthly Data'!DQ110</f>
        <v>31</v>
      </c>
      <c r="J110" s="235">
        <f>'Monthly Data'!EO110</f>
        <v>0</v>
      </c>
      <c r="L110" s="3">
        <f t="shared" si="34"/>
        <v>-761245.70652732695</v>
      </c>
      <c r="M110" s="3">
        <f t="shared" si="35"/>
        <v>591755.1475536339</v>
      </c>
      <c r="N110" s="3">
        <f t="shared" si="36"/>
        <v>0</v>
      </c>
      <c r="O110" s="3">
        <f t="shared" si="37"/>
        <v>0</v>
      </c>
      <c r="P110" s="3">
        <f t="shared" si="38"/>
        <v>278476.57810935884</v>
      </c>
      <c r="Q110" s="3">
        <f t="shared" si="39"/>
        <v>1183980.7512550617</v>
      </c>
      <c r="R110" s="3">
        <f t="shared" si="40"/>
        <v>0</v>
      </c>
      <c r="S110" s="47">
        <f t="shared" ref="S110:S121" si="45">SUM(L110:R110)</f>
        <v>1292966.7703907276</v>
      </c>
      <c r="T110" s="47">
        <f ca="1">'Monthly Data'!M110+'Monthly Data'!N110</f>
        <v>59852.699182811055</v>
      </c>
      <c r="U110" s="47">
        <f t="shared" ref="U110:U121" ca="1" si="46">S110+T110</f>
        <v>1352819.4695735385</v>
      </c>
      <c r="V110" s="47">
        <f t="shared" ref="V110:V121" ca="1" si="47">U110-D110</f>
        <v>-167634.33407369279</v>
      </c>
      <c r="W110" s="18">
        <f t="shared" ref="W110:W121" ca="1" si="48">ABS(V110/D110)</f>
        <v>0.11025282956415725</v>
      </c>
    </row>
    <row r="111" spans="1:23">
      <c r="A111" s="2">
        <f>'Monthly Data'!A111</f>
        <v>45689</v>
      </c>
      <c r="B111">
        <f>'Monthly Data'!B111</f>
        <v>2025</v>
      </c>
      <c r="C111">
        <f>'Monthly Data'!C111</f>
        <v>2</v>
      </c>
      <c r="D111" s="3">
        <f ca="1">'Monthly Data'!L111</f>
        <v>1359572.6897640282</v>
      </c>
      <c r="E111" s="489">
        <f>'Monthly Data'!CP111</f>
        <v>665.25833333333344</v>
      </c>
      <c r="F111" s="3">
        <f>'Monthly Data'!CU111</f>
        <v>0</v>
      </c>
      <c r="G111" s="3">
        <f>'Monthly Data'!EG111</f>
        <v>0</v>
      </c>
      <c r="H111">
        <f>'Monthly Data'!EH111</f>
        <v>110</v>
      </c>
      <c r="I111" s="3">
        <f>'Monthly Data'!DQ111</f>
        <v>28</v>
      </c>
      <c r="J111" s="235">
        <f>'Monthly Data'!EO111</f>
        <v>0</v>
      </c>
      <c r="L111" s="3">
        <f t="shared" si="34"/>
        <v>-761245.70652732695</v>
      </c>
      <c r="M111" s="3">
        <f t="shared" si="35"/>
        <v>537488.53903532971</v>
      </c>
      <c r="N111" s="3">
        <f t="shared" si="36"/>
        <v>0</v>
      </c>
      <c r="O111" s="3">
        <f t="shared" si="37"/>
        <v>0</v>
      </c>
      <c r="P111" s="3">
        <f t="shared" si="38"/>
        <v>281031.40910118783</v>
      </c>
      <c r="Q111" s="3">
        <f t="shared" si="39"/>
        <v>1069401.9688755395</v>
      </c>
      <c r="R111" s="3">
        <f t="shared" si="40"/>
        <v>0</v>
      </c>
      <c r="S111" s="47">
        <f t="shared" si="45"/>
        <v>1126676.2104847301</v>
      </c>
      <c r="T111" s="47">
        <f ca="1">'Monthly Data'!M111+'Monthly Data'!N111</f>
        <v>56519.969735838778</v>
      </c>
      <c r="U111" s="47">
        <f t="shared" ca="1" si="46"/>
        <v>1183196.1802205688</v>
      </c>
      <c r="V111" s="47">
        <f t="shared" ca="1" si="47"/>
        <v>-176376.5095434594</v>
      </c>
      <c r="W111" s="18">
        <f t="shared" ca="1" si="48"/>
        <v>0.12972937075844901</v>
      </c>
    </row>
    <row r="112" spans="1:23">
      <c r="A112" s="2">
        <f>'Monthly Data'!A112</f>
        <v>45717</v>
      </c>
      <c r="B112">
        <f>'Monthly Data'!B112</f>
        <v>2025</v>
      </c>
      <c r="C112">
        <f>'Monthly Data'!C112</f>
        <v>3</v>
      </c>
      <c r="D112" s="3">
        <f ca="1">'Monthly Data'!L112</f>
        <v>1094373.4711202844</v>
      </c>
      <c r="E112" s="489">
        <f>'Monthly Data'!CP112</f>
        <v>518.62916666666672</v>
      </c>
      <c r="F112" s="3">
        <f>'Monthly Data'!CU112</f>
        <v>0</v>
      </c>
      <c r="G112" s="3">
        <f>'Monthly Data'!EG112</f>
        <v>1</v>
      </c>
      <c r="H112">
        <f>'Monthly Data'!EH112</f>
        <v>111</v>
      </c>
      <c r="I112" s="3">
        <f>'Monthly Data'!DQ112</f>
        <v>31</v>
      </c>
      <c r="J112" s="235">
        <f>'Monthly Data'!EO112</f>
        <v>0</v>
      </c>
      <c r="L112" s="3">
        <f t="shared" si="34"/>
        <v>-761245.70652732695</v>
      </c>
      <c r="M112" s="3">
        <f t="shared" si="35"/>
        <v>419021.03156835388</v>
      </c>
      <c r="N112" s="3">
        <f t="shared" si="36"/>
        <v>0</v>
      </c>
      <c r="O112" s="3">
        <f t="shared" si="37"/>
        <v>-62836.7660875816</v>
      </c>
      <c r="P112" s="3">
        <f t="shared" si="38"/>
        <v>283586.24009301682</v>
      </c>
      <c r="Q112" s="3">
        <f t="shared" si="39"/>
        <v>1183980.7512550617</v>
      </c>
      <c r="R112" s="3">
        <f t="shared" si="40"/>
        <v>0</v>
      </c>
      <c r="S112" s="47">
        <f t="shared" si="45"/>
        <v>1062505.5503015239</v>
      </c>
      <c r="T112" s="47">
        <f ca="1">'Monthly Data'!M112+'Monthly Data'!N112</f>
        <v>48821.494721587092</v>
      </c>
      <c r="U112" s="47">
        <f t="shared" ca="1" si="46"/>
        <v>1111327.0450231109</v>
      </c>
      <c r="V112" s="47">
        <f t="shared" ca="1" si="47"/>
        <v>16953.573902826523</v>
      </c>
      <c r="W112" s="18">
        <f t="shared" ca="1" si="48"/>
        <v>1.5491579748795947E-2</v>
      </c>
    </row>
    <row r="113" spans="1:23">
      <c r="A113" s="2">
        <f>'Monthly Data'!A113</f>
        <v>45748</v>
      </c>
      <c r="B113">
        <f>'Monthly Data'!B113</f>
        <v>2025</v>
      </c>
      <c r="C113">
        <f>'Monthly Data'!C113</f>
        <v>4</v>
      </c>
      <c r="D113" s="3">
        <f ca="1">'Monthly Data'!L113</f>
        <v>816611.06276083679</v>
      </c>
      <c r="E113" s="489">
        <f>'Monthly Data'!CP113</f>
        <v>351.84166666666653</v>
      </c>
      <c r="F113" s="3">
        <f>'Monthly Data'!CU113</f>
        <v>0.11666666666666714</v>
      </c>
      <c r="G113" s="3">
        <f>'Monthly Data'!EG113</f>
        <v>1</v>
      </c>
      <c r="H113">
        <f>'Monthly Data'!EH113</f>
        <v>112</v>
      </c>
      <c r="I113" s="3">
        <f>'Monthly Data'!DQ113</f>
        <v>30</v>
      </c>
      <c r="J113" s="235">
        <f>'Monthly Data'!EO113</f>
        <v>0</v>
      </c>
      <c r="L113" s="3">
        <f t="shared" si="34"/>
        <v>-761245.70652732695</v>
      </c>
      <c r="M113" s="3">
        <f t="shared" si="35"/>
        <v>284266.80871604563</v>
      </c>
      <c r="N113" s="3">
        <f t="shared" si="36"/>
        <v>215.33913274409053</v>
      </c>
      <c r="O113" s="3">
        <f t="shared" si="37"/>
        <v>-62836.7660875816</v>
      </c>
      <c r="P113" s="3">
        <f t="shared" si="38"/>
        <v>286141.07108484575</v>
      </c>
      <c r="Q113" s="3">
        <f t="shared" si="39"/>
        <v>1145787.823795221</v>
      </c>
      <c r="R113" s="3">
        <f t="shared" si="40"/>
        <v>0</v>
      </c>
      <c r="S113" s="47">
        <f t="shared" si="45"/>
        <v>892328.57011394785</v>
      </c>
      <c r="T113" s="47">
        <f ca="1">'Monthly Data'!M113+'Monthly Data'!N113</f>
        <v>40015.501640401431</v>
      </c>
      <c r="U113" s="47">
        <f t="shared" ca="1" si="46"/>
        <v>932344.07175434928</v>
      </c>
      <c r="V113" s="47">
        <f t="shared" ca="1" si="47"/>
        <v>115733.00899351249</v>
      </c>
      <c r="W113" s="18">
        <f t="shared" ca="1" si="48"/>
        <v>0.14172353801115176</v>
      </c>
    </row>
    <row r="114" spans="1:23">
      <c r="A114" s="2">
        <f>'Monthly Data'!A114</f>
        <v>45778</v>
      </c>
      <c r="B114">
        <f>'Monthly Data'!B114</f>
        <v>2025</v>
      </c>
      <c r="C114">
        <f>'Monthly Data'!C114</f>
        <v>5</v>
      </c>
      <c r="D114" s="3">
        <f ca="1">'Monthly Data'!L114</f>
        <v>901624.45888526586</v>
      </c>
      <c r="E114" s="489">
        <f>'Monthly Data'!CP114</f>
        <v>159.32500000000002</v>
      </c>
      <c r="F114" s="3">
        <f>'Monthly Data'!CU114</f>
        <v>27.408333333333335</v>
      </c>
      <c r="G114" s="3">
        <f>'Monthly Data'!EG114</f>
        <v>1</v>
      </c>
      <c r="H114">
        <f>'Monthly Data'!EH114</f>
        <v>113</v>
      </c>
      <c r="I114" s="3">
        <f>'Monthly Data'!DQ114</f>
        <v>31</v>
      </c>
      <c r="J114" s="235">
        <f>'Monthly Data'!EO114</f>
        <v>0</v>
      </c>
      <c r="L114" s="3">
        <f t="shared" si="34"/>
        <v>-761245.70652732695</v>
      </c>
      <c r="M114" s="3">
        <f t="shared" si="35"/>
        <v>128724.97372970985</v>
      </c>
      <c r="N114" s="3">
        <f t="shared" si="36"/>
        <v>50589.3148282365</v>
      </c>
      <c r="O114" s="3">
        <f t="shared" si="37"/>
        <v>-62836.7660875816</v>
      </c>
      <c r="P114" s="3">
        <f t="shared" si="38"/>
        <v>288695.90207667474</v>
      </c>
      <c r="Q114" s="3">
        <f t="shared" si="39"/>
        <v>1183980.7512550617</v>
      </c>
      <c r="R114" s="3">
        <f t="shared" si="40"/>
        <v>0</v>
      </c>
      <c r="S114" s="47">
        <f t="shared" si="45"/>
        <v>827908.46927477419</v>
      </c>
      <c r="T114" s="47">
        <f ca="1">'Monthly Data'!M114+'Monthly Data'!N114</f>
        <v>29795.923593668605</v>
      </c>
      <c r="U114" s="47">
        <f t="shared" ca="1" si="46"/>
        <v>857704.39286844281</v>
      </c>
      <c r="V114" s="47">
        <f t="shared" ca="1" si="47"/>
        <v>-43920.066016823053</v>
      </c>
      <c r="W114" s="18">
        <f t="shared" ca="1" si="48"/>
        <v>4.8712150146330492E-2</v>
      </c>
    </row>
    <row r="115" spans="1:23">
      <c r="A115" s="2">
        <f>'Monthly Data'!A115</f>
        <v>45809</v>
      </c>
      <c r="B115">
        <f>'Monthly Data'!B115</f>
        <v>2025</v>
      </c>
      <c r="C115">
        <f>'Monthly Data'!C115</f>
        <v>6</v>
      </c>
      <c r="D115" s="3">
        <f ca="1">'Monthly Data'!L115</f>
        <v>896759.91161148844</v>
      </c>
      <c r="E115" s="489">
        <f>'Monthly Data'!CP115</f>
        <v>22.454166666666659</v>
      </c>
      <c r="F115" s="3">
        <f>'Monthly Data'!CU115</f>
        <v>168.17083333333329</v>
      </c>
      <c r="G115" s="3">
        <f>'Monthly Data'!EG115</f>
        <v>0</v>
      </c>
      <c r="H115">
        <f>'Monthly Data'!EH115</f>
        <v>114</v>
      </c>
      <c r="I115" s="3">
        <f>'Monthly Data'!DQ115</f>
        <v>30</v>
      </c>
      <c r="J115" s="235">
        <f>'Monthly Data'!EO115</f>
        <v>0</v>
      </c>
      <c r="L115" s="3">
        <f t="shared" si="34"/>
        <v>-761245.70652732695</v>
      </c>
      <c r="M115" s="3">
        <f t="shared" si="35"/>
        <v>18141.610006522467</v>
      </c>
      <c r="N115" s="3">
        <f t="shared" si="36"/>
        <v>310403.66916729289</v>
      </c>
      <c r="O115" s="3">
        <f t="shared" si="37"/>
        <v>0</v>
      </c>
      <c r="P115" s="3">
        <f t="shared" si="38"/>
        <v>291250.73306850373</v>
      </c>
      <c r="Q115" s="3">
        <f t="shared" si="39"/>
        <v>1145787.823795221</v>
      </c>
      <c r="R115" s="3">
        <f t="shared" si="40"/>
        <v>0</v>
      </c>
      <c r="S115" s="47">
        <f t="shared" si="45"/>
        <v>1004338.1295102132</v>
      </c>
      <c r="T115" s="47">
        <f ca="1">'Monthly Data'!M115+'Monthly Data'!N115</f>
        <v>22633.580723434981</v>
      </c>
      <c r="U115" s="47">
        <f t="shared" ca="1" si="46"/>
        <v>1026971.7102336482</v>
      </c>
      <c r="V115" s="47">
        <f t="shared" ca="1" si="47"/>
        <v>130211.79862215975</v>
      </c>
      <c r="W115" s="18">
        <f t="shared" ca="1" si="48"/>
        <v>0.14520251957758412</v>
      </c>
    </row>
    <row r="116" spans="1:23">
      <c r="A116" s="2">
        <f>'Monthly Data'!A116</f>
        <v>45839</v>
      </c>
      <c r="B116">
        <f>'Monthly Data'!B116</f>
        <v>2025</v>
      </c>
      <c r="C116">
        <f>'Monthly Data'!C116</f>
        <v>7</v>
      </c>
      <c r="D116" s="3">
        <f ca="1">'Monthly Data'!L116</f>
        <v>1191824.7457916313</v>
      </c>
      <c r="E116" s="489">
        <f>'Monthly Data'!CP116</f>
        <v>0.75416666666666288</v>
      </c>
      <c r="F116" s="3">
        <f>'Monthly Data'!CU116</f>
        <v>273.3145833333333</v>
      </c>
      <c r="G116" s="3">
        <f>'Monthly Data'!EG116</f>
        <v>0</v>
      </c>
      <c r="H116">
        <f>'Monthly Data'!EH116</f>
        <v>115</v>
      </c>
      <c r="I116" s="3">
        <f>'Monthly Data'!DQ116</f>
        <v>31</v>
      </c>
      <c r="J116" s="235">
        <f>'Monthly Data'!EO116</f>
        <v>0</v>
      </c>
      <c r="L116" s="3">
        <f t="shared" si="34"/>
        <v>-761245.70652732695</v>
      </c>
      <c r="M116" s="3">
        <f t="shared" si="35"/>
        <v>609.32110060874948</v>
      </c>
      <c r="N116" s="3">
        <f t="shared" si="36"/>
        <v>504474.2172112476</v>
      </c>
      <c r="O116" s="3">
        <f t="shared" si="37"/>
        <v>0</v>
      </c>
      <c r="P116" s="3">
        <f t="shared" si="38"/>
        <v>293805.56406033272</v>
      </c>
      <c r="Q116" s="3">
        <f t="shared" si="39"/>
        <v>1183980.7512550617</v>
      </c>
      <c r="R116" s="3">
        <f t="shared" si="40"/>
        <v>0</v>
      </c>
      <c r="S116" s="47">
        <f t="shared" si="45"/>
        <v>1221624.1470999238</v>
      </c>
      <c r="T116" s="47">
        <f ca="1">'Monthly Data'!M116+'Monthly Data'!N116</f>
        <v>21798.833324082279</v>
      </c>
      <c r="U116" s="47">
        <f t="shared" ca="1" si="46"/>
        <v>1243422.980424006</v>
      </c>
      <c r="V116" s="47">
        <f t="shared" ca="1" si="47"/>
        <v>51598.234632374719</v>
      </c>
      <c r="W116" s="18">
        <f t="shared" ca="1" si="48"/>
        <v>4.3293474828887069E-2</v>
      </c>
    </row>
    <row r="117" spans="1:23">
      <c r="A117" s="2">
        <f>'Monthly Data'!A117</f>
        <v>45870</v>
      </c>
      <c r="B117">
        <f>'Monthly Data'!B117</f>
        <v>2025</v>
      </c>
      <c r="C117">
        <f>'Monthly Data'!C117</f>
        <v>8</v>
      </c>
      <c r="D117" s="3">
        <f ca="1">'Monthly Data'!L117</f>
        <v>1238181.1114066171</v>
      </c>
      <c r="E117" s="489">
        <f>'Monthly Data'!CP117</f>
        <v>17.162500000000001</v>
      </c>
      <c r="F117" s="3">
        <f>'Monthly Data'!CU117</f>
        <v>198.54166666666663</v>
      </c>
      <c r="G117" s="3">
        <f>'Monthly Data'!EG117</f>
        <v>0</v>
      </c>
      <c r="H117">
        <f>'Monthly Data'!EH117</f>
        <v>116</v>
      </c>
      <c r="I117" s="3">
        <f>'Monthly Data'!DQ117</f>
        <v>31</v>
      </c>
      <c r="J117" s="235">
        <f>'Monthly Data'!EO117</f>
        <v>0</v>
      </c>
      <c r="L117" s="3">
        <f t="shared" si="34"/>
        <v>-761245.70652732695</v>
      </c>
      <c r="M117" s="3">
        <f t="shared" si="35"/>
        <v>13866.263057499735</v>
      </c>
      <c r="N117" s="3">
        <f t="shared" si="36"/>
        <v>366461.05983056681</v>
      </c>
      <c r="O117" s="3">
        <f t="shared" si="37"/>
        <v>0</v>
      </c>
      <c r="P117" s="3">
        <f t="shared" si="38"/>
        <v>296360.39505216171</v>
      </c>
      <c r="Q117" s="3">
        <f t="shared" si="39"/>
        <v>1183980.7512550617</v>
      </c>
      <c r="R117" s="3">
        <f t="shared" si="40"/>
        <v>0</v>
      </c>
      <c r="S117" s="47">
        <f t="shared" si="45"/>
        <v>1099422.762667963</v>
      </c>
      <c r="T117" s="47">
        <f ca="1">'Monthly Data'!M117+'Monthly Data'!N117</f>
        <v>23057.794118234764</v>
      </c>
      <c r="U117" s="47">
        <f t="shared" ca="1" si="46"/>
        <v>1122480.5567861977</v>
      </c>
      <c r="V117" s="47">
        <f t="shared" ca="1" si="47"/>
        <v>-115700.5546204194</v>
      </c>
      <c r="W117" s="18">
        <f t="shared" ca="1" si="48"/>
        <v>9.3443966762648739E-2</v>
      </c>
    </row>
    <row r="118" spans="1:23">
      <c r="A118" s="2">
        <f>'Monthly Data'!A118</f>
        <v>45901</v>
      </c>
      <c r="B118">
        <f>'Monthly Data'!B118</f>
        <v>2025</v>
      </c>
      <c r="C118">
        <f>'Monthly Data'!C118</f>
        <v>9</v>
      </c>
      <c r="D118" s="3">
        <f ca="1">'Monthly Data'!L118</f>
        <v>803460.52297657146</v>
      </c>
      <c r="E118" s="489">
        <f>'Monthly Data'!CP118</f>
        <v>37.166666666666657</v>
      </c>
      <c r="F118" s="3">
        <f>'Monthly Data'!CU118</f>
        <v>94.837499999999977</v>
      </c>
      <c r="G118" s="3">
        <f>'Monthly Data'!EG118</f>
        <v>1</v>
      </c>
      <c r="H118">
        <f>'Monthly Data'!EH118</f>
        <v>117</v>
      </c>
      <c r="I118" s="3">
        <f>'Monthly Data'!DQ118</f>
        <v>30</v>
      </c>
      <c r="J118" s="235">
        <f>'Monthly Data'!EO118</f>
        <v>0</v>
      </c>
      <c r="L118" s="3">
        <f t="shared" si="34"/>
        <v>-761245.70652732695</v>
      </c>
      <c r="M118" s="3">
        <f t="shared" si="35"/>
        <v>30028.421090773878</v>
      </c>
      <c r="N118" s="3">
        <f t="shared" si="36"/>
        <v>175047.64287100799</v>
      </c>
      <c r="O118" s="3">
        <f t="shared" si="37"/>
        <v>-62836.7660875816</v>
      </c>
      <c r="P118" s="3">
        <f t="shared" si="38"/>
        <v>298915.2260439907</v>
      </c>
      <c r="Q118" s="3">
        <f t="shared" si="39"/>
        <v>1145787.823795221</v>
      </c>
      <c r="R118" s="3">
        <f t="shared" si="40"/>
        <v>0</v>
      </c>
      <c r="S118" s="47">
        <f t="shared" si="45"/>
        <v>825696.64118608506</v>
      </c>
      <c r="T118" s="47">
        <f ca="1">'Monthly Data'!M118+'Monthly Data'!N118</f>
        <v>24514.313426600562</v>
      </c>
      <c r="U118" s="47">
        <f t="shared" ca="1" si="46"/>
        <v>850210.9546126856</v>
      </c>
      <c r="V118" s="47">
        <f t="shared" ca="1" si="47"/>
        <v>46750.431636114139</v>
      </c>
      <c r="W118" s="18">
        <f t="shared" ca="1" si="48"/>
        <v>5.8186345562963468E-2</v>
      </c>
    </row>
    <row r="119" spans="1:23">
      <c r="A119" s="2">
        <f>'Monthly Data'!A119</f>
        <v>45931</v>
      </c>
      <c r="B119">
        <f>'Monthly Data'!B119</f>
        <v>2025</v>
      </c>
      <c r="C119">
        <f>'Monthly Data'!C119</f>
        <v>10</v>
      </c>
      <c r="D119" s="3">
        <f ca="1">'Monthly Data'!L119</f>
        <v>957503.11493194941</v>
      </c>
      <c r="E119" s="489">
        <f>'Monthly Data'!CP119</f>
        <v>220.16250000000002</v>
      </c>
      <c r="F119" s="3">
        <f>'Monthly Data'!CU119</f>
        <v>21.899999999999995</v>
      </c>
      <c r="G119" s="3">
        <f>'Monthly Data'!EG119</f>
        <v>1</v>
      </c>
      <c r="H119">
        <f>'Monthly Data'!EH119</f>
        <v>118</v>
      </c>
      <c r="I119" s="3">
        <f>'Monthly Data'!DQ119</f>
        <v>31</v>
      </c>
      <c r="J119" s="235">
        <f>'Monthly Data'!EO119</f>
        <v>0</v>
      </c>
      <c r="L119" s="3">
        <f t="shared" si="34"/>
        <v>-761245.70652732695</v>
      </c>
      <c r="M119" s="3">
        <f t="shared" si="35"/>
        <v>177877.99798378939</v>
      </c>
      <c r="N119" s="3">
        <f t="shared" si="36"/>
        <v>40422.231489390535</v>
      </c>
      <c r="O119" s="3">
        <f t="shared" si="37"/>
        <v>-62836.7660875816</v>
      </c>
      <c r="P119" s="3">
        <f t="shared" si="38"/>
        <v>301470.05703581963</v>
      </c>
      <c r="Q119" s="3">
        <f t="shared" si="39"/>
        <v>1183980.7512550617</v>
      </c>
      <c r="R119" s="3">
        <f t="shared" si="40"/>
        <v>0</v>
      </c>
      <c r="S119" s="47">
        <f t="shared" si="45"/>
        <v>879668.56514915265</v>
      </c>
      <c r="T119" s="47">
        <f ca="1">'Monthly Data'!M119+'Monthly Data'!N119</f>
        <v>34925.750416306393</v>
      </c>
      <c r="U119" s="47">
        <f t="shared" ca="1" si="46"/>
        <v>914594.31556545908</v>
      </c>
      <c r="V119" s="47">
        <f t="shared" ca="1" si="47"/>
        <v>-42908.799366490333</v>
      </c>
      <c r="W119" s="18">
        <f t="shared" ca="1" si="48"/>
        <v>4.4813221698542356E-2</v>
      </c>
    </row>
    <row r="120" spans="1:23">
      <c r="A120" s="2">
        <f>'Monthly Data'!A120</f>
        <v>45962</v>
      </c>
      <c r="B120">
        <f>'Monthly Data'!B120</f>
        <v>2025</v>
      </c>
      <c r="C120">
        <f>'Monthly Data'!C120</f>
        <v>11</v>
      </c>
      <c r="D120" s="3">
        <f ca="1">'Monthly Data'!L120</f>
        <v>1069937.5426438616</v>
      </c>
      <c r="E120" s="489">
        <f>'Monthly Data'!CP120</f>
        <v>460.61250000000013</v>
      </c>
      <c r="F120" s="3">
        <f>'Monthly Data'!CU120</f>
        <v>0</v>
      </c>
      <c r="G120" s="3">
        <f>'Monthly Data'!EG120</f>
        <v>1</v>
      </c>
      <c r="H120">
        <f>'Monthly Data'!EH120</f>
        <v>119</v>
      </c>
      <c r="I120" s="3">
        <f>'Monthly Data'!DQ120</f>
        <v>30</v>
      </c>
      <c r="J120" s="235">
        <f>'Monthly Data'!EO120</f>
        <v>0</v>
      </c>
      <c r="L120" s="3">
        <f t="shared" si="34"/>
        <v>-761245.70652732695</v>
      </c>
      <c r="M120" s="3">
        <f t="shared" si="35"/>
        <v>372147.07021544635</v>
      </c>
      <c r="N120" s="3">
        <f t="shared" si="36"/>
        <v>0</v>
      </c>
      <c r="O120" s="3">
        <f t="shared" si="37"/>
        <v>-62836.7660875816</v>
      </c>
      <c r="P120" s="3">
        <f t="shared" si="38"/>
        <v>304024.88802764862</v>
      </c>
      <c r="Q120" s="3">
        <f t="shared" si="39"/>
        <v>1145787.823795221</v>
      </c>
      <c r="R120" s="3">
        <f t="shared" si="40"/>
        <v>0</v>
      </c>
      <c r="S120" s="47">
        <f t="shared" si="45"/>
        <v>997877.30942340754</v>
      </c>
      <c r="T120" s="47">
        <f ca="1">'Monthly Data'!M120+'Monthly Data'!N120</f>
        <v>48493.774141223592</v>
      </c>
      <c r="U120" s="47">
        <f t="shared" ca="1" si="46"/>
        <v>1046371.0835646312</v>
      </c>
      <c r="V120" s="47">
        <f t="shared" ca="1" si="47"/>
        <v>-23566.459079230437</v>
      </c>
      <c r="W120" s="18">
        <f t="shared" ca="1" si="48"/>
        <v>2.2026013799830508E-2</v>
      </c>
    </row>
    <row r="121" spans="1:23">
      <c r="A121" s="2">
        <f>'Monthly Data'!A121</f>
        <v>45992</v>
      </c>
      <c r="B121">
        <f>'Monthly Data'!B121</f>
        <v>2025</v>
      </c>
      <c r="C121">
        <f>'Monthly Data'!C121</f>
        <v>12</v>
      </c>
      <c r="D121" s="3">
        <f ca="1">'Monthly Data'!L121</f>
        <v>1468490.2621989343</v>
      </c>
      <c r="E121" s="489">
        <f>'Monthly Data'!CP121</f>
        <v>682.2</v>
      </c>
      <c r="F121" s="3">
        <f>'Monthly Data'!CU121</f>
        <v>0</v>
      </c>
      <c r="G121" s="3">
        <f>'Monthly Data'!EG121</f>
        <v>0</v>
      </c>
      <c r="H121">
        <f>'Monthly Data'!EH121</f>
        <v>120</v>
      </c>
      <c r="I121" s="3">
        <f>'Monthly Data'!DQ121</f>
        <v>31</v>
      </c>
      <c r="J121" s="235">
        <f>'Monthly Data'!EO121</f>
        <v>0</v>
      </c>
      <c r="L121" s="3">
        <f t="shared" si="34"/>
        <v>-761245.70652732695</v>
      </c>
      <c r="M121" s="3">
        <f t="shared" si="35"/>
        <v>551176.38210204337</v>
      </c>
      <c r="N121" s="3">
        <f t="shared" si="36"/>
        <v>0</v>
      </c>
      <c r="O121" s="3">
        <f t="shared" si="37"/>
        <v>0</v>
      </c>
      <c r="P121" s="3">
        <f t="shared" si="38"/>
        <v>306579.7190194776</v>
      </c>
      <c r="Q121" s="3">
        <f t="shared" si="39"/>
        <v>1183980.7512550617</v>
      </c>
      <c r="R121" s="3">
        <f t="shared" si="40"/>
        <v>0</v>
      </c>
      <c r="S121" s="47">
        <f t="shared" si="45"/>
        <v>1280491.1458492558</v>
      </c>
      <c r="T121" s="47">
        <f ca="1">'Monthly Data'!M121+'Monthly Data'!N121</f>
        <v>61025.474118929094</v>
      </c>
      <c r="U121" s="47">
        <f t="shared" ca="1" si="46"/>
        <v>1341516.619968185</v>
      </c>
      <c r="V121" s="47">
        <f t="shared" ca="1" si="47"/>
        <v>-126973.64223074936</v>
      </c>
      <c r="W121" s="18">
        <f t="shared" ca="1" si="48"/>
        <v>8.6465430176307437E-2</v>
      </c>
    </row>
    <row r="122" spans="1:23">
      <c r="W122" s="17">
        <f ca="1">AVERAGE(W2:W109)</f>
        <v>7.0432359656606769E-2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A2DCF-BC31-498C-BB95-7834DCDB7064}">
  <sheetPr codeName="Sheet11">
    <tabColor theme="9" tint="0.79998168889431442"/>
  </sheetPr>
  <dimension ref="A1:AH122"/>
  <sheetViews>
    <sheetView topLeftCell="Q1" workbookViewId="0">
      <selection activeCell="AC16" sqref="AC16"/>
    </sheetView>
  </sheetViews>
  <sheetFormatPr defaultRowHeight="14.5"/>
  <cols>
    <col min="4" max="4" width="24.81640625" customWidth="1"/>
    <col min="8" max="8" width="9.1796875" bestFit="1" customWidth="1"/>
    <col min="11" max="11" width="13.81640625" bestFit="1" customWidth="1"/>
    <col min="12" max="13" width="11.1796875" bestFit="1" customWidth="1"/>
    <col min="14" max="14" width="10.1796875" bestFit="1" customWidth="1"/>
    <col min="15" max="16" width="11.1796875" bestFit="1" customWidth="1"/>
    <col min="17" max="19" width="12.54296875" customWidth="1"/>
    <col min="20" max="20" width="10.453125" customWidth="1"/>
    <col min="24" max="24" width="13.1796875" customWidth="1"/>
    <col min="25" max="25" width="13.81640625" bestFit="1" customWidth="1"/>
    <col min="26" max="26" width="12.81640625" bestFit="1" customWidth="1"/>
    <col min="27" max="27" width="13.81640625" bestFit="1" customWidth="1"/>
    <col min="28" max="28" width="8.81640625" bestFit="1" customWidth="1"/>
    <col min="30" max="34" width="8.90625" bestFit="1" customWidth="1"/>
  </cols>
  <sheetData>
    <row r="1" spans="1:34">
      <c r="A1" s="541" t="str">
        <f>'Monthly Data'!A1</f>
        <v>Date</v>
      </c>
      <c r="B1" s="541" t="str">
        <f>'Monthly Data'!B1</f>
        <v>Year</v>
      </c>
      <c r="C1" s="541" t="str">
        <f>'Monthly Data'!C1</f>
        <v>Month</v>
      </c>
      <c r="D1" s="541" t="str">
        <f>'Monthly Data'!R1</f>
        <v>VRZ_GSlt50kWh_No_CDM</v>
      </c>
      <c r="E1" s="541" t="str">
        <f>'Monthly Data'!CN1</f>
        <v>HDD20</v>
      </c>
      <c r="F1" s="541" t="str">
        <f>'Monthly Data'!CU1</f>
        <v>CDD14</v>
      </c>
      <c r="G1" s="541" t="str">
        <f>'Monthly Data'!EJ1</f>
        <v>COVID_AM</v>
      </c>
      <c r="H1" s="541" t="str">
        <f>'Monthly Data'!DB1</f>
        <v>ON_FTEAdj</v>
      </c>
      <c r="I1" s="541" t="str">
        <f>'Monthly Data'!DQ1</f>
        <v>Month Days</v>
      </c>
      <c r="J1" s="541"/>
      <c r="K1" s="541" t="str">
        <f>X8</f>
        <v>const</v>
      </c>
      <c r="L1" s="541" t="str">
        <f>E1</f>
        <v>HDD20</v>
      </c>
      <c r="M1" s="541" t="str">
        <f>F1</f>
        <v>CDD14</v>
      </c>
      <c r="N1" s="541" t="str">
        <f>G1</f>
        <v>COVID_AM</v>
      </c>
      <c r="O1" s="541" t="str">
        <f t="shared" ref="O1:P1" si="0">H1</f>
        <v>ON_FTEAdj</v>
      </c>
      <c r="P1" s="541" t="str">
        <f t="shared" si="0"/>
        <v>Month Days</v>
      </c>
      <c r="Q1" s="541" t="s">
        <v>293</v>
      </c>
      <c r="R1" s="541" t="s">
        <v>294</v>
      </c>
      <c r="S1" s="541" t="s">
        <v>295</v>
      </c>
      <c r="T1" s="541" t="s">
        <v>296</v>
      </c>
      <c r="U1" s="541"/>
    </row>
    <row r="2" spans="1:34">
      <c r="A2" s="2">
        <f>'Monthly Data'!A2</f>
        <v>42370</v>
      </c>
      <c r="B2">
        <f>'Monthly Data'!B2</f>
        <v>2016</v>
      </c>
      <c r="C2">
        <f>'Monthly Data'!C2</f>
        <v>1</v>
      </c>
      <c r="D2" s="3">
        <f>'Monthly Data'!R2</f>
        <v>25594387.001226746</v>
      </c>
      <c r="E2" s="3">
        <f>'Monthly Data'!CN2</f>
        <v>737.87916666666683</v>
      </c>
      <c r="F2" s="3">
        <f>'Monthly Data'!CU2</f>
        <v>0</v>
      </c>
      <c r="G2">
        <f>'Monthly Data'!EJ2</f>
        <v>0</v>
      </c>
      <c r="H2" s="3">
        <f>'Monthly Data'!DB2</f>
        <v>6882.9</v>
      </c>
      <c r="I2" s="3">
        <f>'Monthly Data'!DQ2</f>
        <v>31</v>
      </c>
      <c r="K2" s="3">
        <f t="shared" ref="K2:K33" si="1">$Y$8</f>
        <v>3542907.1380836898</v>
      </c>
      <c r="L2" s="3">
        <f t="shared" ref="L2:L33" si="2">E2*$Y$9</f>
        <v>7756734.4840086028</v>
      </c>
      <c r="M2" s="3">
        <f t="shared" ref="M2:M33" si="3">F2*$Y$10</f>
        <v>0</v>
      </c>
      <c r="N2" s="3">
        <f t="shared" ref="N2:N33" si="4">G2*$Y$11</f>
        <v>0</v>
      </c>
      <c r="O2" s="3">
        <f t="shared" ref="O2:O33" si="5">H2*$Y$12</f>
        <v>0</v>
      </c>
      <c r="P2" s="3">
        <f t="shared" ref="P2:P33" si="6">I2*$Y$13</f>
        <v>13987420.156226436</v>
      </c>
      <c r="Q2" s="47">
        <f t="shared" ref="Q2:Q9" si="7">SUM(K2:P2)</f>
        <v>25287061.778318726</v>
      </c>
      <c r="R2" s="47">
        <f>'Monthly Data'!S2+'Monthly Data'!T2</f>
        <v>0</v>
      </c>
      <c r="S2" s="47">
        <f t="shared" ref="S2:S42" si="8">Q2+R2</f>
        <v>25287061.778318726</v>
      </c>
      <c r="T2" s="47">
        <f t="shared" ref="T2:T42" si="9">S2-D2</f>
        <v>-307325.22290802002</v>
      </c>
      <c r="U2" s="18">
        <f t="shared" ref="U2:U9" si="10">ABS(T2/D2)</f>
        <v>1.2007524262772531E-2</v>
      </c>
    </row>
    <row r="3" spans="1:34">
      <c r="A3" s="2">
        <f>'Monthly Data'!A3</f>
        <v>42401</v>
      </c>
      <c r="B3">
        <f>'Monthly Data'!B3</f>
        <v>2016</v>
      </c>
      <c r="C3">
        <f>'Monthly Data'!C3</f>
        <v>2</v>
      </c>
      <c r="D3" s="3">
        <f>'Monthly Data'!R3</f>
        <v>23846717.749293804</v>
      </c>
      <c r="E3" s="3">
        <f>'Monthly Data'!CN3</f>
        <v>661.70833333333326</v>
      </c>
      <c r="F3" s="3">
        <f>'Monthly Data'!CU3</f>
        <v>0</v>
      </c>
      <c r="G3">
        <f>'Monthly Data'!EJ3</f>
        <v>0</v>
      </c>
      <c r="H3" s="3">
        <f>'Monthly Data'!DB3</f>
        <v>6899.5</v>
      </c>
      <c r="I3" s="3">
        <f>'Monthly Data'!DQ3</f>
        <v>29</v>
      </c>
      <c r="K3" s="3">
        <f t="shared" si="1"/>
        <v>3542907.1380836898</v>
      </c>
      <c r="L3" s="3">
        <f t="shared" si="2"/>
        <v>6956011.3354456509</v>
      </c>
      <c r="M3" s="3">
        <f t="shared" si="3"/>
        <v>0</v>
      </c>
      <c r="N3" s="3">
        <f t="shared" si="4"/>
        <v>0</v>
      </c>
      <c r="O3" s="3">
        <f t="shared" si="5"/>
        <v>0</v>
      </c>
      <c r="P3" s="3">
        <f t="shared" si="6"/>
        <v>13085005.952598924</v>
      </c>
      <c r="Q3" s="47">
        <f t="shared" si="7"/>
        <v>23583924.426128265</v>
      </c>
      <c r="R3" s="47">
        <f>'Monthly Data'!S3+'Monthly Data'!T3</f>
        <v>0</v>
      </c>
      <c r="S3" s="47">
        <f t="shared" si="8"/>
        <v>23583924.426128265</v>
      </c>
      <c r="T3" s="47">
        <f t="shared" si="9"/>
        <v>-262793.32316553965</v>
      </c>
      <c r="U3" s="18">
        <f t="shared" si="10"/>
        <v>1.1020104566521404E-2</v>
      </c>
      <c r="X3" s="651" t="s">
        <v>322</v>
      </c>
      <c r="Y3" s="651"/>
      <c r="Z3" s="651"/>
      <c r="AA3" s="651"/>
      <c r="AB3" s="651"/>
      <c r="AD3" s="771" t="s">
        <v>323</v>
      </c>
      <c r="AE3" s="771"/>
      <c r="AF3" s="771"/>
      <c r="AG3" s="771"/>
      <c r="AH3" s="771"/>
    </row>
    <row r="4" spans="1:34">
      <c r="A4" s="2">
        <f>'Monthly Data'!A4</f>
        <v>42430</v>
      </c>
      <c r="B4">
        <f>'Monthly Data'!B4</f>
        <v>2016</v>
      </c>
      <c r="C4">
        <f>'Monthly Data'!C4</f>
        <v>3</v>
      </c>
      <c r="D4" s="3">
        <f>'Monthly Data'!R4</f>
        <v>23502971.311413426</v>
      </c>
      <c r="E4" s="3">
        <f>'Monthly Data'!CN4</f>
        <v>577.07934782608709</v>
      </c>
      <c r="F4" s="3">
        <f>'Monthly Data'!CU4</f>
        <v>0</v>
      </c>
      <c r="G4">
        <f>'Monthly Data'!EJ4</f>
        <v>0</v>
      </c>
      <c r="H4" s="3">
        <f>'Monthly Data'!DB4</f>
        <v>6908.6</v>
      </c>
      <c r="I4" s="3">
        <f>'Monthly Data'!DQ4</f>
        <v>31</v>
      </c>
      <c r="K4" s="3">
        <f t="shared" si="1"/>
        <v>3542907.1380836898</v>
      </c>
      <c r="L4" s="3">
        <f t="shared" si="2"/>
        <v>6066374.3868973171</v>
      </c>
      <c r="M4" s="3">
        <f t="shared" si="3"/>
        <v>0</v>
      </c>
      <c r="N4" s="3">
        <f t="shared" si="4"/>
        <v>0</v>
      </c>
      <c r="O4" s="3">
        <f t="shared" si="5"/>
        <v>0</v>
      </c>
      <c r="P4" s="3">
        <f t="shared" si="6"/>
        <v>13987420.156226436</v>
      </c>
      <c r="Q4" s="47">
        <f t="shared" si="7"/>
        <v>23596701.681207441</v>
      </c>
      <c r="R4" s="47">
        <f>'Monthly Data'!S4+'Monthly Data'!T4</f>
        <v>0</v>
      </c>
      <c r="S4" s="47">
        <f t="shared" si="8"/>
        <v>23596701.681207441</v>
      </c>
      <c r="T4" s="47">
        <f t="shared" si="9"/>
        <v>93730.369794014841</v>
      </c>
      <c r="U4" s="18">
        <f t="shared" si="10"/>
        <v>3.9880221335460613E-3</v>
      </c>
      <c r="X4" s="651" t="s">
        <v>324</v>
      </c>
      <c r="Y4" s="651"/>
      <c r="Z4" s="651"/>
      <c r="AA4" s="651"/>
      <c r="AB4" s="651"/>
      <c r="AD4" s="771" t="s">
        <v>324</v>
      </c>
      <c r="AE4" s="771"/>
      <c r="AF4" s="771"/>
      <c r="AG4" s="771"/>
      <c r="AH4" s="771"/>
    </row>
    <row r="5" spans="1:34">
      <c r="A5" s="2">
        <f>'Monthly Data'!A5</f>
        <v>42461</v>
      </c>
      <c r="B5">
        <f>'Monthly Data'!B5</f>
        <v>2016</v>
      </c>
      <c r="C5">
        <f>'Monthly Data'!C5</f>
        <v>4</v>
      </c>
      <c r="D5" s="3">
        <f>'Monthly Data'!R5</f>
        <v>21540038.953470275</v>
      </c>
      <c r="E5" s="3">
        <f>'Monthly Data'!CN5</f>
        <v>465.98333333333341</v>
      </c>
      <c r="F5" s="3">
        <f>'Monthly Data'!CU5</f>
        <v>0.83333333333333393</v>
      </c>
      <c r="G5">
        <f>'Monthly Data'!EJ5</f>
        <v>0</v>
      </c>
      <c r="H5" s="3">
        <f>'Monthly Data'!DB5</f>
        <v>6909</v>
      </c>
      <c r="I5" s="3">
        <f>'Monthly Data'!DQ5</f>
        <v>30</v>
      </c>
      <c r="K5" s="3">
        <f t="shared" si="1"/>
        <v>3542907.1380836898</v>
      </c>
      <c r="L5" s="3">
        <f t="shared" si="2"/>
        <v>4898510.6964983316</v>
      </c>
      <c r="M5" s="3">
        <f t="shared" si="3"/>
        <v>27375.977824232432</v>
      </c>
      <c r="N5" s="3">
        <f t="shared" si="4"/>
        <v>0</v>
      </c>
      <c r="O5" s="3">
        <f t="shared" si="5"/>
        <v>0</v>
      </c>
      <c r="P5" s="3">
        <f t="shared" si="6"/>
        <v>13536213.05441268</v>
      </c>
      <c r="Q5" s="47">
        <f t="shared" si="7"/>
        <v>22005006.866818935</v>
      </c>
      <c r="R5" s="47">
        <f>'Monthly Data'!S5+'Monthly Data'!T5</f>
        <v>0</v>
      </c>
      <c r="S5" s="47">
        <f t="shared" si="8"/>
        <v>22005006.866818935</v>
      </c>
      <c r="T5" s="47">
        <f t="shared" si="9"/>
        <v>464967.91334865987</v>
      </c>
      <c r="U5" s="18">
        <f t="shared" si="10"/>
        <v>2.1586215064562351E-2</v>
      </c>
      <c r="X5" s="651" t="s">
        <v>325</v>
      </c>
      <c r="Y5" s="651"/>
      <c r="Z5" s="651"/>
      <c r="AA5" s="651"/>
      <c r="AB5" s="651"/>
      <c r="AD5" s="771" t="s">
        <v>326</v>
      </c>
      <c r="AE5" s="771"/>
      <c r="AF5" s="771"/>
      <c r="AG5" s="771"/>
      <c r="AH5" s="771"/>
    </row>
    <row r="6" spans="1:34">
      <c r="A6" s="2">
        <f>'Monthly Data'!A6</f>
        <v>42491</v>
      </c>
      <c r="B6">
        <f>'Monthly Data'!B6</f>
        <v>2016</v>
      </c>
      <c r="C6">
        <f>'Monthly Data'!C6</f>
        <v>5</v>
      </c>
      <c r="D6" s="3">
        <f>'Monthly Data'!R6</f>
        <v>21211175.257671658</v>
      </c>
      <c r="E6" s="3">
        <f>'Monthly Data'!CN6</f>
        <v>203.72361111111115</v>
      </c>
      <c r="F6" s="3">
        <f>'Monthly Data'!CU6</f>
        <v>66.604166666666671</v>
      </c>
      <c r="G6">
        <f>'Monthly Data'!EJ6</f>
        <v>0</v>
      </c>
      <c r="H6" s="3">
        <f>'Monthly Data'!DB6</f>
        <v>6919.1</v>
      </c>
      <c r="I6" s="3">
        <f>'Monthly Data'!DQ6</f>
        <v>31</v>
      </c>
      <c r="K6" s="3">
        <f t="shared" si="1"/>
        <v>3542907.1380836898</v>
      </c>
      <c r="L6" s="3">
        <f t="shared" si="2"/>
        <v>2141583.6506821648</v>
      </c>
      <c r="M6" s="3">
        <f t="shared" si="3"/>
        <v>2188025.0276017757</v>
      </c>
      <c r="N6" s="3">
        <f t="shared" si="4"/>
        <v>0</v>
      </c>
      <c r="O6" s="3">
        <f t="shared" si="5"/>
        <v>0</v>
      </c>
      <c r="P6" s="3">
        <f t="shared" si="6"/>
        <v>13987420.156226436</v>
      </c>
      <c r="Q6" s="47">
        <f t="shared" si="7"/>
        <v>21859935.972594067</v>
      </c>
      <c r="R6" s="47">
        <f>'Monthly Data'!S6+'Monthly Data'!T6</f>
        <v>0</v>
      </c>
      <c r="S6" s="47">
        <f t="shared" si="8"/>
        <v>21859935.972594067</v>
      </c>
      <c r="T6" s="47">
        <f t="shared" si="9"/>
        <v>648760.7149224095</v>
      </c>
      <c r="U6" s="18">
        <f t="shared" si="10"/>
        <v>3.0585797676994146E-2</v>
      </c>
      <c r="X6" s="652"/>
      <c r="Y6" s="652"/>
      <c r="Z6" s="652"/>
      <c r="AA6" s="652"/>
      <c r="AB6" s="652"/>
      <c r="AD6" s="772"/>
      <c r="AE6" s="772"/>
      <c r="AF6" s="772"/>
      <c r="AG6" s="772"/>
      <c r="AH6" s="772"/>
    </row>
    <row r="7" spans="1:34">
      <c r="A7" s="2">
        <f>'Monthly Data'!A7</f>
        <v>42522</v>
      </c>
      <c r="B7">
        <f>'Monthly Data'!B7</f>
        <v>2016</v>
      </c>
      <c r="C7">
        <f>'Monthly Data'!C7</f>
        <v>6</v>
      </c>
      <c r="D7" s="3">
        <f>'Monthly Data'!R7</f>
        <v>22239964.56426762</v>
      </c>
      <c r="E7" s="3">
        <f>'Monthly Data'!CN7</f>
        <v>56.883333333333326</v>
      </c>
      <c r="F7" s="3">
        <f>'Monthly Data'!CU7</f>
        <v>147.17916666666667</v>
      </c>
      <c r="G7">
        <f>'Monthly Data'!EJ7</f>
        <v>0</v>
      </c>
      <c r="H7" s="3">
        <f>'Monthly Data'!DB7</f>
        <v>6930</v>
      </c>
      <c r="I7" s="3">
        <f>'Monthly Data'!DQ7</f>
        <v>30</v>
      </c>
      <c r="K7" s="3">
        <f t="shared" si="1"/>
        <v>3542907.1380836898</v>
      </c>
      <c r="L7" s="3">
        <f t="shared" si="2"/>
        <v>597969.06209624093</v>
      </c>
      <c r="M7" s="3">
        <f t="shared" si="3"/>
        <v>4835008.3234268082</v>
      </c>
      <c r="N7" s="3">
        <f t="shared" si="4"/>
        <v>0</v>
      </c>
      <c r="O7" s="3">
        <f t="shared" si="5"/>
        <v>0</v>
      </c>
      <c r="P7" s="3">
        <f t="shared" si="6"/>
        <v>13536213.05441268</v>
      </c>
      <c r="Q7" s="47">
        <f t="shared" si="7"/>
        <v>22512097.578019418</v>
      </c>
      <c r="R7" s="47">
        <f>'Monthly Data'!S7+'Monthly Data'!T7</f>
        <v>0</v>
      </c>
      <c r="S7" s="47">
        <f t="shared" si="8"/>
        <v>22512097.578019418</v>
      </c>
      <c r="T7" s="47">
        <f t="shared" si="9"/>
        <v>272133.01375179738</v>
      </c>
      <c r="U7" s="18">
        <f t="shared" si="10"/>
        <v>1.2236216157872234E-2</v>
      </c>
      <c r="X7" s="652"/>
      <c r="Y7" s="652" t="s">
        <v>300</v>
      </c>
      <c r="Z7" s="652" t="s">
        <v>301</v>
      </c>
      <c r="AA7" s="652" t="s">
        <v>302</v>
      </c>
      <c r="AB7" s="652" t="s">
        <v>303</v>
      </c>
      <c r="AD7" s="772"/>
      <c r="AE7" s="772" t="s">
        <v>300</v>
      </c>
      <c r="AF7" s="772" t="s">
        <v>301</v>
      </c>
      <c r="AG7" s="772" t="s">
        <v>302</v>
      </c>
      <c r="AH7" s="772" t="s">
        <v>303</v>
      </c>
    </row>
    <row r="8" spans="1:34">
      <c r="A8" s="2">
        <f>'Monthly Data'!A8</f>
        <v>42552</v>
      </c>
      <c r="B8">
        <f>'Monthly Data'!B8</f>
        <v>2016</v>
      </c>
      <c r="C8">
        <f>'Monthly Data'!C8</f>
        <v>7</v>
      </c>
      <c r="D8" s="3">
        <f>'Monthly Data'!R8</f>
        <v>24686265.973916437</v>
      </c>
      <c r="E8" s="3">
        <f>'Monthly Data'!CN8</f>
        <v>8.75416666666667</v>
      </c>
      <c r="F8" s="3">
        <f>'Monthly Data'!CU8</f>
        <v>251.2291666666666</v>
      </c>
      <c r="G8">
        <f>'Monthly Data'!EJ8</f>
        <v>0</v>
      </c>
      <c r="H8" s="3">
        <f>'Monthly Data'!DB8</f>
        <v>6933.8</v>
      </c>
      <c r="I8" s="3">
        <f>'Monthly Data'!DQ8</f>
        <v>31</v>
      </c>
      <c r="K8" s="3">
        <f t="shared" si="1"/>
        <v>3542907.1380836898</v>
      </c>
      <c r="L8" s="3">
        <f t="shared" si="2"/>
        <v>92025.563980677034</v>
      </c>
      <c r="M8" s="3">
        <f t="shared" si="3"/>
        <v>8253172.9145604651</v>
      </c>
      <c r="N8" s="3">
        <f t="shared" si="4"/>
        <v>0</v>
      </c>
      <c r="O8" s="3">
        <f t="shared" si="5"/>
        <v>0</v>
      </c>
      <c r="P8" s="3">
        <f t="shared" si="6"/>
        <v>13987420.156226436</v>
      </c>
      <c r="Q8" s="47">
        <f t="shared" si="7"/>
        <v>25875525.772851266</v>
      </c>
      <c r="R8" s="47">
        <f>'Monthly Data'!S8+'Monthly Data'!T8</f>
        <v>0</v>
      </c>
      <c r="S8" s="47">
        <f t="shared" si="8"/>
        <v>25875525.772851266</v>
      </c>
      <c r="T8" s="47">
        <f t="shared" si="9"/>
        <v>1189259.7989348285</v>
      </c>
      <c r="U8" s="18">
        <f t="shared" si="10"/>
        <v>4.8174956884585257E-2</v>
      </c>
      <c r="X8" s="652" t="s">
        <v>304</v>
      </c>
      <c r="Y8" s="654">
        <v>3542907.1380836898</v>
      </c>
      <c r="Z8" s="654">
        <v>1262334.04443435</v>
      </c>
      <c r="AA8" s="655">
        <v>2.8066320113161898</v>
      </c>
      <c r="AB8" s="656">
        <v>5.8815210686102301E-3</v>
      </c>
      <c r="AD8" s="772" t="s">
        <v>304</v>
      </c>
      <c r="AE8" s="773">
        <v>-222596.40207066701</v>
      </c>
      <c r="AF8" s="773">
        <v>4097566.7624442298</v>
      </c>
      <c r="AG8" s="774">
        <v>-5.4324045214064101E-2</v>
      </c>
      <c r="AH8" s="775">
        <v>0.95677208007344605</v>
      </c>
    </row>
    <row r="9" spans="1:34">
      <c r="A9" s="2">
        <f>'Monthly Data'!A9</f>
        <v>42583</v>
      </c>
      <c r="B9">
        <f>'Monthly Data'!B9</f>
        <v>2016</v>
      </c>
      <c r="C9">
        <f>'Monthly Data'!C9</f>
        <v>8</v>
      </c>
      <c r="D9" s="3">
        <f>'Monthly Data'!R9</f>
        <v>25811417.484328467</v>
      </c>
      <c r="E9" s="3">
        <f>'Monthly Data'!CN9</f>
        <v>4.029166666666665</v>
      </c>
      <c r="F9" s="3">
        <f>'Monthly Data'!CU9</f>
        <v>266.02500000000003</v>
      </c>
      <c r="G9">
        <f>'Monthly Data'!EJ9</f>
        <v>0</v>
      </c>
      <c r="H9" s="3">
        <f>'Monthly Data'!DB9</f>
        <v>6931.2</v>
      </c>
      <c r="I9" s="3">
        <f>'Monthly Data'!DQ9</f>
        <v>31</v>
      </c>
      <c r="K9" s="3">
        <f t="shared" si="1"/>
        <v>3542907.1380836898</v>
      </c>
      <c r="L9" s="3">
        <f t="shared" si="2"/>
        <v>42355.411884490539</v>
      </c>
      <c r="M9" s="3">
        <f t="shared" si="3"/>
        <v>8739233.4008297138</v>
      </c>
      <c r="N9" s="3">
        <f t="shared" si="4"/>
        <v>0</v>
      </c>
      <c r="O9" s="3">
        <f t="shared" si="5"/>
        <v>0</v>
      </c>
      <c r="P9" s="3">
        <f t="shared" si="6"/>
        <v>13987420.156226436</v>
      </c>
      <c r="Q9" s="47">
        <f t="shared" si="7"/>
        <v>26311916.107024327</v>
      </c>
      <c r="R9" s="47">
        <f>'Monthly Data'!S9+'Monthly Data'!T9</f>
        <v>0</v>
      </c>
      <c r="S9" s="47">
        <f t="shared" si="8"/>
        <v>26311916.107024327</v>
      </c>
      <c r="T9" s="47">
        <f t="shared" si="9"/>
        <v>500498.62269585952</v>
      </c>
      <c r="U9" s="18">
        <f t="shared" si="10"/>
        <v>1.9390590346296935E-2</v>
      </c>
      <c r="X9" s="652" t="s">
        <v>116</v>
      </c>
      <c r="Y9" s="654">
        <v>10512.201501838401</v>
      </c>
      <c r="Z9" s="654">
        <v>433.437765841729</v>
      </c>
      <c r="AA9" s="655">
        <v>24.253081596209899</v>
      </c>
      <c r="AB9" s="656">
        <v>4.9132262050814201E-47</v>
      </c>
      <c r="AD9" s="772" t="s">
        <v>116</v>
      </c>
      <c r="AE9" s="773">
        <v>10483.153596328801</v>
      </c>
      <c r="AF9" s="773">
        <v>432.63075918453501</v>
      </c>
      <c r="AG9" s="774">
        <v>24.2311795307584</v>
      </c>
      <c r="AH9" s="775">
        <v>8.7638128398851198E-47</v>
      </c>
    </row>
    <row r="10" spans="1:34">
      <c r="A10" s="2">
        <f>'Monthly Data'!A10</f>
        <v>42614</v>
      </c>
      <c r="B10">
        <f>'Monthly Data'!B10</f>
        <v>2016</v>
      </c>
      <c r="C10">
        <f>'Monthly Data'!C10</f>
        <v>9</v>
      </c>
      <c r="D10" s="3">
        <f>'Monthly Data'!R10</f>
        <v>21886803.918791153</v>
      </c>
      <c r="E10" s="3">
        <f>'Monthly Data'!CN10</f>
        <v>80.145833333333343</v>
      </c>
      <c r="F10" s="3">
        <f>'Monthly Data'!CU10</f>
        <v>120.65416666666664</v>
      </c>
      <c r="G10">
        <f>'Monthly Data'!EJ10</f>
        <v>0</v>
      </c>
      <c r="H10" s="3">
        <f>'Monthly Data'!DB10</f>
        <v>6929.7</v>
      </c>
      <c r="I10" s="3">
        <f>'Monthly Data'!DQ10</f>
        <v>30</v>
      </c>
      <c r="K10" s="3">
        <f t="shared" si="1"/>
        <v>3542907.1380836898</v>
      </c>
      <c r="L10" s="3">
        <f t="shared" si="2"/>
        <v>842509.14953275688</v>
      </c>
      <c r="M10" s="3">
        <f t="shared" si="3"/>
        <v>3963630.949281489</v>
      </c>
      <c r="N10" s="3">
        <f t="shared" si="4"/>
        <v>0</v>
      </c>
      <c r="O10" s="3">
        <f t="shared" si="5"/>
        <v>0</v>
      </c>
      <c r="P10" s="3">
        <f t="shared" si="6"/>
        <v>13536213.05441268</v>
      </c>
      <c r="Q10" s="47">
        <f t="shared" ref="Q10:Q41" si="11">SUM(K10:P10)</f>
        <v>21885260.291310616</v>
      </c>
      <c r="R10" s="47">
        <f>'Monthly Data'!S10+'Monthly Data'!T10</f>
        <v>0</v>
      </c>
      <c r="S10" s="47">
        <f t="shared" si="8"/>
        <v>21885260.291310616</v>
      </c>
      <c r="T10" s="47">
        <f t="shared" si="9"/>
        <v>-1543.6274805366993</v>
      </c>
      <c r="U10" s="18">
        <f t="shared" ref="U10:U41" si="12">ABS(T10/D10)</f>
        <v>7.0527770352591366E-5</v>
      </c>
      <c r="X10" s="652" t="s">
        <v>123</v>
      </c>
      <c r="Y10" s="654">
        <v>32851.173389078896</v>
      </c>
      <c r="Z10" s="654">
        <v>1074.7621176949999</v>
      </c>
      <c r="AA10" s="655">
        <v>30.565994882228999</v>
      </c>
      <c r="AB10" s="656">
        <v>4.8335705351016201E-57</v>
      </c>
      <c r="AD10" s="772" t="s">
        <v>123</v>
      </c>
      <c r="AE10" s="773">
        <v>32903.057912298602</v>
      </c>
      <c r="AF10" s="773">
        <v>1065.70019053737</v>
      </c>
      <c r="AG10" s="774">
        <v>30.874591376123799</v>
      </c>
      <c r="AH10" s="775">
        <v>3.3825684166705499E-57</v>
      </c>
    </row>
    <row r="11" spans="1:34">
      <c r="A11" s="2">
        <f>'Monthly Data'!A11</f>
        <v>42644</v>
      </c>
      <c r="B11">
        <f>'Monthly Data'!B11</f>
        <v>2016</v>
      </c>
      <c r="C11">
        <f>'Monthly Data'!C11</f>
        <v>10</v>
      </c>
      <c r="D11" s="3">
        <f>'Monthly Data'!R11</f>
        <v>20725400.682227511</v>
      </c>
      <c r="E11" s="3">
        <f>'Monthly Data'!CN11</f>
        <v>283.19583333333327</v>
      </c>
      <c r="F11" s="3">
        <f>'Monthly Data'!CU11</f>
        <v>24.770833333333336</v>
      </c>
      <c r="G11">
        <f>'Monthly Data'!EJ11</f>
        <v>0</v>
      </c>
      <c r="H11" s="3">
        <f>'Monthly Data'!DB11</f>
        <v>6942</v>
      </c>
      <c r="I11" s="3">
        <f>'Monthly Data'!DQ11</f>
        <v>31</v>
      </c>
      <c r="K11" s="3">
        <f t="shared" si="1"/>
        <v>3542907.1380836898</v>
      </c>
      <c r="L11" s="3">
        <f t="shared" si="2"/>
        <v>2977011.6644810433</v>
      </c>
      <c r="M11" s="3">
        <f t="shared" si="3"/>
        <v>813750.94082530856</v>
      </c>
      <c r="N11" s="3">
        <f t="shared" si="4"/>
        <v>0</v>
      </c>
      <c r="O11" s="3">
        <f t="shared" si="5"/>
        <v>0</v>
      </c>
      <c r="P11" s="3">
        <f t="shared" si="6"/>
        <v>13987420.156226436</v>
      </c>
      <c r="Q11" s="47">
        <f t="shared" si="11"/>
        <v>21321089.899616476</v>
      </c>
      <c r="R11" s="47">
        <f>'Monthly Data'!S11+'Monthly Data'!T11</f>
        <v>0</v>
      </c>
      <c r="S11" s="47">
        <f t="shared" si="8"/>
        <v>21321089.899616476</v>
      </c>
      <c r="T11" s="47">
        <f t="shared" si="9"/>
        <v>595689.21738896519</v>
      </c>
      <c r="U11" s="18">
        <f t="shared" si="12"/>
        <v>2.8741987984810438E-2</v>
      </c>
      <c r="X11" s="652" t="s">
        <v>164</v>
      </c>
      <c r="Y11" s="654">
        <v>-2618744.1838684198</v>
      </c>
      <c r="Z11" s="654">
        <v>584233.20237619197</v>
      </c>
      <c r="AA11" s="655">
        <v>-4.4823611072042402</v>
      </c>
      <c r="AB11" s="656">
        <v>1.7551155443440101E-5</v>
      </c>
      <c r="AD11" s="772" t="s">
        <v>164</v>
      </c>
      <c r="AE11" s="773">
        <v>-2564659.5410929602</v>
      </c>
      <c r="AF11" s="773">
        <v>623462.83528869401</v>
      </c>
      <c r="AG11" s="774">
        <v>-4.1135724471939001</v>
      </c>
      <c r="AH11" s="775">
        <v>7.3861293652699694E-5</v>
      </c>
    </row>
    <row r="12" spans="1:34">
      <c r="A12" s="2">
        <f>'Monthly Data'!A12</f>
        <v>42675</v>
      </c>
      <c r="B12">
        <f>'Monthly Data'!B12</f>
        <v>2016</v>
      </c>
      <c r="C12">
        <f>'Monthly Data'!C12</f>
        <v>11</v>
      </c>
      <c r="D12" s="3">
        <f>'Monthly Data'!R12</f>
        <v>21596970.981115021</v>
      </c>
      <c r="E12" s="3">
        <f>'Monthly Data'!CN12</f>
        <v>437.33511904761912</v>
      </c>
      <c r="F12" s="3">
        <f>'Monthly Data'!CU12</f>
        <v>0</v>
      </c>
      <c r="G12">
        <f>'Monthly Data'!EJ12</f>
        <v>0</v>
      </c>
      <c r="H12" s="3">
        <f>'Monthly Data'!DB12</f>
        <v>6959</v>
      </c>
      <c r="I12" s="3">
        <f>'Monthly Data'!DQ12</f>
        <v>30</v>
      </c>
      <c r="K12" s="3">
        <f t="shared" si="1"/>
        <v>3542907.1380836898</v>
      </c>
      <c r="L12" s="3">
        <f t="shared" si="2"/>
        <v>4597354.8952590572</v>
      </c>
      <c r="M12" s="3">
        <f t="shared" si="3"/>
        <v>0</v>
      </c>
      <c r="N12" s="3">
        <f t="shared" si="4"/>
        <v>0</v>
      </c>
      <c r="O12" s="3">
        <f t="shared" si="5"/>
        <v>0</v>
      </c>
      <c r="P12" s="3">
        <f t="shared" si="6"/>
        <v>13536213.05441268</v>
      </c>
      <c r="Q12" s="47">
        <f t="shared" si="11"/>
        <v>21676475.087755427</v>
      </c>
      <c r="R12" s="47">
        <f>'Monthly Data'!S12+'Monthly Data'!T12</f>
        <v>0</v>
      </c>
      <c r="S12" s="47">
        <f t="shared" si="8"/>
        <v>21676475.087755427</v>
      </c>
      <c r="T12" s="47">
        <f t="shared" si="9"/>
        <v>79504.106640405953</v>
      </c>
      <c r="U12" s="18">
        <f t="shared" si="12"/>
        <v>3.6812619098264524E-3</v>
      </c>
      <c r="X12" s="652"/>
      <c r="Y12" s="654"/>
      <c r="Z12" s="654"/>
      <c r="AA12" s="655"/>
      <c r="AB12" s="655"/>
      <c r="AD12" s="772" t="s">
        <v>130</v>
      </c>
      <c r="AE12" s="773">
        <v>497.735434540489</v>
      </c>
      <c r="AF12" s="773">
        <v>518.58265868596095</v>
      </c>
      <c r="AG12" s="774">
        <v>0.95979961189158003</v>
      </c>
      <c r="AH12" s="776">
        <v>0.33918733243941002</v>
      </c>
    </row>
    <row r="13" spans="1:34">
      <c r="A13" s="2">
        <f>'Monthly Data'!A13</f>
        <v>42705</v>
      </c>
      <c r="B13">
        <f>'Monthly Data'!B13</f>
        <v>2016</v>
      </c>
      <c r="C13">
        <f>'Monthly Data'!C13</f>
        <v>12</v>
      </c>
      <c r="D13" s="3">
        <f>'Monthly Data'!R13</f>
        <v>24661948.89940713</v>
      </c>
      <c r="E13" s="3">
        <f>'Monthly Data'!CN13</f>
        <v>678.67083333333323</v>
      </c>
      <c r="F13" s="3">
        <f>'Monthly Data'!CU13</f>
        <v>0</v>
      </c>
      <c r="G13">
        <f>'Monthly Data'!EJ13</f>
        <v>0</v>
      </c>
      <c r="H13" s="3">
        <f>'Monthly Data'!DB13</f>
        <v>6974.4</v>
      </c>
      <c r="I13" s="3">
        <f>'Monthly Data'!DQ13</f>
        <v>31</v>
      </c>
      <c r="K13" s="3">
        <f t="shared" si="1"/>
        <v>3542907.1380836898</v>
      </c>
      <c r="L13" s="3">
        <f t="shared" si="2"/>
        <v>7134324.5534205846</v>
      </c>
      <c r="M13" s="3">
        <f t="shared" si="3"/>
        <v>0</v>
      </c>
      <c r="N13" s="3">
        <f t="shared" si="4"/>
        <v>0</v>
      </c>
      <c r="O13" s="3">
        <f t="shared" si="5"/>
        <v>0</v>
      </c>
      <c r="P13" s="3">
        <f t="shared" si="6"/>
        <v>13987420.156226436</v>
      </c>
      <c r="Q13" s="47">
        <f t="shared" si="11"/>
        <v>24664651.847730711</v>
      </c>
      <c r="R13" s="47">
        <f>'Monthly Data'!S13+'Monthly Data'!T13</f>
        <v>0</v>
      </c>
      <c r="S13" s="47">
        <f t="shared" si="8"/>
        <v>24664651.847730711</v>
      </c>
      <c r="T13" s="47">
        <f t="shared" si="9"/>
        <v>2702.9483235813677</v>
      </c>
      <c r="U13" s="18">
        <f t="shared" si="12"/>
        <v>1.095999482687415E-4</v>
      </c>
      <c r="X13" s="652" t="s">
        <v>305</v>
      </c>
      <c r="Y13" s="654">
        <v>451207.10181375599</v>
      </c>
      <c r="Z13" s="654">
        <v>41481.650684951797</v>
      </c>
      <c r="AA13" s="655">
        <v>10.8772696930655</v>
      </c>
      <c r="AB13" s="656">
        <v>2.2283554973687001E-19</v>
      </c>
      <c r="AD13" s="772" t="s">
        <v>305</v>
      </c>
      <c r="AE13" s="773">
        <v>451671.30103484797</v>
      </c>
      <c r="AF13" s="773">
        <v>40853.581179848101</v>
      </c>
      <c r="AG13" s="774">
        <v>11.0558557656543</v>
      </c>
      <c r="AH13" s="775">
        <v>9.4506432299851898E-20</v>
      </c>
    </row>
    <row r="14" spans="1:34">
      <c r="A14" s="2">
        <f>'Monthly Data'!A14</f>
        <v>42736</v>
      </c>
      <c r="B14">
        <f>'Monthly Data'!B14</f>
        <v>2017</v>
      </c>
      <c r="C14">
        <f>'Monthly Data'!C14</f>
        <v>1</v>
      </c>
      <c r="D14" s="3">
        <f>'Monthly Data'!R14</f>
        <v>25099418.824082334</v>
      </c>
      <c r="E14" s="3">
        <f>'Monthly Data'!CN14</f>
        <v>682.2166666666667</v>
      </c>
      <c r="F14" s="3">
        <f>'Monthly Data'!CU14</f>
        <v>0</v>
      </c>
      <c r="G14">
        <f>'Monthly Data'!EJ14</f>
        <v>0</v>
      </c>
      <c r="H14" s="3">
        <f>'Monthly Data'!DB14</f>
        <v>6998.9</v>
      </c>
      <c r="I14" s="3">
        <f>'Monthly Data'!DQ14</f>
        <v>31</v>
      </c>
      <c r="K14" s="3">
        <f t="shared" si="1"/>
        <v>3542907.1380836898</v>
      </c>
      <c r="L14" s="3">
        <f t="shared" si="2"/>
        <v>7171599.0679125218</v>
      </c>
      <c r="M14" s="3">
        <f t="shared" si="3"/>
        <v>0</v>
      </c>
      <c r="N14" s="3">
        <f t="shared" si="4"/>
        <v>0</v>
      </c>
      <c r="O14" s="3">
        <f t="shared" si="5"/>
        <v>0</v>
      </c>
      <c r="P14" s="3">
        <f t="shared" si="6"/>
        <v>13987420.156226436</v>
      </c>
      <c r="Q14" s="47">
        <f t="shared" si="11"/>
        <v>24701926.362222649</v>
      </c>
      <c r="R14" s="47">
        <f>'Monthly Data'!S14+'Monthly Data'!T14</f>
        <v>400.49435897435899</v>
      </c>
      <c r="S14" s="47">
        <f t="shared" si="8"/>
        <v>24702326.856581625</v>
      </c>
      <c r="T14" s="47">
        <f t="shared" si="9"/>
        <v>-397091.967500709</v>
      </c>
      <c r="U14" s="18">
        <f t="shared" si="12"/>
        <v>1.5820763432167925E-2</v>
      </c>
      <c r="Y14" s="3"/>
      <c r="Z14" s="3"/>
      <c r="AA14" s="235"/>
      <c r="AB14" s="100"/>
      <c r="AD14" s="777"/>
      <c r="AE14" s="778"/>
      <c r="AF14" s="778"/>
      <c r="AG14" s="779"/>
      <c r="AH14" s="780"/>
    </row>
    <row r="15" spans="1:34">
      <c r="A15" s="2">
        <f>'Monthly Data'!A15</f>
        <v>42767</v>
      </c>
      <c r="B15">
        <f>'Monthly Data'!B15</f>
        <v>2017</v>
      </c>
      <c r="C15">
        <f>'Monthly Data'!C15</f>
        <v>2</v>
      </c>
      <c r="D15" s="3">
        <f>'Monthly Data'!R15</f>
        <v>22458315.671468545</v>
      </c>
      <c r="E15" s="3">
        <f>'Monthly Data'!CN15</f>
        <v>586.08333333333337</v>
      </c>
      <c r="F15" s="3">
        <f>'Monthly Data'!CU15</f>
        <v>0</v>
      </c>
      <c r="G15">
        <f>'Monthly Data'!EJ15</f>
        <v>0</v>
      </c>
      <c r="H15" s="3">
        <f>'Monthly Data'!DB15</f>
        <v>7017.3</v>
      </c>
      <c r="I15" s="3">
        <f>'Monthly Data'!DQ15</f>
        <v>28</v>
      </c>
      <c r="K15" s="3">
        <f t="shared" si="1"/>
        <v>3542907.1380836898</v>
      </c>
      <c r="L15" s="3">
        <f t="shared" si="2"/>
        <v>6161026.0968691232</v>
      </c>
      <c r="M15" s="3">
        <f t="shared" si="3"/>
        <v>0</v>
      </c>
      <c r="N15" s="3">
        <f t="shared" si="4"/>
        <v>0</v>
      </c>
      <c r="O15" s="3">
        <f t="shared" si="5"/>
        <v>0</v>
      </c>
      <c r="P15" s="3">
        <f t="shared" si="6"/>
        <v>12633798.850785168</v>
      </c>
      <c r="Q15" s="47">
        <f t="shared" si="11"/>
        <v>22337732.085737981</v>
      </c>
      <c r="R15" s="47">
        <f>'Monthly Data'!S15+'Monthly Data'!T15</f>
        <v>800.98871794871798</v>
      </c>
      <c r="S15" s="47">
        <f t="shared" si="8"/>
        <v>22338533.074455928</v>
      </c>
      <c r="T15" s="47">
        <f t="shared" si="9"/>
        <v>-119782.59701261669</v>
      </c>
      <c r="U15" s="18">
        <f t="shared" si="12"/>
        <v>5.3335521133844729E-3</v>
      </c>
      <c r="X15" s="657" t="s">
        <v>306</v>
      </c>
      <c r="Y15" s="658"/>
      <c r="Z15" s="658"/>
      <c r="AA15" s="659"/>
      <c r="AB15" s="100"/>
      <c r="AD15" s="781" t="s">
        <v>306</v>
      </c>
      <c r="AE15" s="782"/>
      <c r="AF15" s="782"/>
      <c r="AG15" s="783"/>
      <c r="AH15" s="780"/>
    </row>
    <row r="16" spans="1:34">
      <c r="A16" s="2">
        <f>'Monthly Data'!A16</f>
        <v>42795</v>
      </c>
      <c r="B16">
        <f>'Monthly Data'!B16</f>
        <v>2017</v>
      </c>
      <c r="C16">
        <f>'Monthly Data'!C16</f>
        <v>3</v>
      </c>
      <c r="D16" s="3">
        <f>'Monthly Data'!R16</f>
        <v>24763416.611976296</v>
      </c>
      <c r="E16" s="3">
        <f>'Monthly Data'!CN16</f>
        <v>661.67916666666667</v>
      </c>
      <c r="F16" s="3">
        <f>'Monthly Data'!CU16</f>
        <v>0</v>
      </c>
      <c r="G16">
        <f>'Monthly Data'!EJ16</f>
        <v>0</v>
      </c>
      <c r="H16" s="3">
        <f>'Monthly Data'!DB16</f>
        <v>7035.4</v>
      </c>
      <c r="I16" s="3">
        <f>'Monthly Data'!DQ16</f>
        <v>31</v>
      </c>
      <c r="K16" s="3">
        <f t="shared" si="1"/>
        <v>3542907.1380836898</v>
      </c>
      <c r="L16" s="3">
        <f t="shared" si="2"/>
        <v>6955704.729568515</v>
      </c>
      <c r="M16" s="3">
        <f t="shared" si="3"/>
        <v>0</v>
      </c>
      <c r="N16" s="3">
        <f t="shared" si="4"/>
        <v>0</v>
      </c>
      <c r="O16" s="3">
        <f t="shared" si="5"/>
        <v>0</v>
      </c>
      <c r="P16" s="3">
        <f t="shared" si="6"/>
        <v>13987420.156226436</v>
      </c>
      <c r="Q16" s="47">
        <f t="shared" si="11"/>
        <v>24486032.023878641</v>
      </c>
      <c r="R16" s="47">
        <f>'Monthly Data'!S16+'Monthly Data'!T16</f>
        <v>1201.4830769230771</v>
      </c>
      <c r="S16" s="47">
        <f t="shared" si="8"/>
        <v>24487233.506955564</v>
      </c>
      <c r="T16" s="47">
        <f t="shared" si="9"/>
        <v>-276183.10502073169</v>
      </c>
      <c r="U16" s="18">
        <f t="shared" si="12"/>
        <v>1.1152867528269975E-2</v>
      </c>
      <c r="X16" s="652" t="s">
        <v>307</v>
      </c>
      <c r="Y16" s="660">
        <v>35550456841017.5</v>
      </c>
      <c r="Z16" s="652" t="s">
        <v>308</v>
      </c>
      <c r="AA16" s="654">
        <v>555998.56772584899</v>
      </c>
      <c r="AD16" s="772" t="s">
        <v>307</v>
      </c>
      <c r="AE16" s="784">
        <v>35357058942576.203</v>
      </c>
      <c r="AF16" s="772" t="s">
        <v>308</v>
      </c>
      <c r="AG16" s="773">
        <v>556910.80061995599</v>
      </c>
      <c r="AH16" s="777"/>
    </row>
    <row r="17" spans="1:34">
      <c r="A17" s="2">
        <f>'Monthly Data'!A17</f>
        <v>42826</v>
      </c>
      <c r="B17">
        <f>'Monthly Data'!B17</f>
        <v>2017</v>
      </c>
      <c r="C17">
        <f>'Monthly Data'!C17</f>
        <v>4</v>
      </c>
      <c r="D17" s="3">
        <f>'Monthly Data'!R17</f>
        <v>20428681.878633447</v>
      </c>
      <c r="E17" s="3">
        <f>'Monthly Data'!CN17</f>
        <v>348.38749999999999</v>
      </c>
      <c r="F17" s="3">
        <f>'Monthly Data'!CU17</f>
        <v>5.6500000000000057</v>
      </c>
      <c r="G17">
        <f>'Monthly Data'!EJ17</f>
        <v>0</v>
      </c>
      <c r="H17" s="3">
        <f>'Monthly Data'!DB17</f>
        <v>7041.8</v>
      </c>
      <c r="I17" s="3">
        <f>'Monthly Data'!DQ17</f>
        <v>30</v>
      </c>
      <c r="K17" s="3">
        <f t="shared" si="1"/>
        <v>3542907.1380836898</v>
      </c>
      <c r="L17" s="3">
        <f t="shared" si="2"/>
        <v>3662319.6007217257</v>
      </c>
      <c r="M17" s="3">
        <f t="shared" si="3"/>
        <v>185609.12964829596</v>
      </c>
      <c r="N17" s="3">
        <f t="shared" si="4"/>
        <v>0</v>
      </c>
      <c r="O17" s="3">
        <f t="shared" si="5"/>
        <v>0</v>
      </c>
      <c r="P17" s="3">
        <f t="shared" si="6"/>
        <v>13536213.05441268</v>
      </c>
      <c r="Q17" s="47">
        <f t="shared" si="11"/>
        <v>20927048.922866389</v>
      </c>
      <c r="R17" s="47">
        <f>'Monthly Data'!S17+'Monthly Data'!T17</f>
        <v>1601.977435897436</v>
      </c>
      <c r="S17" s="47">
        <f t="shared" si="8"/>
        <v>20928650.900302287</v>
      </c>
      <c r="T17" s="47">
        <f t="shared" si="9"/>
        <v>499969.0216688402</v>
      </c>
      <c r="U17" s="18">
        <f t="shared" si="12"/>
        <v>2.4473875732127514E-2</v>
      </c>
      <c r="X17" s="652" t="s">
        <v>309</v>
      </c>
      <c r="Y17" s="661">
        <v>0.92474275116090099</v>
      </c>
      <c r="Z17" s="652" t="s">
        <v>310</v>
      </c>
      <c r="AA17" s="661">
        <v>0.92212510772302003</v>
      </c>
      <c r="AD17" s="772" t="s">
        <v>309</v>
      </c>
      <c r="AE17" s="785">
        <v>0.92490698325730902</v>
      </c>
      <c r="AF17" s="772" t="s">
        <v>310</v>
      </c>
      <c r="AG17" s="785">
        <v>0.92161342989140105</v>
      </c>
      <c r="AH17" s="777"/>
    </row>
    <row r="18" spans="1:34">
      <c r="A18" s="2">
        <f>'Monthly Data'!A18</f>
        <v>42856</v>
      </c>
      <c r="B18">
        <f>'Monthly Data'!B18</f>
        <v>2017</v>
      </c>
      <c r="C18">
        <f>'Monthly Data'!C18</f>
        <v>5</v>
      </c>
      <c r="D18" s="3">
        <f>'Monthly Data'!R18</f>
        <v>20719953.781686418</v>
      </c>
      <c r="E18" s="3">
        <f>'Monthly Data'!CN18</f>
        <v>247.16666666666663</v>
      </c>
      <c r="F18" s="3">
        <f>'Monthly Data'!CU18</f>
        <v>28.370833333333344</v>
      </c>
      <c r="G18">
        <f>'Monthly Data'!EJ18</f>
        <v>0</v>
      </c>
      <c r="H18" s="3">
        <f>'Monthly Data'!DB18</f>
        <v>7055.9</v>
      </c>
      <c r="I18" s="3">
        <f>'Monthly Data'!DQ18</f>
        <v>31</v>
      </c>
      <c r="K18" s="3">
        <f t="shared" si="1"/>
        <v>3542907.1380836898</v>
      </c>
      <c r="L18" s="3">
        <f t="shared" si="2"/>
        <v>2598265.8045377242</v>
      </c>
      <c r="M18" s="3">
        <f t="shared" si="3"/>
        <v>932015.1650259929</v>
      </c>
      <c r="N18" s="3">
        <f t="shared" si="4"/>
        <v>0</v>
      </c>
      <c r="O18" s="3">
        <f t="shared" si="5"/>
        <v>0</v>
      </c>
      <c r="P18" s="3">
        <f t="shared" si="6"/>
        <v>13987420.156226436</v>
      </c>
      <c r="Q18" s="47">
        <f t="shared" si="11"/>
        <v>21060608.263873842</v>
      </c>
      <c r="R18" s="47">
        <f>'Monthly Data'!S18+'Monthly Data'!T18</f>
        <v>2002.4717948717951</v>
      </c>
      <c r="S18" s="47">
        <f t="shared" si="8"/>
        <v>21062610.735668715</v>
      </c>
      <c r="T18" s="47">
        <f t="shared" si="9"/>
        <v>342656.95398229733</v>
      </c>
      <c r="U18" s="18">
        <f t="shared" si="12"/>
        <v>1.6537534667917977E-2</v>
      </c>
      <c r="X18" s="652" t="s">
        <v>327</v>
      </c>
      <c r="Y18" s="655">
        <v>431.992843475516</v>
      </c>
      <c r="Z18" s="652" t="s">
        <v>312</v>
      </c>
      <c r="AA18" s="661">
        <v>2.9005110973196402E-68</v>
      </c>
      <c r="AD18" s="772" t="s">
        <v>328</v>
      </c>
      <c r="AE18" s="774">
        <v>346.60210391303099</v>
      </c>
      <c r="AF18" s="772" t="s">
        <v>312</v>
      </c>
      <c r="AG18" s="785">
        <v>3.4542722264548998E-67</v>
      </c>
      <c r="AH18" s="777"/>
    </row>
    <row r="19" spans="1:34">
      <c r="A19" s="2">
        <f>'Monthly Data'!A19</f>
        <v>42887</v>
      </c>
      <c r="B19">
        <f>'Monthly Data'!B19</f>
        <v>2017</v>
      </c>
      <c r="C19">
        <f>'Monthly Data'!C19</f>
        <v>6</v>
      </c>
      <c r="D19" s="3">
        <f>'Monthly Data'!R19</f>
        <v>21209040.734510425</v>
      </c>
      <c r="E19" s="3">
        <f>'Monthly Data'!CN19</f>
        <v>85.453333333333319</v>
      </c>
      <c r="F19" s="3">
        <f>'Monthly Data'!CU19</f>
        <v>112.71333333333334</v>
      </c>
      <c r="G19">
        <f>'Monthly Data'!EJ19</f>
        <v>0</v>
      </c>
      <c r="H19" s="3">
        <f>'Monthly Data'!DB19</f>
        <v>7071</v>
      </c>
      <c r="I19" s="3">
        <f>'Monthly Data'!DQ19</f>
        <v>30</v>
      </c>
      <c r="K19" s="3">
        <f t="shared" si="1"/>
        <v>3542907.1380836898</v>
      </c>
      <c r="L19" s="3">
        <f t="shared" si="2"/>
        <v>898302.65900376404</v>
      </c>
      <c r="M19" s="3">
        <f t="shared" si="3"/>
        <v>3702765.2565943794</v>
      </c>
      <c r="N19" s="3">
        <f t="shared" si="4"/>
        <v>0</v>
      </c>
      <c r="O19" s="3">
        <f t="shared" si="5"/>
        <v>0</v>
      </c>
      <c r="P19" s="3">
        <f t="shared" si="6"/>
        <v>13536213.05441268</v>
      </c>
      <c r="Q19" s="47">
        <f t="shared" si="11"/>
        <v>21680188.108094513</v>
      </c>
      <c r="R19" s="47">
        <f>'Monthly Data'!S19+'Monthly Data'!T19</f>
        <v>2402.9661538461542</v>
      </c>
      <c r="S19" s="47">
        <f t="shared" si="8"/>
        <v>21682591.074248359</v>
      </c>
      <c r="T19" s="47">
        <f t="shared" si="9"/>
        <v>473550.33973793313</v>
      </c>
      <c r="U19" s="18">
        <f t="shared" si="12"/>
        <v>2.2327758509482831E-2</v>
      </c>
      <c r="X19" s="652" t="s">
        <v>313</v>
      </c>
      <c r="Y19" s="661">
        <v>-0.13162111004191099</v>
      </c>
      <c r="Z19" s="652" t="s">
        <v>314</v>
      </c>
      <c r="AA19" s="661">
        <v>2.2619160402571099</v>
      </c>
      <c r="AD19" s="772" t="s">
        <v>313</v>
      </c>
      <c r="AE19" s="785">
        <v>-0.16832680353566501</v>
      </c>
      <c r="AF19" s="772" t="s">
        <v>314</v>
      </c>
      <c r="AG19" s="785">
        <v>2.3326055122221399</v>
      </c>
      <c r="AH19" s="777"/>
    </row>
    <row r="20" spans="1:34">
      <c r="A20" s="2">
        <f>'Monthly Data'!A20</f>
        <v>42917</v>
      </c>
      <c r="B20">
        <f>'Monthly Data'!B20</f>
        <v>2017</v>
      </c>
      <c r="C20">
        <f>'Monthly Data'!C20</f>
        <v>7</v>
      </c>
      <c r="D20" s="3">
        <f>'Monthly Data'!R20</f>
        <v>23081254.913474578</v>
      </c>
      <c r="E20" s="3">
        <f>'Monthly Data'!CN20</f>
        <v>14.412500000000009</v>
      </c>
      <c r="F20" s="3">
        <f>'Monthly Data'!CU20</f>
        <v>198.16666666666666</v>
      </c>
      <c r="G20">
        <f>'Monthly Data'!EJ20</f>
        <v>0</v>
      </c>
      <c r="H20" s="3">
        <f>'Monthly Data'!DB20</f>
        <v>7099.1</v>
      </c>
      <c r="I20" s="3">
        <f>'Monthly Data'!DQ20</f>
        <v>31</v>
      </c>
      <c r="K20" s="3">
        <f t="shared" si="1"/>
        <v>3542907.1380836898</v>
      </c>
      <c r="L20" s="3">
        <f t="shared" si="2"/>
        <v>151507.10414524603</v>
      </c>
      <c r="M20" s="3">
        <f t="shared" si="3"/>
        <v>6510007.5266024675</v>
      </c>
      <c r="N20" s="3">
        <f t="shared" si="4"/>
        <v>0</v>
      </c>
      <c r="O20" s="3">
        <f t="shared" si="5"/>
        <v>0</v>
      </c>
      <c r="P20" s="3">
        <f t="shared" si="6"/>
        <v>13987420.156226436</v>
      </c>
      <c r="Q20" s="47">
        <f t="shared" si="11"/>
        <v>24191841.92505784</v>
      </c>
      <c r="R20" s="47">
        <f>'Monthly Data'!S20+'Monthly Data'!T20</f>
        <v>2803.460512820513</v>
      </c>
      <c r="S20" s="47">
        <f t="shared" si="8"/>
        <v>24194645.38557066</v>
      </c>
      <c r="T20" s="47">
        <f t="shared" si="9"/>
        <v>1113390.4720960818</v>
      </c>
      <c r="U20" s="18">
        <f t="shared" si="12"/>
        <v>4.8237865587026509E-2</v>
      </c>
      <c r="AD20" s="777"/>
      <c r="AE20" s="777"/>
      <c r="AF20" s="777"/>
      <c r="AG20" s="777"/>
      <c r="AH20" s="777"/>
    </row>
    <row r="21" spans="1:34">
      <c r="A21" s="2">
        <f>'Monthly Data'!A21</f>
        <v>42948</v>
      </c>
      <c r="B21">
        <f>'Monthly Data'!B21</f>
        <v>2017</v>
      </c>
      <c r="C21">
        <f>'Monthly Data'!C21</f>
        <v>8</v>
      </c>
      <c r="D21" s="3">
        <f>'Monthly Data'!R21</f>
        <v>22835107.341274541</v>
      </c>
      <c r="E21" s="3">
        <f>'Monthly Data'!CN21</f>
        <v>46.587500000000006</v>
      </c>
      <c r="F21" s="3">
        <f>'Monthly Data'!CU21</f>
        <v>155.42409420289857</v>
      </c>
      <c r="G21">
        <f>'Monthly Data'!EJ21</f>
        <v>0</v>
      </c>
      <c r="H21" s="3">
        <f>'Monthly Data'!DB21</f>
        <v>7118</v>
      </c>
      <c r="I21" s="3">
        <f>'Monthly Data'!DQ21</f>
        <v>31</v>
      </c>
      <c r="K21" s="3">
        <f t="shared" si="1"/>
        <v>3542907.1380836898</v>
      </c>
      <c r="L21" s="3">
        <f t="shared" si="2"/>
        <v>489737.18746689655</v>
      </c>
      <c r="M21" s="3">
        <f t="shared" si="3"/>
        <v>5105863.8674999531</v>
      </c>
      <c r="N21" s="3">
        <f t="shared" si="4"/>
        <v>0</v>
      </c>
      <c r="O21" s="3">
        <f t="shared" si="5"/>
        <v>0</v>
      </c>
      <c r="P21" s="3">
        <f t="shared" si="6"/>
        <v>13987420.156226436</v>
      </c>
      <c r="Q21" s="47">
        <f t="shared" si="11"/>
        <v>23125928.349276975</v>
      </c>
      <c r="R21" s="47">
        <f>'Monthly Data'!S21+'Monthly Data'!T21</f>
        <v>3203.9548717948719</v>
      </c>
      <c r="S21" s="47">
        <f t="shared" si="8"/>
        <v>23129132.304148771</v>
      </c>
      <c r="T21" s="47">
        <f t="shared" si="9"/>
        <v>294024.96287423</v>
      </c>
      <c r="U21" s="18">
        <f t="shared" si="12"/>
        <v>1.2876005287821827E-2</v>
      </c>
      <c r="X21" s="657" t="s">
        <v>315</v>
      </c>
      <c r="Y21" s="658"/>
      <c r="Z21" s="658"/>
      <c r="AA21" s="659"/>
      <c r="AD21" s="781" t="s">
        <v>315</v>
      </c>
      <c r="AE21" s="782"/>
      <c r="AF21" s="782"/>
      <c r="AG21" s="783"/>
      <c r="AH21" s="777"/>
    </row>
    <row r="22" spans="1:34">
      <c r="A22" s="2">
        <f>'Monthly Data'!A22</f>
        <v>42979</v>
      </c>
      <c r="B22">
        <f>'Monthly Data'!B22</f>
        <v>2017</v>
      </c>
      <c r="C22">
        <f>'Monthly Data'!C22</f>
        <v>9</v>
      </c>
      <c r="D22" s="3">
        <f>'Monthly Data'!R22</f>
        <v>21417225.225619446</v>
      </c>
      <c r="E22" s="3">
        <f>'Monthly Data'!CN22</f>
        <v>100.06666666666666</v>
      </c>
      <c r="F22" s="3">
        <f>'Monthly Data'!CU22</f>
        <v>112.67916666666666</v>
      </c>
      <c r="G22">
        <f>'Monthly Data'!EJ22</f>
        <v>0</v>
      </c>
      <c r="H22" s="3">
        <f>'Monthly Data'!DB22</f>
        <v>7143.3</v>
      </c>
      <c r="I22" s="3">
        <f>'Monthly Data'!DQ22</f>
        <v>30</v>
      </c>
      <c r="K22" s="3">
        <f t="shared" si="1"/>
        <v>3542907.1380836898</v>
      </c>
      <c r="L22" s="3">
        <f t="shared" si="2"/>
        <v>1051920.963617296</v>
      </c>
      <c r="M22" s="3">
        <f t="shared" si="3"/>
        <v>3701642.8415035857</v>
      </c>
      <c r="N22" s="3">
        <f t="shared" si="4"/>
        <v>0</v>
      </c>
      <c r="O22" s="3">
        <f t="shared" si="5"/>
        <v>0</v>
      </c>
      <c r="P22" s="3">
        <f t="shared" si="6"/>
        <v>13536213.05441268</v>
      </c>
      <c r="Q22" s="47">
        <f t="shared" si="11"/>
        <v>21832683.997617252</v>
      </c>
      <c r="R22" s="47">
        <f>'Monthly Data'!S22+'Monthly Data'!T22</f>
        <v>3604.4492307692312</v>
      </c>
      <c r="S22" s="47">
        <f t="shared" si="8"/>
        <v>21836288.44684802</v>
      </c>
      <c r="T22" s="47">
        <f t="shared" si="9"/>
        <v>419063.22122857347</v>
      </c>
      <c r="U22" s="18">
        <f t="shared" si="12"/>
        <v>1.9566643989310385E-2</v>
      </c>
      <c r="X22" s="652" t="s">
        <v>316</v>
      </c>
      <c r="Y22" s="654">
        <v>22855712.7580777</v>
      </c>
      <c r="Z22" s="652" t="s">
        <v>317</v>
      </c>
      <c r="AA22" s="654">
        <v>1975135.83566427</v>
      </c>
      <c r="AD22" s="772" t="s">
        <v>316</v>
      </c>
      <c r="AE22" s="773">
        <v>22855712.7580777</v>
      </c>
      <c r="AF22" s="772" t="s">
        <v>317</v>
      </c>
      <c r="AG22" s="773">
        <v>1975135.83566427</v>
      </c>
      <c r="AH22" s="777"/>
    </row>
    <row r="23" spans="1:34">
      <c r="A23" s="2">
        <f>'Monthly Data'!A23</f>
        <v>43009</v>
      </c>
      <c r="B23">
        <f>'Monthly Data'!B23</f>
        <v>2017</v>
      </c>
      <c r="C23">
        <f>'Monthly Data'!C23</f>
        <v>10</v>
      </c>
      <c r="D23" s="3">
        <f>'Monthly Data'!R23</f>
        <v>20379582.625504989</v>
      </c>
      <c r="E23" s="3">
        <f>'Monthly Data'!CN23</f>
        <v>238.48333333333335</v>
      </c>
      <c r="F23" s="3">
        <f>'Monthly Data'!CU23</f>
        <v>29.654166666666669</v>
      </c>
      <c r="G23">
        <f>'Monthly Data'!EJ23</f>
        <v>0</v>
      </c>
      <c r="H23" s="3">
        <f>'Monthly Data'!DB23</f>
        <v>7158.3</v>
      </c>
      <c r="I23" s="3">
        <f>'Monthly Data'!DQ23</f>
        <v>31</v>
      </c>
      <c r="K23" s="3">
        <f t="shared" si="1"/>
        <v>3542907.1380836898</v>
      </c>
      <c r="L23" s="3">
        <f t="shared" si="2"/>
        <v>2506984.8548300946</v>
      </c>
      <c r="M23" s="3">
        <f t="shared" si="3"/>
        <v>974174.17087531055</v>
      </c>
      <c r="N23" s="3">
        <f t="shared" si="4"/>
        <v>0</v>
      </c>
      <c r="O23" s="3">
        <f t="shared" si="5"/>
        <v>0</v>
      </c>
      <c r="P23" s="3">
        <f t="shared" si="6"/>
        <v>13987420.156226436</v>
      </c>
      <c r="Q23" s="47">
        <f t="shared" si="11"/>
        <v>21011486.320015531</v>
      </c>
      <c r="R23" s="47">
        <f>'Monthly Data'!S23+'Monthly Data'!T23</f>
        <v>4004.9435897435901</v>
      </c>
      <c r="S23" s="47">
        <f t="shared" si="8"/>
        <v>21015491.263605274</v>
      </c>
      <c r="T23" s="47">
        <f t="shared" si="9"/>
        <v>635908.63810028508</v>
      </c>
      <c r="U23" s="18">
        <f t="shared" si="12"/>
        <v>3.1203221861101672E-2</v>
      </c>
    </row>
    <row r="24" spans="1:34">
      <c r="A24" s="2">
        <f>'Monthly Data'!A24</f>
        <v>43040</v>
      </c>
      <c r="B24">
        <f>'Monthly Data'!B24</f>
        <v>2017</v>
      </c>
      <c r="C24">
        <f>'Monthly Data'!C24</f>
        <v>11</v>
      </c>
      <c r="D24" s="3">
        <f>'Monthly Data'!R24</f>
        <v>22140921.056129038</v>
      </c>
      <c r="E24" s="3">
        <f>'Monthly Data'!CN24</f>
        <v>502.61174242424244</v>
      </c>
      <c r="F24" s="3">
        <f>'Monthly Data'!CU24</f>
        <v>0</v>
      </c>
      <c r="G24">
        <f>'Monthly Data'!EJ24</f>
        <v>0</v>
      </c>
      <c r="H24" s="3">
        <f>'Monthly Data'!DB24</f>
        <v>7182.2</v>
      </c>
      <c r="I24" s="3">
        <f>'Monthly Data'!DQ24</f>
        <v>30</v>
      </c>
      <c r="K24" s="3">
        <f t="shared" si="1"/>
        <v>3542907.1380836898</v>
      </c>
      <c r="L24" s="3">
        <f t="shared" si="2"/>
        <v>5283555.9135537371</v>
      </c>
      <c r="M24" s="3">
        <f t="shared" si="3"/>
        <v>0</v>
      </c>
      <c r="N24" s="3">
        <f t="shared" si="4"/>
        <v>0</v>
      </c>
      <c r="O24" s="3">
        <f t="shared" si="5"/>
        <v>0</v>
      </c>
      <c r="P24" s="3">
        <f t="shared" si="6"/>
        <v>13536213.05441268</v>
      </c>
      <c r="Q24" s="47">
        <f t="shared" si="11"/>
        <v>22362676.106050104</v>
      </c>
      <c r="R24" s="47">
        <f>'Monthly Data'!S24+'Monthly Data'!T24</f>
        <v>4405.4379487179494</v>
      </c>
      <c r="S24" s="47">
        <f t="shared" si="8"/>
        <v>22367081.543998823</v>
      </c>
      <c r="T24" s="47">
        <f t="shared" si="9"/>
        <v>226160.48786978424</v>
      </c>
      <c r="U24" s="18">
        <f t="shared" si="12"/>
        <v>1.0214592577086064E-2</v>
      </c>
      <c r="Y24" s="3"/>
      <c r="AA24" s="3"/>
    </row>
    <row r="25" spans="1:34">
      <c r="A25" s="2">
        <f>'Monthly Data'!A25</f>
        <v>43070</v>
      </c>
      <c r="B25">
        <f>'Monthly Data'!B25</f>
        <v>2017</v>
      </c>
      <c r="C25">
        <f>'Monthly Data'!C25</f>
        <v>12</v>
      </c>
      <c r="D25" s="3">
        <f>'Monthly Data'!R25</f>
        <v>25228512.976163503</v>
      </c>
      <c r="E25" s="3">
        <f>'Monthly Data'!CN25</f>
        <v>798.31250000000011</v>
      </c>
      <c r="F25" s="3">
        <f>'Monthly Data'!CU25</f>
        <v>0</v>
      </c>
      <c r="G25">
        <f>'Monthly Data'!EJ25</f>
        <v>0</v>
      </c>
      <c r="H25" s="3">
        <f>'Monthly Data'!DB25</f>
        <v>7196.8</v>
      </c>
      <c r="I25" s="3">
        <f>'Monthly Data'!DQ25</f>
        <v>31</v>
      </c>
      <c r="K25" s="3">
        <f t="shared" si="1"/>
        <v>3542907.1380836898</v>
      </c>
      <c r="L25" s="3">
        <f t="shared" si="2"/>
        <v>8392021.8614363689</v>
      </c>
      <c r="M25" s="3">
        <f t="shared" si="3"/>
        <v>0</v>
      </c>
      <c r="N25" s="3">
        <f t="shared" si="4"/>
        <v>0</v>
      </c>
      <c r="O25" s="3">
        <f t="shared" si="5"/>
        <v>0</v>
      </c>
      <c r="P25" s="3">
        <f t="shared" si="6"/>
        <v>13987420.156226436</v>
      </c>
      <c r="Q25" s="47">
        <f t="shared" si="11"/>
        <v>25922349.155746497</v>
      </c>
      <c r="R25" s="47">
        <f>'Monthly Data'!S25+'Monthly Data'!T25</f>
        <v>4805.9323076923083</v>
      </c>
      <c r="S25" s="47">
        <f t="shared" si="8"/>
        <v>25927155.088054191</v>
      </c>
      <c r="T25" s="47">
        <f t="shared" si="9"/>
        <v>698642.11189068854</v>
      </c>
      <c r="U25" s="18">
        <f t="shared" si="12"/>
        <v>2.7692560102562613E-2</v>
      </c>
    </row>
    <row r="26" spans="1:34">
      <c r="A26" s="2">
        <f>'Monthly Data'!A26</f>
        <v>43101</v>
      </c>
      <c r="B26">
        <f>'Monthly Data'!B26</f>
        <v>2018</v>
      </c>
      <c r="C26">
        <f>'Monthly Data'!C26</f>
        <v>1</v>
      </c>
      <c r="D26" s="3">
        <f>'Monthly Data'!R26</f>
        <v>27083666.221627753</v>
      </c>
      <c r="E26" s="3">
        <f>'Monthly Data'!CN26</f>
        <v>812.53750000000002</v>
      </c>
      <c r="F26" s="3">
        <f>'Monthly Data'!CU26</f>
        <v>0</v>
      </c>
      <c r="G26">
        <f>'Monthly Data'!EJ26</f>
        <v>0</v>
      </c>
      <c r="H26" s="3">
        <f>'Monthly Data'!DB26</f>
        <v>7195</v>
      </c>
      <c r="I26" s="3">
        <f>'Monthly Data'!DQ26</f>
        <v>31</v>
      </c>
      <c r="K26" s="3">
        <f t="shared" si="1"/>
        <v>3542907.1380836898</v>
      </c>
      <c r="L26" s="3">
        <f t="shared" si="2"/>
        <v>8541557.9278000202</v>
      </c>
      <c r="M26" s="3">
        <f t="shared" si="3"/>
        <v>0</v>
      </c>
      <c r="N26" s="3">
        <f t="shared" si="4"/>
        <v>0</v>
      </c>
      <c r="O26" s="3">
        <f t="shared" si="5"/>
        <v>0</v>
      </c>
      <c r="P26" s="3">
        <f t="shared" si="6"/>
        <v>13987420.156226436</v>
      </c>
      <c r="Q26" s="47">
        <f t="shared" si="11"/>
        <v>26071885.222110145</v>
      </c>
      <c r="R26" s="47">
        <f>'Monthly Data'!S26+'Monthly Data'!T26</f>
        <v>6211.3076923076933</v>
      </c>
      <c r="S26" s="47">
        <f t="shared" si="8"/>
        <v>26078096.529802453</v>
      </c>
      <c r="T26" s="47">
        <f t="shared" si="9"/>
        <v>-1005569.6918253005</v>
      </c>
      <c r="U26" s="18">
        <f t="shared" si="12"/>
        <v>3.7128270729547663E-2</v>
      </c>
    </row>
    <row r="27" spans="1:34">
      <c r="A27" s="2">
        <f>'Monthly Data'!A27</f>
        <v>43132</v>
      </c>
      <c r="B27">
        <f>'Monthly Data'!B27</f>
        <v>2018</v>
      </c>
      <c r="C27">
        <f>'Monthly Data'!C27</f>
        <v>2</v>
      </c>
      <c r="D27" s="3">
        <f>'Monthly Data'!R27</f>
        <v>23162572.130632471</v>
      </c>
      <c r="E27" s="3">
        <f>'Monthly Data'!CN27</f>
        <v>632.49583333333328</v>
      </c>
      <c r="F27" s="3">
        <f>'Monthly Data'!CU27</f>
        <v>0</v>
      </c>
      <c r="G27">
        <f>'Monthly Data'!EJ27</f>
        <v>0</v>
      </c>
      <c r="H27" s="3">
        <f>'Monthly Data'!DB27</f>
        <v>7183.9</v>
      </c>
      <c r="I27" s="3">
        <f>'Monthly Data'!DQ27</f>
        <v>28</v>
      </c>
      <c r="K27" s="3">
        <f t="shared" si="1"/>
        <v>3542907.1380836898</v>
      </c>
      <c r="L27" s="3">
        <f t="shared" si="2"/>
        <v>6648923.6490731966</v>
      </c>
      <c r="M27" s="3">
        <f t="shared" si="3"/>
        <v>0</v>
      </c>
      <c r="N27" s="3">
        <f t="shared" si="4"/>
        <v>0</v>
      </c>
      <c r="O27" s="3">
        <f t="shared" si="5"/>
        <v>0</v>
      </c>
      <c r="P27" s="3">
        <f t="shared" si="6"/>
        <v>12633798.850785168</v>
      </c>
      <c r="Q27" s="47">
        <f t="shared" si="11"/>
        <v>22825629.637942053</v>
      </c>
      <c r="R27" s="47">
        <f>'Monthly Data'!S27+'Monthly Data'!T27</f>
        <v>7216.1887179487194</v>
      </c>
      <c r="S27" s="47">
        <f t="shared" si="8"/>
        <v>22832845.826660004</v>
      </c>
      <c r="T27" s="47">
        <f t="shared" si="9"/>
        <v>-329726.30397246778</v>
      </c>
      <c r="U27" s="18">
        <f t="shared" si="12"/>
        <v>1.4235306084008052E-2</v>
      </c>
    </row>
    <row r="28" spans="1:34">
      <c r="A28" s="2">
        <f>'Monthly Data'!A28</f>
        <v>43160</v>
      </c>
      <c r="B28">
        <f>'Monthly Data'!B28</f>
        <v>2018</v>
      </c>
      <c r="C28">
        <f>'Monthly Data'!C28</f>
        <v>3</v>
      </c>
      <c r="D28" s="3">
        <f>'Monthly Data'!R28</f>
        <v>24071009.260873877</v>
      </c>
      <c r="E28" s="3">
        <f>'Monthly Data'!CN28</f>
        <v>629.27916666666681</v>
      </c>
      <c r="F28" s="3">
        <f>'Monthly Data'!CU28</f>
        <v>0</v>
      </c>
      <c r="G28">
        <f>'Monthly Data'!EJ28</f>
        <v>0</v>
      </c>
      <c r="H28" s="3">
        <f>'Monthly Data'!DB28</f>
        <v>7183.7</v>
      </c>
      <c r="I28" s="3">
        <f>'Monthly Data'!DQ28</f>
        <v>31</v>
      </c>
      <c r="K28" s="3">
        <f t="shared" si="1"/>
        <v>3542907.1380836898</v>
      </c>
      <c r="L28" s="3">
        <f t="shared" si="2"/>
        <v>6615109.4009089526</v>
      </c>
      <c r="M28" s="3">
        <f t="shared" si="3"/>
        <v>0</v>
      </c>
      <c r="N28" s="3">
        <f t="shared" si="4"/>
        <v>0</v>
      </c>
      <c r="O28" s="3">
        <f t="shared" si="5"/>
        <v>0</v>
      </c>
      <c r="P28" s="3">
        <f t="shared" si="6"/>
        <v>13987420.156226436</v>
      </c>
      <c r="Q28" s="47">
        <f t="shared" si="11"/>
        <v>24145436.695219077</v>
      </c>
      <c r="R28" s="47">
        <f>'Monthly Data'!S28+'Monthly Data'!T28</f>
        <v>8221.0697435897455</v>
      </c>
      <c r="S28" s="47">
        <f t="shared" si="8"/>
        <v>24153657.764962666</v>
      </c>
      <c r="T28" s="47">
        <f t="shared" si="9"/>
        <v>82648.504088789225</v>
      </c>
      <c r="U28" s="18">
        <f t="shared" si="12"/>
        <v>3.4335288227041604E-3</v>
      </c>
    </row>
    <row r="29" spans="1:34">
      <c r="A29" s="2">
        <f>'Monthly Data'!A29</f>
        <v>43191</v>
      </c>
      <c r="B29">
        <f>'Monthly Data'!B29</f>
        <v>2018</v>
      </c>
      <c r="C29">
        <f>'Monthly Data'!C29</f>
        <v>4</v>
      </c>
      <c r="D29" s="3">
        <f>'Monthly Data'!R29</f>
        <v>22158391.192441177</v>
      </c>
      <c r="E29" s="3">
        <f>'Monthly Data'!CN29</f>
        <v>512.51666666666677</v>
      </c>
      <c r="F29" s="3">
        <f>'Monthly Data'!CU29</f>
        <v>0</v>
      </c>
      <c r="G29">
        <f>'Monthly Data'!EJ29</f>
        <v>0</v>
      </c>
      <c r="H29" s="3">
        <f>'Monthly Data'!DB29</f>
        <v>7196</v>
      </c>
      <c r="I29" s="3">
        <f>'Monthly Data'!DQ29</f>
        <v>30</v>
      </c>
      <c r="K29" s="3">
        <f t="shared" si="1"/>
        <v>3542907.1380836898</v>
      </c>
      <c r="L29" s="3">
        <f t="shared" si="2"/>
        <v>5387678.4730505459</v>
      </c>
      <c r="M29" s="3">
        <f t="shared" si="3"/>
        <v>0</v>
      </c>
      <c r="N29" s="3">
        <f t="shared" si="4"/>
        <v>0</v>
      </c>
      <c r="O29" s="3">
        <f t="shared" si="5"/>
        <v>0</v>
      </c>
      <c r="P29" s="3">
        <f t="shared" si="6"/>
        <v>13536213.05441268</v>
      </c>
      <c r="Q29" s="47">
        <f t="shared" si="11"/>
        <v>22466798.665546916</v>
      </c>
      <c r="R29" s="47">
        <f>'Monthly Data'!S29+'Monthly Data'!T29</f>
        <v>9225.9507692307707</v>
      </c>
      <c r="S29" s="47">
        <f t="shared" si="8"/>
        <v>22476024.616316147</v>
      </c>
      <c r="T29" s="47">
        <f t="shared" si="9"/>
        <v>317633.42387497053</v>
      </c>
      <c r="U29" s="18">
        <f t="shared" si="12"/>
        <v>1.4334678953737572E-2</v>
      </c>
    </row>
    <row r="30" spans="1:34">
      <c r="A30" s="2">
        <f>'Monthly Data'!A30</f>
        <v>43221</v>
      </c>
      <c r="B30">
        <f>'Monthly Data'!B30</f>
        <v>2018</v>
      </c>
      <c r="C30">
        <f>'Monthly Data'!C30</f>
        <v>5</v>
      </c>
      <c r="D30" s="3">
        <f>'Monthly Data'!R30</f>
        <v>21332397.300205573</v>
      </c>
      <c r="E30" s="3">
        <f>'Monthly Data'!CN30</f>
        <v>140.84469696969697</v>
      </c>
      <c r="F30" s="3">
        <f>'Monthly Data'!CU30</f>
        <v>80.600541125541127</v>
      </c>
      <c r="G30">
        <f>'Monthly Data'!EJ30</f>
        <v>0</v>
      </c>
      <c r="H30" s="3">
        <f>'Monthly Data'!DB30</f>
        <v>7205</v>
      </c>
      <c r="I30" s="3">
        <f>'Monthly Data'!DQ30</f>
        <v>31</v>
      </c>
      <c r="K30" s="3">
        <f t="shared" si="1"/>
        <v>3542907.1380836898</v>
      </c>
      <c r="L30" s="3">
        <f t="shared" si="2"/>
        <v>1480587.8350108229</v>
      </c>
      <c r="M30" s="3">
        <f t="shared" si="3"/>
        <v>2647822.3517687358</v>
      </c>
      <c r="N30" s="3">
        <f t="shared" si="4"/>
        <v>0</v>
      </c>
      <c r="O30" s="3">
        <f t="shared" si="5"/>
        <v>0</v>
      </c>
      <c r="P30" s="3">
        <f t="shared" si="6"/>
        <v>13987420.156226436</v>
      </c>
      <c r="Q30" s="47">
        <f t="shared" si="11"/>
        <v>21658737.481089685</v>
      </c>
      <c r="R30" s="47">
        <f>'Monthly Data'!S30+'Monthly Data'!T30</f>
        <v>10230.831794871798</v>
      </c>
      <c r="S30" s="47">
        <f t="shared" si="8"/>
        <v>21668968.312884558</v>
      </c>
      <c r="T30" s="47">
        <f t="shared" si="9"/>
        <v>336571.01267898455</v>
      </c>
      <c r="U30" s="18">
        <f t="shared" si="12"/>
        <v>1.5777458479818447E-2</v>
      </c>
    </row>
    <row r="31" spans="1:34">
      <c r="A31" s="2">
        <f>'Monthly Data'!A31</f>
        <v>43252</v>
      </c>
      <c r="B31">
        <f>'Monthly Data'!B31</f>
        <v>2018</v>
      </c>
      <c r="C31">
        <f>'Monthly Data'!C31</f>
        <v>6</v>
      </c>
      <c r="D31" s="3">
        <f>'Monthly Data'!R31</f>
        <v>21798944.2383366</v>
      </c>
      <c r="E31" s="3">
        <f>'Monthly Data'!CN31</f>
        <v>63.468560606060585</v>
      </c>
      <c r="F31" s="3">
        <f>'Monthly Data'!CU31</f>
        <v>141.51477272727271</v>
      </c>
      <c r="G31">
        <f>'Monthly Data'!EJ31</f>
        <v>0</v>
      </c>
      <c r="H31" s="3">
        <f>'Monthly Data'!DB31</f>
        <v>7216.7</v>
      </c>
      <c r="I31" s="3">
        <f>'Monthly Data'!DQ31</f>
        <v>30</v>
      </c>
      <c r="K31" s="3">
        <f t="shared" si="1"/>
        <v>3542907.1380836898</v>
      </c>
      <c r="L31" s="3">
        <f t="shared" si="2"/>
        <v>667194.29812255164</v>
      </c>
      <c r="M31" s="3">
        <f t="shared" si="3"/>
        <v>4648926.335979729</v>
      </c>
      <c r="N31" s="3">
        <f t="shared" si="4"/>
        <v>0</v>
      </c>
      <c r="O31" s="3">
        <f t="shared" si="5"/>
        <v>0</v>
      </c>
      <c r="P31" s="3">
        <f t="shared" si="6"/>
        <v>13536213.05441268</v>
      </c>
      <c r="Q31" s="47">
        <f t="shared" si="11"/>
        <v>22395240.826598652</v>
      </c>
      <c r="R31" s="47">
        <f>'Monthly Data'!S31+'Monthly Data'!T31</f>
        <v>11235.712820512825</v>
      </c>
      <c r="S31" s="47">
        <f t="shared" si="8"/>
        <v>22406476.539419163</v>
      </c>
      <c r="T31" s="47">
        <f t="shared" si="9"/>
        <v>607532.30108256266</v>
      </c>
      <c r="U31" s="18">
        <f t="shared" si="12"/>
        <v>2.7869803896930435E-2</v>
      </c>
    </row>
    <row r="32" spans="1:34">
      <c r="A32" s="2">
        <f>'Monthly Data'!A32</f>
        <v>43282</v>
      </c>
      <c r="B32">
        <f>'Monthly Data'!B32</f>
        <v>2018</v>
      </c>
      <c r="C32">
        <f>'Monthly Data'!C32</f>
        <v>7</v>
      </c>
      <c r="D32" s="3">
        <f>'Monthly Data'!R32</f>
        <v>25157032.245872322</v>
      </c>
      <c r="E32" s="3">
        <f>'Monthly Data'!CN32</f>
        <v>4.9668995859213254</v>
      </c>
      <c r="F32" s="3">
        <f>'Monthly Data'!CU32</f>
        <v>256.39861424807077</v>
      </c>
      <c r="G32">
        <f>'Monthly Data'!EJ32</f>
        <v>0</v>
      </c>
      <c r="H32" s="3">
        <f>'Monthly Data'!DB32</f>
        <v>7249.1</v>
      </c>
      <c r="I32" s="3">
        <f>'Monthly Data'!DQ32</f>
        <v>31</v>
      </c>
      <c r="K32" s="3">
        <f t="shared" si="1"/>
        <v>3542907.1380836898</v>
      </c>
      <c r="L32" s="3">
        <f t="shared" si="2"/>
        <v>52213.049286602691</v>
      </c>
      <c r="M32" s="3">
        <f t="shared" si="3"/>
        <v>8422995.3333829269</v>
      </c>
      <c r="N32" s="3">
        <f t="shared" si="4"/>
        <v>0</v>
      </c>
      <c r="O32" s="3">
        <f t="shared" si="5"/>
        <v>0</v>
      </c>
      <c r="P32" s="3">
        <f t="shared" si="6"/>
        <v>13987420.156226436</v>
      </c>
      <c r="Q32" s="47">
        <f t="shared" si="11"/>
        <v>26005535.676979654</v>
      </c>
      <c r="R32" s="47">
        <f>'Monthly Data'!S32+'Monthly Data'!T32</f>
        <v>12240.59384615385</v>
      </c>
      <c r="S32" s="47">
        <f t="shared" si="8"/>
        <v>26017776.270825807</v>
      </c>
      <c r="T32" s="47">
        <f t="shared" si="9"/>
        <v>860744.02495348454</v>
      </c>
      <c r="U32" s="18">
        <f t="shared" si="12"/>
        <v>3.4214847623559107E-2</v>
      </c>
    </row>
    <row r="33" spans="1:21">
      <c r="A33" s="2">
        <f>'Monthly Data'!A33</f>
        <v>43313</v>
      </c>
      <c r="B33">
        <f>'Monthly Data'!B33</f>
        <v>2018</v>
      </c>
      <c r="C33">
        <f>'Monthly Data'!C33</f>
        <v>8</v>
      </c>
      <c r="D33" s="3">
        <f>'Monthly Data'!R33</f>
        <v>25045687.543591116</v>
      </c>
      <c r="E33" s="3">
        <f>'Monthly Data'!CN33</f>
        <v>7.2291666666666679</v>
      </c>
      <c r="F33" s="3">
        <f>'Monthly Data'!CU33</f>
        <v>252.24583333333339</v>
      </c>
      <c r="G33">
        <f>'Monthly Data'!EJ33</f>
        <v>0</v>
      </c>
      <c r="H33" s="3">
        <f>'Monthly Data'!DB33</f>
        <v>7257.7</v>
      </c>
      <c r="I33" s="3">
        <f>'Monthly Data'!DQ33</f>
        <v>31</v>
      </c>
      <c r="K33" s="3">
        <f t="shared" si="1"/>
        <v>3542907.1380836898</v>
      </c>
      <c r="L33" s="3">
        <f t="shared" si="2"/>
        <v>75994.456690373452</v>
      </c>
      <c r="M33" s="3">
        <f t="shared" si="3"/>
        <v>8286571.6075060321</v>
      </c>
      <c r="N33" s="3">
        <f t="shared" si="4"/>
        <v>0</v>
      </c>
      <c r="O33" s="3">
        <f t="shared" si="5"/>
        <v>0</v>
      </c>
      <c r="P33" s="3">
        <f t="shared" si="6"/>
        <v>13987420.156226436</v>
      </c>
      <c r="Q33" s="47">
        <f t="shared" si="11"/>
        <v>25892893.358506531</v>
      </c>
      <c r="R33" s="47">
        <f>'Monthly Data'!S33+'Monthly Data'!T33</f>
        <v>13245.474871794875</v>
      </c>
      <c r="S33" s="47">
        <f t="shared" si="8"/>
        <v>25906138.833378326</v>
      </c>
      <c r="T33" s="47">
        <f t="shared" si="9"/>
        <v>860451.28978721052</v>
      </c>
      <c r="U33" s="18">
        <f t="shared" si="12"/>
        <v>3.4355267280629695E-2</v>
      </c>
    </row>
    <row r="34" spans="1:21">
      <c r="A34" s="2">
        <f>'Monthly Data'!A34</f>
        <v>43344</v>
      </c>
      <c r="B34">
        <f>'Monthly Data'!B34</f>
        <v>2018</v>
      </c>
      <c r="C34">
        <f>'Monthly Data'!C34</f>
        <v>9</v>
      </c>
      <c r="D34" s="3">
        <f>'Monthly Data'!R34</f>
        <v>21814911.593046129</v>
      </c>
      <c r="E34" s="3">
        <f>'Monthly Data'!CN34</f>
        <v>92.370833333333337</v>
      </c>
      <c r="F34" s="3">
        <f>'Monthly Data'!CU34</f>
        <v>135.06250000000003</v>
      </c>
      <c r="G34">
        <f>'Monthly Data'!EJ34</f>
        <v>0</v>
      </c>
      <c r="H34" s="3">
        <f>'Monthly Data'!DB34</f>
        <v>7273.8</v>
      </c>
      <c r="I34" s="3">
        <f>'Monthly Data'!DQ34</f>
        <v>30</v>
      </c>
      <c r="K34" s="3">
        <f t="shared" ref="K34:K65" si="13">$Y$8</f>
        <v>3542907.1380836898</v>
      </c>
      <c r="L34" s="3">
        <f t="shared" ref="L34:L65" si="14">E34*$Y$9</f>
        <v>971020.81289273128</v>
      </c>
      <c r="M34" s="3">
        <f t="shared" ref="M34:M65" si="15">F34*$Y$10</f>
        <v>4436961.6058624694</v>
      </c>
      <c r="N34" s="3">
        <f t="shared" ref="N34:N65" si="16">G34*$Y$11</f>
        <v>0</v>
      </c>
      <c r="O34" s="3">
        <f t="shared" ref="O34:O65" si="17">H34*$Y$12</f>
        <v>0</v>
      </c>
      <c r="P34" s="3">
        <f t="shared" ref="P34:P65" si="18">I34*$Y$13</f>
        <v>13536213.05441268</v>
      </c>
      <c r="Q34" s="47">
        <f t="shared" si="11"/>
        <v>22487102.61125157</v>
      </c>
      <c r="R34" s="47">
        <f>'Monthly Data'!S34+'Monthly Data'!T34</f>
        <v>14250.3558974359</v>
      </c>
      <c r="S34" s="47">
        <f t="shared" si="8"/>
        <v>22501352.967149004</v>
      </c>
      <c r="T34" s="47">
        <f t="shared" si="9"/>
        <v>686441.37410287559</v>
      </c>
      <c r="U34" s="18">
        <f t="shared" si="12"/>
        <v>3.1466612696321464E-2</v>
      </c>
    </row>
    <row r="35" spans="1:21">
      <c r="A35" s="2">
        <f>'Monthly Data'!A35</f>
        <v>43374</v>
      </c>
      <c r="B35">
        <f>'Monthly Data'!B35</f>
        <v>2018</v>
      </c>
      <c r="C35">
        <f>'Monthly Data'!C35</f>
        <v>10</v>
      </c>
      <c r="D35" s="3">
        <f>'Monthly Data'!R35</f>
        <v>21139509.036052082</v>
      </c>
      <c r="E35" s="3">
        <f>'Monthly Data'!CN35</f>
        <v>364.80833333333339</v>
      </c>
      <c r="F35" s="3">
        <f>'Monthly Data'!CU35</f>
        <v>15.387500000000001</v>
      </c>
      <c r="G35">
        <f>'Monthly Data'!EJ35</f>
        <v>0</v>
      </c>
      <c r="H35" s="3">
        <f>'Monthly Data'!DB35</f>
        <v>7269.1</v>
      </c>
      <c r="I35" s="3">
        <f>'Monthly Data'!DQ35</f>
        <v>31</v>
      </c>
      <c r="K35" s="3">
        <f t="shared" si="13"/>
        <v>3542907.1380836898</v>
      </c>
      <c r="L35" s="3">
        <f t="shared" si="14"/>
        <v>3834938.7095498312</v>
      </c>
      <c r="M35" s="3">
        <f t="shared" si="15"/>
        <v>505497.43052445154</v>
      </c>
      <c r="N35" s="3">
        <f t="shared" si="16"/>
        <v>0</v>
      </c>
      <c r="O35" s="3">
        <f t="shared" si="17"/>
        <v>0</v>
      </c>
      <c r="P35" s="3">
        <f t="shared" si="18"/>
        <v>13987420.156226436</v>
      </c>
      <c r="Q35" s="47">
        <f t="shared" si="11"/>
        <v>21870763.434384409</v>
      </c>
      <c r="R35" s="47">
        <f>'Monthly Data'!S35+'Monthly Data'!T35</f>
        <v>15255.236923076929</v>
      </c>
      <c r="S35" s="47">
        <f t="shared" si="8"/>
        <v>21886018.671307486</v>
      </c>
      <c r="T35" s="47">
        <f t="shared" si="9"/>
        <v>746509.63525540382</v>
      </c>
      <c r="U35" s="18">
        <f t="shared" si="12"/>
        <v>3.5313480269682673E-2</v>
      </c>
    </row>
    <row r="36" spans="1:21">
      <c r="A36" s="2">
        <f>'Monthly Data'!A36</f>
        <v>43405</v>
      </c>
      <c r="B36">
        <f>'Monthly Data'!B36</f>
        <v>2018</v>
      </c>
      <c r="C36">
        <f>'Monthly Data'!C36</f>
        <v>11</v>
      </c>
      <c r="D36" s="3">
        <f>'Monthly Data'!R36</f>
        <v>23079843.668392137</v>
      </c>
      <c r="E36" s="3">
        <f>'Monthly Data'!CN36</f>
        <v>563.52499999999998</v>
      </c>
      <c r="F36" s="3">
        <f>'Monthly Data'!CU36</f>
        <v>0</v>
      </c>
      <c r="G36">
        <f>'Monthly Data'!EJ36</f>
        <v>0</v>
      </c>
      <c r="H36" s="3">
        <f>'Monthly Data'!DB36</f>
        <v>7289.9</v>
      </c>
      <c r="I36" s="3">
        <f>'Monthly Data'!DQ36</f>
        <v>30</v>
      </c>
      <c r="K36" s="3">
        <f t="shared" si="13"/>
        <v>3542907.1380836898</v>
      </c>
      <c r="L36" s="3">
        <f t="shared" si="14"/>
        <v>5923888.3513234844</v>
      </c>
      <c r="M36" s="3">
        <f t="shared" si="15"/>
        <v>0</v>
      </c>
      <c r="N36" s="3">
        <f t="shared" si="16"/>
        <v>0</v>
      </c>
      <c r="O36" s="3">
        <f t="shared" si="17"/>
        <v>0</v>
      </c>
      <c r="P36" s="3">
        <f t="shared" si="18"/>
        <v>13536213.05441268</v>
      </c>
      <c r="Q36" s="47">
        <f t="shared" si="11"/>
        <v>23003008.543819852</v>
      </c>
      <c r="R36" s="47">
        <f>'Monthly Data'!S36+'Monthly Data'!T36</f>
        <v>16260.117948717954</v>
      </c>
      <c r="S36" s="47">
        <f t="shared" si="8"/>
        <v>23019268.661768571</v>
      </c>
      <c r="T36" s="47">
        <f t="shared" si="9"/>
        <v>-60575.006623566151</v>
      </c>
      <c r="U36" s="18">
        <f t="shared" si="12"/>
        <v>2.6245847889569403E-3</v>
      </c>
    </row>
    <row r="37" spans="1:21">
      <c r="A37" s="2">
        <f>'Monthly Data'!A37</f>
        <v>43435</v>
      </c>
      <c r="B37">
        <f>'Monthly Data'!B37</f>
        <v>2018</v>
      </c>
      <c r="C37">
        <f>'Monthly Data'!C37</f>
        <v>12</v>
      </c>
      <c r="D37" s="3">
        <f>'Monthly Data'!R37</f>
        <v>24226267.850083455</v>
      </c>
      <c r="E37" s="3">
        <f>'Monthly Data'!CN37</f>
        <v>646.91666666666663</v>
      </c>
      <c r="F37" s="3">
        <f>'Monthly Data'!CU37</f>
        <v>0</v>
      </c>
      <c r="G37">
        <f>'Monthly Data'!EJ37</f>
        <v>0</v>
      </c>
      <c r="H37" s="3">
        <f>'Monthly Data'!DB37</f>
        <v>7296.4</v>
      </c>
      <c r="I37" s="3">
        <f>'Monthly Data'!DQ37</f>
        <v>31</v>
      </c>
      <c r="K37" s="3">
        <f t="shared" si="13"/>
        <v>3542907.1380836898</v>
      </c>
      <c r="L37" s="3">
        <f t="shared" si="14"/>
        <v>6800518.3548976248</v>
      </c>
      <c r="M37" s="3">
        <f t="shared" si="15"/>
        <v>0</v>
      </c>
      <c r="N37" s="3">
        <f t="shared" si="16"/>
        <v>0</v>
      </c>
      <c r="O37" s="3">
        <f t="shared" si="17"/>
        <v>0</v>
      </c>
      <c r="P37" s="3">
        <f t="shared" si="18"/>
        <v>13987420.156226436</v>
      </c>
      <c r="Q37" s="47">
        <f t="shared" si="11"/>
        <v>24330845.649207748</v>
      </c>
      <c r="R37" s="47">
        <f>'Monthly Data'!S37+'Monthly Data'!T37</f>
        <v>17264.998974358979</v>
      </c>
      <c r="S37" s="47">
        <f t="shared" si="8"/>
        <v>24348110.648182109</v>
      </c>
      <c r="T37" s="47">
        <f t="shared" si="9"/>
        <v>121842.79809865355</v>
      </c>
      <c r="U37" s="18">
        <f t="shared" si="12"/>
        <v>5.0293672493278334E-3</v>
      </c>
    </row>
    <row r="38" spans="1:21">
      <c r="A38" s="2">
        <f>'Monthly Data'!A38</f>
        <v>43466</v>
      </c>
      <c r="B38">
        <f>'Monthly Data'!B38</f>
        <v>2019</v>
      </c>
      <c r="C38">
        <f>'Monthly Data'!C38</f>
        <v>1</v>
      </c>
      <c r="D38" s="3">
        <f>'Monthly Data'!R38</f>
        <v>26955920.19794986</v>
      </c>
      <c r="E38" s="3">
        <f>'Monthly Data'!CN38</f>
        <v>841.93333333333351</v>
      </c>
      <c r="F38" s="3">
        <f>'Monthly Data'!CU38</f>
        <v>0</v>
      </c>
      <c r="G38">
        <f>'Monthly Data'!EJ38</f>
        <v>0</v>
      </c>
      <c r="H38" s="3">
        <f>'Monthly Data'!DB38</f>
        <v>7306.5</v>
      </c>
      <c r="I38" s="3">
        <f>'Monthly Data'!DQ38</f>
        <v>31</v>
      </c>
      <c r="K38" s="3">
        <f t="shared" si="13"/>
        <v>3542907.1380836898</v>
      </c>
      <c r="L38" s="3">
        <f t="shared" si="14"/>
        <v>8850572.8511144798</v>
      </c>
      <c r="M38" s="3">
        <f t="shared" si="15"/>
        <v>0</v>
      </c>
      <c r="N38" s="3">
        <f t="shared" si="16"/>
        <v>0</v>
      </c>
      <c r="O38" s="3">
        <f t="shared" si="17"/>
        <v>0</v>
      </c>
      <c r="P38" s="3">
        <f t="shared" si="18"/>
        <v>13987420.156226436</v>
      </c>
      <c r="Q38" s="47">
        <f t="shared" si="11"/>
        <v>26380900.145424604</v>
      </c>
      <c r="R38" s="47">
        <f ca="1">'Monthly Data'!S38+'Monthly Data'!T38</f>
        <v>55494.003171582837</v>
      </c>
      <c r="S38" s="47">
        <f t="shared" ca="1" si="8"/>
        <v>26436394.148596186</v>
      </c>
      <c r="T38" s="47">
        <f t="shared" ca="1" si="9"/>
        <v>-519526.04935367405</v>
      </c>
      <c r="U38" s="18">
        <f t="shared" ca="1" si="12"/>
        <v>1.9273170625916408E-2</v>
      </c>
    </row>
    <row r="39" spans="1:21">
      <c r="A39" s="2">
        <f>'Monthly Data'!A39</f>
        <v>43497</v>
      </c>
      <c r="B39">
        <f>'Monthly Data'!B39</f>
        <v>2019</v>
      </c>
      <c r="C39">
        <f>'Monthly Data'!C39</f>
        <v>2</v>
      </c>
      <c r="D39" s="3">
        <f>'Monthly Data'!R39</f>
        <v>24185101.827363215</v>
      </c>
      <c r="E39" s="3">
        <f>'Monthly Data'!CN39</f>
        <v>695.30416666666645</v>
      </c>
      <c r="F39" s="3">
        <f>'Monthly Data'!CU39</f>
        <v>0</v>
      </c>
      <c r="G39">
        <f>'Monthly Data'!EJ39</f>
        <v>0</v>
      </c>
      <c r="H39" s="3">
        <f>'Monthly Data'!DB39</f>
        <v>7329.7</v>
      </c>
      <c r="I39" s="3">
        <f>'Monthly Data'!DQ39</f>
        <v>28</v>
      </c>
      <c r="K39" s="3">
        <f t="shared" si="13"/>
        <v>3542907.1380836898</v>
      </c>
      <c r="L39" s="3">
        <f t="shared" si="14"/>
        <v>7309177.505067829</v>
      </c>
      <c r="M39" s="3">
        <f t="shared" si="15"/>
        <v>0</v>
      </c>
      <c r="N39" s="3">
        <f t="shared" si="16"/>
        <v>0</v>
      </c>
      <c r="O39" s="3">
        <f t="shared" si="17"/>
        <v>0</v>
      </c>
      <c r="P39" s="3">
        <f t="shared" si="18"/>
        <v>12633798.850785168</v>
      </c>
      <c r="Q39" s="47">
        <f t="shared" si="11"/>
        <v>23485883.493936688</v>
      </c>
      <c r="R39" s="47">
        <f ca="1">'Monthly Data'!S39+'Monthly Data'!T39</f>
        <v>49365.968018129046</v>
      </c>
      <c r="S39" s="47">
        <f t="shared" ca="1" si="8"/>
        <v>23535249.461954817</v>
      </c>
      <c r="T39" s="47">
        <f t="shared" ca="1" si="9"/>
        <v>-649852.36540839821</v>
      </c>
      <c r="U39" s="18">
        <f t="shared" ca="1" si="12"/>
        <v>2.6869945392297256E-2</v>
      </c>
    </row>
    <row r="40" spans="1:21">
      <c r="A40" s="2">
        <f>'Monthly Data'!A40</f>
        <v>43525</v>
      </c>
      <c r="B40">
        <f>'Monthly Data'!B40</f>
        <v>2019</v>
      </c>
      <c r="C40">
        <f>'Monthly Data'!C40</f>
        <v>3</v>
      </c>
      <c r="D40" s="3">
        <f>'Monthly Data'!R40</f>
        <v>25451797.580998946</v>
      </c>
      <c r="E40" s="3">
        <f>'Monthly Data'!CN40</f>
        <v>673.45833333333326</v>
      </c>
      <c r="F40" s="3">
        <f>'Monthly Data'!CU40</f>
        <v>0</v>
      </c>
      <c r="G40">
        <f>'Monthly Data'!EJ40</f>
        <v>0</v>
      </c>
      <c r="H40" s="3">
        <f>'Monthly Data'!DB40</f>
        <v>7341.9</v>
      </c>
      <c r="I40" s="3">
        <f>'Monthly Data'!DQ40</f>
        <v>31</v>
      </c>
      <c r="K40" s="3">
        <f t="shared" si="13"/>
        <v>3542907.1380836898</v>
      </c>
      <c r="L40" s="3">
        <f t="shared" si="14"/>
        <v>7079529.7030922519</v>
      </c>
      <c r="M40" s="3">
        <f t="shared" si="15"/>
        <v>0</v>
      </c>
      <c r="N40" s="3">
        <f t="shared" si="16"/>
        <v>0</v>
      </c>
      <c r="O40" s="3">
        <f t="shared" si="17"/>
        <v>0</v>
      </c>
      <c r="P40" s="3">
        <f t="shared" si="18"/>
        <v>13987420.156226436</v>
      </c>
      <c r="Q40" s="47">
        <f t="shared" si="11"/>
        <v>24609856.997402377</v>
      </c>
      <c r="R40" s="47">
        <f ca="1">'Monthly Data'!S40+'Monthly Data'!T40</f>
        <v>48549.251675828287</v>
      </c>
      <c r="S40" s="47">
        <f t="shared" ca="1" si="8"/>
        <v>24658406.249078207</v>
      </c>
      <c r="T40" s="47">
        <f t="shared" ca="1" si="9"/>
        <v>-793391.33192073926</v>
      </c>
      <c r="U40" s="18">
        <f t="shared" ca="1" si="12"/>
        <v>3.1172310301298561E-2</v>
      </c>
    </row>
    <row r="41" spans="1:21">
      <c r="A41" s="2">
        <f>'Monthly Data'!A41</f>
        <v>43556</v>
      </c>
      <c r="B41">
        <f>'Monthly Data'!B41</f>
        <v>2019</v>
      </c>
      <c r="C41">
        <f>'Monthly Data'!C41</f>
        <v>4</v>
      </c>
      <c r="D41" s="3">
        <f>'Monthly Data'!R41</f>
        <v>23223774.488975544</v>
      </c>
      <c r="E41" s="3">
        <f>'Monthly Data'!CN41</f>
        <v>426.6541666666667</v>
      </c>
      <c r="F41" s="3">
        <f>'Monthly Data'!CU41</f>
        <v>0</v>
      </c>
      <c r="G41">
        <f>'Monthly Data'!EJ41</f>
        <v>0</v>
      </c>
      <c r="H41" s="3">
        <f>'Monthly Data'!DB41</f>
        <v>7361.6</v>
      </c>
      <c r="I41" s="3">
        <f>'Monthly Data'!DQ41</f>
        <v>30</v>
      </c>
      <c r="K41" s="3">
        <f t="shared" si="13"/>
        <v>3542907.1380836898</v>
      </c>
      <c r="L41" s="3">
        <f t="shared" si="14"/>
        <v>4485074.5715989452</v>
      </c>
      <c r="M41" s="3">
        <f t="shared" si="15"/>
        <v>0</v>
      </c>
      <c r="N41" s="3">
        <f t="shared" si="16"/>
        <v>0</v>
      </c>
      <c r="O41" s="3">
        <f t="shared" si="17"/>
        <v>0</v>
      </c>
      <c r="P41" s="3">
        <f t="shared" si="18"/>
        <v>13536213.05441268</v>
      </c>
      <c r="Q41" s="47">
        <f t="shared" si="11"/>
        <v>21564194.764095314</v>
      </c>
      <c r="R41" s="47">
        <f ca="1">'Monthly Data'!S41+'Monthly Data'!T41</f>
        <v>37515.290967606976</v>
      </c>
      <c r="S41" s="47">
        <f t="shared" ca="1" si="8"/>
        <v>21601710.05506292</v>
      </c>
      <c r="T41" s="47">
        <f t="shared" ca="1" si="9"/>
        <v>-1622064.4339126237</v>
      </c>
      <c r="U41" s="18">
        <f t="shared" ca="1" si="12"/>
        <v>6.9844995897743789E-2</v>
      </c>
    </row>
    <row r="42" spans="1:21">
      <c r="A42" s="2">
        <f>'Monthly Data'!A42</f>
        <v>43586</v>
      </c>
      <c r="B42">
        <f>'Monthly Data'!B42</f>
        <v>2019</v>
      </c>
      <c r="C42">
        <f>'Monthly Data'!C42</f>
        <v>5</v>
      </c>
      <c r="D42" s="3">
        <f>'Monthly Data'!R42</f>
        <v>21989356.726660021</v>
      </c>
      <c r="E42" s="3">
        <f>'Monthly Data'!CN42</f>
        <v>267.53464912280702</v>
      </c>
      <c r="F42" s="3">
        <f>'Monthly Data'!CU42</f>
        <v>11.208333333333332</v>
      </c>
      <c r="G42">
        <f>'Monthly Data'!EJ42</f>
        <v>0</v>
      </c>
      <c r="H42" s="3">
        <f>'Monthly Data'!DB42</f>
        <v>7376.4</v>
      </c>
      <c r="I42" s="3">
        <f>'Monthly Data'!DQ42</f>
        <v>31</v>
      </c>
      <c r="K42" s="3">
        <f t="shared" si="13"/>
        <v>3542907.1380836898</v>
      </c>
      <c r="L42" s="3">
        <f t="shared" si="14"/>
        <v>2812378.1403025817</v>
      </c>
      <c r="M42" s="3">
        <f t="shared" si="15"/>
        <v>368206.90173592593</v>
      </c>
      <c r="N42" s="3">
        <f t="shared" si="16"/>
        <v>0</v>
      </c>
      <c r="O42" s="3">
        <f t="shared" si="17"/>
        <v>0</v>
      </c>
      <c r="P42" s="3">
        <f t="shared" si="18"/>
        <v>13987420.156226436</v>
      </c>
      <c r="Q42" s="47">
        <f t="shared" ref="Q42:Q73" si="19">SUM(K42:P42)</f>
        <v>20710912.336348634</v>
      </c>
      <c r="R42" s="47">
        <f ca="1">'Monthly Data'!S42+'Monthly Data'!T42</f>
        <v>30422.301304966015</v>
      </c>
      <c r="S42" s="47">
        <f t="shared" ca="1" si="8"/>
        <v>20741334.6376536</v>
      </c>
      <c r="T42" s="47">
        <f t="shared" ca="1" si="9"/>
        <v>-1248022.0890064202</v>
      </c>
      <c r="U42" s="18">
        <f t="shared" ref="U42:U73" ca="1" si="20">ABS(T42/D42)</f>
        <v>5.6755734354580333E-2</v>
      </c>
    </row>
    <row r="43" spans="1:21">
      <c r="A43" s="2">
        <f>'Monthly Data'!A43</f>
        <v>43617</v>
      </c>
      <c r="B43">
        <f>'Monthly Data'!B43</f>
        <v>2019</v>
      </c>
      <c r="C43">
        <f>'Monthly Data'!C43</f>
        <v>6</v>
      </c>
      <c r="D43" s="3">
        <f>'Monthly Data'!R43</f>
        <v>22438976.178483218</v>
      </c>
      <c r="E43" s="3">
        <f>'Monthly Data'!CN43</f>
        <v>80.695833333333368</v>
      </c>
      <c r="F43" s="3">
        <f>'Monthly Data'!CU43</f>
        <v>118.81666666666663</v>
      </c>
      <c r="G43">
        <f>'Monthly Data'!EJ43</f>
        <v>0</v>
      </c>
      <c r="H43" s="3">
        <f>'Monthly Data'!DB43</f>
        <v>7396.1</v>
      </c>
      <c r="I43" s="3">
        <f>'Monthly Data'!DQ43</f>
        <v>30</v>
      </c>
      <c r="K43" s="3">
        <f t="shared" si="13"/>
        <v>3542907.1380836898</v>
      </c>
      <c r="L43" s="3">
        <f t="shared" si="14"/>
        <v>848290.86035876838</v>
      </c>
      <c r="M43" s="3">
        <f t="shared" si="15"/>
        <v>3903266.9181790566</v>
      </c>
      <c r="N43" s="3">
        <f t="shared" si="16"/>
        <v>0</v>
      </c>
      <c r="O43" s="3">
        <f t="shared" si="17"/>
        <v>0</v>
      </c>
      <c r="P43" s="3">
        <f t="shared" si="18"/>
        <v>13536213.05441268</v>
      </c>
      <c r="Q43" s="47">
        <f t="shared" si="19"/>
        <v>21830677.971034195</v>
      </c>
      <c r="R43" s="47">
        <f ca="1">'Monthly Data'!S43+'Monthly Data'!T43</f>
        <v>23409.638456106237</v>
      </c>
      <c r="S43" s="47">
        <f t="shared" ref="S43:S106" ca="1" si="21">Q43+R43</f>
        <v>21854087.609490301</v>
      </c>
      <c r="T43" s="47">
        <f t="shared" ref="T43:T106" ca="1" si="22">S43-D43</f>
        <v>-584888.56899291649</v>
      </c>
      <c r="U43" s="18">
        <f t="shared" ca="1" si="20"/>
        <v>2.6065742230867352E-2</v>
      </c>
    </row>
    <row r="44" spans="1:21">
      <c r="A44" s="2">
        <f>'Monthly Data'!A44</f>
        <v>43647</v>
      </c>
      <c r="B44">
        <f>'Monthly Data'!B44</f>
        <v>2019</v>
      </c>
      <c r="C44">
        <f>'Monthly Data'!C44</f>
        <v>7</v>
      </c>
      <c r="D44" s="3">
        <f>'Monthly Data'!R44</f>
        <v>27458190.795904491</v>
      </c>
      <c r="E44" s="3">
        <f>'Monthly Data'!CN44</f>
        <v>0.97500000000000497</v>
      </c>
      <c r="F44" s="3">
        <f>'Monthly Data'!CU44</f>
        <v>259.60000000000008</v>
      </c>
      <c r="G44">
        <f>'Monthly Data'!EJ44</f>
        <v>0</v>
      </c>
      <c r="H44" s="3">
        <f>'Monthly Data'!DB44</f>
        <v>7399.6</v>
      </c>
      <c r="I44" s="3">
        <f>'Monthly Data'!DQ44</f>
        <v>31</v>
      </c>
      <c r="K44" s="3">
        <f t="shared" si="13"/>
        <v>3542907.1380836898</v>
      </c>
      <c r="L44" s="3">
        <f t="shared" si="14"/>
        <v>10249.396464292493</v>
      </c>
      <c r="M44" s="3">
        <f t="shared" si="15"/>
        <v>8528164.6118048839</v>
      </c>
      <c r="N44" s="3">
        <f t="shared" si="16"/>
        <v>0</v>
      </c>
      <c r="O44" s="3">
        <f t="shared" si="17"/>
        <v>0</v>
      </c>
      <c r="P44" s="3">
        <f t="shared" si="18"/>
        <v>13987420.156226436</v>
      </c>
      <c r="Q44" s="47">
        <f t="shared" si="19"/>
        <v>26068741.302579302</v>
      </c>
      <c r="R44" s="47">
        <f ca="1">'Monthly Data'!S44+'Monthly Data'!T44</f>
        <v>21732.295384615391</v>
      </c>
      <c r="S44" s="47">
        <f t="shared" ca="1" si="21"/>
        <v>26090473.597963918</v>
      </c>
      <c r="T44" s="47">
        <f t="shared" ca="1" si="22"/>
        <v>-1367717.1979405731</v>
      </c>
      <c r="U44" s="18">
        <f t="shared" ca="1" si="20"/>
        <v>4.981090007374317E-2</v>
      </c>
    </row>
    <row r="45" spans="1:21">
      <c r="A45" s="2">
        <f>'Monthly Data'!A45</f>
        <v>43678</v>
      </c>
      <c r="B45">
        <f>'Monthly Data'!B45</f>
        <v>2019</v>
      </c>
      <c r="C45">
        <f>'Monthly Data'!C45</f>
        <v>8</v>
      </c>
      <c r="D45" s="3">
        <f>'Monthly Data'!R45</f>
        <v>25475496.25134312</v>
      </c>
      <c r="E45" s="3">
        <f>'Monthly Data'!CN45</f>
        <v>19.091666666666661</v>
      </c>
      <c r="F45" s="3">
        <f>'Monthly Data'!CU45</f>
        <v>190.07083333333335</v>
      </c>
      <c r="G45">
        <f>'Monthly Data'!EJ45</f>
        <v>0</v>
      </c>
      <c r="H45" s="3">
        <f>'Monthly Data'!DB45</f>
        <v>7414</v>
      </c>
      <c r="I45" s="3">
        <f>'Monthly Data'!DQ45</f>
        <v>31</v>
      </c>
      <c r="K45" s="3">
        <f t="shared" si="13"/>
        <v>3542907.1380836898</v>
      </c>
      <c r="L45" s="3">
        <f t="shared" si="14"/>
        <v>200695.4470059314</v>
      </c>
      <c r="M45" s="3">
        <f t="shared" si="15"/>
        <v>6244049.9020400504</v>
      </c>
      <c r="N45" s="3">
        <f t="shared" si="16"/>
        <v>0</v>
      </c>
      <c r="O45" s="3">
        <f t="shared" si="17"/>
        <v>0</v>
      </c>
      <c r="P45" s="3">
        <f t="shared" si="18"/>
        <v>13987420.156226436</v>
      </c>
      <c r="Q45" s="47">
        <f t="shared" si="19"/>
        <v>23975072.643356107</v>
      </c>
      <c r="R45" s="47">
        <f ca="1">'Monthly Data'!S45+'Monthly Data'!T45</f>
        <v>22445.712930646645</v>
      </c>
      <c r="S45" s="47">
        <f t="shared" ca="1" si="21"/>
        <v>23997518.356286753</v>
      </c>
      <c r="T45" s="47">
        <f t="shared" ca="1" si="22"/>
        <v>-1477977.8950563669</v>
      </c>
      <c r="U45" s="18">
        <f t="shared" ca="1" si="20"/>
        <v>5.801566652419754E-2</v>
      </c>
    </row>
    <row r="46" spans="1:21">
      <c r="A46" s="2">
        <f>'Monthly Data'!A46</f>
        <v>43709</v>
      </c>
      <c r="B46">
        <f>'Monthly Data'!B46</f>
        <v>2019</v>
      </c>
      <c r="C46">
        <f>'Monthly Data'!C46</f>
        <v>9</v>
      </c>
      <c r="D46" s="3">
        <f>'Monthly Data'!R46</f>
        <v>21798333.345887173</v>
      </c>
      <c r="E46" s="3">
        <f>'Monthly Data'!CN46</f>
        <v>113.56666666666666</v>
      </c>
      <c r="F46" s="3">
        <f>'Monthly Data'!CU46</f>
        <v>76.5</v>
      </c>
      <c r="G46">
        <f>'Monthly Data'!EJ46</f>
        <v>0</v>
      </c>
      <c r="H46" s="3">
        <f>'Monthly Data'!DB46</f>
        <v>7432.4</v>
      </c>
      <c r="I46" s="3">
        <f>'Monthly Data'!DQ46</f>
        <v>30</v>
      </c>
      <c r="K46" s="3">
        <f t="shared" si="13"/>
        <v>3542907.1380836898</v>
      </c>
      <c r="L46" s="3">
        <f t="shared" si="14"/>
        <v>1193835.6838921143</v>
      </c>
      <c r="M46" s="3">
        <f t="shared" si="15"/>
        <v>2513114.7642645356</v>
      </c>
      <c r="N46" s="3">
        <f t="shared" si="16"/>
        <v>0</v>
      </c>
      <c r="O46" s="3">
        <f t="shared" si="17"/>
        <v>0</v>
      </c>
      <c r="P46" s="3">
        <f t="shared" si="18"/>
        <v>13536213.05441268</v>
      </c>
      <c r="Q46" s="47">
        <f t="shared" si="19"/>
        <v>20786070.640653022</v>
      </c>
      <c r="R46" s="47">
        <f ca="1">'Monthly Data'!S46+'Monthly Data'!T46</f>
        <v>25643.8811086282</v>
      </c>
      <c r="S46" s="47">
        <f t="shared" ca="1" si="21"/>
        <v>20811714.521761648</v>
      </c>
      <c r="T46" s="47">
        <f t="shared" ca="1" si="22"/>
        <v>-986618.82412552461</v>
      </c>
      <c r="U46" s="18">
        <f t="shared" ca="1" si="20"/>
        <v>4.526120453661546E-2</v>
      </c>
    </row>
    <row r="47" spans="1:21">
      <c r="A47" s="2">
        <f>'Monthly Data'!A47</f>
        <v>43739</v>
      </c>
      <c r="B47">
        <f>'Monthly Data'!B47</f>
        <v>2019</v>
      </c>
      <c r="C47">
        <f>'Monthly Data'!C47</f>
        <v>10</v>
      </c>
      <c r="D47" s="3">
        <f>'Monthly Data'!R47</f>
        <v>21919987.852041505</v>
      </c>
      <c r="E47" s="3">
        <f>'Monthly Data'!CN47</f>
        <v>303.96666666666664</v>
      </c>
      <c r="F47" s="3">
        <f>'Monthly Data'!CU47</f>
        <v>7.3333333333333357</v>
      </c>
      <c r="G47">
        <f>'Monthly Data'!EJ47</f>
        <v>0</v>
      </c>
      <c r="H47" s="3">
        <f>'Monthly Data'!DB47</f>
        <v>7450</v>
      </c>
      <c r="I47" s="3">
        <f>'Monthly Data'!DQ47</f>
        <v>31</v>
      </c>
      <c r="K47" s="3">
        <f t="shared" si="13"/>
        <v>3542907.1380836898</v>
      </c>
      <c r="L47" s="3">
        <f t="shared" si="14"/>
        <v>3195358.8498421456</v>
      </c>
      <c r="M47" s="3">
        <f t="shared" si="15"/>
        <v>240908.60485324531</v>
      </c>
      <c r="N47" s="3">
        <f t="shared" si="16"/>
        <v>0</v>
      </c>
      <c r="O47" s="3">
        <f t="shared" si="17"/>
        <v>0</v>
      </c>
      <c r="P47" s="3">
        <f t="shared" si="18"/>
        <v>13987420.156226436</v>
      </c>
      <c r="Q47" s="47">
        <f t="shared" si="19"/>
        <v>20966594.749005515</v>
      </c>
      <c r="R47" s="47">
        <f ca="1">'Monthly Data'!S47+'Monthly Data'!T47</f>
        <v>34696.508723936538</v>
      </c>
      <c r="S47" s="47">
        <f t="shared" ca="1" si="21"/>
        <v>21001291.257729452</v>
      </c>
      <c r="T47" s="47">
        <f t="shared" ca="1" si="22"/>
        <v>-918696.59431205317</v>
      </c>
      <c r="U47" s="18">
        <f t="shared" ca="1" si="20"/>
        <v>4.1911364208465605E-2</v>
      </c>
    </row>
    <row r="48" spans="1:21">
      <c r="A48" s="2">
        <f>'Monthly Data'!A48</f>
        <v>43770</v>
      </c>
      <c r="B48">
        <f>'Monthly Data'!B48</f>
        <v>2019</v>
      </c>
      <c r="C48">
        <f>'Monthly Data'!C48</f>
        <v>11</v>
      </c>
      <c r="D48" s="3">
        <f>'Monthly Data'!R48</f>
        <v>24237065.28145485</v>
      </c>
      <c r="E48" s="3">
        <f>'Monthly Data'!CN48</f>
        <v>589.72500000000002</v>
      </c>
      <c r="F48" s="3">
        <f>'Monthly Data'!CU48</f>
        <v>0</v>
      </c>
      <c r="G48">
        <f>'Monthly Data'!EJ48</f>
        <v>0</v>
      </c>
      <c r="H48" s="3">
        <f>'Monthly Data'!DB48</f>
        <v>7458.2</v>
      </c>
      <c r="I48" s="3">
        <f>'Monthly Data'!DQ48</f>
        <v>30</v>
      </c>
      <c r="K48" s="3">
        <f t="shared" si="13"/>
        <v>3542907.1380836898</v>
      </c>
      <c r="L48" s="3">
        <f t="shared" si="14"/>
        <v>6199308.0306716515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13536213.05441268</v>
      </c>
      <c r="Q48" s="47">
        <f t="shared" si="19"/>
        <v>23278428.223168023</v>
      </c>
      <c r="R48" s="47">
        <f ca="1">'Monthly Data'!S48+'Monthly Data'!T48</f>
        <v>48657.220328581738</v>
      </c>
      <c r="S48" s="47">
        <f t="shared" ca="1" si="21"/>
        <v>23327085.443496604</v>
      </c>
      <c r="T48" s="47">
        <f t="shared" ca="1" si="22"/>
        <v>-909979.83795824647</v>
      </c>
      <c r="U48" s="18">
        <f t="shared" ca="1" si="20"/>
        <v>3.7544967899002343E-2</v>
      </c>
    </row>
    <row r="49" spans="1:21">
      <c r="A49" s="2">
        <f>'Monthly Data'!A49</f>
        <v>43800</v>
      </c>
      <c r="B49">
        <f>'Monthly Data'!B49</f>
        <v>2019</v>
      </c>
      <c r="C49">
        <f>'Monthly Data'!C49</f>
        <v>12</v>
      </c>
      <c r="D49" s="3">
        <f>'Monthly Data'!R49</f>
        <v>25952432.100917619</v>
      </c>
      <c r="E49" s="3">
        <f>'Monthly Data'!CN49</f>
        <v>676.42916666666656</v>
      </c>
      <c r="F49" s="3">
        <f>'Monthly Data'!CU49</f>
        <v>0</v>
      </c>
      <c r="G49">
        <f>'Monthly Data'!EJ49</f>
        <v>0</v>
      </c>
      <c r="H49" s="3">
        <f>'Monthly Data'!DB49</f>
        <v>7474</v>
      </c>
      <c r="I49" s="3">
        <f>'Monthly Data'!DQ49</f>
        <v>31</v>
      </c>
      <c r="K49" s="3">
        <f t="shared" si="13"/>
        <v>3542907.1380836898</v>
      </c>
      <c r="L49" s="3">
        <f t="shared" si="14"/>
        <v>7110759.7017206298</v>
      </c>
      <c r="M49" s="3">
        <f t="shared" si="15"/>
        <v>0</v>
      </c>
      <c r="N49" s="3">
        <f t="shared" si="16"/>
        <v>0</v>
      </c>
      <c r="O49" s="3">
        <f t="shared" si="17"/>
        <v>0</v>
      </c>
      <c r="P49" s="3">
        <f t="shared" si="18"/>
        <v>13987420.156226436</v>
      </c>
      <c r="Q49" s="47">
        <f t="shared" si="19"/>
        <v>24641086.996030755</v>
      </c>
      <c r="R49" s="47">
        <f ca="1">'Monthly Data'!S49+'Monthly Data'!T49</f>
        <v>53140.834403262837</v>
      </c>
      <c r="S49" s="47">
        <f t="shared" ca="1" si="21"/>
        <v>24694227.830434017</v>
      </c>
      <c r="T49" s="47">
        <f t="shared" ca="1" si="22"/>
        <v>-1258204.2704836018</v>
      </c>
      <c r="U49" s="18">
        <f t="shared" ca="1" si="20"/>
        <v>4.8481169918526232E-2</v>
      </c>
    </row>
    <row r="50" spans="1:21">
      <c r="A50" s="2">
        <f>'Monthly Data'!A50</f>
        <v>43831</v>
      </c>
      <c r="B50">
        <f>'Monthly Data'!B50</f>
        <v>2020</v>
      </c>
      <c r="C50">
        <f>'Monthly Data'!C50</f>
        <v>1</v>
      </c>
      <c r="D50" s="3">
        <f>'Monthly Data'!R50</f>
        <v>26660699.398974162</v>
      </c>
      <c r="E50" s="3">
        <f>'Monthly Data'!CN50</f>
        <v>690.82083333333321</v>
      </c>
      <c r="F50" s="3">
        <f>'Monthly Data'!CU50</f>
        <v>0</v>
      </c>
      <c r="G50">
        <f>'Monthly Data'!EJ50</f>
        <v>0</v>
      </c>
      <c r="H50" s="3">
        <f>'Monthly Data'!DB50</f>
        <v>7498.1</v>
      </c>
      <c r="I50" s="3">
        <f>'Monthly Data'!DQ50</f>
        <v>31</v>
      </c>
      <c r="K50" s="3">
        <f t="shared" si="13"/>
        <v>3542907.1380836898</v>
      </c>
      <c r="L50" s="3">
        <f t="shared" si="14"/>
        <v>7262047.8016679212</v>
      </c>
      <c r="M50" s="3">
        <f t="shared" si="15"/>
        <v>0</v>
      </c>
      <c r="N50" s="3">
        <f t="shared" si="16"/>
        <v>0</v>
      </c>
      <c r="O50" s="3">
        <f t="shared" si="17"/>
        <v>0</v>
      </c>
      <c r="P50" s="3">
        <f t="shared" si="18"/>
        <v>13987420.156226436</v>
      </c>
      <c r="Q50" s="47">
        <f t="shared" si="19"/>
        <v>24792375.095978044</v>
      </c>
      <c r="R50" s="47">
        <f ca="1">'Monthly Data'!S50+'Monthly Data'!T50</f>
        <v>146748.8202703374</v>
      </c>
      <c r="S50" s="47">
        <f t="shared" ca="1" si="21"/>
        <v>24939123.916248381</v>
      </c>
      <c r="T50" s="47">
        <f t="shared" ca="1" si="22"/>
        <v>-1721575.4827257805</v>
      </c>
      <c r="U50" s="18">
        <f t="shared" ca="1" si="20"/>
        <v>6.4573530385028929E-2</v>
      </c>
    </row>
    <row r="51" spans="1:21">
      <c r="A51" s="2">
        <f>'Monthly Data'!A51</f>
        <v>43862</v>
      </c>
      <c r="B51">
        <f>'Monthly Data'!B51</f>
        <v>2020</v>
      </c>
      <c r="C51">
        <f>'Monthly Data'!C51</f>
        <v>2</v>
      </c>
      <c r="D51" s="3">
        <f>'Monthly Data'!R51</f>
        <v>25074828.131062046</v>
      </c>
      <c r="E51" s="3">
        <f>'Monthly Data'!CN51</f>
        <v>678.4000000000002</v>
      </c>
      <c r="F51" s="3">
        <f>'Monthly Data'!CU51</f>
        <v>0</v>
      </c>
      <c r="G51">
        <f>'Monthly Data'!EJ51</f>
        <v>0</v>
      </c>
      <c r="H51" s="3">
        <f>'Monthly Data'!DB51</f>
        <v>7508</v>
      </c>
      <c r="I51" s="3">
        <f>'Monthly Data'!DQ51</f>
        <v>29</v>
      </c>
      <c r="K51" s="3">
        <f t="shared" si="13"/>
        <v>3542907.1380836898</v>
      </c>
      <c r="L51" s="3">
        <f t="shared" si="14"/>
        <v>7131477.4988471735</v>
      </c>
      <c r="M51" s="3">
        <f t="shared" si="15"/>
        <v>0</v>
      </c>
      <c r="N51" s="3">
        <f t="shared" si="16"/>
        <v>0</v>
      </c>
      <c r="O51" s="3">
        <f t="shared" si="17"/>
        <v>0</v>
      </c>
      <c r="P51" s="3">
        <f t="shared" si="18"/>
        <v>13085005.952598924</v>
      </c>
      <c r="Q51" s="47">
        <f t="shared" si="19"/>
        <v>23759390.58952979</v>
      </c>
      <c r="R51" s="47">
        <f ca="1">'Monthly Data'!S51+'Monthly Data'!T51</f>
        <v>145695.90952655318</v>
      </c>
      <c r="S51" s="47">
        <f t="shared" ca="1" si="21"/>
        <v>23905086.499056343</v>
      </c>
      <c r="T51" s="47">
        <f t="shared" ca="1" si="22"/>
        <v>-1169741.6320057027</v>
      </c>
      <c r="U51" s="18">
        <f t="shared" ca="1" si="20"/>
        <v>4.6650035880272181E-2</v>
      </c>
    </row>
    <row r="52" spans="1:21">
      <c r="A52" s="2">
        <f>'Monthly Data'!A52</f>
        <v>43891</v>
      </c>
      <c r="B52">
        <f>'Monthly Data'!B52</f>
        <v>2020</v>
      </c>
      <c r="C52">
        <f>'Monthly Data'!C52</f>
        <v>3</v>
      </c>
      <c r="D52" s="3">
        <f>'Monthly Data'!R52</f>
        <v>23209263.801920861</v>
      </c>
      <c r="E52" s="3">
        <f>'Monthly Data'!CN52</f>
        <v>543.57083333333344</v>
      </c>
      <c r="F52" s="3">
        <f>'Monthly Data'!CU52</f>
        <v>0</v>
      </c>
      <c r="G52">
        <f>'Monthly Data'!EJ52</f>
        <v>0.5</v>
      </c>
      <c r="H52" s="3">
        <f>'Monthly Data'!DB52</f>
        <v>7351.6</v>
      </c>
      <c r="I52" s="3">
        <f>'Monthly Data'!DQ52</f>
        <v>31</v>
      </c>
      <c r="K52" s="3">
        <f t="shared" si="13"/>
        <v>3542907.1380836898</v>
      </c>
      <c r="L52" s="3">
        <f t="shared" si="14"/>
        <v>5714126.1305222185</v>
      </c>
      <c r="M52" s="3">
        <f t="shared" si="15"/>
        <v>0</v>
      </c>
      <c r="N52" s="3">
        <f t="shared" si="16"/>
        <v>-1309372.0919342099</v>
      </c>
      <c r="O52" s="3">
        <f t="shared" si="17"/>
        <v>0</v>
      </c>
      <c r="P52" s="3">
        <f t="shared" si="18"/>
        <v>13987420.156226436</v>
      </c>
      <c r="Q52" s="47">
        <f t="shared" si="19"/>
        <v>21935081.332898133</v>
      </c>
      <c r="R52" s="47">
        <f ca="1">'Monthly Data'!S52+'Monthly Data'!T52</f>
        <v>119450.85900429677</v>
      </c>
      <c r="S52" s="47">
        <f t="shared" ca="1" si="21"/>
        <v>22054532.191902429</v>
      </c>
      <c r="T52" s="47">
        <f t="shared" ca="1" si="22"/>
        <v>-1154731.6100184321</v>
      </c>
      <c r="U52" s="18">
        <f t="shared" ca="1" si="20"/>
        <v>4.9753047743068157E-2</v>
      </c>
    </row>
    <row r="53" spans="1:21">
      <c r="A53" s="2">
        <f>'Monthly Data'!A53</f>
        <v>43922</v>
      </c>
      <c r="B53">
        <f>'Monthly Data'!B53</f>
        <v>2020</v>
      </c>
      <c r="C53">
        <f>'Monthly Data'!C53</f>
        <v>4</v>
      </c>
      <c r="D53" s="3">
        <f>'Monthly Data'!R53</f>
        <v>18603961.100045763</v>
      </c>
      <c r="E53" s="3">
        <f>'Monthly Data'!CN53</f>
        <v>439.67500000000013</v>
      </c>
      <c r="F53" s="3">
        <f>'Monthly Data'!CU53</f>
        <v>0</v>
      </c>
      <c r="G53">
        <f>'Monthly Data'!EJ53</f>
        <v>1</v>
      </c>
      <c r="H53" s="3">
        <f>'Monthly Data'!DB53</f>
        <v>6961.6</v>
      </c>
      <c r="I53" s="3">
        <f>'Monthly Data'!DQ53</f>
        <v>30</v>
      </c>
      <c r="K53" s="3">
        <f t="shared" si="13"/>
        <v>3542907.1380836898</v>
      </c>
      <c r="L53" s="3">
        <f t="shared" si="14"/>
        <v>4621952.1953207999</v>
      </c>
      <c r="M53" s="3">
        <f t="shared" si="15"/>
        <v>0</v>
      </c>
      <c r="N53" s="3">
        <f t="shared" si="16"/>
        <v>-2618744.1838684198</v>
      </c>
      <c r="O53" s="3">
        <f t="shared" si="17"/>
        <v>0</v>
      </c>
      <c r="P53" s="3">
        <f t="shared" si="18"/>
        <v>13536213.05441268</v>
      </c>
      <c r="Q53" s="47">
        <f t="shared" si="19"/>
        <v>19082328.203948751</v>
      </c>
      <c r="R53" s="47">
        <f ca="1">'Monthly Data'!S53+'Monthly Data'!T53</f>
        <v>100340.54958359245</v>
      </c>
      <c r="S53" s="47">
        <f t="shared" ca="1" si="21"/>
        <v>19182668.753532343</v>
      </c>
      <c r="T53" s="47">
        <f t="shared" ca="1" si="22"/>
        <v>578707.65348657966</v>
      </c>
      <c r="U53" s="18">
        <f t="shared" ca="1" si="20"/>
        <v>3.1106690149183127E-2</v>
      </c>
    </row>
    <row r="54" spans="1:21">
      <c r="A54" s="2">
        <f>'Monthly Data'!A54</f>
        <v>43952</v>
      </c>
      <c r="B54">
        <f>'Monthly Data'!B54</f>
        <v>2020</v>
      </c>
      <c r="C54">
        <f>'Monthly Data'!C54</f>
        <v>5</v>
      </c>
      <c r="D54" s="3">
        <f>'Monthly Data'!R54</f>
        <v>18884059.75782511</v>
      </c>
      <c r="E54" s="3">
        <f>'Monthly Data'!CN54</f>
        <v>265.14107142857148</v>
      </c>
      <c r="F54" s="3">
        <f>'Monthly Data'!CU54</f>
        <v>50.900595238095221</v>
      </c>
      <c r="G54">
        <f>'Monthly Data'!EJ54</f>
        <v>1</v>
      </c>
      <c r="H54" s="3">
        <f>'Monthly Data'!DB54</f>
        <v>6572.6</v>
      </c>
      <c r="I54" s="3">
        <f>'Monthly Data'!DQ54</f>
        <v>31</v>
      </c>
      <c r="K54" s="3">
        <f t="shared" si="13"/>
        <v>3542907.1380836898</v>
      </c>
      <c r="L54" s="3">
        <f t="shared" si="14"/>
        <v>2787216.3692704719</v>
      </c>
      <c r="M54" s="3">
        <f t="shared" si="15"/>
        <v>1672144.2797739897</v>
      </c>
      <c r="N54" s="3">
        <f t="shared" si="16"/>
        <v>-2618744.1838684198</v>
      </c>
      <c r="O54" s="3">
        <f t="shared" si="17"/>
        <v>0</v>
      </c>
      <c r="P54" s="3">
        <f t="shared" si="18"/>
        <v>13987420.156226436</v>
      </c>
      <c r="Q54" s="47">
        <f t="shared" si="19"/>
        <v>19370943.759486169</v>
      </c>
      <c r="R54" s="47">
        <f ca="1">'Monthly Data'!S54+'Monthly Data'!T54</f>
        <v>68665.446859192598</v>
      </c>
      <c r="S54" s="47">
        <f t="shared" ca="1" si="21"/>
        <v>19439609.206345361</v>
      </c>
      <c r="T54" s="47">
        <f t="shared" ca="1" si="22"/>
        <v>555549.44852025062</v>
      </c>
      <c r="U54" s="18">
        <f t="shared" ca="1" si="20"/>
        <v>2.9418962640702512E-2</v>
      </c>
    </row>
    <row r="55" spans="1:21">
      <c r="A55" s="2">
        <f>'Monthly Data'!A55</f>
        <v>43983</v>
      </c>
      <c r="B55">
        <f>'Monthly Data'!B55</f>
        <v>2020</v>
      </c>
      <c r="C55">
        <f>'Monthly Data'!C55</f>
        <v>6</v>
      </c>
      <c r="D55" s="3">
        <f>'Monthly Data'!R55</f>
        <v>21097806.23196594</v>
      </c>
      <c r="E55" s="3">
        <f>'Monthly Data'!CN55</f>
        <v>53.275000000000006</v>
      </c>
      <c r="F55" s="3">
        <f>'Monthly Data'!CU55</f>
        <v>165.96956521739128</v>
      </c>
      <c r="G55">
        <f>'Monthly Data'!EJ55</f>
        <v>0.5</v>
      </c>
      <c r="H55" s="3">
        <f>'Monthly Data'!DB55</f>
        <v>6477.4</v>
      </c>
      <c r="I55" s="3">
        <f>'Monthly Data'!DQ55</f>
        <v>30</v>
      </c>
      <c r="K55" s="3">
        <f t="shared" si="13"/>
        <v>3542907.1380836898</v>
      </c>
      <c r="L55" s="3">
        <f t="shared" si="14"/>
        <v>560037.53501044086</v>
      </c>
      <c r="M55" s="3">
        <f t="shared" si="15"/>
        <v>5452294.9642665591</v>
      </c>
      <c r="N55" s="3">
        <f t="shared" si="16"/>
        <v>-1309372.0919342099</v>
      </c>
      <c r="O55" s="3">
        <f t="shared" si="17"/>
        <v>0</v>
      </c>
      <c r="P55" s="3">
        <f t="shared" si="18"/>
        <v>13536213.05441268</v>
      </c>
      <c r="Q55" s="47">
        <f t="shared" si="19"/>
        <v>21782080.599839158</v>
      </c>
      <c r="R55" s="47">
        <f ca="1">'Monthly Data'!S55+'Monthly Data'!T55</f>
        <v>33886.832944570822</v>
      </c>
      <c r="S55" s="47">
        <f t="shared" ca="1" si="21"/>
        <v>21815967.43278373</v>
      </c>
      <c r="T55" s="47">
        <f t="shared" ca="1" si="22"/>
        <v>718161.20081778988</v>
      </c>
      <c r="U55" s="18">
        <f t="shared" ca="1" si="20"/>
        <v>3.4039614968578179E-2</v>
      </c>
    </row>
    <row r="56" spans="1:21">
      <c r="A56" s="2">
        <f>'Monthly Data'!A56</f>
        <v>44013</v>
      </c>
      <c r="B56">
        <f>'Monthly Data'!B56</f>
        <v>2020</v>
      </c>
      <c r="C56">
        <f>'Monthly Data'!C56</f>
        <v>7</v>
      </c>
      <c r="D56" s="3">
        <f>'Monthly Data'!R56</f>
        <v>25978683.247062691</v>
      </c>
      <c r="E56" s="3">
        <f>'Monthly Data'!CN56</f>
        <v>0</v>
      </c>
      <c r="F56" s="3">
        <f>'Monthly Data'!CU56</f>
        <v>308.88750000000005</v>
      </c>
      <c r="G56">
        <f>'Monthly Data'!EJ56</f>
        <v>0.5</v>
      </c>
      <c r="H56" s="3">
        <f>'Monthly Data'!DB56</f>
        <v>6666.4</v>
      </c>
      <c r="I56" s="3">
        <f>'Monthly Data'!DQ56</f>
        <v>31</v>
      </c>
      <c r="K56" s="3">
        <f t="shared" si="13"/>
        <v>3542907.1380836898</v>
      </c>
      <c r="L56" s="3">
        <f t="shared" si="14"/>
        <v>0</v>
      </c>
      <c r="M56" s="3">
        <f t="shared" si="15"/>
        <v>10147316.820219109</v>
      </c>
      <c r="N56" s="3">
        <f t="shared" si="16"/>
        <v>-1309372.0919342099</v>
      </c>
      <c r="O56" s="3">
        <f t="shared" si="17"/>
        <v>0</v>
      </c>
      <c r="P56" s="3">
        <f t="shared" si="18"/>
        <v>13987420.156226436</v>
      </c>
      <c r="Q56" s="47">
        <f t="shared" si="19"/>
        <v>26368272.022595026</v>
      </c>
      <c r="R56" s="47">
        <f ca="1">'Monthly Data'!S56+'Monthly Data'!T56</f>
        <v>28716.796666666669</v>
      </c>
      <c r="S56" s="47">
        <f t="shared" ca="1" si="21"/>
        <v>26396988.819261692</v>
      </c>
      <c r="T56" s="47">
        <f t="shared" ca="1" si="22"/>
        <v>418305.57219900191</v>
      </c>
      <c r="U56" s="18">
        <f t="shared" ca="1" si="20"/>
        <v>1.6101877382345701E-2</v>
      </c>
    </row>
    <row r="57" spans="1:21">
      <c r="A57" s="2">
        <f>'Monthly Data'!A57</f>
        <v>44044</v>
      </c>
      <c r="B57">
        <f>'Monthly Data'!B57</f>
        <v>2020</v>
      </c>
      <c r="C57">
        <f>'Monthly Data'!C57</f>
        <v>8</v>
      </c>
      <c r="D57" s="3">
        <f>'Monthly Data'!R57</f>
        <v>24125878.07363626</v>
      </c>
      <c r="E57" s="3">
        <f>'Monthly Data'!CN57</f>
        <v>19.720833333333321</v>
      </c>
      <c r="F57" s="3">
        <f>'Monthly Data'!CU57</f>
        <v>216.93106060606064</v>
      </c>
      <c r="G57">
        <f>'Monthly Data'!EJ57</f>
        <v>0.5</v>
      </c>
      <c r="H57" s="3">
        <f>'Monthly Data'!DB57</f>
        <v>6904.3</v>
      </c>
      <c r="I57" s="3">
        <f>'Monthly Data'!DQ57</f>
        <v>31</v>
      </c>
      <c r="K57" s="3">
        <f t="shared" si="13"/>
        <v>3542907.1380836898</v>
      </c>
      <c r="L57" s="3">
        <f t="shared" si="14"/>
        <v>207309.37378417133</v>
      </c>
      <c r="M57" s="3">
        <f t="shared" si="15"/>
        <v>7126439.8854464805</v>
      </c>
      <c r="N57" s="3">
        <f t="shared" si="16"/>
        <v>-1309372.0919342099</v>
      </c>
      <c r="O57" s="3">
        <f t="shared" si="17"/>
        <v>0</v>
      </c>
      <c r="P57" s="3">
        <f t="shared" si="18"/>
        <v>13987420.156226436</v>
      </c>
      <c r="Q57" s="47">
        <f t="shared" si="19"/>
        <v>23554704.46160657</v>
      </c>
      <c r="R57" s="47">
        <f ca="1">'Monthly Data'!S57+'Monthly Data'!T57</f>
        <v>29964.32478437114</v>
      </c>
      <c r="S57" s="47">
        <f t="shared" ca="1" si="21"/>
        <v>23584668.786390942</v>
      </c>
      <c r="T57" s="47">
        <f t="shared" ca="1" si="22"/>
        <v>-541209.28724531829</v>
      </c>
      <c r="U57" s="18">
        <f t="shared" ca="1" si="20"/>
        <v>2.2432729104965882E-2</v>
      </c>
    </row>
    <row r="58" spans="1:21">
      <c r="A58" s="2">
        <f>'Monthly Data'!A58</f>
        <v>44075</v>
      </c>
      <c r="B58">
        <f>'Monthly Data'!B58</f>
        <v>2020</v>
      </c>
      <c r="C58">
        <f>'Monthly Data'!C58</f>
        <v>9</v>
      </c>
      <c r="D58" s="3">
        <f>'Monthly Data'!R58</f>
        <v>20619845.029231008</v>
      </c>
      <c r="E58" s="3">
        <f>'Monthly Data'!CN58</f>
        <v>132.75869565217394</v>
      </c>
      <c r="F58" s="3">
        <f>'Monthly Data'!CU58</f>
        <v>75.812499999999972</v>
      </c>
      <c r="G58">
        <f>'Monthly Data'!EJ58</f>
        <v>0.5</v>
      </c>
      <c r="H58" s="3">
        <f>'Monthly Data'!DB58</f>
        <v>7065.2</v>
      </c>
      <c r="I58" s="3">
        <f>'Monthly Data'!DQ58</f>
        <v>30</v>
      </c>
      <c r="K58" s="3">
        <f t="shared" si="13"/>
        <v>3542907.1380836898</v>
      </c>
      <c r="L58" s="3">
        <f t="shared" si="14"/>
        <v>1395586.15981689</v>
      </c>
      <c r="M58" s="3">
        <f t="shared" si="15"/>
        <v>2490529.5825595427</v>
      </c>
      <c r="N58" s="3">
        <f t="shared" si="16"/>
        <v>-1309372.0919342099</v>
      </c>
      <c r="O58" s="3">
        <f t="shared" si="17"/>
        <v>0</v>
      </c>
      <c r="P58" s="3">
        <f t="shared" si="18"/>
        <v>13536213.05441268</v>
      </c>
      <c r="Q58" s="47">
        <f t="shared" si="19"/>
        <v>19655863.842938595</v>
      </c>
      <c r="R58" s="47">
        <f ca="1">'Monthly Data'!S58+'Monthly Data'!T58</f>
        <v>46292.756522444492</v>
      </c>
      <c r="S58" s="47">
        <f t="shared" ca="1" si="21"/>
        <v>19702156.599461038</v>
      </c>
      <c r="T58" s="47">
        <f t="shared" ca="1" si="22"/>
        <v>-917688.42976997048</v>
      </c>
      <c r="U58" s="18">
        <f t="shared" ca="1" si="20"/>
        <v>4.4505107990338494E-2</v>
      </c>
    </row>
    <row r="59" spans="1:21">
      <c r="A59" s="2">
        <f>'Monthly Data'!A59</f>
        <v>44105</v>
      </c>
      <c r="B59">
        <f>'Monthly Data'!B59</f>
        <v>2020</v>
      </c>
      <c r="C59">
        <f>'Monthly Data'!C59</f>
        <v>10</v>
      </c>
      <c r="D59" s="3">
        <f>'Monthly Data'!R59</f>
        <v>20573295.775600422</v>
      </c>
      <c r="E59" s="3">
        <f>'Monthly Data'!CN59</f>
        <v>349.83333333333326</v>
      </c>
      <c r="F59" s="3">
        <f>'Monthly Data'!CU59</f>
        <v>3.9291666666666654</v>
      </c>
      <c r="G59">
        <f>'Monthly Data'!EJ59</f>
        <v>0.5</v>
      </c>
      <c r="H59" s="3">
        <f>'Monthly Data'!DB59</f>
        <v>7186.6</v>
      </c>
      <c r="I59" s="3">
        <f>'Monthly Data'!DQ59</f>
        <v>31</v>
      </c>
      <c r="K59" s="3">
        <f t="shared" si="13"/>
        <v>3542907.1380836898</v>
      </c>
      <c r="L59" s="3">
        <f t="shared" si="14"/>
        <v>3677518.4920597998</v>
      </c>
      <c r="M59" s="3">
        <f t="shared" si="15"/>
        <v>129077.73544125579</v>
      </c>
      <c r="N59" s="3">
        <f t="shared" si="16"/>
        <v>-1309372.0919342099</v>
      </c>
      <c r="O59" s="3">
        <f t="shared" si="17"/>
        <v>0</v>
      </c>
      <c r="P59" s="3">
        <f t="shared" si="18"/>
        <v>13987420.156226436</v>
      </c>
      <c r="Q59" s="47">
        <f t="shared" si="19"/>
        <v>20027551.429876972</v>
      </c>
      <c r="R59" s="47">
        <f ca="1">'Monthly Data'!S59+'Monthly Data'!T59</f>
        <v>86041.57646080236</v>
      </c>
      <c r="S59" s="47">
        <f t="shared" ca="1" si="21"/>
        <v>20113593.006337773</v>
      </c>
      <c r="T59" s="47">
        <f t="shared" ca="1" si="22"/>
        <v>-459702.76926264912</v>
      </c>
      <c r="U59" s="18">
        <f t="shared" ca="1" si="20"/>
        <v>2.2344634242212606E-2</v>
      </c>
    </row>
    <row r="60" spans="1:21">
      <c r="A60" s="2">
        <f>'Monthly Data'!A60</f>
        <v>44136</v>
      </c>
      <c r="B60">
        <f>'Monthly Data'!B60</f>
        <v>2020</v>
      </c>
      <c r="C60">
        <f>'Monthly Data'!C60</f>
        <v>11</v>
      </c>
      <c r="D60" s="3">
        <f>'Monthly Data'!R60</f>
        <v>21740626.242299922</v>
      </c>
      <c r="E60" s="3">
        <f>'Monthly Data'!CN60</f>
        <v>426.30072463768113</v>
      </c>
      <c r="F60" s="3">
        <f>'Monthly Data'!CU60</f>
        <v>0</v>
      </c>
      <c r="G60">
        <f>'Monthly Data'!EJ60</f>
        <v>0.5</v>
      </c>
      <c r="H60" s="3">
        <f>'Monthly Data'!DB60</f>
        <v>7271.8</v>
      </c>
      <c r="I60" s="3">
        <f>'Monthly Data'!DQ60</f>
        <v>30</v>
      </c>
      <c r="K60" s="3">
        <f t="shared" si="13"/>
        <v>3542907.1380836898</v>
      </c>
      <c r="L60" s="3">
        <f t="shared" si="14"/>
        <v>4481359.1177710304</v>
      </c>
      <c r="M60" s="3">
        <f t="shared" si="15"/>
        <v>0</v>
      </c>
      <c r="N60" s="3">
        <f t="shared" si="16"/>
        <v>-1309372.0919342099</v>
      </c>
      <c r="O60" s="3">
        <f t="shared" si="17"/>
        <v>0</v>
      </c>
      <c r="P60" s="3">
        <f t="shared" si="18"/>
        <v>13536213.05441268</v>
      </c>
      <c r="Q60" s="47">
        <f t="shared" si="19"/>
        <v>20251107.218333192</v>
      </c>
      <c r="R60" s="47">
        <f ca="1">'Monthly Data'!S60+'Monthly Data'!T60</f>
        <v>101773.6383044736</v>
      </c>
      <c r="S60" s="47">
        <f t="shared" ca="1" si="21"/>
        <v>20352880.856637664</v>
      </c>
      <c r="T60" s="47">
        <f t="shared" ca="1" si="22"/>
        <v>-1387745.3856622577</v>
      </c>
      <c r="U60" s="18">
        <f t="shared" ca="1" si="20"/>
        <v>6.3831895649913414E-2</v>
      </c>
    </row>
    <row r="61" spans="1:21">
      <c r="A61" s="2">
        <f>'Monthly Data'!A61</f>
        <v>44166</v>
      </c>
      <c r="B61">
        <f>'Monthly Data'!B61</f>
        <v>2020</v>
      </c>
      <c r="C61">
        <f>'Monthly Data'!C61</f>
        <v>12</v>
      </c>
      <c r="D61" s="3">
        <f>'Monthly Data'!R61</f>
        <v>24034292.216278568</v>
      </c>
      <c r="E61" s="3">
        <f>'Monthly Data'!CN61</f>
        <v>644.90416666666681</v>
      </c>
      <c r="F61" s="3">
        <f>'Monthly Data'!CU61</f>
        <v>0</v>
      </c>
      <c r="G61">
        <f>'Monthly Data'!EJ61</f>
        <v>0.5</v>
      </c>
      <c r="H61" s="3">
        <f>'Monthly Data'!DB61</f>
        <v>7289.8</v>
      </c>
      <c r="I61" s="3">
        <f>'Monthly Data'!DQ61</f>
        <v>31</v>
      </c>
      <c r="K61" s="3">
        <f t="shared" si="13"/>
        <v>3542907.1380836898</v>
      </c>
      <c r="L61" s="3">
        <f t="shared" si="14"/>
        <v>6779362.5493751774</v>
      </c>
      <c r="M61" s="3">
        <f t="shared" si="15"/>
        <v>0</v>
      </c>
      <c r="N61" s="3">
        <f t="shared" si="16"/>
        <v>-1309372.0919342099</v>
      </c>
      <c r="O61" s="3">
        <f t="shared" si="17"/>
        <v>0</v>
      </c>
      <c r="P61" s="3">
        <f t="shared" si="18"/>
        <v>13987420.156226436</v>
      </c>
      <c r="Q61" s="47">
        <f t="shared" si="19"/>
        <v>23000317.751751095</v>
      </c>
      <c r="R61" s="47">
        <f ca="1">'Monthly Data'!S61+'Monthly Data'!T61</f>
        <v>144190.67195440363</v>
      </c>
      <c r="S61" s="47">
        <f t="shared" ca="1" si="21"/>
        <v>23144508.4237055</v>
      </c>
      <c r="T61" s="47">
        <f t="shared" ca="1" si="22"/>
        <v>-889783.79257306829</v>
      </c>
      <c r="U61" s="18">
        <f t="shared" ca="1" si="20"/>
        <v>3.7021426908108092E-2</v>
      </c>
    </row>
    <row r="62" spans="1:21">
      <c r="A62" s="2">
        <f>'Monthly Data'!A62</f>
        <v>44197</v>
      </c>
      <c r="B62">
        <f>'Monthly Data'!B62</f>
        <v>2021</v>
      </c>
      <c r="C62">
        <f>'Monthly Data'!C62</f>
        <v>1</v>
      </c>
      <c r="D62" s="3">
        <f ca="1">'Monthly Data'!R62</f>
        <v>23610118.389233749</v>
      </c>
      <c r="E62" s="3">
        <f>'Monthly Data'!CN62</f>
        <v>715.50416666666661</v>
      </c>
      <c r="F62" s="3">
        <f>'Monthly Data'!CU62</f>
        <v>0</v>
      </c>
      <c r="G62">
        <f>'Monthly Data'!EJ62</f>
        <v>0.5</v>
      </c>
      <c r="H62" s="3">
        <f>'Monthly Data'!DB62</f>
        <v>7234.6</v>
      </c>
      <c r="I62" s="3">
        <f>'Monthly Data'!DQ62</f>
        <v>31</v>
      </c>
      <c r="K62" s="3">
        <f t="shared" si="13"/>
        <v>3542907.1380836898</v>
      </c>
      <c r="L62" s="3">
        <f t="shared" si="14"/>
        <v>7521523.9754049666</v>
      </c>
      <c r="M62" s="3">
        <f t="shared" si="15"/>
        <v>0</v>
      </c>
      <c r="N62" s="3">
        <f t="shared" si="16"/>
        <v>-1309372.0919342099</v>
      </c>
      <c r="O62" s="3">
        <f t="shared" si="17"/>
        <v>0</v>
      </c>
      <c r="P62" s="3">
        <f t="shared" si="18"/>
        <v>13987420.156226436</v>
      </c>
      <c r="Q62" s="47">
        <f t="shared" si="19"/>
        <v>23742479.177780882</v>
      </c>
      <c r="R62" s="47">
        <f ca="1">'Monthly Data'!S62+'Monthly Data'!T62</f>
        <v>269091.95867792447</v>
      </c>
      <c r="S62" s="47">
        <f t="shared" ca="1" si="21"/>
        <v>24011571.136458807</v>
      </c>
      <c r="T62" s="47">
        <f t="shared" ca="1" si="22"/>
        <v>401452.74722505733</v>
      </c>
      <c r="U62" s="18">
        <f t="shared" ca="1" si="20"/>
        <v>1.7003419491878551E-2</v>
      </c>
    </row>
    <row r="63" spans="1:21">
      <c r="A63" s="2">
        <f>'Monthly Data'!A63</f>
        <v>44228</v>
      </c>
      <c r="B63">
        <f>'Monthly Data'!B63</f>
        <v>2021</v>
      </c>
      <c r="C63">
        <f>'Monthly Data'!C63</f>
        <v>2</v>
      </c>
      <c r="D63" s="3">
        <f ca="1">'Monthly Data'!R63</f>
        <v>22884369.63617168</v>
      </c>
      <c r="E63" s="3">
        <f>'Monthly Data'!CN63</f>
        <v>709.45416666666654</v>
      </c>
      <c r="F63" s="3">
        <f>'Monthly Data'!CU63</f>
        <v>0</v>
      </c>
      <c r="G63">
        <f>'Monthly Data'!EJ63</f>
        <v>0.5</v>
      </c>
      <c r="H63" s="3">
        <f>'Monthly Data'!DB63</f>
        <v>7209.5</v>
      </c>
      <c r="I63" s="3">
        <f>'Monthly Data'!DQ63</f>
        <v>28</v>
      </c>
      <c r="K63" s="3">
        <f t="shared" si="13"/>
        <v>3542907.1380836898</v>
      </c>
      <c r="L63" s="3">
        <f t="shared" si="14"/>
        <v>7457925.1563188434</v>
      </c>
      <c r="M63" s="3">
        <f t="shared" si="15"/>
        <v>0</v>
      </c>
      <c r="N63" s="3">
        <f t="shared" si="16"/>
        <v>-1309372.0919342099</v>
      </c>
      <c r="O63" s="3">
        <f t="shared" si="17"/>
        <v>0</v>
      </c>
      <c r="P63" s="3">
        <f t="shared" si="18"/>
        <v>12633798.850785168</v>
      </c>
      <c r="Q63" s="47">
        <f t="shared" si="19"/>
        <v>22325259.05325349</v>
      </c>
      <c r="R63" s="47">
        <f ca="1">'Monthly Data'!S63+'Monthly Data'!T63</f>
        <v>270214.54939935217</v>
      </c>
      <c r="S63" s="47">
        <f t="shared" ca="1" si="21"/>
        <v>22595473.602652844</v>
      </c>
      <c r="T63" s="47">
        <f t="shared" ca="1" si="22"/>
        <v>-288896.0335188359</v>
      </c>
      <c r="U63" s="18">
        <f t="shared" ca="1" si="20"/>
        <v>1.2624163921133255E-2</v>
      </c>
    </row>
    <row r="64" spans="1:21">
      <c r="A64" s="2">
        <f>'Monthly Data'!A64</f>
        <v>44256</v>
      </c>
      <c r="B64">
        <f>'Monthly Data'!B64</f>
        <v>2021</v>
      </c>
      <c r="C64">
        <f>'Monthly Data'!C64</f>
        <v>3</v>
      </c>
      <c r="D64" s="3">
        <f ca="1">'Monthly Data'!R64</f>
        <v>23597404.158352688</v>
      </c>
      <c r="E64" s="3">
        <f>'Monthly Data'!CN64</f>
        <v>554.59637681159427</v>
      </c>
      <c r="F64" s="3">
        <f>'Monthly Data'!CU64</f>
        <v>0</v>
      </c>
      <c r="G64">
        <f>'Monthly Data'!EJ64</f>
        <v>0.5</v>
      </c>
      <c r="H64" s="3">
        <f>'Monthly Data'!DB64</f>
        <v>7237.4</v>
      </c>
      <c r="I64" s="3">
        <f>'Monthly Data'!DQ64</f>
        <v>31</v>
      </c>
      <c r="K64" s="3">
        <f t="shared" si="13"/>
        <v>3542907.1380836898</v>
      </c>
      <c r="L64" s="3">
        <f t="shared" si="14"/>
        <v>5830028.8652329771</v>
      </c>
      <c r="M64" s="3">
        <f t="shared" si="15"/>
        <v>0</v>
      </c>
      <c r="N64" s="3">
        <f t="shared" si="16"/>
        <v>-1309372.0919342099</v>
      </c>
      <c r="O64" s="3">
        <f t="shared" si="17"/>
        <v>0</v>
      </c>
      <c r="P64" s="3">
        <f t="shared" si="18"/>
        <v>13987420.156226436</v>
      </c>
      <c r="Q64" s="47">
        <f t="shared" si="19"/>
        <v>22050984.067608893</v>
      </c>
      <c r="R64" s="47">
        <f ca="1">'Monthly Data'!S64+'Monthly Data'!T64</f>
        <v>213315.88648854799</v>
      </c>
      <c r="S64" s="47">
        <f t="shared" ca="1" si="21"/>
        <v>22264299.954097442</v>
      </c>
      <c r="T64" s="47">
        <f t="shared" ca="1" si="22"/>
        <v>-1333104.2042552456</v>
      </c>
      <c r="U64" s="18">
        <f t="shared" ca="1" si="20"/>
        <v>5.6493680207760119E-2</v>
      </c>
    </row>
    <row r="65" spans="1:21">
      <c r="A65" s="2">
        <f>'Monthly Data'!A65</f>
        <v>44287</v>
      </c>
      <c r="B65">
        <f>'Monthly Data'!B65</f>
        <v>2021</v>
      </c>
      <c r="C65">
        <f>'Monthly Data'!C65</f>
        <v>4</v>
      </c>
      <c r="D65" s="3">
        <f ca="1">'Monthly Data'!R65</f>
        <v>19727267.688375518</v>
      </c>
      <c r="E65" s="3">
        <f>'Monthly Data'!CN65</f>
        <v>379.79583333333329</v>
      </c>
      <c r="F65" s="3">
        <f>'Monthly Data'!CU65</f>
        <v>3.7083333333333339</v>
      </c>
      <c r="G65">
        <f>'Monthly Data'!EJ65</f>
        <v>0.5</v>
      </c>
      <c r="H65" s="3">
        <f>'Monthly Data'!DB65</f>
        <v>7276.1</v>
      </c>
      <c r="I65" s="3">
        <f>'Monthly Data'!DQ65</f>
        <v>30</v>
      </c>
      <c r="K65" s="3">
        <f t="shared" si="13"/>
        <v>3542907.1380836898</v>
      </c>
      <c r="L65" s="3">
        <f t="shared" si="14"/>
        <v>3992490.3295586333</v>
      </c>
      <c r="M65" s="3">
        <f t="shared" si="15"/>
        <v>121823.10131783425</v>
      </c>
      <c r="N65" s="3">
        <f t="shared" si="16"/>
        <v>-1309372.0919342099</v>
      </c>
      <c r="O65" s="3">
        <f t="shared" si="17"/>
        <v>0</v>
      </c>
      <c r="P65" s="3">
        <f t="shared" si="18"/>
        <v>13536213.05441268</v>
      </c>
      <c r="Q65" s="47">
        <f t="shared" si="19"/>
        <v>19884061.531438626</v>
      </c>
      <c r="R65" s="47">
        <f ca="1">'Monthly Data'!S65+'Monthly Data'!T65</f>
        <v>152108.14416273049</v>
      </c>
      <c r="S65" s="47">
        <f t="shared" ca="1" si="21"/>
        <v>20036169.675601356</v>
      </c>
      <c r="T65" s="47">
        <f t="shared" ca="1" si="22"/>
        <v>308901.98722583801</v>
      </c>
      <c r="U65" s="18">
        <f t="shared" ca="1" si="20"/>
        <v>1.5658630080224514E-2</v>
      </c>
    </row>
    <row r="66" spans="1:21">
      <c r="A66" s="2">
        <f>'Monthly Data'!A66</f>
        <v>44317</v>
      </c>
      <c r="B66">
        <f>'Monthly Data'!B66</f>
        <v>2021</v>
      </c>
      <c r="C66">
        <f>'Monthly Data'!C66</f>
        <v>5</v>
      </c>
      <c r="D66" s="3">
        <f ca="1">'Monthly Data'!R66</f>
        <v>19696306.661338918</v>
      </c>
      <c r="E66" s="3">
        <f>'Monthly Data'!CN66</f>
        <v>221.92222222222222</v>
      </c>
      <c r="F66" s="3">
        <f>'Monthly Data'!CU66</f>
        <v>53.908333333333317</v>
      </c>
      <c r="G66">
        <f>'Monthly Data'!EJ66</f>
        <v>0.5</v>
      </c>
      <c r="H66" s="3">
        <f>'Monthly Data'!DB66</f>
        <v>7265.7</v>
      </c>
      <c r="I66" s="3">
        <f>'Monthly Data'!DQ66</f>
        <v>31</v>
      </c>
      <c r="K66" s="3">
        <f t="shared" ref="K66:K97" si="23">$Y$8</f>
        <v>3542907.1380836898</v>
      </c>
      <c r="L66" s="3">
        <f t="shared" ref="L66:L97" si="24">E66*$Y$9</f>
        <v>2332891.1177357598</v>
      </c>
      <c r="M66" s="3">
        <f t="shared" ref="M66:M97" si="25">F66*$Y$10</f>
        <v>1770952.0054495942</v>
      </c>
      <c r="N66" s="3">
        <f t="shared" ref="N66:N97" si="26">G66*$Y$11</f>
        <v>-1309372.0919342099</v>
      </c>
      <c r="O66" s="3">
        <f t="shared" ref="O66:O97" si="27">H66*$Y$12</f>
        <v>0</v>
      </c>
      <c r="P66" s="3">
        <f t="shared" ref="P66:P97" si="28">I66*$Y$13</f>
        <v>13987420.156226436</v>
      </c>
      <c r="Q66" s="47">
        <f t="shared" si="19"/>
        <v>20324798.32556127</v>
      </c>
      <c r="R66" s="47">
        <f ca="1">'Monthly Data'!S66+'Monthly Data'!T66</f>
        <v>100515.21448892119</v>
      </c>
      <c r="S66" s="47">
        <f t="shared" ca="1" si="21"/>
        <v>20425313.54005019</v>
      </c>
      <c r="T66" s="47">
        <f t="shared" ca="1" si="22"/>
        <v>729006.87871127203</v>
      </c>
      <c r="U66" s="18">
        <f t="shared" ca="1" si="20"/>
        <v>3.7012364360786996E-2</v>
      </c>
    </row>
    <row r="67" spans="1:21">
      <c r="A67" s="2">
        <f>'Monthly Data'!A67</f>
        <v>44348</v>
      </c>
      <c r="B67">
        <f>'Monthly Data'!B67</f>
        <v>2021</v>
      </c>
      <c r="C67">
        <f>'Monthly Data'!C67</f>
        <v>6</v>
      </c>
      <c r="D67" s="3">
        <f ca="1">'Monthly Data'!R67</f>
        <v>21882313.153773695</v>
      </c>
      <c r="E67" s="3">
        <f>'Monthly Data'!CN67</f>
        <v>36.066666666666677</v>
      </c>
      <c r="F67" s="3">
        <f>'Monthly Data'!CU67</f>
        <v>181.67499999999995</v>
      </c>
      <c r="G67">
        <f>'Monthly Data'!EJ67</f>
        <v>0.5</v>
      </c>
      <c r="H67" s="3">
        <f>'Monthly Data'!DB67</f>
        <v>7250</v>
      </c>
      <c r="I67" s="3">
        <f>'Monthly Data'!DQ67</f>
        <v>30</v>
      </c>
      <c r="K67" s="3">
        <f t="shared" si="23"/>
        <v>3542907.1380836898</v>
      </c>
      <c r="L67" s="3">
        <f t="shared" si="24"/>
        <v>379140.06749963842</v>
      </c>
      <c r="M67" s="3">
        <f t="shared" si="25"/>
        <v>5968236.9254609067</v>
      </c>
      <c r="N67" s="3">
        <f t="shared" si="26"/>
        <v>-1309372.0919342099</v>
      </c>
      <c r="O67" s="3">
        <f t="shared" si="27"/>
        <v>0</v>
      </c>
      <c r="P67" s="3">
        <f t="shared" si="28"/>
        <v>13536213.05441268</v>
      </c>
      <c r="Q67" s="47">
        <f t="shared" si="19"/>
        <v>22117125.093522705</v>
      </c>
      <c r="R67" s="47">
        <f ca="1">'Monthly Data'!S67+'Monthly Data'!T67</f>
        <v>44146.547516724029</v>
      </c>
      <c r="S67" s="47">
        <f t="shared" ca="1" si="21"/>
        <v>22161271.641039427</v>
      </c>
      <c r="T67" s="47">
        <f t="shared" ca="1" si="22"/>
        <v>278958.48726573214</v>
      </c>
      <c r="U67" s="18">
        <f t="shared" ca="1" si="20"/>
        <v>1.274812609185353E-2</v>
      </c>
    </row>
    <row r="68" spans="1:21">
      <c r="A68" s="2">
        <f>'Monthly Data'!A68</f>
        <v>44378</v>
      </c>
      <c r="B68">
        <f>'Monthly Data'!B68</f>
        <v>2021</v>
      </c>
      <c r="C68">
        <f>'Monthly Data'!C68</f>
        <v>7</v>
      </c>
      <c r="D68" s="3">
        <f ca="1">'Monthly Data'!R68</f>
        <v>23644875.912121467</v>
      </c>
      <c r="E68" s="3">
        <f>'Monthly Data'!CN68</f>
        <v>25.516666666666669</v>
      </c>
      <c r="F68" s="3">
        <f>'Monthly Data'!CU68</f>
        <v>192.87499999999994</v>
      </c>
      <c r="G68">
        <f>'Monthly Data'!EJ68</f>
        <v>0.5</v>
      </c>
      <c r="H68" s="3">
        <f>'Monthly Data'!DB68</f>
        <v>7317</v>
      </c>
      <c r="I68" s="3">
        <f>'Monthly Data'!DQ68</f>
        <v>31</v>
      </c>
      <c r="K68" s="3">
        <f t="shared" si="23"/>
        <v>3542907.1380836898</v>
      </c>
      <c r="L68" s="3">
        <f t="shared" si="24"/>
        <v>268236.34165524325</v>
      </c>
      <c r="M68" s="3">
        <f t="shared" si="25"/>
        <v>6336170.0674185902</v>
      </c>
      <c r="N68" s="3">
        <f t="shared" si="26"/>
        <v>-1309372.0919342099</v>
      </c>
      <c r="O68" s="3">
        <f t="shared" si="27"/>
        <v>0</v>
      </c>
      <c r="P68" s="3">
        <f t="shared" si="28"/>
        <v>13987420.156226436</v>
      </c>
      <c r="Q68" s="47">
        <f t="shared" si="19"/>
        <v>22825361.611449748</v>
      </c>
      <c r="R68" s="47">
        <f ca="1">'Monthly Data'!S68+'Monthly Data'!T68</f>
        <v>42075.959007792175</v>
      </c>
      <c r="S68" s="47">
        <f t="shared" ca="1" si="21"/>
        <v>22867437.57045754</v>
      </c>
      <c r="T68" s="47">
        <f t="shared" ca="1" si="22"/>
        <v>-777438.34166392684</v>
      </c>
      <c r="U68" s="18">
        <f t="shared" ca="1" si="20"/>
        <v>3.2879780995821409E-2</v>
      </c>
    </row>
    <row r="69" spans="1:21">
      <c r="A69" s="2">
        <f>'Monthly Data'!A69</f>
        <v>44409</v>
      </c>
      <c r="B69">
        <f>'Monthly Data'!B69</f>
        <v>2021</v>
      </c>
      <c r="C69">
        <f>'Monthly Data'!C69</f>
        <v>8</v>
      </c>
      <c r="D69" s="3">
        <f ca="1">'Monthly Data'!R69</f>
        <v>26365379.377595745</v>
      </c>
      <c r="E69" s="3">
        <f>'Monthly Data'!CN69</f>
        <v>8.524999999999995</v>
      </c>
      <c r="F69" s="3">
        <f>'Monthly Data'!CU69</f>
        <v>266.0625</v>
      </c>
      <c r="G69">
        <f>'Monthly Data'!EJ69</f>
        <v>0.5</v>
      </c>
      <c r="H69" s="3">
        <f>'Monthly Data'!DB69</f>
        <v>7405.9</v>
      </c>
      <c r="I69" s="3">
        <f>'Monthly Data'!DQ69</f>
        <v>31</v>
      </c>
      <c r="K69" s="3">
        <f t="shared" si="23"/>
        <v>3542907.1380836898</v>
      </c>
      <c r="L69" s="3">
        <f t="shared" si="24"/>
        <v>89616.517803172319</v>
      </c>
      <c r="M69" s="3">
        <f t="shared" si="25"/>
        <v>8740465.3198318034</v>
      </c>
      <c r="N69" s="3">
        <f t="shared" si="26"/>
        <v>-1309372.0919342099</v>
      </c>
      <c r="O69" s="3">
        <f t="shared" si="27"/>
        <v>0</v>
      </c>
      <c r="P69" s="3">
        <f t="shared" si="28"/>
        <v>13987420.156226436</v>
      </c>
      <c r="Q69" s="47">
        <f t="shared" si="19"/>
        <v>25051037.040010892</v>
      </c>
      <c r="R69" s="47">
        <f ca="1">'Monthly Data'!S69+'Monthly Data'!T69</f>
        <v>41534.308011702022</v>
      </c>
      <c r="S69" s="47">
        <f t="shared" ca="1" si="21"/>
        <v>25092571.348022595</v>
      </c>
      <c r="T69" s="47">
        <f t="shared" ca="1" si="22"/>
        <v>-1272808.02957315</v>
      </c>
      <c r="U69" s="18">
        <f t="shared" ca="1" si="20"/>
        <v>4.8275733542250177E-2</v>
      </c>
    </row>
    <row r="70" spans="1:21">
      <c r="A70" s="2">
        <f>'Monthly Data'!A70</f>
        <v>44440</v>
      </c>
      <c r="B70">
        <f>'Monthly Data'!B70</f>
        <v>2021</v>
      </c>
      <c r="C70">
        <f>'Monthly Data'!C70</f>
        <v>9</v>
      </c>
      <c r="D70" s="3">
        <f ca="1">'Monthly Data'!R70</f>
        <v>21564606.144930352</v>
      </c>
      <c r="E70" s="3">
        <f>'Monthly Data'!CN70</f>
        <v>93.104166666666671</v>
      </c>
      <c r="F70" s="3">
        <f>'Monthly Data'!CU70</f>
        <v>95.25833333333334</v>
      </c>
      <c r="G70">
        <f>'Monthly Data'!EJ70</f>
        <v>0.5</v>
      </c>
      <c r="H70" s="3">
        <f>'Monthly Data'!DB70</f>
        <v>7482</v>
      </c>
      <c r="I70" s="3">
        <f>'Monthly Data'!DQ70</f>
        <v>30</v>
      </c>
      <c r="K70" s="3">
        <f t="shared" si="23"/>
        <v>3542907.1380836898</v>
      </c>
      <c r="L70" s="3">
        <f t="shared" si="24"/>
        <v>978729.76066074613</v>
      </c>
      <c r="M70" s="3">
        <f t="shared" si="25"/>
        <v>3129348.0250880076</v>
      </c>
      <c r="N70" s="3">
        <f t="shared" si="26"/>
        <v>-1309372.0919342099</v>
      </c>
      <c r="O70" s="3">
        <f t="shared" si="27"/>
        <v>0</v>
      </c>
      <c r="P70" s="3">
        <f t="shared" si="28"/>
        <v>13536213.05441268</v>
      </c>
      <c r="Q70" s="47">
        <f t="shared" si="19"/>
        <v>19877825.886310913</v>
      </c>
      <c r="R70" s="47">
        <f ca="1">'Monthly Data'!S70+'Monthly Data'!T70</f>
        <v>58906.933714748084</v>
      </c>
      <c r="S70" s="47">
        <f t="shared" ca="1" si="21"/>
        <v>19936732.82002566</v>
      </c>
      <c r="T70" s="47">
        <f t="shared" ca="1" si="22"/>
        <v>-1627873.3249046914</v>
      </c>
      <c r="U70" s="18">
        <f t="shared" ca="1" si="20"/>
        <v>7.5488201081167911E-2</v>
      </c>
    </row>
    <row r="71" spans="1:21">
      <c r="A71" s="2">
        <f>'Monthly Data'!A71</f>
        <v>44470</v>
      </c>
      <c r="B71">
        <f>'Monthly Data'!B71</f>
        <v>2021</v>
      </c>
      <c r="C71">
        <f>'Monthly Data'!C71</f>
        <v>10</v>
      </c>
      <c r="D71" s="3">
        <f ca="1">'Monthly Data'!R71</f>
        <v>21010101.409984861</v>
      </c>
      <c r="E71" s="3">
        <f>'Monthly Data'!CN71</f>
        <v>214.18749999999994</v>
      </c>
      <c r="F71" s="3">
        <f>'Monthly Data'!CU71</f>
        <v>44.562500000000028</v>
      </c>
      <c r="G71">
        <f>'Monthly Data'!EJ71</f>
        <v>0.5</v>
      </c>
      <c r="H71" s="3">
        <f>'Monthly Data'!DB71</f>
        <v>7537.7</v>
      </c>
      <c r="I71" s="3">
        <f>'Monthly Data'!DQ71</f>
        <v>31</v>
      </c>
      <c r="K71" s="3">
        <f t="shared" si="23"/>
        <v>3542907.1380836898</v>
      </c>
      <c r="L71" s="3">
        <f t="shared" si="24"/>
        <v>2251582.1591750118</v>
      </c>
      <c r="M71" s="3">
        <f t="shared" si="25"/>
        <v>1463930.4141508292</v>
      </c>
      <c r="N71" s="3">
        <f t="shared" si="26"/>
        <v>-1309372.0919342099</v>
      </c>
      <c r="O71" s="3">
        <f t="shared" si="27"/>
        <v>0</v>
      </c>
      <c r="P71" s="3">
        <f t="shared" si="28"/>
        <v>13987420.156226436</v>
      </c>
      <c r="Q71" s="47">
        <f t="shared" si="19"/>
        <v>19936467.775701758</v>
      </c>
      <c r="R71" s="47">
        <f ca="1">'Monthly Data'!S71+'Monthly Data'!T71</f>
        <v>98941.510321014968</v>
      </c>
      <c r="S71" s="47">
        <f t="shared" ca="1" si="21"/>
        <v>20035409.286022771</v>
      </c>
      <c r="T71" s="47">
        <f t="shared" ca="1" si="22"/>
        <v>-974692.12396208942</v>
      </c>
      <c r="U71" s="18">
        <f t="shared" ca="1" si="20"/>
        <v>4.6391595401765927E-2</v>
      </c>
    </row>
    <row r="72" spans="1:21">
      <c r="A72" s="2">
        <f>'Monthly Data'!A72</f>
        <v>44501</v>
      </c>
      <c r="B72">
        <f>'Monthly Data'!B72</f>
        <v>2021</v>
      </c>
      <c r="C72">
        <f>'Monthly Data'!C72</f>
        <v>11</v>
      </c>
      <c r="D72" s="3">
        <f ca="1">'Monthly Data'!R72</f>
        <v>22237922.129628185</v>
      </c>
      <c r="E72" s="3">
        <f>'Monthly Data'!CN72</f>
        <v>506.31260351966881</v>
      </c>
      <c r="F72" s="3">
        <f>'Monthly Data'!CU72</f>
        <v>0</v>
      </c>
      <c r="G72">
        <f>'Monthly Data'!EJ72</f>
        <v>0.5</v>
      </c>
      <c r="H72" s="3">
        <f>'Monthly Data'!DB72</f>
        <v>7604</v>
      </c>
      <c r="I72" s="3">
        <f>'Monthly Data'!DQ72</f>
        <v>30</v>
      </c>
      <c r="K72" s="3">
        <f t="shared" si="23"/>
        <v>3542907.1380836898</v>
      </c>
      <c r="L72" s="3">
        <f t="shared" si="24"/>
        <v>5322460.1111191735</v>
      </c>
      <c r="M72" s="3">
        <f t="shared" si="25"/>
        <v>0</v>
      </c>
      <c r="N72" s="3">
        <f t="shared" si="26"/>
        <v>-1309372.0919342099</v>
      </c>
      <c r="O72" s="3">
        <f t="shared" si="27"/>
        <v>0</v>
      </c>
      <c r="P72" s="3">
        <f t="shared" si="28"/>
        <v>13536213.05441268</v>
      </c>
      <c r="Q72" s="47">
        <f t="shared" si="19"/>
        <v>21092208.211681332</v>
      </c>
      <c r="R72" s="47">
        <f ca="1">'Monthly Data'!S72+'Monthly Data'!T72</f>
        <v>205741.23238581134</v>
      </c>
      <c r="S72" s="47">
        <f t="shared" ca="1" si="21"/>
        <v>21297949.444067143</v>
      </c>
      <c r="T72" s="47">
        <f t="shared" ca="1" si="22"/>
        <v>-939972.68556104228</v>
      </c>
      <c r="U72" s="18">
        <f t="shared" ca="1" si="20"/>
        <v>4.2268908042837838E-2</v>
      </c>
    </row>
    <row r="73" spans="1:21">
      <c r="A73" s="2">
        <f>'Monthly Data'!A73</f>
        <v>44531</v>
      </c>
      <c r="B73">
        <f>'Monthly Data'!B73</f>
        <v>2021</v>
      </c>
      <c r="C73">
        <f>'Monthly Data'!C73</f>
        <v>12</v>
      </c>
      <c r="D73" s="3">
        <f ca="1">'Monthly Data'!R73</f>
        <v>24164160.250091963</v>
      </c>
      <c r="E73" s="3">
        <f>'Monthly Data'!CN73</f>
        <v>595.04583333333335</v>
      </c>
      <c r="F73" s="3">
        <f>'Monthly Data'!CU73</f>
        <v>0</v>
      </c>
      <c r="G73">
        <f>'Monthly Data'!EJ73</f>
        <v>0.5</v>
      </c>
      <c r="H73" s="3">
        <f>'Monthly Data'!DB73</f>
        <v>7658.5</v>
      </c>
      <c r="I73" s="3">
        <f>'Monthly Data'!DQ73</f>
        <v>31</v>
      </c>
      <c r="K73" s="3">
        <f t="shared" si="23"/>
        <v>3542907.1380836898</v>
      </c>
      <c r="L73" s="3">
        <f t="shared" si="24"/>
        <v>6255241.7028293498</v>
      </c>
      <c r="M73" s="3">
        <f t="shared" si="25"/>
        <v>0</v>
      </c>
      <c r="N73" s="3">
        <f t="shared" si="26"/>
        <v>-1309372.0919342099</v>
      </c>
      <c r="O73" s="3">
        <f t="shared" si="27"/>
        <v>0</v>
      </c>
      <c r="P73" s="3">
        <f t="shared" si="28"/>
        <v>13987420.156226436</v>
      </c>
      <c r="Q73" s="47">
        <f t="shared" si="19"/>
        <v>22476196.905205265</v>
      </c>
      <c r="R73" s="47">
        <f ca="1">'Monthly Data'!S73+'Monthly Data'!T73</f>
        <v>238176.18547837142</v>
      </c>
      <c r="S73" s="47">
        <f t="shared" ca="1" si="21"/>
        <v>22714373.090683635</v>
      </c>
      <c r="T73" s="47">
        <f t="shared" ca="1" si="22"/>
        <v>-1449787.1594083272</v>
      </c>
      <c r="U73" s="18">
        <f t="shared" ca="1" si="20"/>
        <v>5.9997415362398519E-2</v>
      </c>
    </row>
    <row r="74" spans="1:21">
      <c r="A74" s="2">
        <f>'Monthly Data'!A74</f>
        <v>44562</v>
      </c>
      <c r="B74">
        <f>'Monthly Data'!B74</f>
        <v>2022</v>
      </c>
      <c r="C74">
        <f>'Monthly Data'!C74</f>
        <v>1</v>
      </c>
      <c r="D74" s="3">
        <f ca="1">'Monthly Data'!R74</f>
        <v>26676692.693785701</v>
      </c>
      <c r="E74" s="3">
        <f>'Monthly Data'!CN74</f>
        <v>887.49166666666656</v>
      </c>
      <c r="F74" s="3">
        <f>'Monthly Data'!CU74</f>
        <v>0</v>
      </c>
      <c r="G74">
        <f>'Monthly Data'!EJ74</f>
        <v>0.25</v>
      </c>
      <c r="H74" s="3">
        <f>'Monthly Data'!DB74</f>
        <v>7643.6</v>
      </c>
      <c r="I74" s="3">
        <f>'Monthly Data'!DQ74</f>
        <v>31</v>
      </c>
      <c r="K74" s="3">
        <f t="shared" si="23"/>
        <v>3542907.1380836898</v>
      </c>
      <c r="L74" s="3">
        <f t="shared" si="24"/>
        <v>9329491.2312023975</v>
      </c>
      <c r="M74" s="3">
        <f t="shared" si="25"/>
        <v>0</v>
      </c>
      <c r="N74" s="3">
        <f t="shared" si="26"/>
        <v>-654686.04596710496</v>
      </c>
      <c r="O74" s="3">
        <f t="shared" si="27"/>
        <v>0</v>
      </c>
      <c r="P74" s="3">
        <f t="shared" si="28"/>
        <v>13987420.156226436</v>
      </c>
      <c r="Q74" s="47">
        <f t="shared" ref="Q74:Q97" si="29">SUM(K74:P74)</f>
        <v>26205132.479545414</v>
      </c>
      <c r="R74" s="47">
        <f ca="1">'Monthly Data'!S74+'Monthly Data'!T74</f>
        <v>488485.60594029428</v>
      </c>
      <c r="S74" s="47">
        <f t="shared" ca="1" si="21"/>
        <v>26693618.085485708</v>
      </c>
      <c r="T74" s="47">
        <f t="shared" ca="1" si="22"/>
        <v>16925.391700007021</v>
      </c>
      <c r="U74" s="18">
        <f t="shared" ref="U74:U97" ca="1" si="30">ABS(T74/D74)</f>
        <v>6.3446364563586881E-4</v>
      </c>
    </row>
    <row r="75" spans="1:21">
      <c r="A75" s="2">
        <f>'Monthly Data'!A75</f>
        <v>44593</v>
      </c>
      <c r="B75">
        <f>'Monthly Data'!B75</f>
        <v>2022</v>
      </c>
      <c r="C75">
        <f>'Monthly Data'!C75</f>
        <v>2</v>
      </c>
      <c r="D75" s="3">
        <f ca="1">'Monthly Data'!R75</f>
        <v>24260657.089631252</v>
      </c>
      <c r="E75" s="3">
        <f>'Monthly Data'!CN75</f>
        <v>692.85</v>
      </c>
      <c r="F75" s="3">
        <f>'Monthly Data'!CU75</f>
        <v>0</v>
      </c>
      <c r="G75">
        <f>'Monthly Data'!EJ75</f>
        <v>0.25</v>
      </c>
      <c r="H75" s="3">
        <f>'Monthly Data'!DB75</f>
        <v>7668.9</v>
      </c>
      <c r="I75" s="3">
        <f>'Monthly Data'!DQ75</f>
        <v>28</v>
      </c>
      <c r="K75" s="3">
        <f t="shared" si="23"/>
        <v>3542907.1380836898</v>
      </c>
      <c r="L75" s="3">
        <f t="shared" si="24"/>
        <v>7283378.8105487367</v>
      </c>
      <c r="M75" s="3">
        <f t="shared" si="25"/>
        <v>0</v>
      </c>
      <c r="N75" s="3">
        <f t="shared" si="26"/>
        <v>-654686.04596710496</v>
      </c>
      <c r="O75" s="3">
        <f t="shared" si="27"/>
        <v>0</v>
      </c>
      <c r="P75" s="3">
        <f t="shared" si="28"/>
        <v>12633798.850785168</v>
      </c>
      <c r="Q75" s="47">
        <f t="shared" si="29"/>
        <v>22805398.753450491</v>
      </c>
      <c r="R75" s="47">
        <f ca="1">'Monthly Data'!S75+'Monthly Data'!T75</f>
        <v>390836.08101153583</v>
      </c>
      <c r="S75" s="47">
        <f t="shared" ca="1" si="21"/>
        <v>23196234.834462028</v>
      </c>
      <c r="T75" s="47">
        <f t="shared" ca="1" si="22"/>
        <v>-1064422.255169224</v>
      </c>
      <c r="U75" s="18">
        <f t="shared" ca="1" si="30"/>
        <v>4.3874419857496225E-2</v>
      </c>
    </row>
    <row r="76" spans="1:21">
      <c r="A76" s="2">
        <f>'Monthly Data'!A76</f>
        <v>44621</v>
      </c>
      <c r="B76">
        <f>'Monthly Data'!B76</f>
        <v>2022</v>
      </c>
      <c r="C76">
        <f>'Monthly Data'!C76</f>
        <v>3</v>
      </c>
      <c r="D76" s="3">
        <f ca="1">'Monthly Data'!R76</f>
        <v>24902898.587404098</v>
      </c>
      <c r="E76" s="3">
        <f>'Monthly Data'!CN76</f>
        <v>606.7208333333333</v>
      </c>
      <c r="F76" s="3">
        <f>'Monthly Data'!CU76</f>
        <v>0</v>
      </c>
      <c r="G76">
        <f>'Monthly Data'!EJ76</f>
        <v>0.25</v>
      </c>
      <c r="H76" s="3">
        <f>'Monthly Data'!DB76</f>
        <v>7681.1</v>
      </c>
      <c r="I76" s="3">
        <f>'Monthly Data'!DQ76</f>
        <v>31</v>
      </c>
      <c r="K76" s="3">
        <f t="shared" si="23"/>
        <v>3542907.1380836898</v>
      </c>
      <c r="L76" s="3">
        <f t="shared" si="24"/>
        <v>6377971.6553633129</v>
      </c>
      <c r="M76" s="3">
        <f t="shared" si="25"/>
        <v>0</v>
      </c>
      <c r="N76" s="3">
        <f t="shared" si="26"/>
        <v>-654686.04596710496</v>
      </c>
      <c r="O76" s="3">
        <f t="shared" si="27"/>
        <v>0</v>
      </c>
      <c r="P76" s="3">
        <f t="shared" si="28"/>
        <v>13987420.156226436</v>
      </c>
      <c r="Q76" s="47">
        <f t="shared" si="29"/>
        <v>23253612.903706335</v>
      </c>
      <c r="R76" s="47">
        <f ca="1">'Monthly Data'!S76+'Monthly Data'!T76</f>
        <v>344495.83178374497</v>
      </c>
      <c r="S76" s="47">
        <f t="shared" ca="1" si="21"/>
        <v>23598108.73549008</v>
      </c>
      <c r="T76" s="47">
        <f t="shared" ca="1" si="22"/>
        <v>-1304789.8519140184</v>
      </c>
      <c r="U76" s="18">
        <f t="shared" ca="1" si="30"/>
        <v>5.2395099603946581E-2</v>
      </c>
    </row>
    <row r="77" spans="1:21">
      <c r="A77" s="2">
        <f>'Monthly Data'!A77</f>
        <v>44652</v>
      </c>
      <c r="B77">
        <f>'Monthly Data'!B77</f>
        <v>2022</v>
      </c>
      <c r="C77">
        <f>'Monthly Data'!C77</f>
        <v>4</v>
      </c>
      <c r="D77" s="3">
        <f ca="1">'Monthly Data'!R77</f>
        <v>21613092.935071915</v>
      </c>
      <c r="E77" s="3">
        <f>'Monthly Data'!CN77</f>
        <v>414.33333333333331</v>
      </c>
      <c r="F77" s="3">
        <f>'Monthly Data'!CU77</f>
        <v>0</v>
      </c>
      <c r="G77">
        <f>'Monthly Data'!EJ77</f>
        <v>0.25</v>
      </c>
      <c r="H77" s="3">
        <f>'Monthly Data'!DB77</f>
        <v>7758.4</v>
      </c>
      <c r="I77" s="3">
        <f>'Monthly Data'!DQ77</f>
        <v>30</v>
      </c>
      <c r="K77" s="3">
        <f t="shared" si="23"/>
        <v>3542907.1380836898</v>
      </c>
      <c r="L77" s="3">
        <f t="shared" si="24"/>
        <v>4355555.4889283776</v>
      </c>
      <c r="M77" s="3">
        <f t="shared" si="25"/>
        <v>0</v>
      </c>
      <c r="N77" s="3">
        <f t="shared" si="26"/>
        <v>-654686.04596710496</v>
      </c>
      <c r="O77" s="3">
        <f t="shared" si="27"/>
        <v>0</v>
      </c>
      <c r="P77" s="3">
        <f t="shared" si="28"/>
        <v>13536213.05441268</v>
      </c>
      <c r="Q77" s="47">
        <f t="shared" si="29"/>
        <v>20779989.635457642</v>
      </c>
      <c r="R77" s="47">
        <f ca="1">'Monthly Data'!S77+'Monthly Data'!T77</f>
        <v>245918.16341421008</v>
      </c>
      <c r="S77" s="47">
        <f t="shared" ca="1" si="21"/>
        <v>21025907.798871852</v>
      </c>
      <c r="T77" s="47">
        <f t="shared" ca="1" si="22"/>
        <v>-587185.13620006293</v>
      </c>
      <c r="U77" s="18">
        <f t="shared" ca="1" si="30"/>
        <v>2.7168029025925675E-2</v>
      </c>
    </row>
    <row r="78" spans="1:21">
      <c r="A78" s="2">
        <f>'Monthly Data'!A78</f>
        <v>44682</v>
      </c>
      <c r="B78">
        <f>'Monthly Data'!B78</f>
        <v>2022</v>
      </c>
      <c r="C78">
        <f>'Monthly Data'!C78</f>
        <v>5</v>
      </c>
      <c r="D78" s="3">
        <f ca="1">'Monthly Data'!R78</f>
        <v>21666530.918725226</v>
      </c>
      <c r="E78" s="3">
        <f>'Monthly Data'!CN78</f>
        <v>158.97916666666669</v>
      </c>
      <c r="F78" s="3">
        <f>'Monthly Data'!CU78</f>
        <v>72.362499999999997</v>
      </c>
      <c r="G78">
        <f>'Monthly Data'!EJ78</f>
        <v>0.25</v>
      </c>
      <c r="H78" s="3">
        <f>'Monthly Data'!DB78</f>
        <v>7776.1</v>
      </c>
      <c r="I78" s="3">
        <f>'Monthly Data'!DQ78</f>
        <v>31</v>
      </c>
      <c r="K78" s="3">
        <f t="shared" si="23"/>
        <v>3542907.1380836898</v>
      </c>
      <c r="L78" s="3">
        <f t="shared" si="24"/>
        <v>1671221.034594351</v>
      </c>
      <c r="M78" s="3">
        <f t="shared" si="25"/>
        <v>2377193.0343672214</v>
      </c>
      <c r="N78" s="3">
        <f t="shared" si="26"/>
        <v>-654686.04596710496</v>
      </c>
      <c r="O78" s="3">
        <f t="shared" si="27"/>
        <v>0</v>
      </c>
      <c r="P78" s="3">
        <f t="shared" si="28"/>
        <v>13987420.156226436</v>
      </c>
      <c r="Q78" s="47">
        <f t="shared" si="29"/>
        <v>20924055.317304593</v>
      </c>
      <c r="R78" s="47">
        <f ca="1">'Monthly Data'!S78+'Monthly Data'!T78</f>
        <v>118399.69778036835</v>
      </c>
      <c r="S78" s="47">
        <f t="shared" ca="1" si="21"/>
        <v>21042455.01508496</v>
      </c>
      <c r="T78" s="47">
        <f t="shared" ca="1" si="22"/>
        <v>-624075.90364026651</v>
      </c>
      <c r="U78" s="18">
        <f t="shared" ca="1" si="30"/>
        <v>2.8803683708355499E-2</v>
      </c>
    </row>
    <row r="79" spans="1:21">
      <c r="A79" s="2">
        <f>'Monthly Data'!A79</f>
        <v>44713</v>
      </c>
      <c r="B79">
        <f>'Monthly Data'!B79</f>
        <v>2022</v>
      </c>
      <c r="C79">
        <f>'Monthly Data'!C79</f>
        <v>6</v>
      </c>
      <c r="D79" s="3">
        <f ca="1">'Monthly Data'!R79</f>
        <v>22627437.100193843</v>
      </c>
      <c r="E79" s="3">
        <f>'Monthly Data'!CN79</f>
        <v>75.529010989011013</v>
      </c>
      <c r="F79" s="3">
        <f>'Monthly Data'!CU79</f>
        <v>120.92250416250417</v>
      </c>
      <c r="G79">
        <f>'Monthly Data'!EJ79</f>
        <v>0.25</v>
      </c>
      <c r="H79" s="3">
        <f>'Monthly Data'!DB79</f>
        <v>7782.8</v>
      </c>
      <c r="I79" s="3">
        <f>'Monthly Data'!DQ79</f>
        <v>30</v>
      </c>
      <c r="K79" s="3">
        <f t="shared" si="23"/>
        <v>3542907.1380836898</v>
      </c>
      <c r="L79" s="3">
        <f t="shared" si="24"/>
        <v>793976.18275105068</v>
      </c>
      <c r="M79" s="3">
        <f t="shared" si="25"/>
        <v>3972446.1508840392</v>
      </c>
      <c r="N79" s="3">
        <f t="shared" si="26"/>
        <v>-654686.04596710496</v>
      </c>
      <c r="O79" s="3">
        <f t="shared" si="27"/>
        <v>0</v>
      </c>
      <c r="P79" s="3">
        <f t="shared" si="28"/>
        <v>13536213.05441268</v>
      </c>
      <c r="Q79" s="47">
        <f t="shared" si="29"/>
        <v>21190856.480164357</v>
      </c>
      <c r="R79" s="47">
        <f ca="1">'Monthly Data'!S79+'Monthly Data'!T79</f>
        <v>82047.429689986253</v>
      </c>
      <c r="S79" s="47">
        <f t="shared" ca="1" si="21"/>
        <v>21272903.909854341</v>
      </c>
      <c r="T79" s="47">
        <f t="shared" ca="1" si="22"/>
        <v>-1354533.1903395019</v>
      </c>
      <c r="U79" s="18">
        <f t="shared" ca="1" si="30"/>
        <v>5.9862422082609522E-2</v>
      </c>
    </row>
    <row r="80" spans="1:21">
      <c r="A80" s="2">
        <f>'Monthly Data'!A80</f>
        <v>44743</v>
      </c>
      <c r="B80">
        <f>'Monthly Data'!B80</f>
        <v>2022</v>
      </c>
      <c r="C80">
        <f>'Monthly Data'!C80</f>
        <v>7</v>
      </c>
      <c r="D80" s="3">
        <f ca="1">'Monthly Data'!R80</f>
        <v>25714924.79593445</v>
      </c>
      <c r="E80" s="3">
        <f>'Monthly Data'!CN80</f>
        <v>8.9945652173913082</v>
      </c>
      <c r="F80" s="3">
        <f>'Monthly Data'!CU80</f>
        <v>221.8543382913806</v>
      </c>
      <c r="G80">
        <f>'Monthly Data'!EJ80</f>
        <v>0.25</v>
      </c>
      <c r="H80" s="3">
        <f>'Monthly Data'!DB80</f>
        <v>7784.1</v>
      </c>
      <c r="I80" s="3">
        <f>'Monthly Data'!DQ80</f>
        <v>31</v>
      </c>
      <c r="K80" s="3">
        <f t="shared" si="23"/>
        <v>3542907.1380836898</v>
      </c>
      <c r="L80" s="3">
        <f t="shared" si="24"/>
        <v>94552.681986644355</v>
      </c>
      <c r="M80" s="3">
        <f t="shared" si="25"/>
        <v>7288175.3343295092</v>
      </c>
      <c r="N80" s="3">
        <f t="shared" si="26"/>
        <v>-654686.04596710496</v>
      </c>
      <c r="O80" s="3">
        <f t="shared" si="27"/>
        <v>0</v>
      </c>
      <c r="P80" s="3">
        <f t="shared" si="28"/>
        <v>13987420.156226436</v>
      </c>
      <c r="Q80" s="47">
        <f t="shared" si="29"/>
        <v>24258369.264659174</v>
      </c>
      <c r="R80" s="47">
        <f ca="1">'Monthly Data'!S80+'Monthly Data'!T80</f>
        <v>65788.857320503768</v>
      </c>
      <c r="S80" s="47">
        <f t="shared" ca="1" si="21"/>
        <v>24324158.121979676</v>
      </c>
      <c r="T80" s="47">
        <f t="shared" ca="1" si="22"/>
        <v>-1390766.6739547737</v>
      </c>
      <c r="U80" s="18">
        <f t="shared" ca="1" si="30"/>
        <v>5.408402649400923E-2</v>
      </c>
    </row>
    <row r="81" spans="1:26">
      <c r="A81" s="2">
        <f>'Monthly Data'!A81</f>
        <v>44774</v>
      </c>
      <c r="B81">
        <f>'Monthly Data'!B81</f>
        <v>2022</v>
      </c>
      <c r="C81">
        <f>'Monthly Data'!C81</f>
        <v>8</v>
      </c>
      <c r="D81" s="3">
        <f ca="1">'Monthly Data'!R81</f>
        <v>25851474.528700527</v>
      </c>
      <c r="E81" s="3">
        <f>'Monthly Data'!CN81</f>
        <v>7.3916666666666764</v>
      </c>
      <c r="F81" s="3">
        <f>'Monthly Data'!CU81</f>
        <v>228.28333333333333</v>
      </c>
      <c r="G81">
        <f>'Monthly Data'!EJ81</f>
        <v>0.25</v>
      </c>
      <c r="H81" s="3">
        <f>'Monthly Data'!DB81</f>
        <v>7778</v>
      </c>
      <c r="I81" s="3">
        <f>'Monthly Data'!DQ81</f>
        <v>31</v>
      </c>
      <c r="K81" s="3">
        <f t="shared" si="23"/>
        <v>3542907.1380836898</v>
      </c>
      <c r="L81" s="3">
        <f t="shared" si="24"/>
        <v>77702.689434422282</v>
      </c>
      <c r="M81" s="3">
        <f t="shared" si="25"/>
        <v>7499375.3651702274</v>
      </c>
      <c r="N81" s="3">
        <f t="shared" si="26"/>
        <v>-654686.04596710496</v>
      </c>
      <c r="O81" s="3">
        <f t="shared" si="27"/>
        <v>0</v>
      </c>
      <c r="P81" s="3">
        <f t="shared" si="28"/>
        <v>13987420.156226436</v>
      </c>
      <c r="Q81" s="47">
        <f t="shared" si="29"/>
        <v>24452719.30294767</v>
      </c>
      <c r="R81" s="47">
        <f ca="1">'Monthly Data'!S81+'Monthly Data'!T81</f>
        <v>68502.871806304509</v>
      </c>
      <c r="S81" s="47">
        <f t="shared" ca="1" si="21"/>
        <v>24521222.174753975</v>
      </c>
      <c r="T81" s="47">
        <f t="shared" ca="1" si="22"/>
        <v>-1330252.3539465517</v>
      </c>
      <c r="U81" s="18">
        <f t="shared" ca="1" si="30"/>
        <v>5.1457503999228139E-2</v>
      </c>
    </row>
    <row r="82" spans="1:26">
      <c r="A82" s="2">
        <f>'Monthly Data'!A82</f>
        <v>44805</v>
      </c>
      <c r="B82">
        <f>'Monthly Data'!B82</f>
        <v>2022</v>
      </c>
      <c r="C82">
        <f>'Monthly Data'!C82</f>
        <v>9</v>
      </c>
      <c r="D82" s="3">
        <f ca="1">'Monthly Data'!R82</f>
        <v>21810179.87972657</v>
      </c>
      <c r="E82" s="3">
        <f>'Monthly Data'!CN82</f>
        <v>111.79166666666666</v>
      </c>
      <c r="F82" s="3">
        <f>'Monthly Data'!CU82</f>
        <v>94.054166666666674</v>
      </c>
      <c r="G82">
        <f>'Monthly Data'!EJ82</f>
        <v>0.25</v>
      </c>
      <c r="H82" s="3">
        <f>'Monthly Data'!DB82</f>
        <v>7770.7</v>
      </c>
      <c r="I82" s="3">
        <f>'Monthly Data'!DQ82</f>
        <v>30</v>
      </c>
      <c r="K82" s="3">
        <f t="shared" si="23"/>
        <v>3542907.1380836898</v>
      </c>
      <c r="L82" s="3">
        <f t="shared" si="24"/>
        <v>1175176.526226351</v>
      </c>
      <c r="M82" s="3">
        <f t="shared" si="25"/>
        <v>3089789.7371319914</v>
      </c>
      <c r="N82" s="3">
        <f t="shared" si="26"/>
        <v>-654686.04596710496</v>
      </c>
      <c r="O82" s="3">
        <f t="shared" si="27"/>
        <v>0</v>
      </c>
      <c r="P82" s="3">
        <f t="shared" si="28"/>
        <v>13536213.05441268</v>
      </c>
      <c r="Q82" s="47">
        <f t="shared" si="29"/>
        <v>20689400.409887608</v>
      </c>
      <c r="R82" s="47">
        <f ca="1">'Monthly Data'!S82+'Monthly Data'!T82</f>
        <v>108701.47651840452</v>
      </c>
      <c r="S82" s="47">
        <f t="shared" ca="1" si="21"/>
        <v>20798101.886406012</v>
      </c>
      <c r="T82" s="47">
        <f t="shared" ca="1" si="22"/>
        <v>-1012077.9933205582</v>
      </c>
      <c r="U82" s="18">
        <f t="shared" ca="1" si="30"/>
        <v>4.6403926923194477E-2</v>
      </c>
    </row>
    <row r="83" spans="1:26">
      <c r="A83" s="2">
        <f>'Monthly Data'!A83</f>
        <v>44835</v>
      </c>
      <c r="B83">
        <f>'Monthly Data'!B83</f>
        <v>2022</v>
      </c>
      <c r="C83">
        <f>'Monthly Data'!C83</f>
        <v>10</v>
      </c>
      <c r="D83" s="3">
        <f ca="1">'Monthly Data'!R83</f>
        <v>21039165.86989582</v>
      </c>
      <c r="E83" s="3">
        <f>'Monthly Data'!CN83</f>
        <v>330.85561594202903</v>
      </c>
      <c r="F83" s="3">
        <f>'Monthly Data'!CU83</f>
        <v>2.4208333333333307</v>
      </c>
      <c r="G83">
        <f>'Monthly Data'!EJ83</f>
        <v>0.25</v>
      </c>
      <c r="H83" s="3">
        <f>'Monthly Data'!DB83</f>
        <v>7776.1</v>
      </c>
      <c r="I83" s="3">
        <f>'Monthly Data'!DQ83</f>
        <v>31</v>
      </c>
      <c r="K83" s="3">
        <f t="shared" si="23"/>
        <v>3542907.1380836898</v>
      </c>
      <c r="L83" s="3">
        <f t="shared" si="24"/>
        <v>3478020.9027974666</v>
      </c>
      <c r="M83" s="3">
        <f t="shared" si="25"/>
        <v>79527.215579395081</v>
      </c>
      <c r="N83" s="3">
        <f t="shared" si="26"/>
        <v>-654686.04596710496</v>
      </c>
      <c r="O83" s="3">
        <f t="shared" si="27"/>
        <v>0</v>
      </c>
      <c r="P83" s="3">
        <f t="shared" si="28"/>
        <v>13987420.156226436</v>
      </c>
      <c r="Q83" s="47">
        <f t="shared" si="29"/>
        <v>20433189.366719883</v>
      </c>
      <c r="R83" s="47">
        <f ca="1">'Monthly Data'!S83+'Monthly Data'!T83</f>
        <v>216307.54599262652</v>
      </c>
      <c r="S83" s="47">
        <f t="shared" ca="1" si="21"/>
        <v>20649496.912712511</v>
      </c>
      <c r="T83" s="47">
        <f t="shared" ca="1" si="22"/>
        <v>-389668.9571833089</v>
      </c>
      <c r="U83" s="18">
        <f t="shared" ca="1" si="30"/>
        <v>1.8521121968094377E-2</v>
      </c>
    </row>
    <row r="84" spans="1:26">
      <c r="A84" s="2">
        <f>'Monthly Data'!A84</f>
        <v>44866</v>
      </c>
      <c r="B84">
        <f>'Monthly Data'!B84</f>
        <v>2022</v>
      </c>
      <c r="C84">
        <f>'Monthly Data'!C84</f>
        <v>11</v>
      </c>
      <c r="D84" s="3">
        <f ca="1">'Monthly Data'!R84</f>
        <v>22546170.925253004</v>
      </c>
      <c r="E84" s="3">
        <f>'Monthly Data'!CN84</f>
        <v>471.83333333333348</v>
      </c>
      <c r="F84" s="3">
        <f>'Monthly Data'!CU84</f>
        <v>2.3083333333333318</v>
      </c>
      <c r="G84">
        <f>'Monthly Data'!EJ84</f>
        <v>0.25</v>
      </c>
      <c r="H84" s="3">
        <f>'Monthly Data'!DB84</f>
        <v>7791.7</v>
      </c>
      <c r="I84" s="3">
        <f>'Monthly Data'!DQ84</f>
        <v>30</v>
      </c>
      <c r="K84" s="3">
        <f t="shared" si="23"/>
        <v>3542907.1380836898</v>
      </c>
      <c r="L84" s="3">
        <f t="shared" si="24"/>
        <v>4960007.0752840871</v>
      </c>
      <c r="M84" s="3">
        <f t="shared" si="25"/>
        <v>75831.458573123731</v>
      </c>
      <c r="N84" s="3">
        <f t="shared" si="26"/>
        <v>-654686.04596710496</v>
      </c>
      <c r="O84" s="3">
        <f t="shared" si="27"/>
        <v>0</v>
      </c>
      <c r="P84" s="3">
        <f t="shared" si="28"/>
        <v>13536213.05441268</v>
      </c>
      <c r="Q84" s="47">
        <f t="shared" si="29"/>
        <v>21460272.680386476</v>
      </c>
      <c r="R84" s="47">
        <f ca="1">'Monthly Data'!S84+'Monthly Data'!T84</f>
        <v>294957.98639908846</v>
      </c>
      <c r="S84" s="47">
        <f t="shared" ca="1" si="21"/>
        <v>21755230.666785564</v>
      </c>
      <c r="T84" s="47">
        <f t="shared" ca="1" si="22"/>
        <v>-790940.25846743956</v>
      </c>
      <c r="U84" s="18">
        <f t="shared" ca="1" si="30"/>
        <v>3.5080912900449145E-2</v>
      </c>
    </row>
    <row r="85" spans="1:26">
      <c r="A85" s="2">
        <f>'Monthly Data'!A85</f>
        <v>44896</v>
      </c>
      <c r="B85">
        <f>'Monthly Data'!B85</f>
        <v>2022</v>
      </c>
      <c r="C85">
        <f>'Monthly Data'!C85</f>
        <v>12</v>
      </c>
      <c r="D85" s="3">
        <f ca="1">'Monthly Data'!R85</f>
        <v>25300790.952781532</v>
      </c>
      <c r="E85" s="3">
        <f>'Monthly Data'!CN85</f>
        <v>647.12083333333328</v>
      </c>
      <c r="F85" s="3">
        <f>'Monthly Data'!CU85</f>
        <v>0</v>
      </c>
      <c r="G85">
        <f>'Monthly Data'!EJ85</f>
        <v>0.25</v>
      </c>
      <c r="H85" s="3">
        <f>'Monthly Data'!DB85</f>
        <v>7829.3</v>
      </c>
      <c r="I85" s="3">
        <f>'Monthly Data'!DQ85</f>
        <v>31</v>
      </c>
      <c r="K85" s="3">
        <f t="shared" si="23"/>
        <v>3542907.1380836898</v>
      </c>
      <c r="L85" s="3">
        <f t="shared" si="24"/>
        <v>6802664.5960375834</v>
      </c>
      <c r="M85" s="3">
        <f t="shared" si="25"/>
        <v>0</v>
      </c>
      <c r="N85" s="3">
        <f t="shared" si="26"/>
        <v>-654686.04596710496</v>
      </c>
      <c r="O85" s="3">
        <f t="shared" si="27"/>
        <v>0</v>
      </c>
      <c r="P85" s="3">
        <f t="shared" si="28"/>
        <v>13987420.156226436</v>
      </c>
      <c r="Q85" s="47">
        <f t="shared" si="29"/>
        <v>23678305.844380602</v>
      </c>
      <c r="R85" s="47">
        <f ca="1">'Monthly Data'!S85+'Monthly Data'!T85</f>
        <v>389722.12184304226</v>
      </c>
      <c r="S85" s="47">
        <f t="shared" ca="1" si="21"/>
        <v>24068027.966223646</v>
      </c>
      <c r="T85" s="47">
        <f t="shared" ca="1" si="22"/>
        <v>-1232762.986557886</v>
      </c>
      <c r="U85" s="18">
        <f t="shared" ca="1" si="30"/>
        <v>4.8724286480156774E-2</v>
      </c>
    </row>
    <row r="86" spans="1:26">
      <c r="A86" s="2">
        <f>'Monthly Data'!A86</f>
        <v>44927</v>
      </c>
      <c r="B86">
        <f>'Monthly Data'!B86</f>
        <v>2023</v>
      </c>
      <c r="C86">
        <f>'Monthly Data'!C86</f>
        <v>1</v>
      </c>
      <c r="D86" s="3">
        <f ca="1">'Monthly Data'!R86</f>
        <v>25948905.427414812</v>
      </c>
      <c r="E86" s="3">
        <f>'Monthly Data'!CN86</f>
        <v>666.07083333333355</v>
      </c>
      <c r="F86" s="3">
        <f>'Monthly Data'!CU86</f>
        <v>0</v>
      </c>
      <c r="G86">
        <f>'Monthly Data'!EJ86</f>
        <v>0</v>
      </c>
      <c r="H86" s="3">
        <f>'Monthly Data'!DB86</f>
        <v>7861.3</v>
      </c>
      <c r="I86" s="3">
        <f>'Monthly Data'!DQ86</f>
        <v>31</v>
      </c>
      <c r="K86" s="3">
        <f t="shared" si="23"/>
        <v>3542907.1380836898</v>
      </c>
      <c r="L86" s="3">
        <f t="shared" si="24"/>
        <v>7001870.8144974243</v>
      </c>
      <c r="M86" s="3">
        <f t="shared" si="25"/>
        <v>0</v>
      </c>
      <c r="N86" s="3">
        <f t="shared" si="26"/>
        <v>0</v>
      </c>
      <c r="O86" s="3">
        <f t="shared" si="27"/>
        <v>0</v>
      </c>
      <c r="P86" s="3">
        <f t="shared" si="28"/>
        <v>13987420.156226436</v>
      </c>
      <c r="Q86" s="47">
        <f t="shared" si="29"/>
        <v>24532198.108807549</v>
      </c>
      <c r="R86" s="47">
        <f ca="1">'Monthly Data'!S86+'Monthly Data'!T86</f>
        <v>523326.78457007196</v>
      </c>
      <c r="S86" s="47">
        <f t="shared" ca="1" si="21"/>
        <v>25055524.893377621</v>
      </c>
      <c r="T86" s="47">
        <f t="shared" ca="1" si="22"/>
        <v>-893380.53403719142</v>
      </c>
      <c r="U86" s="18">
        <f t="shared" ca="1" si="30"/>
        <v>3.442844772532648E-2</v>
      </c>
    </row>
    <row r="87" spans="1:26">
      <c r="A87" s="2">
        <f>'Monthly Data'!A87</f>
        <v>44958</v>
      </c>
      <c r="B87">
        <f>'Monthly Data'!B87</f>
        <v>2023</v>
      </c>
      <c r="C87">
        <f>'Monthly Data'!C87</f>
        <v>2</v>
      </c>
      <c r="D87" s="3">
        <f ca="1">'Monthly Data'!R87</f>
        <v>23972631.853497781</v>
      </c>
      <c r="E87" s="3">
        <f>'Monthly Data'!CN87</f>
        <v>629.43333333333328</v>
      </c>
      <c r="F87" s="3">
        <f>'Monthly Data'!CU87</f>
        <v>0</v>
      </c>
      <c r="G87">
        <f>'Monthly Data'!EJ87</f>
        <v>0</v>
      </c>
      <c r="H87" s="3">
        <f>'Monthly Data'!DB87</f>
        <v>7898.9</v>
      </c>
      <c r="I87" s="3">
        <f>'Monthly Data'!DQ87</f>
        <v>28</v>
      </c>
      <c r="K87" s="3">
        <f t="shared" si="23"/>
        <v>3542907.1380836898</v>
      </c>
      <c r="L87" s="3">
        <f t="shared" si="24"/>
        <v>6616730.0319738165</v>
      </c>
      <c r="M87" s="3">
        <f t="shared" si="25"/>
        <v>0</v>
      </c>
      <c r="N87" s="3">
        <f t="shared" si="26"/>
        <v>0</v>
      </c>
      <c r="O87" s="3">
        <f t="shared" si="27"/>
        <v>0</v>
      </c>
      <c r="P87" s="3">
        <f t="shared" si="28"/>
        <v>12633798.850785168</v>
      </c>
      <c r="Q87" s="47">
        <f t="shared" si="29"/>
        <v>22793436.020842671</v>
      </c>
      <c r="R87" s="47">
        <f ca="1">'Monthly Data'!S87+'Monthly Data'!T87</f>
        <v>504509.01058408222</v>
      </c>
      <c r="S87" s="47">
        <f t="shared" ca="1" si="21"/>
        <v>23297945.031426754</v>
      </c>
      <c r="T87" s="47">
        <f t="shared" ca="1" si="22"/>
        <v>-674686.82207102701</v>
      </c>
      <c r="U87" s="18">
        <f t="shared" ca="1" si="30"/>
        <v>2.8144044683712326E-2</v>
      </c>
    </row>
    <row r="88" spans="1:26">
      <c r="A88" s="2">
        <f>'Monthly Data'!A88</f>
        <v>44986</v>
      </c>
      <c r="B88">
        <f>'Monthly Data'!B88</f>
        <v>2023</v>
      </c>
      <c r="C88">
        <f>'Monthly Data'!C88</f>
        <v>3</v>
      </c>
      <c r="D88" s="3">
        <f ca="1">'Monthly Data'!R88</f>
        <v>25527961.143967409</v>
      </c>
      <c r="E88" s="3">
        <f>'Monthly Data'!CN88</f>
        <v>613.0333333333333</v>
      </c>
      <c r="F88" s="3">
        <f>'Monthly Data'!CU88</f>
        <v>0</v>
      </c>
      <c r="G88">
        <f>'Monthly Data'!EJ88</f>
        <v>0</v>
      </c>
      <c r="H88" s="3">
        <f>'Monthly Data'!DB88</f>
        <v>7931.4</v>
      </c>
      <c r="I88" s="3">
        <f>'Monthly Data'!DQ88</f>
        <v>31</v>
      </c>
      <c r="K88" s="3">
        <f t="shared" si="23"/>
        <v>3542907.1380836898</v>
      </c>
      <c r="L88" s="3">
        <f t="shared" si="24"/>
        <v>6444329.9273436675</v>
      </c>
      <c r="M88" s="3">
        <f t="shared" si="25"/>
        <v>0</v>
      </c>
      <c r="N88" s="3">
        <f t="shared" si="26"/>
        <v>0</v>
      </c>
      <c r="O88" s="3">
        <f t="shared" si="27"/>
        <v>0</v>
      </c>
      <c r="P88" s="3">
        <f t="shared" si="28"/>
        <v>13987420.156226436</v>
      </c>
      <c r="Q88" s="47">
        <f t="shared" si="29"/>
        <v>23974657.221653793</v>
      </c>
      <c r="R88" s="47">
        <f ca="1">'Monthly Data'!S88+'Monthly Data'!T88</f>
        <v>491672.37941477587</v>
      </c>
      <c r="S88" s="47">
        <f t="shared" ca="1" si="21"/>
        <v>24466329.601068567</v>
      </c>
      <c r="T88" s="47">
        <f t="shared" ca="1" si="22"/>
        <v>-1061631.5428988412</v>
      </c>
      <c r="U88" s="18">
        <f t="shared" ca="1" si="30"/>
        <v>4.158700872786774E-2</v>
      </c>
    </row>
    <row r="89" spans="1:26">
      <c r="A89" s="2">
        <f>'Monthly Data'!A89</f>
        <v>45017</v>
      </c>
      <c r="B89">
        <f>'Monthly Data'!B89</f>
        <v>2023</v>
      </c>
      <c r="C89">
        <f>'Monthly Data'!C89</f>
        <v>4</v>
      </c>
      <c r="D89" s="3">
        <f ca="1">'Monthly Data'!R89</f>
        <v>21842078.767693579</v>
      </c>
      <c r="E89" s="3">
        <f>'Monthly Data'!CN89</f>
        <v>361.4</v>
      </c>
      <c r="F89" s="3">
        <f>'Monthly Data'!CU89</f>
        <v>11.71666666666667</v>
      </c>
      <c r="G89">
        <f>'Monthly Data'!EJ89</f>
        <v>0</v>
      </c>
      <c r="H89" s="3">
        <f>'Monthly Data'!DB89</f>
        <v>7962</v>
      </c>
      <c r="I89" s="3">
        <f>'Monthly Data'!DQ89</f>
        <v>30</v>
      </c>
      <c r="K89" s="3">
        <f t="shared" si="23"/>
        <v>3542907.1380836898</v>
      </c>
      <c r="L89" s="3">
        <f t="shared" si="24"/>
        <v>3799109.6227643979</v>
      </c>
      <c r="M89" s="3">
        <f t="shared" si="25"/>
        <v>384906.24820870784</v>
      </c>
      <c r="N89" s="3">
        <f t="shared" si="26"/>
        <v>0</v>
      </c>
      <c r="O89" s="3">
        <f t="shared" si="27"/>
        <v>0</v>
      </c>
      <c r="P89" s="3">
        <f t="shared" si="28"/>
        <v>13536213.05441268</v>
      </c>
      <c r="Q89" s="47">
        <f t="shared" si="29"/>
        <v>21263136.063469477</v>
      </c>
      <c r="R89" s="47">
        <f ca="1">'Monthly Data'!S89+'Monthly Data'!T89</f>
        <v>313844.54710706329</v>
      </c>
      <c r="S89" s="47">
        <f t="shared" ca="1" si="21"/>
        <v>21576980.61057654</v>
      </c>
      <c r="T89" s="47">
        <f t="shared" ca="1" si="22"/>
        <v>-265098.15711703897</v>
      </c>
      <c r="U89" s="18">
        <f t="shared" ca="1" si="30"/>
        <v>1.2137038783558608E-2</v>
      </c>
      <c r="Z89" s="3"/>
    </row>
    <row r="90" spans="1:26">
      <c r="A90" s="2">
        <f>'Monthly Data'!A90</f>
        <v>45047</v>
      </c>
      <c r="B90">
        <f>'Monthly Data'!B90</f>
        <v>2023</v>
      </c>
      <c r="C90">
        <f>'Monthly Data'!C90</f>
        <v>5</v>
      </c>
      <c r="D90" s="3">
        <f ca="1">'Monthly Data'!R90</f>
        <v>21910406.756236099</v>
      </c>
      <c r="E90" s="3">
        <f>'Monthly Data'!CN90</f>
        <v>219.04750000000001</v>
      </c>
      <c r="F90" s="3">
        <f>'Monthly Data'!CU90</f>
        <v>37.345833333333331</v>
      </c>
      <c r="G90">
        <f>'Monthly Data'!EJ90</f>
        <v>0</v>
      </c>
      <c r="H90" s="3">
        <f>'Monthly Data'!DB90</f>
        <v>7978.4</v>
      </c>
      <c r="I90" s="3">
        <f>'Monthly Data'!DQ90</f>
        <v>31</v>
      </c>
      <c r="K90" s="3">
        <f t="shared" si="23"/>
        <v>3542907.1380836898</v>
      </c>
      <c r="L90" s="3">
        <f t="shared" si="24"/>
        <v>2302671.4584739474</v>
      </c>
      <c r="M90" s="3">
        <f t="shared" si="25"/>
        <v>1226854.4461929756</v>
      </c>
      <c r="N90" s="3">
        <f t="shared" si="26"/>
        <v>0</v>
      </c>
      <c r="O90" s="3">
        <f t="shared" si="27"/>
        <v>0</v>
      </c>
      <c r="P90" s="3">
        <f t="shared" si="28"/>
        <v>13987420.156226436</v>
      </c>
      <c r="Q90" s="47">
        <f t="shared" si="29"/>
        <v>21059853.198977049</v>
      </c>
      <c r="R90" s="47">
        <f ca="1">'Monthly Data'!S90+'Monthly Data'!T90</f>
        <v>217191.44184616447</v>
      </c>
      <c r="S90" s="47">
        <f t="shared" ca="1" si="21"/>
        <v>21277044.640823215</v>
      </c>
      <c r="T90" s="47">
        <f t="shared" ca="1" si="22"/>
        <v>-633362.11541288346</v>
      </c>
      <c r="U90" s="18">
        <f t="shared" ca="1" si="30"/>
        <v>2.8906908140015116E-2</v>
      </c>
      <c r="Z90" s="3"/>
    </row>
    <row r="91" spans="1:26">
      <c r="A91" s="2">
        <f>'Monthly Data'!A91</f>
        <v>45078</v>
      </c>
      <c r="B91">
        <f>'Monthly Data'!B91</f>
        <v>2023</v>
      </c>
      <c r="C91">
        <f>'Monthly Data'!C91</f>
        <v>6</v>
      </c>
      <c r="D91" s="3">
        <f ca="1">'Monthly Data'!R91</f>
        <v>23101631.604347117</v>
      </c>
      <c r="E91" s="3">
        <f>'Monthly Data'!CN91</f>
        <v>55.599999999999994</v>
      </c>
      <c r="F91" s="3">
        <f>'Monthly Data'!CU91</f>
        <v>145.54166666666666</v>
      </c>
      <c r="G91">
        <f>'Monthly Data'!EJ91</f>
        <v>0</v>
      </c>
      <c r="H91" s="3">
        <f>'Monthly Data'!DB91</f>
        <v>8001.1</v>
      </c>
      <c r="I91" s="3">
        <f>'Monthly Data'!DQ91</f>
        <v>30</v>
      </c>
      <c r="K91" s="3">
        <f t="shared" si="23"/>
        <v>3542907.1380836898</v>
      </c>
      <c r="L91" s="3">
        <f t="shared" si="24"/>
        <v>584478.40350221505</v>
      </c>
      <c r="M91" s="3">
        <f t="shared" si="25"/>
        <v>4781214.5270021912</v>
      </c>
      <c r="N91" s="3">
        <f t="shared" si="26"/>
        <v>0</v>
      </c>
      <c r="O91" s="3">
        <f t="shared" si="27"/>
        <v>0</v>
      </c>
      <c r="P91" s="3">
        <f t="shared" si="28"/>
        <v>13536213.05441268</v>
      </c>
      <c r="Q91" s="47">
        <f t="shared" si="29"/>
        <v>22444813.123000778</v>
      </c>
      <c r="R91" s="47">
        <f ca="1">'Monthly Data'!S91+'Monthly Data'!T91</f>
        <v>117425.84304464668</v>
      </c>
      <c r="S91" s="47">
        <f t="shared" ca="1" si="21"/>
        <v>22562238.966045424</v>
      </c>
      <c r="T91" s="47">
        <f t="shared" ca="1" si="22"/>
        <v>-539392.6383016929</v>
      </c>
      <c r="U91" s="18">
        <f t="shared" ca="1" si="30"/>
        <v>2.3348681493137197E-2</v>
      </c>
      <c r="Z91" s="3"/>
    </row>
    <row r="92" spans="1:26">
      <c r="A92" s="2">
        <f>'Monthly Data'!A92</f>
        <v>45108</v>
      </c>
      <c r="B92">
        <f>'Monthly Data'!B92</f>
        <v>2023</v>
      </c>
      <c r="C92">
        <f>'Monthly Data'!C92</f>
        <v>7</v>
      </c>
      <c r="D92" s="3">
        <f ca="1">'Monthly Data'!R92</f>
        <v>25936174.43746119</v>
      </c>
      <c r="E92" s="3">
        <f>'Monthly Data'!CN92</f>
        <v>7.3166666666666593</v>
      </c>
      <c r="F92" s="3">
        <f>'Monthly Data'!CU92</f>
        <v>223.78333333333336</v>
      </c>
      <c r="G92">
        <f>'Monthly Data'!EJ92</f>
        <v>0</v>
      </c>
      <c r="H92" s="3">
        <f>'Monthly Data'!DB92</f>
        <v>8016.3</v>
      </c>
      <c r="I92" s="3">
        <f>'Monthly Data'!DQ92</f>
        <v>31</v>
      </c>
      <c r="K92" s="3">
        <f t="shared" si="23"/>
        <v>3542907.1380836898</v>
      </c>
      <c r="L92" s="3">
        <f t="shared" si="24"/>
        <v>76914.274321784222</v>
      </c>
      <c r="M92" s="3">
        <f t="shared" si="25"/>
        <v>7351545.0849193735</v>
      </c>
      <c r="N92" s="3">
        <f t="shared" si="26"/>
        <v>0</v>
      </c>
      <c r="O92" s="3">
        <f t="shared" si="27"/>
        <v>0</v>
      </c>
      <c r="P92" s="3">
        <f t="shared" si="28"/>
        <v>13987420.156226436</v>
      </c>
      <c r="Q92" s="47">
        <f t="shared" si="29"/>
        <v>24958786.65355128</v>
      </c>
      <c r="R92" s="47">
        <f ca="1">'Monthly Data'!S92+'Monthly Data'!T92</f>
        <v>105375.80627712954</v>
      </c>
      <c r="S92" s="47">
        <f t="shared" ca="1" si="21"/>
        <v>25064162.45982841</v>
      </c>
      <c r="T92" s="47">
        <f t="shared" ca="1" si="22"/>
        <v>-872011.97763277963</v>
      </c>
      <c r="U92" s="18">
        <f t="shared" ca="1" si="30"/>
        <v>3.3621457155735342E-2</v>
      </c>
      <c r="Z92" s="3"/>
    </row>
    <row r="93" spans="1:26">
      <c r="A93" s="2">
        <f>'Monthly Data'!A93</f>
        <v>45139</v>
      </c>
      <c r="B93">
        <f>'Monthly Data'!B93</f>
        <v>2023</v>
      </c>
      <c r="C93">
        <f>'Monthly Data'!C93</f>
        <v>8</v>
      </c>
      <c r="D93" s="3">
        <f ca="1">'Monthly Data'!R93</f>
        <v>23588473.646848772</v>
      </c>
      <c r="E93" s="3">
        <f>'Monthly Data'!CN93</f>
        <v>32.211775362318839</v>
      </c>
      <c r="F93" s="3">
        <f>'Monthly Data'!CU93</f>
        <v>165.80489130434788</v>
      </c>
      <c r="G93">
        <f>'Monthly Data'!EJ93</f>
        <v>0</v>
      </c>
      <c r="H93" s="3">
        <f>'Monthly Data'!DB93</f>
        <v>8040</v>
      </c>
      <c r="I93" s="3">
        <f>'Monthly Data'!DQ93</f>
        <v>31</v>
      </c>
      <c r="K93" s="3">
        <f t="shared" si="23"/>
        <v>3542907.1380836898</v>
      </c>
      <c r="L93" s="3">
        <f t="shared" si="24"/>
        <v>338616.67334064929</v>
      </c>
      <c r="M93" s="3">
        <f t="shared" si="25"/>
        <v>5446885.2329965122</v>
      </c>
      <c r="N93" s="3">
        <f t="shared" si="26"/>
        <v>0</v>
      </c>
      <c r="O93" s="3">
        <f t="shared" si="27"/>
        <v>0</v>
      </c>
      <c r="P93" s="3">
        <f t="shared" si="28"/>
        <v>13987420.156226436</v>
      </c>
      <c r="Q93" s="47">
        <f t="shared" si="29"/>
        <v>23315829.200647287</v>
      </c>
      <c r="R93" s="47">
        <f ca="1">'Monthly Data'!S93+'Monthly Data'!T93</f>
        <v>115447.22437839676</v>
      </c>
      <c r="S93" s="47">
        <f t="shared" ca="1" si="21"/>
        <v>23431276.425025683</v>
      </c>
      <c r="T93" s="47">
        <f t="shared" ca="1" si="22"/>
        <v>-157197.22182308882</v>
      </c>
      <c r="U93" s="18">
        <f t="shared" ca="1" si="30"/>
        <v>6.664154034573962E-3</v>
      </c>
      <c r="Z93" s="3"/>
    </row>
    <row r="94" spans="1:26">
      <c r="A94" s="2">
        <f>'Monthly Data'!A94</f>
        <v>45170</v>
      </c>
      <c r="B94">
        <f>'Monthly Data'!B94</f>
        <v>2023</v>
      </c>
      <c r="C94">
        <f>'Monthly Data'!C94</f>
        <v>9</v>
      </c>
      <c r="D94" s="3">
        <f ca="1">'Monthly Data'!R94</f>
        <v>22724171.777930696</v>
      </c>
      <c r="E94" s="3">
        <f>'Monthly Data'!CN94</f>
        <v>95.22083333333336</v>
      </c>
      <c r="F94" s="3">
        <f>'Monthly Data'!CU94</f>
        <v>105.35</v>
      </c>
      <c r="G94">
        <f>'Monthly Data'!EJ94</f>
        <v>0</v>
      </c>
      <c r="H94" s="3">
        <f>'Monthly Data'!DB94</f>
        <v>8052.4</v>
      </c>
      <c r="I94" s="3">
        <f>'Monthly Data'!DQ94</f>
        <v>30</v>
      </c>
      <c r="K94" s="3">
        <f t="shared" si="23"/>
        <v>3542907.1380836898</v>
      </c>
      <c r="L94" s="3">
        <f t="shared" si="24"/>
        <v>1000980.587172971</v>
      </c>
      <c r="M94" s="3">
        <f t="shared" si="25"/>
        <v>3460871.1165394615</v>
      </c>
      <c r="N94" s="3">
        <f t="shared" si="26"/>
        <v>0</v>
      </c>
      <c r="O94" s="3">
        <f t="shared" si="27"/>
        <v>0</v>
      </c>
      <c r="P94" s="3">
        <f t="shared" si="28"/>
        <v>13536213.05441268</v>
      </c>
      <c r="Q94" s="47">
        <f t="shared" si="29"/>
        <v>21540971.8962088</v>
      </c>
      <c r="R94" s="47">
        <f ca="1">'Monthly Data'!S94+'Monthly Data'!T94</f>
        <v>146696.18406630107</v>
      </c>
      <c r="S94" s="47">
        <f t="shared" ca="1" si="21"/>
        <v>21687668.0802751</v>
      </c>
      <c r="T94" s="47">
        <f t="shared" ca="1" si="22"/>
        <v>-1036503.6976555958</v>
      </c>
      <c r="U94" s="18">
        <f t="shared" ca="1" si="30"/>
        <v>4.5612386131591798E-2</v>
      </c>
      <c r="Z94" s="3"/>
    </row>
    <row r="95" spans="1:26">
      <c r="A95" s="2">
        <f>'Monthly Data'!A95</f>
        <v>45200</v>
      </c>
      <c r="B95">
        <f>'Monthly Data'!B95</f>
        <v>2023</v>
      </c>
      <c r="C95">
        <f>'Monthly Data'!C95</f>
        <v>10</v>
      </c>
      <c r="D95" s="3">
        <f ca="1">'Monthly Data'!R95</f>
        <v>21843045.351886019</v>
      </c>
      <c r="E95" s="3">
        <f>'Monthly Data'!CN95</f>
        <v>261.85000000000002</v>
      </c>
      <c r="F95" s="3">
        <f>'Monthly Data'!CU95</f>
        <v>35.333333333333343</v>
      </c>
      <c r="G95">
        <f>'Monthly Data'!EJ95</f>
        <v>0</v>
      </c>
      <c r="H95" s="3">
        <f>'Monthly Data'!DB95</f>
        <v>8058.3</v>
      </c>
      <c r="I95" s="3">
        <f>'Monthly Data'!DQ95</f>
        <v>31</v>
      </c>
      <c r="K95" s="3">
        <f t="shared" si="23"/>
        <v>3542907.1380836898</v>
      </c>
      <c r="L95" s="3">
        <f t="shared" si="24"/>
        <v>2752619.9632563856</v>
      </c>
      <c r="M95" s="3">
        <f t="shared" si="25"/>
        <v>1160741.4597474546</v>
      </c>
      <c r="N95" s="3">
        <f t="shared" si="26"/>
        <v>0</v>
      </c>
      <c r="O95" s="3">
        <f t="shared" si="27"/>
        <v>0</v>
      </c>
      <c r="P95" s="3">
        <f t="shared" si="28"/>
        <v>13987420.156226436</v>
      </c>
      <c r="Q95" s="47">
        <f t="shared" si="29"/>
        <v>21443688.717313968</v>
      </c>
      <c r="R95" s="47">
        <f ca="1">'Monthly Data'!S95+'Monthly Data'!T95</f>
        <v>265980.18412985583</v>
      </c>
      <c r="S95" s="47">
        <f t="shared" ca="1" si="21"/>
        <v>21709668.901443824</v>
      </c>
      <c r="T95" s="47">
        <f t="shared" ca="1" si="22"/>
        <v>-133376.45044219494</v>
      </c>
      <c r="U95" s="18">
        <f t="shared" ca="1" si="30"/>
        <v>6.1061288979413608E-3</v>
      </c>
      <c r="Z95" s="3"/>
    </row>
    <row r="96" spans="1:26">
      <c r="A96" s="2">
        <f>'Monthly Data'!A96</f>
        <v>45231</v>
      </c>
      <c r="B96">
        <f>'Monthly Data'!B96</f>
        <v>2023</v>
      </c>
      <c r="C96">
        <f>'Monthly Data'!C96</f>
        <v>11</v>
      </c>
      <c r="D96" s="3">
        <f ca="1">'Monthly Data'!R96</f>
        <v>23175385.11304817</v>
      </c>
      <c r="E96" s="3">
        <f>'Monthly Data'!CN96</f>
        <v>510.59311594202899</v>
      </c>
      <c r="F96" s="3">
        <f>'Monthly Data'!CU96</f>
        <v>0</v>
      </c>
      <c r="G96">
        <f>'Monthly Data'!EJ96</f>
        <v>0</v>
      </c>
      <c r="H96" s="3">
        <f>'Monthly Data'!DB96</f>
        <v>8062.1</v>
      </c>
      <c r="I96" s="3">
        <f>'Monthly Data'!DQ96</f>
        <v>30</v>
      </c>
      <c r="K96" s="3">
        <f t="shared" si="23"/>
        <v>3542907.1380836898</v>
      </c>
      <c r="L96" s="3">
        <f t="shared" si="24"/>
        <v>5367457.7202341454</v>
      </c>
      <c r="M96" s="3">
        <f t="shared" si="25"/>
        <v>0</v>
      </c>
      <c r="N96" s="3">
        <f t="shared" si="26"/>
        <v>0</v>
      </c>
      <c r="O96" s="3">
        <f t="shared" si="27"/>
        <v>0</v>
      </c>
      <c r="P96" s="3">
        <f t="shared" si="28"/>
        <v>13536213.05441268</v>
      </c>
      <c r="Q96" s="47">
        <f t="shared" si="29"/>
        <v>22446577.912730515</v>
      </c>
      <c r="R96" s="47">
        <f ca="1">'Monthly Data'!S96+'Monthly Data'!T96</f>
        <v>446165.79537061433</v>
      </c>
      <c r="S96" s="47">
        <f t="shared" ca="1" si="21"/>
        <v>22892743.708101131</v>
      </c>
      <c r="T96" s="47">
        <f t="shared" ca="1" si="22"/>
        <v>-282641.40494703874</v>
      </c>
      <c r="U96" s="18">
        <f t="shared" ca="1" si="30"/>
        <v>1.219575871418449E-2</v>
      </c>
      <c r="Z96" s="3"/>
    </row>
    <row r="97" spans="1:26">
      <c r="A97" s="2">
        <f>'Monthly Data'!A97</f>
        <v>45261</v>
      </c>
      <c r="B97">
        <f>'Monthly Data'!B97</f>
        <v>2023</v>
      </c>
      <c r="C97">
        <f>'Monthly Data'!C97</f>
        <v>12</v>
      </c>
      <c r="D97" s="3">
        <f ca="1">'Monthly Data'!R97</f>
        <v>22770333.314679604</v>
      </c>
      <c r="E97" s="3">
        <f>'Monthly Data'!CN97</f>
        <v>551.67916666666667</v>
      </c>
      <c r="F97" s="3">
        <f>'Monthly Data'!CU97</f>
        <v>0</v>
      </c>
      <c r="G97">
        <f>'Monthly Data'!EJ97</f>
        <v>0</v>
      </c>
      <c r="H97" s="3">
        <f>'Monthly Data'!DB97</f>
        <v>8052.5</v>
      </c>
      <c r="I97" s="3">
        <f>'Monthly Data'!DQ97</f>
        <v>31</v>
      </c>
      <c r="K97" s="3">
        <f t="shared" si="23"/>
        <v>3542907.1380836898</v>
      </c>
      <c r="L97" s="3">
        <f t="shared" si="24"/>
        <v>5799362.5643662913</v>
      </c>
      <c r="M97" s="3">
        <f t="shared" si="25"/>
        <v>0</v>
      </c>
      <c r="N97" s="3">
        <f t="shared" si="26"/>
        <v>0</v>
      </c>
      <c r="O97" s="3">
        <f t="shared" si="27"/>
        <v>0</v>
      </c>
      <c r="P97" s="3">
        <f t="shared" si="28"/>
        <v>13987420.156226436</v>
      </c>
      <c r="Q97" s="47">
        <f t="shared" si="29"/>
        <v>23329689.858676419</v>
      </c>
      <c r="R97" s="47">
        <f ca="1">'Monthly Data'!S97+'Monthly Data'!T97</f>
        <v>477973.39492881962</v>
      </c>
      <c r="S97" s="47">
        <f t="shared" ca="1" si="21"/>
        <v>23807663.253605239</v>
      </c>
      <c r="T97" s="47">
        <f t="shared" ca="1" si="22"/>
        <v>1037329.9389256351</v>
      </c>
      <c r="U97" s="18">
        <f t="shared" ca="1" si="30"/>
        <v>4.5556203529830988E-2</v>
      </c>
      <c r="Z97" s="3"/>
    </row>
    <row r="98" spans="1:26">
      <c r="A98" s="2">
        <f>'Monthly Data'!A98</f>
        <v>45292</v>
      </c>
      <c r="B98">
        <f>'Monthly Data'!B98</f>
        <v>2024</v>
      </c>
      <c r="C98">
        <f>'Monthly Data'!C98</f>
        <v>1</v>
      </c>
      <c r="D98" s="3">
        <f ca="1">'Monthly Data'!R98</f>
        <v>24520911.692104168</v>
      </c>
      <c r="E98" s="3">
        <f>'Monthly Data'!CN98</f>
        <v>698.99583333333328</v>
      </c>
      <c r="F98" s="3">
        <f>'Monthly Data'!CU98</f>
        <v>0</v>
      </c>
      <c r="G98">
        <f>'Monthly Data'!EJ98</f>
        <v>0</v>
      </c>
      <c r="H98" s="3">
        <f>'Monthly Data'!DB98</f>
        <v>8051</v>
      </c>
      <c r="I98" s="3">
        <f>'Monthly Data'!DQ98</f>
        <v>31</v>
      </c>
      <c r="K98" s="3">
        <f t="shared" ref="K98:K121" si="31">$Y$8</f>
        <v>3542907.1380836898</v>
      </c>
      <c r="L98" s="3">
        <f t="shared" ref="L98:L121" si="32">E98*$Y$9</f>
        <v>7347985.0489454502</v>
      </c>
      <c r="M98" s="3">
        <f t="shared" ref="M98:M121" si="33">F98*$Y$10</f>
        <v>0</v>
      </c>
      <c r="N98" s="3">
        <f t="shared" ref="N98:N121" si="34">G98*$Y$11</f>
        <v>0</v>
      </c>
      <c r="O98" s="3">
        <f t="shared" ref="O98:O121" si="35">H98*$Y$12</f>
        <v>0</v>
      </c>
      <c r="P98" s="3">
        <f t="shared" ref="P98:P121" si="36">I98*$Y$13</f>
        <v>13987420.156226436</v>
      </c>
      <c r="Q98" s="47">
        <f t="shared" ref="Q98:Q109" si="37">SUM(K98:P98)</f>
        <v>24878312.343255576</v>
      </c>
      <c r="R98" s="47">
        <f ca="1">'Monthly Data'!S98+'Monthly Data'!T98</f>
        <v>714540.42246577737</v>
      </c>
      <c r="S98" s="47">
        <f t="shared" ca="1" si="21"/>
        <v>25592852.765721355</v>
      </c>
      <c r="T98" s="47">
        <f t="shared" ca="1" si="22"/>
        <v>1071941.0736171864</v>
      </c>
      <c r="U98" s="18">
        <f t="shared" ref="U98:U109" ca="1" si="38">ABS(T98/D98)</f>
        <v>4.3715384120989097E-2</v>
      </c>
      <c r="Z98" s="3"/>
    </row>
    <row r="99" spans="1:26">
      <c r="A99" s="2">
        <f>'Monthly Data'!A99</f>
        <v>45323</v>
      </c>
      <c r="B99">
        <f>'Monthly Data'!B99</f>
        <v>2024</v>
      </c>
      <c r="C99">
        <f>'Monthly Data'!C99</f>
        <v>2</v>
      </c>
      <c r="D99" s="3">
        <f ca="1">'Monthly Data'!R99</f>
        <v>22230147.880891703</v>
      </c>
      <c r="E99" s="3">
        <f>'Monthly Data'!CN99</f>
        <v>600.96666666666647</v>
      </c>
      <c r="F99" s="3">
        <f>'Monthly Data'!CU99</f>
        <v>0</v>
      </c>
      <c r="G99">
        <f>'Monthly Data'!EJ99</f>
        <v>0</v>
      </c>
      <c r="H99" s="3">
        <f>'Monthly Data'!DB99</f>
        <v>8047.9</v>
      </c>
      <c r="I99" s="3">
        <f>'Monthly Data'!DQ99</f>
        <v>29</v>
      </c>
      <c r="K99" s="3">
        <f t="shared" si="31"/>
        <v>3542907.1380836898</v>
      </c>
      <c r="L99" s="3">
        <f t="shared" si="32"/>
        <v>6317482.6958881486</v>
      </c>
      <c r="M99" s="3">
        <f t="shared" si="33"/>
        <v>0</v>
      </c>
      <c r="N99" s="3">
        <f t="shared" si="34"/>
        <v>0</v>
      </c>
      <c r="O99" s="3">
        <f t="shared" si="35"/>
        <v>0</v>
      </c>
      <c r="P99" s="3">
        <f t="shared" si="36"/>
        <v>13085005.952598924</v>
      </c>
      <c r="Q99" s="47">
        <f t="shared" si="37"/>
        <v>22945395.786570765</v>
      </c>
      <c r="R99" s="47">
        <f ca="1">'Monthly Data'!S99+'Monthly Data'!T99</f>
        <v>632610.0049922209</v>
      </c>
      <c r="S99" s="47">
        <f t="shared" ca="1" si="21"/>
        <v>23578005.791562986</v>
      </c>
      <c r="T99" s="47">
        <f t="shared" ca="1" si="22"/>
        <v>1347857.9106712826</v>
      </c>
      <c r="U99" s="18">
        <f t="shared" ca="1" si="38"/>
        <v>6.0631981302736025E-2</v>
      </c>
      <c r="Z99" s="3"/>
    </row>
    <row r="100" spans="1:26">
      <c r="A100" s="2">
        <f>'Monthly Data'!A100</f>
        <v>45352</v>
      </c>
      <c r="B100">
        <f>'Monthly Data'!B100</f>
        <v>2024</v>
      </c>
      <c r="C100">
        <f>'Monthly Data'!C100</f>
        <v>3</v>
      </c>
      <c r="D100" s="3">
        <f ca="1">'Monthly Data'!R100</f>
        <v>22189843.570561834</v>
      </c>
      <c r="E100" s="3">
        <f>'Monthly Data'!CN100</f>
        <v>522.11249999999995</v>
      </c>
      <c r="F100" s="3">
        <f>'Monthly Data'!CU100</f>
        <v>0</v>
      </c>
      <c r="G100">
        <f>'Monthly Data'!EJ100</f>
        <v>0</v>
      </c>
      <c r="H100" s="3">
        <f>'Monthly Data'!DB100</f>
        <v>8066</v>
      </c>
      <c r="I100" s="3">
        <f>'Monthly Data'!DQ100</f>
        <v>31</v>
      </c>
      <c r="K100" s="3">
        <f t="shared" si="31"/>
        <v>3542907.1380836898</v>
      </c>
      <c r="L100" s="3">
        <f t="shared" si="32"/>
        <v>5488551.8066286016</v>
      </c>
      <c r="M100" s="3">
        <f t="shared" si="33"/>
        <v>0</v>
      </c>
      <c r="N100" s="3">
        <f t="shared" si="34"/>
        <v>0</v>
      </c>
      <c r="O100" s="3">
        <f t="shared" si="35"/>
        <v>0</v>
      </c>
      <c r="P100" s="3">
        <f t="shared" si="36"/>
        <v>13987420.156226436</v>
      </c>
      <c r="Q100" s="47">
        <f t="shared" si="37"/>
        <v>23018879.10093873</v>
      </c>
      <c r="R100" s="47">
        <f ca="1">'Monthly Data'!S100+'Monthly Data'!T100</f>
        <v>560931.18298608658</v>
      </c>
      <c r="S100" s="47">
        <f t="shared" ca="1" si="21"/>
        <v>23579810.283924818</v>
      </c>
      <c r="T100" s="47">
        <f t="shared" ca="1" si="22"/>
        <v>1389966.7133629844</v>
      </c>
      <c r="U100" s="18">
        <f t="shared" ca="1" si="38"/>
        <v>6.2639770710550852E-2</v>
      </c>
      <c r="Z100" s="3"/>
    </row>
    <row r="101" spans="1:26">
      <c r="A101" s="2">
        <f>'Monthly Data'!A101</f>
        <v>45383</v>
      </c>
      <c r="B101">
        <f>'Monthly Data'!B101</f>
        <v>2024</v>
      </c>
      <c r="C101">
        <f>'Monthly Data'!C101</f>
        <v>4</v>
      </c>
      <c r="D101" s="3">
        <f ca="1">'Monthly Data'!R101</f>
        <v>20384408.308401879</v>
      </c>
      <c r="E101" s="3">
        <f>'Monthly Data'!CN101</f>
        <v>368.29791666666671</v>
      </c>
      <c r="F101" s="3">
        <f>'Monthly Data'!CU101</f>
        <v>0</v>
      </c>
      <c r="G101">
        <f>'Monthly Data'!EJ101</f>
        <v>0</v>
      </c>
      <c r="H101" s="3">
        <f>'Monthly Data'!DB101</f>
        <v>8087.1</v>
      </c>
      <c r="I101" s="3">
        <f>'Monthly Data'!DQ101</f>
        <v>30</v>
      </c>
      <c r="K101" s="3">
        <f t="shared" si="31"/>
        <v>3542907.1380836898</v>
      </c>
      <c r="L101" s="3">
        <f t="shared" si="32"/>
        <v>3871621.9127072878</v>
      </c>
      <c r="M101" s="3">
        <f t="shared" si="33"/>
        <v>0</v>
      </c>
      <c r="N101" s="3">
        <f t="shared" si="34"/>
        <v>0</v>
      </c>
      <c r="O101" s="3">
        <f t="shared" si="35"/>
        <v>0</v>
      </c>
      <c r="P101" s="3">
        <f t="shared" si="36"/>
        <v>13536213.05441268</v>
      </c>
      <c r="Q101" s="47">
        <f t="shared" si="37"/>
        <v>20950742.105203658</v>
      </c>
      <c r="R101" s="47">
        <f ca="1">'Monthly Data'!S101+'Monthly Data'!T101</f>
        <v>425990.23167959228</v>
      </c>
      <c r="S101" s="47">
        <f t="shared" ca="1" si="21"/>
        <v>21376732.336883251</v>
      </c>
      <c r="T101" s="47">
        <f t="shared" ca="1" si="22"/>
        <v>992324.0284813717</v>
      </c>
      <c r="U101" s="18">
        <f t="shared" ca="1" si="38"/>
        <v>4.8680541199342231E-2</v>
      </c>
    </row>
    <row r="102" spans="1:26">
      <c r="A102" s="2">
        <f>'Monthly Data'!A102</f>
        <v>45413</v>
      </c>
      <c r="B102">
        <f>'Monthly Data'!B102</f>
        <v>2024</v>
      </c>
      <c r="C102">
        <f>'Monthly Data'!C102</f>
        <v>5</v>
      </c>
      <c r="D102" s="3">
        <f ca="1">'Monthly Data'!R102</f>
        <v>20727064.811263677</v>
      </c>
      <c r="E102" s="3">
        <f>'Monthly Data'!CN102</f>
        <v>143.5708333333333</v>
      </c>
      <c r="F102" s="3">
        <f>'Monthly Data'!CU102</f>
        <v>60.691666666666663</v>
      </c>
      <c r="G102">
        <f>'Monthly Data'!EJ102</f>
        <v>0</v>
      </c>
      <c r="H102" s="3">
        <f>'Monthly Data'!DB102</f>
        <v>8119.7</v>
      </c>
      <c r="I102" s="3">
        <f>'Monthly Data'!DQ102</f>
        <v>31</v>
      </c>
      <c r="K102" s="3">
        <f t="shared" si="31"/>
        <v>3542907.1380836898</v>
      </c>
      <c r="L102" s="3">
        <f t="shared" si="32"/>
        <v>1509245.5297868571</v>
      </c>
      <c r="M102" s="3">
        <f t="shared" si="33"/>
        <v>1993792.4649388466</v>
      </c>
      <c r="N102" s="3">
        <f t="shared" si="34"/>
        <v>0</v>
      </c>
      <c r="O102" s="3">
        <f t="shared" si="35"/>
        <v>0</v>
      </c>
      <c r="P102" s="3">
        <f t="shared" si="36"/>
        <v>13987420.156226436</v>
      </c>
      <c r="Q102" s="47">
        <f t="shared" si="37"/>
        <v>21033365.289035827</v>
      </c>
      <c r="R102" s="47">
        <f ca="1">'Monthly Data'!S102+'Monthly Data'!T102</f>
        <v>229627.62207108384</v>
      </c>
      <c r="S102" s="47">
        <f t="shared" ca="1" si="21"/>
        <v>21262992.911106911</v>
      </c>
      <c r="T102" s="47">
        <f t="shared" ca="1" si="22"/>
        <v>535928.09984323382</v>
      </c>
      <c r="U102" s="18">
        <f t="shared" ca="1" si="38"/>
        <v>2.5856439622458999E-2</v>
      </c>
      <c r="Z102" s="3"/>
    </row>
    <row r="103" spans="1:26">
      <c r="A103" s="2">
        <f>'Monthly Data'!A103</f>
        <v>45444</v>
      </c>
      <c r="B103">
        <f>'Monthly Data'!B103</f>
        <v>2024</v>
      </c>
      <c r="C103">
        <f>'Monthly Data'!C103</f>
        <v>6</v>
      </c>
      <c r="D103" s="3">
        <f ca="1">'Monthly Data'!R103</f>
        <v>21667399.384456903</v>
      </c>
      <c r="E103" s="3">
        <f>'Monthly Data'!CN103</f>
        <v>60.86249999999999</v>
      </c>
      <c r="F103" s="3">
        <f>'Monthly Data'!CU103</f>
        <v>146.61250000000007</v>
      </c>
      <c r="G103">
        <f>'Monthly Data'!EJ103</f>
        <v>0</v>
      </c>
      <c r="H103" s="3">
        <f>'Monthly Data'!DB103</f>
        <v>8140.7</v>
      </c>
      <c r="I103" s="3">
        <f>'Monthly Data'!DQ103</f>
        <v>30</v>
      </c>
      <c r="K103" s="3">
        <f t="shared" si="31"/>
        <v>3542907.1380836898</v>
      </c>
      <c r="L103" s="3">
        <f t="shared" si="32"/>
        <v>639798.86390563962</v>
      </c>
      <c r="M103" s="3">
        <f t="shared" si="33"/>
        <v>4816392.658506332</v>
      </c>
      <c r="N103" s="3">
        <f t="shared" si="34"/>
        <v>0</v>
      </c>
      <c r="O103" s="3">
        <f t="shared" si="35"/>
        <v>0</v>
      </c>
      <c r="P103" s="3">
        <f t="shared" si="36"/>
        <v>13536213.05441268</v>
      </c>
      <c r="Q103" s="47">
        <f t="shared" si="37"/>
        <v>22535311.714908339</v>
      </c>
      <c r="R103" s="47">
        <f ca="1">'Monthly Data'!S103+'Monthly Data'!T103</f>
        <v>180787.45887100665</v>
      </c>
      <c r="S103" s="47">
        <f t="shared" ca="1" si="21"/>
        <v>22716099.173779346</v>
      </c>
      <c r="T103" s="47">
        <f t="shared" ca="1" si="22"/>
        <v>1048699.7893224433</v>
      </c>
      <c r="U103" s="18">
        <f t="shared" ca="1" si="38"/>
        <v>4.8399891962794921E-2</v>
      </c>
      <c r="Z103" s="3"/>
    </row>
    <row r="104" spans="1:26">
      <c r="A104" s="2">
        <f>'Monthly Data'!A104</f>
        <v>45474</v>
      </c>
      <c r="B104">
        <f>'Monthly Data'!B104</f>
        <v>2024</v>
      </c>
      <c r="C104">
        <f>'Monthly Data'!C104</f>
        <v>7</v>
      </c>
      <c r="D104" s="3">
        <f ca="1">'Monthly Data'!R104</f>
        <v>24711531.092441339</v>
      </c>
      <c r="E104" s="3">
        <f>'Monthly Data'!CN104</f>
        <v>5.5666666666666629</v>
      </c>
      <c r="F104" s="3">
        <f>'Monthly Data'!CU104</f>
        <v>241.14166666666668</v>
      </c>
      <c r="G104">
        <f>'Monthly Data'!EJ104</f>
        <v>0</v>
      </c>
      <c r="H104" s="3">
        <f>'Monthly Data'!DB104</f>
        <v>8161</v>
      </c>
      <c r="I104" s="3">
        <f>'Monthly Data'!DQ104</f>
        <v>31</v>
      </c>
      <c r="K104" s="3">
        <f t="shared" si="31"/>
        <v>3542907.1380836898</v>
      </c>
      <c r="L104" s="3">
        <f t="shared" si="32"/>
        <v>58517.921693567056</v>
      </c>
      <c r="M104" s="3">
        <f t="shared" si="33"/>
        <v>7921786.7029981343</v>
      </c>
      <c r="N104" s="3">
        <f t="shared" si="34"/>
        <v>0</v>
      </c>
      <c r="O104" s="3">
        <f t="shared" si="35"/>
        <v>0</v>
      </c>
      <c r="P104" s="3">
        <f t="shared" si="36"/>
        <v>13987420.156226436</v>
      </c>
      <c r="Q104" s="47">
        <f t="shared" si="37"/>
        <v>25510631.919001825</v>
      </c>
      <c r="R104" s="47">
        <f ca="1">'Monthly Data'!S104+'Monthly Data'!T104</f>
        <v>156456.33002481048</v>
      </c>
      <c r="S104" s="47">
        <f t="shared" ca="1" si="21"/>
        <v>25667088.249026634</v>
      </c>
      <c r="T104" s="47">
        <f t="shared" ca="1" si="22"/>
        <v>955557.15658529475</v>
      </c>
      <c r="U104" s="18">
        <f t="shared" ca="1" si="38"/>
        <v>3.8668472342354238E-2</v>
      </c>
      <c r="Z104" s="3"/>
    </row>
    <row r="105" spans="1:26">
      <c r="A105" s="2">
        <f>'Monthly Data'!A105</f>
        <v>45505</v>
      </c>
      <c r="B105">
        <f>'Monthly Data'!B105</f>
        <v>2024</v>
      </c>
      <c r="C105">
        <f>'Monthly Data'!C105</f>
        <v>8</v>
      </c>
      <c r="D105" s="3">
        <f ca="1">'Monthly Data'!R105</f>
        <v>23545255.469318364</v>
      </c>
      <c r="E105" s="3">
        <f>'Monthly Data'!CN105</f>
        <v>26.975000000000016</v>
      </c>
      <c r="F105" s="3">
        <f>'Monthly Data'!CU105</f>
        <v>200.86666666666665</v>
      </c>
      <c r="G105">
        <f>'Monthly Data'!EJ105</f>
        <v>0</v>
      </c>
      <c r="H105" s="3">
        <f>'Monthly Data'!DB105</f>
        <v>8167</v>
      </c>
      <c r="I105" s="3">
        <f>'Monthly Data'!DQ105</f>
        <v>31</v>
      </c>
      <c r="K105" s="3">
        <f t="shared" si="31"/>
        <v>3542907.1380836898</v>
      </c>
      <c r="L105" s="3">
        <f t="shared" si="32"/>
        <v>283566.63551209104</v>
      </c>
      <c r="M105" s="3">
        <f t="shared" si="33"/>
        <v>6598705.69475298</v>
      </c>
      <c r="N105" s="3">
        <f t="shared" si="34"/>
        <v>0</v>
      </c>
      <c r="O105" s="3">
        <f t="shared" si="35"/>
        <v>0</v>
      </c>
      <c r="P105" s="3">
        <f t="shared" si="36"/>
        <v>13987420.156226436</v>
      </c>
      <c r="Q105" s="47">
        <f t="shared" si="37"/>
        <v>24412599.624575198</v>
      </c>
      <c r="R105" s="47">
        <f ca="1">'Monthly Data'!S105+'Monthly Data'!T105</f>
        <v>168036.36427198796</v>
      </c>
      <c r="S105" s="47">
        <f t="shared" ca="1" si="21"/>
        <v>24580635.988847185</v>
      </c>
      <c r="T105" s="47">
        <f t="shared" ca="1" si="22"/>
        <v>1035380.5195288211</v>
      </c>
      <c r="U105" s="18">
        <f t="shared" ca="1" si="38"/>
        <v>4.3974061818017531E-2</v>
      </c>
      <c r="Z105" s="3"/>
    </row>
    <row r="106" spans="1:26">
      <c r="A106" s="2">
        <f>'Monthly Data'!A106</f>
        <v>45536</v>
      </c>
      <c r="B106">
        <f>'Monthly Data'!B106</f>
        <v>2024</v>
      </c>
      <c r="C106">
        <f>'Monthly Data'!C106</f>
        <v>9</v>
      </c>
      <c r="D106" s="3">
        <f ca="1">'Monthly Data'!R106</f>
        <v>21031427.533251744</v>
      </c>
      <c r="E106" s="3">
        <f>'Monthly Data'!CN106</f>
        <v>69.33750000000002</v>
      </c>
      <c r="F106" s="3">
        <f>'Monthly Data'!CU106</f>
        <v>113.86250000000001</v>
      </c>
      <c r="G106">
        <f>'Monthly Data'!EJ106</f>
        <v>0</v>
      </c>
      <c r="H106" s="3">
        <f>'Monthly Data'!DB106</f>
        <v>8182.9</v>
      </c>
      <c r="I106" s="3">
        <f>'Monthly Data'!DQ106</f>
        <v>30</v>
      </c>
      <c r="K106" s="3">
        <f t="shared" si="31"/>
        <v>3542907.1380836898</v>
      </c>
      <c r="L106" s="3">
        <f t="shared" si="32"/>
        <v>728889.77163372037</v>
      </c>
      <c r="M106" s="3">
        <f t="shared" si="33"/>
        <v>3740516.7300139964</v>
      </c>
      <c r="N106" s="3">
        <f t="shared" si="34"/>
        <v>0</v>
      </c>
      <c r="O106" s="3">
        <f t="shared" si="35"/>
        <v>0</v>
      </c>
      <c r="P106" s="3">
        <f t="shared" si="36"/>
        <v>13536213.05441268</v>
      </c>
      <c r="Q106" s="47">
        <f t="shared" si="37"/>
        <v>21548526.694144085</v>
      </c>
      <c r="R106" s="47">
        <f ca="1">'Monthly Data'!S106+'Monthly Data'!T106</f>
        <v>191752.42223619166</v>
      </c>
      <c r="S106" s="47">
        <f t="shared" ca="1" si="21"/>
        <v>21740279.116380278</v>
      </c>
      <c r="T106" s="47">
        <f t="shared" ca="1" si="22"/>
        <v>708851.58312853426</v>
      </c>
      <c r="U106" s="18">
        <f t="shared" ca="1" si="38"/>
        <v>3.3704397003380029E-2</v>
      </c>
      <c r="Z106" s="3"/>
    </row>
    <row r="107" spans="1:26">
      <c r="A107" s="2">
        <f>'Monthly Data'!A107</f>
        <v>45566</v>
      </c>
      <c r="B107">
        <f>'Monthly Data'!B107</f>
        <v>2024</v>
      </c>
      <c r="C107">
        <f>'Monthly Data'!C107</f>
        <v>10</v>
      </c>
      <c r="D107" s="3">
        <f ca="1">'Monthly Data'!R107</f>
        <v>20260195.670350991</v>
      </c>
      <c r="E107" s="3">
        <f>'Monthly Data'!CN107</f>
        <v>295.94166666666661</v>
      </c>
      <c r="F107" s="3">
        <f>'Monthly Data'!CU107</f>
        <v>12.120833333333337</v>
      </c>
      <c r="G107">
        <f>'Monthly Data'!EJ107</f>
        <v>0</v>
      </c>
      <c r="H107" s="3">
        <f>'Monthly Data'!DB107</f>
        <v>8184.5</v>
      </c>
      <c r="I107" s="3">
        <f>'Monthly Data'!DQ107</f>
        <v>31</v>
      </c>
      <c r="K107" s="3">
        <f t="shared" si="31"/>
        <v>3542907.1380836898</v>
      </c>
      <c r="L107" s="3">
        <f t="shared" si="32"/>
        <v>3110998.432789892</v>
      </c>
      <c r="M107" s="3">
        <f t="shared" si="33"/>
        <v>398183.59745346056</v>
      </c>
      <c r="N107" s="3">
        <f t="shared" si="34"/>
        <v>0</v>
      </c>
      <c r="O107" s="3">
        <f t="shared" si="35"/>
        <v>0</v>
      </c>
      <c r="P107" s="3">
        <f t="shared" si="36"/>
        <v>13987420.156226436</v>
      </c>
      <c r="Q107" s="47">
        <f t="shared" si="37"/>
        <v>21039509.324553479</v>
      </c>
      <c r="R107" s="47">
        <f ca="1">'Monthly Data'!S107+'Monthly Data'!T107</f>
        <v>383752.12749670923</v>
      </c>
      <c r="S107" s="47">
        <f t="shared" ref="S107:S109" ca="1" si="39">Q107+R107</f>
        <v>21423261.452050187</v>
      </c>
      <c r="T107" s="47">
        <f t="shared" ref="T107:T109" ca="1" si="40">S107-D107</f>
        <v>1163065.7816991955</v>
      </c>
      <c r="U107" s="18">
        <f t="shared" ca="1" si="38"/>
        <v>5.7406443680168381E-2</v>
      </c>
      <c r="Z107" s="3"/>
    </row>
    <row r="108" spans="1:26">
      <c r="A108" s="2">
        <f>'Monthly Data'!A108</f>
        <v>45597</v>
      </c>
      <c r="B108">
        <f>'Monthly Data'!B108</f>
        <v>2024</v>
      </c>
      <c r="C108">
        <f>'Monthly Data'!C108</f>
        <v>11</v>
      </c>
      <c r="D108" s="3">
        <f ca="1">'Monthly Data'!R108</f>
        <v>20796976.8552064</v>
      </c>
      <c r="E108" s="3">
        <f>'Monthly Data'!CN108</f>
        <v>426.29166666666663</v>
      </c>
      <c r="F108" s="3">
        <f>'Monthly Data'!CU108</f>
        <v>5.5041666666666629</v>
      </c>
      <c r="G108">
        <f>'Monthly Data'!EJ108</f>
        <v>0</v>
      </c>
      <c r="H108" s="3">
        <f>'Monthly Data'!DB108</f>
        <v>8185.4</v>
      </c>
      <c r="I108" s="3">
        <f>'Monthly Data'!DQ108</f>
        <v>30</v>
      </c>
      <c r="K108" s="3">
        <f t="shared" si="31"/>
        <v>3542907.1380836898</v>
      </c>
      <c r="L108" s="3">
        <f t="shared" si="32"/>
        <v>4481263.8985545281</v>
      </c>
      <c r="M108" s="3">
        <f t="shared" si="33"/>
        <v>180818.33352905497</v>
      </c>
      <c r="N108" s="3">
        <f t="shared" si="34"/>
        <v>0</v>
      </c>
      <c r="O108" s="3">
        <f t="shared" si="35"/>
        <v>0</v>
      </c>
      <c r="P108" s="3">
        <f t="shared" si="36"/>
        <v>13536213.05441268</v>
      </c>
      <c r="Q108" s="47">
        <f t="shared" si="37"/>
        <v>21741202.424579952</v>
      </c>
      <c r="R108" s="47">
        <f ca="1">'Monthly Data'!S108+'Monthly Data'!T108</f>
        <v>509494.87681677577</v>
      </c>
      <c r="S108" s="47">
        <f t="shared" ca="1" si="39"/>
        <v>22250697.301396728</v>
      </c>
      <c r="T108" s="47">
        <f t="shared" ca="1" si="40"/>
        <v>1453720.4461903274</v>
      </c>
      <c r="U108" s="18">
        <f t="shared" ca="1" si="38"/>
        <v>6.9900565659686109E-2</v>
      </c>
      <c r="Z108" s="3"/>
    </row>
    <row r="109" spans="1:26">
      <c r="A109" s="2">
        <f>'Monthly Data'!A109</f>
        <v>45627</v>
      </c>
      <c r="B109">
        <f>'Monthly Data'!B109</f>
        <v>2024</v>
      </c>
      <c r="C109">
        <f>'Monthly Data'!C109</f>
        <v>12</v>
      </c>
      <c r="D109" s="3">
        <f ca="1">'Monthly Data'!R109</f>
        <v>23839433.224506591</v>
      </c>
      <c r="E109" s="3">
        <f>'Monthly Data'!CN109</f>
        <v>660.57500000000016</v>
      </c>
      <c r="F109" s="3">
        <f>'Monthly Data'!CU109</f>
        <v>0</v>
      </c>
      <c r="G109">
        <f>'Monthly Data'!EJ109</f>
        <v>0</v>
      </c>
      <c r="H109" s="3">
        <f>'Monthly Data'!DB109</f>
        <v>8187.7</v>
      </c>
      <c r="I109" s="3">
        <f>'Monthly Data'!DQ109</f>
        <v>31</v>
      </c>
      <c r="K109" s="3">
        <f t="shared" si="31"/>
        <v>3542907.1380836898</v>
      </c>
      <c r="L109" s="3">
        <f t="shared" si="32"/>
        <v>6944097.5070769032</v>
      </c>
      <c r="M109" s="3">
        <f t="shared" si="33"/>
        <v>0</v>
      </c>
      <c r="N109" s="3">
        <f t="shared" si="34"/>
        <v>0</v>
      </c>
      <c r="O109" s="3">
        <f t="shared" si="35"/>
        <v>0</v>
      </c>
      <c r="P109" s="3">
        <f t="shared" si="36"/>
        <v>13987420.156226436</v>
      </c>
      <c r="Q109" s="47">
        <f t="shared" si="37"/>
        <v>24474424.801387027</v>
      </c>
      <c r="R109" s="47">
        <f ca="1">'Monthly Data'!S109+'Monthly Data'!T109</f>
        <v>726913.340413742</v>
      </c>
      <c r="S109" s="47">
        <f t="shared" ca="1" si="39"/>
        <v>25201338.141800769</v>
      </c>
      <c r="T109" s="47">
        <f t="shared" ca="1" si="40"/>
        <v>1361904.9172941782</v>
      </c>
      <c r="U109" s="18">
        <f t="shared" ca="1" si="38"/>
        <v>5.7128242289508781E-2</v>
      </c>
      <c r="Z109" s="3"/>
    </row>
    <row r="110" spans="1:26">
      <c r="A110" s="2">
        <f>'Monthly Data'!A110</f>
        <v>45658</v>
      </c>
      <c r="B110">
        <f>'Monthly Data'!B110</f>
        <v>2025</v>
      </c>
      <c r="C110">
        <f>'Monthly Data'!C110</f>
        <v>1</v>
      </c>
      <c r="D110" s="3">
        <f ca="1">'Monthly Data'!R110</f>
        <v>25801949.041087992</v>
      </c>
      <c r="E110" s="3">
        <f>'Monthly Data'!CN110</f>
        <v>794.42499999999995</v>
      </c>
      <c r="F110" s="3">
        <f>'Monthly Data'!CU110</f>
        <v>0</v>
      </c>
      <c r="G110">
        <f>'Monthly Data'!EJ110</f>
        <v>0</v>
      </c>
      <c r="H110" s="3">
        <f>'Monthly Data'!DB110</f>
        <v>8205.7000000000007</v>
      </c>
      <c r="I110" s="3">
        <f>'Monthly Data'!DQ110</f>
        <v>31</v>
      </c>
      <c r="K110" s="3">
        <f t="shared" si="31"/>
        <v>3542907.1380836898</v>
      </c>
      <c r="L110" s="3">
        <f t="shared" si="32"/>
        <v>8351155.6780979708</v>
      </c>
      <c r="M110" s="3">
        <f t="shared" si="33"/>
        <v>0</v>
      </c>
      <c r="N110" s="3">
        <f t="shared" si="34"/>
        <v>0</v>
      </c>
      <c r="O110" s="3">
        <f t="shared" si="35"/>
        <v>0</v>
      </c>
      <c r="P110" s="3">
        <f t="shared" si="36"/>
        <v>13987420.156226436</v>
      </c>
      <c r="Q110" s="47">
        <f t="shared" ref="Q110:Q121" si="41">SUM(K110:P110)</f>
        <v>25881482.972408094</v>
      </c>
      <c r="R110" s="47">
        <f ca="1">'Monthly Data'!S110+'Monthly Data'!T110</f>
        <v>993657.3732727234</v>
      </c>
      <c r="S110" s="47">
        <f t="shared" ref="S110:S121" ca="1" si="42">Q110+R110</f>
        <v>26875140.345680818</v>
      </c>
      <c r="T110" s="47">
        <f t="shared" ref="T110:T121" ca="1" si="43">S110-D110</f>
        <v>1073191.3045928255</v>
      </c>
      <c r="U110" s="18">
        <f t="shared" ref="U110:U121" ca="1" si="44">ABS(T110/D110)</f>
        <v>4.1593420050703739E-2</v>
      </c>
      <c r="Z110" s="3"/>
    </row>
    <row r="111" spans="1:26">
      <c r="A111" s="2">
        <f>'Monthly Data'!A111</f>
        <v>45689</v>
      </c>
      <c r="B111">
        <f>'Monthly Data'!B111</f>
        <v>2025</v>
      </c>
      <c r="C111">
        <f>'Monthly Data'!C111</f>
        <v>2</v>
      </c>
      <c r="D111" s="3">
        <f ca="1">'Monthly Data'!R111</f>
        <v>23429136.133489423</v>
      </c>
      <c r="E111" s="3">
        <f>'Monthly Data'!CN111</f>
        <v>721.25833333333333</v>
      </c>
      <c r="F111" s="3">
        <f>'Monthly Data'!CU111</f>
        <v>0</v>
      </c>
      <c r="G111">
        <f>'Monthly Data'!EJ111</f>
        <v>0</v>
      </c>
      <c r="H111" s="3">
        <f>'Monthly Data'!DB111</f>
        <v>8230</v>
      </c>
      <c r="I111" s="3">
        <f>'Monthly Data'!DQ111</f>
        <v>28</v>
      </c>
      <c r="K111" s="3">
        <f t="shared" si="31"/>
        <v>3542907.1380836898</v>
      </c>
      <c r="L111" s="3">
        <f t="shared" si="32"/>
        <v>7582012.9348801281</v>
      </c>
      <c r="M111" s="3">
        <f t="shared" si="33"/>
        <v>0</v>
      </c>
      <c r="N111" s="3">
        <f t="shared" si="34"/>
        <v>0</v>
      </c>
      <c r="O111" s="3">
        <f t="shared" si="35"/>
        <v>0</v>
      </c>
      <c r="P111" s="3">
        <f t="shared" si="36"/>
        <v>12633798.850785168</v>
      </c>
      <c r="Q111" s="47">
        <f t="shared" si="41"/>
        <v>23758718.923748985</v>
      </c>
      <c r="R111" s="47">
        <f ca="1">'Monthly Data'!S111+'Monthly Data'!T111</f>
        <v>923633.33725200326</v>
      </c>
      <c r="S111" s="47">
        <f t="shared" ca="1" si="42"/>
        <v>24682352.261000987</v>
      </c>
      <c r="T111" s="47">
        <f t="shared" ca="1" si="43"/>
        <v>1253216.1275115646</v>
      </c>
      <c r="U111" s="18">
        <f t="shared" ca="1" si="44"/>
        <v>5.3489642997132422E-2</v>
      </c>
      <c r="Z111" s="3"/>
    </row>
    <row r="112" spans="1:26">
      <c r="A112" s="2">
        <f>'Monthly Data'!A112</f>
        <v>45717</v>
      </c>
      <c r="B112">
        <f>'Monthly Data'!B112</f>
        <v>2025</v>
      </c>
      <c r="C112">
        <f>'Monthly Data'!C112</f>
        <v>3</v>
      </c>
      <c r="D112" s="3">
        <f ca="1">'Monthly Data'!R112</f>
        <v>23185454.774364464</v>
      </c>
      <c r="E112" s="3">
        <f>'Monthly Data'!CN112</f>
        <v>580.62916666666672</v>
      </c>
      <c r="F112" s="3">
        <f>'Monthly Data'!CU112</f>
        <v>0</v>
      </c>
      <c r="G112">
        <f>'Monthly Data'!EJ112</f>
        <v>0</v>
      </c>
      <c r="H112" s="3">
        <f>'Monthly Data'!DB112</f>
        <v>8233.7999999999993</v>
      </c>
      <c r="I112" s="3">
        <f>'Monthly Data'!DQ112</f>
        <v>31</v>
      </c>
      <c r="K112" s="3">
        <f t="shared" si="31"/>
        <v>3542907.1380836898</v>
      </c>
      <c r="L112" s="3">
        <f t="shared" si="32"/>
        <v>6103690.7978445133</v>
      </c>
      <c r="M112" s="3">
        <f t="shared" si="33"/>
        <v>0</v>
      </c>
      <c r="N112" s="3">
        <f t="shared" si="34"/>
        <v>0</v>
      </c>
      <c r="O112" s="3">
        <f t="shared" si="35"/>
        <v>0</v>
      </c>
      <c r="P112" s="3">
        <f t="shared" si="36"/>
        <v>13987420.156226436</v>
      </c>
      <c r="Q112" s="47">
        <f t="shared" si="41"/>
        <v>23634018.092154637</v>
      </c>
      <c r="R112" s="47">
        <f ca="1">'Monthly Data'!S112+'Monthly Data'!T112</f>
        <v>766001.57298121124</v>
      </c>
      <c r="S112" s="47">
        <f t="shared" ca="1" si="42"/>
        <v>24400019.665135849</v>
      </c>
      <c r="T112" s="47">
        <f t="shared" ca="1" si="43"/>
        <v>1214564.8907713853</v>
      </c>
      <c r="U112" s="18">
        <f t="shared" ca="1" si="44"/>
        <v>5.2384777550893553E-2</v>
      </c>
    </row>
    <row r="113" spans="1:21">
      <c r="A113" s="2">
        <f>'Monthly Data'!A113</f>
        <v>45748</v>
      </c>
      <c r="B113">
        <f>'Monthly Data'!B113</f>
        <v>2025</v>
      </c>
      <c r="C113">
        <f>'Monthly Data'!C113</f>
        <v>4</v>
      </c>
      <c r="D113" s="3">
        <f ca="1">'Monthly Data'!R113</f>
        <v>21007596.622480456</v>
      </c>
      <c r="E113" s="3">
        <f>'Monthly Data'!CN113</f>
        <v>411.84166666666653</v>
      </c>
      <c r="F113" s="3">
        <f>'Monthly Data'!CU113</f>
        <v>0.11666666666666714</v>
      </c>
      <c r="G113">
        <f>'Monthly Data'!EJ113</f>
        <v>0</v>
      </c>
      <c r="H113" s="3">
        <f>'Monthly Data'!DB113</f>
        <v>8220.2999999999993</v>
      </c>
      <c r="I113" s="3">
        <f>'Monthly Data'!DQ113</f>
        <v>30</v>
      </c>
      <c r="K113" s="3">
        <f t="shared" si="31"/>
        <v>3542907.1380836898</v>
      </c>
      <c r="L113" s="3">
        <f t="shared" si="32"/>
        <v>4329362.5868529622</v>
      </c>
      <c r="M113" s="3">
        <f t="shared" si="33"/>
        <v>3832.6368953925535</v>
      </c>
      <c r="N113" s="3">
        <f t="shared" si="34"/>
        <v>0</v>
      </c>
      <c r="O113" s="3">
        <f t="shared" si="35"/>
        <v>0</v>
      </c>
      <c r="P113" s="3">
        <f t="shared" si="36"/>
        <v>13536213.05441268</v>
      </c>
      <c r="Q113" s="47">
        <f t="shared" si="41"/>
        <v>21412315.416244723</v>
      </c>
      <c r="R113" s="47">
        <f ca="1">'Monthly Data'!S113+'Monthly Data'!T113</f>
        <v>586145.16452428058</v>
      </c>
      <c r="S113" s="47">
        <f t="shared" ca="1" si="42"/>
        <v>21998460.580769002</v>
      </c>
      <c r="T113" s="47">
        <f t="shared" ca="1" si="43"/>
        <v>990863.95828854665</v>
      </c>
      <c r="U113" s="18">
        <f t="shared" ca="1" si="44"/>
        <v>4.7166935661179465E-2</v>
      </c>
    </row>
    <row r="114" spans="1:21">
      <c r="A114" s="2">
        <f>'Monthly Data'!A114</f>
        <v>45778</v>
      </c>
      <c r="B114">
        <f>'Monthly Data'!B114</f>
        <v>2025</v>
      </c>
      <c r="C114">
        <f>'Monthly Data'!C114</f>
        <v>5</v>
      </c>
      <c r="D114" s="3">
        <f ca="1">'Monthly Data'!R114</f>
        <v>20178322.510245413</v>
      </c>
      <c r="E114" s="3">
        <f>'Monthly Data'!CN114</f>
        <v>221.07083333333333</v>
      </c>
      <c r="F114" s="3">
        <f>'Monthly Data'!CU114</f>
        <v>27.408333333333335</v>
      </c>
      <c r="G114">
        <f>'Monthly Data'!EJ114</f>
        <v>0</v>
      </c>
      <c r="H114" s="3">
        <f>'Monthly Data'!DB114</f>
        <v>8204.4</v>
      </c>
      <c r="I114" s="3">
        <f>'Monthly Data'!DQ114</f>
        <v>31</v>
      </c>
      <c r="K114" s="3">
        <f t="shared" si="31"/>
        <v>3542907.1380836898</v>
      </c>
      <c r="L114" s="3">
        <f t="shared" si="32"/>
        <v>2323941.1461793333</v>
      </c>
      <c r="M114" s="3">
        <f t="shared" si="33"/>
        <v>900395.91063900408</v>
      </c>
      <c r="N114" s="3">
        <f t="shared" si="34"/>
        <v>0</v>
      </c>
      <c r="O114" s="3">
        <f t="shared" si="35"/>
        <v>0</v>
      </c>
      <c r="P114" s="3">
        <f t="shared" si="36"/>
        <v>13987420.156226436</v>
      </c>
      <c r="Q114" s="47">
        <f t="shared" si="41"/>
        <v>20754664.351128463</v>
      </c>
      <c r="R114" s="47">
        <f ca="1">'Monthly Data'!S114+'Monthly Data'!T114</f>
        <v>377922.24555693159</v>
      </c>
      <c r="S114" s="47">
        <f t="shared" ca="1" si="42"/>
        <v>21132586.596685395</v>
      </c>
      <c r="T114" s="47">
        <f t="shared" ca="1" si="43"/>
        <v>954264.08643998206</v>
      </c>
      <c r="U114" s="18">
        <f t="shared" ca="1" si="44"/>
        <v>4.7291546953690561E-2</v>
      </c>
    </row>
    <row r="115" spans="1:21">
      <c r="A115" s="2">
        <f>'Monthly Data'!A115</f>
        <v>45809</v>
      </c>
      <c r="B115">
        <f>'Monthly Data'!B115</f>
        <v>2025</v>
      </c>
      <c r="C115">
        <f>'Monthly Data'!C115</f>
        <v>6</v>
      </c>
      <c r="D115" s="3">
        <f ca="1">'Monthly Data'!R115</f>
        <v>22167501.959019642</v>
      </c>
      <c r="E115" s="3">
        <f>'Monthly Data'!CN115</f>
        <v>49.987500000000011</v>
      </c>
      <c r="F115" s="3">
        <f>'Monthly Data'!CU115</f>
        <v>168.17083333333329</v>
      </c>
      <c r="G115">
        <f>'Monthly Data'!EJ115</f>
        <v>0</v>
      </c>
      <c r="H115" s="3">
        <f>'Monthly Data'!DB115</f>
        <v>8200</v>
      </c>
      <c r="I115" s="3">
        <f>'Monthly Data'!DQ115</f>
        <v>30</v>
      </c>
      <c r="K115" s="3">
        <f t="shared" si="31"/>
        <v>3542907.1380836898</v>
      </c>
      <c r="L115" s="3">
        <f t="shared" si="32"/>
        <v>525478.67257314723</v>
      </c>
      <c r="M115" s="3">
        <f t="shared" si="33"/>
        <v>5524609.204819221</v>
      </c>
      <c r="N115" s="3">
        <f t="shared" si="34"/>
        <v>0</v>
      </c>
      <c r="O115" s="3">
        <f t="shared" si="35"/>
        <v>0</v>
      </c>
      <c r="P115" s="3">
        <f t="shared" si="36"/>
        <v>13536213.05441268</v>
      </c>
      <c r="Q115" s="47">
        <f t="shared" si="41"/>
        <v>23129208.069888741</v>
      </c>
      <c r="R115" s="47">
        <f ca="1">'Monthly Data'!S115+'Monthly Data'!T115</f>
        <v>231049.08332911943</v>
      </c>
      <c r="S115" s="47">
        <f t="shared" ca="1" si="42"/>
        <v>23360257.15321786</v>
      </c>
      <c r="T115" s="47">
        <f t="shared" ca="1" si="43"/>
        <v>1192755.1941982172</v>
      </c>
      <c r="U115" s="18">
        <f t="shared" ca="1" si="44"/>
        <v>5.3806477446273648E-2</v>
      </c>
    </row>
    <row r="116" spans="1:21">
      <c r="A116" s="2">
        <f>'Monthly Data'!A116</f>
        <v>45839</v>
      </c>
      <c r="B116">
        <f>'Monthly Data'!B116</f>
        <v>2025</v>
      </c>
      <c r="C116">
        <f>'Monthly Data'!C116</f>
        <v>7</v>
      </c>
      <c r="D116" s="3">
        <f ca="1">'Monthly Data'!R116</f>
        <v>25771638.234449137</v>
      </c>
      <c r="E116" s="3">
        <f>'Monthly Data'!CN116</f>
        <v>6.8416666666666615</v>
      </c>
      <c r="F116" s="3">
        <f>'Monthly Data'!CU116</f>
        <v>273.3145833333333</v>
      </c>
      <c r="G116">
        <f>'Monthly Data'!EJ116</f>
        <v>0</v>
      </c>
      <c r="H116" s="3">
        <f>'Monthly Data'!DB116</f>
        <v>8207.5</v>
      </c>
      <c r="I116" s="3">
        <f>'Monthly Data'!DQ116</f>
        <v>31</v>
      </c>
      <c r="K116" s="3">
        <f t="shared" si="31"/>
        <v>3542907.1380836898</v>
      </c>
      <c r="L116" s="3">
        <f t="shared" si="32"/>
        <v>71920.978608411009</v>
      </c>
      <c r="M116" s="3">
        <f t="shared" si="33"/>
        <v>8978704.7668471858</v>
      </c>
      <c r="N116" s="3">
        <f t="shared" si="34"/>
        <v>0</v>
      </c>
      <c r="O116" s="3">
        <f t="shared" si="35"/>
        <v>0</v>
      </c>
      <c r="P116" s="3">
        <f t="shared" si="36"/>
        <v>13987420.156226436</v>
      </c>
      <c r="Q116" s="47">
        <f t="shared" si="41"/>
        <v>26580953.039765723</v>
      </c>
      <c r="R116" s="47">
        <f ca="1">'Monthly Data'!S116+'Monthly Data'!T116</f>
        <v>211152.23154964412</v>
      </c>
      <c r="S116" s="47">
        <f t="shared" ca="1" si="42"/>
        <v>26792105.271315366</v>
      </c>
      <c r="T116" s="47">
        <f t="shared" ca="1" si="43"/>
        <v>1020467.036866229</v>
      </c>
      <c r="U116" s="18">
        <f t="shared" ca="1" si="44"/>
        <v>3.9596514105267988E-2</v>
      </c>
    </row>
    <row r="117" spans="1:21">
      <c r="A117" s="2">
        <f>'Monthly Data'!A117</f>
        <v>45870</v>
      </c>
      <c r="B117">
        <f>'Monthly Data'!B117</f>
        <v>2025</v>
      </c>
      <c r="C117">
        <f>'Monthly Data'!C117</f>
        <v>8</v>
      </c>
      <c r="D117" s="3">
        <f ca="1">'Monthly Data'!R117</f>
        <v>23717646.490865074</v>
      </c>
      <c r="E117" s="3">
        <f>'Monthly Data'!CN117</f>
        <v>38.787499999999994</v>
      </c>
      <c r="F117" s="3">
        <f>'Monthly Data'!CU117</f>
        <v>198.54166666666663</v>
      </c>
      <c r="G117">
        <f>'Monthly Data'!EJ117</f>
        <v>0</v>
      </c>
      <c r="H117" s="3">
        <f>'Monthly Data'!DB117</f>
        <v>8204.9</v>
      </c>
      <c r="I117" s="3">
        <f>'Monthly Data'!DQ117</f>
        <v>31</v>
      </c>
      <c r="K117" s="3">
        <f t="shared" si="31"/>
        <v>3542907.1380836898</v>
      </c>
      <c r="L117" s="3">
        <f t="shared" si="32"/>
        <v>407742.01575255691</v>
      </c>
      <c r="M117" s="3">
        <f t="shared" si="33"/>
        <v>6522326.7166233715</v>
      </c>
      <c r="N117" s="3">
        <f t="shared" si="34"/>
        <v>0</v>
      </c>
      <c r="O117" s="3">
        <f t="shared" si="35"/>
        <v>0</v>
      </c>
      <c r="P117" s="3">
        <f t="shared" si="36"/>
        <v>13987420.156226436</v>
      </c>
      <c r="Q117" s="47">
        <f t="shared" si="41"/>
        <v>24460396.026686054</v>
      </c>
      <c r="R117" s="47">
        <f ca="1">'Monthly Data'!S117+'Monthly Data'!T117</f>
        <v>233269.97169377824</v>
      </c>
      <c r="S117" s="47">
        <f t="shared" ca="1" si="42"/>
        <v>24693665.99837983</v>
      </c>
      <c r="T117" s="47">
        <f t="shared" ca="1" si="43"/>
        <v>976019.50751475617</v>
      </c>
      <c r="U117" s="18">
        <f t="shared" ca="1" si="44"/>
        <v>4.1151617125698925E-2</v>
      </c>
    </row>
    <row r="118" spans="1:21">
      <c r="A118" s="2">
        <f>'Monthly Data'!A118</f>
        <v>45901</v>
      </c>
      <c r="B118">
        <f>'Monthly Data'!B118</f>
        <v>2025</v>
      </c>
      <c r="C118">
        <f>'Monthly Data'!C118</f>
        <v>9</v>
      </c>
      <c r="D118" s="3">
        <f ca="1">'Monthly Data'!R118</f>
        <v>20694306.764176656</v>
      </c>
      <c r="E118" s="3">
        <f>'Monthly Data'!CN118</f>
        <v>88.308333333333323</v>
      </c>
      <c r="F118" s="3">
        <f>'Monthly Data'!CU118</f>
        <v>94.837499999999977</v>
      </c>
      <c r="G118">
        <f>'Monthly Data'!EJ118</f>
        <v>0</v>
      </c>
      <c r="H118" s="3">
        <f>'Monthly Data'!DB118</f>
        <v>8202.2000000000007</v>
      </c>
      <c r="I118" s="3">
        <f>'Monthly Data'!DQ118</f>
        <v>30</v>
      </c>
      <c r="K118" s="3">
        <f t="shared" si="31"/>
        <v>3542907.1380836898</v>
      </c>
      <c r="L118" s="3">
        <f t="shared" si="32"/>
        <v>928314.99429151264</v>
      </c>
      <c r="M118" s="3">
        <f t="shared" si="33"/>
        <v>3115523.1562867691</v>
      </c>
      <c r="N118" s="3">
        <f t="shared" si="34"/>
        <v>0</v>
      </c>
      <c r="O118" s="3">
        <f t="shared" si="35"/>
        <v>0</v>
      </c>
      <c r="P118" s="3">
        <f t="shared" si="36"/>
        <v>13536213.05441268</v>
      </c>
      <c r="Q118" s="47">
        <f t="shared" si="41"/>
        <v>21122958.34307465</v>
      </c>
      <c r="R118" s="47">
        <f ca="1">'Monthly Data'!S118+'Monthly Data'!T118</f>
        <v>259352.13265904458</v>
      </c>
      <c r="S118" s="47">
        <f t="shared" ca="1" si="42"/>
        <v>21382310.475733694</v>
      </c>
      <c r="T118" s="47">
        <f t="shared" ca="1" si="43"/>
        <v>688003.71155703813</v>
      </c>
      <c r="U118" s="18">
        <f t="shared" ca="1" si="44"/>
        <v>3.3246038120398523E-2</v>
      </c>
    </row>
    <row r="119" spans="1:21">
      <c r="A119" s="2">
        <f>'Monthly Data'!A119</f>
        <v>45931</v>
      </c>
      <c r="B119">
        <f>'Monthly Data'!B119</f>
        <v>2025</v>
      </c>
      <c r="C119">
        <f>'Monthly Data'!C119</f>
        <v>10</v>
      </c>
      <c r="D119" s="3">
        <f ca="1">'Monthly Data'!R119</f>
        <v>20275049.765793916</v>
      </c>
      <c r="E119" s="3">
        <f>'Monthly Data'!CN119</f>
        <v>281.52083333333331</v>
      </c>
      <c r="F119" s="3">
        <f>'Monthly Data'!CU119</f>
        <v>21.899999999999995</v>
      </c>
      <c r="G119">
        <f>'Monthly Data'!EJ119</f>
        <v>0</v>
      </c>
      <c r="H119" s="3">
        <f>'Monthly Data'!DB119</f>
        <v>8214.2999999999993</v>
      </c>
      <c r="I119" s="3">
        <f>'Monthly Data'!DQ119</f>
        <v>31</v>
      </c>
      <c r="K119" s="3">
        <f t="shared" si="31"/>
        <v>3542907.1380836898</v>
      </c>
      <c r="L119" s="3">
        <f t="shared" si="32"/>
        <v>2959403.7269654647</v>
      </c>
      <c r="M119" s="3">
        <f t="shared" si="33"/>
        <v>719440.69722082769</v>
      </c>
      <c r="N119" s="3">
        <f t="shared" si="34"/>
        <v>0</v>
      </c>
      <c r="O119" s="3">
        <f t="shared" si="35"/>
        <v>0</v>
      </c>
      <c r="P119" s="3">
        <f t="shared" si="36"/>
        <v>13987420.156226436</v>
      </c>
      <c r="Q119" s="47">
        <f t="shared" si="41"/>
        <v>21209171.718496419</v>
      </c>
      <c r="R119" s="47">
        <f ca="1">'Monthly Data'!S119+'Monthly Data'!T119</f>
        <v>465133.26660351001</v>
      </c>
      <c r="S119" s="47">
        <f t="shared" ca="1" si="42"/>
        <v>21674304.98509993</v>
      </c>
      <c r="T119" s="47">
        <f t="shared" ca="1" si="43"/>
        <v>1399255.2193060145</v>
      </c>
      <c r="U119" s="18">
        <f t="shared" ca="1" si="44"/>
        <v>6.9013651530794334E-2</v>
      </c>
    </row>
    <row r="120" spans="1:21">
      <c r="A120" s="2">
        <f>'Monthly Data'!A120</f>
        <v>45962</v>
      </c>
      <c r="B120">
        <f>'Monthly Data'!B120</f>
        <v>2025</v>
      </c>
      <c r="C120">
        <f>'Monthly Data'!C120</f>
        <v>11</v>
      </c>
      <c r="D120" s="3">
        <f ca="1">'Monthly Data'!R120</f>
        <v>21661604.248788737</v>
      </c>
      <c r="E120" s="3">
        <f>'Monthly Data'!CN120</f>
        <v>520.61249999999995</v>
      </c>
      <c r="F120" s="3">
        <f>'Monthly Data'!CU120</f>
        <v>0</v>
      </c>
      <c r="G120">
        <f>'Monthly Data'!EJ120</f>
        <v>0</v>
      </c>
      <c r="H120" s="3">
        <f>'Monthly Data'!DB120</f>
        <v>8236.4</v>
      </c>
      <c r="I120" s="3">
        <f>'Monthly Data'!DQ120</f>
        <v>30</v>
      </c>
      <c r="K120" s="3">
        <f t="shared" si="31"/>
        <v>3542907.1380836898</v>
      </c>
      <c r="L120" s="3">
        <f t="shared" si="32"/>
        <v>5472783.5043758443</v>
      </c>
      <c r="M120" s="3">
        <f t="shared" si="33"/>
        <v>0</v>
      </c>
      <c r="N120" s="3">
        <f t="shared" si="34"/>
        <v>0</v>
      </c>
      <c r="O120" s="3">
        <f t="shared" si="35"/>
        <v>0</v>
      </c>
      <c r="P120" s="3">
        <f t="shared" si="36"/>
        <v>13536213.05441268</v>
      </c>
      <c r="Q120" s="47">
        <f t="shared" si="41"/>
        <v>22551903.696872212</v>
      </c>
      <c r="R120" s="47">
        <f ca="1">'Monthly Data'!S120+'Monthly Data'!T120</f>
        <v>734257.85211528931</v>
      </c>
      <c r="S120" s="47">
        <f t="shared" ca="1" si="42"/>
        <v>23286161.5489875</v>
      </c>
      <c r="T120" s="47">
        <f t="shared" ca="1" si="43"/>
        <v>1624557.3001987636</v>
      </c>
      <c r="U120" s="18">
        <f t="shared" ca="1" si="44"/>
        <v>7.4997090775933861E-2</v>
      </c>
    </row>
    <row r="121" spans="1:21">
      <c r="A121" s="2">
        <f>'Monthly Data'!A121</f>
        <v>45992</v>
      </c>
      <c r="B121">
        <f>'Monthly Data'!B121</f>
        <v>2025</v>
      </c>
      <c r="C121">
        <f>'Monthly Data'!C121</f>
        <v>12</v>
      </c>
      <c r="D121" s="3">
        <f ca="1">'Monthly Data'!R121</f>
        <v>24923821.47044035</v>
      </c>
      <c r="E121" s="3">
        <f>'Monthly Data'!CN121</f>
        <v>744.19999999999993</v>
      </c>
      <c r="F121" s="3">
        <f>'Monthly Data'!CU121</f>
        <v>0</v>
      </c>
      <c r="G121">
        <f>'Monthly Data'!EJ121</f>
        <v>0</v>
      </c>
      <c r="H121" s="3">
        <f>'Monthly Data'!DB121</f>
        <v>8261.1</v>
      </c>
      <c r="I121" s="3">
        <f>'Monthly Data'!DQ121</f>
        <v>31</v>
      </c>
      <c r="K121" s="3">
        <f t="shared" si="31"/>
        <v>3542907.1380836898</v>
      </c>
      <c r="L121" s="3">
        <f t="shared" si="32"/>
        <v>7823180.3576681372</v>
      </c>
      <c r="M121" s="3">
        <f t="shared" si="33"/>
        <v>0</v>
      </c>
      <c r="N121" s="3">
        <f t="shared" si="34"/>
        <v>0</v>
      </c>
      <c r="O121" s="3">
        <f t="shared" si="35"/>
        <v>0</v>
      </c>
      <c r="P121" s="3">
        <f t="shared" si="36"/>
        <v>13987420.156226436</v>
      </c>
      <c r="Q121" s="47">
        <f t="shared" si="41"/>
        <v>25353507.651978262</v>
      </c>
      <c r="R121" s="47">
        <f ca="1">'Monthly Data'!S121+'Monthly Data'!T121</f>
        <v>982586.45494194038</v>
      </c>
      <c r="S121" s="47">
        <f t="shared" ca="1" si="42"/>
        <v>26336094.106920201</v>
      </c>
      <c r="T121" s="47">
        <f t="shared" ca="1" si="43"/>
        <v>1412272.6364798509</v>
      </c>
      <c r="U121" s="18">
        <f t="shared" ca="1" si="44"/>
        <v>5.6663567348803477E-2</v>
      </c>
    </row>
    <row r="122" spans="1:21">
      <c r="U122" s="17">
        <f ca="1">AVERAGE(U2:U120)</f>
        <v>3.405213458230482E-2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4EE55-B8B3-465A-A6F4-C3F86B69E0B5}">
  <sheetPr codeName="Sheet12">
    <tabColor theme="9" tint="0.79998168889431442"/>
  </sheetPr>
  <dimension ref="A1:AD122"/>
  <sheetViews>
    <sheetView topLeftCell="N1" workbookViewId="0">
      <selection activeCell="X13" sqref="X13"/>
    </sheetView>
  </sheetViews>
  <sheetFormatPr defaultRowHeight="14.5"/>
  <cols>
    <col min="4" max="4" width="26.81640625" customWidth="1"/>
    <col min="8" max="8" width="9.1796875" style="3" bestFit="1" customWidth="1"/>
    <col min="9" max="9" width="11.453125" bestFit="1" customWidth="1"/>
    <col min="10" max="10" width="10.1796875" customWidth="1"/>
    <col min="12" max="12" width="11.453125" style="438" customWidth="1"/>
    <col min="13" max="14" width="11.1796875" bestFit="1" customWidth="1"/>
    <col min="15" max="15" width="10.1796875" bestFit="1" customWidth="1"/>
    <col min="16" max="17" width="11.1796875" bestFit="1" customWidth="1"/>
    <col min="18" max="18" width="11.1796875" customWidth="1"/>
    <col min="19" max="21" width="12.54296875" customWidth="1"/>
    <col min="22" max="22" width="12" customWidth="1"/>
    <col min="27" max="27" width="13.81640625" bestFit="1" customWidth="1"/>
    <col min="28" max="28" width="12.81640625" bestFit="1" customWidth="1"/>
    <col min="29" max="29" width="13.81640625" bestFit="1" customWidth="1"/>
    <col min="30" max="30" width="8.81640625" bestFit="1" customWidth="1"/>
  </cols>
  <sheetData>
    <row r="1" spans="1:30">
      <c r="A1" s="541" t="str">
        <f>'Monthly Data'!A1</f>
        <v>Date</v>
      </c>
      <c r="B1" s="541" t="str">
        <f>'Monthly Data'!B1</f>
        <v>Year</v>
      </c>
      <c r="C1" s="541" t="str">
        <f>'Monthly Data'!C1</f>
        <v>Month</v>
      </c>
      <c r="D1" s="541" t="str">
        <f>'Monthly Data'!X1</f>
        <v>VRZ_GS50to2999kWh_No_CDM</v>
      </c>
      <c r="E1" s="541" t="str">
        <f>'Monthly Data'!CN1</f>
        <v>HDD20</v>
      </c>
      <c r="F1" s="541" t="str">
        <f>'Monthly Data'!CW1</f>
        <v>CDD12</v>
      </c>
      <c r="G1" s="541" t="str">
        <f>'Monthly Data'!EG1</f>
        <v>Shoulder</v>
      </c>
      <c r="H1" s="541" t="str">
        <f>'Monthly Data'!DQ1</f>
        <v>Month Days</v>
      </c>
      <c r="I1" s="541" t="str">
        <f>'Monthly Data'!DL1</f>
        <v>OEA_GDP</v>
      </c>
      <c r="J1" s="541" t="str">
        <f>'Monthly Data'!EJ1</f>
        <v>COVID_AM</v>
      </c>
      <c r="K1" s="541"/>
      <c r="L1" s="567" t="str">
        <f>Z9</f>
        <v>const</v>
      </c>
      <c r="M1" s="541" t="str">
        <f t="shared" ref="M1:R1" si="0">E1</f>
        <v>HDD20</v>
      </c>
      <c r="N1" s="541" t="str">
        <f t="shared" si="0"/>
        <v>CDD12</v>
      </c>
      <c r="O1" s="541" t="str">
        <f t="shared" si="0"/>
        <v>Shoulder</v>
      </c>
      <c r="P1" s="541" t="str">
        <f t="shared" si="0"/>
        <v>Month Days</v>
      </c>
      <c r="Q1" s="541" t="str">
        <f t="shared" si="0"/>
        <v>OEA_GDP</v>
      </c>
      <c r="R1" s="541" t="str">
        <f t="shared" si="0"/>
        <v>COVID_AM</v>
      </c>
      <c r="S1" s="541" t="s">
        <v>293</v>
      </c>
      <c r="T1" s="541" t="s">
        <v>294</v>
      </c>
      <c r="U1" s="541" t="s">
        <v>295</v>
      </c>
      <c r="V1" s="541" t="s">
        <v>296</v>
      </c>
      <c r="W1" s="541"/>
    </row>
    <row r="2" spans="1:30">
      <c r="A2" s="2">
        <f>'Monthly Data'!A2</f>
        <v>42370</v>
      </c>
      <c r="B2">
        <f>'Monthly Data'!B2</f>
        <v>2016</v>
      </c>
      <c r="C2">
        <f>'Monthly Data'!C2</f>
        <v>1</v>
      </c>
      <c r="D2" s="3">
        <f>'Monthly Data'!X2</f>
        <v>82019595.924517915</v>
      </c>
      <c r="E2" s="3">
        <f>'Monthly Data'!CN2</f>
        <v>737.87916666666683</v>
      </c>
      <c r="F2" s="3">
        <f>'Monthly Data'!CW2</f>
        <v>0</v>
      </c>
      <c r="G2">
        <f>'Monthly Data'!EG2</f>
        <v>0</v>
      </c>
      <c r="H2" s="3">
        <f>'Monthly Data'!DQ2</f>
        <v>31</v>
      </c>
      <c r="I2" s="3">
        <f>'Monthly Data'!DL2</f>
        <v>743835</v>
      </c>
      <c r="J2" s="489">
        <f>'Monthly Data'!EJ2</f>
        <v>0</v>
      </c>
      <c r="L2" s="436">
        <f t="shared" ref="L2:L33" si="1">$AA$9</f>
        <v>-4442160.1424492002</v>
      </c>
      <c r="M2" s="3">
        <f t="shared" ref="M2:M33" si="2">E2*$AA$10</f>
        <v>16066455.997300919</v>
      </c>
      <c r="N2" s="3">
        <f t="shared" ref="N2:N33" si="3">F2*$AA$11</f>
        <v>0</v>
      </c>
      <c r="O2" s="3">
        <f t="shared" ref="O2:O33" si="4">G2*$AA$12</f>
        <v>0</v>
      </c>
      <c r="P2" s="3">
        <f t="shared" ref="P2:P33" si="5">H2*$AA$13</f>
        <v>40771613.817639098</v>
      </c>
      <c r="Q2" s="3">
        <f t="shared" ref="Q2:Q33" si="6">I2*$AA$14</f>
        <v>28128817.797280174</v>
      </c>
      <c r="R2" s="3">
        <f t="shared" ref="R2:R33" si="7">J2*$AA$15</f>
        <v>0</v>
      </c>
      <c r="S2" s="47">
        <f t="shared" ref="S2:S42" si="8">SUM(L2:R2)</f>
        <v>80524727.469770998</v>
      </c>
      <c r="T2" s="47">
        <f>'Monthly Data'!Y2+'Monthly Data'!Z2</f>
        <v>0</v>
      </c>
      <c r="U2" s="47">
        <f t="shared" ref="U2:U42" si="9">S2+T2</f>
        <v>80524727.469770998</v>
      </c>
      <c r="V2" s="47">
        <f t="shared" ref="V2:V42" si="10">U2-D2</f>
        <v>-1494868.4547469169</v>
      </c>
      <c r="W2" s="18">
        <f t="shared" ref="W2:W9" si="11">ABS(V2/D2)</f>
        <v>1.8225747614297374E-2</v>
      </c>
    </row>
    <row r="3" spans="1:30">
      <c r="A3" s="2">
        <f>'Monthly Data'!A3</f>
        <v>42401</v>
      </c>
      <c r="B3">
        <f>'Monthly Data'!B3</f>
        <v>2016</v>
      </c>
      <c r="C3">
        <f>'Monthly Data'!C3</f>
        <v>2</v>
      </c>
      <c r="D3" s="3">
        <f>'Monthly Data'!X3</f>
        <v>77956359.208072916</v>
      </c>
      <c r="E3" s="3">
        <f>'Monthly Data'!CN3</f>
        <v>661.70833333333326</v>
      </c>
      <c r="F3" s="3">
        <f>'Monthly Data'!CW3</f>
        <v>0</v>
      </c>
      <c r="G3">
        <f>'Monthly Data'!EG3</f>
        <v>0</v>
      </c>
      <c r="H3" s="3">
        <f>'Monthly Data'!DQ3</f>
        <v>29</v>
      </c>
      <c r="I3" s="3">
        <f>'Monthly Data'!DL3</f>
        <v>743835</v>
      </c>
      <c r="J3" s="489">
        <f>'Monthly Data'!EJ3</f>
        <v>0</v>
      </c>
      <c r="L3" s="436">
        <f t="shared" si="1"/>
        <v>-4442160.1424492002</v>
      </c>
      <c r="M3" s="3">
        <f t="shared" si="2"/>
        <v>14407925.173675444</v>
      </c>
      <c r="N3" s="3">
        <f t="shared" si="3"/>
        <v>0</v>
      </c>
      <c r="O3" s="3">
        <f t="shared" si="4"/>
        <v>0</v>
      </c>
      <c r="P3" s="3">
        <f t="shared" si="5"/>
        <v>38141187.119726896</v>
      </c>
      <c r="Q3" s="3">
        <f t="shared" si="6"/>
        <v>28128817.797280174</v>
      </c>
      <c r="R3" s="3">
        <f t="shared" si="7"/>
        <v>0</v>
      </c>
      <c r="S3" s="47">
        <f t="shared" si="8"/>
        <v>76235769.948233321</v>
      </c>
      <c r="T3" s="47">
        <f>'Monthly Data'!Y3+'Monthly Data'!Z3</f>
        <v>0</v>
      </c>
      <c r="U3" s="47">
        <f t="shared" si="9"/>
        <v>76235769.948233321</v>
      </c>
      <c r="V3" s="47">
        <f t="shared" si="10"/>
        <v>-1720589.2598395944</v>
      </c>
      <c r="W3" s="18">
        <f t="shared" si="11"/>
        <v>2.207118543398337E-2</v>
      </c>
    </row>
    <row r="4" spans="1:30">
      <c r="A4" s="2">
        <f>'Monthly Data'!A4</f>
        <v>42430</v>
      </c>
      <c r="B4">
        <f>'Monthly Data'!B4</f>
        <v>2016</v>
      </c>
      <c r="C4">
        <f>'Monthly Data'!C4</f>
        <v>3</v>
      </c>
      <c r="D4" s="3">
        <f>'Monthly Data'!X4</f>
        <v>80028747.679307505</v>
      </c>
      <c r="E4" s="3">
        <f>'Monthly Data'!CN4</f>
        <v>577.07934782608709</v>
      </c>
      <c r="F4" s="3">
        <f>'Monthly Data'!CW4</f>
        <v>0</v>
      </c>
      <c r="G4">
        <f>'Monthly Data'!EG4</f>
        <v>1</v>
      </c>
      <c r="H4" s="3">
        <f>'Monthly Data'!DQ4</f>
        <v>31</v>
      </c>
      <c r="I4" s="3">
        <f>'Monthly Data'!DL4</f>
        <v>743835</v>
      </c>
      <c r="J4" s="489">
        <f>'Monthly Data'!EJ4</f>
        <v>0</v>
      </c>
      <c r="L4" s="436">
        <f t="shared" si="1"/>
        <v>-4442160.1424492002</v>
      </c>
      <c r="M4" s="3">
        <f t="shared" si="2"/>
        <v>12565227.977208016</v>
      </c>
      <c r="N4" s="3">
        <f t="shared" si="3"/>
        <v>0</v>
      </c>
      <c r="O4" s="3">
        <f t="shared" si="4"/>
        <v>1833644.83418835</v>
      </c>
      <c r="P4" s="3">
        <f t="shared" si="5"/>
        <v>40771613.817639098</v>
      </c>
      <c r="Q4" s="3">
        <f t="shared" si="6"/>
        <v>28128817.797280174</v>
      </c>
      <c r="R4" s="3">
        <f t="shared" si="7"/>
        <v>0</v>
      </c>
      <c r="S4" s="47">
        <f t="shared" si="8"/>
        <v>78857144.283866435</v>
      </c>
      <c r="T4" s="47">
        <f>'Monthly Data'!Y4+'Monthly Data'!Z4</f>
        <v>0</v>
      </c>
      <c r="U4" s="47">
        <f t="shared" si="9"/>
        <v>78857144.283866435</v>
      </c>
      <c r="V4" s="47">
        <f t="shared" si="10"/>
        <v>-1171603.3954410702</v>
      </c>
      <c r="W4" s="18">
        <f t="shared" si="11"/>
        <v>1.4639781696146719E-2</v>
      </c>
      <c r="Z4" s="651" t="s">
        <v>329</v>
      </c>
      <c r="AA4" s="651"/>
      <c r="AB4" s="651"/>
      <c r="AC4" s="651"/>
      <c r="AD4" s="651"/>
    </row>
    <row r="5" spans="1:30">
      <c r="A5" s="2">
        <f>'Monthly Data'!A5</f>
        <v>42461</v>
      </c>
      <c r="B5">
        <f>'Monthly Data'!B5</f>
        <v>2016</v>
      </c>
      <c r="C5">
        <f>'Monthly Data'!C5</f>
        <v>4</v>
      </c>
      <c r="D5" s="3">
        <f>'Monthly Data'!X5</f>
        <v>75945262.664570689</v>
      </c>
      <c r="E5" s="3">
        <f>'Monthly Data'!CN5</f>
        <v>465.98333333333341</v>
      </c>
      <c r="F5" s="3">
        <f>'Monthly Data'!CW5</f>
        <v>3.2208333333333368</v>
      </c>
      <c r="G5">
        <f>'Monthly Data'!EG5</f>
        <v>1</v>
      </c>
      <c r="H5" s="3">
        <f>'Monthly Data'!DQ5</f>
        <v>30</v>
      </c>
      <c r="I5" s="3">
        <f>'Monthly Data'!DL5</f>
        <v>740829</v>
      </c>
      <c r="J5" s="489">
        <f>'Monthly Data'!EJ5</f>
        <v>0</v>
      </c>
      <c r="L5" s="436">
        <f t="shared" si="1"/>
        <v>-4442160.1424492002</v>
      </c>
      <c r="M5" s="3">
        <f t="shared" si="2"/>
        <v>10146242.174442209</v>
      </c>
      <c r="N5" s="3">
        <f t="shared" si="3"/>
        <v>207637.32351978574</v>
      </c>
      <c r="O5" s="3">
        <f t="shared" si="4"/>
        <v>1833644.83418835</v>
      </c>
      <c r="P5" s="3">
        <f t="shared" si="5"/>
        <v>39456400.468682997</v>
      </c>
      <c r="Q5" s="3">
        <f t="shared" si="6"/>
        <v>28015143.089450315</v>
      </c>
      <c r="R5" s="3">
        <f t="shared" si="7"/>
        <v>0</v>
      </c>
      <c r="S5" s="47">
        <f t="shared" si="8"/>
        <v>75216907.747834459</v>
      </c>
      <c r="T5" s="47">
        <f>'Monthly Data'!Y5+'Monthly Data'!Z5</f>
        <v>0</v>
      </c>
      <c r="U5" s="47">
        <f t="shared" si="9"/>
        <v>75216907.747834459</v>
      </c>
      <c r="V5" s="47">
        <f t="shared" si="10"/>
        <v>-728354.91673623025</v>
      </c>
      <c r="W5" s="18">
        <f t="shared" si="11"/>
        <v>9.5905246908312546E-3</v>
      </c>
      <c r="Z5" s="651" t="s">
        <v>330</v>
      </c>
      <c r="AA5" s="651"/>
      <c r="AB5" s="651"/>
      <c r="AC5" s="651"/>
      <c r="AD5" s="651"/>
    </row>
    <row r="6" spans="1:30">
      <c r="A6" s="2">
        <f>'Monthly Data'!A6</f>
        <v>42491</v>
      </c>
      <c r="B6">
        <f>'Monthly Data'!B6</f>
        <v>2016</v>
      </c>
      <c r="C6">
        <f>'Monthly Data'!C6</f>
        <v>5</v>
      </c>
      <c r="D6" s="3">
        <f>'Monthly Data'!X6</f>
        <v>77280197.322971582</v>
      </c>
      <c r="E6" s="3">
        <f>'Monthly Data'!CN6</f>
        <v>203.72361111111115</v>
      </c>
      <c r="F6" s="3">
        <f>'Monthly Data'!CW6</f>
        <v>98.295833333333348</v>
      </c>
      <c r="G6">
        <f>'Monthly Data'!EG6</f>
        <v>1</v>
      </c>
      <c r="H6" s="3">
        <f>'Monthly Data'!DQ6</f>
        <v>31</v>
      </c>
      <c r="I6" s="3">
        <f>'Monthly Data'!DL6</f>
        <v>740829</v>
      </c>
      <c r="J6" s="489">
        <f>'Monthly Data'!EJ6</f>
        <v>0</v>
      </c>
      <c r="L6" s="436">
        <f t="shared" si="1"/>
        <v>-4442160.1424492002</v>
      </c>
      <c r="M6" s="3">
        <f t="shared" si="2"/>
        <v>4435843.4028081531</v>
      </c>
      <c r="N6" s="3">
        <f t="shared" si="3"/>
        <v>6336833.2459964566</v>
      </c>
      <c r="O6" s="3">
        <f t="shared" si="4"/>
        <v>1833644.83418835</v>
      </c>
      <c r="P6" s="3">
        <f t="shared" si="5"/>
        <v>40771613.817639098</v>
      </c>
      <c r="Q6" s="3">
        <f t="shared" si="6"/>
        <v>28015143.089450315</v>
      </c>
      <c r="R6" s="3">
        <f t="shared" si="7"/>
        <v>0</v>
      </c>
      <c r="S6" s="47">
        <f t="shared" si="8"/>
        <v>76950918.247633174</v>
      </c>
      <c r="T6" s="47">
        <f>'Monthly Data'!Y6+'Monthly Data'!Z6</f>
        <v>0</v>
      </c>
      <c r="U6" s="47">
        <f t="shared" si="9"/>
        <v>76950918.247633174</v>
      </c>
      <c r="V6" s="47">
        <f t="shared" si="10"/>
        <v>-329279.07533840835</v>
      </c>
      <c r="W6" s="18">
        <f t="shared" si="11"/>
        <v>4.2608467206971014E-3</v>
      </c>
      <c r="Z6" s="651" t="s">
        <v>331</v>
      </c>
      <c r="AA6" s="651"/>
      <c r="AB6" s="651"/>
      <c r="AC6" s="651"/>
      <c r="AD6" s="651"/>
    </row>
    <row r="7" spans="1:30">
      <c r="A7" s="2">
        <f>'Monthly Data'!A7</f>
        <v>42522</v>
      </c>
      <c r="B7">
        <f>'Monthly Data'!B7</f>
        <v>2016</v>
      </c>
      <c r="C7">
        <f>'Monthly Data'!C7</f>
        <v>6</v>
      </c>
      <c r="D7" s="3">
        <f>'Monthly Data'!X7</f>
        <v>80057672.268324375</v>
      </c>
      <c r="E7" s="3">
        <f>'Monthly Data'!CN7</f>
        <v>56.883333333333326</v>
      </c>
      <c r="F7" s="3">
        <f>'Monthly Data'!CW7</f>
        <v>203.85416666666669</v>
      </c>
      <c r="G7">
        <f>'Monthly Data'!EG7</f>
        <v>0</v>
      </c>
      <c r="H7" s="3">
        <f>'Monthly Data'!DQ7</f>
        <v>30</v>
      </c>
      <c r="I7" s="3">
        <f>'Monthly Data'!DL7</f>
        <v>740829</v>
      </c>
      <c r="J7" s="489">
        <f>'Monthly Data'!EJ7</f>
        <v>0</v>
      </c>
      <c r="L7" s="436">
        <f t="shared" si="1"/>
        <v>-4442160.1424492002</v>
      </c>
      <c r="M7" s="3">
        <f t="shared" si="2"/>
        <v>1238568.0654304966</v>
      </c>
      <c r="N7" s="3">
        <f t="shared" si="3"/>
        <v>13141857.766113205</v>
      </c>
      <c r="O7" s="3">
        <f t="shared" si="4"/>
        <v>0</v>
      </c>
      <c r="P7" s="3">
        <f t="shared" si="5"/>
        <v>39456400.468682997</v>
      </c>
      <c r="Q7" s="3">
        <f t="shared" si="6"/>
        <v>28015143.089450315</v>
      </c>
      <c r="R7" s="3">
        <f t="shared" si="7"/>
        <v>0</v>
      </c>
      <c r="S7" s="47">
        <f t="shared" si="8"/>
        <v>77409809.247227818</v>
      </c>
      <c r="T7" s="47">
        <f>'Monthly Data'!Y7+'Monthly Data'!Z7</f>
        <v>0</v>
      </c>
      <c r="U7" s="47">
        <f t="shared" si="9"/>
        <v>77409809.247227818</v>
      </c>
      <c r="V7" s="47">
        <f t="shared" si="10"/>
        <v>-2647863.0210965574</v>
      </c>
      <c r="W7" s="18">
        <f t="shared" si="11"/>
        <v>3.3074444285887773E-2</v>
      </c>
      <c r="Z7" s="652"/>
      <c r="AA7" s="652"/>
      <c r="AB7" s="652"/>
      <c r="AC7" s="652"/>
      <c r="AD7" s="652"/>
    </row>
    <row r="8" spans="1:30">
      <c r="A8" s="2">
        <f>'Monthly Data'!A8</f>
        <v>42552</v>
      </c>
      <c r="B8">
        <f>'Monthly Data'!B8</f>
        <v>2016</v>
      </c>
      <c r="C8">
        <f>'Monthly Data'!C8</f>
        <v>7</v>
      </c>
      <c r="D8" s="3">
        <f>'Monthly Data'!X8</f>
        <v>82296529.456430227</v>
      </c>
      <c r="E8" s="3">
        <f>'Monthly Data'!CN8</f>
        <v>8.75416666666667</v>
      </c>
      <c r="F8" s="3">
        <f>'Monthly Data'!CW8</f>
        <v>313.22916666666657</v>
      </c>
      <c r="G8">
        <f>'Monthly Data'!EG8</f>
        <v>0</v>
      </c>
      <c r="H8" s="3">
        <f>'Monthly Data'!DQ8</f>
        <v>31</v>
      </c>
      <c r="I8" s="3">
        <f>'Monthly Data'!DL8</f>
        <v>746710</v>
      </c>
      <c r="J8" s="489">
        <f>'Monthly Data'!EJ8</f>
        <v>0</v>
      </c>
      <c r="L8" s="436">
        <f t="shared" si="1"/>
        <v>-4442160.1424492002</v>
      </c>
      <c r="M8" s="3">
        <f t="shared" si="2"/>
        <v>190611.74226995857</v>
      </c>
      <c r="N8" s="3">
        <f t="shared" si="3"/>
        <v>20192931.171539292</v>
      </c>
      <c r="O8" s="3">
        <f t="shared" si="4"/>
        <v>0</v>
      </c>
      <c r="P8" s="3">
        <f t="shared" si="5"/>
        <v>40771613.817639098</v>
      </c>
      <c r="Q8" s="3">
        <f t="shared" si="6"/>
        <v>28237538.617310397</v>
      </c>
      <c r="R8" s="3">
        <f t="shared" si="7"/>
        <v>0</v>
      </c>
      <c r="S8" s="47">
        <f t="shared" si="8"/>
        <v>84950535.206309557</v>
      </c>
      <c r="T8" s="47">
        <f>'Monthly Data'!Y8+'Monthly Data'!Z8</f>
        <v>0</v>
      </c>
      <c r="U8" s="47">
        <f t="shared" si="9"/>
        <v>84950535.206309557</v>
      </c>
      <c r="V8" s="47">
        <f t="shared" si="10"/>
        <v>2654005.7498793304</v>
      </c>
      <c r="W8" s="18">
        <f t="shared" si="11"/>
        <v>3.2249303432466438E-2</v>
      </c>
      <c r="Z8" s="652"/>
      <c r="AA8" s="652" t="s">
        <v>300</v>
      </c>
      <c r="AB8" s="652" t="s">
        <v>301</v>
      </c>
      <c r="AC8" s="652" t="s">
        <v>302</v>
      </c>
      <c r="AD8" s="652" t="s">
        <v>303</v>
      </c>
    </row>
    <row r="9" spans="1:30">
      <c r="A9" s="2">
        <f>'Monthly Data'!A9</f>
        <v>42583</v>
      </c>
      <c r="B9">
        <f>'Monthly Data'!B9</f>
        <v>2016</v>
      </c>
      <c r="C9">
        <f>'Monthly Data'!C9</f>
        <v>8</v>
      </c>
      <c r="D9" s="3">
        <f>'Monthly Data'!X9</f>
        <v>86190597.617975503</v>
      </c>
      <c r="E9" s="3">
        <f>'Monthly Data'!CN9</f>
        <v>4.029166666666665</v>
      </c>
      <c r="F9" s="3">
        <f>'Monthly Data'!CW9</f>
        <v>328.02499999999998</v>
      </c>
      <c r="G9">
        <f>'Monthly Data'!EG9</f>
        <v>0</v>
      </c>
      <c r="H9" s="3">
        <f>'Monthly Data'!DQ9</f>
        <v>31</v>
      </c>
      <c r="I9" s="3">
        <f>'Monthly Data'!DL9</f>
        <v>746710</v>
      </c>
      <c r="J9" s="489">
        <f>'Monthly Data'!EJ9</f>
        <v>0</v>
      </c>
      <c r="L9" s="436">
        <f t="shared" si="1"/>
        <v>-4442160.1424492002</v>
      </c>
      <c r="M9" s="3">
        <f t="shared" si="2"/>
        <v>87730.392563088913</v>
      </c>
      <c r="N9" s="3">
        <f t="shared" si="3"/>
        <v>21146773.520593319</v>
      </c>
      <c r="O9" s="3">
        <f t="shared" si="4"/>
        <v>0</v>
      </c>
      <c r="P9" s="3">
        <f t="shared" si="5"/>
        <v>40771613.817639098</v>
      </c>
      <c r="Q9" s="3">
        <f t="shared" si="6"/>
        <v>28237538.617310397</v>
      </c>
      <c r="R9" s="3">
        <f t="shared" si="7"/>
        <v>0</v>
      </c>
      <c r="S9" s="47">
        <f t="shared" si="8"/>
        <v>85801496.205656707</v>
      </c>
      <c r="T9" s="47">
        <f>'Monthly Data'!Y9+'Monthly Data'!Z9</f>
        <v>0</v>
      </c>
      <c r="U9" s="47">
        <f t="shared" si="9"/>
        <v>85801496.205656707</v>
      </c>
      <c r="V9" s="47">
        <f t="shared" si="10"/>
        <v>-389101.41231879592</v>
      </c>
      <c r="W9" s="18">
        <f t="shared" si="11"/>
        <v>4.5144299154696518E-3</v>
      </c>
      <c r="Z9" s="652" t="s">
        <v>304</v>
      </c>
      <c r="AA9" s="653">
        <v>-4442160.1424492002</v>
      </c>
      <c r="AB9" s="654">
        <v>5395694.5250903098</v>
      </c>
      <c r="AC9" s="655">
        <v>-0.82327865704644299</v>
      </c>
      <c r="AD9" s="656">
        <v>0.41210000000000002</v>
      </c>
    </row>
    <row r="10" spans="1:30">
      <c r="A10" s="2">
        <f>'Monthly Data'!A10</f>
        <v>42614</v>
      </c>
      <c r="B10">
        <f>'Monthly Data'!B10</f>
        <v>2016</v>
      </c>
      <c r="C10">
        <f>'Monthly Data'!C10</f>
        <v>9</v>
      </c>
      <c r="D10" s="3">
        <f>'Monthly Data'!X10</f>
        <v>78484093.199688002</v>
      </c>
      <c r="E10" s="3">
        <f>'Monthly Data'!CN10</f>
        <v>80.145833333333343</v>
      </c>
      <c r="F10" s="3">
        <f>'Monthly Data'!CW10</f>
        <v>176.5541666666667</v>
      </c>
      <c r="G10">
        <f>'Monthly Data'!EG10</f>
        <v>1</v>
      </c>
      <c r="H10" s="3">
        <f>'Monthly Data'!DQ10</f>
        <v>30</v>
      </c>
      <c r="I10" s="3">
        <f>'Monthly Data'!DL10</f>
        <v>746710</v>
      </c>
      <c r="J10" s="489">
        <f>'Monthly Data'!EJ10</f>
        <v>0</v>
      </c>
      <c r="L10" s="436">
        <f t="shared" si="1"/>
        <v>-4442160.1424492002</v>
      </c>
      <c r="M10" s="3">
        <f t="shared" si="2"/>
        <v>1745081.8003629949</v>
      </c>
      <c r="N10" s="3">
        <f t="shared" si="3"/>
        <v>11381909.844118854</v>
      </c>
      <c r="O10" s="3">
        <f t="shared" si="4"/>
        <v>1833644.83418835</v>
      </c>
      <c r="P10" s="3">
        <f t="shared" si="5"/>
        <v>39456400.468682997</v>
      </c>
      <c r="Q10" s="3">
        <f t="shared" si="6"/>
        <v>28237538.617310397</v>
      </c>
      <c r="R10" s="3">
        <f t="shared" si="7"/>
        <v>0</v>
      </c>
      <c r="S10" s="47">
        <f t="shared" si="8"/>
        <v>78212415.422214389</v>
      </c>
      <c r="T10" s="47">
        <f>'Monthly Data'!Y10+'Monthly Data'!Z10</f>
        <v>0</v>
      </c>
      <c r="U10" s="47">
        <f t="shared" si="9"/>
        <v>78212415.422214389</v>
      </c>
      <c r="V10" s="47">
        <f t="shared" si="10"/>
        <v>-271677.77747361362</v>
      </c>
      <c r="W10" s="18">
        <f t="shared" ref="W10:W41" si="12">ABS(V10/D10)</f>
        <v>3.4615648394175956E-3</v>
      </c>
      <c r="Z10" s="652" t="s">
        <v>116</v>
      </c>
      <c r="AA10" s="654">
        <v>21773.8306257925</v>
      </c>
      <c r="AB10" s="654">
        <v>1595.90091795995</v>
      </c>
      <c r="AC10" s="655">
        <v>13.6435980334081</v>
      </c>
      <c r="AD10" s="656">
        <v>0</v>
      </c>
    </row>
    <row r="11" spans="1:30">
      <c r="A11" s="2">
        <f>'Monthly Data'!A11</f>
        <v>42644</v>
      </c>
      <c r="B11">
        <f>'Monthly Data'!B11</f>
        <v>2016</v>
      </c>
      <c r="C11">
        <f>'Monthly Data'!C11</f>
        <v>10</v>
      </c>
      <c r="D11" s="3">
        <f>'Monthly Data'!X11</f>
        <v>76099983.971046835</v>
      </c>
      <c r="E11" s="3">
        <f>'Monthly Data'!CN11</f>
        <v>283.19583333333327</v>
      </c>
      <c r="F11" s="3">
        <f>'Monthly Data'!CW11</f>
        <v>52.383333333333333</v>
      </c>
      <c r="G11">
        <f>'Monthly Data'!EG11</f>
        <v>1</v>
      </c>
      <c r="H11" s="3">
        <f>'Monthly Data'!DQ11</f>
        <v>31</v>
      </c>
      <c r="I11" s="3">
        <f>'Monthly Data'!DL11</f>
        <v>745246</v>
      </c>
      <c r="J11" s="489">
        <f>'Monthly Data'!EJ11</f>
        <v>0</v>
      </c>
      <c r="L11" s="436">
        <f t="shared" si="1"/>
        <v>-4442160.1424492002</v>
      </c>
      <c r="M11" s="3">
        <f t="shared" si="2"/>
        <v>6166258.1089301603</v>
      </c>
      <c r="N11" s="3">
        <f t="shared" si="3"/>
        <v>3376994.089638737</v>
      </c>
      <c r="O11" s="3">
        <f t="shared" si="4"/>
        <v>1833644.83418835</v>
      </c>
      <c r="P11" s="3">
        <f t="shared" si="5"/>
        <v>40771613.817639098</v>
      </c>
      <c r="Q11" s="3">
        <f t="shared" si="6"/>
        <v>28182176.084954139</v>
      </c>
      <c r="R11" s="3">
        <f t="shared" si="7"/>
        <v>0</v>
      </c>
      <c r="S11" s="47">
        <f t="shared" si="8"/>
        <v>75888526.792901278</v>
      </c>
      <c r="T11" s="47">
        <f>'Monthly Data'!Y11+'Monthly Data'!Z11</f>
        <v>0</v>
      </c>
      <c r="U11" s="47">
        <f t="shared" si="9"/>
        <v>75888526.792901278</v>
      </c>
      <c r="V11" s="47">
        <f t="shared" si="10"/>
        <v>-211457.17814555764</v>
      </c>
      <c r="W11" s="18">
        <f t="shared" si="12"/>
        <v>2.7786757251619014E-3</v>
      </c>
      <c r="Z11" s="652" t="s">
        <v>125</v>
      </c>
      <c r="AA11" s="654">
        <v>64466.956849609996</v>
      </c>
      <c r="AB11" s="654">
        <v>4118.0411186398496</v>
      </c>
      <c r="AC11" s="655">
        <v>15.6547627846181</v>
      </c>
      <c r="AD11" s="656">
        <v>0</v>
      </c>
    </row>
    <row r="12" spans="1:30">
      <c r="A12" s="2">
        <f>'Monthly Data'!A12</f>
        <v>42675</v>
      </c>
      <c r="B12">
        <f>'Monthly Data'!B12</f>
        <v>2016</v>
      </c>
      <c r="C12">
        <f>'Monthly Data'!C12</f>
        <v>11</v>
      </c>
      <c r="D12" s="3">
        <f>'Monthly Data'!X12</f>
        <v>76207685.436664224</v>
      </c>
      <c r="E12" s="3">
        <f>'Monthly Data'!CN12</f>
        <v>437.33511904761912</v>
      </c>
      <c r="F12" s="3">
        <f>'Monthly Data'!CW12</f>
        <v>1.3291666666666675</v>
      </c>
      <c r="G12">
        <f>'Monthly Data'!EG12</f>
        <v>1</v>
      </c>
      <c r="H12" s="3">
        <f>'Monthly Data'!DQ12</f>
        <v>30</v>
      </c>
      <c r="I12" s="3">
        <f>'Monthly Data'!DL12</f>
        <v>745246</v>
      </c>
      <c r="J12" s="489">
        <f>'Monthly Data'!EJ12</f>
        <v>0</v>
      </c>
      <c r="L12" s="436">
        <f t="shared" si="1"/>
        <v>-4442160.1424492002</v>
      </c>
      <c r="M12" s="3">
        <f t="shared" si="2"/>
        <v>9522460.8088536579</v>
      </c>
      <c r="N12" s="3">
        <f t="shared" si="3"/>
        <v>85687.33014594001</v>
      </c>
      <c r="O12" s="3">
        <f t="shared" si="4"/>
        <v>1833644.83418835</v>
      </c>
      <c r="P12" s="3">
        <f t="shared" si="5"/>
        <v>39456400.468682997</v>
      </c>
      <c r="Q12" s="3">
        <f t="shared" si="6"/>
        <v>28182176.084954139</v>
      </c>
      <c r="R12" s="3">
        <f t="shared" si="7"/>
        <v>0</v>
      </c>
      <c r="S12" s="47">
        <f t="shared" si="8"/>
        <v>74638209.384375885</v>
      </c>
      <c r="T12" s="47">
        <f>'Monthly Data'!Y12+'Monthly Data'!Z12</f>
        <v>0</v>
      </c>
      <c r="U12" s="47">
        <f t="shared" si="9"/>
        <v>74638209.384375885</v>
      </c>
      <c r="V12" s="47">
        <f t="shared" si="10"/>
        <v>-1569476.0522883385</v>
      </c>
      <c r="W12" s="18">
        <f t="shared" si="12"/>
        <v>2.0594721428624431E-2</v>
      </c>
      <c r="Z12" s="652" t="s">
        <v>161</v>
      </c>
      <c r="AA12" s="654">
        <v>1833644.83418835</v>
      </c>
      <c r="AB12" s="654">
        <v>447241.25420302199</v>
      </c>
      <c r="AC12" s="655">
        <v>4.0999009303287002</v>
      </c>
      <c r="AD12" s="656">
        <v>1E-4</v>
      </c>
    </row>
    <row r="13" spans="1:30">
      <c r="A13" s="2">
        <f>'Monthly Data'!A13</f>
        <v>42705</v>
      </c>
      <c r="B13">
        <f>'Monthly Data'!B13</f>
        <v>2016</v>
      </c>
      <c r="C13">
        <f>'Monthly Data'!C13</f>
        <v>12</v>
      </c>
      <c r="D13" s="3">
        <f>'Monthly Data'!X13</f>
        <v>77033980.924357042</v>
      </c>
      <c r="E13" s="3">
        <f>'Monthly Data'!CN13</f>
        <v>678.67083333333323</v>
      </c>
      <c r="F13" s="3">
        <f>'Monthly Data'!CW13</f>
        <v>0</v>
      </c>
      <c r="G13">
        <f>'Monthly Data'!EG13</f>
        <v>0</v>
      </c>
      <c r="H13" s="3">
        <f>'Monthly Data'!DQ13</f>
        <v>31</v>
      </c>
      <c r="I13" s="3">
        <f>'Monthly Data'!DL13</f>
        <v>745246</v>
      </c>
      <c r="J13" s="489">
        <f>'Monthly Data'!EJ13</f>
        <v>0</v>
      </c>
      <c r="L13" s="436">
        <f t="shared" si="1"/>
        <v>-4442160.1424492002</v>
      </c>
      <c r="M13" s="3">
        <f t="shared" si="2"/>
        <v>14777263.775665449</v>
      </c>
      <c r="N13" s="3">
        <f t="shared" si="3"/>
        <v>0</v>
      </c>
      <c r="O13" s="3">
        <f t="shared" si="4"/>
        <v>0</v>
      </c>
      <c r="P13" s="3">
        <f t="shared" si="5"/>
        <v>40771613.817639098</v>
      </c>
      <c r="Q13" s="3">
        <f t="shared" si="6"/>
        <v>28182176.084954139</v>
      </c>
      <c r="R13" s="3">
        <f t="shared" si="7"/>
        <v>0</v>
      </c>
      <c r="S13" s="47">
        <f t="shared" si="8"/>
        <v>79288893.535809487</v>
      </c>
      <c r="T13" s="47">
        <f>'Monthly Data'!Y13+'Monthly Data'!Z13</f>
        <v>0</v>
      </c>
      <c r="U13" s="47">
        <f t="shared" si="9"/>
        <v>79288893.535809487</v>
      </c>
      <c r="V13" s="47">
        <f t="shared" si="10"/>
        <v>2254912.6114524454</v>
      </c>
      <c r="W13" s="18">
        <f t="shared" si="12"/>
        <v>2.9271661471924195E-2</v>
      </c>
      <c r="Z13" s="652" t="s">
        <v>305</v>
      </c>
      <c r="AA13" s="654">
        <v>1315213.3489560999</v>
      </c>
      <c r="AB13" s="654">
        <v>166072.382454473</v>
      </c>
      <c r="AC13" s="655">
        <v>7.9195187635527402</v>
      </c>
      <c r="AD13" s="656">
        <v>0</v>
      </c>
    </row>
    <row r="14" spans="1:30">
      <c r="A14" s="2">
        <f>'Monthly Data'!A14</f>
        <v>42736</v>
      </c>
      <c r="B14">
        <f>'Monthly Data'!B14</f>
        <v>2017</v>
      </c>
      <c r="C14">
        <f>'Monthly Data'!C14</f>
        <v>1</v>
      </c>
      <c r="D14" s="3">
        <f>'Monthly Data'!X14</f>
        <v>81012116.883967727</v>
      </c>
      <c r="E14" s="3">
        <f>'Monthly Data'!CN14</f>
        <v>682.2166666666667</v>
      </c>
      <c r="F14" s="3">
        <f>'Monthly Data'!CW14</f>
        <v>0</v>
      </c>
      <c r="G14">
        <f>'Monthly Data'!EG14</f>
        <v>0</v>
      </c>
      <c r="H14" s="3">
        <f>'Monthly Data'!DQ14</f>
        <v>31</v>
      </c>
      <c r="I14" s="3">
        <f>'Monthly Data'!DL14</f>
        <v>756670</v>
      </c>
      <c r="J14" s="489">
        <f>'Monthly Data'!EJ14</f>
        <v>0</v>
      </c>
      <c r="L14" s="436">
        <f t="shared" si="1"/>
        <v>-4442160.1424492002</v>
      </c>
      <c r="M14" s="3">
        <f t="shared" si="2"/>
        <v>14854470.15009274</v>
      </c>
      <c r="N14" s="3">
        <f t="shared" si="3"/>
        <v>0</v>
      </c>
      <c r="O14" s="3">
        <f t="shared" si="4"/>
        <v>0</v>
      </c>
      <c r="P14" s="3">
        <f t="shared" si="5"/>
        <v>40771613.817639098</v>
      </c>
      <c r="Q14" s="3">
        <f t="shared" si="6"/>
        <v>28614185.353832491</v>
      </c>
      <c r="R14" s="3">
        <f t="shared" si="7"/>
        <v>0</v>
      </c>
      <c r="S14" s="47">
        <f t="shared" si="8"/>
        <v>79798109.179115117</v>
      </c>
      <c r="T14" s="47">
        <f>'Monthly Data'!Y14+'Monthly Data'!Z14</f>
        <v>182.33784615384613</v>
      </c>
      <c r="U14" s="47">
        <f t="shared" si="9"/>
        <v>79798291.516961277</v>
      </c>
      <c r="V14" s="47">
        <f t="shared" si="10"/>
        <v>-1213825.3670064509</v>
      </c>
      <c r="W14" s="18">
        <f t="shared" si="12"/>
        <v>1.4983256995308397E-2</v>
      </c>
      <c r="Z14" s="652" t="s">
        <v>140</v>
      </c>
      <c r="AA14" s="655">
        <v>37.815937401816498</v>
      </c>
      <c r="AB14" s="655">
        <v>3.0583376517328502</v>
      </c>
      <c r="AC14" s="655">
        <v>12.3648667047571</v>
      </c>
      <c r="AD14" s="656">
        <v>0</v>
      </c>
    </row>
    <row r="15" spans="1:30">
      <c r="A15" s="2">
        <f>'Monthly Data'!A15</f>
        <v>42767</v>
      </c>
      <c r="B15">
        <f>'Monthly Data'!B15</f>
        <v>2017</v>
      </c>
      <c r="C15">
        <f>'Monthly Data'!C15</f>
        <v>2</v>
      </c>
      <c r="D15" s="3">
        <f>'Monthly Data'!X15</f>
        <v>73445222.123628616</v>
      </c>
      <c r="E15" s="3">
        <f>'Monthly Data'!CN15</f>
        <v>586.08333333333337</v>
      </c>
      <c r="F15" s="3">
        <f>'Monthly Data'!CW15</f>
        <v>0</v>
      </c>
      <c r="G15">
        <f>'Monthly Data'!EG15</f>
        <v>0</v>
      </c>
      <c r="H15" s="3">
        <f>'Monthly Data'!DQ15</f>
        <v>28</v>
      </c>
      <c r="I15" s="3">
        <f>'Monthly Data'!DL15</f>
        <v>756670</v>
      </c>
      <c r="J15" s="489">
        <f>'Monthly Data'!EJ15</f>
        <v>0</v>
      </c>
      <c r="L15" s="436">
        <f t="shared" si="1"/>
        <v>-4442160.1424492002</v>
      </c>
      <c r="M15" s="3">
        <f t="shared" si="2"/>
        <v>12761279.232599888</v>
      </c>
      <c r="N15" s="3">
        <f t="shared" si="3"/>
        <v>0</v>
      </c>
      <c r="O15" s="3">
        <f t="shared" si="4"/>
        <v>0</v>
      </c>
      <c r="P15" s="3">
        <f t="shared" si="5"/>
        <v>36825973.770770796</v>
      </c>
      <c r="Q15" s="3">
        <f t="shared" si="6"/>
        <v>28614185.353832491</v>
      </c>
      <c r="R15" s="3">
        <f t="shared" si="7"/>
        <v>0</v>
      </c>
      <c r="S15" s="47">
        <f t="shared" si="8"/>
        <v>73759278.214753985</v>
      </c>
      <c r="T15" s="47">
        <f>'Monthly Data'!Y15+'Monthly Data'!Z15</f>
        <v>364.67569230769226</v>
      </c>
      <c r="U15" s="47">
        <f t="shared" si="9"/>
        <v>73759642.89044629</v>
      </c>
      <c r="V15" s="47">
        <f t="shared" si="10"/>
        <v>314420.76681767404</v>
      </c>
      <c r="W15" s="18">
        <f t="shared" si="12"/>
        <v>4.281024111934973E-3</v>
      </c>
      <c r="Z15" s="652" t="s">
        <v>164</v>
      </c>
      <c r="AA15" s="654">
        <v>-6065765.5712040104</v>
      </c>
      <c r="AB15" s="654">
        <v>745554.424767524</v>
      </c>
      <c r="AC15" s="655">
        <v>-8.1359125098015692</v>
      </c>
      <c r="AD15" s="656">
        <v>0</v>
      </c>
    </row>
    <row r="16" spans="1:30">
      <c r="A16" s="2">
        <f>'Monthly Data'!A16</f>
        <v>42795</v>
      </c>
      <c r="B16">
        <f>'Monthly Data'!B16</f>
        <v>2017</v>
      </c>
      <c r="C16">
        <f>'Monthly Data'!C16</f>
        <v>3</v>
      </c>
      <c r="D16" s="3">
        <f>'Monthly Data'!X16</f>
        <v>81650170.503930464</v>
      </c>
      <c r="E16" s="3">
        <f>'Monthly Data'!CN16</f>
        <v>661.67916666666667</v>
      </c>
      <c r="F16" s="3">
        <f>'Monthly Data'!CW16</f>
        <v>0</v>
      </c>
      <c r="G16">
        <f>'Monthly Data'!EG16</f>
        <v>1</v>
      </c>
      <c r="H16" s="3">
        <f>'Monthly Data'!DQ16</f>
        <v>31</v>
      </c>
      <c r="I16" s="3">
        <f>'Monthly Data'!DL16</f>
        <v>756670</v>
      </c>
      <c r="J16" s="489">
        <f>'Monthly Data'!EJ16</f>
        <v>0</v>
      </c>
      <c r="L16" s="436">
        <f t="shared" si="1"/>
        <v>-4442160.1424492002</v>
      </c>
      <c r="M16" s="3">
        <f t="shared" si="2"/>
        <v>14407290.103615526</v>
      </c>
      <c r="N16" s="3">
        <f t="shared" si="3"/>
        <v>0</v>
      </c>
      <c r="O16" s="3">
        <f t="shared" si="4"/>
        <v>1833644.83418835</v>
      </c>
      <c r="P16" s="3">
        <f t="shared" si="5"/>
        <v>40771613.817639098</v>
      </c>
      <c r="Q16" s="3">
        <f t="shared" si="6"/>
        <v>28614185.353832491</v>
      </c>
      <c r="R16" s="3">
        <f t="shared" si="7"/>
        <v>0</v>
      </c>
      <c r="S16" s="47">
        <f t="shared" si="8"/>
        <v>81184573.96682626</v>
      </c>
      <c r="T16" s="47">
        <f>'Monthly Data'!Y16+'Monthly Data'!Z16</f>
        <v>547.01353846153847</v>
      </c>
      <c r="U16" s="47">
        <f t="shared" si="9"/>
        <v>81185120.980364725</v>
      </c>
      <c r="V16" s="47">
        <f t="shared" si="10"/>
        <v>-465049.52356573939</v>
      </c>
      <c r="W16" s="18">
        <f t="shared" si="12"/>
        <v>5.6956344450420091E-3</v>
      </c>
      <c r="AA16" s="3"/>
      <c r="AB16" s="3"/>
      <c r="AC16" s="235"/>
      <c r="AD16" s="100"/>
    </row>
    <row r="17" spans="1:29">
      <c r="A17" s="2">
        <f>'Monthly Data'!A17</f>
        <v>42826</v>
      </c>
      <c r="B17">
        <f>'Monthly Data'!B17</f>
        <v>2017</v>
      </c>
      <c r="C17">
        <f>'Monthly Data'!C17</f>
        <v>4</v>
      </c>
      <c r="D17" s="3">
        <f>'Monthly Data'!X17</f>
        <v>72782582.559538245</v>
      </c>
      <c r="E17" s="3">
        <f>'Monthly Data'!CN17</f>
        <v>348.38749999999999</v>
      </c>
      <c r="F17" s="3">
        <f>'Monthly Data'!CW17</f>
        <v>12.412500000000001</v>
      </c>
      <c r="G17">
        <f>'Monthly Data'!EG17</f>
        <v>1</v>
      </c>
      <c r="H17" s="3">
        <f>'Monthly Data'!DQ17</f>
        <v>30</v>
      </c>
      <c r="I17" s="3">
        <f>'Monthly Data'!DL17</f>
        <v>764676</v>
      </c>
      <c r="J17" s="489">
        <f>'Monthly Data'!EJ17</f>
        <v>0</v>
      </c>
      <c r="L17" s="436">
        <f t="shared" si="1"/>
        <v>-4442160.1424492002</v>
      </c>
      <c r="M17" s="3">
        <f t="shared" si="2"/>
        <v>7585730.4171432843</v>
      </c>
      <c r="N17" s="3">
        <f t="shared" si="3"/>
        <v>800196.10189578414</v>
      </c>
      <c r="O17" s="3">
        <f t="shared" si="4"/>
        <v>1833644.83418835</v>
      </c>
      <c r="P17" s="3">
        <f t="shared" si="5"/>
        <v>39456400.468682997</v>
      </c>
      <c r="Q17" s="3">
        <f t="shared" si="6"/>
        <v>28916939.748671431</v>
      </c>
      <c r="R17" s="3">
        <f t="shared" si="7"/>
        <v>0</v>
      </c>
      <c r="S17" s="47">
        <f t="shared" si="8"/>
        <v>74150751.428132638</v>
      </c>
      <c r="T17" s="47">
        <f>'Monthly Data'!Y17+'Monthly Data'!Z17</f>
        <v>729.35138461538452</v>
      </c>
      <c r="U17" s="47">
        <f t="shared" si="9"/>
        <v>74151480.779517248</v>
      </c>
      <c r="V17" s="47">
        <f t="shared" si="10"/>
        <v>1368898.2199790031</v>
      </c>
      <c r="W17" s="18">
        <f t="shared" si="12"/>
        <v>1.8808046813387047E-2</v>
      </c>
      <c r="Z17" s="657" t="s">
        <v>306</v>
      </c>
      <c r="AA17" s="658"/>
      <c r="AB17" s="658"/>
      <c r="AC17" s="659"/>
    </row>
    <row r="18" spans="1:29">
      <c r="A18" s="2">
        <f>'Monthly Data'!A18</f>
        <v>42856</v>
      </c>
      <c r="B18">
        <f>'Monthly Data'!B18</f>
        <v>2017</v>
      </c>
      <c r="C18">
        <f>'Monthly Data'!C18</f>
        <v>5</v>
      </c>
      <c r="D18" s="3">
        <f>'Monthly Data'!X18</f>
        <v>76390785.152737096</v>
      </c>
      <c r="E18" s="3">
        <f>'Monthly Data'!CN18</f>
        <v>247.16666666666663</v>
      </c>
      <c r="F18" s="3">
        <f>'Monthly Data'!CW18</f>
        <v>54.529166666666683</v>
      </c>
      <c r="G18">
        <f>'Monthly Data'!EG18</f>
        <v>1</v>
      </c>
      <c r="H18" s="3">
        <f>'Monthly Data'!DQ18</f>
        <v>31</v>
      </c>
      <c r="I18" s="3">
        <f>'Monthly Data'!DL18</f>
        <v>764676</v>
      </c>
      <c r="J18" s="489">
        <f>'Monthly Data'!EJ18</f>
        <v>0</v>
      </c>
      <c r="L18" s="436">
        <f t="shared" si="1"/>
        <v>-4442160.1424492002</v>
      </c>
      <c r="M18" s="3">
        <f t="shared" si="2"/>
        <v>5381765.1363417124</v>
      </c>
      <c r="N18" s="3">
        <f t="shared" si="3"/>
        <v>3515329.4345451929</v>
      </c>
      <c r="O18" s="3">
        <f t="shared" si="4"/>
        <v>1833644.83418835</v>
      </c>
      <c r="P18" s="3">
        <f t="shared" si="5"/>
        <v>40771613.817639098</v>
      </c>
      <c r="Q18" s="3">
        <f t="shared" si="6"/>
        <v>28916939.748671431</v>
      </c>
      <c r="R18" s="3">
        <f t="shared" si="7"/>
        <v>0</v>
      </c>
      <c r="S18" s="47">
        <f t="shared" si="8"/>
        <v>75977132.828936577</v>
      </c>
      <c r="T18" s="47">
        <f>'Monthly Data'!Y18+'Monthly Data'!Z18</f>
        <v>911.68923076923068</v>
      </c>
      <c r="U18" s="47">
        <f t="shared" si="9"/>
        <v>75978044.518167347</v>
      </c>
      <c r="V18" s="47">
        <f t="shared" si="10"/>
        <v>-412740.63456974924</v>
      </c>
      <c r="W18" s="18">
        <f t="shared" si="12"/>
        <v>5.4030160017927327E-3</v>
      </c>
      <c r="Z18" s="652" t="s">
        <v>307</v>
      </c>
      <c r="AA18" s="660">
        <v>252000000000000</v>
      </c>
      <c r="AB18" s="652" t="s">
        <v>308</v>
      </c>
      <c r="AC18" s="654">
        <v>1493446</v>
      </c>
    </row>
    <row r="19" spans="1:29">
      <c r="A19" s="2">
        <f>'Monthly Data'!A19</f>
        <v>42887</v>
      </c>
      <c r="B19">
        <f>'Monthly Data'!B19</f>
        <v>2017</v>
      </c>
      <c r="C19">
        <f>'Monthly Data'!C19</f>
        <v>6</v>
      </c>
      <c r="D19" s="3">
        <f>'Monthly Data'!X19</f>
        <v>77082034.041033</v>
      </c>
      <c r="E19" s="3">
        <f>'Monthly Data'!CN19</f>
        <v>85.453333333333319</v>
      </c>
      <c r="F19" s="3">
        <f>'Monthly Data'!CW19</f>
        <v>168.62166666666667</v>
      </c>
      <c r="G19">
        <f>'Monthly Data'!EG19</f>
        <v>0</v>
      </c>
      <c r="H19" s="3">
        <f>'Monthly Data'!DQ19</f>
        <v>30</v>
      </c>
      <c r="I19" s="3">
        <f>'Monthly Data'!DL19</f>
        <v>764676</v>
      </c>
      <c r="J19" s="489">
        <f>'Monthly Data'!EJ19</f>
        <v>0</v>
      </c>
      <c r="L19" s="436">
        <f t="shared" si="1"/>
        <v>-4442160.1424492002</v>
      </c>
      <c r="M19" s="3">
        <f t="shared" si="2"/>
        <v>1860646.4064093882</v>
      </c>
      <c r="N19" s="3">
        <f t="shared" si="3"/>
        <v>10870525.70890932</v>
      </c>
      <c r="O19" s="3">
        <f t="shared" si="4"/>
        <v>0</v>
      </c>
      <c r="P19" s="3">
        <f t="shared" si="5"/>
        <v>39456400.468682997</v>
      </c>
      <c r="Q19" s="3">
        <f t="shared" si="6"/>
        <v>28916939.748671431</v>
      </c>
      <c r="R19" s="3">
        <f t="shared" si="7"/>
        <v>0</v>
      </c>
      <c r="S19" s="47">
        <f t="shared" si="8"/>
        <v>76662352.190223932</v>
      </c>
      <c r="T19" s="47">
        <f>'Monthly Data'!Y19+'Monthly Data'!Z19</f>
        <v>1094.0270769230769</v>
      </c>
      <c r="U19" s="47">
        <f t="shared" si="9"/>
        <v>76663446.217300862</v>
      </c>
      <c r="V19" s="47">
        <f t="shared" si="10"/>
        <v>-418587.82373213768</v>
      </c>
      <c r="W19" s="18">
        <f t="shared" si="12"/>
        <v>5.4304200575365103E-3</v>
      </c>
      <c r="Z19" s="652" t="s">
        <v>309</v>
      </c>
      <c r="AA19" s="661">
        <v>0.89470000000000005</v>
      </c>
      <c r="AB19" s="652" t="s">
        <v>310</v>
      </c>
      <c r="AC19" s="661">
        <v>0.8891</v>
      </c>
    </row>
    <row r="20" spans="1:29">
      <c r="A20" s="2">
        <f>'Monthly Data'!A20</f>
        <v>42917</v>
      </c>
      <c r="B20">
        <f>'Monthly Data'!B20</f>
        <v>2017</v>
      </c>
      <c r="C20">
        <f>'Monthly Data'!C20</f>
        <v>7</v>
      </c>
      <c r="D20" s="3">
        <f>'Monthly Data'!X20</f>
        <v>79033735.183162868</v>
      </c>
      <c r="E20" s="3">
        <f>'Monthly Data'!CN20</f>
        <v>14.412500000000009</v>
      </c>
      <c r="F20" s="3">
        <f>'Monthly Data'!CW20</f>
        <v>260.16666666666657</v>
      </c>
      <c r="G20">
        <f>'Monthly Data'!EG20</f>
        <v>0</v>
      </c>
      <c r="H20" s="3">
        <f>'Monthly Data'!DQ20</f>
        <v>31</v>
      </c>
      <c r="I20" s="3">
        <f>'Monthly Data'!DL20</f>
        <v>765009</v>
      </c>
      <c r="J20" s="489">
        <f>'Monthly Data'!EJ20</f>
        <v>0</v>
      </c>
      <c r="L20" s="436">
        <f t="shared" si="1"/>
        <v>-4442160.1424492002</v>
      </c>
      <c r="M20" s="3">
        <f t="shared" si="2"/>
        <v>313815.33389423456</v>
      </c>
      <c r="N20" s="3">
        <f t="shared" si="3"/>
        <v>16772153.273706861</v>
      </c>
      <c r="O20" s="3">
        <f t="shared" si="4"/>
        <v>0</v>
      </c>
      <c r="P20" s="3">
        <f t="shared" si="5"/>
        <v>40771613.817639098</v>
      </c>
      <c r="Q20" s="3">
        <f t="shared" si="6"/>
        <v>28929532.455826238</v>
      </c>
      <c r="R20" s="3">
        <f t="shared" si="7"/>
        <v>0</v>
      </c>
      <c r="S20" s="47">
        <f t="shared" si="8"/>
        <v>82344954.738617226</v>
      </c>
      <c r="T20" s="47">
        <f>'Monthly Data'!Y20+'Monthly Data'!Z20</f>
        <v>1276.3649230769229</v>
      </c>
      <c r="U20" s="47">
        <f t="shared" si="9"/>
        <v>82346231.103540301</v>
      </c>
      <c r="V20" s="47">
        <f t="shared" si="10"/>
        <v>3312495.9203774333</v>
      </c>
      <c r="W20" s="18">
        <f t="shared" si="12"/>
        <v>4.1912430340039379E-2</v>
      </c>
      <c r="Z20" s="652" t="s">
        <v>321</v>
      </c>
      <c r="AA20" s="655">
        <v>154.05000000000001</v>
      </c>
      <c r="AB20" s="652" t="s">
        <v>312</v>
      </c>
      <c r="AC20" s="661">
        <v>0</v>
      </c>
    </row>
    <row r="21" spans="1:29">
      <c r="A21" s="2">
        <f>'Monthly Data'!A21</f>
        <v>42948</v>
      </c>
      <c r="B21">
        <f>'Monthly Data'!B21</f>
        <v>2017</v>
      </c>
      <c r="C21">
        <f>'Monthly Data'!C21</f>
        <v>8</v>
      </c>
      <c r="D21" s="3">
        <f>'Monthly Data'!X21</f>
        <v>81952676.665490463</v>
      </c>
      <c r="E21" s="3">
        <f>'Monthly Data'!CN21</f>
        <v>46.587500000000006</v>
      </c>
      <c r="F21" s="3">
        <f>'Monthly Data'!CW21</f>
        <v>217.42409420289852</v>
      </c>
      <c r="G21">
        <f>'Monthly Data'!EG21</f>
        <v>0</v>
      </c>
      <c r="H21" s="3">
        <f>'Monthly Data'!DQ21</f>
        <v>31</v>
      </c>
      <c r="I21" s="3">
        <f>'Monthly Data'!DL21</f>
        <v>765009</v>
      </c>
      <c r="J21" s="489">
        <f>'Monthly Data'!EJ21</f>
        <v>0</v>
      </c>
      <c r="L21" s="436">
        <f t="shared" si="1"/>
        <v>-4442160.1424492002</v>
      </c>
      <c r="M21" s="3">
        <f t="shared" si="2"/>
        <v>1014388.3342791082</v>
      </c>
      <c r="N21" s="3">
        <f t="shared" si="3"/>
        <v>14016669.699043797</v>
      </c>
      <c r="O21" s="3">
        <f t="shared" si="4"/>
        <v>0</v>
      </c>
      <c r="P21" s="3">
        <f t="shared" si="5"/>
        <v>40771613.817639098</v>
      </c>
      <c r="Q21" s="3">
        <f t="shared" si="6"/>
        <v>28929532.455826238</v>
      </c>
      <c r="R21" s="3">
        <f t="shared" si="7"/>
        <v>0</v>
      </c>
      <c r="S21" s="47">
        <f t="shared" si="8"/>
        <v>80290044.164339036</v>
      </c>
      <c r="T21" s="47">
        <f>'Monthly Data'!Y21+'Monthly Data'!Z21</f>
        <v>1458.702769230769</v>
      </c>
      <c r="U21" s="47">
        <f t="shared" si="9"/>
        <v>80291502.867108271</v>
      </c>
      <c r="V21" s="47">
        <f t="shared" si="10"/>
        <v>-1661173.7983821929</v>
      </c>
      <c r="W21" s="18">
        <f t="shared" si="12"/>
        <v>2.0269915101890724E-2</v>
      </c>
      <c r="Z21" s="652" t="s">
        <v>313</v>
      </c>
      <c r="AA21" s="661">
        <v>-3.5400000000000001E-2</v>
      </c>
      <c r="AB21" s="652" t="s">
        <v>314</v>
      </c>
      <c r="AC21" s="661">
        <v>2.0552000000000001</v>
      </c>
    </row>
    <row r="22" spans="1:29">
      <c r="A22" s="2">
        <f>'Monthly Data'!A22</f>
        <v>42979</v>
      </c>
      <c r="B22">
        <f>'Monthly Data'!B22</f>
        <v>2017</v>
      </c>
      <c r="C22">
        <f>'Monthly Data'!C22</f>
        <v>9</v>
      </c>
      <c r="D22" s="3">
        <f>'Monthly Data'!X22</f>
        <v>78946500.321015731</v>
      </c>
      <c r="E22" s="3">
        <f>'Monthly Data'!CN22</f>
        <v>100.06666666666666</v>
      </c>
      <c r="F22" s="3">
        <f>'Monthly Data'!CW22</f>
        <v>161.3125</v>
      </c>
      <c r="G22">
        <f>'Monthly Data'!EG22</f>
        <v>1</v>
      </c>
      <c r="H22" s="3">
        <f>'Monthly Data'!DQ22</f>
        <v>30</v>
      </c>
      <c r="I22" s="3">
        <f>'Monthly Data'!DL22</f>
        <v>765009</v>
      </c>
      <c r="J22" s="489">
        <f>'Monthly Data'!EJ22</f>
        <v>0</v>
      </c>
      <c r="L22" s="436">
        <f t="shared" si="1"/>
        <v>-4442160.1424492002</v>
      </c>
      <c r="M22" s="3">
        <f t="shared" si="2"/>
        <v>2178834.6512876363</v>
      </c>
      <c r="N22" s="3">
        <f t="shared" si="3"/>
        <v>10399325.976802712</v>
      </c>
      <c r="O22" s="3">
        <f t="shared" si="4"/>
        <v>1833644.83418835</v>
      </c>
      <c r="P22" s="3">
        <f t="shared" si="5"/>
        <v>39456400.468682997</v>
      </c>
      <c r="Q22" s="3">
        <f t="shared" si="6"/>
        <v>28929532.455826238</v>
      </c>
      <c r="R22" s="3">
        <f t="shared" si="7"/>
        <v>0</v>
      </c>
      <c r="S22" s="47">
        <f t="shared" si="8"/>
        <v>78355578.244338736</v>
      </c>
      <c r="T22" s="47">
        <f>'Monthly Data'!Y22+'Monthly Data'!Z22</f>
        <v>1641.0406153846152</v>
      </c>
      <c r="U22" s="47">
        <f t="shared" si="9"/>
        <v>78357219.284954116</v>
      </c>
      <c r="V22" s="47">
        <f t="shared" si="10"/>
        <v>-589281.03606161475</v>
      </c>
      <c r="W22" s="18">
        <f t="shared" si="12"/>
        <v>7.46430853382296E-3</v>
      </c>
    </row>
    <row r="23" spans="1:29">
      <c r="A23" s="2">
        <f>'Monthly Data'!A23</f>
        <v>43009</v>
      </c>
      <c r="B23">
        <f>'Monthly Data'!B23</f>
        <v>2017</v>
      </c>
      <c r="C23">
        <f>'Monthly Data'!C23</f>
        <v>10</v>
      </c>
      <c r="D23" s="3">
        <f>'Monthly Data'!X23</f>
        <v>76944611.206654161</v>
      </c>
      <c r="E23" s="3">
        <f>'Monthly Data'!CN23</f>
        <v>238.48333333333335</v>
      </c>
      <c r="F23" s="3">
        <f>'Monthly Data'!CW23</f>
        <v>59.400000000000006</v>
      </c>
      <c r="G23">
        <f>'Monthly Data'!EG23</f>
        <v>1</v>
      </c>
      <c r="H23" s="3">
        <f>'Monthly Data'!DQ23</f>
        <v>31</v>
      </c>
      <c r="I23" s="3">
        <f>'Monthly Data'!DL23</f>
        <v>771506</v>
      </c>
      <c r="J23" s="489">
        <f>'Monthly Data'!EJ23</f>
        <v>0</v>
      </c>
      <c r="L23" s="436">
        <f t="shared" si="1"/>
        <v>-4442160.1424492002</v>
      </c>
      <c r="M23" s="3">
        <f t="shared" si="2"/>
        <v>5192695.7070744149</v>
      </c>
      <c r="N23" s="3">
        <f t="shared" si="3"/>
        <v>3829337.2368668341</v>
      </c>
      <c r="O23" s="3">
        <f t="shared" si="4"/>
        <v>1833644.83418835</v>
      </c>
      <c r="P23" s="3">
        <f t="shared" si="5"/>
        <v>40771613.817639098</v>
      </c>
      <c r="Q23" s="3">
        <f t="shared" si="6"/>
        <v>29175222.60112584</v>
      </c>
      <c r="R23" s="3">
        <f t="shared" si="7"/>
        <v>0</v>
      </c>
      <c r="S23" s="47">
        <f t="shared" si="8"/>
        <v>76360354.054445341</v>
      </c>
      <c r="T23" s="47">
        <f>'Monthly Data'!Y23+'Monthly Data'!Z23</f>
        <v>1823.3784615384614</v>
      </c>
      <c r="U23" s="47">
        <f t="shared" si="9"/>
        <v>76362177.432906881</v>
      </c>
      <c r="V23" s="47">
        <f t="shared" si="10"/>
        <v>-582433.77374728024</v>
      </c>
      <c r="W23" s="18">
        <f t="shared" si="12"/>
        <v>7.5695200042405495E-3</v>
      </c>
      <c r="Z23" s="657" t="s">
        <v>315</v>
      </c>
      <c r="AA23" s="658"/>
      <c r="AB23" s="658"/>
      <c r="AC23" s="659"/>
    </row>
    <row r="24" spans="1:29">
      <c r="A24" s="2">
        <f>'Monthly Data'!A24</f>
        <v>43040</v>
      </c>
      <c r="B24">
        <f>'Monthly Data'!B24</f>
        <v>2017</v>
      </c>
      <c r="C24">
        <f>'Monthly Data'!C24</f>
        <v>11</v>
      </c>
      <c r="D24" s="3">
        <f>'Monthly Data'!X24</f>
        <v>78143965.867086679</v>
      </c>
      <c r="E24" s="3">
        <f>'Monthly Data'!CN24</f>
        <v>502.61174242424244</v>
      </c>
      <c r="F24" s="3">
        <f>'Monthly Data'!CW24</f>
        <v>0</v>
      </c>
      <c r="G24">
        <f>'Monthly Data'!EG24</f>
        <v>1</v>
      </c>
      <c r="H24" s="3">
        <f>'Monthly Data'!DQ24</f>
        <v>30</v>
      </c>
      <c r="I24" s="3">
        <f>'Monthly Data'!DL24</f>
        <v>771506</v>
      </c>
      <c r="J24" s="489">
        <f>'Monthly Data'!EJ24</f>
        <v>0</v>
      </c>
      <c r="L24" s="436">
        <f t="shared" si="1"/>
        <v>-4442160.1424492002</v>
      </c>
      <c r="M24" s="3">
        <f t="shared" si="2"/>
        <v>10943782.950079901</v>
      </c>
      <c r="N24" s="3">
        <f t="shared" si="3"/>
        <v>0</v>
      </c>
      <c r="O24" s="3">
        <f t="shared" si="4"/>
        <v>1833644.83418835</v>
      </c>
      <c r="P24" s="3">
        <f t="shared" si="5"/>
        <v>39456400.468682997</v>
      </c>
      <c r="Q24" s="3">
        <f t="shared" si="6"/>
        <v>29175222.60112584</v>
      </c>
      <c r="R24" s="3">
        <f t="shared" si="7"/>
        <v>0</v>
      </c>
      <c r="S24" s="47">
        <f t="shared" si="8"/>
        <v>76966890.711627886</v>
      </c>
      <c r="T24" s="47">
        <f>'Monthly Data'!Y24+'Monthly Data'!Z24</f>
        <v>2005.7163076923073</v>
      </c>
      <c r="U24" s="47">
        <f t="shared" si="9"/>
        <v>76968896.427935585</v>
      </c>
      <c r="V24" s="47">
        <f t="shared" si="10"/>
        <v>-1175069.4391510934</v>
      </c>
      <c r="W24" s="18">
        <f t="shared" si="12"/>
        <v>1.5037238334559864E-2</v>
      </c>
      <c r="Z24" s="652" t="s">
        <v>316</v>
      </c>
      <c r="AA24" s="654">
        <v>80284281</v>
      </c>
      <c r="AB24" s="652" t="s">
        <v>317</v>
      </c>
      <c r="AC24" s="654">
        <v>4483390</v>
      </c>
    </row>
    <row r="25" spans="1:29">
      <c r="A25" s="2">
        <f>'Monthly Data'!A25</f>
        <v>43070</v>
      </c>
      <c r="B25">
        <f>'Monthly Data'!B25</f>
        <v>2017</v>
      </c>
      <c r="C25">
        <f>'Monthly Data'!C25</f>
        <v>12</v>
      </c>
      <c r="D25" s="3">
        <f>'Monthly Data'!X25</f>
        <v>79908916.146969751</v>
      </c>
      <c r="E25" s="3">
        <f>'Monthly Data'!CN25</f>
        <v>798.31250000000011</v>
      </c>
      <c r="F25" s="3">
        <f>'Monthly Data'!CW25</f>
        <v>0</v>
      </c>
      <c r="G25">
        <f>'Monthly Data'!EG25</f>
        <v>0</v>
      </c>
      <c r="H25" s="3">
        <f>'Monthly Data'!DQ25</f>
        <v>31</v>
      </c>
      <c r="I25" s="3">
        <f>'Monthly Data'!DL25</f>
        <v>771506</v>
      </c>
      <c r="J25" s="489">
        <f>'Monthly Data'!EJ25</f>
        <v>0</v>
      </c>
      <c r="L25" s="436">
        <f t="shared" si="1"/>
        <v>-4442160.1424492002</v>
      </c>
      <c r="M25" s="3">
        <f t="shared" si="2"/>
        <v>17382321.161452979</v>
      </c>
      <c r="N25" s="3">
        <f t="shared" si="3"/>
        <v>0</v>
      </c>
      <c r="O25" s="3">
        <f t="shared" si="4"/>
        <v>0</v>
      </c>
      <c r="P25" s="3">
        <f t="shared" si="5"/>
        <v>40771613.817639098</v>
      </c>
      <c r="Q25" s="3">
        <f t="shared" si="6"/>
        <v>29175222.60112584</v>
      </c>
      <c r="R25" s="3">
        <f t="shared" si="7"/>
        <v>0</v>
      </c>
      <c r="S25" s="47">
        <f t="shared" si="8"/>
        <v>82886997.437768713</v>
      </c>
      <c r="T25" s="47">
        <f>'Monthly Data'!Y25+'Monthly Data'!Z25</f>
        <v>2188.0541538461539</v>
      </c>
      <c r="U25" s="47">
        <f t="shared" si="9"/>
        <v>82889185.491922557</v>
      </c>
      <c r="V25" s="47">
        <f t="shared" si="10"/>
        <v>2980269.3449528068</v>
      </c>
      <c r="W25" s="18">
        <f t="shared" si="12"/>
        <v>3.7295829910537745E-2</v>
      </c>
      <c r="AA25" s="3"/>
      <c r="AC25" s="3"/>
    </row>
    <row r="26" spans="1:29">
      <c r="A26" s="2">
        <f>'Monthly Data'!A26</f>
        <v>43101</v>
      </c>
      <c r="B26">
        <f>'Monthly Data'!B26</f>
        <v>2018</v>
      </c>
      <c r="C26">
        <f>'Monthly Data'!C26</f>
        <v>1</v>
      </c>
      <c r="D26" s="3">
        <f>'Monthly Data'!X26</f>
        <v>85722541.594353452</v>
      </c>
      <c r="E26" s="3">
        <f>'Monthly Data'!CN26</f>
        <v>812.53750000000002</v>
      </c>
      <c r="F26" s="3">
        <f>'Monthly Data'!CW26</f>
        <v>0</v>
      </c>
      <c r="G26">
        <f>'Monthly Data'!EG26</f>
        <v>0</v>
      </c>
      <c r="H26" s="3">
        <f>'Monthly Data'!DQ26</f>
        <v>31</v>
      </c>
      <c r="I26" s="3">
        <f>'Monthly Data'!DL26</f>
        <v>779694</v>
      </c>
      <c r="J26" s="489">
        <f>'Monthly Data'!EJ26</f>
        <v>0</v>
      </c>
      <c r="L26" s="436">
        <f t="shared" si="1"/>
        <v>-4442160.1424492002</v>
      </c>
      <c r="M26" s="3">
        <f t="shared" si="2"/>
        <v>17692053.902104873</v>
      </c>
      <c r="N26" s="3">
        <f t="shared" si="3"/>
        <v>0</v>
      </c>
      <c r="O26" s="3">
        <f t="shared" si="4"/>
        <v>0</v>
      </c>
      <c r="P26" s="3">
        <f t="shared" si="5"/>
        <v>40771613.817639098</v>
      </c>
      <c r="Q26" s="3">
        <f t="shared" si="6"/>
        <v>29484859.496571913</v>
      </c>
      <c r="R26" s="3">
        <f t="shared" si="7"/>
        <v>0</v>
      </c>
      <c r="S26" s="47">
        <f t="shared" si="8"/>
        <v>83506367.07386668</v>
      </c>
      <c r="T26" s="47">
        <f>'Monthly Data'!Y26+'Monthly Data'!Z26</f>
        <v>2827.9730769230769</v>
      </c>
      <c r="U26" s="47">
        <f t="shared" si="9"/>
        <v>83509195.046943605</v>
      </c>
      <c r="V26" s="47">
        <f t="shared" si="10"/>
        <v>-2213346.5474098474</v>
      </c>
      <c r="W26" s="18">
        <f t="shared" si="12"/>
        <v>2.5819889450823755E-2</v>
      </c>
    </row>
    <row r="27" spans="1:29">
      <c r="A27" s="2">
        <f>'Monthly Data'!A27</f>
        <v>43132</v>
      </c>
      <c r="B27">
        <f>'Monthly Data'!B27</f>
        <v>2018</v>
      </c>
      <c r="C27">
        <f>'Monthly Data'!C27</f>
        <v>2</v>
      </c>
      <c r="D27" s="3">
        <f>'Monthly Data'!X27</f>
        <v>76123246.532861605</v>
      </c>
      <c r="E27" s="3">
        <f>'Monthly Data'!CN27</f>
        <v>632.49583333333328</v>
      </c>
      <c r="F27" s="3">
        <f>'Monthly Data'!CW27</f>
        <v>0</v>
      </c>
      <c r="G27">
        <f>'Monthly Data'!EG27</f>
        <v>0</v>
      </c>
      <c r="H27" s="3">
        <f>'Monthly Data'!DQ27</f>
        <v>28</v>
      </c>
      <c r="I27" s="3">
        <f>'Monthly Data'!DL27</f>
        <v>779694</v>
      </c>
      <c r="J27" s="489">
        <f>'Monthly Data'!EJ27</f>
        <v>0</v>
      </c>
      <c r="L27" s="436">
        <f t="shared" si="1"/>
        <v>-4442160.1424492002</v>
      </c>
      <c r="M27" s="3">
        <f t="shared" si="2"/>
        <v>13771857.14651948</v>
      </c>
      <c r="N27" s="3">
        <f t="shared" si="3"/>
        <v>0</v>
      </c>
      <c r="O27" s="3">
        <f t="shared" si="4"/>
        <v>0</v>
      </c>
      <c r="P27" s="3">
        <f t="shared" si="5"/>
        <v>36825973.770770796</v>
      </c>
      <c r="Q27" s="3">
        <f t="shared" si="6"/>
        <v>29484859.496571913</v>
      </c>
      <c r="R27" s="3">
        <f t="shared" si="7"/>
        <v>0</v>
      </c>
      <c r="S27" s="47">
        <f t="shared" si="8"/>
        <v>75640530.271412998</v>
      </c>
      <c r="T27" s="47">
        <f>'Monthly Data'!Y27+'Monthly Data'!Z27</f>
        <v>3285.5541538461539</v>
      </c>
      <c r="U27" s="47">
        <f t="shared" si="9"/>
        <v>75643815.825566843</v>
      </c>
      <c r="V27" s="47">
        <f t="shared" si="10"/>
        <v>-479430.70729476213</v>
      </c>
      <c r="W27" s="18">
        <f t="shared" si="12"/>
        <v>6.2980853961318757E-3</v>
      </c>
    </row>
    <row r="28" spans="1:29">
      <c r="A28" s="2">
        <f>'Monthly Data'!A28</f>
        <v>43160</v>
      </c>
      <c r="B28">
        <f>'Monthly Data'!B28</f>
        <v>2018</v>
      </c>
      <c r="C28">
        <f>'Monthly Data'!C28</f>
        <v>3</v>
      </c>
      <c r="D28" s="3">
        <f>'Monthly Data'!X28</f>
        <v>81114704.588170037</v>
      </c>
      <c r="E28" s="3">
        <f>'Monthly Data'!CN28</f>
        <v>629.27916666666681</v>
      </c>
      <c r="F28" s="3">
        <f>'Monthly Data'!CW28</f>
        <v>0</v>
      </c>
      <c r="G28">
        <f>'Monthly Data'!EG28</f>
        <v>1</v>
      </c>
      <c r="H28" s="3">
        <f>'Monthly Data'!DQ28</f>
        <v>31</v>
      </c>
      <c r="I28" s="3">
        <f>'Monthly Data'!DL28</f>
        <v>779694</v>
      </c>
      <c r="J28" s="489">
        <f>'Monthly Data'!EJ28</f>
        <v>0</v>
      </c>
      <c r="L28" s="436">
        <f t="shared" si="1"/>
        <v>-4442160.1424492002</v>
      </c>
      <c r="M28" s="3">
        <f t="shared" si="2"/>
        <v>13701817.991339853</v>
      </c>
      <c r="N28" s="3">
        <f t="shared" si="3"/>
        <v>0</v>
      </c>
      <c r="O28" s="3">
        <f t="shared" si="4"/>
        <v>1833644.83418835</v>
      </c>
      <c r="P28" s="3">
        <f t="shared" si="5"/>
        <v>40771613.817639098</v>
      </c>
      <c r="Q28" s="3">
        <f t="shared" si="6"/>
        <v>29484859.496571913</v>
      </c>
      <c r="R28" s="3">
        <f t="shared" si="7"/>
        <v>0</v>
      </c>
      <c r="S28" s="47">
        <f t="shared" si="8"/>
        <v>81349775.997290015</v>
      </c>
      <c r="T28" s="47">
        <f>'Monthly Data'!Y28+'Monthly Data'!Z28</f>
        <v>3743.1352307692309</v>
      </c>
      <c r="U28" s="47">
        <f t="shared" si="9"/>
        <v>81353519.13252078</v>
      </c>
      <c r="V28" s="47">
        <f t="shared" si="10"/>
        <v>238814.54435074329</v>
      </c>
      <c r="W28" s="18">
        <f t="shared" si="12"/>
        <v>2.9441584674842368E-3</v>
      </c>
    </row>
    <row r="29" spans="1:29">
      <c r="A29" s="2">
        <f>'Monthly Data'!A29</f>
        <v>43191</v>
      </c>
      <c r="B29">
        <f>'Monthly Data'!B29</f>
        <v>2018</v>
      </c>
      <c r="C29">
        <f>'Monthly Data'!C29</f>
        <v>4</v>
      </c>
      <c r="D29" s="3">
        <f>'Monthly Data'!X29</f>
        <v>77267427.025850743</v>
      </c>
      <c r="E29" s="3">
        <f>'Monthly Data'!CN29</f>
        <v>512.51666666666677</v>
      </c>
      <c r="F29" s="3">
        <f>'Monthly Data'!CW29</f>
        <v>0</v>
      </c>
      <c r="G29">
        <f>'Monthly Data'!EG29</f>
        <v>1</v>
      </c>
      <c r="H29" s="3">
        <f>'Monthly Data'!DQ29</f>
        <v>30</v>
      </c>
      <c r="I29" s="3">
        <f>'Monthly Data'!DL29</f>
        <v>785185</v>
      </c>
      <c r="J29" s="489">
        <f>'Monthly Data'!EJ29</f>
        <v>0</v>
      </c>
      <c r="L29" s="436">
        <f t="shared" si="1"/>
        <v>-4442160.1424492002</v>
      </c>
      <c r="M29" s="3">
        <f t="shared" si="2"/>
        <v>11159451.092895756</v>
      </c>
      <c r="N29" s="3">
        <f t="shared" si="3"/>
        <v>0</v>
      </c>
      <c r="O29" s="3">
        <f t="shared" si="4"/>
        <v>1833644.83418835</v>
      </c>
      <c r="P29" s="3">
        <f t="shared" si="5"/>
        <v>39456400.468682997</v>
      </c>
      <c r="Q29" s="3">
        <f t="shared" si="6"/>
        <v>29692506.808845285</v>
      </c>
      <c r="R29" s="3">
        <f t="shared" si="7"/>
        <v>0</v>
      </c>
      <c r="S29" s="47">
        <f t="shared" si="8"/>
        <v>77699843.062163189</v>
      </c>
      <c r="T29" s="47">
        <f>'Monthly Data'!Y29+'Monthly Data'!Z29</f>
        <v>4200.716307692308</v>
      </c>
      <c r="U29" s="47">
        <f t="shared" si="9"/>
        <v>77704043.778470889</v>
      </c>
      <c r="V29" s="47">
        <f t="shared" si="10"/>
        <v>436616.75262014568</v>
      </c>
      <c r="W29" s="18">
        <f t="shared" si="12"/>
        <v>5.6507220367784513E-3</v>
      </c>
    </row>
    <row r="30" spans="1:29">
      <c r="A30" s="2">
        <f>'Monthly Data'!A30</f>
        <v>43221</v>
      </c>
      <c r="B30">
        <f>'Monthly Data'!B30</f>
        <v>2018</v>
      </c>
      <c r="C30">
        <f>'Monthly Data'!C30</f>
        <v>5</v>
      </c>
      <c r="D30" s="3">
        <f>'Monthly Data'!X30</f>
        <v>78670991.457707956</v>
      </c>
      <c r="E30" s="3">
        <f>'Monthly Data'!CN30</f>
        <v>140.84469696969697</v>
      </c>
      <c r="F30" s="3">
        <f>'Monthly Data'!CW30</f>
        <v>127.46720779220779</v>
      </c>
      <c r="G30">
        <f>'Monthly Data'!EG30</f>
        <v>1</v>
      </c>
      <c r="H30" s="3">
        <f>'Monthly Data'!DQ30</f>
        <v>31</v>
      </c>
      <c r="I30" s="3">
        <f>'Monthly Data'!DL30</f>
        <v>785185</v>
      </c>
      <c r="J30" s="489">
        <f>'Monthly Data'!EJ30</f>
        <v>0</v>
      </c>
      <c r="L30" s="436">
        <f t="shared" si="1"/>
        <v>-4442160.1424492002</v>
      </c>
      <c r="M30" s="3">
        <f t="shared" si="2"/>
        <v>3066728.576359252</v>
      </c>
      <c r="N30" s="3">
        <f t="shared" si="3"/>
        <v>8217422.984480531</v>
      </c>
      <c r="O30" s="3">
        <f t="shared" si="4"/>
        <v>1833644.83418835</v>
      </c>
      <c r="P30" s="3">
        <f t="shared" si="5"/>
        <v>40771613.817639098</v>
      </c>
      <c r="Q30" s="3">
        <f t="shared" si="6"/>
        <v>29692506.808845285</v>
      </c>
      <c r="R30" s="3">
        <f t="shared" si="7"/>
        <v>0</v>
      </c>
      <c r="S30" s="47">
        <f t="shared" si="8"/>
        <v>79139756.879063308</v>
      </c>
      <c r="T30" s="47">
        <f>'Monthly Data'!Y30+'Monthly Data'!Z30</f>
        <v>4658.2973846153855</v>
      </c>
      <c r="U30" s="47">
        <f t="shared" si="9"/>
        <v>79144415.176447928</v>
      </c>
      <c r="V30" s="47">
        <f t="shared" si="10"/>
        <v>473423.71873997152</v>
      </c>
      <c r="W30" s="18">
        <f t="shared" si="12"/>
        <v>6.0177672858549797E-3</v>
      </c>
    </row>
    <row r="31" spans="1:29">
      <c r="A31" s="2">
        <f>'Monthly Data'!A31</f>
        <v>43252</v>
      </c>
      <c r="B31">
        <f>'Monthly Data'!B31</f>
        <v>2018</v>
      </c>
      <c r="C31">
        <f>'Monthly Data'!C31</f>
        <v>6</v>
      </c>
      <c r="D31" s="3">
        <f>'Monthly Data'!X31</f>
        <v>79797560.326718315</v>
      </c>
      <c r="E31" s="3">
        <f>'Monthly Data'!CN31</f>
        <v>63.468560606060585</v>
      </c>
      <c r="F31" s="3">
        <f>'Monthly Data'!CW31</f>
        <v>198.19393939393944</v>
      </c>
      <c r="G31">
        <f>'Monthly Data'!EG31</f>
        <v>0</v>
      </c>
      <c r="H31" s="3">
        <f>'Monthly Data'!DQ31</f>
        <v>30</v>
      </c>
      <c r="I31" s="3">
        <f>'Monthly Data'!DL31</f>
        <v>785185</v>
      </c>
      <c r="J31" s="489">
        <f>'Monthly Data'!EJ31</f>
        <v>0</v>
      </c>
      <c r="L31" s="436">
        <f t="shared" si="1"/>
        <v>-4442160.1424492002</v>
      </c>
      <c r="M31" s="3">
        <f t="shared" si="2"/>
        <v>1381953.6886992094</v>
      </c>
      <c r="N31" s="3">
        <f t="shared" si="3"/>
        <v>12776960.138763312</v>
      </c>
      <c r="O31" s="3">
        <f t="shared" si="4"/>
        <v>0</v>
      </c>
      <c r="P31" s="3">
        <f t="shared" si="5"/>
        <v>39456400.468682997</v>
      </c>
      <c r="Q31" s="3">
        <f t="shared" si="6"/>
        <v>29692506.808845285</v>
      </c>
      <c r="R31" s="3">
        <f t="shared" si="7"/>
        <v>0</v>
      </c>
      <c r="S31" s="47">
        <f t="shared" si="8"/>
        <v>78865660.962541595</v>
      </c>
      <c r="T31" s="47">
        <f>'Monthly Data'!Y31+'Monthly Data'!Z31</f>
        <v>5115.878461538462</v>
      </c>
      <c r="U31" s="47">
        <f t="shared" si="9"/>
        <v>78870776.841003135</v>
      </c>
      <c r="V31" s="47">
        <f t="shared" si="10"/>
        <v>-926783.48571518064</v>
      </c>
      <c r="W31" s="18">
        <f t="shared" si="12"/>
        <v>1.1614183214632305E-2</v>
      </c>
    </row>
    <row r="32" spans="1:29">
      <c r="A32" s="2">
        <f>'Monthly Data'!A32</f>
        <v>43282</v>
      </c>
      <c r="B32">
        <f>'Monthly Data'!B32</f>
        <v>2018</v>
      </c>
      <c r="C32">
        <f>'Monthly Data'!C32</f>
        <v>7</v>
      </c>
      <c r="D32" s="3">
        <f>'Monthly Data'!X32</f>
        <v>85257772.592525274</v>
      </c>
      <c r="E32" s="3">
        <f>'Monthly Data'!CN32</f>
        <v>4.9668995859213254</v>
      </c>
      <c r="F32" s="3">
        <f>'Monthly Data'!CW32</f>
        <v>318.39861424807077</v>
      </c>
      <c r="G32">
        <f>'Monthly Data'!EG32</f>
        <v>0</v>
      </c>
      <c r="H32" s="3">
        <f>'Monthly Data'!DQ32</f>
        <v>31</v>
      </c>
      <c r="I32" s="3">
        <f>'Monthly Data'!DL32</f>
        <v>794512</v>
      </c>
      <c r="J32" s="489">
        <f>'Monthly Data'!EJ32</f>
        <v>0</v>
      </c>
      <c r="L32" s="436">
        <f t="shared" si="1"/>
        <v>-4442160.1424492002</v>
      </c>
      <c r="M32" s="3">
        <f t="shared" si="2"/>
        <v>108148.43031916984</v>
      </c>
      <c r="N32" s="3">
        <f t="shared" si="3"/>
        <v>20526189.725705996</v>
      </c>
      <c r="O32" s="3">
        <f t="shared" si="4"/>
        <v>0</v>
      </c>
      <c r="P32" s="3">
        <f t="shared" si="5"/>
        <v>40771613.817639098</v>
      </c>
      <c r="Q32" s="3">
        <f t="shared" si="6"/>
        <v>30045216.056992028</v>
      </c>
      <c r="R32" s="3">
        <f t="shared" si="7"/>
        <v>0</v>
      </c>
      <c r="S32" s="47">
        <f t="shared" si="8"/>
        <v>87009007.888207093</v>
      </c>
      <c r="T32" s="47">
        <f>'Monthly Data'!Y32+'Monthly Data'!Z32</f>
        <v>5573.4595384615386</v>
      </c>
      <c r="U32" s="47">
        <f t="shared" si="9"/>
        <v>87014581.347745553</v>
      </c>
      <c r="V32" s="47">
        <f t="shared" si="10"/>
        <v>1756808.7552202791</v>
      </c>
      <c r="W32" s="18">
        <f t="shared" si="12"/>
        <v>2.0605848614139166E-2</v>
      </c>
    </row>
    <row r="33" spans="1:23">
      <c r="A33" s="2">
        <f>'Monthly Data'!A33</f>
        <v>43313</v>
      </c>
      <c r="B33">
        <f>'Monthly Data'!B33</f>
        <v>2018</v>
      </c>
      <c r="C33">
        <f>'Monthly Data'!C33</f>
        <v>8</v>
      </c>
      <c r="D33" s="3">
        <f>'Monthly Data'!X33</f>
        <v>87250530.844027832</v>
      </c>
      <c r="E33" s="3">
        <f>'Monthly Data'!CN33</f>
        <v>7.2291666666666679</v>
      </c>
      <c r="F33" s="3">
        <f>'Monthly Data'!CW33</f>
        <v>314.24583333333334</v>
      </c>
      <c r="G33">
        <f>'Monthly Data'!EG33</f>
        <v>0</v>
      </c>
      <c r="H33" s="3">
        <f>'Monthly Data'!DQ33</f>
        <v>31</v>
      </c>
      <c r="I33" s="3">
        <f>'Monthly Data'!DL33</f>
        <v>794512</v>
      </c>
      <c r="J33" s="489">
        <f>'Monthly Data'!EJ33</f>
        <v>0</v>
      </c>
      <c r="L33" s="436">
        <f t="shared" si="1"/>
        <v>-4442160.1424492002</v>
      </c>
      <c r="M33" s="3">
        <f t="shared" si="2"/>
        <v>157406.65056562496</v>
      </c>
      <c r="N33" s="3">
        <f t="shared" si="3"/>
        <v>20258472.577669736</v>
      </c>
      <c r="O33" s="3">
        <f t="shared" si="4"/>
        <v>0</v>
      </c>
      <c r="P33" s="3">
        <f t="shared" si="5"/>
        <v>40771613.817639098</v>
      </c>
      <c r="Q33" s="3">
        <f t="shared" si="6"/>
        <v>30045216.056992028</v>
      </c>
      <c r="R33" s="3">
        <f t="shared" si="7"/>
        <v>0</v>
      </c>
      <c r="S33" s="47">
        <f t="shared" si="8"/>
        <v>86790548.960417286</v>
      </c>
      <c r="T33" s="47">
        <f>'Monthly Data'!Y33+'Monthly Data'!Z33</f>
        <v>6031.0406153846161</v>
      </c>
      <c r="U33" s="47">
        <f t="shared" si="9"/>
        <v>86796580.001032665</v>
      </c>
      <c r="V33" s="47">
        <f t="shared" si="10"/>
        <v>-453950.84299516678</v>
      </c>
      <c r="W33" s="18">
        <f t="shared" si="12"/>
        <v>5.2028433363536268E-3</v>
      </c>
    </row>
    <row r="34" spans="1:23">
      <c r="A34" s="2">
        <f>'Monthly Data'!A34</f>
        <v>43344</v>
      </c>
      <c r="B34">
        <f>'Monthly Data'!B34</f>
        <v>2018</v>
      </c>
      <c r="C34">
        <f>'Monthly Data'!C34</f>
        <v>9</v>
      </c>
      <c r="D34" s="3">
        <f>'Monthly Data'!X34</f>
        <v>81235573.495459378</v>
      </c>
      <c r="E34" s="3">
        <f>'Monthly Data'!CN34</f>
        <v>92.370833333333337</v>
      </c>
      <c r="F34" s="3">
        <f>'Monthly Data'!CW34</f>
        <v>183.48333333333329</v>
      </c>
      <c r="G34">
        <f>'Monthly Data'!EG34</f>
        <v>1</v>
      </c>
      <c r="H34" s="3">
        <f>'Monthly Data'!DQ34</f>
        <v>30</v>
      </c>
      <c r="I34" s="3">
        <f>'Monthly Data'!DL34</f>
        <v>794512</v>
      </c>
      <c r="J34" s="489">
        <f>'Monthly Data'!EJ34</f>
        <v>0</v>
      </c>
      <c r="L34" s="436">
        <f t="shared" ref="L34:L65" si="13">$AA$9</f>
        <v>-4442160.1424492002</v>
      </c>
      <c r="M34" s="3">
        <f t="shared" ref="M34:M65" si="14">E34*$AA$10</f>
        <v>2011266.8797633082</v>
      </c>
      <c r="N34" s="3">
        <f t="shared" ref="N34:N65" si="15">F34*$AA$11</f>
        <v>11828612.132622605</v>
      </c>
      <c r="O34" s="3">
        <f t="shared" ref="O34:O65" si="16">G34*$AA$12</f>
        <v>1833644.83418835</v>
      </c>
      <c r="P34" s="3">
        <f t="shared" ref="P34:P65" si="17">H34*$AA$13</f>
        <v>39456400.468682997</v>
      </c>
      <c r="Q34" s="3">
        <f t="shared" ref="Q34:Q65" si="18">I34*$AA$14</f>
        <v>30045216.056992028</v>
      </c>
      <c r="R34" s="3">
        <f t="shared" ref="R34:R65" si="19">J34*$AA$15</f>
        <v>0</v>
      </c>
      <c r="S34" s="47">
        <f t="shared" si="8"/>
        <v>80732980.22980009</v>
      </c>
      <c r="T34" s="47">
        <f>'Monthly Data'!Y34+'Monthly Data'!Z34</f>
        <v>6488.6216923076936</v>
      </c>
      <c r="U34" s="47">
        <f t="shared" si="9"/>
        <v>80739468.851492405</v>
      </c>
      <c r="V34" s="47">
        <f t="shared" si="10"/>
        <v>-496104.64396697283</v>
      </c>
      <c r="W34" s="18">
        <f t="shared" si="12"/>
        <v>6.1069876486401905E-3</v>
      </c>
    </row>
    <row r="35" spans="1:23">
      <c r="A35" s="2">
        <f>'Monthly Data'!A35</f>
        <v>43374</v>
      </c>
      <c r="B35">
        <f>'Monthly Data'!B35</f>
        <v>2018</v>
      </c>
      <c r="C35">
        <f>'Monthly Data'!C35</f>
        <v>10</v>
      </c>
      <c r="D35" s="3">
        <f>'Monthly Data'!X35</f>
        <v>79512419.693735272</v>
      </c>
      <c r="E35" s="3">
        <f>'Monthly Data'!CN35</f>
        <v>364.80833333333339</v>
      </c>
      <c r="F35" s="3">
        <f>'Monthly Data'!CW35</f>
        <v>25.358333333333334</v>
      </c>
      <c r="G35">
        <f>'Monthly Data'!EG35</f>
        <v>1</v>
      </c>
      <c r="H35" s="3">
        <f>'Monthly Data'!DQ35</f>
        <v>31</v>
      </c>
      <c r="I35" s="3">
        <f>'Monthly Data'!DL35</f>
        <v>799922</v>
      </c>
      <c r="J35" s="489">
        <f>'Monthly Data'!EJ35</f>
        <v>0</v>
      </c>
      <c r="L35" s="436">
        <f t="shared" si="13"/>
        <v>-4442160.1424492002</v>
      </c>
      <c r="M35" s="3">
        <f t="shared" si="14"/>
        <v>7943274.8608776536</v>
      </c>
      <c r="N35" s="3">
        <f t="shared" si="15"/>
        <v>1634774.580778027</v>
      </c>
      <c r="O35" s="3">
        <f t="shared" si="16"/>
        <v>1833644.83418835</v>
      </c>
      <c r="P35" s="3">
        <f t="shared" si="17"/>
        <v>40771613.817639098</v>
      </c>
      <c r="Q35" s="3">
        <f t="shared" si="18"/>
        <v>30249800.278335858</v>
      </c>
      <c r="R35" s="3">
        <f t="shared" si="19"/>
        <v>0</v>
      </c>
      <c r="S35" s="47">
        <f t="shared" si="8"/>
        <v>77990948.229369789</v>
      </c>
      <c r="T35" s="47">
        <f>'Monthly Data'!Y35+'Monthly Data'!Z35</f>
        <v>6946.2027692307702</v>
      </c>
      <c r="U35" s="47">
        <f t="shared" si="9"/>
        <v>77997894.432139024</v>
      </c>
      <c r="V35" s="47">
        <f t="shared" si="10"/>
        <v>-1514525.2615962476</v>
      </c>
      <c r="W35" s="18">
        <f t="shared" si="12"/>
        <v>1.9047656547617E-2</v>
      </c>
    </row>
    <row r="36" spans="1:23">
      <c r="A36" s="2">
        <f>'Monthly Data'!A36</f>
        <v>43405</v>
      </c>
      <c r="B36">
        <f>'Monthly Data'!B36</f>
        <v>2018</v>
      </c>
      <c r="C36">
        <f>'Monthly Data'!C36</f>
        <v>11</v>
      </c>
      <c r="D36" s="3">
        <f>'Monthly Data'!X36</f>
        <v>79879095.054420561</v>
      </c>
      <c r="E36" s="3">
        <f>'Monthly Data'!CN36</f>
        <v>563.52499999999998</v>
      </c>
      <c r="F36" s="3">
        <f>'Monthly Data'!CW36</f>
        <v>0</v>
      </c>
      <c r="G36">
        <f>'Monthly Data'!EG36</f>
        <v>1</v>
      </c>
      <c r="H36" s="3">
        <f>'Monthly Data'!DQ36</f>
        <v>30</v>
      </c>
      <c r="I36" s="3">
        <f>'Monthly Data'!DL36</f>
        <v>799922</v>
      </c>
      <c r="J36" s="489">
        <f>'Monthly Data'!EJ36</f>
        <v>0</v>
      </c>
      <c r="L36" s="436">
        <f t="shared" si="13"/>
        <v>-4442160.1424492002</v>
      </c>
      <c r="M36" s="3">
        <f t="shared" si="14"/>
        <v>12270097.903399717</v>
      </c>
      <c r="N36" s="3">
        <f t="shared" si="15"/>
        <v>0</v>
      </c>
      <c r="O36" s="3">
        <f t="shared" si="16"/>
        <v>1833644.83418835</v>
      </c>
      <c r="P36" s="3">
        <f t="shared" si="17"/>
        <v>39456400.468682997</v>
      </c>
      <c r="Q36" s="3">
        <f t="shared" si="18"/>
        <v>30249800.278335858</v>
      </c>
      <c r="R36" s="3">
        <f t="shared" si="19"/>
        <v>0</v>
      </c>
      <c r="S36" s="47">
        <f t="shared" si="8"/>
        <v>79367783.342157722</v>
      </c>
      <c r="T36" s="47">
        <f>'Monthly Data'!Y36+'Monthly Data'!Z36</f>
        <v>7403.7838461538468</v>
      </c>
      <c r="U36" s="47">
        <f t="shared" si="9"/>
        <v>79375187.126003876</v>
      </c>
      <c r="V36" s="47">
        <f t="shared" si="10"/>
        <v>-503907.92841668427</v>
      </c>
      <c r="W36" s="18">
        <f t="shared" si="12"/>
        <v>6.3083830390589495E-3</v>
      </c>
    </row>
    <row r="37" spans="1:23">
      <c r="A37" s="2">
        <f>'Monthly Data'!A37</f>
        <v>43435</v>
      </c>
      <c r="B37">
        <f>'Monthly Data'!B37</f>
        <v>2018</v>
      </c>
      <c r="C37">
        <f>'Monthly Data'!C37</f>
        <v>12</v>
      </c>
      <c r="D37" s="3">
        <f>'Monthly Data'!X37</f>
        <v>77971955.269303411</v>
      </c>
      <c r="E37" s="3">
        <f>'Monthly Data'!CN37</f>
        <v>646.91666666666663</v>
      </c>
      <c r="F37" s="3">
        <f>'Monthly Data'!CW37</f>
        <v>0</v>
      </c>
      <c r="G37">
        <f>'Monthly Data'!EG37</f>
        <v>0</v>
      </c>
      <c r="H37" s="3">
        <f>'Monthly Data'!DQ37</f>
        <v>31</v>
      </c>
      <c r="I37" s="3">
        <f>'Monthly Data'!DL37</f>
        <v>799922</v>
      </c>
      <c r="J37" s="489">
        <f>'Monthly Data'!EJ37</f>
        <v>0</v>
      </c>
      <c r="L37" s="436">
        <f t="shared" si="13"/>
        <v>-4442160.1424492002</v>
      </c>
      <c r="M37" s="3">
        <f t="shared" si="14"/>
        <v>14085853.929002265</v>
      </c>
      <c r="N37" s="3">
        <f t="shared" si="15"/>
        <v>0</v>
      </c>
      <c r="O37" s="3">
        <f t="shared" si="16"/>
        <v>0</v>
      </c>
      <c r="P37" s="3">
        <f t="shared" si="17"/>
        <v>40771613.817639098</v>
      </c>
      <c r="Q37" s="3">
        <f t="shared" si="18"/>
        <v>30249800.278335858</v>
      </c>
      <c r="R37" s="3">
        <f t="shared" si="19"/>
        <v>0</v>
      </c>
      <c r="S37" s="47">
        <f t="shared" si="8"/>
        <v>80665107.882528022</v>
      </c>
      <c r="T37" s="47">
        <f>'Monthly Data'!Y37+'Monthly Data'!Z37</f>
        <v>7861.3649230769242</v>
      </c>
      <c r="U37" s="47">
        <f t="shared" si="9"/>
        <v>80672969.247451097</v>
      </c>
      <c r="V37" s="47">
        <f t="shared" si="10"/>
        <v>2701013.9781476855</v>
      </c>
      <c r="W37" s="18">
        <f t="shared" si="12"/>
        <v>3.46408393738337E-2</v>
      </c>
    </row>
    <row r="38" spans="1:23">
      <c r="A38" s="2">
        <f>'Monthly Data'!A38</f>
        <v>43466</v>
      </c>
      <c r="B38">
        <f>'Monthly Data'!B38</f>
        <v>2019</v>
      </c>
      <c r="C38">
        <f>'Monthly Data'!C38</f>
        <v>1</v>
      </c>
      <c r="D38" s="3">
        <f>'Monthly Data'!X38</f>
        <v>86497239.860314414</v>
      </c>
      <c r="E38" s="3">
        <f>'Monthly Data'!CN38</f>
        <v>841.93333333333351</v>
      </c>
      <c r="F38" s="3">
        <f>'Monthly Data'!CW38</f>
        <v>0</v>
      </c>
      <c r="G38">
        <f>'Monthly Data'!EG38</f>
        <v>0</v>
      </c>
      <c r="H38" s="3">
        <f>'Monthly Data'!DQ38</f>
        <v>31</v>
      </c>
      <c r="I38" s="3">
        <f>'Monthly Data'!DL38</f>
        <v>800743</v>
      </c>
      <c r="J38" s="489">
        <f>'Monthly Data'!EJ38</f>
        <v>0</v>
      </c>
      <c r="L38" s="436">
        <f t="shared" si="13"/>
        <v>-4442160.1424492002</v>
      </c>
      <c r="M38" s="3">
        <f t="shared" si="14"/>
        <v>18332113.798208904</v>
      </c>
      <c r="N38" s="3">
        <f t="shared" si="15"/>
        <v>0</v>
      </c>
      <c r="O38" s="3">
        <f t="shared" si="16"/>
        <v>0</v>
      </c>
      <c r="P38" s="3">
        <f t="shared" si="17"/>
        <v>40771613.817639098</v>
      </c>
      <c r="Q38" s="3">
        <f t="shared" si="18"/>
        <v>30280847.162942749</v>
      </c>
      <c r="R38" s="3">
        <f t="shared" si="19"/>
        <v>0</v>
      </c>
      <c r="S38" s="47">
        <f t="shared" si="8"/>
        <v>84942414.636341557</v>
      </c>
      <c r="T38" s="47">
        <f ca="1">'Monthly Data'!Y38+'Monthly Data'!Z38</f>
        <v>30203.057167938648</v>
      </c>
      <c r="U38" s="47">
        <f t="shared" ca="1" si="9"/>
        <v>84972617.693509489</v>
      </c>
      <c r="V38" s="47">
        <f t="shared" ca="1" si="10"/>
        <v>-1524622.1668049246</v>
      </c>
      <c r="W38" s="18">
        <f t="shared" ca="1" si="12"/>
        <v>1.7626252228013957E-2</v>
      </c>
    </row>
    <row r="39" spans="1:23">
      <c r="A39" s="2">
        <f>'Monthly Data'!A39</f>
        <v>43497</v>
      </c>
      <c r="B39">
        <f>'Monthly Data'!B39</f>
        <v>2019</v>
      </c>
      <c r="C39">
        <f>'Monthly Data'!C39</f>
        <v>2</v>
      </c>
      <c r="D39" s="3">
        <f>'Monthly Data'!X39</f>
        <v>78415629.865525275</v>
      </c>
      <c r="E39" s="3">
        <f>'Monthly Data'!CN39</f>
        <v>695.30416666666645</v>
      </c>
      <c r="F39" s="3">
        <f>'Monthly Data'!CW39</f>
        <v>0</v>
      </c>
      <c r="G39">
        <f>'Monthly Data'!EG39</f>
        <v>0</v>
      </c>
      <c r="H39" s="3">
        <f>'Monthly Data'!DQ39</f>
        <v>28</v>
      </c>
      <c r="I39" s="3">
        <f>'Monthly Data'!DL39</f>
        <v>800743</v>
      </c>
      <c r="J39" s="489">
        <f>'Monthly Data'!EJ39</f>
        <v>0</v>
      </c>
      <c r="L39" s="436">
        <f t="shared" si="13"/>
        <v>-4442160.1424492002</v>
      </c>
      <c r="M39" s="3">
        <f t="shared" si="14"/>
        <v>15139435.158407794</v>
      </c>
      <c r="N39" s="3">
        <f t="shared" si="15"/>
        <v>0</v>
      </c>
      <c r="O39" s="3">
        <f t="shared" si="16"/>
        <v>0</v>
      </c>
      <c r="P39" s="3">
        <f t="shared" si="17"/>
        <v>36825973.770770796</v>
      </c>
      <c r="Q39" s="3">
        <f t="shared" si="18"/>
        <v>30280847.162942749</v>
      </c>
      <c r="R39" s="3">
        <f t="shared" si="19"/>
        <v>0</v>
      </c>
      <c r="S39" s="47">
        <f t="shared" si="8"/>
        <v>77804095.949672133</v>
      </c>
      <c r="T39" s="47">
        <f ca="1">'Monthly Data'!Y39+'Monthly Data'!Z39</f>
        <v>26520.095021178786</v>
      </c>
      <c r="U39" s="47">
        <f t="shared" ca="1" si="9"/>
        <v>77830616.044693306</v>
      </c>
      <c r="V39" s="47">
        <f t="shared" ca="1" si="10"/>
        <v>-585013.82083196938</v>
      </c>
      <c r="W39" s="18">
        <f t="shared" ca="1" si="12"/>
        <v>7.4604236659860769E-3</v>
      </c>
    </row>
    <row r="40" spans="1:23">
      <c r="A40" s="2">
        <f>'Monthly Data'!A40</f>
        <v>43525</v>
      </c>
      <c r="B40">
        <f>'Monthly Data'!B40</f>
        <v>2019</v>
      </c>
      <c r="C40">
        <f>'Monthly Data'!C40</f>
        <v>3</v>
      </c>
      <c r="D40" s="3">
        <f>'Monthly Data'!X40</f>
        <v>83608311.235796288</v>
      </c>
      <c r="E40" s="3">
        <f>'Monthly Data'!CN40</f>
        <v>673.45833333333326</v>
      </c>
      <c r="F40" s="3">
        <f>'Monthly Data'!CW40</f>
        <v>0</v>
      </c>
      <c r="G40">
        <f>'Monthly Data'!EG40</f>
        <v>1</v>
      </c>
      <c r="H40" s="3">
        <f>'Monthly Data'!DQ40</f>
        <v>31</v>
      </c>
      <c r="I40" s="3">
        <f>'Monthly Data'!DL40</f>
        <v>800743</v>
      </c>
      <c r="J40" s="489">
        <f>'Monthly Data'!EJ40</f>
        <v>0</v>
      </c>
      <c r="L40" s="436">
        <f t="shared" si="13"/>
        <v>-4442160.1424492002</v>
      </c>
      <c r="M40" s="3">
        <f t="shared" si="14"/>
        <v>14663767.683528505</v>
      </c>
      <c r="N40" s="3">
        <f t="shared" si="15"/>
        <v>0</v>
      </c>
      <c r="O40" s="3">
        <f t="shared" si="16"/>
        <v>1833644.83418835</v>
      </c>
      <c r="P40" s="3">
        <f t="shared" si="17"/>
        <v>40771613.817639098</v>
      </c>
      <c r="Q40" s="3">
        <f t="shared" si="18"/>
        <v>30280847.162942749</v>
      </c>
      <c r="R40" s="3">
        <f t="shared" si="19"/>
        <v>0</v>
      </c>
      <c r="S40" s="47">
        <f t="shared" si="8"/>
        <v>83107713.355849504</v>
      </c>
      <c r="T40" s="47">
        <f ca="1">'Monthly Data'!Y40+'Monthly Data'!Z40</f>
        <v>25969.500043415512</v>
      </c>
      <c r="U40" s="47">
        <f t="shared" ca="1" si="9"/>
        <v>83133682.855892926</v>
      </c>
      <c r="V40" s="47">
        <f t="shared" ca="1" si="10"/>
        <v>-474628.3799033612</v>
      </c>
      <c r="W40" s="18">
        <f t="shared" ca="1" si="12"/>
        <v>5.6768085957960663E-3</v>
      </c>
    </row>
    <row r="41" spans="1:23">
      <c r="A41" s="2">
        <f>'Monthly Data'!A41</f>
        <v>43556</v>
      </c>
      <c r="B41">
        <f>'Monthly Data'!B41</f>
        <v>2019</v>
      </c>
      <c r="C41">
        <f>'Monthly Data'!C41</f>
        <v>4</v>
      </c>
      <c r="D41" s="3">
        <f>'Monthly Data'!X41</f>
        <v>76308940.453928128</v>
      </c>
      <c r="E41" s="3">
        <f>'Monthly Data'!CN41</f>
        <v>426.6541666666667</v>
      </c>
      <c r="F41" s="3">
        <f>'Monthly Data'!CW41</f>
        <v>0.84583333333333144</v>
      </c>
      <c r="G41">
        <f>'Monthly Data'!EG41</f>
        <v>1</v>
      </c>
      <c r="H41" s="3">
        <f>'Monthly Data'!DQ41</f>
        <v>30</v>
      </c>
      <c r="I41" s="3">
        <f>'Monthly Data'!DL41</f>
        <v>806729</v>
      </c>
      <c r="J41" s="489">
        <f>'Monthly Data'!EJ41</f>
        <v>0</v>
      </c>
      <c r="L41" s="436">
        <f t="shared" si="13"/>
        <v>-4442160.1424492002</v>
      </c>
      <c r="M41" s="3">
        <f t="shared" si="14"/>
        <v>9289895.5607886445</v>
      </c>
      <c r="N41" s="3">
        <f t="shared" si="15"/>
        <v>54528.301001961663</v>
      </c>
      <c r="O41" s="3">
        <f t="shared" si="16"/>
        <v>1833644.83418835</v>
      </c>
      <c r="P41" s="3">
        <f t="shared" si="17"/>
        <v>39456400.468682997</v>
      </c>
      <c r="Q41" s="3">
        <f t="shared" si="18"/>
        <v>30507213.364230022</v>
      </c>
      <c r="R41" s="3">
        <f t="shared" si="19"/>
        <v>0</v>
      </c>
      <c r="S41" s="47">
        <f t="shared" si="8"/>
        <v>76699522.38644278</v>
      </c>
      <c r="T41" s="47">
        <f ca="1">'Monthly Data'!Y41+'Monthly Data'!Z41</f>
        <v>19393.252690535788</v>
      </c>
      <c r="U41" s="47">
        <f t="shared" ca="1" si="9"/>
        <v>76718915.639133319</v>
      </c>
      <c r="V41" s="47">
        <f t="shared" ca="1" si="10"/>
        <v>409975.18520519137</v>
      </c>
      <c r="W41" s="18">
        <f t="shared" ca="1" si="12"/>
        <v>5.3725707992593056E-3</v>
      </c>
    </row>
    <row r="42" spans="1:23">
      <c r="A42" s="2">
        <f>'Monthly Data'!A42</f>
        <v>43586</v>
      </c>
      <c r="B42">
        <f>'Monthly Data'!B42</f>
        <v>2019</v>
      </c>
      <c r="C42">
        <f>'Monthly Data'!C42</f>
        <v>5</v>
      </c>
      <c r="D42" s="3">
        <f>'Monthly Data'!X42</f>
        <v>76938346.159465671</v>
      </c>
      <c r="E42" s="3">
        <f>'Monthly Data'!CN42</f>
        <v>267.53464912280702</v>
      </c>
      <c r="F42" s="3">
        <f>'Monthly Data'!CW42</f>
        <v>27.579166666666666</v>
      </c>
      <c r="G42">
        <f>'Monthly Data'!EG42</f>
        <v>1</v>
      </c>
      <c r="H42" s="3">
        <f>'Monthly Data'!DQ42</f>
        <v>31</v>
      </c>
      <c r="I42" s="3">
        <f>'Monthly Data'!DL42</f>
        <v>806729</v>
      </c>
      <c r="J42" s="489">
        <f>'Monthly Data'!EJ42</f>
        <v>0</v>
      </c>
      <c r="L42" s="436">
        <f t="shared" si="13"/>
        <v>-4442160.1424492002</v>
      </c>
      <c r="M42" s="3">
        <f t="shared" si="14"/>
        <v>5825254.1365308259</v>
      </c>
      <c r="N42" s="3">
        <f t="shared" si="15"/>
        <v>1777944.9474482024</v>
      </c>
      <c r="O42" s="3">
        <f t="shared" si="16"/>
        <v>1833644.83418835</v>
      </c>
      <c r="P42" s="3">
        <f t="shared" si="17"/>
        <v>40771613.817639098</v>
      </c>
      <c r="Q42" s="3">
        <f t="shared" si="18"/>
        <v>30507213.364230022</v>
      </c>
      <c r="R42" s="3">
        <f t="shared" si="19"/>
        <v>0</v>
      </c>
      <c r="S42" s="47">
        <f t="shared" si="8"/>
        <v>76273510.957587302</v>
      </c>
      <c r="T42" s="47">
        <f ca="1">'Monthly Data'!Y42+'Monthly Data'!Z42</f>
        <v>15141.205551587902</v>
      </c>
      <c r="U42" s="47">
        <f t="shared" ca="1" si="9"/>
        <v>76288652.163138896</v>
      </c>
      <c r="V42" s="47">
        <f t="shared" ca="1" si="10"/>
        <v>-649693.99632677436</v>
      </c>
      <c r="W42" s="18">
        <f t="shared" ref="W42:W73" ca="1" si="20">ABS(V42/D42)</f>
        <v>8.4443457489999998E-3</v>
      </c>
    </row>
    <row r="43" spans="1:23">
      <c r="A43" s="2">
        <f>'Monthly Data'!A43</f>
        <v>43617</v>
      </c>
      <c r="B43">
        <f>'Monthly Data'!B43</f>
        <v>2019</v>
      </c>
      <c r="C43">
        <f>'Monthly Data'!C43</f>
        <v>6</v>
      </c>
      <c r="D43" s="3">
        <f>'Monthly Data'!X43</f>
        <v>77605851.276420832</v>
      </c>
      <c r="E43" s="3">
        <f>'Monthly Data'!CN43</f>
        <v>80.695833333333368</v>
      </c>
      <c r="F43" s="3">
        <f>'Monthly Data'!CW43</f>
        <v>173.67083333333326</v>
      </c>
      <c r="G43">
        <f>'Monthly Data'!EG43</f>
        <v>0</v>
      </c>
      <c r="H43" s="3">
        <f>'Monthly Data'!DQ43</f>
        <v>30</v>
      </c>
      <c r="I43" s="3">
        <f>'Monthly Data'!DL43</f>
        <v>806729</v>
      </c>
      <c r="J43" s="489">
        <f>'Monthly Data'!EJ43</f>
        <v>0</v>
      </c>
      <c r="L43" s="436">
        <f t="shared" si="13"/>
        <v>-4442160.1424492002</v>
      </c>
      <c r="M43" s="3">
        <f t="shared" si="14"/>
        <v>1757057.4072071814</v>
      </c>
      <c r="N43" s="3">
        <f t="shared" si="15"/>
        <v>11196030.118535805</v>
      </c>
      <c r="O43" s="3">
        <f t="shared" si="16"/>
        <v>0</v>
      </c>
      <c r="P43" s="3">
        <f t="shared" si="17"/>
        <v>39456400.468682997</v>
      </c>
      <c r="Q43" s="3">
        <f t="shared" si="18"/>
        <v>30507213.364230022</v>
      </c>
      <c r="R43" s="3">
        <f t="shared" si="19"/>
        <v>0</v>
      </c>
      <c r="S43" s="47">
        <f t="shared" ref="S43:S106" si="21">SUM(L43:R43)</f>
        <v>78474541.216206804</v>
      </c>
      <c r="T43" s="47">
        <f ca="1">'Monthly Data'!Y43+'Monthly Data'!Z43</f>
        <v>10936.531406659868</v>
      </c>
      <c r="U43" s="47">
        <f t="shared" ref="U43:U106" ca="1" si="22">S43+T43</f>
        <v>78485477.74761346</v>
      </c>
      <c r="V43" s="47">
        <f t="shared" ref="V43:V106" ca="1" si="23">U43-D43</f>
        <v>879626.47119262815</v>
      </c>
      <c r="W43" s="18">
        <f t="shared" ca="1" si="20"/>
        <v>1.1334538011309556E-2</v>
      </c>
    </row>
    <row r="44" spans="1:23">
      <c r="A44" s="2">
        <f>'Monthly Data'!A44</f>
        <v>43647</v>
      </c>
      <c r="B44">
        <f>'Monthly Data'!B44</f>
        <v>2019</v>
      </c>
      <c r="C44">
        <f>'Monthly Data'!C44</f>
        <v>7</v>
      </c>
      <c r="D44" s="3">
        <f>'Monthly Data'!X44</f>
        <v>86501222.434524</v>
      </c>
      <c r="E44" s="3">
        <f>'Monthly Data'!CN44</f>
        <v>0.97500000000000497</v>
      </c>
      <c r="F44" s="3">
        <f>'Monthly Data'!CW44</f>
        <v>321.60000000000002</v>
      </c>
      <c r="G44">
        <f>'Monthly Data'!EG44</f>
        <v>0</v>
      </c>
      <c r="H44" s="3">
        <f>'Monthly Data'!DQ44</f>
        <v>31</v>
      </c>
      <c r="I44" s="3">
        <f>'Monthly Data'!DL44</f>
        <v>810697</v>
      </c>
      <c r="J44" s="489">
        <f>'Monthly Data'!EJ44</f>
        <v>0</v>
      </c>
      <c r="L44" s="436">
        <f t="shared" si="13"/>
        <v>-4442160.1424492002</v>
      </c>
      <c r="M44" s="3">
        <f t="shared" si="14"/>
        <v>21229.484860147797</v>
      </c>
      <c r="N44" s="3">
        <f t="shared" si="15"/>
        <v>20732573.322834577</v>
      </c>
      <c r="O44" s="3">
        <f t="shared" si="16"/>
        <v>0</v>
      </c>
      <c r="P44" s="3">
        <f t="shared" si="17"/>
        <v>40771613.817639098</v>
      </c>
      <c r="Q44" s="3">
        <f t="shared" si="18"/>
        <v>30657267.003840428</v>
      </c>
      <c r="R44" s="3">
        <f t="shared" si="19"/>
        <v>0</v>
      </c>
      <c r="S44" s="47">
        <f t="shared" si="21"/>
        <v>87740523.486725047</v>
      </c>
      <c r="T44" s="47">
        <f ca="1">'Monthly Data'!Y44+'Monthly Data'!Z44</f>
        <v>9878.3790769230782</v>
      </c>
      <c r="U44" s="47">
        <f t="shared" ca="1" si="22"/>
        <v>87750401.865801975</v>
      </c>
      <c r="V44" s="47">
        <f t="shared" ca="1" si="23"/>
        <v>1249179.4312779754</v>
      </c>
      <c r="W44" s="18">
        <f t="shared" ca="1" si="20"/>
        <v>1.4441176622949184E-2</v>
      </c>
    </row>
    <row r="45" spans="1:23">
      <c r="A45" s="2">
        <f>'Monthly Data'!A45</f>
        <v>43678</v>
      </c>
      <c r="B45">
        <f>'Monthly Data'!B45</f>
        <v>2019</v>
      </c>
      <c r="C45">
        <f>'Monthly Data'!C45</f>
        <v>8</v>
      </c>
      <c r="D45" s="3">
        <f>'Monthly Data'!X45</f>
        <v>83448111.098995075</v>
      </c>
      <c r="E45" s="3">
        <f>'Monthly Data'!CN45</f>
        <v>19.091666666666661</v>
      </c>
      <c r="F45" s="3">
        <f>'Monthly Data'!CW45</f>
        <v>252.07083333333335</v>
      </c>
      <c r="G45">
        <f>'Monthly Data'!EG45</f>
        <v>0</v>
      </c>
      <c r="H45" s="3">
        <f>'Monthly Data'!DQ45</f>
        <v>31</v>
      </c>
      <c r="I45" s="3">
        <f>'Monthly Data'!DL45</f>
        <v>810697</v>
      </c>
      <c r="J45" s="489">
        <f>'Monthly Data'!EJ45</f>
        <v>0</v>
      </c>
      <c r="L45" s="436">
        <f t="shared" si="13"/>
        <v>-4442160.1424492002</v>
      </c>
      <c r="M45" s="3">
        <f t="shared" si="14"/>
        <v>415698.71636408835</v>
      </c>
      <c r="N45" s="3">
        <f t="shared" si="15"/>
        <v>16250239.535545234</v>
      </c>
      <c r="O45" s="3">
        <f t="shared" si="16"/>
        <v>0</v>
      </c>
      <c r="P45" s="3">
        <f t="shared" si="17"/>
        <v>40771613.817639098</v>
      </c>
      <c r="Q45" s="3">
        <f t="shared" si="18"/>
        <v>30657267.003840428</v>
      </c>
      <c r="R45" s="3">
        <f t="shared" si="19"/>
        <v>0</v>
      </c>
      <c r="S45" s="47">
        <f t="shared" si="21"/>
        <v>83652658.930939645</v>
      </c>
      <c r="T45" s="47">
        <f ca="1">'Monthly Data'!Y45+'Monthly Data'!Z45</f>
        <v>10230.185428546354</v>
      </c>
      <c r="U45" s="47">
        <f t="shared" ca="1" si="22"/>
        <v>83662889.116368189</v>
      </c>
      <c r="V45" s="47">
        <f t="shared" ca="1" si="23"/>
        <v>214778.01737311482</v>
      </c>
      <c r="W45" s="18">
        <f t="shared" ca="1" si="20"/>
        <v>2.5737912403831667E-3</v>
      </c>
    </row>
    <row r="46" spans="1:23">
      <c r="A46" s="2">
        <f>'Monthly Data'!A46</f>
        <v>43709</v>
      </c>
      <c r="B46">
        <f>'Monthly Data'!B46</f>
        <v>2019</v>
      </c>
      <c r="C46">
        <f>'Monthly Data'!C46</f>
        <v>9</v>
      </c>
      <c r="D46" s="3">
        <f>'Monthly Data'!X46</f>
        <v>77187590.955357417</v>
      </c>
      <c r="E46" s="3">
        <f>'Monthly Data'!CN46</f>
        <v>113.56666666666666</v>
      </c>
      <c r="F46" s="3">
        <f>'Monthly Data'!CW46</f>
        <v>131.93750000000003</v>
      </c>
      <c r="G46">
        <f>'Monthly Data'!EG46</f>
        <v>1</v>
      </c>
      <c r="H46" s="3">
        <f>'Monthly Data'!DQ46</f>
        <v>30</v>
      </c>
      <c r="I46" s="3">
        <f>'Monthly Data'!DL46</f>
        <v>810697</v>
      </c>
      <c r="J46" s="489">
        <f>'Monthly Data'!EJ46</f>
        <v>0</v>
      </c>
      <c r="L46" s="436">
        <f t="shared" si="13"/>
        <v>-4442160.1424492002</v>
      </c>
      <c r="M46" s="3">
        <f t="shared" si="14"/>
        <v>2472781.3647358348</v>
      </c>
      <c r="N46" s="3">
        <f t="shared" si="15"/>
        <v>8505609.119345421</v>
      </c>
      <c r="O46" s="3">
        <f t="shared" si="16"/>
        <v>1833644.83418835</v>
      </c>
      <c r="P46" s="3">
        <f t="shared" si="17"/>
        <v>39456400.468682997</v>
      </c>
      <c r="Q46" s="3">
        <f t="shared" si="18"/>
        <v>30657267.003840428</v>
      </c>
      <c r="R46" s="3">
        <f t="shared" si="19"/>
        <v>0</v>
      </c>
      <c r="S46" s="47">
        <f t="shared" si="21"/>
        <v>78483542.648343831</v>
      </c>
      <c r="T46" s="47">
        <f ca="1">'Monthly Data'!Y46+'Monthly Data'!Z46</f>
        <v>12047.38137160615</v>
      </c>
      <c r="U46" s="47">
        <f t="shared" ca="1" si="22"/>
        <v>78495590.029715434</v>
      </c>
      <c r="V46" s="47">
        <f t="shared" ca="1" si="23"/>
        <v>1307999.0743580163</v>
      </c>
      <c r="W46" s="18">
        <f t="shared" ca="1" si="20"/>
        <v>1.6945717027423705E-2</v>
      </c>
    </row>
    <row r="47" spans="1:23">
      <c r="A47" s="2">
        <f>'Monthly Data'!A47</f>
        <v>43739</v>
      </c>
      <c r="B47">
        <f>'Monthly Data'!B47</f>
        <v>2019</v>
      </c>
      <c r="C47">
        <f>'Monthly Data'!C47</f>
        <v>10</v>
      </c>
      <c r="D47" s="3">
        <f>'Monthly Data'!X47</f>
        <v>76077301.975405142</v>
      </c>
      <c r="E47" s="3">
        <f>'Monthly Data'!CN47</f>
        <v>303.96666666666664</v>
      </c>
      <c r="F47" s="3">
        <f>'Monthly Data'!CW47</f>
        <v>16.670833333333334</v>
      </c>
      <c r="G47">
        <f>'Monthly Data'!EG47</f>
        <v>1</v>
      </c>
      <c r="H47" s="3">
        <f>'Monthly Data'!DQ47</f>
        <v>31</v>
      </c>
      <c r="I47" s="3">
        <f>'Monthly Data'!DL47</f>
        <v>812164</v>
      </c>
      <c r="J47" s="489">
        <f>'Monthly Data'!EJ47</f>
        <v>0</v>
      </c>
      <c r="L47" s="436">
        <f t="shared" si="13"/>
        <v>-4442160.1424492002</v>
      </c>
      <c r="M47" s="3">
        <f t="shared" si="14"/>
        <v>6618518.715886726</v>
      </c>
      <c r="N47" s="3">
        <f t="shared" si="15"/>
        <v>1074717.8931470402</v>
      </c>
      <c r="O47" s="3">
        <f t="shared" si="16"/>
        <v>1833644.83418835</v>
      </c>
      <c r="P47" s="3">
        <f t="shared" si="17"/>
        <v>40771613.817639098</v>
      </c>
      <c r="Q47" s="3">
        <f t="shared" si="18"/>
        <v>30712742.984008893</v>
      </c>
      <c r="R47" s="3">
        <f t="shared" si="19"/>
        <v>0</v>
      </c>
      <c r="S47" s="47">
        <f t="shared" si="21"/>
        <v>76569078.102420911</v>
      </c>
      <c r="T47" s="47">
        <f ca="1">'Monthly Data'!Y47+'Monthly Data'!Z47</f>
        <v>17317.263396171118</v>
      </c>
      <c r="U47" s="47">
        <f t="shared" ca="1" si="22"/>
        <v>76586395.365817085</v>
      </c>
      <c r="V47" s="47">
        <f t="shared" ca="1" si="23"/>
        <v>509093.3904119432</v>
      </c>
      <c r="W47" s="18">
        <f t="shared" ca="1" si="20"/>
        <v>6.6917908126727056E-3</v>
      </c>
    </row>
    <row r="48" spans="1:23">
      <c r="A48" s="2">
        <f>'Monthly Data'!A48</f>
        <v>43770</v>
      </c>
      <c r="B48">
        <f>'Monthly Data'!B48</f>
        <v>2019</v>
      </c>
      <c r="C48">
        <f>'Monthly Data'!C48</f>
        <v>11</v>
      </c>
      <c r="D48" s="3">
        <f>'Monthly Data'!X48</f>
        <v>78034350.367794797</v>
      </c>
      <c r="E48" s="3">
        <f>'Monthly Data'!CN48</f>
        <v>589.72500000000002</v>
      </c>
      <c r="F48" s="3">
        <f>'Monthly Data'!CW48</f>
        <v>0</v>
      </c>
      <c r="G48">
        <f>'Monthly Data'!EG48</f>
        <v>1</v>
      </c>
      <c r="H48" s="3">
        <f>'Monthly Data'!DQ48</f>
        <v>30</v>
      </c>
      <c r="I48" s="3">
        <f>'Monthly Data'!DL48</f>
        <v>812164</v>
      </c>
      <c r="J48" s="489">
        <f>'Monthly Data'!EJ48</f>
        <v>0</v>
      </c>
      <c r="L48" s="436">
        <f t="shared" si="13"/>
        <v>-4442160.1424492002</v>
      </c>
      <c r="M48" s="3">
        <f t="shared" si="14"/>
        <v>12840572.265795482</v>
      </c>
      <c r="N48" s="3">
        <f t="shared" si="15"/>
        <v>0</v>
      </c>
      <c r="O48" s="3">
        <f t="shared" si="16"/>
        <v>1833644.83418835</v>
      </c>
      <c r="P48" s="3">
        <f t="shared" si="17"/>
        <v>39456400.468682997</v>
      </c>
      <c r="Q48" s="3">
        <f t="shared" si="18"/>
        <v>30712742.984008893</v>
      </c>
      <c r="R48" s="3">
        <f t="shared" si="19"/>
        <v>0</v>
      </c>
      <c r="S48" s="47">
        <f t="shared" si="21"/>
        <v>80401200.410226524</v>
      </c>
      <c r="T48" s="47">
        <f ca="1">'Monthly Data'!Y48+'Monthly Data'!Z48</f>
        <v>25481.703570511145</v>
      </c>
      <c r="U48" s="47">
        <f t="shared" ca="1" si="22"/>
        <v>80426682.113797039</v>
      </c>
      <c r="V48" s="47">
        <f t="shared" ca="1" si="23"/>
        <v>2392331.746002242</v>
      </c>
      <c r="W48" s="18">
        <f t="shared" ca="1" si="20"/>
        <v>3.0657418620474226E-2</v>
      </c>
    </row>
    <row r="49" spans="1:23">
      <c r="A49" s="2">
        <f>'Monthly Data'!A49</f>
        <v>43800</v>
      </c>
      <c r="B49">
        <f>'Monthly Data'!B49</f>
        <v>2019</v>
      </c>
      <c r="C49">
        <f>'Monthly Data'!C49</f>
        <v>12</v>
      </c>
      <c r="D49" s="3">
        <f>'Monthly Data'!X49</f>
        <v>78047543.867083848</v>
      </c>
      <c r="E49" s="3">
        <f>'Monthly Data'!CN49</f>
        <v>676.42916666666656</v>
      </c>
      <c r="F49" s="3">
        <f>'Monthly Data'!CW49</f>
        <v>0</v>
      </c>
      <c r="G49">
        <f>'Monthly Data'!EG49</f>
        <v>0</v>
      </c>
      <c r="H49" s="3">
        <f>'Monthly Data'!DQ49</f>
        <v>31</v>
      </c>
      <c r="I49" s="3">
        <f>'Monthly Data'!DL49</f>
        <v>812164</v>
      </c>
      <c r="J49" s="489">
        <f>'Monthly Data'!EJ49</f>
        <v>0</v>
      </c>
      <c r="L49" s="436">
        <f t="shared" si="13"/>
        <v>-4442160.1424492002</v>
      </c>
      <c r="M49" s="3">
        <f t="shared" si="14"/>
        <v>14728454.105345963</v>
      </c>
      <c r="N49" s="3">
        <f t="shared" si="15"/>
        <v>0</v>
      </c>
      <c r="O49" s="3">
        <f t="shared" si="16"/>
        <v>0</v>
      </c>
      <c r="P49" s="3">
        <f t="shared" si="17"/>
        <v>40771613.817639098</v>
      </c>
      <c r="Q49" s="3">
        <f t="shared" si="18"/>
        <v>30712742.984008893</v>
      </c>
      <c r="R49" s="3">
        <f t="shared" si="19"/>
        <v>0</v>
      </c>
      <c r="S49" s="47">
        <f t="shared" si="21"/>
        <v>81770650.764544755</v>
      </c>
      <c r="T49" s="47">
        <f ca="1">'Monthly Data'!Y49+'Monthly Data'!Z49</f>
        <v>28056.995321317969</v>
      </c>
      <c r="U49" s="47">
        <f t="shared" ca="1" si="22"/>
        <v>81798707.759866074</v>
      </c>
      <c r="V49" s="47">
        <f t="shared" ca="1" si="23"/>
        <v>3751163.8927822262</v>
      </c>
      <c r="W49" s="18">
        <f t="shared" ca="1" si="20"/>
        <v>4.8062548889053001E-2</v>
      </c>
    </row>
    <row r="50" spans="1:23">
      <c r="A50" s="2">
        <f>'Monthly Data'!A50</f>
        <v>43831</v>
      </c>
      <c r="B50">
        <f>'Monthly Data'!B50</f>
        <v>2020</v>
      </c>
      <c r="C50">
        <f>'Monthly Data'!C50</f>
        <v>1</v>
      </c>
      <c r="D50" s="3">
        <f>'Monthly Data'!X50</f>
        <v>82295613.627566695</v>
      </c>
      <c r="E50" s="3">
        <f>'Monthly Data'!CN50</f>
        <v>690.82083333333321</v>
      </c>
      <c r="F50" s="3">
        <f>'Monthly Data'!CW50</f>
        <v>0</v>
      </c>
      <c r="G50">
        <f>'Monthly Data'!EG50</f>
        <v>0</v>
      </c>
      <c r="H50" s="3">
        <f>'Monthly Data'!DQ50</f>
        <v>31</v>
      </c>
      <c r="I50" s="3">
        <f>'Monthly Data'!DL50</f>
        <v>801246</v>
      </c>
      <c r="J50" s="489">
        <f>'Monthly Data'!EJ50</f>
        <v>0</v>
      </c>
      <c r="L50" s="436">
        <f t="shared" si="13"/>
        <v>-4442160.1424492002</v>
      </c>
      <c r="M50" s="3">
        <f t="shared" si="14"/>
        <v>15041815.817768827</v>
      </c>
      <c r="N50" s="3">
        <f t="shared" si="15"/>
        <v>0</v>
      </c>
      <c r="O50" s="3">
        <f t="shared" si="16"/>
        <v>0</v>
      </c>
      <c r="P50" s="3">
        <f t="shared" si="17"/>
        <v>40771613.817639098</v>
      </c>
      <c r="Q50" s="3">
        <f t="shared" si="18"/>
        <v>30299868.579455864</v>
      </c>
      <c r="R50" s="3">
        <f t="shared" si="19"/>
        <v>0</v>
      </c>
      <c r="S50" s="47">
        <f t="shared" si="21"/>
        <v>81671138.072414592</v>
      </c>
      <c r="T50" s="47">
        <f ca="1">'Monthly Data'!Y50+'Monthly Data'!Z50</f>
        <v>79982.435015421259</v>
      </c>
      <c r="U50" s="47">
        <f t="shared" ca="1" si="22"/>
        <v>81751120.507430017</v>
      </c>
      <c r="V50" s="47">
        <f t="shared" ca="1" si="23"/>
        <v>-544493.12013667822</v>
      </c>
      <c r="W50" s="18">
        <f t="shared" ca="1" si="20"/>
        <v>6.6163079189227704E-3</v>
      </c>
    </row>
    <row r="51" spans="1:23">
      <c r="A51" s="2">
        <f>'Monthly Data'!A51</f>
        <v>43862</v>
      </c>
      <c r="B51">
        <f>'Monthly Data'!B51</f>
        <v>2020</v>
      </c>
      <c r="C51">
        <f>'Monthly Data'!C51</f>
        <v>2</v>
      </c>
      <c r="D51" s="3">
        <f>'Monthly Data'!X51</f>
        <v>78273504.188309774</v>
      </c>
      <c r="E51" s="3">
        <f>'Monthly Data'!CN51</f>
        <v>678.4000000000002</v>
      </c>
      <c r="F51" s="3">
        <f>'Monthly Data'!CW51</f>
        <v>0</v>
      </c>
      <c r="G51">
        <f>'Monthly Data'!EG51</f>
        <v>0</v>
      </c>
      <c r="H51" s="3">
        <f>'Monthly Data'!DQ51</f>
        <v>29</v>
      </c>
      <c r="I51" s="3">
        <f>'Monthly Data'!DL51</f>
        <v>801246</v>
      </c>
      <c r="J51" s="489">
        <f>'Monthly Data'!EJ51</f>
        <v>0</v>
      </c>
      <c r="L51" s="436">
        <f t="shared" si="13"/>
        <v>-4442160.1424492002</v>
      </c>
      <c r="M51" s="3">
        <f t="shared" si="14"/>
        <v>14771366.696537636</v>
      </c>
      <c r="N51" s="3">
        <f t="shared" si="15"/>
        <v>0</v>
      </c>
      <c r="O51" s="3">
        <f t="shared" si="16"/>
        <v>0</v>
      </c>
      <c r="P51" s="3">
        <f t="shared" si="17"/>
        <v>38141187.119726896</v>
      </c>
      <c r="Q51" s="3">
        <f t="shared" si="18"/>
        <v>30299868.579455864</v>
      </c>
      <c r="R51" s="3">
        <f t="shared" si="19"/>
        <v>0</v>
      </c>
      <c r="S51" s="47">
        <f t="shared" si="21"/>
        <v>78770262.253271192</v>
      </c>
      <c r="T51" s="47">
        <f ca="1">'Monthly Data'!Y51+'Monthly Data'!Z51</f>
        <v>79323.603849366584</v>
      </c>
      <c r="U51" s="47">
        <f t="shared" ca="1" si="22"/>
        <v>78849585.857120559</v>
      </c>
      <c r="V51" s="47">
        <f t="shared" ca="1" si="23"/>
        <v>576081.66881078482</v>
      </c>
      <c r="W51" s="18">
        <f t="shared" ca="1" si="20"/>
        <v>7.3598553531582303E-3</v>
      </c>
    </row>
    <row r="52" spans="1:23">
      <c r="A52" s="2">
        <f>'Monthly Data'!A52</f>
        <v>43891</v>
      </c>
      <c r="B52">
        <f>'Monthly Data'!B52</f>
        <v>2020</v>
      </c>
      <c r="C52">
        <f>'Monthly Data'!C52</f>
        <v>3</v>
      </c>
      <c r="D52" s="3">
        <f>'Monthly Data'!X52</f>
        <v>76630953.950269327</v>
      </c>
      <c r="E52" s="3">
        <f>'Monthly Data'!CN52</f>
        <v>543.57083333333344</v>
      </c>
      <c r="F52" s="3">
        <f>'Monthly Data'!CW52</f>
        <v>0</v>
      </c>
      <c r="G52">
        <f>'Monthly Data'!EG52</f>
        <v>1</v>
      </c>
      <c r="H52" s="3">
        <f>'Monthly Data'!DQ52</f>
        <v>31</v>
      </c>
      <c r="I52" s="3">
        <f>'Monthly Data'!DL52</f>
        <v>801246</v>
      </c>
      <c r="J52" s="489">
        <f>'Monthly Data'!EJ52</f>
        <v>0.5</v>
      </c>
      <c r="L52" s="436">
        <f t="shared" si="13"/>
        <v>-4442160.1424492002</v>
      </c>
      <c r="M52" s="3">
        <f t="shared" si="14"/>
        <v>11835619.258120887</v>
      </c>
      <c r="N52" s="3">
        <f t="shared" si="15"/>
        <v>0</v>
      </c>
      <c r="O52" s="3">
        <f t="shared" si="16"/>
        <v>1833644.83418835</v>
      </c>
      <c r="P52" s="3">
        <f t="shared" si="17"/>
        <v>40771613.817639098</v>
      </c>
      <c r="Q52" s="3">
        <f t="shared" si="18"/>
        <v>30299868.579455864</v>
      </c>
      <c r="R52" s="3">
        <f t="shared" si="19"/>
        <v>-3032882.7856020052</v>
      </c>
      <c r="S52" s="47">
        <f t="shared" si="21"/>
        <v>77265703.561352998</v>
      </c>
      <c r="T52" s="47">
        <f ca="1">'Monthly Data'!Y52+'Monthly Data'!Z52</f>
        <v>64457.040450512781</v>
      </c>
      <c r="U52" s="47">
        <f t="shared" ca="1" si="22"/>
        <v>77330160.601803511</v>
      </c>
      <c r="V52" s="47">
        <f t="shared" ca="1" si="23"/>
        <v>699206.65153418481</v>
      </c>
      <c r="W52" s="18">
        <f t="shared" ca="1" si="20"/>
        <v>9.124337039937468E-3</v>
      </c>
    </row>
    <row r="53" spans="1:23">
      <c r="A53" s="2">
        <f>'Monthly Data'!A53</f>
        <v>43922</v>
      </c>
      <c r="B53">
        <f>'Monthly Data'!B53</f>
        <v>2020</v>
      </c>
      <c r="C53">
        <f>'Monthly Data'!C53</f>
        <v>4</v>
      </c>
      <c r="D53" s="3">
        <f>'Monthly Data'!X53</f>
        <v>64456209.695909761</v>
      </c>
      <c r="E53" s="3">
        <f>'Monthly Data'!CN53</f>
        <v>439.67500000000013</v>
      </c>
      <c r="F53" s="3">
        <f>'Monthly Data'!CW53</f>
        <v>0</v>
      </c>
      <c r="G53">
        <f>'Monthly Data'!EG53</f>
        <v>1</v>
      </c>
      <c r="H53" s="3">
        <f>'Monthly Data'!DQ53</f>
        <v>30</v>
      </c>
      <c r="I53" s="3">
        <f>'Monthly Data'!DL53</f>
        <v>705711</v>
      </c>
      <c r="J53" s="489">
        <f>'Monthly Data'!EJ53</f>
        <v>1</v>
      </c>
      <c r="L53" s="436">
        <f t="shared" si="13"/>
        <v>-4442160.1424492002</v>
      </c>
      <c r="M53" s="3">
        <f t="shared" si="14"/>
        <v>9573408.9803953208</v>
      </c>
      <c r="N53" s="3">
        <f t="shared" si="15"/>
        <v>0</v>
      </c>
      <c r="O53" s="3">
        <f t="shared" si="16"/>
        <v>1833644.83418835</v>
      </c>
      <c r="P53" s="3">
        <f t="shared" si="17"/>
        <v>39456400.468682997</v>
      </c>
      <c r="Q53" s="3">
        <f t="shared" si="18"/>
        <v>26687122.999773324</v>
      </c>
      <c r="R53" s="3">
        <f t="shared" si="19"/>
        <v>-6065765.5712040104</v>
      </c>
      <c r="S53" s="47">
        <f t="shared" si="21"/>
        <v>67042651.56938678</v>
      </c>
      <c r="T53" s="47">
        <f ca="1">'Monthly Data'!Y53+'Monthly Data'!Z53</f>
        <v>53614.291305334329</v>
      </c>
      <c r="U53" s="47">
        <f t="shared" ca="1" si="22"/>
        <v>67096265.860692114</v>
      </c>
      <c r="V53" s="47">
        <f t="shared" ca="1" si="23"/>
        <v>2640056.1647823527</v>
      </c>
      <c r="W53" s="18">
        <f t="shared" ca="1" si="20"/>
        <v>4.0958911131100603E-2</v>
      </c>
    </row>
    <row r="54" spans="1:23">
      <c r="A54" s="2">
        <f>'Monthly Data'!A54</f>
        <v>43952</v>
      </c>
      <c r="B54">
        <f>'Monthly Data'!B54</f>
        <v>2020</v>
      </c>
      <c r="C54">
        <f>'Monthly Data'!C54</f>
        <v>5</v>
      </c>
      <c r="D54" s="3">
        <f>'Monthly Data'!X54</f>
        <v>67469503.193328664</v>
      </c>
      <c r="E54" s="3">
        <f>'Monthly Data'!CN54</f>
        <v>265.14107142857148</v>
      </c>
      <c r="F54" s="3">
        <f>'Monthly Data'!CW54</f>
        <v>77.750595238095229</v>
      </c>
      <c r="G54">
        <f>'Monthly Data'!EG54</f>
        <v>1</v>
      </c>
      <c r="H54" s="3">
        <f>'Monthly Data'!DQ54</f>
        <v>31</v>
      </c>
      <c r="I54" s="3">
        <f>'Monthly Data'!DL54</f>
        <v>705711</v>
      </c>
      <c r="J54" s="489">
        <f>'Monthly Data'!EJ54</f>
        <v>1</v>
      </c>
      <c r="L54" s="436">
        <f t="shared" si="13"/>
        <v>-4442160.1424492002</v>
      </c>
      <c r="M54" s="3">
        <f t="shared" si="14"/>
        <v>5773136.7812268659</v>
      </c>
      <c r="N54" s="3">
        <f t="shared" si="15"/>
        <v>5012344.268245778</v>
      </c>
      <c r="O54" s="3">
        <f t="shared" si="16"/>
        <v>1833644.83418835</v>
      </c>
      <c r="P54" s="3">
        <f t="shared" si="17"/>
        <v>40771613.817639098</v>
      </c>
      <c r="Q54" s="3">
        <f t="shared" si="18"/>
        <v>26687122.999773324</v>
      </c>
      <c r="R54" s="3">
        <f t="shared" si="19"/>
        <v>-6065765.5712040104</v>
      </c>
      <c r="S54" s="47">
        <f t="shared" si="21"/>
        <v>69569936.987420201</v>
      </c>
      <c r="T54" s="47">
        <f ca="1">'Monthly Data'!Y54+'Monthly Data'!Z54</f>
        <v>35685.315250128784</v>
      </c>
      <c r="U54" s="47">
        <f t="shared" ca="1" si="22"/>
        <v>69605622.30267033</v>
      </c>
      <c r="V54" s="47">
        <f t="shared" ca="1" si="23"/>
        <v>2136119.1093416661</v>
      </c>
      <c r="W54" s="18">
        <f t="shared" ca="1" si="20"/>
        <v>3.1660513391076575E-2</v>
      </c>
    </row>
    <row r="55" spans="1:23">
      <c r="A55" s="2">
        <f>'Monthly Data'!A55</f>
        <v>43983</v>
      </c>
      <c r="B55">
        <f>'Monthly Data'!B55</f>
        <v>2020</v>
      </c>
      <c r="C55">
        <f>'Monthly Data'!C55</f>
        <v>6</v>
      </c>
      <c r="D55" s="3">
        <f>'Monthly Data'!X55</f>
        <v>75153479.571011558</v>
      </c>
      <c r="E55" s="3">
        <f>'Monthly Data'!CN55</f>
        <v>53.275000000000006</v>
      </c>
      <c r="F55" s="3">
        <f>'Monthly Data'!CW55</f>
        <v>222.53623188405788</v>
      </c>
      <c r="G55">
        <f>'Monthly Data'!EG55</f>
        <v>0</v>
      </c>
      <c r="H55" s="3">
        <f>'Monthly Data'!DQ55</f>
        <v>30</v>
      </c>
      <c r="I55" s="3">
        <f>'Monthly Data'!DL55</f>
        <v>705711</v>
      </c>
      <c r="J55" s="489">
        <f>'Monthly Data'!EJ55</f>
        <v>0.5</v>
      </c>
      <c r="L55" s="436">
        <f t="shared" si="13"/>
        <v>-4442160.1424492002</v>
      </c>
      <c r="M55" s="3">
        <f t="shared" si="14"/>
        <v>1160000.8265890956</v>
      </c>
      <c r="N55" s="3">
        <f t="shared" si="15"/>
        <v>14346233.658344364</v>
      </c>
      <c r="O55" s="3">
        <f t="shared" si="16"/>
        <v>0</v>
      </c>
      <c r="P55" s="3">
        <f t="shared" si="17"/>
        <v>39456400.468682997</v>
      </c>
      <c r="Q55" s="3">
        <f t="shared" si="18"/>
        <v>26687122.999773324</v>
      </c>
      <c r="R55" s="3">
        <f t="shared" si="19"/>
        <v>-3032882.7856020052</v>
      </c>
      <c r="S55" s="47">
        <f t="shared" si="21"/>
        <v>74174715.025338575</v>
      </c>
      <c r="T55" s="47">
        <f ca="1">'Monthly Data'!Y55+'Monthly Data'!Z55</f>
        <v>16006.03706259508</v>
      </c>
      <c r="U55" s="47">
        <f t="shared" ca="1" si="22"/>
        <v>74190721.062401175</v>
      </c>
      <c r="V55" s="47">
        <f t="shared" ca="1" si="23"/>
        <v>-962758.50861038268</v>
      </c>
      <c r="W55" s="18">
        <f t="shared" ca="1" si="20"/>
        <v>1.2810564648582698E-2</v>
      </c>
    </row>
    <row r="56" spans="1:23">
      <c r="A56" s="2">
        <f>'Monthly Data'!A56</f>
        <v>44013</v>
      </c>
      <c r="B56">
        <f>'Monthly Data'!B56</f>
        <v>2020</v>
      </c>
      <c r="C56">
        <f>'Monthly Data'!C56</f>
        <v>7</v>
      </c>
      <c r="D56" s="3">
        <f>'Monthly Data'!X56</f>
        <v>85620541.511397451</v>
      </c>
      <c r="E56" s="3">
        <f>'Monthly Data'!CN56</f>
        <v>0</v>
      </c>
      <c r="F56" s="3">
        <f>'Monthly Data'!CW56</f>
        <v>370.88750000000005</v>
      </c>
      <c r="G56">
        <f>'Monthly Data'!EG56</f>
        <v>0</v>
      </c>
      <c r="H56" s="3">
        <f>'Monthly Data'!DQ56</f>
        <v>31</v>
      </c>
      <c r="I56" s="3">
        <f>'Monthly Data'!DL56</f>
        <v>778294</v>
      </c>
      <c r="J56" s="489">
        <f>'Monthly Data'!EJ56</f>
        <v>0.5</v>
      </c>
      <c r="L56" s="436">
        <f t="shared" si="13"/>
        <v>-4442160.1424492002</v>
      </c>
      <c r="M56" s="3">
        <f t="shared" si="14"/>
        <v>0</v>
      </c>
      <c r="N56" s="3">
        <f t="shared" si="15"/>
        <v>23909988.458559729</v>
      </c>
      <c r="O56" s="3">
        <f t="shared" si="16"/>
        <v>0</v>
      </c>
      <c r="P56" s="3">
        <f t="shared" si="17"/>
        <v>40771613.817639098</v>
      </c>
      <c r="Q56" s="3">
        <f t="shared" si="18"/>
        <v>29431917.184209369</v>
      </c>
      <c r="R56" s="3">
        <f t="shared" si="19"/>
        <v>-3032882.7856020052</v>
      </c>
      <c r="S56" s="47">
        <f t="shared" si="21"/>
        <v>86638476.532356992</v>
      </c>
      <c r="T56" s="47">
        <f ca="1">'Monthly Data'!Y56+'Monthly Data'!Z56</f>
        <v>13025.250807692308</v>
      </c>
      <c r="U56" s="47">
        <f t="shared" ca="1" si="22"/>
        <v>86651501.78316468</v>
      </c>
      <c r="V56" s="47">
        <f t="shared" ca="1" si="23"/>
        <v>1030960.2717672288</v>
      </c>
      <c r="W56" s="18">
        <f t="shared" ca="1" si="20"/>
        <v>1.2041038909220069E-2</v>
      </c>
    </row>
    <row r="57" spans="1:23">
      <c r="A57" s="2">
        <f>'Monthly Data'!A57</f>
        <v>44044</v>
      </c>
      <c r="B57">
        <f>'Monthly Data'!B57</f>
        <v>2020</v>
      </c>
      <c r="C57">
        <f>'Monthly Data'!C57</f>
        <v>8</v>
      </c>
      <c r="D57" s="3">
        <f>'Monthly Data'!X57</f>
        <v>81884794.517995253</v>
      </c>
      <c r="E57" s="3">
        <f>'Monthly Data'!CN57</f>
        <v>19.720833333333321</v>
      </c>
      <c r="F57" s="3">
        <f>'Monthly Data'!CW57</f>
        <v>278.93106060606061</v>
      </c>
      <c r="G57">
        <f>'Monthly Data'!EG57</f>
        <v>0</v>
      </c>
      <c r="H57" s="3">
        <f>'Monthly Data'!DQ57</f>
        <v>31</v>
      </c>
      <c r="I57" s="3">
        <f>'Monthly Data'!DL57</f>
        <v>778294</v>
      </c>
      <c r="J57" s="489">
        <f>'Monthly Data'!EJ57</f>
        <v>0.5</v>
      </c>
      <c r="L57" s="436">
        <f t="shared" si="13"/>
        <v>-4442160.1424492002</v>
      </c>
      <c r="M57" s="3">
        <f t="shared" si="14"/>
        <v>429398.08479948266</v>
      </c>
      <c r="N57" s="3">
        <f t="shared" si="15"/>
        <v>17981836.648106862</v>
      </c>
      <c r="O57" s="3">
        <f t="shared" si="16"/>
        <v>0</v>
      </c>
      <c r="P57" s="3">
        <f t="shared" si="17"/>
        <v>40771613.817639098</v>
      </c>
      <c r="Q57" s="3">
        <f t="shared" si="18"/>
        <v>29431917.184209369</v>
      </c>
      <c r="R57" s="3">
        <f t="shared" si="19"/>
        <v>-3032882.7856020052</v>
      </c>
      <c r="S57" s="47">
        <f t="shared" si="21"/>
        <v>81139722.806703597</v>
      </c>
      <c r="T57" s="47">
        <f ca="1">'Monthly Data'!Y57+'Monthly Data'!Z57</f>
        <v>13663.809210342975</v>
      </c>
      <c r="U57" s="47">
        <f t="shared" ca="1" si="22"/>
        <v>81153386.615913942</v>
      </c>
      <c r="V57" s="47">
        <f t="shared" ca="1" si="23"/>
        <v>-731407.90208131075</v>
      </c>
      <c r="W57" s="18">
        <f t="shared" ca="1" si="20"/>
        <v>8.9321577514684287E-3</v>
      </c>
    </row>
    <row r="58" spans="1:23">
      <c r="A58" s="2">
        <f>'Monthly Data'!A58</f>
        <v>44075</v>
      </c>
      <c r="B58">
        <f>'Monthly Data'!B58</f>
        <v>2020</v>
      </c>
      <c r="C58">
        <f>'Monthly Data'!C58</f>
        <v>9</v>
      </c>
      <c r="D58" s="3">
        <f>'Monthly Data'!X58</f>
        <v>75734543.281715289</v>
      </c>
      <c r="E58" s="3">
        <f>'Monthly Data'!CN58</f>
        <v>132.75869565217394</v>
      </c>
      <c r="F58" s="3">
        <f>'Monthly Data'!CW58</f>
        <v>120.81213768115938</v>
      </c>
      <c r="G58">
        <f>'Monthly Data'!EG58</f>
        <v>1</v>
      </c>
      <c r="H58" s="3">
        <f>'Monthly Data'!DQ58</f>
        <v>30</v>
      </c>
      <c r="I58" s="3">
        <f>'Monthly Data'!DL58</f>
        <v>778294</v>
      </c>
      <c r="J58" s="489">
        <f>'Monthly Data'!EJ58</f>
        <v>0.5</v>
      </c>
      <c r="L58" s="436">
        <f t="shared" si="13"/>
        <v>-4442160.1424492002</v>
      </c>
      <c r="M58" s="3">
        <f t="shared" si="14"/>
        <v>2890665.3532315707</v>
      </c>
      <c r="N58" s="3">
        <f t="shared" si="15"/>
        <v>7788390.8668004442</v>
      </c>
      <c r="O58" s="3">
        <f t="shared" si="16"/>
        <v>1833644.83418835</v>
      </c>
      <c r="P58" s="3">
        <f t="shared" si="17"/>
        <v>39456400.468682997</v>
      </c>
      <c r="Q58" s="3">
        <f t="shared" si="18"/>
        <v>29431917.184209369</v>
      </c>
      <c r="R58" s="3">
        <f t="shared" si="19"/>
        <v>-3032882.7856020052</v>
      </c>
      <c r="S58" s="47">
        <f t="shared" si="21"/>
        <v>73925975.779061526</v>
      </c>
      <c r="T58" s="47">
        <f ca="1">'Monthly Data'!Y58+'Monthly Data'!Z58</f>
        <v>22807.617359581323</v>
      </c>
      <c r="U58" s="47">
        <f t="shared" ca="1" si="22"/>
        <v>73948783.396421105</v>
      </c>
      <c r="V58" s="47">
        <f t="shared" ca="1" si="23"/>
        <v>-1785759.8852941841</v>
      </c>
      <c r="W58" s="18">
        <f t="shared" ca="1" si="20"/>
        <v>2.3579199238735266E-2</v>
      </c>
    </row>
    <row r="59" spans="1:23">
      <c r="A59" s="2">
        <f>'Monthly Data'!A59</f>
        <v>44105</v>
      </c>
      <c r="B59">
        <f>'Monthly Data'!B59</f>
        <v>2020</v>
      </c>
      <c r="C59">
        <f>'Monthly Data'!C59</f>
        <v>10</v>
      </c>
      <c r="D59" s="3">
        <f>'Monthly Data'!X59</f>
        <v>75389591.944220275</v>
      </c>
      <c r="E59" s="3">
        <f>'Monthly Data'!CN59</f>
        <v>349.83333333333326</v>
      </c>
      <c r="F59" s="3">
        <f>'Monthly Data'!CW59</f>
        <v>10.262500000000003</v>
      </c>
      <c r="G59">
        <f>'Monthly Data'!EG59</f>
        <v>1</v>
      </c>
      <c r="H59" s="3">
        <f>'Monthly Data'!DQ59</f>
        <v>31</v>
      </c>
      <c r="I59" s="3">
        <f>'Monthly Data'!DL59</f>
        <v>797313</v>
      </c>
      <c r="J59" s="489">
        <f>'Monthly Data'!EJ59</f>
        <v>0.5</v>
      </c>
      <c r="L59" s="436">
        <f t="shared" si="13"/>
        <v>-4442160.1424492002</v>
      </c>
      <c r="M59" s="3">
        <f t="shared" si="14"/>
        <v>7617211.7472564075</v>
      </c>
      <c r="N59" s="3">
        <f t="shared" si="15"/>
        <v>661592.14466912276</v>
      </c>
      <c r="O59" s="3">
        <f t="shared" si="16"/>
        <v>1833644.83418835</v>
      </c>
      <c r="P59" s="3">
        <f t="shared" si="17"/>
        <v>40771613.817639098</v>
      </c>
      <c r="Q59" s="3">
        <f t="shared" si="18"/>
        <v>30151138.497654516</v>
      </c>
      <c r="R59" s="3">
        <f t="shared" si="19"/>
        <v>-3032882.7856020052</v>
      </c>
      <c r="S59" s="47">
        <f t="shared" si="21"/>
        <v>73560158.113356292</v>
      </c>
      <c r="T59" s="47">
        <f ca="1">'Monthly Data'!Y59+'Monthly Data'!Z59</f>
        <v>45159.934482805322</v>
      </c>
      <c r="U59" s="47">
        <f t="shared" ca="1" si="22"/>
        <v>73605318.04783909</v>
      </c>
      <c r="V59" s="47">
        <f t="shared" ca="1" si="23"/>
        <v>-1784273.8963811845</v>
      </c>
      <c r="W59" s="18">
        <f t="shared" ca="1" si="20"/>
        <v>2.3667377026013674E-2</v>
      </c>
    </row>
    <row r="60" spans="1:23">
      <c r="A60" s="2">
        <f>'Monthly Data'!A60</f>
        <v>44136</v>
      </c>
      <c r="B60">
        <f>'Monthly Data'!B60</f>
        <v>2020</v>
      </c>
      <c r="C60">
        <f>'Monthly Data'!C60</f>
        <v>11</v>
      </c>
      <c r="D60" s="3">
        <f>'Monthly Data'!X60</f>
        <v>75258500.469437331</v>
      </c>
      <c r="E60" s="3">
        <f>'Monthly Data'!CN60</f>
        <v>426.30072463768113</v>
      </c>
      <c r="F60" s="3">
        <f>'Monthly Data'!CW60</f>
        <v>1.8291666666666622</v>
      </c>
      <c r="G60">
        <f>'Monthly Data'!EG60</f>
        <v>1</v>
      </c>
      <c r="H60" s="3">
        <f>'Monthly Data'!DQ60</f>
        <v>30</v>
      </c>
      <c r="I60" s="3">
        <f>'Monthly Data'!DL60</f>
        <v>797313</v>
      </c>
      <c r="J60" s="489">
        <f>'Monthly Data'!EJ60</f>
        <v>0.5</v>
      </c>
      <c r="L60" s="436">
        <f t="shared" si="13"/>
        <v>-4442160.1424492002</v>
      </c>
      <c r="M60" s="3">
        <f t="shared" si="14"/>
        <v>9282199.7739134766</v>
      </c>
      <c r="N60" s="3">
        <f t="shared" si="15"/>
        <v>117920.80857074466</v>
      </c>
      <c r="O60" s="3">
        <f t="shared" si="16"/>
        <v>1833644.83418835</v>
      </c>
      <c r="P60" s="3">
        <f t="shared" si="17"/>
        <v>39456400.468682997</v>
      </c>
      <c r="Q60" s="3">
        <f t="shared" si="18"/>
        <v>30151138.497654516</v>
      </c>
      <c r="R60" s="3">
        <f t="shared" si="19"/>
        <v>-3032882.7856020052</v>
      </c>
      <c r="S60" s="47">
        <f t="shared" si="21"/>
        <v>73366261.454958886</v>
      </c>
      <c r="T60" s="47">
        <f ca="1">'Monthly Data'!Y60+'Monthly Data'!Z60</f>
        <v>53967.405034448711</v>
      </c>
      <c r="U60" s="47">
        <f t="shared" ca="1" si="22"/>
        <v>73420228.859993339</v>
      </c>
      <c r="V60" s="47">
        <f t="shared" ca="1" si="23"/>
        <v>-1838271.6094439924</v>
      </c>
      <c r="W60" s="18">
        <f t="shared" ca="1" si="20"/>
        <v>2.442609935060451E-2</v>
      </c>
    </row>
    <row r="61" spans="1:23">
      <c r="A61" s="2">
        <f>'Monthly Data'!A61</f>
        <v>44166</v>
      </c>
      <c r="B61">
        <f>'Monthly Data'!B61</f>
        <v>2020</v>
      </c>
      <c r="C61">
        <f>'Monthly Data'!C61</f>
        <v>12</v>
      </c>
      <c r="D61" s="3">
        <f>'Monthly Data'!X61</f>
        <v>77768201.465405151</v>
      </c>
      <c r="E61" s="3">
        <f>'Monthly Data'!CN61</f>
        <v>644.90416666666681</v>
      </c>
      <c r="F61" s="3">
        <f>'Monthly Data'!CW61</f>
        <v>0</v>
      </c>
      <c r="G61">
        <f>'Monthly Data'!EG61</f>
        <v>0</v>
      </c>
      <c r="H61" s="3">
        <f>'Monthly Data'!DQ61</f>
        <v>31</v>
      </c>
      <c r="I61" s="3">
        <f>'Monthly Data'!DL61</f>
        <v>797313</v>
      </c>
      <c r="J61" s="489">
        <f>'Monthly Data'!EJ61</f>
        <v>0.5</v>
      </c>
      <c r="L61" s="436">
        <f t="shared" si="13"/>
        <v>-4442160.1424492002</v>
      </c>
      <c r="M61" s="3">
        <f t="shared" si="14"/>
        <v>14042034.094867861</v>
      </c>
      <c r="N61" s="3">
        <f t="shared" si="15"/>
        <v>0</v>
      </c>
      <c r="O61" s="3">
        <f t="shared" si="16"/>
        <v>0</v>
      </c>
      <c r="P61" s="3">
        <f t="shared" si="17"/>
        <v>40771613.817639098</v>
      </c>
      <c r="Q61" s="3">
        <f t="shared" si="18"/>
        <v>30151138.497654516</v>
      </c>
      <c r="R61" s="3">
        <f t="shared" si="19"/>
        <v>-3032882.7856020052</v>
      </c>
      <c r="S61" s="47">
        <f t="shared" si="21"/>
        <v>77489743.482110277</v>
      </c>
      <c r="T61" s="47">
        <f ca="1">'Monthly Data'!Y61+'Monthly Data'!Z61</f>
        <v>77824.5274773977</v>
      </c>
      <c r="U61" s="47">
        <f t="shared" ca="1" si="22"/>
        <v>77567568.009587675</v>
      </c>
      <c r="V61" s="47">
        <f t="shared" ca="1" si="23"/>
        <v>-200633.45581747591</v>
      </c>
      <c r="W61" s="18">
        <f t="shared" ca="1" si="20"/>
        <v>2.5798906498657658E-3</v>
      </c>
    </row>
    <row r="62" spans="1:23">
      <c r="A62" s="2">
        <f>'Monthly Data'!A62</f>
        <v>44197</v>
      </c>
      <c r="B62">
        <f>'Monthly Data'!B62</f>
        <v>2021</v>
      </c>
      <c r="C62">
        <f>'Monthly Data'!C62</f>
        <v>1</v>
      </c>
      <c r="D62" s="3">
        <f ca="1">'Monthly Data'!X62</f>
        <v>80062479.421799421</v>
      </c>
      <c r="E62" s="3">
        <f>'Monthly Data'!CN62</f>
        <v>715.50416666666661</v>
      </c>
      <c r="F62" s="3">
        <f>'Monthly Data'!CW62</f>
        <v>0</v>
      </c>
      <c r="G62">
        <f>'Monthly Data'!EG62</f>
        <v>0</v>
      </c>
      <c r="H62" s="3">
        <f>'Monthly Data'!DQ62</f>
        <v>31</v>
      </c>
      <c r="I62" s="3">
        <f>'Monthly Data'!DL62</f>
        <v>809994</v>
      </c>
      <c r="J62" s="489">
        <f>'Monthly Data'!EJ62</f>
        <v>0.5</v>
      </c>
      <c r="L62" s="436">
        <f t="shared" si="13"/>
        <v>-4442160.1424492002</v>
      </c>
      <c r="M62" s="3">
        <f t="shared" si="14"/>
        <v>15579266.537048806</v>
      </c>
      <c r="N62" s="3">
        <f t="shared" si="15"/>
        <v>0</v>
      </c>
      <c r="O62" s="3">
        <f t="shared" si="16"/>
        <v>0</v>
      </c>
      <c r="P62" s="3">
        <f t="shared" si="17"/>
        <v>40771613.817639098</v>
      </c>
      <c r="Q62" s="3">
        <f t="shared" si="18"/>
        <v>30630682.399846952</v>
      </c>
      <c r="R62" s="3">
        <f t="shared" si="19"/>
        <v>-3032882.7856020052</v>
      </c>
      <c r="S62" s="47">
        <f t="shared" si="21"/>
        <v>79506519.826483652</v>
      </c>
      <c r="T62" s="47">
        <f ca="1">'Monthly Data'!Y62+'Monthly Data'!Z62</f>
        <v>142947.88478642263</v>
      </c>
      <c r="U62" s="47">
        <f t="shared" ca="1" si="22"/>
        <v>79649467.711270079</v>
      </c>
      <c r="V62" s="47">
        <f t="shared" ca="1" si="23"/>
        <v>-413011.71052934229</v>
      </c>
      <c r="W62" s="18">
        <f t="shared" ca="1" si="20"/>
        <v>5.1586175386030752E-3</v>
      </c>
    </row>
    <row r="63" spans="1:23">
      <c r="A63" s="2">
        <f>'Monthly Data'!A63</f>
        <v>44228</v>
      </c>
      <c r="B63">
        <f>'Monthly Data'!B63</f>
        <v>2021</v>
      </c>
      <c r="C63">
        <f>'Monthly Data'!C63</f>
        <v>2</v>
      </c>
      <c r="D63" s="3">
        <f ca="1">'Monthly Data'!X63</f>
        <v>75601505.954300001</v>
      </c>
      <c r="E63" s="3">
        <f>'Monthly Data'!CN63</f>
        <v>709.45416666666654</v>
      </c>
      <c r="F63" s="3">
        <f>'Monthly Data'!CW63</f>
        <v>0</v>
      </c>
      <c r="G63">
        <f>'Monthly Data'!EG63</f>
        <v>0</v>
      </c>
      <c r="H63" s="3">
        <f>'Monthly Data'!DQ63</f>
        <v>28</v>
      </c>
      <c r="I63" s="3">
        <f>'Monthly Data'!DL63</f>
        <v>809994</v>
      </c>
      <c r="J63" s="489">
        <f>'Monthly Data'!EJ63</f>
        <v>0.5</v>
      </c>
      <c r="L63" s="436">
        <f t="shared" si="13"/>
        <v>-4442160.1424492002</v>
      </c>
      <c r="M63" s="3">
        <f t="shared" si="14"/>
        <v>15447534.86176276</v>
      </c>
      <c r="N63" s="3">
        <f t="shared" si="15"/>
        <v>0</v>
      </c>
      <c r="O63" s="3">
        <f t="shared" si="16"/>
        <v>0</v>
      </c>
      <c r="P63" s="3">
        <f t="shared" si="17"/>
        <v>36825973.770770796</v>
      </c>
      <c r="Q63" s="3">
        <f t="shared" si="18"/>
        <v>30630682.399846952</v>
      </c>
      <c r="R63" s="3">
        <f t="shared" si="19"/>
        <v>-3032882.7856020052</v>
      </c>
      <c r="S63" s="47">
        <f t="shared" si="21"/>
        <v>75429148.104329303</v>
      </c>
      <c r="T63" s="47">
        <f ca="1">'Monthly Data'!Y63+'Monthly Data'!Z63</f>
        <v>143452.92496960089</v>
      </c>
      <c r="U63" s="47">
        <f t="shared" ca="1" si="22"/>
        <v>75572601.029298902</v>
      </c>
      <c r="V63" s="47">
        <f t="shared" ca="1" si="23"/>
        <v>-28904.925001099706</v>
      </c>
      <c r="W63" s="18">
        <f t="shared" ca="1" si="20"/>
        <v>3.82332661714071E-4</v>
      </c>
    </row>
    <row r="64" spans="1:23">
      <c r="A64" s="2">
        <f>'Monthly Data'!A64</f>
        <v>44256</v>
      </c>
      <c r="B64">
        <f>'Monthly Data'!B64</f>
        <v>2021</v>
      </c>
      <c r="C64">
        <f>'Monthly Data'!C64</f>
        <v>3</v>
      </c>
      <c r="D64" s="3">
        <f ca="1">'Monthly Data'!X64</f>
        <v>80771780.550043195</v>
      </c>
      <c r="E64" s="3">
        <f>'Monthly Data'!CN64</f>
        <v>554.59637681159427</v>
      </c>
      <c r="F64" s="3">
        <f>'Monthly Data'!CW64</f>
        <v>0.29583333333332895</v>
      </c>
      <c r="G64">
        <f>'Monthly Data'!EG64</f>
        <v>1</v>
      </c>
      <c r="H64" s="3">
        <f>'Monthly Data'!DQ64</f>
        <v>31</v>
      </c>
      <c r="I64" s="3">
        <f>'Monthly Data'!DL64</f>
        <v>809994</v>
      </c>
      <c r="J64" s="489">
        <f>'Monthly Data'!EJ64</f>
        <v>0.5</v>
      </c>
      <c r="L64" s="436">
        <f t="shared" si="13"/>
        <v>-4442160.1424492002</v>
      </c>
      <c r="M64" s="3">
        <f t="shared" si="14"/>
        <v>12075687.574373849</v>
      </c>
      <c r="N64" s="3">
        <f t="shared" si="15"/>
        <v>19071.474734676009</v>
      </c>
      <c r="O64" s="3">
        <f t="shared" si="16"/>
        <v>1833644.83418835</v>
      </c>
      <c r="P64" s="3">
        <f t="shared" si="17"/>
        <v>40771613.817639098</v>
      </c>
      <c r="Q64" s="3">
        <f t="shared" si="18"/>
        <v>30630682.399846952</v>
      </c>
      <c r="R64" s="3">
        <f t="shared" si="19"/>
        <v>-3032882.7856020052</v>
      </c>
      <c r="S64" s="47">
        <f t="shared" si="21"/>
        <v>77855657.172731727</v>
      </c>
      <c r="T64" s="47">
        <f ca="1">'Monthly Data'!Y64+'Monthly Data'!Z64</f>
        <v>112496.38649934474</v>
      </c>
      <c r="U64" s="47">
        <f t="shared" ca="1" si="22"/>
        <v>77968153.559231073</v>
      </c>
      <c r="V64" s="47">
        <f t="shared" ca="1" si="23"/>
        <v>-2803626.9908121228</v>
      </c>
      <c r="W64" s="18">
        <f t="shared" ca="1" si="20"/>
        <v>3.4710476502063735E-2</v>
      </c>
    </row>
    <row r="65" spans="1:23">
      <c r="A65" s="2">
        <f>'Monthly Data'!A65</f>
        <v>44287</v>
      </c>
      <c r="B65">
        <f>'Monthly Data'!B65</f>
        <v>2021</v>
      </c>
      <c r="C65">
        <f>'Monthly Data'!C65</f>
        <v>4</v>
      </c>
      <c r="D65" s="3">
        <f ca="1">'Monthly Data'!X65</f>
        <v>72533551.718385428</v>
      </c>
      <c r="E65" s="3">
        <f>'Monthly Data'!CN65</f>
        <v>379.79583333333329</v>
      </c>
      <c r="F65" s="3">
        <f>'Monthly Data'!CW65</f>
        <v>11.054166666666664</v>
      </c>
      <c r="G65">
        <f>'Monthly Data'!EG65</f>
        <v>1</v>
      </c>
      <c r="H65" s="3">
        <f>'Monthly Data'!DQ65</f>
        <v>30</v>
      </c>
      <c r="I65" s="3">
        <f>'Monthly Data'!DL65</f>
        <v>803585</v>
      </c>
      <c r="J65" s="489">
        <f>'Monthly Data'!EJ65</f>
        <v>0.5</v>
      </c>
      <c r="L65" s="436">
        <f t="shared" si="13"/>
        <v>-4442160.1424492002</v>
      </c>
      <c r="M65" s="3">
        <f t="shared" si="14"/>
        <v>8269610.1473817164</v>
      </c>
      <c r="N65" s="3">
        <f t="shared" si="15"/>
        <v>712628.48550839699</v>
      </c>
      <c r="O65" s="3">
        <f t="shared" si="16"/>
        <v>1833644.83418835</v>
      </c>
      <c r="P65" s="3">
        <f t="shared" si="17"/>
        <v>39456400.468682997</v>
      </c>
      <c r="Q65" s="3">
        <f t="shared" si="18"/>
        <v>30388320.05703871</v>
      </c>
      <c r="R65" s="3">
        <f t="shared" si="19"/>
        <v>-3032882.7856020052</v>
      </c>
      <c r="S65" s="47">
        <f t="shared" si="21"/>
        <v>73185561.064748973</v>
      </c>
      <c r="T65" s="47">
        <f ca="1">'Monthly Data'!Y65+'Monthly Data'!Z65</f>
        <v>79203.282849048672</v>
      </c>
      <c r="U65" s="47">
        <f t="shared" ca="1" si="22"/>
        <v>73264764.347598016</v>
      </c>
      <c r="V65" s="47">
        <f t="shared" ca="1" si="23"/>
        <v>731212.62921258807</v>
      </c>
      <c r="W65" s="18">
        <f t="shared" ca="1" si="20"/>
        <v>1.0081026116734941E-2</v>
      </c>
    </row>
    <row r="66" spans="1:23">
      <c r="A66" s="2">
        <f>'Monthly Data'!A66</f>
        <v>44317</v>
      </c>
      <c r="B66">
        <f>'Monthly Data'!B66</f>
        <v>2021</v>
      </c>
      <c r="C66">
        <f>'Monthly Data'!C66</f>
        <v>5</v>
      </c>
      <c r="D66" s="3">
        <f ca="1">'Monthly Data'!X66</f>
        <v>74813287.715693384</v>
      </c>
      <c r="E66" s="3">
        <f>'Monthly Data'!CN66</f>
        <v>221.92222222222222</v>
      </c>
      <c r="F66" s="3">
        <f>'Monthly Data'!CW66</f>
        <v>83.256944444444414</v>
      </c>
      <c r="G66">
        <f>'Monthly Data'!EG66</f>
        <v>1</v>
      </c>
      <c r="H66" s="3">
        <f>'Monthly Data'!DQ66</f>
        <v>31</v>
      </c>
      <c r="I66" s="3">
        <f>'Monthly Data'!DL66</f>
        <v>803585</v>
      </c>
      <c r="J66" s="489">
        <f>'Monthly Data'!EJ66</f>
        <v>0.5</v>
      </c>
      <c r="L66" s="436">
        <f t="shared" ref="L66:L97" si="24">$AA$9</f>
        <v>-4442160.1424492002</v>
      </c>
      <c r="M66" s="3">
        <f t="shared" ref="M66:M97" si="25">E66*$AA$10</f>
        <v>4832096.8787661511</v>
      </c>
      <c r="N66" s="3">
        <f t="shared" ref="N66:N97" si="26">F66*$AA$11</f>
        <v>5367321.844930375</v>
      </c>
      <c r="O66" s="3">
        <f t="shared" ref="O66:O97" si="27">G66*$AA$12</f>
        <v>1833644.83418835</v>
      </c>
      <c r="P66" s="3">
        <f t="shared" ref="P66:P97" si="28">H66*$AA$13</f>
        <v>40771613.817639098</v>
      </c>
      <c r="Q66" s="3">
        <f t="shared" ref="Q66:Q97" si="29">I66*$AA$14</f>
        <v>30388320.05703871</v>
      </c>
      <c r="R66" s="3">
        <f t="shared" ref="R66:R97" si="30">J66*$AA$15</f>
        <v>-3032882.7856020052</v>
      </c>
      <c r="S66" s="47">
        <f t="shared" si="21"/>
        <v>75717954.504511476</v>
      </c>
      <c r="T66" s="47">
        <f ca="1">'Monthly Data'!Y66+'Monthly Data'!Z66</f>
        <v>51123.737430475303</v>
      </c>
      <c r="U66" s="47">
        <f t="shared" ca="1" si="22"/>
        <v>75769078.241941944</v>
      </c>
      <c r="V66" s="47">
        <f t="shared" ca="1" si="23"/>
        <v>955790.52624855936</v>
      </c>
      <c r="W66" s="18">
        <f t="shared" ca="1" si="20"/>
        <v>1.2775678698692795E-2</v>
      </c>
    </row>
    <row r="67" spans="1:23">
      <c r="A67" s="2">
        <f>'Monthly Data'!A67</f>
        <v>44348</v>
      </c>
      <c r="B67">
        <f>'Monthly Data'!B67</f>
        <v>2021</v>
      </c>
      <c r="C67">
        <f>'Monthly Data'!C67</f>
        <v>6</v>
      </c>
      <c r="D67" s="3">
        <f ca="1">'Monthly Data'!X67</f>
        <v>79891609.225336611</v>
      </c>
      <c r="E67" s="3">
        <f>'Monthly Data'!CN67</f>
        <v>36.066666666666677</v>
      </c>
      <c r="F67" s="3">
        <f>'Monthly Data'!CW67</f>
        <v>241.67500000000001</v>
      </c>
      <c r="G67">
        <f>'Monthly Data'!EG67</f>
        <v>0</v>
      </c>
      <c r="H67" s="3">
        <f>'Monthly Data'!DQ67</f>
        <v>30</v>
      </c>
      <c r="I67" s="3">
        <f>'Monthly Data'!DL67</f>
        <v>803585</v>
      </c>
      <c r="J67" s="489">
        <f>'Monthly Data'!EJ67</f>
        <v>0.5</v>
      </c>
      <c r="L67" s="436">
        <f t="shared" si="24"/>
        <v>-4442160.1424492002</v>
      </c>
      <c r="M67" s="3">
        <f t="shared" si="25"/>
        <v>785309.49123691639</v>
      </c>
      <c r="N67" s="3">
        <f t="shared" si="26"/>
        <v>15580051.796629496</v>
      </c>
      <c r="O67" s="3">
        <f t="shared" si="27"/>
        <v>0</v>
      </c>
      <c r="P67" s="3">
        <f t="shared" si="28"/>
        <v>39456400.468682997</v>
      </c>
      <c r="Q67" s="3">
        <f t="shared" si="29"/>
        <v>30388320.05703871</v>
      </c>
      <c r="R67" s="3">
        <f t="shared" si="30"/>
        <v>-3032882.7856020052</v>
      </c>
      <c r="S67" s="47">
        <f t="shared" si="21"/>
        <v>78735038.885536909</v>
      </c>
      <c r="T67" s="47">
        <f ca="1">'Monthly Data'!Y67+'Monthly Data'!Z67</f>
        <v>20454.58518276058</v>
      </c>
      <c r="U67" s="47">
        <f t="shared" ca="1" si="22"/>
        <v>78755493.470719665</v>
      </c>
      <c r="V67" s="47">
        <f t="shared" ca="1" si="23"/>
        <v>-1136115.754616946</v>
      </c>
      <c r="W67" s="18">
        <f t="shared" ca="1" si="20"/>
        <v>1.4220714360784727E-2</v>
      </c>
    </row>
    <row r="68" spans="1:23">
      <c r="A68" s="2">
        <f>'Monthly Data'!A68</f>
        <v>44378</v>
      </c>
      <c r="B68">
        <f>'Monthly Data'!B68</f>
        <v>2021</v>
      </c>
      <c r="C68">
        <f>'Monthly Data'!C68</f>
        <v>7</v>
      </c>
      <c r="D68" s="3">
        <f ca="1">'Monthly Data'!X68</f>
        <v>81147795.567303449</v>
      </c>
      <c r="E68" s="3">
        <f>'Monthly Data'!CN68</f>
        <v>25.516666666666669</v>
      </c>
      <c r="F68" s="3">
        <f>'Monthly Data'!CW68</f>
        <v>254.87499999999994</v>
      </c>
      <c r="G68">
        <f>'Monthly Data'!EG68</f>
        <v>0</v>
      </c>
      <c r="H68" s="3">
        <f>'Monthly Data'!DQ68</f>
        <v>31</v>
      </c>
      <c r="I68" s="3">
        <f>'Monthly Data'!DL68</f>
        <v>821006</v>
      </c>
      <c r="J68" s="489">
        <f>'Monthly Data'!EJ68</f>
        <v>0.5</v>
      </c>
      <c r="L68" s="436">
        <f t="shared" si="24"/>
        <v>-4442160.1424492002</v>
      </c>
      <c r="M68" s="3">
        <f t="shared" si="25"/>
        <v>555595.57813480531</v>
      </c>
      <c r="N68" s="3">
        <f t="shared" si="26"/>
        <v>16431015.627044344</v>
      </c>
      <c r="O68" s="3">
        <f t="shared" si="27"/>
        <v>0</v>
      </c>
      <c r="P68" s="3">
        <f t="shared" si="28"/>
        <v>40771613.817639098</v>
      </c>
      <c r="Q68" s="3">
        <f t="shared" si="29"/>
        <v>31047111.502515756</v>
      </c>
      <c r="R68" s="3">
        <f t="shared" si="30"/>
        <v>-3032882.7856020052</v>
      </c>
      <c r="S68" s="47">
        <f t="shared" si="21"/>
        <v>81330293.597282797</v>
      </c>
      <c r="T68" s="47">
        <f ca="1">'Monthly Data'!Y68+'Monthly Data'!Z68</f>
        <v>19228.148480808923</v>
      </c>
      <c r="U68" s="47">
        <f t="shared" ca="1" si="22"/>
        <v>81349521.7457636</v>
      </c>
      <c r="V68" s="47">
        <f t="shared" ca="1" si="23"/>
        <v>201726.17846015096</v>
      </c>
      <c r="W68" s="18">
        <f t="shared" ca="1" si="20"/>
        <v>2.4859107638092346E-3</v>
      </c>
    </row>
    <row r="69" spans="1:23">
      <c r="A69" s="2">
        <f>'Monthly Data'!A69</f>
        <v>44409</v>
      </c>
      <c r="B69">
        <f>'Monthly Data'!B69</f>
        <v>2021</v>
      </c>
      <c r="C69">
        <f>'Monthly Data'!C69</f>
        <v>8</v>
      </c>
      <c r="D69" s="3">
        <f ca="1">'Monthly Data'!X69</f>
        <v>87006259.468788072</v>
      </c>
      <c r="E69" s="3">
        <f>'Monthly Data'!CN69</f>
        <v>8.524999999999995</v>
      </c>
      <c r="F69" s="3">
        <f>'Monthly Data'!CW69</f>
        <v>328.06249999999989</v>
      </c>
      <c r="G69">
        <f>'Monthly Data'!EG69</f>
        <v>0</v>
      </c>
      <c r="H69" s="3">
        <f>'Monthly Data'!DQ69</f>
        <v>31</v>
      </c>
      <c r="I69" s="3">
        <f>'Monthly Data'!DL69</f>
        <v>821006</v>
      </c>
      <c r="J69" s="489">
        <f>'Monthly Data'!EJ69</f>
        <v>0.5</v>
      </c>
      <c r="L69" s="436">
        <f t="shared" si="24"/>
        <v>-4442160.1424492002</v>
      </c>
      <c r="M69" s="3">
        <f t="shared" si="25"/>
        <v>185621.90608488096</v>
      </c>
      <c r="N69" s="3">
        <f t="shared" si="26"/>
        <v>21149191.031475171</v>
      </c>
      <c r="O69" s="3">
        <f t="shared" si="27"/>
        <v>0</v>
      </c>
      <c r="P69" s="3">
        <f t="shared" si="28"/>
        <v>40771613.817639098</v>
      </c>
      <c r="Q69" s="3">
        <f t="shared" si="29"/>
        <v>31047111.502515756</v>
      </c>
      <c r="R69" s="3">
        <f t="shared" si="30"/>
        <v>-3032882.7856020052</v>
      </c>
      <c r="S69" s="47">
        <f t="shared" si="21"/>
        <v>85678495.329663694</v>
      </c>
      <c r="T69" s="47">
        <f ca="1">'Monthly Data'!Y69+'Monthly Data'!Z69</f>
        <v>18830.766389110187</v>
      </c>
      <c r="U69" s="47">
        <f t="shared" ca="1" si="22"/>
        <v>85697326.096052811</v>
      </c>
      <c r="V69" s="47">
        <f t="shared" ca="1" si="23"/>
        <v>-1308933.3727352619</v>
      </c>
      <c r="W69" s="18">
        <f t="shared" ca="1" si="20"/>
        <v>1.5044128787134197E-2</v>
      </c>
    </row>
    <row r="70" spans="1:23">
      <c r="A70" s="2">
        <f>'Monthly Data'!A70</f>
        <v>44440</v>
      </c>
      <c r="B70">
        <f>'Monthly Data'!B70</f>
        <v>2021</v>
      </c>
      <c r="C70">
        <f>'Monthly Data'!C70</f>
        <v>9</v>
      </c>
      <c r="D70" s="3">
        <f ca="1">'Monthly Data'!X70</f>
        <v>77872385.724506244</v>
      </c>
      <c r="E70" s="3">
        <f>'Monthly Data'!CN70</f>
        <v>93.104166666666671</v>
      </c>
      <c r="F70" s="3">
        <f>'Monthly Data'!CW70</f>
        <v>149.55833333333328</v>
      </c>
      <c r="G70">
        <f>'Monthly Data'!EG70</f>
        <v>1</v>
      </c>
      <c r="H70" s="3">
        <f>'Monthly Data'!DQ70</f>
        <v>30</v>
      </c>
      <c r="I70" s="3">
        <f>'Monthly Data'!DL70</f>
        <v>821006</v>
      </c>
      <c r="J70" s="489">
        <f>'Monthly Data'!EJ70</f>
        <v>0.5</v>
      </c>
      <c r="L70" s="436">
        <f t="shared" si="24"/>
        <v>-4442160.1424492002</v>
      </c>
      <c r="M70" s="3">
        <f t="shared" si="25"/>
        <v>2027234.355555556</v>
      </c>
      <c r="N70" s="3">
        <f t="shared" si="26"/>
        <v>9641570.621499585</v>
      </c>
      <c r="O70" s="3">
        <f t="shared" si="27"/>
        <v>1833644.83418835</v>
      </c>
      <c r="P70" s="3">
        <f t="shared" si="28"/>
        <v>39456400.468682997</v>
      </c>
      <c r="Q70" s="3">
        <f t="shared" si="29"/>
        <v>31047111.502515756</v>
      </c>
      <c r="R70" s="3">
        <f t="shared" si="30"/>
        <v>-3032882.7856020052</v>
      </c>
      <c r="S70" s="47">
        <f t="shared" si="21"/>
        <v>76530918.854391038</v>
      </c>
      <c r="T70" s="47">
        <f ca="1">'Monthly Data'!Y70+'Monthly Data'!Z70</f>
        <v>28147.263093649068</v>
      </c>
      <c r="U70" s="47">
        <f t="shared" ca="1" si="22"/>
        <v>76559066.117484689</v>
      </c>
      <c r="V70" s="47">
        <f t="shared" ca="1" si="23"/>
        <v>-1313319.6070215553</v>
      </c>
      <c r="W70" s="18">
        <f t="shared" ca="1" si="20"/>
        <v>1.6865023394400217E-2</v>
      </c>
    </row>
    <row r="71" spans="1:23">
      <c r="A71" s="2">
        <f>'Monthly Data'!A71</f>
        <v>44470</v>
      </c>
      <c r="B71">
        <f>'Monthly Data'!B71</f>
        <v>2021</v>
      </c>
      <c r="C71">
        <f>'Monthly Data'!C71</f>
        <v>10</v>
      </c>
      <c r="D71" s="3">
        <f ca="1">'Monthly Data'!X71</f>
        <v>77129413.993492678</v>
      </c>
      <c r="E71" s="3">
        <f>'Monthly Data'!CN71</f>
        <v>214.18749999999994</v>
      </c>
      <c r="F71" s="3">
        <f>'Monthly Data'!CW71</f>
        <v>77.979166666666686</v>
      </c>
      <c r="G71">
        <f>'Monthly Data'!EG71</f>
        <v>1</v>
      </c>
      <c r="H71" s="3">
        <f>'Monthly Data'!DQ71</f>
        <v>31</v>
      </c>
      <c r="I71" s="3">
        <f>'Monthly Data'!DL71</f>
        <v>840399</v>
      </c>
      <c r="J71" s="489">
        <f>'Monthly Data'!EJ71</f>
        <v>0.5</v>
      </c>
      <c r="L71" s="436">
        <f t="shared" si="24"/>
        <v>-4442160.1424492002</v>
      </c>
      <c r="M71" s="3">
        <f t="shared" si="25"/>
        <v>4663682.3471619301</v>
      </c>
      <c r="N71" s="3">
        <f t="shared" si="26"/>
        <v>5027079.5726685477</v>
      </c>
      <c r="O71" s="3">
        <f t="shared" si="27"/>
        <v>1833644.83418835</v>
      </c>
      <c r="P71" s="3">
        <f t="shared" si="28"/>
        <v>40771613.817639098</v>
      </c>
      <c r="Q71" s="3">
        <f t="shared" si="29"/>
        <v>31780475.976549182</v>
      </c>
      <c r="R71" s="3">
        <f t="shared" si="30"/>
        <v>-3032882.7856020052</v>
      </c>
      <c r="S71" s="47">
        <f t="shared" si="21"/>
        <v>76601453.620155901</v>
      </c>
      <c r="T71" s="47">
        <f ca="1">'Monthly Data'!Y71+'Monthly Data'!Z71</f>
        <v>49752.028426459656</v>
      </c>
      <c r="U71" s="47">
        <f t="shared" ca="1" si="22"/>
        <v>76651205.648582354</v>
      </c>
      <c r="V71" s="47">
        <f t="shared" ca="1" si="23"/>
        <v>-478208.34491032362</v>
      </c>
      <c r="W71" s="18">
        <f t="shared" ca="1" si="20"/>
        <v>6.2000775080524985E-3</v>
      </c>
    </row>
    <row r="72" spans="1:23">
      <c r="A72" s="2">
        <f>'Monthly Data'!A72</f>
        <v>44501</v>
      </c>
      <c r="B72">
        <f>'Monthly Data'!B72</f>
        <v>2021</v>
      </c>
      <c r="C72">
        <f>'Monthly Data'!C72</f>
        <v>11</v>
      </c>
      <c r="D72" s="3">
        <f ca="1">'Monthly Data'!X72</f>
        <v>77631743.33171311</v>
      </c>
      <c r="E72" s="3">
        <f>'Monthly Data'!CN72</f>
        <v>506.31260351966881</v>
      </c>
      <c r="F72" s="3">
        <f>'Monthly Data'!CW72</f>
        <v>0</v>
      </c>
      <c r="G72">
        <f>'Monthly Data'!EG72</f>
        <v>1</v>
      </c>
      <c r="H72" s="3">
        <f>'Monthly Data'!DQ72</f>
        <v>30</v>
      </c>
      <c r="I72" s="3">
        <f>'Monthly Data'!DL72</f>
        <v>840399</v>
      </c>
      <c r="J72" s="489">
        <f>'Monthly Data'!EJ72</f>
        <v>0.5</v>
      </c>
      <c r="L72" s="436">
        <f t="shared" si="24"/>
        <v>-4442160.1424492002</v>
      </c>
      <c r="M72" s="3">
        <f t="shared" si="25"/>
        <v>11024364.872741301</v>
      </c>
      <c r="N72" s="3">
        <f t="shared" si="26"/>
        <v>0</v>
      </c>
      <c r="O72" s="3">
        <f t="shared" si="27"/>
        <v>1833644.83418835</v>
      </c>
      <c r="P72" s="3">
        <f t="shared" si="28"/>
        <v>39456400.468682997</v>
      </c>
      <c r="Q72" s="3">
        <f t="shared" si="29"/>
        <v>31780475.976549182</v>
      </c>
      <c r="R72" s="3">
        <f t="shared" si="30"/>
        <v>-3032882.7856020052</v>
      </c>
      <c r="S72" s="47">
        <f t="shared" si="21"/>
        <v>76619843.224110618</v>
      </c>
      <c r="T72" s="47">
        <f ca="1">'Monthly Data'!Y72+'Monthly Data'!Z72</f>
        <v>107559.68052324442</v>
      </c>
      <c r="U72" s="47">
        <f t="shared" ca="1" si="22"/>
        <v>76727402.904633865</v>
      </c>
      <c r="V72" s="47">
        <f t="shared" ca="1" si="23"/>
        <v>-904340.42707924545</v>
      </c>
      <c r="W72" s="18">
        <f t="shared" ca="1" si="20"/>
        <v>1.1649106258184673E-2</v>
      </c>
    </row>
    <row r="73" spans="1:23">
      <c r="A73" s="2">
        <f>'Monthly Data'!A73</f>
        <v>44531</v>
      </c>
      <c r="B73">
        <f>'Monthly Data'!B73</f>
        <v>2021</v>
      </c>
      <c r="C73">
        <f>'Monthly Data'!C73</f>
        <v>12</v>
      </c>
      <c r="D73" s="3">
        <f ca="1">'Monthly Data'!X73</f>
        <v>78548558.060906678</v>
      </c>
      <c r="E73" s="3">
        <f>'Monthly Data'!CN73</f>
        <v>595.04583333333335</v>
      </c>
      <c r="F73" s="3">
        <f>'Monthly Data'!CW73</f>
        <v>0</v>
      </c>
      <c r="G73">
        <f>'Monthly Data'!EG73</f>
        <v>0</v>
      </c>
      <c r="H73" s="3">
        <f>'Monthly Data'!DQ73</f>
        <v>31</v>
      </c>
      <c r="I73" s="3">
        <f>'Monthly Data'!DL73</f>
        <v>840399</v>
      </c>
      <c r="J73" s="489">
        <f>'Monthly Data'!EJ73</f>
        <v>0.5</v>
      </c>
      <c r="L73" s="436">
        <f t="shared" si="24"/>
        <v>-4442160.1424492002</v>
      </c>
      <c r="M73" s="3">
        <f t="shared" si="25"/>
        <v>12956427.189583553</v>
      </c>
      <c r="N73" s="3">
        <f t="shared" si="26"/>
        <v>0</v>
      </c>
      <c r="O73" s="3">
        <f t="shared" si="27"/>
        <v>0</v>
      </c>
      <c r="P73" s="3">
        <f t="shared" si="28"/>
        <v>40771613.817639098</v>
      </c>
      <c r="Q73" s="3">
        <f t="shared" si="29"/>
        <v>31780475.976549182</v>
      </c>
      <c r="R73" s="3">
        <f t="shared" si="30"/>
        <v>-3032882.7856020052</v>
      </c>
      <c r="S73" s="47">
        <f t="shared" si="21"/>
        <v>78033474.055720627</v>
      </c>
      <c r="T73" s="47">
        <f ca="1">'Monthly Data'!Y73+'Monthly Data'!Z73</f>
        <v>125043.60843967501</v>
      </c>
      <c r="U73" s="47">
        <f t="shared" ca="1" si="22"/>
        <v>78158517.664160296</v>
      </c>
      <c r="V73" s="47">
        <f t="shared" ca="1" si="23"/>
        <v>-390040.39674638212</v>
      </c>
      <c r="W73" s="18">
        <f t="shared" ca="1" si="20"/>
        <v>4.9655958858461054E-3</v>
      </c>
    </row>
    <row r="74" spans="1:23">
      <c r="A74" s="2">
        <f>'Monthly Data'!A74</f>
        <v>44562</v>
      </c>
      <c r="B74">
        <f>'Monthly Data'!B74</f>
        <v>2022</v>
      </c>
      <c r="C74">
        <f>'Monthly Data'!C74</f>
        <v>1</v>
      </c>
      <c r="D74" s="3">
        <f ca="1">'Monthly Data'!X74</f>
        <v>84410403.007073358</v>
      </c>
      <c r="E74" s="3">
        <f>'Monthly Data'!CN74</f>
        <v>887.49166666666656</v>
      </c>
      <c r="F74" s="3">
        <f>'Monthly Data'!CW74</f>
        <v>0</v>
      </c>
      <c r="G74">
        <f>'Monthly Data'!EG74</f>
        <v>0</v>
      </c>
      <c r="H74" s="3">
        <f>'Monthly Data'!DQ74</f>
        <v>31</v>
      </c>
      <c r="I74" s="3">
        <f>'Monthly Data'!DL74</f>
        <v>847546</v>
      </c>
      <c r="J74" s="489">
        <f>'Monthly Data'!EJ74</f>
        <v>0.25</v>
      </c>
      <c r="L74" s="436">
        <f t="shared" si="24"/>
        <v>-4442160.1424492002</v>
      </c>
      <c r="M74" s="3">
        <f t="shared" si="25"/>
        <v>19324093.231802292</v>
      </c>
      <c r="N74" s="3">
        <f t="shared" si="26"/>
        <v>0</v>
      </c>
      <c r="O74" s="3">
        <f t="shared" si="27"/>
        <v>0</v>
      </c>
      <c r="P74" s="3">
        <f t="shared" si="28"/>
        <v>40771613.817639098</v>
      </c>
      <c r="Q74" s="3">
        <f t="shared" si="29"/>
        <v>32050746.481159966</v>
      </c>
      <c r="R74" s="3">
        <f t="shared" si="30"/>
        <v>-1516441.3928010026</v>
      </c>
      <c r="S74" s="47">
        <f t="shared" si="21"/>
        <v>86187851.995351151</v>
      </c>
      <c r="T74" s="47">
        <f ca="1">'Monthly Data'!Y74+'Monthly Data'!Z74</f>
        <v>256461.07294315397</v>
      </c>
      <c r="U74" s="47">
        <f t="shared" ca="1" si="22"/>
        <v>86444313.068294302</v>
      </c>
      <c r="V74" s="47">
        <f t="shared" ca="1" si="23"/>
        <v>2033910.0612209439</v>
      </c>
      <c r="W74" s="18">
        <f t="shared" ref="W74:W97" ca="1" si="31">ABS(V74/D74)</f>
        <v>2.4095490469942527E-2</v>
      </c>
    </row>
    <row r="75" spans="1:23">
      <c r="A75" s="2">
        <f>'Monthly Data'!A75</f>
        <v>44593</v>
      </c>
      <c r="B75">
        <f>'Monthly Data'!B75</f>
        <v>2022</v>
      </c>
      <c r="C75">
        <f>'Monthly Data'!C75</f>
        <v>2</v>
      </c>
      <c r="D75" s="3">
        <f ca="1">'Monthly Data'!X75</f>
        <v>78540704.11962159</v>
      </c>
      <c r="E75" s="3">
        <f>'Monthly Data'!CN75</f>
        <v>692.85</v>
      </c>
      <c r="F75" s="3">
        <f>'Monthly Data'!CW75</f>
        <v>0</v>
      </c>
      <c r="G75">
        <f>'Monthly Data'!EG75</f>
        <v>0</v>
      </c>
      <c r="H75" s="3">
        <f>'Monthly Data'!DQ75</f>
        <v>28</v>
      </c>
      <c r="I75" s="3">
        <f>'Monthly Data'!DL75</f>
        <v>847546</v>
      </c>
      <c r="J75" s="489">
        <f>'Monthly Data'!EJ75</f>
        <v>0.25</v>
      </c>
      <c r="L75" s="436">
        <f t="shared" si="24"/>
        <v>-4442160.1424492002</v>
      </c>
      <c r="M75" s="3">
        <f t="shared" si="25"/>
        <v>15085998.549080335</v>
      </c>
      <c r="N75" s="3">
        <f t="shared" si="26"/>
        <v>0</v>
      </c>
      <c r="O75" s="3">
        <f t="shared" si="27"/>
        <v>0</v>
      </c>
      <c r="P75" s="3">
        <f t="shared" si="28"/>
        <v>36825973.770770796</v>
      </c>
      <c r="Q75" s="3">
        <f t="shared" si="29"/>
        <v>32050746.481159966</v>
      </c>
      <c r="R75" s="3">
        <f t="shared" si="30"/>
        <v>-1516441.3928010026</v>
      </c>
      <c r="S75" s="47">
        <f t="shared" si="21"/>
        <v>78004117.265760899</v>
      </c>
      <c r="T75" s="47">
        <f ca="1">'Monthly Data'!Y75+'Monthly Data'!Z75</f>
        <v>204216.85934418891</v>
      </c>
      <c r="U75" s="47">
        <f t="shared" ca="1" si="22"/>
        <v>78208334.125105083</v>
      </c>
      <c r="V75" s="47">
        <f t="shared" ca="1" si="23"/>
        <v>-332369.99451650679</v>
      </c>
      <c r="W75" s="18">
        <f t="shared" ca="1" si="31"/>
        <v>4.2318183703865192E-3</v>
      </c>
    </row>
    <row r="76" spans="1:23">
      <c r="A76" s="2">
        <f>'Monthly Data'!A76</f>
        <v>44621</v>
      </c>
      <c r="B76">
        <f>'Monthly Data'!B76</f>
        <v>2022</v>
      </c>
      <c r="C76">
        <f>'Monthly Data'!C76</f>
        <v>3</v>
      </c>
      <c r="D76" s="3">
        <f ca="1">'Monthly Data'!X76</f>
        <v>83810904.995681524</v>
      </c>
      <c r="E76" s="3">
        <f>'Monthly Data'!CN76</f>
        <v>606.7208333333333</v>
      </c>
      <c r="F76" s="3">
        <f>'Monthly Data'!CW76</f>
        <v>0</v>
      </c>
      <c r="G76">
        <f>'Monthly Data'!EG76</f>
        <v>1</v>
      </c>
      <c r="H76" s="3">
        <f>'Monthly Data'!DQ76</f>
        <v>31</v>
      </c>
      <c r="I76" s="3">
        <f>'Monthly Data'!DL76</f>
        <v>847546</v>
      </c>
      <c r="J76" s="489">
        <f>'Monthly Data'!EJ76</f>
        <v>0.25</v>
      </c>
      <c r="L76" s="436">
        <f t="shared" si="24"/>
        <v>-4442160.1424492002</v>
      </c>
      <c r="M76" s="3">
        <f t="shared" si="25"/>
        <v>13210636.66213968</v>
      </c>
      <c r="N76" s="3">
        <f t="shared" si="26"/>
        <v>0</v>
      </c>
      <c r="O76" s="3">
        <f t="shared" si="27"/>
        <v>1833644.83418835</v>
      </c>
      <c r="P76" s="3">
        <f t="shared" si="28"/>
        <v>40771613.817639098</v>
      </c>
      <c r="Q76" s="3">
        <f t="shared" si="29"/>
        <v>32050746.481159966</v>
      </c>
      <c r="R76" s="3">
        <f t="shared" si="30"/>
        <v>-1516441.3928010026</v>
      </c>
      <c r="S76" s="47">
        <f t="shared" si="21"/>
        <v>81908040.259876892</v>
      </c>
      <c r="T76" s="47">
        <f ca="1">'Monthly Data'!Y76+'Monthly Data'!Z76</f>
        <v>179327.17594738991</v>
      </c>
      <c r="U76" s="47">
        <f t="shared" ca="1" si="22"/>
        <v>82087367.435824275</v>
      </c>
      <c r="V76" s="47">
        <f t="shared" ca="1" si="23"/>
        <v>-1723537.5598572493</v>
      </c>
      <c r="W76" s="18">
        <f t="shared" ca="1" si="31"/>
        <v>2.056459788790083E-2</v>
      </c>
    </row>
    <row r="77" spans="1:23">
      <c r="A77" s="2">
        <f>'Monthly Data'!A77</f>
        <v>44652</v>
      </c>
      <c r="B77">
        <f>'Monthly Data'!B77</f>
        <v>2022</v>
      </c>
      <c r="C77">
        <f>'Monthly Data'!C77</f>
        <v>4</v>
      </c>
      <c r="D77" s="3">
        <f ca="1">'Monthly Data'!X77</f>
        <v>76170064.968385071</v>
      </c>
      <c r="E77" s="3">
        <f>'Monthly Data'!CN77</f>
        <v>414.33333333333331</v>
      </c>
      <c r="F77" s="3">
        <f>'Monthly Data'!CW77</f>
        <v>2.2541666666666629</v>
      </c>
      <c r="G77">
        <f>'Monthly Data'!EG77</f>
        <v>1</v>
      </c>
      <c r="H77" s="3">
        <f>'Monthly Data'!DQ77</f>
        <v>30</v>
      </c>
      <c r="I77" s="3">
        <f>'Monthly Data'!DL77</f>
        <v>854755</v>
      </c>
      <c r="J77" s="489">
        <f>'Monthly Data'!EJ77</f>
        <v>0.25</v>
      </c>
      <c r="L77" s="436">
        <f t="shared" si="24"/>
        <v>-4442160.1424492002</v>
      </c>
      <c r="M77" s="3">
        <f t="shared" si="25"/>
        <v>9021623.8226200249</v>
      </c>
      <c r="N77" s="3">
        <f t="shared" si="26"/>
        <v>145319.26523182896</v>
      </c>
      <c r="O77" s="3">
        <f t="shared" si="27"/>
        <v>1833644.83418835</v>
      </c>
      <c r="P77" s="3">
        <f t="shared" si="28"/>
        <v>39456400.468682997</v>
      </c>
      <c r="Q77" s="3">
        <f t="shared" si="29"/>
        <v>32323361.573889662</v>
      </c>
      <c r="R77" s="3">
        <f t="shared" si="30"/>
        <v>-1516441.3928010026</v>
      </c>
      <c r="S77" s="47">
        <f t="shared" si="21"/>
        <v>76821748.429362655</v>
      </c>
      <c r="T77" s="47">
        <f ca="1">'Monthly Data'!Y77+'Monthly Data'!Z77</f>
        <v>126588.14094555355</v>
      </c>
      <c r="U77" s="47">
        <f t="shared" ca="1" si="22"/>
        <v>76948336.570308208</v>
      </c>
      <c r="V77" s="47">
        <f t="shared" ca="1" si="23"/>
        <v>778271.6019231379</v>
      </c>
      <c r="W77" s="18">
        <f t="shared" ca="1" si="31"/>
        <v>1.0217552029739833E-2</v>
      </c>
    </row>
    <row r="78" spans="1:23">
      <c r="A78" s="2">
        <f>'Monthly Data'!A78</f>
        <v>44682</v>
      </c>
      <c r="B78">
        <f>'Monthly Data'!B78</f>
        <v>2022</v>
      </c>
      <c r="C78">
        <f>'Monthly Data'!C78</f>
        <v>5</v>
      </c>
      <c r="D78" s="3">
        <f ca="1">'Monthly Data'!X78</f>
        <v>78484427.001846433</v>
      </c>
      <c r="E78" s="3">
        <f>'Monthly Data'!CN78</f>
        <v>158.97916666666669</v>
      </c>
      <c r="F78" s="3">
        <f>'Monthly Data'!CW78</f>
        <v>109.43749999999997</v>
      </c>
      <c r="G78">
        <f>'Monthly Data'!EG78</f>
        <v>1</v>
      </c>
      <c r="H78" s="3">
        <f>'Monthly Data'!DQ78</f>
        <v>31</v>
      </c>
      <c r="I78" s="3">
        <f>'Monthly Data'!DL78</f>
        <v>854755</v>
      </c>
      <c r="J78" s="489">
        <f>'Monthly Data'!EJ78</f>
        <v>0.25</v>
      </c>
      <c r="L78" s="436">
        <f t="shared" si="24"/>
        <v>-4442160.1424492002</v>
      </c>
      <c r="M78" s="3">
        <f t="shared" si="25"/>
        <v>3461585.4480296373</v>
      </c>
      <c r="N78" s="3">
        <f t="shared" si="26"/>
        <v>7055102.5902291918</v>
      </c>
      <c r="O78" s="3">
        <f t="shared" si="27"/>
        <v>1833644.83418835</v>
      </c>
      <c r="P78" s="3">
        <f t="shared" si="28"/>
        <v>40771613.817639098</v>
      </c>
      <c r="Q78" s="3">
        <f t="shared" si="29"/>
        <v>32323361.573889662</v>
      </c>
      <c r="R78" s="3">
        <f t="shared" si="30"/>
        <v>-1516441.3928010026</v>
      </c>
      <c r="S78" s="47">
        <f t="shared" si="21"/>
        <v>79486706.728725731</v>
      </c>
      <c r="T78" s="47">
        <f ca="1">'Monthly Data'!Y78+'Monthly Data'!Z78</f>
        <v>58419.88964654928</v>
      </c>
      <c r="U78" s="47">
        <f t="shared" ca="1" si="22"/>
        <v>79545126.618372276</v>
      </c>
      <c r="V78" s="47">
        <f t="shared" ca="1" si="23"/>
        <v>1060699.6165258437</v>
      </c>
      <c r="W78" s="18">
        <f t="shared" ca="1" si="31"/>
        <v>1.3514778116439452E-2</v>
      </c>
    </row>
    <row r="79" spans="1:23">
      <c r="A79" s="2">
        <f>'Monthly Data'!A79</f>
        <v>44713</v>
      </c>
      <c r="B79">
        <f>'Monthly Data'!B79</f>
        <v>2022</v>
      </c>
      <c r="C79">
        <f>'Monthly Data'!C79</f>
        <v>6</v>
      </c>
      <c r="D79" s="3">
        <f ca="1">'Monthly Data'!X79</f>
        <v>80194101.569186047</v>
      </c>
      <c r="E79" s="3">
        <f>'Monthly Data'!CN79</f>
        <v>75.529010989011013</v>
      </c>
      <c r="F79" s="3">
        <f>'Monthly Data'!CW79</f>
        <v>180.92250416250408</v>
      </c>
      <c r="G79">
        <f>'Monthly Data'!EG79</f>
        <v>0</v>
      </c>
      <c r="H79" s="3">
        <f>'Monthly Data'!DQ79</f>
        <v>30</v>
      </c>
      <c r="I79" s="3">
        <f>'Monthly Data'!DL79</f>
        <v>854755</v>
      </c>
      <c r="J79" s="489">
        <f>'Monthly Data'!EJ79</f>
        <v>0.25</v>
      </c>
      <c r="L79" s="436">
        <f t="shared" si="24"/>
        <v>-4442160.1424492002</v>
      </c>
      <c r="M79" s="3">
        <f t="shared" si="25"/>
        <v>1644555.8926083462</v>
      </c>
      <c r="N79" s="3">
        <f t="shared" si="26"/>
        <v>11663523.268967535</v>
      </c>
      <c r="O79" s="3">
        <f t="shared" si="27"/>
        <v>0</v>
      </c>
      <c r="P79" s="3">
        <f t="shared" si="28"/>
        <v>39456400.468682997</v>
      </c>
      <c r="Q79" s="3">
        <f t="shared" si="29"/>
        <v>32323361.573889662</v>
      </c>
      <c r="R79" s="3">
        <f t="shared" si="30"/>
        <v>-1516441.3928010026</v>
      </c>
      <c r="S79" s="47">
        <f t="shared" si="21"/>
        <v>79129239.668898344</v>
      </c>
      <c r="T79" s="47">
        <f ca="1">'Monthly Data'!Y79+'Monthly Data'!Z79</f>
        <v>38855.101757420889</v>
      </c>
      <c r="U79" s="47">
        <f t="shared" ca="1" si="22"/>
        <v>79168094.770655766</v>
      </c>
      <c r="V79" s="47">
        <f t="shared" ca="1" si="23"/>
        <v>-1026006.7985302806</v>
      </c>
      <c r="W79" s="18">
        <f t="shared" ca="1" si="31"/>
        <v>1.2794043183401852E-2</v>
      </c>
    </row>
    <row r="80" spans="1:23">
      <c r="A80" s="2">
        <f>'Monthly Data'!A80</f>
        <v>44743</v>
      </c>
      <c r="B80">
        <f>'Monthly Data'!B80</f>
        <v>2022</v>
      </c>
      <c r="C80">
        <f>'Monthly Data'!C80</f>
        <v>7</v>
      </c>
      <c r="D80" s="3">
        <f ca="1">'Monthly Data'!X80</f>
        <v>84474104.361136764</v>
      </c>
      <c r="E80" s="3">
        <f>'Monthly Data'!CN80</f>
        <v>8.9945652173913082</v>
      </c>
      <c r="F80" s="3">
        <f>'Monthly Data'!CW80</f>
        <v>283.8543382913806</v>
      </c>
      <c r="G80">
        <f>'Monthly Data'!EG80</f>
        <v>0</v>
      </c>
      <c r="H80" s="3">
        <f>'Monthly Data'!DQ80</f>
        <v>31</v>
      </c>
      <c r="I80" s="3">
        <f>'Monthly Data'!DL80</f>
        <v>856819</v>
      </c>
      <c r="J80" s="489">
        <f>'Monthly Data'!EJ80</f>
        <v>0.25</v>
      </c>
      <c r="L80" s="436">
        <f t="shared" si="24"/>
        <v>-4442160.1424492002</v>
      </c>
      <c r="M80" s="3">
        <f t="shared" si="25"/>
        <v>195846.13959612284</v>
      </c>
      <c r="N80" s="3">
        <f t="shared" si="26"/>
        <v>18299225.378205031</v>
      </c>
      <c r="O80" s="3">
        <f t="shared" si="27"/>
        <v>0</v>
      </c>
      <c r="P80" s="3">
        <f t="shared" si="28"/>
        <v>40771613.817639098</v>
      </c>
      <c r="Q80" s="3">
        <f t="shared" si="29"/>
        <v>32401413.668687008</v>
      </c>
      <c r="R80" s="3">
        <f t="shared" si="30"/>
        <v>-1516441.3928010026</v>
      </c>
      <c r="S80" s="47">
        <f t="shared" si="21"/>
        <v>85709497.468877062</v>
      </c>
      <c r="T80" s="47">
        <f ca="1">'Monthly Data'!Y80+'Monthly Data'!Z80</f>
        <v>30002.872152566244</v>
      </c>
      <c r="U80" s="47">
        <f t="shared" ca="1" si="22"/>
        <v>85739500.341029629</v>
      </c>
      <c r="V80" s="47">
        <f t="shared" ca="1" si="23"/>
        <v>1265395.9798928648</v>
      </c>
      <c r="W80" s="18">
        <f t="shared" ca="1" si="31"/>
        <v>1.4979690988887526E-2</v>
      </c>
    </row>
    <row r="81" spans="1:23">
      <c r="A81" s="2">
        <f>'Monthly Data'!A81</f>
        <v>44774</v>
      </c>
      <c r="B81">
        <f>'Monthly Data'!B81</f>
        <v>2022</v>
      </c>
      <c r="C81">
        <f>'Monthly Data'!C81</f>
        <v>8</v>
      </c>
      <c r="D81" s="3">
        <f ca="1">'Monthly Data'!X81</f>
        <v>86642255.905647829</v>
      </c>
      <c r="E81" s="3">
        <f>'Monthly Data'!CN81</f>
        <v>7.3916666666666764</v>
      </c>
      <c r="F81" s="3">
        <f>'Monthly Data'!CW81</f>
        <v>290.28333333333336</v>
      </c>
      <c r="G81">
        <f>'Monthly Data'!EG81</f>
        <v>0</v>
      </c>
      <c r="H81" s="3">
        <f>'Monthly Data'!DQ81</f>
        <v>31</v>
      </c>
      <c r="I81" s="3">
        <f>'Monthly Data'!DL81</f>
        <v>856819</v>
      </c>
      <c r="J81" s="489">
        <f>'Monthly Data'!EJ81</f>
        <v>0.25</v>
      </c>
      <c r="L81" s="436">
        <f t="shared" si="24"/>
        <v>-4442160.1424492002</v>
      </c>
      <c r="M81" s="3">
        <f t="shared" si="25"/>
        <v>160944.89804231643</v>
      </c>
      <c r="N81" s="3">
        <f t="shared" si="26"/>
        <v>18713683.124160957</v>
      </c>
      <c r="O81" s="3">
        <f t="shared" si="27"/>
        <v>0</v>
      </c>
      <c r="P81" s="3">
        <f t="shared" si="28"/>
        <v>40771613.817639098</v>
      </c>
      <c r="Q81" s="3">
        <f t="shared" si="29"/>
        <v>32401413.668687008</v>
      </c>
      <c r="R81" s="3">
        <f t="shared" si="30"/>
        <v>-1516441.3928010026</v>
      </c>
      <c r="S81" s="47">
        <f t="shared" si="21"/>
        <v>86089053.973279178</v>
      </c>
      <c r="T81" s="47">
        <f ca="1">'Monthly Data'!Y81+'Monthly Data'!Z81</f>
        <v>31265.503711816436</v>
      </c>
      <c r="U81" s="47">
        <f t="shared" ca="1" si="22"/>
        <v>86120319.476990998</v>
      </c>
      <c r="V81" s="47">
        <f t="shared" ca="1" si="23"/>
        <v>-521936.42865683138</v>
      </c>
      <c r="W81" s="18">
        <f t="shared" ca="1" si="31"/>
        <v>6.0240401545547549E-3</v>
      </c>
    </row>
    <row r="82" spans="1:23">
      <c r="A82" s="2">
        <f>'Monthly Data'!A82</f>
        <v>44805</v>
      </c>
      <c r="B82">
        <f>'Monthly Data'!B82</f>
        <v>2022</v>
      </c>
      <c r="C82">
        <f>'Monthly Data'!C82</f>
        <v>9</v>
      </c>
      <c r="D82" s="3">
        <f ca="1">'Monthly Data'!X82</f>
        <v>78357995.308189183</v>
      </c>
      <c r="E82" s="3">
        <f>'Monthly Data'!CN82</f>
        <v>111.79166666666666</v>
      </c>
      <c r="F82" s="3">
        <f>'Monthly Data'!CW82</f>
        <v>139.79166666666663</v>
      </c>
      <c r="G82">
        <f>'Monthly Data'!EG82</f>
        <v>1</v>
      </c>
      <c r="H82" s="3">
        <f>'Monthly Data'!DQ82</f>
        <v>30</v>
      </c>
      <c r="I82" s="3">
        <f>'Monthly Data'!DL82</f>
        <v>856819</v>
      </c>
      <c r="J82" s="489">
        <f>'Monthly Data'!EJ82</f>
        <v>0.25</v>
      </c>
      <c r="L82" s="436">
        <f t="shared" si="24"/>
        <v>-4442160.1424492002</v>
      </c>
      <c r="M82" s="3">
        <f t="shared" si="25"/>
        <v>2434132.8153750529</v>
      </c>
      <c r="N82" s="3">
        <f t="shared" si="26"/>
        <v>9011943.3429350611</v>
      </c>
      <c r="O82" s="3">
        <f t="shared" si="27"/>
        <v>1833644.83418835</v>
      </c>
      <c r="P82" s="3">
        <f t="shared" si="28"/>
        <v>39456400.468682997</v>
      </c>
      <c r="Q82" s="3">
        <f t="shared" si="29"/>
        <v>32401413.668687008</v>
      </c>
      <c r="R82" s="3">
        <f t="shared" si="30"/>
        <v>-1516441.3928010026</v>
      </c>
      <c r="S82" s="47">
        <f t="shared" si="21"/>
        <v>79178933.594618276</v>
      </c>
      <c r="T82" s="47">
        <f ca="1">'Monthly Data'!Y82+'Monthly Data'!Z82</f>
        <v>52512.306582254911</v>
      </c>
      <c r="U82" s="47">
        <f t="shared" ca="1" si="22"/>
        <v>79231445.901200533</v>
      </c>
      <c r="V82" s="47">
        <f t="shared" ca="1" si="23"/>
        <v>873450.59301134944</v>
      </c>
      <c r="W82" s="18">
        <f t="shared" ca="1" si="31"/>
        <v>1.1146923674808016E-2</v>
      </c>
    </row>
    <row r="83" spans="1:23">
      <c r="A83" s="2">
        <f>'Monthly Data'!A83</f>
        <v>44835</v>
      </c>
      <c r="B83">
        <f>'Monthly Data'!B83</f>
        <v>2022</v>
      </c>
      <c r="C83">
        <f>'Monthly Data'!C83</f>
        <v>10</v>
      </c>
      <c r="D83" s="3">
        <f ca="1">'Monthly Data'!X83</f>
        <v>76808375.694675222</v>
      </c>
      <c r="E83" s="3">
        <f>'Monthly Data'!CN83</f>
        <v>330.85561594202903</v>
      </c>
      <c r="F83" s="3">
        <f>'Monthly Data'!CW83</f>
        <v>11.604166666666668</v>
      </c>
      <c r="G83">
        <f>'Monthly Data'!EG83</f>
        <v>1</v>
      </c>
      <c r="H83" s="3">
        <f>'Monthly Data'!DQ83</f>
        <v>31</v>
      </c>
      <c r="I83" s="3">
        <f>'Monthly Data'!DL83</f>
        <v>856887</v>
      </c>
      <c r="J83" s="489">
        <f>'Monthly Data'!EJ83</f>
        <v>0.25</v>
      </c>
      <c r="L83" s="436">
        <f t="shared" si="24"/>
        <v>-4442160.1424492002</v>
      </c>
      <c r="M83" s="3">
        <f t="shared" si="25"/>
        <v>7203994.1431139931</v>
      </c>
      <c r="N83" s="3">
        <f t="shared" si="26"/>
        <v>748085.31177568273</v>
      </c>
      <c r="O83" s="3">
        <f t="shared" si="27"/>
        <v>1833644.83418835</v>
      </c>
      <c r="P83" s="3">
        <f t="shared" si="28"/>
        <v>40771613.817639098</v>
      </c>
      <c r="Q83" s="3">
        <f t="shared" si="29"/>
        <v>32403985.152430333</v>
      </c>
      <c r="R83" s="3">
        <f t="shared" si="30"/>
        <v>-1516441.3928010026</v>
      </c>
      <c r="S83" s="47">
        <f t="shared" si="21"/>
        <v>77002721.723897263</v>
      </c>
      <c r="T83" s="47">
        <f ca="1">'Monthly Data'!Y83+'Monthly Data'!Z83</f>
        <v>109696.07222397148</v>
      </c>
      <c r="U83" s="47">
        <f t="shared" ca="1" si="22"/>
        <v>77112417.79612124</v>
      </c>
      <c r="V83" s="47">
        <f t="shared" ca="1" si="23"/>
        <v>304042.10144601762</v>
      </c>
      <c r="W83" s="18">
        <f t="shared" ca="1" si="31"/>
        <v>3.9584498265479596E-3</v>
      </c>
    </row>
    <row r="84" spans="1:23">
      <c r="A84" s="2">
        <f>'Monthly Data'!A84</f>
        <v>44866</v>
      </c>
      <c r="B84">
        <f>'Monthly Data'!B84</f>
        <v>2022</v>
      </c>
      <c r="C84">
        <f>'Monthly Data'!C84</f>
        <v>11</v>
      </c>
      <c r="D84" s="3">
        <f ca="1">'Monthly Data'!X84</f>
        <v>79007935.605978161</v>
      </c>
      <c r="E84" s="3">
        <f>'Monthly Data'!CN84</f>
        <v>471.83333333333348</v>
      </c>
      <c r="F84" s="3">
        <f>'Monthly Data'!CW84</f>
        <v>6.5791666666666675</v>
      </c>
      <c r="G84">
        <f>'Monthly Data'!EG84</f>
        <v>1</v>
      </c>
      <c r="H84" s="3">
        <f>'Monthly Data'!DQ84</f>
        <v>30</v>
      </c>
      <c r="I84" s="3">
        <f>'Monthly Data'!DL84</f>
        <v>856887</v>
      </c>
      <c r="J84" s="489">
        <f>'Monthly Data'!EJ84</f>
        <v>0.25</v>
      </c>
      <c r="L84" s="436">
        <f t="shared" si="24"/>
        <v>-4442160.1424492002</v>
      </c>
      <c r="M84" s="3">
        <f t="shared" si="25"/>
        <v>10273619.083603097</v>
      </c>
      <c r="N84" s="3">
        <f t="shared" si="26"/>
        <v>424138.85360639251</v>
      </c>
      <c r="O84" s="3">
        <f t="shared" si="27"/>
        <v>1833644.83418835</v>
      </c>
      <c r="P84" s="3">
        <f t="shared" si="28"/>
        <v>39456400.468682997</v>
      </c>
      <c r="Q84" s="3">
        <f t="shared" si="29"/>
        <v>32403985.152430333</v>
      </c>
      <c r="R84" s="3">
        <f t="shared" si="30"/>
        <v>-1516441.3928010026</v>
      </c>
      <c r="S84" s="47">
        <f t="shared" si="21"/>
        <v>78433186.857260957</v>
      </c>
      <c r="T84" s="47">
        <f ca="1">'Monthly Data'!Y84+'Monthly Data'!Z84</f>
        <v>151442.71428450628</v>
      </c>
      <c r="U84" s="47">
        <f t="shared" ca="1" si="22"/>
        <v>78584629.571545467</v>
      </c>
      <c r="V84" s="47">
        <f t="shared" ca="1" si="23"/>
        <v>-423306.03443269432</v>
      </c>
      <c r="W84" s="18">
        <f t="shared" ca="1" si="31"/>
        <v>5.3577660419299039E-3</v>
      </c>
    </row>
    <row r="85" spans="1:23">
      <c r="A85" s="2">
        <f>'Monthly Data'!A85</f>
        <v>44896</v>
      </c>
      <c r="B85">
        <f>'Monthly Data'!B85</f>
        <v>2022</v>
      </c>
      <c r="C85">
        <f>'Monthly Data'!C85</f>
        <v>12</v>
      </c>
      <c r="D85" s="3">
        <f ca="1">'Monthly Data'!X85</f>
        <v>80150512.416838348</v>
      </c>
      <c r="E85" s="3">
        <f>'Monthly Data'!CN85</f>
        <v>647.12083333333328</v>
      </c>
      <c r="F85" s="3">
        <f>'Monthly Data'!CW85</f>
        <v>0</v>
      </c>
      <c r="G85">
        <f>'Monthly Data'!EG85</f>
        <v>0</v>
      </c>
      <c r="H85" s="3">
        <f>'Monthly Data'!DQ85</f>
        <v>31</v>
      </c>
      <c r="I85" s="3">
        <f>'Monthly Data'!DL85</f>
        <v>856887</v>
      </c>
      <c r="J85" s="489">
        <f>'Monthly Data'!EJ85</f>
        <v>0.25</v>
      </c>
      <c r="L85" s="436">
        <f t="shared" si="24"/>
        <v>-4442160.1424492002</v>
      </c>
      <c r="M85" s="3">
        <f t="shared" si="25"/>
        <v>14090299.419421695</v>
      </c>
      <c r="N85" s="3">
        <f t="shared" si="26"/>
        <v>0</v>
      </c>
      <c r="O85" s="3">
        <f t="shared" si="27"/>
        <v>0</v>
      </c>
      <c r="P85" s="3">
        <f t="shared" si="28"/>
        <v>40771613.817639098</v>
      </c>
      <c r="Q85" s="3">
        <f t="shared" si="29"/>
        <v>32403985.152430333</v>
      </c>
      <c r="R85" s="3">
        <f t="shared" si="30"/>
        <v>-1516441.3928010026</v>
      </c>
      <c r="S85" s="47">
        <f t="shared" si="21"/>
        <v>81307296.854240924</v>
      </c>
      <c r="T85" s="47">
        <f ca="1">'Monthly Data'!Y85+'Monthly Data'!Z85</f>
        <v>201780.05562016758</v>
      </c>
      <c r="U85" s="47">
        <f t="shared" ca="1" si="22"/>
        <v>81509076.909861088</v>
      </c>
      <c r="V85" s="47">
        <f t="shared" ca="1" si="23"/>
        <v>1358564.4930227399</v>
      </c>
      <c r="W85" s="18">
        <f t="shared" ca="1" si="31"/>
        <v>1.695016603209298E-2</v>
      </c>
    </row>
    <row r="86" spans="1:23">
      <c r="A86" s="2">
        <f>'Monthly Data'!A86</f>
        <v>44927</v>
      </c>
      <c r="B86">
        <f>'Monthly Data'!B86</f>
        <v>2023</v>
      </c>
      <c r="C86">
        <f>'Monthly Data'!C86</f>
        <v>1</v>
      </c>
      <c r="D86" s="3">
        <f ca="1">'Monthly Data'!X86</f>
        <v>84011788.343112782</v>
      </c>
      <c r="E86" s="3">
        <f>'Monthly Data'!CN86</f>
        <v>666.07083333333355</v>
      </c>
      <c r="F86" s="3">
        <f>'Monthly Data'!CW86</f>
        <v>0</v>
      </c>
      <c r="G86">
        <f>'Monthly Data'!EG86</f>
        <v>0</v>
      </c>
      <c r="H86" s="3">
        <f>'Monthly Data'!DQ86</f>
        <v>31</v>
      </c>
      <c r="I86" s="3">
        <f>'Monthly Data'!DL86</f>
        <v>867096</v>
      </c>
      <c r="J86" s="489">
        <f>'Monthly Data'!EJ86</f>
        <v>0</v>
      </c>
      <c r="L86" s="436">
        <f t="shared" si="24"/>
        <v>-4442160.1424492002</v>
      </c>
      <c r="M86" s="3">
        <f t="shared" si="25"/>
        <v>14502913.50978047</v>
      </c>
      <c r="N86" s="3">
        <f t="shared" si="26"/>
        <v>0</v>
      </c>
      <c r="O86" s="3">
        <f t="shared" si="27"/>
        <v>0</v>
      </c>
      <c r="P86" s="3">
        <f t="shared" si="28"/>
        <v>40771613.817639098</v>
      </c>
      <c r="Q86" s="3">
        <f t="shared" si="29"/>
        <v>32790048.057365477</v>
      </c>
      <c r="R86" s="3">
        <f t="shared" si="30"/>
        <v>0</v>
      </c>
      <c r="S86" s="47">
        <f t="shared" si="21"/>
        <v>83622415.242335841</v>
      </c>
      <c r="T86" s="47">
        <f ca="1">'Monthly Data'!Y86+'Monthly Data'!Z86</f>
        <v>267925.79312729044</v>
      </c>
      <c r="U86" s="47">
        <f t="shared" ca="1" si="22"/>
        <v>83890341.035463125</v>
      </c>
      <c r="V86" s="47">
        <f t="shared" ca="1" si="23"/>
        <v>-121447.30764965713</v>
      </c>
      <c r="W86" s="18">
        <f t="shared" ca="1" si="31"/>
        <v>1.4455984099952001E-3</v>
      </c>
    </row>
    <row r="87" spans="1:23">
      <c r="A87" s="2">
        <f>'Monthly Data'!A87</f>
        <v>44958</v>
      </c>
      <c r="B87">
        <f>'Monthly Data'!B87</f>
        <v>2023</v>
      </c>
      <c r="C87">
        <f>'Monthly Data'!C87</f>
        <v>2</v>
      </c>
      <c r="D87" s="3">
        <f ca="1">'Monthly Data'!X87</f>
        <v>77651266.034184828</v>
      </c>
      <c r="E87" s="3">
        <f>'Monthly Data'!CN87</f>
        <v>629.43333333333328</v>
      </c>
      <c r="F87" s="3">
        <f>'Monthly Data'!CW87</f>
        <v>0</v>
      </c>
      <c r="G87">
        <f>'Monthly Data'!EG87</f>
        <v>0</v>
      </c>
      <c r="H87" s="3">
        <f>'Monthly Data'!DQ87</f>
        <v>28</v>
      </c>
      <c r="I87" s="3">
        <f>'Monthly Data'!DL87</f>
        <v>867096</v>
      </c>
      <c r="J87" s="489">
        <f>'Monthly Data'!EJ87</f>
        <v>0</v>
      </c>
      <c r="L87" s="436">
        <f t="shared" si="24"/>
        <v>-4442160.1424492002</v>
      </c>
      <c r="M87" s="3">
        <f t="shared" si="25"/>
        <v>13705174.790227991</v>
      </c>
      <c r="N87" s="3">
        <f t="shared" si="26"/>
        <v>0</v>
      </c>
      <c r="O87" s="3">
        <f t="shared" si="27"/>
        <v>0</v>
      </c>
      <c r="P87" s="3">
        <f t="shared" si="28"/>
        <v>36825973.770770796</v>
      </c>
      <c r="Q87" s="3">
        <f t="shared" si="29"/>
        <v>32790048.057365477</v>
      </c>
      <c r="R87" s="3">
        <f t="shared" si="30"/>
        <v>0</v>
      </c>
      <c r="S87" s="47">
        <f t="shared" si="21"/>
        <v>78879036.475915059</v>
      </c>
      <c r="T87" s="47">
        <f ca="1">'Monthly Data'!Y87+'Monthly Data'!Z87</f>
        <v>257948.93919878063</v>
      </c>
      <c r="U87" s="47">
        <f t="shared" ca="1" si="22"/>
        <v>79136985.415113837</v>
      </c>
      <c r="V87" s="47">
        <f t="shared" ca="1" si="23"/>
        <v>1485719.3809290081</v>
      </c>
      <c r="W87" s="18">
        <f t="shared" ca="1" si="31"/>
        <v>1.9133228043892319E-2</v>
      </c>
    </row>
    <row r="88" spans="1:23">
      <c r="A88" s="2">
        <f>'Monthly Data'!A88</f>
        <v>44986</v>
      </c>
      <c r="B88">
        <f>'Monthly Data'!B88</f>
        <v>2023</v>
      </c>
      <c r="C88">
        <f>'Monthly Data'!C88</f>
        <v>3</v>
      </c>
      <c r="D88" s="3">
        <f ca="1">'Monthly Data'!X88</f>
        <v>83405918.021428466</v>
      </c>
      <c r="E88" s="3">
        <f>'Monthly Data'!CN88</f>
        <v>613.0333333333333</v>
      </c>
      <c r="F88" s="3">
        <f>'Monthly Data'!CW88</f>
        <v>0</v>
      </c>
      <c r="G88">
        <f>'Monthly Data'!EG88</f>
        <v>1</v>
      </c>
      <c r="H88" s="3">
        <f>'Monthly Data'!DQ88</f>
        <v>31</v>
      </c>
      <c r="I88" s="3">
        <f>'Monthly Data'!DL88</f>
        <v>867096</v>
      </c>
      <c r="J88" s="489">
        <f>'Monthly Data'!EJ88</f>
        <v>0</v>
      </c>
      <c r="L88" s="436">
        <f t="shared" si="24"/>
        <v>-4442160.1424492002</v>
      </c>
      <c r="M88" s="3">
        <f t="shared" si="25"/>
        <v>13348083.967964994</v>
      </c>
      <c r="N88" s="3">
        <f t="shared" si="26"/>
        <v>0</v>
      </c>
      <c r="O88" s="3">
        <f t="shared" si="27"/>
        <v>1833644.83418835</v>
      </c>
      <c r="P88" s="3">
        <f t="shared" si="28"/>
        <v>40771613.817639098</v>
      </c>
      <c r="Q88" s="3">
        <f t="shared" si="29"/>
        <v>32790048.057365477</v>
      </c>
      <c r="R88" s="3">
        <f t="shared" si="30"/>
        <v>0</v>
      </c>
      <c r="S88" s="47">
        <f t="shared" si="21"/>
        <v>84301230.534708709</v>
      </c>
      <c r="T88" s="47">
        <f ca="1">'Monthly Data'!Y88+'Monthly Data'!Z88</f>
        <v>251096.51701437464</v>
      </c>
      <c r="U88" s="47">
        <f t="shared" ca="1" si="22"/>
        <v>84552327.051723078</v>
      </c>
      <c r="V88" s="47">
        <f t="shared" ca="1" si="23"/>
        <v>1146409.0302946121</v>
      </c>
      <c r="W88" s="18">
        <f t="shared" ca="1" si="31"/>
        <v>1.3744936300564177E-2</v>
      </c>
    </row>
    <row r="89" spans="1:23">
      <c r="A89" s="2">
        <f>'Monthly Data'!A89</f>
        <v>45017</v>
      </c>
      <c r="B89">
        <f>'Monthly Data'!B89</f>
        <v>2023</v>
      </c>
      <c r="C89">
        <f>'Monthly Data'!C89</f>
        <v>4</v>
      </c>
      <c r="D89" s="3">
        <f ca="1">'Monthly Data'!X89</f>
        <v>75004611.684332997</v>
      </c>
      <c r="E89" s="3">
        <f>'Monthly Data'!CN89</f>
        <v>361.4</v>
      </c>
      <c r="F89" s="3">
        <f>'Monthly Data'!CW89</f>
        <v>22.716666666666676</v>
      </c>
      <c r="G89">
        <f>'Monthly Data'!EG89</f>
        <v>1</v>
      </c>
      <c r="H89" s="3">
        <f>'Monthly Data'!DQ89</f>
        <v>30</v>
      </c>
      <c r="I89" s="3">
        <f>'Monthly Data'!DL89</f>
        <v>873385</v>
      </c>
      <c r="J89" s="489">
        <f>'Monthly Data'!EJ89</f>
        <v>0</v>
      </c>
      <c r="L89" s="436">
        <f t="shared" si="24"/>
        <v>-4442160.1424492002</v>
      </c>
      <c r="M89" s="3">
        <f t="shared" si="25"/>
        <v>7869062.3881614087</v>
      </c>
      <c r="N89" s="3">
        <f t="shared" si="26"/>
        <v>1464474.3697669744</v>
      </c>
      <c r="O89" s="3">
        <f t="shared" si="27"/>
        <v>1833644.83418835</v>
      </c>
      <c r="P89" s="3">
        <f t="shared" si="28"/>
        <v>39456400.468682997</v>
      </c>
      <c r="Q89" s="3">
        <f t="shared" si="29"/>
        <v>33027872.487685502</v>
      </c>
      <c r="R89" s="3">
        <f t="shared" si="30"/>
        <v>0</v>
      </c>
      <c r="S89" s="47">
        <f t="shared" si="21"/>
        <v>79209294.406036034</v>
      </c>
      <c r="T89" s="47">
        <f ca="1">'Monthly Data'!Y89+'Monthly Data'!Z89</f>
        <v>158055.92609125361</v>
      </c>
      <c r="U89" s="47">
        <f t="shared" ca="1" si="22"/>
        <v>79367350.332127288</v>
      </c>
      <c r="V89" s="47">
        <f t="shared" ca="1" si="23"/>
        <v>4362738.6477942914</v>
      </c>
      <c r="W89" s="18">
        <f t="shared" ca="1" si="31"/>
        <v>5.8166272044117291E-2</v>
      </c>
    </row>
    <row r="90" spans="1:23">
      <c r="A90" s="2">
        <f>'Monthly Data'!A90</f>
        <v>45047</v>
      </c>
      <c r="B90">
        <f>'Monthly Data'!B90</f>
        <v>2023</v>
      </c>
      <c r="C90">
        <f>'Monthly Data'!C90</f>
        <v>5</v>
      </c>
      <c r="D90" s="3">
        <f ca="1">'Monthly Data'!X90</f>
        <v>77737783.312574968</v>
      </c>
      <c r="E90" s="3">
        <f>'Monthly Data'!CN90</f>
        <v>219.04750000000001</v>
      </c>
      <c r="F90" s="3">
        <f>'Monthly Data'!CW90</f>
        <v>68.049999999999983</v>
      </c>
      <c r="G90">
        <f>'Monthly Data'!EG90</f>
        <v>1</v>
      </c>
      <c r="H90" s="3">
        <f>'Monthly Data'!DQ90</f>
        <v>31</v>
      </c>
      <c r="I90" s="3">
        <f>'Monthly Data'!DL90</f>
        <v>873385</v>
      </c>
      <c r="J90" s="489">
        <f>'Monthly Data'!EJ90</f>
        <v>0</v>
      </c>
      <c r="L90" s="436">
        <f t="shared" si="24"/>
        <v>-4442160.1424492002</v>
      </c>
      <c r="M90" s="3">
        <f t="shared" si="25"/>
        <v>4769503.1640032828</v>
      </c>
      <c r="N90" s="3">
        <f t="shared" si="26"/>
        <v>4386976.4136159588</v>
      </c>
      <c r="O90" s="3">
        <f t="shared" si="27"/>
        <v>1833644.83418835</v>
      </c>
      <c r="P90" s="3">
        <f t="shared" si="28"/>
        <v>40771613.817639098</v>
      </c>
      <c r="Q90" s="3">
        <f t="shared" si="29"/>
        <v>33027872.487685502</v>
      </c>
      <c r="R90" s="3">
        <f t="shared" si="30"/>
        <v>0</v>
      </c>
      <c r="S90" s="47">
        <f t="shared" si="21"/>
        <v>80347450.574682981</v>
      </c>
      <c r="T90" s="47">
        <f ca="1">'Monthly Data'!Y90+'Monthly Data'!Z90</f>
        <v>107419.42110578771</v>
      </c>
      <c r="U90" s="47">
        <f t="shared" ca="1" si="22"/>
        <v>80454869.995788768</v>
      </c>
      <c r="V90" s="47">
        <f t="shared" ca="1" si="23"/>
        <v>2717086.6832138002</v>
      </c>
      <c r="W90" s="18">
        <f t="shared" ca="1" si="31"/>
        <v>3.4951944439793159E-2</v>
      </c>
    </row>
    <row r="91" spans="1:23">
      <c r="A91" s="2">
        <f>'Monthly Data'!A91</f>
        <v>45078</v>
      </c>
      <c r="B91">
        <f>'Monthly Data'!B91</f>
        <v>2023</v>
      </c>
      <c r="C91">
        <f>'Monthly Data'!C91</f>
        <v>6</v>
      </c>
      <c r="D91" s="3">
        <f ca="1">'Monthly Data'!X91</f>
        <v>80699110.639320776</v>
      </c>
      <c r="E91" s="3">
        <f>'Monthly Data'!CN91</f>
        <v>55.599999999999994</v>
      </c>
      <c r="F91" s="3">
        <f>'Monthly Data'!CW91</f>
        <v>205.54166666666669</v>
      </c>
      <c r="G91">
        <f>'Monthly Data'!EG91</f>
        <v>0</v>
      </c>
      <c r="H91" s="3">
        <f>'Monthly Data'!DQ91</f>
        <v>30</v>
      </c>
      <c r="I91" s="3">
        <f>'Monthly Data'!DL91</f>
        <v>873385</v>
      </c>
      <c r="J91" s="489">
        <f>'Monthly Data'!EJ91</f>
        <v>0</v>
      </c>
      <c r="L91" s="436">
        <f t="shared" si="24"/>
        <v>-4442160.1424492002</v>
      </c>
      <c r="M91" s="3">
        <f t="shared" si="25"/>
        <v>1210624.9827940629</v>
      </c>
      <c r="N91" s="3">
        <f t="shared" si="26"/>
        <v>13250645.755796922</v>
      </c>
      <c r="O91" s="3">
        <f t="shared" si="27"/>
        <v>0</v>
      </c>
      <c r="P91" s="3">
        <f t="shared" si="28"/>
        <v>39456400.468682997</v>
      </c>
      <c r="Q91" s="3">
        <f t="shared" si="29"/>
        <v>33027872.487685502</v>
      </c>
      <c r="R91" s="3">
        <f t="shared" si="30"/>
        <v>0</v>
      </c>
      <c r="S91" s="47">
        <f t="shared" si="21"/>
        <v>82503383.552510291</v>
      </c>
      <c r="T91" s="47">
        <f ca="1">'Monthly Data'!Y91+'Monthly Data'!Z91</f>
        <v>55157.010516713322</v>
      </c>
      <c r="U91" s="47">
        <f t="shared" ca="1" si="22"/>
        <v>82558540.563027009</v>
      </c>
      <c r="V91" s="47">
        <f t="shared" ca="1" si="23"/>
        <v>1859429.9237062335</v>
      </c>
      <c r="W91" s="18">
        <f t="shared" ca="1" si="31"/>
        <v>2.3041516925965021E-2</v>
      </c>
    </row>
    <row r="92" spans="1:23">
      <c r="A92" s="2">
        <f>'Monthly Data'!A92</f>
        <v>45108</v>
      </c>
      <c r="B92">
        <f>'Monthly Data'!B92</f>
        <v>2023</v>
      </c>
      <c r="C92">
        <f>'Monthly Data'!C92</f>
        <v>7</v>
      </c>
      <c r="D92" s="3">
        <f ca="1">'Monthly Data'!X92</f>
        <v>85513520.832899213</v>
      </c>
      <c r="E92" s="3">
        <f>'Monthly Data'!CN92</f>
        <v>7.3166666666666593</v>
      </c>
      <c r="F92" s="3">
        <f>'Monthly Data'!CW92</f>
        <v>285.78333333333342</v>
      </c>
      <c r="G92">
        <f>'Monthly Data'!EG92</f>
        <v>0</v>
      </c>
      <c r="H92" s="3">
        <f>'Monthly Data'!DQ92</f>
        <v>31</v>
      </c>
      <c r="I92" s="3">
        <f>'Monthly Data'!DL92</f>
        <v>876964</v>
      </c>
      <c r="J92" s="489">
        <f>'Monthly Data'!EJ92</f>
        <v>0</v>
      </c>
      <c r="L92" s="436">
        <f t="shared" si="24"/>
        <v>-4442160.1424492002</v>
      </c>
      <c r="M92" s="3">
        <f t="shared" si="25"/>
        <v>159311.86074538162</v>
      </c>
      <c r="N92" s="3">
        <f t="shared" si="26"/>
        <v>18423581.818337716</v>
      </c>
      <c r="O92" s="3">
        <f t="shared" si="27"/>
        <v>0</v>
      </c>
      <c r="P92" s="3">
        <f t="shared" si="28"/>
        <v>40771613.817639098</v>
      </c>
      <c r="Q92" s="3">
        <f t="shared" si="29"/>
        <v>33163215.727646604</v>
      </c>
      <c r="R92" s="3">
        <f t="shared" si="30"/>
        <v>0</v>
      </c>
      <c r="S92" s="47">
        <f t="shared" si="21"/>
        <v>88075563.081919596</v>
      </c>
      <c r="T92" s="47">
        <f ca="1">'Monthly Data'!Y92+'Monthly Data'!Z92</f>
        <v>48715.489826220779</v>
      </c>
      <c r="U92" s="47">
        <f t="shared" ca="1" si="22"/>
        <v>88124278.571745813</v>
      </c>
      <c r="V92" s="47">
        <f t="shared" ca="1" si="23"/>
        <v>2610757.7388466001</v>
      </c>
      <c r="W92" s="18">
        <f t="shared" ca="1" si="31"/>
        <v>3.0530350211497498E-2</v>
      </c>
    </row>
    <row r="93" spans="1:23">
      <c r="A93" s="2">
        <f>'Monthly Data'!A93</f>
        <v>45139</v>
      </c>
      <c r="B93">
        <f>'Monthly Data'!B93</f>
        <v>2023</v>
      </c>
      <c r="C93">
        <f>'Monthly Data'!C93</f>
        <v>8</v>
      </c>
      <c r="D93" s="3">
        <f ca="1">'Monthly Data'!X93</f>
        <v>84634591.159736171</v>
      </c>
      <c r="E93" s="3">
        <f>'Monthly Data'!CN93</f>
        <v>32.211775362318839</v>
      </c>
      <c r="F93" s="3">
        <f>'Monthly Data'!CW93</f>
        <v>227.80489130434788</v>
      </c>
      <c r="G93">
        <f>'Monthly Data'!EG93</f>
        <v>0</v>
      </c>
      <c r="H93" s="3">
        <f>'Monthly Data'!DQ93</f>
        <v>31</v>
      </c>
      <c r="I93" s="3">
        <f>'Monthly Data'!DL93</f>
        <v>876964</v>
      </c>
      <c r="J93" s="489">
        <f>'Monthly Data'!EJ93</f>
        <v>0</v>
      </c>
      <c r="L93" s="436">
        <f t="shared" si="24"/>
        <v>-4442160.1424492002</v>
      </c>
      <c r="M93" s="3">
        <f t="shared" si="25"/>
        <v>701373.74089520623</v>
      </c>
      <c r="N93" s="3">
        <f t="shared" si="26"/>
        <v>14685888.09784749</v>
      </c>
      <c r="O93" s="3">
        <f t="shared" si="27"/>
        <v>0</v>
      </c>
      <c r="P93" s="3">
        <f t="shared" si="28"/>
        <v>40771613.817639098</v>
      </c>
      <c r="Q93" s="3">
        <f t="shared" si="29"/>
        <v>33163215.727646604</v>
      </c>
      <c r="R93" s="3">
        <f t="shared" si="30"/>
        <v>0</v>
      </c>
      <c r="S93" s="47">
        <f t="shared" si="21"/>
        <v>84879931.241579205</v>
      </c>
      <c r="T93" s="47">
        <f ca="1">'Monthly Data'!Y93+'Monthly Data'!Z93</f>
        <v>53829.783456864432</v>
      </c>
      <c r="U93" s="47">
        <f t="shared" ca="1" si="22"/>
        <v>84933761.025036067</v>
      </c>
      <c r="V93" s="47">
        <f t="shared" ca="1" si="23"/>
        <v>299169.86529989541</v>
      </c>
      <c r="W93" s="18">
        <f t="shared" ca="1" si="31"/>
        <v>3.5348415015705971E-3</v>
      </c>
    </row>
    <row r="94" spans="1:23">
      <c r="A94" s="2">
        <f>'Monthly Data'!A94</f>
        <v>45170</v>
      </c>
      <c r="B94">
        <f>'Monthly Data'!B94</f>
        <v>2023</v>
      </c>
      <c r="C94">
        <f>'Monthly Data'!C94</f>
        <v>9</v>
      </c>
      <c r="D94" s="3">
        <f ca="1">'Monthly Data'!X94</f>
        <v>80159889.023785233</v>
      </c>
      <c r="E94" s="3">
        <f>'Monthly Data'!CN94</f>
        <v>95.22083333333336</v>
      </c>
      <c r="F94" s="3">
        <f>'Monthly Data'!CW94</f>
        <v>162.99166666666662</v>
      </c>
      <c r="G94">
        <f>'Monthly Data'!EG94</f>
        <v>1</v>
      </c>
      <c r="H94" s="3">
        <f>'Monthly Data'!DQ94</f>
        <v>30</v>
      </c>
      <c r="I94" s="3">
        <f>'Monthly Data'!DL94</f>
        <v>876964</v>
      </c>
      <c r="J94" s="489">
        <f>'Monthly Data'!EJ94</f>
        <v>0</v>
      </c>
      <c r="L94" s="436">
        <f t="shared" si="24"/>
        <v>-4442160.1424492002</v>
      </c>
      <c r="M94" s="3">
        <f t="shared" si="25"/>
        <v>2073322.2970468171</v>
      </c>
      <c r="N94" s="3">
        <f t="shared" si="26"/>
        <v>10507576.741846012</v>
      </c>
      <c r="O94" s="3">
        <f t="shared" si="27"/>
        <v>1833644.83418835</v>
      </c>
      <c r="P94" s="3">
        <f t="shared" si="28"/>
        <v>39456400.468682997</v>
      </c>
      <c r="Q94" s="3">
        <f t="shared" si="29"/>
        <v>33163215.727646604</v>
      </c>
      <c r="R94" s="3">
        <f t="shared" si="30"/>
        <v>0</v>
      </c>
      <c r="S94" s="47">
        <f t="shared" si="21"/>
        <v>82591999.926961571</v>
      </c>
      <c r="T94" s="47">
        <f ca="1">'Monthly Data'!Y94+'Monthly Data'!Z94</f>
        <v>70006.809615948107</v>
      </c>
      <c r="U94" s="47">
        <f t="shared" ca="1" si="22"/>
        <v>82662006.736577526</v>
      </c>
      <c r="V94" s="47">
        <f t="shared" ca="1" si="23"/>
        <v>2502117.7127922922</v>
      </c>
      <c r="W94" s="18">
        <f t="shared" ca="1" si="31"/>
        <v>3.1214086537094107E-2</v>
      </c>
    </row>
    <row r="95" spans="1:23">
      <c r="A95" s="2">
        <f>'Monthly Data'!A95</f>
        <v>45200</v>
      </c>
      <c r="B95">
        <f>'Monthly Data'!B95</f>
        <v>2023</v>
      </c>
      <c r="C95">
        <f>'Monthly Data'!C95</f>
        <v>10</v>
      </c>
      <c r="D95" s="3">
        <f ca="1">'Monthly Data'!X95</f>
        <v>79136189.684440017</v>
      </c>
      <c r="E95" s="3">
        <f>'Monthly Data'!CN95</f>
        <v>261.85000000000002</v>
      </c>
      <c r="F95" s="3">
        <f>'Monthly Data'!CW95</f>
        <v>54.625</v>
      </c>
      <c r="G95">
        <f>'Monthly Data'!EG95</f>
        <v>1</v>
      </c>
      <c r="H95" s="3">
        <f>'Monthly Data'!DQ95</f>
        <v>31</v>
      </c>
      <c r="I95" s="3">
        <f>'Monthly Data'!DL95</f>
        <v>880255</v>
      </c>
      <c r="J95" s="489">
        <f>'Monthly Data'!EJ95</f>
        <v>0</v>
      </c>
      <c r="L95" s="436">
        <f t="shared" si="24"/>
        <v>-4442160.1424492002</v>
      </c>
      <c r="M95" s="3">
        <f t="shared" si="25"/>
        <v>5701477.5493637668</v>
      </c>
      <c r="N95" s="3">
        <f t="shared" si="26"/>
        <v>3521507.5179099459</v>
      </c>
      <c r="O95" s="3">
        <f t="shared" si="27"/>
        <v>1833644.83418835</v>
      </c>
      <c r="P95" s="3">
        <f t="shared" si="28"/>
        <v>40771613.817639098</v>
      </c>
      <c r="Q95" s="3">
        <f t="shared" si="29"/>
        <v>33287667.977635983</v>
      </c>
      <c r="R95" s="3">
        <f t="shared" si="30"/>
        <v>0</v>
      </c>
      <c r="S95" s="47">
        <f t="shared" si="21"/>
        <v>80673751.55428794</v>
      </c>
      <c r="T95" s="47">
        <f ca="1">'Monthly Data'!Y95+'Monthly Data'!Z95</f>
        <v>132171.61489575691</v>
      </c>
      <c r="U95" s="47">
        <f t="shared" ca="1" si="22"/>
        <v>80805923.169183701</v>
      </c>
      <c r="V95" s="47">
        <f t="shared" ca="1" si="23"/>
        <v>1669733.4847436845</v>
      </c>
      <c r="W95" s="18">
        <f t="shared" ca="1" si="31"/>
        <v>2.1099493056234323E-2</v>
      </c>
    </row>
    <row r="96" spans="1:23">
      <c r="A96" s="2">
        <f>'Monthly Data'!A96</f>
        <v>45231</v>
      </c>
      <c r="B96">
        <f>'Monthly Data'!B96</f>
        <v>2023</v>
      </c>
      <c r="C96">
        <f>'Monthly Data'!C96</f>
        <v>11</v>
      </c>
      <c r="D96" s="3">
        <f ca="1">'Monthly Data'!X96</f>
        <v>79876896.52928701</v>
      </c>
      <c r="E96" s="3">
        <f>'Monthly Data'!CN96</f>
        <v>510.59311594202899</v>
      </c>
      <c r="F96" s="3">
        <f>'Monthly Data'!CW96</f>
        <v>0</v>
      </c>
      <c r="G96">
        <f>'Monthly Data'!EG96</f>
        <v>1</v>
      </c>
      <c r="H96" s="3">
        <f>'Monthly Data'!DQ96</f>
        <v>30</v>
      </c>
      <c r="I96" s="3">
        <f>'Monthly Data'!DL96</f>
        <v>880255</v>
      </c>
      <c r="J96" s="489">
        <f>'Monthly Data'!EJ96</f>
        <v>0</v>
      </c>
      <c r="L96" s="436">
        <f t="shared" si="24"/>
        <v>-4442160.1424492002</v>
      </c>
      <c r="M96" s="3">
        <f t="shared" si="25"/>
        <v>11117568.025217371</v>
      </c>
      <c r="N96" s="3">
        <f t="shared" si="26"/>
        <v>0</v>
      </c>
      <c r="O96" s="3">
        <f t="shared" si="27"/>
        <v>1833644.83418835</v>
      </c>
      <c r="P96" s="3">
        <f t="shared" si="28"/>
        <v>39456400.468682997</v>
      </c>
      <c r="Q96" s="3">
        <f t="shared" si="29"/>
        <v>33287667.977635983</v>
      </c>
      <c r="R96" s="3">
        <f t="shared" si="30"/>
        <v>0</v>
      </c>
      <c r="S96" s="47">
        <f t="shared" si="21"/>
        <v>81253121.163275495</v>
      </c>
      <c r="T96" s="47">
        <f ca="1">'Monthly Data'!Y96+'Monthly Data'!Z96</f>
        <v>226150.22784763202</v>
      </c>
      <c r="U96" s="47">
        <f t="shared" ca="1" si="22"/>
        <v>81479271.391123131</v>
      </c>
      <c r="V96" s="47">
        <f t="shared" ca="1" si="23"/>
        <v>1602374.8618361205</v>
      </c>
      <c r="W96" s="18">
        <f t="shared" ca="1" si="31"/>
        <v>2.0060554821989193E-2</v>
      </c>
    </row>
    <row r="97" spans="1:23">
      <c r="A97" s="2">
        <f>'Monthly Data'!A97</f>
        <v>45261</v>
      </c>
      <c r="B97">
        <f>'Monthly Data'!B97</f>
        <v>2023</v>
      </c>
      <c r="C97">
        <f>'Monthly Data'!C97</f>
        <v>12</v>
      </c>
      <c r="D97" s="3">
        <f ca="1">'Monthly Data'!X97</f>
        <v>79671277.663110197</v>
      </c>
      <c r="E97" s="3">
        <f>'Monthly Data'!CN97</f>
        <v>551.67916666666667</v>
      </c>
      <c r="F97" s="3">
        <f>'Monthly Data'!CW97</f>
        <v>0</v>
      </c>
      <c r="G97">
        <f>'Monthly Data'!EG97</f>
        <v>0</v>
      </c>
      <c r="H97" s="3">
        <f>'Monthly Data'!DQ97</f>
        <v>31</v>
      </c>
      <c r="I97" s="3">
        <f>'Monthly Data'!DL97</f>
        <v>880255</v>
      </c>
      <c r="J97" s="489">
        <f>'Monthly Data'!EJ97</f>
        <v>0</v>
      </c>
      <c r="L97" s="436">
        <f t="shared" si="24"/>
        <v>-4442160.1424492002</v>
      </c>
      <c r="M97" s="3">
        <f t="shared" si="25"/>
        <v>12012168.734778352</v>
      </c>
      <c r="N97" s="3">
        <f t="shared" si="26"/>
        <v>0</v>
      </c>
      <c r="O97" s="3">
        <f t="shared" si="27"/>
        <v>0</v>
      </c>
      <c r="P97" s="3">
        <f t="shared" si="28"/>
        <v>40771613.817639098</v>
      </c>
      <c r="Q97" s="3">
        <f t="shared" si="29"/>
        <v>33287667.977635983</v>
      </c>
      <c r="R97" s="3">
        <f t="shared" si="30"/>
        <v>0</v>
      </c>
      <c r="S97" s="47">
        <f t="shared" si="21"/>
        <v>81629290.387604237</v>
      </c>
      <c r="T97" s="47">
        <f ca="1">'Monthly Data'!Y97+'Monthly Data'!Z97</f>
        <v>242619.07652254353</v>
      </c>
      <c r="U97" s="47">
        <f t="shared" ca="1" si="22"/>
        <v>81871909.464126781</v>
      </c>
      <c r="V97" s="47">
        <f t="shared" ca="1" si="23"/>
        <v>2200631.801016584</v>
      </c>
      <c r="W97" s="18">
        <f t="shared" ca="1" si="31"/>
        <v>2.76213946300943E-2</v>
      </c>
    </row>
    <row r="98" spans="1:23">
      <c r="A98" s="2">
        <f>'Monthly Data'!A98</f>
        <v>45292</v>
      </c>
      <c r="B98">
        <f>'Monthly Data'!B98</f>
        <v>2024</v>
      </c>
      <c r="C98">
        <f>'Monthly Data'!C98</f>
        <v>1</v>
      </c>
      <c r="D98" s="3">
        <f ca="1">'Monthly Data'!X98</f>
        <v>88604857.855760068</v>
      </c>
      <c r="E98" s="3">
        <f>'Monthly Data'!CN98</f>
        <v>698.99583333333328</v>
      </c>
      <c r="F98" s="3">
        <f>'Monthly Data'!CW98</f>
        <v>0</v>
      </c>
      <c r="G98">
        <f>'Monthly Data'!EG98</f>
        <v>0</v>
      </c>
      <c r="H98" s="3">
        <f>'Monthly Data'!DQ98</f>
        <v>31</v>
      </c>
      <c r="I98" s="3">
        <f>'Monthly Data'!DL98</f>
        <v>885802</v>
      </c>
      <c r="J98" s="489">
        <f>'Monthly Data'!EJ98</f>
        <v>0</v>
      </c>
      <c r="L98" s="436">
        <f t="shared" ref="L98:L121" si="32">$AA$9</f>
        <v>-4442160.1424492002</v>
      </c>
      <c r="M98" s="3">
        <f t="shared" ref="M98:M121" si="33">E98*$AA$10</f>
        <v>15219816.883134682</v>
      </c>
      <c r="N98" s="3">
        <f t="shared" ref="N98:N121" si="34">F98*$AA$11</f>
        <v>0</v>
      </c>
      <c r="O98" s="3">
        <f t="shared" ref="O98:O121" si="35">G98*$AA$12</f>
        <v>0</v>
      </c>
      <c r="P98" s="3">
        <f t="shared" ref="P98:P121" si="36">H98*$AA$13</f>
        <v>40771613.817639098</v>
      </c>
      <c r="Q98" s="3">
        <f t="shared" ref="Q98:Q121" si="37">I98*$AA$14</f>
        <v>33497432.982403859</v>
      </c>
      <c r="R98" s="3">
        <f t="shared" ref="R98:R121" si="38">J98*$AA$15</f>
        <v>0</v>
      </c>
      <c r="S98" s="47">
        <f t="shared" si="21"/>
        <v>85046703.540728435</v>
      </c>
      <c r="T98" s="47">
        <f ca="1">'Monthly Data'!Y98+'Monthly Data'!Z98</f>
        <v>365048.03476122307</v>
      </c>
      <c r="U98" s="47">
        <f t="shared" ca="1" si="22"/>
        <v>85411751.575489655</v>
      </c>
      <c r="V98" s="47">
        <f t="shared" ca="1" si="23"/>
        <v>-3193106.2802704126</v>
      </c>
      <c r="W98" s="18">
        <f t="shared" ref="W98:W109" ca="1" si="39">ABS(V98/D98)</f>
        <v>3.6037598361350266E-2</v>
      </c>
    </row>
    <row r="99" spans="1:23">
      <c r="A99" s="2">
        <f>'Monthly Data'!A99</f>
        <v>45323</v>
      </c>
      <c r="B99">
        <f>'Monthly Data'!B99</f>
        <v>2024</v>
      </c>
      <c r="C99">
        <f>'Monthly Data'!C99</f>
        <v>2</v>
      </c>
      <c r="D99" s="3">
        <f ca="1">'Monthly Data'!X99</f>
        <v>82091277.202787995</v>
      </c>
      <c r="E99" s="3">
        <f>'Monthly Data'!CN99</f>
        <v>600.96666666666647</v>
      </c>
      <c r="F99" s="3">
        <f>'Monthly Data'!CW99</f>
        <v>0</v>
      </c>
      <c r="G99">
        <f>'Monthly Data'!EG99</f>
        <v>0</v>
      </c>
      <c r="H99" s="3">
        <f>'Monthly Data'!DQ99</f>
        <v>29</v>
      </c>
      <c r="I99" s="3">
        <f>'Monthly Data'!DL99</f>
        <v>885802</v>
      </c>
      <c r="J99" s="489">
        <f>'Monthly Data'!EJ99</f>
        <v>0</v>
      </c>
      <c r="L99" s="436">
        <f t="shared" si="32"/>
        <v>-4442160.1424492002</v>
      </c>
      <c r="M99" s="3">
        <f t="shared" si="33"/>
        <v>13085346.411747094</v>
      </c>
      <c r="N99" s="3">
        <f t="shared" si="34"/>
        <v>0</v>
      </c>
      <c r="O99" s="3">
        <f t="shared" si="35"/>
        <v>0</v>
      </c>
      <c r="P99" s="3">
        <f t="shared" si="36"/>
        <v>38141187.119726896</v>
      </c>
      <c r="Q99" s="3">
        <f t="shared" si="37"/>
        <v>33497432.982403859</v>
      </c>
      <c r="R99" s="3">
        <f t="shared" si="38"/>
        <v>0</v>
      </c>
      <c r="S99" s="47">
        <f t="shared" si="21"/>
        <v>80281806.371428654</v>
      </c>
      <c r="T99" s="47">
        <f ca="1">'Monthly Data'!Y99+'Monthly Data'!Z99</f>
        <v>322290.237948314</v>
      </c>
      <c r="U99" s="47">
        <f t="shared" ca="1" si="22"/>
        <v>80604096.609376967</v>
      </c>
      <c r="V99" s="47">
        <f t="shared" ca="1" si="23"/>
        <v>-1487180.5934110284</v>
      </c>
      <c r="W99" s="18">
        <f t="shared" ca="1" si="39"/>
        <v>1.8116182913530312E-2</v>
      </c>
    </row>
    <row r="100" spans="1:23">
      <c r="A100" s="2">
        <f>'Monthly Data'!A100</f>
        <v>45352</v>
      </c>
      <c r="B100">
        <f>'Monthly Data'!B100</f>
        <v>2024</v>
      </c>
      <c r="C100">
        <f>'Monthly Data'!C100</f>
        <v>3</v>
      </c>
      <c r="D100" s="3">
        <f ca="1">'Monthly Data'!X100</f>
        <v>83773753.494776964</v>
      </c>
      <c r="E100" s="3">
        <f>'Monthly Data'!CN100</f>
        <v>522.11249999999995</v>
      </c>
      <c r="F100" s="3">
        <f>'Monthly Data'!CW100</f>
        <v>0</v>
      </c>
      <c r="G100">
        <f>'Monthly Data'!EG100</f>
        <v>1</v>
      </c>
      <c r="H100" s="3">
        <f>'Monthly Data'!DQ100</f>
        <v>31</v>
      </c>
      <c r="I100" s="3">
        <f>'Monthly Data'!DL100</f>
        <v>885802</v>
      </c>
      <c r="J100" s="489">
        <f>'Monthly Data'!EJ100</f>
        <v>0</v>
      </c>
      <c r="L100" s="436">
        <f t="shared" si="32"/>
        <v>-4442160.1424492002</v>
      </c>
      <c r="M100" s="3">
        <f t="shared" si="33"/>
        <v>11368389.142609086</v>
      </c>
      <c r="N100" s="3">
        <f t="shared" si="34"/>
        <v>0</v>
      </c>
      <c r="O100" s="3">
        <f t="shared" si="35"/>
        <v>1833644.83418835</v>
      </c>
      <c r="P100" s="3">
        <f t="shared" si="36"/>
        <v>40771613.817639098</v>
      </c>
      <c r="Q100" s="3">
        <f t="shared" si="37"/>
        <v>33497432.982403859</v>
      </c>
      <c r="R100" s="3">
        <f t="shared" si="38"/>
        <v>0</v>
      </c>
      <c r="S100" s="47">
        <f t="shared" si="21"/>
        <v>83028920.634391189</v>
      </c>
      <c r="T100" s="47">
        <f ca="1">'Monthly Data'!Y100+'Monthly Data'!Z100</f>
        <v>284871.725740519</v>
      </c>
      <c r="U100" s="47">
        <f t="shared" ca="1" si="22"/>
        <v>83313792.360131711</v>
      </c>
      <c r="V100" s="47">
        <f t="shared" ca="1" si="23"/>
        <v>-459961.13464525342</v>
      </c>
      <c r="W100" s="18">
        <f t="shared" ca="1" si="39"/>
        <v>5.4905160083812002E-3</v>
      </c>
    </row>
    <row r="101" spans="1:23">
      <c r="A101" s="2">
        <f>'Monthly Data'!A101</f>
        <v>45383</v>
      </c>
      <c r="B101">
        <f>'Monthly Data'!B101</f>
        <v>2024</v>
      </c>
      <c r="C101">
        <f>'Monthly Data'!C101</f>
        <v>4</v>
      </c>
      <c r="D101" s="3">
        <f ca="1">'Monthly Data'!X101</f>
        <v>80311723.685840592</v>
      </c>
      <c r="E101" s="3">
        <f>'Monthly Data'!CN101</f>
        <v>368.29791666666671</v>
      </c>
      <c r="F101" s="3">
        <f>'Monthly Data'!CW101</f>
        <v>2.3833333333333346</v>
      </c>
      <c r="G101">
        <f>'Monthly Data'!EG101</f>
        <v>1</v>
      </c>
      <c r="H101" s="3">
        <f>'Monthly Data'!DQ101</f>
        <v>30</v>
      </c>
      <c r="I101" s="3">
        <f>'Monthly Data'!DL101</f>
        <v>888733</v>
      </c>
      <c r="J101" s="489">
        <f>'Monthly Data'!EJ101</f>
        <v>0</v>
      </c>
      <c r="L101" s="436">
        <f t="shared" si="32"/>
        <v>-4442160.1424492002</v>
      </c>
      <c r="M101" s="3">
        <f t="shared" si="33"/>
        <v>8019256.4573322413</v>
      </c>
      <c r="N101" s="3">
        <f t="shared" si="34"/>
        <v>153646.24715823724</v>
      </c>
      <c r="O101" s="3">
        <f t="shared" si="35"/>
        <v>1833644.83418835</v>
      </c>
      <c r="P101" s="3">
        <f t="shared" si="36"/>
        <v>39456400.468682997</v>
      </c>
      <c r="Q101" s="3">
        <f t="shared" si="37"/>
        <v>33608271.494928584</v>
      </c>
      <c r="R101" s="3">
        <f t="shared" si="38"/>
        <v>0</v>
      </c>
      <c r="S101" s="47">
        <f t="shared" si="21"/>
        <v>78629059.359841213</v>
      </c>
      <c r="T101" s="47">
        <f ca="1">'Monthly Data'!Y101+'Monthly Data'!Z101</f>
        <v>214504.73111030099</v>
      </c>
      <c r="U101" s="47">
        <f t="shared" ca="1" si="22"/>
        <v>78843564.090951517</v>
      </c>
      <c r="V101" s="47">
        <f t="shared" ca="1" si="23"/>
        <v>-1468159.5948890746</v>
      </c>
      <c r="W101" s="18">
        <f t="shared" ca="1" si="39"/>
        <v>1.8280763100442823E-2</v>
      </c>
    </row>
    <row r="102" spans="1:23">
      <c r="A102" s="2">
        <f>'Monthly Data'!A102</f>
        <v>45413</v>
      </c>
      <c r="B102">
        <f>'Monthly Data'!B102</f>
        <v>2024</v>
      </c>
      <c r="C102">
        <f>'Monthly Data'!C102</f>
        <v>5</v>
      </c>
      <c r="D102" s="3">
        <f ca="1">'Monthly Data'!X102</f>
        <v>83138765.607039005</v>
      </c>
      <c r="E102" s="3">
        <f>'Monthly Data'!CN102</f>
        <v>143.5708333333333</v>
      </c>
      <c r="F102" s="3">
        <f>'Monthly Data'!CW102</f>
        <v>110.05000000000001</v>
      </c>
      <c r="G102">
        <f>'Monthly Data'!EG102</f>
        <v>1</v>
      </c>
      <c r="H102" s="3">
        <f>'Monthly Data'!DQ102</f>
        <v>31</v>
      </c>
      <c r="I102" s="3">
        <f>'Monthly Data'!DL102</f>
        <v>888733</v>
      </c>
      <c r="J102" s="489">
        <f>'Monthly Data'!EJ102</f>
        <v>0</v>
      </c>
      <c r="L102" s="436">
        <f t="shared" si="32"/>
        <v>-4442160.1424492002</v>
      </c>
      <c r="M102" s="3">
        <f t="shared" si="33"/>
        <v>3126087.0078038834</v>
      </c>
      <c r="N102" s="3">
        <f t="shared" si="34"/>
        <v>7094588.6012995811</v>
      </c>
      <c r="O102" s="3">
        <f t="shared" si="35"/>
        <v>1833644.83418835</v>
      </c>
      <c r="P102" s="3">
        <f t="shared" si="36"/>
        <v>40771613.817639098</v>
      </c>
      <c r="Q102" s="3">
        <f t="shared" si="37"/>
        <v>33608271.494928584</v>
      </c>
      <c r="R102" s="3">
        <f t="shared" si="38"/>
        <v>0</v>
      </c>
      <c r="S102" s="47">
        <f t="shared" si="21"/>
        <v>81992045.613410294</v>
      </c>
      <c r="T102" s="47">
        <f ca="1">'Monthly Data'!Y102+'Monthly Data'!Z102</f>
        <v>112147.81689783985</v>
      </c>
      <c r="U102" s="47">
        <f t="shared" ca="1" si="22"/>
        <v>82104193.430308133</v>
      </c>
      <c r="V102" s="47">
        <f t="shared" ca="1" si="23"/>
        <v>-1034572.1767308712</v>
      </c>
      <c r="W102" s="18">
        <f t="shared" ca="1" si="39"/>
        <v>1.244392034422121E-2</v>
      </c>
    </row>
    <row r="103" spans="1:23">
      <c r="A103" s="2">
        <f>'Monthly Data'!A103</f>
        <v>45444</v>
      </c>
      <c r="B103">
        <f>'Monthly Data'!B103</f>
        <v>2024</v>
      </c>
      <c r="C103">
        <f>'Monthly Data'!C103</f>
        <v>6</v>
      </c>
      <c r="D103" s="3">
        <f ca="1">'Monthly Data'!X103</f>
        <v>84293886.770037785</v>
      </c>
      <c r="E103" s="3">
        <f>'Monthly Data'!CN103</f>
        <v>60.86249999999999</v>
      </c>
      <c r="F103" s="3">
        <f>'Monthly Data'!CW103</f>
        <v>204.15416666666667</v>
      </c>
      <c r="G103">
        <f>'Monthly Data'!EG103</f>
        <v>0</v>
      </c>
      <c r="H103" s="3">
        <f>'Monthly Data'!DQ103</f>
        <v>30</v>
      </c>
      <c r="I103" s="3">
        <f>'Monthly Data'!DL103</f>
        <v>888733</v>
      </c>
      <c r="J103" s="489">
        <f>'Monthly Data'!EJ103</f>
        <v>0</v>
      </c>
      <c r="L103" s="436">
        <f t="shared" si="32"/>
        <v>-4442160.1424492002</v>
      </c>
      <c r="M103" s="3">
        <f t="shared" si="33"/>
        <v>1325209.7664622958</v>
      </c>
      <c r="N103" s="3">
        <f t="shared" si="34"/>
        <v>13161197.853168087</v>
      </c>
      <c r="O103" s="3">
        <f t="shared" si="35"/>
        <v>0</v>
      </c>
      <c r="P103" s="3">
        <f t="shared" si="36"/>
        <v>39456400.468682997</v>
      </c>
      <c r="Q103" s="3">
        <f t="shared" si="37"/>
        <v>33608271.494928584</v>
      </c>
      <c r="R103" s="3">
        <f t="shared" si="38"/>
        <v>0</v>
      </c>
      <c r="S103" s="47">
        <f t="shared" si="21"/>
        <v>83108919.440792769</v>
      </c>
      <c r="T103" s="47">
        <f ca="1">'Monthly Data'!Y103+'Monthly Data'!Z103</f>
        <v>86624.243361020155</v>
      </c>
      <c r="U103" s="47">
        <f t="shared" ca="1" si="22"/>
        <v>83195543.684153795</v>
      </c>
      <c r="V103" s="47">
        <f t="shared" ca="1" si="23"/>
        <v>-1098343.0858839899</v>
      </c>
      <c r="W103" s="18">
        <f t="shared" ca="1" si="39"/>
        <v>1.3029925751085372E-2</v>
      </c>
    </row>
    <row r="104" spans="1:23">
      <c r="A104" s="2">
        <f>'Monthly Data'!A104</f>
        <v>45474</v>
      </c>
      <c r="B104">
        <f>'Monthly Data'!B104</f>
        <v>2024</v>
      </c>
      <c r="C104">
        <f>'Monthly Data'!C104</f>
        <v>7</v>
      </c>
      <c r="D104" s="3">
        <f ca="1">'Monthly Data'!X104</f>
        <v>91734225.177624896</v>
      </c>
      <c r="E104" s="3">
        <f>'Monthly Data'!CN104</f>
        <v>5.5666666666666629</v>
      </c>
      <c r="F104" s="3">
        <f>'Monthly Data'!CW104</f>
        <v>303.14166666666665</v>
      </c>
      <c r="G104">
        <f>'Monthly Data'!EG104</f>
        <v>0</v>
      </c>
      <c r="H104" s="3">
        <f>'Monthly Data'!DQ104</f>
        <v>31</v>
      </c>
      <c r="I104" s="3">
        <f>'Monthly Data'!DL104</f>
        <v>890079</v>
      </c>
      <c r="J104" s="489">
        <f>'Monthly Data'!EJ104</f>
        <v>0</v>
      </c>
      <c r="L104" s="436">
        <f t="shared" si="32"/>
        <v>-4442160.1424492002</v>
      </c>
      <c r="M104" s="3">
        <f t="shared" si="33"/>
        <v>121207.65715024484</v>
      </c>
      <c r="N104" s="3">
        <f t="shared" si="34"/>
        <v>19542620.744318858</v>
      </c>
      <c r="O104" s="3">
        <f t="shared" si="35"/>
        <v>0</v>
      </c>
      <c r="P104" s="3">
        <f t="shared" si="36"/>
        <v>40771613.817639098</v>
      </c>
      <c r="Q104" s="3">
        <f t="shared" si="37"/>
        <v>33659171.746671423</v>
      </c>
      <c r="R104" s="3">
        <f t="shared" si="38"/>
        <v>0</v>
      </c>
      <c r="S104" s="47">
        <f t="shared" si="21"/>
        <v>89652453.823330432</v>
      </c>
      <c r="T104" s="47">
        <f ca="1">'Monthly Data'!Y104+'Monthly Data'!Z104</f>
        <v>73865.581415546723</v>
      </c>
      <c r="U104" s="47">
        <f t="shared" ca="1" si="22"/>
        <v>89726319.404745981</v>
      </c>
      <c r="V104" s="47">
        <f t="shared" ca="1" si="23"/>
        <v>-2007905.7728789151</v>
      </c>
      <c r="W104" s="18">
        <f t="shared" ca="1" si="39"/>
        <v>2.1888294897471572E-2</v>
      </c>
    </row>
    <row r="105" spans="1:23">
      <c r="A105" s="2">
        <f>'Monthly Data'!A105</f>
        <v>45505</v>
      </c>
      <c r="B105">
        <f>'Monthly Data'!B105</f>
        <v>2024</v>
      </c>
      <c r="C105">
        <f>'Monthly Data'!C105</f>
        <v>8</v>
      </c>
      <c r="D105" s="3">
        <f ca="1">'Monthly Data'!X105</f>
        <v>89036143.308274195</v>
      </c>
      <c r="E105" s="3">
        <f>'Monthly Data'!CN105</f>
        <v>26.975000000000016</v>
      </c>
      <c r="F105" s="3">
        <f>'Monthly Data'!CW105</f>
        <v>262.86666666666667</v>
      </c>
      <c r="G105">
        <f>'Monthly Data'!EG105</f>
        <v>0</v>
      </c>
      <c r="H105" s="3">
        <f>'Monthly Data'!DQ105</f>
        <v>31</v>
      </c>
      <c r="I105" s="3">
        <f>'Monthly Data'!DL105</f>
        <v>890079</v>
      </c>
      <c r="J105" s="489">
        <f>'Monthly Data'!EJ105</f>
        <v>0</v>
      </c>
      <c r="L105" s="436">
        <f t="shared" si="32"/>
        <v>-4442160.1424492002</v>
      </c>
      <c r="M105" s="3">
        <f t="shared" si="33"/>
        <v>587349.08113075304</v>
      </c>
      <c r="N105" s="3">
        <f t="shared" si="34"/>
        <v>16946214.057200816</v>
      </c>
      <c r="O105" s="3">
        <f t="shared" si="35"/>
        <v>0</v>
      </c>
      <c r="P105" s="3">
        <f t="shared" si="36"/>
        <v>40771613.817639098</v>
      </c>
      <c r="Q105" s="3">
        <f t="shared" si="37"/>
        <v>33659171.746671423</v>
      </c>
      <c r="R105" s="3">
        <f t="shared" si="38"/>
        <v>0</v>
      </c>
      <c r="S105" s="47">
        <f t="shared" si="21"/>
        <v>87522188.560192883</v>
      </c>
      <c r="T105" s="47">
        <f ca="1">'Monthly Data'!Y105+'Monthly Data'!Z105</f>
        <v>79810.341865690556</v>
      </c>
      <c r="U105" s="47">
        <f t="shared" ca="1" si="22"/>
        <v>87601998.902058572</v>
      </c>
      <c r="V105" s="47">
        <f t="shared" ca="1" si="23"/>
        <v>-1434144.406215623</v>
      </c>
      <c r="W105" s="18">
        <f t="shared" ca="1" si="39"/>
        <v>1.6107440786716408E-2</v>
      </c>
    </row>
    <row r="106" spans="1:23">
      <c r="A106" s="2">
        <f>'Monthly Data'!A106</f>
        <v>45536</v>
      </c>
      <c r="B106">
        <f>'Monthly Data'!B106</f>
        <v>2024</v>
      </c>
      <c r="C106">
        <f>'Monthly Data'!C106</f>
        <v>9</v>
      </c>
      <c r="D106" s="3">
        <f ca="1">'Monthly Data'!X106</f>
        <v>84062543.541195795</v>
      </c>
      <c r="E106" s="3">
        <f>'Monthly Data'!CN106</f>
        <v>69.33750000000002</v>
      </c>
      <c r="F106" s="3">
        <f>'Monthly Data'!CW106</f>
        <v>171.29999999999998</v>
      </c>
      <c r="G106">
        <f>'Monthly Data'!EG106</f>
        <v>1</v>
      </c>
      <c r="H106" s="3">
        <f>'Monthly Data'!DQ106</f>
        <v>30</v>
      </c>
      <c r="I106" s="3">
        <f>'Monthly Data'!DL106</f>
        <v>890079</v>
      </c>
      <c r="J106" s="489">
        <f>'Monthly Data'!EJ106</f>
        <v>0</v>
      </c>
      <c r="L106" s="436">
        <f t="shared" si="32"/>
        <v>-4442160.1424492002</v>
      </c>
      <c r="M106" s="3">
        <f t="shared" si="33"/>
        <v>1509742.9810158878</v>
      </c>
      <c r="N106" s="3">
        <f t="shared" si="34"/>
        <v>11043189.708338192</v>
      </c>
      <c r="O106" s="3">
        <f t="shared" si="35"/>
        <v>1833644.83418835</v>
      </c>
      <c r="P106" s="3">
        <f t="shared" si="36"/>
        <v>39456400.468682997</v>
      </c>
      <c r="Q106" s="3">
        <f t="shared" si="37"/>
        <v>33659171.746671423</v>
      </c>
      <c r="R106" s="3">
        <f t="shared" si="38"/>
        <v>0</v>
      </c>
      <c r="S106" s="47">
        <f t="shared" si="21"/>
        <v>83059989.596447647</v>
      </c>
      <c r="T106" s="47">
        <f ca="1">'Monthly Data'!Y106+'Monthly Data'!Z106</f>
        <v>92075.843785348494</v>
      </c>
      <c r="U106" s="47">
        <f t="shared" ca="1" si="22"/>
        <v>83152065.440232992</v>
      </c>
      <c r="V106" s="47">
        <f t="shared" ca="1" si="23"/>
        <v>-910478.10096280277</v>
      </c>
      <c r="W106" s="18">
        <f t="shared" ca="1" si="39"/>
        <v>1.0830960646778583E-2</v>
      </c>
    </row>
    <row r="107" spans="1:23">
      <c r="A107" s="2">
        <f>'Monthly Data'!A107</f>
        <v>45566</v>
      </c>
      <c r="B107">
        <f>'Monthly Data'!B107</f>
        <v>2024</v>
      </c>
      <c r="C107">
        <f>'Monthly Data'!C107</f>
        <v>10</v>
      </c>
      <c r="D107" s="3">
        <f ca="1">'Monthly Data'!X107</f>
        <v>81272329.053957373</v>
      </c>
      <c r="E107" s="3">
        <f>'Monthly Data'!CN107</f>
        <v>295.94166666666661</v>
      </c>
      <c r="F107" s="3">
        <f>'Monthly Data'!CW107</f>
        <v>31.104166666666679</v>
      </c>
      <c r="G107">
        <f>'Monthly Data'!EG107</f>
        <v>1</v>
      </c>
      <c r="H107" s="3">
        <f>'Monthly Data'!DQ107</f>
        <v>31</v>
      </c>
      <c r="I107" s="3">
        <f>'Monthly Data'!DL107</f>
        <v>893201</v>
      </c>
      <c r="J107" s="489">
        <f>'Monthly Data'!EJ107</f>
        <v>0</v>
      </c>
      <c r="L107" s="436">
        <f t="shared" si="32"/>
        <v>-4442160.1424492002</v>
      </c>
      <c r="M107" s="3">
        <f t="shared" si="33"/>
        <v>6443783.7251147404</v>
      </c>
      <c r="N107" s="3">
        <f t="shared" si="34"/>
        <v>2005190.9703430783</v>
      </c>
      <c r="O107" s="3">
        <f t="shared" si="35"/>
        <v>1833644.83418835</v>
      </c>
      <c r="P107" s="3">
        <f t="shared" si="36"/>
        <v>40771613.817639098</v>
      </c>
      <c r="Q107" s="3">
        <f t="shared" si="37"/>
        <v>33777233.103239901</v>
      </c>
      <c r="R107" s="3">
        <f t="shared" si="38"/>
        <v>0</v>
      </c>
      <c r="S107" s="47">
        <f t="shared" ref="S107:S109" si="40">SUM(L107:R107)</f>
        <v>80389306.308075964</v>
      </c>
      <c r="T107" s="47">
        <f ca="1">'Monthly Data'!Y107+'Monthly Data'!Z107</f>
        <v>191987.63355912521</v>
      </c>
      <c r="U107" s="47">
        <f t="shared" ref="U107:U109" ca="1" si="41">S107+T107</f>
        <v>80581293.941635087</v>
      </c>
      <c r="V107" s="47">
        <f t="shared" ref="V107:V109" ca="1" si="42">U107-D107</f>
        <v>-691035.11232228577</v>
      </c>
      <c r="W107" s="18">
        <f t="shared" ca="1" si="39"/>
        <v>8.5027108287188593E-3</v>
      </c>
    </row>
    <row r="108" spans="1:23">
      <c r="A108" s="2">
        <f>'Monthly Data'!A108</f>
        <v>45597</v>
      </c>
      <c r="B108">
        <f>'Monthly Data'!B108</f>
        <v>2024</v>
      </c>
      <c r="C108">
        <f>'Monthly Data'!C108</f>
        <v>11</v>
      </c>
      <c r="D108" s="3">
        <f ca="1">'Monthly Data'!X108</f>
        <v>79404705.497738227</v>
      </c>
      <c r="E108" s="3">
        <f>'Monthly Data'!CN108</f>
        <v>426.29166666666663</v>
      </c>
      <c r="F108" s="3">
        <f>'Monthly Data'!CW108</f>
        <v>9.5041666666666629</v>
      </c>
      <c r="G108">
        <f>'Monthly Data'!EG108</f>
        <v>1</v>
      </c>
      <c r="H108" s="3">
        <f>'Monthly Data'!DQ108</f>
        <v>30</v>
      </c>
      <c r="I108" s="3">
        <f>'Monthly Data'!DL108</f>
        <v>893201</v>
      </c>
      <c r="J108" s="489">
        <f>'Monthly Data'!EJ108</f>
        <v>0</v>
      </c>
      <c r="L108" s="436">
        <f t="shared" si="32"/>
        <v>-4442160.1424492002</v>
      </c>
      <c r="M108" s="3">
        <f t="shared" si="33"/>
        <v>9282002.5471867938</v>
      </c>
      <c r="N108" s="3">
        <f t="shared" si="34"/>
        <v>612704.7023915014</v>
      </c>
      <c r="O108" s="3">
        <f t="shared" si="35"/>
        <v>1833644.83418835</v>
      </c>
      <c r="P108" s="3">
        <f t="shared" si="36"/>
        <v>39456400.468682997</v>
      </c>
      <c r="Q108" s="3">
        <f t="shared" si="37"/>
        <v>33777233.103239901</v>
      </c>
      <c r="R108" s="3">
        <f t="shared" si="38"/>
        <v>0</v>
      </c>
      <c r="S108" s="47">
        <f t="shared" si="40"/>
        <v>80519825.513240337</v>
      </c>
      <c r="T108" s="47">
        <f ca="1">'Monthly Data'!Y108+'Monthly Data'!Z108</f>
        <v>257391.16108642734</v>
      </c>
      <c r="U108" s="47">
        <f t="shared" ca="1" si="41"/>
        <v>80777216.674326763</v>
      </c>
      <c r="V108" s="47">
        <f t="shared" ca="1" si="42"/>
        <v>1372511.1765885353</v>
      </c>
      <c r="W108" s="18">
        <f t="shared" ca="1" si="39"/>
        <v>1.7285010604662844E-2</v>
      </c>
    </row>
    <row r="109" spans="1:23">
      <c r="A109" s="2">
        <f>'Monthly Data'!A109</f>
        <v>45627</v>
      </c>
      <c r="B109">
        <f>'Monthly Data'!B109</f>
        <v>2024</v>
      </c>
      <c r="C109">
        <f>'Monthly Data'!C109</f>
        <v>12</v>
      </c>
      <c r="D109" s="3">
        <f ca="1">'Monthly Data'!X109</f>
        <v>83071857.898010999</v>
      </c>
      <c r="E109" s="3">
        <f>'Monthly Data'!CN109</f>
        <v>660.57500000000016</v>
      </c>
      <c r="F109" s="3">
        <f>'Monthly Data'!CW109</f>
        <v>0</v>
      </c>
      <c r="G109">
        <f>'Monthly Data'!EG109</f>
        <v>0</v>
      </c>
      <c r="H109" s="3">
        <f>'Monthly Data'!DQ109</f>
        <v>31</v>
      </c>
      <c r="I109" s="3">
        <f>'Monthly Data'!DL109</f>
        <v>893201</v>
      </c>
      <c r="J109" s="489">
        <f>'Monthly Data'!EJ109</f>
        <v>0</v>
      </c>
      <c r="L109" s="436">
        <f t="shared" si="32"/>
        <v>-4442160.1424492002</v>
      </c>
      <c r="M109" s="3">
        <f t="shared" si="33"/>
        <v>14383248.165632883</v>
      </c>
      <c r="N109" s="3">
        <f t="shared" si="34"/>
        <v>0</v>
      </c>
      <c r="O109" s="3">
        <f t="shared" si="35"/>
        <v>0</v>
      </c>
      <c r="P109" s="3">
        <f t="shared" si="36"/>
        <v>40771613.817639098</v>
      </c>
      <c r="Q109" s="3">
        <f t="shared" si="37"/>
        <v>33777233.103239901</v>
      </c>
      <c r="R109" s="3">
        <f t="shared" si="38"/>
        <v>0</v>
      </c>
      <c r="S109" s="47">
        <f t="shared" si="40"/>
        <v>84489934.94406268</v>
      </c>
      <c r="T109" s="47">
        <f ca="1">'Monthly Data'!Y109+'Monthly Data'!Z109</f>
        <v>370541.6692136745</v>
      </c>
      <c r="U109" s="47">
        <f t="shared" ca="1" si="41"/>
        <v>84860476.613276348</v>
      </c>
      <c r="V109" s="47">
        <f t="shared" ca="1" si="42"/>
        <v>1788618.7152653486</v>
      </c>
      <c r="W109" s="18">
        <f t="shared" ca="1" si="39"/>
        <v>2.1530982459321807E-2</v>
      </c>
    </row>
    <row r="110" spans="1:23">
      <c r="A110" s="2">
        <f>'Monthly Data'!A110</f>
        <v>45658</v>
      </c>
      <c r="B110">
        <f>'Monthly Data'!B110</f>
        <v>2025</v>
      </c>
      <c r="C110">
        <f>'Monthly Data'!C110</f>
        <v>1</v>
      </c>
      <c r="D110" s="3">
        <f ca="1">'Monthly Data'!X110</f>
        <v>89657491.447063297</v>
      </c>
      <c r="E110" s="3">
        <f>'Monthly Data'!CN110</f>
        <v>794.42499999999995</v>
      </c>
      <c r="F110" s="3">
        <f>'Monthly Data'!CW110</f>
        <v>0</v>
      </c>
      <c r="G110">
        <f>'Monthly Data'!EG110</f>
        <v>0</v>
      </c>
      <c r="H110" s="3">
        <f>'Monthly Data'!DQ110</f>
        <v>31</v>
      </c>
      <c r="I110" s="3">
        <f>'Monthly Data'!DL110</f>
        <v>897872</v>
      </c>
      <c r="J110" s="489">
        <f>'Monthly Data'!EJ110</f>
        <v>0</v>
      </c>
      <c r="L110" s="436">
        <f t="shared" si="32"/>
        <v>-4442160.1424492002</v>
      </c>
      <c r="M110" s="3">
        <f t="shared" si="33"/>
        <v>17297675.394895207</v>
      </c>
      <c r="N110" s="3">
        <f t="shared" si="34"/>
        <v>0</v>
      </c>
      <c r="O110" s="3">
        <f t="shared" si="35"/>
        <v>0</v>
      </c>
      <c r="P110" s="3">
        <f t="shared" si="36"/>
        <v>40771613.817639098</v>
      </c>
      <c r="Q110" s="3">
        <f t="shared" si="37"/>
        <v>33953871.346843787</v>
      </c>
      <c r="R110" s="3">
        <f t="shared" si="38"/>
        <v>0</v>
      </c>
      <c r="S110" s="47">
        <f t="shared" ref="S110:S121" si="43">SUM(L110:R110)</f>
        <v>87581000.416928887</v>
      </c>
      <c r="T110" s="47">
        <f ca="1">'Monthly Data'!Y110+'Monthly Data'!Z110</f>
        <v>512939.16180740215</v>
      </c>
      <c r="U110" s="47">
        <f t="shared" ref="U110:U121" ca="1" si="44">S110+T110</f>
        <v>88093939.57873629</v>
      </c>
      <c r="V110" s="47">
        <f t="shared" ref="V110:V121" ca="1" si="45">U110-D110</f>
        <v>-1563551.8683270067</v>
      </c>
      <c r="W110" s="18">
        <f t="shared" ref="W110:W121" ca="1" si="46">ABS(V110/D110)</f>
        <v>1.7439165908965663E-2</v>
      </c>
    </row>
    <row r="111" spans="1:23">
      <c r="A111" s="2">
        <f>'Monthly Data'!A111</f>
        <v>45689</v>
      </c>
      <c r="B111">
        <f>'Monthly Data'!B111</f>
        <v>2025</v>
      </c>
      <c r="C111">
        <f>'Monthly Data'!C111</f>
        <v>2</v>
      </c>
      <c r="D111" s="3">
        <f ca="1">'Monthly Data'!X111</f>
        <v>82104224.158762336</v>
      </c>
      <c r="E111" s="3">
        <f>'Monthly Data'!CN111</f>
        <v>721.25833333333333</v>
      </c>
      <c r="F111" s="3">
        <f>'Monthly Data'!CW111</f>
        <v>0</v>
      </c>
      <c r="G111">
        <f>'Monthly Data'!EG111</f>
        <v>0</v>
      </c>
      <c r="H111" s="3">
        <f>'Monthly Data'!DQ111</f>
        <v>28</v>
      </c>
      <c r="I111" s="3">
        <f>'Monthly Data'!DL111</f>
        <v>897872</v>
      </c>
      <c r="J111" s="489">
        <f>'Monthly Data'!EJ111</f>
        <v>0</v>
      </c>
      <c r="L111" s="436">
        <f t="shared" si="32"/>
        <v>-4442160.1424492002</v>
      </c>
      <c r="M111" s="3">
        <f t="shared" si="33"/>
        <v>15704556.787441388</v>
      </c>
      <c r="N111" s="3">
        <f t="shared" si="34"/>
        <v>0</v>
      </c>
      <c r="O111" s="3">
        <f t="shared" si="35"/>
        <v>0</v>
      </c>
      <c r="P111" s="3">
        <f t="shared" si="36"/>
        <v>36825973.770770796</v>
      </c>
      <c r="Q111" s="3">
        <f t="shared" si="37"/>
        <v>33953871.346843787</v>
      </c>
      <c r="R111" s="3">
        <f t="shared" si="38"/>
        <v>0</v>
      </c>
      <c r="S111" s="47">
        <f t="shared" si="43"/>
        <v>82042241.76260677</v>
      </c>
      <c r="T111" s="47">
        <f ca="1">'Monthly Data'!Y111+'Monthly Data'!Z111</f>
        <v>476157.07528671861</v>
      </c>
      <c r="U111" s="47">
        <f t="shared" ca="1" si="44"/>
        <v>82518398.837893486</v>
      </c>
      <c r="V111" s="47">
        <f t="shared" ca="1" si="45"/>
        <v>414174.67913115025</v>
      </c>
      <c r="W111" s="18">
        <f t="shared" ca="1" si="46"/>
        <v>5.0444990300410582E-3</v>
      </c>
    </row>
    <row r="112" spans="1:23">
      <c r="A112" s="2">
        <f>'Monthly Data'!A112</f>
        <v>45717</v>
      </c>
      <c r="B112">
        <f>'Monthly Data'!B112</f>
        <v>2025</v>
      </c>
      <c r="C112">
        <f>'Monthly Data'!C112</f>
        <v>3</v>
      </c>
      <c r="D112" s="3">
        <f ca="1">'Monthly Data'!X112</f>
        <v>85859682.616023034</v>
      </c>
      <c r="E112" s="3">
        <f>'Monthly Data'!CN112</f>
        <v>580.62916666666672</v>
      </c>
      <c r="F112" s="3">
        <f>'Monthly Data'!CW112</f>
        <v>0</v>
      </c>
      <c r="G112">
        <f>'Monthly Data'!EG112</f>
        <v>1</v>
      </c>
      <c r="H112" s="3">
        <f>'Monthly Data'!DQ112</f>
        <v>31</v>
      </c>
      <c r="I112" s="3">
        <f>'Monthly Data'!DL112</f>
        <v>897872</v>
      </c>
      <c r="J112" s="489">
        <f>'Monthly Data'!EJ112</f>
        <v>0</v>
      </c>
      <c r="L112" s="436">
        <f t="shared" si="32"/>
        <v>-4442160.1424492002</v>
      </c>
      <c r="M112" s="3">
        <f t="shared" si="33"/>
        <v>12642521.131395046</v>
      </c>
      <c r="N112" s="3">
        <f t="shared" si="34"/>
        <v>0</v>
      </c>
      <c r="O112" s="3">
        <f t="shared" si="35"/>
        <v>1833644.83418835</v>
      </c>
      <c r="P112" s="3">
        <f t="shared" si="36"/>
        <v>40771613.817639098</v>
      </c>
      <c r="Q112" s="3">
        <f t="shared" si="37"/>
        <v>33953871.346843787</v>
      </c>
      <c r="R112" s="3">
        <f t="shared" si="38"/>
        <v>0</v>
      </c>
      <c r="S112" s="47">
        <f t="shared" si="43"/>
        <v>84759490.987617075</v>
      </c>
      <c r="T112" s="47">
        <f ca="1">'Monthly Data'!Y112+'Monthly Data'!Z112</f>
        <v>393362.23477509466</v>
      </c>
      <c r="U112" s="47">
        <f t="shared" ca="1" si="44"/>
        <v>85152853.222392172</v>
      </c>
      <c r="V112" s="47">
        <f t="shared" ca="1" si="45"/>
        <v>-706829.39363086224</v>
      </c>
      <c r="W112" s="18">
        <f t="shared" ca="1" si="46"/>
        <v>8.2323783654303252E-3</v>
      </c>
    </row>
    <row r="113" spans="1:23">
      <c r="A113" s="2">
        <f>'Monthly Data'!A113</f>
        <v>45748</v>
      </c>
      <c r="B113">
        <f>'Monthly Data'!B113</f>
        <v>2025</v>
      </c>
      <c r="C113">
        <f>'Monthly Data'!C113</f>
        <v>4</v>
      </c>
      <c r="D113" s="3">
        <f ca="1">'Monthly Data'!X113</f>
        <v>80696944.293937355</v>
      </c>
      <c r="E113" s="3">
        <f>'Monthly Data'!CN113</f>
        <v>411.84166666666653</v>
      </c>
      <c r="F113" s="3">
        <f>'Monthly Data'!CW113</f>
        <v>5.2083333333333321</v>
      </c>
      <c r="G113">
        <f>'Monthly Data'!EG113</f>
        <v>1</v>
      </c>
      <c r="H113" s="3">
        <f>'Monthly Data'!DQ113</f>
        <v>30</v>
      </c>
      <c r="I113" s="3">
        <f>'Monthly Data'!DL113</f>
        <v>894654</v>
      </c>
      <c r="J113" s="489">
        <f>'Monthly Data'!EJ113</f>
        <v>0</v>
      </c>
      <c r="L113" s="436">
        <f t="shared" si="32"/>
        <v>-4442160.1424492002</v>
      </c>
      <c r="M113" s="3">
        <f t="shared" si="33"/>
        <v>8967370.6946440898</v>
      </c>
      <c r="N113" s="3">
        <f t="shared" si="34"/>
        <v>335765.40025838534</v>
      </c>
      <c r="O113" s="3">
        <f t="shared" si="35"/>
        <v>1833644.83418835</v>
      </c>
      <c r="P113" s="3">
        <f t="shared" si="36"/>
        <v>39456400.468682997</v>
      </c>
      <c r="Q113" s="3">
        <f t="shared" si="37"/>
        <v>33832179.660284735</v>
      </c>
      <c r="R113" s="3">
        <f t="shared" si="38"/>
        <v>0</v>
      </c>
      <c r="S113" s="47">
        <f t="shared" si="43"/>
        <v>79983200.91560936</v>
      </c>
      <c r="T113" s="47">
        <f ca="1">'Monthly Data'!Y113+'Monthly Data'!Z113</f>
        <v>298894.71302975609</v>
      </c>
      <c r="U113" s="47">
        <f t="shared" ca="1" si="44"/>
        <v>80282095.628639117</v>
      </c>
      <c r="V113" s="47">
        <f t="shared" ca="1" si="45"/>
        <v>-414848.6652982384</v>
      </c>
      <c r="W113" s="18">
        <f t="shared" ca="1" si="46"/>
        <v>5.1408224800577164E-3</v>
      </c>
    </row>
    <row r="114" spans="1:23">
      <c r="A114" s="2">
        <f>'Monthly Data'!A114</f>
        <v>45778</v>
      </c>
      <c r="B114">
        <f>'Monthly Data'!B114</f>
        <v>2025</v>
      </c>
      <c r="C114">
        <f>'Monthly Data'!C114</f>
        <v>5</v>
      </c>
      <c r="D114" s="3">
        <f ca="1">'Monthly Data'!X114</f>
        <v>80857386.408083797</v>
      </c>
      <c r="E114" s="3">
        <f>'Monthly Data'!CN114</f>
        <v>221.07083333333333</v>
      </c>
      <c r="F114" s="3">
        <f>'Monthly Data'!CW114</f>
        <v>58.67083333333332</v>
      </c>
      <c r="G114">
        <f>'Monthly Data'!EG114</f>
        <v>1</v>
      </c>
      <c r="H114" s="3">
        <f>'Monthly Data'!DQ114</f>
        <v>31</v>
      </c>
      <c r="I114" s="3">
        <f>'Monthly Data'!DL114</f>
        <v>894654</v>
      </c>
      <c r="J114" s="489">
        <f>'Monthly Data'!EJ114</f>
        <v>0</v>
      </c>
      <c r="L114" s="436">
        <f t="shared" si="32"/>
        <v>-4442160.1424492002</v>
      </c>
      <c r="M114" s="3">
        <f t="shared" si="33"/>
        <v>4813558.8813028028</v>
      </c>
      <c r="N114" s="3">
        <f t="shared" si="34"/>
        <v>3782330.0808306588</v>
      </c>
      <c r="O114" s="3">
        <f t="shared" si="35"/>
        <v>1833644.83418835</v>
      </c>
      <c r="P114" s="3">
        <f t="shared" si="36"/>
        <v>40771613.817639098</v>
      </c>
      <c r="Q114" s="3">
        <f t="shared" si="37"/>
        <v>33832179.660284735</v>
      </c>
      <c r="R114" s="3">
        <f t="shared" si="38"/>
        <v>0</v>
      </c>
      <c r="S114" s="47">
        <f t="shared" si="43"/>
        <v>80591167.131796449</v>
      </c>
      <c r="T114" s="47">
        <f ca="1">'Monthly Data'!Y114+'Monthly Data'!Z114</f>
        <v>189528.71947412696</v>
      </c>
      <c r="U114" s="47">
        <f t="shared" ca="1" si="44"/>
        <v>80780695.851270571</v>
      </c>
      <c r="V114" s="47">
        <f t="shared" ca="1" si="45"/>
        <v>-76690.55681322515</v>
      </c>
      <c r="W114" s="18">
        <f t="shared" ca="1" si="46"/>
        <v>9.4846692701853065E-4</v>
      </c>
    </row>
    <row r="115" spans="1:23">
      <c r="A115" s="2">
        <f>'Monthly Data'!A115</f>
        <v>45809</v>
      </c>
      <c r="B115">
        <f>'Monthly Data'!B115</f>
        <v>2025</v>
      </c>
      <c r="C115">
        <f>'Monthly Data'!C115</f>
        <v>6</v>
      </c>
      <c r="D115" s="3">
        <f ca="1">'Monthly Data'!X115</f>
        <v>85380153.1683373</v>
      </c>
      <c r="E115" s="3">
        <f>'Monthly Data'!CN115</f>
        <v>49.987500000000011</v>
      </c>
      <c r="F115" s="3">
        <f>'Monthly Data'!CW115</f>
        <v>224.42916666666662</v>
      </c>
      <c r="G115">
        <f>'Monthly Data'!EG115</f>
        <v>0</v>
      </c>
      <c r="H115" s="3">
        <f>'Monthly Data'!DQ115</f>
        <v>30</v>
      </c>
      <c r="I115" s="3">
        <f>'Monthly Data'!DL115</f>
        <v>894654</v>
      </c>
      <c r="J115" s="489">
        <f>'Monthly Data'!EJ115</f>
        <v>0</v>
      </c>
      <c r="L115" s="436">
        <f t="shared" si="32"/>
        <v>-4442160.1424492002</v>
      </c>
      <c r="M115" s="3">
        <f t="shared" si="33"/>
        <v>1088419.3584068029</v>
      </c>
      <c r="N115" s="3">
        <f t="shared" si="34"/>
        <v>14468265.403293926</v>
      </c>
      <c r="O115" s="3">
        <f t="shared" si="35"/>
        <v>0</v>
      </c>
      <c r="P115" s="3">
        <f t="shared" si="36"/>
        <v>39456400.468682997</v>
      </c>
      <c r="Q115" s="3">
        <f t="shared" si="37"/>
        <v>33832179.660284735</v>
      </c>
      <c r="R115" s="3">
        <f t="shared" si="38"/>
        <v>0</v>
      </c>
      <c r="S115" s="47">
        <f t="shared" si="43"/>
        <v>84403104.748219252</v>
      </c>
      <c r="T115" s="47">
        <f ca="1">'Monthly Data'!Y115+'Monthly Data'!Z115</f>
        <v>112384.44106447889</v>
      </c>
      <c r="U115" s="47">
        <f t="shared" ca="1" si="44"/>
        <v>84515489.189283729</v>
      </c>
      <c r="V115" s="47">
        <f t="shared" ca="1" si="45"/>
        <v>-864663.97905357182</v>
      </c>
      <c r="W115" s="18">
        <f t="shared" ca="1" si="46"/>
        <v>1.012722450086008E-2</v>
      </c>
    </row>
    <row r="116" spans="1:23">
      <c r="A116" s="2">
        <f>'Monthly Data'!A116</f>
        <v>45839</v>
      </c>
      <c r="B116">
        <f>'Monthly Data'!B116</f>
        <v>2025</v>
      </c>
      <c r="C116">
        <f>'Monthly Data'!C116</f>
        <v>7</v>
      </c>
      <c r="D116" s="3">
        <f ca="1">'Monthly Data'!X116</f>
        <v>93667096.541675851</v>
      </c>
      <c r="E116" s="3">
        <f>'Monthly Data'!CN116</f>
        <v>6.8416666666666615</v>
      </c>
      <c r="F116" s="3">
        <f>'Monthly Data'!CW116</f>
        <v>335.3145833333333</v>
      </c>
      <c r="G116">
        <f>'Monthly Data'!EG116</f>
        <v>0</v>
      </c>
      <c r="H116" s="3">
        <f>'Monthly Data'!DQ116</f>
        <v>31</v>
      </c>
      <c r="I116" s="3">
        <f>'Monthly Data'!DL116</f>
        <v>899254</v>
      </c>
      <c r="J116" s="489">
        <f>'Monthly Data'!EJ116</f>
        <v>0</v>
      </c>
      <c r="L116" s="436">
        <f t="shared" si="32"/>
        <v>-4442160.1424492002</v>
      </c>
      <c r="M116" s="3">
        <f t="shared" si="33"/>
        <v>148969.29119813023</v>
      </c>
      <c r="N116" s="3">
        <f t="shared" si="34"/>
        <v>21616710.774794955</v>
      </c>
      <c r="O116" s="3">
        <f t="shared" si="35"/>
        <v>0</v>
      </c>
      <c r="P116" s="3">
        <f t="shared" si="36"/>
        <v>40771613.817639098</v>
      </c>
      <c r="Q116" s="3">
        <f t="shared" si="37"/>
        <v>34006132.972333096</v>
      </c>
      <c r="R116" s="3">
        <f t="shared" si="38"/>
        <v>0</v>
      </c>
      <c r="S116" s="47">
        <f t="shared" si="43"/>
        <v>92101266.713516086</v>
      </c>
      <c r="T116" s="47">
        <f ca="1">'Monthly Data'!Y116+'Monthly Data'!Z116</f>
        <v>101929.8240812679</v>
      </c>
      <c r="U116" s="47">
        <f t="shared" ca="1" si="44"/>
        <v>92203196.537597358</v>
      </c>
      <c r="V116" s="47">
        <f t="shared" ca="1" si="45"/>
        <v>-1463900.0040784925</v>
      </c>
      <c r="W116" s="18">
        <f t="shared" ca="1" si="46"/>
        <v>1.5628753939513337E-2</v>
      </c>
    </row>
    <row r="117" spans="1:23">
      <c r="A117" s="2">
        <f>'Monthly Data'!A117</f>
        <v>45870</v>
      </c>
      <c r="B117">
        <f>'Monthly Data'!B117</f>
        <v>2025</v>
      </c>
      <c r="C117">
        <f>'Monthly Data'!C117</f>
        <v>8</v>
      </c>
      <c r="D117" s="3">
        <f ca="1">'Monthly Data'!X117</f>
        <v>89611952.025804102</v>
      </c>
      <c r="E117" s="3">
        <f>'Monthly Data'!CN117</f>
        <v>38.787499999999994</v>
      </c>
      <c r="F117" s="3">
        <f>'Monthly Data'!CW117</f>
        <v>259.88749999999993</v>
      </c>
      <c r="G117">
        <f>'Monthly Data'!EG117</f>
        <v>0</v>
      </c>
      <c r="H117" s="3">
        <f>'Monthly Data'!DQ117</f>
        <v>31</v>
      </c>
      <c r="I117" s="3">
        <f>'Monthly Data'!DL117</f>
        <v>899254</v>
      </c>
      <c r="J117" s="489">
        <f>'Monthly Data'!EJ117</f>
        <v>0</v>
      </c>
      <c r="L117" s="436">
        <f t="shared" si="32"/>
        <v>-4442160.1424492002</v>
      </c>
      <c r="M117" s="3">
        <f t="shared" si="33"/>
        <v>844552.4553979265</v>
      </c>
      <c r="N117" s="3">
        <f t="shared" si="34"/>
        <v>16754156.248253014</v>
      </c>
      <c r="O117" s="3">
        <f t="shared" si="35"/>
        <v>0</v>
      </c>
      <c r="P117" s="3">
        <f t="shared" si="36"/>
        <v>40771613.817639098</v>
      </c>
      <c r="Q117" s="3">
        <f t="shared" si="37"/>
        <v>34006132.972333096</v>
      </c>
      <c r="R117" s="3">
        <f t="shared" si="38"/>
        <v>0</v>
      </c>
      <c r="S117" s="47">
        <f t="shared" si="43"/>
        <v>87934295.351173937</v>
      </c>
      <c r="T117" s="47">
        <f ca="1">'Monthly Data'!Y117+'Monthly Data'!Z117</f>
        <v>113541.8343331856</v>
      </c>
      <c r="U117" s="47">
        <f t="shared" ca="1" si="44"/>
        <v>88047837.185507119</v>
      </c>
      <c r="V117" s="47">
        <f t="shared" ca="1" si="45"/>
        <v>-1564114.8402969837</v>
      </c>
      <c r="W117" s="18">
        <f t="shared" ca="1" si="46"/>
        <v>1.7454310557218872E-2</v>
      </c>
    </row>
    <row r="118" spans="1:23">
      <c r="A118" s="2">
        <f>'Monthly Data'!A118</f>
        <v>45901</v>
      </c>
      <c r="B118">
        <f>'Monthly Data'!B118</f>
        <v>2025</v>
      </c>
      <c r="C118">
        <f>'Monthly Data'!C118</f>
        <v>9</v>
      </c>
      <c r="D118" s="3">
        <f ca="1">'Monthly Data'!X118</f>
        <v>83899048.660809964</v>
      </c>
      <c r="E118" s="3">
        <f>'Monthly Data'!CN118</f>
        <v>88.308333333333323</v>
      </c>
      <c r="F118" s="3">
        <f>'Monthly Data'!CW118</f>
        <v>152.10833333333332</v>
      </c>
      <c r="G118">
        <f>'Monthly Data'!EG118</f>
        <v>1</v>
      </c>
      <c r="H118" s="3">
        <f>'Monthly Data'!DQ118</f>
        <v>30</v>
      </c>
      <c r="I118" s="3">
        <f>'Monthly Data'!DL118</f>
        <v>899254</v>
      </c>
      <c r="J118" s="489">
        <f>'Monthly Data'!EJ118</f>
        <v>0</v>
      </c>
      <c r="L118" s="436">
        <f t="shared" si="32"/>
        <v>-4442160.1424492002</v>
      </c>
      <c r="M118" s="3">
        <f t="shared" si="33"/>
        <v>1922810.6928460258</v>
      </c>
      <c r="N118" s="3">
        <f t="shared" si="34"/>
        <v>9805961.361466093</v>
      </c>
      <c r="O118" s="3">
        <f t="shared" si="35"/>
        <v>1833644.83418835</v>
      </c>
      <c r="P118" s="3">
        <f t="shared" si="36"/>
        <v>39456400.468682997</v>
      </c>
      <c r="Q118" s="3">
        <f t="shared" si="37"/>
        <v>34006132.972333096</v>
      </c>
      <c r="R118" s="3">
        <f t="shared" si="38"/>
        <v>0</v>
      </c>
      <c r="S118" s="47">
        <f t="shared" si="43"/>
        <v>82582790.18706736</v>
      </c>
      <c r="T118" s="47">
        <f ca="1">'Monthly Data'!Y118+'Monthly Data'!Z118</f>
        <v>127236.01157656584</v>
      </c>
      <c r="U118" s="47">
        <f t="shared" ca="1" si="44"/>
        <v>82710026.198643923</v>
      </c>
      <c r="V118" s="47">
        <f t="shared" ca="1" si="45"/>
        <v>-1189022.4621660411</v>
      </c>
      <c r="W118" s="18">
        <f t="shared" ca="1" si="46"/>
        <v>1.4172061318276244E-2</v>
      </c>
    </row>
    <row r="119" spans="1:23">
      <c r="A119" s="2">
        <f>'Monthly Data'!A119</f>
        <v>45931</v>
      </c>
      <c r="B119">
        <f>'Monthly Data'!B119</f>
        <v>2025</v>
      </c>
      <c r="C119">
        <f>'Monthly Data'!C119</f>
        <v>10</v>
      </c>
      <c r="D119" s="3">
        <f ca="1">'Monthly Data'!X119</f>
        <v>82219504.638061821</v>
      </c>
      <c r="E119" s="3">
        <f>'Monthly Data'!CN119</f>
        <v>281.52083333333331</v>
      </c>
      <c r="F119" s="3">
        <f>'Monthly Data'!CW119</f>
        <v>44.091666666666669</v>
      </c>
      <c r="G119">
        <f>'Monthly Data'!EG119</f>
        <v>1</v>
      </c>
      <c r="H119" s="3">
        <f>'Monthly Data'!DQ119</f>
        <v>31</v>
      </c>
      <c r="I119" s="3">
        <f>'Monthly Data'!DL119</f>
        <v>904812.6129999999</v>
      </c>
      <c r="J119" s="489">
        <f>'Monthly Data'!EJ119</f>
        <v>0</v>
      </c>
      <c r="L119" s="436">
        <f t="shared" si="32"/>
        <v>-4442160.1424492002</v>
      </c>
      <c r="M119" s="3">
        <f t="shared" si="33"/>
        <v>6129786.942631959</v>
      </c>
      <c r="N119" s="3">
        <f t="shared" si="34"/>
        <v>2842455.5724273873</v>
      </c>
      <c r="O119" s="3">
        <f t="shared" si="35"/>
        <v>1833644.83418835</v>
      </c>
      <c r="P119" s="3">
        <f t="shared" si="36"/>
        <v>40771613.817639098</v>
      </c>
      <c r="Q119" s="3">
        <f t="shared" si="37"/>
        <v>34216337.133582011</v>
      </c>
      <c r="R119" s="3">
        <f t="shared" si="38"/>
        <v>0</v>
      </c>
      <c r="S119" s="47">
        <f t="shared" si="43"/>
        <v>81351678.158019602</v>
      </c>
      <c r="T119" s="47">
        <f ca="1">'Monthly Data'!Y119+'Monthly Data'!Z119</f>
        <v>235310.49979564757</v>
      </c>
      <c r="U119" s="47">
        <f t="shared" ca="1" si="44"/>
        <v>81586988.657815248</v>
      </c>
      <c r="V119" s="47">
        <f t="shared" ca="1" si="45"/>
        <v>-632515.98024657369</v>
      </c>
      <c r="W119" s="18">
        <f t="shared" ca="1" si="46"/>
        <v>7.6930161891751838E-3</v>
      </c>
    </row>
    <row r="120" spans="1:23">
      <c r="A120" s="2">
        <f>'Monthly Data'!A120</f>
        <v>45962</v>
      </c>
      <c r="B120">
        <f>'Monthly Data'!B120</f>
        <v>2025</v>
      </c>
      <c r="C120">
        <f>'Monthly Data'!C120</f>
        <v>11</v>
      </c>
      <c r="D120" s="3">
        <f ca="1">'Monthly Data'!X120</f>
        <v>82909087.556268379</v>
      </c>
      <c r="E120" s="3">
        <f>'Monthly Data'!CN120</f>
        <v>520.61249999999995</v>
      </c>
      <c r="F120" s="3">
        <f>'Monthly Data'!CW120</f>
        <v>0</v>
      </c>
      <c r="G120">
        <f>'Monthly Data'!EG120</f>
        <v>1</v>
      </c>
      <c r="H120" s="3">
        <f>'Monthly Data'!DQ120</f>
        <v>30</v>
      </c>
      <c r="I120" s="3">
        <f>'Monthly Data'!DL120</f>
        <v>904812.6129999999</v>
      </c>
      <c r="J120" s="489">
        <f>'Monthly Data'!EJ120</f>
        <v>0</v>
      </c>
      <c r="L120" s="436">
        <f t="shared" si="32"/>
        <v>-4442160.1424492002</v>
      </c>
      <c r="M120" s="3">
        <f t="shared" si="33"/>
        <v>11335728.396670397</v>
      </c>
      <c r="N120" s="3">
        <f t="shared" si="34"/>
        <v>0</v>
      </c>
      <c r="O120" s="3">
        <f t="shared" si="35"/>
        <v>1833644.83418835</v>
      </c>
      <c r="P120" s="3">
        <f t="shared" si="36"/>
        <v>39456400.468682997</v>
      </c>
      <c r="Q120" s="3">
        <f t="shared" si="37"/>
        <v>34216337.133582011</v>
      </c>
      <c r="R120" s="3">
        <f t="shared" si="38"/>
        <v>0</v>
      </c>
      <c r="S120" s="47">
        <f t="shared" si="43"/>
        <v>82399950.690674558</v>
      </c>
      <c r="T120" s="47">
        <f ca="1">'Monthly Data'!Y120+'Monthly Data'!Z120</f>
        <v>376653.81842640543</v>
      </c>
      <c r="U120" s="47">
        <f t="shared" ca="1" si="44"/>
        <v>82776604.509100959</v>
      </c>
      <c r="V120" s="47">
        <f t="shared" ca="1" si="45"/>
        <v>-132483.04716742039</v>
      </c>
      <c r="W120" s="18">
        <f t="shared" ca="1" si="46"/>
        <v>1.5979315545778666E-3</v>
      </c>
    </row>
    <row r="121" spans="1:23">
      <c r="A121" s="2">
        <f>'Monthly Data'!A121</f>
        <v>45992</v>
      </c>
      <c r="B121">
        <f>'Monthly Data'!B121</f>
        <v>2025</v>
      </c>
      <c r="C121">
        <f>'Monthly Data'!C121</f>
        <v>12</v>
      </c>
      <c r="D121" s="3">
        <f ca="1">'Monthly Data'!X121</f>
        <v>88557544.387372404</v>
      </c>
      <c r="E121" s="3">
        <f>'Monthly Data'!CN121</f>
        <v>744.19999999999993</v>
      </c>
      <c r="F121" s="3">
        <f>'Monthly Data'!CW121</f>
        <v>0</v>
      </c>
      <c r="G121">
        <f>'Monthly Data'!EG121</f>
        <v>0</v>
      </c>
      <c r="H121" s="3">
        <f>'Monthly Data'!DQ121</f>
        <v>31</v>
      </c>
      <c r="I121" s="3">
        <f>'Monthly Data'!DL121</f>
        <v>904812.6129999999</v>
      </c>
      <c r="J121" s="489">
        <f>'Monthly Data'!EJ121</f>
        <v>0</v>
      </c>
      <c r="L121" s="436">
        <f t="shared" si="32"/>
        <v>-4442160.1424492002</v>
      </c>
      <c r="M121" s="3">
        <f t="shared" si="33"/>
        <v>16204084.751714777</v>
      </c>
      <c r="N121" s="3">
        <f t="shared" si="34"/>
        <v>0</v>
      </c>
      <c r="O121" s="3">
        <f t="shared" si="35"/>
        <v>0</v>
      </c>
      <c r="P121" s="3">
        <f t="shared" si="36"/>
        <v>40771613.817639098</v>
      </c>
      <c r="Q121" s="3">
        <f t="shared" si="37"/>
        <v>34216337.133582011</v>
      </c>
      <c r="R121" s="3">
        <f t="shared" si="38"/>
        <v>0</v>
      </c>
      <c r="S121" s="47">
        <f t="shared" si="43"/>
        <v>86749875.560486689</v>
      </c>
      <c r="T121" s="47">
        <f ca="1">'Monthly Data'!Y121+'Monthly Data'!Z121</f>
        <v>507074.80800693063</v>
      </c>
      <c r="U121" s="47">
        <f t="shared" ca="1" si="44"/>
        <v>87256950.368493617</v>
      </c>
      <c r="V121" s="47">
        <f t="shared" ca="1" si="45"/>
        <v>-1300594.0188787878</v>
      </c>
      <c r="W121" s="18">
        <f t="shared" ca="1" si="46"/>
        <v>1.4686428218805061E-2</v>
      </c>
    </row>
    <row r="122" spans="1:23">
      <c r="W122" s="17">
        <f ca="1">AVERAGE(W2:W120)</f>
        <v>1.490861921543388E-2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6a95137c-d42e-468e-9f88-48056057fa51">Witness signed off</Status>
    <HasExcelAttachment xmlns="6a95137c-d42e-468e-9f88-48056057fa51">false</HasExcelAttachment>
    <MunishStatus xmlns="6a95137c-d42e-468e-9f88-48056057fa51">N/A</MunishStatus>
    <TorysCounsel xmlns="6a95137c-d42e-468e-9f88-48056057fa51">
      <Value>N/A</Value>
    </TorysCounsel>
    <CrossReference xmlns="6a95137c-d42e-468e-9f88-48056057fa51" xsi:nil="true"/>
    <Issue_x002f_Theme xmlns="6a95137c-d42e-468e-9f88-48056057fa51" xsi:nil="true"/>
    <ZubairStatus xmlns="6a95137c-d42e-468e-9f88-48056057fa51">N/A</ZubairStatus>
    <ExhibitRef xmlns="6a95137c-d42e-468e-9f88-48056057fa51" xsi:nil="true"/>
    <BBA_DRP xmlns="6a95137c-d42e-468e-9f88-48056057fa51">
      <UserInfo>
        <DisplayName/>
        <AccountId xsi:nil="true"/>
        <AccountType/>
      </UserInfo>
    </BBA_DRP>
    <AnchorIRR xmlns="6a95137c-d42e-468e-9f88-48056057fa51">false</AnchorIRR>
    <KristonStatus xmlns="6a95137c-d42e-468e-9f88-48056057fa51">N/A</KristonStatus>
    <CynthiaStatus xmlns="6a95137c-d42e-468e-9f88-48056057fa51">N/A</CynthiaStatus>
    <Round2Topic xmlns="6a95137c-d42e-468e-9f88-48056057fa51">false</Round2Topic>
    <IRR_x0020_Label xmlns="6a95137c-d42e-468e-9f88-48056057fa51" xsi:nil="true"/>
    <Intervenor xmlns="6a95137c-d42e-468e-9f88-48056057fa51">SEC</Intervenor>
    <UsmanStatus xmlns="6a95137c-d42e-468e-9f88-48056057fa51">N/A</UsmanStatus>
    <S_x002e_VetsisStatus xmlns="6a95137c-d42e-468e-9f88-48056057fa51">N/A</S_x002e_VetsisStatus>
    <Strategic_x003f_ xmlns="6a95137c-d42e-468e-9f88-48056057fa51">false</Strategic_x003f_>
    <S_x002e_SheehyStatus xmlns="6a95137c-d42e-468e-9f88-48056057fa51">N/A</S_x002e_SheehyStatus>
    <Ex_x002e_ xmlns="6a95137c-d42e-468e-9f88-48056057fa51">Ex 1</Ex_x002e_>
    <LincolnStatus xmlns="6a95137c-d42e-468e-9f88-48056057fa51">N/A</LincolnStatus>
    <RegContact xmlns="6a95137c-d42e-468e-9f88-48056057fa51">
      <Value>Susan</Value>
    </RegContact>
    <SaadStatus xmlns="6a95137c-d42e-468e-9f88-48056057fa51">N/A</SaadStatus>
    <Witness_x0028_es_x0029_ xmlns="6a95137c-d42e-468e-9f88-48056057fa51">
      <Value>A. Blair</Value>
    </Witness_x0028_es_x0029_>
    <FinanceInputs_x002f_Validation xmlns="6a95137c-d42e-468e-9f88-48056057fa51">N/A</FinanceInputs_x002f_Validation>
    <Confidential xmlns="6a95137c-d42e-468e-9f88-48056057fa51">N/A</Confidential>
    <SME_x0028_s_x0029_ xmlns="6a95137c-d42e-468e-9f88-48056057fa51">A.Blair</SME_x0028_s_x0029_>
    <BradStatus xmlns="6a95137c-d42e-468e-9f88-48056057fa51">N/A</BradStatus>
    <SamStatus xmlns="6a95137c-d42e-468e-9f88-48056057fa51">N/A</SamStatus>
    <ErinIntervention xmlns="6a95137c-d42e-468e-9f88-48056057fa51">false</ErinIntervention>
    <Attachment xmlns="6a95137c-d42e-468e-9f88-48056057fa51">true</Attachment>
    <StatusNotes xmlns="6a95137c-d42e-468e-9f88-48056057fa51" xsi:nil="true"/>
    <GlenWinn xmlns="6a95137c-d42e-468e-9f88-48056057fa51">
      <UserInfo>
        <DisplayName/>
        <AccountId xsi:nil="true"/>
        <AccountType/>
      </UserInfo>
    </GlenWinn>
    <GeneralNotes xmlns="6a95137c-d42e-468e-9f88-48056057fa51" xsi:nil="true"/>
    <BBA_Comments xmlns="6a95137c-d42e-468e-9f88-48056057fa51" xsi:nil="true"/>
    <IRR xmlns="6a95137c-d42e-468e-9f88-48056057fa51">true</IRR>
    <ABlairStatus xmlns="6a95137c-d42e-468e-9f88-48056057fa51">Witness sign-off</ABlairStatu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8167192D49BE74B8E487B64E9012969" ma:contentTypeVersion="46" ma:contentTypeDescription="Create a new document." ma:contentTypeScope="" ma:versionID="2ab638d31771d19a9d2060fda2accbc0">
  <xsd:schema xmlns:xsd="http://www.w3.org/2001/XMLSchema" xmlns:xs="http://www.w3.org/2001/XMLSchema" xmlns:p="http://schemas.microsoft.com/office/2006/metadata/properties" xmlns:ns2="6a95137c-d42e-468e-9f88-48056057fa51" targetNamespace="http://schemas.microsoft.com/office/2006/metadata/properties" ma:root="true" ma:fieldsID="cec26060faadc0b2fed06678648fdcf9" ns2:_="">
    <xsd:import namespace="6a95137c-d42e-468e-9f88-48056057fa51"/>
    <xsd:element name="properties">
      <xsd:complexType>
        <xsd:sequence>
          <xsd:element name="documentManagement">
            <xsd:complexType>
              <xsd:all>
                <xsd:element ref="ns2:IRR_x0020_Label" minOccurs="0"/>
                <xsd:element ref="ns2:Status" minOccurs="0"/>
                <xsd:element ref="ns2:Strategic_x003f_" minOccurs="0"/>
                <xsd:element ref="ns2:Witness_x0028_es_x0029_" minOccurs="0"/>
                <xsd:element ref="ns2:FinanceInputs_x002f_Validation" minOccurs="0"/>
                <xsd:element ref="ns2:Confidential" minOccurs="0"/>
                <xsd:element ref="ns2:TorysCounsel" minOccurs="0"/>
                <xsd:element ref="ns2:AnchorIRR" minOccurs="0"/>
                <xsd:element ref="ns2:CrossReference" minOccurs="0"/>
                <xsd:element ref="ns2:HasExcelAttachment" minOccurs="0"/>
                <xsd:element ref="ns2:RegContact" minOccurs="0"/>
                <xsd:element ref="ns2:Round2Topic" minOccurs="0"/>
                <xsd:element ref="ns2:Issue_x002f_Theme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SME_x0028_s_x0029_" minOccurs="0"/>
                <xsd:element ref="ns2:Intervenor" minOccurs="0"/>
                <xsd:element ref="ns2:S_x002e_SheehyStatus" minOccurs="0"/>
                <xsd:element ref="ns2:UsmanStatus" minOccurs="0"/>
                <xsd:element ref="ns2:SaadStatus" minOccurs="0"/>
                <xsd:element ref="ns2:SamStatus" minOccurs="0"/>
                <xsd:element ref="ns2:MunishStatus" minOccurs="0"/>
                <xsd:element ref="ns2:LincolnStatus" minOccurs="0"/>
                <xsd:element ref="ns2:KristonStatus" minOccurs="0"/>
                <xsd:element ref="ns2:BradStatus" minOccurs="0"/>
                <xsd:element ref="ns2:S_x002e_VetsisStatus" minOccurs="0"/>
                <xsd:element ref="ns2:CynthiaStatus" minOccurs="0"/>
                <xsd:element ref="ns2:ZubairStatus" minOccurs="0"/>
                <xsd:element ref="ns2:ExhibitRef" minOccurs="0"/>
                <xsd:element ref="ns2:Ex_x002e_" minOccurs="0"/>
                <xsd:element ref="ns2:BBA_DRP" minOccurs="0"/>
                <xsd:element ref="ns2:ErinIntervention" minOccurs="0"/>
                <xsd:element ref="ns2:Attachment" minOccurs="0"/>
                <xsd:element ref="ns2:GlenWinn" minOccurs="0"/>
                <xsd:element ref="ns2:StatusNotes" minOccurs="0"/>
                <xsd:element ref="ns2:GeneralNotes" minOccurs="0"/>
                <xsd:element ref="ns2:MediaServiceBillingMetadata" minOccurs="0"/>
                <xsd:element ref="ns2:BBA_Comments" minOccurs="0"/>
                <xsd:element ref="ns2:IRR" minOccurs="0"/>
                <xsd:element ref="ns2:ABlair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95137c-d42e-468e-9f88-48056057fa51" elementFormDefault="qualified">
    <xsd:import namespace="http://schemas.microsoft.com/office/2006/documentManagement/types"/>
    <xsd:import namespace="http://schemas.microsoft.com/office/infopath/2007/PartnerControls"/>
    <xsd:element name="IRR_x0020_Label" ma:index="1" nillable="true" ma:displayName="IRR Label" ma:description="Exhibit-Intervenor-#" ma:internalName="IRR_x0020_Label">
      <xsd:simpleType>
        <xsd:restriction base="dms:Text">
          <xsd:maxLength value="255"/>
        </xsd:restriction>
      </xsd:simpleType>
    </xsd:element>
    <xsd:element name="Status" ma:index="2" nillable="true" ma:displayName="Main Status (REG ONLY)" ma:default="Drafting stage" ma:description="Stage of production" ma:format="Dropdown" ma:internalName="Status">
      <xsd:simpleType>
        <xsd:restriction base="dms:Choice">
          <xsd:enumeration value="Drafting stage"/>
          <xsd:enumeration value="Draft - ready for Reg review"/>
          <xsd:enumeration value="Witness signed off"/>
          <xsd:enumeration value="Final - To be redacted"/>
          <xsd:enumeration value="Final - Ready for PDF"/>
          <xsd:enumeration value="Torys review required"/>
          <xsd:enumeration value="Torys review complete"/>
          <xsd:enumeration value="ERIN or Στέφανος to review"/>
          <xsd:enumeration value="Reg review complete - ready for sign off"/>
          <xsd:enumeration value="Deferred to Round 2"/>
        </xsd:restriction>
      </xsd:simpleType>
    </xsd:element>
    <xsd:element name="Strategic_x003f_" ma:index="3" nillable="true" ma:displayName="Strategic?" ma:default="0" ma:description="IRRs that require legal review, tie to broader issues, and/or bear risk due to questions asked" ma:format="Dropdown" ma:internalName="Strategic_x003f_">
      <xsd:simpleType>
        <xsd:restriction base="dms:Boolean"/>
      </xsd:simpleType>
    </xsd:element>
    <xsd:element name="Witness_x0028_es_x0029_" ma:index="4" nillable="true" ma:displayName="Witness(es)" ma:description="All Witnesses responsible for approving responses" ma:format="Dropdown" ma:internalName="Witness_x0028_es_x0029_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ynthia"/>
                    <xsd:enumeration value="Zubair"/>
                    <xsd:enumeration value="S. Sheehy"/>
                    <xsd:enumeration value="S. Vetsis"/>
                    <xsd:enumeration value="Sam"/>
                    <xsd:enumeration value="Usman"/>
                    <xsd:enumeration value="Saad"/>
                    <xsd:enumeration value="Munish"/>
                    <xsd:enumeration value="Kriston"/>
                    <xsd:enumeration value="Lincoln"/>
                    <xsd:enumeration value="Brad"/>
                    <xsd:enumeration value="A. Blair"/>
                    <xsd:enumeration value="S. Fenrick (SV)"/>
                    <xsd:enumeration value="Not Yet Assigned"/>
                  </xsd:restriction>
                </xsd:simpleType>
              </xsd:element>
            </xsd:sequence>
          </xsd:extension>
        </xsd:complexContent>
      </xsd:complexType>
    </xsd:element>
    <xsd:element name="FinanceInputs_x002f_Validation" ma:index="5" nillable="true" ma:displayName="Finance Inputs/Validation" ma:default="N/A" ma:description="Response requires data from Finance, or Finance review and validation" ma:format="Dropdown" ma:internalName="FinanceInputs_x002f_Validation">
      <xsd:simpleType>
        <xsd:restriction base="dms:Choice">
          <xsd:enumeration value="Finance review or inputs outstanding"/>
          <xsd:enumeration value="Ready for Finance review"/>
          <xsd:enumeration value="Finance review/input complete"/>
          <xsd:enumeration value="N/A"/>
        </xsd:restriction>
      </xsd:simpleType>
    </xsd:element>
    <xsd:element name="Confidential" ma:index="6" nillable="true" ma:displayName="Confidential" ma:default="N/A" ma:description="Stage of confidentiality for those requiring that treatment" ma:format="Dropdown" ma:internalName="Confidential">
      <xsd:simpleType>
        <xsd:restriction base="dms:Choice">
          <xsd:enumeration value="Possibly Confidential - Internal review required"/>
          <xsd:enumeration value="Confidential - Redactions needed"/>
          <xsd:enumeration value="Confidential - Proposed redactions ready"/>
          <xsd:enumeration value="Confidential - Torys review required"/>
          <xsd:enumeration value="Confidential - Elexicon input required"/>
          <xsd:enumeration value="Confidential - Ready - Marked-up version"/>
          <xsd:enumeration value="Confidential - Ready - Public version"/>
          <xsd:enumeration value="N/A"/>
          <xsd:enumeration value="Reviewed - Confirmed not confidential"/>
        </xsd:restriction>
      </xsd:simpleType>
    </xsd:element>
    <xsd:element name="TorysCounsel" ma:index="7" nillable="true" ma:displayName="Torys' Counsel" ma:default="N/A" ma:description="Name of lawyer" ma:format="Dropdown" ma:internalName="TorysCounsel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Daliana"/>
                    <xsd:enumeration value="Daniel"/>
                    <xsd:enumeration value="Meghan"/>
                    <xsd:enumeration value="Arlen"/>
                    <xsd:enumeration value="Jonathan"/>
                    <xsd:enumeration value="N/A"/>
                  </xsd:restriction>
                </xsd:simpleType>
              </xsd:element>
            </xsd:sequence>
          </xsd:extension>
        </xsd:complexContent>
      </xsd:complexType>
    </xsd:element>
    <xsd:element name="AnchorIRR" ma:index="8" nillable="true" ma:displayName="Anchor IRR" ma:default="0" ma:description="Identifies IRRs that address key topics and are cite in other IR responses" ma:format="Dropdown" ma:internalName="AnchorIRR">
      <xsd:simpleType>
        <xsd:restriction base="dms:Boolean"/>
      </xsd:simpleType>
    </xsd:element>
    <xsd:element name="CrossReference" ma:index="9" nillable="true" ma:displayName="Cross Reference" ma:description="Captures duplicative or related IRRs to Anchor responses" ma:format="Dropdown" ma:internalName="CrossReference">
      <xsd:simpleType>
        <xsd:restriction base="dms:Note">
          <xsd:maxLength value="255"/>
        </xsd:restriction>
      </xsd:simpleType>
    </xsd:element>
    <xsd:element name="HasExcelAttachment" ma:index="10" nillable="true" ma:displayName="Has Excel Attachment" ma:default="0" ma:description="Identifies IRRs that have Excel attachments that need to be reviewed by the Witness" ma:format="Dropdown" ma:internalName="HasExcelAttachment">
      <xsd:simpleType>
        <xsd:restriction base="dms:Boolean"/>
      </xsd:simpleType>
    </xsd:element>
    <xsd:element name="RegContact" ma:index="11" nillable="true" ma:displayName="Reg Contact" ma:description="Regulatory team member responsible for project management / review" ma:format="Dropdown" ma:internalName="RegContact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arlisle"/>
                    <xsd:enumeration value="Jeff"/>
                    <xsd:enumeration value="Susan"/>
                    <xsd:enumeration value="Erin"/>
                    <xsd:enumeration value="Not Yet Assigned"/>
                  </xsd:restriction>
                </xsd:simpleType>
              </xsd:element>
            </xsd:sequence>
          </xsd:extension>
        </xsd:complexContent>
      </xsd:complexType>
    </xsd:element>
    <xsd:element name="Round2Topic" ma:index="12" nillable="true" ma:displayName="Round 2 Topic" ma:default="0" ma:description="IRRs that relate to evidence update items and should be deferred to the second round. " ma:format="Dropdown" ma:internalName="Round2Topic">
      <xsd:simpleType>
        <xsd:restriction base="dms:Boolean"/>
      </xsd:simpleType>
    </xsd:element>
    <xsd:element name="Issue_x002f_Theme" ma:index="13" nillable="true" ma:displayName="Issue/Theme" ma:description="Tag issue/theme to ensure alignment across multiple IRRs" ma:format="Dropdown" ma:internalName="Issue_x002f_Theme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Synergies"/>
                        <xsd:enumeration value="Merger"/>
                        <xsd:enumeration value="Productivity and Efficiency"/>
                        <xsd:enumeration value="Modernization and/or Dx NEXT"/>
                        <xsd:enumeration value="Rate Framework and Clearspring"/>
                        <xsd:enumeration value="Stretch Factor"/>
                        <xsd:enumeration value="Inflation"/>
                        <xsd:enumeration value="Benchmarking"/>
                        <xsd:enumeration value="Investment Planning"/>
                        <xsd:enumeration value="Customer Growth"/>
                        <xsd:enumeration value="Stations Investments"/>
                        <xsd:enumeration value="Reactive Captial"/>
                        <xsd:enumeration value="Customer Engagement"/>
                        <xsd:enumeration value="Reliability"/>
                        <xsd:enumeration value="eDSM"/>
                        <xsd:enumeration value="Capacity and Load Forecast"/>
                        <xsd:enumeration value="Asset Condition and ACA"/>
                        <xsd:enumeration value="Execution and Contractors"/>
                        <xsd:enumeration value="NWS and DERs"/>
                        <xsd:enumeration value="DVAs"/>
                        <xsd:enumeration value="New DVAs"/>
                        <xsd:enumeration value="Workforce and Compensation"/>
                        <xsd:enumeration value="Shared Services"/>
                        <xsd:enumeration value="Letters of Comment"/>
                        <xsd:enumeration value="RRWF"/>
                        <xsd:enumeration value="Chapter 2 Appendices"/>
                        <xsd:enumeration value="Application Costs"/>
                        <xsd:enumeration value="Historical ISA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ME_x0028_s_x0029_" ma:index="24" nillable="true" ma:displayName="SME(s)" ma:description="Magda Sulzycki" ma:format="Dropdown" ma:internalName="SME_x0028_s_x0029_">
      <xsd:simpleType>
        <xsd:restriction base="dms:Text">
          <xsd:maxLength value="255"/>
        </xsd:restriction>
      </xsd:simpleType>
    </xsd:element>
    <xsd:element name="Intervenor" ma:index="25" nillable="true" ma:displayName="Intervenor" ma:description="Acronym identifying Intervenor" ma:format="Dropdown" ma:internalName="Intervenor">
      <xsd:simpleType>
        <xsd:restriction base="dms:Choice">
          <xsd:enumeration value="OEB Staff"/>
          <xsd:enumeration value="BOMA"/>
          <xsd:enumeration value="CCMBC"/>
          <xsd:enumeration value="CCC"/>
          <xsd:enumeration value="DRC"/>
          <xsd:enumeration value="Energy Probe"/>
          <xsd:enumeration value="Pollution Probe"/>
          <xsd:enumeration value="PWU"/>
          <xsd:enumeration value="QMA"/>
          <xsd:enumeration value="SEC"/>
          <xsd:enumeration value="VECC"/>
          <xsd:enumeration value="N/A"/>
        </xsd:restriction>
      </xsd:simpleType>
    </xsd:element>
    <xsd:element name="S_x002e_SheehyStatus" ma:index="26" nillable="true" ma:displayName="S. Sheehy Status" ma:default="N/A" ma:format="Dropdown" ma:internalName="S_x002e_SheehyStatus">
      <xsd:simpleType>
        <xsd:restriction base="dms:Choice">
          <xsd:enumeration value="Draft - with DRP/SME"/>
          <xsd:enumeration value="Draft - Ready for Witness Review"/>
          <xsd:enumeration value="DRP/SME - Revisions/inputs required"/>
          <xsd:enumeration value="Revised draft - with DRP/SME"/>
          <xsd:enumeration value="Revised draft - Ready for Witness Review"/>
          <xsd:enumeration value="Witness review complete"/>
          <xsd:enumeration value="Reg review complete - Ready for sign-off"/>
          <xsd:enumeration value="Witness signed off"/>
          <xsd:enumeration value="N/A"/>
        </xsd:restriction>
      </xsd:simpleType>
    </xsd:element>
    <xsd:element name="UsmanStatus" ma:index="27" nillable="true" ma:displayName="Usman Status" ma:default="N/A" ma:format="Dropdown" ma:internalName="UsmanStatus">
      <xsd:simpleType>
        <xsd:restriction base="dms:Choice">
          <xsd:enumeration value="Draft - with DRP/SME"/>
          <xsd:enumeration value="Draft - Ready for Witness review"/>
          <xsd:enumeration value="DRP/SME - Revisions/inputs required"/>
          <xsd:enumeration value="Revised draft - with DRP/SME"/>
          <xsd:enumeration value="Revised draft - Ready for Witness review"/>
          <xsd:enumeration value="Witness review complete"/>
          <xsd:enumeration value="Reg review complete - Ready for sign-off"/>
          <xsd:enumeration value="Witness signed off"/>
          <xsd:enumeration value="N/A"/>
        </xsd:restriction>
      </xsd:simpleType>
    </xsd:element>
    <xsd:element name="SaadStatus" ma:index="28" nillable="true" ma:displayName="Saad Status" ma:default="N/A" ma:format="Dropdown" ma:internalName="SaadStatus">
      <xsd:simpleType>
        <xsd:restriction base="dms:Choice">
          <xsd:enumeration value="Draft - with DRP/SME"/>
          <xsd:enumeration value="Draft - Ready for Witness review"/>
          <xsd:enumeration value="DRP/SME - Revisions/inputs required"/>
          <xsd:enumeration value="Revised draft - with DRP/SME"/>
          <xsd:enumeration value="Revised draft - Ready for Witness review"/>
          <xsd:enumeration value="Witness review complete"/>
          <xsd:enumeration value="Reg review complete - Ready for sign-off"/>
          <xsd:enumeration value="Witness signed off"/>
          <xsd:enumeration value="N/A"/>
        </xsd:restriction>
      </xsd:simpleType>
    </xsd:element>
    <xsd:element name="SamStatus" ma:index="29" nillable="true" ma:displayName="Sam Status" ma:default="N/A" ma:format="Dropdown" ma:internalName="SamStatus">
      <xsd:simpleType>
        <xsd:restriction base="dms:Choice">
          <xsd:enumeration value="Draft - with DRP/SME"/>
          <xsd:enumeration value="Draft - Ready for Witness review"/>
          <xsd:enumeration value="DRP/SME - Revisions/inputs required"/>
          <xsd:enumeration value="Revised draft - with DRP/SME"/>
          <xsd:enumeration value="Revised draft - Ready for Witness review"/>
          <xsd:enumeration value="Witness review complete"/>
          <xsd:enumeration value="Reg review complete - Ready for sign-off"/>
          <xsd:enumeration value="Witness signed off"/>
          <xsd:enumeration value="N/A"/>
        </xsd:restriction>
      </xsd:simpleType>
    </xsd:element>
    <xsd:element name="MunishStatus" ma:index="30" nillable="true" ma:displayName="Munish Status" ma:default="N/A" ma:format="Dropdown" ma:internalName="MunishStatus">
      <xsd:simpleType>
        <xsd:restriction base="dms:Choice">
          <xsd:enumeration value="Draft - with DRP/SME"/>
          <xsd:enumeration value="Draft - Ready for Witness review"/>
          <xsd:enumeration value="DRP/SME - Revisions/inputs required"/>
          <xsd:enumeration value="Revised draft - with DRP/SME"/>
          <xsd:enumeration value="Revised draft - Ready for Witness Review"/>
          <xsd:enumeration value="Witness review complete"/>
          <xsd:enumeration value="Reg review complete - Ready for sign-off"/>
          <xsd:enumeration value="Witness signed off"/>
          <xsd:enumeration value="N/A"/>
        </xsd:restriction>
      </xsd:simpleType>
    </xsd:element>
    <xsd:element name="LincolnStatus" ma:index="31" nillable="true" ma:displayName="Lincoln Status" ma:default="N/A" ma:format="Dropdown" ma:internalName="LincolnStatus">
      <xsd:simpleType>
        <xsd:restriction base="dms:Choice">
          <xsd:enumeration value="Draft - with DRP/SME"/>
          <xsd:enumeration value="Draft - Ready for Witness review"/>
          <xsd:enumeration value="DRP/SME - Revisions/inputs required"/>
          <xsd:enumeration value="Revised draft - with DRP/SME"/>
          <xsd:enumeration value="Revised draft - Ready for Witness review"/>
          <xsd:enumeration value="Witness review complete"/>
          <xsd:enumeration value="Reg review complete - Ready for sign-off"/>
          <xsd:enumeration value="Witness signed off"/>
          <xsd:enumeration value="N/A"/>
        </xsd:restriction>
      </xsd:simpleType>
    </xsd:element>
    <xsd:element name="KristonStatus" ma:index="32" nillable="true" ma:displayName="Kriston Status" ma:default="N/A" ma:format="Dropdown" ma:internalName="KristonStatus">
      <xsd:simpleType>
        <xsd:restriction base="dms:Choice">
          <xsd:enumeration value="Draft - with DRP/SME"/>
          <xsd:enumeration value="Draft - Ready for Witness Review"/>
          <xsd:enumeration value="DRP/SME - Revisions/inputs required"/>
          <xsd:enumeration value="Revised draft - with DRP/SME"/>
          <xsd:enumeration value="Revised draft - Ready for Witness review"/>
          <xsd:enumeration value="Witness review complete"/>
          <xsd:enumeration value="Reg review complete - Ready for sign-off"/>
          <xsd:enumeration value="Witness signed off"/>
          <xsd:enumeration value="N/A"/>
        </xsd:restriction>
      </xsd:simpleType>
    </xsd:element>
    <xsd:element name="BradStatus" ma:index="33" nillable="true" ma:displayName="Brad Status" ma:default="N/A" ma:format="Dropdown" ma:internalName="BradStatus">
      <xsd:simpleType>
        <xsd:restriction base="dms:Choice">
          <xsd:enumeration value="Draft - with DRP/SME"/>
          <xsd:enumeration value="Draft - Ready for Witness review"/>
          <xsd:enumeration value="DRP/SME - Revisions/inputs required"/>
          <xsd:enumeration value="Revised draft - with DRP/SME"/>
          <xsd:enumeration value="Revised draft - Ready for Witness review"/>
          <xsd:enumeration value="Witness review complete"/>
          <xsd:enumeration value="Reg review complete - Ready for sign-off"/>
          <xsd:enumeration value="Witness signed off"/>
          <xsd:enumeration value="N/A"/>
        </xsd:restriction>
      </xsd:simpleType>
    </xsd:element>
    <xsd:element name="S_x002e_VetsisStatus" ma:index="34" nillable="true" ma:displayName="Στέφανος" ma:default="N/A" ma:format="Dropdown" ma:internalName="S_x002e_VetsisStatus">
      <xsd:simpleType>
        <xsd:restriction base="dms:Choice">
          <xsd:enumeration value="Draft - with DRP/SME"/>
          <xsd:enumeration value="Draft - Ready for Witness review"/>
          <xsd:enumeration value="DRP/SME - Revisions/inputs required"/>
          <xsd:enumeration value="Revised draft - with DRP/SME"/>
          <xsd:enumeration value="Revised draft - Ready for Witness review"/>
          <xsd:enumeration value="Witness review complete"/>
          <xsd:enumeration value="Reg review complete - Ready for sign-off"/>
          <xsd:enumeration value="Witness signed off"/>
          <xsd:enumeration value="N/A"/>
        </xsd:restriction>
      </xsd:simpleType>
    </xsd:element>
    <xsd:element name="CynthiaStatus" ma:index="35" nillable="true" ma:displayName="Cynthia Status" ma:default="N/A" ma:format="Dropdown" ma:internalName="CynthiaStatus">
      <xsd:simpleType>
        <xsd:restriction base="dms:Choice">
          <xsd:enumeration value="Draft - with DRP/SME"/>
          <xsd:enumeration value="Draft - Ready for Witness review"/>
          <xsd:enumeration value="DRP/SME - Revisions/inputs required"/>
          <xsd:enumeration value="Revised draft - with DRP/SME"/>
          <xsd:enumeration value="Revised draft - Ready for Witness review"/>
          <xsd:enumeration value="Witness review complete"/>
          <xsd:enumeration value="Ready for sign-off"/>
          <xsd:enumeration value="Witness signed off"/>
          <xsd:enumeration value="N/A"/>
        </xsd:restriction>
      </xsd:simpleType>
    </xsd:element>
    <xsd:element name="ZubairStatus" ma:index="36" nillable="true" ma:displayName="Zubair Status" ma:default="N/A" ma:format="Dropdown" ma:internalName="ZubairStatus">
      <xsd:simpleType>
        <xsd:restriction base="dms:Choice">
          <xsd:enumeration value="Draft - with DRP/SME"/>
          <xsd:enumeration value="Draft - Ready for Witness review"/>
          <xsd:enumeration value="DRP/SME - Revisions/inputs required"/>
          <xsd:enumeration value="Revised draft - with DRP/SME"/>
          <xsd:enumeration value="Revised draft - Ready for Witness review"/>
          <xsd:enumeration value="Witness review complete"/>
          <xsd:enumeration value="Reg review complete - Ready for sign-off"/>
          <xsd:enumeration value="Witness signed off"/>
          <xsd:enumeration value="N/A"/>
        </xsd:restriction>
      </xsd:simpleType>
    </xsd:element>
    <xsd:element name="ExhibitRef" ma:index="37" nillable="true" ma:displayName="Exhibit Ref" ma:format="Dropdown" ma:internalName="ExhibitRef">
      <xsd:simpleType>
        <xsd:restriction base="dms:Text">
          <xsd:maxLength value="255"/>
        </xsd:restriction>
      </xsd:simpleType>
    </xsd:element>
    <xsd:element name="Ex_x002e_" ma:index="38" nillable="true" ma:displayName="Ex." ma:default="Ex 1" ma:format="RadioButtons" ma:internalName="Ex_x002e_">
      <xsd:simpleType>
        <xsd:restriction base="dms:Choice">
          <xsd:enumeration value="Ex 1"/>
          <xsd:enumeration value="Ex 2"/>
          <xsd:enumeration value="Ex 3"/>
          <xsd:enumeration value="Ex 4"/>
          <xsd:enumeration value="Ex 5"/>
          <xsd:enumeration value="Ex 6"/>
          <xsd:enumeration value="Ex 7"/>
          <xsd:enumeration value="Ex 8"/>
          <xsd:enumeration value="Ex 9"/>
          <xsd:enumeration value="Ex 10"/>
        </xsd:restriction>
      </xsd:simpleType>
    </xsd:element>
    <xsd:element name="BBA_DRP" ma:index="39" nillable="true" ma:displayName="BBA_DRP" ma:format="Dropdown" ma:list="UserInfo" ma:SharePointGroup="0" ma:internalName="BBA_DRP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rinIntervention" ma:index="40" nillable="true" ma:displayName="Erin Intervention" ma:default="0" ma:format="Dropdown" ma:internalName="ErinIntervention">
      <xsd:simpleType>
        <xsd:restriction base="dms:Boolean"/>
      </xsd:simpleType>
    </xsd:element>
    <xsd:element name="Attachment" ma:index="41" nillable="true" ma:displayName="Attachment" ma:default="0" ma:format="Dropdown" ma:internalName="Attachment">
      <xsd:simpleType>
        <xsd:restriction base="dms:Boolean"/>
      </xsd:simpleType>
    </xsd:element>
    <xsd:element name="GlenWinn" ma:index="42" nillable="true" ma:displayName="Glen Winn" ma:format="Dropdown" ma:list="UserInfo" ma:SharePointGroup="0" ma:internalName="GlenWinn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tatusNotes" ma:index="43" nillable="true" ma:displayName="Status Notes" ma:format="Dropdown" ma:internalName="StatusNotes">
      <xsd:simpleType>
        <xsd:restriction base="dms:Note">
          <xsd:maxLength value="255"/>
        </xsd:restriction>
      </xsd:simpleType>
    </xsd:element>
    <xsd:element name="GeneralNotes" ma:index="44" nillable="true" ma:displayName="General Notes" ma:description="General notes to aid in completion of IRs" ma:format="Dropdown" ma:internalName="GeneralNotes">
      <xsd:simpleType>
        <xsd:restriction base="dms:Note">
          <xsd:maxLength value="255"/>
        </xsd:restriction>
      </xsd:simpleType>
    </xsd:element>
    <xsd:element name="MediaServiceBillingMetadata" ma:index="45" nillable="true" ma:displayName="MediaServiceBillingMetadata" ma:hidden="true" ma:internalName="MediaServiceBillingMetadata" ma:readOnly="true">
      <xsd:simpleType>
        <xsd:restriction base="dms:Note"/>
      </xsd:simpleType>
    </xsd:element>
    <xsd:element name="BBA_Comments" ma:index="46" nillable="true" ma:displayName="BBA_Comments" ma:format="Dropdown" ma:internalName="BBA_Comments">
      <xsd:simpleType>
        <xsd:restriction base="dms:Note">
          <xsd:maxLength value="255"/>
        </xsd:restriction>
      </xsd:simpleType>
    </xsd:element>
    <xsd:element name="IRR" ma:index="47" nillable="true" ma:displayName="Item (not IRR)" ma:default="0" ma:format="Dropdown" ma:internalName="IRR">
      <xsd:simpleType>
        <xsd:restriction base="dms:Boolean"/>
      </xsd:simpleType>
    </xsd:element>
    <xsd:element name="ABlairStatus" ma:index="48" nillable="true" ma:displayName="A Blair Status" ma:default="N/A" ma:format="Dropdown" ma:internalName="ABlairStatus">
      <xsd:simpleType>
        <xsd:restriction base="dms:Choice">
          <xsd:enumeration value="Draft - with DRP"/>
          <xsd:enumeration value="Draft - Ready for Review"/>
          <xsd:enumeration value="DRP/SME input required"/>
          <xsd:enumeration value="Revised draft - with DRP"/>
          <xsd:enumeration value="Revised draft ready for review"/>
          <xsd:enumeration value="Reg done ready for Witness Sign-off"/>
          <xsd:enumeration value="Witness sign-off"/>
          <xsd:enumeration value="AB done - ready for SK"/>
          <xsd:enumeration value="N/A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5AEBA14-F417-43EC-BFBC-141C691FCE8E}">
  <ds:schemaRefs>
    <ds:schemaRef ds:uri="6a95137c-d42e-468e-9f88-48056057fa51"/>
    <ds:schemaRef ds:uri="http://schemas.microsoft.com/office/2006/metadata/properties"/>
    <ds:schemaRef ds:uri="http://purl.org/dc/terms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3BCB2A7-A0B4-48ED-BBAD-0B457637B3F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3D86286-177D-4E70-9F9E-B4B925276C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95137c-d42e-468e-9f88-48056057f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Summary</vt:lpstr>
      <vt:lpstr>Monthly Data</vt:lpstr>
      <vt:lpstr>Weather</vt:lpstr>
      <vt:lpstr>Economic Data</vt:lpstr>
      <vt:lpstr>CDM</vt:lpstr>
      <vt:lpstr>VRZ Residential</vt:lpstr>
      <vt:lpstr>VRZ Seasonal</vt:lpstr>
      <vt:lpstr>VRZ GS &lt; 50</vt:lpstr>
      <vt:lpstr>VRZ GS 50-2,999</vt:lpstr>
      <vt:lpstr>VRZ GS 3,000-4,999</vt:lpstr>
      <vt:lpstr>VRZ Large Use</vt:lpstr>
      <vt:lpstr>WRZ Residential</vt:lpstr>
      <vt:lpstr>WRZ GS &lt; 50</vt:lpstr>
      <vt:lpstr>WRZ GS 50-2,999</vt:lpstr>
      <vt:lpstr>WRZ GS 3,000-4,999</vt:lpstr>
      <vt:lpstr>Model Summary</vt:lpstr>
      <vt:lpstr>EV Data</vt:lpstr>
      <vt:lpstr>EV Forecast VRZ</vt:lpstr>
      <vt:lpstr>EV Forecast WRZ</vt:lpstr>
      <vt:lpstr>Heating</vt:lpstr>
      <vt:lpstr>Heating (data)</vt:lpstr>
      <vt:lpstr>New Known Customers</vt:lpstr>
      <vt:lpstr>Total Additional</vt:lpstr>
      <vt:lpstr>VRZ Residential Normalized</vt:lpstr>
      <vt:lpstr>VRZ Seasonal Normalized</vt:lpstr>
      <vt:lpstr>VRZ GS &lt; 50 Normalized</vt:lpstr>
      <vt:lpstr>VRZ GS 50-2,999 Normalized</vt:lpstr>
      <vt:lpstr>VRZ GS 3,000-4,999 Normalized</vt:lpstr>
      <vt:lpstr>VRZ Large Use Normalized</vt:lpstr>
      <vt:lpstr>WRZ Residential Normalized</vt:lpstr>
      <vt:lpstr>WRZ GS &lt; 50 Normalized</vt:lpstr>
      <vt:lpstr>WRZ GS 50-2,999 Normalized</vt:lpstr>
      <vt:lpstr>WRZ GS 3,000-4,999 Normalized</vt:lpstr>
      <vt:lpstr>Normalized Annual Summary</vt:lpstr>
      <vt:lpstr>Customer Count</vt:lpstr>
      <vt:lpstr>CDM-eDSM Framework</vt:lpstr>
      <vt:lpstr>kW Forecast</vt:lpstr>
      <vt:lpstr>CDM Adjustment</vt:lpstr>
      <vt:lpstr>Additional Growth</vt:lpstr>
      <vt:lpstr>Summary Tables</vt:lpstr>
      <vt:lpstr>Overall Load Summary</vt:lpstr>
      <vt:lpstr>Summary Tables (WN)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Andrew Blair</dc:creator>
  <cp:keywords/>
  <dc:description/>
  <cp:lastModifiedBy>Stephen Vetsis</cp:lastModifiedBy>
  <cp:revision/>
  <dcterms:created xsi:type="dcterms:W3CDTF">2024-08-24T14:14:35Z</dcterms:created>
  <dcterms:modified xsi:type="dcterms:W3CDTF">2026-05-08T16:13:21Z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0x01010078167192D49BE74B8E487B64E9012969</vt:lpwstr>
  </property>
  <property fmtid="{D5CDD505-2E9C-101B-9397-08002B2CF9AE}" pid="3" name="MediaServiceImageTags">
    <vt:lpwstr/>
  </property>
</Properties>
</file>